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6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7.xml" ContentType="application/vnd.openxmlformats-officedocument.drawing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J\OneDrive - 가톨릭대학교\Alles\Work\커미션\"/>
    </mc:Choice>
  </mc:AlternateContent>
  <xr:revisionPtr revIDLastSave="28" documentId="13_ncr:1_{34B447EB-D717-4DEE-9D8B-E38A71B2526A}" xr6:coauthVersionLast="47" xr6:coauthVersionMax="47" xr10:uidLastSave="{CA0B8F95-2990-9E46-9A70-1EBAC89BB4BE}"/>
  <bookViews>
    <workbookView xWindow="-120" yWindow="-120" windowWidth="38640" windowHeight="21840" activeTab="6" xr2:uid="{00000000-000D-0000-FFFF-FFFF00000000}"/>
  </bookViews>
  <sheets>
    <sheet name="Consumables" sheetId="4" r:id="rId1"/>
    <sheet name="Technotrans" sheetId="9" r:id="rId2"/>
    <sheet name="GOSS" sheetId="6" r:id="rId3"/>
    <sheet name="서비스" sheetId="10" r:id="rId4"/>
    <sheet name="2017" sheetId="24" state="hidden" r:id="rId5"/>
    <sheet name="Others" sheetId="36" r:id="rId6"/>
    <sheet name="Report" sheetId="29" r:id="rId7"/>
    <sheet name="Import" sheetId="31" r:id="rId8"/>
    <sheet name="2023" sheetId="50" r:id="rId9"/>
    <sheet name="2020" sheetId="44" state="hidden" r:id="rId10"/>
    <sheet name="2021" sheetId="48" state="hidden" r:id="rId11"/>
    <sheet name="2022" sheetId="51" r:id="rId12"/>
    <sheet name="Database2" sheetId="46" r:id="rId13"/>
    <sheet name="Database" sheetId="45" r:id="rId14"/>
    <sheet name="UV LAMP" sheetId="47" state="hidden" r:id="rId15"/>
    <sheet name="2019" sheetId="43" state="hidden" r:id="rId16"/>
    <sheet name="2018" sheetId="37" state="hidden" r:id="rId17"/>
    <sheet name="외화_2019" sheetId="42" state="hidden" r:id="rId18"/>
    <sheet name="외화_2018" sheetId="38" state="hidden" r:id="rId19"/>
    <sheet name="외화청구_2017까지" sheetId="25" state="hidden" r:id="rId20"/>
    <sheet name="Price" sheetId="30" state="hidden" r:id="rId21"/>
    <sheet name="2016" sheetId="33" state="hidden" r:id="rId22"/>
    <sheet name="2015" sheetId="32" state="hidden" r:id="rId23"/>
    <sheet name="MEMO" sheetId="34" state="hidden" r:id="rId24"/>
    <sheet name="Stocks" sheetId="35" state="hidden" r:id="rId25"/>
  </sheets>
  <externalReferences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Consumables!$A$2:$J$1272</definedName>
    <definedName name="_xlnm._FilterDatabase" localSheetId="2" hidden="1">GOSS!$A$1:$J$449</definedName>
    <definedName name="_xlnm._FilterDatabase" localSheetId="7" hidden="1">Import!$A$1:$M$395</definedName>
    <definedName name="_xlnm._FilterDatabase" localSheetId="5" hidden="1">Others!$A$1:$H$281</definedName>
    <definedName name="_xlnm._FilterDatabase" localSheetId="20" hidden="1">Price!$A$1:$F$1</definedName>
    <definedName name="_xlnm._FilterDatabase" localSheetId="6" hidden="1">Report!$A$1:$BP$8476</definedName>
    <definedName name="_xlnm._FilterDatabase" localSheetId="1" hidden="1">Technotrans!$A$1:$I$362</definedName>
    <definedName name="_xlnm._FilterDatabase" localSheetId="14" hidden="1">'UV LAMP'!$B$3:$I$3</definedName>
    <definedName name="_xlnm._FilterDatabase" localSheetId="3" hidden="1">서비스!$A$1:$I$218</definedName>
    <definedName name="_xlnm._FilterDatabase" localSheetId="17" hidden="1">외화_2019!$A$26:$K$26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0" i="6" l="1"/>
  <c r="C787" i="6"/>
  <c r="E786" i="6"/>
  <c r="C786" i="6"/>
  <c r="E784" i="6"/>
  <c r="C784" i="6"/>
  <c r="E781" i="6"/>
  <c r="D784" i="6"/>
  <c r="D786" i="6"/>
  <c r="D787" i="6"/>
  <c r="E785" i="6"/>
  <c r="N8292" i="29"/>
  <c r="N8293" i="29"/>
  <c r="N8345" i="29"/>
  <c r="N8294" i="29"/>
  <c r="N8291" i="29"/>
  <c r="N8290" i="29"/>
  <c r="Q8293" i="29"/>
  <c r="Q8292" i="29"/>
  <c r="Q8291" i="29"/>
  <c r="Q8290" i="29"/>
  <c r="Q8288" i="29"/>
  <c r="Q8287" i="29"/>
  <c r="N8289" i="29"/>
  <c r="N8311" i="29"/>
  <c r="N8328" i="29"/>
  <c r="N8326" i="29"/>
  <c r="N8325" i="29"/>
  <c r="N8324" i="29"/>
  <c r="N8323" i="29"/>
  <c r="N8344" i="29"/>
  <c r="R8344" i="29"/>
  <c r="Q8323" i="29"/>
  <c r="T8323" i="29"/>
  <c r="P8323" i="29"/>
  <c r="G8323" i="29"/>
  <c r="F8323" i="29"/>
  <c r="G8290" i="29"/>
  <c r="F8290" i="29"/>
  <c r="G8293" i="29"/>
  <c r="F8293" i="29"/>
  <c r="G8292" i="29"/>
  <c r="F8292" i="29"/>
  <c r="G8291" i="29"/>
  <c r="F8291" i="29"/>
  <c r="F8345" i="29"/>
  <c r="G8345" i="29"/>
  <c r="Q8345" i="29"/>
  <c r="P8345" i="29"/>
  <c r="F8344" i="29"/>
  <c r="G8344" i="29"/>
  <c r="Q8344" i="29"/>
  <c r="P8344" i="29"/>
  <c r="Q8339" i="29"/>
  <c r="T8339" i="29"/>
  <c r="P8339" i="29"/>
  <c r="N8339" i="29"/>
  <c r="G8339" i="29"/>
  <c r="F8339" i="29"/>
  <c r="Q8340" i="29"/>
  <c r="T8340" i="29"/>
  <c r="P8340" i="29"/>
  <c r="N8340" i="29"/>
  <c r="G8340" i="29"/>
  <c r="F8340" i="29"/>
  <c r="Q8343" i="29"/>
  <c r="T8343" i="29"/>
  <c r="P8343" i="29"/>
  <c r="N8343" i="29"/>
  <c r="G8343" i="29"/>
  <c r="F8343" i="29"/>
  <c r="Q8342" i="29"/>
  <c r="S8342" i="29"/>
  <c r="P8342" i="29"/>
  <c r="N8342" i="29"/>
  <c r="G8342" i="29"/>
  <c r="F8342" i="29"/>
  <c r="Q8341" i="29"/>
  <c r="T8341" i="29"/>
  <c r="P8341" i="29"/>
  <c r="N8341" i="29"/>
  <c r="G8341" i="29"/>
  <c r="F8341" i="29"/>
  <c r="Q8338" i="29"/>
  <c r="T8338" i="29"/>
  <c r="P8338" i="29"/>
  <c r="N8338" i="29"/>
  <c r="G8338" i="29"/>
  <c r="F8338" i="29"/>
  <c r="Q8337" i="29"/>
  <c r="T8337" i="29"/>
  <c r="P8337" i="29"/>
  <c r="N8337" i="29"/>
  <c r="G8337" i="29"/>
  <c r="F8337" i="29"/>
  <c r="Q8336" i="29"/>
  <c r="T8336" i="29"/>
  <c r="P8336" i="29"/>
  <c r="N8336" i="29"/>
  <c r="G8336" i="29"/>
  <c r="F8336" i="29"/>
  <c r="Q8335" i="29"/>
  <c r="T8335" i="29"/>
  <c r="P8335" i="29"/>
  <c r="N8335" i="29"/>
  <c r="G8335" i="29"/>
  <c r="F8335" i="29"/>
  <c r="Q8334" i="29"/>
  <c r="T8334" i="29"/>
  <c r="P8334" i="29"/>
  <c r="N8334" i="29"/>
  <c r="G8334" i="29"/>
  <c r="F8334" i="29"/>
  <c r="Q8333" i="29"/>
  <c r="T8333" i="29"/>
  <c r="P8333" i="29"/>
  <c r="N8333" i="29"/>
  <c r="G8333" i="29"/>
  <c r="F8333" i="29"/>
  <c r="Q8332" i="29"/>
  <c r="T8332" i="29"/>
  <c r="P8332" i="29"/>
  <c r="N8332" i="29"/>
  <c r="G8332" i="29"/>
  <c r="F8332" i="29"/>
  <c r="Q8331" i="29"/>
  <c r="S8331" i="29"/>
  <c r="P8331" i="29"/>
  <c r="N8331" i="29"/>
  <c r="G8331" i="29"/>
  <c r="F8331" i="29"/>
  <c r="Q8330" i="29"/>
  <c r="T8330" i="29"/>
  <c r="P8330" i="29"/>
  <c r="N8330" i="29"/>
  <c r="G8330" i="29"/>
  <c r="F8330" i="29"/>
  <c r="Q8329" i="29"/>
  <c r="T8329" i="29"/>
  <c r="P8329" i="29"/>
  <c r="N8329" i="29"/>
  <c r="G8329" i="29"/>
  <c r="F8329" i="29"/>
  <c r="Q8328" i="29"/>
  <c r="T8328" i="29"/>
  <c r="P8328" i="29"/>
  <c r="G8328" i="29"/>
  <c r="F8328" i="29"/>
  <c r="Q8327" i="29"/>
  <c r="P8327" i="29"/>
  <c r="F8326" i="29"/>
  <c r="G8326" i="29"/>
  <c r="F8325" i="29"/>
  <c r="G8325" i="29"/>
  <c r="F8324" i="29"/>
  <c r="G8324" i="29"/>
  <c r="Q8326" i="29"/>
  <c r="Q8325" i="29"/>
  <c r="Q8324" i="29"/>
  <c r="P8326" i="29"/>
  <c r="P8325" i="29"/>
  <c r="P8324" i="29"/>
  <c r="Q8322" i="29"/>
  <c r="T8322" i="29"/>
  <c r="P8322" i="29"/>
  <c r="N8322" i="29"/>
  <c r="G8322" i="29"/>
  <c r="F8322" i="29"/>
  <c r="N8321" i="29"/>
  <c r="F8321" i="29"/>
  <c r="G8321" i="29"/>
  <c r="Q8321" i="29"/>
  <c r="P8321" i="29"/>
  <c r="Q8320" i="29"/>
  <c r="T8320" i="29"/>
  <c r="P8320" i="29"/>
  <c r="N8320" i="29"/>
  <c r="G8320" i="29"/>
  <c r="F8320" i="29"/>
  <c r="Q8319" i="29"/>
  <c r="T8319" i="29"/>
  <c r="P8319" i="29"/>
  <c r="N8319" i="29"/>
  <c r="G8319" i="29"/>
  <c r="F8319" i="29"/>
  <c r="Q8318" i="29"/>
  <c r="T8318" i="29"/>
  <c r="P8318" i="29"/>
  <c r="N8318" i="29"/>
  <c r="G8318" i="29"/>
  <c r="F8318" i="29"/>
  <c r="Q8317" i="29"/>
  <c r="T8317" i="29"/>
  <c r="P8317" i="29"/>
  <c r="N8317" i="29"/>
  <c r="G8317" i="29"/>
  <c r="F8317" i="29"/>
  <c r="Q8316" i="29"/>
  <c r="T8316" i="29"/>
  <c r="P8316" i="29"/>
  <c r="N8316" i="29"/>
  <c r="G8316" i="29"/>
  <c r="F8316" i="29"/>
  <c r="Q8315" i="29"/>
  <c r="S8315" i="29"/>
  <c r="P8315" i="29"/>
  <c r="N8315" i="29"/>
  <c r="G8315" i="29"/>
  <c r="F8315" i="29"/>
  <c r="Q8314" i="29"/>
  <c r="P8314" i="29"/>
  <c r="N8314" i="29"/>
  <c r="G8314" i="29"/>
  <c r="F8314" i="29"/>
  <c r="Q8313" i="29"/>
  <c r="P8313" i="29"/>
  <c r="N8313" i="29"/>
  <c r="G8313" i="29"/>
  <c r="F8313" i="29"/>
  <c r="Q8312" i="29"/>
  <c r="P8312" i="29"/>
  <c r="N8312" i="29"/>
  <c r="G8312" i="29"/>
  <c r="F8312" i="29"/>
  <c r="F8311" i="29"/>
  <c r="G8311" i="29"/>
  <c r="Q8311" i="29"/>
  <c r="P8311" i="29"/>
  <c r="Q8309" i="29"/>
  <c r="T8309" i="29"/>
  <c r="P8309" i="29"/>
  <c r="N8309" i="29"/>
  <c r="G8309" i="29"/>
  <c r="F8309" i="29"/>
  <c r="Q8310" i="29"/>
  <c r="T8310" i="29"/>
  <c r="P8310" i="29"/>
  <c r="N8310" i="29"/>
  <c r="G8310" i="29"/>
  <c r="F8310" i="29"/>
  <c r="Q8308" i="29"/>
  <c r="T8308" i="29"/>
  <c r="P8308" i="29"/>
  <c r="N8308" i="29"/>
  <c r="G8308" i="29"/>
  <c r="F8308" i="29"/>
  <c r="Q8307" i="29"/>
  <c r="T8307" i="29"/>
  <c r="P8307" i="29"/>
  <c r="N8307" i="29"/>
  <c r="G8307" i="29"/>
  <c r="F8307" i="29"/>
  <c r="Q8306" i="29"/>
  <c r="T8306" i="29"/>
  <c r="P8306" i="29"/>
  <c r="N8306" i="29"/>
  <c r="G8306" i="29"/>
  <c r="F8306" i="29"/>
  <c r="Q8305" i="29"/>
  <c r="T8305" i="29"/>
  <c r="P8305" i="29"/>
  <c r="N8305" i="29"/>
  <c r="G8305" i="29"/>
  <c r="F8305" i="29"/>
  <c r="Q8304" i="29"/>
  <c r="S8304" i="29"/>
  <c r="P8304" i="29"/>
  <c r="N8304" i="29"/>
  <c r="G8304" i="29"/>
  <c r="F8304" i="29"/>
  <c r="Q8303" i="29"/>
  <c r="P8303" i="29"/>
  <c r="N8303" i="29"/>
  <c r="G8303" i="29"/>
  <c r="F8303" i="29"/>
  <c r="Q8302" i="29"/>
  <c r="T8302" i="29"/>
  <c r="P8302" i="29"/>
  <c r="N8302" i="29"/>
  <c r="G8302" i="29"/>
  <c r="F8302" i="29"/>
  <c r="C617" i="36"/>
  <c r="C615" i="36"/>
  <c r="C781" i="6"/>
  <c r="C493" i="9"/>
  <c r="C780" i="6"/>
  <c r="C1841" i="4"/>
  <c r="C1835" i="4"/>
  <c r="C1842" i="4"/>
  <c r="C1839" i="4"/>
  <c r="E1839" i="4"/>
  <c r="C1836" i="4"/>
  <c r="C1844" i="4"/>
  <c r="C1837" i="4"/>
  <c r="C1840" i="4"/>
  <c r="C1838" i="4"/>
  <c r="C1834" i="4"/>
  <c r="D617" i="36"/>
  <c r="D615" i="36"/>
  <c r="D781" i="6"/>
  <c r="D1841" i="4"/>
  <c r="C785" i="6"/>
  <c r="C788" i="6"/>
  <c r="D780" i="6"/>
  <c r="D493" i="9"/>
  <c r="J8323" i="29"/>
  <c r="K8323" i="29"/>
  <c r="J8340" i="29"/>
  <c r="K8340" i="29"/>
  <c r="J8339" i="29"/>
  <c r="K8339" i="29"/>
  <c r="J8335" i="29"/>
  <c r="K8335" i="29"/>
  <c r="S8323" i="29"/>
  <c r="D1838" i="4"/>
  <c r="D1840" i="4"/>
  <c r="D1837" i="4"/>
  <c r="D1844" i="4"/>
  <c r="D1836" i="4"/>
  <c r="D1839" i="4"/>
  <c r="F1839" i="4"/>
  <c r="D1842" i="4"/>
  <c r="D1835" i="4"/>
  <c r="G1839" i="4"/>
  <c r="D1834" i="4"/>
  <c r="J8310" i="29"/>
  <c r="K8310" i="29"/>
  <c r="J8322" i="29"/>
  <c r="J8343" i="29"/>
  <c r="K8343" i="29"/>
  <c r="J8338" i="29"/>
  <c r="K8338" i="29"/>
  <c r="S8337" i="29"/>
  <c r="J8316" i="29"/>
  <c r="K8316" i="29"/>
  <c r="J8341" i="29"/>
  <c r="K8341" i="29"/>
  <c r="J8329" i="29"/>
  <c r="K8329" i="29"/>
  <c r="J8306" i="29"/>
  <c r="K8306" i="29"/>
  <c r="J8328" i="29"/>
  <c r="J8336" i="29"/>
  <c r="K8336" i="29"/>
  <c r="J8333" i="29"/>
  <c r="K8333" i="29"/>
  <c r="J8332" i="29"/>
  <c r="K8332" i="29"/>
  <c r="W8309" i="29"/>
  <c r="J8330" i="29"/>
  <c r="S8328" i="29"/>
  <c r="S8335" i="29"/>
  <c r="J8334" i="29"/>
  <c r="K8334" i="29"/>
  <c r="J8337" i="29"/>
  <c r="K8337" i="29"/>
  <c r="S8339" i="29"/>
  <c r="S8336" i="29"/>
  <c r="S8333" i="29"/>
  <c r="S8340" i="29"/>
  <c r="T8342" i="29"/>
  <c r="J8342" i="29"/>
  <c r="K8342" i="29"/>
  <c r="S8341" i="29"/>
  <c r="S8343" i="29"/>
  <c r="S8338" i="29"/>
  <c r="S8334" i="29"/>
  <c r="T8331" i="29"/>
  <c r="J8331" i="29"/>
  <c r="K8331" i="29"/>
  <c r="S8332" i="29"/>
  <c r="S8330" i="29"/>
  <c r="S8329" i="29"/>
  <c r="S8322" i="29"/>
  <c r="J8307" i="29"/>
  <c r="K8307" i="29"/>
  <c r="J8318" i="29"/>
  <c r="K8318" i="29"/>
  <c r="J8302" i="29"/>
  <c r="J8319" i="29"/>
  <c r="K8319" i="29"/>
  <c r="J8320" i="29"/>
  <c r="K8320" i="29"/>
  <c r="J8317" i="29"/>
  <c r="K8317" i="29"/>
  <c r="S8319" i="29"/>
  <c r="S8320" i="29"/>
  <c r="S8318" i="29"/>
  <c r="S8317" i="29"/>
  <c r="T8315" i="29"/>
  <c r="J8315" i="29"/>
  <c r="S8316" i="29"/>
  <c r="J8308" i="29"/>
  <c r="K8308" i="29"/>
  <c r="J8305" i="29"/>
  <c r="J8309" i="29"/>
  <c r="S8309" i="29"/>
  <c r="S8310" i="29"/>
  <c r="S8308" i="29"/>
  <c r="S8307" i="29"/>
  <c r="S8306" i="29"/>
  <c r="S8305" i="29"/>
  <c r="T8304" i="29"/>
  <c r="W8304" i="29"/>
  <c r="S8302" i="29"/>
  <c r="Q8301" i="29"/>
  <c r="T8301" i="29"/>
  <c r="P8301" i="29"/>
  <c r="N8301" i="29"/>
  <c r="G8301" i="29"/>
  <c r="F8301" i="29"/>
  <c r="Q8295" i="29"/>
  <c r="T8295" i="29"/>
  <c r="P8295" i="29"/>
  <c r="N8295" i="29"/>
  <c r="G8295" i="29"/>
  <c r="F8295" i="29"/>
  <c r="Q8300" i="29"/>
  <c r="T8300" i="29"/>
  <c r="P8300" i="29"/>
  <c r="N8300" i="29"/>
  <c r="G8300" i="29"/>
  <c r="F8300" i="29"/>
  <c r="Q8299" i="29"/>
  <c r="T8299" i="29"/>
  <c r="P8299" i="29"/>
  <c r="N8299" i="29"/>
  <c r="G8299" i="29"/>
  <c r="F8299" i="29"/>
  <c r="R8298" i="29"/>
  <c r="Q8298" i="29"/>
  <c r="P8298" i="29"/>
  <c r="N8298" i="29"/>
  <c r="G8298" i="29"/>
  <c r="F8298" i="29"/>
  <c r="Q8297" i="29"/>
  <c r="T8297" i="29"/>
  <c r="P8297" i="29"/>
  <c r="N8297" i="29"/>
  <c r="G8297" i="29"/>
  <c r="F8297" i="29"/>
  <c r="R8296" i="29"/>
  <c r="Q8296" i="29"/>
  <c r="P8296" i="29"/>
  <c r="N8296" i="29"/>
  <c r="G8296" i="29"/>
  <c r="F8296" i="29"/>
  <c r="Q8294" i="29"/>
  <c r="T8294" i="29"/>
  <c r="P8294" i="29"/>
  <c r="G8294" i="29"/>
  <c r="F8294" i="29"/>
  <c r="P8293" i="29"/>
  <c r="P8292" i="29"/>
  <c r="P8291" i="29"/>
  <c r="P8290" i="29"/>
  <c r="F8289" i="29"/>
  <c r="G8289" i="29"/>
  <c r="P8289" i="29"/>
  <c r="F8288" i="29"/>
  <c r="G8288" i="29"/>
  <c r="P8288" i="29"/>
  <c r="N8288" i="29"/>
  <c r="T8287" i="29"/>
  <c r="P8287" i="29"/>
  <c r="N8287" i="29"/>
  <c r="G8287" i="29"/>
  <c r="F8287" i="29"/>
  <c r="Q8286" i="29"/>
  <c r="T8286" i="29"/>
  <c r="P8286" i="29"/>
  <c r="N8286" i="29"/>
  <c r="G8286" i="29"/>
  <c r="F8286" i="29"/>
  <c r="Q8285" i="29"/>
  <c r="T8285" i="29"/>
  <c r="P8285" i="29"/>
  <c r="N8285" i="29"/>
  <c r="G8285" i="29"/>
  <c r="F8285" i="29"/>
  <c r="Q8284" i="29"/>
  <c r="T8284" i="29"/>
  <c r="P8284" i="29"/>
  <c r="N8284" i="29"/>
  <c r="G8284" i="29"/>
  <c r="F8284" i="29"/>
  <c r="Q8283" i="29"/>
  <c r="T8283" i="29"/>
  <c r="P8283" i="29"/>
  <c r="N8283" i="29"/>
  <c r="G8283" i="29"/>
  <c r="F8283" i="29"/>
  <c r="Q8282" i="29"/>
  <c r="T8282" i="29"/>
  <c r="P8282" i="29"/>
  <c r="N8282" i="29"/>
  <c r="G8282" i="29"/>
  <c r="F8282" i="29"/>
  <c r="Q8281" i="29"/>
  <c r="T8281" i="29"/>
  <c r="P8281" i="29"/>
  <c r="N8281" i="29"/>
  <c r="G8281" i="29"/>
  <c r="F8281" i="29"/>
  <c r="Q8280" i="29"/>
  <c r="S8280" i="29"/>
  <c r="P8280" i="29"/>
  <c r="N8280" i="29"/>
  <c r="G8280" i="29"/>
  <c r="F8280" i="29"/>
  <c r="Q8279" i="29"/>
  <c r="T8279" i="29"/>
  <c r="P8279" i="29"/>
  <c r="N8279" i="29"/>
  <c r="G8279" i="29"/>
  <c r="F8279" i="29"/>
  <c r="Q8278" i="29"/>
  <c r="T8278" i="29"/>
  <c r="P8278" i="29"/>
  <c r="N8278" i="29"/>
  <c r="G8278" i="29"/>
  <c r="F8278" i="29"/>
  <c r="Q8277" i="29"/>
  <c r="T8277" i="29"/>
  <c r="P8277" i="29"/>
  <c r="N8277" i="29"/>
  <c r="G8277" i="29"/>
  <c r="F8277" i="29"/>
  <c r="Q8276" i="29"/>
  <c r="T8276" i="29"/>
  <c r="P8276" i="29"/>
  <c r="N8276" i="29"/>
  <c r="G8276" i="29"/>
  <c r="F8276" i="29"/>
  <c r="Q8275" i="29"/>
  <c r="S8275" i="29"/>
  <c r="P8275" i="29"/>
  <c r="N8275" i="29"/>
  <c r="G8275" i="29"/>
  <c r="F8275" i="29"/>
  <c r="Q8274" i="29"/>
  <c r="T8274" i="29"/>
  <c r="P8274" i="29"/>
  <c r="N8274" i="29"/>
  <c r="G8274" i="29"/>
  <c r="F8274" i="29"/>
  <c r="Q8273" i="29"/>
  <c r="T8273" i="29"/>
  <c r="P8273" i="29"/>
  <c r="N8273" i="29"/>
  <c r="G8273" i="29"/>
  <c r="F8273" i="29"/>
  <c r="Q8272" i="29"/>
  <c r="T8272" i="29"/>
  <c r="P8272" i="29"/>
  <c r="N8272" i="29"/>
  <c r="G8272" i="29"/>
  <c r="F8272" i="29"/>
  <c r="Q8271" i="29"/>
  <c r="T8271" i="29"/>
  <c r="P8271" i="29"/>
  <c r="N8271" i="29"/>
  <c r="G8271" i="29"/>
  <c r="F8271" i="29"/>
  <c r="Q8270" i="29"/>
  <c r="T8270" i="29"/>
  <c r="P8270" i="29"/>
  <c r="N8270" i="29"/>
  <c r="G8270" i="29"/>
  <c r="F8270" i="29"/>
  <c r="Q8269" i="29"/>
  <c r="T8269" i="29"/>
  <c r="P8269" i="29"/>
  <c r="N8269" i="29"/>
  <c r="G8269" i="29"/>
  <c r="F8269" i="29"/>
  <c r="W8268" i="29"/>
  <c r="N8268" i="29"/>
  <c r="J1048576" i="29"/>
  <c r="K1048576" i="29"/>
  <c r="Q8258" i="29"/>
  <c r="T8258" i="29"/>
  <c r="R8217" i="29"/>
  <c r="N8217" i="29"/>
  <c r="N8249" i="29"/>
  <c r="N8250" i="29"/>
  <c r="N8251" i="29"/>
  <c r="N8252" i="29"/>
  <c r="N8253" i="29"/>
  <c r="N8254" i="29"/>
  <c r="N8255" i="29"/>
  <c r="N8256" i="29"/>
  <c r="N8257" i="29"/>
  <c r="N8258" i="29"/>
  <c r="N8259" i="29"/>
  <c r="N8260" i="29"/>
  <c r="N8261" i="29"/>
  <c r="N8262" i="29"/>
  <c r="N8263" i="29"/>
  <c r="N8264" i="29"/>
  <c r="N8265" i="29"/>
  <c r="N8266" i="29"/>
  <c r="N8267" i="29"/>
  <c r="F8267" i="29"/>
  <c r="G8267" i="29"/>
  <c r="Q8267" i="29"/>
  <c r="S8267" i="29"/>
  <c r="P8267" i="29"/>
  <c r="F8266" i="29"/>
  <c r="G8266" i="29"/>
  <c r="F8265" i="29"/>
  <c r="G8265" i="29"/>
  <c r="Q8266" i="29"/>
  <c r="T8266" i="29"/>
  <c r="Q8265" i="29"/>
  <c r="T8265" i="29"/>
  <c r="P8266" i="29"/>
  <c r="P8265" i="29"/>
  <c r="F8264" i="29"/>
  <c r="G8264" i="29"/>
  <c r="Q8264" i="29"/>
  <c r="T8264" i="29"/>
  <c r="P8264" i="29"/>
  <c r="F8263" i="29"/>
  <c r="G8263" i="29"/>
  <c r="F8262" i="29"/>
  <c r="G8262" i="29"/>
  <c r="Q8263" i="29"/>
  <c r="T8263" i="29"/>
  <c r="Q8262" i="29"/>
  <c r="T8262" i="29"/>
  <c r="P8263" i="29"/>
  <c r="P8262" i="29"/>
  <c r="F8261" i="29"/>
  <c r="G8261" i="29"/>
  <c r="Q8261" i="29"/>
  <c r="T8261" i="29"/>
  <c r="P8261" i="29"/>
  <c r="R8259" i="29"/>
  <c r="Q8260" i="29"/>
  <c r="T8260" i="29"/>
  <c r="P8260" i="29"/>
  <c r="G8260" i="29"/>
  <c r="F8260" i="29"/>
  <c r="Q8259" i="29"/>
  <c r="P8259" i="29"/>
  <c r="G8259" i="29"/>
  <c r="F8259" i="29"/>
  <c r="F8258" i="29"/>
  <c r="G8258" i="29"/>
  <c r="P8258" i="29"/>
  <c r="Q8257" i="29"/>
  <c r="T8257" i="29"/>
  <c r="P8257" i="29"/>
  <c r="G8257" i="29"/>
  <c r="F8257" i="29"/>
  <c r="Q8256" i="29"/>
  <c r="T8256" i="29"/>
  <c r="P8256" i="29"/>
  <c r="G8256" i="29"/>
  <c r="F8256" i="29"/>
  <c r="Q8255" i="29"/>
  <c r="T8255" i="29"/>
  <c r="P8255" i="29"/>
  <c r="G8255" i="29"/>
  <c r="F8255" i="29"/>
  <c r="Q8254" i="29"/>
  <c r="T8254" i="29"/>
  <c r="P8254" i="29"/>
  <c r="G8254" i="29"/>
  <c r="F8254" i="29"/>
  <c r="Q8253" i="29"/>
  <c r="T8253" i="29"/>
  <c r="P8253" i="29"/>
  <c r="G8253" i="29"/>
  <c r="F8253" i="29"/>
  <c r="F8252" i="29"/>
  <c r="G8252" i="29"/>
  <c r="Q8252" i="29"/>
  <c r="T8252" i="29"/>
  <c r="P8252" i="29"/>
  <c r="F8251" i="29"/>
  <c r="G8251" i="29"/>
  <c r="Q8251" i="29"/>
  <c r="T8251" i="29"/>
  <c r="P8251" i="29"/>
  <c r="F8250" i="29"/>
  <c r="G8250" i="29"/>
  <c r="F8249" i="29"/>
  <c r="G8249" i="29"/>
  <c r="Q8250" i="29"/>
  <c r="T8250" i="29"/>
  <c r="Q8249" i="29"/>
  <c r="S8249" i="29"/>
  <c r="P8250" i="29"/>
  <c r="P8249" i="29"/>
  <c r="Q8248" i="29"/>
  <c r="T8248" i="29"/>
  <c r="P8248" i="29"/>
  <c r="N8248" i="29"/>
  <c r="G8248" i="29"/>
  <c r="F8248" i="29"/>
  <c r="Q8247" i="29"/>
  <c r="T8247" i="29"/>
  <c r="P8247" i="29"/>
  <c r="N8247" i="29"/>
  <c r="G8247" i="29"/>
  <c r="F8247" i="29"/>
  <c r="Q8246" i="29"/>
  <c r="T8246" i="29"/>
  <c r="P8246" i="29"/>
  <c r="N8246" i="29"/>
  <c r="G8246" i="29"/>
  <c r="F8246" i="29"/>
  <c r="Q8245" i="29"/>
  <c r="T8245" i="29"/>
  <c r="P8245" i="29"/>
  <c r="N8245" i="29"/>
  <c r="G8245" i="29"/>
  <c r="F8245" i="29"/>
  <c r="Q8244" i="29"/>
  <c r="P8244" i="29"/>
  <c r="N8244" i="29"/>
  <c r="G8244" i="29"/>
  <c r="F8244" i="29"/>
  <c r="Q8243" i="29"/>
  <c r="T8243" i="29"/>
  <c r="P8243" i="29"/>
  <c r="N8243" i="29"/>
  <c r="G8243" i="29"/>
  <c r="F8243" i="29"/>
  <c r="Q8242" i="29"/>
  <c r="T8242" i="29"/>
  <c r="P8242" i="29"/>
  <c r="N8242" i="29"/>
  <c r="G8242" i="29"/>
  <c r="F8242" i="29"/>
  <c r="Q8241" i="29"/>
  <c r="T8241" i="29"/>
  <c r="P8241" i="29"/>
  <c r="N8241" i="29"/>
  <c r="G8241" i="29"/>
  <c r="F8241" i="29"/>
  <c r="Q8240" i="29"/>
  <c r="T8240" i="29"/>
  <c r="P8240" i="29"/>
  <c r="N8240" i="29"/>
  <c r="G8240" i="29"/>
  <c r="F8240" i="29"/>
  <c r="Q8239" i="29"/>
  <c r="T8239" i="29"/>
  <c r="P8239" i="29"/>
  <c r="N8239" i="29"/>
  <c r="G8239" i="29"/>
  <c r="F8239" i="29"/>
  <c r="Q8238" i="29"/>
  <c r="T8238" i="29"/>
  <c r="P8238" i="29"/>
  <c r="N8238" i="29"/>
  <c r="G8238" i="29"/>
  <c r="F8238" i="29"/>
  <c r="Q8237" i="29"/>
  <c r="T8237" i="29"/>
  <c r="P8237" i="29"/>
  <c r="N8237" i="29"/>
  <c r="G8237" i="29"/>
  <c r="F8237" i="29"/>
  <c r="Q8236" i="29"/>
  <c r="T8236" i="29"/>
  <c r="P8236" i="29"/>
  <c r="N8236" i="29"/>
  <c r="G8236" i="29"/>
  <c r="F8236" i="29"/>
  <c r="Q8235" i="29"/>
  <c r="T8235" i="29"/>
  <c r="P8235" i="29"/>
  <c r="N8235" i="29"/>
  <c r="G8235" i="29"/>
  <c r="F8235" i="29"/>
  <c r="Q8234" i="29"/>
  <c r="T8234" i="29"/>
  <c r="P8234" i="29"/>
  <c r="N8234" i="29"/>
  <c r="G8234" i="29"/>
  <c r="F8234" i="29"/>
  <c r="Q8233" i="29"/>
  <c r="T8233" i="29"/>
  <c r="P8233" i="29"/>
  <c r="N8233" i="29"/>
  <c r="G8233" i="29"/>
  <c r="F8233" i="29"/>
  <c r="Q8232" i="29"/>
  <c r="T8232" i="29"/>
  <c r="P8232" i="29"/>
  <c r="N8232" i="29"/>
  <c r="G8232" i="29"/>
  <c r="F8232" i="29"/>
  <c r="Q8231" i="29"/>
  <c r="T8231" i="29"/>
  <c r="P8231" i="29"/>
  <c r="N8231" i="29"/>
  <c r="G8231" i="29"/>
  <c r="F8231" i="29"/>
  <c r="Q8230" i="29"/>
  <c r="T8230" i="29"/>
  <c r="P8230" i="29"/>
  <c r="N8230" i="29"/>
  <c r="G8230" i="29"/>
  <c r="F8230" i="29"/>
  <c r="Q8229" i="29"/>
  <c r="T8229" i="29"/>
  <c r="P8229" i="29"/>
  <c r="N8229" i="29"/>
  <c r="G8229" i="29"/>
  <c r="F8229" i="29"/>
  <c r="Q8228" i="29"/>
  <c r="T8228" i="29"/>
  <c r="P8228" i="29"/>
  <c r="N8228" i="29"/>
  <c r="G8228" i="29"/>
  <c r="F8228" i="29"/>
  <c r="Q8227" i="29"/>
  <c r="T8227" i="29"/>
  <c r="P8227" i="29"/>
  <c r="N8227" i="29"/>
  <c r="G8227" i="29"/>
  <c r="F8227" i="29"/>
  <c r="Q8226" i="29"/>
  <c r="T8226" i="29"/>
  <c r="P8226" i="29"/>
  <c r="N8226" i="29"/>
  <c r="G8226" i="29"/>
  <c r="F8226" i="29"/>
  <c r="T8225" i="29"/>
  <c r="P8225" i="29"/>
  <c r="N8225" i="29"/>
  <c r="G8225" i="29"/>
  <c r="F8225" i="29"/>
  <c r="Q8224" i="29"/>
  <c r="T8224" i="29"/>
  <c r="P8224" i="29"/>
  <c r="N8224" i="29"/>
  <c r="G8224" i="29"/>
  <c r="F8224" i="29"/>
  <c r="Q8223" i="29"/>
  <c r="T8223" i="29"/>
  <c r="P8223" i="29"/>
  <c r="N8223" i="29"/>
  <c r="G8223" i="29"/>
  <c r="F8223" i="29"/>
  <c r="R8222" i="29"/>
  <c r="Q8222" i="29"/>
  <c r="P8222" i="29"/>
  <c r="N8222" i="29"/>
  <c r="G8222" i="29"/>
  <c r="F8222" i="29"/>
  <c r="R8221" i="29"/>
  <c r="Q8221" i="29"/>
  <c r="P8221" i="29"/>
  <c r="N8221" i="29"/>
  <c r="G8221" i="29"/>
  <c r="F8221" i="29"/>
  <c r="Q8220" i="29"/>
  <c r="T8220" i="29"/>
  <c r="P8220" i="29"/>
  <c r="N8220" i="29"/>
  <c r="G8220" i="29"/>
  <c r="F8220" i="29"/>
  <c r="Q8219" i="29"/>
  <c r="T8219" i="29"/>
  <c r="P8219" i="29"/>
  <c r="N8219" i="29"/>
  <c r="G8219" i="29"/>
  <c r="F8219" i="29"/>
  <c r="Q8218" i="29"/>
  <c r="S8218" i="29"/>
  <c r="P8218" i="29"/>
  <c r="N8218" i="29"/>
  <c r="G8218" i="29"/>
  <c r="F8218" i="29"/>
  <c r="F8217" i="29"/>
  <c r="G8217" i="29"/>
  <c r="F8216" i="29"/>
  <c r="G8216" i="29"/>
  <c r="F8213" i="29"/>
  <c r="G8213" i="29"/>
  <c r="Q8217" i="29"/>
  <c r="T8217" i="29"/>
  <c r="Q8216" i="29"/>
  <c r="S8216" i="29"/>
  <c r="Q8213" i="29"/>
  <c r="T8213" i="29"/>
  <c r="N8216" i="29"/>
  <c r="N8213" i="29"/>
  <c r="P8217" i="29"/>
  <c r="P8216" i="29"/>
  <c r="Q8215" i="29"/>
  <c r="T8215" i="29"/>
  <c r="P8215" i="29"/>
  <c r="N8215" i="29"/>
  <c r="G8215" i="29"/>
  <c r="F8215" i="29"/>
  <c r="Q8214" i="29"/>
  <c r="T8214" i="29"/>
  <c r="P8214" i="29"/>
  <c r="N8214" i="29"/>
  <c r="G8214" i="29"/>
  <c r="F8214" i="29"/>
  <c r="P8213" i="29"/>
  <c r="Q8212" i="29"/>
  <c r="T8212" i="29"/>
  <c r="P8212" i="29"/>
  <c r="N8212" i="29"/>
  <c r="G8212" i="29"/>
  <c r="F8212" i="29"/>
  <c r="Q8211" i="29"/>
  <c r="T8211" i="29"/>
  <c r="P8211" i="29"/>
  <c r="N8211" i="29"/>
  <c r="G8211" i="29"/>
  <c r="F8211" i="29"/>
  <c r="Q8210" i="29"/>
  <c r="P8210" i="29"/>
  <c r="N8210" i="29"/>
  <c r="G8210" i="29"/>
  <c r="F8210" i="29"/>
  <c r="Q8209" i="29"/>
  <c r="P8209" i="29"/>
  <c r="N8209" i="29"/>
  <c r="G8209" i="29"/>
  <c r="F8209" i="29"/>
  <c r="Q8208" i="29"/>
  <c r="T8208" i="29"/>
  <c r="P8208" i="29"/>
  <c r="N8208" i="29"/>
  <c r="G8208" i="29"/>
  <c r="F8208" i="29"/>
  <c r="Q8207" i="29"/>
  <c r="T8207" i="29"/>
  <c r="P8207" i="29"/>
  <c r="N8207" i="29"/>
  <c r="G8207" i="29"/>
  <c r="F8207" i="29"/>
  <c r="Q8206" i="29"/>
  <c r="T8206" i="29"/>
  <c r="P8206" i="29"/>
  <c r="N8206" i="29"/>
  <c r="G8206" i="29"/>
  <c r="F8206" i="29"/>
  <c r="Q8205" i="29"/>
  <c r="T8205" i="29"/>
  <c r="P8205" i="29"/>
  <c r="N8205" i="29"/>
  <c r="G8205" i="29"/>
  <c r="F8205" i="29"/>
  <c r="Q8204" i="29"/>
  <c r="S8204" i="29"/>
  <c r="P8204" i="29"/>
  <c r="N8204" i="29"/>
  <c r="G8204" i="29"/>
  <c r="F8204" i="29"/>
  <c r="Q8203" i="29"/>
  <c r="S8203" i="29"/>
  <c r="P8203" i="29"/>
  <c r="N8203" i="29"/>
  <c r="G8203" i="29"/>
  <c r="F8203" i="29"/>
  <c r="Q8202" i="29"/>
  <c r="T8202" i="29"/>
  <c r="P8202" i="29"/>
  <c r="N8202" i="29"/>
  <c r="G8202" i="29"/>
  <c r="F8202" i="29"/>
  <c r="Q8201" i="29"/>
  <c r="T8201" i="29"/>
  <c r="P8201" i="29"/>
  <c r="N8201" i="29"/>
  <c r="G8201" i="29"/>
  <c r="F8201" i="29"/>
  <c r="Q8200" i="29"/>
  <c r="T8200" i="29"/>
  <c r="P8200" i="29"/>
  <c r="N8200" i="29"/>
  <c r="G8200" i="29"/>
  <c r="F8200" i="29"/>
  <c r="Q8199" i="29"/>
  <c r="T8199" i="29"/>
  <c r="P8199" i="29"/>
  <c r="N8199" i="29"/>
  <c r="G8199" i="29"/>
  <c r="F8199" i="29"/>
  <c r="Q8198" i="29"/>
  <c r="T8198" i="29"/>
  <c r="P8198" i="29"/>
  <c r="N8198" i="29"/>
  <c r="G8198" i="29"/>
  <c r="F8198" i="29"/>
  <c r="Q8197" i="29"/>
  <c r="T8197" i="29"/>
  <c r="P8197" i="29"/>
  <c r="N8197" i="29"/>
  <c r="G8197" i="29"/>
  <c r="F8197" i="29"/>
  <c r="Q8196" i="29"/>
  <c r="T8196" i="29"/>
  <c r="P8196" i="29"/>
  <c r="N8196" i="29"/>
  <c r="G8196" i="29"/>
  <c r="F8196" i="29"/>
  <c r="Q8195" i="29"/>
  <c r="T8195" i="29"/>
  <c r="P8195" i="29"/>
  <c r="N8195" i="29"/>
  <c r="G8195" i="29"/>
  <c r="F8195" i="29"/>
  <c r="Q8194" i="29"/>
  <c r="T8194" i="29"/>
  <c r="P8194" i="29"/>
  <c r="N8194" i="29"/>
  <c r="G8194" i="29"/>
  <c r="F8194" i="29"/>
  <c r="Q8193" i="29"/>
  <c r="T8193" i="29"/>
  <c r="P8193" i="29"/>
  <c r="N8193" i="29"/>
  <c r="G8193" i="29"/>
  <c r="F8193" i="29"/>
  <c r="Q8192" i="29"/>
  <c r="T8192" i="29"/>
  <c r="P8192" i="29"/>
  <c r="N8192" i="29"/>
  <c r="G8192" i="29"/>
  <c r="F8192" i="29"/>
  <c r="Q8191" i="29"/>
  <c r="T8191" i="29"/>
  <c r="P8191" i="29"/>
  <c r="N8191" i="29"/>
  <c r="G8191" i="29"/>
  <c r="F8191" i="29"/>
  <c r="Q8190" i="29"/>
  <c r="T8190" i="29"/>
  <c r="P8190" i="29"/>
  <c r="N8190" i="29"/>
  <c r="G8190" i="29"/>
  <c r="F8190" i="29"/>
  <c r="W8189" i="29"/>
  <c r="N8189" i="29"/>
  <c r="G567" i="31"/>
  <c r="H567" i="31"/>
  <c r="F567" i="31"/>
  <c r="N8182" i="29"/>
  <c r="N8188" i="29"/>
  <c r="N8187" i="29"/>
  <c r="N8186" i="29"/>
  <c r="G8166" i="29"/>
  <c r="F8166" i="29"/>
  <c r="G8169" i="29"/>
  <c r="F8169" i="29"/>
  <c r="G8168" i="29"/>
  <c r="F8168" i="29"/>
  <c r="N8185" i="29"/>
  <c r="F8188" i="29"/>
  <c r="G8188" i="29"/>
  <c r="F8187" i="29"/>
  <c r="G8187" i="29"/>
  <c r="F8186" i="29"/>
  <c r="G8186" i="29"/>
  <c r="F8185" i="29"/>
  <c r="G8185" i="29"/>
  <c r="Q8188" i="29"/>
  <c r="T8188" i="29"/>
  <c r="Q8187" i="29"/>
  <c r="S8187" i="29"/>
  <c r="Q8186" i="29"/>
  <c r="S8186" i="29"/>
  <c r="Q8185" i="29"/>
  <c r="T8185" i="29"/>
  <c r="P8188" i="29"/>
  <c r="P8187" i="29"/>
  <c r="P8186" i="29"/>
  <c r="P8185" i="29"/>
  <c r="Q8184" i="29"/>
  <c r="T8184" i="29"/>
  <c r="P8184" i="29"/>
  <c r="N8184" i="29"/>
  <c r="G8184" i="29"/>
  <c r="F8184" i="29"/>
  <c r="R8183" i="29"/>
  <c r="Q8183" i="29"/>
  <c r="P8183" i="29"/>
  <c r="N8183" i="29"/>
  <c r="G8183" i="29"/>
  <c r="F8183" i="29"/>
  <c r="N8181" i="29"/>
  <c r="F8182" i="29"/>
  <c r="G8182" i="29"/>
  <c r="Q8182" i="29"/>
  <c r="T8182" i="29"/>
  <c r="P8182" i="29"/>
  <c r="F8181" i="29"/>
  <c r="G8181" i="29"/>
  <c r="Q8181" i="29"/>
  <c r="T8181" i="29"/>
  <c r="P8181" i="29"/>
  <c r="N8180" i="29"/>
  <c r="F8180" i="29"/>
  <c r="G8180" i="29"/>
  <c r="Q8180" i="29"/>
  <c r="S8180" i="29"/>
  <c r="P8180" i="29"/>
  <c r="Q8179" i="29"/>
  <c r="S8179" i="29"/>
  <c r="P8179" i="29"/>
  <c r="N8179" i="29"/>
  <c r="G8179" i="29"/>
  <c r="F8179" i="29"/>
  <c r="Q8178" i="29"/>
  <c r="T8178" i="29"/>
  <c r="P8178" i="29"/>
  <c r="N8178" i="29"/>
  <c r="G8178" i="29"/>
  <c r="F8178" i="29"/>
  <c r="Q8177" i="29"/>
  <c r="S8177" i="29"/>
  <c r="P8177" i="29"/>
  <c r="N8177" i="29"/>
  <c r="G8177" i="29"/>
  <c r="F8177" i="29"/>
  <c r="Q8176" i="29"/>
  <c r="T8176" i="29"/>
  <c r="P8176" i="29"/>
  <c r="N8176" i="29"/>
  <c r="G8176" i="29"/>
  <c r="F8176" i="29"/>
  <c r="Q8175" i="29"/>
  <c r="S8175" i="29"/>
  <c r="P8175" i="29"/>
  <c r="N8175" i="29"/>
  <c r="G8175" i="29"/>
  <c r="F8175" i="29"/>
  <c r="Q8174" i="29"/>
  <c r="T8174" i="29"/>
  <c r="P8174" i="29"/>
  <c r="N8174" i="29"/>
  <c r="G8174" i="29"/>
  <c r="F8174" i="29"/>
  <c r="Q8173" i="29"/>
  <c r="T8173" i="29"/>
  <c r="P8173" i="29"/>
  <c r="N8173" i="29"/>
  <c r="G8173" i="29"/>
  <c r="F8173" i="29"/>
  <c r="Q8172" i="29"/>
  <c r="T8172" i="29"/>
  <c r="P8172" i="29"/>
  <c r="N8172" i="29"/>
  <c r="G8172" i="29"/>
  <c r="F8172" i="29"/>
  <c r="Q8171" i="29"/>
  <c r="T8171" i="29"/>
  <c r="P8171" i="29"/>
  <c r="N8171" i="29"/>
  <c r="G8171" i="29"/>
  <c r="F8171" i="29"/>
  <c r="Q8170" i="29"/>
  <c r="T8170" i="29"/>
  <c r="P8170" i="29"/>
  <c r="N8170" i="29"/>
  <c r="G8170" i="29"/>
  <c r="F8170" i="29"/>
  <c r="Q8169" i="29"/>
  <c r="T8169" i="29"/>
  <c r="P8169" i="29"/>
  <c r="Q8167" i="29"/>
  <c r="T8167" i="29"/>
  <c r="P8167" i="29"/>
  <c r="N8167" i="29"/>
  <c r="G8167" i="29"/>
  <c r="F8167" i="29"/>
  <c r="Q8168" i="29"/>
  <c r="P8168" i="29"/>
  <c r="N8168" i="29"/>
  <c r="Q8166" i="29"/>
  <c r="P8166" i="29"/>
  <c r="N8166" i="29"/>
  <c r="Q8165" i="29"/>
  <c r="T8165" i="29"/>
  <c r="P8165" i="29"/>
  <c r="N8165" i="29"/>
  <c r="G8165" i="29"/>
  <c r="F8165" i="29"/>
  <c r="Q8164" i="29"/>
  <c r="T8164" i="29"/>
  <c r="P8164" i="29"/>
  <c r="N8164" i="29"/>
  <c r="G8164" i="29"/>
  <c r="F8164" i="29"/>
  <c r="Q8163" i="29"/>
  <c r="T8163" i="29"/>
  <c r="P8163" i="29"/>
  <c r="N8163" i="29"/>
  <c r="G8163" i="29"/>
  <c r="F8163" i="29"/>
  <c r="Q8162" i="29"/>
  <c r="T8162" i="29"/>
  <c r="P8162" i="29"/>
  <c r="N8162" i="29"/>
  <c r="G8162" i="29"/>
  <c r="F8162" i="29"/>
  <c r="Q8161" i="29"/>
  <c r="T8161" i="29"/>
  <c r="P8161" i="29"/>
  <c r="N8161" i="29"/>
  <c r="G8161" i="29"/>
  <c r="F8161" i="29"/>
  <c r="Q8160" i="29"/>
  <c r="T8160" i="29"/>
  <c r="P8160" i="29"/>
  <c r="N8160" i="29"/>
  <c r="G8160" i="29"/>
  <c r="F8160" i="29"/>
  <c r="Q8159" i="29"/>
  <c r="T8159" i="29"/>
  <c r="P8159" i="29"/>
  <c r="N8159" i="29"/>
  <c r="G8159" i="29"/>
  <c r="F8159" i="29"/>
  <c r="Q8158" i="29"/>
  <c r="T8158" i="29"/>
  <c r="P8158" i="29"/>
  <c r="N8158" i="29"/>
  <c r="G8158" i="29"/>
  <c r="F8158" i="29"/>
  <c r="Q8157" i="29"/>
  <c r="S8157" i="29"/>
  <c r="P8157" i="29"/>
  <c r="N8157" i="29"/>
  <c r="G8157" i="29"/>
  <c r="F8157" i="29"/>
  <c r="N8156" i="29"/>
  <c r="F8156" i="29"/>
  <c r="G8156" i="29"/>
  <c r="Q8156" i="29"/>
  <c r="T8156" i="29"/>
  <c r="P8156" i="29"/>
  <c r="F8155" i="29"/>
  <c r="G8155" i="29"/>
  <c r="Q8155" i="29"/>
  <c r="T8155" i="29"/>
  <c r="P8155" i="29"/>
  <c r="N8155" i="29"/>
  <c r="Q8153" i="29"/>
  <c r="T8153" i="29"/>
  <c r="P8153" i="29"/>
  <c r="N8153" i="29"/>
  <c r="G8153" i="29"/>
  <c r="F8153" i="29"/>
  <c r="Q8154" i="29"/>
  <c r="T8154" i="29"/>
  <c r="P8154" i="29"/>
  <c r="N8154" i="29"/>
  <c r="G8154" i="29"/>
  <c r="F8154" i="29"/>
  <c r="T8476" i="29"/>
  <c r="S8476" i="29"/>
  <c r="T8475" i="29"/>
  <c r="S8475" i="29"/>
  <c r="T8474" i="29"/>
  <c r="S8474" i="29"/>
  <c r="T8473" i="29"/>
  <c r="S8473" i="29"/>
  <c r="T8472" i="29"/>
  <c r="S8472" i="29"/>
  <c r="T8471" i="29"/>
  <c r="S8471" i="29"/>
  <c r="T8470" i="29"/>
  <c r="S8470" i="29"/>
  <c r="T8469" i="29"/>
  <c r="S8469" i="29"/>
  <c r="T8468" i="29"/>
  <c r="S8468" i="29"/>
  <c r="T8467" i="29"/>
  <c r="S8467" i="29"/>
  <c r="T8466" i="29"/>
  <c r="S8466" i="29"/>
  <c r="T8465" i="29"/>
  <c r="S8465" i="29"/>
  <c r="T8464" i="29"/>
  <c r="S8464" i="29"/>
  <c r="T8463" i="29"/>
  <c r="S8463" i="29"/>
  <c r="T8462" i="29"/>
  <c r="S8462" i="29"/>
  <c r="T8461" i="29"/>
  <c r="S8461" i="29"/>
  <c r="T8460" i="29"/>
  <c r="S8460" i="29"/>
  <c r="T8459" i="29"/>
  <c r="S8459" i="29"/>
  <c r="T8458" i="29"/>
  <c r="S8458" i="29"/>
  <c r="T8457" i="29"/>
  <c r="S8457" i="29"/>
  <c r="T8456" i="29"/>
  <c r="S8456" i="29"/>
  <c r="T8455" i="29"/>
  <c r="S8455" i="29"/>
  <c r="T8454" i="29"/>
  <c r="S8454" i="29"/>
  <c r="T8453" i="29"/>
  <c r="S8453" i="29"/>
  <c r="T8452" i="29"/>
  <c r="S8452" i="29"/>
  <c r="T8451" i="29"/>
  <c r="S8451" i="29"/>
  <c r="T8450" i="29"/>
  <c r="S8450" i="29"/>
  <c r="T8449" i="29"/>
  <c r="S8449" i="29"/>
  <c r="T8448" i="29"/>
  <c r="S8448" i="29"/>
  <c r="T8447" i="29"/>
  <c r="S8447" i="29"/>
  <c r="T8446" i="29"/>
  <c r="S8446" i="29"/>
  <c r="T8445" i="29"/>
  <c r="S8445" i="29"/>
  <c r="T8444" i="29"/>
  <c r="S8444" i="29"/>
  <c r="T8443" i="29"/>
  <c r="S8443" i="29"/>
  <c r="T8442" i="29"/>
  <c r="S8442" i="29"/>
  <c r="T8441" i="29"/>
  <c r="S8441" i="29"/>
  <c r="T8440" i="29"/>
  <c r="S8440" i="29"/>
  <c r="T8439" i="29"/>
  <c r="S8439" i="29"/>
  <c r="T8438" i="29"/>
  <c r="S8438" i="29"/>
  <c r="T8437" i="29"/>
  <c r="S8437" i="29"/>
  <c r="T8436" i="29"/>
  <c r="S8436" i="29"/>
  <c r="T8435" i="29"/>
  <c r="S8435" i="29"/>
  <c r="T8434" i="29"/>
  <c r="S8434" i="29"/>
  <c r="T8433" i="29"/>
  <c r="S8433" i="29"/>
  <c r="T8432" i="29"/>
  <c r="S8432" i="29"/>
  <c r="T8431" i="29"/>
  <c r="S8431" i="29"/>
  <c r="T8430" i="29"/>
  <c r="S8430" i="29"/>
  <c r="T8429" i="29"/>
  <c r="S8429" i="29"/>
  <c r="T8428" i="29"/>
  <c r="S8428" i="29"/>
  <c r="T8427" i="29"/>
  <c r="S8427" i="29"/>
  <c r="T8426" i="29"/>
  <c r="S8426" i="29"/>
  <c r="T8425" i="29"/>
  <c r="S8425" i="29"/>
  <c r="T8424" i="29"/>
  <c r="S8424" i="29"/>
  <c r="T8423" i="29"/>
  <c r="S8423" i="29"/>
  <c r="T8422" i="29"/>
  <c r="S8422" i="29"/>
  <c r="T8421" i="29"/>
  <c r="S8421" i="29"/>
  <c r="T8420" i="29"/>
  <c r="S8420" i="29"/>
  <c r="T8419" i="29"/>
  <c r="S8419" i="29"/>
  <c r="T8418" i="29"/>
  <c r="S8418" i="29"/>
  <c r="T8417" i="29"/>
  <c r="S8417" i="29"/>
  <c r="T8416" i="29"/>
  <c r="S8416" i="29"/>
  <c r="T8415" i="29"/>
  <c r="S8415" i="29"/>
  <c r="T8414" i="29"/>
  <c r="S8414" i="29"/>
  <c r="T8413" i="29"/>
  <c r="S8413" i="29"/>
  <c r="T8412" i="29"/>
  <c r="S8412" i="29"/>
  <c r="T8411" i="29"/>
  <c r="S8411" i="29"/>
  <c r="T8410" i="29"/>
  <c r="S8410" i="29"/>
  <c r="T8409" i="29"/>
  <c r="S8409" i="29"/>
  <c r="T8408" i="29"/>
  <c r="S8408" i="29"/>
  <c r="T8407" i="29"/>
  <c r="S8407" i="29"/>
  <c r="T8406" i="29"/>
  <c r="S8406" i="29"/>
  <c r="T8405" i="29"/>
  <c r="S8405" i="29"/>
  <c r="T8404" i="29"/>
  <c r="S8404" i="29"/>
  <c r="T8403" i="29"/>
  <c r="S8403" i="29"/>
  <c r="T8402" i="29"/>
  <c r="S8402" i="29"/>
  <c r="T8401" i="29"/>
  <c r="S8401" i="29"/>
  <c r="T8400" i="29"/>
  <c r="S8400" i="29"/>
  <c r="T8399" i="29"/>
  <c r="S8399" i="29"/>
  <c r="T8398" i="29"/>
  <c r="S8398" i="29"/>
  <c r="T8397" i="29"/>
  <c r="S8397" i="29"/>
  <c r="T8396" i="29"/>
  <c r="S8396" i="29"/>
  <c r="T8395" i="29"/>
  <c r="S8395" i="29"/>
  <c r="T8394" i="29"/>
  <c r="S8394" i="29"/>
  <c r="T8393" i="29"/>
  <c r="S8393" i="29"/>
  <c r="T8392" i="29"/>
  <c r="S8392" i="29"/>
  <c r="T8391" i="29"/>
  <c r="S8391" i="29"/>
  <c r="T8390" i="29"/>
  <c r="S8390" i="29"/>
  <c r="T8389" i="29"/>
  <c r="S8389" i="29"/>
  <c r="T8388" i="29"/>
  <c r="S8388" i="29"/>
  <c r="T8387" i="29"/>
  <c r="S8387" i="29"/>
  <c r="T8386" i="29"/>
  <c r="S8386" i="29"/>
  <c r="T8385" i="29"/>
  <c r="S8385" i="29"/>
  <c r="T8384" i="29"/>
  <c r="S8384" i="29"/>
  <c r="T8383" i="29"/>
  <c r="S8383" i="29"/>
  <c r="T8382" i="29"/>
  <c r="S8382" i="29"/>
  <c r="T8381" i="29"/>
  <c r="S8381" i="29"/>
  <c r="T8380" i="29"/>
  <c r="S8380" i="29"/>
  <c r="T8379" i="29"/>
  <c r="S8379" i="29"/>
  <c r="T8378" i="29"/>
  <c r="S8378" i="29"/>
  <c r="T8377" i="29"/>
  <c r="S8377" i="29"/>
  <c r="T8376" i="29"/>
  <c r="S8376" i="29"/>
  <c r="T8375" i="29"/>
  <c r="S8375" i="29"/>
  <c r="T8374" i="29"/>
  <c r="S8374" i="29"/>
  <c r="T8373" i="29"/>
  <c r="S8373" i="29"/>
  <c r="T8372" i="29"/>
  <c r="S8372" i="29"/>
  <c r="T8371" i="29"/>
  <c r="S8371" i="29"/>
  <c r="T8370" i="29"/>
  <c r="S8370" i="29"/>
  <c r="T8369" i="29"/>
  <c r="S8369" i="29"/>
  <c r="T8368" i="29"/>
  <c r="S8368" i="29"/>
  <c r="T8367" i="29"/>
  <c r="S8367" i="29"/>
  <c r="T8366" i="29"/>
  <c r="S8366" i="29"/>
  <c r="T8365" i="29"/>
  <c r="S8365" i="29"/>
  <c r="T8364" i="29"/>
  <c r="S8364" i="29"/>
  <c r="T8363" i="29"/>
  <c r="S8363" i="29"/>
  <c r="T8362" i="29"/>
  <c r="S8362" i="29"/>
  <c r="T8361" i="29"/>
  <c r="S8361" i="29"/>
  <c r="T8360" i="29"/>
  <c r="S8360" i="29"/>
  <c r="T8359" i="29"/>
  <c r="S8359" i="29"/>
  <c r="T8358" i="29"/>
  <c r="S8358" i="29"/>
  <c r="T8357" i="29"/>
  <c r="S8357" i="29"/>
  <c r="T8356" i="29"/>
  <c r="S8356" i="29"/>
  <c r="T8355" i="29"/>
  <c r="S8355" i="29"/>
  <c r="T8354" i="29"/>
  <c r="S8354" i="29"/>
  <c r="T8353" i="29"/>
  <c r="S8353" i="29"/>
  <c r="T8352" i="29"/>
  <c r="S8352" i="29"/>
  <c r="T8351" i="29"/>
  <c r="S8351" i="29"/>
  <c r="T8350" i="29"/>
  <c r="S8350" i="29"/>
  <c r="T8349" i="29"/>
  <c r="S8349" i="29"/>
  <c r="T8348" i="29"/>
  <c r="S8348" i="29"/>
  <c r="T8347" i="29"/>
  <c r="S8347" i="29"/>
  <c r="T8346" i="29"/>
  <c r="S8346" i="29"/>
  <c r="T8345" i="29"/>
  <c r="J8345" i="29"/>
  <c r="K8345" i="29"/>
  <c r="S8345" i="29"/>
  <c r="T8344" i="29"/>
  <c r="J8344" i="29"/>
  <c r="S8344" i="29"/>
  <c r="T8327" i="29"/>
  <c r="S8327" i="29"/>
  <c r="T8326" i="29"/>
  <c r="S8326" i="29"/>
  <c r="T8325" i="29"/>
  <c r="S8325" i="29"/>
  <c r="T8324" i="29"/>
  <c r="S8324" i="29"/>
  <c r="T8321" i="29"/>
  <c r="J8321" i="29"/>
  <c r="K8321" i="29"/>
  <c r="S8321" i="29"/>
  <c r="T8311" i="29"/>
  <c r="J8311" i="29"/>
  <c r="S8311" i="29"/>
  <c r="T8293" i="29"/>
  <c r="J8293" i="29"/>
  <c r="K8293" i="29"/>
  <c r="S8293" i="29"/>
  <c r="T8292" i="29"/>
  <c r="J8292" i="29"/>
  <c r="S8292" i="29"/>
  <c r="T8291" i="29"/>
  <c r="J8291" i="29"/>
  <c r="S8291" i="29"/>
  <c r="T8290" i="29"/>
  <c r="J8290" i="29"/>
  <c r="S8290" i="29"/>
  <c r="T8289" i="29"/>
  <c r="S8289" i="29"/>
  <c r="T8288" i="29"/>
  <c r="S8288" i="29"/>
  <c r="Q8152" i="29"/>
  <c r="T8152" i="29"/>
  <c r="P8152" i="29"/>
  <c r="N8152" i="29"/>
  <c r="G8152" i="29"/>
  <c r="F8152" i="29"/>
  <c r="Q8148" i="29"/>
  <c r="T8148" i="29"/>
  <c r="P8148" i="29"/>
  <c r="N8148" i="29"/>
  <c r="G8148" i="29"/>
  <c r="F8148" i="29"/>
  <c r="Q8151" i="29"/>
  <c r="T8151" i="29"/>
  <c r="P8151" i="29"/>
  <c r="N8151" i="29"/>
  <c r="G8151" i="29"/>
  <c r="F8151" i="29"/>
  <c r="Q8150" i="29"/>
  <c r="T8150" i="29"/>
  <c r="P8150" i="29"/>
  <c r="N8150" i="29"/>
  <c r="G8150" i="29"/>
  <c r="F8150" i="29"/>
  <c r="Q8149" i="29"/>
  <c r="T8149" i="29"/>
  <c r="P8149" i="29"/>
  <c r="N8149" i="29"/>
  <c r="G8149" i="29"/>
  <c r="F8149" i="29"/>
  <c r="Q8147" i="29"/>
  <c r="T8147" i="29"/>
  <c r="P8147" i="29"/>
  <c r="N8147" i="29"/>
  <c r="G8147" i="29"/>
  <c r="F8147" i="29"/>
  <c r="Q8146" i="29"/>
  <c r="S8146" i="29"/>
  <c r="P8146" i="29"/>
  <c r="N8146" i="29"/>
  <c r="G8146" i="29"/>
  <c r="F8146" i="29"/>
  <c r="Q8145" i="29"/>
  <c r="T8145" i="29"/>
  <c r="P8145" i="29"/>
  <c r="N8145" i="29"/>
  <c r="G8145" i="29"/>
  <c r="F8145" i="29"/>
  <c r="Q8144" i="29"/>
  <c r="T8144" i="29"/>
  <c r="P8144" i="29"/>
  <c r="N8144" i="29"/>
  <c r="G8144" i="29"/>
  <c r="F8144" i="29"/>
  <c r="Q8143" i="29"/>
  <c r="T8143" i="29"/>
  <c r="P8143" i="29"/>
  <c r="N8143" i="29"/>
  <c r="G8143" i="29"/>
  <c r="F8143" i="29"/>
  <c r="Q8142" i="29"/>
  <c r="T8142" i="29"/>
  <c r="P8142" i="29"/>
  <c r="N8142" i="29"/>
  <c r="G8142" i="29"/>
  <c r="F8142" i="29"/>
  <c r="Q8141" i="29"/>
  <c r="T8141" i="29"/>
  <c r="P8141" i="29"/>
  <c r="N8141" i="29"/>
  <c r="G8141" i="29"/>
  <c r="F8141" i="29"/>
  <c r="Q8140" i="29"/>
  <c r="T8140" i="29"/>
  <c r="P8140" i="29"/>
  <c r="N8140" i="29"/>
  <c r="G8140" i="29"/>
  <c r="F8140" i="29"/>
  <c r="Q8139" i="29"/>
  <c r="T8139" i="29"/>
  <c r="P8139" i="29"/>
  <c r="N8139" i="29"/>
  <c r="G8139" i="29"/>
  <c r="F8139" i="29"/>
  <c r="Q8138" i="29"/>
  <c r="T8138" i="29"/>
  <c r="P8138" i="29"/>
  <c r="N8138" i="29"/>
  <c r="G8138" i="29"/>
  <c r="F8138" i="29"/>
  <c r="Q8137" i="29"/>
  <c r="T8137" i="29"/>
  <c r="P8137" i="29"/>
  <c r="N8137" i="29"/>
  <c r="G8137" i="29"/>
  <c r="F8137" i="29"/>
  <c r="Q8136" i="29"/>
  <c r="T8136" i="29"/>
  <c r="P8136" i="29"/>
  <c r="N8136" i="29"/>
  <c r="G8136" i="29"/>
  <c r="F8136" i="29"/>
  <c r="Q8135" i="29"/>
  <c r="T8135" i="29"/>
  <c r="P8135" i="29"/>
  <c r="N8135" i="29"/>
  <c r="G8135" i="29"/>
  <c r="F8135" i="29"/>
  <c r="Q8134" i="29"/>
  <c r="T8134" i="29"/>
  <c r="P8134" i="29"/>
  <c r="N8134" i="29"/>
  <c r="G8134" i="29"/>
  <c r="F8134" i="29"/>
  <c r="Q8133" i="29"/>
  <c r="T8133" i="29"/>
  <c r="P8133" i="29"/>
  <c r="N8133" i="29"/>
  <c r="G8133" i="29"/>
  <c r="F8133" i="29"/>
  <c r="Q8132" i="29"/>
  <c r="S8132" i="29"/>
  <c r="P8132" i="29"/>
  <c r="N8132" i="29"/>
  <c r="G8132" i="29"/>
  <c r="F8132" i="29"/>
  <c r="Q8131" i="29"/>
  <c r="T8131" i="29"/>
  <c r="P8131" i="29"/>
  <c r="N8131" i="29"/>
  <c r="G8131" i="29"/>
  <c r="F8131" i="29"/>
  <c r="Q8130" i="29"/>
  <c r="T8130" i="29"/>
  <c r="P8130" i="29"/>
  <c r="N8130" i="29"/>
  <c r="G8130" i="29"/>
  <c r="F8130" i="29"/>
  <c r="Q8129" i="29"/>
  <c r="T8129" i="29"/>
  <c r="P8129" i="29"/>
  <c r="N8129" i="29"/>
  <c r="G8129" i="29"/>
  <c r="F8129" i="29"/>
  <c r="Q8128" i="29"/>
  <c r="T8128" i="29"/>
  <c r="P8128" i="29"/>
  <c r="N8128" i="29"/>
  <c r="G8128" i="29"/>
  <c r="F8128" i="29"/>
  <c r="Q8127" i="29"/>
  <c r="P8127" i="29"/>
  <c r="N8127" i="29"/>
  <c r="G8127" i="29"/>
  <c r="F8127" i="29"/>
  <c r="Q8126" i="29"/>
  <c r="P8126" i="29"/>
  <c r="N8126" i="29"/>
  <c r="G8126" i="29"/>
  <c r="F8126" i="29"/>
  <c r="Q8125" i="29"/>
  <c r="T8125" i="29"/>
  <c r="P8125" i="29"/>
  <c r="N8125" i="29"/>
  <c r="G8125" i="29"/>
  <c r="F8125" i="29"/>
  <c r="Q8124" i="29"/>
  <c r="T8124" i="29"/>
  <c r="P8124" i="29"/>
  <c r="N8124" i="29"/>
  <c r="G8124" i="29"/>
  <c r="F8124" i="29"/>
  <c r="Q8123" i="29"/>
  <c r="S8123" i="29"/>
  <c r="P8123" i="29"/>
  <c r="N8123" i="29"/>
  <c r="G8123" i="29"/>
  <c r="F8123" i="29"/>
  <c r="Q8122" i="29"/>
  <c r="S8122" i="29"/>
  <c r="P8122" i="29"/>
  <c r="N8122" i="29"/>
  <c r="G8122" i="29"/>
  <c r="F8122" i="29"/>
  <c r="Q8121" i="29"/>
  <c r="T8121" i="29"/>
  <c r="P8121" i="29"/>
  <c r="N8121" i="29"/>
  <c r="G8121" i="29"/>
  <c r="F8121" i="29"/>
  <c r="Q8120" i="29"/>
  <c r="T8120" i="29"/>
  <c r="P8120" i="29"/>
  <c r="N8120" i="29"/>
  <c r="G8120" i="29"/>
  <c r="F8120" i="29"/>
  <c r="Q8119" i="29"/>
  <c r="T8119" i="29"/>
  <c r="P8119" i="29"/>
  <c r="N8119" i="29"/>
  <c r="G8119" i="29"/>
  <c r="F8119" i="29"/>
  <c r="Q8118" i="29"/>
  <c r="T8118" i="29"/>
  <c r="P8118" i="29"/>
  <c r="N8118" i="29"/>
  <c r="G8118" i="29"/>
  <c r="F8118" i="29"/>
  <c r="Q8117" i="29"/>
  <c r="S8117" i="29"/>
  <c r="P8117" i="29"/>
  <c r="N8117" i="29"/>
  <c r="G8117" i="29"/>
  <c r="F8117" i="29"/>
  <c r="Q8116" i="29"/>
  <c r="S8116" i="29"/>
  <c r="P8116" i="29"/>
  <c r="N8116" i="29"/>
  <c r="G8116" i="29"/>
  <c r="F8116" i="29"/>
  <c r="Q8115" i="29"/>
  <c r="S8115" i="29"/>
  <c r="P8115" i="29"/>
  <c r="N8115" i="29"/>
  <c r="G8115" i="29"/>
  <c r="F8115" i="29"/>
  <c r="Q8114" i="29"/>
  <c r="S8114" i="29"/>
  <c r="P8114" i="29"/>
  <c r="N8114" i="29"/>
  <c r="G8114" i="29"/>
  <c r="F8114" i="29"/>
  <c r="Q8113" i="29"/>
  <c r="S8113" i="29"/>
  <c r="P8113" i="29"/>
  <c r="N8113" i="29"/>
  <c r="G8113" i="29"/>
  <c r="F8113" i="29"/>
  <c r="Q8112" i="29"/>
  <c r="T8112" i="29"/>
  <c r="P8112" i="29"/>
  <c r="N8112" i="29"/>
  <c r="G8112" i="29"/>
  <c r="F8112" i="29"/>
  <c r="Q8111" i="29"/>
  <c r="T8111" i="29"/>
  <c r="P8111" i="29"/>
  <c r="N8111" i="29"/>
  <c r="G8111" i="29"/>
  <c r="F8111" i="29"/>
  <c r="Q8110" i="29"/>
  <c r="S8110" i="29"/>
  <c r="P8110" i="29"/>
  <c r="N8110" i="29"/>
  <c r="G8110" i="29"/>
  <c r="F8110" i="29"/>
  <c r="Q8109" i="29"/>
  <c r="S8109" i="29"/>
  <c r="P8109" i="29"/>
  <c r="N8109" i="29"/>
  <c r="G8109" i="29"/>
  <c r="F8109" i="29"/>
  <c r="Q8108" i="29"/>
  <c r="T8108" i="29"/>
  <c r="P8108" i="29"/>
  <c r="N8108" i="29"/>
  <c r="G8108" i="29"/>
  <c r="F8108" i="29"/>
  <c r="Q8107" i="29"/>
  <c r="T8107" i="29"/>
  <c r="P8107" i="29"/>
  <c r="N8107" i="29"/>
  <c r="G8107" i="29"/>
  <c r="F8107" i="29"/>
  <c r="Q8106" i="29"/>
  <c r="T8106" i="29"/>
  <c r="P8106" i="29"/>
  <c r="N8106" i="29"/>
  <c r="G8106" i="29"/>
  <c r="F8106" i="29"/>
  <c r="W8105" i="29"/>
  <c r="N8105" i="29"/>
  <c r="Q8020" i="29"/>
  <c r="S8020" i="29"/>
  <c r="Q8021" i="29"/>
  <c r="T8021" i="29"/>
  <c r="Q8022" i="29"/>
  <c r="S8022" i="29"/>
  <c r="Q8023" i="29"/>
  <c r="Q8024" i="29"/>
  <c r="S8024" i="29"/>
  <c r="Q8025" i="29"/>
  <c r="S8025" i="29"/>
  <c r="Q8026" i="29"/>
  <c r="S8026" i="29"/>
  <c r="Q8027" i="29"/>
  <c r="S8027" i="29"/>
  <c r="Q8028" i="29"/>
  <c r="Q8029" i="29"/>
  <c r="Q8030" i="29"/>
  <c r="S8030" i="29"/>
  <c r="Q8031" i="29"/>
  <c r="S8031" i="29"/>
  <c r="Q8032" i="29"/>
  <c r="Q8033" i="29"/>
  <c r="Q8034" i="29"/>
  <c r="T8034" i="29"/>
  <c r="Q8035" i="29"/>
  <c r="Q8036" i="29"/>
  <c r="Q8037" i="29"/>
  <c r="S8037" i="29"/>
  <c r="Q8038" i="29"/>
  <c r="Q8039" i="29"/>
  <c r="Q8040" i="29"/>
  <c r="S8040" i="29"/>
  <c r="Q8041" i="29"/>
  <c r="S8041" i="29"/>
  <c r="Q8042" i="29"/>
  <c r="Q8043" i="29"/>
  <c r="S8043" i="29"/>
  <c r="Q8044" i="29"/>
  <c r="S8044" i="29"/>
  <c r="Q8045" i="29"/>
  <c r="Q8046" i="29"/>
  <c r="Q8047" i="29"/>
  <c r="T8047" i="29"/>
  <c r="Q8048" i="29"/>
  <c r="Q8049" i="29"/>
  <c r="Q8050" i="29"/>
  <c r="Q8051" i="29"/>
  <c r="S8051" i="29"/>
  <c r="Q8052" i="29"/>
  <c r="S8052" i="29"/>
  <c r="Q8053" i="29"/>
  <c r="Q8054" i="29"/>
  <c r="Q8055" i="29"/>
  <c r="Q8056" i="29"/>
  <c r="Q8057" i="29"/>
  <c r="Q8058" i="29"/>
  <c r="Q8059" i="29"/>
  <c r="S8059" i="29"/>
  <c r="Q8060" i="29"/>
  <c r="S8060" i="29"/>
  <c r="Q8061" i="29"/>
  <c r="Q8062" i="29"/>
  <c r="S8062" i="29"/>
  <c r="Q8063" i="29"/>
  <c r="Q8064" i="29"/>
  <c r="T8064" i="29"/>
  <c r="Q8065" i="29"/>
  <c r="Q8066" i="29"/>
  <c r="Q8067" i="29"/>
  <c r="S8067" i="29"/>
  <c r="Q8068" i="29"/>
  <c r="Q8069" i="29"/>
  <c r="Q8070" i="29"/>
  <c r="Q8071" i="29"/>
  <c r="S8071" i="29"/>
  <c r="Q8072" i="29"/>
  <c r="Q8073" i="29"/>
  <c r="Q8074" i="29"/>
  <c r="Q8075" i="29"/>
  <c r="Q8076" i="29"/>
  <c r="T8076" i="29"/>
  <c r="Q8077" i="29"/>
  <c r="Q8078" i="29"/>
  <c r="Q8079" i="29"/>
  <c r="Q8080" i="29"/>
  <c r="S8080" i="29"/>
  <c r="Q8081" i="29"/>
  <c r="Q8082" i="29"/>
  <c r="Q8083" i="29"/>
  <c r="T8083" i="29"/>
  <c r="Q8084" i="29"/>
  <c r="S8084" i="29"/>
  <c r="Q8085" i="29"/>
  <c r="T8085" i="29"/>
  <c r="Q8086" i="29"/>
  <c r="T8086" i="29"/>
  <c r="Q8087" i="29"/>
  <c r="S8087" i="29"/>
  <c r="Q8088" i="29"/>
  <c r="Q8089" i="29"/>
  <c r="T8089" i="29"/>
  <c r="Q8090" i="29"/>
  <c r="Q8091" i="29"/>
  <c r="Q8092" i="29"/>
  <c r="Q8093" i="29"/>
  <c r="Q8094" i="29"/>
  <c r="Q8095" i="29"/>
  <c r="Q8096" i="29"/>
  <c r="Q8097" i="29"/>
  <c r="T8097" i="29"/>
  <c r="Q8098" i="29"/>
  <c r="T8098" i="29"/>
  <c r="Q8099" i="29"/>
  <c r="Q8100" i="29"/>
  <c r="Q8101" i="29"/>
  <c r="Q8102" i="29"/>
  <c r="Q8103" i="29"/>
  <c r="Q8104" i="29"/>
  <c r="T8104" i="29"/>
  <c r="N8020" i="29"/>
  <c r="N8021" i="29"/>
  <c r="N8022" i="29"/>
  <c r="N8023" i="29"/>
  <c r="N8024" i="29"/>
  <c r="N8025" i="29"/>
  <c r="N8026" i="29"/>
  <c r="N8027" i="29"/>
  <c r="N8028" i="29"/>
  <c r="N8029" i="29"/>
  <c r="N8030" i="29"/>
  <c r="N8031" i="29"/>
  <c r="N8032" i="29"/>
  <c r="N8033" i="29"/>
  <c r="N8034" i="29"/>
  <c r="N8035" i="29"/>
  <c r="N8036" i="29"/>
  <c r="N8037" i="29"/>
  <c r="N8038" i="29"/>
  <c r="N8039" i="29"/>
  <c r="N8040" i="29"/>
  <c r="N8041" i="29"/>
  <c r="N8042" i="29"/>
  <c r="N8043" i="29"/>
  <c r="N8044" i="29"/>
  <c r="N8045" i="29"/>
  <c r="N8046" i="29"/>
  <c r="N8047" i="29"/>
  <c r="N8048" i="29"/>
  <c r="N8049" i="29"/>
  <c r="N8050" i="29"/>
  <c r="N8051" i="29"/>
  <c r="N8052" i="29"/>
  <c r="N8053" i="29"/>
  <c r="N8054" i="29"/>
  <c r="N8055" i="29"/>
  <c r="N8056" i="29"/>
  <c r="N8057" i="29"/>
  <c r="N8058" i="29"/>
  <c r="N8059" i="29"/>
  <c r="N8060" i="29"/>
  <c r="N8061" i="29"/>
  <c r="N8062" i="29"/>
  <c r="N8063" i="29"/>
  <c r="N8064" i="29"/>
  <c r="N8065" i="29"/>
  <c r="N8066" i="29"/>
  <c r="N8067" i="29"/>
  <c r="N8068" i="29"/>
  <c r="N8069" i="29"/>
  <c r="N8070" i="29"/>
  <c r="N8071" i="29"/>
  <c r="N8072" i="29"/>
  <c r="N8073" i="29"/>
  <c r="N8074" i="29"/>
  <c r="N8075" i="29"/>
  <c r="N8076" i="29"/>
  <c r="N8077" i="29"/>
  <c r="N8078" i="29"/>
  <c r="N8079" i="29"/>
  <c r="N8080" i="29"/>
  <c r="N8081" i="29"/>
  <c r="N8082" i="29"/>
  <c r="N8083" i="29"/>
  <c r="N8084" i="29"/>
  <c r="N8085" i="29"/>
  <c r="N8086" i="29"/>
  <c r="N8087" i="29"/>
  <c r="N8088" i="29"/>
  <c r="N8089" i="29"/>
  <c r="N8090" i="29"/>
  <c r="N8091" i="29"/>
  <c r="N8092" i="29"/>
  <c r="N8093" i="29"/>
  <c r="N8094" i="29"/>
  <c r="N8095" i="29"/>
  <c r="N8096" i="29"/>
  <c r="N8097" i="29"/>
  <c r="N8098" i="29"/>
  <c r="N8099" i="29"/>
  <c r="N8100" i="29"/>
  <c r="N8101" i="29"/>
  <c r="N8102" i="29"/>
  <c r="N8103" i="29"/>
  <c r="N8104" i="29"/>
  <c r="N8019" i="29"/>
  <c r="P8020" i="29"/>
  <c r="P8021" i="29"/>
  <c r="P8022" i="29"/>
  <c r="P8023" i="29"/>
  <c r="P8024" i="29"/>
  <c r="P8025" i="29"/>
  <c r="P8026" i="29"/>
  <c r="P8027" i="29"/>
  <c r="P8028" i="29"/>
  <c r="P8029" i="29"/>
  <c r="P8030" i="29"/>
  <c r="P8031" i="29"/>
  <c r="P8032" i="29"/>
  <c r="P8033" i="29"/>
  <c r="P8034" i="29"/>
  <c r="P8035" i="29"/>
  <c r="P8036" i="29"/>
  <c r="P8037" i="29"/>
  <c r="P8038" i="29"/>
  <c r="P8039" i="29"/>
  <c r="P8040" i="29"/>
  <c r="P8041" i="29"/>
  <c r="P8042" i="29"/>
  <c r="P8043" i="29"/>
  <c r="P8044" i="29"/>
  <c r="P8045" i="29"/>
  <c r="P8046" i="29"/>
  <c r="P8047" i="29"/>
  <c r="P8048" i="29"/>
  <c r="P8049" i="29"/>
  <c r="P8050" i="29"/>
  <c r="P8051" i="29"/>
  <c r="P8052" i="29"/>
  <c r="P8053" i="29"/>
  <c r="P8054" i="29"/>
  <c r="P8055" i="29"/>
  <c r="P8056" i="29"/>
  <c r="P8057" i="29"/>
  <c r="P8058" i="29"/>
  <c r="P8059" i="29"/>
  <c r="P8060" i="29"/>
  <c r="P8061" i="29"/>
  <c r="P8062" i="29"/>
  <c r="P8063" i="29"/>
  <c r="P8064" i="29"/>
  <c r="P8065" i="29"/>
  <c r="P8066" i="29"/>
  <c r="P8067" i="29"/>
  <c r="P8068" i="29"/>
  <c r="P8069" i="29"/>
  <c r="P8070" i="29"/>
  <c r="P8071" i="29"/>
  <c r="P8072" i="29"/>
  <c r="P8073" i="29"/>
  <c r="P8074" i="29"/>
  <c r="P8075" i="29"/>
  <c r="P8076" i="29"/>
  <c r="P8077" i="29"/>
  <c r="P8078" i="29"/>
  <c r="P8079" i="29"/>
  <c r="P8080" i="29"/>
  <c r="P8081" i="29"/>
  <c r="P8082" i="29"/>
  <c r="P8083" i="29"/>
  <c r="P8084" i="29"/>
  <c r="P8085" i="29"/>
  <c r="P8086" i="29"/>
  <c r="P8087" i="29"/>
  <c r="P8088" i="29"/>
  <c r="P8089" i="29"/>
  <c r="P8090" i="29"/>
  <c r="P8091" i="29"/>
  <c r="P8092" i="29"/>
  <c r="P8093" i="29"/>
  <c r="P8094" i="29"/>
  <c r="P8095" i="29"/>
  <c r="P8096" i="29"/>
  <c r="P8097" i="29"/>
  <c r="P8098" i="29"/>
  <c r="P8099" i="29"/>
  <c r="P8100" i="29"/>
  <c r="P8101" i="29"/>
  <c r="P8102" i="29"/>
  <c r="P8103" i="29"/>
  <c r="P8104" i="29"/>
  <c r="P8019" i="29"/>
  <c r="G8054" i="29"/>
  <c r="F8054" i="29"/>
  <c r="G8053" i="29"/>
  <c r="F8053" i="29"/>
  <c r="F8104" i="29"/>
  <c r="G8104" i="29"/>
  <c r="F8103" i="29"/>
  <c r="G8103" i="29"/>
  <c r="F8102" i="29"/>
  <c r="G8102" i="29"/>
  <c r="F8101" i="29"/>
  <c r="G8101" i="29"/>
  <c r="F8100" i="29"/>
  <c r="G8100" i="29"/>
  <c r="F8099" i="29"/>
  <c r="G8099" i="29"/>
  <c r="G8098" i="29"/>
  <c r="F8098" i="29"/>
  <c r="G8097" i="29"/>
  <c r="F8097" i="29"/>
  <c r="G8096" i="29"/>
  <c r="F8096" i="29"/>
  <c r="G8095" i="29"/>
  <c r="F8095" i="29"/>
  <c r="F8094" i="29"/>
  <c r="G8094" i="29"/>
  <c r="F8093" i="29"/>
  <c r="G8093" i="29"/>
  <c r="F8092" i="29"/>
  <c r="G8092" i="29"/>
  <c r="F8091" i="29"/>
  <c r="G8091" i="29"/>
  <c r="F8090" i="29"/>
  <c r="G8090" i="29"/>
  <c r="G8089" i="29"/>
  <c r="F8089" i="29"/>
  <c r="R8088" i="29"/>
  <c r="G8088" i="29"/>
  <c r="F8088" i="29"/>
  <c r="F8087" i="29"/>
  <c r="G8087" i="29"/>
  <c r="G8086" i="29"/>
  <c r="F8086" i="29"/>
  <c r="G8085" i="29"/>
  <c r="F8085" i="29"/>
  <c r="G8084" i="29"/>
  <c r="F8084" i="29"/>
  <c r="G8083" i="29"/>
  <c r="F8083" i="29"/>
  <c r="G8080" i="29"/>
  <c r="F8080" i="29"/>
  <c r="G8079" i="29"/>
  <c r="F8079" i="29"/>
  <c r="F8078" i="29"/>
  <c r="G8078" i="29"/>
  <c r="G8074" i="29"/>
  <c r="F8074" i="29"/>
  <c r="G8073" i="29"/>
  <c r="F8073" i="29"/>
  <c r="G8076" i="29"/>
  <c r="F8076" i="29"/>
  <c r="G8072" i="29"/>
  <c r="F8072" i="29"/>
  <c r="G8077" i="29"/>
  <c r="F8077" i="29"/>
  <c r="G8075" i="29"/>
  <c r="F8075" i="29"/>
  <c r="G8071" i="29"/>
  <c r="F8071" i="29"/>
  <c r="G8070" i="29"/>
  <c r="F8070" i="29"/>
  <c r="G8069" i="29"/>
  <c r="F8069" i="29"/>
  <c r="G8068" i="29"/>
  <c r="F8068" i="29"/>
  <c r="G8067" i="29"/>
  <c r="F8067" i="29"/>
  <c r="G8066" i="29"/>
  <c r="F8066" i="29"/>
  <c r="G8065" i="29"/>
  <c r="F8065" i="29"/>
  <c r="G8064" i="29"/>
  <c r="F8064" i="29"/>
  <c r="G8063" i="29"/>
  <c r="F8063" i="29"/>
  <c r="G8062" i="29"/>
  <c r="F8062" i="29"/>
  <c r="G8061" i="29"/>
  <c r="F8061" i="29"/>
  <c r="G8060" i="29"/>
  <c r="F8060" i="29"/>
  <c r="G8059" i="29"/>
  <c r="F8059" i="29"/>
  <c r="G8058" i="29"/>
  <c r="F8058" i="29"/>
  <c r="G8057" i="29"/>
  <c r="F8057" i="29"/>
  <c r="G8056" i="29"/>
  <c r="F8056" i="29"/>
  <c r="G8055" i="29"/>
  <c r="F8055" i="29"/>
  <c r="G8052" i="29"/>
  <c r="F8052" i="29"/>
  <c r="G8051" i="29"/>
  <c r="F8051" i="29"/>
  <c r="R8050" i="29"/>
  <c r="G8050" i="29"/>
  <c r="F8050" i="29"/>
  <c r="G8049" i="29"/>
  <c r="F8049" i="29"/>
  <c r="G8048" i="29"/>
  <c r="F8048" i="29"/>
  <c r="G8047" i="29"/>
  <c r="F8047" i="29"/>
  <c r="G8046" i="29"/>
  <c r="F8046" i="29"/>
  <c r="R8045" i="29"/>
  <c r="G8045" i="29"/>
  <c r="F8045" i="29"/>
  <c r="G8044" i="29"/>
  <c r="F8044" i="29"/>
  <c r="G8043" i="29"/>
  <c r="F8043" i="29"/>
  <c r="G8042" i="29"/>
  <c r="F8042" i="29"/>
  <c r="F8040" i="29"/>
  <c r="G8040" i="29"/>
  <c r="F8038" i="29"/>
  <c r="G8038" i="29"/>
  <c r="G8041" i="29"/>
  <c r="F8041" i="29"/>
  <c r="G8039" i="29"/>
  <c r="F8039" i="29"/>
  <c r="G8037" i="29"/>
  <c r="F8037" i="29"/>
  <c r="G8036" i="29"/>
  <c r="F8036" i="29"/>
  <c r="G8035" i="29"/>
  <c r="F8035" i="29"/>
  <c r="G8034" i="29"/>
  <c r="F8034" i="29"/>
  <c r="G8033" i="29"/>
  <c r="F8033" i="29"/>
  <c r="G8032" i="29"/>
  <c r="F8032" i="29"/>
  <c r="G8031" i="29"/>
  <c r="F8031" i="29"/>
  <c r="G8030" i="29"/>
  <c r="F8030" i="29"/>
  <c r="G8029" i="29"/>
  <c r="F8029" i="29"/>
  <c r="G8028" i="29"/>
  <c r="F8028" i="29"/>
  <c r="G8027" i="29"/>
  <c r="F8027" i="29"/>
  <c r="G8026" i="29"/>
  <c r="F8026" i="29"/>
  <c r="G8025" i="29"/>
  <c r="F8025" i="29"/>
  <c r="G8024" i="29"/>
  <c r="F8024" i="29"/>
  <c r="G8023" i="29"/>
  <c r="F8023" i="29"/>
  <c r="G8022" i="29"/>
  <c r="F8022" i="29"/>
  <c r="G8021" i="29"/>
  <c r="F8021" i="29"/>
  <c r="G8020" i="29"/>
  <c r="F8020" i="29"/>
  <c r="Q8019" i="29"/>
  <c r="S8019" i="29"/>
  <c r="G8019" i="29"/>
  <c r="F8019" i="29"/>
  <c r="W8018" i="29"/>
  <c r="N8018" i="29"/>
  <c r="N8017" i="29"/>
  <c r="N8016" i="29"/>
  <c r="Q8007" i="29"/>
  <c r="P8007" i="29"/>
  <c r="N8015" i="29"/>
  <c r="F8017" i="29"/>
  <c r="G8017" i="29"/>
  <c r="Q8017" i="29"/>
  <c r="T8017" i="29"/>
  <c r="P8017" i="29"/>
  <c r="G8007" i="29"/>
  <c r="F8007" i="29"/>
  <c r="F8016" i="29"/>
  <c r="G8016" i="29"/>
  <c r="Q8016" i="29"/>
  <c r="P8016" i="29"/>
  <c r="F8015" i="29"/>
  <c r="G8015" i="29"/>
  <c r="Q8015" i="29"/>
  <c r="P8015" i="29"/>
  <c r="Q8014" i="29"/>
  <c r="T8014" i="29"/>
  <c r="P8014" i="29"/>
  <c r="N8014" i="29"/>
  <c r="G8014" i="29"/>
  <c r="F8014" i="29"/>
  <c r="Q8013" i="29"/>
  <c r="T8013" i="29"/>
  <c r="P8013" i="29"/>
  <c r="N8013" i="29"/>
  <c r="G8013" i="29"/>
  <c r="F8013" i="29"/>
  <c r="Q8012" i="29"/>
  <c r="P8012" i="29"/>
  <c r="N8012" i="29"/>
  <c r="G8012" i="29"/>
  <c r="F8012" i="29"/>
  <c r="Q8011" i="29"/>
  <c r="P8011" i="29"/>
  <c r="N8011" i="29"/>
  <c r="G8011" i="29"/>
  <c r="F8011" i="29"/>
  <c r="Q8010" i="29"/>
  <c r="S8010" i="29"/>
  <c r="P8010" i="29"/>
  <c r="N8010" i="29"/>
  <c r="G8010" i="29"/>
  <c r="F8010" i="29"/>
  <c r="Q8009" i="29"/>
  <c r="P8009" i="29"/>
  <c r="N8009" i="29"/>
  <c r="G8009" i="29"/>
  <c r="F8009" i="29"/>
  <c r="Q8008" i="29"/>
  <c r="P8008" i="29"/>
  <c r="N8008" i="29"/>
  <c r="G8008" i="29"/>
  <c r="F8008" i="29"/>
  <c r="Q8006" i="29"/>
  <c r="P8006" i="29"/>
  <c r="N8006" i="29"/>
  <c r="G8006" i="29"/>
  <c r="F8006" i="29"/>
  <c r="Q8005" i="29"/>
  <c r="P8005" i="29"/>
  <c r="N8005" i="29"/>
  <c r="G8005" i="29"/>
  <c r="F8005" i="29"/>
  <c r="Q8004" i="29"/>
  <c r="P8004" i="29"/>
  <c r="N8004" i="29"/>
  <c r="G8004" i="29"/>
  <c r="F8004" i="29"/>
  <c r="Q8003" i="29"/>
  <c r="P8003" i="29"/>
  <c r="N8003" i="29"/>
  <c r="G8003" i="29"/>
  <c r="F8003" i="29"/>
  <c r="Q8002" i="29"/>
  <c r="P8002" i="29"/>
  <c r="N8002" i="29"/>
  <c r="G8002" i="29"/>
  <c r="F8002" i="29"/>
  <c r="Q8001" i="29"/>
  <c r="P8001" i="29"/>
  <c r="N8001" i="29"/>
  <c r="G8001" i="29"/>
  <c r="F8001" i="29"/>
  <c r="Q7998" i="29"/>
  <c r="P7998" i="29"/>
  <c r="N7998" i="29"/>
  <c r="G7998" i="29"/>
  <c r="F7998" i="29"/>
  <c r="N7997" i="29"/>
  <c r="N7996" i="29"/>
  <c r="N7990" i="29"/>
  <c r="F7997" i="29"/>
  <c r="G7997" i="29"/>
  <c r="F7996" i="29"/>
  <c r="G7996" i="29"/>
  <c r="F7990" i="29"/>
  <c r="G7990" i="29"/>
  <c r="Q7997" i="29"/>
  <c r="Q7996" i="29"/>
  <c r="P7997" i="29"/>
  <c r="P7996" i="29"/>
  <c r="Q7995" i="29"/>
  <c r="P7995" i="29"/>
  <c r="N7995" i="29"/>
  <c r="G7995" i="29"/>
  <c r="F7995" i="29"/>
  <c r="Q7994" i="29"/>
  <c r="P7994" i="29"/>
  <c r="N7994" i="29"/>
  <c r="G7994" i="29"/>
  <c r="F7994" i="29"/>
  <c r="Q7993" i="29"/>
  <c r="P7993" i="29"/>
  <c r="N7993" i="29"/>
  <c r="G7993" i="29"/>
  <c r="F7993" i="29"/>
  <c r="Q7992" i="29"/>
  <c r="P7992" i="29"/>
  <c r="N7992" i="29"/>
  <c r="G7992" i="29"/>
  <c r="F7992" i="29"/>
  <c r="Q7991" i="29"/>
  <c r="P7991" i="29"/>
  <c r="N7991" i="29"/>
  <c r="G7991" i="29"/>
  <c r="F7991" i="29"/>
  <c r="Q7990" i="29"/>
  <c r="P7990" i="29"/>
  <c r="Q7989" i="29"/>
  <c r="P7989" i="29"/>
  <c r="N7989" i="29"/>
  <c r="G7989" i="29"/>
  <c r="F7989" i="29"/>
  <c r="Q7988" i="29"/>
  <c r="P7988" i="29"/>
  <c r="N7988" i="29"/>
  <c r="G7988" i="29"/>
  <c r="F7988" i="29"/>
  <c r="Q7987" i="29"/>
  <c r="P7987" i="29"/>
  <c r="N7987" i="29"/>
  <c r="G7987" i="29"/>
  <c r="F7987" i="29"/>
  <c r="Q7986" i="29"/>
  <c r="P7986" i="29"/>
  <c r="N7986" i="29"/>
  <c r="G7986" i="29"/>
  <c r="F7986" i="29"/>
  <c r="Q7985" i="29"/>
  <c r="P7985" i="29"/>
  <c r="N7985" i="29"/>
  <c r="G7985" i="29"/>
  <c r="F7985" i="29"/>
  <c r="Q7984" i="29"/>
  <c r="T7984" i="29"/>
  <c r="P7984" i="29"/>
  <c r="N7984" i="29"/>
  <c r="G7984" i="29"/>
  <c r="F7984" i="29"/>
  <c r="Q7983" i="29"/>
  <c r="T7983" i="29"/>
  <c r="P7983" i="29"/>
  <c r="N7983" i="29"/>
  <c r="G7983" i="29"/>
  <c r="F7983" i="29"/>
  <c r="Q7982" i="29"/>
  <c r="P7982" i="29"/>
  <c r="N7982" i="29"/>
  <c r="G7982" i="29"/>
  <c r="F7982" i="29"/>
  <c r="Q7981" i="29"/>
  <c r="P7981" i="29"/>
  <c r="N7981" i="29"/>
  <c r="G7981" i="29"/>
  <c r="F7981" i="29"/>
  <c r="Q7980" i="29"/>
  <c r="T7980" i="29"/>
  <c r="P7980" i="29"/>
  <c r="N7980" i="29"/>
  <c r="G7980" i="29"/>
  <c r="F7980" i="29"/>
  <c r="Q7979" i="29"/>
  <c r="P7979" i="29"/>
  <c r="N7979" i="29"/>
  <c r="G7979" i="29"/>
  <c r="F7979" i="29"/>
  <c r="Q7978" i="29"/>
  <c r="P7978" i="29"/>
  <c r="N7978" i="29"/>
  <c r="G7978" i="29"/>
  <c r="F7978" i="29"/>
  <c r="N7972" i="29"/>
  <c r="F7972" i="29"/>
  <c r="G7972" i="29"/>
  <c r="Q7972" i="29"/>
  <c r="P7972" i="29"/>
  <c r="Q7971" i="29"/>
  <c r="P7971" i="29"/>
  <c r="N7971" i="29"/>
  <c r="G7971" i="29"/>
  <c r="F7971" i="29"/>
  <c r="R7977" i="29"/>
  <c r="Q7977" i="29"/>
  <c r="P7977" i="29"/>
  <c r="N7977" i="29"/>
  <c r="G7977" i="29"/>
  <c r="F7977" i="29"/>
  <c r="Q7976" i="29"/>
  <c r="P7976" i="29"/>
  <c r="N7976" i="29"/>
  <c r="G7976" i="29"/>
  <c r="F7976" i="29"/>
  <c r="Q7975" i="29"/>
  <c r="P7975" i="29"/>
  <c r="N7975" i="29"/>
  <c r="G7975" i="29"/>
  <c r="F7975" i="29"/>
  <c r="Q7974" i="29"/>
  <c r="P7974" i="29"/>
  <c r="N7974" i="29"/>
  <c r="G7974" i="29"/>
  <c r="F7974" i="29"/>
  <c r="Q7973" i="29"/>
  <c r="P7973" i="29"/>
  <c r="N7973" i="29"/>
  <c r="G7973" i="29"/>
  <c r="F7973" i="29"/>
  <c r="Q7970" i="29"/>
  <c r="G7970" i="29"/>
  <c r="F7970" i="29"/>
  <c r="Q7969" i="29"/>
  <c r="G7969" i="29"/>
  <c r="F7969" i="29"/>
  <c r="Q7968" i="29"/>
  <c r="S7968" i="29"/>
  <c r="P7968" i="29"/>
  <c r="N7968" i="29"/>
  <c r="G7968" i="29"/>
  <c r="F7968" i="29"/>
  <c r="Q7967" i="29"/>
  <c r="P7967" i="29"/>
  <c r="N7967" i="29"/>
  <c r="G7967" i="29"/>
  <c r="F7967" i="29"/>
  <c r="Q7966" i="29"/>
  <c r="P7966" i="29"/>
  <c r="N7966" i="29"/>
  <c r="G7966" i="29"/>
  <c r="F7966" i="29"/>
  <c r="Q7965" i="29"/>
  <c r="S7965" i="29"/>
  <c r="P7965" i="29"/>
  <c r="N7965" i="29"/>
  <c r="G7965" i="29"/>
  <c r="F7965" i="29"/>
  <c r="Q7964" i="29"/>
  <c r="P7964" i="29"/>
  <c r="N7964" i="29"/>
  <c r="G7964" i="29"/>
  <c r="F7964" i="29"/>
  <c r="Q7963" i="29"/>
  <c r="P7963" i="29"/>
  <c r="N7963" i="29"/>
  <c r="G7963" i="29"/>
  <c r="F7963" i="29"/>
  <c r="Q7962" i="29"/>
  <c r="S7962" i="29"/>
  <c r="G7962" i="29"/>
  <c r="F7962" i="29"/>
  <c r="Q7961" i="29"/>
  <c r="S7961" i="29"/>
  <c r="G7961" i="29"/>
  <c r="F7961" i="29"/>
  <c r="Q7960" i="29"/>
  <c r="T7960" i="29"/>
  <c r="G7960" i="29"/>
  <c r="F7960" i="29"/>
  <c r="Q7959" i="29"/>
  <c r="G7959" i="29"/>
  <c r="F7959" i="29"/>
  <c r="Q7958" i="29"/>
  <c r="G7958" i="29"/>
  <c r="F7958" i="29"/>
  <c r="Q7957" i="29"/>
  <c r="G7957" i="29"/>
  <c r="F7957" i="29"/>
  <c r="Q7956" i="29"/>
  <c r="G7956" i="29"/>
  <c r="F7956" i="29"/>
  <c r="Q7955" i="29"/>
  <c r="G7955" i="29"/>
  <c r="F7955" i="29"/>
  <c r="Q7954" i="29"/>
  <c r="G7954" i="29"/>
  <c r="F7954" i="29"/>
  <c r="Q7953" i="29"/>
  <c r="G7953" i="29"/>
  <c r="F7953" i="29"/>
  <c r="Q7952" i="29"/>
  <c r="G7952" i="29"/>
  <c r="F7952" i="29"/>
  <c r="W7951" i="29"/>
  <c r="N7951" i="29"/>
  <c r="R7945" i="29"/>
  <c r="R7943" i="29"/>
  <c r="P7935" i="29"/>
  <c r="P7936" i="29"/>
  <c r="P7937" i="29"/>
  <c r="P7938" i="29"/>
  <c r="P7939" i="29"/>
  <c r="P7940" i="29"/>
  <c r="P7941" i="29"/>
  <c r="P7942" i="29"/>
  <c r="P7943" i="29"/>
  <c r="P7944" i="29"/>
  <c r="P7945" i="29"/>
  <c r="P7946" i="29"/>
  <c r="P7947" i="29"/>
  <c r="P7948" i="29"/>
  <c r="P7949" i="29"/>
  <c r="P7950" i="29"/>
  <c r="N7938" i="29"/>
  <c r="N7939" i="29"/>
  <c r="N7940" i="29"/>
  <c r="N7941" i="29"/>
  <c r="N7942" i="29"/>
  <c r="N7943" i="29"/>
  <c r="N7944" i="29"/>
  <c r="N7945" i="29"/>
  <c r="N7946" i="29"/>
  <c r="N7947" i="29"/>
  <c r="N7948" i="29"/>
  <c r="N7949" i="29"/>
  <c r="N7950" i="29"/>
  <c r="Q7872" i="29"/>
  <c r="Q7873" i="29"/>
  <c r="Q7874" i="29"/>
  <c r="Q7875" i="29"/>
  <c r="T7875" i="29"/>
  <c r="Q7876" i="29"/>
  <c r="S7876" i="29"/>
  <c r="Q7877" i="29"/>
  <c r="Q7878" i="29"/>
  <c r="T7878" i="29"/>
  <c r="Q7879" i="29"/>
  <c r="Q7880" i="29"/>
  <c r="Q7881" i="29"/>
  <c r="Q7882" i="29"/>
  <c r="T7882" i="29"/>
  <c r="Q7883" i="29"/>
  <c r="Q7884" i="29"/>
  <c r="Q7885" i="29"/>
  <c r="Q7886" i="29"/>
  <c r="Q7887" i="29"/>
  <c r="Q7888" i="29"/>
  <c r="Q7889" i="29"/>
  <c r="Q7890" i="29"/>
  <c r="T7890" i="29"/>
  <c r="Q7891" i="29"/>
  <c r="Q7892" i="29"/>
  <c r="T7892" i="29"/>
  <c r="Q7893" i="29"/>
  <c r="Q7894" i="29"/>
  <c r="Q7895" i="29"/>
  <c r="Q7896" i="29"/>
  <c r="Q7897" i="29"/>
  <c r="Q7898" i="29"/>
  <c r="Q7899" i="29"/>
  <c r="Q7900" i="29"/>
  <c r="T7900" i="29"/>
  <c r="Q7901" i="29"/>
  <c r="Q7902" i="29"/>
  <c r="T7902" i="29"/>
  <c r="Q7903" i="29"/>
  <c r="S7903" i="29"/>
  <c r="Q7904" i="29"/>
  <c r="Q7905" i="29"/>
  <c r="Q7906" i="29"/>
  <c r="S7906" i="29"/>
  <c r="Q7907" i="29"/>
  <c r="Q7908" i="29"/>
  <c r="Q7909" i="29"/>
  <c r="Q7910" i="29"/>
  <c r="S7910" i="29"/>
  <c r="Q7911" i="29"/>
  <c r="Q7912" i="29"/>
  <c r="Q7913" i="29"/>
  <c r="Q7914" i="29"/>
  <c r="Q7915" i="29"/>
  <c r="Q7916" i="29"/>
  <c r="Q7917" i="29"/>
  <c r="Q7918" i="29"/>
  <c r="Q7919" i="29"/>
  <c r="Q7920" i="29"/>
  <c r="Q7921" i="29"/>
  <c r="Q7922" i="29"/>
  <c r="Q7923" i="29"/>
  <c r="Q7924" i="29"/>
  <c r="T7924" i="29"/>
  <c r="Q7925" i="29"/>
  <c r="Q7926" i="29"/>
  <c r="Q7927" i="29"/>
  <c r="Q7928" i="29"/>
  <c r="Q7929" i="29"/>
  <c r="Q7930" i="29"/>
  <c r="T7930" i="29"/>
  <c r="Q7931" i="29"/>
  <c r="Q7932" i="29"/>
  <c r="S7932" i="29"/>
  <c r="Q7933" i="29"/>
  <c r="Q7934" i="29"/>
  <c r="Q7935" i="29"/>
  <c r="Q7936" i="29"/>
  <c r="Q7937" i="29"/>
  <c r="T7938" i="29"/>
  <c r="Q7939" i="29"/>
  <c r="Q7940" i="29"/>
  <c r="Q7941" i="29"/>
  <c r="Q7942" i="29"/>
  <c r="Q7943" i="29"/>
  <c r="Q7944" i="29"/>
  <c r="T7944" i="29"/>
  <c r="Q7945" i="29"/>
  <c r="Q7946" i="29"/>
  <c r="Q7947" i="29"/>
  <c r="Q7948" i="29"/>
  <c r="T7948" i="29"/>
  <c r="Q7949" i="29"/>
  <c r="Q7950" i="29"/>
  <c r="G7950" i="29"/>
  <c r="F7950" i="29"/>
  <c r="G7949" i="29"/>
  <c r="F7949" i="29"/>
  <c r="G7948" i="29"/>
  <c r="F7948" i="29"/>
  <c r="G7947" i="29"/>
  <c r="F7947" i="29"/>
  <c r="G7946" i="29"/>
  <c r="F7946" i="29"/>
  <c r="F7945" i="29"/>
  <c r="G7945" i="29"/>
  <c r="F7944" i="29"/>
  <c r="G7944" i="29"/>
  <c r="F7943" i="29"/>
  <c r="G7943" i="29"/>
  <c r="E7948" i="29"/>
  <c r="F7942" i="29"/>
  <c r="G7942" i="29"/>
  <c r="F7941" i="29"/>
  <c r="G7941" i="29"/>
  <c r="F7940" i="29"/>
  <c r="G7940" i="29"/>
  <c r="N7937" i="29"/>
  <c r="G7939" i="29"/>
  <c r="F7939" i="29"/>
  <c r="G7938" i="29"/>
  <c r="F7938" i="29"/>
  <c r="G7937" i="29"/>
  <c r="F7937" i="29"/>
  <c r="F7936" i="29"/>
  <c r="G7936" i="29"/>
  <c r="N7936" i="29"/>
  <c r="N7935" i="29"/>
  <c r="N7934" i="29"/>
  <c r="F7935" i="29"/>
  <c r="G7935" i="29"/>
  <c r="F7934" i="29"/>
  <c r="G7934" i="29"/>
  <c r="P7934" i="29"/>
  <c r="P7933" i="29"/>
  <c r="N7933" i="29"/>
  <c r="G7933" i="29"/>
  <c r="F7933" i="29"/>
  <c r="P7932" i="29"/>
  <c r="N7932" i="29"/>
  <c r="G7932" i="29"/>
  <c r="F7932" i="29"/>
  <c r="P7931" i="29"/>
  <c r="N7931" i="29"/>
  <c r="G7931" i="29"/>
  <c r="F7931" i="29"/>
  <c r="P7930" i="29"/>
  <c r="N7930" i="29"/>
  <c r="G7930" i="29"/>
  <c r="F7930" i="29"/>
  <c r="P7929" i="29"/>
  <c r="N7929" i="29"/>
  <c r="G7929" i="29"/>
  <c r="F7929" i="29"/>
  <c r="P7928" i="29"/>
  <c r="N7928" i="29"/>
  <c r="G7928" i="29"/>
  <c r="F7928" i="29"/>
  <c r="N7927" i="29"/>
  <c r="G7927" i="29"/>
  <c r="F7927" i="29"/>
  <c r="P7926" i="29"/>
  <c r="N7926" i="29"/>
  <c r="G7926" i="29"/>
  <c r="F7926" i="29"/>
  <c r="P7925" i="29"/>
  <c r="N7925" i="29"/>
  <c r="G7925" i="29"/>
  <c r="F7925" i="29"/>
  <c r="P7919" i="29"/>
  <c r="N7919" i="29"/>
  <c r="G7919" i="29"/>
  <c r="F7919" i="29"/>
  <c r="P7924" i="29"/>
  <c r="N7924" i="29"/>
  <c r="G7924" i="29"/>
  <c r="F7924" i="29"/>
  <c r="P7918" i="29"/>
  <c r="N7918" i="29"/>
  <c r="G7918" i="29"/>
  <c r="F7918" i="29"/>
  <c r="P7920" i="29"/>
  <c r="N7920" i="29"/>
  <c r="G7920" i="29"/>
  <c r="F7920" i="29"/>
  <c r="P7915" i="29"/>
  <c r="N7915" i="29"/>
  <c r="G7915" i="29"/>
  <c r="F7915" i="29"/>
  <c r="P7921" i="29"/>
  <c r="N7921" i="29"/>
  <c r="G7921" i="29"/>
  <c r="F7921" i="29"/>
  <c r="P7916" i="29"/>
  <c r="N7916" i="29"/>
  <c r="G7916" i="29"/>
  <c r="F7916" i="29"/>
  <c r="P7923" i="29"/>
  <c r="N7923" i="29"/>
  <c r="G7923" i="29"/>
  <c r="F7923" i="29"/>
  <c r="P7922" i="29"/>
  <c r="N7922" i="29"/>
  <c r="G7922" i="29"/>
  <c r="F7922" i="29"/>
  <c r="P7917" i="29"/>
  <c r="N7917" i="29"/>
  <c r="G7917" i="29"/>
  <c r="F7917" i="29"/>
  <c r="P7914" i="29"/>
  <c r="N7914" i="29"/>
  <c r="G7914" i="29"/>
  <c r="F7914" i="29"/>
  <c r="P7913" i="29"/>
  <c r="N7913" i="29"/>
  <c r="G7913" i="29"/>
  <c r="F7913" i="29"/>
  <c r="P7912" i="29"/>
  <c r="N7912" i="29"/>
  <c r="G7912" i="29"/>
  <c r="F7912" i="29"/>
  <c r="P7911" i="29"/>
  <c r="N7911" i="29"/>
  <c r="G7911" i="29"/>
  <c r="F7911" i="29"/>
  <c r="F7910" i="29"/>
  <c r="G7910" i="29"/>
  <c r="P7910" i="29"/>
  <c r="N7910" i="29"/>
  <c r="P7909" i="29"/>
  <c r="N7909" i="29"/>
  <c r="G7909" i="29"/>
  <c r="F7909" i="29"/>
  <c r="P7908" i="29"/>
  <c r="N7908" i="29"/>
  <c r="G7908" i="29"/>
  <c r="F7908" i="29"/>
  <c r="P7907" i="29"/>
  <c r="N7907" i="29"/>
  <c r="G7907" i="29"/>
  <c r="F7907" i="29"/>
  <c r="P7906" i="29"/>
  <c r="N7906" i="29"/>
  <c r="G7906" i="29"/>
  <c r="F7906" i="29"/>
  <c r="P7905" i="29"/>
  <c r="N7905" i="29"/>
  <c r="G7905" i="29"/>
  <c r="F7905" i="29"/>
  <c r="P7904" i="29"/>
  <c r="N7904" i="29"/>
  <c r="G7904" i="29"/>
  <c r="F7904" i="29"/>
  <c r="P7903" i="29"/>
  <c r="N7903" i="29"/>
  <c r="G7903" i="29"/>
  <c r="F7903" i="29"/>
  <c r="P7902" i="29"/>
  <c r="N7902" i="29"/>
  <c r="G7902" i="29"/>
  <c r="F7902" i="29"/>
  <c r="P7901" i="29"/>
  <c r="N7901" i="29"/>
  <c r="G7901" i="29"/>
  <c r="F7901" i="29"/>
  <c r="P7900" i="29"/>
  <c r="N7900" i="29"/>
  <c r="G7900" i="29"/>
  <c r="F7900" i="29"/>
  <c r="N7899" i="29"/>
  <c r="N7898" i="29"/>
  <c r="F7899" i="29"/>
  <c r="G7899" i="29"/>
  <c r="F7898" i="29"/>
  <c r="G7898" i="29"/>
  <c r="P7899" i="29"/>
  <c r="P7898" i="29"/>
  <c r="P7897" i="29"/>
  <c r="N7897" i="29"/>
  <c r="G7897" i="29"/>
  <c r="F7897" i="29"/>
  <c r="P7896" i="29"/>
  <c r="N7896" i="29"/>
  <c r="G7896" i="29"/>
  <c r="F7896" i="29"/>
  <c r="P7895" i="29"/>
  <c r="N7895" i="29"/>
  <c r="G7895" i="29"/>
  <c r="F7895" i="29"/>
  <c r="P7894" i="29"/>
  <c r="N7894" i="29"/>
  <c r="G7894" i="29"/>
  <c r="F7894" i="29"/>
  <c r="P7893" i="29"/>
  <c r="N7893" i="29"/>
  <c r="G7893" i="29"/>
  <c r="F7893" i="29"/>
  <c r="P7892" i="29"/>
  <c r="N7892" i="29"/>
  <c r="G7892" i="29"/>
  <c r="F7892" i="29"/>
  <c r="P7891" i="29"/>
  <c r="N7891" i="29"/>
  <c r="G7891" i="29"/>
  <c r="F7891" i="29"/>
  <c r="P7890" i="29"/>
  <c r="N7890" i="29"/>
  <c r="G7890" i="29"/>
  <c r="F7890" i="29"/>
  <c r="S7938" i="29"/>
  <c r="G7889" i="29"/>
  <c r="F7889" i="29"/>
  <c r="G7888" i="29"/>
  <c r="F7888" i="29"/>
  <c r="P7887" i="29"/>
  <c r="N7887" i="29"/>
  <c r="G7887" i="29"/>
  <c r="F7887" i="29"/>
  <c r="P7886" i="29"/>
  <c r="N7886" i="29"/>
  <c r="G7886" i="29"/>
  <c r="F7886" i="29"/>
  <c r="P7885" i="29"/>
  <c r="N7885" i="29"/>
  <c r="G7885" i="29"/>
  <c r="F7885" i="29"/>
  <c r="P7884" i="29"/>
  <c r="N7884" i="29"/>
  <c r="G7884" i="29"/>
  <c r="F7884" i="29"/>
  <c r="P7883" i="29"/>
  <c r="N7883" i="29"/>
  <c r="G7883" i="29"/>
  <c r="F7883" i="29"/>
  <c r="P7882" i="29"/>
  <c r="N7882" i="29"/>
  <c r="G7882" i="29"/>
  <c r="F7882" i="29"/>
  <c r="G7881" i="29"/>
  <c r="F7881" i="29"/>
  <c r="G7880" i="29"/>
  <c r="F7880" i="29"/>
  <c r="G7879" i="29"/>
  <c r="F7879" i="29"/>
  <c r="G7878" i="29"/>
  <c r="F7878" i="29"/>
  <c r="G7877" i="29"/>
  <c r="F7877" i="29"/>
  <c r="G7876" i="29"/>
  <c r="F7876" i="29"/>
  <c r="G7875" i="29"/>
  <c r="F7875" i="29"/>
  <c r="G7874" i="29"/>
  <c r="F7874" i="29"/>
  <c r="G7873" i="29"/>
  <c r="F7873" i="29"/>
  <c r="G7872" i="29"/>
  <c r="F7872" i="29"/>
  <c r="Q7871" i="29"/>
  <c r="S7871" i="29"/>
  <c r="G7871" i="29"/>
  <c r="F7871" i="29"/>
  <c r="W7870" i="29"/>
  <c r="N7870" i="29"/>
  <c r="F704" i="31"/>
  <c r="G704" i="31"/>
  <c r="H704" i="31"/>
  <c r="F703" i="31"/>
  <c r="G703" i="31"/>
  <c r="H703" i="31"/>
  <c r="G702" i="31"/>
  <c r="H702" i="31"/>
  <c r="F702" i="31"/>
  <c r="F701" i="31"/>
  <c r="G701" i="31"/>
  <c r="H701" i="31"/>
  <c r="F700" i="31"/>
  <c r="G700" i="31"/>
  <c r="H700" i="31"/>
  <c r="F699" i="31"/>
  <c r="G699" i="31"/>
  <c r="H699" i="31"/>
  <c r="F698" i="31"/>
  <c r="G698" i="31"/>
  <c r="H698" i="31"/>
  <c r="F697" i="31"/>
  <c r="G697" i="31"/>
  <c r="H697" i="31"/>
  <c r="G696" i="31"/>
  <c r="H696" i="31"/>
  <c r="F696" i="31"/>
  <c r="F695" i="31"/>
  <c r="G695" i="31"/>
  <c r="H695" i="31"/>
  <c r="G694" i="31"/>
  <c r="H694" i="31"/>
  <c r="F694" i="31"/>
  <c r="F693" i="31"/>
  <c r="G693" i="31"/>
  <c r="H693" i="31"/>
  <c r="F692" i="31"/>
  <c r="G692" i="31"/>
  <c r="H692" i="31"/>
  <c r="F691" i="31"/>
  <c r="G691" i="31"/>
  <c r="H691" i="31"/>
  <c r="F690" i="31"/>
  <c r="G690" i="31"/>
  <c r="H690" i="31"/>
  <c r="E787" i="31"/>
  <c r="E786" i="31"/>
  <c r="E785" i="31"/>
  <c r="E784" i="31"/>
  <c r="E783" i="31"/>
  <c r="E782" i="31"/>
  <c r="P7869" i="29"/>
  <c r="P7868" i="29"/>
  <c r="P7867" i="29"/>
  <c r="P7866" i="29"/>
  <c r="P7865" i="29"/>
  <c r="P7864" i="29"/>
  <c r="P7863" i="29"/>
  <c r="P7862" i="29"/>
  <c r="P7861" i="29"/>
  <c r="P7860" i="29"/>
  <c r="P7859" i="29"/>
  <c r="P7858" i="29"/>
  <c r="P7857" i="29"/>
  <c r="P7856" i="29"/>
  <c r="P7850" i="29"/>
  <c r="P7848" i="29"/>
  <c r="P7805" i="29"/>
  <c r="P7801" i="29"/>
  <c r="P7800" i="29"/>
  <c r="P7799" i="29"/>
  <c r="P7798" i="29"/>
  <c r="P7797" i="29"/>
  <c r="P7796" i="29"/>
  <c r="Q7786" i="29"/>
  <c r="T7786" i="29"/>
  <c r="Q7787" i="29"/>
  <c r="Q7788" i="29"/>
  <c r="T7788" i="29"/>
  <c r="Q7789" i="29"/>
  <c r="Q7790" i="29"/>
  <c r="T7790" i="29"/>
  <c r="Q7791" i="29"/>
  <c r="Q7792" i="29"/>
  <c r="Q7793" i="29"/>
  <c r="T7793" i="29"/>
  <c r="Q7794" i="29"/>
  <c r="T7794" i="29"/>
  <c r="Q7795" i="29"/>
  <c r="S7795" i="29"/>
  <c r="Q7796" i="29"/>
  <c r="T7796" i="29"/>
  <c r="Q7797" i="29"/>
  <c r="Q7798" i="29"/>
  <c r="Q7799" i="29"/>
  <c r="T7799" i="29"/>
  <c r="Q7800" i="29"/>
  <c r="Q7801" i="29"/>
  <c r="Q7802" i="29"/>
  <c r="Q7803" i="29"/>
  <c r="Q7804" i="29"/>
  <c r="Q7805" i="29"/>
  <c r="Q7806" i="29"/>
  <c r="Q7807" i="29"/>
  <c r="Q7808" i="29"/>
  <c r="Q7809" i="29"/>
  <c r="S7809" i="29"/>
  <c r="Q7810" i="29"/>
  <c r="Q7811" i="29"/>
  <c r="Q7812" i="29"/>
  <c r="Q7813" i="29"/>
  <c r="Q7814" i="29"/>
  <c r="T7814" i="29"/>
  <c r="Q7815" i="29"/>
  <c r="Q7816" i="29"/>
  <c r="Q7817" i="29"/>
  <c r="Q7818" i="29"/>
  <c r="Q7819" i="29"/>
  <c r="Q7820" i="29"/>
  <c r="Q7821" i="29"/>
  <c r="Q7822" i="29"/>
  <c r="Q7823" i="29"/>
  <c r="Q7824" i="29"/>
  <c r="T7824" i="29"/>
  <c r="Q7825" i="29"/>
  <c r="Q7826" i="29"/>
  <c r="Q7827" i="29"/>
  <c r="Q7828" i="29"/>
  <c r="Q7829" i="29"/>
  <c r="Q7830" i="29"/>
  <c r="Q7831" i="29"/>
  <c r="Q7832" i="29"/>
  <c r="Q7833" i="29"/>
  <c r="Q7834" i="29"/>
  <c r="Q7835" i="29"/>
  <c r="Q7836" i="29"/>
  <c r="Q7837" i="29"/>
  <c r="T7837" i="29"/>
  <c r="Q7838" i="29"/>
  <c r="S7838" i="29"/>
  <c r="Q7839" i="29"/>
  <c r="S7839" i="29"/>
  <c r="Q7840" i="29"/>
  <c r="Q7841" i="29"/>
  <c r="Q7842" i="29"/>
  <c r="Q7843" i="29"/>
  <c r="Q7844" i="29"/>
  <c r="Q7845" i="29"/>
  <c r="Q7846" i="29"/>
  <c r="Q7847" i="29"/>
  <c r="Q7848" i="29"/>
  <c r="Q7849" i="29"/>
  <c r="Q7850" i="29"/>
  <c r="Q7851" i="29"/>
  <c r="S7851" i="29"/>
  <c r="Q7852" i="29"/>
  <c r="S7852" i="29"/>
  <c r="Q7853" i="29"/>
  <c r="Q7854" i="29"/>
  <c r="Q7855" i="29"/>
  <c r="Q7856" i="29"/>
  <c r="T7856" i="29"/>
  <c r="Q7857" i="29"/>
  <c r="S7857" i="29"/>
  <c r="Q7858" i="29"/>
  <c r="Q7859" i="29"/>
  <c r="S7859" i="29"/>
  <c r="Q7860" i="29"/>
  <c r="T7860" i="29"/>
  <c r="Q7861" i="29"/>
  <c r="T7861" i="29"/>
  <c r="Q7862" i="29"/>
  <c r="Q7863" i="29"/>
  <c r="Q7864" i="29"/>
  <c r="T7864" i="29"/>
  <c r="Q7865" i="29"/>
  <c r="Q7866" i="29"/>
  <c r="Q7867" i="29"/>
  <c r="Q7868" i="29"/>
  <c r="Q7869" i="29"/>
  <c r="Q7785" i="29"/>
  <c r="N7869" i="29"/>
  <c r="N7868" i="29"/>
  <c r="N7867" i="29"/>
  <c r="N7866" i="29"/>
  <c r="N7865" i="29"/>
  <c r="N7864" i="29"/>
  <c r="N7863" i="29"/>
  <c r="N7862" i="29"/>
  <c r="N7861" i="29"/>
  <c r="N7860" i="29"/>
  <c r="N7859" i="29"/>
  <c r="N7858" i="29"/>
  <c r="N7857" i="29"/>
  <c r="N7856" i="29"/>
  <c r="N7850" i="29"/>
  <c r="N7836" i="29"/>
  <c r="N7834" i="29"/>
  <c r="N7805" i="29"/>
  <c r="N7801" i="29"/>
  <c r="N7800" i="29"/>
  <c r="N7799" i="29"/>
  <c r="N7798" i="29"/>
  <c r="N7797" i="29"/>
  <c r="N7796" i="29"/>
  <c r="G7869" i="29"/>
  <c r="F7869" i="29"/>
  <c r="F7868" i="29"/>
  <c r="G7868" i="29"/>
  <c r="F7867" i="29"/>
  <c r="G7867" i="29"/>
  <c r="F7866" i="29"/>
  <c r="G7866" i="29"/>
  <c r="F7865" i="29"/>
  <c r="G7865" i="29"/>
  <c r="F7864" i="29"/>
  <c r="G7864" i="29"/>
  <c r="F7863" i="29"/>
  <c r="G7863" i="29"/>
  <c r="F7862" i="29"/>
  <c r="G7862" i="29"/>
  <c r="F7861" i="29"/>
  <c r="G7861" i="29"/>
  <c r="F7860" i="29"/>
  <c r="G7860" i="29"/>
  <c r="F7859" i="29"/>
  <c r="G7859" i="29"/>
  <c r="F7858" i="29"/>
  <c r="G7858" i="29"/>
  <c r="F7857" i="29"/>
  <c r="G7857" i="29"/>
  <c r="F7856" i="29"/>
  <c r="G7856" i="29"/>
  <c r="P7855" i="29"/>
  <c r="N7855" i="29"/>
  <c r="G7855" i="29"/>
  <c r="F7855" i="29"/>
  <c r="P7854" i="29"/>
  <c r="N7854" i="29"/>
  <c r="G7854" i="29"/>
  <c r="F7854" i="29"/>
  <c r="P7853" i="29"/>
  <c r="N7853" i="29"/>
  <c r="G7853" i="29"/>
  <c r="F7853" i="29"/>
  <c r="P7852" i="29"/>
  <c r="N7852" i="29"/>
  <c r="G7852" i="29"/>
  <c r="F7852" i="29"/>
  <c r="P7851" i="29"/>
  <c r="N7851" i="29"/>
  <c r="G7851" i="29"/>
  <c r="F7851" i="29"/>
  <c r="F7850" i="29"/>
  <c r="G7850" i="29"/>
  <c r="P7849" i="29"/>
  <c r="N7849" i="29"/>
  <c r="G7849" i="29"/>
  <c r="F7849" i="29"/>
  <c r="F7848" i="29"/>
  <c r="G7848" i="29"/>
  <c r="N7848" i="29"/>
  <c r="P7847" i="29"/>
  <c r="N7847" i="29"/>
  <c r="G7847" i="29"/>
  <c r="F7847" i="29"/>
  <c r="P7846" i="29"/>
  <c r="N7846" i="29"/>
  <c r="G7846" i="29"/>
  <c r="F7846" i="29"/>
  <c r="P7845" i="29"/>
  <c r="N7845" i="29"/>
  <c r="G7845" i="29"/>
  <c r="F7845" i="29"/>
  <c r="P7844" i="29"/>
  <c r="N7844" i="29"/>
  <c r="G7844" i="29"/>
  <c r="F7844" i="29"/>
  <c r="P7843" i="29"/>
  <c r="N7843" i="29"/>
  <c r="G7843" i="29"/>
  <c r="F7843" i="29"/>
  <c r="P7842" i="29"/>
  <c r="N7842" i="29"/>
  <c r="G7842" i="29"/>
  <c r="F7842" i="29"/>
  <c r="P7841" i="29"/>
  <c r="N7841" i="29"/>
  <c r="G7841" i="29"/>
  <c r="F7841" i="29"/>
  <c r="P7840" i="29"/>
  <c r="N7840" i="29"/>
  <c r="G7840" i="29"/>
  <c r="F7840" i="29"/>
  <c r="P7839" i="29"/>
  <c r="N7839" i="29"/>
  <c r="G7839" i="29"/>
  <c r="F7839" i="29"/>
  <c r="P7838" i="29"/>
  <c r="N7838" i="29"/>
  <c r="G7838" i="29"/>
  <c r="F7838" i="29"/>
  <c r="P7837" i="29"/>
  <c r="N7837" i="29"/>
  <c r="G7837" i="29"/>
  <c r="F7837" i="29"/>
  <c r="P7836" i="29"/>
  <c r="G7836" i="29"/>
  <c r="F7836" i="29"/>
  <c r="P7835" i="29"/>
  <c r="N7835" i="29"/>
  <c r="G7835" i="29"/>
  <c r="F7835" i="29"/>
  <c r="P7834" i="29"/>
  <c r="G7834" i="29"/>
  <c r="F7834" i="29"/>
  <c r="P7833" i="29"/>
  <c r="N7833" i="29"/>
  <c r="G7833" i="29"/>
  <c r="F7833" i="29"/>
  <c r="P7832" i="29"/>
  <c r="N7832" i="29"/>
  <c r="G7832" i="29"/>
  <c r="F7832" i="29"/>
  <c r="P7831" i="29"/>
  <c r="N7831" i="29"/>
  <c r="G7831" i="29"/>
  <c r="F7831" i="29"/>
  <c r="P7830" i="29"/>
  <c r="N7830" i="29"/>
  <c r="G7830" i="29"/>
  <c r="F7830" i="29"/>
  <c r="P7829" i="29"/>
  <c r="N7829" i="29"/>
  <c r="G7829" i="29"/>
  <c r="F7829" i="29"/>
  <c r="P7828" i="29"/>
  <c r="N7828" i="29"/>
  <c r="G7828" i="29"/>
  <c r="F7828" i="29"/>
  <c r="P7827" i="29"/>
  <c r="N7827" i="29"/>
  <c r="G7827" i="29"/>
  <c r="F7827" i="29"/>
  <c r="P7826" i="29"/>
  <c r="N7826" i="29"/>
  <c r="G7826" i="29"/>
  <c r="F7826" i="29"/>
  <c r="P7825" i="29"/>
  <c r="N7825" i="29"/>
  <c r="G7825" i="29"/>
  <c r="F7825" i="29"/>
  <c r="P7824" i="29"/>
  <c r="N7824" i="29"/>
  <c r="G7824" i="29"/>
  <c r="F7824" i="29"/>
  <c r="P7823" i="29"/>
  <c r="N7823" i="29"/>
  <c r="G7823" i="29"/>
  <c r="F7823" i="29"/>
  <c r="P7822" i="29"/>
  <c r="N7822" i="29"/>
  <c r="G7822" i="29"/>
  <c r="F7822" i="29"/>
  <c r="P7821" i="29"/>
  <c r="N7821" i="29"/>
  <c r="G7821" i="29"/>
  <c r="F7821" i="29"/>
  <c r="P7820" i="29"/>
  <c r="N7820" i="29"/>
  <c r="G7820" i="29"/>
  <c r="F7820" i="29"/>
  <c r="P7819" i="29"/>
  <c r="N7819" i="29"/>
  <c r="G7819" i="29"/>
  <c r="F7819" i="29"/>
  <c r="P7818" i="29"/>
  <c r="N7818" i="29"/>
  <c r="G7818" i="29"/>
  <c r="F7818" i="29"/>
  <c r="P7817" i="29"/>
  <c r="N7817" i="29"/>
  <c r="G7817" i="29"/>
  <c r="F7817" i="29"/>
  <c r="P7816" i="29"/>
  <c r="N7816" i="29"/>
  <c r="G7816" i="29"/>
  <c r="F7816" i="29"/>
  <c r="P7815" i="29"/>
  <c r="N7815" i="29"/>
  <c r="G7815" i="29"/>
  <c r="F7815" i="29"/>
  <c r="P7814" i="29"/>
  <c r="N7814" i="29"/>
  <c r="G7814" i="29"/>
  <c r="F7814" i="29"/>
  <c r="P7813" i="29"/>
  <c r="N7813" i="29"/>
  <c r="G7813" i="29"/>
  <c r="F7813" i="29"/>
  <c r="P7812" i="29"/>
  <c r="N7812" i="29"/>
  <c r="G7812" i="29"/>
  <c r="F7812" i="29"/>
  <c r="P7811" i="29"/>
  <c r="N7811" i="29"/>
  <c r="G7811" i="29"/>
  <c r="F7811" i="29"/>
  <c r="P7810" i="29"/>
  <c r="N7810" i="29"/>
  <c r="G7810" i="29"/>
  <c r="F7810" i="29"/>
  <c r="P7809" i="29"/>
  <c r="N7809" i="29"/>
  <c r="G7809" i="29"/>
  <c r="F7809" i="29"/>
  <c r="P7808" i="29"/>
  <c r="N7808" i="29"/>
  <c r="G7808" i="29"/>
  <c r="F7808" i="29"/>
  <c r="P7807" i="29"/>
  <c r="N7807" i="29"/>
  <c r="G7807" i="29"/>
  <c r="F7807" i="29"/>
  <c r="P7806" i="29"/>
  <c r="N7806" i="29"/>
  <c r="G7806" i="29"/>
  <c r="F7806" i="29"/>
  <c r="F7805" i="29"/>
  <c r="G7805" i="29"/>
  <c r="P7804" i="29"/>
  <c r="N7804" i="29"/>
  <c r="G7804" i="29"/>
  <c r="F7804" i="29"/>
  <c r="G7803" i="29"/>
  <c r="F7803" i="29"/>
  <c r="G7802" i="29"/>
  <c r="F7802" i="29"/>
  <c r="G7801" i="29"/>
  <c r="F7801" i="29"/>
  <c r="G7800" i="29"/>
  <c r="F7800" i="29"/>
  <c r="G7799" i="29"/>
  <c r="F7799" i="29"/>
  <c r="G7798" i="29"/>
  <c r="F7798" i="29"/>
  <c r="G7797" i="29"/>
  <c r="F7797" i="29"/>
  <c r="G7796" i="29"/>
  <c r="F7796" i="29"/>
  <c r="G7795" i="29"/>
  <c r="F7795" i="29"/>
  <c r="G7794" i="29"/>
  <c r="F7794" i="29"/>
  <c r="G7793" i="29"/>
  <c r="F7793" i="29"/>
  <c r="G7792" i="29"/>
  <c r="F7792" i="29"/>
  <c r="G7791" i="29"/>
  <c r="F7791" i="29"/>
  <c r="G7790" i="29"/>
  <c r="F7790" i="29"/>
  <c r="G7789" i="29"/>
  <c r="F7789" i="29"/>
  <c r="G7788" i="29"/>
  <c r="F7788" i="29"/>
  <c r="G7787" i="29"/>
  <c r="F7787" i="29"/>
  <c r="G7786" i="29"/>
  <c r="F7786" i="29"/>
  <c r="G7785" i="29"/>
  <c r="F7785" i="29"/>
  <c r="W7784" i="29"/>
  <c r="N7784" i="29"/>
  <c r="N7783" i="29"/>
  <c r="N7782" i="29"/>
  <c r="F7783" i="29"/>
  <c r="G7783" i="29"/>
  <c r="Q7783" i="29"/>
  <c r="T7783" i="29"/>
  <c r="P7783" i="29"/>
  <c r="F7782" i="29"/>
  <c r="G7782" i="29"/>
  <c r="Q7782" i="29"/>
  <c r="P7782" i="29"/>
  <c r="N7781" i="29"/>
  <c r="F7781" i="29"/>
  <c r="G7781" i="29"/>
  <c r="Q7781" i="29"/>
  <c r="S7781" i="29"/>
  <c r="P7781" i="29"/>
  <c r="F7780" i="29"/>
  <c r="G7780" i="29"/>
  <c r="Q7780" i="29"/>
  <c r="S7780" i="29"/>
  <c r="N7780" i="29"/>
  <c r="P7780" i="29"/>
  <c r="Q7779" i="29"/>
  <c r="P7779" i="29"/>
  <c r="N7779" i="29"/>
  <c r="G7779" i="29"/>
  <c r="F7779" i="29"/>
  <c r="Q7778" i="29"/>
  <c r="S7778" i="29"/>
  <c r="P7778" i="29"/>
  <c r="N7778" i="29"/>
  <c r="G7778" i="29"/>
  <c r="F7778" i="29"/>
  <c r="Q7777" i="29"/>
  <c r="P7777" i="29"/>
  <c r="N7777" i="29"/>
  <c r="G7777" i="29"/>
  <c r="F7777" i="29"/>
  <c r="Q7776" i="29"/>
  <c r="P7776" i="29"/>
  <c r="N7776" i="29"/>
  <c r="G7776" i="29"/>
  <c r="F7776" i="29"/>
  <c r="Q7775" i="29"/>
  <c r="P7775" i="29"/>
  <c r="N7775" i="29"/>
  <c r="G7775" i="29"/>
  <c r="F7775" i="29"/>
  <c r="Q7774" i="29"/>
  <c r="P7774" i="29"/>
  <c r="N7774" i="29"/>
  <c r="G7774" i="29"/>
  <c r="F7774" i="29"/>
  <c r="Q7773" i="29"/>
  <c r="P7773" i="29"/>
  <c r="N7773" i="29"/>
  <c r="G7773" i="29"/>
  <c r="F7773" i="29"/>
  <c r="Q7772" i="29"/>
  <c r="S7772" i="29"/>
  <c r="P7772" i="29"/>
  <c r="N7772" i="29"/>
  <c r="G7772" i="29"/>
  <c r="F7772" i="29"/>
  <c r="N7771" i="29"/>
  <c r="F7771" i="29"/>
  <c r="G7771" i="29"/>
  <c r="Q7771" i="29"/>
  <c r="P7771" i="29"/>
  <c r="N7770" i="29"/>
  <c r="F7770" i="29"/>
  <c r="G7770" i="29"/>
  <c r="Q7770" i="29"/>
  <c r="P7770" i="29"/>
  <c r="Q7769" i="29"/>
  <c r="S7769" i="29"/>
  <c r="P7769" i="29"/>
  <c r="N7769" i="29"/>
  <c r="G7769" i="29"/>
  <c r="F7769" i="29"/>
  <c r="Q7768" i="29"/>
  <c r="P7768" i="29"/>
  <c r="N7768" i="29"/>
  <c r="G7768" i="29"/>
  <c r="F7768" i="29"/>
  <c r="N7764" i="29"/>
  <c r="Q7767" i="29"/>
  <c r="P7767" i="29"/>
  <c r="N7767" i="29"/>
  <c r="G7767" i="29"/>
  <c r="F7767" i="29"/>
  <c r="Q7766" i="29"/>
  <c r="P7766" i="29"/>
  <c r="N7766" i="29"/>
  <c r="G7766" i="29"/>
  <c r="F7766" i="29"/>
  <c r="Q7765" i="29"/>
  <c r="P7765" i="29"/>
  <c r="N7765" i="29"/>
  <c r="G7765" i="29"/>
  <c r="F7765" i="29"/>
  <c r="F7764" i="29"/>
  <c r="G7764" i="29"/>
  <c r="Q7764" i="29"/>
  <c r="P7764" i="29"/>
  <c r="Q7763" i="29"/>
  <c r="T7763" i="29"/>
  <c r="P7763" i="29"/>
  <c r="N7763" i="29"/>
  <c r="G7763" i="29"/>
  <c r="F7763" i="29"/>
  <c r="Q7762" i="29"/>
  <c r="P7762" i="29"/>
  <c r="N7762" i="29"/>
  <c r="G7762" i="29"/>
  <c r="F7762" i="29"/>
  <c r="Q7761" i="29"/>
  <c r="P7761" i="29"/>
  <c r="N7761" i="29"/>
  <c r="G7761" i="29"/>
  <c r="F7761" i="29"/>
  <c r="Q7760" i="29"/>
  <c r="P7760" i="29"/>
  <c r="N7760" i="29"/>
  <c r="G7760" i="29"/>
  <c r="F7760" i="29"/>
  <c r="Q7759" i="29"/>
  <c r="T7759" i="29"/>
  <c r="P7759" i="29"/>
  <c r="N7759" i="29"/>
  <c r="G7759" i="29"/>
  <c r="F7759" i="29"/>
  <c r="Q7758" i="29"/>
  <c r="P7758" i="29"/>
  <c r="N7758" i="29"/>
  <c r="G7758" i="29"/>
  <c r="F7758" i="29"/>
  <c r="Q7757" i="29"/>
  <c r="P7757" i="29"/>
  <c r="N7757" i="29"/>
  <c r="G7757" i="29"/>
  <c r="F7757" i="29"/>
  <c r="Q7756" i="29"/>
  <c r="S7756" i="29"/>
  <c r="N7756" i="29"/>
  <c r="G7756" i="29"/>
  <c r="F7756" i="29"/>
  <c r="Q7755" i="29"/>
  <c r="P7755" i="29"/>
  <c r="N7755" i="29"/>
  <c r="G7755" i="29"/>
  <c r="F7755" i="29"/>
  <c r="Q7754" i="29"/>
  <c r="P7754" i="29"/>
  <c r="N7754" i="29"/>
  <c r="G7754" i="29"/>
  <c r="F7754" i="29"/>
  <c r="Q7753" i="29"/>
  <c r="P7753" i="29"/>
  <c r="N7753" i="29"/>
  <c r="G7753" i="29"/>
  <c r="F7753" i="29"/>
  <c r="Q7752" i="29"/>
  <c r="T7752" i="29"/>
  <c r="P7752" i="29"/>
  <c r="N7752" i="29"/>
  <c r="G7752" i="29"/>
  <c r="F7752" i="29"/>
  <c r="Q7751" i="29"/>
  <c r="S7751" i="29"/>
  <c r="P7751" i="29"/>
  <c r="N7751" i="29"/>
  <c r="G7751" i="29"/>
  <c r="F7751" i="29"/>
  <c r="Q7750" i="29"/>
  <c r="P7750" i="29"/>
  <c r="N7750" i="29"/>
  <c r="G7750" i="29"/>
  <c r="F7750" i="29"/>
  <c r="Q7749" i="29"/>
  <c r="P7749" i="29"/>
  <c r="N7749" i="29"/>
  <c r="G7749" i="29"/>
  <c r="F7749" i="29"/>
  <c r="Q7748" i="29"/>
  <c r="P7748" i="29"/>
  <c r="N7748" i="29"/>
  <c r="G7748" i="29"/>
  <c r="F7748" i="29"/>
  <c r="Q7747" i="29"/>
  <c r="S7747" i="29"/>
  <c r="P7747" i="29"/>
  <c r="N7747" i="29"/>
  <c r="G7747" i="29"/>
  <c r="F7747" i="29"/>
  <c r="Q7746" i="29"/>
  <c r="P7746" i="29"/>
  <c r="N7746" i="29"/>
  <c r="G7746" i="29"/>
  <c r="F7746" i="29"/>
  <c r="Q7745" i="29"/>
  <c r="P7745" i="29"/>
  <c r="N7745" i="29"/>
  <c r="G7745" i="29"/>
  <c r="F7745" i="29"/>
  <c r="Q7744" i="29"/>
  <c r="S7744" i="29"/>
  <c r="P7744" i="29"/>
  <c r="N7744" i="29"/>
  <c r="G7744" i="29"/>
  <c r="F7744" i="29"/>
  <c r="Q7743" i="29"/>
  <c r="S7743" i="29"/>
  <c r="P7743" i="29"/>
  <c r="N7743" i="29"/>
  <c r="G7743" i="29"/>
  <c r="F7743" i="29"/>
  <c r="Q7742" i="29"/>
  <c r="P7742" i="29"/>
  <c r="N7742" i="29"/>
  <c r="G7742" i="29"/>
  <c r="F7742" i="29"/>
  <c r="Q7741" i="29"/>
  <c r="P7741" i="29"/>
  <c r="N7741" i="29"/>
  <c r="G7741" i="29"/>
  <c r="F7741" i="29"/>
  <c r="R7740" i="29"/>
  <c r="Q7740" i="29"/>
  <c r="P7740" i="29"/>
  <c r="N7740" i="29"/>
  <c r="G7740" i="29"/>
  <c r="F7740" i="29"/>
  <c r="Q7739" i="29"/>
  <c r="P7739" i="29"/>
  <c r="N7739" i="29"/>
  <c r="G7739" i="29"/>
  <c r="F7739" i="29"/>
  <c r="Q7738" i="29"/>
  <c r="P7738" i="29"/>
  <c r="N7738" i="29"/>
  <c r="G7738" i="29"/>
  <c r="F7738" i="29"/>
  <c r="Q7737" i="29"/>
  <c r="P7737" i="29"/>
  <c r="N7737" i="29"/>
  <c r="G7737" i="29"/>
  <c r="F7737" i="29"/>
  <c r="G7736" i="29"/>
  <c r="F7736" i="29"/>
  <c r="G7735" i="29"/>
  <c r="F7735" i="29"/>
  <c r="G7734" i="29"/>
  <c r="F7734" i="29"/>
  <c r="G7733" i="29"/>
  <c r="F7733" i="29"/>
  <c r="G7732" i="29"/>
  <c r="F7732" i="29"/>
  <c r="G7731" i="29"/>
  <c r="F7731" i="29"/>
  <c r="G7730" i="29"/>
  <c r="F7730" i="29"/>
  <c r="G7729" i="29"/>
  <c r="F7729" i="29"/>
  <c r="G7728" i="29"/>
  <c r="F7728" i="29"/>
  <c r="G7727" i="29"/>
  <c r="F7727" i="29"/>
  <c r="G7726" i="29"/>
  <c r="F7726" i="29"/>
  <c r="G7725" i="29"/>
  <c r="F7725" i="29"/>
  <c r="G7724" i="29"/>
  <c r="F7724" i="29"/>
  <c r="G7723" i="29"/>
  <c r="F7723" i="29"/>
  <c r="G7722" i="29"/>
  <c r="F7722" i="29"/>
  <c r="G7721" i="29"/>
  <c r="F7721" i="29"/>
  <c r="G7720" i="29"/>
  <c r="F7720" i="29"/>
  <c r="G7719" i="29"/>
  <c r="F7719" i="29"/>
  <c r="G7718" i="29"/>
  <c r="F7718" i="29"/>
  <c r="W7717" i="29"/>
  <c r="N7717" i="29"/>
  <c r="N7715" i="29"/>
  <c r="N7714" i="29"/>
  <c r="N7713" i="29"/>
  <c r="N7712" i="29"/>
  <c r="N7711" i="29"/>
  <c r="N7710" i="29"/>
  <c r="N7709" i="29"/>
  <c r="N7708" i="29"/>
  <c r="N7707" i="29"/>
  <c r="N7659" i="29"/>
  <c r="N7658" i="29"/>
  <c r="N7657" i="29"/>
  <c r="N7656" i="29"/>
  <c r="N7655" i="29"/>
  <c r="Q7716" i="29"/>
  <c r="P7716" i="29"/>
  <c r="N7716" i="29"/>
  <c r="G7716" i="29"/>
  <c r="F7716" i="29"/>
  <c r="F7715" i="29"/>
  <c r="G7715" i="29"/>
  <c r="F7714" i="29"/>
  <c r="G7714" i="29"/>
  <c r="F7713" i="29"/>
  <c r="G7713" i="29"/>
  <c r="F7712" i="29"/>
  <c r="G7712" i="29"/>
  <c r="Q7715" i="29"/>
  <c r="Q7714" i="29"/>
  <c r="Q7713" i="29"/>
  <c r="Q7712" i="29"/>
  <c r="P7715" i="29"/>
  <c r="P7714" i="29"/>
  <c r="P7713" i="29"/>
  <c r="P7712" i="29"/>
  <c r="F7711" i="29"/>
  <c r="G7711" i="29"/>
  <c r="Q7711" i="29"/>
  <c r="P7711" i="29"/>
  <c r="F7710" i="29"/>
  <c r="G7710" i="29"/>
  <c r="Q7710" i="29"/>
  <c r="S7710" i="29"/>
  <c r="P7710" i="29"/>
  <c r="F7709" i="29"/>
  <c r="G7709" i="29"/>
  <c r="Q7709" i="29"/>
  <c r="P7709" i="29"/>
  <c r="F7708" i="29"/>
  <c r="G7708" i="29"/>
  <c r="Q7708" i="29"/>
  <c r="P7708" i="29"/>
  <c r="F7707" i="29"/>
  <c r="G7707" i="29"/>
  <c r="Q7707" i="29"/>
  <c r="P7707" i="29"/>
  <c r="Q7705" i="29"/>
  <c r="P7705" i="29"/>
  <c r="N7705" i="29"/>
  <c r="G7705" i="29"/>
  <c r="F7705" i="29"/>
  <c r="Q7706" i="29"/>
  <c r="T7706" i="29"/>
  <c r="P7706" i="29"/>
  <c r="N7706" i="29"/>
  <c r="G7706" i="29"/>
  <c r="F7706" i="29"/>
  <c r="Q7704" i="29"/>
  <c r="S7704" i="29"/>
  <c r="P7704" i="29"/>
  <c r="N7704" i="29"/>
  <c r="G7704" i="29"/>
  <c r="F7704" i="29"/>
  <c r="Q7703" i="29"/>
  <c r="P7703" i="29"/>
  <c r="N7703" i="29"/>
  <c r="G7703" i="29"/>
  <c r="F7703" i="29"/>
  <c r="Q7702" i="29"/>
  <c r="P7702" i="29"/>
  <c r="N7702" i="29"/>
  <c r="G7702" i="29"/>
  <c r="F7702" i="29"/>
  <c r="Q7701" i="29"/>
  <c r="P7701" i="29"/>
  <c r="N7701" i="29"/>
  <c r="G7701" i="29"/>
  <c r="F7701" i="29"/>
  <c r="Q7700" i="29"/>
  <c r="P7700" i="29"/>
  <c r="N7700" i="29"/>
  <c r="G7700" i="29"/>
  <c r="F7700" i="29"/>
  <c r="Q7699" i="29"/>
  <c r="P7699" i="29"/>
  <c r="N7699" i="29"/>
  <c r="G7699" i="29"/>
  <c r="F7699" i="29"/>
  <c r="Q7698" i="29"/>
  <c r="P7698" i="29"/>
  <c r="N7698" i="29"/>
  <c r="G7698" i="29"/>
  <c r="F7698" i="29"/>
  <c r="Q7697" i="29"/>
  <c r="P7697" i="29"/>
  <c r="N7697" i="29"/>
  <c r="G7697" i="29"/>
  <c r="F7697" i="29"/>
  <c r="Q7696" i="29"/>
  <c r="P7696" i="29"/>
  <c r="N7696" i="29"/>
  <c r="G7696" i="29"/>
  <c r="F7696" i="29"/>
  <c r="N7695" i="29"/>
  <c r="F7695" i="29"/>
  <c r="G7695" i="29"/>
  <c r="Q7695" i="29"/>
  <c r="P7695" i="29"/>
  <c r="Q7694" i="29"/>
  <c r="P7694" i="29"/>
  <c r="N7694" i="29"/>
  <c r="G7694" i="29"/>
  <c r="F7694" i="29"/>
  <c r="Q7693" i="29"/>
  <c r="P7693" i="29"/>
  <c r="N7693" i="29"/>
  <c r="G7693" i="29"/>
  <c r="F7693" i="29"/>
  <c r="Q7692" i="29"/>
  <c r="P7692" i="29"/>
  <c r="N7692" i="29"/>
  <c r="G7692" i="29"/>
  <c r="F7692" i="29"/>
  <c r="Q7684" i="29"/>
  <c r="T7684" i="29"/>
  <c r="P7684" i="29"/>
  <c r="N7684" i="29"/>
  <c r="G7684" i="29"/>
  <c r="F7684" i="29"/>
  <c r="Q7691" i="29"/>
  <c r="S7691" i="29"/>
  <c r="P7691" i="29"/>
  <c r="N7691" i="29"/>
  <c r="G7691" i="29"/>
  <c r="F7691" i="29"/>
  <c r="Q7690" i="29"/>
  <c r="P7690" i="29"/>
  <c r="N7690" i="29"/>
  <c r="G7690" i="29"/>
  <c r="F7690" i="29"/>
  <c r="Q7689" i="29"/>
  <c r="P7689" i="29"/>
  <c r="N7689" i="29"/>
  <c r="G7689" i="29"/>
  <c r="F7689" i="29"/>
  <c r="Q7688" i="29"/>
  <c r="P7688" i="29"/>
  <c r="N7688" i="29"/>
  <c r="G7688" i="29"/>
  <c r="F7688" i="29"/>
  <c r="Q7687" i="29"/>
  <c r="P7687" i="29"/>
  <c r="N7687" i="29"/>
  <c r="G7687" i="29"/>
  <c r="F7687" i="29"/>
  <c r="Q7686" i="29"/>
  <c r="P7686" i="29"/>
  <c r="N7686" i="29"/>
  <c r="G7686" i="29"/>
  <c r="F7686" i="29"/>
  <c r="Q7685" i="29"/>
  <c r="P7685" i="29"/>
  <c r="N7685" i="29"/>
  <c r="G7685" i="29"/>
  <c r="F7685" i="29"/>
  <c r="Q7683" i="29"/>
  <c r="P7683" i="29"/>
  <c r="N7683" i="29"/>
  <c r="G7683" i="29"/>
  <c r="F7683" i="29"/>
  <c r="Q7682" i="29"/>
  <c r="P7682" i="29"/>
  <c r="N7682" i="29"/>
  <c r="G7682" i="29"/>
  <c r="F7682" i="29"/>
  <c r="Q7681" i="29"/>
  <c r="P7681" i="29"/>
  <c r="N7681" i="29"/>
  <c r="G7681" i="29"/>
  <c r="F7681" i="29"/>
  <c r="Q7680" i="29"/>
  <c r="T7680" i="29"/>
  <c r="P7680" i="29"/>
  <c r="N7680" i="29"/>
  <c r="G7680" i="29"/>
  <c r="F7680" i="29"/>
  <c r="Q7679" i="29"/>
  <c r="P7679" i="29"/>
  <c r="N7679" i="29"/>
  <c r="G7679" i="29"/>
  <c r="F7679" i="29"/>
  <c r="Q7678" i="29"/>
  <c r="P7678" i="29"/>
  <c r="N7678" i="29"/>
  <c r="G7678" i="29"/>
  <c r="F7678" i="29"/>
  <c r="Q7677" i="29"/>
  <c r="T7677" i="29"/>
  <c r="P7677" i="29"/>
  <c r="N7677" i="29"/>
  <c r="G7677" i="29"/>
  <c r="F7677" i="29"/>
  <c r="Q7676" i="29"/>
  <c r="T7676" i="29"/>
  <c r="N7676" i="29"/>
  <c r="G7676" i="29"/>
  <c r="F7676" i="29"/>
  <c r="Q7675" i="29"/>
  <c r="P7675" i="29"/>
  <c r="N7675" i="29"/>
  <c r="G7675" i="29"/>
  <c r="F7675" i="29"/>
  <c r="Q7674" i="29"/>
  <c r="P7674" i="29"/>
  <c r="N7674" i="29"/>
  <c r="G7674" i="29"/>
  <c r="F7674" i="29"/>
  <c r="Q7672" i="29"/>
  <c r="P7672" i="29"/>
  <c r="N7672" i="29"/>
  <c r="G7672" i="29"/>
  <c r="F7672" i="29"/>
  <c r="Q7673" i="29"/>
  <c r="P7673" i="29"/>
  <c r="N7673" i="29"/>
  <c r="G7673" i="29"/>
  <c r="F7673" i="29"/>
  <c r="Q7671" i="29"/>
  <c r="P7671" i="29"/>
  <c r="N7671" i="29"/>
  <c r="G7671" i="29"/>
  <c r="F7671" i="29"/>
  <c r="Q7670" i="29"/>
  <c r="P7670" i="29"/>
  <c r="N7670" i="29"/>
  <c r="G7670" i="29"/>
  <c r="F7670" i="29"/>
  <c r="Q7669" i="29"/>
  <c r="T7669" i="29"/>
  <c r="P7669" i="29"/>
  <c r="N7669" i="29"/>
  <c r="G7669" i="29"/>
  <c r="F7669" i="29"/>
  <c r="Q7668" i="29"/>
  <c r="S7668" i="29"/>
  <c r="P7668" i="29"/>
  <c r="N7668" i="29"/>
  <c r="G7668" i="29"/>
  <c r="F7668" i="29"/>
  <c r="Q7667" i="29"/>
  <c r="P7667" i="29"/>
  <c r="N7667" i="29"/>
  <c r="G7667" i="29"/>
  <c r="F7667" i="29"/>
  <c r="Q7666" i="29"/>
  <c r="P7666" i="29"/>
  <c r="N7666" i="29"/>
  <c r="G7666" i="29"/>
  <c r="F7666" i="29"/>
  <c r="Q7665" i="29"/>
  <c r="S7665" i="29"/>
  <c r="P7665" i="29"/>
  <c r="N7665" i="29"/>
  <c r="G7665" i="29"/>
  <c r="F7665" i="29"/>
  <c r="Q7664" i="29"/>
  <c r="P7664" i="29"/>
  <c r="N7664" i="29"/>
  <c r="G7664" i="29"/>
  <c r="F7664" i="29"/>
  <c r="Q7663" i="29"/>
  <c r="P7663" i="29"/>
  <c r="N7663" i="29"/>
  <c r="G7663" i="29"/>
  <c r="F7663" i="29"/>
  <c r="Q7662" i="29"/>
  <c r="P7662" i="29"/>
  <c r="N7662" i="29"/>
  <c r="G7662" i="29"/>
  <c r="F7662" i="29"/>
  <c r="Q7661" i="29"/>
  <c r="T7661" i="29"/>
  <c r="P7661" i="29"/>
  <c r="N7661" i="29"/>
  <c r="G7661" i="29"/>
  <c r="F7661" i="29"/>
  <c r="Q7660" i="29"/>
  <c r="P7660" i="29"/>
  <c r="N7660" i="29"/>
  <c r="G7660" i="29"/>
  <c r="F7660" i="29"/>
  <c r="N7654" i="29"/>
  <c r="N7653" i="29"/>
  <c r="G7659" i="29"/>
  <c r="F7659" i="29"/>
  <c r="F7658" i="29"/>
  <c r="G7658" i="29"/>
  <c r="F7657" i="29"/>
  <c r="G7657" i="29"/>
  <c r="F7656" i="29"/>
  <c r="G7656" i="29"/>
  <c r="F7655" i="29"/>
  <c r="G7655" i="29"/>
  <c r="F7654" i="29"/>
  <c r="G7654" i="29"/>
  <c r="Q7658" i="29"/>
  <c r="Q7657" i="29"/>
  <c r="Q7656" i="29"/>
  <c r="Q7655" i="29"/>
  <c r="T7655" i="29"/>
  <c r="Q7654" i="29"/>
  <c r="S7654" i="29"/>
  <c r="P7659" i="29"/>
  <c r="P7658" i="29"/>
  <c r="P7657" i="29"/>
  <c r="P7656" i="29"/>
  <c r="P7655" i="29"/>
  <c r="P7654" i="29"/>
  <c r="F7653" i="29"/>
  <c r="G7653" i="29"/>
  <c r="Q7653" i="29"/>
  <c r="P7653" i="29"/>
  <c r="Q7652" i="29"/>
  <c r="P7652" i="29"/>
  <c r="N7652" i="29"/>
  <c r="G7652" i="29"/>
  <c r="F7652" i="29"/>
  <c r="Q7651" i="29"/>
  <c r="P7651" i="29"/>
  <c r="N7651" i="29"/>
  <c r="G7651" i="29"/>
  <c r="F7651" i="29"/>
  <c r="Q7650" i="29"/>
  <c r="P7650" i="29"/>
  <c r="N7650" i="29"/>
  <c r="G7650" i="29"/>
  <c r="F7650" i="29"/>
  <c r="Q7649" i="29"/>
  <c r="S7649" i="29"/>
  <c r="P7649" i="29"/>
  <c r="N7649" i="29"/>
  <c r="G7649" i="29"/>
  <c r="F7649" i="29"/>
  <c r="R7648" i="29"/>
  <c r="Q7648" i="29"/>
  <c r="P7648" i="29"/>
  <c r="N7648" i="29"/>
  <c r="G7648" i="29"/>
  <c r="F7648" i="29"/>
  <c r="Q7647" i="29"/>
  <c r="P7647" i="29"/>
  <c r="N7647" i="29"/>
  <c r="G7647" i="29"/>
  <c r="F7647" i="29"/>
  <c r="Q7646" i="29"/>
  <c r="P7646" i="29"/>
  <c r="N7646" i="29"/>
  <c r="G7646" i="29"/>
  <c r="F7646" i="29"/>
  <c r="Q7645" i="29"/>
  <c r="T7645" i="29"/>
  <c r="P7645" i="29"/>
  <c r="N7645" i="29"/>
  <c r="G7645" i="29"/>
  <c r="F7645" i="29"/>
  <c r="G7644" i="29"/>
  <c r="F7644" i="29"/>
  <c r="G7643" i="29"/>
  <c r="F7643" i="29"/>
  <c r="G7642" i="29"/>
  <c r="F7642" i="29"/>
  <c r="G7641" i="29"/>
  <c r="F7641" i="29"/>
  <c r="G7640" i="29"/>
  <c r="F7640" i="29"/>
  <c r="G7639" i="29"/>
  <c r="F7639" i="29"/>
  <c r="G7638" i="29"/>
  <c r="F7638" i="29"/>
  <c r="G7637" i="29"/>
  <c r="F7637" i="29"/>
  <c r="G7636" i="29"/>
  <c r="F7636" i="29"/>
  <c r="G7635" i="29"/>
  <c r="F7635" i="29"/>
  <c r="G7634" i="29"/>
  <c r="F7634" i="29"/>
  <c r="G7633" i="29"/>
  <c r="F7633" i="29"/>
  <c r="G7632" i="29"/>
  <c r="F7632" i="29"/>
  <c r="G7631" i="29"/>
  <c r="F7631" i="29"/>
  <c r="G7630" i="29"/>
  <c r="F7630" i="29"/>
  <c r="G7629" i="29"/>
  <c r="F7629" i="29"/>
  <c r="G7628" i="29"/>
  <c r="F7628" i="29"/>
  <c r="G7627" i="29"/>
  <c r="F7627" i="29"/>
  <c r="G7626" i="29"/>
  <c r="F7626" i="29"/>
  <c r="W7625" i="29"/>
  <c r="N7625" i="29"/>
  <c r="N7622" i="29"/>
  <c r="N7621" i="29"/>
  <c r="N7620" i="29"/>
  <c r="N7619" i="29"/>
  <c r="N7618" i="29"/>
  <c r="N7617" i="29"/>
  <c r="N7616" i="29"/>
  <c r="N7615" i="29"/>
  <c r="N7614" i="29"/>
  <c r="N7613" i="29"/>
  <c r="N7612" i="29"/>
  <c r="N7611" i="29"/>
  <c r="N7609" i="29"/>
  <c r="N7608" i="29"/>
  <c r="N7607" i="29"/>
  <c r="N7606" i="29"/>
  <c r="N7605" i="29"/>
  <c r="F573" i="31"/>
  <c r="G573" i="31"/>
  <c r="H573" i="31"/>
  <c r="F572" i="31"/>
  <c r="G572" i="31"/>
  <c r="H572" i="31"/>
  <c r="F571" i="31"/>
  <c r="G571" i="31"/>
  <c r="H571" i="31"/>
  <c r="F570" i="31"/>
  <c r="G570" i="31"/>
  <c r="H570" i="31"/>
  <c r="F569" i="31"/>
  <c r="G569" i="31"/>
  <c r="H569" i="31"/>
  <c r="F568" i="31"/>
  <c r="G568" i="31"/>
  <c r="H568" i="31"/>
  <c r="F566" i="31"/>
  <c r="F565" i="31"/>
  <c r="F564" i="31"/>
  <c r="G564" i="31"/>
  <c r="H564" i="31"/>
  <c r="F563" i="31"/>
  <c r="F562" i="31"/>
  <c r="F561" i="31"/>
  <c r="F560" i="31"/>
  <c r="F559" i="31"/>
  <c r="F558" i="31"/>
  <c r="G558" i="31"/>
  <c r="H558" i="31"/>
  <c r="F557" i="31"/>
  <c r="F556" i="31"/>
  <c r="F555" i="31"/>
  <c r="F554" i="31"/>
  <c r="F553" i="31"/>
  <c r="F552" i="31"/>
  <c r="F551" i="31"/>
  <c r="F550" i="31"/>
  <c r="F549" i="31"/>
  <c r="N7624" i="29"/>
  <c r="N7604" i="29"/>
  <c r="G561" i="31"/>
  <c r="H561" i="31"/>
  <c r="G557" i="31"/>
  <c r="H557" i="31"/>
  <c r="G562" i="31"/>
  <c r="H562" i="31"/>
  <c r="G563" i="31"/>
  <c r="H563" i="31"/>
  <c r="G559" i="31"/>
  <c r="H559" i="31"/>
  <c r="G556" i="31"/>
  <c r="H556" i="31"/>
  <c r="G552" i="31"/>
  <c r="H552" i="31"/>
  <c r="G555" i="31"/>
  <c r="H555" i="31"/>
  <c r="G550" i="31"/>
  <c r="H550" i="31"/>
  <c r="G551" i="31"/>
  <c r="H551" i="31"/>
  <c r="G560" i="31"/>
  <c r="H560" i="31"/>
  <c r="G554" i="31"/>
  <c r="H554" i="31"/>
  <c r="G549" i="31"/>
  <c r="H549" i="31"/>
  <c r="G553" i="31"/>
  <c r="H553" i="31"/>
  <c r="F804" i="31"/>
  <c r="G804" i="31"/>
  <c r="H804" i="31"/>
  <c r="F803" i="31"/>
  <c r="G803" i="31"/>
  <c r="H803" i="31"/>
  <c r="F802" i="31"/>
  <c r="G802" i="31"/>
  <c r="H802" i="31"/>
  <c r="F801" i="31"/>
  <c r="G801" i="31"/>
  <c r="H801" i="31"/>
  <c r="F800" i="31"/>
  <c r="G800" i="31"/>
  <c r="H800" i="31"/>
  <c r="F799" i="31"/>
  <c r="G799" i="31"/>
  <c r="H799" i="31"/>
  <c r="F798" i="31"/>
  <c r="F797" i="31"/>
  <c r="G797" i="31"/>
  <c r="H797" i="31"/>
  <c r="F796" i="31"/>
  <c r="F795" i="31"/>
  <c r="F794" i="31"/>
  <c r="G794" i="31"/>
  <c r="H794" i="31"/>
  <c r="F793" i="31"/>
  <c r="G793" i="31"/>
  <c r="H793" i="31"/>
  <c r="N793" i="31"/>
  <c r="F792" i="31"/>
  <c r="F791" i="31"/>
  <c r="G791" i="31"/>
  <c r="H791" i="31"/>
  <c r="N791" i="31"/>
  <c r="F790" i="31"/>
  <c r="F789" i="31"/>
  <c r="F788" i="31"/>
  <c r="F787" i="31"/>
  <c r="F786" i="31"/>
  <c r="F785" i="31"/>
  <c r="F784" i="31"/>
  <c r="F783" i="31"/>
  <c r="F782" i="31"/>
  <c r="F781" i="31"/>
  <c r="G781" i="31"/>
  <c r="H781" i="31"/>
  <c r="F780" i="31"/>
  <c r="G780" i="31"/>
  <c r="H780" i="31"/>
  <c r="F779" i="31"/>
  <c r="F778" i="31"/>
  <c r="F777" i="31"/>
  <c r="F776" i="31"/>
  <c r="F775" i="31"/>
  <c r="P7596" i="29"/>
  <c r="F7624" i="29"/>
  <c r="G7624" i="29"/>
  <c r="Q7624" i="29"/>
  <c r="P7624" i="29"/>
  <c r="F7616" i="29"/>
  <c r="F7615" i="29"/>
  <c r="F7623" i="29"/>
  <c r="G7623" i="29"/>
  <c r="Q7623" i="29"/>
  <c r="P7623" i="29"/>
  <c r="F7622" i="29"/>
  <c r="F7621" i="29"/>
  <c r="F7620" i="29"/>
  <c r="F7619" i="29"/>
  <c r="F7618" i="29"/>
  <c r="F7617" i="29"/>
  <c r="G7622" i="29"/>
  <c r="G7621" i="29"/>
  <c r="G7620" i="29"/>
  <c r="G7619" i="29"/>
  <c r="G7618" i="29"/>
  <c r="G7617" i="29"/>
  <c r="Q7622" i="29"/>
  <c r="Q7621" i="29"/>
  <c r="Q7620" i="29"/>
  <c r="Q7619" i="29"/>
  <c r="Q7618" i="29"/>
  <c r="Q7617" i="29"/>
  <c r="P7622" i="29"/>
  <c r="P7621" i="29"/>
  <c r="P7620" i="29"/>
  <c r="P7619" i="29"/>
  <c r="P7618" i="29"/>
  <c r="P7617" i="29"/>
  <c r="Q7616" i="29"/>
  <c r="Q7615" i="29"/>
  <c r="P7616" i="29"/>
  <c r="P7615" i="29"/>
  <c r="F7614" i="29"/>
  <c r="G7614" i="29"/>
  <c r="F7613" i="29"/>
  <c r="G7613" i="29"/>
  <c r="F7612" i="29"/>
  <c r="G7612" i="29"/>
  <c r="F7611" i="29"/>
  <c r="G7611" i="29"/>
  <c r="Q7614" i="29"/>
  <c r="Q7613" i="29"/>
  <c r="S7613" i="29"/>
  <c r="Q7612" i="29"/>
  <c r="S7612" i="29"/>
  <c r="Q7611" i="29"/>
  <c r="P7614" i="29"/>
  <c r="P7613" i="29"/>
  <c r="P7612" i="29"/>
  <c r="P7611" i="29"/>
  <c r="F7610" i="29"/>
  <c r="G7610" i="29"/>
  <c r="Q7610" i="29"/>
  <c r="P7610" i="29"/>
  <c r="T7659" i="29"/>
  <c r="S7659" i="29"/>
  <c r="F7609" i="29"/>
  <c r="G7609" i="29"/>
  <c r="Q7609" i="29"/>
  <c r="P7609" i="29"/>
  <c r="F7608" i="29"/>
  <c r="G7608" i="29"/>
  <c r="Q7608" i="29"/>
  <c r="T7608" i="29"/>
  <c r="P7608" i="29"/>
  <c r="F7607" i="29"/>
  <c r="G7607" i="29"/>
  <c r="Q7607" i="29"/>
  <c r="P7607" i="29"/>
  <c r="F7606" i="29"/>
  <c r="G7606" i="29"/>
  <c r="Q7606" i="29"/>
  <c r="P7606" i="29"/>
  <c r="F7605" i="29"/>
  <c r="G7605" i="29"/>
  <c r="Q7605" i="29"/>
  <c r="P7605" i="29"/>
  <c r="G7604" i="29"/>
  <c r="F7604" i="29"/>
  <c r="F7603" i="29"/>
  <c r="G7603" i="29"/>
  <c r="Q7604" i="29"/>
  <c r="Q7603" i="29"/>
  <c r="P7604" i="29"/>
  <c r="P7603" i="29"/>
  <c r="N7603" i="29"/>
  <c r="Q7602" i="29"/>
  <c r="S7602" i="29"/>
  <c r="P7602" i="29"/>
  <c r="N7602" i="29"/>
  <c r="G7602" i="29"/>
  <c r="F7602" i="29"/>
  <c r="Q7601" i="29"/>
  <c r="P7601" i="29"/>
  <c r="N7601" i="29"/>
  <c r="G7601" i="29"/>
  <c r="F7601" i="29"/>
  <c r="Q7600" i="29"/>
  <c r="P7600" i="29"/>
  <c r="N7600" i="29"/>
  <c r="G7600" i="29"/>
  <c r="F7600" i="29"/>
  <c r="Q7599" i="29"/>
  <c r="S7599" i="29"/>
  <c r="P7599" i="29"/>
  <c r="N7599" i="29"/>
  <c r="G7599" i="29"/>
  <c r="F7599" i="29"/>
  <c r="Q7598" i="29"/>
  <c r="T7598" i="29"/>
  <c r="P7598" i="29"/>
  <c r="N7598" i="29"/>
  <c r="G7598" i="29"/>
  <c r="F7598" i="29"/>
  <c r="Q7597" i="29"/>
  <c r="P7597" i="29"/>
  <c r="N7597" i="29"/>
  <c r="G7597" i="29"/>
  <c r="F7597" i="29"/>
  <c r="F7596" i="29"/>
  <c r="G7596" i="29"/>
  <c r="Q7596" i="29"/>
  <c r="S7596" i="29"/>
  <c r="N7596" i="29"/>
  <c r="Q7595" i="29"/>
  <c r="P7595" i="29"/>
  <c r="N7595" i="29"/>
  <c r="G7595" i="29"/>
  <c r="F7595" i="29"/>
  <c r="Q7594" i="29"/>
  <c r="S7594" i="29"/>
  <c r="P7594" i="29"/>
  <c r="N7594" i="29"/>
  <c r="G7594" i="29"/>
  <c r="F7594" i="29"/>
  <c r="Q7593" i="29"/>
  <c r="P7593" i="29"/>
  <c r="N7593" i="29"/>
  <c r="G7593" i="29"/>
  <c r="F7593" i="29"/>
  <c r="Q7592" i="29"/>
  <c r="P7592" i="29"/>
  <c r="N7592" i="29"/>
  <c r="G7592" i="29"/>
  <c r="F7592" i="29"/>
  <c r="F7589" i="29"/>
  <c r="G7589" i="29"/>
  <c r="Q7589" i="29"/>
  <c r="T7589" i="29"/>
  <c r="P7589" i="29"/>
  <c r="N7589" i="29"/>
  <c r="Q7591" i="29"/>
  <c r="S7591" i="29"/>
  <c r="P7591" i="29"/>
  <c r="N7591" i="29"/>
  <c r="G7591" i="29"/>
  <c r="F7591" i="29"/>
  <c r="Q7590" i="29"/>
  <c r="P7590" i="29"/>
  <c r="N7590" i="29"/>
  <c r="G7590" i="29"/>
  <c r="F7590" i="29"/>
  <c r="Q7588" i="29"/>
  <c r="P7588" i="29"/>
  <c r="N7588" i="29"/>
  <c r="G7588" i="29"/>
  <c r="F7588" i="29"/>
  <c r="Q7587" i="29"/>
  <c r="P7587" i="29"/>
  <c r="N7587" i="29"/>
  <c r="G7587" i="29"/>
  <c r="F7587" i="29"/>
  <c r="Q7586" i="29"/>
  <c r="T7586" i="29"/>
  <c r="P7586" i="29"/>
  <c r="N7586" i="29"/>
  <c r="G7586" i="29"/>
  <c r="F7586" i="29"/>
  <c r="Q7585" i="29"/>
  <c r="P7585" i="29"/>
  <c r="N7585" i="29"/>
  <c r="G7585" i="29"/>
  <c r="F7585" i="29"/>
  <c r="Q7584" i="29"/>
  <c r="P7584" i="29"/>
  <c r="N7584" i="29"/>
  <c r="G7584" i="29"/>
  <c r="F7584" i="29"/>
  <c r="Q7583" i="29"/>
  <c r="P7583" i="29"/>
  <c r="N7583" i="29"/>
  <c r="G7583" i="29"/>
  <c r="F7583" i="29"/>
  <c r="Q7582" i="29"/>
  <c r="P7582" i="29"/>
  <c r="G7582" i="29"/>
  <c r="F7582" i="29"/>
  <c r="Q7581" i="29"/>
  <c r="P7581" i="29"/>
  <c r="N7581" i="29"/>
  <c r="G7581" i="29"/>
  <c r="F7581" i="29"/>
  <c r="Q7580" i="29"/>
  <c r="P7580" i="29"/>
  <c r="N7580" i="29"/>
  <c r="G7580" i="29"/>
  <c r="F7580" i="29"/>
  <c r="Q7579" i="29"/>
  <c r="T7579" i="29"/>
  <c r="P7579" i="29"/>
  <c r="N7579" i="29"/>
  <c r="G7579" i="29"/>
  <c r="F7579" i="29"/>
  <c r="Q7578" i="29"/>
  <c r="P7578" i="29"/>
  <c r="N7578" i="29"/>
  <c r="G7578" i="29"/>
  <c r="F7578" i="29"/>
  <c r="Q7577" i="29"/>
  <c r="P7577" i="29"/>
  <c r="N7577" i="29"/>
  <c r="G7577" i="29"/>
  <c r="F7577" i="29"/>
  <c r="Q7576" i="29"/>
  <c r="P7576" i="29"/>
  <c r="N7576" i="29"/>
  <c r="G7576" i="29"/>
  <c r="F7576" i="29"/>
  <c r="Q7575" i="29"/>
  <c r="S7575" i="29"/>
  <c r="P7575" i="29"/>
  <c r="N7575" i="29"/>
  <c r="G7575" i="29"/>
  <c r="F7575" i="29"/>
  <c r="Q7574" i="29"/>
  <c r="T7574" i="29"/>
  <c r="P7574" i="29"/>
  <c r="N7574" i="29"/>
  <c r="G7574" i="29"/>
  <c r="F7574" i="29"/>
  <c r="Q7573" i="29"/>
  <c r="T7573" i="29"/>
  <c r="P7573" i="29"/>
  <c r="N7573" i="29"/>
  <c r="G7573" i="29"/>
  <c r="F7573" i="29"/>
  <c r="G798" i="31"/>
  <c r="H798" i="31"/>
  <c r="G796" i="31"/>
  <c r="H796" i="31"/>
  <c r="G795" i="31"/>
  <c r="H795" i="31"/>
  <c r="G792" i="31"/>
  <c r="H792" i="31"/>
  <c r="N792" i="31"/>
  <c r="G789" i="31"/>
  <c r="H789" i="31"/>
  <c r="N789" i="31"/>
  <c r="G790" i="31"/>
  <c r="H790" i="31"/>
  <c r="G785" i="31"/>
  <c r="H785" i="31"/>
  <c r="G786" i="31"/>
  <c r="H786" i="31"/>
  <c r="G787" i="31"/>
  <c r="H787" i="31"/>
  <c r="G782" i="31"/>
  <c r="H782" i="31"/>
  <c r="G783" i="31"/>
  <c r="H783" i="31"/>
  <c r="G784" i="31"/>
  <c r="H784" i="31"/>
  <c r="U7708" i="29"/>
  <c r="U7711" i="29"/>
  <c r="U7712" i="29"/>
  <c r="U7713" i="29"/>
  <c r="U7707" i="29"/>
  <c r="U7715" i="29"/>
  <c r="G777" i="31"/>
  <c r="H777" i="31"/>
  <c r="G775" i="31"/>
  <c r="H775" i="31"/>
  <c r="G776" i="31"/>
  <c r="H776" i="31"/>
  <c r="G788" i="31"/>
  <c r="H788" i="31"/>
  <c r="G778" i="31"/>
  <c r="H778" i="31"/>
  <c r="G779" i="31"/>
  <c r="H779" i="31"/>
  <c r="Q7572" i="29"/>
  <c r="P7572" i="29"/>
  <c r="N7572" i="29"/>
  <c r="G7572" i="29"/>
  <c r="F7572" i="29"/>
  <c r="Q7571" i="29"/>
  <c r="T7571" i="29"/>
  <c r="P7571" i="29"/>
  <c r="N7571" i="29"/>
  <c r="G7571" i="29"/>
  <c r="F7571" i="29"/>
  <c r="G7570" i="29"/>
  <c r="F7570" i="29"/>
  <c r="G7569" i="29"/>
  <c r="F7569" i="29"/>
  <c r="G7568" i="29"/>
  <c r="F7568" i="29"/>
  <c r="G7567" i="29"/>
  <c r="F7567" i="29"/>
  <c r="G7566" i="29"/>
  <c r="F7566" i="29"/>
  <c r="G7565" i="29"/>
  <c r="F7565" i="29"/>
  <c r="G7564" i="29"/>
  <c r="F7564" i="29"/>
  <c r="G7563" i="29"/>
  <c r="F7563" i="29"/>
  <c r="G7562" i="29"/>
  <c r="F7562" i="29"/>
  <c r="G7561" i="29"/>
  <c r="F7561" i="29"/>
  <c r="G7560" i="29"/>
  <c r="F7560" i="29"/>
  <c r="G7559" i="29"/>
  <c r="F7559" i="29"/>
  <c r="G7558" i="29"/>
  <c r="F7558" i="29"/>
  <c r="G7557" i="29"/>
  <c r="F7557" i="29"/>
  <c r="G7556" i="29"/>
  <c r="F7556" i="29"/>
  <c r="G7555" i="29"/>
  <c r="F7555" i="29"/>
  <c r="G7554" i="29"/>
  <c r="F7554" i="29"/>
  <c r="G7553" i="29"/>
  <c r="F7553" i="29"/>
  <c r="G7552" i="29"/>
  <c r="F7552" i="29"/>
  <c r="G7534" i="29"/>
  <c r="F7534" i="29"/>
  <c r="G7533" i="29"/>
  <c r="F7533" i="29"/>
  <c r="G7527" i="29"/>
  <c r="F7527" i="29"/>
  <c r="G7485" i="29"/>
  <c r="F7485" i="29"/>
  <c r="G7484" i="29"/>
  <c r="F7484" i="29"/>
  <c r="G7483" i="29"/>
  <c r="F7483" i="29"/>
  <c r="Q7551" i="29"/>
  <c r="T7551" i="29"/>
  <c r="P7551" i="29"/>
  <c r="N7551" i="29"/>
  <c r="G7551" i="29"/>
  <c r="F7551" i="29"/>
  <c r="Q7550" i="29"/>
  <c r="P7550" i="29"/>
  <c r="N7550" i="29"/>
  <c r="G7550" i="29"/>
  <c r="F7550" i="29"/>
  <c r="Q7549" i="29"/>
  <c r="P7549" i="29"/>
  <c r="N7549" i="29"/>
  <c r="G7549" i="29"/>
  <c r="F7549" i="29"/>
  <c r="Q7548" i="29"/>
  <c r="S7548" i="29"/>
  <c r="P7548" i="29"/>
  <c r="N7548" i="29"/>
  <c r="G7548" i="29"/>
  <c r="F7548" i="29"/>
  <c r="Q7547" i="29"/>
  <c r="P7547" i="29"/>
  <c r="N7547" i="29"/>
  <c r="G7547" i="29"/>
  <c r="F7547" i="29"/>
  <c r="Q7546" i="29"/>
  <c r="P7546" i="29"/>
  <c r="N7546" i="29"/>
  <c r="G7546" i="29"/>
  <c r="F7546" i="29"/>
  <c r="Q7545" i="29"/>
  <c r="P7545" i="29"/>
  <c r="N7545" i="29"/>
  <c r="G7545" i="29"/>
  <c r="F7545" i="29"/>
  <c r="T7544" i="29"/>
  <c r="S7544" i="29"/>
  <c r="P7544" i="29"/>
  <c r="N7544" i="29"/>
  <c r="G7544" i="29"/>
  <c r="F7544" i="29"/>
  <c r="Q7543" i="29"/>
  <c r="S7543" i="29"/>
  <c r="P7543" i="29"/>
  <c r="N7543" i="29"/>
  <c r="G7543" i="29"/>
  <c r="F7543" i="29"/>
  <c r="Q7542" i="29"/>
  <c r="P7542" i="29"/>
  <c r="N7542" i="29"/>
  <c r="G7542" i="29"/>
  <c r="F7542" i="29"/>
  <c r="R7541" i="29"/>
  <c r="Q7541" i="29"/>
  <c r="P7541" i="29"/>
  <c r="N7541" i="29"/>
  <c r="G7541" i="29"/>
  <c r="F7541" i="29"/>
  <c r="Q7540" i="29"/>
  <c r="P7540" i="29"/>
  <c r="N7540" i="29"/>
  <c r="G7540" i="29"/>
  <c r="F7540" i="29"/>
  <c r="Q7538" i="29"/>
  <c r="P7538" i="29"/>
  <c r="N7538" i="29"/>
  <c r="G7538" i="29"/>
  <c r="F7538" i="29"/>
  <c r="Q7539" i="29"/>
  <c r="P7539" i="29"/>
  <c r="N7539" i="29"/>
  <c r="G7539" i="29"/>
  <c r="F7539" i="29"/>
  <c r="W7537" i="29"/>
  <c r="N7537" i="29"/>
  <c r="P7530" i="29"/>
  <c r="P7529" i="29"/>
  <c r="P7528" i="29"/>
  <c r="P7485" i="29"/>
  <c r="P7484" i="29"/>
  <c r="P7482" i="29"/>
  <c r="P7481" i="29"/>
  <c r="P7480" i="29"/>
  <c r="P7479" i="29"/>
  <c r="P7478" i="29"/>
  <c r="P7477" i="29"/>
  <c r="P7476" i="29"/>
  <c r="P7475" i="29"/>
  <c r="P7474" i="29"/>
  <c r="P7473" i="29"/>
  <c r="P7472" i="29"/>
  <c r="P7471" i="29"/>
  <c r="P7470" i="29"/>
  <c r="P7469" i="29"/>
  <c r="P7468" i="29"/>
  <c r="P7467" i="29"/>
  <c r="P7466" i="29"/>
  <c r="P7464" i="29"/>
  <c r="Q7458" i="29"/>
  <c r="Q7459" i="29"/>
  <c r="Q7460" i="29"/>
  <c r="Q7461" i="29"/>
  <c r="N7458" i="29"/>
  <c r="N7459" i="29"/>
  <c r="N7460" i="29"/>
  <c r="N7461" i="29"/>
  <c r="R7498" i="29"/>
  <c r="N7522" i="29"/>
  <c r="N7521" i="29"/>
  <c r="N7520" i="29"/>
  <c r="N7519" i="29"/>
  <c r="N7518" i="29"/>
  <c r="N7517" i="29"/>
  <c r="N7516" i="29"/>
  <c r="N7515" i="29"/>
  <c r="N7514" i="29"/>
  <c r="N7513" i="29"/>
  <c r="N7512" i="29"/>
  <c r="N7511" i="29"/>
  <c r="N7510" i="29"/>
  <c r="N7509" i="29"/>
  <c r="N7508" i="29"/>
  <c r="N7507" i="29"/>
  <c r="N7506" i="29"/>
  <c r="N7505" i="29"/>
  <c r="N7504" i="29"/>
  <c r="N7503" i="29"/>
  <c r="N7502" i="29"/>
  <c r="N7501" i="29"/>
  <c r="N7500" i="29"/>
  <c r="N7499" i="29"/>
  <c r="N7498" i="29"/>
  <c r="N7497" i="29"/>
  <c r="N7496" i="29"/>
  <c r="N7495" i="29"/>
  <c r="N7494" i="29"/>
  <c r="N7493" i="29"/>
  <c r="N7492" i="29"/>
  <c r="N7491" i="29"/>
  <c r="N7490" i="29"/>
  <c r="N7489" i="29"/>
  <c r="N7488" i="29"/>
  <c r="N7487" i="29"/>
  <c r="N7486" i="29"/>
  <c r="N7483" i="29"/>
  <c r="Q7463" i="29"/>
  <c r="Q7464" i="29"/>
  <c r="Q7465" i="29"/>
  <c r="Q7466" i="29"/>
  <c r="T7466" i="29"/>
  <c r="Q7467" i="29"/>
  <c r="T7467" i="29"/>
  <c r="Q7468" i="29"/>
  <c r="Q7469" i="29"/>
  <c r="T7469" i="29"/>
  <c r="Q7470" i="29"/>
  <c r="Q7471" i="29"/>
  <c r="T7471" i="29"/>
  <c r="Q7472" i="29"/>
  <c r="Q7473" i="29"/>
  <c r="Q7474" i="29"/>
  <c r="Q7475" i="29"/>
  <c r="Q7476" i="29"/>
  <c r="Q7477" i="29"/>
  <c r="T7477" i="29"/>
  <c r="Q7478" i="29"/>
  <c r="Q7479" i="29"/>
  <c r="S7479" i="29"/>
  <c r="Q7480" i="29"/>
  <c r="T7480" i="29"/>
  <c r="Q7481" i="29"/>
  <c r="Q7482" i="29"/>
  <c r="T7482" i="29"/>
  <c r="Q7483" i="29"/>
  <c r="T7483" i="29"/>
  <c r="Q7484" i="29"/>
  <c r="Q7485" i="29"/>
  <c r="Q7486" i="29"/>
  <c r="T7486" i="29"/>
  <c r="Q7487" i="29"/>
  <c r="T7487" i="29"/>
  <c r="Q7488" i="29"/>
  <c r="Q7489" i="29"/>
  <c r="T7489" i="29"/>
  <c r="Q7490" i="29"/>
  <c r="Q7491" i="29"/>
  <c r="Q7492" i="29"/>
  <c r="Q7493" i="29"/>
  <c r="S7493" i="29"/>
  <c r="Q7494" i="29"/>
  <c r="T7494" i="29"/>
  <c r="Q7495" i="29"/>
  <c r="S7495" i="29"/>
  <c r="Q7496" i="29"/>
  <c r="Q7497" i="29"/>
  <c r="Q7498" i="29"/>
  <c r="S7498" i="29"/>
  <c r="Q7499" i="29"/>
  <c r="Q7500" i="29"/>
  <c r="Q7501" i="29"/>
  <c r="Q7502" i="29"/>
  <c r="Q7503" i="29"/>
  <c r="Q7504" i="29"/>
  <c r="Q7505" i="29"/>
  <c r="T7505" i="29"/>
  <c r="Q7506" i="29"/>
  <c r="Q7507" i="29"/>
  <c r="Q7508" i="29"/>
  <c r="Q7509" i="29"/>
  <c r="S7509" i="29"/>
  <c r="Q7510" i="29"/>
  <c r="Q7511" i="29"/>
  <c r="Q7512" i="29"/>
  <c r="Q7513" i="29"/>
  <c r="T7513" i="29"/>
  <c r="Q7514" i="29"/>
  <c r="T7514" i="29"/>
  <c r="Q7515" i="29"/>
  <c r="T7515" i="29"/>
  <c r="Q7516" i="29"/>
  <c r="Q7517" i="29"/>
  <c r="Q7518" i="29"/>
  <c r="Q7519" i="29"/>
  <c r="Q7520" i="29"/>
  <c r="Q7521" i="29"/>
  <c r="Q7522" i="29"/>
  <c r="Q7523" i="29"/>
  <c r="T7523" i="29"/>
  <c r="Q7524" i="29"/>
  <c r="Q7525" i="29"/>
  <c r="S7525" i="29"/>
  <c r="Q7526" i="29"/>
  <c r="Q7527" i="29"/>
  <c r="Q7528" i="29"/>
  <c r="Q7529" i="29"/>
  <c r="Q7530" i="29"/>
  <c r="Q7531" i="29"/>
  <c r="Q7532" i="29"/>
  <c r="Q7533" i="29"/>
  <c r="Q7534" i="29"/>
  <c r="T7534" i="29"/>
  <c r="Q7535" i="29"/>
  <c r="Q7536" i="29"/>
  <c r="S7457" i="29"/>
  <c r="T7457" i="29"/>
  <c r="N7524" i="29"/>
  <c r="N7523" i="29"/>
  <c r="F7536" i="29"/>
  <c r="G7536" i="29"/>
  <c r="F7535" i="29"/>
  <c r="G7535" i="29"/>
  <c r="F7532" i="29"/>
  <c r="G7532" i="29"/>
  <c r="F7531" i="29"/>
  <c r="G7531" i="29"/>
  <c r="F7530" i="29"/>
  <c r="G7530" i="29"/>
  <c r="F7529" i="29"/>
  <c r="G7529" i="29"/>
  <c r="F7528" i="29"/>
  <c r="G7528" i="29"/>
  <c r="F7526" i="29"/>
  <c r="G7526" i="29"/>
  <c r="P7526" i="29"/>
  <c r="F7525" i="29"/>
  <c r="G7525" i="29"/>
  <c r="F7524" i="29"/>
  <c r="G7524" i="29"/>
  <c r="F7523" i="29"/>
  <c r="G7523" i="29"/>
  <c r="P7525" i="29"/>
  <c r="P7524" i="29"/>
  <c r="P7523" i="29"/>
  <c r="P7522" i="29"/>
  <c r="G7522" i="29"/>
  <c r="F7522" i="29"/>
  <c r="P7521" i="29"/>
  <c r="G7521" i="29"/>
  <c r="F7521" i="29"/>
  <c r="P7520" i="29"/>
  <c r="G7520" i="29"/>
  <c r="F7520" i="29"/>
  <c r="P7519" i="29"/>
  <c r="G7519" i="29"/>
  <c r="F7519" i="29"/>
  <c r="P7518" i="29"/>
  <c r="G7518" i="29"/>
  <c r="F7518" i="29"/>
  <c r="P7517" i="29"/>
  <c r="G7517" i="29"/>
  <c r="F7517" i="29"/>
  <c r="P7516" i="29"/>
  <c r="G7516" i="29"/>
  <c r="F7516" i="29"/>
  <c r="P7515" i="29"/>
  <c r="G7515" i="29"/>
  <c r="F7515" i="29"/>
  <c r="P7514" i="29"/>
  <c r="G7514" i="29"/>
  <c r="F7514" i="29"/>
  <c r="P7513" i="29"/>
  <c r="G7513" i="29"/>
  <c r="F7513" i="29"/>
  <c r="P7512" i="29"/>
  <c r="G7512" i="29"/>
  <c r="F7512" i="29"/>
  <c r="P7511" i="29"/>
  <c r="G7511" i="29"/>
  <c r="F7511" i="29"/>
  <c r="P7510" i="29"/>
  <c r="G7510" i="29"/>
  <c r="F7510" i="29"/>
  <c r="P7509" i="29"/>
  <c r="G7509" i="29"/>
  <c r="F7509" i="29"/>
  <c r="G7508" i="29"/>
  <c r="F7508" i="29"/>
  <c r="P7507" i="29"/>
  <c r="G7507" i="29"/>
  <c r="F7507" i="29"/>
  <c r="P7506" i="29"/>
  <c r="G7506" i="29"/>
  <c r="F7506" i="29"/>
  <c r="P7505" i="29"/>
  <c r="G7505" i="29"/>
  <c r="F7505" i="29"/>
  <c r="P7504" i="29"/>
  <c r="G7504" i="29"/>
  <c r="F7504" i="29"/>
  <c r="P7503" i="29"/>
  <c r="G7503" i="29"/>
  <c r="F7503" i="29"/>
  <c r="P7502" i="29"/>
  <c r="G7502" i="29"/>
  <c r="F7502" i="29"/>
  <c r="P7501" i="29"/>
  <c r="G7501" i="29"/>
  <c r="F7501" i="29"/>
  <c r="P7500" i="29"/>
  <c r="G7500" i="29"/>
  <c r="F7500" i="29"/>
  <c r="P7499" i="29"/>
  <c r="G7499" i="29"/>
  <c r="F7499" i="29"/>
  <c r="P7498" i="29"/>
  <c r="G7498" i="29"/>
  <c r="F7498" i="29"/>
  <c r="P7497" i="29"/>
  <c r="G7497" i="29"/>
  <c r="F7497" i="29"/>
  <c r="P7496" i="29"/>
  <c r="G7496" i="29"/>
  <c r="F7496" i="29"/>
  <c r="P7495" i="29"/>
  <c r="G7495" i="29"/>
  <c r="F7495" i="29"/>
  <c r="P7494" i="29"/>
  <c r="G7494" i="29"/>
  <c r="F7494" i="29"/>
  <c r="P7493" i="29"/>
  <c r="G7493" i="29"/>
  <c r="F7493" i="29"/>
  <c r="P7492" i="29"/>
  <c r="G7492" i="29"/>
  <c r="F7492" i="29"/>
  <c r="P7491" i="29"/>
  <c r="G7491" i="29"/>
  <c r="F7491" i="29"/>
  <c r="P7490" i="29"/>
  <c r="G7490" i="29"/>
  <c r="F7490" i="29"/>
  <c r="P7489" i="29"/>
  <c r="G7489" i="29"/>
  <c r="F7489" i="29"/>
  <c r="P7488" i="29"/>
  <c r="G7488" i="29"/>
  <c r="F7488" i="29"/>
  <c r="P7487" i="29"/>
  <c r="G7487" i="29"/>
  <c r="F7487" i="29"/>
  <c r="P7486" i="29"/>
  <c r="G7486" i="29"/>
  <c r="F7486" i="29"/>
  <c r="F7477" i="29"/>
  <c r="G7477" i="29"/>
  <c r="F7478" i="29"/>
  <c r="G7478" i="29"/>
  <c r="F7479" i="29"/>
  <c r="G7479" i="29"/>
  <c r="F7480" i="29"/>
  <c r="G7480" i="29"/>
  <c r="F7481" i="29"/>
  <c r="G7481" i="29"/>
  <c r="F7482" i="29"/>
  <c r="G7482" i="29"/>
  <c r="G7476" i="29"/>
  <c r="F7476" i="29"/>
  <c r="G7475" i="29"/>
  <c r="F7475" i="29"/>
  <c r="G7474" i="29"/>
  <c r="F7474" i="29"/>
  <c r="G7473" i="29"/>
  <c r="F7473" i="29"/>
  <c r="G7472" i="29"/>
  <c r="F7472" i="29"/>
  <c r="G7471" i="29"/>
  <c r="F7471" i="29"/>
  <c r="G7470" i="29"/>
  <c r="F7470" i="29"/>
  <c r="G7469" i="29"/>
  <c r="F7469" i="29"/>
  <c r="G7468" i="29"/>
  <c r="F7468" i="29"/>
  <c r="G7467" i="29"/>
  <c r="F7467" i="29"/>
  <c r="G7466" i="29"/>
  <c r="F7466" i="29"/>
  <c r="G7447" i="29"/>
  <c r="F7447" i="29"/>
  <c r="G7443" i="29"/>
  <c r="F7443" i="29"/>
  <c r="G7442" i="29"/>
  <c r="F7442" i="29"/>
  <c r="N7466" i="29"/>
  <c r="P7465" i="29"/>
  <c r="N7465" i="29"/>
  <c r="G7465" i="29"/>
  <c r="F7465" i="29"/>
  <c r="N7464" i="29"/>
  <c r="G7464" i="29"/>
  <c r="F7464" i="29"/>
  <c r="P7463" i="29"/>
  <c r="N7463" i="29"/>
  <c r="G7463" i="29"/>
  <c r="F7463" i="29"/>
  <c r="Q7462" i="29"/>
  <c r="P7462" i="29"/>
  <c r="N7462" i="29"/>
  <c r="G7462" i="29"/>
  <c r="F7462" i="29"/>
  <c r="F7461" i="29"/>
  <c r="G7461" i="29"/>
  <c r="F7460" i="29"/>
  <c r="G7460" i="29"/>
  <c r="F7459" i="29"/>
  <c r="G7459" i="29"/>
  <c r="F7458" i="29"/>
  <c r="G7458" i="29"/>
  <c r="P7461" i="29"/>
  <c r="P7460" i="29"/>
  <c r="P7459" i="29"/>
  <c r="P7458" i="29"/>
  <c r="P7457" i="29"/>
  <c r="N7457" i="29"/>
  <c r="G7457" i="29"/>
  <c r="F7457" i="29"/>
  <c r="Q7456" i="29"/>
  <c r="P7456" i="29"/>
  <c r="N7456" i="29"/>
  <c r="G7456" i="29"/>
  <c r="F7456" i="29"/>
  <c r="Q7455" i="29"/>
  <c r="P7455" i="29"/>
  <c r="N7455" i="29"/>
  <c r="G7455" i="29"/>
  <c r="F7455" i="29"/>
  <c r="Q7454" i="29"/>
  <c r="P7454" i="29"/>
  <c r="N7454" i="29"/>
  <c r="G7454" i="29"/>
  <c r="F7454" i="29"/>
  <c r="W7453" i="29"/>
  <c r="N7453" i="29"/>
  <c r="E680" i="6"/>
  <c r="Q7426" i="29"/>
  <c r="Q7427" i="29"/>
  <c r="Q7428" i="29"/>
  <c r="Q7429" i="29"/>
  <c r="S7429" i="29"/>
  <c r="Q7430" i="29"/>
  <c r="Q7431" i="29"/>
  <c r="S7431" i="29"/>
  <c r="Q7432" i="29"/>
  <c r="Q7433" i="29"/>
  <c r="Q7434" i="29"/>
  <c r="Q7435" i="29"/>
  <c r="T7435" i="29"/>
  <c r="Q7436" i="29"/>
  <c r="Q7437" i="29"/>
  <c r="T7437" i="29"/>
  <c r="Q7438" i="29"/>
  <c r="T7438" i="29"/>
  <c r="Q7439" i="29"/>
  <c r="Q7440" i="29"/>
  <c r="Q7441" i="29"/>
  <c r="T7441" i="29"/>
  <c r="Q7442" i="29"/>
  <c r="Q7443" i="29"/>
  <c r="Q7444" i="29"/>
  <c r="Q7445" i="29"/>
  <c r="T7445" i="29"/>
  <c r="Q7446" i="29"/>
  <c r="Q7447" i="29"/>
  <c r="Q7448" i="29"/>
  <c r="Q7449" i="29"/>
  <c r="Q7450" i="29"/>
  <c r="Q7451" i="29"/>
  <c r="Q7452" i="29"/>
  <c r="N7366" i="29"/>
  <c r="N7367" i="29"/>
  <c r="N7368" i="29"/>
  <c r="N7369" i="29"/>
  <c r="N7370" i="29"/>
  <c r="N7371" i="29"/>
  <c r="N7372" i="29"/>
  <c r="N7373" i="29"/>
  <c r="N7374" i="29"/>
  <c r="N7375" i="29"/>
  <c r="N7376" i="29"/>
  <c r="N7377" i="29"/>
  <c r="N7378" i="29"/>
  <c r="N7379" i="29"/>
  <c r="N7380" i="29"/>
  <c r="N7381" i="29"/>
  <c r="N7382" i="29"/>
  <c r="N7383" i="29"/>
  <c r="N7384" i="29"/>
  <c r="N7385" i="29"/>
  <c r="N7386" i="29"/>
  <c r="N7387" i="29"/>
  <c r="N7388" i="29"/>
  <c r="N7389" i="29"/>
  <c r="N7390" i="29"/>
  <c r="N7391" i="29"/>
  <c r="N7392" i="29"/>
  <c r="N7393" i="29"/>
  <c r="N7394" i="29"/>
  <c r="N7395" i="29"/>
  <c r="N7396" i="29"/>
  <c r="N7397" i="29"/>
  <c r="N7398" i="29"/>
  <c r="N7399" i="29"/>
  <c r="N7400" i="29"/>
  <c r="N7401" i="29"/>
  <c r="N7402" i="29"/>
  <c r="N7403" i="29"/>
  <c r="N7404" i="29"/>
  <c r="N7405" i="29"/>
  <c r="N7406" i="29"/>
  <c r="N7407" i="29"/>
  <c r="N7408" i="29"/>
  <c r="N7409" i="29"/>
  <c r="N7410" i="29"/>
  <c r="N7411" i="29"/>
  <c r="N7412" i="29"/>
  <c r="N7413" i="29"/>
  <c r="N7414" i="29"/>
  <c r="N7415" i="29"/>
  <c r="N7416" i="29"/>
  <c r="N7417" i="29"/>
  <c r="N7418" i="29"/>
  <c r="N7419" i="29"/>
  <c r="N7420" i="29"/>
  <c r="N7421" i="29"/>
  <c r="N7422" i="29"/>
  <c r="N7423" i="29"/>
  <c r="N7424" i="29"/>
  <c r="N7425" i="29"/>
  <c r="N7426" i="29"/>
  <c r="N7427" i="29"/>
  <c r="N7428" i="29"/>
  <c r="N7429" i="29"/>
  <c r="N7430" i="29"/>
  <c r="N7431" i="29"/>
  <c r="N7432" i="29"/>
  <c r="N7433" i="29"/>
  <c r="N7434" i="29"/>
  <c r="N7435" i="29"/>
  <c r="N7436" i="29"/>
  <c r="N7437" i="29"/>
  <c r="N7438" i="29"/>
  <c r="N7439" i="29"/>
  <c r="N7440" i="29"/>
  <c r="N7441" i="29"/>
  <c r="N7442" i="29"/>
  <c r="N7443" i="29"/>
  <c r="N7444" i="29"/>
  <c r="N7445" i="29"/>
  <c r="N7446" i="29"/>
  <c r="N7447" i="29"/>
  <c r="N7448" i="29"/>
  <c r="N7449" i="29"/>
  <c r="N7450" i="29"/>
  <c r="N7451" i="29"/>
  <c r="N7452" i="29"/>
  <c r="Q7395" i="29"/>
  <c r="G7395" i="29"/>
  <c r="F7395" i="29"/>
  <c r="F7452" i="29"/>
  <c r="G7452" i="29"/>
  <c r="F7451" i="29"/>
  <c r="G7451" i="29"/>
  <c r="F7450" i="29"/>
  <c r="G7450" i="29"/>
  <c r="P7452" i="29"/>
  <c r="P7451" i="29"/>
  <c r="P7450" i="29"/>
  <c r="F7449" i="29"/>
  <c r="G7449" i="29"/>
  <c r="P7449" i="29"/>
  <c r="P7448" i="29"/>
  <c r="G7448" i="29"/>
  <c r="F7448" i="29"/>
  <c r="P7447" i="29"/>
  <c r="F7446" i="29"/>
  <c r="G7446" i="29"/>
  <c r="F7445" i="29"/>
  <c r="G7445" i="29"/>
  <c r="P7446" i="29"/>
  <c r="P7445" i="29"/>
  <c r="F7444" i="29"/>
  <c r="G7444" i="29"/>
  <c r="P7444" i="29"/>
  <c r="F7441" i="29"/>
  <c r="G7441" i="29"/>
  <c r="P7443" i="29"/>
  <c r="P7442" i="29"/>
  <c r="P7441" i="29"/>
  <c r="P7440" i="29"/>
  <c r="G7440" i="29"/>
  <c r="F7440" i="29"/>
  <c r="F7439" i="29"/>
  <c r="G7439" i="29"/>
  <c r="P7439" i="29"/>
  <c r="P7438" i="29"/>
  <c r="G7438" i="29"/>
  <c r="F7438" i="29"/>
  <c r="P7437" i="29"/>
  <c r="G7437" i="29"/>
  <c r="F7437" i="29"/>
  <c r="P7436" i="29"/>
  <c r="G7436" i="29"/>
  <c r="F7436" i="29"/>
  <c r="P7435" i="29"/>
  <c r="G7435" i="29"/>
  <c r="F7435" i="29"/>
  <c r="P7434" i="29"/>
  <c r="G7434" i="29"/>
  <c r="F7434" i="29"/>
  <c r="P7433" i="29"/>
  <c r="G7433" i="29"/>
  <c r="F7433" i="29"/>
  <c r="P7432" i="29"/>
  <c r="G7432" i="29"/>
  <c r="F7432" i="29"/>
  <c r="P7431" i="29"/>
  <c r="G7431" i="29"/>
  <c r="J7431" i="29"/>
  <c r="F7431" i="29"/>
  <c r="G7430" i="29"/>
  <c r="F7430" i="29"/>
  <c r="P7429" i="29"/>
  <c r="G7429" i="29"/>
  <c r="F7429" i="29"/>
  <c r="P7428" i="29"/>
  <c r="G7428" i="29"/>
  <c r="F7428" i="29"/>
  <c r="P7427" i="29"/>
  <c r="G7427" i="29"/>
  <c r="F7427" i="29"/>
  <c r="F7426" i="29"/>
  <c r="G7426" i="29"/>
  <c r="F7425" i="29"/>
  <c r="G7425" i="29"/>
  <c r="F7424" i="29"/>
  <c r="G7424" i="29"/>
  <c r="F7423" i="29"/>
  <c r="G7423" i="29"/>
  <c r="Q7425" i="29"/>
  <c r="Q7424" i="29"/>
  <c r="Q7423" i="29"/>
  <c r="P7426" i="29"/>
  <c r="P7425" i="29"/>
  <c r="P7424" i="29"/>
  <c r="P7423" i="29"/>
  <c r="Q7422" i="29"/>
  <c r="T7422" i="29"/>
  <c r="P7422" i="29"/>
  <c r="G7422" i="29"/>
  <c r="F7422" i="29"/>
  <c r="Q7421" i="29"/>
  <c r="T7421" i="29"/>
  <c r="P7421" i="29"/>
  <c r="G7421" i="29"/>
  <c r="F7421" i="29"/>
  <c r="Q7420" i="29"/>
  <c r="T7420" i="29"/>
  <c r="P7420" i="29"/>
  <c r="G7420" i="29"/>
  <c r="F7420" i="29"/>
  <c r="Q7419" i="29"/>
  <c r="P7419" i="29"/>
  <c r="G7419" i="29"/>
  <c r="F7419" i="29"/>
  <c r="Q7418" i="29"/>
  <c r="T7418" i="29"/>
  <c r="P7418" i="29"/>
  <c r="G7418" i="29"/>
  <c r="F7418" i="29"/>
  <c r="Q7417" i="29"/>
  <c r="P7417" i="29"/>
  <c r="G7417" i="29"/>
  <c r="F7417" i="29"/>
  <c r="Q7416" i="29"/>
  <c r="P7416" i="29"/>
  <c r="G7416" i="29"/>
  <c r="F7416" i="29"/>
  <c r="Q7415" i="29"/>
  <c r="P7415" i="29"/>
  <c r="G7415" i="29"/>
  <c r="F7415" i="29"/>
  <c r="Q7394" i="29"/>
  <c r="P7394" i="29"/>
  <c r="G7394" i="29"/>
  <c r="F7394" i="29"/>
  <c r="Q7393" i="29"/>
  <c r="P7393" i="29"/>
  <c r="G7393" i="29"/>
  <c r="F7393" i="29"/>
  <c r="Q7392" i="29"/>
  <c r="T7392" i="29"/>
  <c r="P7392" i="29"/>
  <c r="G7392" i="29"/>
  <c r="F7392" i="29"/>
  <c r="Q7391" i="29"/>
  <c r="P7391" i="29"/>
  <c r="G7391" i="29"/>
  <c r="F7391" i="29"/>
  <c r="Q7390" i="29"/>
  <c r="T7390" i="29"/>
  <c r="P7390" i="29"/>
  <c r="G7390" i="29"/>
  <c r="F7390" i="29"/>
  <c r="Q7389" i="29"/>
  <c r="P7389" i="29"/>
  <c r="G7389" i="29"/>
  <c r="F7389" i="29"/>
  <c r="Q7388" i="29"/>
  <c r="P7388" i="29"/>
  <c r="G7388" i="29"/>
  <c r="F7388" i="29"/>
  <c r="Q7387" i="29"/>
  <c r="P7387" i="29"/>
  <c r="G7387" i="29"/>
  <c r="F7387" i="29"/>
  <c r="Q7386" i="29"/>
  <c r="P7386" i="29"/>
  <c r="G7386" i="29"/>
  <c r="F7386" i="29"/>
  <c r="Q7385" i="29"/>
  <c r="S7385" i="29"/>
  <c r="P7385" i="29"/>
  <c r="G7385" i="29"/>
  <c r="F7385" i="29"/>
  <c r="Q7384" i="29"/>
  <c r="P7384" i="29"/>
  <c r="G7384" i="29"/>
  <c r="F7384" i="29"/>
  <c r="Q7383" i="29"/>
  <c r="S7383" i="29"/>
  <c r="P7383" i="29"/>
  <c r="G7383" i="29"/>
  <c r="F7383" i="29"/>
  <c r="Q7380" i="29"/>
  <c r="P7380" i="29"/>
  <c r="G7380" i="29"/>
  <c r="F7380" i="29"/>
  <c r="Q7382" i="29"/>
  <c r="P7382" i="29"/>
  <c r="G7382" i="29"/>
  <c r="F7382" i="29"/>
  <c r="Q7381" i="29"/>
  <c r="P7381" i="29"/>
  <c r="G7381" i="29"/>
  <c r="F7381" i="29"/>
  <c r="Q7379" i="29"/>
  <c r="P7379" i="29"/>
  <c r="G7379" i="29"/>
  <c r="F7379" i="29"/>
  <c r="F7378" i="29"/>
  <c r="G7378" i="29"/>
  <c r="Q7378" i="29"/>
  <c r="P7378" i="29"/>
  <c r="F7377" i="29"/>
  <c r="G7377" i="29"/>
  <c r="Q7377" i="29"/>
  <c r="P7377" i="29"/>
  <c r="F7376" i="29"/>
  <c r="G7376" i="29"/>
  <c r="Q7376" i="29"/>
  <c r="P7376" i="29"/>
  <c r="Q7374" i="29"/>
  <c r="P7374" i="29"/>
  <c r="G7374" i="29"/>
  <c r="F7374" i="29"/>
  <c r="Q7375" i="29"/>
  <c r="T7375" i="29"/>
  <c r="P7375" i="29"/>
  <c r="G7375" i="29"/>
  <c r="F7375" i="29"/>
  <c r="Q7372" i="29"/>
  <c r="S7372" i="29"/>
  <c r="P7372" i="29"/>
  <c r="G7372" i="29"/>
  <c r="F7372" i="29"/>
  <c r="Q7373" i="29"/>
  <c r="T7373" i="29"/>
  <c r="P7373" i="29"/>
  <c r="G7373" i="29"/>
  <c r="F7373" i="29"/>
  <c r="Q7371" i="29"/>
  <c r="P7371" i="29"/>
  <c r="G7371" i="29"/>
  <c r="F7371" i="29"/>
  <c r="Q7369" i="29"/>
  <c r="P7369" i="29"/>
  <c r="G7369" i="29"/>
  <c r="F7369" i="29"/>
  <c r="Q7370" i="29"/>
  <c r="P7370" i="29"/>
  <c r="G7370" i="29"/>
  <c r="F7370" i="29"/>
  <c r="Q7368" i="29"/>
  <c r="P7368" i="29"/>
  <c r="G7368" i="29"/>
  <c r="F7368" i="29"/>
  <c r="F7367" i="29"/>
  <c r="G7367" i="29"/>
  <c r="F7366" i="29"/>
  <c r="G7366" i="29"/>
  <c r="Q7367" i="29"/>
  <c r="S7367" i="29"/>
  <c r="Q7366" i="29"/>
  <c r="P7367" i="29"/>
  <c r="P7366" i="29"/>
  <c r="Q7365" i="29"/>
  <c r="P7365" i="29"/>
  <c r="N7365" i="29"/>
  <c r="G7365" i="29"/>
  <c r="F7365" i="29"/>
  <c r="Q7364" i="29"/>
  <c r="P7364" i="29"/>
  <c r="N7364" i="29"/>
  <c r="G7364" i="29"/>
  <c r="F7364" i="29"/>
  <c r="Q7363" i="29"/>
  <c r="P7363" i="29"/>
  <c r="N7363" i="29"/>
  <c r="G7363" i="29"/>
  <c r="F7363" i="29"/>
  <c r="Q7362" i="29"/>
  <c r="P7362" i="29"/>
  <c r="N7362" i="29"/>
  <c r="G7362" i="29"/>
  <c r="F7362" i="29"/>
  <c r="Q7361" i="29"/>
  <c r="P7361" i="29"/>
  <c r="N7361" i="29"/>
  <c r="G7361" i="29"/>
  <c r="F7361" i="29"/>
  <c r="T7360" i="29"/>
  <c r="S7360" i="29"/>
  <c r="P7360" i="29"/>
  <c r="N7360" i="29"/>
  <c r="G7360" i="29"/>
  <c r="F7360" i="29"/>
  <c r="R7359" i="29"/>
  <c r="Q7359" i="29"/>
  <c r="P7359" i="29"/>
  <c r="N7359" i="29"/>
  <c r="G7359" i="29"/>
  <c r="F7359" i="29"/>
  <c r="R7358" i="29"/>
  <c r="Q7358" i="29"/>
  <c r="P7358" i="29"/>
  <c r="N7358" i="29"/>
  <c r="G7358" i="29"/>
  <c r="F7358" i="29"/>
  <c r="Q7357" i="29"/>
  <c r="T7357" i="29"/>
  <c r="P7357" i="29"/>
  <c r="N7357" i="29"/>
  <c r="G7357" i="29"/>
  <c r="F7357" i="29"/>
  <c r="Q7356" i="29"/>
  <c r="T7356" i="29"/>
  <c r="P7356" i="29"/>
  <c r="N7356" i="29"/>
  <c r="G7356" i="29"/>
  <c r="F7356" i="29"/>
  <c r="Q7414" i="29"/>
  <c r="G7414" i="29"/>
  <c r="F7414" i="29"/>
  <c r="Q7413" i="29"/>
  <c r="S7413" i="29"/>
  <c r="G7413" i="29"/>
  <c r="F7413" i="29"/>
  <c r="Q7412" i="29"/>
  <c r="G7412" i="29"/>
  <c r="F7412" i="29"/>
  <c r="Q7411" i="29"/>
  <c r="G7411" i="29"/>
  <c r="F7411" i="29"/>
  <c r="Q7410" i="29"/>
  <c r="G7410" i="29"/>
  <c r="F7410" i="29"/>
  <c r="Q7409" i="29"/>
  <c r="G7409" i="29"/>
  <c r="F7409" i="29"/>
  <c r="Q7408" i="29"/>
  <c r="G7408" i="29"/>
  <c r="F7408" i="29"/>
  <c r="Q7407" i="29"/>
  <c r="G7407" i="29"/>
  <c r="F7407" i="29"/>
  <c r="Q7406" i="29"/>
  <c r="S7406" i="29"/>
  <c r="G7406" i="29"/>
  <c r="F7406" i="29"/>
  <c r="Q7405" i="29"/>
  <c r="G7405" i="29"/>
  <c r="F7405" i="29"/>
  <c r="Q7404" i="29"/>
  <c r="S7404" i="29"/>
  <c r="G7404" i="29"/>
  <c r="F7404" i="29"/>
  <c r="Q7403" i="29"/>
  <c r="G7403" i="29"/>
  <c r="F7403" i="29"/>
  <c r="Q7402" i="29"/>
  <c r="T7402" i="29"/>
  <c r="G7402" i="29"/>
  <c r="F7402" i="29"/>
  <c r="Q7401" i="29"/>
  <c r="T7401" i="29"/>
  <c r="G7401" i="29"/>
  <c r="F7401" i="29"/>
  <c r="Q7400" i="29"/>
  <c r="G7400" i="29"/>
  <c r="F7400" i="29"/>
  <c r="Q7399" i="29"/>
  <c r="G7399" i="29"/>
  <c r="F7399" i="29"/>
  <c r="Q7398" i="29"/>
  <c r="S7398" i="29"/>
  <c r="G7398" i="29"/>
  <c r="F7398" i="29"/>
  <c r="Q7397" i="29"/>
  <c r="G7397" i="29"/>
  <c r="F7397" i="29"/>
  <c r="Q7396" i="29"/>
  <c r="S7396" i="29"/>
  <c r="G7396" i="29"/>
  <c r="F7396" i="29"/>
  <c r="W7355" i="29"/>
  <c r="N7355" i="29"/>
  <c r="Q7277" i="29"/>
  <c r="S7277" i="29"/>
  <c r="Q7278" i="29"/>
  <c r="Q7279" i="29"/>
  <c r="Q7280" i="29"/>
  <c r="Q7281" i="29"/>
  <c r="Q7282" i="29"/>
  <c r="Q7283" i="29"/>
  <c r="Q7284" i="29"/>
  <c r="Q7285" i="29"/>
  <c r="Q7286" i="29"/>
  <c r="Q7287" i="29"/>
  <c r="Q7288" i="29"/>
  <c r="Q7289" i="29"/>
  <c r="Q7290" i="29"/>
  <c r="Q7291" i="29"/>
  <c r="S7291" i="29"/>
  <c r="Q7292" i="29"/>
  <c r="S7292" i="29"/>
  <c r="Q7293" i="29"/>
  <c r="Q7294" i="29"/>
  <c r="S7294" i="29"/>
  <c r="Q7295" i="29"/>
  <c r="Q7296" i="29"/>
  <c r="Q7297" i="29"/>
  <c r="S7297" i="29"/>
  <c r="Q7298" i="29"/>
  <c r="Q7299" i="29"/>
  <c r="S7299" i="29"/>
  <c r="Q7300" i="29"/>
  <c r="Q7301" i="29"/>
  <c r="Q7302" i="29"/>
  <c r="T7302" i="29"/>
  <c r="Q7303" i="29"/>
  <c r="Q7304" i="29"/>
  <c r="Q7305" i="29"/>
  <c r="S7305" i="29"/>
  <c r="Q7306" i="29"/>
  <c r="Q7307" i="29"/>
  <c r="Q7308" i="29"/>
  <c r="Q7309" i="29"/>
  <c r="T7309" i="29"/>
  <c r="Q7310" i="29"/>
  <c r="Q7311" i="29"/>
  <c r="Q7312" i="29"/>
  <c r="S7312" i="29"/>
  <c r="Q7313" i="29"/>
  <c r="Q7314" i="29"/>
  <c r="Q7315" i="29"/>
  <c r="Q7316" i="29"/>
  <c r="Q7317" i="29"/>
  <c r="Q7318" i="29"/>
  <c r="Q7319" i="29"/>
  <c r="Q7320" i="29"/>
  <c r="Q7321" i="29"/>
  <c r="Q7322" i="29"/>
  <c r="Q7323" i="29"/>
  <c r="Q7324" i="29"/>
  <c r="Q7325" i="29"/>
  <c r="Q7326" i="29"/>
  <c r="Q7327" i="29"/>
  <c r="Q7328" i="29"/>
  <c r="Q7329" i="29"/>
  <c r="Q7330" i="29"/>
  <c r="Q7331" i="29"/>
  <c r="Q7332" i="29"/>
  <c r="S7332" i="29"/>
  <c r="Q7333" i="29"/>
  <c r="S7333" i="29"/>
  <c r="Q7334" i="29"/>
  <c r="S7334" i="29"/>
  <c r="Q7335" i="29"/>
  <c r="Q7336" i="29"/>
  <c r="Q7337" i="29"/>
  <c r="Q7338" i="29"/>
  <c r="Q7339" i="29"/>
  <c r="Q7340" i="29"/>
  <c r="Q7341" i="29"/>
  <c r="Q7342" i="29"/>
  <c r="Q7343" i="29"/>
  <c r="Q7344" i="29"/>
  <c r="Q7345" i="29"/>
  <c r="Q7346" i="29"/>
  <c r="Q7347" i="29"/>
  <c r="Q7348" i="29"/>
  <c r="Q7349" i="29"/>
  <c r="S7349" i="29"/>
  <c r="Q7350" i="29"/>
  <c r="Q7351" i="29"/>
  <c r="Q7352" i="29"/>
  <c r="Q7353" i="29"/>
  <c r="Q7354" i="29"/>
  <c r="N7354" i="29"/>
  <c r="N7353" i="29"/>
  <c r="N7352" i="29"/>
  <c r="N7351" i="29"/>
  <c r="N7350" i="29"/>
  <c r="N7349" i="29"/>
  <c r="N7345" i="29"/>
  <c r="N7338" i="29"/>
  <c r="N7331" i="29"/>
  <c r="N7324" i="29"/>
  <c r="F7354" i="29"/>
  <c r="G7354" i="29"/>
  <c r="P7354" i="29"/>
  <c r="F7353" i="29"/>
  <c r="G7353" i="29"/>
  <c r="F7352" i="29"/>
  <c r="G7352" i="29"/>
  <c r="P7353" i="29"/>
  <c r="P7352" i="29"/>
  <c r="F7351" i="29"/>
  <c r="G7351" i="29"/>
  <c r="P7351" i="29"/>
  <c r="F7350" i="29"/>
  <c r="G7350" i="29"/>
  <c r="P7350" i="29"/>
  <c r="F7349" i="29"/>
  <c r="G7349" i="29"/>
  <c r="P7349" i="29"/>
  <c r="P7348" i="29"/>
  <c r="N7348" i="29"/>
  <c r="G7348" i="29"/>
  <c r="F7348" i="29"/>
  <c r="P7347" i="29"/>
  <c r="N7347" i="29"/>
  <c r="G7347" i="29"/>
  <c r="F7347" i="29"/>
  <c r="P7346" i="29"/>
  <c r="N7346" i="29"/>
  <c r="G7346" i="29"/>
  <c r="F7346" i="29"/>
  <c r="F7345" i="29"/>
  <c r="G7345" i="29"/>
  <c r="P7345" i="29"/>
  <c r="P7344" i="29"/>
  <c r="N7344" i="29"/>
  <c r="G7344" i="29"/>
  <c r="F7344" i="29"/>
  <c r="P7343" i="29"/>
  <c r="N7343" i="29"/>
  <c r="G7343" i="29"/>
  <c r="F7343" i="29"/>
  <c r="P7342" i="29"/>
  <c r="N7342" i="29"/>
  <c r="G7342" i="29"/>
  <c r="F7342" i="29"/>
  <c r="F7341" i="29"/>
  <c r="G7341" i="29"/>
  <c r="P7341" i="29"/>
  <c r="N7340" i="29"/>
  <c r="F7340" i="29"/>
  <c r="G7340" i="29"/>
  <c r="P7340" i="29"/>
  <c r="P7339" i="29"/>
  <c r="N7339" i="29"/>
  <c r="G7339" i="29"/>
  <c r="F7339" i="29"/>
  <c r="P7338" i="29"/>
  <c r="G7338" i="29"/>
  <c r="F7338" i="29"/>
  <c r="P7336" i="29"/>
  <c r="G7336" i="29"/>
  <c r="F7336" i="29"/>
  <c r="P7337" i="29"/>
  <c r="N7337" i="29"/>
  <c r="G7337" i="29"/>
  <c r="F7337" i="29"/>
  <c r="G7335" i="29"/>
  <c r="F7335" i="29"/>
  <c r="P7334" i="29"/>
  <c r="N7334" i="29"/>
  <c r="G7334" i="29"/>
  <c r="F7334" i="29"/>
  <c r="P7333" i="29"/>
  <c r="N7333" i="29"/>
  <c r="G7333" i="29"/>
  <c r="F7333" i="29"/>
  <c r="P7332" i="29"/>
  <c r="N7332" i="29"/>
  <c r="G7332" i="29"/>
  <c r="F7332" i="29"/>
  <c r="F7331" i="29"/>
  <c r="G7331" i="29"/>
  <c r="P7331" i="29"/>
  <c r="P7330" i="29"/>
  <c r="N7330" i="29"/>
  <c r="G7330" i="29"/>
  <c r="F7330" i="29"/>
  <c r="P7329" i="29"/>
  <c r="N7329" i="29"/>
  <c r="G7329" i="29"/>
  <c r="F7329" i="29"/>
  <c r="N7327" i="29"/>
  <c r="P7328" i="29"/>
  <c r="N7328" i="29"/>
  <c r="G7328" i="29"/>
  <c r="F7328" i="29"/>
  <c r="F7327" i="29"/>
  <c r="G7327" i="29"/>
  <c r="P7327" i="29"/>
  <c r="P7326" i="29"/>
  <c r="N7326" i="29"/>
  <c r="G7326" i="29"/>
  <c r="F7326" i="29"/>
  <c r="P7325" i="29"/>
  <c r="N7325" i="29"/>
  <c r="G7325" i="29"/>
  <c r="F7325" i="29"/>
  <c r="F7324" i="29"/>
  <c r="G7324" i="29"/>
  <c r="P7324" i="29"/>
  <c r="P7323" i="29"/>
  <c r="N7323" i="29"/>
  <c r="G7323" i="29"/>
  <c r="F7323" i="29"/>
  <c r="P7322" i="29"/>
  <c r="N7322" i="29"/>
  <c r="G7322" i="29"/>
  <c r="F7322" i="29"/>
  <c r="P7321" i="29"/>
  <c r="N7321" i="29"/>
  <c r="G7321" i="29"/>
  <c r="F7321" i="29"/>
  <c r="P7320" i="29"/>
  <c r="N7320" i="29"/>
  <c r="G7320" i="29"/>
  <c r="F7320" i="29"/>
  <c r="P7319" i="29"/>
  <c r="N7319" i="29"/>
  <c r="G7319" i="29"/>
  <c r="F7319" i="29"/>
  <c r="P7318" i="29"/>
  <c r="N7318" i="29"/>
  <c r="G7318" i="29"/>
  <c r="F7318" i="29"/>
  <c r="P7317" i="29"/>
  <c r="N7317" i="29"/>
  <c r="G7317" i="29"/>
  <c r="F7317" i="29"/>
  <c r="P7316" i="29"/>
  <c r="N7316" i="29"/>
  <c r="G7316" i="29"/>
  <c r="F7316" i="29"/>
  <c r="P7315" i="29"/>
  <c r="N7315" i="29"/>
  <c r="G7315" i="29"/>
  <c r="F7315" i="29"/>
  <c r="P7314" i="29"/>
  <c r="N7314" i="29"/>
  <c r="G7314" i="29"/>
  <c r="F7314" i="29"/>
  <c r="P7313" i="29"/>
  <c r="N7313" i="29"/>
  <c r="G7313" i="29"/>
  <c r="F7313" i="29"/>
  <c r="P7312" i="29"/>
  <c r="N7312" i="29"/>
  <c r="G7312" i="29"/>
  <c r="F7312" i="29"/>
  <c r="P7311" i="29"/>
  <c r="N7311" i="29"/>
  <c r="G7311" i="29"/>
  <c r="F7311" i="29"/>
  <c r="P7310" i="29"/>
  <c r="N7310" i="29"/>
  <c r="G7310" i="29"/>
  <c r="F7310" i="29"/>
  <c r="P7309" i="29"/>
  <c r="N7309" i="29"/>
  <c r="G7309" i="29"/>
  <c r="F7309" i="29"/>
  <c r="P7308" i="29"/>
  <c r="N7308" i="29"/>
  <c r="G7308" i="29"/>
  <c r="F7308" i="29"/>
  <c r="P7307" i="29"/>
  <c r="N7307" i="29"/>
  <c r="G7307" i="29"/>
  <c r="F7307" i="29"/>
  <c r="P7306" i="29"/>
  <c r="N7306" i="29"/>
  <c r="G7306" i="29"/>
  <c r="F7306" i="29"/>
  <c r="P7305" i="29"/>
  <c r="N7305" i="29"/>
  <c r="G7305" i="29"/>
  <c r="F7305" i="29"/>
  <c r="G7304" i="29"/>
  <c r="F7304" i="29"/>
  <c r="G7303" i="29"/>
  <c r="F7303" i="29"/>
  <c r="G7302" i="29"/>
  <c r="F7302" i="29"/>
  <c r="G7301" i="29"/>
  <c r="F7301" i="29"/>
  <c r="G7300" i="29"/>
  <c r="F7300" i="29"/>
  <c r="G7299" i="29"/>
  <c r="F7299" i="29"/>
  <c r="G7298" i="29"/>
  <c r="F7298" i="29"/>
  <c r="G7297" i="29"/>
  <c r="F7297" i="29"/>
  <c r="G7296" i="29"/>
  <c r="F7296" i="29"/>
  <c r="G7295" i="29"/>
  <c r="F7295" i="29"/>
  <c r="G7294" i="29"/>
  <c r="F7294" i="29"/>
  <c r="G7293" i="29"/>
  <c r="F7293" i="29"/>
  <c r="G7292" i="29"/>
  <c r="F7292" i="29"/>
  <c r="G7291" i="29"/>
  <c r="F7291" i="29"/>
  <c r="G7290" i="29"/>
  <c r="F7290" i="29"/>
  <c r="G7289" i="29"/>
  <c r="F7289" i="29"/>
  <c r="G7288" i="29"/>
  <c r="F7288" i="29"/>
  <c r="G7287" i="29"/>
  <c r="F7287" i="29"/>
  <c r="G7286" i="29"/>
  <c r="F7286" i="29"/>
  <c r="G7285" i="29"/>
  <c r="F7285" i="29"/>
  <c r="G7270" i="29"/>
  <c r="F7270" i="29"/>
  <c r="P7284" i="29"/>
  <c r="N7284" i="29"/>
  <c r="G7284" i="29"/>
  <c r="F7284" i="29"/>
  <c r="N7276" i="29"/>
  <c r="F7276" i="29"/>
  <c r="G7276" i="29"/>
  <c r="Q7276" i="29"/>
  <c r="P7276" i="29"/>
  <c r="Q7273" i="29"/>
  <c r="P7273" i="29"/>
  <c r="N7273" i="29"/>
  <c r="G7273" i="29"/>
  <c r="F7273" i="29"/>
  <c r="Q7275" i="29"/>
  <c r="P7275" i="29"/>
  <c r="N7275" i="29"/>
  <c r="G7275" i="29"/>
  <c r="F7275" i="29"/>
  <c r="Q7274" i="29"/>
  <c r="T7274" i="29"/>
  <c r="P7274" i="29"/>
  <c r="N7274" i="29"/>
  <c r="G7274" i="29"/>
  <c r="F7274" i="29"/>
  <c r="Q7272" i="29"/>
  <c r="P7272" i="29"/>
  <c r="N7272" i="29"/>
  <c r="G7272" i="29"/>
  <c r="F7272" i="29"/>
  <c r="P7283" i="29"/>
  <c r="N7283" i="29"/>
  <c r="G7283" i="29"/>
  <c r="F7283" i="29"/>
  <c r="P7282" i="29"/>
  <c r="N7282" i="29"/>
  <c r="G7282" i="29"/>
  <c r="F7282" i="29"/>
  <c r="P7281" i="29"/>
  <c r="N7281" i="29"/>
  <c r="G7281" i="29"/>
  <c r="F7281" i="29"/>
  <c r="P7280" i="29"/>
  <c r="N7280" i="29"/>
  <c r="G7280" i="29"/>
  <c r="F7280" i="29"/>
  <c r="P7279" i="29"/>
  <c r="N7279" i="29"/>
  <c r="G7279" i="29"/>
  <c r="F7279" i="29"/>
  <c r="P7278" i="29"/>
  <c r="N7278" i="29"/>
  <c r="G7278" i="29"/>
  <c r="F7278" i="29"/>
  <c r="P7277" i="29"/>
  <c r="N7277" i="29"/>
  <c r="G7277" i="29"/>
  <c r="F7277" i="29"/>
  <c r="W7271" i="29"/>
  <c r="N7271" i="29"/>
  <c r="P7199" i="29"/>
  <c r="Q7199" i="29"/>
  <c r="P7200" i="29"/>
  <c r="Q7200" i="29"/>
  <c r="P7201" i="29"/>
  <c r="Q7201" i="29"/>
  <c r="P7202" i="29"/>
  <c r="Q7202" i="29"/>
  <c r="P7203" i="29"/>
  <c r="Q7203" i="29"/>
  <c r="P7204" i="29"/>
  <c r="Q7204" i="29"/>
  <c r="P7205" i="29"/>
  <c r="Q7205" i="29"/>
  <c r="P7206" i="29"/>
  <c r="Q7206" i="29"/>
  <c r="P7207" i="29"/>
  <c r="Q7207" i="29"/>
  <c r="P7208" i="29"/>
  <c r="Q7208" i="29"/>
  <c r="P7209" i="29"/>
  <c r="Q7209" i="29"/>
  <c r="P7210" i="29"/>
  <c r="Q7210" i="29"/>
  <c r="P7211" i="29"/>
  <c r="Q7211" i="29"/>
  <c r="P7212" i="29"/>
  <c r="Q7212" i="29"/>
  <c r="P7213" i="29"/>
  <c r="Q7213" i="29"/>
  <c r="P7214" i="29"/>
  <c r="Q7214" i="29"/>
  <c r="P7215" i="29"/>
  <c r="Q7215" i="29"/>
  <c r="P7216" i="29"/>
  <c r="Q7216" i="29"/>
  <c r="P7217" i="29"/>
  <c r="Q7217" i="29"/>
  <c r="S7217" i="29"/>
  <c r="P7218" i="29"/>
  <c r="Q7218" i="29"/>
  <c r="P7219" i="29"/>
  <c r="Q7219" i="29"/>
  <c r="S7219" i="29"/>
  <c r="P7220" i="29"/>
  <c r="Q7220" i="29"/>
  <c r="S7220" i="29"/>
  <c r="P7221" i="29"/>
  <c r="Q7221" i="29"/>
  <c r="P7222" i="29"/>
  <c r="Q7222" i="29"/>
  <c r="P7223" i="29"/>
  <c r="Q7223" i="29"/>
  <c r="P7224" i="29"/>
  <c r="Q7224" i="29"/>
  <c r="P7225" i="29"/>
  <c r="Q7225" i="29"/>
  <c r="P7226" i="29"/>
  <c r="Q7226" i="29"/>
  <c r="P7227" i="29"/>
  <c r="Q7227" i="29"/>
  <c r="P7228" i="29"/>
  <c r="Q7228" i="29"/>
  <c r="P7229" i="29"/>
  <c r="Q7229" i="29"/>
  <c r="P7230" i="29"/>
  <c r="Q7230" i="29"/>
  <c r="P7231" i="29"/>
  <c r="Q7231" i="29"/>
  <c r="P7232" i="29"/>
  <c r="Q7232" i="29"/>
  <c r="P7233" i="29"/>
  <c r="Q7233" i="29"/>
  <c r="P7234" i="29"/>
  <c r="Q7234" i="29"/>
  <c r="P7235" i="29"/>
  <c r="Q7235" i="29"/>
  <c r="P7236" i="29"/>
  <c r="Q7236" i="29"/>
  <c r="T7236" i="29"/>
  <c r="P7237" i="29"/>
  <c r="Q7237" i="29"/>
  <c r="P7238" i="29"/>
  <c r="Q7238" i="29"/>
  <c r="P7239" i="29"/>
  <c r="Q7239" i="29"/>
  <c r="P7240" i="29"/>
  <c r="Q7240" i="29"/>
  <c r="P7241" i="29"/>
  <c r="Q7241" i="29"/>
  <c r="P7242" i="29"/>
  <c r="Q7242" i="29"/>
  <c r="P7243" i="29"/>
  <c r="Q7243" i="29"/>
  <c r="P7244" i="29"/>
  <c r="Q7244" i="29"/>
  <c r="T7244" i="29"/>
  <c r="P7245" i="29"/>
  <c r="Q7245" i="29"/>
  <c r="P7246" i="29"/>
  <c r="Q7246" i="29"/>
  <c r="P7247" i="29"/>
  <c r="Q7247" i="29"/>
  <c r="P7248" i="29"/>
  <c r="Q7248" i="29"/>
  <c r="P7249" i="29"/>
  <c r="Q7249" i="29"/>
  <c r="P7250" i="29"/>
  <c r="Q7250" i="29"/>
  <c r="P7251" i="29"/>
  <c r="Q7251" i="29"/>
  <c r="P7252" i="29"/>
  <c r="Q7252" i="29"/>
  <c r="P7253" i="29"/>
  <c r="Q7253" i="29"/>
  <c r="P7254" i="29"/>
  <c r="Q7254" i="29"/>
  <c r="P7255" i="29"/>
  <c r="Q7255" i="29"/>
  <c r="P7256" i="29"/>
  <c r="Q7256" i="29"/>
  <c r="P7257" i="29"/>
  <c r="Q7257" i="29"/>
  <c r="P7258" i="29"/>
  <c r="Q7258" i="29"/>
  <c r="P7259" i="29"/>
  <c r="Q7259" i="29"/>
  <c r="P7260" i="29"/>
  <c r="Q7260" i="29"/>
  <c r="P7261" i="29"/>
  <c r="Q7261" i="29"/>
  <c r="P7262" i="29"/>
  <c r="Q7262" i="29"/>
  <c r="P7263" i="29"/>
  <c r="Q7263" i="29"/>
  <c r="S7263" i="29"/>
  <c r="P7264" i="29"/>
  <c r="Q7264" i="29"/>
  <c r="P7265" i="29"/>
  <c r="Q7265" i="29"/>
  <c r="P7266" i="29"/>
  <c r="Q7266" i="29"/>
  <c r="T7266" i="29"/>
  <c r="P7267" i="29"/>
  <c r="Q7267" i="29"/>
  <c r="P7268" i="29"/>
  <c r="Q7268" i="29"/>
  <c r="P7269" i="29"/>
  <c r="Q7269" i="29"/>
  <c r="P7270" i="29"/>
  <c r="Q7270" i="29"/>
  <c r="N7270" i="29"/>
  <c r="N7269" i="29"/>
  <c r="N7268" i="29"/>
  <c r="N7267" i="29"/>
  <c r="N7266" i="29"/>
  <c r="N7265" i="29"/>
  <c r="N7264" i="29"/>
  <c r="E673" i="6"/>
  <c r="F7219" i="29"/>
  <c r="F7217" i="29"/>
  <c r="G7219" i="29"/>
  <c r="J7219" i="29"/>
  <c r="G7217" i="29"/>
  <c r="J7217" i="29"/>
  <c r="F7269" i="29"/>
  <c r="G7269" i="29"/>
  <c r="F7268" i="29"/>
  <c r="G7268" i="29"/>
  <c r="F7267" i="29"/>
  <c r="G7267" i="29"/>
  <c r="F7266" i="29"/>
  <c r="G7266" i="29"/>
  <c r="F7265" i="29"/>
  <c r="G7265" i="29"/>
  <c r="F7264" i="29"/>
  <c r="G7264" i="29"/>
  <c r="N7263" i="29"/>
  <c r="G7263" i="29"/>
  <c r="F7263" i="29"/>
  <c r="N7262" i="29"/>
  <c r="G7262" i="29"/>
  <c r="F7262" i="29"/>
  <c r="N7261" i="29"/>
  <c r="G7261" i="29"/>
  <c r="F7261" i="29"/>
  <c r="N7260" i="29"/>
  <c r="G7260" i="29"/>
  <c r="F7260" i="29"/>
  <c r="R7259" i="29"/>
  <c r="N7259" i="29"/>
  <c r="G7259" i="29"/>
  <c r="F7259" i="29"/>
  <c r="N7258" i="29"/>
  <c r="G7258" i="29"/>
  <c r="F7258" i="29"/>
  <c r="N7257" i="29"/>
  <c r="G7257" i="29"/>
  <c r="F7257" i="29"/>
  <c r="N7256" i="29"/>
  <c r="G7256" i="29"/>
  <c r="F7256" i="29"/>
  <c r="N7255" i="29"/>
  <c r="G7255" i="29"/>
  <c r="F7255" i="29"/>
  <c r="N7254" i="29"/>
  <c r="G7254" i="29"/>
  <c r="F7254" i="29"/>
  <c r="N7253" i="29"/>
  <c r="G7253" i="29"/>
  <c r="F7253" i="29"/>
  <c r="F7252" i="29"/>
  <c r="G7252" i="29"/>
  <c r="N7252" i="29"/>
  <c r="N7251" i="29"/>
  <c r="G7251" i="29"/>
  <c r="F7251" i="29"/>
  <c r="N7250" i="29"/>
  <c r="G7250" i="29"/>
  <c r="F7250" i="29"/>
  <c r="N7249" i="29"/>
  <c r="G7249" i="29"/>
  <c r="F7249" i="29"/>
  <c r="N7248" i="29"/>
  <c r="G7248" i="29"/>
  <c r="F7248" i="29"/>
  <c r="N7247" i="29"/>
  <c r="G7247" i="29"/>
  <c r="F7247" i="29"/>
  <c r="N7246" i="29"/>
  <c r="G7246" i="29"/>
  <c r="F7246" i="29"/>
  <c r="N7245" i="29"/>
  <c r="G7245" i="29"/>
  <c r="F7245" i="29"/>
  <c r="N7244" i="29"/>
  <c r="G7244" i="29"/>
  <c r="F7244" i="29"/>
  <c r="N7243" i="29"/>
  <c r="G7243" i="29"/>
  <c r="F7243" i="29"/>
  <c r="N7242" i="29"/>
  <c r="G7242" i="29"/>
  <c r="F7242" i="29"/>
  <c r="N7241" i="29"/>
  <c r="G7241" i="29"/>
  <c r="F7241" i="29"/>
  <c r="N7240" i="29"/>
  <c r="G7240" i="29"/>
  <c r="F7240" i="29"/>
  <c r="N7239" i="29"/>
  <c r="G7239" i="29"/>
  <c r="F7239" i="29"/>
  <c r="N7238" i="29"/>
  <c r="G7238" i="29"/>
  <c r="F7238" i="29"/>
  <c r="N7237" i="29"/>
  <c r="G7237" i="29"/>
  <c r="F7237" i="29"/>
  <c r="N7236" i="29"/>
  <c r="G7236" i="29"/>
  <c r="F7236" i="29"/>
  <c r="N7235" i="29"/>
  <c r="G7235" i="29"/>
  <c r="F7235" i="29"/>
  <c r="N7234" i="29"/>
  <c r="G7234" i="29"/>
  <c r="F7234" i="29"/>
  <c r="N7233" i="29"/>
  <c r="G7233" i="29"/>
  <c r="F7233" i="29"/>
  <c r="N7232" i="29"/>
  <c r="G7232" i="29"/>
  <c r="F7232" i="29"/>
  <c r="N7231" i="29"/>
  <c r="G7231" i="29"/>
  <c r="F7231" i="29"/>
  <c r="N7230" i="29"/>
  <c r="G7230" i="29"/>
  <c r="F7230" i="29"/>
  <c r="N7229" i="29"/>
  <c r="F7229" i="29"/>
  <c r="G7229" i="29"/>
  <c r="N7228" i="29"/>
  <c r="G7228" i="29"/>
  <c r="F7228" i="29"/>
  <c r="N7227" i="29"/>
  <c r="G7227" i="29"/>
  <c r="F7227" i="29"/>
  <c r="N7226" i="29"/>
  <c r="F7226" i="29"/>
  <c r="G7226" i="29"/>
  <c r="F7225" i="29"/>
  <c r="G7225" i="29"/>
  <c r="N7225" i="29"/>
  <c r="N7224" i="29"/>
  <c r="G7224" i="29"/>
  <c r="F7224" i="29"/>
  <c r="N7223" i="29"/>
  <c r="G7223" i="29"/>
  <c r="F7223" i="29"/>
  <c r="N7222" i="29"/>
  <c r="G7222" i="29"/>
  <c r="F7222" i="29"/>
  <c r="N7221" i="29"/>
  <c r="G7221" i="29"/>
  <c r="F7221" i="29"/>
  <c r="N7220" i="29"/>
  <c r="G7220" i="29"/>
  <c r="F7220" i="29"/>
  <c r="N7218" i="29"/>
  <c r="G7218" i="29"/>
  <c r="F7218" i="29"/>
  <c r="N7216" i="29"/>
  <c r="G7216" i="29"/>
  <c r="F7216" i="29"/>
  <c r="F7215" i="29"/>
  <c r="G7215" i="29"/>
  <c r="N7214" i="29"/>
  <c r="G7214" i="29"/>
  <c r="F7214" i="29"/>
  <c r="N7213" i="29"/>
  <c r="G7213" i="29"/>
  <c r="F7213" i="29"/>
  <c r="N7211" i="29"/>
  <c r="G7211" i="29"/>
  <c r="F7211" i="29"/>
  <c r="N7212" i="29"/>
  <c r="G7212" i="29"/>
  <c r="F7212" i="29"/>
  <c r="F7207" i="29"/>
  <c r="G7207" i="29"/>
  <c r="N7207" i="29"/>
  <c r="F7208" i="29"/>
  <c r="G7208" i="29"/>
  <c r="N7208" i="29"/>
  <c r="F7209" i="29"/>
  <c r="G7209" i="29"/>
  <c r="N7209" i="29"/>
  <c r="F7210" i="29"/>
  <c r="G7210" i="29"/>
  <c r="N7210" i="29"/>
  <c r="N7206" i="29"/>
  <c r="G7206" i="29"/>
  <c r="F7206" i="29"/>
  <c r="N7205" i="29"/>
  <c r="G7205" i="29"/>
  <c r="F7205" i="29"/>
  <c r="N7204" i="29"/>
  <c r="G7204" i="29"/>
  <c r="F7204" i="29"/>
  <c r="N7203" i="29"/>
  <c r="G7203" i="29"/>
  <c r="F7203" i="29"/>
  <c r="N7202" i="29"/>
  <c r="G7202" i="29"/>
  <c r="F7202" i="29"/>
  <c r="N7201" i="29"/>
  <c r="G7201" i="29"/>
  <c r="F7201" i="29"/>
  <c r="N7200" i="29"/>
  <c r="G7200" i="29"/>
  <c r="F7200" i="29"/>
  <c r="N7199" i="29"/>
  <c r="G7199" i="29"/>
  <c r="F7199" i="29"/>
  <c r="Q7198" i="29"/>
  <c r="P7198" i="29"/>
  <c r="N7198" i="29"/>
  <c r="G7198" i="29"/>
  <c r="F7198" i="29"/>
  <c r="Q7197" i="29"/>
  <c r="T7197" i="29"/>
  <c r="P7197" i="29"/>
  <c r="N7197" i="29"/>
  <c r="G7197" i="29"/>
  <c r="F7197" i="29"/>
  <c r="W7196" i="29"/>
  <c r="N7196" i="29"/>
  <c r="E667" i="6"/>
  <c r="P7185" i="29"/>
  <c r="P7186" i="29"/>
  <c r="P7184" i="29"/>
  <c r="P7183" i="29"/>
  <c r="P7182" i="29"/>
  <c r="P7181" i="29"/>
  <c r="P7180" i="29"/>
  <c r="P7179" i="29"/>
  <c r="Q7195" i="29"/>
  <c r="P7195" i="29"/>
  <c r="N7195" i="29"/>
  <c r="G7195" i="29"/>
  <c r="F7195" i="29"/>
  <c r="F7194" i="29"/>
  <c r="G7194" i="29"/>
  <c r="Q7194" i="29"/>
  <c r="S7194" i="29"/>
  <c r="P7194" i="29"/>
  <c r="F7193" i="29"/>
  <c r="G7193" i="29"/>
  <c r="Q7193" i="29"/>
  <c r="P7193" i="29"/>
  <c r="F7192" i="29"/>
  <c r="G7192" i="29"/>
  <c r="Q7192" i="29"/>
  <c r="S7192" i="29"/>
  <c r="P7192" i="29"/>
  <c r="Q7191" i="29"/>
  <c r="S7191" i="29"/>
  <c r="P7191" i="29"/>
  <c r="N7191" i="29"/>
  <c r="G7191" i="29"/>
  <c r="F7191" i="29"/>
  <c r="F7190" i="29"/>
  <c r="G7190" i="29"/>
  <c r="Q7190" i="29"/>
  <c r="S7190" i="29"/>
  <c r="P7190" i="29"/>
  <c r="N7190" i="29"/>
  <c r="N7186" i="29"/>
  <c r="Q7189" i="29"/>
  <c r="T7189" i="29"/>
  <c r="P7189" i="29"/>
  <c r="N7189" i="29"/>
  <c r="G7189" i="29"/>
  <c r="F7189" i="29"/>
  <c r="Q7188" i="29"/>
  <c r="P7188" i="29"/>
  <c r="N7188" i="29"/>
  <c r="G7188" i="29"/>
  <c r="F7188" i="29"/>
  <c r="Q7187" i="29"/>
  <c r="S7187" i="29"/>
  <c r="P7187" i="29"/>
  <c r="N7187" i="29"/>
  <c r="G7187" i="29"/>
  <c r="F7187" i="29"/>
  <c r="F7186" i="29"/>
  <c r="G7186" i="29"/>
  <c r="Q7186" i="29"/>
  <c r="S7186" i="29"/>
  <c r="F7185" i="29"/>
  <c r="G7185" i="29"/>
  <c r="Q7185" i="29"/>
  <c r="S7185" i="29"/>
  <c r="N7185" i="29"/>
  <c r="F7184" i="29"/>
  <c r="G7184" i="29"/>
  <c r="F7183" i="29"/>
  <c r="G7183" i="29"/>
  <c r="F7182" i="29"/>
  <c r="G7182" i="29"/>
  <c r="F7181" i="29"/>
  <c r="G7181" i="29"/>
  <c r="Q7184" i="29"/>
  <c r="Q7183" i="29"/>
  <c r="Q7182" i="29"/>
  <c r="Q7181" i="29"/>
  <c r="N7184" i="29"/>
  <c r="N7183" i="29"/>
  <c r="N7182" i="29"/>
  <c r="N7181" i="29"/>
  <c r="Q7177" i="29"/>
  <c r="P7177" i="29"/>
  <c r="N7177" i="29"/>
  <c r="G7177" i="29"/>
  <c r="F7177" i="29"/>
  <c r="Q7180" i="29"/>
  <c r="N7180" i="29"/>
  <c r="G7180" i="29"/>
  <c r="F7180" i="29"/>
  <c r="Q7179" i="29"/>
  <c r="S7179" i="29"/>
  <c r="N7179" i="29"/>
  <c r="G7179" i="29"/>
  <c r="F7179" i="29"/>
  <c r="Q7178" i="29"/>
  <c r="P7178" i="29"/>
  <c r="N7178" i="29"/>
  <c r="G7178" i="29"/>
  <c r="F7178" i="29"/>
  <c r="Q7176" i="29"/>
  <c r="P7176" i="29"/>
  <c r="N7176" i="29"/>
  <c r="G7176" i="29"/>
  <c r="F7176" i="29"/>
  <c r="Q7175" i="29"/>
  <c r="P7175" i="29"/>
  <c r="N7175" i="29"/>
  <c r="G7175" i="29"/>
  <c r="F7175" i="29"/>
  <c r="Q7174" i="29"/>
  <c r="P7174" i="29"/>
  <c r="N7174" i="29"/>
  <c r="G7174" i="29"/>
  <c r="F7174" i="29"/>
  <c r="Q7173" i="29"/>
  <c r="P7173" i="29"/>
  <c r="N7173" i="29"/>
  <c r="G7173" i="29"/>
  <c r="F7173" i="29"/>
  <c r="R7172" i="29"/>
  <c r="Q7172" i="29"/>
  <c r="P7172" i="29"/>
  <c r="N7172" i="29"/>
  <c r="G7172" i="29"/>
  <c r="F7172" i="29"/>
  <c r="Q7171" i="29"/>
  <c r="P7171" i="29"/>
  <c r="N7171" i="29"/>
  <c r="G7171" i="29"/>
  <c r="F7171" i="29"/>
  <c r="S7170" i="29"/>
  <c r="J7170" i="29"/>
  <c r="S7169" i="29"/>
  <c r="J7169" i="29"/>
  <c r="T7168" i="29"/>
  <c r="S7168" i="29"/>
  <c r="G7168" i="29"/>
  <c r="F7168" i="29"/>
  <c r="Q7167" i="29"/>
  <c r="T7167" i="29"/>
  <c r="P7167" i="29"/>
  <c r="N7167" i="29"/>
  <c r="G7167" i="29"/>
  <c r="F7167" i="29"/>
  <c r="Q7166" i="29"/>
  <c r="P7166" i="29"/>
  <c r="N7166" i="29"/>
  <c r="G7166" i="29"/>
  <c r="F7166" i="29"/>
  <c r="Q7165" i="29"/>
  <c r="P7165" i="29"/>
  <c r="N7165" i="29"/>
  <c r="G7165" i="29"/>
  <c r="F7165" i="29"/>
  <c r="Q7164" i="29"/>
  <c r="P7164" i="29"/>
  <c r="G7164" i="29"/>
  <c r="F7164" i="29"/>
  <c r="Q7163" i="29"/>
  <c r="P7163" i="29"/>
  <c r="N7163" i="29"/>
  <c r="G7163" i="29"/>
  <c r="F7163" i="29"/>
  <c r="Q7152" i="29"/>
  <c r="P7152" i="29"/>
  <c r="N7152" i="29"/>
  <c r="G7152" i="29"/>
  <c r="F7152" i="29"/>
  <c r="Q7151" i="29"/>
  <c r="P7151" i="29"/>
  <c r="N7151" i="29"/>
  <c r="G7151" i="29"/>
  <c r="F7151" i="29"/>
  <c r="Q7162" i="29"/>
  <c r="P7162" i="29"/>
  <c r="N7162" i="29"/>
  <c r="G7162" i="29"/>
  <c r="F7162" i="29"/>
  <c r="Q7161" i="29"/>
  <c r="P7161" i="29"/>
  <c r="N7161" i="29"/>
  <c r="G7161" i="29"/>
  <c r="F7161" i="29"/>
  <c r="Q7160" i="29"/>
  <c r="P7160" i="29"/>
  <c r="N7160" i="29"/>
  <c r="G7160" i="29"/>
  <c r="F7160" i="29"/>
  <c r="Q7159" i="29"/>
  <c r="P7159" i="29"/>
  <c r="N7159" i="29"/>
  <c r="G7159" i="29"/>
  <c r="F7159" i="29"/>
  <c r="Q7158" i="29"/>
  <c r="P7158" i="29"/>
  <c r="N7158" i="29"/>
  <c r="G7158" i="29"/>
  <c r="F7158" i="29"/>
  <c r="Q7157" i="29"/>
  <c r="P7157" i="29"/>
  <c r="N7157" i="29"/>
  <c r="G7157" i="29"/>
  <c r="F7157" i="29"/>
  <c r="Q7156" i="29"/>
  <c r="P7156" i="29"/>
  <c r="N7156" i="29"/>
  <c r="G7156" i="29"/>
  <c r="F7156" i="29"/>
  <c r="Q7155" i="29"/>
  <c r="P7155" i="29"/>
  <c r="N7155" i="29"/>
  <c r="G7155" i="29"/>
  <c r="F7155" i="29"/>
  <c r="Q7154" i="29"/>
  <c r="P7154" i="29"/>
  <c r="N7154" i="29"/>
  <c r="G7154" i="29"/>
  <c r="F7154" i="29"/>
  <c r="Q7153" i="29"/>
  <c r="T7153" i="29"/>
  <c r="P7153" i="29"/>
  <c r="N7153" i="29"/>
  <c r="G7153" i="29"/>
  <c r="F7153" i="29"/>
  <c r="Q7150" i="29"/>
  <c r="P7150" i="29"/>
  <c r="N7150" i="29"/>
  <c r="G7150" i="29"/>
  <c r="F7150" i="29"/>
  <c r="N7149" i="29"/>
  <c r="N7148" i="29"/>
  <c r="N7147" i="29"/>
  <c r="N7146" i="29"/>
  <c r="N7145" i="29"/>
  <c r="N7144" i="29"/>
  <c r="N7143" i="29"/>
  <c r="N7142" i="29"/>
  <c r="N7141" i="29"/>
  <c r="N7140" i="29"/>
  <c r="N7139" i="29"/>
  <c r="N7138" i="29"/>
  <c r="N7137" i="29"/>
  <c r="N7136" i="29"/>
  <c r="N7135" i="29"/>
  <c r="N7134" i="29"/>
  <c r="N7133" i="29"/>
  <c r="N7132" i="29"/>
  <c r="N7131" i="29"/>
  <c r="N7118" i="29"/>
  <c r="N7089" i="29"/>
  <c r="N7088" i="29"/>
  <c r="N7087" i="29"/>
  <c r="N7086" i="29"/>
  <c r="N7085" i="29"/>
  <c r="N7084" i="29"/>
  <c r="N7083" i="29"/>
  <c r="N7082" i="29"/>
  <c r="N7081" i="29"/>
  <c r="N7080" i="29"/>
  <c r="N7079" i="29"/>
  <c r="N7078" i="29"/>
  <c r="N7077" i="29"/>
  <c r="N7076" i="29"/>
  <c r="N7075" i="29"/>
  <c r="N7074" i="29"/>
  <c r="N7073" i="29"/>
  <c r="N7072" i="29"/>
  <c r="N7071" i="29"/>
  <c r="N7048" i="29"/>
  <c r="N7006" i="29"/>
  <c r="N7005" i="29"/>
  <c r="N7004" i="29"/>
  <c r="N7003" i="29"/>
  <c r="N7002" i="29"/>
  <c r="N7001" i="29"/>
  <c r="N7000" i="29"/>
  <c r="N6999" i="29"/>
  <c r="N6998" i="29"/>
  <c r="N6997" i="29"/>
  <c r="N6996" i="29"/>
  <c r="N6995" i="29"/>
  <c r="N6994" i="29"/>
  <c r="N6993" i="29"/>
  <c r="N6992" i="29"/>
  <c r="N6991" i="29"/>
  <c r="N6990" i="29"/>
  <c r="N6989" i="29"/>
  <c r="N6988" i="29"/>
  <c r="N6963" i="29"/>
  <c r="N6961" i="29"/>
  <c r="Q7149" i="29"/>
  <c r="Q7148" i="29"/>
  <c r="Q7147" i="29"/>
  <c r="T7147" i="29"/>
  <c r="Q7146" i="29"/>
  <c r="Q7145" i="29"/>
  <c r="Q7144" i="29"/>
  <c r="T7144" i="29"/>
  <c r="Q7143" i="29"/>
  <c r="Q7142" i="29"/>
  <c r="Q7141" i="29"/>
  <c r="Q7140" i="29"/>
  <c r="Q7139" i="29"/>
  <c r="Q7138" i="29"/>
  <c r="Q7137" i="29"/>
  <c r="S7137" i="29"/>
  <c r="Q7136" i="29"/>
  <c r="T7136" i="29"/>
  <c r="Q7135" i="29"/>
  <c r="Q7134" i="29"/>
  <c r="Q7133" i="29"/>
  <c r="Q7132" i="29"/>
  <c r="Q7131" i="29"/>
  <c r="Q7118" i="29"/>
  <c r="Q7089" i="29"/>
  <c r="Q7088" i="29"/>
  <c r="Q7087" i="29"/>
  <c r="Q7086" i="29"/>
  <c r="Q7085" i="29"/>
  <c r="Q7084" i="29"/>
  <c r="Q7083" i="29"/>
  <c r="Q7082" i="29"/>
  <c r="Q7081" i="29"/>
  <c r="Q7080" i="29"/>
  <c r="Q7079" i="29"/>
  <c r="S7079" i="29"/>
  <c r="Q7078" i="29"/>
  <c r="S7078" i="29"/>
  <c r="Q7077" i="29"/>
  <c r="Q7076" i="29"/>
  <c r="Q7075" i="29"/>
  <c r="T7075" i="29"/>
  <c r="Q7074" i="29"/>
  <c r="Q7073" i="29"/>
  <c r="F7134" i="29"/>
  <c r="G7134" i="29"/>
  <c r="F7135" i="29"/>
  <c r="G7135" i="29"/>
  <c r="F7136" i="29"/>
  <c r="G7136" i="29"/>
  <c r="F7137" i="29"/>
  <c r="G7137" i="29"/>
  <c r="F7138" i="29"/>
  <c r="G7138" i="29"/>
  <c r="F7139" i="29"/>
  <c r="G7139" i="29"/>
  <c r="F7140" i="29"/>
  <c r="G7140" i="29"/>
  <c r="F7141" i="29"/>
  <c r="G7141" i="29"/>
  <c r="F7142" i="29"/>
  <c r="G7142" i="29"/>
  <c r="F7143" i="29"/>
  <c r="G7143" i="29"/>
  <c r="F7144" i="29"/>
  <c r="G7144" i="29"/>
  <c r="F7145" i="29"/>
  <c r="G7145" i="29"/>
  <c r="F7146" i="29"/>
  <c r="G7146" i="29"/>
  <c r="F7147" i="29"/>
  <c r="G7147" i="29"/>
  <c r="F7148" i="29"/>
  <c r="G7148" i="29"/>
  <c r="F7149" i="29"/>
  <c r="G7149" i="29"/>
  <c r="G7133" i="29"/>
  <c r="F7133" i="29"/>
  <c r="G7132" i="29"/>
  <c r="F7132" i="29"/>
  <c r="G7131" i="29"/>
  <c r="F7131" i="29"/>
  <c r="C673" i="6"/>
  <c r="D673" i="6"/>
  <c r="F673" i="6"/>
  <c r="Q7130" i="29"/>
  <c r="P7130" i="29"/>
  <c r="N7130" i="29"/>
  <c r="G7130" i="29"/>
  <c r="F7130" i="29"/>
  <c r="Q7129" i="29"/>
  <c r="S7129" i="29"/>
  <c r="P7129" i="29"/>
  <c r="N7129" i="29"/>
  <c r="G7129" i="29"/>
  <c r="F7129" i="29"/>
  <c r="Q7128" i="29"/>
  <c r="P7128" i="29"/>
  <c r="N7128" i="29"/>
  <c r="G7128" i="29"/>
  <c r="F7128" i="29"/>
  <c r="Q7127" i="29"/>
  <c r="P7127" i="29"/>
  <c r="N7127" i="29"/>
  <c r="G7127" i="29"/>
  <c r="F7127" i="29"/>
  <c r="Q7126" i="29"/>
  <c r="P7126" i="29"/>
  <c r="N7126" i="29"/>
  <c r="G7126" i="29"/>
  <c r="F7126" i="29"/>
  <c r="R7125" i="29"/>
  <c r="Q7125" i="29"/>
  <c r="P7125" i="29"/>
  <c r="N7125" i="29"/>
  <c r="G7125" i="29"/>
  <c r="F7125" i="29"/>
  <c r="T7124" i="29"/>
  <c r="S7124" i="29"/>
  <c r="P7124" i="29"/>
  <c r="N7124" i="29"/>
  <c r="G7124" i="29"/>
  <c r="F7124" i="29"/>
  <c r="R7123" i="29"/>
  <c r="Q7123" i="29"/>
  <c r="P7123" i="29"/>
  <c r="N7123" i="29"/>
  <c r="G7123" i="29"/>
  <c r="F7123" i="29"/>
  <c r="Q7122" i="29"/>
  <c r="P7122" i="29"/>
  <c r="N7122" i="29"/>
  <c r="G7122" i="29"/>
  <c r="F7122" i="29"/>
  <c r="Q7121" i="29"/>
  <c r="P7121" i="29"/>
  <c r="N7121" i="29"/>
  <c r="G7121" i="29"/>
  <c r="F7121" i="29"/>
  <c r="W7120" i="29"/>
  <c r="N7120" i="29"/>
  <c r="E661" i="6"/>
  <c r="F774" i="31"/>
  <c r="G774" i="31"/>
  <c r="H774" i="31"/>
  <c r="P7109" i="29"/>
  <c r="R7069" i="29"/>
  <c r="R7068" i="29"/>
  <c r="R7067" i="29"/>
  <c r="R7066" i="29"/>
  <c r="R7065" i="29"/>
  <c r="R7064" i="29"/>
  <c r="N7069" i="29"/>
  <c r="N7068" i="29"/>
  <c r="N7067" i="29"/>
  <c r="F7119" i="29"/>
  <c r="G7119" i="29"/>
  <c r="Q7119" i="29"/>
  <c r="P7119" i="29"/>
  <c r="N7119" i="29"/>
  <c r="F7118" i="29"/>
  <c r="G7118" i="29"/>
  <c r="P7118" i="29"/>
  <c r="F7117" i="29"/>
  <c r="G7117" i="29"/>
  <c r="Q7117" i="29"/>
  <c r="T7117" i="29"/>
  <c r="P7117" i="29"/>
  <c r="N7117" i="29"/>
  <c r="Q7116" i="29"/>
  <c r="P7116" i="29"/>
  <c r="N7116" i="29"/>
  <c r="G7116" i="29"/>
  <c r="F7116" i="29"/>
  <c r="Q7115" i="29"/>
  <c r="P7115" i="29"/>
  <c r="N7115" i="29"/>
  <c r="G7115" i="29"/>
  <c r="F7115" i="29"/>
  <c r="Q7114" i="29"/>
  <c r="T7114" i="29"/>
  <c r="P7114" i="29"/>
  <c r="N7114" i="29"/>
  <c r="G7114" i="29"/>
  <c r="F7114" i="29"/>
  <c r="Q7113" i="29"/>
  <c r="P7113" i="29"/>
  <c r="N7113" i="29"/>
  <c r="G7113" i="29"/>
  <c r="F7113" i="29"/>
  <c r="S7112" i="29"/>
  <c r="J7112" i="29"/>
  <c r="Q7111" i="29"/>
  <c r="T7111" i="29"/>
  <c r="P7111" i="29"/>
  <c r="N7111" i="29"/>
  <c r="G7111" i="29"/>
  <c r="F7111" i="29"/>
  <c r="Q7110" i="29"/>
  <c r="S7110" i="29"/>
  <c r="P7110" i="29"/>
  <c r="N7110" i="29"/>
  <c r="G7110" i="29"/>
  <c r="F7110" i="29"/>
  <c r="F7109" i="29"/>
  <c r="G7109" i="29"/>
  <c r="Q7109" i="29"/>
  <c r="N7109" i="29"/>
  <c r="Q7108" i="29"/>
  <c r="P7108" i="29"/>
  <c r="N7108" i="29"/>
  <c r="G7108" i="29"/>
  <c r="F7108" i="29"/>
  <c r="Q7107" i="29"/>
  <c r="T7107" i="29"/>
  <c r="N7107" i="29"/>
  <c r="G7107" i="29"/>
  <c r="F7107" i="29"/>
  <c r="Q7106" i="29"/>
  <c r="S7106" i="29"/>
  <c r="N7106" i="29"/>
  <c r="G7106" i="29"/>
  <c r="F7106" i="29"/>
  <c r="Q7105" i="29"/>
  <c r="P7105" i="29"/>
  <c r="N7105" i="29"/>
  <c r="G7105" i="29"/>
  <c r="F7105" i="29"/>
  <c r="Q7104" i="29"/>
  <c r="P7104" i="29"/>
  <c r="N7104" i="29"/>
  <c r="G7104" i="29"/>
  <c r="F7104" i="29"/>
  <c r="Q7102" i="29"/>
  <c r="T7102" i="29"/>
  <c r="P7102" i="29"/>
  <c r="N7102" i="29"/>
  <c r="G7102" i="29"/>
  <c r="F7102" i="29"/>
  <c r="Q7101" i="29"/>
  <c r="S7101" i="29"/>
  <c r="P7101" i="29"/>
  <c r="G7101" i="29"/>
  <c r="F7101" i="29"/>
  <c r="Q7103" i="29"/>
  <c r="P7103" i="29"/>
  <c r="N7103" i="29"/>
  <c r="G7103" i="29"/>
  <c r="F7103" i="29"/>
  <c r="N7100" i="29"/>
  <c r="F7100" i="29"/>
  <c r="G7100" i="29"/>
  <c r="Q7100" i="29"/>
  <c r="T7100" i="29"/>
  <c r="P7100" i="29"/>
  <c r="Q7092" i="29"/>
  <c r="P7092" i="29"/>
  <c r="N7092" i="29"/>
  <c r="G7092" i="29"/>
  <c r="F7092" i="29"/>
  <c r="Q7098" i="29"/>
  <c r="P7098" i="29"/>
  <c r="N7098" i="29"/>
  <c r="G7098" i="29"/>
  <c r="F7098" i="29"/>
  <c r="Q7096" i="29"/>
  <c r="P7096" i="29"/>
  <c r="N7096" i="29"/>
  <c r="G7096" i="29"/>
  <c r="F7096" i="29"/>
  <c r="Q7093" i="29"/>
  <c r="S7093" i="29"/>
  <c r="P7093" i="29"/>
  <c r="N7093" i="29"/>
  <c r="G7093" i="29"/>
  <c r="F7093" i="29"/>
  <c r="Q7099" i="29"/>
  <c r="P7099" i="29"/>
  <c r="N7099" i="29"/>
  <c r="G7099" i="29"/>
  <c r="F7099" i="29"/>
  <c r="Q7097" i="29"/>
  <c r="P7097" i="29"/>
  <c r="N7097" i="29"/>
  <c r="G7097" i="29"/>
  <c r="F7097" i="29"/>
  <c r="Q7095" i="29"/>
  <c r="S7095" i="29"/>
  <c r="P7095" i="29"/>
  <c r="N7095" i="29"/>
  <c r="G7095" i="29"/>
  <c r="F7095" i="29"/>
  <c r="Q7094" i="29"/>
  <c r="P7094" i="29"/>
  <c r="N7094" i="29"/>
  <c r="G7094" i="29"/>
  <c r="F7094" i="29"/>
  <c r="Q7091" i="29"/>
  <c r="P7091" i="29"/>
  <c r="N7091" i="29"/>
  <c r="G7091" i="29"/>
  <c r="F7091" i="29"/>
  <c r="Q7090" i="29"/>
  <c r="P7090" i="29"/>
  <c r="N7090" i="29"/>
  <c r="G7090" i="29"/>
  <c r="F7090" i="29"/>
  <c r="Q7072" i="29"/>
  <c r="Q7071" i="29"/>
  <c r="Q7048" i="29"/>
  <c r="S7048" i="29"/>
  <c r="G7088" i="29"/>
  <c r="F7088" i="29"/>
  <c r="G7087" i="29"/>
  <c r="F7087" i="29"/>
  <c r="G7086" i="29"/>
  <c r="F7086" i="29"/>
  <c r="G7085" i="29"/>
  <c r="F7085" i="29"/>
  <c r="G7084" i="29"/>
  <c r="F7084" i="29"/>
  <c r="G7083" i="29"/>
  <c r="F7083" i="29"/>
  <c r="G7082" i="29"/>
  <c r="F7082" i="29"/>
  <c r="G7089" i="29"/>
  <c r="F7089" i="29"/>
  <c r="G7081" i="29"/>
  <c r="F7081" i="29"/>
  <c r="G7080" i="29"/>
  <c r="F7080" i="29"/>
  <c r="G7079" i="29"/>
  <c r="F7079" i="29"/>
  <c r="G7078" i="29"/>
  <c r="F7078" i="29"/>
  <c r="G7077" i="29"/>
  <c r="F7077" i="29"/>
  <c r="G7076" i="29"/>
  <c r="F7076" i="29"/>
  <c r="G7075" i="29"/>
  <c r="F7075" i="29"/>
  <c r="G7074" i="29"/>
  <c r="F7074" i="29"/>
  <c r="G7073" i="29"/>
  <c r="F7073" i="29"/>
  <c r="G7072" i="29"/>
  <c r="F7072" i="29"/>
  <c r="G7071" i="29"/>
  <c r="F7071" i="29"/>
  <c r="Q7070" i="29"/>
  <c r="P7070" i="29"/>
  <c r="N7070" i="29"/>
  <c r="G7070" i="29"/>
  <c r="F7070" i="29"/>
  <c r="G7069" i="29"/>
  <c r="F7069" i="29"/>
  <c r="G7068" i="29"/>
  <c r="F7068" i="29"/>
  <c r="G7067" i="29"/>
  <c r="F7067" i="29"/>
  <c r="G7066" i="29"/>
  <c r="F7066" i="29"/>
  <c r="G7065" i="29"/>
  <c r="F7065" i="29"/>
  <c r="G7064" i="29"/>
  <c r="F7064" i="29"/>
  <c r="N7066" i="29"/>
  <c r="N7065" i="29"/>
  <c r="N7064" i="29"/>
  <c r="Q7069" i="29"/>
  <c r="Q7068" i="29"/>
  <c r="Q7067" i="29"/>
  <c r="Q7066" i="29"/>
  <c r="Q7065" i="29"/>
  <c r="Q7064" i="29"/>
  <c r="P7069" i="29"/>
  <c r="P7068" i="29"/>
  <c r="P7067" i="29"/>
  <c r="P7066" i="29"/>
  <c r="P7065" i="29"/>
  <c r="P7064" i="29"/>
  <c r="Q7063" i="29"/>
  <c r="P7063" i="29"/>
  <c r="N7063" i="29"/>
  <c r="G7063" i="29"/>
  <c r="F7063" i="29"/>
  <c r="Q7062" i="29"/>
  <c r="P7062" i="29"/>
  <c r="N7062" i="29"/>
  <c r="G7062" i="29"/>
  <c r="F7062" i="29"/>
  <c r="Q7061" i="29"/>
  <c r="P7061" i="29"/>
  <c r="N7061" i="29"/>
  <c r="G7061" i="29"/>
  <c r="F7061" i="29"/>
  <c r="Q7060" i="29"/>
  <c r="P7060" i="29"/>
  <c r="N7060" i="29"/>
  <c r="G7060" i="29"/>
  <c r="F7060" i="29"/>
  <c r="Q7059" i="29"/>
  <c r="P7059" i="29"/>
  <c r="N7059" i="29"/>
  <c r="G7059" i="29"/>
  <c r="F7059" i="29"/>
  <c r="Q7058" i="29"/>
  <c r="P7058" i="29"/>
  <c r="N7058" i="29"/>
  <c r="G7058" i="29"/>
  <c r="F7058" i="29"/>
  <c r="Q7057" i="29"/>
  <c r="P7057" i="29"/>
  <c r="N7057" i="29"/>
  <c r="G7057" i="29"/>
  <c r="F7057" i="29"/>
  <c r="W7056" i="29"/>
  <c r="N7056" i="29"/>
  <c r="J7009" i="29"/>
  <c r="J7010" i="29"/>
  <c r="J7011" i="29"/>
  <c r="S7009" i="29"/>
  <c r="S7010" i="29"/>
  <c r="S7011" i="29"/>
  <c r="P7049" i="29"/>
  <c r="P7048" i="29"/>
  <c r="P7047" i="29"/>
  <c r="P7046" i="29"/>
  <c r="P7045" i="29"/>
  <c r="P7027" i="29"/>
  <c r="P7026" i="29"/>
  <c r="N7049" i="29"/>
  <c r="N7047" i="29"/>
  <c r="N7046" i="29"/>
  <c r="N7045" i="29"/>
  <c r="N7044" i="29"/>
  <c r="N7043" i="29"/>
  <c r="N7042" i="29"/>
  <c r="N7041" i="29"/>
  <c r="N7040" i="29"/>
  <c r="Q7054" i="29"/>
  <c r="P7054" i="29"/>
  <c r="N7054" i="29"/>
  <c r="G7054" i="29"/>
  <c r="F7054" i="29"/>
  <c r="Q7053" i="29"/>
  <c r="S7053" i="29"/>
  <c r="P7053" i="29"/>
  <c r="N7053" i="29"/>
  <c r="G7053" i="29"/>
  <c r="F7053" i="29"/>
  <c r="Q7052" i="29"/>
  <c r="P7052" i="29"/>
  <c r="N7052" i="29"/>
  <c r="G7052" i="29"/>
  <c r="F7052" i="29"/>
  <c r="Q7055" i="29"/>
  <c r="P7055" i="29"/>
  <c r="N7055" i="29"/>
  <c r="G7055" i="29"/>
  <c r="F7055" i="29"/>
  <c r="Q7051" i="29"/>
  <c r="P7051" i="29"/>
  <c r="N7051" i="29"/>
  <c r="G7051" i="29"/>
  <c r="F7051" i="29"/>
  <c r="Q7050" i="29"/>
  <c r="P7050" i="29"/>
  <c r="N7050" i="29"/>
  <c r="G7050" i="29"/>
  <c r="F7050" i="29"/>
  <c r="F7049" i="29"/>
  <c r="G7049" i="29"/>
  <c r="Q7049" i="29"/>
  <c r="F7048" i="29"/>
  <c r="G7048" i="29"/>
  <c r="F7047" i="29"/>
  <c r="G7047" i="29"/>
  <c r="Q7047" i="29"/>
  <c r="F7046" i="29"/>
  <c r="G7046" i="29"/>
  <c r="F7045" i="29"/>
  <c r="G7045" i="29"/>
  <c r="Q7046" i="29"/>
  <c r="Q7045" i="29"/>
  <c r="F7044" i="29"/>
  <c r="G7044" i="29"/>
  <c r="Q7044" i="29"/>
  <c r="P7044" i="29"/>
  <c r="F7043" i="29"/>
  <c r="G7043" i="29"/>
  <c r="Q7043" i="29"/>
  <c r="P7043" i="29"/>
  <c r="F7042" i="29"/>
  <c r="G7042" i="29"/>
  <c r="Q7042" i="29"/>
  <c r="P7042" i="29"/>
  <c r="F7041" i="29"/>
  <c r="G7041" i="29"/>
  <c r="Q7041" i="29"/>
  <c r="P7041" i="29"/>
  <c r="F7040" i="29"/>
  <c r="G7040" i="29"/>
  <c r="Q7040" i="29"/>
  <c r="T7040" i="29"/>
  <c r="P7040" i="29"/>
  <c r="Q7039" i="29"/>
  <c r="P7039" i="29"/>
  <c r="N7039" i="29"/>
  <c r="G7039" i="29"/>
  <c r="F7039" i="29"/>
  <c r="Q7038" i="29"/>
  <c r="P7038" i="29"/>
  <c r="N7038" i="29"/>
  <c r="G7038" i="29"/>
  <c r="F7038" i="29"/>
  <c r="Q7037" i="29"/>
  <c r="P7037" i="29"/>
  <c r="N7037" i="29"/>
  <c r="G7037" i="29"/>
  <c r="F7037" i="29"/>
  <c r="Q7036" i="29"/>
  <c r="P7036" i="29"/>
  <c r="N7036" i="29"/>
  <c r="G7036" i="29"/>
  <c r="F7036" i="29"/>
  <c r="Q7035" i="29"/>
  <c r="S7035" i="29"/>
  <c r="P7035" i="29"/>
  <c r="N7035" i="29"/>
  <c r="G7035" i="29"/>
  <c r="F7035" i="29"/>
  <c r="Q7034" i="29"/>
  <c r="S7034" i="29"/>
  <c r="P7034" i="29"/>
  <c r="N7034" i="29"/>
  <c r="G7034" i="29"/>
  <c r="F7034" i="29"/>
  <c r="Q7033" i="29"/>
  <c r="P7033" i="29"/>
  <c r="N7033" i="29"/>
  <c r="G7033" i="29"/>
  <c r="F7033" i="29"/>
  <c r="Q7032" i="29"/>
  <c r="P7032" i="29"/>
  <c r="N7032" i="29"/>
  <c r="G7032" i="29"/>
  <c r="F7032" i="29"/>
  <c r="Q7031" i="29"/>
  <c r="T7031" i="29"/>
  <c r="P7031" i="29"/>
  <c r="N7031" i="29"/>
  <c r="G7031" i="29"/>
  <c r="F7031" i="29"/>
  <c r="Q7030" i="29"/>
  <c r="P7030" i="29"/>
  <c r="N7030" i="29"/>
  <c r="G7030" i="29"/>
  <c r="F7030" i="29"/>
  <c r="Q7029" i="29"/>
  <c r="P7029" i="29"/>
  <c r="N7029" i="29"/>
  <c r="G7029" i="29"/>
  <c r="F7029" i="29"/>
  <c r="Q7028" i="29"/>
  <c r="P7028" i="29"/>
  <c r="N7028" i="29"/>
  <c r="G7028" i="29"/>
  <c r="F7028" i="29"/>
  <c r="N7027" i="29"/>
  <c r="N7026" i="29"/>
  <c r="F7027" i="29"/>
  <c r="G7027" i="29"/>
  <c r="F7026" i="29"/>
  <c r="G7026" i="29"/>
  <c r="Q7027" i="29"/>
  <c r="Q7026" i="29"/>
  <c r="Q7025" i="29"/>
  <c r="P7025" i="29"/>
  <c r="N7025" i="29"/>
  <c r="G7025" i="29"/>
  <c r="F7025" i="29"/>
  <c r="Q7024" i="29"/>
  <c r="S7024" i="29"/>
  <c r="P7024" i="29"/>
  <c r="N7024" i="29"/>
  <c r="G7024" i="29"/>
  <c r="F7024" i="29"/>
  <c r="Q7023" i="29"/>
  <c r="T7023" i="29"/>
  <c r="N7023" i="29"/>
  <c r="G7023" i="29"/>
  <c r="F7023" i="29"/>
  <c r="Q7022" i="29"/>
  <c r="N7022" i="29"/>
  <c r="G7022" i="29"/>
  <c r="F7022" i="29"/>
  <c r="Q7021" i="29"/>
  <c r="P7021" i="29"/>
  <c r="N7021" i="29"/>
  <c r="G7021" i="29"/>
  <c r="F7021" i="29"/>
  <c r="Q7020" i="29"/>
  <c r="P7020" i="29"/>
  <c r="N7020" i="29"/>
  <c r="G7020" i="29"/>
  <c r="F7020" i="29"/>
  <c r="Q7019" i="29"/>
  <c r="P7019" i="29"/>
  <c r="N7019" i="29"/>
  <c r="G7019" i="29"/>
  <c r="F7019" i="29"/>
  <c r="Q7018" i="29"/>
  <c r="P7018" i="29"/>
  <c r="N7018" i="29"/>
  <c r="G7018" i="29"/>
  <c r="F7018" i="29"/>
  <c r="Q7017" i="29"/>
  <c r="P7017" i="29"/>
  <c r="N7017" i="29"/>
  <c r="G7017" i="29"/>
  <c r="F7017" i="29"/>
  <c r="Q7016" i="29"/>
  <c r="P7016" i="29"/>
  <c r="N7016" i="29"/>
  <c r="G7016" i="29"/>
  <c r="F7016" i="29"/>
  <c r="Q7015" i="29"/>
  <c r="P7015" i="29"/>
  <c r="N7015" i="29"/>
  <c r="G7015" i="29"/>
  <c r="F7015" i="29"/>
  <c r="Q7014" i="29"/>
  <c r="P7014" i="29"/>
  <c r="N7014" i="29"/>
  <c r="G7014" i="29"/>
  <c r="F7014" i="29"/>
  <c r="T7013" i="29"/>
  <c r="S7013" i="29"/>
  <c r="G7013" i="29"/>
  <c r="F7013" i="29"/>
  <c r="Q7012" i="29"/>
  <c r="P7012" i="29"/>
  <c r="N7012" i="29"/>
  <c r="G7012" i="29"/>
  <c r="F7012" i="29"/>
  <c r="Q7008" i="29"/>
  <c r="T7008" i="29"/>
  <c r="P7008" i="29"/>
  <c r="N7008" i="29"/>
  <c r="G7008" i="29"/>
  <c r="F7008" i="29"/>
  <c r="Q7007" i="29"/>
  <c r="P7007" i="29"/>
  <c r="N7007" i="29"/>
  <c r="G7007" i="29"/>
  <c r="F7007" i="29"/>
  <c r="E654" i="6"/>
  <c r="C654" i="6"/>
  <c r="Q7006" i="29"/>
  <c r="P7006" i="29"/>
  <c r="G7006" i="29"/>
  <c r="F7006" i="29"/>
  <c r="Q7005" i="29"/>
  <c r="T7005" i="29"/>
  <c r="P7005" i="29"/>
  <c r="G7005" i="29"/>
  <c r="F7005" i="29"/>
  <c r="Q7004" i="29"/>
  <c r="P7004" i="29"/>
  <c r="G7004" i="29"/>
  <c r="F7004" i="29"/>
  <c r="Q7003" i="29"/>
  <c r="S7003" i="29"/>
  <c r="P7003" i="29"/>
  <c r="G7003" i="29"/>
  <c r="F7003" i="29"/>
  <c r="Q7002" i="29"/>
  <c r="P7002" i="29"/>
  <c r="G7002" i="29"/>
  <c r="F7002" i="29"/>
  <c r="Q7001" i="29"/>
  <c r="P7001" i="29"/>
  <c r="G7001" i="29"/>
  <c r="F7001" i="29"/>
  <c r="Q7000" i="29"/>
  <c r="P7000" i="29"/>
  <c r="G7000" i="29"/>
  <c r="F7000" i="29"/>
  <c r="Q6999" i="29"/>
  <c r="S6999" i="29"/>
  <c r="P6999" i="29"/>
  <c r="G6999" i="29"/>
  <c r="F6999" i="29"/>
  <c r="Q6998" i="29"/>
  <c r="P6998" i="29"/>
  <c r="G6998" i="29"/>
  <c r="F6998" i="29"/>
  <c r="Q6997" i="29"/>
  <c r="P6997" i="29"/>
  <c r="G6997" i="29"/>
  <c r="F6997" i="29"/>
  <c r="Q6996" i="29"/>
  <c r="P6996" i="29"/>
  <c r="G6996" i="29"/>
  <c r="F6996" i="29"/>
  <c r="Q6995" i="29"/>
  <c r="P6995" i="29"/>
  <c r="G6995" i="29"/>
  <c r="F6995" i="29"/>
  <c r="Q6994" i="29"/>
  <c r="P6994" i="29"/>
  <c r="G6994" i="29"/>
  <c r="F6994" i="29"/>
  <c r="Q6993" i="29"/>
  <c r="P6993" i="29"/>
  <c r="G6993" i="29"/>
  <c r="F6993" i="29"/>
  <c r="Q6992" i="29"/>
  <c r="T6992" i="29"/>
  <c r="P6992" i="29"/>
  <c r="G6992" i="29"/>
  <c r="F6992" i="29"/>
  <c r="Q6991" i="29"/>
  <c r="T6991" i="29"/>
  <c r="P6991" i="29"/>
  <c r="G6991" i="29"/>
  <c r="F6991" i="29"/>
  <c r="Q6990" i="29"/>
  <c r="P6990" i="29"/>
  <c r="G6990" i="29"/>
  <c r="F6990" i="29"/>
  <c r="Q6989" i="29"/>
  <c r="P6989" i="29"/>
  <c r="G6989" i="29"/>
  <c r="F6989" i="29"/>
  <c r="Q6988" i="29"/>
  <c r="P6988" i="29"/>
  <c r="G6988" i="29"/>
  <c r="F6988" i="29"/>
  <c r="Q6987" i="29"/>
  <c r="P6987" i="29"/>
  <c r="N6987" i="29"/>
  <c r="G6987" i="29"/>
  <c r="F6987" i="29"/>
  <c r="Q6986" i="29"/>
  <c r="P6986" i="29"/>
  <c r="N6986" i="29"/>
  <c r="G6986" i="29"/>
  <c r="F6986" i="29"/>
  <c r="R6985" i="29"/>
  <c r="Q6985" i="29"/>
  <c r="T6985" i="29"/>
  <c r="P6985" i="29"/>
  <c r="N6985" i="29"/>
  <c r="G6985" i="29"/>
  <c r="F6985" i="29"/>
  <c r="Q6984" i="29"/>
  <c r="P6984" i="29"/>
  <c r="N6984" i="29"/>
  <c r="G6984" i="29"/>
  <c r="F6984" i="29"/>
  <c r="Q6983" i="29"/>
  <c r="P6983" i="29"/>
  <c r="N6983" i="29"/>
  <c r="G6983" i="29"/>
  <c r="F6983" i="29"/>
  <c r="Q6982" i="29"/>
  <c r="T6982" i="29"/>
  <c r="P6982" i="29"/>
  <c r="N6982" i="29"/>
  <c r="G6982" i="29"/>
  <c r="F6982" i="29"/>
  <c r="Q6981" i="29"/>
  <c r="P6981" i="29"/>
  <c r="N6981" i="29"/>
  <c r="G6981" i="29"/>
  <c r="F6981" i="29"/>
  <c r="Q6980" i="29"/>
  <c r="P6980" i="29"/>
  <c r="N6980" i="29"/>
  <c r="G6980" i="29"/>
  <c r="F6980" i="29"/>
  <c r="Q6979" i="29"/>
  <c r="T6979" i="29"/>
  <c r="P6979" i="29"/>
  <c r="N6979" i="29"/>
  <c r="G6979" i="29"/>
  <c r="F6979" i="29"/>
  <c r="Q6978" i="29"/>
  <c r="P6978" i="29"/>
  <c r="N6978" i="29"/>
  <c r="G6978" i="29"/>
  <c r="F6978" i="29"/>
  <c r="Q6977" i="29"/>
  <c r="P6977" i="29"/>
  <c r="N6977" i="29"/>
  <c r="G6977" i="29"/>
  <c r="F6977" i="29"/>
  <c r="D654" i="6"/>
  <c r="F654" i="6"/>
  <c r="W6976" i="29"/>
  <c r="N6976" i="29"/>
  <c r="F548" i="31"/>
  <c r="G548" i="31"/>
  <c r="H548" i="31"/>
  <c r="R6971" i="29"/>
  <c r="F547" i="31"/>
  <c r="G547" i="31"/>
  <c r="H547" i="31"/>
  <c r="F546" i="31"/>
  <c r="G546" i="31"/>
  <c r="H546" i="31"/>
  <c r="F545" i="31"/>
  <c r="G545" i="31"/>
  <c r="H545" i="31"/>
  <c r="Q6975" i="29"/>
  <c r="P6975" i="29"/>
  <c r="N6975" i="29"/>
  <c r="G6975" i="29"/>
  <c r="F6975" i="29"/>
  <c r="N6974" i="29"/>
  <c r="N6973" i="29"/>
  <c r="F6974" i="29"/>
  <c r="G6974" i="29"/>
  <c r="F6973" i="29"/>
  <c r="G6973" i="29"/>
  <c r="Q6974" i="29"/>
  <c r="Q6973" i="29"/>
  <c r="T6973" i="29"/>
  <c r="P6974" i="29"/>
  <c r="P6973" i="29"/>
  <c r="F6972" i="29"/>
  <c r="G6972" i="29"/>
  <c r="Q6972" i="29"/>
  <c r="P6972" i="29"/>
  <c r="N6972" i="29"/>
  <c r="F6971" i="29"/>
  <c r="G6971" i="29"/>
  <c r="Q6971" i="29"/>
  <c r="P6971" i="29"/>
  <c r="N6971" i="29"/>
  <c r="F6970" i="29"/>
  <c r="G6970" i="29"/>
  <c r="Q6970" i="29"/>
  <c r="P6970" i="29"/>
  <c r="N6970" i="29"/>
  <c r="N6968" i="29"/>
  <c r="F6968" i="29"/>
  <c r="G6968" i="29"/>
  <c r="Q6968" i="29"/>
  <c r="S6968" i="29"/>
  <c r="P6968" i="29"/>
  <c r="F6967" i="29"/>
  <c r="G6967" i="29"/>
  <c r="F6966" i="29"/>
  <c r="G6966" i="29"/>
  <c r="Q6967" i="29"/>
  <c r="Q6966" i="29"/>
  <c r="T6966" i="29"/>
  <c r="P6967" i="29"/>
  <c r="P6966" i="29"/>
  <c r="N6967" i="29"/>
  <c r="N6966" i="29"/>
  <c r="F6965" i="29"/>
  <c r="G6965" i="29"/>
  <c r="Q6965" i="29"/>
  <c r="S6965" i="29"/>
  <c r="P6965" i="29"/>
  <c r="N6965" i="29"/>
  <c r="N6969" i="29"/>
  <c r="F6969" i="29"/>
  <c r="G6969" i="29"/>
  <c r="Q6969" i="29"/>
  <c r="P6969" i="29"/>
  <c r="N6964" i="29"/>
  <c r="F6964" i="29"/>
  <c r="G6964" i="29"/>
  <c r="Q6964" i="29"/>
  <c r="P6964" i="29"/>
  <c r="F6963" i="29"/>
  <c r="G6963" i="29"/>
  <c r="Q6963" i="29"/>
  <c r="P6963" i="29"/>
  <c r="F6962" i="29"/>
  <c r="G6962" i="29"/>
  <c r="Q6962" i="29"/>
  <c r="T6962" i="29"/>
  <c r="P6962" i="29"/>
  <c r="N6962" i="29"/>
  <c r="F6961" i="29"/>
  <c r="G6961" i="29"/>
  <c r="Q6961" i="29"/>
  <c r="P6961" i="29"/>
  <c r="F6960" i="29"/>
  <c r="G6960" i="29"/>
  <c r="Q6960" i="29"/>
  <c r="P6960" i="29"/>
  <c r="N6960" i="29"/>
  <c r="Q6959" i="29"/>
  <c r="P6959" i="29"/>
  <c r="N6959" i="29"/>
  <c r="G6959" i="29"/>
  <c r="F6959" i="29"/>
  <c r="Q6958" i="29"/>
  <c r="S6958" i="29"/>
  <c r="P6958" i="29"/>
  <c r="N6958" i="29"/>
  <c r="G6958" i="29"/>
  <c r="F6958" i="29"/>
  <c r="Q6957" i="29"/>
  <c r="P6957" i="29"/>
  <c r="N6957" i="29"/>
  <c r="G6957" i="29"/>
  <c r="F6957" i="29"/>
  <c r="Q6956" i="29"/>
  <c r="T6956" i="29"/>
  <c r="P6956" i="29"/>
  <c r="N6956" i="29"/>
  <c r="G6956" i="29"/>
  <c r="F6956" i="29"/>
  <c r="Q6955" i="29"/>
  <c r="P6955" i="29"/>
  <c r="N6955" i="29"/>
  <c r="G6955" i="29"/>
  <c r="F6955" i="29"/>
  <c r="Q6954" i="29"/>
  <c r="T6954" i="29"/>
  <c r="P6954" i="29"/>
  <c r="G6954" i="29"/>
  <c r="F6954" i="29"/>
  <c r="Q6953" i="29"/>
  <c r="P6953" i="29"/>
  <c r="N6953" i="29"/>
  <c r="G6953" i="29"/>
  <c r="F6953" i="29"/>
  <c r="Q6952" i="29"/>
  <c r="P6952" i="29"/>
  <c r="N6952" i="29"/>
  <c r="G6952" i="29"/>
  <c r="F6952" i="29"/>
  <c r="Q6951" i="29"/>
  <c r="T6951" i="29"/>
  <c r="P6951" i="29"/>
  <c r="N6951" i="29"/>
  <c r="G6951" i="29"/>
  <c r="F6951" i="29"/>
  <c r="Q6950" i="29"/>
  <c r="T6950" i="29"/>
  <c r="P6950" i="29"/>
  <c r="N6950" i="29"/>
  <c r="G6950" i="29"/>
  <c r="F6950" i="29"/>
  <c r="Q6949" i="29"/>
  <c r="S6949" i="29"/>
  <c r="P6949" i="29"/>
  <c r="N6949" i="29"/>
  <c r="G6949" i="29"/>
  <c r="F6949" i="29"/>
  <c r="Q6948" i="29"/>
  <c r="P6948" i="29"/>
  <c r="N6948" i="29"/>
  <c r="G6948" i="29"/>
  <c r="F6948" i="29"/>
  <c r="Q6947" i="29"/>
  <c r="N6947" i="29"/>
  <c r="G6947" i="29"/>
  <c r="F6947" i="29"/>
  <c r="Q6946" i="29"/>
  <c r="N6946" i="29"/>
  <c r="G6946" i="29"/>
  <c r="F6946" i="29"/>
  <c r="Q6945" i="29"/>
  <c r="P6945" i="29"/>
  <c r="N6945" i="29"/>
  <c r="G6945" i="29"/>
  <c r="F6945" i="29"/>
  <c r="Q6944" i="29"/>
  <c r="T6944" i="29"/>
  <c r="P6944" i="29"/>
  <c r="N6944" i="29"/>
  <c r="G6944" i="29"/>
  <c r="F6944" i="29"/>
  <c r="Q6943" i="29"/>
  <c r="P6943" i="29"/>
  <c r="N6943" i="29"/>
  <c r="G6943" i="29"/>
  <c r="F6943" i="29"/>
  <c r="Q6942" i="29"/>
  <c r="T6942" i="29"/>
  <c r="P6942" i="29"/>
  <c r="N6942" i="29"/>
  <c r="G6942" i="29"/>
  <c r="F6942" i="29"/>
  <c r="Q6941" i="29"/>
  <c r="P6941" i="29"/>
  <c r="N6941" i="29"/>
  <c r="G6941" i="29"/>
  <c r="F6941" i="29"/>
  <c r="Q6940" i="29"/>
  <c r="T6940" i="29"/>
  <c r="P6940" i="29"/>
  <c r="N6940" i="29"/>
  <c r="G6940" i="29"/>
  <c r="F6940" i="29"/>
  <c r="Q6939" i="29"/>
  <c r="S6939" i="29"/>
  <c r="P6939" i="29"/>
  <c r="N6939" i="29"/>
  <c r="G6939" i="29"/>
  <c r="F6939" i="29"/>
  <c r="Q6938" i="29"/>
  <c r="P6938" i="29"/>
  <c r="N6938" i="29"/>
  <c r="G6938" i="29"/>
  <c r="F6938" i="29"/>
  <c r="Q6937" i="29"/>
  <c r="P6937" i="29"/>
  <c r="N6937" i="29"/>
  <c r="G6937" i="29"/>
  <c r="F6937" i="29"/>
  <c r="Q6936" i="29"/>
  <c r="P6936" i="29"/>
  <c r="N6936" i="29"/>
  <c r="G6936" i="29"/>
  <c r="F6936" i="29"/>
  <c r="Q6935" i="29"/>
  <c r="P6935" i="29"/>
  <c r="N6935" i="29"/>
  <c r="G6935" i="29"/>
  <c r="F6935" i="29"/>
  <c r="Q6934" i="29"/>
  <c r="P6934" i="29"/>
  <c r="N6934" i="29"/>
  <c r="G6934" i="29"/>
  <c r="F6934" i="29"/>
  <c r="Q6933" i="29"/>
  <c r="P6933" i="29"/>
  <c r="N6933" i="29"/>
  <c r="G6933" i="29"/>
  <c r="F6933" i="29"/>
  <c r="Q6932" i="29"/>
  <c r="P6932" i="29"/>
  <c r="N6932" i="29"/>
  <c r="G6932" i="29"/>
  <c r="F6932" i="29"/>
  <c r="Q6931" i="29"/>
  <c r="T6931" i="29"/>
  <c r="P6931" i="29"/>
  <c r="N6931" i="29"/>
  <c r="G6931" i="29"/>
  <c r="F6931" i="29"/>
  <c r="Q6930" i="29"/>
  <c r="P6930" i="29"/>
  <c r="N6930" i="29"/>
  <c r="G6930" i="29"/>
  <c r="F6930" i="29"/>
  <c r="Q6929" i="29"/>
  <c r="P6929" i="29"/>
  <c r="N6929" i="29"/>
  <c r="G6929" i="29"/>
  <c r="F6929" i="29"/>
  <c r="Q6928" i="29"/>
  <c r="P6928" i="29"/>
  <c r="N6928" i="29"/>
  <c r="G6928" i="29"/>
  <c r="F6928" i="29"/>
  <c r="Q6927" i="29"/>
  <c r="P6927" i="29"/>
  <c r="N6927" i="29"/>
  <c r="G6927" i="29"/>
  <c r="F6927" i="29"/>
  <c r="Q6926" i="29"/>
  <c r="S6926" i="29"/>
  <c r="P6926" i="29"/>
  <c r="N6926" i="29"/>
  <c r="G6926" i="29"/>
  <c r="F6926" i="29"/>
  <c r="Q6925" i="29"/>
  <c r="T6925" i="29"/>
  <c r="P6925" i="29"/>
  <c r="N6925" i="29"/>
  <c r="G6925" i="29"/>
  <c r="F6925" i="29"/>
  <c r="Q6924" i="29"/>
  <c r="P6924" i="29"/>
  <c r="N6924" i="29"/>
  <c r="G6924" i="29"/>
  <c r="F6924" i="29"/>
  <c r="Q6923" i="29"/>
  <c r="P6923" i="29"/>
  <c r="N6923" i="29"/>
  <c r="G6923" i="29"/>
  <c r="F6923" i="29"/>
  <c r="Q6922" i="29"/>
  <c r="S6922" i="29"/>
  <c r="P6922" i="29"/>
  <c r="N6922" i="29"/>
  <c r="G6922" i="29"/>
  <c r="F6922" i="29"/>
  <c r="Q6921" i="29"/>
  <c r="S6921" i="29"/>
  <c r="P6921" i="29"/>
  <c r="N6921" i="29"/>
  <c r="G6921" i="29"/>
  <c r="F6921" i="29"/>
  <c r="Q6920" i="29"/>
  <c r="P6920" i="29"/>
  <c r="N6920" i="29"/>
  <c r="G6920" i="29"/>
  <c r="F6920" i="29"/>
  <c r="Q6919" i="29"/>
  <c r="P6919" i="29"/>
  <c r="N6919" i="29"/>
  <c r="G6919" i="29"/>
  <c r="F6919" i="29"/>
  <c r="Q6918" i="29"/>
  <c r="P6918" i="29"/>
  <c r="N6918" i="29"/>
  <c r="G6918" i="29"/>
  <c r="F6918" i="29"/>
  <c r="Q6917" i="29"/>
  <c r="P6917" i="29"/>
  <c r="N6917" i="29"/>
  <c r="G6917" i="29"/>
  <c r="F6917" i="29"/>
  <c r="Q6916" i="29"/>
  <c r="P6916" i="29"/>
  <c r="N6916" i="29"/>
  <c r="G6916" i="29"/>
  <c r="F6916" i="29"/>
  <c r="Q6915" i="29"/>
  <c r="P6915" i="29"/>
  <c r="N6915" i="29"/>
  <c r="G6915" i="29"/>
  <c r="F6915" i="29"/>
  <c r="Q6914" i="29"/>
  <c r="S6914" i="29"/>
  <c r="P6914" i="29"/>
  <c r="N6914" i="29"/>
  <c r="G6914" i="29"/>
  <c r="F6914" i="29"/>
  <c r="Q6913" i="29"/>
  <c r="P6913" i="29"/>
  <c r="N6913" i="29"/>
  <c r="G6913" i="29"/>
  <c r="F6913" i="29"/>
  <c r="Q6912" i="29"/>
  <c r="P6912" i="29"/>
  <c r="N6912" i="29"/>
  <c r="G6912" i="29"/>
  <c r="F6912" i="29"/>
  <c r="T6911" i="29"/>
  <c r="S6911" i="29"/>
  <c r="P6911" i="29"/>
  <c r="N6911" i="29"/>
  <c r="G6911" i="29"/>
  <c r="F6911" i="29"/>
  <c r="R6910" i="29"/>
  <c r="Q6910" i="29"/>
  <c r="P6910" i="29"/>
  <c r="N6910" i="29"/>
  <c r="G6910" i="29"/>
  <c r="F6910" i="29"/>
  <c r="Q6909" i="29"/>
  <c r="S6909" i="29"/>
  <c r="P6909" i="29"/>
  <c r="N6909" i="29"/>
  <c r="G6909" i="29"/>
  <c r="F6909" i="29"/>
  <c r="Q6908" i="29"/>
  <c r="P6908" i="29"/>
  <c r="N6908" i="29"/>
  <c r="G6908" i="29"/>
  <c r="F6908" i="29"/>
  <c r="Q6907" i="29"/>
  <c r="P6907" i="29"/>
  <c r="N6907" i="29"/>
  <c r="G6907" i="29"/>
  <c r="F6907" i="29"/>
  <c r="Q6906" i="29"/>
  <c r="P6906" i="29"/>
  <c r="N6906" i="29"/>
  <c r="G6906" i="29"/>
  <c r="F6906" i="29"/>
  <c r="Q6905" i="29"/>
  <c r="P6905" i="29"/>
  <c r="N6905" i="29"/>
  <c r="G6905" i="29"/>
  <c r="F6905" i="29"/>
  <c r="Q6904" i="29"/>
  <c r="S6904" i="29"/>
  <c r="P6904" i="29"/>
  <c r="N6904" i="29"/>
  <c r="G6904" i="29"/>
  <c r="F6904" i="29"/>
  <c r="Q6903" i="29"/>
  <c r="P6903" i="29"/>
  <c r="N6903" i="29"/>
  <c r="G6903" i="29"/>
  <c r="F6903" i="29"/>
  <c r="Q6902" i="29"/>
  <c r="S6902" i="29"/>
  <c r="P6902" i="29"/>
  <c r="N6902" i="29"/>
  <c r="G6902" i="29"/>
  <c r="F6902" i="29"/>
  <c r="Q6901" i="29"/>
  <c r="P6901" i="29"/>
  <c r="N6901" i="29"/>
  <c r="G6901" i="29"/>
  <c r="F6901" i="29"/>
  <c r="Q6900" i="29"/>
  <c r="S6900" i="29"/>
  <c r="P6900" i="29"/>
  <c r="N6900" i="29"/>
  <c r="G6900" i="29"/>
  <c r="F6900" i="29"/>
  <c r="W6899" i="29"/>
  <c r="N6899" i="29"/>
  <c r="P6898" i="29"/>
  <c r="Q6898" i="29"/>
  <c r="F773" i="31"/>
  <c r="G773" i="31"/>
  <c r="H773" i="31"/>
  <c r="F772" i="31"/>
  <c r="G772" i="31"/>
  <c r="H772" i="31"/>
  <c r="F771" i="31"/>
  <c r="G771" i="31"/>
  <c r="H771" i="31"/>
  <c r="F770" i="31"/>
  <c r="G770" i="31"/>
  <c r="H770" i="31"/>
  <c r="R6844" i="29"/>
  <c r="N6825" i="29"/>
  <c r="N6826" i="29"/>
  <c r="N6827" i="29"/>
  <c r="N6828" i="29"/>
  <c r="N6829" i="29"/>
  <c r="N6830" i="29"/>
  <c r="N6831" i="29"/>
  <c r="N6832" i="29"/>
  <c r="N6833" i="29"/>
  <c r="N6834" i="29"/>
  <c r="N6835" i="29"/>
  <c r="N6836" i="29"/>
  <c r="N6837" i="29"/>
  <c r="N6838" i="29"/>
  <c r="N6839" i="29"/>
  <c r="N6840" i="29"/>
  <c r="N6841" i="29"/>
  <c r="N6842" i="29"/>
  <c r="N6843" i="29"/>
  <c r="N6844" i="29"/>
  <c r="N6845" i="29"/>
  <c r="N6846" i="29"/>
  <c r="N6847" i="29"/>
  <c r="N6848" i="29"/>
  <c r="N6849" i="29"/>
  <c r="N6850" i="29"/>
  <c r="N6851" i="29"/>
  <c r="N6852" i="29"/>
  <c r="N6853" i="29"/>
  <c r="N6854" i="29"/>
  <c r="N6855" i="29"/>
  <c r="N6856" i="29"/>
  <c r="N6857" i="29"/>
  <c r="N6858" i="29"/>
  <c r="N6859" i="29"/>
  <c r="N6860" i="29"/>
  <c r="N6861" i="29"/>
  <c r="N6862" i="29"/>
  <c r="N6863" i="29"/>
  <c r="N6864" i="29"/>
  <c r="N6865" i="29"/>
  <c r="N6866" i="29"/>
  <c r="N6867" i="29"/>
  <c r="N6868" i="29"/>
  <c r="N6869" i="29"/>
  <c r="N6870" i="29"/>
  <c r="N6871" i="29"/>
  <c r="N6872" i="29"/>
  <c r="N6873" i="29"/>
  <c r="N6874" i="29"/>
  <c r="N6875" i="29"/>
  <c r="N6876" i="29"/>
  <c r="N6877" i="29"/>
  <c r="N6878" i="29"/>
  <c r="N6879" i="29"/>
  <c r="N6880" i="29"/>
  <c r="N6881" i="29"/>
  <c r="N6882" i="29"/>
  <c r="N6883" i="29"/>
  <c r="N6884" i="29"/>
  <c r="N6885" i="29"/>
  <c r="N6886" i="29"/>
  <c r="N6887" i="29"/>
  <c r="N6888" i="29"/>
  <c r="N6889" i="29"/>
  <c r="N6890" i="29"/>
  <c r="N6891" i="29"/>
  <c r="N6892" i="29"/>
  <c r="N6893" i="29"/>
  <c r="N6894" i="29"/>
  <c r="N6895" i="29"/>
  <c r="N6896" i="29"/>
  <c r="N6897" i="29"/>
  <c r="N6898" i="29"/>
  <c r="N6824" i="29"/>
  <c r="Q6825" i="29"/>
  <c r="T6825" i="29"/>
  <c r="Q6826" i="29"/>
  <c r="Q6827" i="29"/>
  <c r="Q6828" i="29"/>
  <c r="Q6829" i="29"/>
  <c r="T6829" i="29"/>
  <c r="Q6830" i="29"/>
  <c r="Q6831" i="29"/>
  <c r="T6831" i="29"/>
  <c r="Q6832" i="29"/>
  <c r="Q6833" i="29"/>
  <c r="Q6834" i="29"/>
  <c r="Q6835" i="29"/>
  <c r="Q6836" i="29"/>
  <c r="Q6837" i="29"/>
  <c r="S6837" i="29"/>
  <c r="Q6838" i="29"/>
  <c r="S6838" i="29"/>
  <c r="Q6839" i="29"/>
  <c r="Q6840" i="29"/>
  <c r="Q6841" i="29"/>
  <c r="Q6842" i="29"/>
  <c r="Q6843" i="29"/>
  <c r="Q6844" i="29"/>
  <c r="T6844" i="29"/>
  <c r="Q6845" i="29"/>
  <c r="T6845" i="29"/>
  <c r="Q6846" i="29"/>
  <c r="Q6847" i="29"/>
  <c r="Q6848" i="29"/>
  <c r="Q6849" i="29"/>
  <c r="Q6850" i="29"/>
  <c r="T6850" i="29"/>
  <c r="Q6851" i="29"/>
  <c r="T6851" i="29"/>
  <c r="Q6852" i="29"/>
  <c r="Q6853" i="29"/>
  <c r="Q6854" i="29"/>
  <c r="S6855" i="29"/>
  <c r="Q6856" i="29"/>
  <c r="Q6857" i="29"/>
  <c r="S6857" i="29"/>
  <c r="Q6858" i="29"/>
  <c r="T6858" i="29"/>
  <c r="Q6859" i="29"/>
  <c r="Q6860" i="29"/>
  <c r="Q6861" i="29"/>
  <c r="Q6862" i="29"/>
  <c r="Q6863" i="29"/>
  <c r="Q6864" i="29"/>
  <c r="T6864" i="29"/>
  <c r="Q6865" i="29"/>
  <c r="Q6866" i="29"/>
  <c r="Q6867" i="29"/>
  <c r="T6867" i="29"/>
  <c r="Q6868" i="29"/>
  <c r="S6869" i="29"/>
  <c r="Q6870" i="29"/>
  <c r="T6870" i="29"/>
  <c r="Q6871" i="29"/>
  <c r="Q6872" i="29"/>
  <c r="T6872" i="29"/>
  <c r="Q6873" i="29"/>
  <c r="Q6874" i="29"/>
  <c r="Q6875" i="29"/>
  <c r="T6875" i="29"/>
  <c r="Q6876" i="29"/>
  <c r="Q6877" i="29"/>
  <c r="Q6878" i="29"/>
  <c r="Q6879" i="29"/>
  <c r="T6879" i="29"/>
  <c r="Q6880" i="29"/>
  <c r="Q6881" i="29"/>
  <c r="Q6882" i="29"/>
  <c r="Q6883" i="29"/>
  <c r="Q6884" i="29"/>
  <c r="S6884" i="29"/>
  <c r="Q6885" i="29"/>
  <c r="Q6886" i="29"/>
  <c r="Q6887" i="29"/>
  <c r="T6887" i="29"/>
  <c r="Q6888" i="29"/>
  <c r="Q6889" i="29"/>
  <c r="Q6890" i="29"/>
  <c r="T6890" i="29"/>
  <c r="Q6891" i="29"/>
  <c r="Q6892" i="29"/>
  <c r="Q6893" i="29"/>
  <c r="S6893" i="29"/>
  <c r="Q6894" i="29"/>
  <c r="Q6895" i="29"/>
  <c r="Q6896" i="29"/>
  <c r="Q6897" i="29"/>
  <c r="Q6824" i="29"/>
  <c r="P6825" i="29"/>
  <c r="P6826" i="29"/>
  <c r="P6827" i="29"/>
  <c r="P6828" i="29"/>
  <c r="P6829" i="29"/>
  <c r="P6830" i="29"/>
  <c r="P6831" i="29"/>
  <c r="P6832" i="29"/>
  <c r="P6833" i="29"/>
  <c r="P6834" i="29"/>
  <c r="P6835" i="29"/>
  <c r="P6836" i="29"/>
  <c r="P6837" i="29"/>
  <c r="P6838" i="29"/>
  <c r="P6839" i="29"/>
  <c r="P6840" i="29"/>
  <c r="P6841" i="29"/>
  <c r="P6842" i="29"/>
  <c r="P6843" i="29"/>
  <c r="P6844" i="29"/>
  <c r="P6845" i="29"/>
  <c r="P6846" i="29"/>
  <c r="P6847" i="29"/>
  <c r="P6848" i="29"/>
  <c r="P6849" i="29"/>
  <c r="P6850" i="29"/>
  <c r="P6851" i="29"/>
  <c r="P6852" i="29"/>
  <c r="P6853" i="29"/>
  <c r="P6854" i="29"/>
  <c r="P6855" i="29"/>
  <c r="P6856" i="29"/>
  <c r="P6857" i="29"/>
  <c r="P6858" i="29"/>
  <c r="P6859" i="29"/>
  <c r="P6860" i="29"/>
  <c r="P6861" i="29"/>
  <c r="P6862" i="29"/>
  <c r="P6863" i="29"/>
  <c r="P6864" i="29"/>
  <c r="P6865" i="29"/>
  <c r="P6866" i="29"/>
  <c r="P6867" i="29"/>
  <c r="P6868" i="29"/>
  <c r="P6869" i="29"/>
  <c r="P6870" i="29"/>
  <c r="P6871" i="29"/>
  <c r="P6872" i="29"/>
  <c r="P6873" i="29"/>
  <c r="P6874" i="29"/>
  <c r="P6875" i="29"/>
  <c r="P6876" i="29"/>
  <c r="P6877" i="29"/>
  <c r="P6878" i="29"/>
  <c r="P6879" i="29"/>
  <c r="P6880" i="29"/>
  <c r="P6881" i="29"/>
  <c r="P6882" i="29"/>
  <c r="P6883" i="29"/>
  <c r="P6884" i="29"/>
  <c r="P6885" i="29"/>
  <c r="P6886" i="29"/>
  <c r="P6887" i="29"/>
  <c r="P6888" i="29"/>
  <c r="P6889" i="29"/>
  <c r="P6890" i="29"/>
  <c r="P6891" i="29"/>
  <c r="P6892" i="29"/>
  <c r="P6893" i="29"/>
  <c r="P6894" i="29"/>
  <c r="P6895" i="29"/>
  <c r="P6896" i="29"/>
  <c r="P6897" i="29"/>
  <c r="P6824" i="29"/>
  <c r="F6898" i="29"/>
  <c r="G6898" i="29"/>
  <c r="F6897" i="29"/>
  <c r="G6897" i="29"/>
  <c r="F6896" i="29"/>
  <c r="G6896" i="29"/>
  <c r="F6895" i="29"/>
  <c r="G6895" i="29"/>
  <c r="F6894" i="29"/>
  <c r="G6894" i="29"/>
  <c r="F6893" i="29"/>
  <c r="G6893" i="29"/>
  <c r="F6892" i="29"/>
  <c r="G6892" i="29"/>
  <c r="F6891" i="29"/>
  <c r="G6891" i="29"/>
  <c r="F6890" i="29"/>
  <c r="G6890" i="29"/>
  <c r="G6887" i="29"/>
  <c r="F6887" i="29"/>
  <c r="G6889" i="29"/>
  <c r="F6889" i="29"/>
  <c r="G6888" i="29"/>
  <c r="F6888" i="29"/>
  <c r="G6886" i="29"/>
  <c r="F6886" i="29"/>
  <c r="G6885" i="29"/>
  <c r="F6885" i="29"/>
  <c r="G6882" i="29"/>
  <c r="F6882" i="29"/>
  <c r="G6884" i="29"/>
  <c r="F6884" i="29"/>
  <c r="G6883" i="29"/>
  <c r="F6883" i="29"/>
  <c r="G6881" i="29"/>
  <c r="F6881" i="29"/>
  <c r="G6880" i="29"/>
  <c r="F6880" i="29"/>
  <c r="G6879" i="29"/>
  <c r="F6879" i="29"/>
  <c r="G6878" i="29"/>
  <c r="F6878" i="29"/>
  <c r="G6877" i="29"/>
  <c r="F6877" i="29"/>
  <c r="G6876" i="29"/>
  <c r="F6876" i="29"/>
  <c r="G6875" i="29"/>
  <c r="F6875" i="29"/>
  <c r="G6874" i="29"/>
  <c r="F6874" i="29"/>
  <c r="F6873" i="29"/>
  <c r="G6873" i="29"/>
  <c r="G6872" i="29"/>
  <c r="F6872" i="29"/>
  <c r="G6871" i="29"/>
  <c r="F6871" i="29"/>
  <c r="G6870" i="29"/>
  <c r="F6870" i="29"/>
  <c r="G6869" i="29"/>
  <c r="F6869" i="29"/>
  <c r="G6868" i="29"/>
  <c r="F6868" i="29"/>
  <c r="G6867" i="29"/>
  <c r="F6867" i="29"/>
  <c r="G6866" i="29"/>
  <c r="F6866" i="29"/>
  <c r="G6865" i="29"/>
  <c r="F6865" i="29"/>
  <c r="G6864" i="29"/>
  <c r="F6864" i="29"/>
  <c r="G6863" i="29"/>
  <c r="F6863" i="29"/>
  <c r="G6862" i="29"/>
  <c r="F6862" i="29"/>
  <c r="G6861" i="29"/>
  <c r="F6861" i="29"/>
  <c r="G6860" i="29"/>
  <c r="F6860" i="29"/>
  <c r="G6859" i="29"/>
  <c r="F6859" i="29"/>
  <c r="G6853" i="29"/>
  <c r="F6853" i="29"/>
  <c r="G6858" i="29"/>
  <c r="F6858" i="29"/>
  <c r="G6857" i="29"/>
  <c r="F6857" i="29"/>
  <c r="R6856" i="29"/>
  <c r="G6856" i="29"/>
  <c r="F6856" i="29"/>
  <c r="G6855" i="29"/>
  <c r="F6855" i="29"/>
  <c r="R6854" i="29"/>
  <c r="G6854" i="29"/>
  <c r="F6854" i="29"/>
  <c r="F6825" i="29"/>
  <c r="F6826" i="29"/>
  <c r="F6827" i="29"/>
  <c r="F6828" i="29"/>
  <c r="F6829" i="29"/>
  <c r="F6830" i="29"/>
  <c r="F6831" i="29"/>
  <c r="F6832" i="29"/>
  <c r="F6833" i="29"/>
  <c r="F6834" i="29"/>
  <c r="F6835" i="29"/>
  <c r="F6836" i="29"/>
  <c r="F6837" i="29"/>
  <c r="F6838" i="29"/>
  <c r="F6839" i="29"/>
  <c r="F6840" i="29"/>
  <c r="F6841" i="29"/>
  <c r="F6842" i="29"/>
  <c r="F6843" i="29"/>
  <c r="F6844" i="29"/>
  <c r="F6845" i="29"/>
  <c r="F6846" i="29"/>
  <c r="F6847" i="29"/>
  <c r="F6848" i="29"/>
  <c r="F6849" i="29"/>
  <c r="F6850" i="29"/>
  <c r="F6851" i="29"/>
  <c r="F6852" i="29"/>
  <c r="F6824" i="29"/>
  <c r="G6825" i="29"/>
  <c r="G6826" i="29"/>
  <c r="G6827" i="29"/>
  <c r="G6828" i="29"/>
  <c r="G6829" i="29"/>
  <c r="G6830" i="29"/>
  <c r="G6831" i="29"/>
  <c r="G6832" i="29"/>
  <c r="G6833" i="29"/>
  <c r="G6834" i="29"/>
  <c r="G6835" i="29"/>
  <c r="G6836" i="29"/>
  <c r="G6837" i="29"/>
  <c r="G6838" i="29"/>
  <c r="G6839" i="29"/>
  <c r="G6840" i="29"/>
  <c r="G6841" i="29"/>
  <c r="G6842" i="29"/>
  <c r="G6843" i="29"/>
  <c r="G6844" i="29"/>
  <c r="G6845" i="29"/>
  <c r="G6846" i="29"/>
  <c r="G6847" i="29"/>
  <c r="G6848" i="29"/>
  <c r="G6849" i="29"/>
  <c r="G6850" i="29"/>
  <c r="G6851" i="29"/>
  <c r="G6852" i="29"/>
  <c r="G6824" i="29"/>
  <c r="G6669" i="29"/>
  <c r="T6869" i="29"/>
  <c r="T6855" i="29"/>
  <c r="W6823" i="29"/>
  <c r="N6823" i="29"/>
  <c r="D632" i="6"/>
  <c r="Q6749" i="29"/>
  <c r="Q6750" i="29"/>
  <c r="Q6751" i="29"/>
  <c r="S6751" i="29"/>
  <c r="Q6752" i="29"/>
  <c r="S6752" i="29"/>
  <c r="Q6753" i="29"/>
  <c r="Q6754" i="29"/>
  <c r="Q6755" i="29"/>
  <c r="Q6756" i="29"/>
  <c r="Q6757" i="29"/>
  <c r="Q6758" i="29"/>
  <c r="Q6759" i="29"/>
  <c r="Q6760" i="29"/>
  <c r="Q6761" i="29"/>
  <c r="Q6762" i="29"/>
  <c r="Q6763" i="29"/>
  <c r="Q6764" i="29"/>
  <c r="Q6765" i="29"/>
  <c r="Q6766" i="29"/>
  <c r="Q6767" i="29"/>
  <c r="Q6768" i="29"/>
  <c r="S6768" i="29"/>
  <c r="Q6769" i="29"/>
  <c r="Q6770" i="29"/>
  <c r="Q6771" i="29"/>
  <c r="Q6772" i="29"/>
  <c r="Q6773" i="29"/>
  <c r="Q6774" i="29"/>
  <c r="T6774" i="29"/>
  <c r="Q6775" i="29"/>
  <c r="S6775" i="29"/>
  <c r="Q6776" i="29"/>
  <c r="Q6777" i="29"/>
  <c r="T6777" i="29"/>
  <c r="Q6778" i="29"/>
  <c r="Q6779" i="29"/>
  <c r="Q6780" i="29"/>
  <c r="Q6781" i="29"/>
  <c r="Q6782" i="29"/>
  <c r="Q6783" i="29"/>
  <c r="Q6784" i="29"/>
  <c r="Q6785" i="29"/>
  <c r="Q6786" i="29"/>
  <c r="Q6787" i="29"/>
  <c r="Q6788" i="29"/>
  <c r="Q6789" i="29"/>
  <c r="Q6790" i="29"/>
  <c r="T6790" i="29"/>
  <c r="Q6791" i="29"/>
  <c r="S6791" i="29"/>
  <c r="Q6792" i="29"/>
  <c r="Q6793" i="29"/>
  <c r="Q6794" i="29"/>
  <c r="T6794" i="29"/>
  <c r="Q6795" i="29"/>
  <c r="Q6796" i="29"/>
  <c r="Q6797" i="29"/>
  <c r="T6797" i="29"/>
  <c r="Q6798" i="29"/>
  <c r="S6798" i="29"/>
  <c r="Q6799" i="29"/>
  <c r="Q6800" i="29"/>
  <c r="T6800" i="29"/>
  <c r="Q6801" i="29"/>
  <c r="Q6802" i="29"/>
  <c r="Q6803" i="29"/>
  <c r="S6803" i="29"/>
  <c r="Q6804" i="29"/>
  <c r="Q6805" i="29"/>
  <c r="S6805" i="29"/>
  <c r="Q6806" i="29"/>
  <c r="Q6807" i="29"/>
  <c r="Q6808" i="29"/>
  <c r="Q6809" i="29"/>
  <c r="Q6810" i="29"/>
  <c r="Q6811" i="29"/>
  <c r="Q6812" i="29"/>
  <c r="Q6813" i="29"/>
  <c r="Q6814" i="29"/>
  <c r="Q6815" i="29"/>
  <c r="T6815" i="29"/>
  <c r="Q6816" i="29"/>
  <c r="Q6817" i="29"/>
  <c r="Q6818" i="29"/>
  <c r="Q6819" i="29"/>
  <c r="Q6820" i="29"/>
  <c r="T6820" i="29"/>
  <c r="Q6821" i="29"/>
  <c r="Q6822" i="29"/>
  <c r="S6822" i="29"/>
  <c r="F6749" i="29"/>
  <c r="K6749" i="29"/>
  <c r="F6750" i="29"/>
  <c r="K6750" i="29"/>
  <c r="F6751" i="29"/>
  <c r="F6752" i="29"/>
  <c r="F6753" i="29"/>
  <c r="F6754" i="29"/>
  <c r="F6755" i="29"/>
  <c r="F6756" i="29"/>
  <c r="F6757" i="29"/>
  <c r="F6758" i="29"/>
  <c r="F6759" i="29"/>
  <c r="F6760" i="29"/>
  <c r="F6761" i="29"/>
  <c r="F6762" i="29"/>
  <c r="F6763" i="29"/>
  <c r="F6764" i="29"/>
  <c r="F6765" i="29"/>
  <c r="F6766" i="29"/>
  <c r="F6767" i="29"/>
  <c r="F6768" i="29"/>
  <c r="F6769" i="29"/>
  <c r="F6770" i="29"/>
  <c r="F6771" i="29"/>
  <c r="F6772" i="29"/>
  <c r="F6773" i="29"/>
  <c r="F6774" i="29"/>
  <c r="F6775" i="29"/>
  <c r="F6776" i="29"/>
  <c r="F6777" i="29"/>
  <c r="F6778" i="29"/>
  <c r="F6779" i="29"/>
  <c r="F6780" i="29"/>
  <c r="F6781" i="29"/>
  <c r="F6782" i="29"/>
  <c r="F6783" i="29"/>
  <c r="F6784" i="29"/>
  <c r="F6785" i="29"/>
  <c r="F6786" i="29"/>
  <c r="F6787" i="29"/>
  <c r="F6788" i="29"/>
  <c r="F6789" i="29"/>
  <c r="F6790" i="29"/>
  <c r="F6791" i="29"/>
  <c r="F6792" i="29"/>
  <c r="F6793" i="29"/>
  <c r="F6794" i="29"/>
  <c r="F6795" i="29"/>
  <c r="F6796" i="29"/>
  <c r="F6797" i="29"/>
  <c r="F6798" i="29"/>
  <c r="F6799" i="29"/>
  <c r="F6800" i="29"/>
  <c r="F6801" i="29"/>
  <c r="F6802" i="29"/>
  <c r="F6803" i="29"/>
  <c r="F6804" i="29"/>
  <c r="F6805" i="29"/>
  <c r="F6806" i="29"/>
  <c r="F6807" i="29"/>
  <c r="F6808" i="29"/>
  <c r="F6809" i="29"/>
  <c r="F6810" i="29"/>
  <c r="F6811" i="29"/>
  <c r="F6812" i="29"/>
  <c r="F6813" i="29"/>
  <c r="F6814" i="29"/>
  <c r="F6815" i="29"/>
  <c r="F6816" i="29"/>
  <c r="F6817" i="29"/>
  <c r="F6818" i="29"/>
  <c r="F6819" i="29"/>
  <c r="F6820" i="29"/>
  <c r="F6821" i="29"/>
  <c r="F6822" i="29"/>
  <c r="N6799" i="29"/>
  <c r="N6800" i="29"/>
  <c r="N6801" i="29"/>
  <c r="N6802" i="29"/>
  <c r="N6803" i="29"/>
  <c r="N6804" i="29"/>
  <c r="N6805" i="29"/>
  <c r="N6806" i="29"/>
  <c r="N6807" i="29"/>
  <c r="N6808" i="29"/>
  <c r="N6809" i="29"/>
  <c r="N6810" i="29"/>
  <c r="N6811" i="29"/>
  <c r="N6812" i="29"/>
  <c r="N6813" i="29"/>
  <c r="N6814" i="29"/>
  <c r="N6815" i="29"/>
  <c r="N6816" i="29"/>
  <c r="N6817" i="29"/>
  <c r="N6818" i="29"/>
  <c r="N6819" i="29"/>
  <c r="N6820" i="29"/>
  <c r="N6821" i="29"/>
  <c r="P6807" i="29"/>
  <c r="P6806" i="29"/>
  <c r="P6805" i="29"/>
  <c r="F544" i="31"/>
  <c r="G544" i="31"/>
  <c r="H544" i="31"/>
  <c r="F543" i="31"/>
  <c r="G543" i="31"/>
  <c r="H543" i="31"/>
  <c r="F542" i="31"/>
  <c r="G542" i="31"/>
  <c r="H542" i="31"/>
  <c r="G6749" i="29"/>
  <c r="G6750" i="29"/>
  <c r="G6751" i="29"/>
  <c r="G6752" i="29"/>
  <c r="G6822" i="29"/>
  <c r="J6822" i="29"/>
  <c r="P6822" i="29"/>
  <c r="G6821" i="29"/>
  <c r="G6820" i="29"/>
  <c r="G6819" i="29"/>
  <c r="G6818" i="29"/>
  <c r="G6817" i="29"/>
  <c r="P6821" i="29"/>
  <c r="P6820" i="29"/>
  <c r="P6819" i="29"/>
  <c r="P6818" i="29"/>
  <c r="P6817" i="29"/>
  <c r="G6816" i="29"/>
  <c r="P6816" i="29"/>
  <c r="G6815" i="29"/>
  <c r="P6815" i="29"/>
  <c r="G6814" i="29"/>
  <c r="P6814" i="29"/>
  <c r="G6813" i="29"/>
  <c r="P6813" i="29"/>
  <c r="G6812" i="29"/>
  <c r="P6812" i="29"/>
  <c r="P6811" i="29"/>
  <c r="G6811" i="29"/>
  <c r="P6810" i="29"/>
  <c r="G6810" i="29"/>
  <c r="P6809" i="29"/>
  <c r="G6809" i="29"/>
  <c r="P6808" i="29"/>
  <c r="G6808" i="29"/>
  <c r="G6807" i="29"/>
  <c r="G6806" i="29"/>
  <c r="G6805" i="29"/>
  <c r="G6804" i="29"/>
  <c r="G6803" i="29"/>
  <c r="G6802" i="29"/>
  <c r="G6801" i="29"/>
  <c r="P6800" i="29"/>
  <c r="G6800" i="29"/>
  <c r="R6799" i="29"/>
  <c r="P6799" i="29"/>
  <c r="G6799" i="29"/>
  <c r="P6798" i="29"/>
  <c r="N6798" i="29"/>
  <c r="G6798" i="29"/>
  <c r="P6797" i="29"/>
  <c r="N6797" i="29"/>
  <c r="G6797" i="29"/>
  <c r="P6796" i="29"/>
  <c r="N6796" i="29"/>
  <c r="G6796" i="29"/>
  <c r="P6795" i="29"/>
  <c r="N6795" i="29"/>
  <c r="G6795" i="29"/>
  <c r="P6794" i="29"/>
  <c r="N6794" i="29"/>
  <c r="G6794" i="29"/>
  <c r="N6793" i="29"/>
  <c r="G6793" i="29"/>
  <c r="N6792" i="29"/>
  <c r="G6792" i="29"/>
  <c r="P6791" i="29"/>
  <c r="N6791" i="29"/>
  <c r="G6791" i="29"/>
  <c r="P6790" i="29"/>
  <c r="G6790" i="29"/>
  <c r="P6789" i="29"/>
  <c r="N6789" i="29"/>
  <c r="G6789" i="29"/>
  <c r="P6788" i="29"/>
  <c r="N6788" i="29"/>
  <c r="G6788" i="29"/>
  <c r="P6787" i="29"/>
  <c r="N6787" i="29"/>
  <c r="G6787" i="29"/>
  <c r="P6786" i="29"/>
  <c r="N6786" i="29"/>
  <c r="G6786" i="29"/>
  <c r="P6785" i="29"/>
  <c r="N6785" i="29"/>
  <c r="G6785" i="29"/>
  <c r="P6784" i="29"/>
  <c r="N6784" i="29"/>
  <c r="G6784" i="29"/>
  <c r="P6783" i="29"/>
  <c r="N6783" i="29"/>
  <c r="G6783" i="29"/>
  <c r="P6782" i="29"/>
  <c r="N6782" i="29"/>
  <c r="G6782" i="29"/>
  <c r="P6781" i="29"/>
  <c r="N6781" i="29"/>
  <c r="G6781" i="29"/>
  <c r="G6762" i="29"/>
  <c r="G6763" i="29"/>
  <c r="G6764" i="29"/>
  <c r="G6765" i="29"/>
  <c r="G6766" i="29"/>
  <c r="G6767" i="29"/>
  <c r="G6768" i="29"/>
  <c r="G6769" i="29"/>
  <c r="G6770" i="29"/>
  <c r="G6771" i="29"/>
  <c r="G6772" i="29"/>
  <c r="G6773" i="29"/>
  <c r="G6774" i="29"/>
  <c r="G6775" i="29"/>
  <c r="G6776" i="29"/>
  <c r="G6777" i="29"/>
  <c r="G6778" i="29"/>
  <c r="G6779" i="29"/>
  <c r="G6780" i="29"/>
  <c r="G6761" i="29"/>
  <c r="P6761" i="29"/>
  <c r="P6760" i="29"/>
  <c r="N6760" i="29"/>
  <c r="G6760" i="29"/>
  <c r="P6759" i="29"/>
  <c r="N6759" i="29"/>
  <c r="G6759" i="29"/>
  <c r="P6758" i="29"/>
  <c r="N6758" i="29"/>
  <c r="G6758" i="29"/>
  <c r="P6757" i="29"/>
  <c r="N6757" i="29"/>
  <c r="G6757" i="29"/>
  <c r="P6756" i="29"/>
  <c r="N6756" i="29"/>
  <c r="G6756" i="29"/>
  <c r="P6755" i="29"/>
  <c r="N6755" i="29"/>
  <c r="G6755" i="29"/>
  <c r="P6754" i="29"/>
  <c r="N6754" i="29"/>
  <c r="G6754" i="29"/>
  <c r="P6753" i="29"/>
  <c r="N6753" i="29"/>
  <c r="G6753" i="29"/>
  <c r="P6752" i="29"/>
  <c r="N6752" i="29"/>
  <c r="P6751" i="29"/>
  <c r="N6751" i="29"/>
  <c r="Q6748" i="29"/>
  <c r="P6748" i="29"/>
  <c r="N6748" i="29"/>
  <c r="G6748" i="29"/>
  <c r="F6748" i="29"/>
  <c r="W6747" i="29"/>
  <c r="N6747" i="29"/>
  <c r="D624" i="6"/>
  <c r="Q6701" i="29"/>
  <c r="T6701" i="29"/>
  <c r="F541" i="31"/>
  <c r="F540" i="31"/>
  <c r="F539" i="31"/>
  <c r="G539" i="31"/>
  <c r="H539" i="31"/>
  <c r="F538" i="31"/>
  <c r="G538" i="31"/>
  <c r="H538" i="31"/>
  <c r="F537" i="31"/>
  <c r="G537" i="31"/>
  <c r="H537" i="31"/>
  <c r="F536" i="31"/>
  <c r="G536" i="31"/>
  <c r="H536" i="31"/>
  <c r="Q6707" i="29"/>
  <c r="S6707" i="29"/>
  <c r="Q6703" i="29"/>
  <c r="Q6702" i="29"/>
  <c r="N6745" i="29"/>
  <c r="N6744" i="29"/>
  <c r="N6743" i="29"/>
  <c r="N6742" i="29"/>
  <c r="N6741" i="29"/>
  <c r="N6740" i="29"/>
  <c r="N6739" i="29"/>
  <c r="N6738" i="29"/>
  <c r="N6731" i="29"/>
  <c r="N6726" i="29"/>
  <c r="N6722" i="29"/>
  <c r="N6721" i="29"/>
  <c r="N6707" i="29"/>
  <c r="N6705" i="29"/>
  <c r="N6703" i="29"/>
  <c r="N6702" i="29"/>
  <c r="N6700" i="29"/>
  <c r="N6699" i="29"/>
  <c r="N6698" i="29"/>
  <c r="N6697" i="29"/>
  <c r="N6696" i="29"/>
  <c r="N6695" i="29"/>
  <c r="N6684" i="29"/>
  <c r="P6745" i="29"/>
  <c r="P6744" i="29"/>
  <c r="P6743" i="29"/>
  <c r="P6742" i="29"/>
  <c r="P6741" i="29"/>
  <c r="P6740" i="29"/>
  <c r="P6739" i="29"/>
  <c r="P6738" i="29"/>
  <c r="P6731" i="29"/>
  <c r="P6726" i="29"/>
  <c r="P6722" i="29"/>
  <c r="P6721" i="29"/>
  <c r="P6707" i="29"/>
  <c r="P6705" i="29"/>
  <c r="P6703" i="29"/>
  <c r="P6702" i="29"/>
  <c r="P6700" i="29"/>
  <c r="P6699" i="29"/>
  <c r="P6698" i="29"/>
  <c r="P6697" i="29"/>
  <c r="P6696" i="29"/>
  <c r="P6695" i="29"/>
  <c r="P6684" i="29"/>
  <c r="Q6746" i="29"/>
  <c r="G6746" i="29"/>
  <c r="F6746" i="29"/>
  <c r="F6745" i="29"/>
  <c r="G6745" i="29"/>
  <c r="Q6745" i="29"/>
  <c r="S6745" i="29"/>
  <c r="F6744" i="29"/>
  <c r="G6744" i="29"/>
  <c r="Q6744" i="29"/>
  <c r="F6743" i="29"/>
  <c r="G6743" i="29"/>
  <c r="Q6743" i="29"/>
  <c r="F6742" i="29"/>
  <c r="G6742" i="29"/>
  <c r="F6741" i="29"/>
  <c r="G6741" i="29"/>
  <c r="F6740" i="29"/>
  <c r="G6740" i="29"/>
  <c r="Q6742" i="29"/>
  <c r="Q6741" i="29"/>
  <c r="Q6740" i="29"/>
  <c r="F6739" i="29"/>
  <c r="G6739" i="29"/>
  <c r="F6738" i="29"/>
  <c r="G6738" i="29"/>
  <c r="Q6739" i="29"/>
  <c r="Q6738" i="29"/>
  <c r="Q6737" i="29"/>
  <c r="P6737" i="29"/>
  <c r="N6737" i="29"/>
  <c r="G6737" i="29"/>
  <c r="F6737" i="29"/>
  <c r="Q6736" i="29"/>
  <c r="T6736" i="29"/>
  <c r="P6736" i="29"/>
  <c r="N6736" i="29"/>
  <c r="G6736" i="29"/>
  <c r="F6736" i="29"/>
  <c r="Q6735" i="29"/>
  <c r="P6735" i="29"/>
  <c r="N6735" i="29"/>
  <c r="G6735" i="29"/>
  <c r="F6735" i="29"/>
  <c r="Q6734" i="29"/>
  <c r="P6734" i="29"/>
  <c r="N6734" i="29"/>
  <c r="G6734" i="29"/>
  <c r="F6734" i="29"/>
  <c r="Q6733" i="29"/>
  <c r="P6733" i="29"/>
  <c r="N6733" i="29"/>
  <c r="G6733" i="29"/>
  <c r="F6733" i="29"/>
  <c r="F6731" i="29"/>
  <c r="G6731" i="29"/>
  <c r="Q6731" i="29"/>
  <c r="Q6732" i="29"/>
  <c r="P6732" i="29"/>
  <c r="N6732" i="29"/>
  <c r="G6732" i="29"/>
  <c r="F6732" i="29"/>
  <c r="F6726" i="29"/>
  <c r="G6726" i="29"/>
  <c r="Q6726" i="29"/>
  <c r="Q6730" i="29"/>
  <c r="P6730" i="29"/>
  <c r="N6730" i="29"/>
  <c r="G6730" i="29"/>
  <c r="F6730" i="29"/>
  <c r="Q6729" i="29"/>
  <c r="P6729" i="29"/>
  <c r="N6729" i="29"/>
  <c r="G6729" i="29"/>
  <c r="F6729" i="29"/>
  <c r="Q6728" i="29"/>
  <c r="P6728" i="29"/>
  <c r="N6728" i="29"/>
  <c r="G6728" i="29"/>
  <c r="F6728" i="29"/>
  <c r="Q6727" i="29"/>
  <c r="P6727" i="29"/>
  <c r="N6727" i="29"/>
  <c r="G6727" i="29"/>
  <c r="F6727" i="29"/>
  <c r="Q6725" i="29"/>
  <c r="N6725" i="29"/>
  <c r="G6725" i="29"/>
  <c r="F6725" i="29"/>
  <c r="Q6724" i="29"/>
  <c r="N6724" i="29"/>
  <c r="G6724" i="29"/>
  <c r="F6724" i="29"/>
  <c r="Q6723" i="29"/>
  <c r="S6723" i="29"/>
  <c r="P6723" i="29"/>
  <c r="N6723" i="29"/>
  <c r="G6723" i="29"/>
  <c r="F6723" i="29"/>
  <c r="F6722" i="29"/>
  <c r="G6722" i="29"/>
  <c r="Q6722" i="29"/>
  <c r="F6721" i="29"/>
  <c r="G6721" i="29"/>
  <c r="Q6721" i="29"/>
  <c r="S6721" i="29"/>
  <c r="Q6720" i="29"/>
  <c r="P6720" i="29"/>
  <c r="N6720" i="29"/>
  <c r="G6720" i="29"/>
  <c r="F6720" i="29"/>
  <c r="Q6719" i="29"/>
  <c r="P6719" i="29"/>
  <c r="N6719" i="29"/>
  <c r="G6719" i="29"/>
  <c r="F6719" i="29"/>
  <c r="Q6718" i="29"/>
  <c r="P6718" i="29"/>
  <c r="N6718" i="29"/>
  <c r="G6718" i="29"/>
  <c r="F6718" i="29"/>
  <c r="Q6717" i="29"/>
  <c r="P6717" i="29"/>
  <c r="G6717" i="29"/>
  <c r="F6717" i="29"/>
  <c r="Q6716" i="29"/>
  <c r="P6716" i="29"/>
  <c r="N6716" i="29"/>
  <c r="G6716" i="29"/>
  <c r="F6716" i="29"/>
  <c r="Q6713" i="29"/>
  <c r="S6713" i="29"/>
  <c r="P6713" i="29"/>
  <c r="N6713" i="29"/>
  <c r="G6713" i="29"/>
  <c r="F6713" i="29"/>
  <c r="Q6715" i="29"/>
  <c r="P6715" i="29"/>
  <c r="N6715" i="29"/>
  <c r="G6715" i="29"/>
  <c r="F6715" i="29"/>
  <c r="Q6714" i="29"/>
  <c r="P6714" i="29"/>
  <c r="N6714" i="29"/>
  <c r="G6714" i="29"/>
  <c r="F6714" i="29"/>
  <c r="Q6712" i="29"/>
  <c r="S6712" i="29"/>
  <c r="P6712" i="29"/>
  <c r="N6712" i="29"/>
  <c r="G6712" i="29"/>
  <c r="F6712" i="29"/>
  <c r="Q6711" i="29"/>
  <c r="P6711" i="29"/>
  <c r="N6711" i="29"/>
  <c r="G6711" i="29"/>
  <c r="F6711" i="29"/>
  <c r="Q6710" i="29"/>
  <c r="P6710" i="29"/>
  <c r="N6710" i="29"/>
  <c r="G6710" i="29"/>
  <c r="F6710" i="29"/>
  <c r="Q6709" i="29"/>
  <c r="S6709" i="29"/>
  <c r="P6709" i="29"/>
  <c r="N6709" i="29"/>
  <c r="G6709" i="29"/>
  <c r="F6709" i="29"/>
  <c r="Q6708" i="29"/>
  <c r="T6708" i="29"/>
  <c r="P6708" i="29"/>
  <c r="N6708" i="29"/>
  <c r="G6708" i="29"/>
  <c r="F6708" i="29"/>
  <c r="F6705" i="29"/>
  <c r="G6705" i="29"/>
  <c r="Q6705" i="29"/>
  <c r="S6705" i="29"/>
  <c r="Q6706" i="29"/>
  <c r="P6706" i="29"/>
  <c r="N6706" i="29"/>
  <c r="G6706" i="29"/>
  <c r="F6706" i="29"/>
  <c r="Q6704" i="29"/>
  <c r="T6704" i="29"/>
  <c r="P6704" i="29"/>
  <c r="N6704" i="29"/>
  <c r="G6704" i="29"/>
  <c r="F6704" i="29"/>
  <c r="G6707" i="29"/>
  <c r="F6707" i="29"/>
  <c r="F6703" i="29"/>
  <c r="G6703" i="29"/>
  <c r="F6702" i="29"/>
  <c r="G6702" i="29"/>
  <c r="G6701" i="29"/>
  <c r="F6701" i="29"/>
  <c r="Q6700" i="29"/>
  <c r="T6700" i="29"/>
  <c r="G6700" i="29"/>
  <c r="F6700" i="29"/>
  <c r="Q6699" i="29"/>
  <c r="G6699" i="29"/>
  <c r="F6699" i="29"/>
  <c r="Q6698" i="29"/>
  <c r="G6698" i="29"/>
  <c r="F6698" i="29"/>
  <c r="Q6697" i="29"/>
  <c r="G6697" i="29"/>
  <c r="F6697" i="29"/>
  <c r="Q6696" i="29"/>
  <c r="T6696" i="29"/>
  <c r="G6696" i="29"/>
  <c r="F6696" i="29"/>
  <c r="Q6695" i="29"/>
  <c r="T6695" i="29"/>
  <c r="G6695" i="29"/>
  <c r="F6695" i="29"/>
  <c r="Q6694" i="29"/>
  <c r="G6694" i="29"/>
  <c r="F6694" i="29"/>
  <c r="Q6693" i="29"/>
  <c r="S6693" i="29"/>
  <c r="G6693" i="29"/>
  <c r="F6693" i="29"/>
  <c r="Q6692" i="29"/>
  <c r="G6692" i="29"/>
  <c r="F6692" i="29"/>
  <c r="Q6691" i="29"/>
  <c r="G6691" i="29"/>
  <c r="F6691" i="29"/>
  <c r="Q6690" i="29"/>
  <c r="G6690" i="29"/>
  <c r="F6690" i="29"/>
  <c r="Q6689" i="29"/>
  <c r="S6689" i="29"/>
  <c r="G6689" i="29"/>
  <c r="F6689" i="29"/>
  <c r="Q6688" i="29"/>
  <c r="T6688" i="29"/>
  <c r="G6688" i="29"/>
  <c r="F6688" i="29"/>
  <c r="Q6687" i="29"/>
  <c r="G6687" i="29"/>
  <c r="F6687" i="29"/>
  <c r="Q6686" i="29"/>
  <c r="G6686" i="29"/>
  <c r="F6686" i="29"/>
  <c r="Q6685" i="29"/>
  <c r="G6685" i="29"/>
  <c r="F6685" i="29"/>
  <c r="Q6684" i="29"/>
  <c r="G6684" i="29"/>
  <c r="F6684" i="29"/>
  <c r="Q6683" i="29"/>
  <c r="P6683" i="29"/>
  <c r="N6683" i="29"/>
  <c r="G6683" i="29"/>
  <c r="F6683" i="29"/>
  <c r="Q6682" i="29"/>
  <c r="P6682" i="29"/>
  <c r="N6682" i="29"/>
  <c r="G6682" i="29"/>
  <c r="F6682" i="29"/>
  <c r="Q6681" i="29"/>
  <c r="P6681" i="29"/>
  <c r="N6681" i="29"/>
  <c r="G6681" i="29"/>
  <c r="F6681" i="29"/>
  <c r="R6680" i="29"/>
  <c r="Q6680" i="29"/>
  <c r="P6680" i="29"/>
  <c r="N6680" i="29"/>
  <c r="G6680" i="29"/>
  <c r="F6680" i="29"/>
  <c r="Q6679" i="29"/>
  <c r="P6679" i="29"/>
  <c r="N6679" i="29"/>
  <c r="G6679" i="29"/>
  <c r="F6679" i="29"/>
  <c r="Q6678" i="29"/>
  <c r="P6678" i="29"/>
  <c r="N6678" i="29"/>
  <c r="G6678" i="29"/>
  <c r="F6678" i="29"/>
  <c r="Q6677" i="29"/>
  <c r="P6677" i="29"/>
  <c r="N6677" i="29"/>
  <c r="G6677" i="29"/>
  <c r="F6677" i="29"/>
  <c r="Q6676" i="29"/>
  <c r="S6676" i="29"/>
  <c r="P6676" i="29"/>
  <c r="N6676" i="29"/>
  <c r="G6676" i="29"/>
  <c r="F6676" i="29"/>
  <c r="Q6675" i="29"/>
  <c r="P6675" i="29"/>
  <c r="N6675" i="29"/>
  <c r="G6675" i="29"/>
  <c r="F6675" i="29"/>
  <c r="Q6674" i="29"/>
  <c r="P6674" i="29"/>
  <c r="N6674" i="29"/>
  <c r="G6674" i="29"/>
  <c r="F6674" i="29"/>
  <c r="Q6673" i="29"/>
  <c r="T6673" i="29"/>
  <c r="P6673" i="29"/>
  <c r="N6673" i="29"/>
  <c r="G6673" i="29"/>
  <c r="F6673" i="29"/>
  <c r="Q6672" i="29"/>
  <c r="P6672" i="29"/>
  <c r="N6672" i="29"/>
  <c r="G6672" i="29"/>
  <c r="F6672" i="29"/>
  <c r="Q6671" i="29"/>
  <c r="P6671" i="29"/>
  <c r="N6671" i="29"/>
  <c r="G6671" i="29"/>
  <c r="F6671" i="29"/>
  <c r="G541" i="31"/>
  <c r="H541" i="31"/>
  <c r="G540" i="31"/>
  <c r="H540" i="31"/>
  <c r="W6668" i="29"/>
  <c r="N6668" i="29"/>
  <c r="F535" i="31"/>
  <c r="F534" i="31"/>
  <c r="F533" i="31"/>
  <c r="F532" i="31"/>
  <c r="G532" i="31"/>
  <c r="H532" i="31"/>
  <c r="G593" i="31"/>
  <c r="R88" i="29"/>
  <c r="S88" i="29"/>
  <c r="F531" i="31"/>
  <c r="F530" i="31"/>
  <c r="F529" i="31"/>
  <c r="F528" i="31"/>
  <c r="G528" i="31"/>
  <c r="H528" i="31"/>
  <c r="F527" i="31"/>
  <c r="G527" i="31"/>
  <c r="H527" i="31"/>
  <c r="D616" i="6"/>
  <c r="F6667" i="29"/>
  <c r="G6667" i="29"/>
  <c r="F6666" i="29"/>
  <c r="G6666" i="29"/>
  <c r="F6665" i="29"/>
  <c r="G6665" i="29"/>
  <c r="N6667" i="29"/>
  <c r="N6666" i="29"/>
  <c r="N6665" i="29"/>
  <c r="N6664" i="29"/>
  <c r="N6663" i="29"/>
  <c r="N6662" i="29"/>
  <c r="N6661" i="29"/>
  <c r="Q6667" i="29"/>
  <c r="Q6666" i="29"/>
  <c r="Q6665" i="29"/>
  <c r="S6665" i="29"/>
  <c r="P6667" i="29"/>
  <c r="P6666" i="29"/>
  <c r="P6665" i="29"/>
  <c r="F6664" i="29"/>
  <c r="G6664" i="29"/>
  <c r="F6663" i="29"/>
  <c r="G6663" i="29"/>
  <c r="F6662" i="29"/>
  <c r="G6662" i="29"/>
  <c r="F6661" i="29"/>
  <c r="G6661" i="29"/>
  <c r="Q6664" i="29"/>
  <c r="Q6663" i="29"/>
  <c r="T6663" i="29"/>
  <c r="Q6662" i="29"/>
  <c r="S6662" i="29"/>
  <c r="Q6661" i="29"/>
  <c r="S6661" i="29"/>
  <c r="P6664" i="29"/>
  <c r="P6663" i="29"/>
  <c r="P6662" i="29"/>
  <c r="P6661" i="29"/>
  <c r="Q6660" i="29"/>
  <c r="T6660" i="29"/>
  <c r="P6660" i="29"/>
  <c r="N6660" i="29"/>
  <c r="G6660" i="29"/>
  <c r="F6660" i="29"/>
  <c r="N6659" i="29"/>
  <c r="F6659" i="29"/>
  <c r="G6659" i="29"/>
  <c r="Q6659" i="29"/>
  <c r="P6659" i="29"/>
  <c r="N6658" i="29"/>
  <c r="F6658" i="29"/>
  <c r="G6658" i="29"/>
  <c r="Q6658" i="29"/>
  <c r="T6658" i="29"/>
  <c r="P6658" i="29"/>
  <c r="Q6657" i="29"/>
  <c r="P6657" i="29"/>
  <c r="N6657" i="29"/>
  <c r="G6657" i="29"/>
  <c r="F6657" i="29"/>
  <c r="Q6656" i="29"/>
  <c r="P6656" i="29"/>
  <c r="N6656" i="29"/>
  <c r="G6656" i="29"/>
  <c r="F6656" i="29"/>
  <c r="N6655" i="29"/>
  <c r="F6655" i="29"/>
  <c r="G6655" i="29"/>
  <c r="Q6655" i="29"/>
  <c r="P6655" i="29"/>
  <c r="Q6654" i="29"/>
  <c r="T6654" i="29"/>
  <c r="P6654" i="29"/>
  <c r="N6654" i="29"/>
  <c r="G6654" i="29"/>
  <c r="F6654" i="29"/>
  <c r="Q6653" i="29"/>
  <c r="P6653" i="29"/>
  <c r="N6653" i="29"/>
  <c r="G6653" i="29"/>
  <c r="F6653" i="29"/>
  <c r="Q6652" i="29"/>
  <c r="P6652" i="29"/>
  <c r="N6652" i="29"/>
  <c r="G6652" i="29"/>
  <c r="F6652" i="29"/>
  <c r="Q6651" i="29"/>
  <c r="P6651" i="29"/>
  <c r="N6651" i="29"/>
  <c r="G6651" i="29"/>
  <c r="F6651" i="29"/>
  <c r="R6650" i="29"/>
  <c r="Q6650" i="29"/>
  <c r="P6650" i="29"/>
  <c r="N6650" i="29"/>
  <c r="G6650" i="29"/>
  <c r="F6650" i="29"/>
  <c r="Q6649" i="29"/>
  <c r="P6649" i="29"/>
  <c r="N6649" i="29"/>
  <c r="G6649" i="29"/>
  <c r="F6649" i="29"/>
  <c r="Q6648" i="29"/>
  <c r="P6648" i="29"/>
  <c r="N6648" i="29"/>
  <c r="G6648" i="29"/>
  <c r="F6648" i="29"/>
  <c r="Q6647" i="29"/>
  <c r="T6647" i="29"/>
  <c r="P6647" i="29"/>
  <c r="N6647" i="29"/>
  <c r="G6647" i="29"/>
  <c r="F6647" i="29"/>
  <c r="Q6646" i="29"/>
  <c r="P6646" i="29"/>
  <c r="N6646" i="29"/>
  <c r="G6646" i="29"/>
  <c r="F6646" i="29"/>
  <c r="Q6645" i="29"/>
  <c r="S6645" i="29"/>
  <c r="N6645" i="29"/>
  <c r="G6645" i="29"/>
  <c r="F6645" i="29"/>
  <c r="Q6644" i="29"/>
  <c r="P6644" i="29"/>
  <c r="N6644" i="29"/>
  <c r="G6644" i="29"/>
  <c r="F6644" i="29"/>
  <c r="Q6643" i="29"/>
  <c r="P6643" i="29"/>
  <c r="N6643" i="29"/>
  <c r="G6643" i="29"/>
  <c r="F6643" i="29"/>
  <c r="Q6642" i="29"/>
  <c r="N6642" i="29"/>
  <c r="G6642" i="29"/>
  <c r="F6642" i="29"/>
  <c r="Q6641" i="29"/>
  <c r="N6641" i="29"/>
  <c r="G6641" i="29"/>
  <c r="F6641" i="29"/>
  <c r="N6640" i="29"/>
  <c r="F6640" i="29"/>
  <c r="G6640" i="29"/>
  <c r="Q6640" i="29"/>
  <c r="P6640" i="29"/>
  <c r="Q6639" i="29"/>
  <c r="T6639" i="29"/>
  <c r="P6639" i="29"/>
  <c r="N6639" i="29"/>
  <c r="G6639" i="29"/>
  <c r="F6639" i="29"/>
  <c r="N6638" i="29"/>
  <c r="N6637" i="29"/>
  <c r="Q6638" i="29"/>
  <c r="P6638" i="29"/>
  <c r="Q6637" i="29"/>
  <c r="T6637" i="29"/>
  <c r="P6637" i="29"/>
  <c r="F6638" i="29"/>
  <c r="G6638" i="29"/>
  <c r="F6637" i="29"/>
  <c r="G6637" i="29"/>
  <c r="Q6636" i="29"/>
  <c r="P6636" i="29"/>
  <c r="N6636" i="29"/>
  <c r="G6636" i="29"/>
  <c r="F6636" i="29"/>
  <c r="T6635" i="29"/>
  <c r="S6635" i="29"/>
  <c r="G6635" i="29"/>
  <c r="F6635" i="29"/>
  <c r="T6634" i="29"/>
  <c r="S6634" i="29"/>
  <c r="G6634" i="29"/>
  <c r="F6634" i="29"/>
  <c r="Q6633" i="29"/>
  <c r="S6633" i="29"/>
  <c r="P6633" i="29"/>
  <c r="F6633" i="29"/>
  <c r="G6633" i="29"/>
  <c r="Q6632" i="29"/>
  <c r="T6632" i="29"/>
  <c r="P6632" i="29"/>
  <c r="N6632" i="29"/>
  <c r="G6632" i="29"/>
  <c r="F6632" i="29"/>
  <c r="Q6631" i="29"/>
  <c r="P6631" i="29"/>
  <c r="N6631" i="29"/>
  <c r="G6631" i="29"/>
  <c r="F6631" i="29"/>
  <c r="Q6630" i="29"/>
  <c r="P6630" i="29"/>
  <c r="N6630" i="29"/>
  <c r="G6630" i="29"/>
  <c r="F6630" i="29"/>
  <c r="Q6629" i="29"/>
  <c r="P6629" i="29"/>
  <c r="N6629" i="29"/>
  <c r="G6629" i="29"/>
  <c r="F6629" i="29"/>
  <c r="Q6628" i="29"/>
  <c r="P6628" i="29"/>
  <c r="N6628" i="29"/>
  <c r="G6628" i="29"/>
  <c r="F6628" i="29"/>
  <c r="Q6627" i="29"/>
  <c r="P6627" i="29"/>
  <c r="N6627" i="29"/>
  <c r="G6627" i="29"/>
  <c r="F6627" i="29"/>
  <c r="Q6626" i="29"/>
  <c r="S6626" i="29"/>
  <c r="P6626" i="29"/>
  <c r="N6626" i="29"/>
  <c r="G6626" i="29"/>
  <c r="F6626" i="29"/>
  <c r="Q6625" i="29"/>
  <c r="S6625" i="29"/>
  <c r="P6625" i="29"/>
  <c r="N6625" i="29"/>
  <c r="G6625" i="29"/>
  <c r="F6625" i="29"/>
  <c r="Q6624" i="29"/>
  <c r="S6624" i="29"/>
  <c r="P6624" i="29"/>
  <c r="N6624" i="29"/>
  <c r="G6624" i="29"/>
  <c r="F6624" i="29"/>
  <c r="Q6623" i="29"/>
  <c r="G6623" i="29"/>
  <c r="F6623" i="29"/>
  <c r="T6622" i="29"/>
  <c r="S6622" i="29"/>
  <c r="G6622" i="29"/>
  <c r="F6622" i="29"/>
  <c r="K6622" i="29"/>
  <c r="Q6621" i="29"/>
  <c r="G6621" i="29"/>
  <c r="F6621" i="29"/>
  <c r="Q6620" i="29"/>
  <c r="S6620" i="29"/>
  <c r="G6620" i="29"/>
  <c r="F6620" i="29"/>
  <c r="Q6619" i="29"/>
  <c r="G6619" i="29"/>
  <c r="F6619" i="29"/>
  <c r="Q6618" i="29"/>
  <c r="G6618" i="29"/>
  <c r="F6618" i="29"/>
  <c r="Q6617" i="29"/>
  <c r="G6617" i="29"/>
  <c r="F6617" i="29"/>
  <c r="Q6616" i="29"/>
  <c r="G6616" i="29"/>
  <c r="F6616" i="29"/>
  <c r="Q6615" i="29"/>
  <c r="G6615" i="29"/>
  <c r="F6615" i="29"/>
  <c r="Q6614" i="29"/>
  <c r="G6614" i="29"/>
  <c r="F6614" i="29"/>
  <c r="Q6613" i="29"/>
  <c r="G6613" i="29"/>
  <c r="F6613" i="29"/>
  <c r="Q6612" i="29"/>
  <c r="G6612" i="29"/>
  <c r="F6612" i="29"/>
  <c r="Q6611" i="29"/>
  <c r="G6611" i="29"/>
  <c r="F6611" i="29"/>
  <c r="Q6610" i="29"/>
  <c r="S6610" i="29"/>
  <c r="G6610" i="29"/>
  <c r="F6610" i="29"/>
  <c r="Q6609" i="29"/>
  <c r="T6609" i="29"/>
  <c r="G6609" i="29"/>
  <c r="F6609" i="29"/>
  <c r="Q6608" i="29"/>
  <c r="G6608" i="29"/>
  <c r="F6608" i="29"/>
  <c r="Q6607" i="29"/>
  <c r="G6607" i="29"/>
  <c r="F6607" i="29"/>
  <c r="Q6606" i="29"/>
  <c r="S6606" i="29"/>
  <c r="G6606" i="29"/>
  <c r="F6606" i="29"/>
  <c r="Q6605" i="29"/>
  <c r="S6605" i="29"/>
  <c r="G6605" i="29"/>
  <c r="F6605" i="29"/>
  <c r="Q6604" i="29"/>
  <c r="P6604" i="29"/>
  <c r="N6604" i="29"/>
  <c r="G6604" i="29"/>
  <c r="F6604" i="29"/>
  <c r="Q6603" i="29"/>
  <c r="P6603" i="29"/>
  <c r="N6603" i="29"/>
  <c r="G6603" i="29"/>
  <c r="F6603" i="29"/>
  <c r="Q6602" i="29"/>
  <c r="P6602" i="29"/>
  <c r="N6602" i="29"/>
  <c r="G6602" i="29"/>
  <c r="F6602" i="29"/>
  <c r="Q6601" i="29"/>
  <c r="P6601" i="29"/>
  <c r="N6601" i="29"/>
  <c r="G6601" i="29"/>
  <c r="F6601" i="29"/>
  <c r="R6600" i="29"/>
  <c r="Q6600" i="29"/>
  <c r="P6600" i="29"/>
  <c r="N6600" i="29"/>
  <c r="G6600" i="29"/>
  <c r="F6600" i="29"/>
  <c r="T6599" i="29"/>
  <c r="S6599" i="29"/>
  <c r="P6599" i="29"/>
  <c r="N6599" i="29"/>
  <c r="G6599" i="29"/>
  <c r="F6599" i="29"/>
  <c r="Q6598" i="29"/>
  <c r="P6598" i="29"/>
  <c r="N6598" i="29"/>
  <c r="G6598" i="29"/>
  <c r="F6598" i="29"/>
  <c r="N6597" i="29"/>
  <c r="F6597" i="29"/>
  <c r="G6597" i="29"/>
  <c r="Q6597" i="29"/>
  <c r="P6597" i="29"/>
  <c r="N6596" i="29"/>
  <c r="N6595" i="29"/>
  <c r="F6596" i="29"/>
  <c r="G6596" i="29"/>
  <c r="F6595" i="29"/>
  <c r="G6595" i="29"/>
  <c r="Q6596" i="29"/>
  <c r="Q6595" i="29"/>
  <c r="P6596" i="29"/>
  <c r="P6595" i="29"/>
  <c r="Q6594" i="29"/>
  <c r="P6594" i="29"/>
  <c r="N6594" i="29"/>
  <c r="G6594" i="29"/>
  <c r="F6594" i="29"/>
  <c r="Q6593" i="29"/>
  <c r="P6593" i="29"/>
  <c r="N6593" i="29"/>
  <c r="G6593" i="29"/>
  <c r="F6593" i="29"/>
  <c r="Q6592" i="29"/>
  <c r="S6592" i="29"/>
  <c r="P6592" i="29"/>
  <c r="N6592" i="29"/>
  <c r="G6592" i="29"/>
  <c r="F6592" i="29"/>
  <c r="Q6591" i="29"/>
  <c r="P6591" i="29"/>
  <c r="N6591" i="29"/>
  <c r="G6591" i="29"/>
  <c r="F6591" i="29"/>
  <c r="G529" i="31"/>
  <c r="H529" i="31"/>
  <c r="G534" i="31"/>
  <c r="H534" i="31"/>
  <c r="G533" i="31"/>
  <c r="H533" i="31"/>
  <c r="G530" i="31"/>
  <c r="H530" i="31"/>
  <c r="G531" i="31"/>
  <c r="H531" i="31"/>
  <c r="G535" i="31"/>
  <c r="H535" i="31"/>
  <c r="W6590" i="29"/>
  <c r="N6590" i="29"/>
  <c r="S6520" i="29"/>
  <c r="T6520" i="29"/>
  <c r="S6545" i="29"/>
  <c r="T6545" i="29"/>
  <c r="S6557" i="29"/>
  <c r="T6557" i="29"/>
  <c r="S6558" i="29"/>
  <c r="T6558" i="29"/>
  <c r="Q6589" i="29"/>
  <c r="Q6546" i="29"/>
  <c r="Q6544" i="29"/>
  <c r="T6544" i="29"/>
  <c r="Q6543" i="29"/>
  <c r="Q6542" i="29"/>
  <c r="Q6541" i="29"/>
  <c r="Q6540" i="29"/>
  <c r="Q6539" i="29"/>
  <c r="Q6538" i="29"/>
  <c r="Q6537" i="29"/>
  <c r="Q6536" i="29"/>
  <c r="T6536" i="29"/>
  <c r="Q6535" i="29"/>
  <c r="Q6534" i="29"/>
  <c r="S6534" i="29"/>
  <c r="Q6533" i="29"/>
  <c r="Q6532" i="29"/>
  <c r="Q6531" i="29"/>
  <c r="T6531" i="29"/>
  <c r="Q6530" i="29"/>
  <c r="Q6529" i="29"/>
  <c r="Q6528" i="29"/>
  <c r="Q6527" i="29"/>
  <c r="Q6526" i="29"/>
  <c r="D609" i="6"/>
  <c r="F526" i="31"/>
  <c r="G526" i="31"/>
  <c r="H526" i="31"/>
  <c r="F525" i="31"/>
  <c r="F524" i="31"/>
  <c r="F523" i="31"/>
  <c r="F522" i="31"/>
  <c r="F521" i="31"/>
  <c r="F520" i="31"/>
  <c r="P6563" i="29"/>
  <c r="J768" i="31"/>
  <c r="J769" i="31"/>
  <c r="F769" i="31"/>
  <c r="F768" i="31"/>
  <c r="Q6513" i="29"/>
  <c r="T6513" i="29"/>
  <c r="N6589" i="29"/>
  <c r="N6588" i="29"/>
  <c r="N6587" i="29"/>
  <c r="N6586" i="29"/>
  <c r="N6585" i="29"/>
  <c r="N6584" i="29"/>
  <c r="N6513" i="29"/>
  <c r="P6520" i="29"/>
  <c r="F6512" i="29"/>
  <c r="G6512" i="29"/>
  <c r="F6513" i="29"/>
  <c r="G6513" i="29"/>
  <c r="F6514" i="29"/>
  <c r="G6514" i="29"/>
  <c r="F6515" i="29"/>
  <c r="G6515" i="29"/>
  <c r="F6516" i="29"/>
  <c r="G6516" i="29"/>
  <c r="F6517" i="29"/>
  <c r="G6517" i="29"/>
  <c r="F6518" i="29"/>
  <c r="G6518" i="29"/>
  <c r="F6519" i="29"/>
  <c r="G6519" i="29"/>
  <c r="F6520" i="29"/>
  <c r="G6520" i="29"/>
  <c r="F6521" i="29"/>
  <c r="G6521" i="29"/>
  <c r="F6522" i="29"/>
  <c r="G6522" i="29"/>
  <c r="F6523" i="29"/>
  <c r="G6523" i="29"/>
  <c r="F6524" i="29"/>
  <c r="G6524" i="29"/>
  <c r="F6525" i="29"/>
  <c r="G6525" i="29"/>
  <c r="F6526" i="29"/>
  <c r="G6526" i="29"/>
  <c r="F6527" i="29"/>
  <c r="G6527" i="29"/>
  <c r="F6528" i="29"/>
  <c r="G6528" i="29"/>
  <c r="F6529" i="29"/>
  <c r="G6529" i="29"/>
  <c r="F6530" i="29"/>
  <c r="G6530" i="29"/>
  <c r="F6531" i="29"/>
  <c r="G6531" i="29"/>
  <c r="F6532" i="29"/>
  <c r="G6532" i="29"/>
  <c r="F6533" i="29"/>
  <c r="G6533" i="29"/>
  <c r="F6534" i="29"/>
  <c r="G6534" i="29"/>
  <c r="F6535" i="29"/>
  <c r="G6535" i="29"/>
  <c r="F6536" i="29"/>
  <c r="G6536" i="29"/>
  <c r="F6537" i="29"/>
  <c r="G6537" i="29"/>
  <c r="F6538" i="29"/>
  <c r="G6538" i="29"/>
  <c r="F6539" i="29"/>
  <c r="G6539" i="29"/>
  <c r="F6540" i="29"/>
  <c r="G6540" i="29"/>
  <c r="F6541" i="29"/>
  <c r="G6541" i="29"/>
  <c r="F6542" i="29"/>
  <c r="G6542" i="29"/>
  <c r="F6543" i="29"/>
  <c r="G6543" i="29"/>
  <c r="F6544" i="29"/>
  <c r="G6544" i="29"/>
  <c r="F6545" i="29"/>
  <c r="G6545" i="29"/>
  <c r="F6546" i="29"/>
  <c r="G6546" i="29"/>
  <c r="F6547" i="29"/>
  <c r="G6547" i="29"/>
  <c r="F6548" i="29"/>
  <c r="G6548" i="29"/>
  <c r="F6549" i="29"/>
  <c r="G6549" i="29"/>
  <c r="F6550" i="29"/>
  <c r="G6550" i="29"/>
  <c r="F6551" i="29"/>
  <c r="G6551" i="29"/>
  <c r="F6552" i="29"/>
  <c r="G6552" i="29"/>
  <c r="F6553" i="29"/>
  <c r="G6553" i="29"/>
  <c r="F6554" i="29"/>
  <c r="G6554" i="29"/>
  <c r="F6555" i="29"/>
  <c r="G6555" i="29"/>
  <c r="F6556" i="29"/>
  <c r="G6556" i="29"/>
  <c r="F6557" i="29"/>
  <c r="G6557" i="29"/>
  <c r="F6558" i="29"/>
  <c r="G6558" i="29"/>
  <c r="F6559" i="29"/>
  <c r="G6559" i="29"/>
  <c r="F6560" i="29"/>
  <c r="G6560" i="29"/>
  <c r="F6561" i="29"/>
  <c r="G6561" i="29"/>
  <c r="F6562" i="29"/>
  <c r="G6562" i="29"/>
  <c r="F6563" i="29"/>
  <c r="G6563" i="29"/>
  <c r="F6564" i="29"/>
  <c r="G6564" i="29"/>
  <c r="F6565" i="29"/>
  <c r="G6565" i="29"/>
  <c r="F6566" i="29"/>
  <c r="G6566" i="29"/>
  <c r="F6567" i="29"/>
  <c r="G6567" i="29"/>
  <c r="F6568" i="29"/>
  <c r="G6568" i="29"/>
  <c r="F6569" i="29"/>
  <c r="G6569" i="29"/>
  <c r="F6570" i="29"/>
  <c r="G6570" i="29"/>
  <c r="F6571" i="29"/>
  <c r="G6571" i="29"/>
  <c r="F6572" i="29"/>
  <c r="G6572" i="29"/>
  <c r="F6573" i="29"/>
  <c r="G6573" i="29"/>
  <c r="F6574" i="29"/>
  <c r="G6574" i="29"/>
  <c r="F6575" i="29"/>
  <c r="G6575" i="29"/>
  <c r="F6576" i="29"/>
  <c r="G6576" i="29"/>
  <c r="F6577" i="29"/>
  <c r="G6577" i="29"/>
  <c r="F6578" i="29"/>
  <c r="G6578" i="29"/>
  <c r="F6579" i="29"/>
  <c r="G6579" i="29"/>
  <c r="F6580" i="29"/>
  <c r="G6580" i="29"/>
  <c r="F6581" i="29"/>
  <c r="G6581" i="29"/>
  <c r="F6582" i="29"/>
  <c r="G6582" i="29"/>
  <c r="F6583" i="29"/>
  <c r="G6583" i="29"/>
  <c r="F6584" i="29"/>
  <c r="G6584" i="29"/>
  <c r="F6585" i="29"/>
  <c r="G6585" i="29"/>
  <c r="F6586" i="29"/>
  <c r="G6586" i="29"/>
  <c r="F6587" i="29"/>
  <c r="G6587" i="29"/>
  <c r="F6588" i="29"/>
  <c r="G6588" i="29"/>
  <c r="F6589" i="29"/>
  <c r="G6589" i="29"/>
  <c r="P6589" i="29"/>
  <c r="Q6588" i="29"/>
  <c r="S6588" i="29"/>
  <c r="Q6587" i="29"/>
  <c r="Q6586" i="29"/>
  <c r="Q6585" i="29"/>
  <c r="Q6584" i="29"/>
  <c r="P6588" i="29"/>
  <c r="P6587" i="29"/>
  <c r="P6586" i="29"/>
  <c r="P6585" i="29"/>
  <c r="P6584" i="29"/>
  <c r="Q6583" i="29"/>
  <c r="S6583" i="29"/>
  <c r="P6583" i="29"/>
  <c r="N6583" i="29"/>
  <c r="Q6582" i="29"/>
  <c r="P6582" i="29"/>
  <c r="N6582" i="29"/>
  <c r="Q6581" i="29"/>
  <c r="P6581" i="29"/>
  <c r="N6581" i="29"/>
  <c r="Q6580" i="29"/>
  <c r="P6580" i="29"/>
  <c r="N6580" i="29"/>
  <c r="Q6579" i="29"/>
  <c r="P6579" i="29"/>
  <c r="N6579" i="29"/>
  <c r="Q6578" i="29"/>
  <c r="S6578" i="29"/>
  <c r="P6578" i="29"/>
  <c r="N6578" i="29"/>
  <c r="Q6577" i="29"/>
  <c r="P6577" i="29"/>
  <c r="N6577" i="29"/>
  <c r="Q6576" i="29"/>
  <c r="P6576" i="29"/>
  <c r="N6576" i="29"/>
  <c r="N6566" i="29"/>
  <c r="Q6575" i="29"/>
  <c r="P6575" i="29"/>
  <c r="N6575" i="29"/>
  <c r="Q6574" i="29"/>
  <c r="P6574" i="29"/>
  <c r="N6574" i="29"/>
  <c r="Q6573" i="29"/>
  <c r="T6573" i="29"/>
  <c r="P6573" i="29"/>
  <c r="N6573" i="29"/>
  <c r="Q6572" i="29"/>
  <c r="P6572" i="29"/>
  <c r="N6572" i="29"/>
  <c r="R6571" i="29"/>
  <c r="Q6571" i="29"/>
  <c r="P6571" i="29"/>
  <c r="N6571" i="29"/>
  <c r="Q6570" i="29"/>
  <c r="P6570" i="29"/>
  <c r="N6570" i="29"/>
  <c r="Q6569" i="29"/>
  <c r="T6569" i="29"/>
  <c r="P6569" i="29"/>
  <c r="N6569" i="29"/>
  <c r="Q6568" i="29"/>
  <c r="N6568" i="29"/>
  <c r="Q6567" i="29"/>
  <c r="N6567" i="29"/>
  <c r="Q6566" i="29"/>
  <c r="P6566" i="29"/>
  <c r="Q6565" i="29"/>
  <c r="S6565" i="29"/>
  <c r="P6565" i="29"/>
  <c r="N6565" i="29"/>
  <c r="Q6564" i="29"/>
  <c r="T6564" i="29"/>
  <c r="P6564" i="29"/>
  <c r="N6564" i="29"/>
  <c r="N6563" i="29"/>
  <c r="Q6563" i="29"/>
  <c r="Q6562" i="29"/>
  <c r="P6562" i="29"/>
  <c r="N6562" i="29"/>
  <c r="Q6561" i="29"/>
  <c r="P6561" i="29"/>
  <c r="N6561" i="29"/>
  <c r="Q6560" i="29"/>
  <c r="P6560" i="29"/>
  <c r="N6560" i="29"/>
  <c r="Q6559" i="29"/>
  <c r="P6559" i="29"/>
  <c r="N6559" i="29"/>
  <c r="Q6556" i="29"/>
  <c r="P6556" i="29"/>
  <c r="N6556" i="29"/>
  <c r="Q6555" i="29"/>
  <c r="P6555" i="29"/>
  <c r="N6555" i="29"/>
  <c r="Q6554" i="29"/>
  <c r="P6554" i="29"/>
  <c r="N6554" i="29"/>
  <c r="Q6553" i="29"/>
  <c r="T6553" i="29"/>
  <c r="P6553" i="29"/>
  <c r="N6553" i="29"/>
  <c r="Q6552" i="29"/>
  <c r="P6552" i="29"/>
  <c r="N6552" i="29"/>
  <c r="Q6551" i="29"/>
  <c r="P6551" i="29"/>
  <c r="N6551" i="29"/>
  <c r="Q6550" i="29"/>
  <c r="P6550" i="29"/>
  <c r="N6550" i="29"/>
  <c r="Q6549" i="29"/>
  <c r="T6549" i="29"/>
  <c r="P6549" i="29"/>
  <c r="N6549" i="29"/>
  <c r="Q6548" i="29"/>
  <c r="S6548" i="29"/>
  <c r="P6548" i="29"/>
  <c r="N6548" i="29"/>
  <c r="Q6547" i="29"/>
  <c r="P6547" i="29"/>
  <c r="N6547" i="29"/>
  <c r="G520" i="31"/>
  <c r="H520" i="31"/>
  <c r="G522" i="31"/>
  <c r="H522" i="31"/>
  <c r="G769" i="31"/>
  <c r="H769" i="31"/>
  <c r="G523" i="31"/>
  <c r="H523" i="31"/>
  <c r="G524" i="31"/>
  <c r="H524" i="31"/>
  <c r="G521" i="31"/>
  <c r="H521" i="31"/>
  <c r="G525" i="31"/>
  <c r="H525" i="31"/>
  <c r="N6512" i="29"/>
  <c r="P6527" i="29"/>
  <c r="N6527" i="29"/>
  <c r="P6526" i="29"/>
  <c r="N6526" i="29"/>
  <c r="Q6525" i="29"/>
  <c r="P6525" i="29"/>
  <c r="N6525" i="29"/>
  <c r="Q6524" i="29"/>
  <c r="P6524" i="29"/>
  <c r="N6524" i="29"/>
  <c r="Q6523" i="29"/>
  <c r="P6523" i="29"/>
  <c r="N6523" i="29"/>
  <c r="R6522" i="29"/>
  <c r="Q6522" i="29"/>
  <c r="P6522" i="29"/>
  <c r="N6522" i="29"/>
  <c r="R6521" i="29"/>
  <c r="Q6521" i="29"/>
  <c r="P6521" i="29"/>
  <c r="N6521" i="29"/>
  <c r="N6520" i="29"/>
  <c r="Q6519" i="29"/>
  <c r="P6519" i="29"/>
  <c r="N6519" i="29"/>
  <c r="Q6518" i="29"/>
  <c r="P6518" i="29"/>
  <c r="N6518" i="29"/>
  <c r="Q6517" i="29"/>
  <c r="P6517" i="29"/>
  <c r="N6517" i="29"/>
  <c r="Q6516" i="29"/>
  <c r="P6516" i="29"/>
  <c r="N6516" i="29"/>
  <c r="Q6515" i="29"/>
  <c r="P6515" i="29"/>
  <c r="N6515" i="29"/>
  <c r="Q6514" i="29"/>
  <c r="P6514" i="29"/>
  <c r="N6514" i="29"/>
  <c r="P6513" i="29"/>
  <c r="Q6512" i="29"/>
  <c r="P6512" i="29"/>
  <c r="Q6511" i="29"/>
  <c r="P6511" i="29"/>
  <c r="N6511" i="29"/>
  <c r="G6511" i="29"/>
  <c r="F6511" i="29"/>
  <c r="W6510" i="29"/>
  <c r="N6510" i="29"/>
  <c r="E600" i="6"/>
  <c r="F519" i="31"/>
  <c r="F518" i="31"/>
  <c r="F517" i="31"/>
  <c r="F516" i="31"/>
  <c r="F515" i="31"/>
  <c r="F514" i="31"/>
  <c r="G514" i="31"/>
  <c r="H514" i="31"/>
  <c r="F513" i="31"/>
  <c r="F512" i="31"/>
  <c r="F511" i="31"/>
  <c r="F510" i="31"/>
  <c r="F509" i="31"/>
  <c r="N6509" i="29"/>
  <c r="N6508" i="29"/>
  <c r="N6507" i="29"/>
  <c r="N6506" i="29"/>
  <c r="N6505" i="29"/>
  <c r="N6504" i="29"/>
  <c r="N6503" i="29"/>
  <c r="N6502" i="29"/>
  <c r="N6501" i="29"/>
  <c r="N6500" i="29"/>
  <c r="N6499" i="29"/>
  <c r="N6498" i="29"/>
  <c r="N6497" i="29"/>
  <c r="N6496" i="29"/>
  <c r="N6466" i="29"/>
  <c r="N6444" i="29"/>
  <c r="N6443" i="29"/>
  <c r="N6442" i="29"/>
  <c r="N6441" i="29"/>
  <c r="N6440" i="29"/>
  <c r="N6439" i="29"/>
  <c r="N6431" i="29"/>
  <c r="N6430" i="29"/>
  <c r="N6429" i="29"/>
  <c r="N6424" i="29"/>
  <c r="N6423" i="29"/>
  <c r="Q6423" i="29"/>
  <c r="P6423" i="29"/>
  <c r="F6507" i="29"/>
  <c r="F6509" i="29"/>
  <c r="G6509" i="29"/>
  <c r="F6508" i="29"/>
  <c r="G6508" i="29"/>
  <c r="G6507" i="29"/>
  <c r="F6506" i="29"/>
  <c r="G6506" i="29"/>
  <c r="F6505" i="29"/>
  <c r="G6505" i="29"/>
  <c r="Q6509" i="29"/>
  <c r="T6509" i="29"/>
  <c r="Q6508" i="29"/>
  <c r="T6508" i="29"/>
  <c r="Q6507" i="29"/>
  <c r="T6507" i="29"/>
  <c r="Q6506" i="29"/>
  <c r="S6506" i="29"/>
  <c r="Q6505" i="29"/>
  <c r="P6509" i="29"/>
  <c r="P6508" i="29"/>
  <c r="P6507" i="29"/>
  <c r="P6506" i="29"/>
  <c r="P6505" i="29"/>
  <c r="F6504" i="29"/>
  <c r="G6504" i="29"/>
  <c r="F6503" i="29"/>
  <c r="G6503" i="29"/>
  <c r="Q6504" i="29"/>
  <c r="Q6503" i="29"/>
  <c r="P6504" i="29"/>
  <c r="P6503" i="29"/>
  <c r="F6502" i="29"/>
  <c r="G6502" i="29"/>
  <c r="Q6502" i="29"/>
  <c r="P6502" i="29"/>
  <c r="G6501" i="29"/>
  <c r="F6501" i="29"/>
  <c r="G6500" i="29"/>
  <c r="F6500" i="29"/>
  <c r="F6499" i="29"/>
  <c r="G6499" i="29"/>
  <c r="Q6501" i="29"/>
  <c r="Q6500" i="29"/>
  <c r="Q6499" i="29"/>
  <c r="P6501" i="29"/>
  <c r="P6500" i="29"/>
  <c r="P6499" i="29"/>
  <c r="F6498" i="29"/>
  <c r="G6498" i="29"/>
  <c r="F6497" i="29"/>
  <c r="G6497" i="29"/>
  <c r="Q6498" i="29"/>
  <c r="Q6497" i="29"/>
  <c r="P6498" i="29"/>
  <c r="P6497" i="29"/>
  <c r="F6496" i="29"/>
  <c r="G6496" i="29"/>
  <c r="Q6496" i="29"/>
  <c r="P6496" i="29"/>
  <c r="G6423" i="29"/>
  <c r="F6423" i="29"/>
  <c r="Q6495" i="29"/>
  <c r="P6495" i="29"/>
  <c r="N6495" i="29"/>
  <c r="G6495" i="29"/>
  <c r="F6495" i="29"/>
  <c r="Q6494" i="29"/>
  <c r="P6494" i="29"/>
  <c r="N6494" i="29"/>
  <c r="G6494" i="29"/>
  <c r="F6494" i="29"/>
  <c r="Q6493" i="29"/>
  <c r="P6493" i="29"/>
  <c r="N6493" i="29"/>
  <c r="G6493" i="29"/>
  <c r="F6493" i="29"/>
  <c r="Q6492" i="29"/>
  <c r="P6492" i="29"/>
  <c r="N6492" i="29"/>
  <c r="G6492" i="29"/>
  <c r="F6492" i="29"/>
  <c r="Q6491" i="29"/>
  <c r="P6491" i="29"/>
  <c r="N6491" i="29"/>
  <c r="G6491" i="29"/>
  <c r="F6491" i="29"/>
  <c r="Q6490" i="29"/>
  <c r="P6490" i="29"/>
  <c r="N6490" i="29"/>
  <c r="G6490" i="29"/>
  <c r="F6490" i="29"/>
  <c r="Q6489" i="29"/>
  <c r="P6489" i="29"/>
  <c r="N6489" i="29"/>
  <c r="G6489" i="29"/>
  <c r="F6489" i="29"/>
  <c r="Q6488" i="29"/>
  <c r="P6488" i="29"/>
  <c r="N6488" i="29"/>
  <c r="G6488" i="29"/>
  <c r="F6488" i="29"/>
  <c r="Q6487" i="29"/>
  <c r="P6487" i="29"/>
  <c r="N6487" i="29"/>
  <c r="G6487" i="29"/>
  <c r="F6487" i="29"/>
  <c r="Q6486" i="29"/>
  <c r="P6486" i="29"/>
  <c r="N6486" i="29"/>
  <c r="G6486" i="29"/>
  <c r="F6486" i="29"/>
  <c r="Q6485" i="29"/>
  <c r="P6485" i="29"/>
  <c r="N6485" i="29"/>
  <c r="G6485" i="29"/>
  <c r="F6485" i="29"/>
  <c r="Q6480" i="29"/>
  <c r="S6480" i="29"/>
  <c r="Q6484" i="29"/>
  <c r="T6484" i="29"/>
  <c r="P6484" i="29"/>
  <c r="N6484" i="29"/>
  <c r="G6484" i="29"/>
  <c r="F6484" i="29"/>
  <c r="Q6483" i="29"/>
  <c r="T6483" i="29"/>
  <c r="P6483" i="29"/>
  <c r="N6483" i="29"/>
  <c r="G6483" i="29"/>
  <c r="F6483" i="29"/>
  <c r="Q6482" i="29"/>
  <c r="P6482" i="29"/>
  <c r="N6482" i="29"/>
  <c r="G6482" i="29"/>
  <c r="F6482" i="29"/>
  <c r="Q6481" i="29"/>
  <c r="P6481" i="29"/>
  <c r="N6481" i="29"/>
  <c r="G6481" i="29"/>
  <c r="F6481" i="29"/>
  <c r="R6480" i="29"/>
  <c r="P6480" i="29"/>
  <c r="N6480" i="29"/>
  <c r="G6480" i="29"/>
  <c r="F6480" i="29"/>
  <c r="Q6479" i="29"/>
  <c r="P6479" i="29"/>
  <c r="N6479" i="29"/>
  <c r="G6479" i="29"/>
  <c r="F6479" i="29"/>
  <c r="Q6478" i="29"/>
  <c r="P6478" i="29"/>
  <c r="N6478" i="29"/>
  <c r="G6478" i="29"/>
  <c r="F6478" i="29"/>
  <c r="Q6477" i="29"/>
  <c r="T6477" i="29"/>
  <c r="P6477" i="29"/>
  <c r="N6477" i="29"/>
  <c r="G6477" i="29"/>
  <c r="F6477" i="29"/>
  <c r="Q6476" i="29"/>
  <c r="T6476" i="29"/>
  <c r="P6476" i="29"/>
  <c r="N6476" i="29"/>
  <c r="G6476" i="29"/>
  <c r="F6476" i="29"/>
  <c r="Q6475" i="29"/>
  <c r="P6475" i="29"/>
  <c r="N6475" i="29"/>
  <c r="G6475" i="29"/>
  <c r="F6475" i="29"/>
  <c r="Q6474" i="29"/>
  <c r="P6474" i="29"/>
  <c r="N6474" i="29"/>
  <c r="G6474" i="29"/>
  <c r="F6474" i="29"/>
  <c r="Q6473" i="29"/>
  <c r="P6473" i="29"/>
  <c r="N6473" i="29"/>
  <c r="G6473" i="29"/>
  <c r="F6473" i="29"/>
  <c r="Q6472" i="29"/>
  <c r="P6472" i="29"/>
  <c r="N6472" i="29"/>
  <c r="G6472" i="29"/>
  <c r="F6472" i="29"/>
  <c r="Q6471" i="29"/>
  <c r="P6471" i="29"/>
  <c r="N6471" i="29"/>
  <c r="G6471" i="29"/>
  <c r="F6471" i="29"/>
  <c r="Q6470" i="29"/>
  <c r="P6470" i="29"/>
  <c r="N6470" i="29"/>
  <c r="G6470" i="29"/>
  <c r="F6470" i="29"/>
  <c r="Q6469" i="29"/>
  <c r="P6469" i="29"/>
  <c r="N6469" i="29"/>
  <c r="G6469" i="29"/>
  <c r="F6469" i="29"/>
  <c r="Q6468" i="29"/>
  <c r="P6468" i="29"/>
  <c r="N6468" i="29"/>
  <c r="G6468" i="29"/>
  <c r="F6468" i="29"/>
  <c r="Q6467" i="29"/>
  <c r="T6467" i="29"/>
  <c r="P6467" i="29"/>
  <c r="N6467" i="29"/>
  <c r="G6467" i="29"/>
  <c r="F6467" i="29"/>
  <c r="Q6466" i="29"/>
  <c r="P6466" i="29"/>
  <c r="G6466" i="29"/>
  <c r="F6466" i="29"/>
  <c r="Q6465" i="29"/>
  <c r="G6465" i="29"/>
  <c r="F6465" i="29"/>
  <c r="Q6464" i="29"/>
  <c r="G6464" i="29"/>
  <c r="F6464" i="29"/>
  <c r="Q6463" i="29"/>
  <c r="G6463" i="29"/>
  <c r="F6463" i="29"/>
  <c r="Q6462" i="29"/>
  <c r="P6462" i="29"/>
  <c r="N6462" i="29"/>
  <c r="G6462" i="29"/>
  <c r="F6462" i="29"/>
  <c r="Q6461" i="29"/>
  <c r="P6461" i="29"/>
  <c r="G6461" i="29"/>
  <c r="F6461" i="29"/>
  <c r="Q6460" i="29"/>
  <c r="P6460" i="29"/>
  <c r="G6460" i="29"/>
  <c r="F6460" i="29"/>
  <c r="Q6459" i="29"/>
  <c r="P6459" i="29"/>
  <c r="G6459" i="29"/>
  <c r="F6459" i="29"/>
  <c r="Q6458" i="29"/>
  <c r="T6458" i="29"/>
  <c r="P6458" i="29"/>
  <c r="G6458" i="29"/>
  <c r="F6458" i="29"/>
  <c r="Q6457" i="29"/>
  <c r="G6457" i="29"/>
  <c r="F6457" i="29"/>
  <c r="Q6456" i="29"/>
  <c r="G6456" i="29"/>
  <c r="F6456" i="29"/>
  <c r="Q6455" i="29"/>
  <c r="G6455" i="29"/>
  <c r="F6455" i="29"/>
  <c r="Q6454" i="29"/>
  <c r="G6454" i="29"/>
  <c r="F6454" i="29"/>
  <c r="Q6453" i="29"/>
  <c r="G6453" i="29"/>
  <c r="F6453" i="29"/>
  <c r="Q6452" i="29"/>
  <c r="G6452" i="29"/>
  <c r="F6452" i="29"/>
  <c r="Q6451" i="29"/>
  <c r="G6451" i="29"/>
  <c r="F6451" i="29"/>
  <c r="Q6450" i="29"/>
  <c r="G6450" i="29"/>
  <c r="F6450" i="29"/>
  <c r="Q6449" i="29"/>
  <c r="G6449" i="29"/>
  <c r="F6449" i="29"/>
  <c r="Q6448" i="29"/>
  <c r="G6448" i="29"/>
  <c r="F6448" i="29"/>
  <c r="Q6447" i="29"/>
  <c r="S6447" i="29"/>
  <c r="G6447" i="29"/>
  <c r="F6447" i="29"/>
  <c r="Q6446" i="29"/>
  <c r="T6446" i="29"/>
  <c r="P6446" i="29"/>
  <c r="N6446" i="29"/>
  <c r="G6446" i="29"/>
  <c r="F6446" i="29"/>
  <c r="F6444" i="29"/>
  <c r="G6444" i="29"/>
  <c r="F6443" i="29"/>
  <c r="G6443" i="29"/>
  <c r="F6442" i="29"/>
  <c r="G6442" i="29"/>
  <c r="F6441" i="29"/>
  <c r="G6441" i="29"/>
  <c r="F6440" i="29"/>
  <c r="G6440" i="29"/>
  <c r="F6439" i="29"/>
  <c r="G6439" i="29"/>
  <c r="Q6444" i="29"/>
  <c r="Q6443" i="29"/>
  <c r="Q6442" i="29"/>
  <c r="Q6441" i="29"/>
  <c r="Q6440" i="29"/>
  <c r="Q6439" i="29"/>
  <c r="Q6445" i="29"/>
  <c r="P6445" i="29"/>
  <c r="N6445" i="29"/>
  <c r="G6445" i="29"/>
  <c r="F6445" i="29"/>
  <c r="P6444" i="29"/>
  <c r="P6443" i="29"/>
  <c r="P6442" i="29"/>
  <c r="P6441" i="29"/>
  <c r="P6440" i="29"/>
  <c r="P6439" i="29"/>
  <c r="Q6435" i="29"/>
  <c r="P6435" i="29"/>
  <c r="N6435" i="29"/>
  <c r="G6435" i="29"/>
  <c r="F6435" i="29"/>
  <c r="Q6438" i="29"/>
  <c r="P6438" i="29"/>
  <c r="N6438" i="29"/>
  <c r="G6438" i="29"/>
  <c r="F6438" i="29"/>
  <c r="Q6434" i="29"/>
  <c r="P6434" i="29"/>
  <c r="N6434" i="29"/>
  <c r="G6434" i="29"/>
  <c r="F6434" i="29"/>
  <c r="Q6437" i="29"/>
  <c r="P6437" i="29"/>
  <c r="N6437" i="29"/>
  <c r="G6437" i="29"/>
  <c r="F6437" i="29"/>
  <c r="Q6436" i="29"/>
  <c r="S6436" i="29"/>
  <c r="P6436" i="29"/>
  <c r="N6436" i="29"/>
  <c r="G6436" i="29"/>
  <c r="F6436" i="29"/>
  <c r="Q6433" i="29"/>
  <c r="P6433" i="29"/>
  <c r="N6433" i="29"/>
  <c r="G6433" i="29"/>
  <c r="F6433" i="29"/>
  <c r="Q6432" i="29"/>
  <c r="P6432" i="29"/>
  <c r="N6432" i="29"/>
  <c r="G6432" i="29"/>
  <c r="F6432" i="29"/>
  <c r="F6431" i="29"/>
  <c r="G6431" i="29"/>
  <c r="Q6431" i="29"/>
  <c r="P6431" i="29"/>
  <c r="F6430" i="29"/>
  <c r="G6430" i="29"/>
  <c r="F6429" i="29"/>
  <c r="G6429" i="29"/>
  <c r="Q6430" i="29"/>
  <c r="Q6429" i="29"/>
  <c r="P6430" i="29"/>
  <c r="P6429" i="29"/>
  <c r="Q6428" i="29"/>
  <c r="P6428" i="29"/>
  <c r="N6428" i="29"/>
  <c r="G6428" i="29"/>
  <c r="F6428" i="29"/>
  <c r="Q6427" i="29"/>
  <c r="P6427" i="29"/>
  <c r="N6427" i="29"/>
  <c r="G6427" i="29"/>
  <c r="F6427" i="29"/>
  <c r="Q6426" i="29"/>
  <c r="T6426" i="29"/>
  <c r="P6426" i="29"/>
  <c r="N6426" i="29"/>
  <c r="G6426" i="29"/>
  <c r="F6426" i="29"/>
  <c r="Q6425" i="29"/>
  <c r="P6425" i="29"/>
  <c r="N6425" i="29"/>
  <c r="G6425" i="29"/>
  <c r="F6425" i="29"/>
  <c r="Q6424" i="29"/>
  <c r="P6424" i="29"/>
  <c r="G6424" i="29"/>
  <c r="F6424" i="29"/>
  <c r="W6422" i="29"/>
  <c r="N6422" i="29"/>
  <c r="E591" i="6"/>
  <c r="N6403" i="29"/>
  <c r="N6402" i="29"/>
  <c r="N6401" i="29"/>
  <c r="R6398" i="29"/>
  <c r="T6398" i="29"/>
  <c r="R6395" i="29"/>
  <c r="S6395" i="29"/>
  <c r="F508" i="31"/>
  <c r="F507" i="31"/>
  <c r="R6408" i="29"/>
  <c r="F506" i="31"/>
  <c r="F505" i="31"/>
  <c r="F504" i="31"/>
  <c r="F503" i="31"/>
  <c r="N6400" i="29"/>
  <c r="Q6400" i="29"/>
  <c r="Q6403" i="29"/>
  <c r="P6421" i="29"/>
  <c r="P6420" i="29"/>
  <c r="P6419" i="29"/>
  <c r="P6418" i="29"/>
  <c r="P6417" i="29"/>
  <c r="P6416" i="29"/>
  <c r="P6414" i="29"/>
  <c r="P6413" i="29"/>
  <c r="P6412" i="29"/>
  <c r="P6411" i="29"/>
  <c r="P6410" i="29"/>
  <c r="P6409" i="29"/>
  <c r="P6408" i="29"/>
  <c r="P6407" i="29"/>
  <c r="P6403" i="29"/>
  <c r="P6400" i="29"/>
  <c r="P6388" i="29"/>
  <c r="P6387" i="29"/>
  <c r="P6383" i="29"/>
  <c r="P6359" i="29"/>
  <c r="P6358" i="29"/>
  <c r="P6357" i="29"/>
  <c r="P6356" i="29"/>
  <c r="P6355" i="29"/>
  <c r="P6342" i="29"/>
  <c r="F6421" i="29"/>
  <c r="F6420" i="29"/>
  <c r="G6421" i="29"/>
  <c r="G6420" i="29"/>
  <c r="Q6421" i="29"/>
  <c r="Q6420" i="29"/>
  <c r="T6420" i="29"/>
  <c r="F6419" i="29"/>
  <c r="G6419" i="29"/>
  <c r="F6418" i="29"/>
  <c r="G6418" i="29"/>
  <c r="F6417" i="29"/>
  <c r="G6417" i="29"/>
  <c r="Q6419" i="29"/>
  <c r="Q6418" i="29"/>
  <c r="T6418" i="29"/>
  <c r="Q6417" i="29"/>
  <c r="F6416" i="29"/>
  <c r="G6416" i="29"/>
  <c r="Q6416" i="29"/>
  <c r="Q6415" i="29"/>
  <c r="P6415" i="29"/>
  <c r="N6415" i="29"/>
  <c r="G6415" i="29"/>
  <c r="F6415" i="29"/>
  <c r="F6414" i="29"/>
  <c r="G6414" i="29"/>
  <c r="Q6414" i="29"/>
  <c r="F6413" i="29"/>
  <c r="G6413" i="29"/>
  <c r="Q6413" i="29"/>
  <c r="F6412" i="29"/>
  <c r="G6412" i="29"/>
  <c r="F6411" i="29"/>
  <c r="G6411" i="29"/>
  <c r="F6410" i="29"/>
  <c r="G6410" i="29"/>
  <c r="Q6412" i="29"/>
  <c r="Q6411" i="29"/>
  <c r="Q6410" i="29"/>
  <c r="S6410" i="29"/>
  <c r="F6409" i="29"/>
  <c r="G6409" i="29"/>
  <c r="F6408" i="29"/>
  <c r="G6408" i="29"/>
  <c r="Q6409" i="29"/>
  <c r="Q6408" i="29"/>
  <c r="F6407" i="29"/>
  <c r="G6407" i="29"/>
  <c r="Q6407" i="29"/>
  <c r="S6407" i="29"/>
  <c r="Q6406" i="29"/>
  <c r="P6406" i="29"/>
  <c r="N6406" i="29"/>
  <c r="G6406" i="29"/>
  <c r="F6406" i="29"/>
  <c r="Q6405" i="29"/>
  <c r="P6405" i="29"/>
  <c r="N6405" i="29"/>
  <c r="G6405" i="29"/>
  <c r="F6405" i="29"/>
  <c r="Q6404" i="29"/>
  <c r="P6404" i="29"/>
  <c r="N6404" i="29"/>
  <c r="G6404" i="29"/>
  <c r="F6404" i="29"/>
  <c r="F6403" i="29"/>
  <c r="G6403" i="29"/>
  <c r="Q6402" i="29"/>
  <c r="S6402" i="29"/>
  <c r="G6402" i="29"/>
  <c r="F6402" i="29"/>
  <c r="Q6401" i="29"/>
  <c r="S6401" i="29"/>
  <c r="G6401" i="29"/>
  <c r="F6401" i="29"/>
  <c r="F6400" i="29"/>
  <c r="G6400" i="29"/>
  <c r="Q6399" i="29"/>
  <c r="P6399" i="29"/>
  <c r="N6399" i="29"/>
  <c r="G6399" i="29"/>
  <c r="F6399" i="29"/>
  <c r="P6398" i="29"/>
  <c r="N6398" i="29"/>
  <c r="G6398" i="29"/>
  <c r="F6398" i="29"/>
  <c r="Q6397" i="29"/>
  <c r="T6397" i="29"/>
  <c r="P6397" i="29"/>
  <c r="N6397" i="29"/>
  <c r="G6397" i="29"/>
  <c r="F6397" i="29"/>
  <c r="Q6396" i="29"/>
  <c r="T6396" i="29"/>
  <c r="P6396" i="29"/>
  <c r="N6396" i="29"/>
  <c r="G6396" i="29"/>
  <c r="F6396" i="29"/>
  <c r="P6395" i="29"/>
  <c r="N6395" i="29"/>
  <c r="G6395" i="29"/>
  <c r="F6395" i="29"/>
  <c r="Q6394" i="29"/>
  <c r="S6394" i="29"/>
  <c r="P6394" i="29"/>
  <c r="N6394" i="29"/>
  <c r="G6394" i="29"/>
  <c r="F6394" i="29"/>
  <c r="Q6393" i="29"/>
  <c r="P6393" i="29"/>
  <c r="N6393" i="29"/>
  <c r="G6393" i="29"/>
  <c r="F6393" i="29"/>
  <c r="R6392" i="29"/>
  <c r="Q6392" i="29"/>
  <c r="P6392" i="29"/>
  <c r="N6392" i="29"/>
  <c r="G6392" i="29"/>
  <c r="F6392" i="29"/>
  <c r="Q6391" i="29"/>
  <c r="T6391" i="29"/>
  <c r="P6391" i="29"/>
  <c r="N6391" i="29"/>
  <c r="G6391" i="29"/>
  <c r="F6391" i="29"/>
  <c r="Q6390" i="29"/>
  <c r="P6390" i="29"/>
  <c r="N6390" i="29"/>
  <c r="G6390" i="29"/>
  <c r="F6390" i="29"/>
  <c r="Q6389" i="29"/>
  <c r="P6389" i="29"/>
  <c r="N6389" i="29"/>
  <c r="G6389" i="29"/>
  <c r="F6389" i="29"/>
  <c r="F6388" i="29"/>
  <c r="G6388" i="29"/>
  <c r="Q6388" i="29"/>
  <c r="S6388" i="29"/>
  <c r="N6388" i="29"/>
  <c r="F6387" i="29"/>
  <c r="G6387" i="29"/>
  <c r="Q6387" i="29"/>
  <c r="N6387" i="29"/>
  <c r="Q6386" i="29"/>
  <c r="T6386" i="29"/>
  <c r="P6386" i="29"/>
  <c r="N6386" i="29"/>
  <c r="G6386" i="29"/>
  <c r="F6386" i="29"/>
  <c r="Q6385" i="29"/>
  <c r="T6385" i="29"/>
  <c r="P6385" i="29"/>
  <c r="N6385" i="29"/>
  <c r="G6385" i="29"/>
  <c r="F6385" i="29"/>
  <c r="Q6384" i="29"/>
  <c r="T6384" i="29"/>
  <c r="P6384" i="29"/>
  <c r="N6384" i="29"/>
  <c r="G6384" i="29"/>
  <c r="F6384" i="29"/>
  <c r="F6383" i="29"/>
  <c r="G6383" i="29"/>
  <c r="Q6383" i="29"/>
  <c r="N6383" i="29"/>
  <c r="Q6382" i="29"/>
  <c r="S6382" i="29"/>
  <c r="P6382" i="29"/>
  <c r="N6382" i="29"/>
  <c r="G6382" i="29"/>
  <c r="F6382" i="29"/>
  <c r="Q6381" i="29"/>
  <c r="T6381" i="29"/>
  <c r="P6381" i="29"/>
  <c r="N6381" i="29"/>
  <c r="G6381" i="29"/>
  <c r="F6381" i="29"/>
  <c r="Q6380" i="29"/>
  <c r="P6380" i="29"/>
  <c r="N6380" i="29"/>
  <c r="G6380" i="29"/>
  <c r="F6380" i="29"/>
  <c r="Q6379" i="29"/>
  <c r="P6379" i="29"/>
  <c r="N6379" i="29"/>
  <c r="G6379" i="29"/>
  <c r="F6379" i="29"/>
  <c r="Q6378" i="29"/>
  <c r="P6378" i="29"/>
  <c r="N6378" i="29"/>
  <c r="G6378" i="29"/>
  <c r="F6378" i="29"/>
  <c r="Q6377" i="29"/>
  <c r="S6377" i="29"/>
  <c r="P6377" i="29"/>
  <c r="N6377" i="29"/>
  <c r="G6377" i="29"/>
  <c r="F6377" i="29"/>
  <c r="Q6376" i="29"/>
  <c r="P6376" i="29"/>
  <c r="N6376" i="29"/>
  <c r="G6376" i="29"/>
  <c r="F6376" i="29"/>
  <c r="Q6375" i="29"/>
  <c r="T6375" i="29"/>
  <c r="P6375" i="29"/>
  <c r="N6375" i="29"/>
  <c r="G6375" i="29"/>
  <c r="F6375" i="29"/>
  <c r="Q6374" i="29"/>
  <c r="S6374" i="29"/>
  <c r="P6374" i="29"/>
  <c r="N6374" i="29"/>
  <c r="G6374" i="29"/>
  <c r="F6374" i="29"/>
  <c r="Q6373" i="29"/>
  <c r="S6373" i="29"/>
  <c r="P6373" i="29"/>
  <c r="N6373" i="29"/>
  <c r="G6373" i="29"/>
  <c r="F6373" i="29"/>
  <c r="Q6372" i="29"/>
  <c r="P6372" i="29"/>
  <c r="N6372" i="29"/>
  <c r="G6372" i="29"/>
  <c r="F6372" i="29"/>
  <c r="Q6371" i="29"/>
  <c r="P6371" i="29"/>
  <c r="N6371" i="29"/>
  <c r="G6371" i="29"/>
  <c r="F6371" i="29"/>
  <c r="Q6370" i="29"/>
  <c r="P6370" i="29"/>
  <c r="N6370" i="29"/>
  <c r="G6370" i="29"/>
  <c r="F6370" i="29"/>
  <c r="Q6369" i="29"/>
  <c r="S6369" i="29"/>
  <c r="P6369" i="29"/>
  <c r="N6369" i="29"/>
  <c r="G6369" i="29"/>
  <c r="F6369" i="29"/>
  <c r="Q6368" i="29"/>
  <c r="P6368" i="29"/>
  <c r="N6368" i="29"/>
  <c r="G6368" i="29"/>
  <c r="F6368" i="29"/>
  <c r="Q6367" i="29"/>
  <c r="S6367" i="29"/>
  <c r="P6367" i="29"/>
  <c r="N6367" i="29"/>
  <c r="G6367" i="29"/>
  <c r="F6367" i="29"/>
  <c r="Q6366" i="29"/>
  <c r="P6366" i="29"/>
  <c r="N6366" i="29"/>
  <c r="G6366" i="29"/>
  <c r="F6366" i="29"/>
  <c r="Q6365" i="29"/>
  <c r="S6365" i="29"/>
  <c r="P6365" i="29"/>
  <c r="N6365" i="29"/>
  <c r="G6365" i="29"/>
  <c r="F6365" i="29"/>
  <c r="Q6364" i="29"/>
  <c r="T6364" i="29"/>
  <c r="P6364" i="29"/>
  <c r="N6364" i="29"/>
  <c r="G6364" i="29"/>
  <c r="F6364" i="29"/>
  <c r="Q6363" i="29"/>
  <c r="P6363" i="29"/>
  <c r="N6363" i="29"/>
  <c r="G6363" i="29"/>
  <c r="F6363" i="29"/>
  <c r="Q6359" i="29"/>
  <c r="S6359" i="29"/>
  <c r="N6359" i="29"/>
  <c r="G6359" i="29"/>
  <c r="F6359" i="29"/>
  <c r="Q6362" i="29"/>
  <c r="G6362" i="29"/>
  <c r="F6362" i="29"/>
  <c r="Q6361" i="29"/>
  <c r="T6361" i="29"/>
  <c r="G6361" i="29"/>
  <c r="F6361" i="29"/>
  <c r="Q6360" i="29"/>
  <c r="G6360" i="29"/>
  <c r="F6360" i="29"/>
  <c r="Q6358" i="29"/>
  <c r="T6358" i="29"/>
  <c r="G6358" i="29"/>
  <c r="F6358" i="29"/>
  <c r="Q6357" i="29"/>
  <c r="G6357" i="29"/>
  <c r="F6357" i="29"/>
  <c r="Q6356" i="29"/>
  <c r="G6356" i="29"/>
  <c r="F6356" i="29"/>
  <c r="Q6355" i="29"/>
  <c r="T6355" i="29"/>
  <c r="G6355" i="29"/>
  <c r="F6355" i="29"/>
  <c r="Q6354" i="29"/>
  <c r="G6354" i="29"/>
  <c r="F6354" i="29"/>
  <c r="Q6353" i="29"/>
  <c r="T6353" i="29"/>
  <c r="G6353" i="29"/>
  <c r="F6353" i="29"/>
  <c r="Q6352" i="29"/>
  <c r="G6352" i="29"/>
  <c r="F6352" i="29"/>
  <c r="Q6351" i="29"/>
  <c r="G6351" i="29"/>
  <c r="F6351" i="29"/>
  <c r="Q6350" i="29"/>
  <c r="G6350" i="29"/>
  <c r="F6350" i="29"/>
  <c r="Q6349" i="29"/>
  <c r="G6349" i="29"/>
  <c r="F6349" i="29"/>
  <c r="Q6348" i="29"/>
  <c r="G6348" i="29"/>
  <c r="F6348" i="29"/>
  <c r="Q6347" i="29"/>
  <c r="G6347" i="29"/>
  <c r="F6347" i="29"/>
  <c r="Q6346" i="29"/>
  <c r="G6346" i="29"/>
  <c r="F6346" i="29"/>
  <c r="Q6345" i="29"/>
  <c r="G6345" i="29"/>
  <c r="F6345" i="29"/>
  <c r="Q6344" i="29"/>
  <c r="T6344" i="29"/>
  <c r="G6344" i="29"/>
  <c r="F6344" i="29"/>
  <c r="Q6343" i="29"/>
  <c r="P6343" i="29"/>
  <c r="N6343" i="29"/>
  <c r="G6343" i="29"/>
  <c r="F6343" i="29"/>
  <c r="F6342" i="29"/>
  <c r="G6342" i="29"/>
  <c r="F6341" i="29"/>
  <c r="G6341" i="29"/>
  <c r="Q6342" i="29"/>
  <c r="S6342" i="29"/>
  <c r="Q6341" i="29"/>
  <c r="T6341" i="29"/>
  <c r="P6341" i="29"/>
  <c r="N6342" i="29"/>
  <c r="N6341" i="29"/>
  <c r="F6340" i="29"/>
  <c r="G6340" i="29"/>
  <c r="Q6340" i="29"/>
  <c r="P6340" i="29"/>
  <c r="N6340" i="29"/>
  <c r="Q6339" i="29"/>
  <c r="P6339" i="29"/>
  <c r="N6339" i="29"/>
  <c r="G6339" i="29"/>
  <c r="F6339" i="29"/>
  <c r="Q6338" i="29"/>
  <c r="T6338" i="29"/>
  <c r="P6338" i="29"/>
  <c r="N6338" i="29"/>
  <c r="G6338" i="29"/>
  <c r="F6338" i="29"/>
  <c r="Q6337" i="29"/>
  <c r="P6337" i="29"/>
  <c r="N6337" i="29"/>
  <c r="G6337" i="29"/>
  <c r="F6337" i="29"/>
  <c r="Q6336" i="29"/>
  <c r="T6336" i="29"/>
  <c r="P6336" i="29"/>
  <c r="N6336" i="29"/>
  <c r="G6336" i="29"/>
  <c r="F6336" i="29"/>
  <c r="Q6335" i="29"/>
  <c r="P6335" i="29"/>
  <c r="N6335" i="29"/>
  <c r="G6335" i="29"/>
  <c r="F6335" i="29"/>
  <c r="Q6334" i="29"/>
  <c r="T6334" i="29"/>
  <c r="P6334" i="29"/>
  <c r="N6334" i="29"/>
  <c r="G6334" i="29"/>
  <c r="F6334" i="29"/>
  <c r="Q6333" i="29"/>
  <c r="P6333" i="29"/>
  <c r="N6333" i="29"/>
  <c r="G6333" i="29"/>
  <c r="F6333" i="29"/>
  <c r="Q6332" i="29"/>
  <c r="T6332" i="29"/>
  <c r="P6332" i="29"/>
  <c r="N6332" i="29"/>
  <c r="G6332" i="29"/>
  <c r="F6332" i="29"/>
  <c r="Q6331" i="29"/>
  <c r="S6331" i="29"/>
  <c r="P6331" i="29"/>
  <c r="N6331" i="29"/>
  <c r="G6331" i="29"/>
  <c r="F6331" i="29"/>
  <c r="Q6330" i="29"/>
  <c r="P6330" i="29"/>
  <c r="N6330" i="29"/>
  <c r="G6330" i="29"/>
  <c r="F6330" i="29"/>
  <c r="Q6329" i="29"/>
  <c r="P6329" i="29"/>
  <c r="N6329" i="29"/>
  <c r="G6329" i="29"/>
  <c r="F6329" i="29"/>
  <c r="Q6328" i="29"/>
  <c r="P6328" i="29"/>
  <c r="N6328" i="29"/>
  <c r="G6328" i="29"/>
  <c r="F6328" i="29"/>
  <c r="Q6327" i="29"/>
  <c r="P6327" i="29"/>
  <c r="N6327" i="29"/>
  <c r="G6327" i="29"/>
  <c r="F6327" i="29"/>
  <c r="Q6326" i="29"/>
  <c r="P6326" i="29"/>
  <c r="N6326" i="29"/>
  <c r="G6326" i="29"/>
  <c r="F6326" i="29"/>
  <c r="Q6325" i="29"/>
  <c r="P6325" i="29"/>
  <c r="N6325" i="29"/>
  <c r="G6325" i="29"/>
  <c r="F6325" i="29"/>
  <c r="Q6324" i="29"/>
  <c r="P6324" i="29"/>
  <c r="N6324" i="29"/>
  <c r="G6324" i="29"/>
  <c r="F6324" i="29"/>
  <c r="Q6323" i="29"/>
  <c r="S6323" i="29"/>
  <c r="P6323" i="29"/>
  <c r="N6323" i="29"/>
  <c r="G6323" i="29"/>
  <c r="F6323" i="29"/>
  <c r="Q6322" i="29"/>
  <c r="T6322" i="29"/>
  <c r="P6322" i="29"/>
  <c r="N6322" i="29"/>
  <c r="G6322" i="29"/>
  <c r="F6322" i="29"/>
  <c r="Q6321" i="29"/>
  <c r="S6321" i="29"/>
  <c r="P6321" i="29"/>
  <c r="N6321" i="29"/>
  <c r="G6321" i="29"/>
  <c r="F6321" i="29"/>
  <c r="W6320" i="29"/>
  <c r="N6320" i="29"/>
  <c r="R6298" i="29"/>
  <c r="T6298" i="29"/>
  <c r="F502" i="31"/>
  <c r="G502" i="31"/>
  <c r="H502" i="31"/>
  <c r="N6287" i="29"/>
  <c r="P6287" i="29"/>
  <c r="Q6319" i="29"/>
  <c r="Q6253" i="29"/>
  <c r="T6253" i="29"/>
  <c r="Q6254" i="29"/>
  <c r="S6254" i="29"/>
  <c r="Q6255" i="29"/>
  <c r="Q6256" i="29"/>
  <c r="T6256" i="29"/>
  <c r="Q6257" i="29"/>
  <c r="S6257" i="29"/>
  <c r="Q6258" i="29"/>
  <c r="T6258" i="29"/>
  <c r="Q6259" i="29"/>
  <c r="S6259" i="29"/>
  <c r="Q6260" i="29"/>
  <c r="Q6261" i="29"/>
  <c r="Q6262" i="29"/>
  <c r="T6262" i="29"/>
  <c r="Q6263" i="29"/>
  <c r="Q6264" i="29"/>
  <c r="T6264" i="29"/>
  <c r="Q6265" i="29"/>
  <c r="S6265" i="29"/>
  <c r="Q6266" i="29"/>
  <c r="T6266" i="29"/>
  <c r="Q6267" i="29"/>
  <c r="Q6268" i="29"/>
  <c r="Q6269" i="29"/>
  <c r="Q6270" i="29"/>
  <c r="S6270" i="29"/>
  <c r="Q6271" i="29"/>
  <c r="S6271" i="29"/>
  <c r="Q6272" i="29"/>
  <c r="Q6273" i="29"/>
  <c r="Q6274" i="29"/>
  <c r="Q6275" i="29"/>
  <c r="S6275" i="29"/>
  <c r="Q6276" i="29"/>
  <c r="Q6277" i="29"/>
  <c r="Q6278" i="29"/>
  <c r="T6278" i="29"/>
  <c r="Q6279" i="29"/>
  <c r="Q6280" i="29"/>
  <c r="Q6281" i="29"/>
  <c r="Q6282" i="29"/>
  <c r="Q6283" i="29"/>
  <c r="S6283" i="29"/>
  <c r="Q6284" i="29"/>
  <c r="Q6285" i="29"/>
  <c r="S6285" i="29"/>
  <c r="Q6286" i="29"/>
  <c r="Q6287" i="29"/>
  <c r="Q6288" i="29"/>
  <c r="Q6289" i="29"/>
  <c r="Q6290" i="29"/>
  <c r="S6290" i="29"/>
  <c r="Q6291" i="29"/>
  <c r="Q6292" i="29"/>
  <c r="Q6293" i="29"/>
  <c r="T6293" i="29"/>
  <c r="Q6294" i="29"/>
  <c r="T6294" i="29"/>
  <c r="Q6295" i="29"/>
  <c r="S6295" i="29"/>
  <c r="Q6296" i="29"/>
  <c r="T6296" i="29"/>
  <c r="Q6297" i="29"/>
  <c r="Q6299" i="29"/>
  <c r="T6299" i="29"/>
  <c r="Q6300" i="29"/>
  <c r="S6300" i="29"/>
  <c r="Q6301" i="29"/>
  <c r="Q6302" i="29"/>
  <c r="S6302" i="29"/>
  <c r="Q6303" i="29"/>
  <c r="S6303" i="29"/>
  <c r="Q6304" i="29"/>
  <c r="Q6305" i="29"/>
  <c r="Q6306" i="29"/>
  <c r="S6306" i="29"/>
  <c r="Q6307" i="29"/>
  <c r="Q6308" i="29"/>
  <c r="S6308" i="29"/>
  <c r="Q6309" i="29"/>
  <c r="S6309" i="29"/>
  <c r="Q6310" i="29"/>
  <c r="T6310" i="29"/>
  <c r="Q6311" i="29"/>
  <c r="S6311" i="29"/>
  <c r="Q6312" i="29"/>
  <c r="Q6313" i="29"/>
  <c r="Q6314" i="29"/>
  <c r="T6314" i="29"/>
  <c r="Q6315" i="29"/>
  <c r="Q6316" i="29"/>
  <c r="T6316" i="29"/>
  <c r="Q6317" i="29"/>
  <c r="T6317" i="29"/>
  <c r="Q6318" i="29"/>
  <c r="T6318" i="29"/>
  <c r="F6319" i="29"/>
  <c r="G6319" i="29"/>
  <c r="F6318" i="29"/>
  <c r="G6318" i="29"/>
  <c r="F6317" i="29"/>
  <c r="G6317" i="29"/>
  <c r="N6319" i="29"/>
  <c r="N6318" i="29"/>
  <c r="N6317" i="29"/>
  <c r="P6319" i="29"/>
  <c r="P6318" i="29"/>
  <c r="P6317" i="29"/>
  <c r="F6316" i="29"/>
  <c r="G6316" i="29"/>
  <c r="P6316" i="29"/>
  <c r="N6316" i="29"/>
  <c r="P6315" i="29"/>
  <c r="N6315" i="29"/>
  <c r="G6315" i="29"/>
  <c r="F6315" i="29"/>
  <c r="P6314" i="29"/>
  <c r="N6314" i="29"/>
  <c r="G6314" i="29"/>
  <c r="F6314" i="29"/>
  <c r="P6313" i="29"/>
  <c r="N6313" i="29"/>
  <c r="G6313" i="29"/>
  <c r="F6313" i="29"/>
  <c r="P6312" i="29"/>
  <c r="N6312" i="29"/>
  <c r="G6312" i="29"/>
  <c r="F6312" i="29"/>
  <c r="P6311" i="29"/>
  <c r="N6311" i="29"/>
  <c r="G6311" i="29"/>
  <c r="F6311" i="29"/>
  <c r="P6310" i="29"/>
  <c r="N6310" i="29"/>
  <c r="G6310" i="29"/>
  <c r="F6310" i="29"/>
  <c r="P6309" i="29"/>
  <c r="N6309" i="29"/>
  <c r="G6309" i="29"/>
  <c r="F6309" i="29"/>
  <c r="P6308" i="29"/>
  <c r="N6308" i="29"/>
  <c r="G6308" i="29"/>
  <c r="F6308" i="29"/>
  <c r="P6307" i="29"/>
  <c r="N6307" i="29"/>
  <c r="G6307" i="29"/>
  <c r="F6307" i="29"/>
  <c r="P6306" i="29"/>
  <c r="N6306" i="29"/>
  <c r="G6306" i="29"/>
  <c r="F6306" i="29"/>
  <c r="P6305" i="29"/>
  <c r="N6305" i="29"/>
  <c r="G6305" i="29"/>
  <c r="F6305" i="29"/>
  <c r="P6304" i="29"/>
  <c r="N6304" i="29"/>
  <c r="G6304" i="29"/>
  <c r="F6304" i="29"/>
  <c r="P6303" i="29"/>
  <c r="N6303" i="29"/>
  <c r="G6303" i="29"/>
  <c r="F6303" i="29"/>
  <c r="P6295" i="29"/>
  <c r="N6295" i="29"/>
  <c r="G6295" i="29"/>
  <c r="F6295" i="29"/>
  <c r="P6302" i="29"/>
  <c r="N6302" i="29"/>
  <c r="G6302" i="29"/>
  <c r="F6302" i="29"/>
  <c r="G6301" i="29"/>
  <c r="F6301" i="29"/>
  <c r="G6300" i="29"/>
  <c r="F6300" i="29"/>
  <c r="P6299" i="29"/>
  <c r="N6299" i="29"/>
  <c r="G6299" i="29"/>
  <c r="F6299" i="29"/>
  <c r="P6298" i="29"/>
  <c r="N6298" i="29"/>
  <c r="G6298" i="29"/>
  <c r="F6298" i="29"/>
  <c r="P6297" i="29"/>
  <c r="N6297" i="29"/>
  <c r="G6297" i="29"/>
  <c r="F6297" i="29"/>
  <c r="P6296" i="29"/>
  <c r="N6296" i="29"/>
  <c r="G6296" i="29"/>
  <c r="F6296" i="29"/>
  <c r="P6294" i="29"/>
  <c r="N6294" i="29"/>
  <c r="G6294" i="29"/>
  <c r="F6294" i="29"/>
  <c r="P6293" i="29"/>
  <c r="N6293" i="29"/>
  <c r="G6293" i="29"/>
  <c r="F6293" i="29"/>
  <c r="P6292" i="29"/>
  <c r="N6292" i="29"/>
  <c r="G6292" i="29"/>
  <c r="F6292" i="29"/>
  <c r="P6291" i="29"/>
  <c r="N6291" i="29"/>
  <c r="G6291" i="29"/>
  <c r="F6291" i="29"/>
  <c r="P6290" i="29"/>
  <c r="N6290" i="29"/>
  <c r="G6290" i="29"/>
  <c r="F6290" i="29"/>
  <c r="P6289" i="29"/>
  <c r="N6289" i="29"/>
  <c r="G6289" i="29"/>
  <c r="F6289" i="29"/>
  <c r="P6288" i="29"/>
  <c r="N6288" i="29"/>
  <c r="G6288" i="29"/>
  <c r="F6288" i="29"/>
  <c r="G6287" i="29"/>
  <c r="F6287" i="29"/>
  <c r="G6286" i="29"/>
  <c r="F6286" i="29"/>
  <c r="G6285" i="29"/>
  <c r="F6285" i="29"/>
  <c r="G6284" i="29"/>
  <c r="F6284" i="29"/>
  <c r="G6283" i="29"/>
  <c r="F6283" i="29"/>
  <c r="G6282" i="29"/>
  <c r="F6282" i="29"/>
  <c r="G6281" i="29"/>
  <c r="F6281" i="29"/>
  <c r="G6280" i="29"/>
  <c r="F6280" i="29"/>
  <c r="G6279" i="29"/>
  <c r="F6279" i="29"/>
  <c r="G6278" i="29"/>
  <c r="F6278" i="29"/>
  <c r="G6277" i="29"/>
  <c r="F6277" i="29"/>
  <c r="G6276" i="29"/>
  <c r="F6276" i="29"/>
  <c r="G6275" i="29"/>
  <c r="F6275" i="29"/>
  <c r="G6274" i="29"/>
  <c r="F6274" i="29"/>
  <c r="G6273" i="29"/>
  <c r="F6273" i="29"/>
  <c r="G6272" i="29"/>
  <c r="F6272" i="29"/>
  <c r="G6271" i="29"/>
  <c r="F6271" i="29"/>
  <c r="G6270" i="29"/>
  <c r="F6270" i="29"/>
  <c r="G6269" i="29"/>
  <c r="F6269" i="29"/>
  <c r="G6268" i="29"/>
  <c r="F6268" i="29"/>
  <c r="P6286" i="29"/>
  <c r="N6286" i="29"/>
  <c r="E583" i="6"/>
  <c r="P6267" i="29"/>
  <c r="N6267" i="29"/>
  <c r="G6267" i="29"/>
  <c r="F6267" i="29"/>
  <c r="R6266" i="29"/>
  <c r="P6266" i="29"/>
  <c r="N6266" i="29"/>
  <c r="G6266" i="29"/>
  <c r="F6266" i="29"/>
  <c r="P6265" i="29"/>
  <c r="N6265" i="29"/>
  <c r="G6265" i="29"/>
  <c r="F6265" i="29"/>
  <c r="P6264" i="29"/>
  <c r="N6264" i="29"/>
  <c r="G6264" i="29"/>
  <c r="F6264" i="29"/>
  <c r="N6263" i="29"/>
  <c r="F6263" i="29"/>
  <c r="G6263" i="29"/>
  <c r="P6263" i="29"/>
  <c r="P6262" i="29"/>
  <c r="N6262" i="29"/>
  <c r="G6262" i="29"/>
  <c r="F6262" i="29"/>
  <c r="P6261" i="29"/>
  <c r="N6261" i="29"/>
  <c r="G6261" i="29"/>
  <c r="F6261" i="29"/>
  <c r="P6260" i="29"/>
  <c r="N6260" i="29"/>
  <c r="G6260" i="29"/>
  <c r="F6260" i="29"/>
  <c r="P6259" i="29"/>
  <c r="N6259" i="29"/>
  <c r="G6259" i="29"/>
  <c r="F6259" i="29"/>
  <c r="P6258" i="29"/>
  <c r="N6258" i="29"/>
  <c r="G6258" i="29"/>
  <c r="F6258" i="29"/>
  <c r="P6257" i="29"/>
  <c r="N6257" i="29"/>
  <c r="G6257" i="29"/>
  <c r="F6257" i="29"/>
  <c r="P6256" i="29"/>
  <c r="N6256" i="29"/>
  <c r="G6256" i="29"/>
  <c r="F6256" i="29"/>
  <c r="P6255" i="29"/>
  <c r="N6255" i="29"/>
  <c r="G6255" i="29"/>
  <c r="F6255" i="29"/>
  <c r="P6254" i="29"/>
  <c r="N6254" i="29"/>
  <c r="G6254" i="29"/>
  <c r="F6254" i="29"/>
  <c r="P6253" i="29"/>
  <c r="N6253" i="29"/>
  <c r="G6253" i="29"/>
  <c r="F6253" i="29"/>
  <c r="Q6252" i="29"/>
  <c r="S6252" i="29"/>
  <c r="P6252" i="29"/>
  <c r="N6252" i="29"/>
  <c r="G6252" i="29"/>
  <c r="F6252" i="29"/>
  <c r="W6251" i="29"/>
  <c r="N6251" i="29"/>
  <c r="F501" i="31"/>
  <c r="G501" i="31"/>
  <c r="H501" i="31"/>
  <c r="F500" i="31"/>
  <c r="F499" i="31"/>
  <c r="F498" i="31"/>
  <c r="F497" i="31"/>
  <c r="R6250" i="29"/>
  <c r="Q6177" i="29"/>
  <c r="Q6178" i="29"/>
  <c r="S6178" i="29"/>
  <c r="Q6179" i="29"/>
  <c r="Q6180" i="29"/>
  <c r="T6180" i="29"/>
  <c r="Q6181" i="29"/>
  <c r="Q6182" i="29"/>
  <c r="Q6183" i="29"/>
  <c r="Q6184" i="29"/>
  <c r="Q6185" i="29"/>
  <c r="S6185" i="29"/>
  <c r="Q6186" i="29"/>
  <c r="Q6187" i="29"/>
  <c r="S6187" i="29"/>
  <c r="Q6188" i="29"/>
  <c r="T6188" i="29"/>
  <c r="Q6189" i="29"/>
  <c r="Q6190" i="29"/>
  <c r="T6190" i="29"/>
  <c r="Q6191" i="29"/>
  <c r="Q6192" i="29"/>
  <c r="Q6193" i="29"/>
  <c r="S6193" i="29"/>
  <c r="Q6194" i="29"/>
  <c r="S6194" i="29"/>
  <c r="Q6195" i="29"/>
  <c r="S6195" i="29"/>
  <c r="Q6196" i="29"/>
  <c r="T6196" i="29"/>
  <c r="Q6197" i="29"/>
  <c r="S6197" i="29"/>
  <c r="Q6198" i="29"/>
  <c r="Q6199" i="29"/>
  <c r="Q6200" i="29"/>
  <c r="Q6201" i="29"/>
  <c r="Q6202" i="29"/>
  <c r="S6202" i="29"/>
  <c r="Q6203" i="29"/>
  <c r="T6203" i="29"/>
  <c r="Q6204" i="29"/>
  <c r="Q6205" i="29"/>
  <c r="Q6206" i="29"/>
  <c r="Q6207" i="29"/>
  <c r="Q6208" i="29"/>
  <c r="Q6209" i="29"/>
  <c r="T6209" i="29"/>
  <c r="Q6210" i="29"/>
  <c r="S6210" i="29"/>
  <c r="Q6211" i="29"/>
  <c r="Q6212" i="29"/>
  <c r="Q6213" i="29"/>
  <c r="T6213" i="29"/>
  <c r="Q6214" i="29"/>
  <c r="S6214" i="29"/>
  <c r="Q6215" i="29"/>
  <c r="S6215" i="29"/>
  <c r="Q6216" i="29"/>
  <c r="S6216" i="29"/>
  <c r="Q6217" i="29"/>
  <c r="S6217" i="29"/>
  <c r="Q6218" i="29"/>
  <c r="Q6219" i="29"/>
  <c r="S6219" i="29"/>
  <c r="Q6220" i="29"/>
  <c r="T6220" i="29"/>
  <c r="Q6221" i="29"/>
  <c r="S6221" i="29"/>
  <c r="Q6222" i="29"/>
  <c r="Q6223" i="29"/>
  <c r="Q6224" i="29"/>
  <c r="S6224" i="29"/>
  <c r="Q6225" i="29"/>
  <c r="T6225" i="29"/>
  <c r="Q6226" i="29"/>
  <c r="T6226" i="29"/>
  <c r="Q6227" i="29"/>
  <c r="T6227" i="29"/>
  <c r="Q6228" i="29"/>
  <c r="S6228" i="29"/>
  <c r="Q6229" i="29"/>
  <c r="S6229" i="29"/>
  <c r="Q6230" i="29"/>
  <c r="T6230" i="29"/>
  <c r="Q6231" i="29"/>
  <c r="T6231" i="29"/>
  <c r="Q6232" i="29"/>
  <c r="Q6233" i="29"/>
  <c r="Q6234" i="29"/>
  <c r="Q6235" i="29"/>
  <c r="T6235" i="29"/>
  <c r="Q6236" i="29"/>
  <c r="S6236" i="29"/>
  <c r="Q6237" i="29"/>
  <c r="Q6238" i="29"/>
  <c r="T6238" i="29"/>
  <c r="Q6239" i="29"/>
  <c r="T6239" i="29"/>
  <c r="Q6240" i="29"/>
  <c r="S6240" i="29"/>
  <c r="Q6241" i="29"/>
  <c r="Q6242" i="29"/>
  <c r="S6242" i="29"/>
  <c r="Q6243" i="29"/>
  <c r="Q6244" i="29"/>
  <c r="Q6245" i="29"/>
  <c r="S6245" i="29"/>
  <c r="Q6246" i="29"/>
  <c r="S6246" i="29"/>
  <c r="Q6247" i="29"/>
  <c r="Q6248" i="29"/>
  <c r="T6248" i="29"/>
  <c r="Q6249" i="29"/>
  <c r="Q6250" i="29"/>
  <c r="P6177" i="29"/>
  <c r="P6178" i="29"/>
  <c r="P6179" i="29"/>
  <c r="P6180" i="29"/>
  <c r="P6181" i="29"/>
  <c r="P6182" i="29"/>
  <c r="P6183" i="29"/>
  <c r="P6184" i="29"/>
  <c r="P6185" i="29"/>
  <c r="P6186" i="29"/>
  <c r="P6187" i="29"/>
  <c r="P6188" i="29"/>
  <c r="P6189" i="29"/>
  <c r="P6190" i="29"/>
  <c r="P6191" i="29"/>
  <c r="P6192" i="29"/>
  <c r="P6193" i="29"/>
  <c r="P6194" i="29"/>
  <c r="P6195" i="29"/>
  <c r="P6196" i="29"/>
  <c r="P6197" i="29"/>
  <c r="P6198" i="29"/>
  <c r="P6199" i="29"/>
  <c r="P6200" i="29"/>
  <c r="P6201" i="29"/>
  <c r="P6202" i="29"/>
  <c r="P6203" i="29"/>
  <c r="P6204" i="29"/>
  <c r="P6205" i="29"/>
  <c r="P6206" i="29"/>
  <c r="P6207" i="29"/>
  <c r="P6208" i="29"/>
  <c r="P6209" i="29"/>
  <c r="P6210" i="29"/>
  <c r="P6211" i="29"/>
  <c r="P6212" i="29"/>
  <c r="P6213" i="29"/>
  <c r="P6214" i="29"/>
  <c r="P6215" i="29"/>
  <c r="P6216" i="29"/>
  <c r="P6217" i="29"/>
  <c r="P6218" i="29"/>
  <c r="P6219" i="29"/>
  <c r="P6220" i="29"/>
  <c r="P6221" i="29"/>
  <c r="P6222" i="29"/>
  <c r="P6223" i="29"/>
  <c r="P6224" i="29"/>
  <c r="P6225" i="29"/>
  <c r="P6226" i="29"/>
  <c r="P6227" i="29"/>
  <c r="P6228" i="29"/>
  <c r="P6229" i="29"/>
  <c r="P6230" i="29"/>
  <c r="P6231" i="29"/>
  <c r="P6232" i="29"/>
  <c r="P6233" i="29"/>
  <c r="P6234" i="29"/>
  <c r="P6235" i="29"/>
  <c r="P6236" i="29"/>
  <c r="P6237" i="29"/>
  <c r="P6238" i="29"/>
  <c r="P6239" i="29"/>
  <c r="P6240" i="29"/>
  <c r="P6241" i="29"/>
  <c r="P6242" i="29"/>
  <c r="P6243" i="29"/>
  <c r="P6244" i="29"/>
  <c r="P6245" i="29"/>
  <c r="P6246" i="29"/>
  <c r="P6247" i="29"/>
  <c r="P6248" i="29"/>
  <c r="P6249" i="29"/>
  <c r="P6250" i="29"/>
  <c r="N6180" i="29"/>
  <c r="N6181" i="29"/>
  <c r="N6182" i="29"/>
  <c r="N6183" i="29"/>
  <c r="N6184" i="29"/>
  <c r="N6185" i="29"/>
  <c r="N6186" i="29"/>
  <c r="N6187" i="29"/>
  <c r="N6188" i="29"/>
  <c r="N6189" i="29"/>
  <c r="N6190" i="29"/>
  <c r="N6191" i="29"/>
  <c r="N6192" i="29"/>
  <c r="N6193" i="29"/>
  <c r="N6194" i="29"/>
  <c r="N6195" i="29"/>
  <c r="N6196" i="29"/>
  <c r="N6197" i="29"/>
  <c r="N6198" i="29"/>
  <c r="N6199" i="29"/>
  <c r="N6200" i="29"/>
  <c r="N6201" i="29"/>
  <c r="N6202" i="29"/>
  <c r="N6203" i="29"/>
  <c r="N6204" i="29"/>
  <c r="N6205" i="29"/>
  <c r="N6206" i="29"/>
  <c r="N6207" i="29"/>
  <c r="N6208" i="29"/>
  <c r="N6209" i="29"/>
  <c r="N6210" i="29"/>
  <c r="N6211" i="29"/>
  <c r="N6212" i="29"/>
  <c r="N6213" i="29"/>
  <c r="N6214" i="29"/>
  <c r="N6215" i="29"/>
  <c r="N6216" i="29"/>
  <c r="N6217" i="29"/>
  <c r="N6218" i="29"/>
  <c r="N6219" i="29"/>
  <c r="N6220" i="29"/>
  <c r="N6221" i="29"/>
  <c r="N6222" i="29"/>
  <c r="N6223" i="29"/>
  <c r="N6224" i="29"/>
  <c r="N6225" i="29"/>
  <c r="N6226" i="29"/>
  <c r="N6227" i="29"/>
  <c r="N6228" i="29"/>
  <c r="N6229" i="29"/>
  <c r="N6230" i="29"/>
  <c r="N6231" i="29"/>
  <c r="N6232" i="29"/>
  <c r="N6233" i="29"/>
  <c r="N6234" i="29"/>
  <c r="N6235" i="29"/>
  <c r="N6236" i="29"/>
  <c r="N6237" i="29"/>
  <c r="N6238" i="29"/>
  <c r="N6239" i="29"/>
  <c r="N6240" i="29"/>
  <c r="N6241" i="29"/>
  <c r="N6242" i="29"/>
  <c r="N6243" i="29"/>
  <c r="N6244" i="29"/>
  <c r="N6245" i="29"/>
  <c r="N6246" i="29"/>
  <c r="N6247" i="29"/>
  <c r="N6248" i="29"/>
  <c r="N6249" i="29"/>
  <c r="N6250" i="29"/>
  <c r="G6205" i="29"/>
  <c r="F6205" i="29"/>
  <c r="G6204" i="29"/>
  <c r="F6204" i="29"/>
  <c r="G6203" i="29"/>
  <c r="F6203" i="29"/>
  <c r="G6202" i="29"/>
  <c r="F6202" i="29"/>
  <c r="G6201" i="29"/>
  <c r="F6201" i="29"/>
  <c r="G6200" i="29"/>
  <c r="F6200" i="29"/>
  <c r="G6199" i="29"/>
  <c r="F6199" i="29"/>
  <c r="G6198" i="29"/>
  <c r="F6198" i="29"/>
  <c r="G6197" i="29"/>
  <c r="F6197" i="29"/>
  <c r="G6196" i="29"/>
  <c r="F6196" i="29"/>
  <c r="G6195" i="29"/>
  <c r="F6195" i="29"/>
  <c r="G6206" i="29"/>
  <c r="F6206" i="29"/>
  <c r="G6207" i="29"/>
  <c r="F6207" i="29"/>
  <c r="G6208" i="29"/>
  <c r="F6208" i="29"/>
  <c r="G6209" i="29"/>
  <c r="F6209" i="29"/>
  <c r="G6210" i="29"/>
  <c r="F6210" i="29"/>
  <c r="G6211" i="29"/>
  <c r="F6211" i="29"/>
  <c r="G6212" i="29"/>
  <c r="F6212" i="29"/>
  <c r="F6250" i="29"/>
  <c r="G6250" i="29"/>
  <c r="G6249" i="29"/>
  <c r="F6249" i="29"/>
  <c r="G6248" i="29"/>
  <c r="F6248" i="29"/>
  <c r="G6247" i="29"/>
  <c r="F6247" i="29"/>
  <c r="G6246" i="29"/>
  <c r="F6246" i="29"/>
  <c r="G6245" i="29"/>
  <c r="F6245" i="29"/>
  <c r="F6244" i="29"/>
  <c r="G6244" i="29"/>
  <c r="F6243" i="29"/>
  <c r="G6243" i="29"/>
  <c r="F6242" i="29"/>
  <c r="G6242" i="29"/>
  <c r="F6241" i="29"/>
  <c r="G6241" i="29"/>
  <c r="F6240" i="29"/>
  <c r="G6240" i="29"/>
  <c r="F6239" i="29"/>
  <c r="G6239" i="29"/>
  <c r="F6238" i="29"/>
  <c r="G6238" i="29"/>
  <c r="G6237" i="29"/>
  <c r="F6237" i="29"/>
  <c r="G6236" i="29"/>
  <c r="F6236" i="29"/>
  <c r="G6235" i="29"/>
  <c r="F6235" i="29"/>
  <c r="F6234" i="29"/>
  <c r="G6234" i="29"/>
  <c r="G6233" i="29"/>
  <c r="F6233" i="29"/>
  <c r="G6232" i="29"/>
  <c r="F6232" i="29"/>
  <c r="G6231" i="29"/>
  <c r="F6231" i="29"/>
  <c r="G6230" i="29"/>
  <c r="F6230" i="29"/>
  <c r="G6229" i="29"/>
  <c r="F6229" i="29"/>
  <c r="G6228" i="29"/>
  <c r="F6228" i="29"/>
  <c r="G6227" i="29"/>
  <c r="F6227" i="29"/>
  <c r="G6226" i="29"/>
  <c r="F6226" i="29"/>
  <c r="G6225" i="29"/>
  <c r="F6225" i="29"/>
  <c r="G6224" i="29"/>
  <c r="F6224" i="29"/>
  <c r="F6223" i="29"/>
  <c r="G6223" i="29"/>
  <c r="G6222" i="29"/>
  <c r="F6222" i="29"/>
  <c r="G6221" i="29"/>
  <c r="F6221" i="29"/>
  <c r="G6220" i="29"/>
  <c r="F6220" i="29"/>
  <c r="G6219" i="29"/>
  <c r="F6219" i="29"/>
  <c r="G6218" i="29"/>
  <c r="F6218" i="29"/>
  <c r="G6217" i="29"/>
  <c r="F6217" i="29"/>
  <c r="G6216" i="29"/>
  <c r="F6216" i="29"/>
  <c r="G6215" i="29"/>
  <c r="F6215" i="29"/>
  <c r="G6214" i="29"/>
  <c r="F6214" i="29"/>
  <c r="G6213" i="29"/>
  <c r="F6213" i="29"/>
  <c r="F6194" i="29"/>
  <c r="G6194" i="29"/>
  <c r="R6193" i="29"/>
  <c r="G6193" i="29"/>
  <c r="F6193" i="29"/>
  <c r="G6192" i="29"/>
  <c r="F6192" i="29"/>
  <c r="G6191" i="29"/>
  <c r="F6191" i="29"/>
  <c r="G6190" i="29"/>
  <c r="F6190" i="29"/>
  <c r="F6189" i="29"/>
  <c r="G6189" i="29"/>
  <c r="F6188" i="29"/>
  <c r="G6188" i="29"/>
  <c r="G6187" i="29"/>
  <c r="F6187" i="29"/>
  <c r="G6186" i="29"/>
  <c r="F6186" i="29"/>
  <c r="G6185" i="29"/>
  <c r="F6185" i="29"/>
  <c r="G6184" i="29"/>
  <c r="F6184" i="29"/>
  <c r="F6183" i="29"/>
  <c r="G6183" i="29"/>
  <c r="F6182" i="29"/>
  <c r="G6182" i="29"/>
  <c r="F6181" i="29"/>
  <c r="G6181" i="29"/>
  <c r="F6180" i="29"/>
  <c r="G6180" i="29"/>
  <c r="F6179" i="29"/>
  <c r="G6179" i="29"/>
  <c r="N6179" i="29"/>
  <c r="N6178" i="29"/>
  <c r="G6178" i="29"/>
  <c r="F6178" i="29"/>
  <c r="N6177" i="29"/>
  <c r="G6177" i="29"/>
  <c r="F6177" i="29"/>
  <c r="Q6176" i="29"/>
  <c r="P6176" i="29"/>
  <c r="N6176" i="29"/>
  <c r="G6176" i="29"/>
  <c r="F6176" i="29"/>
  <c r="W6175" i="29"/>
  <c r="N6175" i="29"/>
  <c r="T6125" i="29"/>
  <c r="T6124" i="29"/>
  <c r="T6123" i="29"/>
  <c r="T6122" i="29"/>
  <c r="T6121" i="29"/>
  <c r="T6120" i="29"/>
  <c r="S6125" i="29"/>
  <c r="S6124" i="29"/>
  <c r="S6123" i="29"/>
  <c r="S6122" i="29"/>
  <c r="S6121" i="29"/>
  <c r="S6120" i="29"/>
  <c r="G6120" i="29"/>
  <c r="G6121" i="29"/>
  <c r="G6122" i="29"/>
  <c r="G6123" i="29"/>
  <c r="G6124" i="29"/>
  <c r="G6125" i="29"/>
  <c r="F6125" i="29"/>
  <c r="F6124" i="29"/>
  <c r="F6123" i="29"/>
  <c r="F6122" i="29"/>
  <c r="F6121" i="29"/>
  <c r="F6120" i="29"/>
  <c r="Q6174" i="29"/>
  <c r="P6174" i="29"/>
  <c r="N6174" i="29"/>
  <c r="G6174" i="29"/>
  <c r="F6174" i="29"/>
  <c r="Q6173" i="29"/>
  <c r="P6173" i="29"/>
  <c r="N6173" i="29"/>
  <c r="G6173" i="29"/>
  <c r="F6173" i="29"/>
  <c r="Q6172" i="29"/>
  <c r="P6172" i="29"/>
  <c r="N6172" i="29"/>
  <c r="G6172" i="29"/>
  <c r="F6172" i="29"/>
  <c r="Q6171" i="29"/>
  <c r="P6171" i="29"/>
  <c r="N6171" i="29"/>
  <c r="G6171" i="29"/>
  <c r="F6171" i="29"/>
  <c r="Q6170" i="29"/>
  <c r="P6170" i="29"/>
  <c r="N6170" i="29"/>
  <c r="G6170" i="29"/>
  <c r="F6170" i="29"/>
  <c r="Q6169" i="29"/>
  <c r="P6169" i="29"/>
  <c r="N6169" i="29"/>
  <c r="G6169" i="29"/>
  <c r="F6169" i="29"/>
  <c r="Q6168" i="29"/>
  <c r="P6168" i="29"/>
  <c r="N6168" i="29"/>
  <c r="G6168" i="29"/>
  <c r="F6168" i="29"/>
  <c r="Q6167" i="29"/>
  <c r="P6167" i="29"/>
  <c r="N6167" i="29"/>
  <c r="G6167" i="29"/>
  <c r="F6167" i="29"/>
  <c r="Q6166" i="29"/>
  <c r="P6166" i="29"/>
  <c r="N6166" i="29"/>
  <c r="G6166" i="29"/>
  <c r="F6166" i="29"/>
  <c r="Q6165" i="29"/>
  <c r="P6165" i="29"/>
  <c r="N6165" i="29"/>
  <c r="G6165" i="29"/>
  <c r="F6165" i="29"/>
  <c r="Q6164" i="29"/>
  <c r="P6164" i="29"/>
  <c r="N6164" i="29"/>
  <c r="G6164" i="29"/>
  <c r="F6164" i="29"/>
  <c r="Q6163" i="29"/>
  <c r="P6163" i="29"/>
  <c r="N6163" i="29"/>
  <c r="G6163" i="29"/>
  <c r="F6163" i="29"/>
  <c r="Q6162" i="29"/>
  <c r="P6162" i="29"/>
  <c r="N6162" i="29"/>
  <c r="G6162" i="29"/>
  <c r="F6162" i="29"/>
  <c r="Q6161" i="29"/>
  <c r="P6161" i="29"/>
  <c r="N6161" i="29"/>
  <c r="G6161" i="29"/>
  <c r="F6161" i="29"/>
  <c r="Q6160" i="29"/>
  <c r="P6160" i="29"/>
  <c r="N6160" i="29"/>
  <c r="G6160" i="29"/>
  <c r="F6160" i="29"/>
  <c r="Q6159" i="29"/>
  <c r="P6159" i="29"/>
  <c r="N6159" i="29"/>
  <c r="G6159" i="29"/>
  <c r="F6159" i="29"/>
  <c r="Q6158" i="29"/>
  <c r="P6158" i="29"/>
  <c r="N6158" i="29"/>
  <c r="G6158" i="29"/>
  <c r="F6158" i="29"/>
  <c r="Q6157" i="29"/>
  <c r="P6157" i="29"/>
  <c r="N6157" i="29"/>
  <c r="G6157" i="29"/>
  <c r="F6157" i="29"/>
  <c r="Q6156" i="29"/>
  <c r="P6156" i="29"/>
  <c r="N6156" i="29"/>
  <c r="G6156" i="29"/>
  <c r="F6156" i="29"/>
  <c r="Q6155" i="29"/>
  <c r="P6155" i="29"/>
  <c r="N6155" i="29"/>
  <c r="G6155" i="29"/>
  <c r="F6155" i="29"/>
  <c r="Q6154" i="29"/>
  <c r="P6154" i="29"/>
  <c r="N6154" i="29"/>
  <c r="G6154" i="29"/>
  <c r="F6154" i="29"/>
  <c r="Q6153" i="29"/>
  <c r="P6153" i="29"/>
  <c r="N6153" i="29"/>
  <c r="G6153" i="29"/>
  <c r="F6153" i="29"/>
  <c r="Q6152" i="29"/>
  <c r="P6152" i="29"/>
  <c r="N6152" i="29"/>
  <c r="G6152" i="29"/>
  <c r="F6152" i="29"/>
  <c r="Q6151" i="29"/>
  <c r="P6151" i="29"/>
  <c r="N6151" i="29"/>
  <c r="G6151" i="29"/>
  <c r="F6151" i="29"/>
  <c r="Q6150" i="29"/>
  <c r="S6150" i="29"/>
  <c r="P6150" i="29"/>
  <c r="N6150" i="29"/>
  <c r="G6150" i="29"/>
  <c r="F6150" i="29"/>
  <c r="Q6149" i="29"/>
  <c r="P6149" i="29"/>
  <c r="N6149" i="29"/>
  <c r="G6149" i="29"/>
  <c r="F6149" i="29"/>
  <c r="R6148" i="29"/>
  <c r="Q6148" i="29"/>
  <c r="P6148" i="29"/>
  <c r="N6148" i="29"/>
  <c r="G6148" i="29"/>
  <c r="F6148" i="29"/>
  <c r="Q6147" i="29"/>
  <c r="P6147" i="29"/>
  <c r="N6147" i="29"/>
  <c r="G6147" i="29"/>
  <c r="F6147" i="29"/>
  <c r="Q6146" i="29"/>
  <c r="P6146" i="29"/>
  <c r="N6146" i="29"/>
  <c r="G6146" i="29"/>
  <c r="F6146" i="29"/>
  <c r="Q6145" i="29"/>
  <c r="P6145" i="29"/>
  <c r="N6145" i="29"/>
  <c r="G6145" i="29"/>
  <c r="F6145" i="29"/>
  <c r="Q6144" i="29"/>
  <c r="T6144" i="29"/>
  <c r="P6144" i="29"/>
  <c r="N6144" i="29"/>
  <c r="G6144" i="29"/>
  <c r="F6144" i="29"/>
  <c r="Q6143" i="29"/>
  <c r="T6143" i="29"/>
  <c r="P6143" i="29"/>
  <c r="N6143" i="29"/>
  <c r="G6143" i="29"/>
  <c r="F6143" i="29"/>
  <c r="Q6142" i="29"/>
  <c r="P6142" i="29"/>
  <c r="N6142" i="29"/>
  <c r="G6142" i="29"/>
  <c r="F6142" i="29"/>
  <c r="Q6141" i="29"/>
  <c r="P6141" i="29"/>
  <c r="N6141" i="29"/>
  <c r="G6141" i="29"/>
  <c r="F6141" i="29"/>
  <c r="Q6140" i="29"/>
  <c r="P6140" i="29"/>
  <c r="N6140" i="29"/>
  <c r="G6140" i="29"/>
  <c r="F6140" i="29"/>
  <c r="Q6139" i="29"/>
  <c r="P6139" i="29"/>
  <c r="N6139" i="29"/>
  <c r="G6139" i="29"/>
  <c r="F6139" i="29"/>
  <c r="Q6138" i="29"/>
  <c r="P6138" i="29"/>
  <c r="N6138" i="29"/>
  <c r="G6138" i="29"/>
  <c r="F6138" i="29"/>
  <c r="Q6137" i="29"/>
  <c r="P6137" i="29"/>
  <c r="N6137" i="29"/>
  <c r="G6137" i="29"/>
  <c r="F6137" i="29"/>
  <c r="Q6136" i="29"/>
  <c r="P6136" i="29"/>
  <c r="N6136" i="29"/>
  <c r="G6136" i="29"/>
  <c r="F6136" i="29"/>
  <c r="Q6135" i="29"/>
  <c r="P6135" i="29"/>
  <c r="N6135" i="29"/>
  <c r="G6135" i="29"/>
  <c r="F6135" i="29"/>
  <c r="Q6134" i="29"/>
  <c r="P6134" i="29"/>
  <c r="N6134" i="29"/>
  <c r="G6134" i="29"/>
  <c r="F6134" i="29"/>
  <c r="Q6133" i="29"/>
  <c r="P6133" i="29"/>
  <c r="N6133" i="29"/>
  <c r="G6133" i="29"/>
  <c r="F6133" i="29"/>
  <c r="Q6132" i="29"/>
  <c r="P6132" i="29"/>
  <c r="N6132" i="29"/>
  <c r="G6132" i="29"/>
  <c r="F6132" i="29"/>
  <c r="Q6131" i="29"/>
  <c r="P6131" i="29"/>
  <c r="N6131" i="29"/>
  <c r="G6131" i="29"/>
  <c r="F6131" i="29"/>
  <c r="Q6130" i="29"/>
  <c r="P6130" i="29"/>
  <c r="N6130" i="29"/>
  <c r="G6130" i="29"/>
  <c r="F6130" i="29"/>
  <c r="Q6129" i="29"/>
  <c r="P6129" i="29"/>
  <c r="N6129" i="29"/>
  <c r="G6129" i="29"/>
  <c r="F6129" i="29"/>
  <c r="Q6128" i="29"/>
  <c r="S6128" i="29"/>
  <c r="P6128" i="29"/>
  <c r="N6128" i="29"/>
  <c r="G6128" i="29"/>
  <c r="F6128" i="29"/>
  <c r="Q6127" i="29"/>
  <c r="P6127" i="29"/>
  <c r="N6127" i="29"/>
  <c r="G6127" i="29"/>
  <c r="F6127" i="29"/>
  <c r="Q6126" i="29"/>
  <c r="P6126" i="29"/>
  <c r="N6126" i="29"/>
  <c r="G6126" i="29"/>
  <c r="F6126" i="29"/>
  <c r="Q6119" i="29"/>
  <c r="P6119" i="29"/>
  <c r="N6119" i="29"/>
  <c r="G6119" i="29"/>
  <c r="F6119" i="29"/>
  <c r="Q6118" i="29"/>
  <c r="P6118" i="29"/>
  <c r="N6118" i="29"/>
  <c r="G6118" i="29"/>
  <c r="F6118" i="29"/>
  <c r="Q6117" i="29"/>
  <c r="S6117" i="29"/>
  <c r="P6117" i="29"/>
  <c r="N6117" i="29"/>
  <c r="G6117" i="29"/>
  <c r="F6117" i="29"/>
  <c r="Q6116" i="29"/>
  <c r="P6116" i="29"/>
  <c r="N6116" i="29"/>
  <c r="G6116" i="29"/>
  <c r="F6116" i="29"/>
  <c r="Q6115" i="29"/>
  <c r="P6115" i="29"/>
  <c r="N6115" i="29"/>
  <c r="G6115" i="29"/>
  <c r="F6115" i="29"/>
  <c r="Q6114" i="29"/>
  <c r="P6114" i="29"/>
  <c r="N6114" i="29"/>
  <c r="G6114" i="29"/>
  <c r="F6114" i="29"/>
  <c r="Q6113" i="29"/>
  <c r="T6113" i="29"/>
  <c r="P6113" i="29"/>
  <c r="N6113" i="29"/>
  <c r="G6113" i="29"/>
  <c r="F6113" i="29"/>
  <c r="Q6112" i="29"/>
  <c r="P6112" i="29"/>
  <c r="N6112" i="29"/>
  <c r="G6112" i="29"/>
  <c r="F6112" i="29"/>
  <c r="Q6111" i="29"/>
  <c r="T6111" i="29"/>
  <c r="P6111" i="29"/>
  <c r="N6111" i="29"/>
  <c r="G6111" i="29"/>
  <c r="F6111" i="29"/>
  <c r="W6110" i="29"/>
  <c r="N6110" i="29"/>
  <c r="N6103" i="29"/>
  <c r="Q6103" i="29"/>
  <c r="N6044" i="29"/>
  <c r="N6043" i="29"/>
  <c r="Q6083" i="29"/>
  <c r="P6083" i="29"/>
  <c r="Q6044" i="29"/>
  <c r="P6044" i="29"/>
  <c r="Q6043" i="29"/>
  <c r="S6043" i="29"/>
  <c r="P6043" i="29"/>
  <c r="F6109" i="29"/>
  <c r="G6109" i="29"/>
  <c r="Q6109" i="29"/>
  <c r="P6109" i="29"/>
  <c r="F6108" i="29"/>
  <c r="G6108" i="29"/>
  <c r="Q6108" i="29"/>
  <c r="P6108" i="29"/>
  <c r="F6107" i="29"/>
  <c r="G6107" i="29"/>
  <c r="Q6107" i="29"/>
  <c r="P6107" i="29"/>
  <c r="N6107" i="29"/>
  <c r="F6106" i="29"/>
  <c r="G6106" i="29"/>
  <c r="Q6106" i="29"/>
  <c r="P6106" i="29"/>
  <c r="N6106" i="29"/>
  <c r="G6103" i="29"/>
  <c r="F6103" i="29"/>
  <c r="P6103" i="29"/>
  <c r="Q6105" i="29"/>
  <c r="P6105" i="29"/>
  <c r="N6105" i="29"/>
  <c r="G6105" i="29"/>
  <c r="F6105" i="29"/>
  <c r="Q6104" i="29"/>
  <c r="P6104" i="29"/>
  <c r="N6104" i="29"/>
  <c r="G6104" i="29"/>
  <c r="F6104" i="29"/>
  <c r="Q6102" i="29"/>
  <c r="S6102" i="29"/>
  <c r="P6102" i="29"/>
  <c r="N6102" i="29"/>
  <c r="G6102" i="29"/>
  <c r="F6102" i="29"/>
  <c r="Q6101" i="29"/>
  <c r="P6101" i="29"/>
  <c r="N6101" i="29"/>
  <c r="G6101" i="29"/>
  <c r="F6101" i="29"/>
  <c r="Q6100" i="29"/>
  <c r="P6100" i="29"/>
  <c r="N6100" i="29"/>
  <c r="G6100" i="29"/>
  <c r="F6100" i="29"/>
  <c r="Q6099" i="29"/>
  <c r="P6099" i="29"/>
  <c r="N6099" i="29"/>
  <c r="G6099" i="29"/>
  <c r="F6099" i="29"/>
  <c r="Q6098" i="29"/>
  <c r="P6098" i="29"/>
  <c r="N6098" i="29"/>
  <c r="G6098" i="29"/>
  <c r="F6098" i="29"/>
  <c r="Q6097" i="29"/>
  <c r="P6097" i="29"/>
  <c r="N6097" i="29"/>
  <c r="G6097" i="29"/>
  <c r="F6097" i="29"/>
  <c r="Q6096" i="29"/>
  <c r="P6096" i="29"/>
  <c r="N6096" i="29"/>
  <c r="G6096" i="29"/>
  <c r="F6096" i="29"/>
  <c r="Q6095" i="29"/>
  <c r="P6095" i="29"/>
  <c r="N6095" i="29"/>
  <c r="G6095" i="29"/>
  <c r="F6095" i="29"/>
  <c r="Q6094" i="29"/>
  <c r="P6094" i="29"/>
  <c r="N6094" i="29"/>
  <c r="G6094" i="29"/>
  <c r="F6094" i="29"/>
  <c r="Q6093" i="29"/>
  <c r="P6093" i="29"/>
  <c r="N6093" i="29"/>
  <c r="G6093" i="29"/>
  <c r="F6093" i="29"/>
  <c r="Q6092" i="29"/>
  <c r="P6092" i="29"/>
  <c r="N6092" i="29"/>
  <c r="G6092" i="29"/>
  <c r="F6092" i="29"/>
  <c r="Q6091" i="29"/>
  <c r="S6091" i="29"/>
  <c r="P6091" i="29"/>
  <c r="N6091" i="29"/>
  <c r="G6091" i="29"/>
  <c r="F6091" i="29"/>
  <c r="Q6090" i="29"/>
  <c r="S6090" i="29"/>
  <c r="P6090" i="29"/>
  <c r="N6090" i="29"/>
  <c r="G6090" i="29"/>
  <c r="F6090" i="29"/>
  <c r="Q6089" i="29"/>
  <c r="P6089" i="29"/>
  <c r="N6089" i="29"/>
  <c r="G6089" i="29"/>
  <c r="F6089" i="29"/>
  <c r="Q6088" i="29"/>
  <c r="P6088" i="29"/>
  <c r="N6088" i="29"/>
  <c r="G6088" i="29"/>
  <c r="F6088" i="29"/>
  <c r="G6047" i="29"/>
  <c r="F6047" i="29"/>
  <c r="G6046" i="29"/>
  <c r="F6046" i="29"/>
  <c r="G6044" i="29"/>
  <c r="F6044" i="29"/>
  <c r="G6043" i="29"/>
  <c r="F6043" i="29"/>
  <c r="F6087" i="29"/>
  <c r="G6087" i="29"/>
  <c r="Q6087" i="29"/>
  <c r="P6087" i="29"/>
  <c r="N6087" i="29"/>
  <c r="Q6086" i="29"/>
  <c r="P6086" i="29"/>
  <c r="N6086" i="29"/>
  <c r="G6086" i="29"/>
  <c r="F6086" i="29"/>
  <c r="Q6085" i="29"/>
  <c r="P6085" i="29"/>
  <c r="N6085" i="29"/>
  <c r="G6085" i="29"/>
  <c r="F6085" i="29"/>
  <c r="Q6084" i="29"/>
  <c r="P6084" i="29"/>
  <c r="N6084" i="29"/>
  <c r="G6084" i="29"/>
  <c r="F6084" i="29"/>
  <c r="F6083" i="29"/>
  <c r="G6083" i="29"/>
  <c r="N6083" i="29"/>
  <c r="Q6082" i="29"/>
  <c r="S6082" i="29"/>
  <c r="P6082" i="29"/>
  <c r="N6082" i="29"/>
  <c r="G6082" i="29"/>
  <c r="F6082" i="29"/>
  <c r="Q6081" i="29"/>
  <c r="S6081" i="29"/>
  <c r="P6081" i="29"/>
  <c r="N6081" i="29"/>
  <c r="G6081" i="29"/>
  <c r="F6081" i="29"/>
  <c r="Q6080" i="29"/>
  <c r="P6080" i="29"/>
  <c r="N6080" i="29"/>
  <c r="G6080" i="29"/>
  <c r="F6080" i="29"/>
  <c r="Q6078" i="29"/>
  <c r="T6078" i="29"/>
  <c r="P6078" i="29"/>
  <c r="N6078" i="29"/>
  <c r="G6078" i="29"/>
  <c r="F6078" i="29"/>
  <c r="Q6079" i="29"/>
  <c r="T6079" i="29"/>
  <c r="P6079" i="29"/>
  <c r="N6079" i="29"/>
  <c r="G6079" i="29"/>
  <c r="F6079" i="29"/>
  <c r="Q6077" i="29"/>
  <c r="P6077" i="29"/>
  <c r="N6077" i="29"/>
  <c r="G6077" i="29"/>
  <c r="F6077" i="29"/>
  <c r="Q6076" i="29"/>
  <c r="P6076" i="29"/>
  <c r="N6076" i="29"/>
  <c r="G6076" i="29"/>
  <c r="F6076" i="29"/>
  <c r="Q6075" i="29"/>
  <c r="T6075" i="29"/>
  <c r="P6075" i="29"/>
  <c r="N6075" i="29"/>
  <c r="G6075" i="29"/>
  <c r="F6075" i="29"/>
  <c r="Q6074" i="29"/>
  <c r="P6074" i="29"/>
  <c r="N6074" i="29"/>
  <c r="G6074" i="29"/>
  <c r="F6074" i="29"/>
  <c r="Q6073" i="29"/>
  <c r="P6073" i="29"/>
  <c r="N6073" i="29"/>
  <c r="G6073" i="29"/>
  <c r="F6073" i="29"/>
  <c r="Q6072" i="29"/>
  <c r="T6072" i="29"/>
  <c r="P6072" i="29"/>
  <c r="N6072" i="29"/>
  <c r="G6072" i="29"/>
  <c r="F6072" i="29"/>
  <c r="Q6071" i="29"/>
  <c r="P6071" i="29"/>
  <c r="N6071" i="29"/>
  <c r="G6071" i="29"/>
  <c r="F6071" i="29"/>
  <c r="Q6070" i="29"/>
  <c r="P6070" i="29"/>
  <c r="N6070" i="29"/>
  <c r="G6070" i="29"/>
  <c r="F6070" i="29"/>
  <c r="Q6069" i="29"/>
  <c r="P6069" i="29"/>
  <c r="N6069" i="29"/>
  <c r="G6069" i="29"/>
  <c r="F6069" i="29"/>
  <c r="Q6068" i="29"/>
  <c r="P6068" i="29"/>
  <c r="N6068" i="29"/>
  <c r="G6068" i="29"/>
  <c r="F6068" i="29"/>
  <c r="Q6063" i="29"/>
  <c r="P6063" i="29"/>
  <c r="N6063" i="29"/>
  <c r="G6063" i="29"/>
  <c r="F6063" i="29"/>
  <c r="Q6060" i="29"/>
  <c r="P6060" i="29"/>
  <c r="N6060" i="29"/>
  <c r="G6060" i="29"/>
  <c r="F6060" i="29"/>
  <c r="Q6059" i="29"/>
  <c r="P6059" i="29"/>
  <c r="N6059" i="29"/>
  <c r="G6059" i="29"/>
  <c r="F6059" i="29"/>
  <c r="Q6058" i="29"/>
  <c r="S6058" i="29"/>
  <c r="P6058" i="29"/>
  <c r="N6058" i="29"/>
  <c r="G6058" i="29"/>
  <c r="F6058" i="29"/>
  <c r="F6057" i="29"/>
  <c r="G6057" i="29"/>
  <c r="Q6057" i="29"/>
  <c r="T6057" i="29"/>
  <c r="P6057" i="29"/>
  <c r="N6057" i="29"/>
  <c r="R6056" i="29"/>
  <c r="Q6056" i="29"/>
  <c r="T6056" i="29"/>
  <c r="P6056" i="29"/>
  <c r="N6056" i="29"/>
  <c r="G6056" i="29"/>
  <c r="F6056" i="29"/>
  <c r="Q6055" i="29"/>
  <c r="P6055" i="29"/>
  <c r="N6055" i="29"/>
  <c r="G6055" i="29"/>
  <c r="F6055" i="29"/>
  <c r="Q6054" i="29"/>
  <c r="P6054" i="29"/>
  <c r="N6054" i="29"/>
  <c r="G6054" i="29"/>
  <c r="F6054" i="29"/>
  <c r="Q6053" i="29"/>
  <c r="P6053" i="29"/>
  <c r="N6053" i="29"/>
  <c r="G6053" i="29"/>
  <c r="F6053" i="29"/>
  <c r="Q6052" i="29"/>
  <c r="P6052" i="29"/>
  <c r="N6052" i="29"/>
  <c r="G6052" i="29"/>
  <c r="F6052" i="29"/>
  <c r="Q6051" i="29"/>
  <c r="P6051" i="29"/>
  <c r="N6051" i="29"/>
  <c r="G6051" i="29"/>
  <c r="F6051" i="29"/>
  <c r="Q6050" i="29"/>
  <c r="P6050" i="29"/>
  <c r="N6050" i="29"/>
  <c r="G6050" i="29"/>
  <c r="F6050" i="29"/>
  <c r="Q6049" i="29"/>
  <c r="P6049" i="29"/>
  <c r="N6049" i="29"/>
  <c r="G6049" i="29"/>
  <c r="F6049" i="29"/>
  <c r="Q6048" i="29"/>
  <c r="P6048" i="29"/>
  <c r="N6048" i="29"/>
  <c r="G6048" i="29"/>
  <c r="F6048" i="29"/>
  <c r="Q6045" i="29"/>
  <c r="T6045" i="29"/>
  <c r="P6045" i="29"/>
  <c r="N6045" i="29"/>
  <c r="G6045" i="29"/>
  <c r="F6045" i="29"/>
  <c r="W6042" i="29"/>
  <c r="N6042" i="29"/>
  <c r="F676" i="31"/>
  <c r="F677" i="31"/>
  <c r="F678" i="31"/>
  <c r="F679" i="31"/>
  <c r="G679" i="31"/>
  <c r="H679" i="31"/>
  <c r="F680" i="31"/>
  <c r="G680" i="31"/>
  <c r="H680" i="31"/>
  <c r="F683" i="31"/>
  <c r="G683" i="31"/>
  <c r="H683" i="31"/>
  <c r="F684" i="31"/>
  <c r="G684" i="31"/>
  <c r="H684" i="31"/>
  <c r="F685" i="31"/>
  <c r="F686" i="31"/>
  <c r="F687" i="31"/>
  <c r="F688" i="31"/>
  <c r="F689" i="31"/>
  <c r="R6032" i="29"/>
  <c r="F495" i="31"/>
  <c r="F494" i="31"/>
  <c r="F493" i="31"/>
  <c r="Q6028" i="29"/>
  <c r="N5996" i="29"/>
  <c r="N5997" i="29"/>
  <c r="F767" i="31"/>
  <c r="F766" i="31"/>
  <c r="F765" i="31"/>
  <c r="F764" i="31"/>
  <c r="G764" i="31"/>
  <c r="H764" i="31"/>
  <c r="N6040" i="29"/>
  <c r="N6039" i="29"/>
  <c r="F6041" i="29"/>
  <c r="G6041" i="29"/>
  <c r="Q6041" i="29"/>
  <c r="P6041" i="29"/>
  <c r="F6040" i="29"/>
  <c r="G6040" i="29"/>
  <c r="F6039" i="29"/>
  <c r="G6039" i="29"/>
  <c r="Q6040" i="29"/>
  <c r="T6040" i="29"/>
  <c r="Q6039" i="29"/>
  <c r="P6040" i="29"/>
  <c r="P6039" i="29"/>
  <c r="F6038" i="29"/>
  <c r="G6038" i="29"/>
  <c r="Q6038" i="29"/>
  <c r="N6038" i="29"/>
  <c r="N6037" i="29"/>
  <c r="N6036" i="29"/>
  <c r="N6035" i="29"/>
  <c r="N6034" i="29"/>
  <c r="N6033" i="29"/>
  <c r="P6038" i="29"/>
  <c r="F6037" i="29"/>
  <c r="G6037" i="29"/>
  <c r="F6036" i="29"/>
  <c r="G6036" i="29"/>
  <c r="F6035" i="29"/>
  <c r="G6035" i="29"/>
  <c r="Q6037" i="29"/>
  <c r="Q6036" i="29"/>
  <c r="Q6035" i="29"/>
  <c r="P6037" i="29"/>
  <c r="P6036" i="29"/>
  <c r="P6035" i="29"/>
  <c r="F6034" i="29"/>
  <c r="G6034" i="29"/>
  <c r="F6033" i="29"/>
  <c r="G6033" i="29"/>
  <c r="Q6034" i="29"/>
  <c r="Q6033" i="29"/>
  <c r="P6034" i="29"/>
  <c r="P6033" i="29"/>
  <c r="F6032" i="29"/>
  <c r="G6032" i="29"/>
  <c r="Q6032" i="29"/>
  <c r="T6032" i="29"/>
  <c r="P6032" i="29"/>
  <c r="N6032" i="29"/>
  <c r="F6031" i="29"/>
  <c r="G6031" i="29"/>
  <c r="Q6031" i="29"/>
  <c r="P6031" i="29"/>
  <c r="N6031" i="29"/>
  <c r="F6030" i="29"/>
  <c r="G6030" i="29"/>
  <c r="Q6030" i="29"/>
  <c r="P6030" i="29"/>
  <c r="N6030" i="29"/>
  <c r="Q6029" i="29"/>
  <c r="P6029" i="29"/>
  <c r="N6029" i="29"/>
  <c r="G6029" i="29"/>
  <c r="F6029" i="29"/>
  <c r="F6028" i="29"/>
  <c r="G6028" i="29"/>
  <c r="P6028" i="29"/>
  <c r="N6028" i="29"/>
  <c r="Q6027" i="29"/>
  <c r="P6027" i="29"/>
  <c r="N6027" i="29"/>
  <c r="G6027" i="29"/>
  <c r="F6027" i="29"/>
  <c r="Q6026" i="29"/>
  <c r="P6026" i="29"/>
  <c r="N6026" i="29"/>
  <c r="G6026" i="29"/>
  <c r="F6026" i="29"/>
  <c r="Q6025" i="29"/>
  <c r="S6025" i="29"/>
  <c r="P6025" i="29"/>
  <c r="N6025" i="29"/>
  <c r="G6025" i="29"/>
  <c r="F6025" i="29"/>
  <c r="Q6024" i="29"/>
  <c r="P6024" i="29"/>
  <c r="N6024" i="29"/>
  <c r="G6024" i="29"/>
  <c r="F6024" i="29"/>
  <c r="Q6023" i="29"/>
  <c r="S6023" i="29"/>
  <c r="P6023" i="29"/>
  <c r="N6023" i="29"/>
  <c r="G6023" i="29"/>
  <c r="F6023" i="29"/>
  <c r="Q6022" i="29"/>
  <c r="S6022" i="29"/>
  <c r="P6022" i="29"/>
  <c r="N6022" i="29"/>
  <c r="G6022" i="29"/>
  <c r="F6022" i="29"/>
  <c r="Q6021" i="29"/>
  <c r="P6021" i="29"/>
  <c r="N6021" i="29"/>
  <c r="G6021" i="29"/>
  <c r="F6021" i="29"/>
  <c r="Q6020" i="29"/>
  <c r="P6020" i="29"/>
  <c r="N6020" i="29"/>
  <c r="G6020" i="29"/>
  <c r="F6020" i="29"/>
  <c r="Q6019" i="29"/>
  <c r="P6019" i="29"/>
  <c r="N6019" i="29"/>
  <c r="G6019" i="29"/>
  <c r="F6019" i="29"/>
  <c r="Q6018" i="29"/>
  <c r="P6018" i="29"/>
  <c r="N6018" i="29"/>
  <c r="G6018" i="29"/>
  <c r="F6018" i="29"/>
  <c r="Q6017" i="29"/>
  <c r="S6017" i="29"/>
  <c r="P6017" i="29"/>
  <c r="N6017" i="29"/>
  <c r="G6017" i="29"/>
  <c r="F6017" i="29"/>
  <c r="Q6016" i="29"/>
  <c r="P6016" i="29"/>
  <c r="N6016" i="29"/>
  <c r="G6016" i="29"/>
  <c r="F6016" i="29"/>
  <c r="Q6015" i="29"/>
  <c r="S6015" i="29"/>
  <c r="P6015" i="29"/>
  <c r="N6015" i="29"/>
  <c r="G6015" i="29"/>
  <c r="F6015" i="29"/>
  <c r="Q6014" i="29"/>
  <c r="P6014" i="29"/>
  <c r="N6014" i="29"/>
  <c r="G6014" i="29"/>
  <c r="F6014" i="29"/>
  <c r="Q6013" i="29"/>
  <c r="S6013" i="29"/>
  <c r="P6013" i="29"/>
  <c r="N6013" i="29"/>
  <c r="G6013" i="29"/>
  <c r="F6013" i="29"/>
  <c r="Q6012" i="29"/>
  <c r="P6012" i="29"/>
  <c r="N6012" i="29"/>
  <c r="G6012" i="29"/>
  <c r="F6012" i="29"/>
  <c r="Q6011" i="29"/>
  <c r="P6011" i="29"/>
  <c r="N6011" i="29"/>
  <c r="G6011" i="29"/>
  <c r="F6011" i="29"/>
  <c r="Q6010" i="29"/>
  <c r="T6010" i="29"/>
  <c r="P6010" i="29"/>
  <c r="N6010" i="29"/>
  <c r="G6010" i="29"/>
  <c r="F6010" i="29"/>
  <c r="F6009" i="29"/>
  <c r="G6009" i="29"/>
  <c r="Q6009" i="29"/>
  <c r="N6009" i="29"/>
  <c r="P6009" i="29"/>
  <c r="Q6008" i="29"/>
  <c r="P6008" i="29"/>
  <c r="N6008" i="29"/>
  <c r="G6008" i="29"/>
  <c r="F6008" i="29"/>
  <c r="Q6007" i="29"/>
  <c r="P6007" i="29"/>
  <c r="N6007" i="29"/>
  <c r="G6007" i="29"/>
  <c r="F6007" i="29"/>
  <c r="Q6005" i="29"/>
  <c r="P6005" i="29"/>
  <c r="N6005" i="29"/>
  <c r="G6005" i="29"/>
  <c r="F6005" i="29"/>
  <c r="R6006" i="29"/>
  <c r="Q6006" i="29"/>
  <c r="T6006" i="29"/>
  <c r="P6006" i="29"/>
  <c r="N6006" i="29"/>
  <c r="G6006" i="29"/>
  <c r="F6006" i="29"/>
  <c r="Q6004" i="29"/>
  <c r="P6004" i="29"/>
  <c r="N6004" i="29"/>
  <c r="G6004" i="29"/>
  <c r="F6004" i="29"/>
  <c r="Q6003" i="29"/>
  <c r="P6003" i="29"/>
  <c r="N6003" i="29"/>
  <c r="G6003" i="29"/>
  <c r="F6003" i="29"/>
  <c r="Q6002" i="29"/>
  <c r="S6002" i="29"/>
  <c r="P6002" i="29"/>
  <c r="N6002" i="29"/>
  <c r="G6002" i="29"/>
  <c r="F6002" i="29"/>
  <c r="Q6001" i="29"/>
  <c r="P6001" i="29"/>
  <c r="N6001" i="29"/>
  <c r="G6001" i="29"/>
  <c r="F6001" i="29"/>
  <c r="Q6000" i="29"/>
  <c r="T6000" i="29"/>
  <c r="P6000" i="29"/>
  <c r="N6000" i="29"/>
  <c r="G6000" i="29"/>
  <c r="F6000" i="29"/>
  <c r="Q5999" i="29"/>
  <c r="P5999" i="29"/>
  <c r="N5999" i="29"/>
  <c r="G5999" i="29"/>
  <c r="F5999" i="29"/>
  <c r="Q5998" i="29"/>
  <c r="P5998" i="29"/>
  <c r="N5998" i="29"/>
  <c r="G5998" i="29"/>
  <c r="F5998" i="29"/>
  <c r="F5997" i="29"/>
  <c r="G5997" i="29"/>
  <c r="F5996" i="29"/>
  <c r="G5996" i="29"/>
  <c r="Q5997" i="29"/>
  <c r="Q5996" i="29"/>
  <c r="P5997" i="29"/>
  <c r="P5996" i="29"/>
  <c r="F5995" i="29"/>
  <c r="G5995" i="29"/>
  <c r="Q5995" i="29"/>
  <c r="T5995" i="29"/>
  <c r="P5995" i="29"/>
  <c r="N5995" i="29"/>
  <c r="F5994" i="29"/>
  <c r="G5994" i="29"/>
  <c r="Q5994" i="29"/>
  <c r="P5994" i="29"/>
  <c r="N5994" i="29"/>
  <c r="Q5993" i="29"/>
  <c r="P5993" i="29"/>
  <c r="N5993" i="29"/>
  <c r="G5993" i="29"/>
  <c r="F5993" i="29"/>
  <c r="F5992" i="29"/>
  <c r="G5992" i="29"/>
  <c r="Q5992" i="29"/>
  <c r="P5992" i="29"/>
  <c r="N5992" i="29"/>
  <c r="F5991" i="29"/>
  <c r="G5991" i="29"/>
  <c r="Q5991" i="29"/>
  <c r="P5991" i="29"/>
  <c r="N5991" i="29"/>
  <c r="Q5990" i="29"/>
  <c r="P5990" i="29"/>
  <c r="N5990" i="29"/>
  <c r="G5990" i="29"/>
  <c r="F5990" i="29"/>
  <c r="Q5989" i="29"/>
  <c r="P5989" i="29"/>
  <c r="N5989" i="29"/>
  <c r="G5989" i="29"/>
  <c r="F5989" i="29"/>
  <c r="Q5988" i="29"/>
  <c r="S5988" i="29"/>
  <c r="P5988" i="29"/>
  <c r="N5988" i="29"/>
  <c r="G5988" i="29"/>
  <c r="F5988" i="29"/>
  <c r="Q5987" i="29"/>
  <c r="P5987" i="29"/>
  <c r="N5987" i="29"/>
  <c r="G5987" i="29"/>
  <c r="F5987" i="29"/>
  <c r="F5986" i="29"/>
  <c r="G5986" i="29"/>
  <c r="Q5986" i="29"/>
  <c r="P5986" i="29"/>
  <c r="N5986" i="29"/>
  <c r="Q5985" i="29"/>
  <c r="P5985" i="29"/>
  <c r="N5985" i="29"/>
  <c r="G5985" i="29"/>
  <c r="F5985" i="29"/>
  <c r="Q5984" i="29"/>
  <c r="P5984" i="29"/>
  <c r="N5984" i="29"/>
  <c r="G5984" i="29"/>
  <c r="F5984" i="29"/>
  <c r="Q5983" i="29"/>
  <c r="P5983" i="29"/>
  <c r="N5983" i="29"/>
  <c r="G5983" i="29"/>
  <c r="F5983" i="29"/>
  <c r="Q5976" i="29"/>
  <c r="T5976" i="29"/>
  <c r="P5976" i="29"/>
  <c r="N5976" i="29"/>
  <c r="G5976" i="29"/>
  <c r="F5976" i="29"/>
  <c r="Q5975" i="29"/>
  <c r="P5975" i="29"/>
  <c r="N5975" i="29"/>
  <c r="G5975" i="29"/>
  <c r="F5975" i="29"/>
  <c r="Q5974" i="29"/>
  <c r="P5974" i="29"/>
  <c r="N5974" i="29"/>
  <c r="G5974" i="29"/>
  <c r="F5974" i="29"/>
  <c r="Q5973" i="29"/>
  <c r="P5973" i="29"/>
  <c r="N5973" i="29"/>
  <c r="G5973" i="29"/>
  <c r="F5973" i="29"/>
  <c r="Q5972" i="29"/>
  <c r="P5972" i="29"/>
  <c r="N5972" i="29"/>
  <c r="G5972" i="29"/>
  <c r="F5972" i="29"/>
  <c r="Q5971" i="29"/>
  <c r="P5971" i="29"/>
  <c r="N5971" i="29"/>
  <c r="G5971" i="29"/>
  <c r="F5971" i="29"/>
  <c r="Q5970" i="29"/>
  <c r="P5970" i="29"/>
  <c r="N5970" i="29"/>
  <c r="G5970" i="29"/>
  <c r="F5970" i="29"/>
  <c r="Q5969" i="29"/>
  <c r="P5969" i="29"/>
  <c r="N5969" i="29"/>
  <c r="G5969" i="29"/>
  <c r="F5969" i="29"/>
  <c r="Q5968" i="29"/>
  <c r="P5968" i="29"/>
  <c r="N5968" i="29"/>
  <c r="G5968" i="29"/>
  <c r="F5968" i="29"/>
  <c r="Q5967" i="29"/>
  <c r="P5967" i="29"/>
  <c r="N5967" i="29"/>
  <c r="G5967" i="29"/>
  <c r="F5967" i="29"/>
  <c r="Q5966" i="29"/>
  <c r="P5966" i="29"/>
  <c r="N5966" i="29"/>
  <c r="G5966" i="29"/>
  <c r="F5966" i="29"/>
  <c r="Q5965" i="29"/>
  <c r="P5965" i="29"/>
  <c r="N5965" i="29"/>
  <c r="G5965" i="29"/>
  <c r="F5965" i="29"/>
  <c r="Q5964" i="29"/>
  <c r="P5964" i="29"/>
  <c r="N5964" i="29"/>
  <c r="G5964" i="29"/>
  <c r="F5964" i="29"/>
  <c r="W5963" i="29"/>
  <c r="N5963" i="29"/>
  <c r="F763" i="31"/>
  <c r="J763" i="31"/>
  <c r="G763" i="31"/>
  <c r="H763" i="31"/>
  <c r="R5961" i="29"/>
  <c r="P5962" i="29"/>
  <c r="P5961" i="29"/>
  <c r="F492" i="31"/>
  <c r="F491" i="31"/>
  <c r="F490" i="31"/>
  <c r="F489" i="31"/>
  <c r="F488" i="31"/>
  <c r="F487" i="31"/>
  <c r="F486" i="31"/>
  <c r="G486" i="31"/>
  <c r="H486" i="31"/>
  <c r="F485" i="31"/>
  <c r="G485" i="31"/>
  <c r="H485" i="31"/>
  <c r="N5953" i="29"/>
  <c r="N5952" i="29"/>
  <c r="N5951" i="29"/>
  <c r="N5950" i="29"/>
  <c r="N5949" i="29"/>
  <c r="N5946" i="29"/>
  <c r="N5947" i="29"/>
  <c r="N5956" i="29"/>
  <c r="F5962" i="29"/>
  <c r="G5962" i="29"/>
  <c r="Q5962" i="29"/>
  <c r="N5962" i="29"/>
  <c r="Q5961" i="29"/>
  <c r="S5961" i="29"/>
  <c r="N5961" i="29"/>
  <c r="G5961" i="29"/>
  <c r="F5961" i="29"/>
  <c r="Q5960" i="29"/>
  <c r="P5960" i="29"/>
  <c r="N5960" i="29"/>
  <c r="G5960" i="29"/>
  <c r="F5960" i="29"/>
  <c r="Q5959" i="29"/>
  <c r="P5959" i="29"/>
  <c r="N5959" i="29"/>
  <c r="G5959" i="29"/>
  <c r="F5959" i="29"/>
  <c r="Q5958" i="29"/>
  <c r="P5958" i="29"/>
  <c r="N5958" i="29"/>
  <c r="G5958" i="29"/>
  <c r="F5958" i="29"/>
  <c r="Q5957" i="29"/>
  <c r="T5957" i="29"/>
  <c r="P5957" i="29"/>
  <c r="N5957" i="29"/>
  <c r="G5957" i="29"/>
  <c r="F5957" i="29"/>
  <c r="Q5956" i="29"/>
  <c r="S5956" i="29"/>
  <c r="P5956" i="29"/>
  <c r="G5956" i="29"/>
  <c r="F5956" i="29"/>
  <c r="Q5955" i="29"/>
  <c r="P5955" i="29"/>
  <c r="N5955" i="29"/>
  <c r="G5955" i="29"/>
  <c r="F5955" i="29"/>
  <c r="Q5954" i="29"/>
  <c r="P5954" i="29"/>
  <c r="N5954" i="29"/>
  <c r="G5954" i="29"/>
  <c r="F5954" i="29"/>
  <c r="F5953" i="29"/>
  <c r="G5953" i="29"/>
  <c r="Q5953" i="29"/>
  <c r="P5953" i="29"/>
  <c r="F5952" i="29"/>
  <c r="G5952" i="29"/>
  <c r="Q5952" i="29"/>
  <c r="P5952" i="29"/>
  <c r="G5951" i="29"/>
  <c r="F5951" i="29"/>
  <c r="F5950" i="29"/>
  <c r="G5950" i="29"/>
  <c r="Q5951" i="29"/>
  <c r="Q5950" i="29"/>
  <c r="P5951" i="29"/>
  <c r="P5950" i="29"/>
  <c r="F5949" i="29"/>
  <c r="G5949" i="29"/>
  <c r="Q5949" i="29"/>
  <c r="P5949" i="29"/>
  <c r="Q5948" i="29"/>
  <c r="P5948" i="29"/>
  <c r="N5948" i="29"/>
  <c r="G5948" i="29"/>
  <c r="F5948" i="29"/>
  <c r="F5947" i="29"/>
  <c r="G5947" i="29"/>
  <c r="Q5947" i="29"/>
  <c r="P5947" i="29"/>
  <c r="F5946" i="29"/>
  <c r="G5946" i="29"/>
  <c r="Q5946" i="29"/>
  <c r="T5946" i="29"/>
  <c r="P5946" i="29"/>
  <c r="F5945" i="29"/>
  <c r="G5945" i="29"/>
  <c r="Q5945" i="29"/>
  <c r="P5945" i="29"/>
  <c r="N5945" i="29"/>
  <c r="F5944" i="29"/>
  <c r="G5944" i="29"/>
  <c r="Q5944" i="29"/>
  <c r="P5944" i="29"/>
  <c r="N5944" i="29"/>
  <c r="F5943" i="29"/>
  <c r="G5943" i="29"/>
  <c r="Q5943" i="29"/>
  <c r="P5943" i="29"/>
  <c r="N5943" i="29"/>
  <c r="Q5942" i="29"/>
  <c r="S5942" i="29"/>
  <c r="P5942" i="29"/>
  <c r="N5942" i="29"/>
  <c r="G5942" i="29"/>
  <c r="F5942" i="29"/>
  <c r="Q5941" i="29"/>
  <c r="P5941" i="29"/>
  <c r="N5941" i="29"/>
  <c r="G5941" i="29"/>
  <c r="F5941" i="29"/>
  <c r="Q5940" i="29"/>
  <c r="P5940" i="29"/>
  <c r="N5940" i="29"/>
  <c r="G5940" i="29"/>
  <c r="F5940" i="29"/>
  <c r="Q5939" i="29"/>
  <c r="S5939" i="29"/>
  <c r="P5939" i="29"/>
  <c r="N5939" i="29"/>
  <c r="G5939" i="29"/>
  <c r="F5939" i="29"/>
  <c r="Q5938" i="29"/>
  <c r="P5938" i="29"/>
  <c r="N5938" i="29"/>
  <c r="G5938" i="29"/>
  <c r="F5938" i="29"/>
  <c r="Q5937" i="29"/>
  <c r="S5937" i="29"/>
  <c r="P5937" i="29"/>
  <c r="N5937" i="29"/>
  <c r="G5937" i="29"/>
  <c r="F5937" i="29"/>
  <c r="Q5936" i="29"/>
  <c r="P5936" i="29"/>
  <c r="N5936" i="29"/>
  <c r="G5936" i="29"/>
  <c r="F5936" i="29"/>
  <c r="Q5935" i="29"/>
  <c r="P5935" i="29"/>
  <c r="N5935" i="29"/>
  <c r="G5935" i="29"/>
  <c r="F5935" i="29"/>
  <c r="Q5934" i="29"/>
  <c r="P5934" i="29"/>
  <c r="N5934" i="29"/>
  <c r="G5934" i="29"/>
  <c r="F5934" i="29"/>
  <c r="Q5933" i="29"/>
  <c r="S5933" i="29"/>
  <c r="P5933" i="29"/>
  <c r="N5933" i="29"/>
  <c r="G5933" i="29"/>
  <c r="F5933" i="29"/>
  <c r="Q5932" i="29"/>
  <c r="P5932" i="29"/>
  <c r="N5932" i="29"/>
  <c r="G5932" i="29"/>
  <c r="F5932" i="29"/>
  <c r="Q5931" i="29"/>
  <c r="P5931" i="29"/>
  <c r="N5931" i="29"/>
  <c r="G5931" i="29"/>
  <c r="F5931" i="29"/>
  <c r="Q5930" i="29"/>
  <c r="P5930" i="29"/>
  <c r="N5930" i="29"/>
  <c r="G5930" i="29"/>
  <c r="F5930" i="29"/>
  <c r="Q5929" i="29"/>
  <c r="P5929" i="29"/>
  <c r="N5929" i="29"/>
  <c r="G5929" i="29"/>
  <c r="F5929" i="29"/>
  <c r="Q5928" i="29"/>
  <c r="P5928" i="29"/>
  <c r="N5928" i="29"/>
  <c r="G5928" i="29"/>
  <c r="F5928" i="29"/>
  <c r="Q5927" i="29"/>
  <c r="S5927" i="29"/>
  <c r="P5927" i="29"/>
  <c r="N5927" i="29"/>
  <c r="G5927" i="29"/>
  <c r="F5927" i="29"/>
  <c r="Q5926" i="29"/>
  <c r="P5926" i="29"/>
  <c r="N5926" i="29"/>
  <c r="G5926" i="29"/>
  <c r="F5926" i="29"/>
  <c r="Q5925" i="29"/>
  <c r="P5925" i="29"/>
  <c r="N5925" i="29"/>
  <c r="G5925" i="29"/>
  <c r="F5925" i="29"/>
  <c r="Q5924" i="29"/>
  <c r="P5924" i="29"/>
  <c r="N5924" i="29"/>
  <c r="G5924" i="29"/>
  <c r="F5924" i="29"/>
  <c r="Q5923" i="29"/>
  <c r="P5923" i="29"/>
  <c r="N5923" i="29"/>
  <c r="G5923" i="29"/>
  <c r="F5923" i="29"/>
  <c r="Q5922" i="29"/>
  <c r="P5922" i="29"/>
  <c r="N5922" i="29"/>
  <c r="G5922" i="29"/>
  <c r="F5922" i="29"/>
  <c r="Q5921" i="29"/>
  <c r="P5921" i="29"/>
  <c r="N5921" i="29"/>
  <c r="G5921" i="29"/>
  <c r="F5921" i="29"/>
  <c r="Q5920" i="29"/>
  <c r="P5920" i="29"/>
  <c r="N5920" i="29"/>
  <c r="G5920" i="29"/>
  <c r="F5920" i="29"/>
  <c r="Q5919" i="29"/>
  <c r="P5919" i="29"/>
  <c r="N5919" i="29"/>
  <c r="G5919" i="29"/>
  <c r="F5919" i="29"/>
  <c r="Q5918" i="29"/>
  <c r="P5918" i="29"/>
  <c r="N5918" i="29"/>
  <c r="G5918" i="29"/>
  <c r="F5918" i="29"/>
  <c r="Q5917" i="29"/>
  <c r="S5917" i="29"/>
  <c r="P5917" i="29"/>
  <c r="N5917" i="29"/>
  <c r="G5917" i="29"/>
  <c r="F5917" i="29"/>
  <c r="Q5916" i="29"/>
  <c r="P5916" i="29"/>
  <c r="N5916" i="29"/>
  <c r="G5916" i="29"/>
  <c r="F5916" i="29"/>
  <c r="Q5915" i="29"/>
  <c r="P5915" i="29"/>
  <c r="N5915" i="29"/>
  <c r="G5915" i="29"/>
  <c r="F5915" i="29"/>
  <c r="Q5914" i="29"/>
  <c r="P5914" i="29"/>
  <c r="N5914" i="29"/>
  <c r="G5914" i="29"/>
  <c r="F5914" i="29"/>
  <c r="Q5913" i="29"/>
  <c r="T5913" i="29"/>
  <c r="P5913" i="29"/>
  <c r="N5913" i="29"/>
  <c r="G5913" i="29"/>
  <c r="F5913" i="29"/>
  <c r="Q5912" i="29"/>
  <c r="S5912" i="29"/>
  <c r="P5912" i="29"/>
  <c r="N5912" i="29"/>
  <c r="G5912" i="29"/>
  <c r="F5912" i="29"/>
  <c r="Q5911" i="29"/>
  <c r="P5911" i="29"/>
  <c r="N5911" i="29"/>
  <c r="G5911" i="29"/>
  <c r="F5911" i="29"/>
  <c r="Q5910" i="29"/>
  <c r="P5910" i="29"/>
  <c r="N5910" i="29"/>
  <c r="G5910" i="29"/>
  <c r="F5910" i="29"/>
  <c r="Q5909" i="29"/>
  <c r="P5909" i="29"/>
  <c r="N5909" i="29"/>
  <c r="G5909" i="29"/>
  <c r="F5909" i="29"/>
  <c r="Q5908" i="29"/>
  <c r="P5908" i="29"/>
  <c r="N5908" i="29"/>
  <c r="G5908" i="29"/>
  <c r="F5908" i="29"/>
  <c r="Q5907" i="29"/>
  <c r="P5907" i="29"/>
  <c r="N5907" i="29"/>
  <c r="G5907" i="29"/>
  <c r="F5907" i="29"/>
  <c r="Q5906" i="29"/>
  <c r="P5906" i="29"/>
  <c r="N5906" i="29"/>
  <c r="G5906" i="29"/>
  <c r="F5906" i="29"/>
  <c r="Q5905" i="29"/>
  <c r="S5905" i="29"/>
  <c r="P5905" i="29"/>
  <c r="N5905" i="29"/>
  <c r="G5905" i="29"/>
  <c r="F5905" i="29"/>
  <c r="Q5904" i="29"/>
  <c r="P5904" i="29"/>
  <c r="N5904" i="29"/>
  <c r="G5904" i="29"/>
  <c r="F5904" i="29"/>
  <c r="Q5903" i="29"/>
  <c r="P5903" i="29"/>
  <c r="N5903" i="29"/>
  <c r="G5903" i="29"/>
  <c r="F5903" i="29"/>
  <c r="Q5902" i="29"/>
  <c r="P5902" i="29"/>
  <c r="N5902" i="29"/>
  <c r="G5902" i="29"/>
  <c r="F5902" i="29"/>
  <c r="Q5901" i="29"/>
  <c r="P5901" i="29"/>
  <c r="N5901" i="29"/>
  <c r="G5901" i="29"/>
  <c r="F5901" i="29"/>
  <c r="F5900" i="29"/>
  <c r="G5900" i="29"/>
  <c r="Q5900" i="29"/>
  <c r="S5900" i="29"/>
  <c r="P5900" i="29"/>
  <c r="N5900" i="29"/>
  <c r="F5899" i="29"/>
  <c r="G5899" i="29"/>
  <c r="Q5899" i="29"/>
  <c r="P5899" i="29"/>
  <c r="N5899" i="29"/>
  <c r="Q5898" i="29"/>
  <c r="P5898" i="29"/>
  <c r="N5898" i="29"/>
  <c r="G5898" i="29"/>
  <c r="F5898" i="29"/>
  <c r="Q5897" i="29"/>
  <c r="P5897" i="29"/>
  <c r="N5897" i="29"/>
  <c r="G5897" i="29"/>
  <c r="F5897" i="29"/>
  <c r="Q5896" i="29"/>
  <c r="P5896" i="29"/>
  <c r="N5896" i="29"/>
  <c r="G5896" i="29"/>
  <c r="F5896" i="29"/>
  <c r="Q5895" i="29"/>
  <c r="P5895" i="29"/>
  <c r="N5895" i="29"/>
  <c r="G5895" i="29"/>
  <c r="F5895" i="29"/>
  <c r="Q5894" i="29"/>
  <c r="P5894" i="29"/>
  <c r="N5894" i="29"/>
  <c r="G5894" i="29"/>
  <c r="F5894" i="29"/>
  <c r="Q5893" i="29"/>
  <c r="P5893" i="29"/>
  <c r="N5893" i="29"/>
  <c r="G5893" i="29"/>
  <c r="F5893" i="29"/>
  <c r="Q5892" i="29"/>
  <c r="T5892" i="29"/>
  <c r="P5892" i="29"/>
  <c r="N5892" i="29"/>
  <c r="G5892" i="29"/>
  <c r="F5892" i="29"/>
  <c r="Q5891" i="29"/>
  <c r="P5891" i="29"/>
  <c r="N5891" i="29"/>
  <c r="G5891" i="29"/>
  <c r="F5891" i="29"/>
  <c r="Q5890" i="29"/>
  <c r="P5890" i="29"/>
  <c r="N5890" i="29"/>
  <c r="G5890" i="29"/>
  <c r="F5890" i="29"/>
  <c r="Q5889" i="29"/>
  <c r="S5889" i="29"/>
  <c r="P5889" i="29"/>
  <c r="N5889" i="29"/>
  <c r="G5889" i="29"/>
  <c r="F5889" i="29"/>
  <c r="Q5888" i="29"/>
  <c r="P5888" i="29"/>
  <c r="N5888" i="29"/>
  <c r="G5888" i="29"/>
  <c r="F5888" i="29"/>
  <c r="Q5887" i="29"/>
  <c r="S5887" i="29"/>
  <c r="P5887" i="29"/>
  <c r="N5887" i="29"/>
  <c r="G5887" i="29"/>
  <c r="F5887" i="29"/>
  <c r="W5886" i="29"/>
  <c r="N5886" i="29"/>
  <c r="F484" i="31"/>
  <c r="F483" i="31"/>
  <c r="F482" i="31"/>
  <c r="F481" i="31"/>
  <c r="F480" i="31"/>
  <c r="F479" i="31"/>
  <c r="R5856" i="29"/>
  <c r="R5855" i="29"/>
  <c r="Q5820" i="29"/>
  <c r="S5820" i="29"/>
  <c r="P5820" i="29"/>
  <c r="N5860" i="29"/>
  <c r="N5856" i="29"/>
  <c r="N5855" i="29"/>
  <c r="N5854" i="29"/>
  <c r="N5820" i="29"/>
  <c r="G5875" i="29"/>
  <c r="F5875" i="29"/>
  <c r="G5874" i="29"/>
  <c r="F5874" i="29"/>
  <c r="G5873" i="29"/>
  <c r="F5873" i="29"/>
  <c r="F5885" i="29"/>
  <c r="G5885" i="29"/>
  <c r="Q5885" i="29"/>
  <c r="P5885" i="29"/>
  <c r="N5885" i="29"/>
  <c r="F5884" i="29"/>
  <c r="G5884" i="29"/>
  <c r="F5883" i="29"/>
  <c r="G5883" i="29"/>
  <c r="Q5884" i="29"/>
  <c r="Q5883" i="29"/>
  <c r="T5883" i="29"/>
  <c r="P5884" i="29"/>
  <c r="P5883" i="29"/>
  <c r="N5884" i="29"/>
  <c r="N5883" i="29"/>
  <c r="F5882" i="29"/>
  <c r="G5882" i="29"/>
  <c r="F5881" i="29"/>
  <c r="G5881" i="29"/>
  <c r="Q5882" i="29"/>
  <c r="Q5881" i="29"/>
  <c r="P5882" i="29"/>
  <c r="P5881" i="29"/>
  <c r="N5882" i="29"/>
  <c r="N5881" i="29"/>
  <c r="F5880" i="29"/>
  <c r="G5880" i="29"/>
  <c r="Q5880" i="29"/>
  <c r="P5880" i="29"/>
  <c r="N5880" i="29"/>
  <c r="G5879" i="29"/>
  <c r="F5879" i="29"/>
  <c r="G5878" i="29"/>
  <c r="F5878" i="29"/>
  <c r="Q5879" i="29"/>
  <c r="Q5878" i="29"/>
  <c r="P5879" i="29"/>
  <c r="P5878" i="29"/>
  <c r="N5879" i="29"/>
  <c r="N5878" i="29"/>
  <c r="G5820" i="29"/>
  <c r="F5820" i="29"/>
  <c r="Q5877" i="29"/>
  <c r="P5877" i="29"/>
  <c r="N5877" i="29"/>
  <c r="G5877" i="29"/>
  <c r="F5877" i="29"/>
  <c r="Q5876" i="29"/>
  <c r="P5876" i="29"/>
  <c r="N5876" i="29"/>
  <c r="G5876" i="29"/>
  <c r="F5876" i="29"/>
  <c r="Q5875" i="29"/>
  <c r="P5875" i="29"/>
  <c r="N5875" i="29"/>
  <c r="Q5874" i="29"/>
  <c r="S5874" i="29"/>
  <c r="P5874" i="29"/>
  <c r="N5874" i="29"/>
  <c r="Q5873" i="29"/>
  <c r="P5873" i="29"/>
  <c r="N5873" i="29"/>
  <c r="Q5872" i="29"/>
  <c r="P5872" i="29"/>
  <c r="N5872" i="29"/>
  <c r="G5872" i="29"/>
  <c r="F5872" i="29"/>
  <c r="Q5871" i="29"/>
  <c r="P5871" i="29"/>
  <c r="N5871" i="29"/>
  <c r="G5871" i="29"/>
  <c r="F5871" i="29"/>
  <c r="Q5870" i="29"/>
  <c r="P5870" i="29"/>
  <c r="N5870" i="29"/>
  <c r="G5870" i="29"/>
  <c r="F5870" i="29"/>
  <c r="Q5869" i="29"/>
  <c r="P5869" i="29"/>
  <c r="N5869" i="29"/>
  <c r="G5869" i="29"/>
  <c r="F5869" i="29"/>
  <c r="Q5868" i="29"/>
  <c r="T5868" i="29"/>
  <c r="P5868" i="29"/>
  <c r="N5868" i="29"/>
  <c r="G5868" i="29"/>
  <c r="F5868" i="29"/>
  <c r="Q5867" i="29"/>
  <c r="P5867" i="29"/>
  <c r="N5867" i="29"/>
  <c r="G5867" i="29"/>
  <c r="F5867" i="29"/>
  <c r="Q5866" i="29"/>
  <c r="P5866" i="29"/>
  <c r="N5866" i="29"/>
  <c r="G5866" i="29"/>
  <c r="F5866" i="29"/>
  <c r="Q5865" i="29"/>
  <c r="S5865" i="29"/>
  <c r="P5865" i="29"/>
  <c r="N5865" i="29"/>
  <c r="G5865" i="29"/>
  <c r="F5865" i="29"/>
  <c r="Q5864" i="29"/>
  <c r="S5864" i="29"/>
  <c r="P5864" i="29"/>
  <c r="N5864" i="29"/>
  <c r="G5864" i="29"/>
  <c r="F5864" i="29"/>
  <c r="Q5863" i="29"/>
  <c r="P5863" i="29"/>
  <c r="N5863" i="29"/>
  <c r="G5863" i="29"/>
  <c r="F5863" i="29"/>
  <c r="Q5862" i="29"/>
  <c r="P5862" i="29"/>
  <c r="N5862" i="29"/>
  <c r="G5862" i="29"/>
  <c r="F5862" i="29"/>
  <c r="Q5861" i="29"/>
  <c r="P5861" i="29"/>
  <c r="N5861" i="29"/>
  <c r="G5861" i="29"/>
  <c r="F5861" i="29"/>
  <c r="F5860" i="29"/>
  <c r="G5860" i="29"/>
  <c r="F5856" i="29"/>
  <c r="G5856" i="29"/>
  <c r="F5855" i="29"/>
  <c r="G5855" i="29"/>
  <c r="F5854" i="29"/>
  <c r="G5854" i="29"/>
  <c r="F5853" i="29"/>
  <c r="G5853" i="29"/>
  <c r="Q5860" i="29"/>
  <c r="Q5856" i="29"/>
  <c r="Q5855" i="29"/>
  <c r="Q5854" i="29"/>
  <c r="Q5853" i="29"/>
  <c r="N5853" i="29"/>
  <c r="P5860" i="29"/>
  <c r="Q5859" i="29"/>
  <c r="T5859" i="29"/>
  <c r="P5859" i="29"/>
  <c r="N5859" i="29"/>
  <c r="G5859" i="29"/>
  <c r="F5859" i="29"/>
  <c r="Q5858" i="29"/>
  <c r="S5858" i="29"/>
  <c r="P5858" i="29"/>
  <c r="N5858" i="29"/>
  <c r="G5858" i="29"/>
  <c r="F5858" i="29"/>
  <c r="Q5857" i="29"/>
  <c r="P5857" i="29"/>
  <c r="N5857" i="29"/>
  <c r="G5857" i="29"/>
  <c r="F5857" i="29"/>
  <c r="P5856" i="29"/>
  <c r="P5855" i="29"/>
  <c r="P5854" i="29"/>
  <c r="P5853" i="29"/>
  <c r="Q5852" i="29"/>
  <c r="S5852" i="29"/>
  <c r="P5852" i="29"/>
  <c r="N5852" i="29"/>
  <c r="G5852" i="29"/>
  <c r="F5852" i="29"/>
  <c r="N5851" i="29"/>
  <c r="F5851" i="29"/>
  <c r="G5851" i="29"/>
  <c r="Q5851" i="29"/>
  <c r="P5851" i="29"/>
  <c r="Q5850" i="29"/>
  <c r="P5850" i="29"/>
  <c r="N5850" i="29"/>
  <c r="G5850" i="29"/>
  <c r="F5850" i="29"/>
  <c r="N5849" i="29"/>
  <c r="F5849" i="29"/>
  <c r="G5849" i="29"/>
  <c r="Q5849" i="29"/>
  <c r="T5849" i="29"/>
  <c r="P5849" i="29"/>
  <c r="N5848" i="29"/>
  <c r="F5848" i="29"/>
  <c r="G5848" i="29"/>
  <c r="Q5848" i="29"/>
  <c r="P5848" i="29"/>
  <c r="N5847" i="29"/>
  <c r="F5847" i="29"/>
  <c r="G5847" i="29"/>
  <c r="Q5847" i="29"/>
  <c r="P5847" i="29"/>
  <c r="N5846" i="29"/>
  <c r="N5845" i="29"/>
  <c r="N5844" i="29"/>
  <c r="F5846" i="29"/>
  <c r="G5846" i="29"/>
  <c r="F5845" i="29"/>
  <c r="G5845" i="29"/>
  <c r="F5844" i="29"/>
  <c r="G5844" i="29"/>
  <c r="Q5846" i="29"/>
  <c r="Q5845" i="29"/>
  <c r="Q5844" i="29"/>
  <c r="P5846" i="29"/>
  <c r="P5845" i="29"/>
  <c r="P5844" i="29"/>
  <c r="Q5843" i="29"/>
  <c r="S5843" i="29"/>
  <c r="P5843" i="29"/>
  <c r="N5843" i="29"/>
  <c r="G5843" i="29"/>
  <c r="F5843" i="29"/>
  <c r="Q5842" i="29"/>
  <c r="P5842" i="29"/>
  <c r="N5842" i="29"/>
  <c r="G5842" i="29"/>
  <c r="F5842" i="29"/>
  <c r="Q5841" i="29"/>
  <c r="P5841" i="29"/>
  <c r="N5841" i="29"/>
  <c r="G5841" i="29"/>
  <c r="F5841" i="29"/>
  <c r="Q5840" i="29"/>
  <c r="P5840" i="29"/>
  <c r="N5840" i="29"/>
  <c r="G5840" i="29"/>
  <c r="F5840" i="29"/>
  <c r="Q5839" i="29"/>
  <c r="P5839" i="29"/>
  <c r="N5839" i="29"/>
  <c r="G5839" i="29"/>
  <c r="F5839" i="29"/>
  <c r="Q5838" i="29"/>
  <c r="P5838" i="29"/>
  <c r="N5838" i="29"/>
  <c r="G5838" i="29"/>
  <c r="F5838" i="29"/>
  <c r="Q5837" i="29"/>
  <c r="P5837" i="29"/>
  <c r="N5837" i="29"/>
  <c r="G5837" i="29"/>
  <c r="F5837" i="29"/>
  <c r="Q5836" i="29"/>
  <c r="P5836" i="29"/>
  <c r="N5836" i="29"/>
  <c r="G5836" i="29"/>
  <c r="F5836" i="29"/>
  <c r="Q5835" i="29"/>
  <c r="P5835" i="29"/>
  <c r="N5835" i="29"/>
  <c r="G5835" i="29"/>
  <c r="F5835" i="29"/>
  <c r="Q5834" i="29"/>
  <c r="P5834" i="29"/>
  <c r="N5834" i="29"/>
  <c r="G5834" i="29"/>
  <c r="F5834" i="29"/>
  <c r="Q5833" i="29"/>
  <c r="P5833" i="29"/>
  <c r="N5833" i="29"/>
  <c r="G5833" i="29"/>
  <c r="F5833" i="29"/>
  <c r="Q5832" i="29"/>
  <c r="P5832" i="29"/>
  <c r="N5832" i="29"/>
  <c r="G5832" i="29"/>
  <c r="F5832" i="29"/>
  <c r="F5831" i="29"/>
  <c r="G5831" i="29"/>
  <c r="J5831" i="29"/>
  <c r="Q5831" i="29"/>
  <c r="P5831" i="29"/>
  <c r="N5831" i="29"/>
  <c r="Q5830" i="29"/>
  <c r="P5830" i="29"/>
  <c r="N5830" i="29"/>
  <c r="G5830" i="29"/>
  <c r="F5830" i="29"/>
  <c r="Q5829" i="29"/>
  <c r="P5829" i="29"/>
  <c r="N5829" i="29"/>
  <c r="G5829" i="29"/>
  <c r="F5829" i="29"/>
  <c r="Q5826" i="29"/>
  <c r="T5826" i="29"/>
  <c r="P5826" i="29"/>
  <c r="N5826" i="29"/>
  <c r="G5826" i="29"/>
  <c r="F5826" i="29"/>
  <c r="Q5828" i="29"/>
  <c r="S5828" i="29"/>
  <c r="P5828" i="29"/>
  <c r="N5828" i="29"/>
  <c r="G5828" i="29"/>
  <c r="F5828" i="29"/>
  <c r="Q5827" i="29"/>
  <c r="P5827" i="29"/>
  <c r="N5827" i="29"/>
  <c r="G5827" i="29"/>
  <c r="F5827" i="29"/>
  <c r="Q5825" i="29"/>
  <c r="S5825" i="29"/>
  <c r="P5825" i="29"/>
  <c r="N5825" i="29"/>
  <c r="G5825" i="29"/>
  <c r="F5825" i="29"/>
  <c r="Q5824" i="29"/>
  <c r="S5824" i="29"/>
  <c r="P5824" i="29"/>
  <c r="N5824" i="29"/>
  <c r="G5824" i="29"/>
  <c r="F5824" i="29"/>
  <c r="Q5823" i="29"/>
  <c r="P5823" i="29"/>
  <c r="N5823" i="29"/>
  <c r="G5823" i="29"/>
  <c r="F5823" i="29"/>
  <c r="Q5822" i="29"/>
  <c r="T5822" i="29"/>
  <c r="P5822" i="29"/>
  <c r="N5822" i="29"/>
  <c r="G5822" i="29"/>
  <c r="F5822" i="29"/>
  <c r="Q5821" i="29"/>
  <c r="S5821" i="29"/>
  <c r="P5821" i="29"/>
  <c r="N5821" i="29"/>
  <c r="G5821" i="29"/>
  <c r="F5821" i="29"/>
  <c r="W5819" i="29"/>
  <c r="N5819" i="29"/>
  <c r="F478" i="31"/>
  <c r="F477" i="31"/>
  <c r="F476" i="31"/>
  <c r="G476" i="31"/>
  <c r="H476" i="31"/>
  <c r="F475" i="31"/>
  <c r="F474" i="31"/>
  <c r="T5781" i="29"/>
  <c r="S5781" i="29"/>
  <c r="Q5783" i="29"/>
  <c r="S5783" i="29"/>
  <c r="P5781" i="29"/>
  <c r="P5780" i="29"/>
  <c r="Q5814" i="29"/>
  <c r="Q5815" i="29"/>
  <c r="Q5816" i="29"/>
  <c r="S5816" i="29"/>
  <c r="Q5817" i="29"/>
  <c r="Q5818" i="29"/>
  <c r="N5818" i="29"/>
  <c r="N5817" i="29"/>
  <c r="N5816" i="29"/>
  <c r="N5815" i="29"/>
  <c r="N5814" i="29"/>
  <c r="N5813" i="29"/>
  <c r="N5812" i="29"/>
  <c r="N5811" i="29"/>
  <c r="N5810" i="29"/>
  <c r="N5809" i="29"/>
  <c r="N5755" i="29"/>
  <c r="F5818" i="29"/>
  <c r="G5818" i="29"/>
  <c r="F5817" i="29"/>
  <c r="G5817" i="29"/>
  <c r="P5818" i="29"/>
  <c r="P5817" i="29"/>
  <c r="F5816" i="29"/>
  <c r="G5816" i="29"/>
  <c r="P5816" i="29"/>
  <c r="F5815" i="29"/>
  <c r="G5815" i="29"/>
  <c r="P5815" i="29"/>
  <c r="G5814" i="29"/>
  <c r="F5814" i="29"/>
  <c r="G5813" i="29"/>
  <c r="F5813" i="29"/>
  <c r="G5812" i="29"/>
  <c r="F5812" i="29"/>
  <c r="G5811" i="29"/>
  <c r="F5811" i="29"/>
  <c r="G5810" i="29"/>
  <c r="F5810" i="29"/>
  <c r="G5809" i="29"/>
  <c r="F5809" i="29"/>
  <c r="G5808" i="29"/>
  <c r="F5808" i="29"/>
  <c r="G5806" i="29"/>
  <c r="F5806" i="29"/>
  <c r="Q5813" i="29"/>
  <c r="S5813" i="29"/>
  <c r="Q5812" i="29"/>
  <c r="Q5811" i="29"/>
  <c r="P5814" i="29"/>
  <c r="Q5810" i="29"/>
  <c r="Q5809" i="29"/>
  <c r="Q5808" i="29"/>
  <c r="P5813" i="29"/>
  <c r="P5812" i="29"/>
  <c r="P5811" i="29"/>
  <c r="P5810" i="29"/>
  <c r="P5809" i="29"/>
  <c r="P5808" i="29"/>
  <c r="N5808" i="29"/>
  <c r="G5807" i="29"/>
  <c r="F5807" i="29"/>
  <c r="Q5807" i="29"/>
  <c r="P5807" i="29"/>
  <c r="N5807" i="29"/>
  <c r="Q5806" i="29"/>
  <c r="P5806" i="29"/>
  <c r="N5806" i="29"/>
  <c r="Q5805" i="29"/>
  <c r="P5805" i="29"/>
  <c r="N5805" i="29"/>
  <c r="G5805" i="29"/>
  <c r="F5805" i="29"/>
  <c r="Q5804" i="29"/>
  <c r="P5804" i="29"/>
  <c r="N5804" i="29"/>
  <c r="G5804" i="29"/>
  <c r="F5804" i="29"/>
  <c r="Q5803" i="29"/>
  <c r="P5803" i="29"/>
  <c r="N5803" i="29"/>
  <c r="Q5802" i="29"/>
  <c r="P5802" i="29"/>
  <c r="N5802" i="29"/>
  <c r="Q5801" i="29"/>
  <c r="T5801" i="29"/>
  <c r="J5801" i="29"/>
  <c r="K5801" i="29"/>
  <c r="P5801" i="29"/>
  <c r="N5801" i="29"/>
  <c r="Q5800" i="29"/>
  <c r="T5800" i="29"/>
  <c r="P5800" i="29"/>
  <c r="N5800" i="29"/>
  <c r="G5800" i="29"/>
  <c r="F5800" i="29"/>
  <c r="Q5799" i="29"/>
  <c r="T5799" i="29"/>
  <c r="P5799" i="29"/>
  <c r="N5799" i="29"/>
  <c r="G5799" i="29"/>
  <c r="F5799" i="29"/>
  <c r="Q5798" i="29"/>
  <c r="P5798" i="29"/>
  <c r="N5798" i="29"/>
  <c r="G5798" i="29"/>
  <c r="F5798" i="29"/>
  <c r="Q5797" i="29"/>
  <c r="P5797" i="29"/>
  <c r="N5797" i="29"/>
  <c r="G5797" i="29"/>
  <c r="F5797" i="29"/>
  <c r="Q5796" i="29"/>
  <c r="P5796" i="29"/>
  <c r="N5796" i="29"/>
  <c r="G5796" i="29"/>
  <c r="F5796" i="29"/>
  <c r="Q5795" i="29"/>
  <c r="P5795" i="29"/>
  <c r="N5795" i="29"/>
  <c r="G5795" i="29"/>
  <c r="F5795" i="29"/>
  <c r="Q5794" i="29"/>
  <c r="P5794" i="29"/>
  <c r="N5794" i="29"/>
  <c r="G5794" i="29"/>
  <c r="F5794" i="29"/>
  <c r="Q5793" i="29"/>
  <c r="T5793" i="29"/>
  <c r="P5793" i="29"/>
  <c r="N5793" i="29"/>
  <c r="G5793" i="29"/>
  <c r="F5793" i="29"/>
  <c r="Q5792" i="29"/>
  <c r="P5792" i="29"/>
  <c r="N5792" i="29"/>
  <c r="G5792" i="29"/>
  <c r="F5792" i="29"/>
  <c r="Q5791" i="29"/>
  <c r="P5791" i="29"/>
  <c r="N5791" i="29"/>
  <c r="G5791" i="29"/>
  <c r="F5791" i="29"/>
  <c r="Q5790" i="29"/>
  <c r="P5790" i="29"/>
  <c r="N5790" i="29"/>
  <c r="G5790" i="29"/>
  <c r="F5790" i="29"/>
  <c r="Q5789" i="29"/>
  <c r="P5789" i="29"/>
  <c r="N5789" i="29"/>
  <c r="G5789" i="29"/>
  <c r="F5789" i="29"/>
  <c r="Q5788" i="29"/>
  <c r="P5788" i="29"/>
  <c r="N5788" i="29"/>
  <c r="G5788" i="29"/>
  <c r="F5788" i="29"/>
  <c r="Q5787" i="29"/>
  <c r="P5787" i="29"/>
  <c r="N5787" i="29"/>
  <c r="G5787" i="29"/>
  <c r="F5787" i="29"/>
  <c r="Q5786" i="29"/>
  <c r="P5786" i="29"/>
  <c r="N5786" i="29"/>
  <c r="G5786" i="29"/>
  <c r="F5786" i="29"/>
  <c r="Q5785" i="29"/>
  <c r="P5785" i="29"/>
  <c r="N5785" i="29"/>
  <c r="G5785" i="29"/>
  <c r="F5785" i="29"/>
  <c r="Q5784" i="29"/>
  <c r="S5784" i="29"/>
  <c r="P5784" i="29"/>
  <c r="N5784" i="29"/>
  <c r="G5784" i="29"/>
  <c r="F5784" i="29"/>
  <c r="P5783" i="29"/>
  <c r="N5783" i="29"/>
  <c r="G5783" i="29"/>
  <c r="F5783" i="29"/>
  <c r="Q5782" i="29"/>
  <c r="T5782" i="29"/>
  <c r="P5782" i="29"/>
  <c r="N5782" i="29"/>
  <c r="G5782" i="29"/>
  <c r="F5782" i="29"/>
  <c r="F5781" i="29"/>
  <c r="G5781" i="29"/>
  <c r="N5781" i="29"/>
  <c r="Q5780" i="29"/>
  <c r="N5780" i="29"/>
  <c r="G5780" i="29"/>
  <c r="F5780" i="29"/>
  <c r="Q5779" i="29"/>
  <c r="P5779" i="29"/>
  <c r="N5779" i="29"/>
  <c r="G5779" i="29"/>
  <c r="F5779" i="29"/>
  <c r="Q5778" i="29"/>
  <c r="P5778" i="29"/>
  <c r="N5778" i="29"/>
  <c r="G5778" i="29"/>
  <c r="F5778" i="29"/>
  <c r="Q5777" i="29"/>
  <c r="P5777" i="29"/>
  <c r="N5777" i="29"/>
  <c r="G5777" i="29"/>
  <c r="F5777" i="29"/>
  <c r="Q5776" i="29"/>
  <c r="P5776" i="29"/>
  <c r="N5776" i="29"/>
  <c r="G5776" i="29"/>
  <c r="F5776" i="29"/>
  <c r="Q5775" i="29"/>
  <c r="P5775" i="29"/>
  <c r="N5775" i="29"/>
  <c r="G5775" i="29"/>
  <c r="F5775" i="29"/>
  <c r="Q5774" i="29"/>
  <c r="P5774" i="29"/>
  <c r="N5774" i="29"/>
  <c r="G5774" i="29"/>
  <c r="F5774" i="29"/>
  <c r="Q5773" i="29"/>
  <c r="P5773" i="29"/>
  <c r="N5773" i="29"/>
  <c r="G5773" i="29"/>
  <c r="F5773" i="29"/>
  <c r="Q5772" i="29"/>
  <c r="P5772" i="29"/>
  <c r="N5772" i="29"/>
  <c r="G5772" i="29"/>
  <c r="F5772" i="29"/>
  <c r="Q5771" i="29"/>
  <c r="P5771" i="29"/>
  <c r="N5771" i="29"/>
  <c r="G5771" i="29"/>
  <c r="F5771" i="29"/>
  <c r="Q5770" i="29"/>
  <c r="T5770" i="29"/>
  <c r="P5770" i="29"/>
  <c r="N5770" i="29"/>
  <c r="G5770" i="29"/>
  <c r="F5770" i="29"/>
  <c r="Q5769" i="29"/>
  <c r="P5769" i="29"/>
  <c r="N5769" i="29"/>
  <c r="G5769" i="29"/>
  <c r="F5769" i="29"/>
  <c r="Q5768" i="29"/>
  <c r="P5768" i="29"/>
  <c r="N5768" i="29"/>
  <c r="G5768" i="29"/>
  <c r="F5768" i="29"/>
  <c r="Q5767" i="29"/>
  <c r="P5767" i="29"/>
  <c r="N5767" i="29"/>
  <c r="G5767" i="29"/>
  <c r="F5767" i="29"/>
  <c r="Q5766" i="29"/>
  <c r="S5766" i="29"/>
  <c r="P5766" i="29"/>
  <c r="N5766" i="29"/>
  <c r="G5766" i="29"/>
  <c r="F5766" i="29"/>
  <c r="Q5765" i="29"/>
  <c r="P5765" i="29"/>
  <c r="N5765" i="29"/>
  <c r="G5765" i="29"/>
  <c r="F5765" i="29"/>
  <c r="Q5764" i="29"/>
  <c r="P5764" i="29"/>
  <c r="N5764" i="29"/>
  <c r="G5764" i="29"/>
  <c r="F5764" i="29"/>
  <c r="Q5763" i="29"/>
  <c r="P5763" i="29"/>
  <c r="N5763" i="29"/>
  <c r="G5763" i="29"/>
  <c r="F5763" i="29"/>
  <c r="Q5762" i="29"/>
  <c r="P5762" i="29"/>
  <c r="N5762" i="29"/>
  <c r="G5762" i="29"/>
  <c r="F5762" i="29"/>
  <c r="Q5761" i="29"/>
  <c r="P5761" i="29"/>
  <c r="N5761" i="29"/>
  <c r="G5761" i="29"/>
  <c r="F5761" i="29"/>
  <c r="Q5760" i="29"/>
  <c r="P5760" i="29"/>
  <c r="N5760" i="29"/>
  <c r="G5760" i="29"/>
  <c r="F5760" i="29"/>
  <c r="Q5759" i="29"/>
  <c r="P5759" i="29"/>
  <c r="N5759" i="29"/>
  <c r="G5759" i="29"/>
  <c r="F5759" i="29"/>
  <c r="Q5758" i="29"/>
  <c r="P5758" i="29"/>
  <c r="N5758" i="29"/>
  <c r="G5758" i="29"/>
  <c r="F5758" i="29"/>
  <c r="Q5757" i="29"/>
  <c r="T5757" i="29"/>
  <c r="P5757" i="29"/>
  <c r="N5757" i="29"/>
  <c r="G5757" i="29"/>
  <c r="F5757" i="29"/>
  <c r="Q5756" i="29"/>
  <c r="P5756" i="29"/>
  <c r="N5756" i="29"/>
  <c r="G5756" i="29"/>
  <c r="F5756" i="29"/>
  <c r="F5755" i="29"/>
  <c r="G5755" i="29"/>
  <c r="F5754" i="29"/>
  <c r="G5754" i="29"/>
  <c r="Q5755" i="29"/>
  <c r="Q5754" i="29"/>
  <c r="P5755" i="29"/>
  <c r="P5754" i="29"/>
  <c r="N5754" i="29"/>
  <c r="F5753" i="29"/>
  <c r="G5753" i="29"/>
  <c r="Q5753" i="29"/>
  <c r="P5753" i="29"/>
  <c r="N5753" i="29"/>
  <c r="F5752" i="29"/>
  <c r="G5752" i="29"/>
  <c r="Q5752" i="29"/>
  <c r="T5752" i="29"/>
  <c r="P5752" i="29"/>
  <c r="N5752" i="29"/>
  <c r="F5751" i="29"/>
  <c r="G5751" i="29"/>
  <c r="Q5751" i="29"/>
  <c r="P5751" i="29"/>
  <c r="N5751" i="29"/>
  <c r="Q5750" i="29"/>
  <c r="P5750" i="29"/>
  <c r="N5750" i="29"/>
  <c r="G5750" i="29"/>
  <c r="J5750" i="29"/>
  <c r="F5750" i="29"/>
  <c r="W5749" i="29"/>
  <c r="N5749" i="29"/>
  <c r="F473" i="31"/>
  <c r="G473" i="31"/>
  <c r="H473" i="31"/>
  <c r="F472" i="31"/>
  <c r="F471" i="31"/>
  <c r="F470" i="31"/>
  <c r="F469" i="31"/>
  <c r="F468" i="31"/>
  <c r="F467" i="31"/>
  <c r="R5748" i="29"/>
  <c r="P5680" i="29"/>
  <c r="Q5680" i="29"/>
  <c r="P5681" i="29"/>
  <c r="Q5681" i="29"/>
  <c r="P5682" i="29"/>
  <c r="Q5682" i="29"/>
  <c r="P5683" i="29"/>
  <c r="Q5683" i="29"/>
  <c r="P5684" i="29"/>
  <c r="Q5684" i="29"/>
  <c r="P5685" i="29"/>
  <c r="Q5685" i="29"/>
  <c r="P5686" i="29"/>
  <c r="Q5686" i="29"/>
  <c r="P5687" i="29"/>
  <c r="Q5687" i="29"/>
  <c r="P5688" i="29"/>
  <c r="Q5688" i="29"/>
  <c r="Q5679" i="29"/>
  <c r="P5679" i="29"/>
  <c r="Q5678" i="29"/>
  <c r="P5678" i="29"/>
  <c r="P5690" i="29"/>
  <c r="Q5690" i="29"/>
  <c r="S5722" i="29"/>
  <c r="T5722" i="29"/>
  <c r="N5679" i="29"/>
  <c r="N5680" i="29"/>
  <c r="N5681" i="29"/>
  <c r="N5682" i="29"/>
  <c r="N5683" i="29"/>
  <c r="N5684" i="29"/>
  <c r="N5685" i="29"/>
  <c r="N5686" i="29"/>
  <c r="N5687" i="29"/>
  <c r="N5688" i="29"/>
  <c r="N5689" i="29"/>
  <c r="N5690" i="29"/>
  <c r="N5691" i="29"/>
  <c r="N5692" i="29"/>
  <c r="N5693" i="29"/>
  <c r="N5694" i="29"/>
  <c r="N5695" i="29"/>
  <c r="N5696" i="29"/>
  <c r="N5697" i="29"/>
  <c r="N5698" i="29"/>
  <c r="N5699" i="29"/>
  <c r="N5700" i="29"/>
  <c r="N5701" i="29"/>
  <c r="N5702" i="29"/>
  <c r="N5703" i="29"/>
  <c r="N5704" i="29"/>
  <c r="N5705" i="29"/>
  <c r="N5706" i="29"/>
  <c r="N5707" i="29"/>
  <c r="N5708" i="29"/>
  <c r="N5709" i="29"/>
  <c r="N5710" i="29"/>
  <c r="N5711" i="29"/>
  <c r="N5712" i="29"/>
  <c r="N5713" i="29"/>
  <c r="N5714" i="29"/>
  <c r="N5715" i="29"/>
  <c r="N5716" i="29"/>
  <c r="N5717" i="29"/>
  <c r="N5718" i="29"/>
  <c r="N5719" i="29"/>
  <c r="N5720" i="29"/>
  <c r="N5721" i="29"/>
  <c r="N5722" i="29"/>
  <c r="N5723" i="29"/>
  <c r="N5724" i="29"/>
  <c r="N5725" i="29"/>
  <c r="N5726" i="29"/>
  <c r="N5727" i="29"/>
  <c r="N5728" i="29"/>
  <c r="N5729" i="29"/>
  <c r="N5730" i="29"/>
  <c r="N5731" i="29"/>
  <c r="N5732" i="29"/>
  <c r="N5733" i="29"/>
  <c r="N5734" i="29"/>
  <c r="N5735" i="29"/>
  <c r="N5736" i="29"/>
  <c r="N5737" i="29"/>
  <c r="N5738" i="29"/>
  <c r="N5739" i="29"/>
  <c r="N5740" i="29"/>
  <c r="N5741" i="29"/>
  <c r="N5742" i="29"/>
  <c r="N5743" i="29"/>
  <c r="N5744" i="29"/>
  <c r="N5745" i="29"/>
  <c r="N5746" i="29"/>
  <c r="N5747" i="29"/>
  <c r="N5748" i="29"/>
  <c r="N5678" i="29"/>
  <c r="F5748" i="29"/>
  <c r="G5748" i="29"/>
  <c r="Q5748" i="29"/>
  <c r="P5748" i="29"/>
  <c r="F5747" i="29"/>
  <c r="G5747" i="29"/>
  <c r="Q5747" i="29"/>
  <c r="P5747" i="29"/>
  <c r="G5746" i="29"/>
  <c r="F5746" i="29"/>
  <c r="G5745" i="29"/>
  <c r="F5745" i="29"/>
  <c r="Q5746" i="29"/>
  <c r="Q5745" i="29"/>
  <c r="P5746" i="29"/>
  <c r="P5745" i="29"/>
  <c r="G5690" i="29"/>
  <c r="F5690" i="29"/>
  <c r="G5688" i="29"/>
  <c r="F5688" i="29"/>
  <c r="G5687" i="29"/>
  <c r="F5687" i="29"/>
  <c r="G5686" i="29"/>
  <c r="F5686" i="29"/>
  <c r="G5685" i="29"/>
  <c r="F5685" i="29"/>
  <c r="G5684" i="29"/>
  <c r="F5684" i="29"/>
  <c r="G5683" i="29"/>
  <c r="F5683" i="29"/>
  <c r="G5682" i="29"/>
  <c r="F5682" i="29"/>
  <c r="G5681" i="29"/>
  <c r="F5681" i="29"/>
  <c r="G5680" i="29"/>
  <c r="F5680" i="29"/>
  <c r="G5679" i="29"/>
  <c r="F5679" i="29"/>
  <c r="G5678" i="29"/>
  <c r="F5678" i="29"/>
  <c r="Q5744" i="29"/>
  <c r="P5744" i="29"/>
  <c r="G5744" i="29"/>
  <c r="F5744" i="29"/>
  <c r="Q5743" i="29"/>
  <c r="P5743" i="29"/>
  <c r="G5743" i="29"/>
  <c r="F5743" i="29"/>
  <c r="Q5742" i="29"/>
  <c r="P5742" i="29"/>
  <c r="Q5741" i="29"/>
  <c r="P5741" i="29"/>
  <c r="Q5740" i="29"/>
  <c r="P5740" i="29"/>
  <c r="Q5739" i="29"/>
  <c r="P5739" i="29"/>
  <c r="G5739" i="29"/>
  <c r="F5739" i="29"/>
  <c r="Q5738" i="29"/>
  <c r="P5738" i="29"/>
  <c r="G5738" i="29"/>
  <c r="F5738" i="29"/>
  <c r="Q5737" i="29"/>
  <c r="P5737" i="29"/>
  <c r="G5737" i="29"/>
  <c r="F5737" i="29"/>
  <c r="Q5736" i="29"/>
  <c r="T5736" i="29"/>
  <c r="P5736" i="29"/>
  <c r="G5736" i="29"/>
  <c r="F5736" i="29"/>
  <c r="Q5735" i="29"/>
  <c r="T5735" i="29"/>
  <c r="P5735" i="29"/>
  <c r="G5735" i="29"/>
  <c r="F5735" i="29"/>
  <c r="Q5734" i="29"/>
  <c r="P5734" i="29"/>
  <c r="G5734" i="29"/>
  <c r="F5734" i="29"/>
  <c r="Q5733" i="29"/>
  <c r="P5733" i="29"/>
  <c r="G5733" i="29"/>
  <c r="F5733" i="29"/>
  <c r="Q5732" i="29"/>
  <c r="T5732" i="29"/>
  <c r="P5732" i="29"/>
  <c r="G5732" i="29"/>
  <c r="F5732" i="29"/>
  <c r="Q5731" i="29"/>
  <c r="P5731" i="29"/>
  <c r="G5731" i="29"/>
  <c r="F5731" i="29"/>
  <c r="Q5730" i="29"/>
  <c r="P5730" i="29"/>
  <c r="G5730" i="29"/>
  <c r="F5730" i="29"/>
  <c r="Q5729" i="29"/>
  <c r="P5729" i="29"/>
  <c r="G5729" i="29"/>
  <c r="F5729" i="29"/>
  <c r="Q5728" i="29"/>
  <c r="P5728" i="29"/>
  <c r="G5728" i="29"/>
  <c r="F5728" i="29"/>
  <c r="Q5727" i="29"/>
  <c r="S5727" i="29"/>
  <c r="P5727" i="29"/>
  <c r="G5727" i="29"/>
  <c r="F5727" i="29"/>
  <c r="Q5726" i="29"/>
  <c r="S5726" i="29"/>
  <c r="P5726" i="29"/>
  <c r="G5726" i="29"/>
  <c r="F5726" i="29"/>
  <c r="Q5725" i="29"/>
  <c r="P5725" i="29"/>
  <c r="G5725" i="29"/>
  <c r="F5725" i="29"/>
  <c r="Q5724" i="29"/>
  <c r="P5724" i="29"/>
  <c r="G5724" i="29"/>
  <c r="F5724" i="29"/>
  <c r="Q5723" i="29"/>
  <c r="P5723" i="29"/>
  <c r="G5723" i="29"/>
  <c r="F5723" i="29"/>
  <c r="F5722" i="29"/>
  <c r="G5722" i="29"/>
  <c r="F5721" i="29"/>
  <c r="G5721" i="29"/>
  <c r="Q5721" i="29"/>
  <c r="P5722" i="29"/>
  <c r="P5721" i="29"/>
  <c r="Q5720" i="29"/>
  <c r="P5720" i="29"/>
  <c r="G5720" i="29"/>
  <c r="F5720" i="29"/>
  <c r="Q5719" i="29"/>
  <c r="G5719" i="29"/>
  <c r="F5719" i="29"/>
  <c r="Q5718" i="29"/>
  <c r="P5718" i="29"/>
  <c r="G5718" i="29"/>
  <c r="F5718" i="29"/>
  <c r="Q5717" i="29"/>
  <c r="P5717" i="29"/>
  <c r="G5717" i="29"/>
  <c r="F5717" i="29"/>
  <c r="Q5716" i="29"/>
  <c r="P5716" i="29"/>
  <c r="G5716" i="29"/>
  <c r="F5716" i="29"/>
  <c r="Q5715" i="29"/>
  <c r="P5715" i="29"/>
  <c r="G5715" i="29"/>
  <c r="F5715" i="29"/>
  <c r="Q5714" i="29"/>
  <c r="T5714" i="29"/>
  <c r="P5714" i="29"/>
  <c r="G5714" i="29"/>
  <c r="F5714" i="29"/>
  <c r="Q5713" i="29"/>
  <c r="P5713" i="29"/>
  <c r="G5713" i="29"/>
  <c r="F5713" i="29"/>
  <c r="Q5712" i="29"/>
  <c r="P5712" i="29"/>
  <c r="G5712" i="29"/>
  <c r="F5712" i="29"/>
  <c r="Q5711" i="29"/>
  <c r="P5711" i="29"/>
  <c r="G5711" i="29"/>
  <c r="F5711" i="29"/>
  <c r="Q5710" i="29"/>
  <c r="P5710" i="29"/>
  <c r="G5710" i="29"/>
  <c r="F5710" i="29"/>
  <c r="Q5709" i="29"/>
  <c r="P5709" i="29"/>
  <c r="G5709" i="29"/>
  <c r="F5709" i="29"/>
  <c r="Q5708" i="29"/>
  <c r="T5708" i="29"/>
  <c r="P5708" i="29"/>
  <c r="G5708" i="29"/>
  <c r="F5708" i="29"/>
  <c r="Q5707" i="29"/>
  <c r="P5707" i="29"/>
  <c r="G5707" i="29"/>
  <c r="F5707" i="29"/>
  <c r="Q5706" i="29"/>
  <c r="T5706" i="29"/>
  <c r="P5706" i="29"/>
  <c r="G5706" i="29"/>
  <c r="F5706" i="29"/>
  <c r="Q5705" i="29"/>
  <c r="P5705" i="29"/>
  <c r="G5705" i="29"/>
  <c r="F5705" i="29"/>
  <c r="T5704" i="29"/>
  <c r="P5704" i="29"/>
  <c r="G5704" i="29"/>
  <c r="F5704" i="29"/>
  <c r="Q5703" i="29"/>
  <c r="P5703" i="29"/>
  <c r="G5703" i="29"/>
  <c r="F5703" i="29"/>
  <c r="Q5702" i="29"/>
  <c r="P5702" i="29"/>
  <c r="G5702" i="29"/>
  <c r="F5702" i="29"/>
  <c r="F5701" i="29"/>
  <c r="G5701" i="29"/>
  <c r="Q5701" i="29"/>
  <c r="S5701" i="29"/>
  <c r="P5701" i="29"/>
  <c r="F5700" i="29"/>
  <c r="G5700" i="29"/>
  <c r="Q5700" i="29"/>
  <c r="P5700" i="29"/>
  <c r="Q5699" i="29"/>
  <c r="P5699" i="29"/>
  <c r="G5699" i="29"/>
  <c r="F5699" i="29"/>
  <c r="Q5698" i="29"/>
  <c r="P5698" i="29"/>
  <c r="G5698" i="29"/>
  <c r="F5698" i="29"/>
  <c r="Q5697" i="29"/>
  <c r="P5697" i="29"/>
  <c r="G5697" i="29"/>
  <c r="F5697" i="29"/>
  <c r="F5696" i="29"/>
  <c r="G5696" i="29"/>
  <c r="Q5696" i="29"/>
  <c r="P5696" i="29"/>
  <c r="Q5695" i="29"/>
  <c r="P5695" i="29"/>
  <c r="G5695" i="29"/>
  <c r="F5695" i="29"/>
  <c r="Q5694" i="29"/>
  <c r="S5694" i="29"/>
  <c r="P5694" i="29"/>
  <c r="G5694" i="29"/>
  <c r="F5694" i="29"/>
  <c r="Q5693" i="29"/>
  <c r="P5693" i="29"/>
  <c r="G5693" i="29"/>
  <c r="F5693" i="29"/>
  <c r="Q5692" i="29"/>
  <c r="P5692" i="29"/>
  <c r="G5692" i="29"/>
  <c r="F5692" i="29"/>
  <c r="Q5691" i="29"/>
  <c r="P5691" i="29"/>
  <c r="G5691" i="29"/>
  <c r="F5691" i="29"/>
  <c r="Q5689" i="29"/>
  <c r="P5689" i="29"/>
  <c r="G5689" i="29"/>
  <c r="F5689" i="29"/>
  <c r="S5704" i="29"/>
  <c r="W5677" i="29"/>
  <c r="N5677" i="29"/>
  <c r="R5673" i="29"/>
  <c r="J678" i="31"/>
  <c r="G678" i="31"/>
  <c r="H678" i="31"/>
  <c r="J689" i="31"/>
  <c r="F466" i="31"/>
  <c r="G466" i="31"/>
  <c r="H466" i="31"/>
  <c r="F465" i="31"/>
  <c r="F464" i="31"/>
  <c r="F463" i="31"/>
  <c r="F462" i="31"/>
  <c r="N5674" i="29"/>
  <c r="N5633" i="29"/>
  <c r="N5624" i="29"/>
  <c r="N5625" i="29"/>
  <c r="N5626" i="29"/>
  <c r="N5627" i="29"/>
  <c r="N5628" i="29"/>
  <c r="N5629" i="29"/>
  <c r="F5676" i="29"/>
  <c r="G5676" i="29"/>
  <c r="J5676" i="29"/>
  <c r="Q5676" i="29"/>
  <c r="P5676" i="29"/>
  <c r="N5676" i="29"/>
  <c r="Q5675" i="29"/>
  <c r="P5675" i="29"/>
  <c r="N5675" i="29"/>
  <c r="G5675" i="29"/>
  <c r="F5675" i="29"/>
  <c r="F5674" i="29"/>
  <c r="G5674" i="29"/>
  <c r="Q5674" i="29"/>
  <c r="S5674" i="29"/>
  <c r="F5673" i="29"/>
  <c r="G5673" i="29"/>
  <c r="Q5673" i="29"/>
  <c r="S5673" i="29"/>
  <c r="P5674" i="29"/>
  <c r="P5673" i="29"/>
  <c r="N5673" i="29"/>
  <c r="F5672" i="29"/>
  <c r="G5672" i="29"/>
  <c r="Q5672" i="29"/>
  <c r="P5672" i="29"/>
  <c r="N5672" i="29"/>
  <c r="F5671" i="29"/>
  <c r="G5671" i="29"/>
  <c r="Q5671" i="29"/>
  <c r="P5671" i="29"/>
  <c r="N5671" i="29"/>
  <c r="F5670" i="29"/>
  <c r="G5670" i="29"/>
  <c r="Q5670" i="29"/>
  <c r="S5670" i="29"/>
  <c r="P5670" i="29"/>
  <c r="N5670" i="29"/>
  <c r="Q5669" i="29"/>
  <c r="T5669" i="29"/>
  <c r="P5669" i="29"/>
  <c r="N5669" i="29"/>
  <c r="G5669" i="29"/>
  <c r="F5669" i="29"/>
  <c r="Q5668" i="29"/>
  <c r="P5668" i="29"/>
  <c r="N5668" i="29"/>
  <c r="G5668" i="29"/>
  <c r="F5668" i="29"/>
  <c r="Q5667" i="29"/>
  <c r="P5667" i="29"/>
  <c r="N5667" i="29"/>
  <c r="G5667" i="29"/>
  <c r="F5667" i="29"/>
  <c r="Q5666" i="29"/>
  <c r="P5666" i="29"/>
  <c r="N5666" i="29"/>
  <c r="G5666" i="29"/>
  <c r="F5666" i="29"/>
  <c r="Q5665" i="29"/>
  <c r="S5665" i="29"/>
  <c r="G5665" i="29"/>
  <c r="F5665" i="29"/>
  <c r="F5664" i="29"/>
  <c r="G5664" i="29"/>
  <c r="Q5664" i="29"/>
  <c r="P5664" i="29"/>
  <c r="N5664" i="29"/>
  <c r="Q5663" i="29"/>
  <c r="P5663" i="29"/>
  <c r="N5663" i="29"/>
  <c r="G5663" i="29"/>
  <c r="F5663" i="29"/>
  <c r="Q5662" i="29"/>
  <c r="P5662" i="29"/>
  <c r="N5662" i="29"/>
  <c r="G5662" i="29"/>
  <c r="F5662" i="29"/>
  <c r="Q5661" i="29"/>
  <c r="P5661" i="29"/>
  <c r="N5661" i="29"/>
  <c r="G5661" i="29"/>
  <c r="F5661" i="29"/>
  <c r="Q5660" i="29"/>
  <c r="P5660" i="29"/>
  <c r="N5660" i="29"/>
  <c r="G5660" i="29"/>
  <c r="F5660" i="29"/>
  <c r="Q5659" i="29"/>
  <c r="P5659" i="29"/>
  <c r="N5659" i="29"/>
  <c r="G5659" i="29"/>
  <c r="F5659" i="29"/>
  <c r="Q5658" i="29"/>
  <c r="P5658" i="29"/>
  <c r="N5658" i="29"/>
  <c r="G5658" i="29"/>
  <c r="F5658" i="29"/>
  <c r="Q5657" i="29"/>
  <c r="T5657" i="29"/>
  <c r="P5657" i="29"/>
  <c r="N5657" i="29"/>
  <c r="G5657" i="29"/>
  <c r="F5657" i="29"/>
  <c r="Q5656" i="29"/>
  <c r="P5656" i="29"/>
  <c r="N5656" i="29"/>
  <c r="G5656" i="29"/>
  <c r="F5656" i="29"/>
  <c r="Q5655" i="29"/>
  <c r="T5655" i="29"/>
  <c r="P5655" i="29"/>
  <c r="N5655" i="29"/>
  <c r="G5655" i="29"/>
  <c r="F5655" i="29"/>
  <c r="Q5654" i="29"/>
  <c r="S5654" i="29"/>
  <c r="P5654" i="29"/>
  <c r="N5654" i="29"/>
  <c r="Q5653" i="29"/>
  <c r="P5653" i="29"/>
  <c r="N5653" i="29"/>
  <c r="Q5652" i="29"/>
  <c r="P5652" i="29"/>
  <c r="N5652" i="29"/>
  <c r="Q5651" i="29"/>
  <c r="T5651" i="29"/>
  <c r="P5651" i="29"/>
  <c r="N5651" i="29"/>
  <c r="G5651" i="29"/>
  <c r="F5651" i="29"/>
  <c r="Q5650" i="29"/>
  <c r="P5650" i="29"/>
  <c r="N5650" i="29"/>
  <c r="G5650" i="29"/>
  <c r="F5650" i="29"/>
  <c r="Q5649" i="29"/>
  <c r="P5649" i="29"/>
  <c r="N5649" i="29"/>
  <c r="G5649" i="29"/>
  <c r="F5649" i="29"/>
  <c r="Q5648" i="29"/>
  <c r="P5648" i="29"/>
  <c r="N5648" i="29"/>
  <c r="G5648" i="29"/>
  <c r="F5648" i="29"/>
  <c r="Q5647" i="29"/>
  <c r="P5647" i="29"/>
  <c r="N5647" i="29"/>
  <c r="G5647" i="29"/>
  <c r="F5647" i="29"/>
  <c r="Q5646" i="29"/>
  <c r="S5646" i="29"/>
  <c r="P5646" i="29"/>
  <c r="N5646" i="29"/>
  <c r="G5646" i="29"/>
  <c r="F5646" i="29"/>
  <c r="Q5645" i="29"/>
  <c r="P5645" i="29"/>
  <c r="N5645" i="29"/>
  <c r="G5645" i="29"/>
  <c r="F5645" i="29"/>
  <c r="Q5644" i="29"/>
  <c r="P5644" i="29"/>
  <c r="N5644" i="29"/>
  <c r="G5644" i="29"/>
  <c r="F5644" i="29"/>
  <c r="Q5643" i="29"/>
  <c r="S5643" i="29"/>
  <c r="P5643" i="29"/>
  <c r="N5643" i="29"/>
  <c r="G5643" i="29"/>
  <c r="F5643" i="29"/>
  <c r="Q5642" i="29"/>
  <c r="P5642" i="29"/>
  <c r="N5642" i="29"/>
  <c r="G5642" i="29"/>
  <c r="F5642" i="29"/>
  <c r="Q5641" i="29"/>
  <c r="P5641" i="29"/>
  <c r="N5641" i="29"/>
  <c r="G5641" i="29"/>
  <c r="F5641" i="29"/>
  <c r="Q5640" i="29"/>
  <c r="P5640" i="29"/>
  <c r="N5640" i="29"/>
  <c r="G5640" i="29"/>
  <c r="F5640" i="29"/>
  <c r="Q5639" i="29"/>
  <c r="T5639" i="29"/>
  <c r="P5639" i="29"/>
  <c r="N5639" i="29"/>
  <c r="G5639" i="29"/>
  <c r="F5639" i="29"/>
  <c r="Q5638" i="29"/>
  <c r="P5638" i="29"/>
  <c r="N5638" i="29"/>
  <c r="G5638" i="29"/>
  <c r="F5638" i="29"/>
  <c r="Q5637" i="29"/>
  <c r="S5637" i="29"/>
  <c r="P5637" i="29"/>
  <c r="N5637" i="29"/>
  <c r="G5637" i="29"/>
  <c r="F5637" i="29"/>
  <c r="Q5636" i="29"/>
  <c r="P5636" i="29"/>
  <c r="N5636" i="29"/>
  <c r="G5636" i="29"/>
  <c r="F5636" i="29"/>
  <c r="Q5635" i="29"/>
  <c r="P5635" i="29"/>
  <c r="N5635" i="29"/>
  <c r="G5635" i="29"/>
  <c r="F5635" i="29"/>
  <c r="Q5634" i="29"/>
  <c r="P5634" i="29"/>
  <c r="N5634" i="29"/>
  <c r="G5634" i="29"/>
  <c r="F5634" i="29"/>
  <c r="F5633" i="29"/>
  <c r="G5633" i="29"/>
  <c r="Q5633" i="29"/>
  <c r="P5633" i="29"/>
  <c r="Q5632" i="29"/>
  <c r="P5632" i="29"/>
  <c r="N5632" i="29"/>
  <c r="G5632" i="29"/>
  <c r="F5632" i="29"/>
  <c r="Q5631" i="29"/>
  <c r="T5631" i="29"/>
  <c r="P5631" i="29"/>
  <c r="N5631" i="29"/>
  <c r="G5631" i="29"/>
  <c r="F5631" i="29"/>
  <c r="Q5630" i="29"/>
  <c r="T5630" i="29"/>
  <c r="P5630" i="29"/>
  <c r="N5630" i="29"/>
  <c r="G5630" i="29"/>
  <c r="F5630" i="29"/>
  <c r="F5629" i="29"/>
  <c r="G5629" i="29"/>
  <c r="Q5629" i="29"/>
  <c r="P5629" i="29"/>
  <c r="F5628" i="29"/>
  <c r="G5628" i="29"/>
  <c r="Q5628" i="29"/>
  <c r="P5628" i="29"/>
  <c r="F5627" i="29"/>
  <c r="G5627" i="29"/>
  <c r="F5626" i="29"/>
  <c r="G5626" i="29"/>
  <c r="Q5627" i="29"/>
  <c r="Q5626" i="29"/>
  <c r="P5627" i="29"/>
  <c r="P5626" i="29"/>
  <c r="F5625" i="29"/>
  <c r="G5625" i="29"/>
  <c r="Q5625" i="29"/>
  <c r="P5625" i="29"/>
  <c r="F5624" i="29"/>
  <c r="G5624" i="29"/>
  <c r="F5623" i="29"/>
  <c r="G5623" i="29"/>
  <c r="Q5624" i="29"/>
  <c r="Q5623" i="29"/>
  <c r="P5624" i="29"/>
  <c r="P5623" i="29"/>
  <c r="N5623" i="29"/>
  <c r="F5622" i="29"/>
  <c r="G5622" i="29"/>
  <c r="Q5622" i="29"/>
  <c r="T5622" i="29"/>
  <c r="P5622" i="29"/>
  <c r="N5622" i="29"/>
  <c r="F5621" i="29"/>
  <c r="G5621" i="29"/>
  <c r="Q5621" i="29"/>
  <c r="P5621" i="29"/>
  <c r="N5621" i="29"/>
  <c r="F5620" i="29"/>
  <c r="G5620" i="29"/>
  <c r="Q5620" i="29"/>
  <c r="P5620" i="29"/>
  <c r="N5620" i="29"/>
  <c r="F5619" i="29"/>
  <c r="G5619" i="29"/>
  <c r="Q5619" i="29"/>
  <c r="P5619" i="29"/>
  <c r="N5619" i="29"/>
  <c r="F5618" i="29"/>
  <c r="G5618" i="29"/>
  <c r="Q5618" i="29"/>
  <c r="P5618" i="29"/>
  <c r="N5618" i="29"/>
  <c r="F5617" i="29"/>
  <c r="G5617" i="29"/>
  <c r="Q5617" i="29"/>
  <c r="P5617" i="29"/>
  <c r="N5617" i="29"/>
  <c r="F461" i="31"/>
  <c r="F460" i="31"/>
  <c r="F459" i="31"/>
  <c r="F458" i="31"/>
  <c r="N5606" i="29"/>
  <c r="N5605" i="29"/>
  <c r="N5604" i="29"/>
  <c r="N5603" i="29"/>
  <c r="N5602" i="29"/>
  <c r="N5601" i="29"/>
  <c r="N5600" i="29"/>
  <c r="N5579" i="29"/>
  <c r="N5563" i="29"/>
  <c r="W5612" i="29"/>
  <c r="N5612" i="29"/>
  <c r="F5611" i="29"/>
  <c r="G5611" i="29"/>
  <c r="F5610" i="29"/>
  <c r="G5610" i="29"/>
  <c r="Q5611" i="29"/>
  <c r="Q5610" i="29"/>
  <c r="P5611" i="29"/>
  <c r="P5610" i="29"/>
  <c r="N5611" i="29"/>
  <c r="N5610" i="29"/>
  <c r="Q5609" i="29"/>
  <c r="P5609" i="29"/>
  <c r="N5609" i="29"/>
  <c r="G5609" i="29"/>
  <c r="F5609" i="29"/>
  <c r="Q5608" i="29"/>
  <c r="P5608" i="29"/>
  <c r="N5608" i="29"/>
  <c r="G5608" i="29"/>
  <c r="F5608" i="29"/>
  <c r="Q5607" i="29"/>
  <c r="P5607" i="29"/>
  <c r="N5607" i="29"/>
  <c r="G5607" i="29"/>
  <c r="F5607" i="29"/>
  <c r="F5606" i="29"/>
  <c r="G5606" i="29"/>
  <c r="Q5606" i="29"/>
  <c r="P5606" i="29"/>
  <c r="F5605" i="29"/>
  <c r="G5605" i="29"/>
  <c r="Q5605" i="29"/>
  <c r="P5605" i="29"/>
  <c r="F5604" i="29"/>
  <c r="G5604" i="29"/>
  <c r="Q5604" i="29"/>
  <c r="T5604" i="29"/>
  <c r="P5604" i="29"/>
  <c r="F5603" i="29"/>
  <c r="G5603" i="29"/>
  <c r="Q5603" i="29"/>
  <c r="P5603" i="29"/>
  <c r="G5602" i="29"/>
  <c r="F5602" i="29"/>
  <c r="Q5602" i="29"/>
  <c r="P5602" i="29"/>
  <c r="G5601" i="29"/>
  <c r="F5601" i="29"/>
  <c r="Q5601" i="29"/>
  <c r="P5601" i="29"/>
  <c r="G5600" i="29"/>
  <c r="F5600" i="29"/>
  <c r="Q5600" i="29"/>
  <c r="P5600" i="29"/>
  <c r="R5588" i="29"/>
  <c r="P5599" i="29"/>
  <c r="P5598" i="29"/>
  <c r="P5597" i="29"/>
  <c r="P5596" i="29"/>
  <c r="P5595" i="29"/>
  <c r="P5594" i="29"/>
  <c r="P5593" i="29"/>
  <c r="P5592" i="29"/>
  <c r="P5591" i="29"/>
  <c r="P5590" i="29"/>
  <c r="P5589" i="29"/>
  <c r="P5588" i="29"/>
  <c r="P5587" i="29"/>
  <c r="P5586" i="29"/>
  <c r="P5585" i="29"/>
  <c r="P5584" i="29"/>
  <c r="P5583" i="29"/>
  <c r="P5582" i="29"/>
  <c r="P5537" i="29"/>
  <c r="P5536" i="29"/>
  <c r="P5532" i="29"/>
  <c r="P5531" i="29"/>
  <c r="Q5599" i="29"/>
  <c r="Q5598" i="29"/>
  <c r="Q5597" i="29"/>
  <c r="S5597" i="29"/>
  <c r="Q5596" i="29"/>
  <c r="Q5595" i="29"/>
  <c r="Q5594" i="29"/>
  <c r="Q5593" i="29"/>
  <c r="Q5592" i="29"/>
  <c r="Q5591" i="29"/>
  <c r="S5591" i="29"/>
  <c r="Q5590" i="29"/>
  <c r="T5590" i="29"/>
  <c r="Q5589" i="29"/>
  <c r="T5589" i="29"/>
  <c r="Q5588" i="29"/>
  <c r="Q5587" i="29"/>
  <c r="Q5586" i="29"/>
  <c r="T5586" i="29"/>
  <c r="Q5585" i="29"/>
  <c r="Q5584" i="29"/>
  <c r="Q5583" i="29"/>
  <c r="S5583" i="29"/>
  <c r="Q5582" i="29"/>
  <c r="Q5537" i="29"/>
  <c r="N5599" i="29"/>
  <c r="N5598" i="29"/>
  <c r="N5597" i="29"/>
  <c r="N5596" i="29"/>
  <c r="N5595" i="29"/>
  <c r="N5594" i="29"/>
  <c r="N5593" i="29"/>
  <c r="N5592" i="29"/>
  <c r="N5591" i="29"/>
  <c r="N5590" i="29"/>
  <c r="N5589" i="29"/>
  <c r="N5588" i="29"/>
  <c r="N5587" i="29"/>
  <c r="N5586" i="29"/>
  <c r="N5585" i="29"/>
  <c r="N5584" i="29"/>
  <c r="N5583" i="29"/>
  <c r="N5582" i="29"/>
  <c r="N5537" i="29"/>
  <c r="N5536" i="29"/>
  <c r="N5532" i="29"/>
  <c r="N5531" i="29"/>
  <c r="N5530" i="29"/>
  <c r="N5529" i="29"/>
  <c r="G5599" i="29"/>
  <c r="F5599" i="29"/>
  <c r="G5595" i="29"/>
  <c r="F5595" i="29"/>
  <c r="G5594" i="29"/>
  <c r="F5594" i="29"/>
  <c r="G5593" i="29"/>
  <c r="F5593" i="29"/>
  <c r="G5592" i="29"/>
  <c r="F5592" i="29"/>
  <c r="G5591" i="29"/>
  <c r="F5591" i="29"/>
  <c r="G5590" i="29"/>
  <c r="F5590" i="29"/>
  <c r="G5589" i="29"/>
  <c r="F5589" i="29"/>
  <c r="G5588" i="29"/>
  <c r="F5588" i="29"/>
  <c r="G5587" i="29"/>
  <c r="F5587" i="29"/>
  <c r="G5586" i="29"/>
  <c r="F5586" i="29"/>
  <c r="G5585" i="29"/>
  <c r="F5585" i="29"/>
  <c r="G5584" i="29"/>
  <c r="F5584" i="29"/>
  <c r="G5583" i="29"/>
  <c r="F5583" i="29"/>
  <c r="G5582" i="29"/>
  <c r="F5582" i="29"/>
  <c r="Q5581" i="29"/>
  <c r="P5581" i="29"/>
  <c r="N5581" i="29"/>
  <c r="G5581" i="29"/>
  <c r="F5581" i="29"/>
  <c r="Q5580" i="29"/>
  <c r="P5580" i="29"/>
  <c r="N5580" i="29"/>
  <c r="G5580" i="29"/>
  <c r="F5580" i="29"/>
  <c r="F5579" i="29"/>
  <c r="G5579" i="29"/>
  <c r="Q5579" i="29"/>
  <c r="T5579" i="29"/>
  <c r="P5579" i="29"/>
  <c r="Q5578" i="29"/>
  <c r="P5578" i="29"/>
  <c r="N5578" i="29"/>
  <c r="G5578" i="29"/>
  <c r="F5578" i="29"/>
  <c r="Q5577" i="29"/>
  <c r="P5577" i="29"/>
  <c r="N5577" i="29"/>
  <c r="G5577" i="29"/>
  <c r="F5577" i="29"/>
  <c r="Q5576" i="29"/>
  <c r="P5576" i="29"/>
  <c r="N5576" i="29"/>
  <c r="G5576" i="29"/>
  <c r="F5576" i="29"/>
  <c r="Q5575" i="29"/>
  <c r="P5575" i="29"/>
  <c r="N5575" i="29"/>
  <c r="G5575" i="29"/>
  <c r="F5575" i="29"/>
  <c r="Q5573" i="29"/>
  <c r="S5573" i="29"/>
  <c r="P5573" i="29"/>
  <c r="N5573" i="29"/>
  <c r="G5573" i="29"/>
  <c r="F5573" i="29"/>
  <c r="Q5572" i="29"/>
  <c r="P5572" i="29"/>
  <c r="N5572" i="29"/>
  <c r="G5572" i="29"/>
  <c r="F5572" i="29"/>
  <c r="Q5568" i="29"/>
  <c r="S5568" i="29"/>
  <c r="P5568" i="29"/>
  <c r="N5568" i="29"/>
  <c r="G5568" i="29"/>
  <c r="F5568" i="29"/>
  <c r="Q5567" i="29"/>
  <c r="P5567" i="29"/>
  <c r="N5567" i="29"/>
  <c r="G5567" i="29"/>
  <c r="F5567" i="29"/>
  <c r="Q5571" i="29"/>
  <c r="P5571" i="29"/>
  <c r="N5571" i="29"/>
  <c r="G5571" i="29"/>
  <c r="F5571" i="29"/>
  <c r="Q5570" i="29"/>
  <c r="P5570" i="29"/>
  <c r="N5570" i="29"/>
  <c r="G5570" i="29"/>
  <c r="F5570" i="29"/>
  <c r="Q5569" i="29"/>
  <c r="P5569" i="29"/>
  <c r="N5569" i="29"/>
  <c r="G5569" i="29"/>
  <c r="F5569" i="29"/>
  <c r="Q5566" i="29"/>
  <c r="P5566" i="29"/>
  <c r="N5566" i="29"/>
  <c r="G5566" i="29"/>
  <c r="F5566" i="29"/>
  <c r="Q5565" i="29"/>
  <c r="P5565" i="29"/>
  <c r="N5565" i="29"/>
  <c r="G5565" i="29"/>
  <c r="F5565" i="29"/>
  <c r="Q5564" i="29"/>
  <c r="P5564" i="29"/>
  <c r="N5564" i="29"/>
  <c r="G5564" i="29"/>
  <c r="F5564" i="29"/>
  <c r="Q5616" i="29"/>
  <c r="P5616" i="29"/>
  <c r="N5616" i="29"/>
  <c r="G5616" i="29"/>
  <c r="F5616" i="29"/>
  <c r="Q5615" i="29"/>
  <c r="P5615" i="29"/>
  <c r="N5615" i="29"/>
  <c r="G5615" i="29"/>
  <c r="F5615" i="29"/>
  <c r="Q5614" i="29"/>
  <c r="P5614" i="29"/>
  <c r="N5614" i="29"/>
  <c r="G5614" i="29"/>
  <c r="F5614" i="29"/>
  <c r="Q5613" i="29"/>
  <c r="P5613" i="29"/>
  <c r="N5613" i="29"/>
  <c r="G5613" i="29"/>
  <c r="F5613" i="29"/>
  <c r="S5563" i="29"/>
  <c r="Q5563" i="29"/>
  <c r="T5563" i="29"/>
  <c r="P5563" i="29"/>
  <c r="G5563" i="29"/>
  <c r="J5563" i="29"/>
  <c r="F5563" i="29"/>
  <c r="Q5562" i="29"/>
  <c r="P5562" i="29"/>
  <c r="N5562" i="29"/>
  <c r="G5562" i="29"/>
  <c r="F5562" i="29"/>
  <c r="Q5561" i="29"/>
  <c r="S5561" i="29"/>
  <c r="G5561" i="29"/>
  <c r="F5561" i="29"/>
  <c r="Q5560" i="29"/>
  <c r="S5560" i="29"/>
  <c r="P5560" i="29"/>
  <c r="N5560" i="29"/>
  <c r="G5560" i="29"/>
  <c r="F5560" i="29"/>
  <c r="Q5559" i="29"/>
  <c r="P5559" i="29"/>
  <c r="N5559" i="29"/>
  <c r="G5559" i="29"/>
  <c r="F5559" i="29"/>
  <c r="Q5558" i="29"/>
  <c r="P5558" i="29"/>
  <c r="N5558" i="29"/>
  <c r="G5558" i="29"/>
  <c r="F5558" i="29"/>
  <c r="Q5557" i="29"/>
  <c r="P5557" i="29"/>
  <c r="N5557" i="29"/>
  <c r="G5557" i="29"/>
  <c r="F5557" i="29"/>
  <c r="Q5556" i="29"/>
  <c r="P5556" i="29"/>
  <c r="N5556" i="29"/>
  <c r="G5556" i="29"/>
  <c r="F5556" i="29"/>
  <c r="Q5555" i="29"/>
  <c r="P5555" i="29"/>
  <c r="N5555" i="29"/>
  <c r="G5555" i="29"/>
  <c r="F5555" i="29"/>
  <c r="Q5554" i="29"/>
  <c r="P5554" i="29"/>
  <c r="N5554" i="29"/>
  <c r="G5554" i="29"/>
  <c r="F5554" i="29"/>
  <c r="F5553" i="29"/>
  <c r="G5553" i="29"/>
  <c r="N5553" i="29"/>
  <c r="P5553" i="29"/>
  <c r="Q5553" i="29"/>
  <c r="S5553" i="29"/>
  <c r="Q5552" i="29"/>
  <c r="P5552" i="29"/>
  <c r="N5552" i="29"/>
  <c r="G5552" i="29"/>
  <c r="F5552" i="29"/>
  <c r="Q5551" i="29"/>
  <c r="P5551" i="29"/>
  <c r="N5551" i="29"/>
  <c r="G5551" i="29"/>
  <c r="F5551" i="29"/>
  <c r="Q5550" i="29"/>
  <c r="S5550" i="29"/>
  <c r="P5550" i="29"/>
  <c r="N5550" i="29"/>
  <c r="G5550" i="29"/>
  <c r="F5550" i="29"/>
  <c r="Q5549" i="29"/>
  <c r="P5549" i="29"/>
  <c r="N5549" i="29"/>
  <c r="G5549" i="29"/>
  <c r="F5549" i="29"/>
  <c r="Q5548" i="29"/>
  <c r="P5548" i="29"/>
  <c r="N5548" i="29"/>
  <c r="G5548" i="29"/>
  <c r="F5548" i="29"/>
  <c r="Q5547" i="29"/>
  <c r="P5547" i="29"/>
  <c r="N5547" i="29"/>
  <c r="G5547" i="29"/>
  <c r="F5547" i="29"/>
  <c r="Q5546" i="29"/>
  <c r="P5546" i="29"/>
  <c r="N5546" i="29"/>
  <c r="G5546" i="29"/>
  <c r="F5546" i="29"/>
  <c r="Q5545" i="29"/>
  <c r="P5545" i="29"/>
  <c r="N5545" i="29"/>
  <c r="G5545" i="29"/>
  <c r="F5545" i="29"/>
  <c r="W5544" i="29"/>
  <c r="N5544" i="29"/>
  <c r="Q5543" i="29"/>
  <c r="T5543" i="29"/>
  <c r="Q5542" i="29"/>
  <c r="N5543" i="29"/>
  <c r="N5542" i="29"/>
  <c r="N5541" i="29"/>
  <c r="N5540" i="29"/>
  <c r="N5539" i="29"/>
  <c r="G5543" i="29"/>
  <c r="F5543" i="29"/>
  <c r="P5543" i="29"/>
  <c r="F5542" i="29"/>
  <c r="G5542" i="29"/>
  <c r="G5541" i="29"/>
  <c r="F5541" i="29"/>
  <c r="G5540" i="29"/>
  <c r="F5540" i="29"/>
  <c r="Q5541" i="29"/>
  <c r="Q5540" i="29"/>
  <c r="G5539" i="29"/>
  <c r="F5539" i="29"/>
  <c r="Q5539" i="29"/>
  <c r="G5538" i="29"/>
  <c r="F5538" i="29"/>
  <c r="Q5538" i="29"/>
  <c r="P5542" i="29"/>
  <c r="P5541" i="29"/>
  <c r="P5540" i="29"/>
  <c r="P5539" i="29"/>
  <c r="P5538" i="29"/>
  <c r="N5538" i="29"/>
  <c r="G5537" i="29"/>
  <c r="F5537" i="29"/>
  <c r="G5536" i="29"/>
  <c r="F5536" i="29"/>
  <c r="Q5536" i="29"/>
  <c r="G5535" i="29"/>
  <c r="F5535" i="29"/>
  <c r="Q5535" i="29"/>
  <c r="P5535" i="29"/>
  <c r="N5535" i="29"/>
  <c r="G5534" i="29"/>
  <c r="F5534" i="29"/>
  <c r="Q5534" i="29"/>
  <c r="P5534" i="29"/>
  <c r="N5534" i="29"/>
  <c r="G5533" i="29"/>
  <c r="F5533" i="29"/>
  <c r="Q5533" i="29"/>
  <c r="P5533" i="29"/>
  <c r="N5533" i="29"/>
  <c r="Q5454" i="29"/>
  <c r="Q5455" i="29"/>
  <c r="Q5456" i="29"/>
  <c r="Q5457" i="29"/>
  <c r="Q5458" i="29"/>
  <c r="Q5459" i="29"/>
  <c r="Q5460" i="29"/>
  <c r="Q5461" i="29"/>
  <c r="Q5462" i="29"/>
  <c r="Q5463" i="29"/>
  <c r="S5463" i="29"/>
  <c r="Q5464" i="29"/>
  <c r="T5464" i="29"/>
  <c r="Q5465" i="29"/>
  <c r="Q5466" i="29"/>
  <c r="Q5467" i="29"/>
  <c r="Q5468" i="29"/>
  <c r="Q5469" i="29"/>
  <c r="Q5470" i="29"/>
  <c r="Q5471" i="29"/>
  <c r="Q5472" i="29"/>
  <c r="Q5473" i="29"/>
  <c r="S5473" i="29"/>
  <c r="Q5474" i="29"/>
  <c r="S5474" i="29"/>
  <c r="Q5475" i="29"/>
  <c r="Q5476" i="29"/>
  <c r="Q5477" i="29"/>
  <c r="Q5478" i="29"/>
  <c r="S5478" i="29"/>
  <c r="Q5479" i="29"/>
  <c r="Q5480" i="29"/>
  <c r="S5480" i="29"/>
  <c r="Q5481" i="29"/>
  <c r="Q5482" i="29"/>
  <c r="T5482" i="29"/>
  <c r="Q5483" i="29"/>
  <c r="Q5484" i="29"/>
  <c r="Q5485" i="29"/>
  <c r="S5485" i="29"/>
  <c r="Q5486" i="29"/>
  <c r="Q5487" i="29"/>
  <c r="Q5488" i="29"/>
  <c r="Q5489" i="29"/>
  <c r="Q5490" i="29"/>
  <c r="Q5491" i="29"/>
  <c r="Q5492" i="29"/>
  <c r="S5492" i="29"/>
  <c r="Q5493" i="29"/>
  <c r="T5493" i="29"/>
  <c r="Q5494" i="29"/>
  <c r="Q5495" i="29"/>
  <c r="S5495" i="29"/>
  <c r="Q5496" i="29"/>
  <c r="S5496" i="29"/>
  <c r="Q5497" i="29"/>
  <c r="Q5498" i="29"/>
  <c r="T5498" i="29"/>
  <c r="Q5499" i="29"/>
  <c r="Q5500" i="29"/>
  <c r="Q5501" i="29"/>
  <c r="Q5502" i="29"/>
  <c r="Q5503" i="29"/>
  <c r="Q5504" i="29"/>
  <c r="T5504" i="29"/>
  <c r="Q5505" i="29"/>
  <c r="Q5506" i="29"/>
  <c r="Q5507" i="29"/>
  <c r="S5507" i="29"/>
  <c r="Q5508" i="29"/>
  <c r="Q5509" i="29"/>
  <c r="S5509" i="29"/>
  <c r="Q5510" i="29"/>
  <c r="Q5511" i="29"/>
  <c r="Q5512" i="29"/>
  <c r="Q5513" i="29"/>
  <c r="Q5514" i="29"/>
  <c r="Q5515" i="29"/>
  <c r="T5515" i="29"/>
  <c r="Q5516" i="29"/>
  <c r="Q5517" i="29"/>
  <c r="Q5518" i="29"/>
  <c r="Q5519" i="29"/>
  <c r="S5519" i="29"/>
  <c r="Q5520" i="29"/>
  <c r="Q5521" i="29"/>
  <c r="Q5522" i="29"/>
  <c r="S5522" i="29"/>
  <c r="Q5523" i="29"/>
  <c r="Q5524" i="29"/>
  <c r="S5524" i="29"/>
  <c r="Q5525" i="29"/>
  <c r="Q5526" i="29"/>
  <c r="Q5527" i="29"/>
  <c r="Q5528" i="29"/>
  <c r="Q5529" i="29"/>
  <c r="Q5530" i="29"/>
  <c r="Q5531" i="29"/>
  <c r="Q5532" i="29"/>
  <c r="P5454" i="29"/>
  <c r="P5455" i="29"/>
  <c r="P5456" i="29"/>
  <c r="P5457" i="29"/>
  <c r="P5458" i="29"/>
  <c r="P5459" i="29"/>
  <c r="P5460" i="29"/>
  <c r="P5461" i="29"/>
  <c r="P5462" i="29"/>
  <c r="P5463" i="29"/>
  <c r="P5464" i="29"/>
  <c r="P5465" i="29"/>
  <c r="P5466" i="29"/>
  <c r="P5467" i="29"/>
  <c r="P5468" i="29"/>
  <c r="P5469" i="29"/>
  <c r="P5470" i="29"/>
  <c r="P5471" i="29"/>
  <c r="P5472" i="29"/>
  <c r="P5473" i="29"/>
  <c r="P5474" i="29"/>
  <c r="P5475" i="29"/>
  <c r="P5476" i="29"/>
  <c r="P5477" i="29"/>
  <c r="P5478" i="29"/>
  <c r="P5479" i="29"/>
  <c r="P5480" i="29"/>
  <c r="P5481" i="29"/>
  <c r="P5482" i="29"/>
  <c r="P5483" i="29"/>
  <c r="P5484" i="29"/>
  <c r="P5485" i="29"/>
  <c r="P5486" i="29"/>
  <c r="P5487" i="29"/>
  <c r="P5488" i="29"/>
  <c r="P5489" i="29"/>
  <c r="P5490" i="29"/>
  <c r="P5491" i="29"/>
  <c r="P5492" i="29"/>
  <c r="P5493" i="29"/>
  <c r="P5494" i="29"/>
  <c r="P5495" i="29"/>
  <c r="P5496" i="29"/>
  <c r="P5497" i="29"/>
  <c r="P5498" i="29"/>
  <c r="P5499" i="29"/>
  <c r="P5500" i="29"/>
  <c r="P5501" i="29"/>
  <c r="P5502" i="29"/>
  <c r="P5503" i="29"/>
  <c r="P5504" i="29"/>
  <c r="P5505" i="29"/>
  <c r="P5506" i="29"/>
  <c r="P5507" i="29"/>
  <c r="P5508" i="29"/>
  <c r="P5509" i="29"/>
  <c r="P5510" i="29"/>
  <c r="P5511" i="29"/>
  <c r="P5512" i="29"/>
  <c r="P5513" i="29"/>
  <c r="P5514" i="29"/>
  <c r="P5515" i="29"/>
  <c r="P5516" i="29"/>
  <c r="P5517" i="29"/>
  <c r="P5518" i="29"/>
  <c r="P5519" i="29"/>
  <c r="P5520" i="29"/>
  <c r="P5521" i="29"/>
  <c r="P5522" i="29"/>
  <c r="P5523" i="29"/>
  <c r="P5524" i="29"/>
  <c r="P5525" i="29"/>
  <c r="P5526" i="29"/>
  <c r="P5527" i="29"/>
  <c r="P5528" i="29"/>
  <c r="P5529" i="29"/>
  <c r="P5530" i="29"/>
  <c r="N5454" i="29"/>
  <c r="N5455" i="29"/>
  <c r="N5456" i="29"/>
  <c r="N5457" i="29"/>
  <c r="N5458" i="29"/>
  <c r="N5459" i="29"/>
  <c r="N5460" i="29"/>
  <c r="N5461" i="29"/>
  <c r="N5462" i="29"/>
  <c r="N5463" i="29"/>
  <c r="N5464" i="29"/>
  <c r="N5465" i="29"/>
  <c r="N5466" i="29"/>
  <c r="N5467" i="29"/>
  <c r="N5468" i="29"/>
  <c r="N5469" i="29"/>
  <c r="N5470" i="29"/>
  <c r="N5471" i="29"/>
  <c r="N5472" i="29"/>
  <c r="N5473" i="29"/>
  <c r="N5474" i="29"/>
  <c r="N5475" i="29"/>
  <c r="N5476" i="29"/>
  <c r="N5477" i="29"/>
  <c r="N5478" i="29"/>
  <c r="N5479" i="29"/>
  <c r="N5480" i="29"/>
  <c r="N5481" i="29"/>
  <c r="N5482" i="29"/>
  <c r="N5483" i="29"/>
  <c r="N5484" i="29"/>
  <c r="N5485" i="29"/>
  <c r="N5486" i="29"/>
  <c r="N5487" i="29"/>
  <c r="N5488" i="29"/>
  <c r="N5489" i="29"/>
  <c r="N5490" i="29"/>
  <c r="N5491" i="29"/>
  <c r="N5492" i="29"/>
  <c r="N5493" i="29"/>
  <c r="N5494" i="29"/>
  <c r="N5495" i="29"/>
  <c r="N5496" i="29"/>
  <c r="N5497" i="29"/>
  <c r="N5498" i="29"/>
  <c r="N5499" i="29"/>
  <c r="N5500" i="29"/>
  <c r="N5501" i="29"/>
  <c r="N5502" i="29"/>
  <c r="N5503" i="29"/>
  <c r="N5504" i="29"/>
  <c r="N5505" i="29"/>
  <c r="N5506" i="29"/>
  <c r="N5507" i="29"/>
  <c r="N5508" i="29"/>
  <c r="N5509" i="29"/>
  <c r="N5510" i="29"/>
  <c r="N5511" i="29"/>
  <c r="N5512" i="29"/>
  <c r="N5513" i="29"/>
  <c r="N5514" i="29"/>
  <c r="N5515" i="29"/>
  <c r="N5516" i="29"/>
  <c r="N5517" i="29"/>
  <c r="N5518" i="29"/>
  <c r="N5519" i="29"/>
  <c r="N5520" i="29"/>
  <c r="N5521" i="29"/>
  <c r="N5522" i="29"/>
  <c r="N5523" i="29"/>
  <c r="N5524" i="29"/>
  <c r="N5525" i="29"/>
  <c r="N5526" i="29"/>
  <c r="N5527" i="29"/>
  <c r="N5528" i="29"/>
  <c r="Q5453" i="29"/>
  <c r="P5453" i="29"/>
  <c r="N5453" i="29"/>
  <c r="F5454" i="29"/>
  <c r="G5454" i="29"/>
  <c r="F5455" i="29"/>
  <c r="G5455" i="29"/>
  <c r="F5456" i="29"/>
  <c r="G5456" i="29"/>
  <c r="F5457" i="29"/>
  <c r="G5457" i="29"/>
  <c r="F5458" i="29"/>
  <c r="G5458" i="29"/>
  <c r="F5459" i="29"/>
  <c r="G5459" i="29"/>
  <c r="F5460" i="29"/>
  <c r="G5460" i="29"/>
  <c r="F5461" i="29"/>
  <c r="G5461" i="29"/>
  <c r="F5462" i="29"/>
  <c r="G5462" i="29"/>
  <c r="F5463" i="29"/>
  <c r="G5463" i="29"/>
  <c r="F5464" i="29"/>
  <c r="G5464" i="29"/>
  <c r="F5465" i="29"/>
  <c r="G5465" i="29"/>
  <c r="F5466" i="29"/>
  <c r="G5466" i="29"/>
  <c r="F5467" i="29"/>
  <c r="G5467" i="29"/>
  <c r="F5468" i="29"/>
  <c r="G5468" i="29"/>
  <c r="F5469" i="29"/>
  <c r="G5469" i="29"/>
  <c r="F5470" i="29"/>
  <c r="G5470" i="29"/>
  <c r="F5471" i="29"/>
  <c r="G5471" i="29"/>
  <c r="F5472" i="29"/>
  <c r="G5472" i="29"/>
  <c r="F5473" i="29"/>
  <c r="G5473" i="29"/>
  <c r="F5474" i="29"/>
  <c r="G5474" i="29"/>
  <c r="F5475" i="29"/>
  <c r="G5475" i="29"/>
  <c r="F5476" i="29"/>
  <c r="G5476" i="29"/>
  <c r="F5477" i="29"/>
  <c r="G5477" i="29"/>
  <c r="F5478" i="29"/>
  <c r="G5478" i="29"/>
  <c r="F5479" i="29"/>
  <c r="G5479" i="29"/>
  <c r="F5480" i="29"/>
  <c r="G5480" i="29"/>
  <c r="F5481" i="29"/>
  <c r="G5481" i="29"/>
  <c r="F5482" i="29"/>
  <c r="G5482" i="29"/>
  <c r="F5483" i="29"/>
  <c r="G5483" i="29"/>
  <c r="F5484" i="29"/>
  <c r="G5484" i="29"/>
  <c r="F5485" i="29"/>
  <c r="G5485" i="29"/>
  <c r="F5486" i="29"/>
  <c r="G5486" i="29"/>
  <c r="F5487" i="29"/>
  <c r="G5487" i="29"/>
  <c r="F5488" i="29"/>
  <c r="G5488" i="29"/>
  <c r="F5489" i="29"/>
  <c r="G5489" i="29"/>
  <c r="F5490" i="29"/>
  <c r="G5490" i="29"/>
  <c r="F5491" i="29"/>
  <c r="G5491" i="29"/>
  <c r="F5492" i="29"/>
  <c r="G5492" i="29"/>
  <c r="F5493" i="29"/>
  <c r="G5493" i="29"/>
  <c r="F5494" i="29"/>
  <c r="G5494" i="29"/>
  <c r="F5495" i="29"/>
  <c r="G5495" i="29"/>
  <c r="F5496" i="29"/>
  <c r="G5496" i="29"/>
  <c r="F5497" i="29"/>
  <c r="G5497" i="29"/>
  <c r="F5498" i="29"/>
  <c r="G5498" i="29"/>
  <c r="F5499" i="29"/>
  <c r="G5499" i="29"/>
  <c r="F5500" i="29"/>
  <c r="G5500" i="29"/>
  <c r="F5501" i="29"/>
  <c r="G5501" i="29"/>
  <c r="F5502" i="29"/>
  <c r="G5502" i="29"/>
  <c r="F5503" i="29"/>
  <c r="G5503" i="29"/>
  <c r="F5504" i="29"/>
  <c r="G5504" i="29"/>
  <c r="F5505" i="29"/>
  <c r="G5505" i="29"/>
  <c r="F5506" i="29"/>
  <c r="G5506" i="29"/>
  <c r="F5507" i="29"/>
  <c r="G5507" i="29"/>
  <c r="F5508" i="29"/>
  <c r="G5508" i="29"/>
  <c r="F5509" i="29"/>
  <c r="G5509" i="29"/>
  <c r="F5510" i="29"/>
  <c r="G5510" i="29"/>
  <c r="F5511" i="29"/>
  <c r="G5511" i="29"/>
  <c r="F5512" i="29"/>
  <c r="G5512" i="29"/>
  <c r="F5513" i="29"/>
  <c r="G5513" i="29"/>
  <c r="F5514" i="29"/>
  <c r="G5514" i="29"/>
  <c r="F5515" i="29"/>
  <c r="G5515" i="29"/>
  <c r="F5516" i="29"/>
  <c r="G5516" i="29"/>
  <c r="F5517" i="29"/>
  <c r="G5517" i="29"/>
  <c r="F5518" i="29"/>
  <c r="G5518" i="29"/>
  <c r="F5519" i="29"/>
  <c r="G5519" i="29"/>
  <c r="F5520" i="29"/>
  <c r="G5520" i="29"/>
  <c r="F5521" i="29"/>
  <c r="G5521" i="29"/>
  <c r="F5522" i="29"/>
  <c r="G5522" i="29"/>
  <c r="F5523" i="29"/>
  <c r="G5523" i="29"/>
  <c r="F5524" i="29"/>
  <c r="G5524" i="29"/>
  <c r="F5525" i="29"/>
  <c r="G5525" i="29"/>
  <c r="F5526" i="29"/>
  <c r="G5526" i="29"/>
  <c r="F5527" i="29"/>
  <c r="G5527" i="29"/>
  <c r="F5528" i="29"/>
  <c r="G5528" i="29"/>
  <c r="F5529" i="29"/>
  <c r="G5529" i="29"/>
  <c r="F5530" i="29"/>
  <c r="G5530" i="29"/>
  <c r="F5531" i="29"/>
  <c r="G5531" i="29"/>
  <c r="F5532" i="29"/>
  <c r="G5532" i="29"/>
  <c r="F5453" i="29"/>
  <c r="G5453" i="29"/>
  <c r="R5521" i="29"/>
  <c r="W5452" i="29"/>
  <c r="N5452" i="29"/>
  <c r="R5289" i="29"/>
  <c r="N5068" i="29"/>
  <c r="N5067" i="29"/>
  <c r="N5051" i="29"/>
  <c r="F5051" i="29"/>
  <c r="G5051" i="29"/>
  <c r="Q5051" i="29"/>
  <c r="S5051" i="29"/>
  <c r="P5051" i="29"/>
  <c r="N5052" i="29"/>
  <c r="F5052" i="29"/>
  <c r="G5052" i="29"/>
  <c r="Q5052" i="29"/>
  <c r="P5052" i="29"/>
  <c r="R5050" i="29"/>
  <c r="N4956" i="29"/>
  <c r="N4955" i="29"/>
  <c r="Q5057" i="29"/>
  <c r="Q5056" i="29"/>
  <c r="Q5055" i="29"/>
  <c r="Q5054" i="29"/>
  <c r="Q5053" i="29"/>
  <c r="Q5050" i="29"/>
  <c r="N5057" i="29"/>
  <c r="N5056" i="29"/>
  <c r="N5055" i="29"/>
  <c r="N5054" i="29"/>
  <c r="N5053" i="29"/>
  <c r="F5057" i="29"/>
  <c r="G5057" i="29"/>
  <c r="F5056" i="29"/>
  <c r="G5056" i="29"/>
  <c r="F5055" i="29"/>
  <c r="G5055" i="29"/>
  <c r="F5054" i="29"/>
  <c r="G5054" i="29"/>
  <c r="P5057" i="29"/>
  <c r="P5056" i="29"/>
  <c r="P5055" i="29"/>
  <c r="P5054" i="29"/>
  <c r="F5053" i="29"/>
  <c r="G5053" i="29"/>
  <c r="P5053" i="29"/>
  <c r="N5050" i="29"/>
  <c r="P5050" i="29"/>
  <c r="F5050" i="29"/>
  <c r="G5050" i="29"/>
  <c r="Q5058" i="29"/>
  <c r="P5058" i="29"/>
  <c r="N5058" i="29"/>
  <c r="G5058" i="29"/>
  <c r="F5058" i="29"/>
  <c r="Q5152" i="29"/>
  <c r="R5041" i="29"/>
  <c r="N4977" i="29"/>
  <c r="F4977" i="29"/>
  <c r="G4977" i="29"/>
  <c r="Q4977" i="29"/>
  <c r="T4977" i="29"/>
  <c r="P4977" i="29"/>
  <c r="F5069" i="29"/>
  <c r="G5069" i="29"/>
  <c r="Q5069" i="29"/>
  <c r="S5069" i="29"/>
  <c r="P5069" i="29"/>
  <c r="F5068" i="29"/>
  <c r="G5068" i="29"/>
  <c r="Q5068" i="29"/>
  <c r="P5068" i="29"/>
  <c r="F5067" i="29"/>
  <c r="G5067" i="29"/>
  <c r="Q5067" i="29"/>
  <c r="P5067" i="29"/>
  <c r="N4978" i="29"/>
  <c r="N4903" i="29"/>
  <c r="F4976" i="29"/>
  <c r="G4976" i="29"/>
  <c r="Q4976" i="29"/>
  <c r="P4976" i="29"/>
  <c r="N4976" i="29"/>
  <c r="N5138" i="29"/>
  <c r="N5136" i="29"/>
  <c r="N5135" i="29"/>
  <c r="N5134" i="29"/>
  <c r="N5133" i="29"/>
  <c r="N5131" i="29"/>
  <c r="N5129" i="29"/>
  <c r="N5127" i="29"/>
  <c r="N5125" i="29"/>
  <c r="F5136" i="29"/>
  <c r="G5136" i="29"/>
  <c r="F5135" i="29"/>
  <c r="G5135" i="29"/>
  <c r="F5134" i="29"/>
  <c r="G5134" i="29"/>
  <c r="F5133" i="29"/>
  <c r="G5133" i="29"/>
  <c r="F5131" i="29"/>
  <c r="G5131" i="29"/>
  <c r="Q5136" i="29"/>
  <c r="Q5135" i="29"/>
  <c r="Q5134" i="29"/>
  <c r="Q5133" i="29"/>
  <c r="Q5131" i="29"/>
  <c r="P5136" i="29"/>
  <c r="P5135" i="29"/>
  <c r="P5134" i="29"/>
  <c r="P5133" i="29"/>
  <c r="P5131" i="29"/>
  <c r="F5129" i="29"/>
  <c r="G5129" i="29"/>
  <c r="Q5129" i="29"/>
  <c r="P5129" i="29"/>
  <c r="F5127" i="29"/>
  <c r="G5127" i="29"/>
  <c r="F5125" i="29"/>
  <c r="G5125" i="29"/>
  <c r="Q5127" i="29"/>
  <c r="Q5125" i="29"/>
  <c r="P5127" i="29"/>
  <c r="P5125" i="29"/>
  <c r="P5152" i="29"/>
  <c r="N5152" i="29"/>
  <c r="N5266" i="29"/>
  <c r="N5265" i="29"/>
  <c r="N5264" i="29"/>
  <c r="N5263" i="29"/>
  <c r="N5267" i="29"/>
  <c r="F457" i="31"/>
  <c r="F456" i="31"/>
  <c r="F455" i="31"/>
  <c r="G455" i="31"/>
  <c r="H455" i="31"/>
  <c r="F454" i="31"/>
  <c r="F453" i="31"/>
  <c r="F452" i="31"/>
  <c r="F451" i="31"/>
  <c r="G451" i="31"/>
  <c r="H451" i="31"/>
  <c r="F450" i="31"/>
  <c r="G450" i="31"/>
  <c r="H450" i="31"/>
  <c r="F449" i="31"/>
  <c r="G449" i="31"/>
  <c r="H449" i="31"/>
  <c r="F448" i="31"/>
  <c r="F447" i="31"/>
  <c r="F446" i="31"/>
  <c r="F445" i="31"/>
  <c r="F444" i="31"/>
  <c r="F443" i="31"/>
  <c r="F442" i="31"/>
  <c r="F441" i="31"/>
  <c r="F440" i="31"/>
  <c r="F439" i="31"/>
  <c r="F438" i="31"/>
  <c r="F437" i="31"/>
  <c r="F436" i="31"/>
  <c r="F435" i="31"/>
  <c r="F434" i="31"/>
  <c r="F433" i="31"/>
  <c r="F432" i="31"/>
  <c r="F431" i="31"/>
  <c r="F430" i="31"/>
  <c r="F429" i="31"/>
  <c r="F428" i="31"/>
  <c r="F427" i="31"/>
  <c r="F426" i="31"/>
  <c r="G426" i="31"/>
  <c r="H426" i="31"/>
  <c r="F425" i="31"/>
  <c r="G425" i="31"/>
  <c r="H425" i="31"/>
  <c r="F424" i="31"/>
  <c r="G424" i="31"/>
  <c r="H424" i="31"/>
  <c r="F423" i="31"/>
  <c r="F422" i="31"/>
  <c r="F5267" i="29"/>
  <c r="G5267" i="29"/>
  <c r="Q5267" i="29"/>
  <c r="P5267" i="29"/>
  <c r="F5266" i="29"/>
  <c r="G5266" i="29"/>
  <c r="Q5266" i="29"/>
  <c r="P5266" i="29"/>
  <c r="F5265" i="29"/>
  <c r="G5265" i="29"/>
  <c r="Q5265" i="29"/>
  <c r="P5265" i="29"/>
  <c r="F5264" i="29"/>
  <c r="G5264" i="29"/>
  <c r="Q5264" i="29"/>
  <c r="P5264" i="29"/>
  <c r="N5447" i="29"/>
  <c r="N5446" i="29"/>
  <c r="F5447" i="29"/>
  <c r="G5447" i="29"/>
  <c r="Q5447" i="29"/>
  <c r="P5447" i="29"/>
  <c r="F5446" i="29"/>
  <c r="G5446" i="29"/>
  <c r="Q5446" i="29"/>
  <c r="P5446" i="29"/>
  <c r="R5445" i="29"/>
  <c r="P5263" i="29"/>
  <c r="F421" i="31"/>
  <c r="F420" i="31"/>
  <c r="F419" i="31"/>
  <c r="F418" i="31"/>
  <c r="F417" i="31"/>
  <c r="F416" i="31"/>
  <c r="F415" i="31"/>
  <c r="F414" i="31"/>
  <c r="F413" i="31"/>
  <c r="G413" i="31"/>
  <c r="H413" i="31"/>
  <c r="F412" i="31"/>
  <c r="F411" i="31"/>
  <c r="N5442" i="29"/>
  <c r="Q5402" i="29"/>
  <c r="P5402" i="29"/>
  <c r="Q5182" i="29"/>
  <c r="S5182" i="29"/>
  <c r="P5182" i="29"/>
  <c r="Q5376" i="29"/>
  <c r="Q5377" i="29"/>
  <c r="Q5378" i="29"/>
  <c r="Q5379" i="29"/>
  <c r="Q5380" i="29"/>
  <c r="Q5381" i="29"/>
  <c r="Q5382" i="29"/>
  <c r="S5382" i="29"/>
  <c r="Q5383" i="29"/>
  <c r="Q5384" i="29"/>
  <c r="Q5385" i="29"/>
  <c r="Q5386" i="29"/>
  <c r="Q5387" i="29"/>
  <c r="Q5388" i="29"/>
  <c r="Q5389" i="29"/>
  <c r="T5389" i="29"/>
  <c r="Q5390" i="29"/>
  <c r="Q5391" i="29"/>
  <c r="Q5392" i="29"/>
  <c r="Q5393" i="29"/>
  <c r="Q5394" i="29"/>
  <c r="T5394" i="29"/>
  <c r="Q5395" i="29"/>
  <c r="Q5396" i="29"/>
  <c r="Q5397" i="29"/>
  <c r="T5397" i="29"/>
  <c r="Q5398" i="29"/>
  <c r="T5398" i="29"/>
  <c r="Q5399" i="29"/>
  <c r="Q5400" i="29"/>
  <c r="Q5401" i="29"/>
  <c r="Q5403" i="29"/>
  <c r="Q5404" i="29"/>
  <c r="T5404" i="29"/>
  <c r="Q5405" i="29"/>
  <c r="Q5406" i="29"/>
  <c r="Q5407" i="29"/>
  <c r="S5407" i="29"/>
  <c r="Q5408" i="29"/>
  <c r="Q5409" i="29"/>
  <c r="Q5410" i="29"/>
  <c r="Q5411" i="29"/>
  <c r="Q5412" i="29"/>
  <c r="Q5413" i="29"/>
  <c r="Q5414" i="29"/>
  <c r="Q5415" i="29"/>
  <c r="Q5416" i="29"/>
  <c r="S5416" i="29"/>
  <c r="Q5417" i="29"/>
  <c r="Q5418" i="29"/>
  <c r="T5418" i="29"/>
  <c r="Q5419" i="29"/>
  <c r="Q5420" i="29"/>
  <c r="Q5421" i="29"/>
  <c r="Q5422" i="29"/>
  <c r="Q5423" i="29"/>
  <c r="Q5424" i="29"/>
  <c r="Q5425" i="29"/>
  <c r="Q5426" i="29"/>
  <c r="Q5427" i="29"/>
  <c r="Q5428" i="29"/>
  <c r="Q5429" i="29"/>
  <c r="Q5430" i="29"/>
  <c r="S5430" i="29"/>
  <c r="Q5431" i="29"/>
  <c r="T5431" i="29"/>
  <c r="Q5432" i="29"/>
  <c r="Q5433" i="29"/>
  <c r="T5433" i="29"/>
  <c r="Q5434" i="29"/>
  <c r="Q5435" i="29"/>
  <c r="Q5436" i="29"/>
  <c r="Q5437" i="29"/>
  <c r="Q5438" i="29"/>
  <c r="Q5439" i="29"/>
  <c r="Q5440" i="29"/>
  <c r="Q5441" i="29"/>
  <c r="T5441" i="29"/>
  <c r="Q5442" i="29"/>
  <c r="Q5443" i="29"/>
  <c r="Q5444" i="29"/>
  <c r="T5444" i="29"/>
  <c r="Q5445" i="29"/>
  <c r="Q5448" i="29"/>
  <c r="Q5449" i="29"/>
  <c r="S5449" i="29"/>
  <c r="Q5450" i="29"/>
  <c r="Q5451" i="29"/>
  <c r="F5445" i="29"/>
  <c r="G5375" i="29"/>
  <c r="F5375" i="29"/>
  <c r="F5451" i="29"/>
  <c r="G5451" i="29"/>
  <c r="P5451" i="29"/>
  <c r="N5451" i="29"/>
  <c r="P5450" i="29"/>
  <c r="N5450" i="29"/>
  <c r="G5450" i="29"/>
  <c r="F5450" i="29"/>
  <c r="P5449" i="29"/>
  <c r="N5449" i="29"/>
  <c r="G5449" i="29"/>
  <c r="J5449" i="29"/>
  <c r="F5449" i="29"/>
  <c r="F5448" i="29"/>
  <c r="G5448" i="29"/>
  <c r="P5448" i="29"/>
  <c r="N5448" i="29"/>
  <c r="G5380" i="29"/>
  <c r="F5380" i="29"/>
  <c r="G5379" i="29"/>
  <c r="F5379" i="29"/>
  <c r="G5378" i="29"/>
  <c r="F5378" i="29"/>
  <c r="G5377" i="29"/>
  <c r="F5377" i="29"/>
  <c r="G5376" i="29"/>
  <c r="F5376" i="29"/>
  <c r="P5445" i="29"/>
  <c r="N5445" i="29"/>
  <c r="F5442" i="29"/>
  <c r="G5442" i="29"/>
  <c r="F5441" i="29"/>
  <c r="G5441" i="29"/>
  <c r="N5441" i="29"/>
  <c r="P5444" i="29"/>
  <c r="N5444" i="29"/>
  <c r="G5444" i="29"/>
  <c r="F5444" i="29"/>
  <c r="P5443" i="29"/>
  <c r="N5443" i="29"/>
  <c r="G5443" i="29"/>
  <c r="F5443" i="29"/>
  <c r="P5442" i="29"/>
  <c r="P5441" i="29"/>
  <c r="P5440" i="29"/>
  <c r="N5440" i="29"/>
  <c r="G5440" i="29"/>
  <c r="F5440" i="29"/>
  <c r="P5439" i="29"/>
  <c r="N5439" i="29"/>
  <c r="G5439" i="29"/>
  <c r="F5439" i="29"/>
  <c r="P5438" i="29"/>
  <c r="N5438" i="29"/>
  <c r="G5438" i="29"/>
  <c r="F5438" i="29"/>
  <c r="P5437" i="29"/>
  <c r="N5437" i="29"/>
  <c r="G5437" i="29"/>
  <c r="F5437" i="29"/>
  <c r="P5436" i="29"/>
  <c r="N5436" i="29"/>
  <c r="G5436" i="29"/>
  <c r="F5436" i="29"/>
  <c r="P5435" i="29"/>
  <c r="N5435" i="29"/>
  <c r="G5435" i="29"/>
  <c r="F5435" i="29"/>
  <c r="P5434" i="29"/>
  <c r="N5434" i="29"/>
  <c r="G5434" i="29"/>
  <c r="F5434" i="29"/>
  <c r="P5426" i="29"/>
  <c r="N5426" i="29"/>
  <c r="G5426" i="29"/>
  <c r="F5426" i="29"/>
  <c r="P5433" i="29"/>
  <c r="N5433" i="29"/>
  <c r="G5433" i="29"/>
  <c r="F5433" i="29"/>
  <c r="P5432" i="29"/>
  <c r="N5432" i="29"/>
  <c r="G5432" i="29"/>
  <c r="F5432" i="29"/>
  <c r="P5430" i="29"/>
  <c r="N5430" i="29"/>
  <c r="G5430" i="29"/>
  <c r="F5430" i="29"/>
  <c r="P5431" i="29"/>
  <c r="N5431" i="29"/>
  <c r="G5431" i="29"/>
  <c r="F5431" i="29"/>
  <c r="P5429" i="29"/>
  <c r="N5429" i="29"/>
  <c r="G5429" i="29"/>
  <c r="F5429" i="29"/>
  <c r="P5428" i="29"/>
  <c r="N5428" i="29"/>
  <c r="G5428" i="29"/>
  <c r="F5428" i="29"/>
  <c r="P5427" i="29"/>
  <c r="N5427" i="29"/>
  <c r="G5427" i="29"/>
  <c r="F5427" i="29"/>
  <c r="P5425" i="29"/>
  <c r="N5425" i="29"/>
  <c r="G5425" i="29"/>
  <c r="F5425" i="29"/>
  <c r="P5424" i="29"/>
  <c r="N5424" i="29"/>
  <c r="G5424" i="29"/>
  <c r="F5424" i="29"/>
  <c r="P5423" i="29"/>
  <c r="N5423" i="29"/>
  <c r="G5423" i="29"/>
  <c r="F5423" i="29"/>
  <c r="P5422" i="29"/>
  <c r="N5422" i="29"/>
  <c r="G5422" i="29"/>
  <c r="F5422" i="29"/>
  <c r="P5421" i="29"/>
  <c r="N5421" i="29"/>
  <c r="G5421" i="29"/>
  <c r="F5421" i="29"/>
  <c r="P5420" i="29"/>
  <c r="N5420" i="29"/>
  <c r="G5420" i="29"/>
  <c r="F5420" i="29"/>
  <c r="P5419" i="29"/>
  <c r="N5419" i="29"/>
  <c r="G5419" i="29"/>
  <c r="F5419" i="29"/>
  <c r="P5418" i="29"/>
  <c r="N5418" i="29"/>
  <c r="G5418" i="29"/>
  <c r="F5418" i="29"/>
  <c r="P5417" i="29"/>
  <c r="N5417" i="29"/>
  <c r="G5417" i="29"/>
  <c r="F5417" i="29"/>
  <c r="P5416" i="29"/>
  <c r="N5416" i="29"/>
  <c r="G5416" i="29"/>
  <c r="F5416" i="29"/>
  <c r="P5415" i="29"/>
  <c r="N5415" i="29"/>
  <c r="G5415" i="29"/>
  <c r="F5415" i="29"/>
  <c r="R5414" i="29"/>
  <c r="P5414" i="29"/>
  <c r="N5414" i="29"/>
  <c r="G5414" i="29"/>
  <c r="F5414" i="29"/>
  <c r="P5413" i="29"/>
  <c r="N5413" i="29"/>
  <c r="G5413" i="29"/>
  <c r="F5413" i="29"/>
  <c r="P5412" i="29"/>
  <c r="N5412" i="29"/>
  <c r="G5412" i="29"/>
  <c r="F5412" i="29"/>
  <c r="P5411" i="29"/>
  <c r="N5411" i="29"/>
  <c r="G5411" i="29"/>
  <c r="F5411" i="29"/>
  <c r="P5410" i="29"/>
  <c r="N5410" i="29"/>
  <c r="G5410" i="29"/>
  <c r="F5410" i="29"/>
  <c r="P5409" i="29"/>
  <c r="N5409" i="29"/>
  <c r="G5409" i="29"/>
  <c r="F5409" i="29"/>
  <c r="P5408" i="29"/>
  <c r="N5408" i="29"/>
  <c r="G5408" i="29"/>
  <c r="F5408" i="29"/>
  <c r="P5406" i="29"/>
  <c r="N5406" i="29"/>
  <c r="G5406" i="29"/>
  <c r="F5406" i="29"/>
  <c r="P5407" i="29"/>
  <c r="G5407" i="29"/>
  <c r="F5407" i="29"/>
  <c r="P5405" i="29"/>
  <c r="N5405" i="29"/>
  <c r="G5405" i="29"/>
  <c r="F5405" i="29"/>
  <c r="P5404" i="29"/>
  <c r="N5404" i="29"/>
  <c r="G5404" i="29"/>
  <c r="F5404" i="29"/>
  <c r="P5403" i="29"/>
  <c r="N5403" i="29"/>
  <c r="G5403" i="29"/>
  <c r="F5403" i="29"/>
  <c r="N5402" i="29"/>
  <c r="G5402" i="29"/>
  <c r="F5402" i="29"/>
  <c r="N5401" i="29"/>
  <c r="G5401" i="29"/>
  <c r="F5401" i="29"/>
  <c r="G5400" i="29"/>
  <c r="F5400" i="29"/>
  <c r="N5399" i="29"/>
  <c r="G5399" i="29"/>
  <c r="F5399" i="29"/>
  <c r="P5398" i="29"/>
  <c r="N5398" i="29"/>
  <c r="G5398" i="29"/>
  <c r="F5398" i="29"/>
  <c r="P5397" i="29"/>
  <c r="N5397" i="29"/>
  <c r="G5397" i="29"/>
  <c r="F5397" i="29"/>
  <c r="P5396" i="29"/>
  <c r="N5396" i="29"/>
  <c r="G5396" i="29"/>
  <c r="F5396" i="29"/>
  <c r="P5395" i="29"/>
  <c r="N5395" i="29"/>
  <c r="G5395" i="29"/>
  <c r="F5395" i="29"/>
  <c r="P5394" i="29"/>
  <c r="N5394" i="29"/>
  <c r="G5394" i="29"/>
  <c r="F5394" i="29"/>
  <c r="P5393" i="29"/>
  <c r="N5393" i="29"/>
  <c r="G5393" i="29"/>
  <c r="F5393" i="29"/>
  <c r="F5392" i="29"/>
  <c r="G5392" i="29"/>
  <c r="F5391" i="29"/>
  <c r="G5391" i="29"/>
  <c r="F5390" i="29"/>
  <c r="G5390" i="29"/>
  <c r="P5389" i="29"/>
  <c r="N5389" i="29"/>
  <c r="G5389" i="29"/>
  <c r="F5389" i="29"/>
  <c r="P5388" i="29"/>
  <c r="N5388" i="29"/>
  <c r="G5388" i="29"/>
  <c r="F5388" i="29"/>
  <c r="P5387" i="29"/>
  <c r="N5387" i="29"/>
  <c r="G5387" i="29"/>
  <c r="F5387" i="29"/>
  <c r="P5386" i="29"/>
  <c r="N5386" i="29"/>
  <c r="G5386" i="29"/>
  <c r="F5386" i="29"/>
  <c r="P5385" i="29"/>
  <c r="N5385" i="29"/>
  <c r="G5385" i="29"/>
  <c r="F5385" i="29"/>
  <c r="P5384" i="29"/>
  <c r="N5384" i="29"/>
  <c r="G5384" i="29"/>
  <c r="F5384" i="29"/>
  <c r="P5383" i="29"/>
  <c r="N5383" i="29"/>
  <c r="G5383" i="29"/>
  <c r="F5383" i="29"/>
  <c r="G5382" i="29"/>
  <c r="F5382" i="29"/>
  <c r="P5381" i="29"/>
  <c r="N5381" i="29"/>
  <c r="G5381" i="29"/>
  <c r="F5381" i="29"/>
  <c r="W5374" i="29"/>
  <c r="N5374" i="29"/>
  <c r="F762" i="31"/>
  <c r="F761" i="31"/>
  <c r="R5327" i="29"/>
  <c r="P5332" i="29"/>
  <c r="P5331" i="29"/>
  <c r="P5330" i="29"/>
  <c r="P5339" i="29"/>
  <c r="P5338" i="29"/>
  <c r="P5337" i="29"/>
  <c r="P5336" i="29"/>
  <c r="P5335" i="29"/>
  <c r="P5334" i="29"/>
  <c r="G420" i="31"/>
  <c r="H420" i="31"/>
  <c r="G5445" i="29"/>
  <c r="Q5364" i="29"/>
  <c r="P5364" i="29"/>
  <c r="N5364" i="29"/>
  <c r="G5364" i="29"/>
  <c r="F5364" i="29"/>
  <c r="F5373" i="29"/>
  <c r="G5373" i="29"/>
  <c r="F5372" i="29"/>
  <c r="G5372" i="29"/>
  <c r="F5371" i="29"/>
  <c r="G5371" i="29"/>
  <c r="F5370" i="29"/>
  <c r="G5370" i="29"/>
  <c r="F5369" i="29"/>
  <c r="G5369" i="29"/>
  <c r="P5392" i="29"/>
  <c r="N5392" i="29"/>
  <c r="P5391" i="29"/>
  <c r="N5391" i="29"/>
  <c r="P5390" i="29"/>
  <c r="N5390" i="29"/>
  <c r="P5380" i="29"/>
  <c r="N5380" i="29"/>
  <c r="P5379" i="29"/>
  <c r="N5379" i="29"/>
  <c r="P5378" i="29"/>
  <c r="N5378" i="29"/>
  <c r="P5377" i="29"/>
  <c r="N5377" i="29"/>
  <c r="P5376" i="29"/>
  <c r="N5376" i="29"/>
  <c r="Q5375" i="29"/>
  <c r="P5375" i="29"/>
  <c r="N5375" i="29"/>
  <c r="Q5373" i="29"/>
  <c r="P5373" i="29"/>
  <c r="N5373" i="29"/>
  <c r="Q5372" i="29"/>
  <c r="P5372" i="29"/>
  <c r="N5372" i="29"/>
  <c r="Q5371" i="29"/>
  <c r="P5371" i="29"/>
  <c r="N5371" i="29"/>
  <c r="Q5370" i="29"/>
  <c r="P5370" i="29"/>
  <c r="N5370" i="29"/>
  <c r="Q5369" i="29"/>
  <c r="P5369" i="29"/>
  <c r="N5369" i="29"/>
  <c r="Q5368" i="29"/>
  <c r="P5368" i="29"/>
  <c r="N5368" i="29"/>
  <c r="G5368" i="29"/>
  <c r="F5368" i="29"/>
  <c r="N5340" i="29"/>
  <c r="G5340" i="29"/>
  <c r="J5340" i="29"/>
  <c r="F5340" i="29"/>
  <c r="Q5345" i="29"/>
  <c r="P5345" i="29"/>
  <c r="N5345" i="29"/>
  <c r="G5345" i="29"/>
  <c r="F5345" i="29"/>
  <c r="Q5341" i="29"/>
  <c r="T5341" i="29"/>
  <c r="P5341" i="29"/>
  <c r="N5341" i="29"/>
  <c r="G5341" i="29"/>
  <c r="F5341" i="29"/>
  <c r="N5328" i="29"/>
  <c r="N5329" i="29"/>
  <c r="N5330" i="29"/>
  <c r="N5331" i="29"/>
  <c r="N5332" i="29"/>
  <c r="N5333" i="29"/>
  <c r="N5334" i="29"/>
  <c r="N5335" i="29"/>
  <c r="N5336" i="29"/>
  <c r="N5337" i="29"/>
  <c r="N5338" i="29"/>
  <c r="N5339" i="29"/>
  <c r="P5333" i="29"/>
  <c r="F5339" i="29"/>
  <c r="G5339" i="29"/>
  <c r="F5338" i="29"/>
  <c r="G5338" i="29"/>
  <c r="F5337" i="29"/>
  <c r="G5337" i="29"/>
  <c r="F5336" i="29"/>
  <c r="G5336" i="29"/>
  <c r="F5335" i="29"/>
  <c r="G5335" i="29"/>
  <c r="F5334" i="29"/>
  <c r="G5334" i="29"/>
  <c r="Q5339" i="29"/>
  <c r="S5339" i="29"/>
  <c r="Q5338" i="29"/>
  <c r="Q5337" i="29"/>
  <c r="S5337" i="29"/>
  <c r="Q5336" i="29"/>
  <c r="S5336" i="29"/>
  <c r="Q5335" i="29"/>
  <c r="T5335" i="29"/>
  <c r="Q5334" i="29"/>
  <c r="F5332" i="29"/>
  <c r="G5332" i="29"/>
  <c r="F5331" i="29"/>
  <c r="G5331" i="29"/>
  <c r="Q5332" i="29"/>
  <c r="Q5331" i="29"/>
  <c r="Q5330" i="29"/>
  <c r="G5330" i="29"/>
  <c r="F5330" i="29"/>
  <c r="Q5324" i="29"/>
  <c r="P5324" i="29"/>
  <c r="N5324" i="29"/>
  <c r="G5324" i="29"/>
  <c r="F5324" i="29"/>
  <c r="Q5320" i="29"/>
  <c r="T5320" i="29"/>
  <c r="P5320" i="29"/>
  <c r="N5320" i="29"/>
  <c r="G5320" i="29"/>
  <c r="F5320" i="29"/>
  <c r="Q5319" i="29"/>
  <c r="T5319" i="29"/>
  <c r="P5319" i="29"/>
  <c r="N5319" i="29"/>
  <c r="G5319" i="29"/>
  <c r="F5319" i="29"/>
  <c r="Q5322" i="29"/>
  <c r="P5322" i="29"/>
  <c r="N5322" i="29"/>
  <c r="G5322" i="29"/>
  <c r="F5322" i="29"/>
  <c r="Q5346" i="29"/>
  <c r="P5346" i="29"/>
  <c r="N5346" i="29"/>
  <c r="G5346" i="29"/>
  <c r="F5346" i="29"/>
  <c r="F5313" i="29"/>
  <c r="G5313" i="29"/>
  <c r="N5313" i="29"/>
  <c r="P5313" i="29"/>
  <c r="Q5313" i="29"/>
  <c r="Q5311" i="29"/>
  <c r="P5311" i="29"/>
  <c r="N5311" i="29"/>
  <c r="G5311" i="29"/>
  <c r="F5311" i="29"/>
  <c r="Q5310" i="29"/>
  <c r="P5310" i="29"/>
  <c r="N5310" i="29"/>
  <c r="G5310" i="29"/>
  <c r="F5310" i="29"/>
  <c r="Q5309" i="29"/>
  <c r="P5309" i="29"/>
  <c r="N5309" i="29"/>
  <c r="G5309" i="29"/>
  <c r="F5309" i="29"/>
  <c r="Q5308" i="29"/>
  <c r="T5308" i="29"/>
  <c r="P5308" i="29"/>
  <c r="N5308" i="29"/>
  <c r="G5308" i="29"/>
  <c r="F5308" i="29"/>
  <c r="Q5305" i="29"/>
  <c r="G5305" i="29"/>
  <c r="F5305" i="29"/>
  <c r="Q5312" i="29"/>
  <c r="P5312" i="29"/>
  <c r="N5312" i="29"/>
  <c r="G5312" i="29"/>
  <c r="F5312" i="29"/>
  <c r="Q5298" i="29"/>
  <c r="S5298" i="29"/>
  <c r="P5298" i="29"/>
  <c r="N5298" i="29"/>
  <c r="G5298" i="29"/>
  <c r="F5298" i="29"/>
  <c r="Q5303" i="29"/>
  <c r="P5303" i="29"/>
  <c r="N5303" i="29"/>
  <c r="G5303" i="29"/>
  <c r="F5303" i="29"/>
  <c r="Q5302" i="29"/>
  <c r="S5302" i="29"/>
  <c r="P5302" i="29"/>
  <c r="N5302" i="29"/>
  <c r="G5302" i="29"/>
  <c r="F5302" i="29"/>
  <c r="Q5301" i="29"/>
  <c r="P5301" i="29"/>
  <c r="N5301" i="29"/>
  <c r="G5301" i="29"/>
  <c r="F5301" i="29"/>
  <c r="Q5300" i="29"/>
  <c r="P5300" i="29"/>
  <c r="N5300" i="29"/>
  <c r="G5300" i="29"/>
  <c r="F5300" i="29"/>
  <c r="Q5299" i="29"/>
  <c r="P5299" i="29"/>
  <c r="N5299" i="29"/>
  <c r="G5299" i="29"/>
  <c r="F5299" i="29"/>
  <c r="Q5296" i="29"/>
  <c r="P5296" i="29"/>
  <c r="N5296" i="29"/>
  <c r="G5296" i="29"/>
  <c r="F5296" i="29"/>
  <c r="Q5294" i="29"/>
  <c r="P5294" i="29"/>
  <c r="N5294" i="29"/>
  <c r="G5294" i="29"/>
  <c r="F5294" i="29"/>
  <c r="Q5367" i="29"/>
  <c r="P5367" i="29"/>
  <c r="N5367" i="29"/>
  <c r="G5367" i="29"/>
  <c r="F5367" i="29"/>
  <c r="Q5366" i="29"/>
  <c r="P5366" i="29"/>
  <c r="N5366" i="29"/>
  <c r="G5366" i="29"/>
  <c r="F5366" i="29"/>
  <c r="Q5365" i="29"/>
  <c r="P5365" i="29"/>
  <c r="N5365" i="29"/>
  <c r="G5365" i="29"/>
  <c r="F5365" i="29"/>
  <c r="Q5363" i="29"/>
  <c r="P5363" i="29"/>
  <c r="N5363" i="29"/>
  <c r="G5363" i="29"/>
  <c r="F5363" i="29"/>
  <c r="Q5362" i="29"/>
  <c r="S5362" i="29"/>
  <c r="P5362" i="29"/>
  <c r="N5362" i="29"/>
  <c r="G5362" i="29"/>
  <c r="F5362" i="29"/>
  <c r="Q5361" i="29"/>
  <c r="P5361" i="29"/>
  <c r="N5361" i="29"/>
  <c r="G5361" i="29"/>
  <c r="F5361" i="29"/>
  <c r="Q5360" i="29"/>
  <c r="P5360" i="29"/>
  <c r="N5360" i="29"/>
  <c r="G5360" i="29"/>
  <c r="F5360" i="29"/>
  <c r="Q5359" i="29"/>
  <c r="P5359" i="29"/>
  <c r="N5359" i="29"/>
  <c r="G5359" i="29"/>
  <c r="F5359" i="29"/>
  <c r="Q5358" i="29"/>
  <c r="P5358" i="29"/>
  <c r="N5358" i="29"/>
  <c r="G5358" i="29"/>
  <c r="F5358" i="29"/>
  <c r="Q5357" i="29"/>
  <c r="P5357" i="29"/>
  <c r="N5357" i="29"/>
  <c r="G5357" i="29"/>
  <c r="F5357" i="29"/>
  <c r="Q5356" i="29"/>
  <c r="P5356" i="29"/>
  <c r="N5356" i="29"/>
  <c r="G5356" i="29"/>
  <c r="F5356" i="29"/>
  <c r="Q5355" i="29"/>
  <c r="P5355" i="29"/>
  <c r="N5355" i="29"/>
  <c r="G5355" i="29"/>
  <c r="F5355" i="29"/>
  <c r="Q5354" i="29"/>
  <c r="P5354" i="29"/>
  <c r="N5354" i="29"/>
  <c r="G5354" i="29"/>
  <c r="F5354" i="29"/>
  <c r="R5353" i="29"/>
  <c r="Q5353" i="29"/>
  <c r="P5353" i="29"/>
  <c r="N5353" i="29"/>
  <c r="G5353" i="29"/>
  <c r="F5353" i="29"/>
  <c r="Q5352" i="29"/>
  <c r="T5352" i="29"/>
  <c r="P5352" i="29"/>
  <c r="N5352" i="29"/>
  <c r="G5352" i="29"/>
  <c r="F5352" i="29"/>
  <c r="Q5351" i="29"/>
  <c r="S5351" i="29"/>
  <c r="P5351" i="29"/>
  <c r="N5351" i="29"/>
  <c r="G5351" i="29"/>
  <c r="F5351" i="29"/>
  <c r="Q5350" i="29"/>
  <c r="P5350" i="29"/>
  <c r="N5350" i="29"/>
  <c r="G5350" i="29"/>
  <c r="F5350" i="29"/>
  <c r="Q5349" i="29"/>
  <c r="P5349" i="29"/>
  <c r="N5349" i="29"/>
  <c r="G5349" i="29"/>
  <c r="F5349" i="29"/>
  <c r="Q5348" i="29"/>
  <c r="P5348" i="29"/>
  <c r="N5348" i="29"/>
  <c r="G5348" i="29"/>
  <c r="F5348" i="29"/>
  <c r="Q5347" i="29"/>
  <c r="S5347" i="29"/>
  <c r="P5347" i="29"/>
  <c r="N5347" i="29"/>
  <c r="G5347" i="29"/>
  <c r="F5347" i="29"/>
  <c r="Q5344" i="29"/>
  <c r="P5344" i="29"/>
  <c r="N5344" i="29"/>
  <c r="G5344" i="29"/>
  <c r="F5344" i="29"/>
  <c r="Q5343" i="29"/>
  <c r="P5343" i="29"/>
  <c r="N5343" i="29"/>
  <c r="G5343" i="29"/>
  <c r="F5343" i="29"/>
  <c r="Q5342" i="29"/>
  <c r="P5342" i="29"/>
  <c r="N5342" i="29"/>
  <c r="G5342" i="29"/>
  <c r="F5342" i="29"/>
  <c r="Q5333" i="29"/>
  <c r="G5333" i="29"/>
  <c r="F5333" i="29"/>
  <c r="Q5329" i="29"/>
  <c r="P5329" i="29"/>
  <c r="G5329" i="29"/>
  <c r="F5329" i="29"/>
  <c r="Q5328" i="29"/>
  <c r="P5328" i="29"/>
  <c r="G5328" i="29"/>
  <c r="F5328" i="29"/>
  <c r="Q5327" i="29"/>
  <c r="P5327" i="29"/>
  <c r="N5327" i="29"/>
  <c r="G5327" i="29"/>
  <c r="F5327" i="29"/>
  <c r="Q5326" i="29"/>
  <c r="S5326" i="29"/>
  <c r="P5326" i="29"/>
  <c r="N5326" i="29"/>
  <c r="G5326" i="29"/>
  <c r="F5326" i="29"/>
  <c r="Q5325" i="29"/>
  <c r="P5325" i="29"/>
  <c r="N5325" i="29"/>
  <c r="G5325" i="29"/>
  <c r="F5325" i="29"/>
  <c r="Q5323" i="29"/>
  <c r="P5323" i="29"/>
  <c r="N5323" i="29"/>
  <c r="G5323" i="29"/>
  <c r="F5323" i="29"/>
  <c r="Q5321" i="29"/>
  <c r="P5321" i="29"/>
  <c r="N5321" i="29"/>
  <c r="G5321" i="29"/>
  <c r="F5321" i="29"/>
  <c r="Q5318" i="29"/>
  <c r="T5318" i="29"/>
  <c r="P5318" i="29"/>
  <c r="N5318" i="29"/>
  <c r="G5318" i="29"/>
  <c r="F5318" i="29"/>
  <c r="Q5317" i="29"/>
  <c r="P5317" i="29"/>
  <c r="N5317" i="29"/>
  <c r="G5317" i="29"/>
  <c r="F5317" i="29"/>
  <c r="Q5316" i="29"/>
  <c r="P5316" i="29"/>
  <c r="N5316" i="29"/>
  <c r="G5316" i="29"/>
  <c r="F5316" i="29"/>
  <c r="Q5315" i="29"/>
  <c r="P5315" i="29"/>
  <c r="N5315" i="29"/>
  <c r="G5315" i="29"/>
  <c r="F5315" i="29"/>
  <c r="Q5314" i="29"/>
  <c r="P5314" i="29"/>
  <c r="N5314" i="29"/>
  <c r="G5314" i="29"/>
  <c r="F5314" i="29"/>
  <c r="Q5307" i="29"/>
  <c r="P5307" i="29"/>
  <c r="N5307" i="29"/>
  <c r="G5307" i="29"/>
  <c r="F5307" i="29"/>
  <c r="Q5306" i="29"/>
  <c r="P5306" i="29"/>
  <c r="N5306" i="29"/>
  <c r="G5306" i="29"/>
  <c r="F5306" i="29"/>
  <c r="Q5304" i="29"/>
  <c r="P5304" i="29"/>
  <c r="N5304" i="29"/>
  <c r="G5304" i="29"/>
  <c r="F5304" i="29"/>
  <c r="Q5297" i="29"/>
  <c r="P5297" i="29"/>
  <c r="N5297" i="29"/>
  <c r="G5297" i="29"/>
  <c r="F5297" i="29"/>
  <c r="Q5295" i="29"/>
  <c r="P5295" i="29"/>
  <c r="N5295" i="29"/>
  <c r="G5295" i="29"/>
  <c r="F5295" i="29"/>
  <c r="Q5293" i="29"/>
  <c r="P5293" i="29"/>
  <c r="N5293" i="29"/>
  <c r="G5293" i="29"/>
  <c r="F5293" i="29"/>
  <c r="Q5292" i="29"/>
  <c r="P5292" i="29"/>
  <c r="N5292" i="29"/>
  <c r="G5292" i="29"/>
  <c r="F5292" i="29"/>
  <c r="Q5291" i="29"/>
  <c r="P5291" i="29"/>
  <c r="N5291" i="29"/>
  <c r="G5291" i="29"/>
  <c r="F5291" i="29"/>
  <c r="W5290" i="29"/>
  <c r="N5290" i="29"/>
  <c r="Q5289" i="29"/>
  <c r="S5289" i="29"/>
  <c r="P5289" i="29"/>
  <c r="N5289" i="29"/>
  <c r="G5289" i="29"/>
  <c r="F5289" i="29"/>
  <c r="Q5288" i="29"/>
  <c r="P5288" i="29"/>
  <c r="N5288" i="29"/>
  <c r="G5288" i="29"/>
  <c r="F5288" i="29"/>
  <c r="N5250" i="29"/>
  <c r="Q5286" i="29"/>
  <c r="S5286" i="29"/>
  <c r="P5286" i="29"/>
  <c r="N5286" i="29"/>
  <c r="G5286" i="29"/>
  <c r="J5286" i="29"/>
  <c r="F5286" i="29"/>
  <c r="Q5287" i="29"/>
  <c r="P5287" i="29"/>
  <c r="N5287" i="29"/>
  <c r="G5287" i="29"/>
  <c r="F5287" i="29"/>
  <c r="Q5285" i="29"/>
  <c r="P5285" i="29"/>
  <c r="N5285" i="29"/>
  <c r="G5285" i="29"/>
  <c r="F5285" i="29"/>
  <c r="Q5284" i="29"/>
  <c r="P5284" i="29"/>
  <c r="N5284" i="29"/>
  <c r="G5284" i="29"/>
  <c r="F5284" i="29"/>
  <c r="Q5283" i="29"/>
  <c r="P5283" i="29"/>
  <c r="N5283" i="29"/>
  <c r="G5283" i="29"/>
  <c r="F5283" i="29"/>
  <c r="Q5282" i="29"/>
  <c r="P5282" i="29"/>
  <c r="N5282" i="29"/>
  <c r="G5282" i="29"/>
  <c r="F5282" i="29"/>
  <c r="Q5281" i="29"/>
  <c r="P5281" i="29"/>
  <c r="N5281" i="29"/>
  <c r="G5281" i="29"/>
  <c r="F5281" i="29"/>
  <c r="Q5280" i="29"/>
  <c r="P5280" i="29"/>
  <c r="N5280" i="29"/>
  <c r="G5280" i="29"/>
  <c r="F5280" i="29"/>
  <c r="Q5279" i="29"/>
  <c r="P5279" i="29"/>
  <c r="N5279" i="29"/>
  <c r="G5279" i="29"/>
  <c r="F5279" i="29"/>
  <c r="Q5278" i="29"/>
  <c r="T5278" i="29"/>
  <c r="P5278" i="29"/>
  <c r="N5278" i="29"/>
  <c r="G5278" i="29"/>
  <c r="F5278" i="29"/>
  <c r="Q5277" i="29"/>
  <c r="P5277" i="29"/>
  <c r="N5277" i="29"/>
  <c r="G5277" i="29"/>
  <c r="F5277" i="29"/>
  <c r="Q5276" i="29"/>
  <c r="P5276" i="29"/>
  <c r="N5276" i="29"/>
  <c r="G5276" i="29"/>
  <c r="F5276" i="29"/>
  <c r="Q5275" i="29"/>
  <c r="P5275" i="29"/>
  <c r="N5275" i="29"/>
  <c r="G5275" i="29"/>
  <c r="F5275" i="29"/>
  <c r="R5274" i="29"/>
  <c r="Q5274" i="29"/>
  <c r="P5274" i="29"/>
  <c r="N5274" i="29"/>
  <c r="G5274" i="29"/>
  <c r="F5274" i="29"/>
  <c r="Q5273" i="29"/>
  <c r="P5273" i="29"/>
  <c r="N5273" i="29"/>
  <c r="G5273" i="29"/>
  <c r="F5273" i="29"/>
  <c r="Q5272" i="29"/>
  <c r="S5272" i="29"/>
  <c r="P5272" i="29"/>
  <c r="N5272" i="29"/>
  <c r="G5272" i="29"/>
  <c r="F5272" i="29"/>
  <c r="Q5271" i="29"/>
  <c r="P5271" i="29"/>
  <c r="N5271" i="29"/>
  <c r="G5271" i="29"/>
  <c r="F5271" i="29"/>
  <c r="Q5270" i="29"/>
  <c r="P5270" i="29"/>
  <c r="N5270" i="29"/>
  <c r="G5270" i="29"/>
  <c r="F5270" i="29"/>
  <c r="Q5269" i="29"/>
  <c r="T5269" i="29"/>
  <c r="P5269" i="29"/>
  <c r="N5269" i="29"/>
  <c r="G5269" i="29"/>
  <c r="F5269" i="29"/>
  <c r="Q5268" i="29"/>
  <c r="P5268" i="29"/>
  <c r="N5268" i="29"/>
  <c r="G5268" i="29"/>
  <c r="F5268" i="29"/>
  <c r="F5263" i="29"/>
  <c r="G5263" i="29"/>
  <c r="Q5263" i="29"/>
  <c r="Q5262" i="29"/>
  <c r="G5262" i="29"/>
  <c r="F5262" i="29"/>
  <c r="N5260" i="29"/>
  <c r="Q5261" i="29"/>
  <c r="P5261" i="29"/>
  <c r="N5261" i="29"/>
  <c r="G5261" i="29"/>
  <c r="F5261" i="29"/>
  <c r="F5260" i="29"/>
  <c r="G5260" i="29"/>
  <c r="Q5260" i="29"/>
  <c r="T5260" i="29"/>
  <c r="P5260" i="29"/>
  <c r="Q5259" i="29"/>
  <c r="P5259" i="29"/>
  <c r="N5259" i="29"/>
  <c r="G5259" i="29"/>
  <c r="F5259" i="29"/>
  <c r="Q5258" i="29"/>
  <c r="P5258" i="29"/>
  <c r="N5258" i="29"/>
  <c r="G5258" i="29"/>
  <c r="F5258" i="29"/>
  <c r="Q5257" i="29"/>
  <c r="T5257" i="29"/>
  <c r="P5257" i="29"/>
  <c r="N5257" i="29"/>
  <c r="G5257" i="29"/>
  <c r="F5257" i="29"/>
  <c r="Q5256" i="29"/>
  <c r="P5256" i="29"/>
  <c r="N5256" i="29"/>
  <c r="G5256" i="29"/>
  <c r="F5256" i="29"/>
  <c r="Q5255" i="29"/>
  <c r="T5255" i="29"/>
  <c r="P5255" i="29"/>
  <c r="N5255" i="29"/>
  <c r="G5255" i="29"/>
  <c r="F5255" i="29"/>
  <c r="Q5253" i="29"/>
  <c r="G5253" i="29"/>
  <c r="F5253" i="29"/>
  <c r="Q5254" i="29"/>
  <c r="N5254" i="29"/>
  <c r="G5254" i="29"/>
  <c r="F5254" i="29"/>
  <c r="Q5252" i="29"/>
  <c r="P5252" i="29"/>
  <c r="N5252" i="29"/>
  <c r="G5252" i="29"/>
  <c r="F5252" i="29"/>
  <c r="Q5251" i="29"/>
  <c r="P5251" i="29"/>
  <c r="N5251" i="29"/>
  <c r="G5251" i="29"/>
  <c r="F5251" i="29"/>
  <c r="Q5250" i="29"/>
  <c r="P5250" i="29"/>
  <c r="G5250" i="29"/>
  <c r="F5250" i="29"/>
  <c r="Q5246" i="29"/>
  <c r="P5246" i="29"/>
  <c r="N5246" i="29"/>
  <c r="G5246" i="29"/>
  <c r="F5246" i="29"/>
  <c r="Q5249" i="29"/>
  <c r="T5249" i="29"/>
  <c r="P5249" i="29"/>
  <c r="G5249" i="29"/>
  <c r="F5249" i="29"/>
  <c r="Q5248" i="29"/>
  <c r="P5248" i="29"/>
  <c r="G5248" i="29"/>
  <c r="F5248" i="29"/>
  <c r="Q5247" i="29"/>
  <c r="P5247" i="29"/>
  <c r="G5247" i="29"/>
  <c r="F5247" i="29"/>
  <c r="Q5245" i="29"/>
  <c r="P5245" i="29"/>
  <c r="N5245" i="29"/>
  <c r="G5245" i="29"/>
  <c r="F5245" i="29"/>
  <c r="Q5244" i="29"/>
  <c r="P5244" i="29"/>
  <c r="N5244" i="29"/>
  <c r="G5244" i="29"/>
  <c r="F5244" i="29"/>
  <c r="Q5243" i="29"/>
  <c r="P5243" i="29"/>
  <c r="N5243" i="29"/>
  <c r="G5243" i="29"/>
  <c r="F5243" i="29"/>
  <c r="Q5239" i="29"/>
  <c r="P5239" i="29"/>
  <c r="N5239" i="29"/>
  <c r="G5239" i="29"/>
  <c r="F5239" i="29"/>
  <c r="Q5241" i="29"/>
  <c r="T5241" i="29"/>
  <c r="P5241" i="29"/>
  <c r="N5241" i="29"/>
  <c r="G5241" i="29"/>
  <c r="F5241" i="29"/>
  <c r="Q5240" i="29"/>
  <c r="T5240" i="29"/>
  <c r="P5240" i="29"/>
  <c r="N5240" i="29"/>
  <c r="G5240" i="29"/>
  <c r="F5240" i="29"/>
  <c r="Q5242" i="29"/>
  <c r="P5242" i="29"/>
  <c r="N5242" i="29"/>
  <c r="G5242" i="29"/>
  <c r="F5242" i="29"/>
  <c r="Q5238" i="29"/>
  <c r="P5238" i="29"/>
  <c r="N5238" i="29"/>
  <c r="G5238" i="29"/>
  <c r="F5238" i="29"/>
  <c r="F5237" i="29"/>
  <c r="G5237" i="29"/>
  <c r="Q5237" i="29"/>
  <c r="P5237" i="29"/>
  <c r="N5237" i="29"/>
  <c r="Q5234" i="29"/>
  <c r="P5234" i="29"/>
  <c r="N5234" i="29"/>
  <c r="G5234" i="29"/>
  <c r="F5234" i="29"/>
  <c r="Q5235" i="29"/>
  <c r="P5235" i="29"/>
  <c r="N5235" i="29"/>
  <c r="G5235" i="29"/>
  <c r="F5235" i="29"/>
  <c r="Q5236" i="29"/>
  <c r="P5236" i="29"/>
  <c r="N5236" i="29"/>
  <c r="G5236" i="29"/>
  <c r="F5236" i="29"/>
  <c r="Q5233" i="29"/>
  <c r="P5233" i="29"/>
  <c r="N5233" i="29"/>
  <c r="G5233" i="29"/>
  <c r="F5233" i="29"/>
  <c r="Q5231" i="29"/>
  <c r="P5231" i="29"/>
  <c r="N5231" i="29"/>
  <c r="G5231" i="29"/>
  <c r="F5231" i="29"/>
  <c r="Q5230" i="29"/>
  <c r="P5230" i="29"/>
  <c r="N5230" i="29"/>
  <c r="G5230" i="29"/>
  <c r="F5230" i="29"/>
  <c r="Q5232" i="29"/>
  <c r="P5232" i="29"/>
  <c r="N5232" i="29"/>
  <c r="G5232" i="29"/>
  <c r="F5232" i="29"/>
  <c r="Q5229" i="29"/>
  <c r="P5229" i="29"/>
  <c r="N5229" i="29"/>
  <c r="G5229" i="29"/>
  <c r="F5229" i="29"/>
  <c r="Q5228" i="29"/>
  <c r="P5228" i="29"/>
  <c r="N5228" i="29"/>
  <c r="G5228" i="29"/>
  <c r="F5228" i="29"/>
  <c r="Q5226" i="29"/>
  <c r="P5226" i="29"/>
  <c r="N5226" i="29"/>
  <c r="G5226" i="29"/>
  <c r="F5226" i="29"/>
  <c r="Q5225" i="29"/>
  <c r="P5225" i="29"/>
  <c r="N5225" i="29"/>
  <c r="G5225" i="29"/>
  <c r="F5225" i="29"/>
  <c r="Q5227" i="29"/>
  <c r="S5227" i="29"/>
  <c r="P5227" i="29"/>
  <c r="N5227" i="29"/>
  <c r="G5227" i="29"/>
  <c r="F5227" i="29"/>
  <c r="Q5224" i="29"/>
  <c r="T5224" i="29"/>
  <c r="P5224" i="29"/>
  <c r="N5224" i="29"/>
  <c r="G5224" i="29"/>
  <c r="F5224" i="29"/>
  <c r="Q5223" i="29"/>
  <c r="P5223" i="29"/>
  <c r="N5223" i="29"/>
  <c r="G5223" i="29"/>
  <c r="F5223" i="29"/>
  <c r="Q5222" i="29"/>
  <c r="P5222" i="29"/>
  <c r="N5222" i="29"/>
  <c r="G5222" i="29"/>
  <c r="F5222" i="29"/>
  <c r="W5221" i="29"/>
  <c r="N5221" i="29"/>
  <c r="P5171" i="29"/>
  <c r="F760" i="31"/>
  <c r="G760" i="31"/>
  <c r="H760" i="31"/>
  <c r="F759" i="31"/>
  <c r="Q5177" i="29"/>
  <c r="F5220" i="29"/>
  <c r="G5220" i="29"/>
  <c r="Q5220" i="29"/>
  <c r="S5220" i="29"/>
  <c r="P5220" i="29"/>
  <c r="N5220" i="29"/>
  <c r="Q5211" i="29"/>
  <c r="P5211" i="29"/>
  <c r="N5211" i="29"/>
  <c r="G5211" i="29"/>
  <c r="F5211" i="29"/>
  <c r="F5219" i="29"/>
  <c r="G5219" i="29"/>
  <c r="Q5219" i="29"/>
  <c r="S5219" i="29"/>
  <c r="P5219" i="29"/>
  <c r="N5219" i="29"/>
  <c r="F5171" i="29"/>
  <c r="G5171" i="29"/>
  <c r="Q5171" i="29"/>
  <c r="F5218" i="29"/>
  <c r="G5218" i="29"/>
  <c r="Q5218" i="29"/>
  <c r="P5218" i="29"/>
  <c r="N5218" i="29"/>
  <c r="G5152" i="29"/>
  <c r="F5152" i="29"/>
  <c r="F5210" i="29"/>
  <c r="G5210" i="29"/>
  <c r="Q5210" i="29"/>
  <c r="P5210" i="29"/>
  <c r="N5210" i="29"/>
  <c r="F5217" i="29"/>
  <c r="G5217" i="29"/>
  <c r="Q5217" i="29"/>
  <c r="S5217" i="29"/>
  <c r="P5217" i="29"/>
  <c r="N5217" i="29"/>
  <c r="P5213" i="29"/>
  <c r="N5213" i="29"/>
  <c r="N5212" i="29"/>
  <c r="F5213" i="29"/>
  <c r="G5213" i="29"/>
  <c r="Q5213" i="29"/>
  <c r="Q5186" i="29"/>
  <c r="P5186" i="29"/>
  <c r="N5186" i="29"/>
  <c r="G5186" i="29"/>
  <c r="F5186" i="29"/>
  <c r="Q5188" i="29"/>
  <c r="P5188" i="29"/>
  <c r="N5188" i="29"/>
  <c r="G5188" i="29"/>
  <c r="F5188" i="29"/>
  <c r="Q5185" i="29"/>
  <c r="P5185" i="29"/>
  <c r="N5185" i="29"/>
  <c r="G5185" i="29"/>
  <c r="F5185" i="29"/>
  <c r="P5177" i="29"/>
  <c r="N5177" i="29"/>
  <c r="G5177" i="29"/>
  <c r="F5177" i="29"/>
  <c r="Q5162" i="29"/>
  <c r="P5162" i="29"/>
  <c r="N5162" i="29"/>
  <c r="G5162" i="29"/>
  <c r="F5162" i="29"/>
  <c r="Q5159" i="29"/>
  <c r="P5159" i="29"/>
  <c r="N5159" i="29"/>
  <c r="G5159" i="29"/>
  <c r="F5159" i="29"/>
  <c r="Q5216" i="29"/>
  <c r="P5216" i="29"/>
  <c r="N5216" i="29"/>
  <c r="G5216" i="29"/>
  <c r="F5216" i="29"/>
  <c r="Q5215" i="29"/>
  <c r="P5215" i="29"/>
  <c r="N5215" i="29"/>
  <c r="G5215" i="29"/>
  <c r="F5215" i="29"/>
  <c r="Q5214" i="29"/>
  <c r="P5214" i="29"/>
  <c r="N5214" i="29"/>
  <c r="G5214" i="29"/>
  <c r="F5214" i="29"/>
  <c r="Q5212" i="29"/>
  <c r="T5212" i="29"/>
  <c r="P5212" i="29"/>
  <c r="G5212" i="29"/>
  <c r="F5212" i="29"/>
  <c r="Q5209" i="29"/>
  <c r="P5209" i="29"/>
  <c r="N5209" i="29"/>
  <c r="G5209" i="29"/>
  <c r="F5209" i="29"/>
  <c r="Q5208" i="29"/>
  <c r="P5208" i="29"/>
  <c r="N5208" i="29"/>
  <c r="G5208" i="29"/>
  <c r="F5208" i="29"/>
  <c r="Q5207" i="29"/>
  <c r="P5207" i="29"/>
  <c r="N5207" i="29"/>
  <c r="G5207" i="29"/>
  <c r="F5207" i="29"/>
  <c r="Q5206" i="29"/>
  <c r="P5206" i="29"/>
  <c r="N5206" i="29"/>
  <c r="G5206" i="29"/>
  <c r="F5206" i="29"/>
  <c r="Q5205" i="29"/>
  <c r="P5205" i="29"/>
  <c r="N5205" i="29"/>
  <c r="G5205" i="29"/>
  <c r="F5205" i="29"/>
  <c r="Q5204" i="29"/>
  <c r="T5204" i="29"/>
  <c r="P5204" i="29"/>
  <c r="N5204" i="29"/>
  <c r="G5204" i="29"/>
  <c r="F5204" i="29"/>
  <c r="Q5203" i="29"/>
  <c r="T5203" i="29"/>
  <c r="P5203" i="29"/>
  <c r="N5203" i="29"/>
  <c r="G5203" i="29"/>
  <c r="F5203" i="29"/>
  <c r="Q5202" i="29"/>
  <c r="P5202" i="29"/>
  <c r="N5202" i="29"/>
  <c r="G5202" i="29"/>
  <c r="F5202" i="29"/>
  <c r="Q5201" i="29"/>
  <c r="P5201" i="29"/>
  <c r="N5201" i="29"/>
  <c r="G5201" i="29"/>
  <c r="F5201" i="29"/>
  <c r="Q5200" i="29"/>
  <c r="T5200" i="29"/>
  <c r="P5200" i="29"/>
  <c r="N5200" i="29"/>
  <c r="G5200" i="29"/>
  <c r="F5200" i="29"/>
  <c r="Q5199" i="29"/>
  <c r="P5199" i="29"/>
  <c r="N5199" i="29"/>
  <c r="G5199" i="29"/>
  <c r="F5199" i="29"/>
  <c r="R5198" i="29"/>
  <c r="Q5198" i="29"/>
  <c r="P5198" i="29"/>
  <c r="N5198" i="29"/>
  <c r="G5198" i="29"/>
  <c r="F5198" i="29"/>
  <c r="Q5197" i="29"/>
  <c r="S5197" i="29"/>
  <c r="P5197" i="29"/>
  <c r="N5197" i="29"/>
  <c r="G5197" i="29"/>
  <c r="F5197" i="29"/>
  <c r="Q5196" i="29"/>
  <c r="P5196" i="29"/>
  <c r="N5196" i="29"/>
  <c r="G5196" i="29"/>
  <c r="F5196" i="29"/>
  <c r="Q5195" i="29"/>
  <c r="P5195" i="29"/>
  <c r="N5195" i="29"/>
  <c r="G5195" i="29"/>
  <c r="F5195" i="29"/>
  <c r="Q5194" i="29"/>
  <c r="P5194" i="29"/>
  <c r="N5194" i="29"/>
  <c r="G5194" i="29"/>
  <c r="F5194" i="29"/>
  <c r="Q5193" i="29"/>
  <c r="T5193" i="29"/>
  <c r="P5193" i="29"/>
  <c r="N5193" i="29"/>
  <c r="G5193" i="29"/>
  <c r="F5193" i="29"/>
  <c r="Q5192" i="29"/>
  <c r="P5192" i="29"/>
  <c r="N5192" i="29"/>
  <c r="G5192" i="29"/>
  <c r="F5192" i="29"/>
  <c r="Q5191" i="29"/>
  <c r="P5191" i="29"/>
  <c r="N5191" i="29"/>
  <c r="G5191" i="29"/>
  <c r="F5191" i="29"/>
  <c r="Q5190" i="29"/>
  <c r="T5190" i="29"/>
  <c r="P5190" i="29"/>
  <c r="N5190" i="29"/>
  <c r="G5190" i="29"/>
  <c r="F5190" i="29"/>
  <c r="Q5189" i="29"/>
  <c r="P5189" i="29"/>
  <c r="N5189" i="29"/>
  <c r="G5189" i="29"/>
  <c r="F5189" i="29"/>
  <c r="Q5187" i="29"/>
  <c r="P5187" i="29"/>
  <c r="N5187" i="29"/>
  <c r="G5187" i="29"/>
  <c r="F5187" i="29"/>
  <c r="Q5184" i="29"/>
  <c r="P5184" i="29"/>
  <c r="N5184" i="29"/>
  <c r="G5184" i="29"/>
  <c r="F5184" i="29"/>
  <c r="Q5183" i="29"/>
  <c r="T5183" i="29"/>
  <c r="P5183" i="29"/>
  <c r="N5183" i="29"/>
  <c r="G5183" i="29"/>
  <c r="F5183" i="29"/>
  <c r="N5182" i="29"/>
  <c r="G5182" i="29"/>
  <c r="F5182" i="29"/>
  <c r="Q5181" i="29"/>
  <c r="P5181" i="29"/>
  <c r="N5181" i="29"/>
  <c r="G5181" i="29"/>
  <c r="F5181" i="29"/>
  <c r="Q5180" i="29"/>
  <c r="P5180" i="29"/>
  <c r="N5180" i="29"/>
  <c r="G5180" i="29"/>
  <c r="F5180" i="29"/>
  <c r="Q5179" i="29"/>
  <c r="P5179" i="29"/>
  <c r="N5179" i="29"/>
  <c r="G5179" i="29"/>
  <c r="F5179" i="29"/>
  <c r="Q5178" i="29"/>
  <c r="S5178" i="29"/>
  <c r="P5178" i="29"/>
  <c r="N5178" i="29"/>
  <c r="G5178" i="29"/>
  <c r="F5178" i="29"/>
  <c r="Q5176" i="29"/>
  <c r="P5176" i="29"/>
  <c r="N5176" i="29"/>
  <c r="G5176" i="29"/>
  <c r="F5176" i="29"/>
  <c r="Q5175" i="29"/>
  <c r="P5175" i="29"/>
  <c r="N5175" i="29"/>
  <c r="G5175" i="29"/>
  <c r="F5175" i="29"/>
  <c r="Q5174" i="29"/>
  <c r="T5174" i="29"/>
  <c r="P5174" i="29"/>
  <c r="N5174" i="29"/>
  <c r="G5174" i="29"/>
  <c r="F5174" i="29"/>
  <c r="Q5173" i="29"/>
  <c r="N5173" i="29"/>
  <c r="G5173" i="29"/>
  <c r="F5173" i="29"/>
  <c r="Q5172" i="29"/>
  <c r="G5172" i="29"/>
  <c r="F5172" i="29"/>
  <c r="Q5170" i="29"/>
  <c r="G5170" i="29"/>
  <c r="F5170" i="29"/>
  <c r="Q5169" i="29"/>
  <c r="P5169" i="29"/>
  <c r="G5169" i="29"/>
  <c r="F5169" i="29"/>
  <c r="Q5168" i="29"/>
  <c r="P5168" i="29"/>
  <c r="G5168" i="29"/>
  <c r="F5168" i="29"/>
  <c r="Q5167" i="29"/>
  <c r="P5167" i="29"/>
  <c r="N5167" i="29"/>
  <c r="G5167" i="29"/>
  <c r="F5167" i="29"/>
  <c r="Q5166" i="29"/>
  <c r="P5166" i="29"/>
  <c r="N5166" i="29"/>
  <c r="G5166" i="29"/>
  <c r="F5166" i="29"/>
  <c r="Q5165" i="29"/>
  <c r="T5165" i="29"/>
  <c r="P5165" i="29"/>
  <c r="N5165" i="29"/>
  <c r="G5165" i="29"/>
  <c r="F5165" i="29"/>
  <c r="Q5164" i="29"/>
  <c r="G5164" i="29"/>
  <c r="F5164" i="29"/>
  <c r="Q5163" i="29"/>
  <c r="P5163" i="29"/>
  <c r="N5163" i="29"/>
  <c r="G5163" i="29"/>
  <c r="F5163" i="29"/>
  <c r="Q5161" i="29"/>
  <c r="S5161" i="29"/>
  <c r="P5161" i="29"/>
  <c r="N5161" i="29"/>
  <c r="G5161" i="29"/>
  <c r="F5161" i="29"/>
  <c r="Q5160" i="29"/>
  <c r="P5160" i="29"/>
  <c r="N5160" i="29"/>
  <c r="G5160" i="29"/>
  <c r="F5160" i="29"/>
  <c r="Q5158" i="29"/>
  <c r="P5158" i="29"/>
  <c r="N5158" i="29"/>
  <c r="G5158" i="29"/>
  <c r="F5158" i="29"/>
  <c r="Q5157" i="29"/>
  <c r="P5157" i="29"/>
  <c r="N5157" i="29"/>
  <c r="G5157" i="29"/>
  <c r="F5157" i="29"/>
  <c r="Q5156" i="29"/>
  <c r="S5156" i="29"/>
  <c r="P5156" i="29"/>
  <c r="N5156" i="29"/>
  <c r="G5156" i="29"/>
  <c r="F5156" i="29"/>
  <c r="Q5155" i="29"/>
  <c r="T5155" i="29"/>
  <c r="P5155" i="29"/>
  <c r="N5155" i="29"/>
  <c r="G5155" i="29"/>
  <c r="F5155" i="29"/>
  <c r="Q5154" i="29"/>
  <c r="P5154" i="29"/>
  <c r="N5154" i="29"/>
  <c r="G5154" i="29"/>
  <c r="F5154" i="29"/>
  <c r="Q5153" i="29"/>
  <c r="S5153" i="29"/>
  <c r="P5153" i="29"/>
  <c r="N5153" i="29"/>
  <c r="G5153" i="29"/>
  <c r="F5153" i="29"/>
  <c r="Q5151" i="29"/>
  <c r="P5151" i="29"/>
  <c r="N5151" i="29"/>
  <c r="G5151" i="29"/>
  <c r="F5151" i="29"/>
  <c r="Q5150" i="29"/>
  <c r="P5150" i="29"/>
  <c r="N5150" i="29"/>
  <c r="G5150" i="29"/>
  <c r="F5150" i="29"/>
  <c r="W5149" i="29"/>
  <c r="N5149" i="29"/>
  <c r="Q5148" i="29"/>
  <c r="T5148" i="29"/>
  <c r="P5148" i="29"/>
  <c r="N5148" i="29"/>
  <c r="G5148" i="29"/>
  <c r="F5148" i="29"/>
  <c r="Q5147" i="29"/>
  <c r="T5147" i="29"/>
  <c r="P5147" i="29"/>
  <c r="N5147" i="29"/>
  <c r="G5147" i="29"/>
  <c r="F5147" i="29"/>
  <c r="Q5138" i="29"/>
  <c r="S5138" i="29"/>
  <c r="P5138" i="29"/>
  <c r="G5138" i="29"/>
  <c r="J5138" i="29"/>
  <c r="F5138" i="29"/>
  <c r="Q5146" i="29"/>
  <c r="S5146" i="29"/>
  <c r="P5146" i="29"/>
  <c r="N5146" i="29"/>
  <c r="G5146" i="29"/>
  <c r="F5146" i="29"/>
  <c r="Q5145" i="29"/>
  <c r="P5145" i="29"/>
  <c r="N5145" i="29"/>
  <c r="G5145" i="29"/>
  <c r="F5145" i="29"/>
  <c r="Q5144" i="29"/>
  <c r="P5144" i="29"/>
  <c r="N5144" i="29"/>
  <c r="G5144" i="29"/>
  <c r="F5144" i="29"/>
  <c r="Q5137" i="29"/>
  <c r="P5137" i="29"/>
  <c r="N5137" i="29"/>
  <c r="G5137" i="29"/>
  <c r="F5137" i="29"/>
  <c r="Q5143" i="29"/>
  <c r="S5143" i="29"/>
  <c r="P5143" i="29"/>
  <c r="N5143" i="29"/>
  <c r="G5143" i="29"/>
  <c r="F5143" i="29"/>
  <c r="T5096" i="29"/>
  <c r="S5096" i="29"/>
  <c r="P5096" i="29"/>
  <c r="N5096" i="29"/>
  <c r="G5096" i="29"/>
  <c r="F5096" i="29"/>
  <c r="Q5088" i="29"/>
  <c r="S5088" i="29"/>
  <c r="N5088" i="29"/>
  <c r="G5088" i="29"/>
  <c r="F5088" i="29"/>
  <c r="Q5079" i="29"/>
  <c r="P5079" i="29"/>
  <c r="N5079" i="29"/>
  <c r="G5079" i="29"/>
  <c r="F5079" i="29"/>
  <c r="Q5103" i="29"/>
  <c r="P5103" i="29"/>
  <c r="N5103" i="29"/>
  <c r="G5103" i="29"/>
  <c r="F5103" i="29"/>
  <c r="Q5074" i="29"/>
  <c r="T5074" i="29"/>
  <c r="G5074" i="29"/>
  <c r="F5074" i="29"/>
  <c r="F5075" i="29"/>
  <c r="G5075" i="29"/>
  <c r="N5075" i="29"/>
  <c r="P5075" i="29"/>
  <c r="Q5075" i="29"/>
  <c r="S5075" i="29"/>
  <c r="Q5106" i="29"/>
  <c r="P5106" i="29"/>
  <c r="N5106" i="29"/>
  <c r="G5106" i="29"/>
  <c r="F5106" i="29"/>
  <c r="Q5142" i="29"/>
  <c r="S5142" i="29"/>
  <c r="P5142" i="29"/>
  <c r="N5142" i="29"/>
  <c r="G5142" i="29"/>
  <c r="F5142" i="29"/>
  <c r="Q5141" i="29"/>
  <c r="P5141" i="29"/>
  <c r="N5141" i="29"/>
  <c r="G5141" i="29"/>
  <c r="F5141" i="29"/>
  <c r="Q5140" i="29"/>
  <c r="P5140" i="29"/>
  <c r="N5140" i="29"/>
  <c r="G5140" i="29"/>
  <c r="F5140" i="29"/>
  <c r="Q5139" i="29"/>
  <c r="T5139" i="29"/>
  <c r="P5139" i="29"/>
  <c r="N5139" i="29"/>
  <c r="G5139" i="29"/>
  <c r="F5139" i="29"/>
  <c r="Q5132" i="29"/>
  <c r="S5132" i="29"/>
  <c r="P5132" i="29"/>
  <c r="N5132" i="29"/>
  <c r="G5132" i="29"/>
  <c r="F5132" i="29"/>
  <c r="Q5130" i="29"/>
  <c r="S5130" i="29"/>
  <c r="P5130" i="29"/>
  <c r="N5130" i="29"/>
  <c r="G5130" i="29"/>
  <c r="F5130" i="29"/>
  <c r="Q5128" i="29"/>
  <c r="P5128" i="29"/>
  <c r="N5128" i="29"/>
  <c r="G5128" i="29"/>
  <c r="F5128" i="29"/>
  <c r="Q5126" i="29"/>
  <c r="P5126" i="29"/>
  <c r="N5126" i="29"/>
  <c r="G5126" i="29"/>
  <c r="F5126" i="29"/>
  <c r="Q5124" i="29"/>
  <c r="P5124" i="29"/>
  <c r="N5124" i="29"/>
  <c r="G5124" i="29"/>
  <c r="F5124" i="29"/>
  <c r="Q5123" i="29"/>
  <c r="T5123" i="29"/>
  <c r="P5123" i="29"/>
  <c r="N5123" i="29"/>
  <c r="G5123" i="29"/>
  <c r="F5123" i="29"/>
  <c r="Q5122" i="29"/>
  <c r="P5122" i="29"/>
  <c r="N5122" i="29"/>
  <c r="G5122" i="29"/>
  <c r="F5122" i="29"/>
  <c r="Q5121" i="29"/>
  <c r="T5121" i="29"/>
  <c r="P5121" i="29"/>
  <c r="N5121" i="29"/>
  <c r="G5121" i="29"/>
  <c r="F5121" i="29"/>
  <c r="Q5120" i="29"/>
  <c r="P5120" i="29"/>
  <c r="N5120" i="29"/>
  <c r="G5120" i="29"/>
  <c r="F5120" i="29"/>
  <c r="Q5119" i="29"/>
  <c r="P5119" i="29"/>
  <c r="N5119" i="29"/>
  <c r="G5119" i="29"/>
  <c r="F5119" i="29"/>
  <c r="Q5118" i="29"/>
  <c r="P5118" i="29"/>
  <c r="N5118" i="29"/>
  <c r="G5118" i="29"/>
  <c r="F5118" i="29"/>
  <c r="Q5117" i="29"/>
  <c r="S5117" i="29"/>
  <c r="P5117" i="29"/>
  <c r="N5117" i="29"/>
  <c r="G5117" i="29"/>
  <c r="F5117" i="29"/>
  <c r="Q5116" i="29"/>
  <c r="S5116" i="29"/>
  <c r="P5116" i="29"/>
  <c r="N5116" i="29"/>
  <c r="G5116" i="29"/>
  <c r="F5116" i="29"/>
  <c r="R5115" i="29"/>
  <c r="Q5115" i="29"/>
  <c r="P5115" i="29"/>
  <c r="N5115" i="29"/>
  <c r="G5115" i="29"/>
  <c r="F5115" i="29"/>
  <c r="Q5114" i="29"/>
  <c r="P5114" i="29"/>
  <c r="N5114" i="29"/>
  <c r="G5114" i="29"/>
  <c r="F5114" i="29"/>
  <c r="Q5113" i="29"/>
  <c r="P5113" i="29"/>
  <c r="N5113" i="29"/>
  <c r="G5113" i="29"/>
  <c r="F5113" i="29"/>
  <c r="Q5112" i="29"/>
  <c r="T5112" i="29"/>
  <c r="P5112" i="29"/>
  <c r="N5112" i="29"/>
  <c r="G5112" i="29"/>
  <c r="F5112" i="29"/>
  <c r="Q5111" i="29"/>
  <c r="P5111" i="29"/>
  <c r="N5111" i="29"/>
  <c r="G5111" i="29"/>
  <c r="F5111" i="29"/>
  <c r="Q5110" i="29"/>
  <c r="P5110" i="29"/>
  <c r="N5110" i="29"/>
  <c r="G5110" i="29"/>
  <c r="F5110" i="29"/>
  <c r="Q5109" i="29"/>
  <c r="T5109" i="29"/>
  <c r="P5109" i="29"/>
  <c r="N5109" i="29"/>
  <c r="G5109" i="29"/>
  <c r="F5109" i="29"/>
  <c r="Q5108" i="29"/>
  <c r="P5108" i="29"/>
  <c r="N5108" i="29"/>
  <c r="G5108" i="29"/>
  <c r="F5108" i="29"/>
  <c r="Q5107" i="29"/>
  <c r="T5107" i="29"/>
  <c r="P5107" i="29"/>
  <c r="N5107" i="29"/>
  <c r="G5107" i="29"/>
  <c r="F5107" i="29"/>
  <c r="Q5105" i="29"/>
  <c r="P5105" i="29"/>
  <c r="N5105" i="29"/>
  <c r="G5105" i="29"/>
  <c r="F5105" i="29"/>
  <c r="Q5104" i="29"/>
  <c r="S5104" i="29"/>
  <c r="P5104" i="29"/>
  <c r="N5104" i="29"/>
  <c r="G5104" i="29"/>
  <c r="F5104" i="29"/>
  <c r="Q5102" i="29"/>
  <c r="S5102" i="29"/>
  <c r="P5102" i="29"/>
  <c r="N5102" i="29"/>
  <c r="G5102" i="29"/>
  <c r="F5102" i="29"/>
  <c r="Q5101" i="29"/>
  <c r="P5101" i="29"/>
  <c r="N5101" i="29"/>
  <c r="G5101" i="29"/>
  <c r="F5101" i="29"/>
  <c r="Q5100" i="29"/>
  <c r="T5100" i="29"/>
  <c r="P5100" i="29"/>
  <c r="N5100" i="29"/>
  <c r="G5100" i="29"/>
  <c r="F5100" i="29"/>
  <c r="Q5099" i="29"/>
  <c r="T5099" i="29"/>
  <c r="P5099" i="29"/>
  <c r="N5099" i="29"/>
  <c r="G5099" i="29"/>
  <c r="F5099" i="29"/>
  <c r="Q5098" i="29"/>
  <c r="P5098" i="29"/>
  <c r="N5098" i="29"/>
  <c r="G5098" i="29"/>
  <c r="F5098" i="29"/>
  <c r="Q5097" i="29"/>
  <c r="S5097" i="29"/>
  <c r="P5097" i="29"/>
  <c r="N5097" i="29"/>
  <c r="G5097" i="29"/>
  <c r="F5097" i="29"/>
  <c r="Q5095" i="29"/>
  <c r="P5095" i="29"/>
  <c r="N5095" i="29"/>
  <c r="G5095" i="29"/>
  <c r="F5095" i="29"/>
  <c r="Q5094" i="29"/>
  <c r="T5094" i="29"/>
  <c r="P5094" i="29"/>
  <c r="N5094" i="29"/>
  <c r="G5094" i="29"/>
  <c r="F5094" i="29"/>
  <c r="Q5093" i="29"/>
  <c r="T5093" i="29"/>
  <c r="P5093" i="29"/>
  <c r="N5093" i="29"/>
  <c r="G5093" i="29"/>
  <c r="F5093" i="29"/>
  <c r="Q5092" i="29"/>
  <c r="S5092" i="29"/>
  <c r="P5092" i="29"/>
  <c r="N5092" i="29"/>
  <c r="G5092" i="29"/>
  <c r="F5092" i="29"/>
  <c r="Q5091" i="29"/>
  <c r="P5091" i="29"/>
  <c r="N5091" i="29"/>
  <c r="G5091" i="29"/>
  <c r="F5091" i="29"/>
  <c r="Q5090" i="29"/>
  <c r="P5090" i="29"/>
  <c r="N5090" i="29"/>
  <c r="G5090" i="29"/>
  <c r="F5090" i="29"/>
  <c r="Q5089" i="29"/>
  <c r="T5089" i="29"/>
  <c r="P5089" i="29"/>
  <c r="N5089" i="29"/>
  <c r="G5089" i="29"/>
  <c r="F5089" i="29"/>
  <c r="Q5087" i="29"/>
  <c r="G5087" i="29"/>
  <c r="F5087" i="29"/>
  <c r="Q5086" i="29"/>
  <c r="T5086" i="29"/>
  <c r="P5086" i="29"/>
  <c r="N5086" i="29"/>
  <c r="G5086" i="29"/>
  <c r="F5086" i="29"/>
  <c r="Q5085" i="29"/>
  <c r="P5085" i="29"/>
  <c r="N5085" i="29"/>
  <c r="G5085" i="29"/>
  <c r="F5085" i="29"/>
  <c r="Q5084" i="29"/>
  <c r="P5084" i="29"/>
  <c r="G5084" i="29"/>
  <c r="F5084" i="29"/>
  <c r="T5083" i="29"/>
  <c r="P5083" i="29"/>
  <c r="G5083" i="29"/>
  <c r="F5083" i="29"/>
  <c r="Q5082" i="29"/>
  <c r="G5082" i="29"/>
  <c r="F5082" i="29"/>
  <c r="Q5081" i="29"/>
  <c r="P5081" i="29"/>
  <c r="G5081" i="29"/>
  <c r="F5081" i="29"/>
  <c r="Q5080" i="29"/>
  <c r="T5080" i="29"/>
  <c r="P5080" i="29"/>
  <c r="G5080" i="29"/>
  <c r="F5080" i="29"/>
  <c r="Q5078" i="29"/>
  <c r="P5078" i="29"/>
  <c r="N5078" i="29"/>
  <c r="G5078" i="29"/>
  <c r="F5078" i="29"/>
  <c r="Q5077" i="29"/>
  <c r="T5077" i="29"/>
  <c r="P5077" i="29"/>
  <c r="N5077" i="29"/>
  <c r="G5077" i="29"/>
  <c r="F5077" i="29"/>
  <c r="Q5076" i="29"/>
  <c r="T5076" i="29"/>
  <c r="P5076" i="29"/>
  <c r="N5076" i="29"/>
  <c r="G5076" i="29"/>
  <c r="F5076" i="29"/>
  <c r="Q5073" i="29"/>
  <c r="P5073" i="29"/>
  <c r="N5073" i="29"/>
  <c r="G5073" i="29"/>
  <c r="F5073" i="29"/>
  <c r="Q5072" i="29"/>
  <c r="T5072" i="29"/>
  <c r="P5072" i="29"/>
  <c r="N5072" i="29"/>
  <c r="G5072" i="29"/>
  <c r="F5072" i="29"/>
  <c r="Q5071" i="29"/>
  <c r="S5071" i="29"/>
  <c r="P5071" i="29"/>
  <c r="N5071" i="29"/>
  <c r="G5071" i="29"/>
  <c r="F5071" i="29"/>
  <c r="Q5070" i="29"/>
  <c r="P5070" i="29"/>
  <c r="N5070" i="29"/>
  <c r="G5070" i="29"/>
  <c r="F5070" i="29"/>
  <c r="Q5066" i="29"/>
  <c r="P5066" i="29"/>
  <c r="N5066" i="29"/>
  <c r="G5066" i="29"/>
  <c r="F5066" i="29"/>
  <c r="Q5065" i="29"/>
  <c r="P5065" i="29"/>
  <c r="N5065" i="29"/>
  <c r="G5065" i="29"/>
  <c r="F5065" i="29"/>
  <c r="Q5064" i="29"/>
  <c r="P5064" i="29"/>
  <c r="N5064" i="29"/>
  <c r="G5064" i="29"/>
  <c r="F5064" i="29"/>
  <c r="Q5063" i="29"/>
  <c r="P5063" i="29"/>
  <c r="N5063" i="29"/>
  <c r="G5063" i="29"/>
  <c r="F5063" i="29"/>
  <c r="Q5062" i="29"/>
  <c r="S5062" i="29"/>
  <c r="P5062" i="29"/>
  <c r="N5062" i="29"/>
  <c r="G5062" i="29"/>
  <c r="F5062" i="29"/>
  <c r="Q5061" i="29"/>
  <c r="P5061" i="29"/>
  <c r="N5061" i="29"/>
  <c r="G5061" i="29"/>
  <c r="F5061" i="29"/>
  <c r="Q5060" i="29"/>
  <c r="P5060" i="29"/>
  <c r="N5060" i="29"/>
  <c r="G5060" i="29"/>
  <c r="F5060" i="29"/>
  <c r="Q5059" i="29"/>
  <c r="P5059" i="29"/>
  <c r="N5059" i="29"/>
  <c r="G5059" i="29"/>
  <c r="F5059" i="29"/>
  <c r="Q5049" i="29"/>
  <c r="S5049" i="29"/>
  <c r="P5049" i="29"/>
  <c r="N5049" i="29"/>
  <c r="G5049" i="29"/>
  <c r="F5049" i="29"/>
  <c r="Q5048" i="29"/>
  <c r="P5048" i="29"/>
  <c r="N5048" i="29"/>
  <c r="G5048" i="29"/>
  <c r="F5048" i="29"/>
  <c r="Q5047" i="29"/>
  <c r="S5047" i="29"/>
  <c r="P5047" i="29"/>
  <c r="N5047" i="29"/>
  <c r="G5047" i="29"/>
  <c r="F5047" i="29"/>
  <c r="W5046" i="29"/>
  <c r="N5046" i="29"/>
  <c r="N4" i="32"/>
  <c r="N5" i="32"/>
  <c r="N6" i="32"/>
  <c r="N7" i="32"/>
  <c r="N8" i="32"/>
  <c r="N9" i="32"/>
  <c r="N10" i="32"/>
  <c r="N11" i="32"/>
  <c r="N12" i="32"/>
  <c r="P29" i="32"/>
  <c r="N13" i="32"/>
  <c r="N14" i="32"/>
  <c r="N15" i="32"/>
  <c r="N21" i="32"/>
  <c r="P21" i="32"/>
  <c r="N22" i="32"/>
  <c r="P22" i="32"/>
  <c r="N23" i="32"/>
  <c r="N24" i="32"/>
  <c r="N25" i="32"/>
  <c r="P25" i="32"/>
  <c r="N26" i="32"/>
  <c r="P26" i="32"/>
  <c r="N27" i="32"/>
  <c r="N28" i="32"/>
  <c r="N29" i="32"/>
  <c r="N30" i="32"/>
  <c r="P30" i="32"/>
  <c r="N31" i="32"/>
  <c r="N32" i="32"/>
  <c r="M33" i="32"/>
  <c r="M34" i="32"/>
  <c r="B34" i="32"/>
  <c r="C34" i="32"/>
  <c r="D34" i="32"/>
  <c r="E34" i="32"/>
  <c r="F34" i="32"/>
  <c r="G34" i="32"/>
  <c r="H34" i="32"/>
  <c r="I34" i="32"/>
  <c r="J34" i="32"/>
  <c r="K34" i="32"/>
  <c r="L34" i="32"/>
  <c r="N4" i="33"/>
  <c r="N5" i="33"/>
  <c r="N6" i="33"/>
  <c r="N7" i="33"/>
  <c r="N8" i="33"/>
  <c r="N9" i="33"/>
  <c r="N10" i="33"/>
  <c r="N11" i="33"/>
  <c r="N12" i="33"/>
  <c r="N13" i="33"/>
  <c r="N14" i="33"/>
  <c r="B15" i="33"/>
  <c r="C15" i="33"/>
  <c r="D15" i="33"/>
  <c r="D32" i="33"/>
  <c r="E15" i="33"/>
  <c r="E32" i="33"/>
  <c r="F15" i="33"/>
  <c r="G15" i="33"/>
  <c r="H15" i="33"/>
  <c r="I15" i="33"/>
  <c r="J15" i="33"/>
  <c r="J32" i="33"/>
  <c r="K15" i="33"/>
  <c r="L15" i="33"/>
  <c r="M15" i="33"/>
  <c r="N20" i="33"/>
  <c r="P20" i="33"/>
  <c r="N21" i="33"/>
  <c r="P21" i="33"/>
  <c r="N22" i="33"/>
  <c r="N31" i="33"/>
  <c r="N23" i="33"/>
  <c r="N24" i="33"/>
  <c r="P24" i="33"/>
  <c r="N25" i="33"/>
  <c r="P25" i="33"/>
  <c r="N26" i="33"/>
  <c r="P26" i="33"/>
  <c r="N27" i="33"/>
  <c r="N28" i="33"/>
  <c r="P28" i="33"/>
  <c r="N29" i="33"/>
  <c r="N30" i="33"/>
  <c r="P30" i="33"/>
  <c r="B31" i="33"/>
  <c r="B32" i="33"/>
  <c r="C31" i="33"/>
  <c r="C32" i="33"/>
  <c r="D31" i="33"/>
  <c r="E31" i="33"/>
  <c r="F31" i="33"/>
  <c r="G31" i="33"/>
  <c r="H31" i="33"/>
  <c r="H32" i="33"/>
  <c r="I31" i="33"/>
  <c r="J31" i="33"/>
  <c r="K31" i="33"/>
  <c r="K32" i="33"/>
  <c r="L31" i="33"/>
  <c r="L32" i="33"/>
  <c r="M31" i="33"/>
  <c r="G32" i="33"/>
  <c r="E48" i="33"/>
  <c r="I48" i="33"/>
  <c r="D19" i="30"/>
  <c r="G10" i="25"/>
  <c r="G16" i="25"/>
  <c r="G17" i="25"/>
  <c r="F21" i="25"/>
  <c r="F27" i="25"/>
  <c r="E27" i="25"/>
  <c r="G36" i="25"/>
  <c r="G37" i="25"/>
  <c r="E39" i="25"/>
  <c r="G43" i="25"/>
  <c r="G44" i="25"/>
  <c r="G45" i="25"/>
  <c r="E49" i="25"/>
  <c r="E57" i="25"/>
  <c r="E64" i="25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H31" i="38"/>
  <c r="H32" i="38"/>
  <c r="H33" i="38"/>
  <c r="H35" i="38"/>
  <c r="H36" i="38"/>
  <c r="E37" i="38"/>
  <c r="F37" i="38"/>
  <c r="G37" i="38"/>
  <c r="E47" i="38"/>
  <c r="H4" i="42"/>
  <c r="H5" i="42"/>
  <c r="H6" i="42"/>
  <c r="H7" i="42"/>
  <c r="H8" i="42"/>
  <c r="H9" i="42"/>
  <c r="H10" i="42"/>
  <c r="H12" i="42"/>
  <c r="H13" i="42"/>
  <c r="H14" i="42"/>
  <c r="H15" i="42"/>
  <c r="H16" i="42"/>
  <c r="H19" i="42"/>
  <c r="E21" i="42"/>
  <c r="F21" i="42"/>
  <c r="G21" i="42"/>
  <c r="H27" i="42"/>
  <c r="H28" i="42"/>
  <c r="H29" i="42"/>
  <c r="H30" i="42"/>
  <c r="H31" i="42"/>
  <c r="H32" i="42"/>
  <c r="H33" i="42"/>
  <c r="H34" i="42"/>
  <c r="H35" i="42"/>
  <c r="H36" i="42"/>
  <c r="H37" i="42"/>
  <c r="H38" i="42"/>
  <c r="H39" i="42"/>
  <c r="H40" i="42"/>
  <c r="H41" i="42"/>
  <c r="H42" i="42"/>
  <c r="H43" i="42"/>
  <c r="E44" i="42"/>
  <c r="E65" i="42"/>
  <c r="H45" i="42"/>
  <c r="H46" i="42"/>
  <c r="H47" i="42"/>
  <c r="H48" i="42"/>
  <c r="H49" i="42"/>
  <c r="H50" i="42"/>
  <c r="H53" i="42"/>
  <c r="H54" i="42"/>
  <c r="H56" i="42"/>
  <c r="H59" i="42"/>
  <c r="H60" i="42"/>
  <c r="H62" i="42"/>
  <c r="F65" i="42"/>
  <c r="G65" i="42"/>
  <c r="H70" i="42"/>
  <c r="H79" i="42"/>
  <c r="H71" i="42"/>
  <c r="H72" i="42"/>
  <c r="H73" i="42"/>
  <c r="H74" i="42"/>
  <c r="H75" i="42"/>
  <c r="H76" i="42"/>
  <c r="H77" i="42"/>
  <c r="E79" i="42"/>
  <c r="F79" i="42"/>
  <c r="G79" i="42"/>
  <c r="E52" i="37"/>
  <c r="I52" i="37"/>
  <c r="J250" i="37"/>
  <c r="K250" i="37"/>
  <c r="J251" i="37"/>
  <c r="K251" i="37"/>
  <c r="B60" i="43"/>
  <c r="C60" i="43"/>
  <c r="D60" i="43"/>
  <c r="E60" i="43"/>
  <c r="F60" i="43"/>
  <c r="G60" i="43"/>
  <c r="H60" i="43"/>
  <c r="I60" i="43"/>
  <c r="J117" i="43"/>
  <c r="K117" i="43"/>
  <c r="J118" i="43"/>
  <c r="K118" i="43"/>
  <c r="D4" i="45"/>
  <c r="N4" i="45"/>
  <c r="Y4" i="45"/>
  <c r="E4" i="45"/>
  <c r="O4" i="45"/>
  <c r="Q4" i="45"/>
  <c r="R4" i="45"/>
  <c r="U4" i="45"/>
  <c r="V4" i="45"/>
  <c r="W4" i="45"/>
  <c r="X4" i="45"/>
  <c r="D5" i="45"/>
  <c r="E5" i="45"/>
  <c r="O5" i="45"/>
  <c r="N5" i="45"/>
  <c r="Q5" i="45"/>
  <c r="R5" i="45"/>
  <c r="U5" i="45"/>
  <c r="V5" i="45"/>
  <c r="W5" i="45"/>
  <c r="X5" i="45"/>
  <c r="D6" i="45"/>
  <c r="N6" i="45"/>
  <c r="E6" i="45"/>
  <c r="O6" i="45"/>
  <c r="Q6" i="45"/>
  <c r="R6" i="45"/>
  <c r="U6" i="45"/>
  <c r="V6" i="45"/>
  <c r="W6" i="45"/>
  <c r="X6" i="45"/>
  <c r="D7" i="45"/>
  <c r="E7" i="45"/>
  <c r="O7" i="45"/>
  <c r="N7" i="45"/>
  <c r="Q7" i="45"/>
  <c r="S7" i="45"/>
  <c r="D8" i="45"/>
  <c r="N8" i="45"/>
  <c r="E8" i="45"/>
  <c r="O8" i="45"/>
  <c r="D9" i="45"/>
  <c r="E9" i="45"/>
  <c r="O9" i="45"/>
  <c r="N9" i="45"/>
  <c r="D10" i="45"/>
  <c r="E10" i="45"/>
  <c r="N10" i="45"/>
  <c r="O10" i="45"/>
  <c r="D11" i="45"/>
  <c r="E11" i="45"/>
  <c r="N11" i="45"/>
  <c r="O11" i="45"/>
  <c r="D12" i="45"/>
  <c r="E12" i="45"/>
  <c r="O12" i="45"/>
  <c r="N12" i="45"/>
  <c r="D13" i="45"/>
  <c r="E13" i="45"/>
  <c r="N13" i="45"/>
  <c r="O13" i="45"/>
  <c r="D14" i="45"/>
  <c r="E14" i="45"/>
  <c r="N14" i="45"/>
  <c r="O14" i="45"/>
  <c r="D15" i="45"/>
  <c r="E15" i="45"/>
  <c r="O15" i="45"/>
  <c r="N15" i="45"/>
  <c r="D16" i="45"/>
  <c r="E16" i="45"/>
  <c r="O16" i="45"/>
  <c r="N16" i="45"/>
  <c r="D17" i="45"/>
  <c r="N17" i="45"/>
  <c r="E17" i="45"/>
  <c r="O17" i="45"/>
  <c r="D18" i="45"/>
  <c r="N18" i="45"/>
  <c r="E18" i="45"/>
  <c r="O18" i="45"/>
  <c r="D19" i="45"/>
  <c r="N19" i="45"/>
  <c r="E19" i="45"/>
  <c r="O19" i="45"/>
  <c r="D20" i="45"/>
  <c r="N20" i="45"/>
  <c r="E20" i="45"/>
  <c r="O20" i="45"/>
  <c r="D21" i="45"/>
  <c r="N21" i="45"/>
  <c r="E21" i="45"/>
  <c r="O21" i="45"/>
  <c r="D22" i="45"/>
  <c r="N22" i="45"/>
  <c r="E22" i="45"/>
  <c r="O22" i="45"/>
  <c r="D23" i="45"/>
  <c r="N23" i="45"/>
  <c r="E23" i="45"/>
  <c r="O23" i="45"/>
  <c r="D24" i="45"/>
  <c r="N24" i="45"/>
  <c r="E24" i="45"/>
  <c r="O24" i="45"/>
  <c r="D25" i="45"/>
  <c r="N25" i="45"/>
  <c r="E25" i="45"/>
  <c r="O25" i="45"/>
  <c r="D26" i="45"/>
  <c r="N26" i="45"/>
  <c r="E26" i="45"/>
  <c r="O26" i="45"/>
  <c r="D27" i="45"/>
  <c r="N27" i="45"/>
  <c r="E27" i="45"/>
  <c r="O27" i="45"/>
  <c r="D28" i="45"/>
  <c r="N28" i="45"/>
  <c r="E28" i="45"/>
  <c r="O28" i="45"/>
  <c r="D29" i="45"/>
  <c r="N29" i="45"/>
  <c r="E29" i="45"/>
  <c r="D30" i="45"/>
  <c r="N30" i="45"/>
  <c r="E30" i="45"/>
  <c r="O30" i="45"/>
  <c r="D31" i="45"/>
  <c r="N31" i="45"/>
  <c r="E31" i="45"/>
  <c r="O31" i="45"/>
  <c r="D32" i="45"/>
  <c r="N32" i="45"/>
  <c r="E32" i="45"/>
  <c r="O32" i="45"/>
  <c r="D33" i="45"/>
  <c r="N33" i="45"/>
  <c r="E33" i="45"/>
  <c r="O33" i="45"/>
  <c r="D34" i="45"/>
  <c r="N34" i="45"/>
  <c r="E34" i="45"/>
  <c r="O34" i="45"/>
  <c r="D35" i="45"/>
  <c r="N35" i="45"/>
  <c r="E35" i="45"/>
  <c r="O35" i="45"/>
  <c r="D36" i="45"/>
  <c r="N36" i="45"/>
  <c r="E36" i="45"/>
  <c r="O36" i="45"/>
  <c r="D37" i="45"/>
  <c r="N37" i="45"/>
  <c r="E37" i="45"/>
  <c r="O37" i="45"/>
  <c r="D38" i="45"/>
  <c r="N38" i="45"/>
  <c r="E38" i="45"/>
  <c r="O38" i="45"/>
  <c r="D39" i="45"/>
  <c r="N39" i="45"/>
  <c r="E39" i="45"/>
  <c r="O39" i="45"/>
  <c r="D40" i="45"/>
  <c r="E40" i="45"/>
  <c r="O40" i="45"/>
  <c r="N40" i="45"/>
  <c r="D41" i="45"/>
  <c r="E41" i="45"/>
  <c r="O41" i="45"/>
  <c r="N41" i="45"/>
  <c r="D42" i="45"/>
  <c r="E42" i="45"/>
  <c r="O42" i="45"/>
  <c r="N42" i="45"/>
  <c r="D43" i="45"/>
  <c r="N43" i="45"/>
  <c r="E43" i="45"/>
  <c r="O43" i="45"/>
  <c r="D44" i="45"/>
  <c r="E44" i="45"/>
  <c r="O44" i="45"/>
  <c r="N44" i="45"/>
  <c r="D45" i="45"/>
  <c r="E45" i="45"/>
  <c r="O45" i="45"/>
  <c r="N45" i="45"/>
  <c r="D46" i="45"/>
  <c r="E46" i="45"/>
  <c r="O46" i="45"/>
  <c r="N46" i="45"/>
  <c r="D47" i="45"/>
  <c r="N47" i="45"/>
  <c r="E47" i="45"/>
  <c r="O47" i="45"/>
  <c r="D48" i="45"/>
  <c r="E48" i="45"/>
  <c r="O48" i="45"/>
  <c r="N48" i="45"/>
  <c r="D49" i="45"/>
  <c r="E49" i="45"/>
  <c r="O49" i="45"/>
  <c r="N49" i="45"/>
  <c r="D50" i="45"/>
  <c r="E50" i="45"/>
  <c r="O50" i="45"/>
  <c r="N50" i="45"/>
  <c r="D51" i="45"/>
  <c r="M41" i="48"/>
  <c r="G3" i="31"/>
  <c r="H3" i="31"/>
  <c r="G4" i="31"/>
  <c r="R680" i="29"/>
  <c r="G5" i="31"/>
  <c r="H5" i="31"/>
  <c r="G6" i="31"/>
  <c r="H6" i="31"/>
  <c r="G7" i="31"/>
  <c r="H7" i="31"/>
  <c r="G8" i="31"/>
  <c r="H8" i="31"/>
  <c r="G9" i="31"/>
  <c r="H9" i="31"/>
  <c r="G10" i="31"/>
  <c r="R86" i="29"/>
  <c r="S86" i="29"/>
  <c r="G11" i="31"/>
  <c r="H11" i="31"/>
  <c r="G12" i="31"/>
  <c r="R85" i="29"/>
  <c r="S85" i="29"/>
  <c r="G13" i="31"/>
  <c r="H13" i="31"/>
  <c r="G14" i="31"/>
  <c r="H14" i="31"/>
  <c r="G15" i="31"/>
  <c r="H15" i="31"/>
  <c r="G16" i="31"/>
  <c r="H16" i="31"/>
  <c r="G17" i="31"/>
  <c r="H17" i="31"/>
  <c r="G18" i="31"/>
  <c r="H18" i="31"/>
  <c r="G19" i="31"/>
  <c r="H19" i="31"/>
  <c r="G20" i="31"/>
  <c r="H20" i="31"/>
  <c r="G21" i="31"/>
  <c r="H21" i="31"/>
  <c r="G22" i="31"/>
  <c r="H22" i="31"/>
  <c r="G23" i="31"/>
  <c r="H23" i="31"/>
  <c r="G24" i="31"/>
  <c r="H24" i="31"/>
  <c r="G25" i="31"/>
  <c r="H25" i="31"/>
  <c r="G26" i="31"/>
  <c r="H26" i="31"/>
  <c r="E27" i="31"/>
  <c r="G27" i="31"/>
  <c r="H27" i="31"/>
  <c r="G28" i="31"/>
  <c r="H28" i="31"/>
  <c r="G29" i="31"/>
  <c r="H29" i="31"/>
  <c r="G30" i="31"/>
  <c r="H30" i="31"/>
  <c r="G31" i="31"/>
  <c r="H31" i="31"/>
  <c r="G32" i="31"/>
  <c r="H32" i="31"/>
  <c r="G33" i="31"/>
  <c r="H33" i="31"/>
  <c r="G34" i="31"/>
  <c r="H34" i="31"/>
  <c r="G35" i="31"/>
  <c r="H35" i="31"/>
  <c r="G36" i="31"/>
  <c r="H36" i="31"/>
  <c r="G37" i="31"/>
  <c r="H37" i="31"/>
  <c r="G38" i="31"/>
  <c r="G39" i="31"/>
  <c r="H39" i="31"/>
  <c r="G40" i="31"/>
  <c r="H40" i="31"/>
  <c r="G41" i="31"/>
  <c r="H41" i="31"/>
  <c r="G42" i="31"/>
  <c r="H42" i="31"/>
  <c r="G43" i="31"/>
  <c r="H43" i="31"/>
  <c r="G44" i="31"/>
  <c r="H44" i="31"/>
  <c r="G45" i="31"/>
  <c r="H45" i="31"/>
  <c r="G46" i="31"/>
  <c r="H46" i="31"/>
  <c r="G47" i="31"/>
  <c r="H47" i="31"/>
  <c r="G48" i="31"/>
  <c r="H48" i="31"/>
  <c r="G49" i="31"/>
  <c r="H49" i="31"/>
  <c r="G50" i="31"/>
  <c r="H50" i="31"/>
  <c r="G51" i="31"/>
  <c r="H51" i="31"/>
  <c r="G52" i="31"/>
  <c r="H52" i="31"/>
  <c r="G53" i="31"/>
  <c r="H53" i="31"/>
  <c r="G54" i="31"/>
  <c r="R770" i="29"/>
  <c r="G55" i="31"/>
  <c r="H55" i="31"/>
  <c r="G56" i="31"/>
  <c r="H56" i="31"/>
  <c r="G57" i="31"/>
  <c r="H57" i="31"/>
  <c r="G58" i="31"/>
  <c r="R583" i="29"/>
  <c r="G59" i="31"/>
  <c r="H59" i="31"/>
  <c r="G60" i="31"/>
  <c r="H60" i="31"/>
  <c r="G61" i="31"/>
  <c r="H61" i="31"/>
  <c r="G62" i="31"/>
  <c r="H62" i="31"/>
  <c r="G63" i="31"/>
  <c r="R615" i="29"/>
  <c r="G64" i="31"/>
  <c r="H64" i="31"/>
  <c r="G65" i="31"/>
  <c r="R623" i="29"/>
  <c r="G66" i="31"/>
  <c r="H66" i="31"/>
  <c r="G67" i="31"/>
  <c r="H67" i="31"/>
  <c r="G68" i="31"/>
  <c r="H68" i="31"/>
  <c r="G69" i="31"/>
  <c r="H69" i="31"/>
  <c r="G70" i="31"/>
  <c r="R951" i="29"/>
  <c r="G71" i="31"/>
  <c r="R685" i="29"/>
  <c r="G72" i="31"/>
  <c r="R686" i="29"/>
  <c r="G73" i="31"/>
  <c r="R687" i="29"/>
  <c r="G74" i="31"/>
  <c r="R722" i="29"/>
  <c r="G75" i="31"/>
  <c r="R706" i="29"/>
  <c r="G76" i="31"/>
  <c r="H76" i="31"/>
  <c r="G77" i="31"/>
  <c r="H77" i="31"/>
  <c r="E79" i="31"/>
  <c r="G79" i="31"/>
  <c r="R768" i="29"/>
  <c r="G80" i="31"/>
  <c r="H80" i="31"/>
  <c r="G81" i="31"/>
  <c r="R804" i="29"/>
  <c r="G82" i="31"/>
  <c r="H82" i="31"/>
  <c r="G83" i="31"/>
  <c r="H83" i="31"/>
  <c r="G84" i="31"/>
  <c r="H84" i="31"/>
  <c r="G85" i="31"/>
  <c r="H85" i="31"/>
  <c r="G86" i="31"/>
  <c r="H86" i="31"/>
  <c r="G87" i="31"/>
  <c r="R842" i="29"/>
  <c r="G88" i="31"/>
  <c r="H88" i="31"/>
  <c r="G89" i="31"/>
  <c r="R950" i="29"/>
  <c r="H89" i="31"/>
  <c r="G90" i="31"/>
  <c r="R952" i="29"/>
  <c r="G91" i="31"/>
  <c r="H91" i="31"/>
  <c r="G92" i="31"/>
  <c r="R954" i="29"/>
  <c r="G93" i="31"/>
  <c r="H93" i="31"/>
  <c r="G94" i="31"/>
  <c r="H94" i="31"/>
  <c r="G96" i="31"/>
  <c r="H96" i="31"/>
  <c r="G97" i="31"/>
  <c r="H97" i="31"/>
  <c r="G98" i="31"/>
  <c r="H98" i="31"/>
  <c r="G99" i="31"/>
  <c r="R1109" i="29"/>
  <c r="G100" i="31"/>
  <c r="H100" i="31"/>
  <c r="G101" i="31"/>
  <c r="H101" i="31"/>
  <c r="G102" i="31"/>
  <c r="H102" i="31"/>
  <c r="G103" i="31"/>
  <c r="H103" i="31"/>
  <c r="R1251" i="29"/>
  <c r="G104" i="31"/>
  <c r="H104" i="31"/>
  <c r="G105" i="31"/>
  <c r="R1253" i="29"/>
  <c r="G106" i="31"/>
  <c r="R1254" i="29"/>
  <c r="G107" i="31"/>
  <c r="R1255" i="29"/>
  <c r="G108" i="31"/>
  <c r="H108" i="31"/>
  <c r="G109" i="31"/>
  <c r="H109" i="31"/>
  <c r="G110" i="31"/>
  <c r="H110" i="31"/>
  <c r="G111" i="31"/>
  <c r="H111" i="31"/>
  <c r="G112" i="31"/>
  <c r="H112" i="31"/>
  <c r="G113" i="31"/>
  <c r="H113" i="31"/>
  <c r="G114" i="31"/>
  <c r="H114" i="31"/>
  <c r="G115" i="31"/>
  <c r="H115" i="31"/>
  <c r="G116" i="31"/>
  <c r="H116" i="31"/>
  <c r="G117" i="31"/>
  <c r="H117" i="31"/>
  <c r="G118" i="31"/>
  <c r="H118" i="31"/>
  <c r="G119" i="31"/>
  <c r="H119" i="31"/>
  <c r="E120" i="31"/>
  <c r="G120" i="31"/>
  <c r="H120" i="31"/>
  <c r="G123" i="31"/>
  <c r="H123" i="31"/>
  <c r="G124" i="31"/>
  <c r="R1378" i="29"/>
  <c r="S1378" i="29"/>
  <c r="G125" i="31"/>
  <c r="H125" i="31"/>
  <c r="G126" i="31"/>
  <c r="H126" i="31"/>
  <c r="G127" i="31"/>
  <c r="R1538" i="29"/>
  <c r="S1538" i="29"/>
  <c r="G128" i="31"/>
  <c r="R1336" i="29"/>
  <c r="S1336" i="29"/>
  <c r="G129" i="31"/>
  <c r="R1456" i="29"/>
  <c r="G130" i="31"/>
  <c r="R1457" i="29"/>
  <c r="G131" i="31"/>
  <c r="H131" i="31"/>
  <c r="G132" i="31"/>
  <c r="H132" i="31"/>
  <c r="G133" i="31"/>
  <c r="H133" i="31"/>
  <c r="G134" i="31"/>
  <c r="H134" i="31"/>
  <c r="G135" i="31"/>
  <c r="H135" i="31"/>
  <c r="G136" i="31"/>
  <c r="R1445" i="29"/>
  <c r="G137" i="31"/>
  <c r="H137" i="31"/>
  <c r="G138" i="31"/>
  <c r="R1472" i="29"/>
  <c r="G139" i="31"/>
  <c r="R1464" i="29"/>
  <c r="G140" i="31"/>
  <c r="R1615" i="29"/>
  <c r="G141" i="31"/>
  <c r="R1940" i="29"/>
  <c r="G142" i="31"/>
  <c r="R1571" i="29"/>
  <c r="G143" i="31"/>
  <c r="H143" i="31"/>
  <c r="G144" i="31"/>
  <c r="H144" i="31"/>
  <c r="G145" i="31"/>
  <c r="R1737" i="29"/>
  <c r="G146" i="31"/>
  <c r="H146" i="31"/>
  <c r="G147" i="31"/>
  <c r="R1739" i="29"/>
  <c r="G148" i="31"/>
  <c r="H148" i="31"/>
  <c r="G149" i="31"/>
  <c r="H149" i="31"/>
  <c r="G150" i="31"/>
  <c r="H150" i="31"/>
  <c r="G151" i="31"/>
  <c r="H151" i="31"/>
  <c r="G152" i="31"/>
  <c r="H152" i="31"/>
  <c r="G153" i="31"/>
  <c r="R1786" i="29"/>
  <c r="G154" i="31"/>
  <c r="H154" i="31"/>
  <c r="G155" i="31"/>
  <c r="H155" i="31"/>
  <c r="G156" i="31"/>
  <c r="R1827" i="29"/>
  <c r="G157" i="31"/>
  <c r="H157" i="31"/>
  <c r="G158" i="31"/>
  <c r="H158" i="31"/>
  <c r="G159" i="31"/>
  <c r="H159" i="31"/>
  <c r="G160" i="31"/>
  <c r="H160" i="31"/>
  <c r="G161" i="31"/>
  <c r="R1816" i="29"/>
  <c r="S1816" i="29"/>
  <c r="G162" i="31"/>
  <c r="H162" i="31"/>
  <c r="G163" i="31"/>
  <c r="R1873" i="29"/>
  <c r="G164" i="31"/>
  <c r="H164" i="31"/>
  <c r="G165" i="31"/>
  <c r="H165" i="31"/>
  <c r="G166" i="31"/>
  <c r="H166" i="31"/>
  <c r="G167" i="31"/>
  <c r="H167" i="31"/>
  <c r="G168" i="31"/>
  <c r="H168" i="31"/>
  <c r="G169" i="31"/>
  <c r="H169" i="31"/>
  <c r="G170" i="31"/>
  <c r="H170" i="31"/>
  <c r="G171" i="31"/>
  <c r="H171" i="31"/>
  <c r="G172" i="31"/>
  <c r="H172" i="31"/>
  <c r="G173" i="31"/>
  <c r="H173" i="31"/>
  <c r="G174" i="31"/>
  <c r="H174" i="31"/>
  <c r="G175" i="31"/>
  <c r="H175" i="31"/>
  <c r="G176" i="31"/>
  <c r="H176" i="31"/>
  <c r="G177" i="31"/>
  <c r="H177" i="31"/>
  <c r="G178" i="31"/>
  <c r="H178" i="31"/>
  <c r="G179" i="31"/>
  <c r="H179" i="31"/>
  <c r="G180" i="31"/>
  <c r="H180" i="31"/>
  <c r="G181" i="31"/>
  <c r="H181" i="31"/>
  <c r="G182" i="31"/>
  <c r="H182" i="31"/>
  <c r="G183" i="31"/>
  <c r="H183" i="31"/>
  <c r="G184" i="31"/>
  <c r="R2084" i="29"/>
  <c r="G185" i="31"/>
  <c r="R2115" i="29"/>
  <c r="S2115" i="29"/>
  <c r="G186" i="31"/>
  <c r="H186" i="31"/>
  <c r="G187" i="31"/>
  <c r="H187" i="31"/>
  <c r="G188" i="31"/>
  <c r="R2185" i="29"/>
  <c r="G189" i="31"/>
  <c r="H189" i="31"/>
  <c r="G190" i="31"/>
  <c r="R2187" i="29"/>
  <c r="G191" i="31"/>
  <c r="H191" i="31"/>
  <c r="G192" i="31"/>
  <c r="H192" i="31"/>
  <c r="G193" i="31"/>
  <c r="R2157" i="29"/>
  <c r="G194" i="31"/>
  <c r="H194" i="31"/>
  <c r="G195" i="31"/>
  <c r="H195" i="31"/>
  <c r="G196" i="31"/>
  <c r="R2204" i="29"/>
  <c r="S2204" i="29"/>
  <c r="G197" i="31"/>
  <c r="H197" i="31"/>
  <c r="G198" i="31"/>
  <c r="R2227" i="29"/>
  <c r="H198" i="31"/>
  <c r="G199" i="31"/>
  <c r="H199" i="31"/>
  <c r="G200" i="31"/>
  <c r="H200" i="31"/>
  <c r="G201" i="31"/>
  <c r="H201" i="31"/>
  <c r="G202" i="31"/>
  <c r="R2389" i="29"/>
  <c r="G203" i="31"/>
  <c r="H203" i="31"/>
  <c r="G204" i="31"/>
  <c r="H204" i="31"/>
  <c r="G205" i="31"/>
  <c r="H205" i="31"/>
  <c r="G206" i="31"/>
  <c r="H206" i="31"/>
  <c r="G207" i="31"/>
  <c r="H207" i="31"/>
  <c r="G208" i="31"/>
  <c r="H208" i="31"/>
  <c r="G209" i="31"/>
  <c r="H209" i="31"/>
  <c r="G210" i="31"/>
  <c r="H210" i="31"/>
  <c r="G211" i="31"/>
  <c r="H211" i="31"/>
  <c r="G212" i="31"/>
  <c r="H212" i="31"/>
  <c r="G213" i="31"/>
  <c r="H213" i="31"/>
  <c r="G214" i="31"/>
  <c r="H214" i="31"/>
  <c r="G215" i="31"/>
  <c r="H215" i="31"/>
  <c r="G216" i="31"/>
  <c r="H216" i="31"/>
  <c r="G217" i="31"/>
  <c r="H217" i="31"/>
  <c r="G218" i="31"/>
  <c r="H218" i="31"/>
  <c r="G219" i="31"/>
  <c r="H219" i="31"/>
  <c r="G220" i="31"/>
  <c r="H220" i="31"/>
  <c r="G221" i="31"/>
  <c r="H221" i="31"/>
  <c r="G222" i="31"/>
  <c r="H222" i="31"/>
  <c r="G223" i="31"/>
  <c r="H223" i="31"/>
  <c r="G224" i="31"/>
  <c r="H224" i="31"/>
  <c r="G225" i="31"/>
  <c r="H225" i="31"/>
  <c r="G226" i="31"/>
  <c r="H226" i="31"/>
  <c r="G227" i="31"/>
  <c r="H227" i="31"/>
  <c r="G228" i="31"/>
  <c r="H228" i="31"/>
  <c r="G229" i="31"/>
  <c r="H229" i="31"/>
  <c r="G230" i="31"/>
  <c r="H230" i="31"/>
  <c r="G231" i="31"/>
  <c r="H231" i="31"/>
  <c r="G232" i="31"/>
  <c r="H232" i="31"/>
  <c r="K233" i="31"/>
  <c r="G233" i="31"/>
  <c r="H233" i="31"/>
  <c r="K234" i="31"/>
  <c r="G234" i="31"/>
  <c r="H234" i="31"/>
  <c r="K235" i="31"/>
  <c r="G235" i="31"/>
  <c r="H235" i="31"/>
  <c r="K236" i="31"/>
  <c r="G236" i="31"/>
  <c r="H236" i="31"/>
  <c r="G237" i="31"/>
  <c r="H237" i="31"/>
  <c r="G238" i="31"/>
  <c r="H238" i="31"/>
  <c r="G239" i="31"/>
  <c r="H239" i="31"/>
  <c r="G240" i="31"/>
  <c r="H240" i="31"/>
  <c r="G241" i="31"/>
  <c r="H241" i="31"/>
  <c r="G242" i="31"/>
  <c r="H242" i="31"/>
  <c r="G243" i="31"/>
  <c r="H243" i="31"/>
  <c r="G244" i="31"/>
  <c r="H244" i="31"/>
  <c r="G245" i="31"/>
  <c r="H245" i="31"/>
  <c r="G246" i="31"/>
  <c r="H246" i="31"/>
  <c r="G247" i="31"/>
  <c r="H247" i="31"/>
  <c r="G248" i="31"/>
  <c r="H248" i="31"/>
  <c r="G249" i="31"/>
  <c r="H249" i="31"/>
  <c r="F250" i="31"/>
  <c r="F251" i="31"/>
  <c r="F252" i="31"/>
  <c r="F253" i="31"/>
  <c r="F254" i="31"/>
  <c r="F255" i="31"/>
  <c r="F256" i="31"/>
  <c r="F257" i="31"/>
  <c r="F258" i="31"/>
  <c r="F259" i="31"/>
  <c r="F260" i="31"/>
  <c r="F261" i="31"/>
  <c r="G261" i="31"/>
  <c r="H261" i="31"/>
  <c r="F262" i="31"/>
  <c r="F263" i="31"/>
  <c r="F264" i="31"/>
  <c r="F265" i="31"/>
  <c r="F266" i="31"/>
  <c r="F267" i="31"/>
  <c r="F268" i="31"/>
  <c r="F269" i="31"/>
  <c r="F270" i="31"/>
  <c r="F271" i="31"/>
  <c r="F272" i="31"/>
  <c r="G272" i="31"/>
  <c r="H272" i="31"/>
  <c r="F273" i="31"/>
  <c r="F274" i="31"/>
  <c r="F275" i="31"/>
  <c r="G275" i="31"/>
  <c r="H275" i="31"/>
  <c r="F276" i="31"/>
  <c r="F277" i="31"/>
  <c r="F278" i="31"/>
  <c r="F279" i="31"/>
  <c r="F280" i="31"/>
  <c r="F281" i="31"/>
  <c r="F282" i="31"/>
  <c r="G284" i="31"/>
  <c r="H284" i="31"/>
  <c r="F283" i="31"/>
  <c r="F284" i="31"/>
  <c r="F285" i="31"/>
  <c r="F286" i="31"/>
  <c r="F287" i="31"/>
  <c r="G287" i="31"/>
  <c r="H287" i="31"/>
  <c r="F288" i="31"/>
  <c r="F289" i="31"/>
  <c r="F290" i="31"/>
  <c r="F291" i="31"/>
  <c r="F292" i="31"/>
  <c r="F293" i="31"/>
  <c r="F294" i="31"/>
  <c r="F295" i="31"/>
  <c r="F296" i="31"/>
  <c r="F297" i="31"/>
  <c r="F298" i="31"/>
  <c r="F299" i="31"/>
  <c r="F300" i="31"/>
  <c r="F301" i="31"/>
  <c r="F302" i="31"/>
  <c r="F303" i="31"/>
  <c r="F304" i="31"/>
  <c r="G304" i="31"/>
  <c r="H304" i="31"/>
  <c r="F305" i="31"/>
  <c r="F306" i="31"/>
  <c r="F307" i="31"/>
  <c r="G307" i="31"/>
  <c r="H307" i="31"/>
  <c r="F308" i="31"/>
  <c r="F309" i="31"/>
  <c r="F310" i="31"/>
  <c r="F311" i="31"/>
  <c r="F312" i="31"/>
  <c r="F313" i="31"/>
  <c r="F314" i="31"/>
  <c r="F315" i="31"/>
  <c r="F316" i="31"/>
  <c r="F317" i="31"/>
  <c r="F318" i="31"/>
  <c r="F319" i="31"/>
  <c r="F320" i="31"/>
  <c r="F321" i="31"/>
  <c r="F322" i="31"/>
  <c r="F323" i="31"/>
  <c r="F324" i="31"/>
  <c r="F325" i="31"/>
  <c r="G325" i="31"/>
  <c r="H325" i="31"/>
  <c r="F326" i="31"/>
  <c r="F327" i="31"/>
  <c r="F328" i="31"/>
  <c r="F329" i="31"/>
  <c r="F330" i="31"/>
  <c r="F331" i="31"/>
  <c r="F332" i="31"/>
  <c r="F333" i="31"/>
  <c r="F334" i="31"/>
  <c r="F335" i="31"/>
  <c r="F336" i="31"/>
  <c r="F337" i="31"/>
  <c r="F338" i="31"/>
  <c r="F339" i="31"/>
  <c r="F340" i="31"/>
  <c r="F341" i="31"/>
  <c r="F342" i="31"/>
  <c r="F343" i="31"/>
  <c r="F344" i="31"/>
  <c r="F345" i="31"/>
  <c r="F346" i="31"/>
  <c r="F347" i="31"/>
  <c r="F348" i="31"/>
  <c r="F349" i="31"/>
  <c r="F350" i="31"/>
  <c r="F351" i="31"/>
  <c r="F352" i="31"/>
  <c r="F353" i="31"/>
  <c r="F354" i="31"/>
  <c r="F355" i="31"/>
  <c r="F356" i="31"/>
  <c r="F357" i="31"/>
  <c r="F358" i="31"/>
  <c r="F359" i="31"/>
  <c r="F360" i="31"/>
  <c r="F361" i="31"/>
  <c r="F362" i="31"/>
  <c r="F363" i="31"/>
  <c r="F364" i="31"/>
  <c r="F365" i="31"/>
  <c r="F366" i="31"/>
  <c r="F367" i="31"/>
  <c r="F368" i="31"/>
  <c r="F369" i="31"/>
  <c r="F370" i="31"/>
  <c r="G370" i="31"/>
  <c r="H370" i="31"/>
  <c r="F371" i="31"/>
  <c r="G371" i="31"/>
  <c r="H371" i="31"/>
  <c r="F372" i="31"/>
  <c r="F373" i="31"/>
  <c r="F374" i="31"/>
  <c r="G374" i="31"/>
  <c r="H374" i="31"/>
  <c r="F375" i="31"/>
  <c r="F376" i="31"/>
  <c r="F377" i="31"/>
  <c r="F378" i="31"/>
  <c r="F379" i="31"/>
  <c r="F380" i="31"/>
  <c r="F381" i="31"/>
  <c r="F382" i="31"/>
  <c r="F383" i="31"/>
  <c r="F384" i="31"/>
  <c r="F385" i="31"/>
  <c r="F386" i="31"/>
  <c r="F387" i="31"/>
  <c r="F388" i="31"/>
  <c r="F389" i="31"/>
  <c r="F390" i="31"/>
  <c r="F391" i="31"/>
  <c r="F392" i="31"/>
  <c r="F393" i="31"/>
  <c r="F394" i="31"/>
  <c r="F395" i="31"/>
  <c r="F396" i="31"/>
  <c r="F397" i="31"/>
  <c r="F398" i="31"/>
  <c r="F399" i="31"/>
  <c r="F400" i="31"/>
  <c r="F401" i="31"/>
  <c r="F402" i="31"/>
  <c r="F403" i="31"/>
  <c r="F404" i="31"/>
  <c r="F405" i="31"/>
  <c r="F406" i="31"/>
  <c r="F407" i="31"/>
  <c r="F408" i="31"/>
  <c r="F409" i="31"/>
  <c r="F410" i="31"/>
  <c r="H592" i="31"/>
  <c r="G594" i="31"/>
  <c r="R89" i="29"/>
  <c r="S89" i="29"/>
  <c r="G595" i="31"/>
  <c r="H595" i="31"/>
  <c r="G596" i="31"/>
  <c r="H596" i="31"/>
  <c r="G597" i="31"/>
  <c r="H597" i="31"/>
  <c r="G598" i="31"/>
  <c r="H598" i="31"/>
  <c r="G599" i="31"/>
  <c r="H599" i="31"/>
  <c r="G600" i="31"/>
  <c r="R1301" i="29"/>
  <c r="G601" i="31"/>
  <c r="H601" i="31"/>
  <c r="G602" i="31"/>
  <c r="H602" i="31"/>
  <c r="E603" i="31"/>
  <c r="G603" i="31"/>
  <c r="H603" i="31"/>
  <c r="G604" i="31"/>
  <c r="R749" i="29"/>
  <c r="G605" i="31"/>
  <c r="H605" i="31"/>
  <c r="G606" i="31"/>
  <c r="H606" i="31"/>
  <c r="G607" i="31"/>
  <c r="H607" i="31"/>
  <c r="G608" i="31"/>
  <c r="H608" i="31"/>
  <c r="G609" i="31"/>
  <c r="H609" i="31"/>
  <c r="G610" i="31"/>
  <c r="H610" i="31"/>
  <c r="G611" i="31"/>
  <c r="H611" i="31"/>
  <c r="G612" i="31"/>
  <c r="H612" i="31"/>
  <c r="G613" i="31"/>
  <c r="H613" i="31"/>
  <c r="G614" i="31"/>
  <c r="H614" i="31"/>
  <c r="G615" i="31"/>
  <c r="H615" i="31"/>
  <c r="G616" i="31"/>
  <c r="H616" i="31"/>
  <c r="G617" i="31"/>
  <c r="H617" i="31"/>
  <c r="G618" i="31"/>
  <c r="H618" i="31"/>
  <c r="G619" i="31"/>
  <c r="R1232" i="29"/>
  <c r="S1232" i="29"/>
  <c r="J620" i="31"/>
  <c r="G620" i="31"/>
  <c r="H620" i="31"/>
  <c r="R589" i="29"/>
  <c r="J621" i="31"/>
  <c r="G621" i="31"/>
  <c r="H621" i="31"/>
  <c r="J622" i="31"/>
  <c r="G622" i="31"/>
  <c r="H622" i="31"/>
  <c r="G623" i="31"/>
  <c r="R733" i="29"/>
  <c r="G624" i="31"/>
  <c r="H624" i="31"/>
  <c r="G625" i="31"/>
  <c r="H625" i="31"/>
  <c r="E626" i="31"/>
  <c r="G626" i="31"/>
  <c r="H626" i="31"/>
  <c r="G629" i="31"/>
  <c r="R779" i="29"/>
  <c r="G630" i="31"/>
  <c r="H630" i="31"/>
  <c r="G631" i="31"/>
  <c r="H631" i="31"/>
  <c r="E632" i="31"/>
  <c r="G632" i="31"/>
  <c r="H632" i="31"/>
  <c r="G633" i="31"/>
  <c r="R1355" i="29"/>
  <c r="S1355" i="29"/>
  <c r="E635" i="31"/>
  <c r="G636" i="31"/>
  <c r="H636" i="31"/>
  <c r="J635" i="31"/>
  <c r="G637" i="31"/>
  <c r="H637" i="31"/>
  <c r="G638" i="31"/>
  <c r="R1604" i="29"/>
  <c r="G639" i="31"/>
  <c r="H639" i="31"/>
  <c r="G640" i="31"/>
  <c r="H640" i="31"/>
  <c r="G641" i="31"/>
  <c r="R1460" i="29"/>
  <c r="S1460" i="29"/>
  <c r="E645" i="31"/>
  <c r="G646" i="31"/>
  <c r="H646" i="31"/>
  <c r="G648" i="31"/>
  <c r="H648" i="31"/>
  <c r="G649" i="31"/>
  <c r="H649" i="31"/>
  <c r="R1675" i="29"/>
  <c r="G650" i="31"/>
  <c r="H650" i="31"/>
  <c r="G651" i="31"/>
  <c r="H651" i="31"/>
  <c r="G652" i="31"/>
  <c r="H652" i="31"/>
  <c r="G653" i="31"/>
  <c r="H653" i="31"/>
  <c r="G654" i="31"/>
  <c r="H654" i="31"/>
  <c r="G655" i="31"/>
  <c r="R1630" i="29"/>
  <c r="G656" i="31"/>
  <c r="R1629" i="29"/>
  <c r="H656" i="31"/>
  <c r="G657" i="31"/>
  <c r="H657" i="31"/>
  <c r="G658" i="31"/>
  <c r="R1633" i="29"/>
  <c r="G659" i="31"/>
  <c r="H659" i="31"/>
  <c r="G660" i="31"/>
  <c r="H660" i="31"/>
  <c r="G661" i="31"/>
  <c r="H661" i="31"/>
  <c r="G662" i="31"/>
  <c r="H662" i="31"/>
  <c r="G663" i="31"/>
  <c r="R1828" i="29"/>
  <c r="G664" i="31"/>
  <c r="H664" i="31"/>
  <c r="G665" i="31"/>
  <c r="H665" i="31"/>
  <c r="G666" i="31"/>
  <c r="R1846" i="29"/>
  <c r="G667" i="31"/>
  <c r="H667" i="31"/>
  <c r="G668" i="31"/>
  <c r="H668" i="31"/>
  <c r="E669" i="31"/>
  <c r="G669" i="31"/>
  <c r="H669" i="31"/>
  <c r="G670" i="31"/>
  <c r="H670" i="31"/>
  <c r="G671" i="31"/>
  <c r="H671" i="31"/>
  <c r="E672" i="31"/>
  <c r="G672" i="31"/>
  <c r="H672" i="31"/>
  <c r="G673" i="31"/>
  <c r="H673" i="31"/>
  <c r="G674" i="31"/>
  <c r="H674" i="31"/>
  <c r="G675" i="31"/>
  <c r="H675" i="31"/>
  <c r="G676" i="31"/>
  <c r="H676" i="31"/>
  <c r="G677" i="31"/>
  <c r="H677" i="31"/>
  <c r="E681" i="31"/>
  <c r="E682" i="31"/>
  <c r="K685" i="31"/>
  <c r="K686" i="31"/>
  <c r="K687" i="31"/>
  <c r="K688" i="31"/>
  <c r="H714" i="31"/>
  <c r="G715" i="31"/>
  <c r="R584" i="29"/>
  <c r="G716" i="31"/>
  <c r="R585" i="29"/>
  <c r="G717" i="31"/>
  <c r="H717" i="31"/>
  <c r="G718" i="31"/>
  <c r="R1149" i="29"/>
  <c r="S1149" i="29"/>
  <c r="E719" i="31"/>
  <c r="J719" i="31"/>
  <c r="E720" i="31"/>
  <c r="J720" i="31"/>
  <c r="E721" i="31"/>
  <c r="J721" i="31"/>
  <c r="E722" i="31"/>
  <c r="J722" i="31"/>
  <c r="E723" i="31"/>
  <c r="J723" i="31"/>
  <c r="E724" i="31"/>
  <c r="J724" i="31"/>
  <c r="G725" i="31"/>
  <c r="H725" i="31"/>
  <c r="G726" i="31"/>
  <c r="H726" i="31"/>
  <c r="G727" i="31"/>
  <c r="R1398" i="29"/>
  <c r="S1398" i="29"/>
  <c r="G728" i="31"/>
  <c r="H728" i="31"/>
  <c r="G729" i="31"/>
  <c r="H729" i="31"/>
  <c r="G730" i="31"/>
  <c r="R1694" i="29"/>
  <c r="S1694" i="29"/>
  <c r="G731" i="31"/>
  <c r="H731" i="31"/>
  <c r="G732" i="31"/>
  <c r="H732" i="31"/>
  <c r="G733" i="31"/>
  <c r="H733" i="31"/>
  <c r="E734" i="31"/>
  <c r="J734" i="31"/>
  <c r="E735" i="31"/>
  <c r="J735" i="31"/>
  <c r="G736" i="31"/>
  <c r="F737" i="31"/>
  <c r="G737" i="31"/>
  <c r="H737" i="31"/>
  <c r="F738" i="31"/>
  <c r="G738" i="31"/>
  <c r="H738" i="31"/>
  <c r="F739" i="31"/>
  <c r="G739" i="31"/>
  <c r="H739" i="31"/>
  <c r="F740" i="31"/>
  <c r="F741" i="31"/>
  <c r="G741" i="31"/>
  <c r="H741" i="31"/>
  <c r="F742" i="31"/>
  <c r="G742" i="31"/>
  <c r="R2977" i="29"/>
  <c r="F743" i="31"/>
  <c r="F744" i="31"/>
  <c r="G744" i="31"/>
  <c r="H744" i="31"/>
  <c r="F745" i="31"/>
  <c r="G745" i="31"/>
  <c r="H745" i="31"/>
  <c r="F746" i="31"/>
  <c r="G746" i="31"/>
  <c r="H746" i="31"/>
  <c r="F747" i="31"/>
  <c r="G747" i="31"/>
  <c r="H747" i="31"/>
  <c r="F748" i="31"/>
  <c r="G748" i="31"/>
  <c r="H748" i="31"/>
  <c r="F749" i="31"/>
  <c r="G749" i="31"/>
  <c r="H749" i="31"/>
  <c r="F750" i="31"/>
  <c r="G750" i="31"/>
  <c r="H750" i="31"/>
  <c r="F751" i="31"/>
  <c r="G751" i="31"/>
  <c r="H751" i="31"/>
  <c r="F752" i="31"/>
  <c r="F753" i="31"/>
  <c r="G753" i="31"/>
  <c r="H753" i="31"/>
  <c r="F754" i="31"/>
  <c r="G754" i="31"/>
  <c r="H754" i="31"/>
  <c r="E755" i="31"/>
  <c r="G755" i="31"/>
  <c r="H755" i="31"/>
  <c r="E756" i="31"/>
  <c r="F756" i="31"/>
  <c r="F757" i="31"/>
  <c r="G757" i="31"/>
  <c r="H757" i="31"/>
  <c r="F758" i="31"/>
  <c r="G758" i="31"/>
  <c r="H758" i="31"/>
  <c r="N3" i="29"/>
  <c r="P3" i="29"/>
  <c r="Q3" i="29"/>
  <c r="T3" i="29"/>
  <c r="W3" i="29"/>
  <c r="U3" i="29"/>
  <c r="S3" i="29"/>
  <c r="N4" i="29"/>
  <c r="P4" i="29"/>
  <c r="Q4" i="29"/>
  <c r="T4" i="29"/>
  <c r="W4" i="29"/>
  <c r="U4" i="29"/>
  <c r="S4" i="29"/>
  <c r="F5" i="29"/>
  <c r="G5" i="29"/>
  <c r="N5" i="29"/>
  <c r="P5" i="29"/>
  <c r="Q5" i="29"/>
  <c r="T5" i="29"/>
  <c r="S5" i="29"/>
  <c r="F6" i="29"/>
  <c r="G6" i="29"/>
  <c r="J6" i="29"/>
  <c r="N6" i="29"/>
  <c r="P6" i="29"/>
  <c r="Q6" i="29"/>
  <c r="T6" i="29"/>
  <c r="S6" i="29"/>
  <c r="F7" i="29"/>
  <c r="G7" i="29"/>
  <c r="J7" i="29"/>
  <c r="N7" i="29"/>
  <c r="P7" i="29"/>
  <c r="Q7" i="29"/>
  <c r="T7" i="29"/>
  <c r="S7" i="29"/>
  <c r="F8" i="29"/>
  <c r="G8" i="29"/>
  <c r="N8" i="29"/>
  <c r="P8" i="29"/>
  <c r="Q8" i="29"/>
  <c r="T8" i="29"/>
  <c r="S8" i="29"/>
  <c r="F9" i="29"/>
  <c r="G9" i="29"/>
  <c r="N9" i="29"/>
  <c r="P9" i="29"/>
  <c r="Q9" i="29"/>
  <c r="T9" i="29"/>
  <c r="S9" i="29"/>
  <c r="F10" i="29"/>
  <c r="G10" i="29"/>
  <c r="N10" i="29"/>
  <c r="P10" i="29"/>
  <c r="Q10" i="29"/>
  <c r="T10" i="29"/>
  <c r="S10" i="29"/>
  <c r="F11" i="29"/>
  <c r="G11" i="29"/>
  <c r="N11" i="29"/>
  <c r="P11" i="29"/>
  <c r="Q11" i="29"/>
  <c r="T11" i="29"/>
  <c r="S11" i="29"/>
  <c r="F12" i="29"/>
  <c r="G12" i="29"/>
  <c r="N12" i="29"/>
  <c r="P12" i="29"/>
  <c r="Q12" i="29"/>
  <c r="T12" i="29"/>
  <c r="S12" i="29"/>
  <c r="F13" i="29"/>
  <c r="G13" i="29"/>
  <c r="N13" i="29"/>
  <c r="P13" i="29"/>
  <c r="Q13" i="29"/>
  <c r="T13" i="29"/>
  <c r="S13" i="29"/>
  <c r="F14" i="29"/>
  <c r="G14" i="29"/>
  <c r="N14" i="29"/>
  <c r="P14" i="29"/>
  <c r="Q14" i="29"/>
  <c r="T14" i="29"/>
  <c r="S14" i="29"/>
  <c r="F15" i="29"/>
  <c r="G15" i="29"/>
  <c r="N15" i="29"/>
  <c r="P15" i="29"/>
  <c r="Q15" i="29"/>
  <c r="T15" i="29"/>
  <c r="S15" i="29"/>
  <c r="F16" i="29"/>
  <c r="G16" i="29"/>
  <c r="N16" i="29"/>
  <c r="P16" i="29"/>
  <c r="Q16" i="29"/>
  <c r="T16" i="29"/>
  <c r="S16" i="29"/>
  <c r="F17" i="29"/>
  <c r="G17" i="29"/>
  <c r="N17" i="29"/>
  <c r="P17" i="29"/>
  <c r="Q17" i="29"/>
  <c r="T17" i="29"/>
  <c r="S17" i="29"/>
  <c r="F18" i="29"/>
  <c r="G18" i="29"/>
  <c r="J18" i="29"/>
  <c r="N18" i="29"/>
  <c r="P18" i="29"/>
  <c r="Q18" i="29"/>
  <c r="T18" i="29"/>
  <c r="S18" i="29"/>
  <c r="F19" i="29"/>
  <c r="G19" i="29"/>
  <c r="N19" i="29"/>
  <c r="P19" i="29"/>
  <c r="Q19" i="29"/>
  <c r="T19" i="29"/>
  <c r="S19" i="29"/>
  <c r="F20" i="29"/>
  <c r="G20" i="29"/>
  <c r="N20" i="29"/>
  <c r="P20" i="29"/>
  <c r="Q20" i="29"/>
  <c r="T20" i="29"/>
  <c r="S20" i="29"/>
  <c r="F21" i="29"/>
  <c r="G21" i="29"/>
  <c r="N21" i="29"/>
  <c r="P21" i="29"/>
  <c r="Q21" i="29"/>
  <c r="T21" i="29"/>
  <c r="S21" i="29"/>
  <c r="F22" i="29"/>
  <c r="G22" i="29"/>
  <c r="N22" i="29"/>
  <c r="P22" i="29"/>
  <c r="Q22" i="29"/>
  <c r="T22" i="29"/>
  <c r="S22" i="29"/>
  <c r="F23" i="29"/>
  <c r="G23" i="29"/>
  <c r="N23" i="29"/>
  <c r="P23" i="29"/>
  <c r="Q23" i="29"/>
  <c r="T23" i="29"/>
  <c r="S23" i="29"/>
  <c r="F24" i="29"/>
  <c r="G24" i="29"/>
  <c r="N24" i="29"/>
  <c r="P24" i="29"/>
  <c r="Q24" i="29"/>
  <c r="T24" i="29"/>
  <c r="S24" i="29"/>
  <c r="F25" i="29"/>
  <c r="G25" i="29"/>
  <c r="J25" i="29"/>
  <c r="N25" i="29"/>
  <c r="P25" i="29"/>
  <c r="Q25" i="29"/>
  <c r="T25" i="29"/>
  <c r="S25" i="29"/>
  <c r="F26" i="29"/>
  <c r="G26" i="29"/>
  <c r="N26" i="29"/>
  <c r="P26" i="29"/>
  <c r="Q26" i="29"/>
  <c r="T26" i="29"/>
  <c r="S26" i="29"/>
  <c r="F27" i="29"/>
  <c r="G27" i="29"/>
  <c r="N27" i="29"/>
  <c r="P27" i="29"/>
  <c r="Q27" i="29"/>
  <c r="T27" i="29"/>
  <c r="S27" i="29"/>
  <c r="F28" i="29"/>
  <c r="G28" i="29"/>
  <c r="N28" i="29"/>
  <c r="P28" i="29"/>
  <c r="Q28" i="29"/>
  <c r="T28" i="29"/>
  <c r="S28" i="29"/>
  <c r="F29" i="29"/>
  <c r="G29" i="29"/>
  <c r="N29" i="29"/>
  <c r="P29" i="29"/>
  <c r="Q29" i="29"/>
  <c r="T29" i="29"/>
  <c r="S29" i="29"/>
  <c r="F30" i="29"/>
  <c r="G30" i="29"/>
  <c r="N30" i="29"/>
  <c r="P30" i="29"/>
  <c r="Q30" i="29"/>
  <c r="T30" i="29"/>
  <c r="S30" i="29"/>
  <c r="F31" i="29"/>
  <c r="G31" i="29"/>
  <c r="N31" i="29"/>
  <c r="P31" i="29"/>
  <c r="Q31" i="29"/>
  <c r="T31" i="29"/>
  <c r="S31" i="29"/>
  <c r="F32" i="29"/>
  <c r="G32" i="29"/>
  <c r="N32" i="29"/>
  <c r="P32" i="29"/>
  <c r="Q32" i="29"/>
  <c r="T32" i="29"/>
  <c r="S32" i="29"/>
  <c r="F33" i="29"/>
  <c r="G33" i="29"/>
  <c r="N33" i="29"/>
  <c r="P33" i="29"/>
  <c r="Q33" i="29"/>
  <c r="T33" i="29"/>
  <c r="S33" i="29"/>
  <c r="F34" i="29"/>
  <c r="G34" i="29"/>
  <c r="N34" i="29"/>
  <c r="P34" i="29"/>
  <c r="Q34" i="29"/>
  <c r="T34" i="29"/>
  <c r="S34" i="29"/>
  <c r="F35" i="29"/>
  <c r="G35" i="29"/>
  <c r="N35" i="29"/>
  <c r="P35" i="29"/>
  <c r="Q35" i="29"/>
  <c r="T35" i="29"/>
  <c r="S35" i="29"/>
  <c r="F36" i="29"/>
  <c r="G36" i="29"/>
  <c r="N36" i="29"/>
  <c r="P36" i="29"/>
  <c r="Q36" i="29"/>
  <c r="T36" i="29"/>
  <c r="S36" i="29"/>
  <c r="F37" i="29"/>
  <c r="G37" i="29"/>
  <c r="N37" i="29"/>
  <c r="P37" i="29"/>
  <c r="Q37" i="29"/>
  <c r="T37" i="29"/>
  <c r="S37" i="29"/>
  <c r="F38" i="29"/>
  <c r="G38" i="29"/>
  <c r="N38" i="29"/>
  <c r="P38" i="29"/>
  <c r="Q38" i="29"/>
  <c r="T38" i="29"/>
  <c r="S38" i="29"/>
  <c r="F39" i="29"/>
  <c r="G39" i="29"/>
  <c r="N39" i="29"/>
  <c r="P39" i="29"/>
  <c r="Q39" i="29"/>
  <c r="T39" i="29"/>
  <c r="S39" i="29"/>
  <c r="F40" i="29"/>
  <c r="G40" i="29"/>
  <c r="N40" i="29"/>
  <c r="P40" i="29"/>
  <c r="Q40" i="29"/>
  <c r="T40" i="29"/>
  <c r="S40" i="29"/>
  <c r="F41" i="29"/>
  <c r="G41" i="29"/>
  <c r="N41" i="29"/>
  <c r="P41" i="29"/>
  <c r="Q41" i="29"/>
  <c r="T41" i="29"/>
  <c r="S41" i="29"/>
  <c r="F42" i="29"/>
  <c r="G42" i="29"/>
  <c r="J42" i="29"/>
  <c r="N42" i="29"/>
  <c r="P42" i="29"/>
  <c r="Q42" i="29"/>
  <c r="T42" i="29"/>
  <c r="S42" i="29"/>
  <c r="F43" i="29"/>
  <c r="G43" i="29"/>
  <c r="N43" i="29"/>
  <c r="P43" i="29"/>
  <c r="Q43" i="29"/>
  <c r="T43" i="29"/>
  <c r="S43" i="29"/>
  <c r="F44" i="29"/>
  <c r="G44" i="29"/>
  <c r="N44" i="29"/>
  <c r="P44" i="29"/>
  <c r="Q44" i="29"/>
  <c r="T44" i="29"/>
  <c r="S44" i="29"/>
  <c r="F45" i="29"/>
  <c r="G45" i="29"/>
  <c r="J45" i="29"/>
  <c r="N45" i="29"/>
  <c r="P45" i="29"/>
  <c r="Q45" i="29"/>
  <c r="T45" i="29"/>
  <c r="S45" i="29"/>
  <c r="F46" i="29"/>
  <c r="G46" i="29"/>
  <c r="N46" i="29"/>
  <c r="P46" i="29"/>
  <c r="Q46" i="29"/>
  <c r="T46" i="29"/>
  <c r="S46" i="29"/>
  <c r="F47" i="29"/>
  <c r="G47" i="29"/>
  <c r="J47" i="29"/>
  <c r="N47" i="29"/>
  <c r="P47" i="29"/>
  <c r="Q47" i="29"/>
  <c r="T47" i="29"/>
  <c r="S47" i="29"/>
  <c r="F48" i="29"/>
  <c r="G48" i="29"/>
  <c r="J48" i="29"/>
  <c r="N48" i="29"/>
  <c r="P48" i="29"/>
  <c r="Q48" i="29"/>
  <c r="T48" i="29"/>
  <c r="S48" i="29"/>
  <c r="F49" i="29"/>
  <c r="G49" i="29"/>
  <c r="J49" i="29"/>
  <c r="N49" i="29"/>
  <c r="P49" i="29"/>
  <c r="Q49" i="29"/>
  <c r="T49" i="29"/>
  <c r="S49" i="29"/>
  <c r="F50" i="29"/>
  <c r="G50" i="29"/>
  <c r="N50" i="29"/>
  <c r="P50" i="29"/>
  <c r="Q50" i="29"/>
  <c r="T50" i="29"/>
  <c r="S50" i="29"/>
  <c r="F51" i="29"/>
  <c r="G51" i="29"/>
  <c r="N51" i="29"/>
  <c r="P51" i="29"/>
  <c r="Q51" i="29"/>
  <c r="T51" i="29"/>
  <c r="S51" i="29"/>
  <c r="F52" i="29"/>
  <c r="G52" i="29"/>
  <c r="N52" i="29"/>
  <c r="P52" i="29"/>
  <c r="Q52" i="29"/>
  <c r="T52" i="29"/>
  <c r="S52" i="29"/>
  <c r="F53" i="29"/>
  <c r="G53" i="29"/>
  <c r="N53" i="29"/>
  <c r="P53" i="29"/>
  <c r="Q53" i="29"/>
  <c r="T53" i="29"/>
  <c r="S53" i="29"/>
  <c r="F54" i="29"/>
  <c r="G54" i="29"/>
  <c r="N54" i="29"/>
  <c r="P54" i="29"/>
  <c r="Q54" i="29"/>
  <c r="T54" i="29"/>
  <c r="S54" i="29"/>
  <c r="F55" i="29"/>
  <c r="G55" i="29"/>
  <c r="N55" i="29"/>
  <c r="P55" i="29"/>
  <c r="Q55" i="29"/>
  <c r="T55" i="29"/>
  <c r="S55" i="29"/>
  <c r="F56" i="29"/>
  <c r="G56" i="29"/>
  <c r="N56" i="29"/>
  <c r="P56" i="29"/>
  <c r="Q56" i="29"/>
  <c r="T56" i="29"/>
  <c r="S56" i="29"/>
  <c r="F57" i="29"/>
  <c r="G57" i="29"/>
  <c r="N57" i="29"/>
  <c r="P57" i="29"/>
  <c r="Q57" i="29"/>
  <c r="T57" i="29"/>
  <c r="S57" i="29"/>
  <c r="N58" i="29"/>
  <c r="U58" i="29"/>
  <c r="F59" i="29"/>
  <c r="G59" i="29"/>
  <c r="N59" i="29"/>
  <c r="P59" i="29"/>
  <c r="Q59" i="29"/>
  <c r="T59" i="29"/>
  <c r="S59" i="29"/>
  <c r="F60" i="29"/>
  <c r="G60" i="29"/>
  <c r="N60" i="29"/>
  <c r="P60" i="29"/>
  <c r="Q60" i="29"/>
  <c r="T60" i="29"/>
  <c r="S60" i="29"/>
  <c r="F61" i="29"/>
  <c r="G61" i="29"/>
  <c r="N61" i="29"/>
  <c r="P61" i="29"/>
  <c r="Q61" i="29"/>
  <c r="T61" i="29"/>
  <c r="S61" i="29"/>
  <c r="F62" i="29"/>
  <c r="G62" i="29"/>
  <c r="J62" i="29"/>
  <c r="N62" i="29"/>
  <c r="P62" i="29"/>
  <c r="Q62" i="29"/>
  <c r="T62" i="29"/>
  <c r="S62" i="29"/>
  <c r="F63" i="29"/>
  <c r="G63" i="29"/>
  <c r="N63" i="29"/>
  <c r="P63" i="29"/>
  <c r="Q63" i="29"/>
  <c r="T63" i="29"/>
  <c r="S63" i="29"/>
  <c r="F64" i="29"/>
  <c r="G64" i="29"/>
  <c r="N64" i="29"/>
  <c r="P64" i="29"/>
  <c r="Q64" i="29"/>
  <c r="T64" i="29"/>
  <c r="S64" i="29"/>
  <c r="F65" i="29"/>
  <c r="K65" i="29"/>
  <c r="G65" i="29"/>
  <c r="N65" i="29"/>
  <c r="P65" i="29"/>
  <c r="Q65" i="29"/>
  <c r="T65" i="29"/>
  <c r="S65" i="29"/>
  <c r="F66" i="29"/>
  <c r="G66" i="29"/>
  <c r="N66" i="29"/>
  <c r="P66" i="29"/>
  <c r="Q66" i="29"/>
  <c r="T66" i="29"/>
  <c r="S66" i="29"/>
  <c r="F67" i="29"/>
  <c r="G67" i="29"/>
  <c r="N67" i="29"/>
  <c r="P67" i="29"/>
  <c r="Q67" i="29"/>
  <c r="T67" i="29"/>
  <c r="S67" i="29"/>
  <c r="F68" i="29"/>
  <c r="G68" i="29"/>
  <c r="N68" i="29"/>
  <c r="P68" i="29"/>
  <c r="Q68" i="29"/>
  <c r="T68" i="29"/>
  <c r="S68" i="29"/>
  <c r="F69" i="29"/>
  <c r="G69" i="29"/>
  <c r="N69" i="29"/>
  <c r="P69" i="29"/>
  <c r="Q69" i="29"/>
  <c r="T69" i="29"/>
  <c r="S69" i="29"/>
  <c r="F70" i="29"/>
  <c r="G70" i="29"/>
  <c r="N70" i="29"/>
  <c r="P70" i="29"/>
  <c r="Q70" i="29"/>
  <c r="T70" i="29"/>
  <c r="S70" i="29"/>
  <c r="F71" i="29"/>
  <c r="G71" i="29"/>
  <c r="N71" i="29"/>
  <c r="P71" i="29"/>
  <c r="Q71" i="29"/>
  <c r="T71" i="29"/>
  <c r="S71" i="29"/>
  <c r="F72" i="29"/>
  <c r="G72" i="29"/>
  <c r="J72" i="29"/>
  <c r="N72" i="29"/>
  <c r="P72" i="29"/>
  <c r="Q72" i="29"/>
  <c r="F73" i="29"/>
  <c r="G73" i="29"/>
  <c r="N73" i="29"/>
  <c r="P73" i="29"/>
  <c r="Q73" i="29"/>
  <c r="T73" i="29"/>
  <c r="S73" i="29"/>
  <c r="F74" i="29"/>
  <c r="G74" i="29"/>
  <c r="J74" i="29"/>
  <c r="N74" i="29"/>
  <c r="P74" i="29"/>
  <c r="Q74" i="29"/>
  <c r="T74" i="29"/>
  <c r="S74" i="29"/>
  <c r="F75" i="29"/>
  <c r="G75" i="29"/>
  <c r="N75" i="29"/>
  <c r="P75" i="29"/>
  <c r="Q75" i="29"/>
  <c r="T75" i="29"/>
  <c r="S75" i="29"/>
  <c r="F76" i="29"/>
  <c r="G76" i="29"/>
  <c r="N76" i="29"/>
  <c r="P76" i="29"/>
  <c r="Q76" i="29"/>
  <c r="T76" i="29"/>
  <c r="S76" i="29"/>
  <c r="F77" i="29"/>
  <c r="G77" i="29"/>
  <c r="N77" i="29"/>
  <c r="P77" i="29"/>
  <c r="Q77" i="29"/>
  <c r="T77" i="29"/>
  <c r="S77" i="29"/>
  <c r="F78" i="29"/>
  <c r="G78" i="29"/>
  <c r="N78" i="29"/>
  <c r="P78" i="29"/>
  <c r="Q78" i="29"/>
  <c r="T78" i="29"/>
  <c r="S78" i="29"/>
  <c r="F79" i="29"/>
  <c r="G79" i="29"/>
  <c r="N79" i="29"/>
  <c r="P79" i="29"/>
  <c r="Q79" i="29"/>
  <c r="T79" i="29"/>
  <c r="S79" i="29"/>
  <c r="F80" i="29"/>
  <c r="G80" i="29"/>
  <c r="N80" i="29"/>
  <c r="P80" i="29"/>
  <c r="Q80" i="29"/>
  <c r="T80" i="29"/>
  <c r="S80" i="29"/>
  <c r="F81" i="29"/>
  <c r="G81" i="29"/>
  <c r="J81" i="29"/>
  <c r="N81" i="29"/>
  <c r="P81" i="29"/>
  <c r="Q81" i="29"/>
  <c r="T81" i="29"/>
  <c r="S81" i="29"/>
  <c r="F82" i="29"/>
  <c r="G82" i="29"/>
  <c r="N82" i="29"/>
  <c r="P82" i="29"/>
  <c r="Q82" i="29"/>
  <c r="T82" i="29"/>
  <c r="S82" i="29"/>
  <c r="F83" i="29"/>
  <c r="G83" i="29"/>
  <c r="N83" i="29"/>
  <c r="P83" i="29"/>
  <c r="Q83" i="29"/>
  <c r="T83" i="29"/>
  <c r="S83" i="29"/>
  <c r="F84" i="29"/>
  <c r="G84" i="29"/>
  <c r="N84" i="29"/>
  <c r="P84" i="29"/>
  <c r="Q84" i="29"/>
  <c r="T84" i="29"/>
  <c r="S84" i="29"/>
  <c r="F85" i="29"/>
  <c r="G85" i="29"/>
  <c r="J85" i="29"/>
  <c r="N85" i="29"/>
  <c r="P85" i="29"/>
  <c r="Q85" i="29"/>
  <c r="F86" i="29"/>
  <c r="G86" i="29"/>
  <c r="J86" i="29"/>
  <c r="N86" i="29"/>
  <c r="P86" i="29"/>
  <c r="Q86" i="29"/>
  <c r="F87" i="29"/>
  <c r="G87" i="29"/>
  <c r="J87" i="29"/>
  <c r="N87" i="29"/>
  <c r="P87" i="29"/>
  <c r="Q87" i="29"/>
  <c r="F88" i="29"/>
  <c r="G88" i="29"/>
  <c r="J88" i="29"/>
  <c r="N88" i="29"/>
  <c r="P88" i="29"/>
  <c r="Q88" i="29"/>
  <c r="F89" i="29"/>
  <c r="G89" i="29"/>
  <c r="J89" i="29"/>
  <c r="N89" i="29"/>
  <c r="P89" i="29"/>
  <c r="Q89" i="29"/>
  <c r="F90" i="29"/>
  <c r="G90" i="29"/>
  <c r="N90" i="29"/>
  <c r="P90" i="29"/>
  <c r="Q90" i="29"/>
  <c r="T90" i="29"/>
  <c r="S90" i="29"/>
  <c r="F91" i="29"/>
  <c r="G91" i="29"/>
  <c r="J91" i="29"/>
  <c r="N91" i="29"/>
  <c r="P91" i="29"/>
  <c r="Q91" i="29"/>
  <c r="T91" i="29"/>
  <c r="S91" i="29"/>
  <c r="F92" i="29"/>
  <c r="G92" i="29"/>
  <c r="N92" i="29"/>
  <c r="P92" i="29"/>
  <c r="Q92" i="29"/>
  <c r="T92" i="29"/>
  <c r="S92" i="29"/>
  <c r="F93" i="29"/>
  <c r="K93" i="29"/>
  <c r="G93" i="29"/>
  <c r="N93" i="29"/>
  <c r="P93" i="29"/>
  <c r="Q93" i="29"/>
  <c r="T93" i="29"/>
  <c r="S93" i="29"/>
  <c r="F94" i="29"/>
  <c r="G94" i="29"/>
  <c r="N94" i="29"/>
  <c r="P94" i="29"/>
  <c r="Q94" i="29"/>
  <c r="T94" i="29"/>
  <c r="S94" i="29"/>
  <c r="F95" i="29"/>
  <c r="G95" i="29"/>
  <c r="J95" i="29"/>
  <c r="N95" i="29"/>
  <c r="P95" i="29"/>
  <c r="Q95" i="29"/>
  <c r="F96" i="29"/>
  <c r="K96" i="29"/>
  <c r="G96" i="29"/>
  <c r="N96" i="29"/>
  <c r="P96" i="29"/>
  <c r="Q96" i="29"/>
  <c r="T96" i="29"/>
  <c r="S96" i="29"/>
  <c r="F97" i="29"/>
  <c r="K97" i="29"/>
  <c r="G97" i="29"/>
  <c r="N97" i="29"/>
  <c r="P97" i="29"/>
  <c r="Q97" i="29"/>
  <c r="T97" i="29"/>
  <c r="S97" i="29"/>
  <c r="F98" i="29"/>
  <c r="G98" i="29"/>
  <c r="N98" i="29"/>
  <c r="P98" i="29"/>
  <c r="Q98" i="29"/>
  <c r="T98" i="29"/>
  <c r="S98" i="29"/>
  <c r="F99" i="29"/>
  <c r="G99" i="29"/>
  <c r="N99" i="29"/>
  <c r="P99" i="29"/>
  <c r="Q99" i="29"/>
  <c r="T99" i="29"/>
  <c r="S99" i="29"/>
  <c r="F100" i="29"/>
  <c r="G100" i="29"/>
  <c r="J100" i="29"/>
  <c r="N100" i="29"/>
  <c r="P100" i="29"/>
  <c r="Q100" i="29"/>
  <c r="T100" i="29"/>
  <c r="S100" i="29"/>
  <c r="F101" i="29"/>
  <c r="G101" i="29"/>
  <c r="J101" i="29"/>
  <c r="N101" i="29"/>
  <c r="P101" i="29"/>
  <c r="Q101" i="29"/>
  <c r="T101" i="29"/>
  <c r="S101" i="29"/>
  <c r="F102" i="29"/>
  <c r="G102" i="29"/>
  <c r="J102" i="29"/>
  <c r="N102" i="29"/>
  <c r="P102" i="29"/>
  <c r="Q102" i="29"/>
  <c r="T102" i="29"/>
  <c r="S102" i="29"/>
  <c r="F103" i="29"/>
  <c r="G103" i="29"/>
  <c r="N103" i="29"/>
  <c r="P103" i="29"/>
  <c r="Q103" i="29"/>
  <c r="T103" i="29"/>
  <c r="S103" i="29"/>
  <c r="F104" i="29"/>
  <c r="G104" i="29"/>
  <c r="J104" i="29"/>
  <c r="N104" i="29"/>
  <c r="P104" i="29"/>
  <c r="Q104" i="29"/>
  <c r="T104" i="29"/>
  <c r="S104" i="29"/>
  <c r="F105" i="29"/>
  <c r="G105" i="29"/>
  <c r="N105" i="29"/>
  <c r="P105" i="29"/>
  <c r="Q105" i="29"/>
  <c r="T105" i="29"/>
  <c r="S105" i="29"/>
  <c r="F106" i="29"/>
  <c r="G106" i="29"/>
  <c r="N106" i="29"/>
  <c r="P106" i="29"/>
  <c r="Q106" i="29"/>
  <c r="T106" i="29"/>
  <c r="S106" i="29"/>
  <c r="F107" i="29"/>
  <c r="G107" i="29"/>
  <c r="N107" i="29"/>
  <c r="P107" i="29"/>
  <c r="Q107" i="29"/>
  <c r="T107" i="29"/>
  <c r="S107" i="29"/>
  <c r="F108" i="29"/>
  <c r="G108" i="29"/>
  <c r="N108" i="29"/>
  <c r="P108" i="29"/>
  <c r="Q108" i="29"/>
  <c r="T108" i="29"/>
  <c r="S108" i="29"/>
  <c r="F109" i="29"/>
  <c r="G109" i="29"/>
  <c r="N109" i="29"/>
  <c r="P109" i="29"/>
  <c r="Q109" i="29"/>
  <c r="T109" i="29"/>
  <c r="S109" i="29"/>
  <c r="F110" i="29"/>
  <c r="K110" i="29"/>
  <c r="G110" i="29"/>
  <c r="N110" i="29"/>
  <c r="P110" i="29"/>
  <c r="Q110" i="29"/>
  <c r="T110" i="29"/>
  <c r="S110" i="29"/>
  <c r="F111" i="29"/>
  <c r="G111" i="29"/>
  <c r="N111" i="29"/>
  <c r="P111" i="29"/>
  <c r="Q111" i="29"/>
  <c r="T111" i="29"/>
  <c r="S111" i="29"/>
  <c r="F112" i="29"/>
  <c r="G112" i="29"/>
  <c r="J112" i="29"/>
  <c r="N112" i="29"/>
  <c r="P112" i="29"/>
  <c r="Q112" i="29"/>
  <c r="F113" i="29"/>
  <c r="G113" i="29"/>
  <c r="N113" i="29"/>
  <c r="P113" i="29"/>
  <c r="Q113" i="29"/>
  <c r="T113" i="29"/>
  <c r="S113" i="29"/>
  <c r="F114" i="29"/>
  <c r="G114" i="29"/>
  <c r="N114" i="29"/>
  <c r="P114" i="29"/>
  <c r="Q114" i="29"/>
  <c r="T114" i="29"/>
  <c r="S114" i="29"/>
  <c r="F115" i="29"/>
  <c r="G115" i="29"/>
  <c r="N115" i="29"/>
  <c r="P115" i="29"/>
  <c r="Q115" i="29"/>
  <c r="T115" i="29"/>
  <c r="S115" i="29"/>
  <c r="F116" i="29"/>
  <c r="G116" i="29"/>
  <c r="J116" i="29"/>
  <c r="N116" i="29"/>
  <c r="P116" i="29"/>
  <c r="Q116" i="29"/>
  <c r="T116" i="29"/>
  <c r="S116" i="29"/>
  <c r="F117" i="29"/>
  <c r="G117" i="29"/>
  <c r="N117" i="29"/>
  <c r="P117" i="29"/>
  <c r="Q117" i="29"/>
  <c r="T117" i="29"/>
  <c r="S117" i="29"/>
  <c r="F118" i="29"/>
  <c r="G118" i="29"/>
  <c r="N118" i="29"/>
  <c r="P118" i="29"/>
  <c r="Q118" i="29"/>
  <c r="T118" i="29"/>
  <c r="S118" i="29"/>
  <c r="F119" i="29"/>
  <c r="G119" i="29"/>
  <c r="N119" i="29"/>
  <c r="P119" i="29"/>
  <c r="Q119" i="29"/>
  <c r="T119" i="29"/>
  <c r="S119" i="29"/>
  <c r="F120" i="29"/>
  <c r="G120" i="29"/>
  <c r="N120" i="29"/>
  <c r="P120" i="29"/>
  <c r="Q120" i="29"/>
  <c r="T120" i="29"/>
  <c r="S120" i="29"/>
  <c r="N121" i="29"/>
  <c r="F122" i="29"/>
  <c r="G122" i="29"/>
  <c r="N122" i="29"/>
  <c r="P122" i="29"/>
  <c r="Q122" i="29"/>
  <c r="T122" i="29"/>
  <c r="S122" i="29"/>
  <c r="F123" i="29"/>
  <c r="G123" i="29"/>
  <c r="N123" i="29"/>
  <c r="P123" i="29"/>
  <c r="Q123" i="29"/>
  <c r="T123" i="29"/>
  <c r="S123" i="29"/>
  <c r="F124" i="29"/>
  <c r="G124" i="29"/>
  <c r="J124" i="29"/>
  <c r="N124" i="29"/>
  <c r="P124" i="29"/>
  <c r="Q124" i="29"/>
  <c r="T124" i="29"/>
  <c r="S124" i="29"/>
  <c r="F125" i="29"/>
  <c r="G125" i="29"/>
  <c r="J125" i="29"/>
  <c r="N125" i="29"/>
  <c r="P125" i="29"/>
  <c r="Q125" i="29"/>
  <c r="T125" i="29"/>
  <c r="S125" i="29"/>
  <c r="F126" i="29"/>
  <c r="G126" i="29"/>
  <c r="J126" i="29"/>
  <c r="N126" i="29"/>
  <c r="P126" i="29"/>
  <c r="Q126" i="29"/>
  <c r="T126" i="29"/>
  <c r="S126" i="29"/>
  <c r="F127" i="29"/>
  <c r="G127" i="29"/>
  <c r="N127" i="29"/>
  <c r="P127" i="29"/>
  <c r="Q127" i="29"/>
  <c r="T127" i="29"/>
  <c r="S127" i="29"/>
  <c r="F128" i="29"/>
  <c r="G128" i="29"/>
  <c r="J128" i="29"/>
  <c r="N128" i="29"/>
  <c r="P128" i="29"/>
  <c r="Q128" i="29"/>
  <c r="F129" i="29"/>
  <c r="G129" i="29"/>
  <c r="N129" i="29"/>
  <c r="P129" i="29"/>
  <c r="Q129" i="29"/>
  <c r="T129" i="29"/>
  <c r="S129" i="29"/>
  <c r="F130" i="29"/>
  <c r="G130" i="29"/>
  <c r="N130" i="29"/>
  <c r="P130" i="29"/>
  <c r="Q130" i="29"/>
  <c r="T130" i="29"/>
  <c r="S130" i="29"/>
  <c r="F131" i="29"/>
  <c r="G131" i="29"/>
  <c r="N131" i="29"/>
  <c r="P131" i="29"/>
  <c r="Q131" i="29"/>
  <c r="T131" i="29"/>
  <c r="S131" i="29"/>
  <c r="F132" i="29"/>
  <c r="G132" i="29"/>
  <c r="N132" i="29"/>
  <c r="P132" i="29"/>
  <c r="Q132" i="29"/>
  <c r="T132" i="29"/>
  <c r="S132" i="29"/>
  <c r="F133" i="29"/>
  <c r="G133" i="29"/>
  <c r="N133" i="29"/>
  <c r="P133" i="29"/>
  <c r="Q133" i="29"/>
  <c r="T133" i="29"/>
  <c r="S133" i="29"/>
  <c r="F134" i="29"/>
  <c r="G134" i="29"/>
  <c r="N134" i="29"/>
  <c r="P134" i="29"/>
  <c r="Q134" i="29"/>
  <c r="T134" i="29"/>
  <c r="S134" i="29"/>
  <c r="F135" i="29"/>
  <c r="G135" i="29"/>
  <c r="N135" i="29"/>
  <c r="P135" i="29"/>
  <c r="Q135" i="29"/>
  <c r="T135" i="29"/>
  <c r="S135" i="29"/>
  <c r="F136" i="29"/>
  <c r="G136" i="29"/>
  <c r="N136" i="29"/>
  <c r="P136" i="29"/>
  <c r="Q136" i="29"/>
  <c r="T136" i="29"/>
  <c r="S136" i="29"/>
  <c r="F137" i="29"/>
  <c r="G137" i="29"/>
  <c r="N137" i="29"/>
  <c r="P137" i="29"/>
  <c r="Q137" i="29"/>
  <c r="T137" i="29"/>
  <c r="S137" i="29"/>
  <c r="F138" i="29"/>
  <c r="G138" i="29"/>
  <c r="J138" i="29"/>
  <c r="N138" i="29"/>
  <c r="P138" i="29"/>
  <c r="Q138" i="29"/>
  <c r="T138" i="29"/>
  <c r="S138" i="29"/>
  <c r="F139" i="29"/>
  <c r="G139" i="29"/>
  <c r="N139" i="29"/>
  <c r="P139" i="29"/>
  <c r="Q139" i="29"/>
  <c r="T139" i="29"/>
  <c r="S139" i="29"/>
  <c r="F140" i="29"/>
  <c r="G140" i="29"/>
  <c r="N140" i="29"/>
  <c r="P140" i="29"/>
  <c r="Q140" i="29"/>
  <c r="T140" i="29"/>
  <c r="S140" i="29"/>
  <c r="F141" i="29"/>
  <c r="G141" i="29"/>
  <c r="J141" i="29"/>
  <c r="N141" i="29"/>
  <c r="P141" i="29"/>
  <c r="Q141" i="29"/>
  <c r="T141" i="29"/>
  <c r="S141" i="29"/>
  <c r="F142" i="29"/>
  <c r="G142" i="29"/>
  <c r="N142" i="29"/>
  <c r="P142" i="29"/>
  <c r="Q142" i="29"/>
  <c r="T142" i="29"/>
  <c r="S142" i="29"/>
  <c r="F143" i="29"/>
  <c r="G143" i="29"/>
  <c r="N143" i="29"/>
  <c r="P143" i="29"/>
  <c r="Q143" i="29"/>
  <c r="T143" i="29"/>
  <c r="S143" i="29"/>
  <c r="F144" i="29"/>
  <c r="G144" i="29"/>
  <c r="N144" i="29"/>
  <c r="P144" i="29"/>
  <c r="Q144" i="29"/>
  <c r="T144" i="29"/>
  <c r="S144" i="29"/>
  <c r="F145" i="29"/>
  <c r="G145" i="29"/>
  <c r="J145" i="29"/>
  <c r="N145" i="29"/>
  <c r="P145" i="29"/>
  <c r="Q145" i="29"/>
  <c r="T145" i="29"/>
  <c r="S145" i="29"/>
  <c r="F146" i="29"/>
  <c r="G146" i="29"/>
  <c r="N146" i="29"/>
  <c r="P146" i="29"/>
  <c r="Q146" i="29"/>
  <c r="T146" i="29"/>
  <c r="S146" i="29"/>
  <c r="F147" i="29"/>
  <c r="G147" i="29"/>
  <c r="N147" i="29"/>
  <c r="P147" i="29"/>
  <c r="Q147" i="29"/>
  <c r="T147" i="29"/>
  <c r="S147" i="29"/>
  <c r="F148" i="29"/>
  <c r="G148" i="29"/>
  <c r="N148" i="29"/>
  <c r="P148" i="29"/>
  <c r="Q148" i="29"/>
  <c r="T148" i="29"/>
  <c r="S148" i="29"/>
  <c r="F149" i="29"/>
  <c r="G149" i="29"/>
  <c r="J149" i="29"/>
  <c r="N149" i="29"/>
  <c r="P149" i="29"/>
  <c r="Q149" i="29"/>
  <c r="T149" i="29"/>
  <c r="S149" i="29"/>
  <c r="F150" i="29"/>
  <c r="G150" i="29"/>
  <c r="N150" i="29"/>
  <c r="P150" i="29"/>
  <c r="Q150" i="29"/>
  <c r="T150" i="29"/>
  <c r="S150" i="29"/>
  <c r="F151" i="29"/>
  <c r="G151" i="29"/>
  <c r="N151" i="29"/>
  <c r="P151" i="29"/>
  <c r="Q151" i="29"/>
  <c r="T151" i="29"/>
  <c r="S151" i="29"/>
  <c r="F152" i="29"/>
  <c r="G152" i="29"/>
  <c r="N152" i="29"/>
  <c r="P152" i="29"/>
  <c r="Q152" i="29"/>
  <c r="T152" i="29"/>
  <c r="S152" i="29"/>
  <c r="F153" i="29"/>
  <c r="G153" i="29"/>
  <c r="N153" i="29"/>
  <c r="P153" i="29"/>
  <c r="Q153" i="29"/>
  <c r="T153" i="29"/>
  <c r="S153" i="29"/>
  <c r="F154" i="29"/>
  <c r="G154" i="29"/>
  <c r="N154" i="29"/>
  <c r="P154" i="29"/>
  <c r="Q154" i="29"/>
  <c r="T154" i="29"/>
  <c r="S154" i="29"/>
  <c r="F155" i="29"/>
  <c r="G155" i="29"/>
  <c r="N155" i="29"/>
  <c r="P155" i="29"/>
  <c r="Q155" i="29"/>
  <c r="T155" i="29"/>
  <c r="S155" i="29"/>
  <c r="F156" i="29"/>
  <c r="G156" i="29"/>
  <c r="N156" i="29"/>
  <c r="P156" i="29"/>
  <c r="Q156" i="29"/>
  <c r="T156" i="29"/>
  <c r="S156" i="29"/>
  <c r="F157" i="29"/>
  <c r="G157" i="29"/>
  <c r="J157" i="29"/>
  <c r="N157" i="29"/>
  <c r="P157" i="29"/>
  <c r="Q157" i="29"/>
  <c r="T157" i="29"/>
  <c r="S157" i="29"/>
  <c r="F158" i="29"/>
  <c r="G158" i="29"/>
  <c r="J158" i="29"/>
  <c r="N158" i="29"/>
  <c r="P158" i="29"/>
  <c r="Q158" i="29"/>
  <c r="T158" i="29"/>
  <c r="S158" i="29"/>
  <c r="F159" i="29"/>
  <c r="G159" i="29"/>
  <c r="J159" i="29"/>
  <c r="N159" i="29"/>
  <c r="P159" i="29"/>
  <c r="Q159" i="29"/>
  <c r="T159" i="29"/>
  <c r="S159" i="29"/>
  <c r="F160" i="29"/>
  <c r="G160" i="29"/>
  <c r="N160" i="29"/>
  <c r="P160" i="29"/>
  <c r="Q160" i="29"/>
  <c r="T160" i="29"/>
  <c r="S160" i="29"/>
  <c r="F161" i="29"/>
  <c r="G161" i="29"/>
  <c r="N161" i="29"/>
  <c r="P161" i="29"/>
  <c r="Q161" i="29"/>
  <c r="T161" i="29"/>
  <c r="S161" i="29"/>
  <c r="F162" i="29"/>
  <c r="G162" i="29"/>
  <c r="J162" i="29"/>
  <c r="N162" i="29"/>
  <c r="P162" i="29"/>
  <c r="Q162" i="29"/>
  <c r="T162" i="29"/>
  <c r="S162" i="29"/>
  <c r="F163" i="29"/>
  <c r="G163" i="29"/>
  <c r="N163" i="29"/>
  <c r="P163" i="29"/>
  <c r="Q163" i="29"/>
  <c r="T163" i="29"/>
  <c r="S163" i="29"/>
  <c r="F164" i="29"/>
  <c r="G164" i="29"/>
  <c r="N164" i="29"/>
  <c r="P164" i="29"/>
  <c r="Q164" i="29"/>
  <c r="T164" i="29"/>
  <c r="S164" i="29"/>
  <c r="F165" i="29"/>
  <c r="G165" i="29"/>
  <c r="J165" i="29"/>
  <c r="N165" i="29"/>
  <c r="P165" i="29"/>
  <c r="Q165" i="29"/>
  <c r="T165" i="29"/>
  <c r="S165" i="29"/>
  <c r="F166" i="29"/>
  <c r="G166" i="29"/>
  <c r="J166" i="29"/>
  <c r="N166" i="29"/>
  <c r="P166" i="29"/>
  <c r="Q166" i="29"/>
  <c r="T166" i="29"/>
  <c r="S166" i="29"/>
  <c r="F167" i="29"/>
  <c r="G167" i="29"/>
  <c r="J167" i="29"/>
  <c r="N167" i="29"/>
  <c r="P167" i="29"/>
  <c r="Q167" i="29"/>
  <c r="T167" i="29"/>
  <c r="S167" i="29"/>
  <c r="F168" i="29"/>
  <c r="G168" i="29"/>
  <c r="N168" i="29"/>
  <c r="P168" i="29"/>
  <c r="Q168" i="29"/>
  <c r="T168" i="29"/>
  <c r="S168" i="29"/>
  <c r="F169" i="29"/>
  <c r="G169" i="29"/>
  <c r="N169" i="29"/>
  <c r="P169" i="29"/>
  <c r="Q169" i="29"/>
  <c r="T169" i="29"/>
  <c r="S169" i="29"/>
  <c r="F170" i="29"/>
  <c r="G170" i="29"/>
  <c r="N170" i="29"/>
  <c r="P170" i="29"/>
  <c r="Q170" i="29"/>
  <c r="T170" i="29"/>
  <c r="S170" i="29"/>
  <c r="F171" i="29"/>
  <c r="G171" i="29"/>
  <c r="N171" i="29"/>
  <c r="P171" i="29"/>
  <c r="Q171" i="29"/>
  <c r="T171" i="29"/>
  <c r="S171" i="29"/>
  <c r="F172" i="29"/>
  <c r="G172" i="29"/>
  <c r="J172" i="29"/>
  <c r="N172" i="29"/>
  <c r="P172" i="29"/>
  <c r="Q172" i="29"/>
  <c r="T172" i="29"/>
  <c r="S172" i="29"/>
  <c r="F173" i="29"/>
  <c r="G173" i="29"/>
  <c r="N173" i="29"/>
  <c r="P173" i="29"/>
  <c r="Q173" i="29"/>
  <c r="T173" i="29"/>
  <c r="S173" i="29"/>
  <c r="F174" i="29"/>
  <c r="G174" i="29"/>
  <c r="N174" i="29"/>
  <c r="P174" i="29"/>
  <c r="Q174" i="29"/>
  <c r="T174" i="29"/>
  <c r="S174" i="29"/>
  <c r="F175" i="29"/>
  <c r="G175" i="29"/>
  <c r="N175" i="29"/>
  <c r="P175" i="29"/>
  <c r="Q175" i="29"/>
  <c r="T175" i="29"/>
  <c r="S175" i="29"/>
  <c r="F176" i="29"/>
  <c r="K176" i="29"/>
  <c r="G176" i="29"/>
  <c r="N176" i="29"/>
  <c r="P176" i="29"/>
  <c r="Q176" i="29"/>
  <c r="T176" i="29"/>
  <c r="S176" i="29"/>
  <c r="F177" i="29"/>
  <c r="G177" i="29"/>
  <c r="N177" i="29"/>
  <c r="P177" i="29"/>
  <c r="Q177" i="29"/>
  <c r="T177" i="29"/>
  <c r="S177" i="29"/>
  <c r="F178" i="29"/>
  <c r="G178" i="29"/>
  <c r="J178" i="29"/>
  <c r="N178" i="29"/>
  <c r="P178" i="29"/>
  <c r="Q178" i="29"/>
  <c r="T178" i="29"/>
  <c r="S178" i="29"/>
  <c r="F179" i="29"/>
  <c r="G179" i="29"/>
  <c r="J179" i="29"/>
  <c r="N179" i="29"/>
  <c r="P179" i="29"/>
  <c r="Q179" i="29"/>
  <c r="T179" i="29"/>
  <c r="S179" i="29"/>
  <c r="F180" i="29"/>
  <c r="G180" i="29"/>
  <c r="J180" i="29"/>
  <c r="N180" i="29"/>
  <c r="P180" i="29"/>
  <c r="Q180" i="29"/>
  <c r="T180" i="29"/>
  <c r="S180" i="29"/>
  <c r="F181" i="29"/>
  <c r="G181" i="29"/>
  <c r="J181" i="29"/>
  <c r="N181" i="29"/>
  <c r="P181" i="29"/>
  <c r="Q181" i="29"/>
  <c r="T181" i="29"/>
  <c r="S181" i="29"/>
  <c r="F182" i="29"/>
  <c r="G182" i="29"/>
  <c r="N182" i="29"/>
  <c r="P182" i="29"/>
  <c r="Q182" i="29"/>
  <c r="T182" i="29"/>
  <c r="S182" i="29"/>
  <c r="F183" i="29"/>
  <c r="G183" i="29"/>
  <c r="N183" i="29"/>
  <c r="P183" i="29"/>
  <c r="Q183" i="29"/>
  <c r="T183" i="29"/>
  <c r="S183" i="29"/>
  <c r="F184" i="29"/>
  <c r="G184" i="29"/>
  <c r="N184" i="29"/>
  <c r="P184" i="29"/>
  <c r="Q184" i="29"/>
  <c r="T184" i="29"/>
  <c r="S184" i="29"/>
  <c r="F185" i="29"/>
  <c r="G185" i="29"/>
  <c r="N185" i="29"/>
  <c r="P185" i="29"/>
  <c r="Q185" i="29"/>
  <c r="T185" i="29"/>
  <c r="S185" i="29"/>
  <c r="F186" i="29"/>
  <c r="G186" i="29"/>
  <c r="N186" i="29"/>
  <c r="P186" i="29"/>
  <c r="Q186" i="29"/>
  <c r="T186" i="29"/>
  <c r="S186" i="29"/>
  <c r="F187" i="29"/>
  <c r="G187" i="29"/>
  <c r="J187" i="29"/>
  <c r="N187" i="29"/>
  <c r="P187" i="29"/>
  <c r="Q187" i="29"/>
  <c r="T187" i="29"/>
  <c r="S187" i="29"/>
  <c r="F188" i="29"/>
  <c r="G188" i="29"/>
  <c r="J188" i="29"/>
  <c r="N188" i="29"/>
  <c r="P188" i="29"/>
  <c r="Q188" i="29"/>
  <c r="T188" i="29"/>
  <c r="S188" i="29"/>
  <c r="F189" i="29"/>
  <c r="G189" i="29"/>
  <c r="N189" i="29"/>
  <c r="P189" i="29"/>
  <c r="Q189" i="29"/>
  <c r="T189" i="29"/>
  <c r="S189" i="29"/>
  <c r="F190" i="29"/>
  <c r="G190" i="29"/>
  <c r="N190" i="29"/>
  <c r="P190" i="29"/>
  <c r="Q190" i="29"/>
  <c r="T190" i="29"/>
  <c r="S190" i="29"/>
  <c r="F191" i="29"/>
  <c r="G191" i="29"/>
  <c r="J191" i="29"/>
  <c r="N191" i="29"/>
  <c r="P191" i="29"/>
  <c r="Q191" i="29"/>
  <c r="T191" i="29"/>
  <c r="S191" i="29"/>
  <c r="F192" i="29"/>
  <c r="G192" i="29"/>
  <c r="N192" i="29"/>
  <c r="P192" i="29"/>
  <c r="Q192" i="29"/>
  <c r="T192" i="29"/>
  <c r="S192" i="29"/>
  <c r="F193" i="29"/>
  <c r="G193" i="29"/>
  <c r="N193" i="29"/>
  <c r="P193" i="29"/>
  <c r="Q193" i="29"/>
  <c r="T193" i="29"/>
  <c r="S193" i="29"/>
  <c r="F194" i="29"/>
  <c r="G194" i="29"/>
  <c r="J194" i="29"/>
  <c r="N194" i="29"/>
  <c r="P194" i="29"/>
  <c r="Q194" i="29"/>
  <c r="T194" i="29"/>
  <c r="S194" i="29"/>
  <c r="F195" i="29"/>
  <c r="G195" i="29"/>
  <c r="N195" i="29"/>
  <c r="P195" i="29"/>
  <c r="Q195" i="29"/>
  <c r="T195" i="29"/>
  <c r="S195" i="29"/>
  <c r="F196" i="29"/>
  <c r="G196" i="29"/>
  <c r="N196" i="29"/>
  <c r="P196" i="29"/>
  <c r="Q196" i="29"/>
  <c r="T196" i="29"/>
  <c r="S196" i="29"/>
  <c r="F197" i="29"/>
  <c r="G197" i="29"/>
  <c r="N197" i="29"/>
  <c r="P197" i="29"/>
  <c r="Q197" i="29"/>
  <c r="T197" i="29"/>
  <c r="S197" i="29"/>
  <c r="F198" i="29"/>
  <c r="G198" i="29"/>
  <c r="N198" i="29"/>
  <c r="P198" i="29"/>
  <c r="Q198" i="29"/>
  <c r="T198" i="29"/>
  <c r="S198" i="29"/>
  <c r="N199" i="29"/>
  <c r="W199" i="29"/>
  <c r="F200" i="29"/>
  <c r="G200" i="29"/>
  <c r="W200" i="29"/>
  <c r="J200" i="29"/>
  <c r="N200" i="29"/>
  <c r="P200" i="29"/>
  <c r="Q200" i="29"/>
  <c r="S200" i="29"/>
  <c r="F201" i="29"/>
  <c r="G201" i="29"/>
  <c r="N201" i="29"/>
  <c r="P201" i="29"/>
  <c r="Q201" i="29"/>
  <c r="S201" i="29"/>
  <c r="F202" i="29"/>
  <c r="G202" i="29"/>
  <c r="W202" i="29"/>
  <c r="N202" i="29"/>
  <c r="P202" i="29"/>
  <c r="Q202" i="29"/>
  <c r="F203" i="29"/>
  <c r="G203" i="29"/>
  <c r="J203" i="29"/>
  <c r="N203" i="29"/>
  <c r="P203" i="29"/>
  <c r="Q203" i="29"/>
  <c r="T203" i="29"/>
  <c r="S203" i="29"/>
  <c r="F204" i="29"/>
  <c r="G204" i="29"/>
  <c r="N204" i="29"/>
  <c r="P204" i="29"/>
  <c r="Q204" i="29"/>
  <c r="T204" i="29"/>
  <c r="S204" i="29"/>
  <c r="F205" i="29"/>
  <c r="G205" i="29"/>
  <c r="N205" i="29"/>
  <c r="P205" i="29"/>
  <c r="Q205" i="29"/>
  <c r="T205" i="29"/>
  <c r="S205" i="29"/>
  <c r="F206" i="29"/>
  <c r="G206" i="29"/>
  <c r="J206" i="29"/>
  <c r="N206" i="29"/>
  <c r="P206" i="29"/>
  <c r="Q206" i="29"/>
  <c r="T206" i="29"/>
  <c r="S206" i="29"/>
  <c r="F207" i="29"/>
  <c r="G207" i="29"/>
  <c r="N207" i="29"/>
  <c r="P207" i="29"/>
  <c r="Q207" i="29"/>
  <c r="T207" i="29"/>
  <c r="S207" i="29"/>
  <c r="N208" i="29"/>
  <c r="P208" i="29"/>
  <c r="Q208" i="29"/>
  <c r="F209" i="29"/>
  <c r="G209" i="29"/>
  <c r="J209" i="29"/>
  <c r="N209" i="29"/>
  <c r="P209" i="29"/>
  <c r="Q209" i="29"/>
  <c r="T209" i="29"/>
  <c r="S209" i="29"/>
  <c r="F210" i="29"/>
  <c r="G210" i="29"/>
  <c r="J210" i="29"/>
  <c r="N210" i="29"/>
  <c r="P210" i="29"/>
  <c r="Q210" i="29"/>
  <c r="T210" i="29"/>
  <c r="S210" i="29"/>
  <c r="F211" i="29"/>
  <c r="G211" i="29"/>
  <c r="J211" i="29"/>
  <c r="N211" i="29"/>
  <c r="P211" i="29"/>
  <c r="Q211" i="29"/>
  <c r="T211" i="29"/>
  <c r="S211" i="29"/>
  <c r="F212" i="29"/>
  <c r="G212" i="29"/>
  <c r="J212" i="29"/>
  <c r="N212" i="29"/>
  <c r="P212" i="29"/>
  <c r="Q212" i="29"/>
  <c r="T212" i="29"/>
  <c r="S212" i="29"/>
  <c r="F213" i="29"/>
  <c r="G213" i="29"/>
  <c r="J213" i="29"/>
  <c r="N213" i="29"/>
  <c r="P213" i="29"/>
  <c r="Q213" i="29"/>
  <c r="T213" i="29"/>
  <c r="S213" i="29"/>
  <c r="F214" i="29"/>
  <c r="G214" i="29"/>
  <c r="J214" i="29"/>
  <c r="N214" i="29"/>
  <c r="P214" i="29"/>
  <c r="Q214" i="29"/>
  <c r="T214" i="29"/>
  <c r="S214" i="29"/>
  <c r="F215" i="29"/>
  <c r="G215" i="29"/>
  <c r="N215" i="29"/>
  <c r="P215" i="29"/>
  <c r="Q215" i="29"/>
  <c r="T215" i="29"/>
  <c r="S215" i="29"/>
  <c r="F216" i="29"/>
  <c r="G216" i="29"/>
  <c r="J216" i="29"/>
  <c r="N216" i="29"/>
  <c r="P216" i="29"/>
  <c r="Q216" i="29"/>
  <c r="T216" i="29"/>
  <c r="S216" i="29"/>
  <c r="F217" i="29"/>
  <c r="G217" i="29"/>
  <c r="J217" i="29"/>
  <c r="N217" i="29"/>
  <c r="P217" i="29"/>
  <c r="Q217" i="29"/>
  <c r="T217" i="29"/>
  <c r="S217" i="29"/>
  <c r="F218" i="29"/>
  <c r="G218" i="29"/>
  <c r="J218" i="29"/>
  <c r="N218" i="29"/>
  <c r="P218" i="29"/>
  <c r="Q218" i="29"/>
  <c r="T218" i="29"/>
  <c r="S218" i="29"/>
  <c r="F219" i="29"/>
  <c r="G219" i="29"/>
  <c r="J219" i="29"/>
  <c r="N219" i="29"/>
  <c r="P219" i="29"/>
  <c r="Q219" i="29"/>
  <c r="T219" i="29"/>
  <c r="S219" i="29"/>
  <c r="F220" i="29"/>
  <c r="G220" i="29"/>
  <c r="J220" i="29"/>
  <c r="N220" i="29"/>
  <c r="P220" i="29"/>
  <c r="Q220" i="29"/>
  <c r="T220" i="29"/>
  <c r="S220" i="29"/>
  <c r="F221" i="29"/>
  <c r="G221" i="29"/>
  <c r="N221" i="29"/>
  <c r="P221" i="29"/>
  <c r="Q221" i="29"/>
  <c r="T221" i="29"/>
  <c r="S221" i="29"/>
  <c r="F222" i="29"/>
  <c r="G222" i="29"/>
  <c r="J222" i="29"/>
  <c r="N222" i="29"/>
  <c r="P222" i="29"/>
  <c r="Q222" i="29"/>
  <c r="T222" i="29"/>
  <c r="S222" i="29"/>
  <c r="F223" i="29"/>
  <c r="G223" i="29"/>
  <c r="N223" i="29"/>
  <c r="P223" i="29"/>
  <c r="Q223" i="29"/>
  <c r="T223" i="29"/>
  <c r="S223" i="29"/>
  <c r="F224" i="29"/>
  <c r="G224" i="29"/>
  <c r="J224" i="29"/>
  <c r="N224" i="29"/>
  <c r="P224" i="29"/>
  <c r="Q224" i="29"/>
  <c r="T224" i="29"/>
  <c r="S224" i="29"/>
  <c r="F225" i="29"/>
  <c r="G225" i="29"/>
  <c r="N225" i="29"/>
  <c r="P225" i="29"/>
  <c r="Q225" i="29"/>
  <c r="T225" i="29"/>
  <c r="S225" i="29"/>
  <c r="F226" i="29"/>
  <c r="G226" i="29"/>
  <c r="N226" i="29"/>
  <c r="P226" i="29"/>
  <c r="Q226" i="29"/>
  <c r="T226" i="29"/>
  <c r="S226" i="29"/>
  <c r="F227" i="29"/>
  <c r="G227" i="29"/>
  <c r="N227" i="29"/>
  <c r="P227" i="29"/>
  <c r="Q227" i="29"/>
  <c r="T227" i="29"/>
  <c r="S227" i="29"/>
  <c r="F228" i="29"/>
  <c r="G228" i="29"/>
  <c r="N228" i="29"/>
  <c r="Q228" i="29"/>
  <c r="T228" i="29"/>
  <c r="S228" i="29"/>
  <c r="F229" i="29"/>
  <c r="G229" i="29"/>
  <c r="W229" i="29"/>
  <c r="N229" i="29"/>
  <c r="Q229" i="29"/>
  <c r="F230" i="29"/>
  <c r="G230" i="29"/>
  <c r="N230" i="29"/>
  <c r="P230" i="29"/>
  <c r="Q230" i="29"/>
  <c r="T230" i="29"/>
  <c r="S230" i="29"/>
  <c r="F231" i="29"/>
  <c r="G231" i="29"/>
  <c r="N231" i="29"/>
  <c r="P231" i="29"/>
  <c r="Q231" i="29"/>
  <c r="T231" i="29"/>
  <c r="S231" i="29"/>
  <c r="F232" i="29"/>
  <c r="G232" i="29"/>
  <c r="J232" i="29"/>
  <c r="N232" i="29"/>
  <c r="P232" i="29"/>
  <c r="Q232" i="29"/>
  <c r="T232" i="29"/>
  <c r="S232" i="29"/>
  <c r="F233" i="29"/>
  <c r="G233" i="29"/>
  <c r="N233" i="29"/>
  <c r="P233" i="29"/>
  <c r="Q233" i="29"/>
  <c r="T233" i="29"/>
  <c r="S233" i="29"/>
  <c r="F234" i="29"/>
  <c r="K234" i="29"/>
  <c r="G234" i="29"/>
  <c r="N234" i="29"/>
  <c r="P234" i="29"/>
  <c r="Q234" i="29"/>
  <c r="T234" i="29"/>
  <c r="S234" i="29"/>
  <c r="F235" i="29"/>
  <c r="G235" i="29"/>
  <c r="N235" i="29"/>
  <c r="P235" i="29"/>
  <c r="Q235" i="29"/>
  <c r="T235" i="29"/>
  <c r="S235" i="29"/>
  <c r="F236" i="29"/>
  <c r="G236" i="29"/>
  <c r="N236" i="29"/>
  <c r="P236" i="29"/>
  <c r="Q236" i="29"/>
  <c r="T236" i="29"/>
  <c r="S236" i="29"/>
  <c r="F237" i="29"/>
  <c r="G237" i="29"/>
  <c r="N237" i="29"/>
  <c r="P237" i="29"/>
  <c r="Q237" i="29"/>
  <c r="T237" i="29"/>
  <c r="S237" i="29"/>
  <c r="F238" i="29"/>
  <c r="G238" i="29"/>
  <c r="N238" i="29"/>
  <c r="P238" i="29"/>
  <c r="Q238" i="29"/>
  <c r="T238" i="29"/>
  <c r="S238" i="29"/>
  <c r="F239" i="29"/>
  <c r="G239" i="29"/>
  <c r="J239" i="29"/>
  <c r="N239" i="29"/>
  <c r="P239" i="29"/>
  <c r="Q239" i="29"/>
  <c r="T239" i="29"/>
  <c r="S239" i="29"/>
  <c r="F240" i="29"/>
  <c r="G240" i="29"/>
  <c r="J240" i="29"/>
  <c r="N240" i="29"/>
  <c r="P240" i="29"/>
  <c r="Q240" i="29"/>
  <c r="T240" i="29"/>
  <c r="S240" i="29"/>
  <c r="F241" i="29"/>
  <c r="G241" i="29"/>
  <c r="N241" i="29"/>
  <c r="P241" i="29"/>
  <c r="Q241" i="29"/>
  <c r="T241" i="29"/>
  <c r="S241" i="29"/>
  <c r="F242" i="29"/>
  <c r="G242" i="29"/>
  <c r="N242" i="29"/>
  <c r="P242" i="29"/>
  <c r="Q242" i="29"/>
  <c r="T242" i="29"/>
  <c r="S242" i="29"/>
  <c r="F243" i="29"/>
  <c r="G243" i="29"/>
  <c r="N243" i="29"/>
  <c r="P243" i="29"/>
  <c r="Q243" i="29"/>
  <c r="T243" i="29"/>
  <c r="S243" i="29"/>
  <c r="F244" i="29"/>
  <c r="G244" i="29"/>
  <c r="N244" i="29"/>
  <c r="P244" i="29"/>
  <c r="Q244" i="29"/>
  <c r="T244" i="29"/>
  <c r="S244" i="29"/>
  <c r="F245" i="29"/>
  <c r="G245" i="29"/>
  <c r="J245" i="29"/>
  <c r="N245" i="29"/>
  <c r="P245" i="29"/>
  <c r="Q245" i="29"/>
  <c r="T245" i="29"/>
  <c r="S245" i="29"/>
  <c r="F246" i="29"/>
  <c r="G246" i="29"/>
  <c r="J246" i="29"/>
  <c r="N246" i="29"/>
  <c r="P246" i="29"/>
  <c r="Q246" i="29"/>
  <c r="T246" i="29"/>
  <c r="S246" i="29"/>
  <c r="F247" i="29"/>
  <c r="G247" i="29"/>
  <c r="J247" i="29"/>
  <c r="N247" i="29"/>
  <c r="P247" i="29"/>
  <c r="Q247" i="29"/>
  <c r="T247" i="29"/>
  <c r="S247" i="29"/>
  <c r="F248" i="29"/>
  <c r="G248" i="29"/>
  <c r="N248" i="29"/>
  <c r="P248" i="29"/>
  <c r="Q248" i="29"/>
  <c r="T248" i="29"/>
  <c r="S248" i="29"/>
  <c r="F249" i="29"/>
  <c r="G249" i="29"/>
  <c r="N249" i="29"/>
  <c r="P249" i="29"/>
  <c r="Q249" i="29"/>
  <c r="T249" i="29"/>
  <c r="S249" i="29"/>
  <c r="N250" i="29"/>
  <c r="P250" i="29"/>
  <c r="Q250" i="29"/>
  <c r="T250" i="29"/>
  <c r="W250" i="29"/>
  <c r="U250" i="29"/>
  <c r="S250" i="29"/>
  <c r="F251" i="29"/>
  <c r="G251" i="29"/>
  <c r="J251" i="29"/>
  <c r="N251" i="29"/>
  <c r="P251" i="29"/>
  <c r="Q251" i="29"/>
  <c r="T251" i="29"/>
  <c r="R251" i="29"/>
  <c r="S251" i="29"/>
  <c r="F252" i="29"/>
  <c r="G252" i="29"/>
  <c r="N252" i="29"/>
  <c r="P252" i="29"/>
  <c r="Q252" i="29"/>
  <c r="T252" i="29"/>
  <c r="S252" i="29"/>
  <c r="F253" i="29"/>
  <c r="G253" i="29"/>
  <c r="N253" i="29"/>
  <c r="P253" i="29"/>
  <c r="Q253" i="29"/>
  <c r="T253" i="29"/>
  <c r="S253" i="29"/>
  <c r="F254" i="29"/>
  <c r="G254" i="29"/>
  <c r="N254" i="29"/>
  <c r="P254" i="29"/>
  <c r="Q254" i="29"/>
  <c r="T254" i="29"/>
  <c r="S254" i="29"/>
  <c r="F255" i="29"/>
  <c r="G255" i="29"/>
  <c r="N255" i="29"/>
  <c r="P255" i="29"/>
  <c r="Q255" i="29"/>
  <c r="T255" i="29"/>
  <c r="S255" i="29"/>
  <c r="F256" i="29"/>
  <c r="G256" i="29"/>
  <c r="N256" i="29"/>
  <c r="Q256" i="29"/>
  <c r="T256" i="29"/>
  <c r="S256" i="29"/>
  <c r="F257" i="29"/>
  <c r="G257" i="29"/>
  <c r="N257" i="29"/>
  <c r="P257" i="29"/>
  <c r="Q257" i="29"/>
  <c r="T257" i="29"/>
  <c r="S257" i="29"/>
  <c r="F258" i="29"/>
  <c r="G258" i="29"/>
  <c r="N258" i="29"/>
  <c r="P258" i="29"/>
  <c r="Q258" i="29"/>
  <c r="T258" i="29"/>
  <c r="S258" i="29"/>
  <c r="F259" i="29"/>
  <c r="G259" i="29"/>
  <c r="N259" i="29"/>
  <c r="P259" i="29"/>
  <c r="Q259" i="29"/>
  <c r="T259" i="29"/>
  <c r="S259" i="29"/>
  <c r="F260" i="29"/>
  <c r="G260" i="29"/>
  <c r="J260" i="29"/>
  <c r="N260" i="29"/>
  <c r="P260" i="29"/>
  <c r="Q260" i="29"/>
  <c r="T260" i="29"/>
  <c r="S260" i="29"/>
  <c r="F261" i="29"/>
  <c r="G261" i="29"/>
  <c r="J261" i="29"/>
  <c r="N261" i="29"/>
  <c r="P261" i="29"/>
  <c r="Q261" i="29"/>
  <c r="T261" i="29"/>
  <c r="S261" i="29"/>
  <c r="F262" i="29"/>
  <c r="G262" i="29"/>
  <c r="W262" i="29"/>
  <c r="N262" i="29"/>
  <c r="Q262" i="29"/>
  <c r="F263" i="29"/>
  <c r="G263" i="29"/>
  <c r="W263" i="29"/>
  <c r="N263" i="29"/>
  <c r="Q263" i="29"/>
  <c r="F264" i="29"/>
  <c r="G264" i="29"/>
  <c r="N264" i="29"/>
  <c r="Q264" i="29"/>
  <c r="F265" i="29"/>
  <c r="G265" i="29"/>
  <c r="W265" i="29"/>
  <c r="N265" i="29"/>
  <c r="Q265" i="29"/>
  <c r="F266" i="29"/>
  <c r="G266" i="29"/>
  <c r="W266" i="29"/>
  <c r="N266" i="29"/>
  <c r="Q266" i="29"/>
  <c r="F267" i="29"/>
  <c r="G267" i="29"/>
  <c r="W267" i="29"/>
  <c r="N267" i="29"/>
  <c r="Q267" i="29"/>
  <c r="N268" i="29"/>
  <c r="W268" i="29"/>
  <c r="U268" i="29"/>
  <c r="F269" i="29"/>
  <c r="G269" i="29"/>
  <c r="N269" i="29"/>
  <c r="Q269" i="29"/>
  <c r="F270" i="29"/>
  <c r="G270" i="29"/>
  <c r="J270" i="29"/>
  <c r="N270" i="29"/>
  <c r="Q270" i="29"/>
  <c r="S270" i="29"/>
  <c r="F271" i="29"/>
  <c r="G271" i="29"/>
  <c r="J271" i="29"/>
  <c r="N271" i="29"/>
  <c r="Q271" i="29"/>
  <c r="F272" i="29"/>
  <c r="G272" i="29"/>
  <c r="J272" i="29"/>
  <c r="N272" i="29"/>
  <c r="Q272" i="29"/>
  <c r="S272" i="29"/>
  <c r="F273" i="29"/>
  <c r="G273" i="29"/>
  <c r="J273" i="29"/>
  <c r="N273" i="29"/>
  <c r="P273" i="29"/>
  <c r="Q273" i="29"/>
  <c r="F274" i="29"/>
  <c r="G274" i="29"/>
  <c r="N274" i="29"/>
  <c r="P274" i="29"/>
  <c r="Q274" i="29"/>
  <c r="F275" i="29"/>
  <c r="G275" i="29"/>
  <c r="N275" i="29"/>
  <c r="P275" i="29"/>
  <c r="Q275" i="29"/>
  <c r="F276" i="29"/>
  <c r="G276" i="29"/>
  <c r="N276" i="29"/>
  <c r="P276" i="29"/>
  <c r="Q276" i="29"/>
  <c r="F277" i="29"/>
  <c r="G277" i="29"/>
  <c r="J277" i="29"/>
  <c r="N277" i="29"/>
  <c r="P277" i="29"/>
  <c r="Q277" i="29"/>
  <c r="T277" i="29"/>
  <c r="F278" i="29"/>
  <c r="G278" i="29"/>
  <c r="J278" i="29"/>
  <c r="N278" i="29"/>
  <c r="P278" i="29"/>
  <c r="Q278" i="29"/>
  <c r="T278" i="29"/>
  <c r="F279" i="29"/>
  <c r="G279" i="29"/>
  <c r="J279" i="29"/>
  <c r="N279" i="29"/>
  <c r="P279" i="29"/>
  <c r="Q279" i="29"/>
  <c r="F280" i="29"/>
  <c r="G280" i="29"/>
  <c r="J280" i="29"/>
  <c r="N280" i="29"/>
  <c r="P280" i="29"/>
  <c r="Q280" i="29"/>
  <c r="F281" i="29"/>
  <c r="G281" i="29"/>
  <c r="J281" i="29"/>
  <c r="N281" i="29"/>
  <c r="P281" i="29"/>
  <c r="Q281" i="29"/>
  <c r="F282" i="29"/>
  <c r="G282" i="29"/>
  <c r="N282" i="29"/>
  <c r="P282" i="29"/>
  <c r="Q282" i="29"/>
  <c r="F283" i="29"/>
  <c r="G283" i="29"/>
  <c r="N283" i="29"/>
  <c r="P283" i="29"/>
  <c r="Q283" i="29"/>
  <c r="F284" i="29"/>
  <c r="G284" i="29"/>
  <c r="J284" i="29"/>
  <c r="N284" i="29"/>
  <c r="P284" i="29"/>
  <c r="Q284" i="29"/>
  <c r="S284" i="29"/>
  <c r="F285" i="29"/>
  <c r="G285" i="29"/>
  <c r="J285" i="29"/>
  <c r="N285" i="29"/>
  <c r="P285" i="29"/>
  <c r="Q285" i="29"/>
  <c r="F286" i="29"/>
  <c r="G286" i="29"/>
  <c r="J286" i="29"/>
  <c r="N286" i="29"/>
  <c r="P286" i="29"/>
  <c r="Q286" i="29"/>
  <c r="F287" i="29"/>
  <c r="G287" i="29"/>
  <c r="N287" i="29"/>
  <c r="P287" i="29"/>
  <c r="Q287" i="29"/>
  <c r="T287" i="29"/>
  <c r="F288" i="29"/>
  <c r="G288" i="29"/>
  <c r="N288" i="29"/>
  <c r="P288" i="29"/>
  <c r="Q288" i="29"/>
  <c r="F289" i="29"/>
  <c r="G289" i="29"/>
  <c r="N289" i="29"/>
  <c r="P289" i="29"/>
  <c r="Q289" i="29"/>
  <c r="T289" i="29"/>
  <c r="F290" i="29"/>
  <c r="G290" i="29"/>
  <c r="J290" i="29"/>
  <c r="N290" i="29"/>
  <c r="P290" i="29"/>
  <c r="Q290" i="29"/>
  <c r="F291" i="29"/>
  <c r="G291" i="29"/>
  <c r="J291" i="29"/>
  <c r="N291" i="29"/>
  <c r="P291" i="29"/>
  <c r="Q291" i="29"/>
  <c r="S291" i="29"/>
  <c r="F292" i="29"/>
  <c r="G292" i="29"/>
  <c r="J292" i="29"/>
  <c r="N292" i="29"/>
  <c r="P292" i="29"/>
  <c r="Q292" i="29"/>
  <c r="F293" i="29"/>
  <c r="G293" i="29"/>
  <c r="J293" i="29"/>
  <c r="N293" i="29"/>
  <c r="P293" i="29"/>
  <c r="Q293" i="29"/>
  <c r="F294" i="29"/>
  <c r="G294" i="29"/>
  <c r="J294" i="29"/>
  <c r="N294" i="29"/>
  <c r="P294" i="29"/>
  <c r="Q294" i="29"/>
  <c r="F295" i="29"/>
  <c r="G295" i="29"/>
  <c r="N295" i="29"/>
  <c r="P295" i="29"/>
  <c r="Q295" i="29"/>
  <c r="F296" i="29"/>
  <c r="G296" i="29"/>
  <c r="J296" i="29"/>
  <c r="N296" i="29"/>
  <c r="P296" i="29"/>
  <c r="Q296" i="29"/>
  <c r="F297" i="29"/>
  <c r="G297" i="29"/>
  <c r="J297" i="29"/>
  <c r="N297" i="29"/>
  <c r="P297" i="29"/>
  <c r="Q297" i="29"/>
  <c r="F298" i="29"/>
  <c r="G298" i="29"/>
  <c r="J298" i="29"/>
  <c r="N298" i="29"/>
  <c r="P298" i="29"/>
  <c r="Q298" i="29"/>
  <c r="F299" i="29"/>
  <c r="G299" i="29"/>
  <c r="N299" i="29"/>
  <c r="P299" i="29"/>
  <c r="Q299" i="29"/>
  <c r="T299" i="29"/>
  <c r="F300" i="29"/>
  <c r="G300" i="29"/>
  <c r="N300" i="29"/>
  <c r="P300" i="29"/>
  <c r="Q300" i="29"/>
  <c r="S300" i="29"/>
  <c r="F301" i="29"/>
  <c r="G301" i="29"/>
  <c r="J301" i="29"/>
  <c r="N301" i="29"/>
  <c r="P301" i="29"/>
  <c r="Q301" i="29"/>
  <c r="F302" i="29"/>
  <c r="G302" i="29"/>
  <c r="J302" i="29"/>
  <c r="N302" i="29"/>
  <c r="P302" i="29"/>
  <c r="Q302" i="29"/>
  <c r="F303" i="29"/>
  <c r="G303" i="29"/>
  <c r="J303" i="29"/>
  <c r="N303" i="29"/>
  <c r="P303" i="29"/>
  <c r="Q303" i="29"/>
  <c r="F304" i="29"/>
  <c r="G304" i="29"/>
  <c r="J304" i="29"/>
  <c r="N304" i="29"/>
  <c r="P304" i="29"/>
  <c r="Q304" i="29"/>
  <c r="F305" i="29"/>
  <c r="G305" i="29"/>
  <c r="N305" i="29"/>
  <c r="P305" i="29"/>
  <c r="Q305" i="29"/>
  <c r="F306" i="29"/>
  <c r="G306" i="29"/>
  <c r="N306" i="29"/>
  <c r="P306" i="29"/>
  <c r="Q306" i="29"/>
  <c r="F307" i="29"/>
  <c r="G307" i="29"/>
  <c r="J307" i="29"/>
  <c r="N307" i="29"/>
  <c r="P307" i="29"/>
  <c r="Q307" i="29"/>
  <c r="T307" i="29"/>
  <c r="F308" i="29"/>
  <c r="G308" i="29"/>
  <c r="J308" i="29"/>
  <c r="N308" i="29"/>
  <c r="P308" i="29"/>
  <c r="Q308" i="29"/>
  <c r="S308" i="29"/>
  <c r="F309" i="29"/>
  <c r="G309" i="29"/>
  <c r="N309" i="29"/>
  <c r="P309" i="29"/>
  <c r="Q309" i="29"/>
  <c r="F310" i="29"/>
  <c r="G310" i="29"/>
  <c r="N310" i="29"/>
  <c r="P310" i="29"/>
  <c r="Q310" i="29"/>
  <c r="F311" i="29"/>
  <c r="G311" i="29"/>
  <c r="N311" i="29"/>
  <c r="P311" i="29"/>
  <c r="Q311" i="29"/>
  <c r="T311" i="29"/>
  <c r="F312" i="29"/>
  <c r="G312" i="29"/>
  <c r="N312" i="29"/>
  <c r="P312" i="29"/>
  <c r="Q312" i="29"/>
  <c r="F313" i="29"/>
  <c r="G313" i="29"/>
  <c r="N313" i="29"/>
  <c r="P313" i="29"/>
  <c r="Q313" i="29"/>
  <c r="S313" i="29"/>
  <c r="F314" i="29"/>
  <c r="G314" i="29"/>
  <c r="N314" i="29"/>
  <c r="P314" i="29"/>
  <c r="Q314" i="29"/>
  <c r="F315" i="29"/>
  <c r="G315" i="29"/>
  <c r="N315" i="29"/>
  <c r="P315" i="29"/>
  <c r="Q315" i="29"/>
  <c r="F316" i="29"/>
  <c r="G316" i="29"/>
  <c r="N316" i="29"/>
  <c r="P316" i="29"/>
  <c r="Q316" i="29"/>
  <c r="F317" i="29"/>
  <c r="G317" i="29"/>
  <c r="N317" i="29"/>
  <c r="P317" i="29"/>
  <c r="Q317" i="29"/>
  <c r="F318" i="29"/>
  <c r="G318" i="29"/>
  <c r="N318" i="29"/>
  <c r="P318" i="29"/>
  <c r="Q318" i="29"/>
  <c r="S318" i="29"/>
  <c r="F319" i="29"/>
  <c r="G319" i="29"/>
  <c r="N319" i="29"/>
  <c r="P319" i="29"/>
  <c r="Q319" i="29"/>
  <c r="F320" i="29"/>
  <c r="G320" i="29"/>
  <c r="N320" i="29"/>
  <c r="P320" i="29"/>
  <c r="Q320" i="29"/>
  <c r="F321" i="29"/>
  <c r="G321" i="29"/>
  <c r="N321" i="29"/>
  <c r="P321" i="29"/>
  <c r="Q321" i="29"/>
  <c r="F322" i="29"/>
  <c r="G322" i="29"/>
  <c r="N322" i="29"/>
  <c r="P322" i="29"/>
  <c r="Q322" i="29"/>
  <c r="F323" i="29"/>
  <c r="G323" i="29"/>
  <c r="N323" i="29"/>
  <c r="P323" i="29"/>
  <c r="Q323" i="29"/>
  <c r="T323" i="29"/>
  <c r="F324" i="29"/>
  <c r="G324" i="29"/>
  <c r="N324" i="29"/>
  <c r="P324" i="29"/>
  <c r="Q324" i="29"/>
  <c r="S324" i="29"/>
  <c r="F325" i="29"/>
  <c r="G325" i="29"/>
  <c r="N325" i="29"/>
  <c r="P325" i="29"/>
  <c r="Q325" i="29"/>
  <c r="F326" i="29"/>
  <c r="G326" i="29"/>
  <c r="J326" i="29"/>
  <c r="N326" i="29"/>
  <c r="P326" i="29"/>
  <c r="Q326" i="29"/>
  <c r="F327" i="29"/>
  <c r="G327" i="29"/>
  <c r="J327" i="29"/>
  <c r="N327" i="29"/>
  <c r="P327" i="29"/>
  <c r="Q327" i="29"/>
  <c r="F328" i="29"/>
  <c r="G328" i="29"/>
  <c r="J328" i="29"/>
  <c r="N328" i="29"/>
  <c r="P328" i="29"/>
  <c r="Q328" i="29"/>
  <c r="F329" i="29"/>
  <c r="G329" i="29"/>
  <c r="J329" i="29"/>
  <c r="N329" i="29"/>
  <c r="P329" i="29"/>
  <c r="Q329" i="29"/>
  <c r="F330" i="29"/>
  <c r="G330" i="29"/>
  <c r="J330" i="29"/>
  <c r="N330" i="29"/>
  <c r="P330" i="29"/>
  <c r="Q330" i="29"/>
  <c r="F331" i="29"/>
  <c r="G331" i="29"/>
  <c r="N331" i="29"/>
  <c r="P331" i="29"/>
  <c r="Q331" i="29"/>
  <c r="F332" i="29"/>
  <c r="G332" i="29"/>
  <c r="N332" i="29"/>
  <c r="P332" i="29"/>
  <c r="Q332" i="29"/>
  <c r="F333" i="29"/>
  <c r="G333" i="29"/>
  <c r="N333" i="29"/>
  <c r="P333" i="29"/>
  <c r="Q333" i="29"/>
  <c r="F334" i="29"/>
  <c r="G334" i="29"/>
  <c r="N334" i="29"/>
  <c r="P334" i="29"/>
  <c r="Q334" i="29"/>
  <c r="S334" i="29"/>
  <c r="F335" i="29"/>
  <c r="G335" i="29"/>
  <c r="N335" i="29"/>
  <c r="P335" i="29"/>
  <c r="Q335" i="29"/>
  <c r="S335" i="29"/>
  <c r="F336" i="29"/>
  <c r="G336" i="29"/>
  <c r="N336" i="29"/>
  <c r="P336" i="29"/>
  <c r="Q336" i="29"/>
  <c r="F337" i="29"/>
  <c r="G337" i="29"/>
  <c r="N337" i="29"/>
  <c r="P337" i="29"/>
  <c r="Q337" i="29"/>
  <c r="S337" i="29"/>
  <c r="F338" i="29"/>
  <c r="G338" i="29"/>
  <c r="N338" i="29"/>
  <c r="P338" i="29"/>
  <c r="Q338" i="29"/>
  <c r="F339" i="29"/>
  <c r="G339" i="29"/>
  <c r="J339" i="29"/>
  <c r="N339" i="29"/>
  <c r="P339" i="29"/>
  <c r="Q339" i="29"/>
  <c r="T339" i="29"/>
  <c r="F340" i="29"/>
  <c r="G340" i="29"/>
  <c r="W340" i="29"/>
  <c r="N340" i="29"/>
  <c r="Q340" i="29"/>
  <c r="F341" i="29"/>
  <c r="G341" i="29"/>
  <c r="W341" i="29"/>
  <c r="N341" i="29"/>
  <c r="Q341" i="29"/>
  <c r="F342" i="29"/>
  <c r="G342" i="29"/>
  <c r="J342" i="29"/>
  <c r="N342" i="29"/>
  <c r="P342" i="29"/>
  <c r="Q342" i="29"/>
  <c r="F343" i="29"/>
  <c r="G343" i="29"/>
  <c r="J343" i="29"/>
  <c r="N343" i="29"/>
  <c r="P343" i="29"/>
  <c r="Q343" i="29"/>
  <c r="S343" i="29"/>
  <c r="F344" i="29"/>
  <c r="G344" i="29"/>
  <c r="J344" i="29"/>
  <c r="N344" i="29"/>
  <c r="P344" i="29"/>
  <c r="Q344" i="29"/>
  <c r="S344" i="29"/>
  <c r="F345" i="29"/>
  <c r="G345" i="29"/>
  <c r="N345" i="29"/>
  <c r="P345" i="29"/>
  <c r="Q345" i="29"/>
  <c r="S345" i="29"/>
  <c r="N346" i="29"/>
  <c r="F347" i="29"/>
  <c r="G347" i="29"/>
  <c r="J347" i="29"/>
  <c r="N347" i="29"/>
  <c r="P347" i="29"/>
  <c r="Q347" i="29"/>
  <c r="F348" i="29"/>
  <c r="G348" i="29"/>
  <c r="J348" i="29"/>
  <c r="N348" i="29"/>
  <c r="P348" i="29"/>
  <c r="Q348" i="29"/>
  <c r="S348" i="29"/>
  <c r="F349" i="29"/>
  <c r="G349" i="29"/>
  <c r="J349" i="29"/>
  <c r="N349" i="29"/>
  <c r="P349" i="29"/>
  <c r="Q349" i="29"/>
  <c r="F350" i="29"/>
  <c r="G350" i="29"/>
  <c r="J350" i="29"/>
  <c r="N350" i="29"/>
  <c r="P350" i="29"/>
  <c r="Q350" i="29"/>
  <c r="F351" i="29"/>
  <c r="G351" i="29"/>
  <c r="N351" i="29"/>
  <c r="P351" i="29"/>
  <c r="Q351" i="29"/>
  <c r="F352" i="29"/>
  <c r="G352" i="29"/>
  <c r="N352" i="29"/>
  <c r="P352" i="29"/>
  <c r="Q352" i="29"/>
  <c r="F353" i="29"/>
  <c r="G353" i="29"/>
  <c r="N353" i="29"/>
  <c r="P353" i="29"/>
  <c r="Q353" i="29"/>
  <c r="F354" i="29"/>
  <c r="G354" i="29"/>
  <c r="N354" i="29"/>
  <c r="P354" i="29"/>
  <c r="Q354" i="29"/>
  <c r="T354" i="29"/>
  <c r="F355" i="29"/>
  <c r="G355" i="29"/>
  <c r="N355" i="29"/>
  <c r="P355" i="29"/>
  <c r="Q355" i="29"/>
  <c r="F356" i="29"/>
  <c r="G356" i="29"/>
  <c r="N356" i="29"/>
  <c r="P356" i="29"/>
  <c r="Q356" i="29"/>
  <c r="F357" i="29"/>
  <c r="G357" i="29"/>
  <c r="N357" i="29"/>
  <c r="P357" i="29"/>
  <c r="Q357" i="29"/>
  <c r="F358" i="29"/>
  <c r="G358" i="29"/>
  <c r="N358" i="29"/>
  <c r="P358" i="29"/>
  <c r="Q358" i="29"/>
  <c r="F359" i="29"/>
  <c r="G359" i="29"/>
  <c r="J359" i="29"/>
  <c r="N359" i="29"/>
  <c r="P359" i="29"/>
  <c r="Q359" i="29"/>
  <c r="S359" i="29"/>
  <c r="F360" i="29"/>
  <c r="G360" i="29"/>
  <c r="N360" i="29"/>
  <c r="P360" i="29"/>
  <c r="Q360" i="29"/>
  <c r="T360" i="29"/>
  <c r="F361" i="29"/>
  <c r="G361" i="29"/>
  <c r="J361" i="29"/>
  <c r="N361" i="29"/>
  <c r="P361" i="29"/>
  <c r="Q361" i="29"/>
  <c r="F362" i="29"/>
  <c r="G362" i="29"/>
  <c r="J362" i="29"/>
  <c r="N362" i="29"/>
  <c r="P362" i="29"/>
  <c r="Q362" i="29"/>
  <c r="F363" i="29"/>
  <c r="G363" i="29"/>
  <c r="J363" i="29"/>
  <c r="N363" i="29"/>
  <c r="P363" i="29"/>
  <c r="Q363" i="29"/>
  <c r="F364" i="29"/>
  <c r="G364" i="29"/>
  <c r="N364" i="29"/>
  <c r="P364" i="29"/>
  <c r="Q364" i="29"/>
  <c r="T364" i="29"/>
  <c r="F365" i="29"/>
  <c r="G365" i="29"/>
  <c r="J365" i="29"/>
  <c r="N365" i="29"/>
  <c r="P365" i="29"/>
  <c r="Q365" i="29"/>
  <c r="T365" i="29"/>
  <c r="S365" i="29"/>
  <c r="F366" i="29"/>
  <c r="G366" i="29"/>
  <c r="J366" i="29"/>
  <c r="N366" i="29"/>
  <c r="P366" i="29"/>
  <c r="Q366" i="29"/>
  <c r="F367" i="29"/>
  <c r="G367" i="29"/>
  <c r="J367" i="29"/>
  <c r="N367" i="29"/>
  <c r="P367" i="29"/>
  <c r="Q367" i="29"/>
  <c r="S367" i="29"/>
  <c r="F368" i="29"/>
  <c r="G368" i="29"/>
  <c r="J368" i="29"/>
  <c r="N368" i="29"/>
  <c r="P368" i="29"/>
  <c r="Q368" i="29"/>
  <c r="T368" i="29"/>
  <c r="F369" i="29"/>
  <c r="G369" i="29"/>
  <c r="J369" i="29"/>
  <c r="N369" i="29"/>
  <c r="P369" i="29"/>
  <c r="Q369" i="29"/>
  <c r="F370" i="29"/>
  <c r="G370" i="29"/>
  <c r="J370" i="29"/>
  <c r="N370" i="29"/>
  <c r="P370" i="29"/>
  <c r="Q370" i="29"/>
  <c r="F371" i="29"/>
  <c r="G371" i="29"/>
  <c r="N371" i="29"/>
  <c r="P371" i="29"/>
  <c r="Q371" i="29"/>
  <c r="F372" i="29"/>
  <c r="G372" i="29"/>
  <c r="N372" i="29"/>
  <c r="P372" i="29"/>
  <c r="Q372" i="29"/>
  <c r="S372" i="29"/>
  <c r="F373" i="29"/>
  <c r="G373" i="29"/>
  <c r="N373" i="29"/>
  <c r="P373" i="29"/>
  <c r="Q373" i="29"/>
  <c r="F374" i="29"/>
  <c r="G374" i="29"/>
  <c r="J374" i="29"/>
  <c r="N374" i="29"/>
  <c r="P374" i="29"/>
  <c r="Q374" i="29"/>
  <c r="T374" i="29"/>
  <c r="S374" i="29"/>
  <c r="F375" i="29"/>
  <c r="G375" i="29"/>
  <c r="N375" i="29"/>
  <c r="P375" i="29"/>
  <c r="Q375" i="29"/>
  <c r="T375" i="29"/>
  <c r="F376" i="29"/>
  <c r="G376" i="29"/>
  <c r="J376" i="29"/>
  <c r="N376" i="29"/>
  <c r="P376" i="29"/>
  <c r="Q376" i="29"/>
  <c r="F377" i="29"/>
  <c r="G377" i="29"/>
  <c r="J377" i="29"/>
  <c r="N377" i="29"/>
  <c r="P377" i="29"/>
  <c r="Q377" i="29"/>
  <c r="T377" i="29"/>
  <c r="F378" i="29"/>
  <c r="G378" i="29"/>
  <c r="N378" i="29"/>
  <c r="P378" i="29"/>
  <c r="Q378" i="29"/>
  <c r="F379" i="29"/>
  <c r="G379" i="29"/>
  <c r="J379" i="29"/>
  <c r="N379" i="29"/>
  <c r="P379" i="29"/>
  <c r="Q379" i="29"/>
  <c r="F380" i="29"/>
  <c r="K380" i="29"/>
  <c r="G380" i="29"/>
  <c r="W380" i="29"/>
  <c r="N380" i="29"/>
  <c r="Q380" i="29"/>
  <c r="F381" i="29"/>
  <c r="G381" i="29"/>
  <c r="J381" i="29"/>
  <c r="N381" i="29"/>
  <c r="P381" i="29"/>
  <c r="Q381" i="29"/>
  <c r="F382" i="29"/>
  <c r="G382" i="29"/>
  <c r="J382" i="29"/>
  <c r="N382" i="29"/>
  <c r="P382" i="29"/>
  <c r="Q382" i="29"/>
  <c r="F383" i="29"/>
  <c r="G383" i="29"/>
  <c r="J383" i="29"/>
  <c r="N383" i="29"/>
  <c r="P383" i="29"/>
  <c r="Q383" i="29"/>
  <c r="F384" i="29"/>
  <c r="G384" i="29"/>
  <c r="N384" i="29"/>
  <c r="P384" i="29"/>
  <c r="Q384" i="29"/>
  <c r="T384" i="29"/>
  <c r="F385" i="29"/>
  <c r="G385" i="29"/>
  <c r="N385" i="29"/>
  <c r="P385" i="29"/>
  <c r="Q385" i="29"/>
  <c r="T385" i="29"/>
  <c r="S385" i="29"/>
  <c r="F386" i="29"/>
  <c r="G386" i="29"/>
  <c r="J386" i="29"/>
  <c r="N386" i="29"/>
  <c r="P386" i="29"/>
  <c r="Q386" i="29"/>
  <c r="T386" i="29"/>
  <c r="F387" i="29"/>
  <c r="G387" i="29"/>
  <c r="J387" i="29"/>
  <c r="N387" i="29"/>
  <c r="P387" i="29"/>
  <c r="Q387" i="29"/>
  <c r="F388" i="29"/>
  <c r="G388" i="29"/>
  <c r="J388" i="29"/>
  <c r="N388" i="29"/>
  <c r="P388" i="29"/>
  <c r="Q388" i="29"/>
  <c r="T388" i="29"/>
  <c r="F389" i="29"/>
  <c r="G389" i="29"/>
  <c r="J389" i="29"/>
  <c r="N389" i="29"/>
  <c r="P389" i="29"/>
  <c r="Q389" i="29"/>
  <c r="F390" i="29"/>
  <c r="G390" i="29"/>
  <c r="N390" i="29"/>
  <c r="P390" i="29"/>
  <c r="Q390" i="29"/>
  <c r="T390" i="29"/>
  <c r="S390" i="29"/>
  <c r="F391" i="29"/>
  <c r="G391" i="29"/>
  <c r="N391" i="29"/>
  <c r="P391" i="29"/>
  <c r="Q391" i="29"/>
  <c r="T391" i="29"/>
  <c r="S391" i="29"/>
  <c r="F392" i="29"/>
  <c r="G392" i="29"/>
  <c r="N392" i="29"/>
  <c r="P392" i="29"/>
  <c r="Q392" i="29"/>
  <c r="S392" i="29"/>
  <c r="F393" i="29"/>
  <c r="G393" i="29"/>
  <c r="J393" i="29"/>
  <c r="N393" i="29"/>
  <c r="P393" i="29"/>
  <c r="Q393" i="29"/>
  <c r="F394" i="29"/>
  <c r="G394" i="29"/>
  <c r="J394" i="29"/>
  <c r="N394" i="29"/>
  <c r="P394" i="29"/>
  <c r="Q394" i="29"/>
  <c r="F395" i="29"/>
  <c r="G395" i="29"/>
  <c r="J395" i="29"/>
  <c r="N395" i="29"/>
  <c r="P395" i="29"/>
  <c r="Q395" i="29"/>
  <c r="F396" i="29"/>
  <c r="G396" i="29"/>
  <c r="N396" i="29"/>
  <c r="P396" i="29"/>
  <c r="Q396" i="29"/>
  <c r="T396" i="29"/>
  <c r="F397" i="29"/>
  <c r="G397" i="29"/>
  <c r="N397" i="29"/>
  <c r="P397" i="29"/>
  <c r="Q397" i="29"/>
  <c r="F398" i="29"/>
  <c r="G398" i="29"/>
  <c r="J398" i="29"/>
  <c r="N398" i="29"/>
  <c r="P398" i="29"/>
  <c r="Q398" i="29"/>
  <c r="F399" i="29"/>
  <c r="G399" i="29"/>
  <c r="J399" i="29"/>
  <c r="N399" i="29"/>
  <c r="P399" i="29"/>
  <c r="Q399" i="29"/>
  <c r="F400" i="29"/>
  <c r="G400" i="29"/>
  <c r="J400" i="29"/>
  <c r="N400" i="29"/>
  <c r="P400" i="29"/>
  <c r="Q400" i="29"/>
  <c r="F401" i="29"/>
  <c r="G401" i="29"/>
  <c r="N401" i="29"/>
  <c r="P401" i="29"/>
  <c r="Q401" i="29"/>
  <c r="F402" i="29"/>
  <c r="G402" i="29"/>
  <c r="J402" i="29"/>
  <c r="N402" i="29"/>
  <c r="P402" i="29"/>
  <c r="Q402" i="29"/>
  <c r="F403" i="29"/>
  <c r="G403" i="29"/>
  <c r="J403" i="29"/>
  <c r="N403" i="29"/>
  <c r="P403" i="29"/>
  <c r="Q403" i="29"/>
  <c r="F404" i="29"/>
  <c r="G404" i="29"/>
  <c r="J404" i="29"/>
  <c r="N404" i="29"/>
  <c r="P404" i="29"/>
  <c r="Q404" i="29"/>
  <c r="F405" i="29"/>
  <c r="G405" i="29"/>
  <c r="J405" i="29"/>
  <c r="N405" i="29"/>
  <c r="P405" i="29"/>
  <c r="Q405" i="29"/>
  <c r="F406" i="29"/>
  <c r="G406" i="29"/>
  <c r="J406" i="29"/>
  <c r="N406" i="29"/>
  <c r="P406" i="29"/>
  <c r="Q406" i="29"/>
  <c r="T406" i="29"/>
  <c r="F407" i="29"/>
  <c r="G407" i="29"/>
  <c r="N407" i="29"/>
  <c r="P407" i="29"/>
  <c r="Q407" i="29"/>
  <c r="N408" i="29"/>
  <c r="P408" i="29"/>
  <c r="Q408" i="29"/>
  <c r="F409" i="29"/>
  <c r="G409" i="29"/>
  <c r="N409" i="29"/>
  <c r="P409" i="29"/>
  <c r="Q409" i="29"/>
  <c r="T409" i="29"/>
  <c r="S409" i="29"/>
  <c r="F410" i="29"/>
  <c r="G410" i="29"/>
  <c r="N410" i="29"/>
  <c r="P410" i="29"/>
  <c r="Q410" i="29"/>
  <c r="T410" i="29"/>
  <c r="S410" i="29"/>
  <c r="F411" i="29"/>
  <c r="G411" i="29"/>
  <c r="N411" i="29"/>
  <c r="P411" i="29"/>
  <c r="Q411" i="29"/>
  <c r="T411" i="29"/>
  <c r="N412" i="29"/>
  <c r="F413" i="29"/>
  <c r="G413" i="29"/>
  <c r="J413" i="29"/>
  <c r="N413" i="29"/>
  <c r="P413" i="29"/>
  <c r="Q413" i="29"/>
  <c r="F414" i="29"/>
  <c r="G414" i="29"/>
  <c r="N414" i="29"/>
  <c r="P414" i="29"/>
  <c r="Q414" i="29"/>
  <c r="F415" i="29"/>
  <c r="G415" i="29"/>
  <c r="N415" i="29"/>
  <c r="P415" i="29"/>
  <c r="Q415" i="29"/>
  <c r="T415" i="29"/>
  <c r="S415" i="29"/>
  <c r="F416" i="29"/>
  <c r="G416" i="29"/>
  <c r="N416" i="29"/>
  <c r="P416" i="29"/>
  <c r="Q416" i="29"/>
  <c r="F417" i="29"/>
  <c r="G417" i="29"/>
  <c r="J417" i="29"/>
  <c r="N417" i="29"/>
  <c r="P417" i="29"/>
  <c r="Q417" i="29"/>
  <c r="F418" i="29"/>
  <c r="G418" i="29"/>
  <c r="N418" i="29"/>
  <c r="P418" i="29"/>
  <c r="Q418" i="29"/>
  <c r="F419" i="29"/>
  <c r="G419" i="29"/>
  <c r="N419" i="29"/>
  <c r="P419" i="29"/>
  <c r="Q419" i="29"/>
  <c r="S419" i="29"/>
  <c r="F420" i="29"/>
  <c r="G420" i="29"/>
  <c r="J420" i="29"/>
  <c r="N420" i="29"/>
  <c r="P420" i="29"/>
  <c r="Q420" i="29"/>
  <c r="F421" i="29"/>
  <c r="G421" i="29"/>
  <c r="J421" i="29"/>
  <c r="N421" i="29"/>
  <c r="P421" i="29"/>
  <c r="Q421" i="29"/>
  <c r="T421" i="29"/>
  <c r="S421" i="29"/>
  <c r="F422" i="29"/>
  <c r="G422" i="29"/>
  <c r="N422" i="29"/>
  <c r="P422" i="29"/>
  <c r="Q422" i="29"/>
  <c r="F423" i="29"/>
  <c r="G423" i="29"/>
  <c r="J423" i="29"/>
  <c r="N423" i="29"/>
  <c r="P423" i="29"/>
  <c r="Q423" i="29"/>
  <c r="S423" i="29"/>
  <c r="F424" i="29"/>
  <c r="G424" i="29"/>
  <c r="N424" i="29"/>
  <c r="P424" i="29"/>
  <c r="Q424" i="29"/>
  <c r="F425" i="29"/>
  <c r="G425" i="29"/>
  <c r="J425" i="29"/>
  <c r="N425" i="29"/>
  <c r="P425" i="29"/>
  <c r="Q425" i="29"/>
  <c r="F426" i="29"/>
  <c r="G426" i="29"/>
  <c r="N426" i="29"/>
  <c r="P426" i="29"/>
  <c r="Q426" i="29"/>
  <c r="T426" i="29"/>
  <c r="F427" i="29"/>
  <c r="G427" i="29"/>
  <c r="N427" i="29"/>
  <c r="P427" i="29"/>
  <c r="Q427" i="29"/>
  <c r="F428" i="29"/>
  <c r="G428" i="29"/>
  <c r="N428" i="29"/>
  <c r="P428" i="29"/>
  <c r="Q428" i="29"/>
  <c r="T428" i="29"/>
  <c r="S428" i="29"/>
  <c r="F429" i="29"/>
  <c r="G429" i="29"/>
  <c r="N429" i="29"/>
  <c r="P429" i="29"/>
  <c r="Q429" i="29"/>
  <c r="T429" i="29"/>
  <c r="S429" i="29"/>
  <c r="F430" i="29"/>
  <c r="G430" i="29"/>
  <c r="J430" i="29"/>
  <c r="N430" i="29"/>
  <c r="P430" i="29"/>
  <c r="Q430" i="29"/>
  <c r="F431" i="29"/>
  <c r="G431" i="29"/>
  <c r="J431" i="29"/>
  <c r="N431" i="29"/>
  <c r="P431" i="29"/>
  <c r="Q431" i="29"/>
  <c r="F432" i="29"/>
  <c r="G432" i="29"/>
  <c r="N432" i="29"/>
  <c r="P432" i="29"/>
  <c r="Q432" i="29"/>
  <c r="F433" i="29"/>
  <c r="G433" i="29"/>
  <c r="N433" i="29"/>
  <c r="Q433" i="29"/>
  <c r="S433" i="29"/>
  <c r="F434" i="29"/>
  <c r="G434" i="29"/>
  <c r="N434" i="29"/>
  <c r="P434" i="29"/>
  <c r="Q434" i="29"/>
  <c r="F435" i="29"/>
  <c r="G435" i="29"/>
  <c r="J435" i="29"/>
  <c r="N435" i="29"/>
  <c r="P435" i="29"/>
  <c r="Q435" i="29"/>
  <c r="F436" i="29"/>
  <c r="G436" i="29"/>
  <c r="N436" i="29"/>
  <c r="P436" i="29"/>
  <c r="Q436" i="29"/>
  <c r="F437" i="29"/>
  <c r="G437" i="29"/>
  <c r="J437" i="29"/>
  <c r="N437" i="29"/>
  <c r="P437" i="29"/>
  <c r="Q437" i="29"/>
  <c r="F438" i="29"/>
  <c r="G438" i="29"/>
  <c r="J438" i="29"/>
  <c r="N438" i="29"/>
  <c r="P438" i="29"/>
  <c r="Q438" i="29"/>
  <c r="F439" i="29"/>
  <c r="G439" i="29"/>
  <c r="N439" i="29"/>
  <c r="P439" i="29"/>
  <c r="Q439" i="29"/>
  <c r="F440" i="29"/>
  <c r="G440" i="29"/>
  <c r="J440" i="29"/>
  <c r="N440" i="29"/>
  <c r="P440" i="29"/>
  <c r="Q440" i="29"/>
  <c r="F441" i="29"/>
  <c r="G441" i="29"/>
  <c r="J441" i="29"/>
  <c r="N441" i="29"/>
  <c r="P441" i="29"/>
  <c r="Q441" i="29"/>
  <c r="F442" i="29"/>
  <c r="G442" i="29"/>
  <c r="N442" i="29"/>
  <c r="P442" i="29"/>
  <c r="Q442" i="29"/>
  <c r="F443" i="29"/>
  <c r="G443" i="29"/>
  <c r="J443" i="29"/>
  <c r="N443" i="29"/>
  <c r="P443" i="29"/>
  <c r="Q443" i="29"/>
  <c r="F444" i="29"/>
  <c r="G444" i="29"/>
  <c r="J444" i="29"/>
  <c r="N444" i="29"/>
  <c r="P444" i="29"/>
  <c r="Q444" i="29"/>
  <c r="F445" i="29"/>
  <c r="G445" i="29"/>
  <c r="J445" i="29"/>
  <c r="N445" i="29"/>
  <c r="P445" i="29"/>
  <c r="Q445" i="29"/>
  <c r="T445" i="29"/>
  <c r="F446" i="29"/>
  <c r="G446" i="29"/>
  <c r="J446" i="29"/>
  <c r="N446" i="29"/>
  <c r="P446" i="29"/>
  <c r="Q446" i="29"/>
  <c r="T446" i="29"/>
  <c r="F447" i="29"/>
  <c r="G447" i="29"/>
  <c r="J447" i="29"/>
  <c r="N447" i="29"/>
  <c r="P447" i="29"/>
  <c r="Q447" i="29"/>
  <c r="F448" i="29"/>
  <c r="G448" i="29"/>
  <c r="N448" i="29"/>
  <c r="P448" i="29"/>
  <c r="Q448" i="29"/>
  <c r="F449" i="29"/>
  <c r="G449" i="29"/>
  <c r="N449" i="29"/>
  <c r="P449" i="29"/>
  <c r="Q449" i="29"/>
  <c r="F450" i="29"/>
  <c r="G450" i="29"/>
  <c r="J450" i="29"/>
  <c r="N450" i="29"/>
  <c r="P450" i="29"/>
  <c r="Q450" i="29"/>
  <c r="F451" i="29"/>
  <c r="G451" i="29"/>
  <c r="N451" i="29"/>
  <c r="P451" i="29"/>
  <c r="Q451" i="29"/>
  <c r="S451" i="29"/>
  <c r="F452" i="29"/>
  <c r="G452" i="29"/>
  <c r="J452" i="29"/>
  <c r="N452" i="29"/>
  <c r="P452" i="29"/>
  <c r="Q452" i="29"/>
  <c r="F453" i="29"/>
  <c r="G453" i="29"/>
  <c r="J453" i="29"/>
  <c r="N453" i="29"/>
  <c r="P453" i="29"/>
  <c r="Q453" i="29"/>
  <c r="F454" i="29"/>
  <c r="G454" i="29"/>
  <c r="J454" i="29"/>
  <c r="N454" i="29"/>
  <c r="P454" i="29"/>
  <c r="Q454" i="29"/>
  <c r="F455" i="29"/>
  <c r="G455" i="29"/>
  <c r="N455" i="29"/>
  <c r="P455" i="29"/>
  <c r="Q455" i="29"/>
  <c r="S455" i="29"/>
  <c r="F456" i="29"/>
  <c r="G456" i="29"/>
  <c r="N456" i="29"/>
  <c r="P456" i="29"/>
  <c r="Q456" i="29"/>
  <c r="F457" i="29"/>
  <c r="G457" i="29"/>
  <c r="J457" i="29"/>
  <c r="N457" i="29"/>
  <c r="P457" i="29"/>
  <c r="Q457" i="29"/>
  <c r="F458" i="29"/>
  <c r="G458" i="29"/>
  <c r="J458" i="29"/>
  <c r="N458" i="29"/>
  <c r="P458" i="29"/>
  <c r="Q458" i="29"/>
  <c r="T458" i="29"/>
  <c r="F459" i="29"/>
  <c r="G459" i="29"/>
  <c r="N459" i="29"/>
  <c r="P459" i="29"/>
  <c r="Q459" i="29"/>
  <c r="F460" i="29"/>
  <c r="G460" i="29"/>
  <c r="N460" i="29"/>
  <c r="P460" i="29"/>
  <c r="Q460" i="29"/>
  <c r="S460" i="29"/>
  <c r="F461" i="29"/>
  <c r="G461" i="29"/>
  <c r="J461" i="29"/>
  <c r="N461" i="29"/>
  <c r="P461" i="29"/>
  <c r="Q461" i="29"/>
  <c r="S461" i="29"/>
  <c r="F462" i="29"/>
  <c r="G462" i="29"/>
  <c r="N462" i="29"/>
  <c r="P462" i="29"/>
  <c r="Q462" i="29"/>
  <c r="T462" i="29"/>
  <c r="F463" i="29"/>
  <c r="G463" i="29"/>
  <c r="N463" i="29"/>
  <c r="P463" i="29"/>
  <c r="Q463" i="29"/>
  <c r="S463" i="29"/>
  <c r="F464" i="29"/>
  <c r="G464" i="29"/>
  <c r="N464" i="29"/>
  <c r="P464" i="29"/>
  <c r="Q464" i="29"/>
  <c r="F465" i="29"/>
  <c r="G465" i="29"/>
  <c r="J465" i="29"/>
  <c r="N465" i="29"/>
  <c r="P465" i="29"/>
  <c r="Q465" i="29"/>
  <c r="F466" i="29"/>
  <c r="G466" i="29"/>
  <c r="N466" i="29"/>
  <c r="P466" i="29"/>
  <c r="Q466" i="29"/>
  <c r="F467" i="29"/>
  <c r="G467" i="29"/>
  <c r="J467" i="29"/>
  <c r="N467" i="29"/>
  <c r="P467" i="29"/>
  <c r="Q467" i="29"/>
  <c r="F468" i="29"/>
  <c r="G468" i="29"/>
  <c r="N468" i="29"/>
  <c r="P468" i="29"/>
  <c r="Q468" i="29"/>
  <c r="F469" i="29"/>
  <c r="G469" i="29"/>
  <c r="N469" i="29"/>
  <c r="P469" i="29"/>
  <c r="Q469" i="29"/>
  <c r="T469" i="29"/>
  <c r="F470" i="29"/>
  <c r="G470" i="29"/>
  <c r="N470" i="29"/>
  <c r="P470" i="29"/>
  <c r="Q470" i="29"/>
  <c r="F471" i="29"/>
  <c r="G471" i="29"/>
  <c r="N471" i="29"/>
  <c r="P471" i="29"/>
  <c r="Q471" i="29"/>
  <c r="S471" i="29"/>
  <c r="F472" i="29"/>
  <c r="G472" i="29"/>
  <c r="N472" i="29"/>
  <c r="P472" i="29"/>
  <c r="Q472" i="29"/>
  <c r="T472" i="29"/>
  <c r="F473" i="29"/>
  <c r="G473" i="29"/>
  <c r="N473" i="29"/>
  <c r="P473" i="29"/>
  <c r="Q473" i="29"/>
  <c r="T473" i="29"/>
  <c r="F474" i="29"/>
  <c r="G474" i="29"/>
  <c r="J474" i="29"/>
  <c r="N474" i="29"/>
  <c r="P474" i="29"/>
  <c r="Q474" i="29"/>
  <c r="S474" i="29"/>
  <c r="F475" i="29"/>
  <c r="G475" i="29"/>
  <c r="J475" i="29"/>
  <c r="N475" i="29"/>
  <c r="P475" i="29"/>
  <c r="Q475" i="29"/>
  <c r="F476" i="29"/>
  <c r="G476" i="29"/>
  <c r="J476" i="29"/>
  <c r="N476" i="29"/>
  <c r="P476" i="29"/>
  <c r="Q476" i="29"/>
  <c r="T476" i="29"/>
  <c r="F477" i="29"/>
  <c r="G477" i="29"/>
  <c r="N477" i="29"/>
  <c r="P477" i="29"/>
  <c r="Q477" i="29"/>
  <c r="F478" i="29"/>
  <c r="G478" i="29"/>
  <c r="N478" i="29"/>
  <c r="P478" i="29"/>
  <c r="Q478" i="29"/>
  <c r="S478" i="29"/>
  <c r="F479" i="29"/>
  <c r="G479" i="29"/>
  <c r="N479" i="29"/>
  <c r="P479" i="29"/>
  <c r="Q479" i="29"/>
  <c r="F480" i="29"/>
  <c r="K480" i="29"/>
  <c r="G480" i="29"/>
  <c r="N480" i="29"/>
  <c r="P480" i="29"/>
  <c r="Q480" i="29"/>
  <c r="S480" i="29"/>
  <c r="F481" i="29"/>
  <c r="K481" i="29"/>
  <c r="G481" i="29"/>
  <c r="N481" i="29"/>
  <c r="P481" i="29"/>
  <c r="Q481" i="29"/>
  <c r="S481" i="29"/>
  <c r="F482" i="29"/>
  <c r="G482" i="29"/>
  <c r="J482" i="29"/>
  <c r="N482" i="29"/>
  <c r="P482" i="29"/>
  <c r="Q482" i="29"/>
  <c r="F483" i="29"/>
  <c r="G483" i="29"/>
  <c r="J483" i="29"/>
  <c r="N483" i="29"/>
  <c r="P483" i="29"/>
  <c r="Q483" i="29"/>
  <c r="F484" i="29"/>
  <c r="G484" i="29"/>
  <c r="J484" i="29"/>
  <c r="N484" i="29"/>
  <c r="P484" i="29"/>
  <c r="Q484" i="29"/>
  <c r="S484" i="29"/>
  <c r="N485" i="29"/>
  <c r="F486" i="29"/>
  <c r="G486" i="29"/>
  <c r="J486" i="29"/>
  <c r="N486" i="29"/>
  <c r="P486" i="29"/>
  <c r="Q486" i="29"/>
  <c r="F487" i="29"/>
  <c r="G487" i="29"/>
  <c r="J487" i="29"/>
  <c r="N487" i="29"/>
  <c r="P487" i="29"/>
  <c r="Q487" i="29"/>
  <c r="F488" i="29"/>
  <c r="G488" i="29"/>
  <c r="J488" i="29"/>
  <c r="N488" i="29"/>
  <c r="P488" i="29"/>
  <c r="Q488" i="29"/>
  <c r="T488" i="29"/>
  <c r="F489" i="29"/>
  <c r="G489" i="29"/>
  <c r="J489" i="29"/>
  <c r="N489" i="29"/>
  <c r="P489" i="29"/>
  <c r="Q489" i="29"/>
  <c r="T489" i="29"/>
  <c r="F490" i="29"/>
  <c r="G490" i="29"/>
  <c r="N490" i="29"/>
  <c r="P490" i="29"/>
  <c r="Q490" i="29"/>
  <c r="F491" i="29"/>
  <c r="G491" i="29"/>
  <c r="N491" i="29"/>
  <c r="P491" i="29"/>
  <c r="Q491" i="29"/>
  <c r="S491" i="29"/>
  <c r="F492" i="29"/>
  <c r="G492" i="29"/>
  <c r="J492" i="29"/>
  <c r="N492" i="29"/>
  <c r="P492" i="29"/>
  <c r="Q492" i="29"/>
  <c r="T492" i="29"/>
  <c r="F493" i="29"/>
  <c r="G493" i="29"/>
  <c r="J493" i="29"/>
  <c r="N493" i="29"/>
  <c r="P493" i="29"/>
  <c r="Q493" i="29"/>
  <c r="F494" i="29"/>
  <c r="G494" i="29"/>
  <c r="N494" i="29"/>
  <c r="P494" i="29"/>
  <c r="Q494" i="29"/>
  <c r="F495" i="29"/>
  <c r="G495" i="29"/>
  <c r="N495" i="29"/>
  <c r="P495" i="29"/>
  <c r="Q495" i="29"/>
  <c r="F496" i="29"/>
  <c r="G496" i="29"/>
  <c r="J496" i="29"/>
  <c r="N496" i="29"/>
  <c r="P496" i="29"/>
  <c r="Q496" i="29"/>
  <c r="T496" i="29"/>
  <c r="F497" i="29"/>
  <c r="G497" i="29"/>
  <c r="J497" i="29"/>
  <c r="N497" i="29"/>
  <c r="P497" i="29"/>
  <c r="Q497" i="29"/>
  <c r="F498" i="29"/>
  <c r="G498" i="29"/>
  <c r="J498" i="29"/>
  <c r="N498" i="29"/>
  <c r="P498" i="29"/>
  <c r="Q498" i="29"/>
  <c r="S498" i="29"/>
  <c r="F499" i="29"/>
  <c r="G499" i="29"/>
  <c r="J499" i="29"/>
  <c r="N499" i="29"/>
  <c r="P499" i="29"/>
  <c r="Q499" i="29"/>
  <c r="F500" i="29"/>
  <c r="G500" i="29"/>
  <c r="J500" i="29"/>
  <c r="N500" i="29"/>
  <c r="P500" i="29"/>
  <c r="Q500" i="29"/>
  <c r="F501" i="29"/>
  <c r="G501" i="29"/>
  <c r="N501" i="29"/>
  <c r="P501" i="29"/>
  <c r="Q501" i="29"/>
  <c r="S501" i="29"/>
  <c r="R501" i="29"/>
  <c r="F502" i="29"/>
  <c r="G502" i="29"/>
  <c r="N502" i="29"/>
  <c r="P502" i="29"/>
  <c r="Q502" i="29"/>
  <c r="F503" i="29"/>
  <c r="G503" i="29"/>
  <c r="N503" i="29"/>
  <c r="P503" i="29"/>
  <c r="Q503" i="29"/>
  <c r="S503" i="29"/>
  <c r="F504" i="29"/>
  <c r="G504" i="29"/>
  <c r="J504" i="29"/>
  <c r="N504" i="29"/>
  <c r="P504" i="29"/>
  <c r="Q504" i="29"/>
  <c r="R504" i="29"/>
  <c r="F505" i="29"/>
  <c r="G505" i="29"/>
  <c r="W505" i="29"/>
  <c r="N505" i="29"/>
  <c r="Q505" i="29"/>
  <c r="S505" i="29"/>
  <c r="F506" i="29"/>
  <c r="K506" i="29"/>
  <c r="G506" i="29"/>
  <c r="N506" i="29"/>
  <c r="P506" i="29"/>
  <c r="Q506" i="29"/>
  <c r="F507" i="29"/>
  <c r="G507" i="29"/>
  <c r="N507" i="29"/>
  <c r="P507" i="29"/>
  <c r="Q507" i="29"/>
  <c r="F508" i="29"/>
  <c r="G508" i="29"/>
  <c r="J508" i="29"/>
  <c r="N508" i="29"/>
  <c r="P508" i="29"/>
  <c r="Q508" i="29"/>
  <c r="F509" i="29"/>
  <c r="G509" i="29"/>
  <c r="N509" i="29"/>
  <c r="P509" i="29"/>
  <c r="Q509" i="29"/>
  <c r="S509" i="29"/>
  <c r="F510" i="29"/>
  <c r="G510" i="29"/>
  <c r="N510" i="29"/>
  <c r="P510" i="29"/>
  <c r="Q510" i="29"/>
  <c r="T510" i="29"/>
  <c r="S510" i="29"/>
  <c r="F511" i="29"/>
  <c r="G511" i="29"/>
  <c r="J511" i="29"/>
  <c r="N511" i="29"/>
  <c r="P511" i="29"/>
  <c r="Q511" i="29"/>
  <c r="R511" i="29"/>
  <c r="S511" i="29"/>
  <c r="F512" i="29"/>
  <c r="G512" i="29"/>
  <c r="N512" i="29"/>
  <c r="P512" i="29"/>
  <c r="Q512" i="29"/>
  <c r="T512" i="29"/>
  <c r="F513" i="29"/>
  <c r="G513" i="29"/>
  <c r="J513" i="29"/>
  <c r="N513" i="29"/>
  <c r="P513" i="29"/>
  <c r="Q513" i="29"/>
  <c r="F514" i="29"/>
  <c r="G514" i="29"/>
  <c r="J514" i="29"/>
  <c r="N514" i="29"/>
  <c r="P514" i="29"/>
  <c r="Q514" i="29"/>
  <c r="F515" i="29"/>
  <c r="G515" i="29"/>
  <c r="N515" i="29"/>
  <c r="P515" i="29"/>
  <c r="Q515" i="29"/>
  <c r="F516" i="29"/>
  <c r="G516" i="29"/>
  <c r="N516" i="29"/>
  <c r="P516" i="29"/>
  <c r="Q516" i="29"/>
  <c r="F517" i="29"/>
  <c r="G517" i="29"/>
  <c r="J517" i="29"/>
  <c r="N517" i="29"/>
  <c r="P517" i="29"/>
  <c r="Q517" i="29"/>
  <c r="F518" i="29"/>
  <c r="G518" i="29"/>
  <c r="J518" i="29"/>
  <c r="N518" i="29"/>
  <c r="P518" i="29"/>
  <c r="Q518" i="29"/>
  <c r="F519" i="29"/>
  <c r="G519" i="29"/>
  <c r="J519" i="29"/>
  <c r="N519" i="29"/>
  <c r="P519" i="29"/>
  <c r="Q519" i="29"/>
  <c r="T519" i="29"/>
  <c r="F520" i="29"/>
  <c r="G520" i="29"/>
  <c r="J520" i="29"/>
  <c r="N520" i="29"/>
  <c r="P520" i="29"/>
  <c r="Q520" i="29"/>
  <c r="F521" i="29"/>
  <c r="G521" i="29"/>
  <c r="N521" i="29"/>
  <c r="P521" i="29"/>
  <c r="Q521" i="29"/>
  <c r="T521" i="29"/>
  <c r="F522" i="29"/>
  <c r="G522" i="29"/>
  <c r="N522" i="29"/>
  <c r="P522" i="29"/>
  <c r="Q522" i="29"/>
  <c r="T522" i="29"/>
  <c r="F523" i="29"/>
  <c r="G523" i="29"/>
  <c r="N523" i="29"/>
  <c r="P523" i="29"/>
  <c r="Q523" i="29"/>
  <c r="T523" i="29"/>
  <c r="S523" i="29"/>
  <c r="F524" i="29"/>
  <c r="G524" i="29"/>
  <c r="N524" i="29"/>
  <c r="P524" i="29"/>
  <c r="Q524" i="29"/>
  <c r="T524" i="29"/>
  <c r="S524" i="29"/>
  <c r="F525" i="29"/>
  <c r="G525" i="29"/>
  <c r="N525" i="29"/>
  <c r="P525" i="29"/>
  <c r="Q525" i="29"/>
  <c r="F526" i="29"/>
  <c r="G526" i="29"/>
  <c r="J526" i="29"/>
  <c r="N526" i="29"/>
  <c r="P526" i="29"/>
  <c r="Q526" i="29"/>
  <c r="T526" i="29"/>
  <c r="S526" i="29"/>
  <c r="F527" i="29"/>
  <c r="G527" i="29"/>
  <c r="N527" i="29"/>
  <c r="P527" i="29"/>
  <c r="Q527" i="29"/>
  <c r="F528" i="29"/>
  <c r="G528" i="29"/>
  <c r="N528" i="29"/>
  <c r="P528" i="29"/>
  <c r="Q528" i="29"/>
  <c r="F529" i="29"/>
  <c r="G529" i="29"/>
  <c r="N529" i="29"/>
  <c r="P529" i="29"/>
  <c r="Q529" i="29"/>
  <c r="S529" i="29"/>
  <c r="F530" i="29"/>
  <c r="G530" i="29"/>
  <c r="N530" i="29"/>
  <c r="P530" i="29"/>
  <c r="Q530" i="29"/>
  <c r="F531" i="29"/>
  <c r="G531" i="29"/>
  <c r="N531" i="29"/>
  <c r="P531" i="29"/>
  <c r="Q531" i="29"/>
  <c r="T531" i="29"/>
  <c r="S531" i="29"/>
  <c r="F532" i="29"/>
  <c r="G532" i="29"/>
  <c r="J532" i="29"/>
  <c r="N532" i="29"/>
  <c r="P532" i="29"/>
  <c r="Q532" i="29"/>
  <c r="R532" i="29"/>
  <c r="S532" i="29"/>
  <c r="F533" i="29"/>
  <c r="G533" i="29"/>
  <c r="N533" i="29"/>
  <c r="P533" i="29"/>
  <c r="Q533" i="29"/>
  <c r="S533" i="29"/>
  <c r="F534" i="29"/>
  <c r="G534" i="29"/>
  <c r="J534" i="29"/>
  <c r="N534" i="29"/>
  <c r="P534" i="29"/>
  <c r="Q534" i="29"/>
  <c r="F535" i="29"/>
  <c r="G535" i="29"/>
  <c r="N535" i="29"/>
  <c r="P535" i="29"/>
  <c r="Q535" i="29"/>
  <c r="F536" i="29"/>
  <c r="G536" i="29"/>
  <c r="J536" i="29"/>
  <c r="N536" i="29"/>
  <c r="P536" i="29"/>
  <c r="Q536" i="29"/>
  <c r="S536" i="29"/>
  <c r="F537" i="29"/>
  <c r="G537" i="29"/>
  <c r="J537" i="29"/>
  <c r="N537" i="29"/>
  <c r="P537" i="29"/>
  <c r="Q537" i="29"/>
  <c r="F538" i="29"/>
  <c r="G538" i="29"/>
  <c r="J538" i="29"/>
  <c r="N538" i="29"/>
  <c r="P538" i="29"/>
  <c r="Q538" i="29"/>
  <c r="F539" i="29"/>
  <c r="G539" i="29"/>
  <c r="J539" i="29"/>
  <c r="N539" i="29"/>
  <c r="P539" i="29"/>
  <c r="Q539" i="29"/>
  <c r="F540" i="29"/>
  <c r="G540" i="29"/>
  <c r="N540" i="29"/>
  <c r="P540" i="29"/>
  <c r="Q540" i="29"/>
  <c r="F541" i="29"/>
  <c r="G541" i="29"/>
  <c r="J541" i="29"/>
  <c r="N541" i="29"/>
  <c r="P541" i="29"/>
  <c r="Q541" i="29"/>
  <c r="F542" i="29"/>
  <c r="K542" i="29"/>
  <c r="G542" i="29"/>
  <c r="N542" i="29"/>
  <c r="P542" i="29"/>
  <c r="Q542" i="29"/>
  <c r="T542" i="29"/>
  <c r="F543" i="29"/>
  <c r="G543" i="29"/>
  <c r="N543" i="29"/>
  <c r="P543" i="29"/>
  <c r="Q543" i="29"/>
  <c r="F544" i="29"/>
  <c r="G544" i="29"/>
  <c r="N544" i="29"/>
  <c r="P544" i="29"/>
  <c r="Q544" i="29"/>
  <c r="F545" i="29"/>
  <c r="G545" i="29"/>
  <c r="J545" i="29"/>
  <c r="N545" i="29"/>
  <c r="P545" i="29"/>
  <c r="Q545" i="29"/>
  <c r="T545" i="29"/>
  <c r="F546" i="29"/>
  <c r="G546" i="29"/>
  <c r="J546" i="29"/>
  <c r="N546" i="29"/>
  <c r="P546" i="29"/>
  <c r="Q546" i="29"/>
  <c r="F547" i="29"/>
  <c r="G547" i="29"/>
  <c r="N547" i="29"/>
  <c r="P547" i="29"/>
  <c r="Q547" i="29"/>
  <c r="T547" i="29"/>
  <c r="F548" i="29"/>
  <c r="G548" i="29"/>
  <c r="N548" i="29"/>
  <c r="P548" i="29"/>
  <c r="Q548" i="29"/>
  <c r="F549" i="29"/>
  <c r="G549" i="29"/>
  <c r="N549" i="29"/>
  <c r="P549" i="29"/>
  <c r="Q549" i="29"/>
  <c r="F550" i="29"/>
  <c r="G550" i="29"/>
  <c r="J550" i="29"/>
  <c r="N550" i="29"/>
  <c r="P550" i="29"/>
  <c r="Q550" i="29"/>
  <c r="F551" i="29"/>
  <c r="G551" i="29"/>
  <c r="N551" i="29"/>
  <c r="P551" i="29"/>
  <c r="Q551" i="29"/>
  <c r="F552" i="29"/>
  <c r="G552" i="29"/>
  <c r="N552" i="29"/>
  <c r="P552" i="29"/>
  <c r="Q552" i="29"/>
  <c r="T552" i="29"/>
  <c r="F553" i="29"/>
  <c r="G553" i="29"/>
  <c r="N553" i="29"/>
  <c r="P553" i="29"/>
  <c r="Q553" i="29"/>
  <c r="F554" i="29"/>
  <c r="G554" i="29"/>
  <c r="J554" i="29"/>
  <c r="N554" i="29"/>
  <c r="P554" i="29"/>
  <c r="Q554" i="29"/>
  <c r="F555" i="29"/>
  <c r="G555" i="29"/>
  <c r="N555" i="29"/>
  <c r="P555" i="29"/>
  <c r="Q555" i="29"/>
  <c r="R555" i="29"/>
  <c r="F556" i="29"/>
  <c r="G556" i="29"/>
  <c r="J556" i="29"/>
  <c r="N556" i="29"/>
  <c r="P556" i="29"/>
  <c r="Q556" i="29"/>
  <c r="F557" i="29"/>
  <c r="G557" i="29"/>
  <c r="N557" i="29"/>
  <c r="P557" i="29"/>
  <c r="Q557" i="29"/>
  <c r="F558" i="29"/>
  <c r="G558" i="29"/>
  <c r="J558" i="29"/>
  <c r="N558" i="29"/>
  <c r="P558" i="29"/>
  <c r="Q558" i="29"/>
  <c r="F559" i="29"/>
  <c r="G559" i="29"/>
  <c r="N559" i="29"/>
  <c r="P559" i="29"/>
  <c r="Q559" i="29"/>
  <c r="S559" i="29"/>
  <c r="F560" i="29"/>
  <c r="G560" i="29"/>
  <c r="J560" i="29"/>
  <c r="N560" i="29"/>
  <c r="P560" i="29"/>
  <c r="Q560" i="29"/>
  <c r="F561" i="29"/>
  <c r="G561" i="29"/>
  <c r="J561" i="29"/>
  <c r="N561" i="29"/>
  <c r="P561" i="29"/>
  <c r="Q561" i="29"/>
  <c r="S561" i="29"/>
  <c r="F562" i="29"/>
  <c r="G562" i="29"/>
  <c r="J562" i="29"/>
  <c r="N562" i="29"/>
  <c r="P562" i="29"/>
  <c r="Q562" i="29"/>
  <c r="F563" i="29"/>
  <c r="G563" i="29"/>
  <c r="N563" i="29"/>
  <c r="P563" i="29"/>
  <c r="Q563" i="29"/>
  <c r="T563" i="29"/>
  <c r="F564" i="29"/>
  <c r="G564" i="29"/>
  <c r="N564" i="29"/>
  <c r="P564" i="29"/>
  <c r="Q564" i="29"/>
  <c r="F565" i="29"/>
  <c r="G565" i="29"/>
  <c r="J565" i="29"/>
  <c r="N565" i="29"/>
  <c r="P565" i="29"/>
  <c r="Q565" i="29"/>
  <c r="F566" i="29"/>
  <c r="G566" i="29"/>
  <c r="N566" i="29"/>
  <c r="P566" i="29"/>
  <c r="Q566" i="29"/>
  <c r="T566" i="29"/>
  <c r="F567" i="29"/>
  <c r="G567" i="29"/>
  <c r="N567" i="29"/>
  <c r="P567" i="29"/>
  <c r="Q567" i="29"/>
  <c r="F568" i="29"/>
  <c r="G568" i="29"/>
  <c r="N568" i="29"/>
  <c r="P568" i="29"/>
  <c r="Q568" i="29"/>
  <c r="F569" i="29"/>
  <c r="G569" i="29"/>
  <c r="N569" i="29"/>
  <c r="P569" i="29"/>
  <c r="Q569" i="29"/>
  <c r="N570" i="29"/>
  <c r="F571" i="29"/>
  <c r="K571" i="29"/>
  <c r="G571" i="29"/>
  <c r="N571" i="29"/>
  <c r="P571" i="29"/>
  <c r="Q571" i="29"/>
  <c r="R571" i="29"/>
  <c r="F572" i="29"/>
  <c r="G572" i="29"/>
  <c r="J572" i="29"/>
  <c r="N572" i="29"/>
  <c r="P572" i="29"/>
  <c r="Q572" i="29"/>
  <c r="T572" i="29"/>
  <c r="F573" i="29"/>
  <c r="G573" i="29"/>
  <c r="N573" i="29"/>
  <c r="P573" i="29"/>
  <c r="Q573" i="29"/>
  <c r="F574" i="29"/>
  <c r="G574" i="29"/>
  <c r="N574" i="29"/>
  <c r="P574" i="29"/>
  <c r="Q574" i="29"/>
  <c r="T574" i="29"/>
  <c r="F575" i="29"/>
  <c r="G575" i="29"/>
  <c r="N575" i="29"/>
  <c r="P575" i="29"/>
  <c r="Q575" i="29"/>
  <c r="F576" i="29"/>
  <c r="G576" i="29"/>
  <c r="N576" i="29"/>
  <c r="P576" i="29"/>
  <c r="Q576" i="29"/>
  <c r="T576" i="29"/>
  <c r="S576" i="29"/>
  <c r="F577" i="29"/>
  <c r="G577" i="29"/>
  <c r="N577" i="29"/>
  <c r="P577" i="29"/>
  <c r="Q577" i="29"/>
  <c r="F578" i="29"/>
  <c r="G578" i="29"/>
  <c r="J578" i="29"/>
  <c r="N578" i="29"/>
  <c r="P578" i="29"/>
  <c r="Q578" i="29"/>
  <c r="F579" i="29"/>
  <c r="G579" i="29"/>
  <c r="N579" i="29"/>
  <c r="P579" i="29"/>
  <c r="Q579" i="29"/>
  <c r="F580" i="29"/>
  <c r="G580" i="29"/>
  <c r="N580" i="29"/>
  <c r="P580" i="29"/>
  <c r="Q580" i="29"/>
  <c r="F581" i="29"/>
  <c r="G581" i="29"/>
  <c r="N581" i="29"/>
  <c r="P581" i="29"/>
  <c r="Q581" i="29"/>
  <c r="F582" i="29"/>
  <c r="G582" i="29"/>
  <c r="J582" i="29"/>
  <c r="N582" i="29"/>
  <c r="P582" i="29"/>
  <c r="Q582" i="29"/>
  <c r="F583" i="29"/>
  <c r="G583" i="29"/>
  <c r="J583" i="29"/>
  <c r="N583" i="29"/>
  <c r="P583" i="29"/>
  <c r="Q583" i="29"/>
  <c r="F584" i="29"/>
  <c r="K584" i="29"/>
  <c r="G584" i="29"/>
  <c r="N584" i="29"/>
  <c r="P584" i="29"/>
  <c r="Q584" i="29"/>
  <c r="F585" i="29"/>
  <c r="K585" i="29"/>
  <c r="G585" i="29"/>
  <c r="N585" i="29"/>
  <c r="P585" i="29"/>
  <c r="Q585" i="29"/>
  <c r="F586" i="29"/>
  <c r="G586" i="29"/>
  <c r="N586" i="29"/>
  <c r="P586" i="29"/>
  <c r="Q586" i="29"/>
  <c r="T586" i="29"/>
  <c r="S586" i="29"/>
  <c r="F587" i="29"/>
  <c r="G587" i="29"/>
  <c r="J587" i="29"/>
  <c r="N587" i="29"/>
  <c r="P587" i="29"/>
  <c r="Q587" i="29"/>
  <c r="T587" i="29"/>
  <c r="F588" i="29"/>
  <c r="G588" i="29"/>
  <c r="J588" i="29"/>
  <c r="N588" i="29"/>
  <c r="P588" i="29"/>
  <c r="Q588" i="29"/>
  <c r="F589" i="29"/>
  <c r="G589" i="29"/>
  <c r="N589" i="29"/>
  <c r="P589" i="29"/>
  <c r="Q589" i="29"/>
  <c r="F590" i="29"/>
  <c r="K590" i="29"/>
  <c r="G590" i="29"/>
  <c r="N590" i="29"/>
  <c r="P590" i="29"/>
  <c r="Q590" i="29"/>
  <c r="T590" i="29"/>
  <c r="F591" i="29"/>
  <c r="G591" i="29"/>
  <c r="N591" i="29"/>
  <c r="P591" i="29"/>
  <c r="Q591" i="29"/>
  <c r="F592" i="29"/>
  <c r="G592" i="29"/>
  <c r="J592" i="29"/>
  <c r="N592" i="29"/>
  <c r="P592" i="29"/>
  <c r="Q592" i="29"/>
  <c r="F593" i="29"/>
  <c r="G593" i="29"/>
  <c r="J593" i="29"/>
  <c r="N593" i="29"/>
  <c r="P593" i="29"/>
  <c r="Q593" i="29"/>
  <c r="F594" i="29"/>
  <c r="G594" i="29"/>
  <c r="N594" i="29"/>
  <c r="P594" i="29"/>
  <c r="Q594" i="29"/>
  <c r="F595" i="29"/>
  <c r="G595" i="29"/>
  <c r="N595" i="29"/>
  <c r="P595" i="29"/>
  <c r="Q595" i="29"/>
  <c r="F596" i="29"/>
  <c r="G596" i="29"/>
  <c r="N596" i="29"/>
  <c r="P596" i="29"/>
  <c r="Q596" i="29"/>
  <c r="F597" i="29"/>
  <c r="G597" i="29"/>
  <c r="N597" i="29"/>
  <c r="P597" i="29"/>
  <c r="Q597" i="29"/>
  <c r="S597" i="29"/>
  <c r="F598" i="29"/>
  <c r="G598" i="29"/>
  <c r="N598" i="29"/>
  <c r="P598" i="29"/>
  <c r="Q598" i="29"/>
  <c r="F599" i="29"/>
  <c r="G599" i="29"/>
  <c r="N599" i="29"/>
  <c r="P599" i="29"/>
  <c r="Q599" i="29"/>
  <c r="F600" i="29"/>
  <c r="G600" i="29"/>
  <c r="N600" i="29"/>
  <c r="P600" i="29"/>
  <c r="Q600" i="29"/>
  <c r="T600" i="29"/>
  <c r="F601" i="29"/>
  <c r="G601" i="29"/>
  <c r="N601" i="29"/>
  <c r="P601" i="29"/>
  <c r="S601" i="29"/>
  <c r="T601" i="29"/>
  <c r="F602" i="29"/>
  <c r="G602" i="29"/>
  <c r="J602" i="29"/>
  <c r="N602" i="29"/>
  <c r="P602" i="29"/>
  <c r="Q602" i="29"/>
  <c r="F603" i="29"/>
  <c r="G603" i="29"/>
  <c r="N603" i="29"/>
  <c r="P603" i="29"/>
  <c r="Q603" i="29"/>
  <c r="F604" i="29"/>
  <c r="G604" i="29"/>
  <c r="N604" i="29"/>
  <c r="P604" i="29"/>
  <c r="Q604" i="29"/>
  <c r="T604" i="29"/>
  <c r="S604" i="29"/>
  <c r="F605" i="29"/>
  <c r="G605" i="29"/>
  <c r="N605" i="29"/>
  <c r="P605" i="29"/>
  <c r="Q605" i="29"/>
  <c r="F606" i="29"/>
  <c r="G606" i="29"/>
  <c r="N606" i="29"/>
  <c r="P606" i="29"/>
  <c r="Q606" i="29"/>
  <c r="G607" i="29"/>
  <c r="N607" i="29"/>
  <c r="P607" i="29"/>
  <c r="Q607" i="29"/>
  <c r="F608" i="29"/>
  <c r="G608" i="29"/>
  <c r="N608" i="29"/>
  <c r="P608" i="29"/>
  <c r="Q608" i="29"/>
  <c r="F609" i="29"/>
  <c r="G609" i="29"/>
  <c r="N609" i="29"/>
  <c r="P609" i="29"/>
  <c r="Q609" i="29"/>
  <c r="S609" i="29"/>
  <c r="F610" i="29"/>
  <c r="G610" i="29"/>
  <c r="N610" i="29"/>
  <c r="P610" i="29"/>
  <c r="Q610" i="29"/>
  <c r="S610" i="29"/>
  <c r="F611" i="29"/>
  <c r="G611" i="29"/>
  <c r="J611" i="29"/>
  <c r="N611" i="29"/>
  <c r="P611" i="29"/>
  <c r="Q611" i="29"/>
  <c r="T611" i="29"/>
  <c r="F612" i="29"/>
  <c r="G612" i="29"/>
  <c r="N612" i="29"/>
  <c r="P612" i="29"/>
  <c r="Q612" i="29"/>
  <c r="F613" i="29"/>
  <c r="G613" i="29"/>
  <c r="N613" i="29"/>
  <c r="P613" i="29"/>
  <c r="Q613" i="29"/>
  <c r="S613" i="29"/>
  <c r="F614" i="29"/>
  <c r="G614" i="29"/>
  <c r="N614" i="29"/>
  <c r="P614" i="29"/>
  <c r="Q614" i="29"/>
  <c r="F615" i="29"/>
  <c r="K615" i="29"/>
  <c r="G615" i="29"/>
  <c r="N615" i="29"/>
  <c r="P615" i="29"/>
  <c r="Q615" i="29"/>
  <c r="F616" i="29"/>
  <c r="G616" i="29"/>
  <c r="N616" i="29"/>
  <c r="P616" i="29"/>
  <c r="Q616" i="29"/>
  <c r="F617" i="29"/>
  <c r="G617" i="29"/>
  <c r="J617" i="29"/>
  <c r="N617" i="29"/>
  <c r="P617" i="29"/>
  <c r="Q617" i="29"/>
  <c r="F618" i="29"/>
  <c r="G618" i="29"/>
  <c r="J618" i="29"/>
  <c r="N618" i="29"/>
  <c r="P618" i="29"/>
  <c r="Q618" i="29"/>
  <c r="F619" i="29"/>
  <c r="G619" i="29"/>
  <c r="J619" i="29"/>
  <c r="N619" i="29"/>
  <c r="P619" i="29"/>
  <c r="Q619" i="29"/>
  <c r="F620" i="29"/>
  <c r="G620" i="29"/>
  <c r="N620" i="29"/>
  <c r="P620" i="29"/>
  <c r="Q620" i="29"/>
  <c r="F621" i="29"/>
  <c r="G621" i="29"/>
  <c r="J621" i="29"/>
  <c r="N621" i="29"/>
  <c r="P621" i="29"/>
  <c r="Q621" i="29"/>
  <c r="F622" i="29"/>
  <c r="G622" i="29"/>
  <c r="J622" i="29"/>
  <c r="N622" i="29"/>
  <c r="P622" i="29"/>
  <c r="Q622" i="29"/>
  <c r="S622" i="29"/>
  <c r="F623" i="29"/>
  <c r="K623" i="29"/>
  <c r="G623" i="29"/>
  <c r="N623" i="29"/>
  <c r="P623" i="29"/>
  <c r="Q623" i="29"/>
  <c r="F624" i="29"/>
  <c r="G624" i="29"/>
  <c r="N624" i="29"/>
  <c r="P624" i="29"/>
  <c r="Q624" i="29"/>
  <c r="F625" i="29"/>
  <c r="K625" i="29"/>
  <c r="G625" i="29"/>
  <c r="N625" i="29"/>
  <c r="P625" i="29"/>
  <c r="Q625" i="29"/>
  <c r="F626" i="29"/>
  <c r="K626" i="29"/>
  <c r="G626" i="29"/>
  <c r="N626" i="29"/>
  <c r="P626" i="29"/>
  <c r="Q626" i="29"/>
  <c r="F627" i="29"/>
  <c r="G627" i="29"/>
  <c r="N627" i="29"/>
  <c r="P627" i="29"/>
  <c r="Q627" i="29"/>
  <c r="T627" i="29"/>
  <c r="F628" i="29"/>
  <c r="G628" i="29"/>
  <c r="N628" i="29"/>
  <c r="P628" i="29"/>
  <c r="Q628" i="29"/>
  <c r="F629" i="29"/>
  <c r="G629" i="29"/>
  <c r="N629" i="29"/>
  <c r="P629" i="29"/>
  <c r="Q629" i="29"/>
  <c r="F630" i="29"/>
  <c r="G630" i="29"/>
  <c r="N630" i="29"/>
  <c r="P630" i="29"/>
  <c r="Q630" i="29"/>
  <c r="F631" i="29"/>
  <c r="G631" i="29"/>
  <c r="J631" i="29"/>
  <c r="N631" i="29"/>
  <c r="P631" i="29"/>
  <c r="R631" i="29"/>
  <c r="Q631" i="29"/>
  <c r="F632" i="29"/>
  <c r="G632" i="29"/>
  <c r="N632" i="29"/>
  <c r="P632" i="29"/>
  <c r="Q632" i="29"/>
  <c r="F633" i="29"/>
  <c r="K633" i="29"/>
  <c r="G633" i="29"/>
  <c r="N633" i="29"/>
  <c r="P633" i="29"/>
  <c r="Q633" i="29"/>
  <c r="T633" i="29"/>
  <c r="F634" i="29"/>
  <c r="G634" i="29"/>
  <c r="N634" i="29"/>
  <c r="P634" i="29"/>
  <c r="Q634" i="29"/>
  <c r="F635" i="29"/>
  <c r="G635" i="29"/>
  <c r="J635" i="29"/>
  <c r="N635" i="29"/>
  <c r="P635" i="29"/>
  <c r="Q635" i="29"/>
  <c r="T635" i="29"/>
  <c r="F636" i="29"/>
  <c r="G636" i="29"/>
  <c r="J636" i="29"/>
  <c r="N636" i="29"/>
  <c r="P636" i="29"/>
  <c r="Q636" i="29"/>
  <c r="F637" i="29"/>
  <c r="G637" i="29"/>
  <c r="N637" i="29"/>
  <c r="P637" i="29"/>
  <c r="Q637" i="29"/>
  <c r="F638" i="29"/>
  <c r="G638" i="29"/>
  <c r="N638" i="29"/>
  <c r="P638" i="29"/>
  <c r="Q638" i="29"/>
  <c r="F639" i="29"/>
  <c r="G639" i="29"/>
  <c r="N639" i="29"/>
  <c r="P639" i="29"/>
  <c r="Q639" i="29"/>
  <c r="T639" i="29"/>
  <c r="F640" i="29"/>
  <c r="G640" i="29"/>
  <c r="N640" i="29"/>
  <c r="P640" i="29"/>
  <c r="Q640" i="29"/>
  <c r="F641" i="29"/>
  <c r="G641" i="29"/>
  <c r="J641" i="29"/>
  <c r="N641" i="29"/>
  <c r="P641" i="29"/>
  <c r="R641" i="29"/>
  <c r="Q641" i="29"/>
  <c r="F642" i="29"/>
  <c r="G642" i="29"/>
  <c r="J642" i="29"/>
  <c r="N642" i="29"/>
  <c r="P642" i="29"/>
  <c r="R642" i="29"/>
  <c r="Q642" i="29"/>
  <c r="N643" i="29"/>
  <c r="F644" i="29"/>
  <c r="G644" i="29"/>
  <c r="J644" i="29"/>
  <c r="N644" i="29"/>
  <c r="P644" i="29"/>
  <c r="Q644" i="29"/>
  <c r="S644" i="29"/>
  <c r="F645" i="29"/>
  <c r="G645" i="29"/>
  <c r="N645" i="29"/>
  <c r="P645" i="29"/>
  <c r="Q645" i="29"/>
  <c r="S645" i="29"/>
  <c r="F646" i="29"/>
  <c r="G646" i="29"/>
  <c r="N646" i="29"/>
  <c r="P646" i="29"/>
  <c r="Q646" i="29"/>
  <c r="T646" i="29"/>
  <c r="S646" i="29"/>
  <c r="F647" i="29"/>
  <c r="G647" i="29"/>
  <c r="N647" i="29"/>
  <c r="P647" i="29"/>
  <c r="Q647" i="29"/>
  <c r="F648" i="29"/>
  <c r="G648" i="29"/>
  <c r="N648" i="29"/>
  <c r="P648" i="29"/>
  <c r="Q648" i="29"/>
  <c r="F649" i="29"/>
  <c r="G649" i="29"/>
  <c r="J649" i="29"/>
  <c r="N649" i="29"/>
  <c r="P649" i="29"/>
  <c r="R649" i="29"/>
  <c r="Q649" i="29"/>
  <c r="F650" i="29"/>
  <c r="G650" i="29"/>
  <c r="J650" i="29"/>
  <c r="N650" i="29"/>
  <c r="P650" i="29"/>
  <c r="R650" i="29"/>
  <c r="Q650" i="29"/>
  <c r="F651" i="29"/>
  <c r="G651" i="29"/>
  <c r="J651" i="29"/>
  <c r="N651" i="29"/>
  <c r="P651" i="29"/>
  <c r="R651" i="29"/>
  <c r="Q651" i="29"/>
  <c r="F652" i="29"/>
  <c r="G652" i="29"/>
  <c r="N652" i="29"/>
  <c r="P652" i="29"/>
  <c r="Q652" i="29"/>
  <c r="F653" i="29"/>
  <c r="G653" i="29"/>
  <c r="N653" i="29"/>
  <c r="P653" i="29"/>
  <c r="Q653" i="29"/>
  <c r="F654" i="29"/>
  <c r="G654" i="29"/>
  <c r="N654" i="29"/>
  <c r="P654" i="29"/>
  <c r="Q654" i="29"/>
  <c r="F655" i="29"/>
  <c r="G655" i="29"/>
  <c r="N655" i="29"/>
  <c r="P655" i="29"/>
  <c r="Q655" i="29"/>
  <c r="F656" i="29"/>
  <c r="G656" i="29"/>
  <c r="N656" i="29"/>
  <c r="P656" i="29"/>
  <c r="R656" i="29"/>
  <c r="Q656" i="29"/>
  <c r="F657" i="29"/>
  <c r="G657" i="29"/>
  <c r="N657" i="29"/>
  <c r="P657" i="29"/>
  <c r="Q657" i="29"/>
  <c r="F658" i="29"/>
  <c r="G658" i="29"/>
  <c r="N658" i="29"/>
  <c r="P658" i="29"/>
  <c r="Q658" i="29"/>
  <c r="T658" i="29"/>
  <c r="S658" i="29"/>
  <c r="F659" i="29"/>
  <c r="G659" i="29"/>
  <c r="J659" i="29"/>
  <c r="N659" i="29"/>
  <c r="P659" i="29"/>
  <c r="Q659" i="29"/>
  <c r="F660" i="29"/>
  <c r="G660" i="29"/>
  <c r="J660" i="29"/>
  <c r="N660" i="29"/>
  <c r="P660" i="29"/>
  <c r="Q660" i="29"/>
  <c r="F661" i="29"/>
  <c r="G661" i="29"/>
  <c r="J661" i="29"/>
  <c r="N661" i="29"/>
  <c r="P661" i="29"/>
  <c r="Q661" i="29"/>
  <c r="F662" i="29"/>
  <c r="G662" i="29"/>
  <c r="J662" i="29"/>
  <c r="N662" i="29"/>
  <c r="P662" i="29"/>
  <c r="Q662" i="29"/>
  <c r="T662" i="29"/>
  <c r="F663" i="29"/>
  <c r="G663" i="29"/>
  <c r="J663" i="29"/>
  <c r="N663" i="29"/>
  <c r="P663" i="29"/>
  <c r="Q663" i="29"/>
  <c r="S663" i="29"/>
  <c r="F664" i="29"/>
  <c r="G664" i="29"/>
  <c r="J664" i="29"/>
  <c r="N664" i="29"/>
  <c r="P664" i="29"/>
  <c r="Q664" i="29"/>
  <c r="F665" i="29"/>
  <c r="G665" i="29"/>
  <c r="N665" i="29"/>
  <c r="P665" i="29"/>
  <c r="Q665" i="29"/>
  <c r="T665" i="29"/>
  <c r="F666" i="29"/>
  <c r="G666" i="29"/>
  <c r="J666" i="29"/>
  <c r="N666" i="29"/>
  <c r="P666" i="29"/>
  <c r="Q666" i="29"/>
  <c r="F667" i="29"/>
  <c r="G667" i="29"/>
  <c r="N667" i="29"/>
  <c r="P667" i="29"/>
  <c r="Q667" i="29"/>
  <c r="T667" i="29"/>
  <c r="S667" i="29"/>
  <c r="F668" i="29"/>
  <c r="G668" i="29"/>
  <c r="J668" i="29"/>
  <c r="N668" i="29"/>
  <c r="P668" i="29"/>
  <c r="Q668" i="29"/>
  <c r="F669" i="29"/>
  <c r="G669" i="29"/>
  <c r="N669" i="29"/>
  <c r="P669" i="29"/>
  <c r="Q669" i="29"/>
  <c r="F670" i="29"/>
  <c r="G670" i="29"/>
  <c r="N670" i="29"/>
  <c r="P670" i="29"/>
  <c r="Q670" i="29"/>
  <c r="F671" i="29"/>
  <c r="G671" i="29"/>
  <c r="J671" i="29"/>
  <c r="N671" i="29"/>
  <c r="P671" i="29"/>
  <c r="Q671" i="29"/>
  <c r="F672" i="29"/>
  <c r="G672" i="29"/>
  <c r="N672" i="29"/>
  <c r="P672" i="29"/>
  <c r="Q672" i="29"/>
  <c r="S672" i="29"/>
  <c r="F673" i="29"/>
  <c r="G673" i="29"/>
  <c r="N673" i="29"/>
  <c r="P673" i="29"/>
  <c r="Q673" i="29"/>
  <c r="F674" i="29"/>
  <c r="G674" i="29"/>
  <c r="W674" i="29"/>
  <c r="U674" i="29"/>
  <c r="N674" i="29"/>
  <c r="P674" i="29"/>
  <c r="Q674" i="29"/>
  <c r="F675" i="29"/>
  <c r="G675" i="29"/>
  <c r="N675" i="29"/>
  <c r="P675" i="29"/>
  <c r="Q675" i="29"/>
  <c r="F676" i="29"/>
  <c r="G676" i="29"/>
  <c r="J676" i="29"/>
  <c r="N676" i="29"/>
  <c r="P676" i="29"/>
  <c r="Q676" i="29"/>
  <c r="T676" i="29"/>
  <c r="S676" i="29"/>
  <c r="F677" i="29"/>
  <c r="G677" i="29"/>
  <c r="N677" i="29"/>
  <c r="P677" i="29"/>
  <c r="Q677" i="29"/>
  <c r="S677" i="29"/>
  <c r="F678" i="29"/>
  <c r="G678" i="29"/>
  <c r="N678" i="29"/>
  <c r="P678" i="29"/>
  <c r="Q678" i="29"/>
  <c r="T678" i="29"/>
  <c r="S678" i="29"/>
  <c r="F679" i="29"/>
  <c r="G679" i="29"/>
  <c r="N679" i="29"/>
  <c r="P679" i="29"/>
  <c r="Q679" i="29"/>
  <c r="S679" i="29"/>
  <c r="F680" i="29"/>
  <c r="G680" i="29"/>
  <c r="N680" i="29"/>
  <c r="P680" i="29"/>
  <c r="Q680" i="29"/>
  <c r="F681" i="29"/>
  <c r="G681" i="29"/>
  <c r="N681" i="29"/>
  <c r="P681" i="29"/>
  <c r="Q681" i="29"/>
  <c r="F682" i="29"/>
  <c r="G682" i="29"/>
  <c r="N682" i="29"/>
  <c r="P682" i="29"/>
  <c r="Q682" i="29"/>
  <c r="F683" i="29"/>
  <c r="G683" i="29"/>
  <c r="N683" i="29"/>
  <c r="P683" i="29"/>
  <c r="Q683" i="29"/>
  <c r="S683" i="29"/>
  <c r="F684" i="29"/>
  <c r="G684" i="29"/>
  <c r="W684" i="29"/>
  <c r="U684" i="29"/>
  <c r="N684" i="29"/>
  <c r="P684" i="29"/>
  <c r="Q684" i="29"/>
  <c r="F685" i="29"/>
  <c r="G685" i="29"/>
  <c r="N685" i="29"/>
  <c r="P685" i="29"/>
  <c r="Q685" i="29"/>
  <c r="F686" i="29"/>
  <c r="G686" i="29"/>
  <c r="P686" i="29"/>
  <c r="Q686" i="29"/>
  <c r="F687" i="29"/>
  <c r="G687" i="29"/>
  <c r="P687" i="29"/>
  <c r="Q687" i="29"/>
  <c r="F688" i="29"/>
  <c r="G688" i="29"/>
  <c r="P688" i="29"/>
  <c r="Q688" i="29"/>
  <c r="F689" i="29"/>
  <c r="G689" i="29"/>
  <c r="J689" i="29"/>
  <c r="N689" i="29"/>
  <c r="P689" i="29"/>
  <c r="R689" i="29"/>
  <c r="T689" i="29"/>
  <c r="F690" i="29"/>
  <c r="G690" i="29"/>
  <c r="J690" i="29"/>
  <c r="N690" i="29"/>
  <c r="P690" i="29"/>
  <c r="R690" i="29"/>
  <c r="Q690" i="29"/>
  <c r="F691" i="29"/>
  <c r="G691" i="29"/>
  <c r="J691" i="29"/>
  <c r="N691" i="29"/>
  <c r="P691" i="29"/>
  <c r="R691" i="29"/>
  <c r="Q691" i="29"/>
  <c r="F692" i="29"/>
  <c r="G692" i="29"/>
  <c r="N692" i="29"/>
  <c r="P692" i="29"/>
  <c r="Q692" i="29"/>
  <c r="F693" i="29"/>
  <c r="G693" i="29"/>
  <c r="N693" i="29"/>
  <c r="P693" i="29"/>
  <c r="R693" i="29"/>
  <c r="Q693" i="29"/>
  <c r="F694" i="29"/>
  <c r="G694" i="29"/>
  <c r="N694" i="29"/>
  <c r="P694" i="29"/>
  <c r="Q694" i="29"/>
  <c r="F695" i="29"/>
  <c r="G695" i="29"/>
  <c r="J695" i="29"/>
  <c r="N695" i="29"/>
  <c r="P695" i="29"/>
  <c r="Q695" i="29"/>
  <c r="F696" i="29"/>
  <c r="G696" i="29"/>
  <c r="J696" i="29"/>
  <c r="N696" i="29"/>
  <c r="P696" i="29"/>
  <c r="Q696" i="29"/>
  <c r="F697" i="29"/>
  <c r="G697" i="29"/>
  <c r="J697" i="29"/>
  <c r="N697" i="29"/>
  <c r="P697" i="29"/>
  <c r="Q697" i="29"/>
  <c r="S697" i="29"/>
  <c r="F698" i="29"/>
  <c r="G698" i="29"/>
  <c r="N698" i="29"/>
  <c r="P698" i="29"/>
  <c r="Q698" i="29"/>
  <c r="T698" i="29"/>
  <c r="N699" i="29"/>
  <c r="P699" i="29"/>
  <c r="Q699" i="29"/>
  <c r="W699" i="29"/>
  <c r="U699" i="29"/>
  <c r="F700" i="29"/>
  <c r="G700" i="29"/>
  <c r="J700" i="29"/>
  <c r="N700" i="29"/>
  <c r="P700" i="29"/>
  <c r="Q700" i="29"/>
  <c r="F701" i="29"/>
  <c r="G701" i="29"/>
  <c r="J701" i="29"/>
  <c r="N701" i="29"/>
  <c r="P701" i="29"/>
  <c r="Q701" i="29"/>
  <c r="F702" i="29"/>
  <c r="G702" i="29"/>
  <c r="N702" i="29"/>
  <c r="P702" i="29"/>
  <c r="Q702" i="29"/>
  <c r="F703" i="29"/>
  <c r="G703" i="29"/>
  <c r="N703" i="29"/>
  <c r="P703" i="29"/>
  <c r="Q703" i="29"/>
  <c r="S703" i="29"/>
  <c r="F704" i="29"/>
  <c r="G704" i="29"/>
  <c r="J704" i="29"/>
  <c r="N704" i="29"/>
  <c r="P704" i="29"/>
  <c r="Q704" i="29"/>
  <c r="T704" i="29"/>
  <c r="F705" i="29"/>
  <c r="G705" i="29"/>
  <c r="J705" i="29"/>
  <c r="N705" i="29"/>
  <c r="P705" i="29"/>
  <c r="Q705" i="29"/>
  <c r="F706" i="29"/>
  <c r="G706" i="29"/>
  <c r="N706" i="29"/>
  <c r="P706" i="29"/>
  <c r="Q706" i="29"/>
  <c r="F707" i="29"/>
  <c r="G707" i="29"/>
  <c r="N707" i="29"/>
  <c r="P707" i="29"/>
  <c r="Q707" i="29"/>
  <c r="F708" i="29"/>
  <c r="G708" i="29"/>
  <c r="N708" i="29"/>
  <c r="P708" i="29"/>
  <c r="Q708" i="29"/>
  <c r="R708" i="29"/>
  <c r="F709" i="29"/>
  <c r="G709" i="29"/>
  <c r="N709" i="29"/>
  <c r="P709" i="29"/>
  <c r="R709" i="29"/>
  <c r="Q709" i="29"/>
  <c r="F710" i="29"/>
  <c r="G710" i="29"/>
  <c r="N710" i="29"/>
  <c r="P710" i="29"/>
  <c r="Q710" i="29"/>
  <c r="T710" i="29"/>
  <c r="F711" i="29"/>
  <c r="G711" i="29"/>
  <c r="N711" i="29"/>
  <c r="P711" i="29"/>
  <c r="Q711" i="29"/>
  <c r="F712" i="29"/>
  <c r="G712" i="29"/>
  <c r="N712" i="29"/>
  <c r="P712" i="29"/>
  <c r="Q712" i="29"/>
  <c r="T712" i="29"/>
  <c r="F713" i="29"/>
  <c r="G713" i="29"/>
  <c r="N713" i="29"/>
  <c r="P713" i="29"/>
  <c r="R713" i="29"/>
  <c r="Q713" i="29"/>
  <c r="F714" i="29"/>
  <c r="G714" i="29"/>
  <c r="N714" i="29"/>
  <c r="P714" i="29"/>
  <c r="Q714" i="29"/>
  <c r="T714" i="29"/>
  <c r="S714" i="29"/>
  <c r="F715" i="29"/>
  <c r="G715" i="29"/>
  <c r="J715" i="29"/>
  <c r="N715" i="29"/>
  <c r="P715" i="29"/>
  <c r="Q715" i="29"/>
  <c r="F716" i="29"/>
  <c r="G716" i="29"/>
  <c r="J716" i="29"/>
  <c r="N716" i="29"/>
  <c r="P716" i="29"/>
  <c r="R716" i="29"/>
  <c r="Q716" i="29"/>
  <c r="F717" i="29"/>
  <c r="G717" i="29"/>
  <c r="J717" i="29"/>
  <c r="N717" i="29"/>
  <c r="P717" i="29"/>
  <c r="R717" i="29"/>
  <c r="Q717" i="29"/>
  <c r="F718" i="29"/>
  <c r="G718" i="29"/>
  <c r="J718" i="29"/>
  <c r="N718" i="29"/>
  <c r="P718" i="29"/>
  <c r="R718" i="29"/>
  <c r="Q718" i="29"/>
  <c r="F719" i="29"/>
  <c r="G719" i="29"/>
  <c r="N719" i="29"/>
  <c r="P719" i="29"/>
  <c r="Q719" i="29"/>
  <c r="F720" i="29"/>
  <c r="G720" i="29"/>
  <c r="N720" i="29"/>
  <c r="P720" i="29"/>
  <c r="Q720" i="29"/>
  <c r="F721" i="29"/>
  <c r="G721" i="29"/>
  <c r="J721" i="29"/>
  <c r="N721" i="29"/>
  <c r="P721" i="29"/>
  <c r="Q721" i="29"/>
  <c r="F722" i="29"/>
  <c r="G722" i="29"/>
  <c r="N722" i="29"/>
  <c r="P722" i="29"/>
  <c r="Q722" i="29"/>
  <c r="F723" i="29"/>
  <c r="G723" i="29"/>
  <c r="N723" i="29"/>
  <c r="P723" i="29"/>
  <c r="Q723" i="29"/>
  <c r="T723" i="29"/>
  <c r="S723" i="29"/>
  <c r="F724" i="29"/>
  <c r="G724" i="29"/>
  <c r="N724" i="29"/>
  <c r="P724" i="29"/>
  <c r="Q724" i="29"/>
  <c r="T724" i="29"/>
  <c r="S724" i="29"/>
  <c r="F725" i="29"/>
  <c r="G725" i="29"/>
  <c r="J725" i="29"/>
  <c r="N725" i="29"/>
  <c r="P725" i="29"/>
  <c r="Q725" i="29"/>
  <c r="S725" i="29"/>
  <c r="F726" i="29"/>
  <c r="G726" i="29"/>
  <c r="N726" i="29"/>
  <c r="P726" i="29"/>
  <c r="Q726" i="29"/>
  <c r="F727" i="29"/>
  <c r="G727" i="29"/>
  <c r="N727" i="29"/>
  <c r="P727" i="29"/>
  <c r="Q727" i="29"/>
  <c r="F728" i="29"/>
  <c r="G728" i="29"/>
  <c r="N728" i="29"/>
  <c r="P728" i="29"/>
  <c r="Q728" i="29"/>
  <c r="F729" i="29"/>
  <c r="G729" i="29"/>
  <c r="J729" i="29"/>
  <c r="N729" i="29"/>
  <c r="P729" i="29"/>
  <c r="Q729" i="29"/>
  <c r="T729" i="29"/>
  <c r="S729" i="29"/>
  <c r="N730" i="29"/>
  <c r="F731" i="29"/>
  <c r="G731" i="29"/>
  <c r="N731" i="29"/>
  <c r="P731" i="29"/>
  <c r="Q731" i="29"/>
  <c r="F732" i="29"/>
  <c r="G732" i="29"/>
  <c r="N732" i="29"/>
  <c r="P732" i="29"/>
  <c r="Q732" i="29"/>
  <c r="F733" i="29"/>
  <c r="G733" i="29"/>
  <c r="N733" i="29"/>
  <c r="P733" i="29"/>
  <c r="Q733" i="29"/>
  <c r="F734" i="29"/>
  <c r="G734" i="29"/>
  <c r="N734" i="29"/>
  <c r="P734" i="29"/>
  <c r="Q734" i="29"/>
  <c r="F735" i="29"/>
  <c r="G735" i="29"/>
  <c r="N735" i="29"/>
  <c r="P735" i="29"/>
  <c r="Q735" i="29"/>
  <c r="F736" i="29"/>
  <c r="G736" i="29"/>
  <c r="N736" i="29"/>
  <c r="P736" i="29"/>
  <c r="Q736" i="29"/>
  <c r="F737" i="29"/>
  <c r="G737" i="29"/>
  <c r="N737" i="29"/>
  <c r="P737" i="29"/>
  <c r="Q737" i="29"/>
  <c r="F738" i="29"/>
  <c r="G738" i="29"/>
  <c r="N738" i="29"/>
  <c r="P738" i="29"/>
  <c r="Q738" i="29"/>
  <c r="T738" i="29"/>
  <c r="F739" i="29"/>
  <c r="G739" i="29"/>
  <c r="N739" i="29"/>
  <c r="P739" i="29"/>
  <c r="Q739" i="29"/>
  <c r="S739" i="29"/>
  <c r="F740" i="29"/>
  <c r="G740" i="29"/>
  <c r="J740" i="29"/>
  <c r="N740" i="29"/>
  <c r="P740" i="29"/>
  <c r="Q740" i="29"/>
  <c r="F741" i="29"/>
  <c r="G741" i="29"/>
  <c r="N741" i="29"/>
  <c r="P741" i="29"/>
  <c r="Q741" i="29"/>
  <c r="F742" i="29"/>
  <c r="G742" i="29"/>
  <c r="J742" i="29"/>
  <c r="N742" i="29"/>
  <c r="P742" i="29"/>
  <c r="Q742" i="29"/>
  <c r="T742" i="29"/>
  <c r="F743" i="29"/>
  <c r="G743" i="29"/>
  <c r="J743" i="29"/>
  <c r="N743" i="29"/>
  <c r="P743" i="29"/>
  <c r="Q743" i="29"/>
  <c r="S743" i="29"/>
  <c r="F744" i="29"/>
  <c r="G744" i="29"/>
  <c r="J744" i="29"/>
  <c r="N744" i="29"/>
  <c r="P744" i="29"/>
  <c r="Q744" i="29"/>
  <c r="T744" i="29"/>
  <c r="F745" i="29"/>
  <c r="G745" i="29"/>
  <c r="N745" i="29"/>
  <c r="P745" i="29"/>
  <c r="Q745" i="29"/>
  <c r="F746" i="29"/>
  <c r="G746" i="29"/>
  <c r="N746" i="29"/>
  <c r="P746" i="29"/>
  <c r="Q746" i="29"/>
  <c r="T746" i="29"/>
  <c r="F747" i="29"/>
  <c r="G747" i="29"/>
  <c r="N747" i="29"/>
  <c r="P747" i="29"/>
  <c r="Q747" i="29"/>
  <c r="T747" i="29"/>
  <c r="S747" i="29"/>
  <c r="F748" i="29"/>
  <c r="G748" i="29"/>
  <c r="N748" i="29"/>
  <c r="P748" i="29"/>
  <c r="Q748" i="29"/>
  <c r="T748" i="29"/>
  <c r="S748" i="29"/>
  <c r="F749" i="29"/>
  <c r="G749" i="29"/>
  <c r="N749" i="29"/>
  <c r="P749" i="29"/>
  <c r="Q749" i="29"/>
  <c r="F750" i="29"/>
  <c r="G750" i="29"/>
  <c r="J750" i="29"/>
  <c r="N750" i="29"/>
  <c r="Q750" i="29"/>
  <c r="R750" i="29"/>
  <c r="F751" i="29"/>
  <c r="G751" i="29"/>
  <c r="J751" i="29"/>
  <c r="N751" i="29"/>
  <c r="Q751" i="29"/>
  <c r="R751" i="29"/>
  <c r="F752" i="29"/>
  <c r="G752" i="29"/>
  <c r="J752" i="29"/>
  <c r="N752" i="29"/>
  <c r="P752" i="29"/>
  <c r="Q752" i="29"/>
  <c r="T752" i="29"/>
  <c r="S752" i="29"/>
  <c r="F753" i="29"/>
  <c r="G753" i="29"/>
  <c r="N753" i="29"/>
  <c r="P753" i="29"/>
  <c r="Q753" i="29"/>
  <c r="T753" i="29"/>
  <c r="S753" i="29"/>
  <c r="F754" i="29"/>
  <c r="G754" i="29"/>
  <c r="N754" i="29"/>
  <c r="P754" i="29"/>
  <c r="Q754" i="29"/>
  <c r="N755" i="29"/>
  <c r="P755" i="29"/>
  <c r="Q755" i="29"/>
  <c r="F756" i="29"/>
  <c r="G756" i="29"/>
  <c r="N756" i="29"/>
  <c r="P756" i="29"/>
  <c r="Q756" i="29"/>
  <c r="T756" i="29"/>
  <c r="S756" i="29"/>
  <c r="F757" i="29"/>
  <c r="G757" i="29"/>
  <c r="N757" i="29"/>
  <c r="P757" i="29"/>
  <c r="Q757" i="29"/>
  <c r="T757" i="29"/>
  <c r="S757" i="29"/>
  <c r="F758" i="29"/>
  <c r="G758" i="29"/>
  <c r="N758" i="29"/>
  <c r="P758" i="29"/>
  <c r="Q758" i="29"/>
  <c r="F759" i="29"/>
  <c r="G759" i="29"/>
  <c r="J759" i="29"/>
  <c r="N759" i="29"/>
  <c r="P759" i="29"/>
  <c r="Q759" i="29"/>
  <c r="F760" i="29"/>
  <c r="G760" i="29"/>
  <c r="J760" i="29"/>
  <c r="N760" i="29"/>
  <c r="P760" i="29"/>
  <c r="Q760" i="29"/>
  <c r="F761" i="29"/>
  <c r="G761" i="29"/>
  <c r="J761" i="29"/>
  <c r="N761" i="29"/>
  <c r="P761" i="29"/>
  <c r="R761" i="29"/>
  <c r="Q761" i="29"/>
  <c r="F762" i="29"/>
  <c r="G762" i="29"/>
  <c r="J762" i="29"/>
  <c r="N762" i="29"/>
  <c r="P762" i="29"/>
  <c r="R762" i="29"/>
  <c r="Q762" i="29"/>
  <c r="F763" i="29"/>
  <c r="G763" i="29"/>
  <c r="J763" i="29"/>
  <c r="N763" i="29"/>
  <c r="P763" i="29"/>
  <c r="R763" i="29"/>
  <c r="Q763" i="29"/>
  <c r="F764" i="29"/>
  <c r="G764" i="29"/>
  <c r="N764" i="29"/>
  <c r="P764" i="29"/>
  <c r="Q764" i="29"/>
  <c r="F765" i="29"/>
  <c r="G765" i="29"/>
  <c r="J765" i="29"/>
  <c r="N765" i="29"/>
  <c r="P765" i="29"/>
  <c r="Q765" i="29"/>
  <c r="F766" i="29"/>
  <c r="G766" i="29"/>
  <c r="N766" i="29"/>
  <c r="P766" i="29"/>
  <c r="Q766" i="29"/>
  <c r="F767" i="29"/>
  <c r="G767" i="29"/>
  <c r="J767" i="29"/>
  <c r="N767" i="29"/>
  <c r="P767" i="29"/>
  <c r="Q767" i="29"/>
  <c r="T767" i="29"/>
  <c r="S767" i="29"/>
  <c r="F768" i="29"/>
  <c r="G768" i="29"/>
  <c r="N768" i="29"/>
  <c r="P768" i="29"/>
  <c r="Q768" i="29"/>
  <c r="F769" i="29"/>
  <c r="G769" i="29"/>
  <c r="N769" i="29"/>
  <c r="P769" i="29"/>
  <c r="Q769" i="29"/>
  <c r="F770" i="29"/>
  <c r="G770" i="29"/>
  <c r="N770" i="29"/>
  <c r="P770" i="29"/>
  <c r="Q770" i="29"/>
  <c r="F771" i="29"/>
  <c r="G771" i="29"/>
  <c r="N771" i="29"/>
  <c r="P771" i="29"/>
  <c r="Q771" i="29"/>
  <c r="F772" i="29"/>
  <c r="G772" i="29"/>
  <c r="N772" i="29"/>
  <c r="P772" i="29"/>
  <c r="Q772" i="29"/>
  <c r="T772" i="29"/>
  <c r="F773" i="29"/>
  <c r="G773" i="29"/>
  <c r="N773" i="29"/>
  <c r="P773" i="29"/>
  <c r="Q773" i="29"/>
  <c r="T773" i="29"/>
  <c r="F774" i="29"/>
  <c r="G774" i="29"/>
  <c r="N774" i="29"/>
  <c r="P774" i="29"/>
  <c r="Q774" i="29"/>
  <c r="T774" i="29"/>
  <c r="S774" i="29"/>
  <c r="F775" i="29"/>
  <c r="G775" i="29"/>
  <c r="N775" i="29"/>
  <c r="P775" i="29"/>
  <c r="Q775" i="29"/>
  <c r="F776" i="29"/>
  <c r="G776" i="29"/>
  <c r="N776" i="29"/>
  <c r="P776" i="29"/>
  <c r="Q776" i="29"/>
  <c r="F777" i="29"/>
  <c r="G777" i="29"/>
  <c r="N777" i="29"/>
  <c r="P777" i="29"/>
  <c r="Q777" i="29"/>
  <c r="F778" i="29"/>
  <c r="G778" i="29"/>
  <c r="N778" i="29"/>
  <c r="P778" i="29"/>
  <c r="Q778" i="29"/>
  <c r="S778" i="29"/>
  <c r="F779" i="29"/>
  <c r="G779" i="29"/>
  <c r="N779" i="29"/>
  <c r="Q779" i="29"/>
  <c r="F780" i="29"/>
  <c r="G780" i="29"/>
  <c r="N780" i="29"/>
  <c r="P780" i="29"/>
  <c r="Q780" i="29"/>
  <c r="T780" i="29"/>
  <c r="S780" i="29"/>
  <c r="F781" i="29"/>
  <c r="G781" i="29"/>
  <c r="N781" i="29"/>
  <c r="P781" i="29"/>
  <c r="Q781" i="29"/>
  <c r="T781" i="29"/>
  <c r="S781" i="29"/>
  <c r="F782" i="29"/>
  <c r="G782" i="29"/>
  <c r="N782" i="29"/>
  <c r="P782" i="29"/>
  <c r="Q782" i="29"/>
  <c r="F783" i="29"/>
  <c r="G783" i="29"/>
  <c r="N783" i="29"/>
  <c r="P783" i="29"/>
  <c r="Q783" i="29"/>
  <c r="T783" i="29"/>
  <c r="S783" i="29"/>
  <c r="F784" i="29"/>
  <c r="G784" i="29"/>
  <c r="J784" i="29"/>
  <c r="N784" i="29"/>
  <c r="P784" i="29"/>
  <c r="Q784" i="29"/>
  <c r="F785" i="29"/>
  <c r="G785" i="29"/>
  <c r="N785" i="29"/>
  <c r="P785" i="29"/>
  <c r="Q785" i="29"/>
  <c r="F786" i="29"/>
  <c r="G786" i="29"/>
  <c r="J786" i="29"/>
  <c r="N786" i="29"/>
  <c r="P786" i="29"/>
  <c r="Q786" i="29"/>
  <c r="S786" i="29"/>
  <c r="F787" i="29"/>
  <c r="G787" i="29"/>
  <c r="J787" i="29"/>
  <c r="N787" i="29"/>
  <c r="P787" i="29"/>
  <c r="Q787" i="29"/>
  <c r="F788" i="29"/>
  <c r="G788" i="29"/>
  <c r="N788" i="29"/>
  <c r="P788" i="29"/>
  <c r="Q788" i="29"/>
  <c r="F789" i="29"/>
  <c r="G789" i="29"/>
  <c r="N789" i="29"/>
  <c r="P789" i="29"/>
  <c r="Q789" i="29"/>
  <c r="F790" i="29"/>
  <c r="G790" i="29"/>
  <c r="N790" i="29"/>
  <c r="P790" i="29"/>
  <c r="Q790" i="29"/>
  <c r="F791" i="29"/>
  <c r="G791" i="29"/>
  <c r="N791" i="29"/>
  <c r="P791" i="29"/>
  <c r="Q791" i="29"/>
  <c r="T791" i="29"/>
  <c r="F792" i="29"/>
  <c r="G792" i="29"/>
  <c r="N792" i="29"/>
  <c r="P792" i="29"/>
  <c r="Q792" i="29"/>
  <c r="T792" i="29"/>
  <c r="S792" i="29"/>
  <c r="F793" i="29"/>
  <c r="G793" i="29"/>
  <c r="J793" i="29"/>
  <c r="N793" i="29"/>
  <c r="P793" i="29"/>
  <c r="Q793" i="29"/>
  <c r="F794" i="29"/>
  <c r="G794" i="29"/>
  <c r="N794" i="29"/>
  <c r="P794" i="29"/>
  <c r="Q794" i="29"/>
  <c r="S794" i="29"/>
  <c r="F795" i="29"/>
  <c r="G795" i="29"/>
  <c r="J795" i="29"/>
  <c r="N795" i="29"/>
  <c r="P795" i="29"/>
  <c r="Q795" i="29"/>
  <c r="T795" i="29"/>
  <c r="S795" i="29"/>
  <c r="F796" i="29"/>
  <c r="G796" i="29"/>
  <c r="J796" i="29"/>
  <c r="N796" i="29"/>
  <c r="P796" i="29"/>
  <c r="Q796" i="29"/>
  <c r="T796" i="29"/>
  <c r="F797" i="29"/>
  <c r="G797" i="29"/>
  <c r="J797" i="29"/>
  <c r="N797" i="29"/>
  <c r="Q797" i="29"/>
  <c r="R797" i="29"/>
  <c r="F798" i="29"/>
  <c r="G798" i="29"/>
  <c r="N798" i="29"/>
  <c r="P798" i="29"/>
  <c r="Q798" i="29"/>
  <c r="T798" i="29"/>
  <c r="S798" i="29"/>
  <c r="F799" i="29"/>
  <c r="G799" i="29"/>
  <c r="N799" i="29"/>
  <c r="P799" i="29"/>
  <c r="Q799" i="29"/>
  <c r="T799" i="29"/>
  <c r="S799" i="29"/>
  <c r="F800" i="29"/>
  <c r="G800" i="29"/>
  <c r="N800" i="29"/>
  <c r="P800" i="29"/>
  <c r="Q800" i="29"/>
  <c r="F801" i="29"/>
  <c r="G801" i="29"/>
  <c r="N801" i="29"/>
  <c r="P801" i="29"/>
  <c r="Q801" i="29"/>
  <c r="F802" i="29"/>
  <c r="G802" i="29"/>
  <c r="N802" i="29"/>
  <c r="P802" i="29"/>
  <c r="Q802" i="29"/>
  <c r="F803" i="29"/>
  <c r="G803" i="29"/>
  <c r="N803" i="29"/>
  <c r="P803" i="29"/>
  <c r="Q803" i="29"/>
  <c r="S803" i="29"/>
  <c r="E804" i="29"/>
  <c r="F804" i="29"/>
  <c r="N804" i="29"/>
  <c r="P804" i="29"/>
  <c r="Q804" i="29"/>
  <c r="F805" i="29"/>
  <c r="G805" i="29"/>
  <c r="N805" i="29"/>
  <c r="P805" i="29"/>
  <c r="Q805" i="29"/>
  <c r="F806" i="29"/>
  <c r="G806" i="29"/>
  <c r="N806" i="29"/>
  <c r="P806" i="29"/>
  <c r="Q806" i="29"/>
  <c r="F807" i="29"/>
  <c r="G807" i="29"/>
  <c r="N807" i="29"/>
  <c r="P807" i="29"/>
  <c r="Q807" i="29"/>
  <c r="T807" i="29"/>
  <c r="F808" i="29"/>
  <c r="G808" i="29"/>
  <c r="N808" i="29"/>
  <c r="P808" i="29"/>
  <c r="Q808" i="29"/>
  <c r="N809" i="29"/>
  <c r="W809" i="29"/>
  <c r="F810" i="29"/>
  <c r="G810" i="29"/>
  <c r="N810" i="29"/>
  <c r="P810" i="29"/>
  <c r="Q810" i="29"/>
  <c r="S810" i="29"/>
  <c r="F811" i="29"/>
  <c r="G811" i="29"/>
  <c r="N811" i="29"/>
  <c r="P811" i="29"/>
  <c r="Q811" i="29"/>
  <c r="F812" i="29"/>
  <c r="G812" i="29"/>
  <c r="N812" i="29"/>
  <c r="P812" i="29"/>
  <c r="Q812" i="29"/>
  <c r="T812" i="29"/>
  <c r="S812" i="29"/>
  <c r="F813" i="29"/>
  <c r="G813" i="29"/>
  <c r="N813" i="29"/>
  <c r="P813" i="29"/>
  <c r="Q813" i="29"/>
  <c r="T813" i="29"/>
  <c r="F814" i="29"/>
  <c r="G814" i="29"/>
  <c r="N814" i="29"/>
  <c r="P814" i="29"/>
  <c r="Q814" i="29"/>
  <c r="F815" i="29"/>
  <c r="G815" i="29"/>
  <c r="J815" i="29"/>
  <c r="N815" i="29"/>
  <c r="P815" i="29"/>
  <c r="Q815" i="29"/>
  <c r="S815" i="29"/>
  <c r="F816" i="29"/>
  <c r="G816" i="29"/>
  <c r="N816" i="29"/>
  <c r="P816" i="29"/>
  <c r="Q816" i="29"/>
  <c r="T816" i="29"/>
  <c r="S816" i="29"/>
  <c r="F817" i="29"/>
  <c r="G817" i="29"/>
  <c r="N817" i="29"/>
  <c r="P817" i="29"/>
  <c r="Q817" i="29"/>
  <c r="T817" i="29"/>
  <c r="S817" i="29"/>
  <c r="F818" i="29"/>
  <c r="G818" i="29"/>
  <c r="N818" i="29"/>
  <c r="P818" i="29"/>
  <c r="Q818" i="29"/>
  <c r="F819" i="29"/>
  <c r="G819" i="29"/>
  <c r="N819" i="29"/>
  <c r="P819" i="29"/>
  <c r="Q819" i="29"/>
  <c r="T819" i="29"/>
  <c r="S819" i="29"/>
  <c r="F820" i="29"/>
  <c r="G820" i="29"/>
  <c r="N820" i="29"/>
  <c r="P820" i="29"/>
  <c r="Q820" i="29"/>
  <c r="F821" i="29"/>
  <c r="G821" i="29"/>
  <c r="N821" i="29"/>
  <c r="P821" i="29"/>
  <c r="Q821" i="29"/>
  <c r="F822" i="29"/>
  <c r="G822" i="29"/>
  <c r="N822" i="29"/>
  <c r="P822" i="29"/>
  <c r="Q822" i="29"/>
  <c r="F823" i="29"/>
  <c r="G823" i="29"/>
  <c r="N823" i="29"/>
  <c r="P823" i="29"/>
  <c r="Q823" i="29"/>
  <c r="S823" i="29"/>
  <c r="F824" i="29"/>
  <c r="G824" i="29"/>
  <c r="N824" i="29"/>
  <c r="P824" i="29"/>
  <c r="Q824" i="29"/>
  <c r="F825" i="29"/>
  <c r="G825" i="29"/>
  <c r="J825" i="29"/>
  <c r="N825" i="29"/>
  <c r="P825" i="29"/>
  <c r="Q825" i="29"/>
  <c r="S825" i="29"/>
  <c r="F826" i="29"/>
  <c r="G826" i="29"/>
  <c r="N826" i="29"/>
  <c r="P826" i="29"/>
  <c r="Q826" i="29"/>
  <c r="S826" i="29"/>
  <c r="F827" i="29"/>
  <c r="G827" i="29"/>
  <c r="J827" i="29"/>
  <c r="N827" i="29"/>
  <c r="P827" i="29"/>
  <c r="Q827" i="29"/>
  <c r="F828" i="29"/>
  <c r="G828" i="29"/>
  <c r="N828" i="29"/>
  <c r="P828" i="29"/>
  <c r="Q828" i="29"/>
  <c r="F829" i="29"/>
  <c r="G829" i="29"/>
  <c r="N829" i="29"/>
  <c r="P829" i="29"/>
  <c r="Q829" i="29"/>
  <c r="T829" i="29"/>
  <c r="S829" i="29"/>
  <c r="F830" i="29"/>
  <c r="G830" i="29"/>
  <c r="N830" i="29"/>
  <c r="P830" i="29"/>
  <c r="Q830" i="29"/>
  <c r="T830" i="29"/>
  <c r="F831" i="29"/>
  <c r="G831" i="29"/>
  <c r="N831" i="29"/>
  <c r="P831" i="29"/>
  <c r="Q831" i="29"/>
  <c r="F832" i="29"/>
  <c r="G832" i="29"/>
  <c r="N832" i="29"/>
  <c r="P832" i="29"/>
  <c r="Q832" i="29"/>
  <c r="T832" i="29"/>
  <c r="F833" i="29"/>
  <c r="G833" i="29"/>
  <c r="N833" i="29"/>
  <c r="P833" i="29"/>
  <c r="Q833" i="29"/>
  <c r="F834" i="29"/>
  <c r="G834" i="29"/>
  <c r="J834" i="29"/>
  <c r="N834" i="29"/>
  <c r="P834" i="29"/>
  <c r="Q834" i="29"/>
  <c r="F835" i="29"/>
  <c r="G835" i="29"/>
  <c r="N835" i="29"/>
  <c r="P835" i="29"/>
  <c r="Q835" i="29"/>
  <c r="F836" i="29"/>
  <c r="G836" i="29"/>
  <c r="N836" i="29"/>
  <c r="P836" i="29"/>
  <c r="R836" i="29"/>
  <c r="Q836" i="29"/>
  <c r="E837" i="29"/>
  <c r="F837" i="29"/>
  <c r="N837" i="29"/>
  <c r="P837" i="29"/>
  <c r="Q837" i="29"/>
  <c r="F838" i="29"/>
  <c r="G838" i="29"/>
  <c r="N838" i="29"/>
  <c r="P838" i="29"/>
  <c r="Q838" i="29"/>
  <c r="F839" i="29"/>
  <c r="G839" i="29"/>
  <c r="N839" i="29"/>
  <c r="P839" i="29"/>
  <c r="Q839" i="29"/>
  <c r="F840" i="29"/>
  <c r="G840" i="29"/>
  <c r="J840" i="29"/>
  <c r="N840" i="29"/>
  <c r="P840" i="29"/>
  <c r="Q840" i="29"/>
  <c r="S840" i="29"/>
  <c r="F841" i="29"/>
  <c r="G841" i="29"/>
  <c r="N841" i="29"/>
  <c r="P841" i="29"/>
  <c r="Q841" i="29"/>
  <c r="F842" i="29"/>
  <c r="G842" i="29"/>
  <c r="N842" i="29"/>
  <c r="P842" i="29"/>
  <c r="Q842" i="29"/>
  <c r="F843" i="29"/>
  <c r="G843" i="29"/>
  <c r="N843" i="29"/>
  <c r="P843" i="29"/>
  <c r="Q843" i="29"/>
  <c r="F844" i="29"/>
  <c r="G844" i="29"/>
  <c r="N844" i="29"/>
  <c r="P844" i="29"/>
  <c r="Q844" i="29"/>
  <c r="F845" i="29"/>
  <c r="G845" i="29"/>
  <c r="N845" i="29"/>
  <c r="P845" i="29"/>
  <c r="Q845" i="29"/>
  <c r="F846" i="29"/>
  <c r="G846" i="29"/>
  <c r="N846" i="29"/>
  <c r="P846" i="29"/>
  <c r="Q846" i="29"/>
  <c r="F847" i="29"/>
  <c r="G847" i="29"/>
  <c r="N847" i="29"/>
  <c r="P847" i="29"/>
  <c r="Q847" i="29"/>
  <c r="F848" i="29"/>
  <c r="G848" i="29"/>
  <c r="N848" i="29"/>
  <c r="P848" i="29"/>
  <c r="Q848" i="29"/>
  <c r="F849" i="29"/>
  <c r="G849" i="29"/>
  <c r="N849" i="29"/>
  <c r="P849" i="29"/>
  <c r="Q849" i="29"/>
  <c r="S849" i="29"/>
  <c r="F850" i="29"/>
  <c r="G850" i="29"/>
  <c r="N850" i="29"/>
  <c r="P850" i="29"/>
  <c r="Q850" i="29"/>
  <c r="F851" i="29"/>
  <c r="G851" i="29"/>
  <c r="J851" i="29"/>
  <c r="N851" i="29"/>
  <c r="P851" i="29"/>
  <c r="Q851" i="29"/>
  <c r="S851" i="29"/>
  <c r="F852" i="29"/>
  <c r="G852" i="29"/>
  <c r="N852" i="29"/>
  <c r="P852" i="29"/>
  <c r="Q852" i="29"/>
  <c r="F853" i="29"/>
  <c r="G853" i="29"/>
  <c r="N853" i="29"/>
  <c r="P853" i="29"/>
  <c r="Q853" i="29"/>
  <c r="F854" i="29"/>
  <c r="G854" i="29"/>
  <c r="N854" i="29"/>
  <c r="P854" i="29"/>
  <c r="Q854" i="29"/>
  <c r="S854" i="29"/>
  <c r="F855" i="29"/>
  <c r="G855" i="29"/>
  <c r="J855" i="29"/>
  <c r="N855" i="29"/>
  <c r="P855" i="29"/>
  <c r="Q855" i="29"/>
  <c r="F856" i="29"/>
  <c r="G856" i="29"/>
  <c r="N856" i="29"/>
  <c r="P856" i="29"/>
  <c r="Q856" i="29"/>
  <c r="F857" i="29"/>
  <c r="G857" i="29"/>
  <c r="N857" i="29"/>
  <c r="P857" i="29"/>
  <c r="Q857" i="29"/>
  <c r="F858" i="29"/>
  <c r="G858" i="29"/>
  <c r="N858" i="29"/>
  <c r="P858" i="29"/>
  <c r="Q858" i="29"/>
  <c r="F859" i="29"/>
  <c r="G859" i="29"/>
  <c r="N859" i="29"/>
  <c r="P859" i="29"/>
  <c r="Q859" i="29"/>
  <c r="T859" i="29"/>
  <c r="F860" i="29"/>
  <c r="G860" i="29"/>
  <c r="N860" i="29"/>
  <c r="P860" i="29"/>
  <c r="Q860" i="29"/>
  <c r="S860" i="29"/>
  <c r="F861" i="29"/>
  <c r="G861" i="29"/>
  <c r="N861" i="29"/>
  <c r="P861" i="29"/>
  <c r="Q861" i="29"/>
  <c r="F862" i="29"/>
  <c r="G862" i="29"/>
  <c r="N862" i="29"/>
  <c r="P862" i="29"/>
  <c r="Q862" i="29"/>
  <c r="F863" i="29"/>
  <c r="G863" i="29"/>
  <c r="N863" i="29"/>
  <c r="P863" i="29"/>
  <c r="Q863" i="29"/>
  <c r="F864" i="29"/>
  <c r="G864" i="29"/>
  <c r="N864" i="29"/>
  <c r="P864" i="29"/>
  <c r="Q864" i="29"/>
  <c r="R864" i="29"/>
  <c r="F865" i="29"/>
  <c r="G865" i="29"/>
  <c r="N865" i="29"/>
  <c r="P865" i="29"/>
  <c r="Q865" i="29"/>
  <c r="F866" i="29"/>
  <c r="G866" i="29"/>
  <c r="N866" i="29"/>
  <c r="P866" i="29"/>
  <c r="Q866" i="29"/>
  <c r="F867" i="29"/>
  <c r="G867" i="29"/>
  <c r="J867" i="29"/>
  <c r="N867" i="29"/>
  <c r="P867" i="29"/>
  <c r="R867" i="29"/>
  <c r="Q867" i="29"/>
  <c r="F868" i="29"/>
  <c r="G868" i="29"/>
  <c r="J868" i="29"/>
  <c r="N868" i="29"/>
  <c r="P868" i="29"/>
  <c r="R868" i="29"/>
  <c r="Q868" i="29"/>
  <c r="F869" i="29"/>
  <c r="G869" i="29"/>
  <c r="J869" i="29"/>
  <c r="N869" i="29"/>
  <c r="P869" i="29"/>
  <c r="R869" i="29"/>
  <c r="Q869" i="29"/>
  <c r="F870" i="29"/>
  <c r="G870" i="29"/>
  <c r="N870" i="29"/>
  <c r="P870" i="29"/>
  <c r="Q870" i="29"/>
  <c r="F871" i="29"/>
  <c r="G871" i="29"/>
  <c r="N871" i="29"/>
  <c r="P871" i="29"/>
  <c r="Q871" i="29"/>
  <c r="F872" i="29"/>
  <c r="G872" i="29"/>
  <c r="N872" i="29"/>
  <c r="P872" i="29"/>
  <c r="Q872" i="29"/>
  <c r="F873" i="29"/>
  <c r="G873" i="29"/>
  <c r="N873" i="29"/>
  <c r="P873" i="29"/>
  <c r="Q873" i="29"/>
  <c r="F874" i="29"/>
  <c r="G874" i="29"/>
  <c r="J874" i="29"/>
  <c r="N874" i="29"/>
  <c r="P874" i="29"/>
  <c r="Q874" i="29"/>
  <c r="T874" i="29"/>
  <c r="S874" i="29"/>
  <c r="F875" i="29"/>
  <c r="G875" i="29"/>
  <c r="J875" i="29"/>
  <c r="N875" i="29"/>
  <c r="P875" i="29"/>
  <c r="Q875" i="29"/>
  <c r="F876" i="29"/>
  <c r="G876" i="29"/>
  <c r="N876" i="29"/>
  <c r="P876" i="29"/>
  <c r="S876" i="29"/>
  <c r="T876" i="29"/>
  <c r="F877" i="29"/>
  <c r="G877" i="29"/>
  <c r="N877" i="29"/>
  <c r="P877" i="29"/>
  <c r="Q877" i="29"/>
  <c r="F878" i="29"/>
  <c r="G878" i="29"/>
  <c r="N878" i="29"/>
  <c r="P878" i="29"/>
  <c r="Q878" i="29"/>
  <c r="S878" i="29"/>
  <c r="F879" i="29"/>
  <c r="G879" i="29"/>
  <c r="N879" i="29"/>
  <c r="P879" i="29"/>
  <c r="Q879" i="29"/>
  <c r="T879" i="29"/>
  <c r="F880" i="29"/>
  <c r="G880" i="29"/>
  <c r="N880" i="29"/>
  <c r="P880" i="29"/>
  <c r="Q880" i="29"/>
  <c r="T880" i="29"/>
  <c r="F881" i="29"/>
  <c r="G881" i="29"/>
  <c r="J881" i="29"/>
  <c r="N881" i="29"/>
  <c r="P881" i="29"/>
  <c r="Q881" i="29"/>
  <c r="F882" i="29"/>
  <c r="G882" i="29"/>
  <c r="J882" i="29"/>
  <c r="N882" i="29"/>
  <c r="P882" i="29"/>
  <c r="Q882" i="29"/>
  <c r="T882" i="29"/>
  <c r="F883" i="29"/>
  <c r="G883" i="29"/>
  <c r="J883" i="29"/>
  <c r="N883" i="29"/>
  <c r="P883" i="29"/>
  <c r="Q883" i="29"/>
  <c r="N884" i="29"/>
  <c r="W884" i="29"/>
  <c r="F885" i="29"/>
  <c r="G885" i="29"/>
  <c r="N885" i="29"/>
  <c r="P885" i="29"/>
  <c r="Q885" i="29"/>
  <c r="T885" i="29"/>
  <c r="S885" i="29"/>
  <c r="F886" i="29"/>
  <c r="G886" i="29"/>
  <c r="N886" i="29"/>
  <c r="P886" i="29"/>
  <c r="R886" i="29"/>
  <c r="Q886" i="29"/>
  <c r="F887" i="29"/>
  <c r="G887" i="29"/>
  <c r="N887" i="29"/>
  <c r="P887" i="29"/>
  <c r="Q887" i="29"/>
  <c r="T887" i="29"/>
  <c r="S887" i="29"/>
  <c r="N888" i="29"/>
  <c r="N889" i="29"/>
  <c r="N890" i="29"/>
  <c r="N891" i="29"/>
  <c r="F892" i="29"/>
  <c r="G892" i="29"/>
  <c r="N892" i="29"/>
  <c r="P892" i="29"/>
  <c r="Q892" i="29"/>
  <c r="F893" i="29"/>
  <c r="G893" i="29"/>
  <c r="N893" i="29"/>
  <c r="P893" i="29"/>
  <c r="Q893" i="29"/>
  <c r="F894" i="29"/>
  <c r="G894" i="29"/>
  <c r="N894" i="29"/>
  <c r="P894" i="29"/>
  <c r="Q894" i="29"/>
  <c r="F895" i="29"/>
  <c r="G895" i="29"/>
  <c r="J895" i="29"/>
  <c r="N895" i="29"/>
  <c r="P895" i="29"/>
  <c r="Q895" i="29"/>
  <c r="S895" i="29"/>
  <c r="F896" i="29"/>
  <c r="G896" i="29"/>
  <c r="J896" i="29"/>
  <c r="N896" i="29"/>
  <c r="P896" i="29"/>
  <c r="Q896" i="29"/>
  <c r="F897" i="29"/>
  <c r="G897" i="29"/>
  <c r="J897" i="29"/>
  <c r="N897" i="29"/>
  <c r="P897" i="29"/>
  <c r="Q897" i="29"/>
  <c r="F898" i="29"/>
  <c r="G898" i="29"/>
  <c r="N898" i="29"/>
  <c r="P898" i="29"/>
  <c r="Q898" i="29"/>
  <c r="T898" i="29"/>
  <c r="F899" i="29"/>
  <c r="G899" i="29"/>
  <c r="N899" i="29"/>
  <c r="P899" i="29"/>
  <c r="Q899" i="29"/>
  <c r="S899" i="29"/>
  <c r="F900" i="29"/>
  <c r="G900" i="29"/>
  <c r="J900" i="29"/>
  <c r="N900" i="29"/>
  <c r="P900" i="29"/>
  <c r="Q900" i="29"/>
  <c r="F901" i="29"/>
  <c r="G901" i="29"/>
  <c r="N901" i="29"/>
  <c r="P901" i="29"/>
  <c r="Q901" i="29"/>
  <c r="F902" i="29"/>
  <c r="G902" i="29"/>
  <c r="N902" i="29"/>
  <c r="P902" i="29"/>
  <c r="Q902" i="29"/>
  <c r="T902" i="29"/>
  <c r="F903" i="29"/>
  <c r="G903" i="29"/>
  <c r="N903" i="29"/>
  <c r="P903" i="29"/>
  <c r="Q903" i="29"/>
  <c r="F904" i="29"/>
  <c r="G904" i="29"/>
  <c r="N904" i="29"/>
  <c r="P904" i="29"/>
  <c r="Q904" i="29"/>
  <c r="T904" i="29"/>
  <c r="S904" i="29"/>
  <c r="F905" i="29"/>
  <c r="G905" i="29"/>
  <c r="N905" i="29"/>
  <c r="P905" i="29"/>
  <c r="Q905" i="29"/>
  <c r="F906" i="29"/>
  <c r="G906" i="29"/>
  <c r="N906" i="29"/>
  <c r="P906" i="29"/>
  <c r="Q906" i="29"/>
  <c r="F907" i="29"/>
  <c r="G907" i="29"/>
  <c r="N907" i="29"/>
  <c r="P907" i="29"/>
  <c r="Q907" i="29"/>
  <c r="F908" i="29"/>
  <c r="G908" i="29"/>
  <c r="N908" i="29"/>
  <c r="P908" i="29"/>
  <c r="Q908" i="29"/>
  <c r="S908" i="29"/>
  <c r="F909" i="29"/>
  <c r="G909" i="29"/>
  <c r="N909" i="29"/>
  <c r="P909" i="29"/>
  <c r="Q909" i="29"/>
  <c r="T909" i="29"/>
  <c r="S909" i="29"/>
  <c r="F910" i="29"/>
  <c r="G910" i="29"/>
  <c r="J910" i="29"/>
  <c r="N910" i="29"/>
  <c r="P910" i="29"/>
  <c r="Q910" i="29"/>
  <c r="F911" i="29"/>
  <c r="G911" i="29"/>
  <c r="N911" i="29"/>
  <c r="P911" i="29"/>
  <c r="Q911" i="29"/>
  <c r="F912" i="29"/>
  <c r="G912" i="29"/>
  <c r="J912" i="29"/>
  <c r="N912" i="29"/>
  <c r="P912" i="29"/>
  <c r="Q912" i="29"/>
  <c r="F913" i="29"/>
  <c r="G913" i="29"/>
  <c r="N913" i="29"/>
  <c r="P913" i="29"/>
  <c r="Q913" i="29"/>
  <c r="F914" i="29"/>
  <c r="G914" i="29"/>
  <c r="N914" i="29"/>
  <c r="P914" i="29"/>
  <c r="Q914" i="29"/>
  <c r="F915" i="29"/>
  <c r="G915" i="29"/>
  <c r="N915" i="29"/>
  <c r="P915" i="29"/>
  <c r="Q915" i="29"/>
  <c r="F916" i="29"/>
  <c r="G916" i="29"/>
  <c r="N916" i="29"/>
  <c r="P916" i="29"/>
  <c r="Q916" i="29"/>
  <c r="T916" i="29"/>
  <c r="S916" i="29"/>
  <c r="F917" i="29"/>
  <c r="G917" i="29"/>
  <c r="N917" i="29"/>
  <c r="P917" i="29"/>
  <c r="Q917" i="29"/>
  <c r="F918" i="29"/>
  <c r="G918" i="29"/>
  <c r="N918" i="29"/>
  <c r="P918" i="29"/>
  <c r="Q918" i="29"/>
  <c r="T918" i="29"/>
  <c r="S918" i="29"/>
  <c r="F919" i="29"/>
  <c r="G919" i="29"/>
  <c r="N919" i="29"/>
  <c r="P919" i="29"/>
  <c r="Q919" i="29"/>
  <c r="T919" i="29"/>
  <c r="S919" i="29"/>
  <c r="F920" i="29"/>
  <c r="G920" i="29"/>
  <c r="N920" i="29"/>
  <c r="P920" i="29"/>
  <c r="Q920" i="29"/>
  <c r="T920" i="29"/>
  <c r="S920" i="29"/>
  <c r="F921" i="29"/>
  <c r="G921" i="29"/>
  <c r="N921" i="29"/>
  <c r="P921" i="29"/>
  <c r="Q921" i="29"/>
  <c r="F922" i="29"/>
  <c r="G922" i="29"/>
  <c r="J922" i="29"/>
  <c r="N922" i="29"/>
  <c r="P922" i="29"/>
  <c r="Q922" i="29"/>
  <c r="T922" i="29"/>
  <c r="S922" i="29"/>
  <c r="F923" i="29"/>
  <c r="G923" i="29"/>
  <c r="N923" i="29"/>
  <c r="P923" i="29"/>
  <c r="Q923" i="29"/>
  <c r="T923" i="29"/>
  <c r="S923" i="29"/>
  <c r="F924" i="29"/>
  <c r="G924" i="29"/>
  <c r="N924" i="29"/>
  <c r="P924" i="29"/>
  <c r="Q924" i="29"/>
  <c r="F925" i="29"/>
  <c r="G925" i="29"/>
  <c r="J925" i="29"/>
  <c r="N925" i="29"/>
  <c r="P925" i="29"/>
  <c r="R925" i="29"/>
  <c r="Q925" i="29"/>
  <c r="F926" i="29"/>
  <c r="G926" i="29"/>
  <c r="N926" i="29"/>
  <c r="P926" i="29"/>
  <c r="S926" i="29"/>
  <c r="T926" i="29"/>
  <c r="F927" i="29"/>
  <c r="G927" i="29"/>
  <c r="J927" i="29"/>
  <c r="N927" i="29"/>
  <c r="P927" i="29"/>
  <c r="Q927" i="29"/>
  <c r="F928" i="29"/>
  <c r="G928" i="29"/>
  <c r="J928" i="29"/>
  <c r="N928" i="29"/>
  <c r="P928" i="29"/>
  <c r="Q928" i="29"/>
  <c r="F929" i="29"/>
  <c r="G929" i="29"/>
  <c r="J929" i="29"/>
  <c r="N929" i="29"/>
  <c r="P929" i="29"/>
  <c r="Q929" i="29"/>
  <c r="T929" i="29"/>
  <c r="F930" i="29"/>
  <c r="G930" i="29"/>
  <c r="N930" i="29"/>
  <c r="P930" i="29"/>
  <c r="Q930" i="29"/>
  <c r="F931" i="29"/>
  <c r="G931" i="29"/>
  <c r="N931" i="29"/>
  <c r="P931" i="29"/>
  <c r="Q931" i="29"/>
  <c r="F932" i="29"/>
  <c r="G932" i="29"/>
  <c r="N932" i="29"/>
  <c r="P932" i="29"/>
  <c r="Q932" i="29"/>
  <c r="T932" i="29"/>
  <c r="F933" i="29"/>
  <c r="G933" i="29"/>
  <c r="N933" i="29"/>
  <c r="P933" i="29"/>
  <c r="Q933" i="29"/>
  <c r="S933" i="29"/>
  <c r="F934" i="29"/>
  <c r="G934" i="29"/>
  <c r="N934" i="29"/>
  <c r="P934" i="29"/>
  <c r="Q934" i="29"/>
  <c r="F935" i="29"/>
  <c r="G935" i="29"/>
  <c r="N935" i="29"/>
  <c r="P935" i="29"/>
  <c r="Q935" i="29"/>
  <c r="T935" i="29"/>
  <c r="S935" i="29"/>
  <c r="F936" i="29"/>
  <c r="G936" i="29"/>
  <c r="N936" i="29"/>
  <c r="P936" i="29"/>
  <c r="Q936" i="29"/>
  <c r="T936" i="29"/>
  <c r="S936" i="29"/>
  <c r="F937" i="29"/>
  <c r="G937" i="29"/>
  <c r="N937" i="29"/>
  <c r="P937" i="29"/>
  <c r="Q937" i="29"/>
  <c r="T937" i="29"/>
  <c r="S937" i="29"/>
  <c r="F938" i="29"/>
  <c r="G938" i="29"/>
  <c r="N938" i="29"/>
  <c r="P938" i="29"/>
  <c r="Q938" i="29"/>
  <c r="F939" i="29"/>
  <c r="G939" i="29"/>
  <c r="J939" i="29"/>
  <c r="N939" i="29"/>
  <c r="P939" i="29"/>
  <c r="Q939" i="29"/>
  <c r="F940" i="29"/>
  <c r="G940" i="29"/>
  <c r="J940" i="29"/>
  <c r="N940" i="29"/>
  <c r="P940" i="29"/>
  <c r="Q940" i="29"/>
  <c r="F941" i="29"/>
  <c r="G941" i="29"/>
  <c r="N941" i="29"/>
  <c r="P941" i="29"/>
  <c r="Q941" i="29"/>
  <c r="S941" i="29"/>
  <c r="F942" i="29"/>
  <c r="G942" i="29"/>
  <c r="J942" i="29"/>
  <c r="N942" i="29"/>
  <c r="P942" i="29"/>
  <c r="Q942" i="29"/>
  <c r="F943" i="29"/>
  <c r="G943" i="29"/>
  <c r="J943" i="29"/>
  <c r="U943" i="29"/>
  <c r="N943" i="29"/>
  <c r="P943" i="29"/>
  <c r="Q943" i="29"/>
  <c r="S943" i="29"/>
  <c r="F944" i="29"/>
  <c r="G944" i="29"/>
  <c r="N944" i="29"/>
  <c r="P944" i="29"/>
  <c r="Q944" i="29"/>
  <c r="F945" i="29"/>
  <c r="G945" i="29"/>
  <c r="N945" i="29"/>
  <c r="P945" i="29"/>
  <c r="Q945" i="29"/>
  <c r="T945" i="29"/>
  <c r="S945" i="29"/>
  <c r="F946" i="29"/>
  <c r="G946" i="29"/>
  <c r="J946" i="29"/>
  <c r="N946" i="29"/>
  <c r="P946" i="29"/>
  <c r="Q946" i="29"/>
  <c r="F947" i="29"/>
  <c r="G947" i="29"/>
  <c r="N947" i="29"/>
  <c r="P947" i="29"/>
  <c r="Q947" i="29"/>
  <c r="T947" i="29"/>
  <c r="F948" i="29"/>
  <c r="G948" i="29"/>
  <c r="J948" i="29"/>
  <c r="N948" i="29"/>
  <c r="P948" i="29"/>
  <c r="Q948" i="29"/>
  <c r="S948" i="29"/>
  <c r="F949" i="29"/>
  <c r="G949" i="29"/>
  <c r="J949" i="29"/>
  <c r="N949" i="29"/>
  <c r="P949" i="29"/>
  <c r="Q949" i="29"/>
  <c r="F950" i="29"/>
  <c r="G950" i="29"/>
  <c r="N950" i="29"/>
  <c r="P950" i="29"/>
  <c r="Q950" i="29"/>
  <c r="F951" i="29"/>
  <c r="G951" i="29"/>
  <c r="N951" i="29"/>
  <c r="P951" i="29"/>
  <c r="Q951" i="29"/>
  <c r="F952" i="29"/>
  <c r="G952" i="29"/>
  <c r="N952" i="29"/>
  <c r="P952" i="29"/>
  <c r="Q952" i="29"/>
  <c r="F953" i="29"/>
  <c r="G953" i="29"/>
  <c r="N953" i="29"/>
  <c r="P953" i="29"/>
  <c r="Q953" i="29"/>
  <c r="F954" i="29"/>
  <c r="G954" i="29"/>
  <c r="N954" i="29"/>
  <c r="P954" i="29"/>
  <c r="Q954" i="29"/>
  <c r="F955" i="29"/>
  <c r="G955" i="29"/>
  <c r="N955" i="29"/>
  <c r="P955" i="29"/>
  <c r="Q955" i="29"/>
  <c r="F956" i="29"/>
  <c r="G956" i="29"/>
  <c r="N956" i="29"/>
  <c r="P956" i="29"/>
  <c r="Q956" i="29"/>
  <c r="F957" i="29"/>
  <c r="G957" i="29"/>
  <c r="N957" i="29"/>
  <c r="P957" i="29"/>
  <c r="Q957" i="29"/>
  <c r="F958" i="29"/>
  <c r="G958" i="29"/>
  <c r="N958" i="29"/>
  <c r="P958" i="29"/>
  <c r="Q958" i="29"/>
  <c r="S958" i="29"/>
  <c r="F959" i="29"/>
  <c r="G959" i="29"/>
  <c r="N959" i="29"/>
  <c r="P959" i="29"/>
  <c r="Q959" i="29"/>
  <c r="F960" i="29"/>
  <c r="G960" i="29"/>
  <c r="J960" i="29"/>
  <c r="N960" i="29"/>
  <c r="P960" i="29"/>
  <c r="Q960" i="29"/>
  <c r="F961" i="29"/>
  <c r="G961" i="29"/>
  <c r="J961" i="29"/>
  <c r="N961" i="29"/>
  <c r="P961" i="29"/>
  <c r="Q961" i="29"/>
  <c r="F962" i="29"/>
  <c r="G962" i="29"/>
  <c r="J962" i="29"/>
  <c r="N962" i="29"/>
  <c r="P962" i="29"/>
  <c r="R962" i="29"/>
  <c r="Q962" i="29"/>
  <c r="F963" i="29"/>
  <c r="G963" i="29"/>
  <c r="N963" i="29"/>
  <c r="P963" i="29"/>
  <c r="Q963" i="29"/>
  <c r="F964" i="29"/>
  <c r="G964" i="29"/>
  <c r="N964" i="29"/>
  <c r="P964" i="29"/>
  <c r="Q964" i="29"/>
  <c r="F965" i="29"/>
  <c r="G965" i="29"/>
  <c r="N965" i="29"/>
  <c r="P965" i="29"/>
  <c r="Q965" i="29"/>
  <c r="F966" i="29"/>
  <c r="G966" i="29"/>
  <c r="N966" i="29"/>
  <c r="P966" i="29"/>
  <c r="Q966" i="29"/>
  <c r="T966" i="29"/>
  <c r="F967" i="29"/>
  <c r="G967" i="29"/>
  <c r="J967" i="29"/>
  <c r="N967" i="29"/>
  <c r="P967" i="29"/>
  <c r="Q967" i="29"/>
  <c r="T967" i="29"/>
  <c r="S967" i="29"/>
  <c r="N968" i="29"/>
  <c r="W968" i="29"/>
  <c r="F969" i="29"/>
  <c r="G969" i="29"/>
  <c r="J969" i="29"/>
  <c r="N969" i="29"/>
  <c r="P969" i="29"/>
  <c r="R969" i="29"/>
  <c r="Q969" i="29"/>
  <c r="F970" i="29"/>
  <c r="G970" i="29"/>
  <c r="J970" i="29"/>
  <c r="N970" i="29"/>
  <c r="P970" i="29"/>
  <c r="R970" i="29"/>
  <c r="Q970" i="29"/>
  <c r="F971" i="29"/>
  <c r="G971" i="29"/>
  <c r="J971" i="29"/>
  <c r="N971" i="29"/>
  <c r="P971" i="29"/>
  <c r="R971" i="29"/>
  <c r="Q971" i="29"/>
  <c r="F972" i="29"/>
  <c r="G972" i="29"/>
  <c r="N972" i="29"/>
  <c r="P972" i="29"/>
  <c r="Q972" i="29"/>
  <c r="F973" i="29"/>
  <c r="G973" i="29"/>
  <c r="N973" i="29"/>
  <c r="P973" i="29"/>
  <c r="Q973" i="29"/>
  <c r="F974" i="29"/>
  <c r="G974" i="29"/>
  <c r="N974" i="29"/>
  <c r="P974" i="29"/>
  <c r="Q974" i="29"/>
  <c r="S974" i="29"/>
  <c r="F975" i="29"/>
  <c r="G975" i="29"/>
  <c r="N975" i="29"/>
  <c r="P975" i="29"/>
  <c r="Q975" i="29"/>
  <c r="F976" i="29"/>
  <c r="G976" i="29"/>
  <c r="N976" i="29"/>
  <c r="P976" i="29"/>
  <c r="Q976" i="29"/>
  <c r="S976" i="29"/>
  <c r="F977" i="29"/>
  <c r="G977" i="29"/>
  <c r="N977" i="29"/>
  <c r="P977" i="29"/>
  <c r="Q977" i="29"/>
  <c r="F978" i="29"/>
  <c r="G978" i="29"/>
  <c r="N978" i="29"/>
  <c r="P978" i="29"/>
  <c r="Q978" i="29"/>
  <c r="S978" i="29"/>
  <c r="F979" i="29"/>
  <c r="G979" i="29"/>
  <c r="N979" i="29"/>
  <c r="P979" i="29"/>
  <c r="Q979" i="29"/>
  <c r="T979" i="29"/>
  <c r="S979" i="29"/>
  <c r="F980" i="29"/>
  <c r="G980" i="29"/>
  <c r="N980" i="29"/>
  <c r="P980" i="29"/>
  <c r="Q980" i="29"/>
  <c r="F981" i="29"/>
  <c r="G981" i="29"/>
  <c r="N981" i="29"/>
  <c r="P981" i="29"/>
  <c r="Q981" i="29"/>
  <c r="F982" i="29"/>
  <c r="G982" i="29"/>
  <c r="N982" i="29"/>
  <c r="P982" i="29"/>
  <c r="Q982" i="29"/>
  <c r="S982" i="29"/>
  <c r="F983" i="29"/>
  <c r="G983" i="29"/>
  <c r="N983" i="29"/>
  <c r="P983" i="29"/>
  <c r="Q983" i="29"/>
  <c r="S983" i="29"/>
  <c r="F984" i="29"/>
  <c r="G984" i="29"/>
  <c r="N984" i="29"/>
  <c r="P984" i="29"/>
  <c r="Q984" i="29"/>
  <c r="F985" i="29"/>
  <c r="G985" i="29"/>
  <c r="J985" i="29"/>
  <c r="N985" i="29"/>
  <c r="P985" i="29"/>
  <c r="Q985" i="29"/>
  <c r="S985" i="29"/>
  <c r="F986" i="29"/>
  <c r="G986" i="29"/>
  <c r="J986" i="29"/>
  <c r="N986" i="29"/>
  <c r="P986" i="29"/>
  <c r="Q986" i="29"/>
  <c r="F987" i="29"/>
  <c r="G987" i="29"/>
  <c r="N987" i="29"/>
  <c r="P987" i="29"/>
  <c r="Q987" i="29"/>
  <c r="F988" i="29"/>
  <c r="G988" i="29"/>
  <c r="N988" i="29"/>
  <c r="P988" i="29"/>
  <c r="Q988" i="29"/>
  <c r="T988" i="29"/>
  <c r="S988" i="29"/>
  <c r="F989" i="29"/>
  <c r="G989" i="29"/>
  <c r="N989" i="29"/>
  <c r="P989" i="29"/>
  <c r="Q989" i="29"/>
  <c r="T989" i="29"/>
  <c r="S989" i="29"/>
  <c r="F990" i="29"/>
  <c r="G990" i="29"/>
  <c r="N990" i="29"/>
  <c r="P990" i="29"/>
  <c r="Q990" i="29"/>
  <c r="T990" i="29"/>
  <c r="S990" i="29"/>
  <c r="F991" i="29"/>
  <c r="G991" i="29"/>
  <c r="N991" i="29"/>
  <c r="P991" i="29"/>
  <c r="Q991" i="29"/>
  <c r="T991" i="29"/>
  <c r="S991" i="29"/>
  <c r="F992" i="29"/>
  <c r="G992" i="29"/>
  <c r="N992" i="29"/>
  <c r="P992" i="29"/>
  <c r="Q992" i="29"/>
  <c r="F993" i="29"/>
  <c r="G993" i="29"/>
  <c r="N993" i="29"/>
  <c r="P993" i="29"/>
  <c r="Q993" i="29"/>
  <c r="T993" i="29"/>
  <c r="S993" i="29"/>
  <c r="F994" i="29"/>
  <c r="G994" i="29"/>
  <c r="N994" i="29"/>
  <c r="P994" i="29"/>
  <c r="Q994" i="29"/>
  <c r="T994" i="29"/>
  <c r="S994" i="29"/>
  <c r="F995" i="29"/>
  <c r="G995" i="29"/>
  <c r="J995" i="29"/>
  <c r="N995" i="29"/>
  <c r="P995" i="29"/>
  <c r="R995" i="29"/>
  <c r="Q995" i="29"/>
  <c r="F996" i="29"/>
  <c r="G996" i="29"/>
  <c r="J996" i="29"/>
  <c r="N996" i="29"/>
  <c r="P996" i="29"/>
  <c r="R996" i="29"/>
  <c r="Q996" i="29"/>
  <c r="F997" i="29"/>
  <c r="G997" i="29"/>
  <c r="J997" i="29"/>
  <c r="N997" i="29"/>
  <c r="P997" i="29"/>
  <c r="R997" i="29"/>
  <c r="Q997" i="29"/>
  <c r="F998" i="29"/>
  <c r="G998" i="29"/>
  <c r="N998" i="29"/>
  <c r="P998" i="29"/>
  <c r="Q998" i="29"/>
  <c r="F999" i="29"/>
  <c r="G999" i="29"/>
  <c r="N999" i="29"/>
  <c r="P999" i="29"/>
  <c r="Q999" i="29"/>
  <c r="F1000" i="29"/>
  <c r="G1000" i="29"/>
  <c r="N1000" i="29"/>
  <c r="P1000" i="29"/>
  <c r="Q1000" i="29"/>
  <c r="T1000" i="29"/>
  <c r="S1000" i="29"/>
  <c r="F1001" i="29"/>
  <c r="G1001" i="29"/>
  <c r="N1001" i="29"/>
  <c r="P1001" i="29"/>
  <c r="Q1001" i="29"/>
  <c r="F1002" i="29"/>
  <c r="G1002" i="29"/>
  <c r="J1002" i="29"/>
  <c r="N1002" i="29"/>
  <c r="P1002" i="29"/>
  <c r="R1002" i="29"/>
  <c r="Q1002" i="29"/>
  <c r="F1003" i="29"/>
  <c r="G1003" i="29"/>
  <c r="J1003" i="29"/>
  <c r="N1003" i="29"/>
  <c r="P1003" i="29"/>
  <c r="R1003" i="29"/>
  <c r="Q1003" i="29"/>
  <c r="F1004" i="29"/>
  <c r="G1004" i="29"/>
  <c r="J1004" i="29"/>
  <c r="N1004" i="29"/>
  <c r="P1004" i="29"/>
  <c r="R1004" i="29"/>
  <c r="Q1004" i="29"/>
  <c r="F1005" i="29"/>
  <c r="G1005" i="29"/>
  <c r="N1005" i="29"/>
  <c r="P1005" i="29"/>
  <c r="Q1005" i="29"/>
  <c r="F1006" i="29"/>
  <c r="G1006" i="29"/>
  <c r="N1006" i="29"/>
  <c r="P1006" i="29"/>
  <c r="Q1006" i="29"/>
  <c r="F1007" i="29"/>
  <c r="G1007" i="29"/>
  <c r="N1007" i="29"/>
  <c r="P1007" i="29"/>
  <c r="Q1007" i="29"/>
  <c r="F1008" i="29"/>
  <c r="G1008" i="29"/>
  <c r="N1008" i="29"/>
  <c r="P1008" i="29"/>
  <c r="Q1008" i="29"/>
  <c r="F1009" i="29"/>
  <c r="G1009" i="29"/>
  <c r="N1009" i="29"/>
  <c r="P1009" i="29"/>
  <c r="Q1009" i="29"/>
  <c r="T1009" i="29"/>
  <c r="F1010" i="29"/>
  <c r="G1010" i="29"/>
  <c r="N1010" i="29"/>
  <c r="P1010" i="29"/>
  <c r="Q1010" i="29"/>
  <c r="S1010" i="29"/>
  <c r="F1011" i="29"/>
  <c r="G1011" i="29"/>
  <c r="N1011" i="29"/>
  <c r="P1011" i="29"/>
  <c r="Q1011" i="29"/>
  <c r="S1011" i="29"/>
  <c r="F1012" i="29"/>
  <c r="G1012" i="29"/>
  <c r="J1012" i="29"/>
  <c r="N1012" i="29"/>
  <c r="P1012" i="29"/>
  <c r="Q1012" i="29"/>
  <c r="F1013" i="29"/>
  <c r="G1013" i="29"/>
  <c r="J1013" i="29"/>
  <c r="N1013" i="29"/>
  <c r="P1013" i="29"/>
  <c r="Q1013" i="29"/>
  <c r="F1014" i="29"/>
  <c r="G1014" i="29"/>
  <c r="J1014" i="29"/>
  <c r="N1014" i="29"/>
  <c r="P1014" i="29"/>
  <c r="Q1014" i="29"/>
  <c r="F1015" i="29"/>
  <c r="G1015" i="29"/>
  <c r="N1015" i="29"/>
  <c r="P1015" i="29"/>
  <c r="Q1015" i="29"/>
  <c r="T1015" i="29"/>
  <c r="S1015" i="29"/>
  <c r="F1016" i="29"/>
  <c r="G1016" i="29"/>
  <c r="N1016" i="29"/>
  <c r="P1016" i="29"/>
  <c r="Q1016" i="29"/>
  <c r="T1016" i="29"/>
  <c r="S1016" i="29"/>
  <c r="F1017" i="29"/>
  <c r="G1017" i="29"/>
  <c r="J1017" i="29"/>
  <c r="N1017" i="29"/>
  <c r="P1017" i="29"/>
  <c r="Q1017" i="29"/>
  <c r="F1018" i="29"/>
  <c r="G1018" i="29"/>
  <c r="N1018" i="29"/>
  <c r="P1018" i="29"/>
  <c r="Q1018" i="29"/>
  <c r="S1018" i="29"/>
  <c r="F1019" i="29"/>
  <c r="G1019" i="29"/>
  <c r="N1019" i="29"/>
  <c r="P1019" i="29"/>
  <c r="Q1019" i="29"/>
  <c r="T1019" i="29"/>
  <c r="S1019" i="29"/>
  <c r="F1020" i="29"/>
  <c r="G1020" i="29"/>
  <c r="N1020" i="29"/>
  <c r="P1020" i="29"/>
  <c r="Q1020" i="29"/>
  <c r="T1020" i="29"/>
  <c r="S1020" i="29"/>
  <c r="F1021" i="29"/>
  <c r="G1021" i="29"/>
  <c r="N1021" i="29"/>
  <c r="P1021" i="29"/>
  <c r="Q1021" i="29"/>
  <c r="T1021" i="29"/>
  <c r="S1021" i="29"/>
  <c r="F1022" i="29"/>
  <c r="G1022" i="29"/>
  <c r="P1022" i="29"/>
  <c r="Q1022" i="29"/>
  <c r="F1023" i="29"/>
  <c r="G1023" i="29"/>
  <c r="N1023" i="29"/>
  <c r="P1023" i="29"/>
  <c r="Q1023" i="29"/>
  <c r="F1024" i="29"/>
  <c r="G1024" i="29"/>
  <c r="N1024" i="29"/>
  <c r="P1024" i="29"/>
  <c r="Q1024" i="29"/>
  <c r="F1025" i="29"/>
  <c r="G1025" i="29"/>
  <c r="N1025" i="29"/>
  <c r="P1025" i="29"/>
  <c r="Q1025" i="29"/>
  <c r="T1025" i="29"/>
  <c r="S1025" i="29"/>
  <c r="F1026" i="29"/>
  <c r="G1026" i="29"/>
  <c r="N1026" i="29"/>
  <c r="P1026" i="29"/>
  <c r="Q1026" i="29"/>
  <c r="T1026" i="29"/>
  <c r="S1026" i="29"/>
  <c r="F1027" i="29"/>
  <c r="G1027" i="29"/>
  <c r="N1027" i="29"/>
  <c r="P1027" i="29"/>
  <c r="Q1027" i="29"/>
  <c r="T1027" i="29"/>
  <c r="F1028" i="29"/>
  <c r="G1028" i="29"/>
  <c r="N1028" i="29"/>
  <c r="P1028" i="29"/>
  <c r="Q1028" i="29"/>
  <c r="F1029" i="29"/>
  <c r="G1029" i="29"/>
  <c r="N1029" i="29"/>
  <c r="P1029" i="29"/>
  <c r="Q1029" i="29"/>
  <c r="F1030" i="29"/>
  <c r="G1030" i="29"/>
  <c r="N1030" i="29"/>
  <c r="Q1030" i="29"/>
  <c r="F1031" i="29"/>
  <c r="K1031" i="29"/>
  <c r="G1031" i="29"/>
  <c r="N1031" i="29"/>
  <c r="P1031" i="29"/>
  <c r="Q1031" i="29"/>
  <c r="F1032" i="29"/>
  <c r="G1032" i="29"/>
  <c r="J1032" i="29"/>
  <c r="N1032" i="29"/>
  <c r="P1032" i="29"/>
  <c r="Q1032" i="29"/>
  <c r="F1033" i="29"/>
  <c r="G1033" i="29"/>
  <c r="J1033" i="29"/>
  <c r="N1033" i="29"/>
  <c r="P1033" i="29"/>
  <c r="Q1033" i="29"/>
  <c r="T1033" i="29"/>
  <c r="F1034" i="29"/>
  <c r="G1034" i="29"/>
  <c r="N1034" i="29"/>
  <c r="P1034" i="29"/>
  <c r="Q1034" i="29"/>
  <c r="F1035" i="29"/>
  <c r="G1035" i="29"/>
  <c r="N1035" i="29"/>
  <c r="P1035" i="29"/>
  <c r="Q1035" i="29"/>
  <c r="F1036" i="29"/>
  <c r="G1036" i="29"/>
  <c r="N1036" i="29"/>
  <c r="P1036" i="29"/>
  <c r="Q1036" i="29"/>
  <c r="T1036" i="29"/>
  <c r="S1036" i="29"/>
  <c r="F1037" i="29"/>
  <c r="G1037" i="29"/>
  <c r="N1037" i="29"/>
  <c r="P1037" i="29"/>
  <c r="Q1037" i="29"/>
  <c r="T1037" i="29"/>
  <c r="F1038" i="29"/>
  <c r="G1038" i="29"/>
  <c r="N1038" i="29"/>
  <c r="P1038" i="29"/>
  <c r="R1038" i="29"/>
  <c r="Q1038" i="29"/>
  <c r="F1039" i="29"/>
  <c r="G1039" i="29"/>
  <c r="N1039" i="29"/>
  <c r="P1039" i="29"/>
  <c r="Q1039" i="29"/>
  <c r="F1040" i="29"/>
  <c r="G1040" i="29"/>
  <c r="N1040" i="29"/>
  <c r="P1040" i="29"/>
  <c r="S1040" i="29"/>
  <c r="T1040" i="29"/>
  <c r="F1041" i="29"/>
  <c r="K1041" i="29"/>
  <c r="G1041" i="29"/>
  <c r="N1041" i="29"/>
  <c r="Q1041" i="29"/>
  <c r="F1042" i="29"/>
  <c r="G1042" i="29"/>
  <c r="J1042" i="29"/>
  <c r="N1042" i="29"/>
  <c r="Q1042" i="29"/>
  <c r="T1042" i="29"/>
  <c r="F1043" i="29"/>
  <c r="G1043" i="29"/>
  <c r="N1043" i="29"/>
  <c r="Q1043" i="29"/>
  <c r="F1044" i="29"/>
  <c r="G1044" i="29"/>
  <c r="J1044" i="29"/>
  <c r="N1044" i="29"/>
  <c r="P1044" i="29"/>
  <c r="R1044" i="29"/>
  <c r="Q1044" i="29"/>
  <c r="F1045" i="29"/>
  <c r="G1045" i="29"/>
  <c r="N1045" i="29"/>
  <c r="P1045" i="29"/>
  <c r="R1045" i="29"/>
  <c r="Q1045" i="29"/>
  <c r="F1046" i="29"/>
  <c r="G1046" i="29"/>
  <c r="N1046" i="29"/>
  <c r="P1046" i="29"/>
  <c r="Q1046" i="29"/>
  <c r="T1046" i="29"/>
  <c r="S1046" i="29"/>
  <c r="F1047" i="29"/>
  <c r="G1047" i="29"/>
  <c r="N1047" i="29"/>
  <c r="P1047" i="29"/>
  <c r="Q1047" i="29"/>
  <c r="T1047" i="29"/>
  <c r="S1047" i="29"/>
  <c r="F1048" i="29"/>
  <c r="G1048" i="29"/>
  <c r="J1048" i="29"/>
  <c r="N1048" i="29"/>
  <c r="P1048" i="29"/>
  <c r="Q1048" i="29"/>
  <c r="T1048" i="29"/>
  <c r="S1048" i="29"/>
  <c r="F1049" i="29"/>
  <c r="G1049" i="29"/>
  <c r="N1049" i="29"/>
  <c r="Q1049" i="29"/>
  <c r="F1050" i="29"/>
  <c r="G1050" i="29"/>
  <c r="N1050" i="29"/>
  <c r="P1050" i="29"/>
  <c r="Q1050" i="29"/>
  <c r="T1050" i="29"/>
  <c r="F1051" i="29"/>
  <c r="G1051" i="29"/>
  <c r="N1051" i="29"/>
  <c r="P1051" i="29"/>
  <c r="Q1051" i="29"/>
  <c r="T1051" i="29"/>
  <c r="F1052" i="29"/>
  <c r="G1052" i="29"/>
  <c r="N1052" i="29"/>
  <c r="P1052" i="29"/>
  <c r="Q1052" i="29"/>
  <c r="T1052" i="29"/>
  <c r="F1053" i="29"/>
  <c r="G1053" i="29"/>
  <c r="N1053" i="29"/>
  <c r="P1053" i="29"/>
  <c r="Q1053" i="29"/>
  <c r="F1054" i="29"/>
  <c r="G1054" i="29"/>
  <c r="N1054" i="29"/>
  <c r="P1054" i="29"/>
  <c r="Q1054" i="29"/>
  <c r="F1055" i="29"/>
  <c r="G1055" i="29"/>
  <c r="J1055" i="29"/>
  <c r="N1055" i="29"/>
  <c r="Q1055" i="29"/>
  <c r="R1055" i="29"/>
  <c r="F1056" i="29"/>
  <c r="K1056" i="29"/>
  <c r="G1056" i="29"/>
  <c r="N1056" i="29"/>
  <c r="P1056" i="29"/>
  <c r="Q1056" i="29"/>
  <c r="R1056" i="29"/>
  <c r="F1057" i="29"/>
  <c r="G1057" i="29"/>
  <c r="N1057" i="29"/>
  <c r="P1057" i="29"/>
  <c r="Q1057" i="29"/>
  <c r="S1057" i="29"/>
  <c r="F1058" i="29"/>
  <c r="G1058" i="29"/>
  <c r="N1058" i="29"/>
  <c r="S1058" i="29"/>
  <c r="T1058" i="29"/>
  <c r="F1059" i="29"/>
  <c r="G1059" i="29"/>
  <c r="N1059" i="29"/>
  <c r="P1059" i="29"/>
  <c r="Q1059" i="29"/>
  <c r="F1060" i="29"/>
  <c r="G1060" i="29"/>
  <c r="J1060" i="29"/>
  <c r="N1060" i="29"/>
  <c r="P1060" i="29"/>
  <c r="Q1060" i="29"/>
  <c r="F1061" i="29"/>
  <c r="G1061" i="29"/>
  <c r="N1061" i="29"/>
  <c r="P1061" i="29"/>
  <c r="Q1061" i="29"/>
  <c r="F1062" i="29"/>
  <c r="G1062" i="29"/>
  <c r="N1062" i="29"/>
  <c r="P1062" i="29"/>
  <c r="Q1062" i="29"/>
  <c r="F1063" i="29"/>
  <c r="G1063" i="29"/>
  <c r="N1063" i="29"/>
  <c r="P1063" i="29"/>
  <c r="R1063" i="29"/>
  <c r="Q1063" i="29"/>
  <c r="N1064" i="29"/>
  <c r="W1064" i="29"/>
  <c r="F1065" i="29"/>
  <c r="G1065" i="29"/>
  <c r="J1065" i="29"/>
  <c r="N1065" i="29"/>
  <c r="P1065" i="29"/>
  <c r="R1065" i="29"/>
  <c r="Q1065" i="29"/>
  <c r="F1066" i="29"/>
  <c r="G1066" i="29"/>
  <c r="J1066" i="29"/>
  <c r="N1066" i="29"/>
  <c r="P1066" i="29"/>
  <c r="R1066" i="29"/>
  <c r="Q1066" i="29"/>
  <c r="F1067" i="29"/>
  <c r="G1067" i="29"/>
  <c r="J1067" i="29"/>
  <c r="N1067" i="29"/>
  <c r="P1067" i="29"/>
  <c r="R1067" i="29"/>
  <c r="Q1067" i="29"/>
  <c r="F1068" i="29"/>
  <c r="G1068" i="29"/>
  <c r="N1068" i="29"/>
  <c r="P1068" i="29"/>
  <c r="Q1068" i="29"/>
  <c r="F1069" i="29"/>
  <c r="G1069" i="29"/>
  <c r="N1069" i="29"/>
  <c r="P1069" i="29"/>
  <c r="Q1069" i="29"/>
  <c r="F1070" i="29"/>
  <c r="G1070" i="29"/>
  <c r="J1070" i="29"/>
  <c r="N1070" i="29"/>
  <c r="P1070" i="29"/>
  <c r="R1070" i="29"/>
  <c r="Q1070" i="29"/>
  <c r="F1071" i="29"/>
  <c r="G1071" i="29"/>
  <c r="J1071" i="29"/>
  <c r="N1071" i="29"/>
  <c r="P1071" i="29"/>
  <c r="R1071" i="29"/>
  <c r="Q1071" i="29"/>
  <c r="F1072" i="29"/>
  <c r="G1072" i="29"/>
  <c r="J1072" i="29"/>
  <c r="N1072" i="29"/>
  <c r="P1072" i="29"/>
  <c r="R1072" i="29"/>
  <c r="Q1072" i="29"/>
  <c r="F1073" i="29"/>
  <c r="G1073" i="29"/>
  <c r="N1073" i="29"/>
  <c r="P1073" i="29"/>
  <c r="Q1073" i="29"/>
  <c r="F1074" i="29"/>
  <c r="G1074" i="29"/>
  <c r="J1074" i="29"/>
  <c r="N1074" i="29"/>
  <c r="P1074" i="29"/>
  <c r="Q1074" i="29"/>
  <c r="T1074" i="29"/>
  <c r="S1074" i="29"/>
  <c r="F1075" i="29"/>
  <c r="G1075" i="29"/>
  <c r="N1075" i="29"/>
  <c r="P1075" i="29"/>
  <c r="Q1075" i="29"/>
  <c r="T1075" i="29"/>
  <c r="S1075" i="29"/>
  <c r="F1076" i="29"/>
  <c r="G1076" i="29"/>
  <c r="N1076" i="29"/>
  <c r="P1076" i="29"/>
  <c r="Q1076" i="29"/>
  <c r="F1077" i="29"/>
  <c r="G1077" i="29"/>
  <c r="N1077" i="29"/>
  <c r="P1077" i="29"/>
  <c r="Q1077" i="29"/>
  <c r="F1078" i="29"/>
  <c r="G1078" i="29"/>
  <c r="N1078" i="29"/>
  <c r="P1078" i="29"/>
  <c r="Q1078" i="29"/>
  <c r="T1078" i="29"/>
  <c r="S1078" i="29"/>
  <c r="F1079" i="29"/>
  <c r="G1079" i="29"/>
  <c r="N1079" i="29"/>
  <c r="P1079" i="29"/>
  <c r="Q1079" i="29"/>
  <c r="F1080" i="29"/>
  <c r="G1080" i="29"/>
  <c r="N1080" i="29"/>
  <c r="P1080" i="29"/>
  <c r="Q1080" i="29"/>
  <c r="T1080" i="29"/>
  <c r="S1080" i="29"/>
  <c r="F1081" i="29"/>
  <c r="G1081" i="29"/>
  <c r="N1081" i="29"/>
  <c r="P1081" i="29"/>
  <c r="Q1081" i="29"/>
  <c r="T1081" i="29"/>
  <c r="S1081" i="29"/>
  <c r="F1082" i="29"/>
  <c r="G1082" i="29"/>
  <c r="N1082" i="29"/>
  <c r="P1082" i="29"/>
  <c r="Q1082" i="29"/>
  <c r="T1082" i="29"/>
  <c r="S1082" i="29"/>
  <c r="F1083" i="29"/>
  <c r="G1083" i="29"/>
  <c r="N1083" i="29"/>
  <c r="P1083" i="29"/>
  <c r="Q1083" i="29"/>
  <c r="T1083" i="29"/>
  <c r="F1084" i="29"/>
  <c r="G1084" i="29"/>
  <c r="N1084" i="29"/>
  <c r="P1084" i="29"/>
  <c r="Q1084" i="29"/>
  <c r="T1084" i="29"/>
  <c r="F1085" i="29"/>
  <c r="G1085" i="29"/>
  <c r="J1085" i="29"/>
  <c r="N1085" i="29"/>
  <c r="P1085" i="29"/>
  <c r="Q1085" i="29"/>
  <c r="F1086" i="29"/>
  <c r="G1086" i="29"/>
  <c r="N1086" i="29"/>
  <c r="P1086" i="29"/>
  <c r="Q1086" i="29"/>
  <c r="T1086" i="29"/>
  <c r="S1086" i="29"/>
  <c r="F1087" i="29"/>
  <c r="G1087" i="29"/>
  <c r="J1087" i="29"/>
  <c r="N1087" i="29"/>
  <c r="P1087" i="29"/>
  <c r="Q1087" i="29"/>
  <c r="F1088" i="29"/>
  <c r="G1088" i="29"/>
  <c r="J1088" i="29"/>
  <c r="N1088" i="29"/>
  <c r="P1088" i="29"/>
  <c r="Q1088" i="29"/>
  <c r="F1089" i="29"/>
  <c r="G1089" i="29"/>
  <c r="N1089" i="29"/>
  <c r="P1089" i="29"/>
  <c r="Q1089" i="29"/>
  <c r="F1090" i="29"/>
  <c r="G1090" i="29"/>
  <c r="J1090" i="29"/>
  <c r="N1090" i="29"/>
  <c r="P1090" i="29"/>
  <c r="Q1090" i="29"/>
  <c r="T1090" i="29"/>
  <c r="F1091" i="29"/>
  <c r="G1091" i="29"/>
  <c r="N1091" i="29"/>
  <c r="P1091" i="29"/>
  <c r="R1091" i="29"/>
  <c r="Q1091" i="29"/>
  <c r="F1092" i="29"/>
  <c r="G1092" i="29"/>
  <c r="N1092" i="29"/>
  <c r="P1092" i="29"/>
  <c r="Q1092" i="29"/>
  <c r="F1093" i="29"/>
  <c r="G1093" i="29"/>
  <c r="J1093" i="29"/>
  <c r="N1093" i="29"/>
  <c r="P1093" i="29"/>
  <c r="Q1093" i="29"/>
  <c r="T1093" i="29"/>
  <c r="F1094" i="29"/>
  <c r="G1094" i="29"/>
  <c r="J1094" i="29"/>
  <c r="N1094" i="29"/>
  <c r="P1094" i="29"/>
  <c r="Q1094" i="29"/>
  <c r="T1094" i="29"/>
  <c r="F1095" i="29"/>
  <c r="G1095" i="29"/>
  <c r="N1095" i="29"/>
  <c r="P1095" i="29"/>
  <c r="Q1095" i="29"/>
  <c r="F1096" i="29"/>
  <c r="G1096" i="29"/>
  <c r="J1096" i="29"/>
  <c r="N1096" i="29"/>
  <c r="P1096" i="29"/>
  <c r="Q1096" i="29"/>
  <c r="F1097" i="29"/>
  <c r="G1097" i="29"/>
  <c r="N1097" i="29"/>
  <c r="P1097" i="29"/>
  <c r="Q1097" i="29"/>
  <c r="F1098" i="29"/>
  <c r="G1098" i="29"/>
  <c r="N1098" i="29"/>
  <c r="P1098" i="29"/>
  <c r="Q1098" i="29"/>
  <c r="F1099" i="29"/>
  <c r="G1099" i="29"/>
  <c r="J1099" i="29"/>
  <c r="N1099" i="29"/>
  <c r="P1099" i="29"/>
  <c r="Q1099" i="29"/>
  <c r="T1099" i="29"/>
  <c r="S1099" i="29"/>
  <c r="F1100" i="29"/>
  <c r="G1100" i="29"/>
  <c r="N1100" i="29"/>
  <c r="P1100" i="29"/>
  <c r="Q1100" i="29"/>
  <c r="S1100" i="29"/>
  <c r="F1101" i="29"/>
  <c r="G1101" i="29"/>
  <c r="N1101" i="29"/>
  <c r="P1101" i="29"/>
  <c r="Q1101" i="29"/>
  <c r="T1101" i="29"/>
  <c r="F1102" i="29"/>
  <c r="G1102" i="29"/>
  <c r="N1102" i="29"/>
  <c r="P1102" i="29"/>
  <c r="Q1102" i="29"/>
  <c r="F1103" i="29"/>
  <c r="G1103" i="29"/>
  <c r="J1103" i="29"/>
  <c r="N1103" i="29"/>
  <c r="P1103" i="29"/>
  <c r="Q1103" i="29"/>
  <c r="S1103" i="29"/>
  <c r="F1104" i="29"/>
  <c r="G1104" i="29"/>
  <c r="J1104" i="29"/>
  <c r="N1104" i="29"/>
  <c r="P1104" i="29"/>
  <c r="Q1104" i="29"/>
  <c r="F1105" i="29"/>
  <c r="G1105" i="29"/>
  <c r="W1105" i="29"/>
  <c r="N1105" i="29"/>
  <c r="P1105" i="29"/>
  <c r="Q1105" i="29"/>
  <c r="F1106" i="29"/>
  <c r="G1106" i="29"/>
  <c r="N1106" i="29"/>
  <c r="P1106" i="29"/>
  <c r="Q1106" i="29"/>
  <c r="F1107" i="29"/>
  <c r="G1107" i="29"/>
  <c r="J1107" i="29"/>
  <c r="N1107" i="29"/>
  <c r="P1107" i="29"/>
  <c r="Q1107" i="29"/>
  <c r="F1108" i="29"/>
  <c r="G1108" i="29"/>
  <c r="N1108" i="29"/>
  <c r="P1108" i="29"/>
  <c r="Q1108" i="29"/>
  <c r="F1109" i="29"/>
  <c r="G1109" i="29"/>
  <c r="N1109" i="29"/>
  <c r="P1109" i="29"/>
  <c r="F1110" i="29"/>
  <c r="G1110" i="29"/>
  <c r="N1110" i="29"/>
  <c r="P1110" i="29"/>
  <c r="Q1110" i="29"/>
  <c r="T1110" i="29"/>
  <c r="S1110" i="29"/>
  <c r="F1111" i="29"/>
  <c r="G1111" i="29"/>
  <c r="N1111" i="29"/>
  <c r="P1111" i="29"/>
  <c r="Q1111" i="29"/>
  <c r="T1111" i="29"/>
  <c r="F1112" i="29"/>
  <c r="G1112" i="29"/>
  <c r="N1112" i="29"/>
  <c r="P1112" i="29"/>
  <c r="Q1112" i="29"/>
  <c r="T1112" i="29"/>
  <c r="S1112" i="29"/>
  <c r="F1113" i="29"/>
  <c r="G1113" i="29"/>
  <c r="J1113" i="29"/>
  <c r="N1113" i="29"/>
  <c r="P1113" i="29"/>
  <c r="R1113" i="29"/>
  <c r="Q1113" i="29"/>
  <c r="F1114" i="29"/>
  <c r="G1114" i="29"/>
  <c r="J1114" i="29"/>
  <c r="N1114" i="29"/>
  <c r="P1114" i="29"/>
  <c r="R1114" i="29"/>
  <c r="Q1114" i="29"/>
  <c r="F1115" i="29"/>
  <c r="G1115" i="29"/>
  <c r="J1115" i="29"/>
  <c r="N1115" i="29"/>
  <c r="P1115" i="29"/>
  <c r="R1115" i="29"/>
  <c r="Q1115" i="29"/>
  <c r="F1116" i="29"/>
  <c r="G1116" i="29"/>
  <c r="N1116" i="29"/>
  <c r="P1116" i="29"/>
  <c r="Q1116" i="29"/>
  <c r="F1117" i="29"/>
  <c r="G1117" i="29"/>
  <c r="J1117" i="29"/>
  <c r="N1117" i="29"/>
  <c r="P1117" i="29"/>
  <c r="Q1117" i="29"/>
  <c r="S1117" i="29"/>
  <c r="F1118" i="29"/>
  <c r="G1118" i="29"/>
  <c r="N1118" i="29"/>
  <c r="P1118" i="29"/>
  <c r="Q1118" i="29"/>
  <c r="F1119" i="29"/>
  <c r="G1119" i="29"/>
  <c r="J1119" i="29"/>
  <c r="N1119" i="29"/>
  <c r="P1119" i="29"/>
  <c r="Q1119" i="29"/>
  <c r="S1119" i="29"/>
  <c r="F1120" i="29"/>
  <c r="G1120" i="29"/>
  <c r="N1120" i="29"/>
  <c r="Q1120" i="29"/>
  <c r="F1121" i="29"/>
  <c r="G1121" i="29"/>
  <c r="N1121" i="29"/>
  <c r="P1121" i="29"/>
  <c r="Q1121" i="29"/>
  <c r="T1121" i="29"/>
  <c r="S1121" i="29"/>
  <c r="F1122" i="29"/>
  <c r="G1122" i="29"/>
  <c r="N1122" i="29"/>
  <c r="P1122" i="29"/>
  <c r="Q1122" i="29"/>
  <c r="F1123" i="29"/>
  <c r="G1123" i="29"/>
  <c r="J1123" i="29"/>
  <c r="N1123" i="29"/>
  <c r="F1124" i="29"/>
  <c r="G1124" i="29"/>
  <c r="J1124" i="29"/>
  <c r="N1124" i="29"/>
  <c r="P1124" i="29"/>
  <c r="Q1124" i="29"/>
  <c r="F1125" i="29"/>
  <c r="G1125" i="29"/>
  <c r="N1125" i="29"/>
  <c r="P1125" i="29"/>
  <c r="Q1125" i="29"/>
  <c r="F1126" i="29"/>
  <c r="G1126" i="29"/>
  <c r="N1126" i="29"/>
  <c r="P1126" i="29"/>
  <c r="Q1126" i="29"/>
  <c r="T1126" i="29"/>
  <c r="S1126" i="29"/>
  <c r="F1127" i="29"/>
  <c r="G1127" i="29"/>
  <c r="N1127" i="29"/>
  <c r="Q1127" i="29"/>
  <c r="F1128" i="29"/>
  <c r="G1128" i="29"/>
  <c r="N1128" i="29"/>
  <c r="P1128" i="29"/>
  <c r="Q1128" i="29"/>
  <c r="F1129" i="29"/>
  <c r="G1129" i="29"/>
  <c r="S1129" i="29"/>
  <c r="T1129" i="29"/>
  <c r="F1130" i="29"/>
  <c r="G1130" i="29"/>
  <c r="N1130" i="29"/>
  <c r="P1130" i="29"/>
  <c r="Q1130" i="29"/>
  <c r="T1130" i="29"/>
  <c r="F1131" i="29"/>
  <c r="G1131" i="29"/>
  <c r="Q1131" i="29"/>
  <c r="F1132" i="29"/>
  <c r="G1132" i="29"/>
  <c r="Q1132" i="29"/>
  <c r="T1132" i="29"/>
  <c r="F1133" i="29"/>
  <c r="G1133" i="29"/>
  <c r="N1133" i="29"/>
  <c r="P1133" i="29"/>
  <c r="Q1133" i="29"/>
  <c r="F1134" i="29"/>
  <c r="G1134" i="29"/>
  <c r="N1134" i="29"/>
  <c r="P1134" i="29"/>
  <c r="Q1134" i="29"/>
  <c r="F1135" i="29"/>
  <c r="G1135" i="29"/>
  <c r="N1135" i="29"/>
  <c r="P1135" i="29"/>
  <c r="Q1135" i="29"/>
  <c r="T1135" i="29"/>
  <c r="F1136" i="29"/>
  <c r="G1136" i="29"/>
  <c r="N1136" i="29"/>
  <c r="P1136" i="29"/>
  <c r="Q1136" i="29"/>
  <c r="T1136" i="29"/>
  <c r="F1137" i="29"/>
  <c r="G1137" i="29"/>
  <c r="N1137" i="29"/>
  <c r="P1137" i="29"/>
  <c r="Q1137" i="29"/>
  <c r="F1138" i="29"/>
  <c r="G1138" i="29"/>
  <c r="N1138" i="29"/>
  <c r="P1138" i="29"/>
  <c r="Q1138" i="29"/>
  <c r="F1139" i="29"/>
  <c r="G1139" i="29"/>
  <c r="N1139" i="29"/>
  <c r="P1139" i="29"/>
  <c r="Q1139" i="29"/>
  <c r="F1140" i="29"/>
  <c r="G1140" i="29"/>
  <c r="N1140" i="29"/>
  <c r="P1140" i="29"/>
  <c r="Q1140" i="29"/>
  <c r="T1140" i="29"/>
  <c r="S1140" i="29"/>
  <c r="F1141" i="29"/>
  <c r="G1141" i="29"/>
  <c r="N1141" i="29"/>
  <c r="P1141" i="29"/>
  <c r="Q1141" i="29"/>
  <c r="T1141" i="29"/>
  <c r="S1141" i="29"/>
  <c r="F1142" i="29"/>
  <c r="G1142" i="29"/>
  <c r="N1142" i="29"/>
  <c r="P1142" i="29"/>
  <c r="Q1142" i="29"/>
  <c r="S1142" i="29"/>
  <c r="F1143" i="29"/>
  <c r="G1143" i="29"/>
  <c r="N1143" i="29"/>
  <c r="P1143" i="29"/>
  <c r="Q1143" i="29"/>
  <c r="T1143" i="29"/>
  <c r="S1143" i="29"/>
  <c r="F1144" i="29"/>
  <c r="G1144" i="29"/>
  <c r="N1144" i="29"/>
  <c r="P1144" i="29"/>
  <c r="Q1144" i="29"/>
  <c r="F1145" i="29"/>
  <c r="G1145" i="29"/>
  <c r="N1145" i="29"/>
  <c r="P1145" i="29"/>
  <c r="R1145" i="29"/>
  <c r="Q1145" i="29"/>
  <c r="F1146" i="29"/>
  <c r="G1146" i="29"/>
  <c r="N1146" i="29"/>
  <c r="P1146" i="29"/>
  <c r="Q1146" i="29"/>
  <c r="T1146" i="29"/>
  <c r="S1146" i="29"/>
  <c r="F1147" i="29"/>
  <c r="G1147" i="29"/>
  <c r="N1147" i="29"/>
  <c r="Q1147" i="29"/>
  <c r="T1147" i="29"/>
  <c r="S1147" i="29"/>
  <c r="F1148" i="29"/>
  <c r="G1148" i="29"/>
  <c r="N1148" i="29"/>
  <c r="Q1148" i="29"/>
  <c r="T1148" i="29"/>
  <c r="S1148" i="29"/>
  <c r="F1149" i="29"/>
  <c r="G1149" i="29"/>
  <c r="N1149" i="29"/>
  <c r="Q1149" i="29"/>
  <c r="F1150" i="29"/>
  <c r="G1150" i="29"/>
  <c r="N1150" i="29"/>
  <c r="Q1150" i="29"/>
  <c r="F1151" i="29"/>
  <c r="G1151" i="29"/>
  <c r="N1151" i="29"/>
  <c r="Q1151" i="29"/>
  <c r="F1152" i="29"/>
  <c r="G1152" i="29"/>
  <c r="N1152" i="29"/>
  <c r="Q1152" i="29"/>
  <c r="N1153" i="29"/>
  <c r="W1153" i="29"/>
  <c r="F1154" i="29"/>
  <c r="G1154" i="29"/>
  <c r="N1154" i="29"/>
  <c r="P1154" i="29"/>
  <c r="Q1154" i="29"/>
  <c r="F1155" i="29"/>
  <c r="G1155" i="29"/>
  <c r="N1155" i="29"/>
  <c r="P1155" i="29"/>
  <c r="Q1155" i="29"/>
  <c r="F1156" i="29"/>
  <c r="G1156" i="29"/>
  <c r="N1156" i="29"/>
  <c r="P1156" i="29"/>
  <c r="Q1156" i="29"/>
  <c r="T1156" i="29"/>
  <c r="S1156" i="29"/>
  <c r="F1157" i="29"/>
  <c r="G1157" i="29"/>
  <c r="N1157" i="29"/>
  <c r="P1157" i="29"/>
  <c r="Q1157" i="29"/>
  <c r="T1157" i="29"/>
  <c r="S1157" i="29"/>
  <c r="F1158" i="29"/>
  <c r="G1158" i="29"/>
  <c r="N1158" i="29"/>
  <c r="P1158" i="29"/>
  <c r="Q1158" i="29"/>
  <c r="F1159" i="29"/>
  <c r="G1159" i="29"/>
  <c r="N1159" i="29"/>
  <c r="P1159" i="29"/>
  <c r="Q1159" i="29"/>
  <c r="T1159" i="29"/>
  <c r="S1159" i="29"/>
  <c r="F1160" i="29"/>
  <c r="G1160" i="29"/>
  <c r="N1160" i="29"/>
  <c r="P1160" i="29"/>
  <c r="Q1160" i="29"/>
  <c r="F1161" i="29"/>
  <c r="G1161" i="29"/>
  <c r="N1161" i="29"/>
  <c r="P1161" i="29"/>
  <c r="Q1161" i="29"/>
  <c r="F1162" i="29"/>
  <c r="G1162" i="29"/>
  <c r="J1162" i="29"/>
  <c r="N1162" i="29"/>
  <c r="P1162" i="29"/>
  <c r="Q1162" i="29"/>
  <c r="S1162" i="29"/>
  <c r="F1163" i="29"/>
  <c r="G1163" i="29"/>
  <c r="J1163" i="29"/>
  <c r="N1163" i="29"/>
  <c r="P1163" i="29"/>
  <c r="Q1163" i="29"/>
  <c r="T1163" i="29"/>
  <c r="F1164" i="29"/>
  <c r="G1164" i="29"/>
  <c r="N1164" i="29"/>
  <c r="P1164" i="29"/>
  <c r="Q1164" i="29"/>
  <c r="F1165" i="29"/>
  <c r="G1165" i="29"/>
  <c r="N1165" i="29"/>
  <c r="P1165" i="29"/>
  <c r="Q1165" i="29"/>
  <c r="T1165" i="29"/>
  <c r="S1165" i="29"/>
  <c r="F1166" i="29"/>
  <c r="G1166" i="29"/>
  <c r="N1166" i="29"/>
  <c r="P1166" i="29"/>
  <c r="Q1166" i="29"/>
  <c r="T1166" i="29"/>
  <c r="S1166" i="29"/>
  <c r="F1167" i="29"/>
  <c r="G1167" i="29"/>
  <c r="N1167" i="29"/>
  <c r="P1167" i="29"/>
  <c r="Q1167" i="29"/>
  <c r="S1167" i="29"/>
  <c r="F1168" i="29"/>
  <c r="G1168" i="29"/>
  <c r="N1168" i="29"/>
  <c r="P1168" i="29"/>
  <c r="Q1168" i="29"/>
  <c r="T1168" i="29"/>
  <c r="S1168" i="29"/>
  <c r="F1169" i="29"/>
  <c r="G1169" i="29"/>
  <c r="N1169" i="29"/>
  <c r="P1169" i="29"/>
  <c r="Q1169" i="29"/>
  <c r="T1169" i="29"/>
  <c r="S1169" i="29"/>
  <c r="F1170" i="29"/>
  <c r="G1170" i="29"/>
  <c r="J1170" i="29"/>
  <c r="N1170" i="29"/>
  <c r="P1170" i="29"/>
  <c r="Q1170" i="29"/>
  <c r="F1171" i="29"/>
  <c r="G1171" i="29"/>
  <c r="J1171" i="29"/>
  <c r="N1171" i="29"/>
  <c r="P1171" i="29"/>
  <c r="Q1171" i="29"/>
  <c r="F1172" i="29"/>
  <c r="G1172" i="29"/>
  <c r="N1172" i="29"/>
  <c r="P1172" i="29"/>
  <c r="Q1172" i="29"/>
  <c r="T1172" i="29"/>
  <c r="F1173" i="29"/>
  <c r="G1173" i="29"/>
  <c r="N1173" i="29"/>
  <c r="P1173" i="29"/>
  <c r="Q1173" i="29"/>
  <c r="F1174" i="29"/>
  <c r="G1174" i="29"/>
  <c r="N1174" i="29"/>
  <c r="P1174" i="29"/>
  <c r="Q1174" i="29"/>
  <c r="T1174" i="29"/>
  <c r="S1174" i="29"/>
  <c r="F1175" i="29"/>
  <c r="G1175" i="29"/>
  <c r="N1175" i="29"/>
  <c r="P1175" i="29"/>
  <c r="Q1175" i="29"/>
  <c r="T1175" i="29"/>
  <c r="S1175" i="29"/>
  <c r="F1176" i="29"/>
  <c r="G1176" i="29"/>
  <c r="N1176" i="29"/>
  <c r="P1176" i="29"/>
  <c r="Q1176" i="29"/>
  <c r="T1176" i="29"/>
  <c r="S1176" i="29"/>
  <c r="F1177" i="29"/>
  <c r="G1177" i="29"/>
  <c r="N1177" i="29"/>
  <c r="P1177" i="29"/>
  <c r="Q1177" i="29"/>
  <c r="T1177" i="29"/>
  <c r="S1177" i="29"/>
  <c r="F1178" i="29"/>
  <c r="G1178" i="29"/>
  <c r="N1178" i="29"/>
  <c r="P1178" i="29"/>
  <c r="Q1178" i="29"/>
  <c r="T1178" i="29"/>
  <c r="S1178" i="29"/>
  <c r="F1179" i="29"/>
  <c r="G1179" i="29"/>
  <c r="Q1179" i="29"/>
  <c r="T1179" i="29"/>
  <c r="S1179" i="29"/>
  <c r="F1180" i="29"/>
  <c r="G1180" i="29"/>
  <c r="Q1180" i="29"/>
  <c r="T1180" i="29"/>
  <c r="S1180" i="29"/>
  <c r="F1181" i="29"/>
  <c r="G1181" i="29"/>
  <c r="N1181" i="29"/>
  <c r="P1181" i="29"/>
  <c r="Q1181" i="29"/>
  <c r="S1181" i="29"/>
  <c r="F1182" i="29"/>
  <c r="G1182" i="29"/>
  <c r="N1182" i="29"/>
  <c r="P1182" i="29"/>
  <c r="Q1182" i="29"/>
  <c r="F1183" i="29"/>
  <c r="G1183" i="29"/>
  <c r="N1183" i="29"/>
  <c r="P1183" i="29"/>
  <c r="Q1183" i="29"/>
  <c r="T1183" i="29"/>
  <c r="F1184" i="29"/>
  <c r="G1184" i="29"/>
  <c r="N1184" i="29"/>
  <c r="P1184" i="29"/>
  <c r="Q1184" i="29"/>
  <c r="T1184" i="29"/>
  <c r="S1184" i="29"/>
  <c r="F1185" i="29"/>
  <c r="G1185" i="29"/>
  <c r="N1185" i="29"/>
  <c r="P1185" i="29"/>
  <c r="Q1185" i="29"/>
  <c r="F1186" i="29"/>
  <c r="G1186" i="29"/>
  <c r="J1186" i="29"/>
  <c r="N1186" i="29"/>
  <c r="Q1186" i="29"/>
  <c r="R1186" i="29"/>
  <c r="F1187" i="29"/>
  <c r="G1187" i="29"/>
  <c r="N1187" i="29"/>
  <c r="Q1187" i="29"/>
  <c r="T1187" i="29"/>
  <c r="S1187" i="29"/>
  <c r="F1188" i="29"/>
  <c r="G1188" i="29"/>
  <c r="N1188" i="29"/>
  <c r="P1188" i="29"/>
  <c r="Q1188" i="29"/>
  <c r="T1188" i="29"/>
  <c r="S1188" i="29"/>
  <c r="F1189" i="29"/>
  <c r="G1189" i="29"/>
  <c r="N1189" i="29"/>
  <c r="P1189" i="29"/>
  <c r="Q1189" i="29"/>
  <c r="F1190" i="29"/>
  <c r="G1190" i="29"/>
  <c r="N1190" i="29"/>
  <c r="P1190" i="29"/>
  <c r="Q1190" i="29"/>
  <c r="T1190" i="29"/>
  <c r="S1190" i="29"/>
  <c r="F1191" i="29"/>
  <c r="G1191" i="29"/>
  <c r="N1191" i="29"/>
  <c r="P1191" i="29"/>
  <c r="Q1191" i="29"/>
  <c r="T1191" i="29"/>
  <c r="S1191" i="29"/>
  <c r="F1192" i="29"/>
  <c r="G1192" i="29"/>
  <c r="N1192" i="29"/>
  <c r="P1192" i="29"/>
  <c r="Q1192" i="29"/>
  <c r="T1192" i="29"/>
  <c r="S1192" i="29"/>
  <c r="F1193" i="29"/>
  <c r="G1193" i="29"/>
  <c r="N1193" i="29"/>
  <c r="P1193" i="29"/>
  <c r="Q1193" i="29"/>
  <c r="F1194" i="29"/>
  <c r="G1194" i="29"/>
  <c r="N1194" i="29"/>
  <c r="P1194" i="29"/>
  <c r="Q1194" i="29"/>
  <c r="F1195" i="29"/>
  <c r="G1195" i="29"/>
  <c r="J1195" i="29"/>
  <c r="N1195" i="29"/>
  <c r="P1195" i="29"/>
  <c r="R1195" i="29"/>
  <c r="Q1195" i="29"/>
  <c r="F1196" i="29"/>
  <c r="G1196" i="29"/>
  <c r="J1196" i="29"/>
  <c r="N1196" i="29"/>
  <c r="P1196" i="29"/>
  <c r="R1196" i="29"/>
  <c r="Q1196" i="29"/>
  <c r="F1197" i="29"/>
  <c r="G1197" i="29"/>
  <c r="N1197" i="29"/>
  <c r="P1197" i="29"/>
  <c r="Q1197" i="29"/>
  <c r="F1198" i="29"/>
  <c r="G1198" i="29"/>
  <c r="N1198" i="29"/>
  <c r="P1198" i="29"/>
  <c r="Q1198" i="29"/>
  <c r="F1199" i="29"/>
  <c r="K1199" i="29"/>
  <c r="G1199" i="29"/>
  <c r="N1199" i="29"/>
  <c r="P1199" i="29"/>
  <c r="Q1199" i="29"/>
  <c r="F1200" i="29"/>
  <c r="G1200" i="29"/>
  <c r="N1200" i="29"/>
  <c r="P1200" i="29"/>
  <c r="Q1200" i="29"/>
  <c r="S1200" i="29"/>
  <c r="F1201" i="29"/>
  <c r="G1201" i="29"/>
  <c r="J1201" i="29"/>
  <c r="N1201" i="29"/>
  <c r="P1201" i="29"/>
  <c r="Q1201" i="29"/>
  <c r="F1202" i="29"/>
  <c r="G1202" i="29"/>
  <c r="Q1202" i="29"/>
  <c r="T1202" i="29"/>
  <c r="S1202" i="29"/>
  <c r="F1203" i="29"/>
  <c r="G1203" i="29"/>
  <c r="N1203" i="29"/>
  <c r="P1203" i="29"/>
  <c r="Q1203" i="29"/>
  <c r="F1204" i="29"/>
  <c r="G1204" i="29"/>
  <c r="N1204" i="29"/>
  <c r="Q1204" i="29"/>
  <c r="S1204" i="29"/>
  <c r="F1205" i="29"/>
  <c r="G1205" i="29"/>
  <c r="N1205" i="29"/>
  <c r="P1205" i="29"/>
  <c r="Q1205" i="29"/>
  <c r="F1206" i="29"/>
  <c r="G1206" i="29"/>
  <c r="N1206" i="29"/>
  <c r="P1206" i="29"/>
  <c r="Q1206" i="29"/>
  <c r="T1206" i="29"/>
  <c r="S1206" i="29"/>
  <c r="F1207" i="29"/>
  <c r="G1207" i="29"/>
  <c r="N1207" i="29"/>
  <c r="P1207" i="29"/>
  <c r="Q1207" i="29"/>
  <c r="F1208" i="29"/>
  <c r="G1208" i="29"/>
  <c r="N1208" i="29"/>
  <c r="P1208" i="29"/>
  <c r="Q1208" i="29"/>
  <c r="T1208" i="29"/>
  <c r="S1208" i="29"/>
  <c r="F1209" i="29"/>
  <c r="G1209" i="29"/>
  <c r="N1209" i="29"/>
  <c r="P1209" i="29"/>
  <c r="Q1209" i="29"/>
  <c r="T1209" i="29"/>
  <c r="S1209" i="29"/>
  <c r="F1210" i="29"/>
  <c r="G1210" i="29"/>
  <c r="N1210" i="29"/>
  <c r="P1210" i="29"/>
  <c r="Q1210" i="29"/>
  <c r="T1210" i="29"/>
  <c r="S1210" i="29"/>
  <c r="F1211" i="29"/>
  <c r="G1211" i="29"/>
  <c r="J1211" i="29"/>
  <c r="N1211" i="29"/>
  <c r="P1211" i="29"/>
  <c r="Q1211" i="29"/>
  <c r="F1212" i="29"/>
  <c r="G1212" i="29"/>
  <c r="J1212" i="29"/>
  <c r="N1212" i="29"/>
  <c r="P1212" i="29"/>
  <c r="Q1212" i="29"/>
  <c r="F1213" i="29"/>
  <c r="G1213" i="29"/>
  <c r="N1213" i="29"/>
  <c r="P1213" i="29"/>
  <c r="Q1213" i="29"/>
  <c r="F1214" i="29"/>
  <c r="G1214" i="29"/>
  <c r="N1214" i="29"/>
  <c r="P1214" i="29"/>
  <c r="Q1214" i="29"/>
  <c r="F1215" i="29"/>
  <c r="G1215" i="29"/>
  <c r="N1215" i="29"/>
  <c r="P1215" i="29"/>
  <c r="Q1215" i="29"/>
  <c r="F1216" i="29"/>
  <c r="G1216" i="29"/>
  <c r="N1216" i="29"/>
  <c r="P1216" i="29"/>
  <c r="Q1216" i="29"/>
  <c r="F1217" i="29"/>
  <c r="G1217" i="29"/>
  <c r="N1217" i="29"/>
  <c r="P1217" i="29"/>
  <c r="Q1217" i="29"/>
  <c r="T1217" i="29"/>
  <c r="S1217" i="29"/>
  <c r="F1218" i="29"/>
  <c r="G1218" i="29"/>
  <c r="N1218" i="29"/>
  <c r="P1218" i="29"/>
  <c r="Q1218" i="29"/>
  <c r="T1218" i="29"/>
  <c r="S1218" i="29"/>
  <c r="F1219" i="29"/>
  <c r="G1219" i="29"/>
  <c r="N1219" i="29"/>
  <c r="P1219" i="29"/>
  <c r="Q1219" i="29"/>
  <c r="T1219" i="29"/>
  <c r="S1219" i="29"/>
  <c r="F1220" i="29"/>
  <c r="G1220" i="29"/>
  <c r="N1220" i="29"/>
  <c r="Q1220" i="29"/>
  <c r="R1220" i="29"/>
  <c r="F1221" i="29"/>
  <c r="G1221" i="29"/>
  <c r="N1221" i="29"/>
  <c r="P1221" i="29"/>
  <c r="Q1221" i="29"/>
  <c r="F1222" i="29"/>
  <c r="G1222" i="29"/>
  <c r="J1222" i="29"/>
  <c r="N1222" i="29"/>
  <c r="P1222" i="29"/>
  <c r="Q1222" i="29"/>
  <c r="T1222" i="29"/>
  <c r="S1222" i="29"/>
  <c r="F1223" i="29"/>
  <c r="G1223" i="29"/>
  <c r="N1223" i="29"/>
  <c r="Q1223" i="29"/>
  <c r="T1223" i="29"/>
  <c r="R1223" i="29"/>
  <c r="S1223" i="29"/>
  <c r="F1224" i="29"/>
  <c r="G1224" i="29"/>
  <c r="N1224" i="29"/>
  <c r="Q1224" i="29"/>
  <c r="N1225" i="29"/>
  <c r="W1225" i="29"/>
  <c r="F1226" i="29"/>
  <c r="G1226" i="29"/>
  <c r="N1226" i="29"/>
  <c r="P1226" i="29"/>
  <c r="Q1226" i="29"/>
  <c r="F1227" i="29"/>
  <c r="G1227" i="29"/>
  <c r="N1227" i="29"/>
  <c r="P1227" i="29"/>
  <c r="Q1227" i="29"/>
  <c r="F1228" i="29"/>
  <c r="G1228" i="29"/>
  <c r="J1228" i="29"/>
  <c r="N1228" i="29"/>
  <c r="P1228" i="29"/>
  <c r="Q1228" i="29"/>
  <c r="T1228" i="29"/>
  <c r="F1229" i="29"/>
  <c r="G1229" i="29"/>
  <c r="J1229" i="29"/>
  <c r="N1229" i="29"/>
  <c r="P1229" i="29"/>
  <c r="Q1229" i="29"/>
  <c r="F1230" i="29"/>
  <c r="G1230" i="29"/>
  <c r="N1230" i="29"/>
  <c r="P1230" i="29"/>
  <c r="Q1230" i="29"/>
  <c r="T1230" i="29"/>
  <c r="S1230" i="29"/>
  <c r="F1231" i="29"/>
  <c r="G1231" i="29"/>
  <c r="N1231" i="29"/>
  <c r="P1231" i="29"/>
  <c r="Q1231" i="29"/>
  <c r="T1231" i="29"/>
  <c r="S1231" i="29"/>
  <c r="F1232" i="29"/>
  <c r="G1232" i="29"/>
  <c r="N1232" i="29"/>
  <c r="P1232" i="29"/>
  <c r="Q1232" i="29"/>
  <c r="F1233" i="29"/>
  <c r="G1233" i="29"/>
  <c r="N1233" i="29"/>
  <c r="P1233" i="29"/>
  <c r="Q1233" i="29"/>
  <c r="T1233" i="29"/>
  <c r="S1233" i="29"/>
  <c r="F1234" i="29"/>
  <c r="G1234" i="29"/>
  <c r="N1234" i="29"/>
  <c r="P1234" i="29"/>
  <c r="Q1234" i="29"/>
  <c r="F1235" i="29"/>
  <c r="G1235" i="29"/>
  <c r="N1235" i="29"/>
  <c r="P1235" i="29"/>
  <c r="Q1235" i="29"/>
  <c r="F1236" i="29"/>
  <c r="G1236" i="29"/>
  <c r="N1236" i="29"/>
  <c r="P1236" i="29"/>
  <c r="Q1236" i="29"/>
  <c r="F1237" i="29"/>
  <c r="G1237" i="29"/>
  <c r="N1237" i="29"/>
  <c r="P1237" i="29"/>
  <c r="Q1237" i="29"/>
  <c r="T1237" i="29"/>
  <c r="S1237" i="29"/>
  <c r="F1238" i="29"/>
  <c r="G1238" i="29"/>
  <c r="N1238" i="29"/>
  <c r="P1238" i="29"/>
  <c r="Q1238" i="29"/>
  <c r="T1238" i="29"/>
  <c r="F1239" i="29"/>
  <c r="G1239" i="29"/>
  <c r="N1239" i="29"/>
  <c r="P1239" i="29"/>
  <c r="Q1239" i="29"/>
  <c r="T1239" i="29"/>
  <c r="F1240" i="29"/>
  <c r="G1240" i="29"/>
  <c r="N1240" i="29"/>
  <c r="P1240" i="29"/>
  <c r="Q1240" i="29"/>
  <c r="T1240" i="29"/>
  <c r="S1240" i="29"/>
  <c r="F1241" i="29"/>
  <c r="G1241" i="29"/>
  <c r="N1241" i="29"/>
  <c r="P1241" i="29"/>
  <c r="Q1241" i="29"/>
  <c r="F1242" i="29"/>
  <c r="G1242" i="29"/>
  <c r="N1242" i="29"/>
  <c r="P1242" i="29"/>
  <c r="Q1242" i="29"/>
  <c r="T1242" i="29"/>
  <c r="S1242" i="29"/>
  <c r="F1243" i="29"/>
  <c r="G1243" i="29"/>
  <c r="N1243" i="29"/>
  <c r="P1243" i="29"/>
  <c r="Q1243" i="29"/>
  <c r="T1243" i="29"/>
  <c r="F1244" i="29"/>
  <c r="G1244" i="29"/>
  <c r="J1244" i="29"/>
  <c r="N1244" i="29"/>
  <c r="P1244" i="29"/>
  <c r="Q1244" i="29"/>
  <c r="S1244" i="29"/>
  <c r="F1245" i="29"/>
  <c r="G1245" i="29"/>
  <c r="N1245" i="29"/>
  <c r="P1245" i="29"/>
  <c r="Q1245" i="29"/>
  <c r="F1246" i="29"/>
  <c r="G1246" i="29"/>
  <c r="N1246" i="29"/>
  <c r="P1246" i="29"/>
  <c r="Q1246" i="29"/>
  <c r="F1247" i="29"/>
  <c r="G1247" i="29"/>
  <c r="N1247" i="29"/>
  <c r="P1247" i="29"/>
  <c r="Q1247" i="29"/>
  <c r="F1248" i="29"/>
  <c r="G1248" i="29"/>
  <c r="N1248" i="29"/>
  <c r="P1248" i="29"/>
  <c r="Q1248" i="29"/>
  <c r="S1248" i="29"/>
  <c r="F1249" i="29"/>
  <c r="G1249" i="29"/>
  <c r="N1249" i="29"/>
  <c r="P1249" i="29"/>
  <c r="Q1249" i="29"/>
  <c r="F1250" i="29"/>
  <c r="G1250" i="29"/>
  <c r="N1250" i="29"/>
  <c r="P1250" i="29"/>
  <c r="Q1250" i="29"/>
  <c r="F1251" i="29"/>
  <c r="G1251" i="29"/>
  <c r="N1251" i="29"/>
  <c r="P1251" i="29"/>
  <c r="Q1251" i="29"/>
  <c r="F1252" i="29"/>
  <c r="G1252" i="29"/>
  <c r="N1252" i="29"/>
  <c r="P1252" i="29"/>
  <c r="Q1252" i="29"/>
  <c r="F1253" i="29"/>
  <c r="G1253" i="29"/>
  <c r="N1253" i="29"/>
  <c r="P1253" i="29"/>
  <c r="Q1253" i="29"/>
  <c r="F1254" i="29"/>
  <c r="G1254" i="29"/>
  <c r="N1254" i="29"/>
  <c r="P1254" i="29"/>
  <c r="Q1254" i="29"/>
  <c r="F1255" i="29"/>
  <c r="G1255" i="29"/>
  <c r="N1255" i="29"/>
  <c r="P1255" i="29"/>
  <c r="Q1255" i="29"/>
  <c r="F1256" i="29"/>
  <c r="G1256" i="29"/>
  <c r="N1256" i="29"/>
  <c r="P1256" i="29"/>
  <c r="Q1256" i="29"/>
  <c r="S1256" i="29"/>
  <c r="F1257" i="29"/>
  <c r="G1257" i="29"/>
  <c r="J1257" i="29"/>
  <c r="N1257" i="29"/>
  <c r="P1257" i="29"/>
  <c r="Q1257" i="29"/>
  <c r="F1258" i="29"/>
  <c r="G1258" i="29"/>
  <c r="N1258" i="29"/>
  <c r="P1258" i="29"/>
  <c r="Q1258" i="29"/>
  <c r="T1258" i="29"/>
  <c r="S1258" i="29"/>
  <c r="F1259" i="29"/>
  <c r="G1259" i="29"/>
  <c r="J1259" i="29"/>
  <c r="N1259" i="29"/>
  <c r="P1259" i="29"/>
  <c r="Q1259" i="29"/>
  <c r="F1260" i="29"/>
  <c r="G1260" i="29"/>
  <c r="N1260" i="29"/>
  <c r="P1260" i="29"/>
  <c r="Q1260" i="29"/>
  <c r="F1261" i="29"/>
  <c r="G1261" i="29"/>
  <c r="N1261" i="29"/>
  <c r="P1261" i="29"/>
  <c r="Q1261" i="29"/>
  <c r="T1261" i="29"/>
  <c r="S1261" i="29"/>
  <c r="F1262" i="29"/>
  <c r="G1262" i="29"/>
  <c r="N1262" i="29"/>
  <c r="P1262" i="29"/>
  <c r="R1262" i="29"/>
  <c r="Q1262" i="29"/>
  <c r="F1263" i="29"/>
  <c r="G1263" i="29"/>
  <c r="N1263" i="29"/>
  <c r="P1263" i="29"/>
  <c r="Q1263" i="29"/>
  <c r="F1264" i="29"/>
  <c r="G1264" i="29"/>
  <c r="N1264" i="29"/>
  <c r="P1264" i="29"/>
  <c r="Q1264" i="29"/>
  <c r="T1264" i="29"/>
  <c r="S1264" i="29"/>
  <c r="F1265" i="29"/>
  <c r="G1265" i="29"/>
  <c r="N1265" i="29"/>
  <c r="P1265" i="29"/>
  <c r="Q1265" i="29"/>
  <c r="T1265" i="29"/>
  <c r="S1265" i="29"/>
  <c r="F1266" i="29"/>
  <c r="G1266" i="29"/>
  <c r="N1266" i="29"/>
  <c r="P1266" i="29"/>
  <c r="Q1266" i="29"/>
  <c r="S1266" i="29"/>
  <c r="F1267" i="29"/>
  <c r="G1267" i="29"/>
  <c r="N1267" i="29"/>
  <c r="P1267" i="29"/>
  <c r="Q1267" i="29"/>
  <c r="F1268" i="29"/>
  <c r="G1268" i="29"/>
  <c r="N1268" i="29"/>
  <c r="P1268" i="29"/>
  <c r="Q1268" i="29"/>
  <c r="S1268" i="29"/>
  <c r="F1269" i="29"/>
  <c r="G1269" i="29"/>
  <c r="J1269" i="29"/>
  <c r="N1269" i="29"/>
  <c r="P1269" i="29"/>
  <c r="Q1269" i="29"/>
  <c r="F1270" i="29"/>
  <c r="G1270" i="29"/>
  <c r="J1270" i="29"/>
  <c r="N1270" i="29"/>
  <c r="P1270" i="29"/>
  <c r="Q1270" i="29"/>
  <c r="F1271" i="29"/>
  <c r="G1271" i="29"/>
  <c r="N1271" i="29"/>
  <c r="P1271" i="29"/>
  <c r="Q1271" i="29"/>
  <c r="F1272" i="29"/>
  <c r="G1272" i="29"/>
  <c r="N1272" i="29"/>
  <c r="P1272" i="29"/>
  <c r="Q1272" i="29"/>
  <c r="F1273" i="29"/>
  <c r="G1273" i="29"/>
  <c r="N1273" i="29"/>
  <c r="P1273" i="29"/>
  <c r="Q1273" i="29"/>
  <c r="T1273" i="29"/>
  <c r="S1273" i="29"/>
  <c r="F1274" i="29"/>
  <c r="G1274" i="29"/>
  <c r="N1274" i="29"/>
  <c r="Q1274" i="29"/>
  <c r="F1275" i="29"/>
  <c r="G1275" i="29"/>
  <c r="J1275" i="29"/>
  <c r="N1275" i="29"/>
  <c r="P1275" i="29"/>
  <c r="Q1275" i="29"/>
  <c r="S1275" i="29"/>
  <c r="F1276" i="29"/>
  <c r="G1276" i="29"/>
  <c r="J1276" i="29"/>
  <c r="N1276" i="29"/>
  <c r="P1276" i="29"/>
  <c r="Q1276" i="29"/>
  <c r="F1277" i="29"/>
  <c r="G1277" i="29"/>
  <c r="Q1277" i="29"/>
  <c r="T1277" i="29"/>
  <c r="S1277" i="29"/>
  <c r="F1278" i="29"/>
  <c r="G1278" i="29"/>
  <c r="Q1278" i="29"/>
  <c r="T1278" i="29"/>
  <c r="S1278" i="29"/>
  <c r="F1279" i="29"/>
  <c r="G1279" i="29"/>
  <c r="J1279" i="29"/>
  <c r="N1279" i="29"/>
  <c r="P1279" i="29"/>
  <c r="Q1279" i="29"/>
  <c r="F1280" i="29"/>
  <c r="G1280" i="29"/>
  <c r="J1280" i="29"/>
  <c r="N1280" i="29"/>
  <c r="P1280" i="29"/>
  <c r="Q1280" i="29"/>
  <c r="F1281" i="29"/>
  <c r="G1281" i="29"/>
  <c r="N1281" i="29"/>
  <c r="P1281" i="29"/>
  <c r="Q1281" i="29"/>
  <c r="T1281" i="29"/>
  <c r="S1281" i="29"/>
  <c r="F1282" i="29"/>
  <c r="G1282" i="29"/>
  <c r="N1282" i="29"/>
  <c r="P1282" i="29"/>
  <c r="Q1282" i="29"/>
  <c r="F1283" i="29"/>
  <c r="G1283" i="29"/>
  <c r="N1283" i="29"/>
  <c r="P1283" i="29"/>
  <c r="Q1283" i="29"/>
  <c r="T1283" i="29"/>
  <c r="F1284" i="29"/>
  <c r="G1284" i="29"/>
  <c r="N1284" i="29"/>
  <c r="P1284" i="29"/>
  <c r="Q1284" i="29"/>
  <c r="T1284" i="29"/>
  <c r="S1284" i="29"/>
  <c r="F1285" i="29"/>
  <c r="G1285" i="29"/>
  <c r="N1285" i="29"/>
  <c r="P1285" i="29"/>
  <c r="Q1285" i="29"/>
  <c r="F1286" i="29"/>
  <c r="G1286" i="29"/>
  <c r="N1286" i="29"/>
  <c r="P1286" i="29"/>
  <c r="Q1286" i="29"/>
  <c r="T1286" i="29"/>
  <c r="S1286" i="29"/>
  <c r="F1287" i="29"/>
  <c r="G1287" i="29"/>
  <c r="N1287" i="29"/>
  <c r="P1287" i="29"/>
  <c r="R1287" i="29"/>
  <c r="Q1287" i="29"/>
  <c r="F1288" i="29"/>
  <c r="G1288" i="29"/>
  <c r="N1288" i="29"/>
  <c r="P1288" i="29"/>
  <c r="Q1288" i="29"/>
  <c r="T1288" i="29"/>
  <c r="S1288" i="29"/>
  <c r="F1289" i="29"/>
  <c r="G1289" i="29"/>
  <c r="N1289" i="29"/>
  <c r="P1289" i="29"/>
  <c r="Q1289" i="29"/>
  <c r="T1289" i="29"/>
  <c r="S1289" i="29"/>
  <c r="F1290" i="29"/>
  <c r="G1290" i="29"/>
  <c r="N1290" i="29"/>
  <c r="P1290" i="29"/>
  <c r="Q1290" i="29"/>
  <c r="F1291" i="29"/>
  <c r="G1291" i="29"/>
  <c r="N1291" i="29"/>
  <c r="P1291" i="29"/>
  <c r="Q1291" i="29"/>
  <c r="F1292" i="29"/>
  <c r="G1292" i="29"/>
  <c r="J1292" i="29"/>
  <c r="N1292" i="29"/>
  <c r="P1292" i="29"/>
  <c r="R1292" i="29"/>
  <c r="Q1292" i="29"/>
  <c r="F1293" i="29"/>
  <c r="K1293" i="29"/>
  <c r="G1293" i="29"/>
  <c r="N1293" i="29"/>
  <c r="P1293" i="29"/>
  <c r="Q1293" i="29"/>
  <c r="T1293" i="29"/>
  <c r="F1294" i="29"/>
  <c r="G1294" i="29"/>
  <c r="N1294" i="29"/>
  <c r="P1294" i="29"/>
  <c r="Q1294" i="29"/>
  <c r="F1295" i="29"/>
  <c r="G1295" i="29"/>
  <c r="N1295" i="29"/>
  <c r="Q1295" i="29"/>
  <c r="F1296" i="29"/>
  <c r="G1296" i="29"/>
  <c r="N1296" i="29"/>
  <c r="P1296" i="29"/>
  <c r="Q1296" i="29"/>
  <c r="F1297" i="29"/>
  <c r="G1297" i="29"/>
  <c r="N1297" i="29"/>
  <c r="P1297" i="29"/>
  <c r="Q1297" i="29"/>
  <c r="T1297" i="29"/>
  <c r="S1297" i="29"/>
  <c r="F1298" i="29"/>
  <c r="G1298" i="29"/>
  <c r="N1298" i="29"/>
  <c r="P1298" i="29"/>
  <c r="Q1298" i="29"/>
  <c r="F1299" i="29"/>
  <c r="G1299" i="29"/>
  <c r="N1299" i="29"/>
  <c r="P1299" i="29"/>
  <c r="Q1299" i="29"/>
  <c r="T1299" i="29"/>
  <c r="S1299" i="29"/>
  <c r="F1300" i="29"/>
  <c r="G1300" i="29"/>
  <c r="N1300" i="29"/>
  <c r="P1300" i="29"/>
  <c r="Q1300" i="29"/>
  <c r="T1300" i="29"/>
  <c r="S1300" i="29"/>
  <c r="F1301" i="29"/>
  <c r="G1301" i="29"/>
  <c r="N1301" i="29"/>
  <c r="P1301" i="29"/>
  <c r="Q1301" i="29"/>
  <c r="F1302" i="29"/>
  <c r="G1302" i="29"/>
  <c r="J1302" i="29"/>
  <c r="N1302" i="29"/>
  <c r="P1302" i="29"/>
  <c r="Q1302" i="29"/>
  <c r="S1302" i="29"/>
  <c r="F1303" i="29"/>
  <c r="G1303" i="29"/>
  <c r="N1303" i="29"/>
  <c r="P1303" i="29"/>
  <c r="Q1303" i="29"/>
  <c r="T1303" i="29"/>
  <c r="S1303" i="29"/>
  <c r="F1304" i="29"/>
  <c r="G1304" i="29"/>
  <c r="N1304" i="29"/>
  <c r="P1304" i="29"/>
  <c r="Q1304" i="29"/>
  <c r="T1304" i="29"/>
  <c r="S1304" i="29"/>
  <c r="N1305" i="29"/>
  <c r="W1305" i="29"/>
  <c r="F1306" i="29"/>
  <c r="G1306" i="29"/>
  <c r="N1306" i="29"/>
  <c r="P1306" i="29"/>
  <c r="Q1306" i="29"/>
  <c r="F1307" i="29"/>
  <c r="G1307" i="29"/>
  <c r="N1307" i="29"/>
  <c r="P1307" i="29"/>
  <c r="Q1307" i="29"/>
  <c r="F1308" i="29"/>
  <c r="G1308" i="29"/>
  <c r="N1308" i="29"/>
  <c r="P1308" i="29"/>
  <c r="Q1308" i="29"/>
  <c r="S1308" i="29"/>
  <c r="F1309" i="29"/>
  <c r="G1309" i="29"/>
  <c r="N1309" i="29"/>
  <c r="P1309" i="29"/>
  <c r="Q1309" i="29"/>
  <c r="F1310" i="29"/>
  <c r="G1310" i="29"/>
  <c r="N1310" i="29"/>
  <c r="P1310" i="29"/>
  <c r="Q1310" i="29"/>
  <c r="F1311" i="29"/>
  <c r="G1311" i="29"/>
  <c r="N1311" i="29"/>
  <c r="P1311" i="29"/>
  <c r="Q1311" i="29"/>
  <c r="F1312" i="29"/>
  <c r="G1312" i="29"/>
  <c r="N1312" i="29"/>
  <c r="P1312" i="29"/>
  <c r="S1312" i="29"/>
  <c r="T1312" i="29"/>
  <c r="F1313" i="29"/>
  <c r="G1313" i="29"/>
  <c r="N1313" i="29"/>
  <c r="P1313" i="29"/>
  <c r="Q1313" i="29"/>
  <c r="F1314" i="29"/>
  <c r="G1314" i="29"/>
  <c r="N1314" i="29"/>
  <c r="P1314" i="29"/>
  <c r="Q1314" i="29"/>
  <c r="T1314" i="29"/>
  <c r="S1314" i="29"/>
  <c r="F1315" i="29"/>
  <c r="G1315" i="29"/>
  <c r="N1315" i="29"/>
  <c r="P1315" i="29"/>
  <c r="Q1315" i="29"/>
  <c r="S1315" i="29"/>
  <c r="F1316" i="29"/>
  <c r="G1316" i="29"/>
  <c r="N1316" i="29"/>
  <c r="P1316" i="29"/>
  <c r="Q1316" i="29"/>
  <c r="T1316" i="29"/>
  <c r="S1316" i="29"/>
  <c r="F1317" i="29"/>
  <c r="G1317" i="29"/>
  <c r="N1317" i="29"/>
  <c r="P1317" i="29"/>
  <c r="Q1317" i="29"/>
  <c r="F1318" i="29"/>
  <c r="G1318" i="29"/>
  <c r="N1318" i="29"/>
  <c r="P1318" i="29"/>
  <c r="Q1318" i="29"/>
  <c r="T1318" i="29"/>
  <c r="F1319" i="29"/>
  <c r="G1319" i="29"/>
  <c r="N1319" i="29"/>
  <c r="P1319" i="29"/>
  <c r="Q1319" i="29"/>
  <c r="F1320" i="29"/>
  <c r="G1320" i="29"/>
  <c r="N1320" i="29"/>
  <c r="P1320" i="29"/>
  <c r="Q1320" i="29"/>
  <c r="S1320" i="29"/>
  <c r="F1321" i="29"/>
  <c r="G1321" i="29"/>
  <c r="N1321" i="29"/>
  <c r="P1321" i="29"/>
  <c r="Q1321" i="29"/>
  <c r="T1321" i="29"/>
  <c r="S1321" i="29"/>
  <c r="F1322" i="29"/>
  <c r="G1322" i="29"/>
  <c r="N1322" i="29"/>
  <c r="P1322" i="29"/>
  <c r="Q1322" i="29"/>
  <c r="T1322" i="29"/>
  <c r="S1322" i="29"/>
  <c r="F1323" i="29"/>
  <c r="G1323" i="29"/>
  <c r="N1323" i="29"/>
  <c r="P1323" i="29"/>
  <c r="Q1323" i="29"/>
  <c r="F1324" i="29"/>
  <c r="G1324" i="29"/>
  <c r="N1324" i="29"/>
  <c r="P1324" i="29"/>
  <c r="Q1324" i="29"/>
  <c r="F1325" i="29"/>
  <c r="G1325" i="29"/>
  <c r="N1325" i="29"/>
  <c r="P1325" i="29"/>
  <c r="Q1325" i="29"/>
  <c r="T1325" i="29"/>
  <c r="F1326" i="29"/>
  <c r="G1326" i="29"/>
  <c r="N1326" i="29"/>
  <c r="P1326" i="29"/>
  <c r="Q1326" i="29"/>
  <c r="F1327" i="29"/>
  <c r="G1327" i="29"/>
  <c r="J1327" i="29"/>
  <c r="N1327" i="29"/>
  <c r="P1327" i="29"/>
  <c r="Q1327" i="29"/>
  <c r="T1327" i="29"/>
  <c r="F1328" i="29"/>
  <c r="G1328" i="29"/>
  <c r="N1328" i="29"/>
  <c r="P1328" i="29"/>
  <c r="Q1328" i="29"/>
  <c r="T1328" i="29"/>
  <c r="S1328" i="29"/>
  <c r="F1329" i="29"/>
  <c r="G1329" i="29"/>
  <c r="N1329" i="29"/>
  <c r="P1329" i="29"/>
  <c r="Q1329" i="29"/>
  <c r="F1330" i="29"/>
  <c r="G1330" i="29"/>
  <c r="N1330" i="29"/>
  <c r="P1330" i="29"/>
  <c r="Q1330" i="29"/>
  <c r="S1330" i="29"/>
  <c r="F1331" i="29"/>
  <c r="G1331" i="29"/>
  <c r="N1331" i="29"/>
  <c r="P1331" i="29"/>
  <c r="Q1331" i="29"/>
  <c r="T1331" i="29"/>
  <c r="S1331" i="29"/>
  <c r="F1332" i="29"/>
  <c r="G1332" i="29"/>
  <c r="N1332" i="29"/>
  <c r="P1332" i="29"/>
  <c r="Q1332" i="29"/>
  <c r="T1332" i="29"/>
  <c r="S1332" i="29"/>
  <c r="F1333" i="29"/>
  <c r="G1333" i="29"/>
  <c r="N1333" i="29"/>
  <c r="P1333" i="29"/>
  <c r="Q1333" i="29"/>
  <c r="F1334" i="29"/>
  <c r="G1334" i="29"/>
  <c r="N1334" i="29"/>
  <c r="P1334" i="29"/>
  <c r="Q1334" i="29"/>
  <c r="F1335" i="29"/>
  <c r="G1335" i="29"/>
  <c r="J1335" i="29"/>
  <c r="N1335" i="29"/>
  <c r="P1335" i="29"/>
  <c r="Q1335" i="29"/>
  <c r="F1336" i="29"/>
  <c r="G1336" i="29"/>
  <c r="N1336" i="29"/>
  <c r="P1336" i="29"/>
  <c r="Q1336" i="29"/>
  <c r="F1337" i="29"/>
  <c r="G1337" i="29"/>
  <c r="N1337" i="29"/>
  <c r="P1337" i="29"/>
  <c r="Q1337" i="29"/>
  <c r="F1338" i="29"/>
  <c r="G1338" i="29"/>
  <c r="J1338" i="29"/>
  <c r="N1338" i="29"/>
  <c r="P1338" i="29"/>
  <c r="Q1338" i="29"/>
  <c r="F1339" i="29"/>
  <c r="G1339" i="29"/>
  <c r="J1339" i="29"/>
  <c r="N1339" i="29"/>
  <c r="P1339" i="29"/>
  <c r="Q1339" i="29"/>
  <c r="F1340" i="29"/>
  <c r="G1340" i="29"/>
  <c r="J1340" i="29"/>
  <c r="N1340" i="29"/>
  <c r="P1340" i="29"/>
  <c r="Q1340" i="29"/>
  <c r="F1341" i="29"/>
  <c r="G1341" i="29"/>
  <c r="N1341" i="29"/>
  <c r="P1341" i="29"/>
  <c r="Q1341" i="29"/>
  <c r="F1342" i="29"/>
  <c r="G1342" i="29"/>
  <c r="N1342" i="29"/>
  <c r="P1342" i="29"/>
  <c r="Q1342" i="29"/>
  <c r="F1343" i="29"/>
  <c r="G1343" i="29"/>
  <c r="N1343" i="29"/>
  <c r="P1343" i="29"/>
  <c r="Q1343" i="29"/>
  <c r="T1343" i="29"/>
  <c r="S1343" i="29"/>
  <c r="F1344" i="29"/>
  <c r="G1344" i="29"/>
  <c r="N1344" i="29"/>
  <c r="P1344" i="29"/>
  <c r="Q1344" i="29"/>
  <c r="F1345" i="29"/>
  <c r="G1345" i="29"/>
  <c r="N1345" i="29"/>
  <c r="P1345" i="29"/>
  <c r="Q1345" i="29"/>
  <c r="T1345" i="29"/>
  <c r="S1345" i="29"/>
  <c r="F1346" i="29"/>
  <c r="G1346" i="29"/>
  <c r="J1346" i="29"/>
  <c r="N1346" i="29"/>
  <c r="P1346" i="29"/>
  <c r="R1346" i="29"/>
  <c r="Q1346" i="29"/>
  <c r="F1347" i="29"/>
  <c r="G1347" i="29"/>
  <c r="N1347" i="29"/>
  <c r="P1347" i="29"/>
  <c r="Q1347" i="29"/>
  <c r="F1348" i="29"/>
  <c r="G1348" i="29"/>
  <c r="N1348" i="29"/>
  <c r="P1348" i="29"/>
  <c r="Q1348" i="29"/>
  <c r="T1348" i="29"/>
  <c r="S1348" i="29"/>
  <c r="F1349" i="29"/>
  <c r="G1349" i="29"/>
  <c r="N1349" i="29"/>
  <c r="P1349" i="29"/>
  <c r="Q1349" i="29"/>
  <c r="F1350" i="29"/>
  <c r="G1350" i="29"/>
  <c r="N1350" i="29"/>
  <c r="P1350" i="29"/>
  <c r="R1350" i="29"/>
  <c r="Q1350" i="29"/>
  <c r="F1351" i="29"/>
  <c r="G1351" i="29"/>
  <c r="N1351" i="29"/>
  <c r="P1351" i="29"/>
  <c r="Q1351" i="29"/>
  <c r="F1352" i="29"/>
  <c r="G1352" i="29"/>
  <c r="J1352" i="29"/>
  <c r="N1352" i="29"/>
  <c r="P1352" i="29"/>
  <c r="R1352" i="29"/>
  <c r="Q1352" i="29"/>
  <c r="F1353" i="29"/>
  <c r="G1353" i="29"/>
  <c r="N1353" i="29"/>
  <c r="P1353" i="29"/>
  <c r="Q1353" i="29"/>
  <c r="T1353" i="29"/>
  <c r="S1353" i="29"/>
  <c r="F1354" i="29"/>
  <c r="G1354" i="29"/>
  <c r="N1354" i="29"/>
  <c r="P1354" i="29"/>
  <c r="Q1354" i="29"/>
  <c r="T1354" i="29"/>
  <c r="F1355" i="29"/>
  <c r="G1355" i="29"/>
  <c r="N1355" i="29"/>
  <c r="P1355" i="29"/>
  <c r="Q1355" i="29"/>
  <c r="F1356" i="29"/>
  <c r="G1356" i="29"/>
  <c r="N1356" i="29"/>
  <c r="P1356" i="29"/>
  <c r="Q1356" i="29"/>
  <c r="F1357" i="29"/>
  <c r="G1357" i="29"/>
  <c r="N1357" i="29"/>
  <c r="P1357" i="29"/>
  <c r="Q1357" i="29"/>
  <c r="T1357" i="29"/>
  <c r="S1357" i="29"/>
  <c r="F1358" i="29"/>
  <c r="G1358" i="29"/>
  <c r="N1358" i="29"/>
  <c r="P1358" i="29"/>
  <c r="Q1358" i="29"/>
  <c r="T1358" i="29"/>
  <c r="F1359" i="29"/>
  <c r="G1359" i="29"/>
  <c r="N1359" i="29"/>
  <c r="P1359" i="29"/>
  <c r="Q1359" i="29"/>
  <c r="F1360" i="29"/>
  <c r="G1360" i="29"/>
  <c r="J1360" i="29"/>
  <c r="N1360" i="29"/>
  <c r="P1360" i="29"/>
  <c r="Q1360" i="29"/>
  <c r="F1361" i="29"/>
  <c r="G1361" i="29"/>
  <c r="J1361" i="29"/>
  <c r="N1361" i="29"/>
  <c r="P1361" i="29"/>
  <c r="Q1361" i="29"/>
  <c r="F1362" i="29"/>
  <c r="G1362" i="29"/>
  <c r="N1362" i="29"/>
  <c r="P1362" i="29"/>
  <c r="Q1362" i="29"/>
  <c r="T1362" i="29"/>
  <c r="S1362" i="29"/>
  <c r="F1363" i="29"/>
  <c r="G1363" i="29"/>
  <c r="N1363" i="29"/>
  <c r="P1363" i="29"/>
  <c r="Q1363" i="29"/>
  <c r="F1364" i="29"/>
  <c r="G1364" i="29"/>
  <c r="N1364" i="29"/>
  <c r="P1364" i="29"/>
  <c r="Q1364" i="29"/>
  <c r="T1364" i="29"/>
  <c r="F1365" i="29"/>
  <c r="K1365" i="29"/>
  <c r="G1365" i="29"/>
  <c r="N1365" i="29"/>
  <c r="P1365" i="29"/>
  <c r="Q1365" i="29"/>
  <c r="T1365" i="29"/>
  <c r="S1365" i="29"/>
  <c r="F1366" i="29"/>
  <c r="G1366" i="29"/>
  <c r="N1366" i="29"/>
  <c r="P1366" i="29"/>
  <c r="R1366" i="29"/>
  <c r="Q1366" i="29"/>
  <c r="F1367" i="29"/>
  <c r="G1367" i="29"/>
  <c r="N1367" i="29"/>
  <c r="P1367" i="29"/>
  <c r="Q1367" i="29"/>
  <c r="T1367" i="29"/>
  <c r="S1367" i="29"/>
  <c r="F1368" i="29"/>
  <c r="G1368" i="29"/>
  <c r="N1368" i="29"/>
  <c r="P1368" i="29"/>
  <c r="Q1368" i="29"/>
  <c r="F1369" i="29"/>
  <c r="G1369" i="29"/>
  <c r="N1369" i="29"/>
  <c r="P1369" i="29"/>
  <c r="Q1369" i="29"/>
  <c r="F1370" i="29"/>
  <c r="G1370" i="29"/>
  <c r="J1370" i="29"/>
  <c r="N1370" i="29"/>
  <c r="P1370" i="29"/>
  <c r="Q1370" i="29"/>
  <c r="S1370" i="29"/>
  <c r="F1371" i="29"/>
  <c r="G1371" i="29"/>
  <c r="J1371" i="29"/>
  <c r="N1371" i="29"/>
  <c r="P1371" i="29"/>
  <c r="Q1371" i="29"/>
  <c r="T1371" i="29"/>
  <c r="F1372" i="29"/>
  <c r="G1372" i="29"/>
  <c r="N1372" i="29"/>
  <c r="P1372" i="29"/>
  <c r="Q1372" i="29"/>
  <c r="T1372" i="29"/>
  <c r="S1372" i="29"/>
  <c r="F1373" i="29"/>
  <c r="G1373" i="29"/>
  <c r="N1373" i="29"/>
  <c r="P1373" i="29"/>
  <c r="Q1373" i="29"/>
  <c r="F1374" i="29"/>
  <c r="G1374" i="29"/>
  <c r="N1374" i="29"/>
  <c r="P1374" i="29"/>
  <c r="Q1374" i="29"/>
  <c r="T1374" i="29"/>
  <c r="S1374" i="29"/>
  <c r="F1375" i="29"/>
  <c r="G1375" i="29"/>
  <c r="N1375" i="29"/>
  <c r="P1375" i="29"/>
  <c r="Q1375" i="29"/>
  <c r="F1376" i="29"/>
  <c r="G1376" i="29"/>
  <c r="N1376" i="29"/>
  <c r="P1376" i="29"/>
  <c r="Q1376" i="29"/>
  <c r="T1376" i="29"/>
  <c r="F1377" i="29"/>
  <c r="G1377" i="29"/>
  <c r="N1377" i="29"/>
  <c r="P1377" i="29"/>
  <c r="Q1377" i="29"/>
  <c r="T1377" i="29"/>
  <c r="S1377" i="29"/>
  <c r="F1378" i="29"/>
  <c r="G1378" i="29"/>
  <c r="N1378" i="29"/>
  <c r="P1378" i="29"/>
  <c r="Q1378" i="29"/>
  <c r="F1379" i="29"/>
  <c r="G1379" i="29"/>
  <c r="N1379" i="29"/>
  <c r="P1379" i="29"/>
  <c r="Q1379" i="29"/>
  <c r="S1379" i="29"/>
  <c r="F1380" i="29"/>
  <c r="G1380" i="29"/>
  <c r="N1380" i="29"/>
  <c r="P1380" i="29"/>
  <c r="Q1380" i="29"/>
  <c r="T1380" i="29"/>
  <c r="F1381" i="29"/>
  <c r="G1381" i="29"/>
  <c r="N1381" i="29"/>
  <c r="P1381" i="29"/>
  <c r="R1381" i="29"/>
  <c r="Q1381" i="29"/>
  <c r="F1382" i="29"/>
  <c r="G1382" i="29"/>
  <c r="N1382" i="29"/>
  <c r="P1382" i="29"/>
  <c r="Q1382" i="29"/>
  <c r="T1382" i="29"/>
  <c r="S1382" i="29"/>
  <c r="F1383" i="29"/>
  <c r="G1383" i="29"/>
  <c r="N1383" i="29"/>
  <c r="P1383" i="29"/>
  <c r="Q1383" i="29"/>
  <c r="F1384" i="29"/>
  <c r="G1384" i="29"/>
  <c r="N1384" i="29"/>
  <c r="P1384" i="29"/>
  <c r="Q1384" i="29"/>
  <c r="T1384" i="29"/>
  <c r="S1384" i="29"/>
  <c r="F1385" i="29"/>
  <c r="G1385" i="29"/>
  <c r="J1385" i="29"/>
  <c r="N1385" i="29"/>
  <c r="P1385" i="29"/>
  <c r="Q1385" i="29"/>
  <c r="T1385" i="29"/>
  <c r="S1385" i="29"/>
  <c r="F1386" i="29"/>
  <c r="G1386" i="29"/>
  <c r="N1386" i="29"/>
  <c r="P1386" i="29"/>
  <c r="Q1386" i="29"/>
  <c r="T1386" i="29"/>
  <c r="S1386" i="29"/>
  <c r="F1387" i="29"/>
  <c r="G1387" i="29"/>
  <c r="N1387" i="29"/>
  <c r="P1387" i="29"/>
  <c r="Q1387" i="29"/>
  <c r="T1387" i="29"/>
  <c r="S1387" i="29"/>
  <c r="F1388" i="29"/>
  <c r="G1388" i="29"/>
  <c r="N1388" i="29"/>
  <c r="P1388" i="29"/>
  <c r="Q1388" i="29"/>
  <c r="F1389" i="29"/>
  <c r="G1389" i="29"/>
  <c r="N1389" i="29"/>
  <c r="P1389" i="29"/>
  <c r="Q1389" i="29"/>
  <c r="S1389" i="29"/>
  <c r="F1390" i="29"/>
  <c r="G1390" i="29"/>
  <c r="N1390" i="29"/>
  <c r="P1390" i="29"/>
  <c r="Q1390" i="29"/>
  <c r="F1391" i="29"/>
  <c r="G1391" i="29"/>
  <c r="N1391" i="29"/>
  <c r="P1391" i="29"/>
  <c r="Q1391" i="29"/>
  <c r="T1391" i="29"/>
  <c r="S1391" i="29"/>
  <c r="F1392" i="29"/>
  <c r="G1392" i="29"/>
  <c r="J1392" i="29"/>
  <c r="N1392" i="29"/>
  <c r="P1392" i="29"/>
  <c r="Q1392" i="29"/>
  <c r="F1393" i="29"/>
  <c r="G1393" i="29"/>
  <c r="J1393" i="29"/>
  <c r="N1393" i="29"/>
  <c r="P1393" i="29"/>
  <c r="Q1393" i="29"/>
  <c r="F1394" i="29"/>
  <c r="G1394" i="29"/>
  <c r="J1394" i="29"/>
  <c r="N1394" i="29"/>
  <c r="P1394" i="29"/>
  <c r="Q1394" i="29"/>
  <c r="T1394" i="29"/>
  <c r="F1395" i="29"/>
  <c r="G1395" i="29"/>
  <c r="N1395" i="29"/>
  <c r="P1395" i="29"/>
  <c r="Q1395" i="29"/>
  <c r="F1396" i="29"/>
  <c r="G1396" i="29"/>
  <c r="N1396" i="29"/>
  <c r="P1396" i="29"/>
  <c r="Q1396" i="29"/>
  <c r="F1397" i="29"/>
  <c r="G1397" i="29"/>
  <c r="N1397" i="29"/>
  <c r="P1397" i="29"/>
  <c r="Q1397" i="29"/>
  <c r="S1397" i="29"/>
  <c r="F1398" i="29"/>
  <c r="G1398" i="29"/>
  <c r="N1398" i="29"/>
  <c r="P1398" i="29"/>
  <c r="Q1398" i="29"/>
  <c r="F1399" i="29"/>
  <c r="G1399" i="29"/>
  <c r="N1399" i="29"/>
  <c r="P1399" i="29"/>
  <c r="Q1399" i="29"/>
  <c r="T1399" i="29"/>
  <c r="S1399" i="29"/>
  <c r="F1400" i="29"/>
  <c r="G1400" i="29"/>
  <c r="N1400" i="29"/>
  <c r="P1400" i="29"/>
  <c r="Q1400" i="29"/>
  <c r="F1401" i="29"/>
  <c r="G1401" i="29"/>
  <c r="N1401" i="29"/>
  <c r="P1401" i="29"/>
  <c r="Q1401" i="29"/>
  <c r="F1402" i="29"/>
  <c r="G1402" i="29"/>
  <c r="J1402" i="29"/>
  <c r="N1402" i="29"/>
  <c r="P1402" i="29"/>
  <c r="Q1402" i="29"/>
  <c r="F1403" i="29"/>
  <c r="G1403" i="29"/>
  <c r="N1403" i="29"/>
  <c r="P1403" i="29"/>
  <c r="Q1403" i="29"/>
  <c r="F1404" i="29"/>
  <c r="G1404" i="29"/>
  <c r="N1404" i="29"/>
  <c r="P1404" i="29"/>
  <c r="Q1404" i="29"/>
  <c r="T1404" i="29"/>
  <c r="S1404" i="29"/>
  <c r="F1405" i="29"/>
  <c r="G1405" i="29"/>
  <c r="N1405" i="29"/>
  <c r="P1405" i="29"/>
  <c r="Q1405" i="29"/>
  <c r="S1405" i="29"/>
  <c r="F1406" i="29"/>
  <c r="G1406" i="29"/>
  <c r="N1406" i="29"/>
  <c r="P1406" i="29"/>
  <c r="Q1406" i="29"/>
  <c r="T1406" i="29"/>
  <c r="S1406" i="29"/>
  <c r="F1407" i="29"/>
  <c r="G1407" i="29"/>
  <c r="J1407" i="29"/>
  <c r="N1407" i="29"/>
  <c r="P1407" i="29"/>
  <c r="Q1407" i="29"/>
  <c r="T1407" i="29"/>
  <c r="S1407" i="29"/>
  <c r="F1408" i="29"/>
  <c r="G1408" i="29"/>
  <c r="N1408" i="29"/>
  <c r="P1408" i="29"/>
  <c r="Q1408" i="29"/>
  <c r="S1408" i="29"/>
  <c r="F1409" i="29"/>
  <c r="G1409" i="29"/>
  <c r="N1409" i="29"/>
  <c r="P1409" i="29"/>
  <c r="Q1409" i="29"/>
  <c r="T1409" i="29"/>
  <c r="R1409" i="29"/>
  <c r="S1409" i="29"/>
  <c r="F1410" i="29"/>
  <c r="G1410" i="29"/>
  <c r="N1410" i="29"/>
  <c r="P1410" i="29"/>
  <c r="Q1410" i="29"/>
  <c r="F1411" i="29"/>
  <c r="G1411" i="29"/>
  <c r="J1411" i="29"/>
  <c r="N1411" i="29"/>
  <c r="P1411" i="29"/>
  <c r="Q1411" i="29"/>
  <c r="F1412" i="29"/>
  <c r="G1412" i="29"/>
  <c r="N1412" i="29"/>
  <c r="P1412" i="29"/>
  <c r="Q1412" i="29"/>
  <c r="F1413" i="29"/>
  <c r="G1413" i="29"/>
  <c r="P1413" i="29"/>
  <c r="Q1413" i="29"/>
  <c r="T1413" i="29"/>
  <c r="S1413" i="29"/>
  <c r="F1414" i="29"/>
  <c r="G1414" i="29"/>
  <c r="P1414" i="29"/>
  <c r="Q1414" i="29"/>
  <c r="T1414" i="29"/>
  <c r="S1414" i="29"/>
  <c r="F1415" i="29"/>
  <c r="G1415" i="29"/>
  <c r="N1415" i="29"/>
  <c r="P1415" i="29"/>
  <c r="Q1415" i="29"/>
  <c r="S1415" i="29"/>
  <c r="F1416" i="29"/>
  <c r="G1416" i="29"/>
  <c r="N1416" i="29"/>
  <c r="P1416" i="29"/>
  <c r="Q1416" i="29"/>
  <c r="F1417" i="29"/>
  <c r="G1417" i="29"/>
  <c r="N1417" i="29"/>
  <c r="P1417" i="29"/>
  <c r="Q1417" i="29"/>
  <c r="F1418" i="29"/>
  <c r="G1418" i="29"/>
  <c r="N1418" i="29"/>
  <c r="P1418" i="29"/>
  <c r="Q1418" i="29"/>
  <c r="T1418" i="29"/>
  <c r="F1419" i="29"/>
  <c r="G1419" i="29"/>
  <c r="N1419" i="29"/>
  <c r="P1419" i="29"/>
  <c r="Q1419" i="29"/>
  <c r="T1419" i="29"/>
  <c r="S1419" i="29"/>
  <c r="F1420" i="29"/>
  <c r="G1420" i="29"/>
  <c r="N1420" i="29"/>
  <c r="P1420" i="29"/>
  <c r="Q1420" i="29"/>
  <c r="T1420" i="29"/>
  <c r="S1420" i="29"/>
  <c r="F1421" i="29"/>
  <c r="G1421" i="29"/>
  <c r="N1421" i="29"/>
  <c r="P1421" i="29"/>
  <c r="Q1421" i="29"/>
  <c r="T1421" i="29"/>
  <c r="S1421" i="29"/>
  <c r="F1422" i="29"/>
  <c r="G1422" i="29"/>
  <c r="N1422" i="29"/>
  <c r="P1422" i="29"/>
  <c r="Q1422" i="29"/>
  <c r="T1422" i="29"/>
  <c r="S1422" i="29"/>
  <c r="F1423" i="29"/>
  <c r="G1423" i="29"/>
  <c r="N1423" i="29"/>
  <c r="P1423" i="29"/>
  <c r="Q1423" i="29"/>
  <c r="T1423" i="29"/>
  <c r="S1423" i="29"/>
  <c r="N1424" i="29"/>
  <c r="W1424" i="29"/>
  <c r="F1425" i="29"/>
  <c r="G1425" i="29"/>
  <c r="N1425" i="29"/>
  <c r="P1425" i="29"/>
  <c r="Q1425" i="29"/>
  <c r="F1426" i="29"/>
  <c r="G1426" i="29"/>
  <c r="N1426" i="29"/>
  <c r="P1426" i="29"/>
  <c r="Q1426" i="29"/>
  <c r="T1426" i="29"/>
  <c r="S1426" i="29"/>
  <c r="F1427" i="29"/>
  <c r="G1427" i="29"/>
  <c r="N1427" i="29"/>
  <c r="P1427" i="29"/>
  <c r="Q1427" i="29"/>
  <c r="F1428" i="29"/>
  <c r="G1428" i="29"/>
  <c r="N1428" i="29"/>
  <c r="P1428" i="29"/>
  <c r="Q1428" i="29"/>
  <c r="T1428" i="29"/>
  <c r="S1428" i="29"/>
  <c r="F1429" i="29"/>
  <c r="G1429" i="29"/>
  <c r="N1429" i="29"/>
  <c r="P1429" i="29"/>
  <c r="Q1429" i="29"/>
  <c r="T1429" i="29"/>
  <c r="S1429" i="29"/>
  <c r="F1430" i="29"/>
  <c r="G1430" i="29"/>
  <c r="N1430" i="29"/>
  <c r="P1430" i="29"/>
  <c r="Q1430" i="29"/>
  <c r="F1431" i="29"/>
  <c r="G1431" i="29"/>
  <c r="N1431" i="29"/>
  <c r="P1431" i="29"/>
  <c r="Q1431" i="29"/>
  <c r="T1431" i="29"/>
  <c r="S1431" i="29"/>
  <c r="F1432" i="29"/>
  <c r="G1432" i="29"/>
  <c r="N1432" i="29"/>
  <c r="P1432" i="29"/>
  <c r="Q1432" i="29"/>
  <c r="F1433" i="29"/>
  <c r="G1433" i="29"/>
  <c r="N1433" i="29"/>
  <c r="P1433" i="29"/>
  <c r="Q1433" i="29"/>
  <c r="F1434" i="29"/>
  <c r="G1434" i="29"/>
  <c r="N1434" i="29"/>
  <c r="P1434" i="29"/>
  <c r="Q1434" i="29"/>
  <c r="T1434" i="29"/>
  <c r="S1434" i="29"/>
  <c r="F1435" i="29"/>
  <c r="G1435" i="29"/>
  <c r="J1435" i="29"/>
  <c r="N1435" i="29"/>
  <c r="P1435" i="29"/>
  <c r="Q1435" i="29"/>
  <c r="T1435" i="29"/>
  <c r="F1436" i="29"/>
  <c r="G1436" i="29"/>
  <c r="J1436" i="29"/>
  <c r="N1436" i="29"/>
  <c r="P1436" i="29"/>
  <c r="R1436" i="29"/>
  <c r="Q1436" i="29"/>
  <c r="F1437" i="29"/>
  <c r="G1437" i="29"/>
  <c r="J1437" i="29"/>
  <c r="N1437" i="29"/>
  <c r="P1437" i="29"/>
  <c r="R1437" i="29"/>
  <c r="Q1437" i="29"/>
  <c r="F1438" i="29"/>
  <c r="G1438" i="29"/>
  <c r="N1438" i="29"/>
  <c r="P1438" i="29"/>
  <c r="Q1438" i="29"/>
  <c r="F1439" i="29"/>
  <c r="G1439" i="29"/>
  <c r="N1439" i="29"/>
  <c r="P1439" i="29"/>
  <c r="Q1439" i="29"/>
  <c r="F1440" i="29"/>
  <c r="G1440" i="29"/>
  <c r="N1440" i="29"/>
  <c r="P1440" i="29"/>
  <c r="Q1440" i="29"/>
  <c r="S1440" i="29"/>
  <c r="F1441" i="29"/>
  <c r="G1441" i="29"/>
  <c r="N1441" i="29"/>
  <c r="P1441" i="29"/>
  <c r="Q1441" i="29"/>
  <c r="F1442" i="29"/>
  <c r="G1442" i="29"/>
  <c r="N1442" i="29"/>
  <c r="P1442" i="29"/>
  <c r="Q1442" i="29"/>
  <c r="F1443" i="29"/>
  <c r="G1443" i="29"/>
  <c r="N1443" i="29"/>
  <c r="P1443" i="29"/>
  <c r="Q1443" i="29"/>
  <c r="F1444" i="29"/>
  <c r="G1444" i="29"/>
  <c r="N1444" i="29"/>
  <c r="P1444" i="29"/>
  <c r="Q1444" i="29"/>
  <c r="T1444" i="29"/>
  <c r="F1445" i="29"/>
  <c r="G1445" i="29"/>
  <c r="N1445" i="29"/>
  <c r="P1445" i="29"/>
  <c r="Q1445" i="29"/>
  <c r="F1446" i="29"/>
  <c r="G1446" i="29"/>
  <c r="N1446" i="29"/>
  <c r="P1446" i="29"/>
  <c r="Q1446" i="29"/>
  <c r="T1446" i="29"/>
  <c r="F1447" i="29"/>
  <c r="G1447" i="29"/>
  <c r="N1447" i="29"/>
  <c r="P1447" i="29"/>
  <c r="Q1447" i="29"/>
  <c r="S1447" i="29"/>
  <c r="F1448" i="29"/>
  <c r="G1448" i="29"/>
  <c r="N1448" i="29"/>
  <c r="P1448" i="29"/>
  <c r="Q1448" i="29"/>
  <c r="T1448" i="29"/>
  <c r="S1448" i="29"/>
  <c r="F1449" i="29"/>
  <c r="G1449" i="29"/>
  <c r="N1449" i="29"/>
  <c r="P1449" i="29"/>
  <c r="Q1449" i="29"/>
  <c r="T1449" i="29"/>
  <c r="S1449" i="29"/>
  <c r="F1450" i="29"/>
  <c r="G1450" i="29"/>
  <c r="N1450" i="29"/>
  <c r="P1450" i="29"/>
  <c r="Q1450" i="29"/>
  <c r="S1450" i="29"/>
  <c r="F1451" i="29"/>
  <c r="G1451" i="29"/>
  <c r="N1451" i="29"/>
  <c r="P1451" i="29"/>
  <c r="Q1451" i="29"/>
  <c r="S1451" i="29"/>
  <c r="F1452" i="29"/>
  <c r="G1452" i="29"/>
  <c r="N1452" i="29"/>
  <c r="P1452" i="29"/>
  <c r="Q1452" i="29"/>
  <c r="T1452" i="29"/>
  <c r="S1452" i="29"/>
  <c r="F1453" i="29"/>
  <c r="G1453" i="29"/>
  <c r="N1453" i="29"/>
  <c r="P1453" i="29"/>
  <c r="Q1453" i="29"/>
  <c r="F1454" i="29"/>
  <c r="G1454" i="29"/>
  <c r="N1454" i="29"/>
  <c r="P1454" i="29"/>
  <c r="Q1454" i="29"/>
  <c r="F1455" i="29"/>
  <c r="G1455" i="29"/>
  <c r="N1455" i="29"/>
  <c r="P1455" i="29"/>
  <c r="Q1455" i="29"/>
  <c r="F1456" i="29"/>
  <c r="G1456" i="29"/>
  <c r="N1456" i="29"/>
  <c r="P1456" i="29"/>
  <c r="Q1456" i="29"/>
  <c r="F1457" i="29"/>
  <c r="G1457" i="29"/>
  <c r="N1457" i="29"/>
  <c r="P1457" i="29"/>
  <c r="Q1457" i="29"/>
  <c r="F1458" i="29"/>
  <c r="G1458" i="29"/>
  <c r="N1458" i="29"/>
  <c r="P1458" i="29"/>
  <c r="Q1458" i="29"/>
  <c r="F1459" i="29"/>
  <c r="G1459" i="29"/>
  <c r="N1459" i="29"/>
  <c r="P1459" i="29"/>
  <c r="Q1459" i="29"/>
  <c r="T1459" i="29"/>
  <c r="S1459" i="29"/>
  <c r="F1460" i="29"/>
  <c r="G1460" i="29"/>
  <c r="N1460" i="29"/>
  <c r="P1460" i="29"/>
  <c r="Q1460" i="29"/>
  <c r="F1461" i="29"/>
  <c r="G1461" i="29"/>
  <c r="N1461" i="29"/>
  <c r="P1461" i="29"/>
  <c r="Q1461" i="29"/>
  <c r="T1461" i="29"/>
  <c r="S1461" i="29"/>
  <c r="F1462" i="29"/>
  <c r="G1462" i="29"/>
  <c r="N1462" i="29"/>
  <c r="P1462" i="29"/>
  <c r="Q1462" i="29"/>
  <c r="S1462" i="29"/>
  <c r="F1463" i="29"/>
  <c r="G1463" i="29"/>
  <c r="N1463" i="29"/>
  <c r="P1463" i="29"/>
  <c r="Q1463" i="29"/>
  <c r="S1463" i="29"/>
  <c r="F1464" i="29"/>
  <c r="G1464" i="29"/>
  <c r="N1464" i="29"/>
  <c r="P1464" i="29"/>
  <c r="Q1464" i="29"/>
  <c r="F1465" i="29"/>
  <c r="G1465" i="29"/>
  <c r="N1465" i="29"/>
  <c r="P1465" i="29"/>
  <c r="Q1465" i="29"/>
  <c r="F1466" i="29"/>
  <c r="G1466" i="29"/>
  <c r="N1466" i="29"/>
  <c r="P1466" i="29"/>
  <c r="Q1466" i="29"/>
  <c r="T1466" i="29"/>
  <c r="S1466" i="29"/>
  <c r="F1467" i="29"/>
  <c r="G1467" i="29"/>
  <c r="J1467" i="29"/>
  <c r="N1467" i="29"/>
  <c r="P1467" i="29"/>
  <c r="Q1467" i="29"/>
  <c r="F1468" i="29"/>
  <c r="G1468" i="29"/>
  <c r="J1468" i="29"/>
  <c r="N1468" i="29"/>
  <c r="P1468" i="29"/>
  <c r="Q1468" i="29"/>
  <c r="S1468" i="29"/>
  <c r="F1469" i="29"/>
  <c r="G1469" i="29"/>
  <c r="J1469" i="29"/>
  <c r="N1469" i="29"/>
  <c r="P1469" i="29"/>
  <c r="Q1469" i="29"/>
  <c r="F1470" i="29"/>
  <c r="G1470" i="29"/>
  <c r="N1470" i="29"/>
  <c r="P1470" i="29"/>
  <c r="Q1470" i="29"/>
  <c r="F1471" i="29"/>
  <c r="G1471" i="29"/>
  <c r="N1471" i="29"/>
  <c r="P1471" i="29"/>
  <c r="Q1471" i="29"/>
  <c r="F1472" i="29"/>
  <c r="G1472" i="29"/>
  <c r="N1472" i="29"/>
  <c r="P1472" i="29"/>
  <c r="Q1472" i="29"/>
  <c r="F1473" i="29"/>
  <c r="G1473" i="29"/>
  <c r="J1473" i="29"/>
  <c r="N1473" i="29"/>
  <c r="P1473" i="29"/>
  <c r="Q1473" i="29"/>
  <c r="F1474" i="29"/>
  <c r="G1474" i="29"/>
  <c r="J1474" i="29"/>
  <c r="N1474" i="29"/>
  <c r="P1474" i="29"/>
  <c r="R1474" i="29"/>
  <c r="Q1474" i="29"/>
  <c r="F1475" i="29"/>
  <c r="G1475" i="29"/>
  <c r="J1475" i="29"/>
  <c r="N1475" i="29"/>
  <c r="P1475" i="29"/>
  <c r="R1475" i="29"/>
  <c r="Q1475" i="29"/>
  <c r="F1476" i="29"/>
  <c r="G1476" i="29"/>
  <c r="N1476" i="29"/>
  <c r="P1476" i="29"/>
  <c r="Q1476" i="29"/>
  <c r="F1477" i="29"/>
  <c r="G1477" i="29"/>
  <c r="N1477" i="29"/>
  <c r="P1477" i="29"/>
  <c r="Q1477" i="29"/>
  <c r="F1478" i="29"/>
  <c r="G1478" i="29"/>
  <c r="N1478" i="29"/>
  <c r="P1478" i="29"/>
  <c r="Q1478" i="29"/>
  <c r="S1478" i="29"/>
  <c r="F1479" i="29"/>
  <c r="G1479" i="29"/>
  <c r="N1479" i="29"/>
  <c r="P1479" i="29"/>
  <c r="Q1479" i="29"/>
  <c r="T1479" i="29"/>
  <c r="F1480" i="29"/>
  <c r="G1480" i="29"/>
  <c r="N1480" i="29"/>
  <c r="P1480" i="29"/>
  <c r="Q1480" i="29"/>
  <c r="T1480" i="29"/>
  <c r="S1480" i="29"/>
  <c r="F1481" i="29"/>
  <c r="G1481" i="29"/>
  <c r="N1481" i="29"/>
  <c r="P1481" i="29"/>
  <c r="Q1481" i="29"/>
  <c r="T1481" i="29"/>
  <c r="S1481" i="29"/>
  <c r="F1482" i="29"/>
  <c r="G1482" i="29"/>
  <c r="J1482" i="29"/>
  <c r="N1482" i="29"/>
  <c r="P1482" i="29"/>
  <c r="Q1482" i="29"/>
  <c r="F1483" i="29"/>
  <c r="G1483" i="29"/>
  <c r="N1483" i="29"/>
  <c r="P1483" i="29"/>
  <c r="Q1483" i="29"/>
  <c r="F1484" i="29"/>
  <c r="G1484" i="29"/>
  <c r="N1484" i="29"/>
  <c r="P1484" i="29"/>
  <c r="Q1484" i="29"/>
  <c r="T1484" i="29"/>
  <c r="S1484" i="29"/>
  <c r="F1485" i="29"/>
  <c r="G1485" i="29"/>
  <c r="N1485" i="29"/>
  <c r="P1485" i="29"/>
  <c r="Q1485" i="29"/>
  <c r="T1485" i="29"/>
  <c r="S1485" i="29"/>
  <c r="F1486" i="29"/>
  <c r="G1486" i="29"/>
  <c r="N1486" i="29"/>
  <c r="P1486" i="29"/>
  <c r="Q1486" i="29"/>
  <c r="F1487" i="29"/>
  <c r="G1487" i="29"/>
  <c r="N1487" i="29"/>
  <c r="P1487" i="29"/>
  <c r="Q1487" i="29"/>
  <c r="S1487" i="29"/>
  <c r="F1488" i="29"/>
  <c r="G1488" i="29"/>
  <c r="N1488" i="29"/>
  <c r="P1488" i="29"/>
  <c r="Q1488" i="29"/>
  <c r="T1488" i="29"/>
  <c r="S1488" i="29"/>
  <c r="F1489" i="29"/>
  <c r="G1489" i="29"/>
  <c r="N1489" i="29"/>
  <c r="P1489" i="29"/>
  <c r="Q1489" i="29"/>
  <c r="T1489" i="29"/>
  <c r="S1489" i="29"/>
  <c r="F1490" i="29"/>
  <c r="G1490" i="29"/>
  <c r="N1490" i="29"/>
  <c r="P1490" i="29"/>
  <c r="Q1490" i="29"/>
  <c r="F1491" i="29"/>
  <c r="G1491" i="29"/>
  <c r="N1491" i="29"/>
  <c r="P1491" i="29"/>
  <c r="Q1491" i="29"/>
  <c r="F1492" i="29"/>
  <c r="G1492" i="29"/>
  <c r="N1492" i="29"/>
  <c r="P1492" i="29"/>
  <c r="Q1492" i="29"/>
  <c r="T1492" i="29"/>
  <c r="S1492" i="29"/>
  <c r="F1493" i="29"/>
  <c r="G1493" i="29"/>
  <c r="N1493" i="29"/>
  <c r="P1493" i="29"/>
  <c r="Q1493" i="29"/>
  <c r="F1494" i="29"/>
  <c r="G1494" i="29"/>
  <c r="N1494" i="29"/>
  <c r="P1494" i="29"/>
  <c r="Q1494" i="29"/>
  <c r="S1494" i="29"/>
  <c r="F1495" i="29"/>
  <c r="G1495" i="29"/>
  <c r="N1495" i="29"/>
  <c r="P1495" i="29"/>
  <c r="Q1495" i="29"/>
  <c r="F1496" i="29"/>
  <c r="G1496" i="29"/>
  <c r="N1496" i="29"/>
  <c r="P1496" i="29"/>
  <c r="Q1496" i="29"/>
  <c r="F1497" i="29"/>
  <c r="G1497" i="29"/>
  <c r="N1497" i="29"/>
  <c r="P1497" i="29"/>
  <c r="Q1497" i="29"/>
  <c r="T1497" i="29"/>
  <c r="S1497" i="29"/>
  <c r="F1498" i="29"/>
  <c r="G1498" i="29"/>
  <c r="N1498" i="29"/>
  <c r="P1498" i="29"/>
  <c r="Q1498" i="29"/>
  <c r="T1498" i="29"/>
  <c r="S1498" i="29"/>
  <c r="F1499" i="29"/>
  <c r="G1499" i="29"/>
  <c r="N1499" i="29"/>
  <c r="P1499" i="29"/>
  <c r="Q1499" i="29"/>
  <c r="S1499" i="29"/>
  <c r="F1500" i="29"/>
  <c r="G1500" i="29"/>
  <c r="J1500" i="29"/>
  <c r="N1500" i="29"/>
  <c r="P1500" i="29"/>
  <c r="Q1500" i="29"/>
  <c r="T1500" i="29"/>
  <c r="F1501" i="29"/>
  <c r="G1501" i="29"/>
  <c r="N1501" i="29"/>
  <c r="P1501" i="29"/>
  <c r="Q1501" i="29"/>
  <c r="F1502" i="29"/>
  <c r="G1502" i="29"/>
  <c r="J1502" i="29"/>
  <c r="N1502" i="29"/>
  <c r="P1502" i="29"/>
  <c r="Q1502" i="29"/>
  <c r="F1503" i="29"/>
  <c r="G1503" i="29"/>
  <c r="J1503" i="29"/>
  <c r="N1503" i="29"/>
  <c r="P1503" i="29"/>
  <c r="Q1503" i="29"/>
  <c r="F1504" i="29"/>
  <c r="G1504" i="29"/>
  <c r="J1504" i="29"/>
  <c r="N1504" i="29"/>
  <c r="P1504" i="29"/>
  <c r="R1504" i="29"/>
  <c r="Q1504" i="29"/>
  <c r="F1505" i="29"/>
  <c r="G1505" i="29"/>
  <c r="J1505" i="29"/>
  <c r="N1505" i="29"/>
  <c r="P1505" i="29"/>
  <c r="R1505" i="29"/>
  <c r="Q1505" i="29"/>
  <c r="F1506" i="29"/>
  <c r="G1506" i="29"/>
  <c r="N1506" i="29"/>
  <c r="P1506" i="29"/>
  <c r="Q1506" i="29"/>
  <c r="F1507" i="29"/>
  <c r="G1507" i="29"/>
  <c r="N1507" i="29"/>
  <c r="P1507" i="29"/>
  <c r="Q1507" i="29"/>
  <c r="F1508" i="29"/>
  <c r="G1508" i="29"/>
  <c r="N1508" i="29"/>
  <c r="P1508" i="29"/>
  <c r="Q1508" i="29"/>
  <c r="F1509" i="29"/>
  <c r="G1509" i="29"/>
  <c r="N1509" i="29"/>
  <c r="P1509" i="29"/>
  <c r="Q1509" i="29"/>
  <c r="F1510" i="29"/>
  <c r="G1510" i="29"/>
  <c r="N1510" i="29"/>
  <c r="P1510" i="29"/>
  <c r="Q1510" i="29"/>
  <c r="S1510" i="29"/>
  <c r="F1511" i="29"/>
  <c r="G1511" i="29"/>
  <c r="N1511" i="29"/>
  <c r="P1511" i="29"/>
  <c r="Q1511" i="29"/>
  <c r="F1512" i="29"/>
  <c r="G1512" i="29"/>
  <c r="N1512" i="29"/>
  <c r="P1512" i="29"/>
  <c r="Q1512" i="29"/>
  <c r="F1513" i="29"/>
  <c r="G1513" i="29"/>
  <c r="N1513" i="29"/>
  <c r="P1513" i="29"/>
  <c r="Q1513" i="29"/>
  <c r="F1514" i="29"/>
  <c r="G1514" i="29"/>
  <c r="N1514" i="29"/>
  <c r="P1514" i="29"/>
  <c r="Q1514" i="29"/>
  <c r="T1514" i="29"/>
  <c r="S1514" i="29"/>
  <c r="F1515" i="29"/>
  <c r="G1515" i="29"/>
  <c r="N1515" i="29"/>
  <c r="P1515" i="29"/>
  <c r="Q1515" i="29"/>
  <c r="F1516" i="29"/>
  <c r="G1516" i="29"/>
  <c r="N1516" i="29"/>
  <c r="P1516" i="29"/>
  <c r="Q1516" i="29"/>
  <c r="S1516" i="29"/>
  <c r="F1517" i="29"/>
  <c r="G1517" i="29"/>
  <c r="N1517" i="29"/>
  <c r="P1517" i="29"/>
  <c r="Q1517" i="29"/>
  <c r="T1517" i="29"/>
  <c r="S1517" i="29"/>
  <c r="F1518" i="29"/>
  <c r="G1518" i="29"/>
  <c r="J1518" i="29"/>
  <c r="N1518" i="29"/>
  <c r="P1518" i="29"/>
  <c r="Q1518" i="29"/>
  <c r="T1518" i="29"/>
  <c r="F1519" i="29"/>
  <c r="G1519" i="29"/>
  <c r="N1519" i="29"/>
  <c r="P1519" i="29"/>
  <c r="Q1519" i="29"/>
  <c r="F1520" i="29"/>
  <c r="G1520" i="29"/>
  <c r="N1520" i="29"/>
  <c r="P1520" i="29"/>
  <c r="Q1520" i="29"/>
  <c r="F1521" i="29"/>
  <c r="G1521" i="29"/>
  <c r="N1521" i="29"/>
  <c r="P1521" i="29"/>
  <c r="Q1521" i="29"/>
  <c r="F1522" i="29"/>
  <c r="G1522" i="29"/>
  <c r="J1522" i="29"/>
  <c r="N1522" i="29"/>
  <c r="P1522" i="29"/>
  <c r="Q1522" i="29"/>
  <c r="F1523" i="29"/>
  <c r="G1523" i="29"/>
  <c r="N1523" i="29"/>
  <c r="P1523" i="29"/>
  <c r="Q1523" i="29"/>
  <c r="F1524" i="29"/>
  <c r="G1524" i="29"/>
  <c r="N1524" i="29"/>
  <c r="P1524" i="29"/>
  <c r="Q1524" i="29"/>
  <c r="T1524" i="29"/>
  <c r="S1524" i="29"/>
  <c r="F1525" i="29"/>
  <c r="G1525" i="29"/>
  <c r="N1525" i="29"/>
  <c r="P1525" i="29"/>
  <c r="Q1525" i="29"/>
  <c r="T1525" i="29"/>
  <c r="S1525" i="29"/>
  <c r="F1526" i="29"/>
  <c r="G1526" i="29"/>
  <c r="N1526" i="29"/>
  <c r="P1526" i="29"/>
  <c r="Q1526" i="29"/>
  <c r="S1526" i="29"/>
  <c r="F1527" i="29"/>
  <c r="G1527" i="29"/>
  <c r="N1527" i="29"/>
  <c r="P1527" i="29"/>
  <c r="Q1527" i="29"/>
  <c r="F1528" i="29"/>
  <c r="G1528" i="29"/>
  <c r="N1528" i="29"/>
  <c r="P1528" i="29"/>
  <c r="Q1528" i="29"/>
  <c r="F1529" i="29"/>
  <c r="G1529" i="29"/>
  <c r="N1529" i="29"/>
  <c r="P1529" i="29"/>
  <c r="Q1529" i="29"/>
  <c r="S1529" i="29"/>
  <c r="F1530" i="29"/>
  <c r="G1530" i="29"/>
  <c r="N1530" i="29"/>
  <c r="P1530" i="29"/>
  <c r="Q1530" i="29"/>
  <c r="F1531" i="29"/>
  <c r="G1531" i="29"/>
  <c r="N1531" i="29"/>
  <c r="P1531" i="29"/>
  <c r="Q1531" i="29"/>
  <c r="F1532" i="29"/>
  <c r="G1532" i="29"/>
  <c r="N1532" i="29"/>
  <c r="P1532" i="29"/>
  <c r="Q1532" i="29"/>
  <c r="F1533" i="29"/>
  <c r="G1533" i="29"/>
  <c r="N1533" i="29"/>
  <c r="P1533" i="29"/>
  <c r="Q1533" i="29"/>
  <c r="F1534" i="29"/>
  <c r="G1534" i="29"/>
  <c r="N1534" i="29"/>
  <c r="P1534" i="29"/>
  <c r="Q1534" i="29"/>
  <c r="F1535" i="29"/>
  <c r="G1535" i="29"/>
  <c r="N1535" i="29"/>
  <c r="P1535" i="29"/>
  <c r="Q1535" i="29"/>
  <c r="F1536" i="29"/>
  <c r="G1536" i="29"/>
  <c r="N1536" i="29"/>
  <c r="P1536" i="29"/>
  <c r="Q1536" i="29"/>
  <c r="F1537" i="29"/>
  <c r="G1537" i="29"/>
  <c r="N1537" i="29"/>
  <c r="P1537" i="29"/>
  <c r="Q1537" i="29"/>
  <c r="F1538" i="29"/>
  <c r="G1538" i="29"/>
  <c r="N1538" i="29"/>
  <c r="P1538" i="29"/>
  <c r="Q1538" i="29"/>
  <c r="F1539" i="29"/>
  <c r="G1539" i="29"/>
  <c r="N1539" i="29"/>
  <c r="P1539" i="29"/>
  <c r="Q1539" i="29"/>
  <c r="F1540" i="29"/>
  <c r="G1540" i="29"/>
  <c r="N1540" i="29"/>
  <c r="P1540" i="29"/>
  <c r="S1540" i="29"/>
  <c r="T1540" i="29"/>
  <c r="N1541" i="29"/>
  <c r="W1541" i="29"/>
  <c r="F1542" i="29"/>
  <c r="G1542" i="29"/>
  <c r="N1542" i="29"/>
  <c r="P1542" i="29"/>
  <c r="Q1542" i="29"/>
  <c r="T1542" i="29"/>
  <c r="F1543" i="29"/>
  <c r="G1543" i="29"/>
  <c r="N1543" i="29"/>
  <c r="P1543" i="29"/>
  <c r="S1543" i="29"/>
  <c r="T1543" i="29"/>
  <c r="F1544" i="29"/>
  <c r="G1544" i="29"/>
  <c r="N1544" i="29"/>
  <c r="P1544" i="29"/>
  <c r="S1544" i="29"/>
  <c r="T1544" i="29"/>
  <c r="F1545" i="29"/>
  <c r="G1545" i="29"/>
  <c r="N1545" i="29"/>
  <c r="P1545" i="29"/>
  <c r="S1545" i="29"/>
  <c r="T1545" i="29"/>
  <c r="F1546" i="29"/>
  <c r="G1546" i="29"/>
  <c r="N1546" i="29"/>
  <c r="P1546" i="29"/>
  <c r="S1546" i="29"/>
  <c r="T1546" i="29"/>
  <c r="F1547" i="29"/>
  <c r="G1547" i="29"/>
  <c r="N1547" i="29"/>
  <c r="P1547" i="29"/>
  <c r="Q1547" i="29"/>
  <c r="F1548" i="29"/>
  <c r="G1548" i="29"/>
  <c r="N1548" i="29"/>
  <c r="P1548" i="29"/>
  <c r="Q1548" i="29"/>
  <c r="F1549" i="29"/>
  <c r="G1549" i="29"/>
  <c r="N1549" i="29"/>
  <c r="P1549" i="29"/>
  <c r="Q1549" i="29"/>
  <c r="F1550" i="29"/>
  <c r="G1550" i="29"/>
  <c r="N1550" i="29"/>
  <c r="P1550" i="29"/>
  <c r="Q1550" i="29"/>
  <c r="T1550" i="29"/>
  <c r="S1550" i="29"/>
  <c r="F1551" i="29"/>
  <c r="G1551" i="29"/>
  <c r="N1551" i="29"/>
  <c r="P1551" i="29"/>
  <c r="Q1551" i="29"/>
  <c r="F1552" i="29"/>
  <c r="G1552" i="29"/>
  <c r="N1552" i="29"/>
  <c r="P1552" i="29"/>
  <c r="Q1552" i="29"/>
  <c r="F1553" i="29"/>
  <c r="G1553" i="29"/>
  <c r="N1553" i="29"/>
  <c r="P1553" i="29"/>
  <c r="Q1553" i="29"/>
  <c r="F1554" i="29"/>
  <c r="G1554" i="29"/>
  <c r="N1554" i="29"/>
  <c r="P1554" i="29"/>
  <c r="Q1554" i="29"/>
  <c r="T1554" i="29"/>
  <c r="S1554" i="29"/>
  <c r="F1555" i="29"/>
  <c r="G1555" i="29"/>
  <c r="N1555" i="29"/>
  <c r="P1555" i="29"/>
  <c r="Q1555" i="29"/>
  <c r="T1555" i="29"/>
  <c r="S1555" i="29"/>
  <c r="F1556" i="29"/>
  <c r="G1556" i="29"/>
  <c r="N1556" i="29"/>
  <c r="P1556" i="29"/>
  <c r="Q1556" i="29"/>
  <c r="F1557" i="29"/>
  <c r="G1557" i="29"/>
  <c r="N1557" i="29"/>
  <c r="P1557" i="29"/>
  <c r="Q1557" i="29"/>
  <c r="T1557" i="29"/>
  <c r="S1557" i="29"/>
  <c r="F1558" i="29"/>
  <c r="G1558" i="29"/>
  <c r="N1558" i="29"/>
  <c r="P1558" i="29"/>
  <c r="Q1558" i="29"/>
  <c r="F1559" i="29"/>
  <c r="G1559" i="29"/>
  <c r="N1559" i="29"/>
  <c r="P1559" i="29"/>
  <c r="Q1559" i="29"/>
  <c r="F1560" i="29"/>
  <c r="G1560" i="29"/>
  <c r="N1560" i="29"/>
  <c r="P1560" i="29"/>
  <c r="Q1560" i="29"/>
  <c r="F1561" i="29"/>
  <c r="G1561" i="29"/>
  <c r="N1561" i="29"/>
  <c r="P1561" i="29"/>
  <c r="Q1561" i="29"/>
  <c r="F1562" i="29"/>
  <c r="G1562" i="29"/>
  <c r="N1562" i="29"/>
  <c r="P1562" i="29"/>
  <c r="Q1562" i="29"/>
  <c r="T1562" i="29"/>
  <c r="S1562" i="29"/>
  <c r="F1563" i="29"/>
  <c r="G1563" i="29"/>
  <c r="N1563" i="29"/>
  <c r="P1563" i="29"/>
  <c r="Q1563" i="29"/>
  <c r="F1564" i="29"/>
  <c r="G1564" i="29"/>
  <c r="N1564" i="29"/>
  <c r="P1564" i="29"/>
  <c r="Q1564" i="29"/>
  <c r="F1565" i="29"/>
  <c r="G1565" i="29"/>
  <c r="N1565" i="29"/>
  <c r="P1565" i="29"/>
  <c r="Q1565" i="29"/>
  <c r="S1565" i="29"/>
  <c r="F1566" i="29"/>
  <c r="G1566" i="29"/>
  <c r="N1566" i="29"/>
  <c r="P1566" i="29"/>
  <c r="Q1566" i="29"/>
  <c r="F1567" i="29"/>
  <c r="G1567" i="29"/>
  <c r="N1567" i="29"/>
  <c r="P1567" i="29"/>
  <c r="Q1567" i="29"/>
  <c r="T1567" i="29"/>
  <c r="S1567" i="29"/>
  <c r="F1568" i="29"/>
  <c r="G1568" i="29"/>
  <c r="N1568" i="29"/>
  <c r="P1568" i="29"/>
  <c r="Q1568" i="29"/>
  <c r="F1569" i="29"/>
  <c r="G1569" i="29"/>
  <c r="J1569" i="29"/>
  <c r="N1569" i="29"/>
  <c r="P1569" i="29"/>
  <c r="Q1569" i="29"/>
  <c r="F1570" i="29"/>
  <c r="G1570" i="29"/>
  <c r="N1570" i="29"/>
  <c r="P1570" i="29"/>
  <c r="Q1570" i="29"/>
  <c r="T1570" i="29"/>
  <c r="S1570" i="29"/>
  <c r="F1571" i="29"/>
  <c r="G1571" i="29"/>
  <c r="N1571" i="29"/>
  <c r="P1571" i="29"/>
  <c r="Q1571" i="29"/>
  <c r="F1572" i="29"/>
  <c r="G1572" i="29"/>
  <c r="N1572" i="29"/>
  <c r="P1572" i="29"/>
  <c r="Q1572" i="29"/>
  <c r="F1573" i="29"/>
  <c r="G1573" i="29"/>
  <c r="N1573" i="29"/>
  <c r="P1573" i="29"/>
  <c r="Q1573" i="29"/>
  <c r="T1573" i="29"/>
  <c r="S1573" i="29"/>
  <c r="F1574" i="29"/>
  <c r="G1574" i="29"/>
  <c r="N1574" i="29"/>
  <c r="P1574" i="29"/>
  <c r="Q1574" i="29"/>
  <c r="F1575" i="29"/>
  <c r="G1575" i="29"/>
  <c r="N1575" i="29"/>
  <c r="P1575" i="29"/>
  <c r="Q1575" i="29"/>
  <c r="F1576" i="29"/>
  <c r="G1576" i="29"/>
  <c r="N1576" i="29"/>
  <c r="P1576" i="29"/>
  <c r="Q1576" i="29"/>
  <c r="F1577" i="29"/>
  <c r="G1577" i="29"/>
  <c r="N1577" i="29"/>
  <c r="P1577" i="29"/>
  <c r="Q1577" i="29"/>
  <c r="F1578" i="29"/>
  <c r="G1578" i="29"/>
  <c r="N1578" i="29"/>
  <c r="P1578" i="29"/>
  <c r="Q1578" i="29"/>
  <c r="F1579" i="29"/>
  <c r="G1579" i="29"/>
  <c r="N1579" i="29"/>
  <c r="P1579" i="29"/>
  <c r="Q1579" i="29"/>
  <c r="F1580" i="29"/>
  <c r="G1580" i="29"/>
  <c r="N1580" i="29"/>
  <c r="P1580" i="29"/>
  <c r="Q1580" i="29"/>
  <c r="T1580" i="29"/>
  <c r="S1580" i="29"/>
  <c r="F1581" i="29"/>
  <c r="G1581" i="29"/>
  <c r="N1581" i="29"/>
  <c r="P1581" i="29"/>
  <c r="Q1581" i="29"/>
  <c r="F1582" i="29"/>
  <c r="G1582" i="29"/>
  <c r="J1582" i="29"/>
  <c r="N1582" i="29"/>
  <c r="P1582" i="29"/>
  <c r="Q1582" i="29"/>
  <c r="F1583" i="29"/>
  <c r="G1583" i="29"/>
  <c r="J1583" i="29"/>
  <c r="N1583" i="29"/>
  <c r="P1583" i="29"/>
  <c r="R1583" i="29"/>
  <c r="Q1583" i="29"/>
  <c r="F1584" i="29"/>
  <c r="G1584" i="29"/>
  <c r="J1584" i="29"/>
  <c r="N1584" i="29"/>
  <c r="P1584" i="29"/>
  <c r="R1584" i="29"/>
  <c r="Q1584" i="29"/>
  <c r="F1585" i="29"/>
  <c r="G1585" i="29"/>
  <c r="N1585" i="29"/>
  <c r="P1585" i="29"/>
  <c r="Q1585" i="29"/>
  <c r="F1586" i="29"/>
  <c r="G1586" i="29"/>
  <c r="N1586" i="29"/>
  <c r="P1586" i="29"/>
  <c r="Q1586" i="29"/>
  <c r="F1587" i="29"/>
  <c r="G1587" i="29"/>
  <c r="J1587" i="29"/>
  <c r="N1587" i="29"/>
  <c r="P1587" i="29"/>
  <c r="Q1587" i="29"/>
  <c r="T1587" i="29"/>
  <c r="F1588" i="29"/>
  <c r="G1588" i="29"/>
  <c r="J1588" i="29"/>
  <c r="N1588" i="29"/>
  <c r="P1588" i="29"/>
  <c r="Q1588" i="29"/>
  <c r="F1589" i="29"/>
  <c r="G1589" i="29"/>
  <c r="N1589" i="29"/>
  <c r="P1589" i="29"/>
  <c r="Q1589" i="29"/>
  <c r="F1590" i="29"/>
  <c r="G1590" i="29"/>
  <c r="N1590" i="29"/>
  <c r="P1590" i="29"/>
  <c r="Q1590" i="29"/>
  <c r="F1591" i="29"/>
  <c r="G1591" i="29"/>
  <c r="N1591" i="29"/>
  <c r="P1591" i="29"/>
  <c r="Q1591" i="29"/>
  <c r="F1592" i="29"/>
  <c r="G1592" i="29"/>
  <c r="N1592" i="29"/>
  <c r="P1592" i="29"/>
  <c r="Q1592" i="29"/>
  <c r="T1592" i="29"/>
  <c r="S1592" i="29"/>
  <c r="F1593" i="29"/>
  <c r="G1593" i="29"/>
  <c r="N1593" i="29"/>
  <c r="P1593" i="29"/>
  <c r="Q1593" i="29"/>
  <c r="S1593" i="29"/>
  <c r="F1594" i="29"/>
  <c r="G1594" i="29"/>
  <c r="N1594" i="29"/>
  <c r="P1594" i="29"/>
  <c r="Q1594" i="29"/>
  <c r="F1595" i="29"/>
  <c r="G1595" i="29"/>
  <c r="N1595" i="29"/>
  <c r="Q1595" i="29"/>
  <c r="T1595" i="29"/>
  <c r="F1596" i="29"/>
  <c r="G1596" i="29"/>
  <c r="N1596" i="29"/>
  <c r="P1596" i="29"/>
  <c r="Q1596" i="29"/>
  <c r="T1596" i="29"/>
  <c r="S1596" i="29"/>
  <c r="F1597" i="29"/>
  <c r="G1597" i="29"/>
  <c r="N1597" i="29"/>
  <c r="P1597" i="29"/>
  <c r="Q1597" i="29"/>
  <c r="F1598" i="29"/>
  <c r="G1598" i="29"/>
  <c r="N1598" i="29"/>
  <c r="P1598" i="29"/>
  <c r="Q1598" i="29"/>
  <c r="F1599" i="29"/>
  <c r="G1599" i="29"/>
  <c r="N1599" i="29"/>
  <c r="P1599" i="29"/>
  <c r="Q1599" i="29"/>
  <c r="F1600" i="29"/>
  <c r="G1600" i="29"/>
  <c r="N1600" i="29"/>
  <c r="P1600" i="29"/>
  <c r="Q1600" i="29"/>
  <c r="F1601" i="29"/>
  <c r="G1601" i="29"/>
  <c r="N1601" i="29"/>
  <c r="P1601" i="29"/>
  <c r="Q1601" i="29"/>
  <c r="F1602" i="29"/>
  <c r="G1602" i="29"/>
  <c r="N1602" i="29"/>
  <c r="P1602" i="29"/>
  <c r="Q1602" i="29"/>
  <c r="F1603" i="29"/>
  <c r="G1603" i="29"/>
  <c r="N1603" i="29"/>
  <c r="P1603" i="29"/>
  <c r="Q1603" i="29"/>
  <c r="F1604" i="29"/>
  <c r="G1604" i="29"/>
  <c r="N1604" i="29"/>
  <c r="P1604" i="29"/>
  <c r="Q1604" i="29"/>
  <c r="F1605" i="29"/>
  <c r="G1605" i="29"/>
  <c r="N1605" i="29"/>
  <c r="P1605" i="29"/>
  <c r="Q1605" i="29"/>
  <c r="F1606" i="29"/>
  <c r="G1606" i="29"/>
  <c r="N1606" i="29"/>
  <c r="P1606" i="29"/>
  <c r="Q1606" i="29"/>
  <c r="F1607" i="29"/>
  <c r="G1607" i="29"/>
  <c r="N1607" i="29"/>
  <c r="Q1607" i="29"/>
  <c r="S1607" i="29"/>
  <c r="F1608" i="29"/>
  <c r="G1608" i="29"/>
  <c r="N1608" i="29"/>
  <c r="P1608" i="29"/>
  <c r="Q1608" i="29"/>
  <c r="F1609" i="29"/>
  <c r="G1609" i="29"/>
  <c r="N1609" i="29"/>
  <c r="P1609" i="29"/>
  <c r="Q1609" i="29"/>
  <c r="F1610" i="29"/>
  <c r="G1610" i="29"/>
  <c r="N1610" i="29"/>
  <c r="P1610" i="29"/>
  <c r="Q1610" i="29"/>
  <c r="F1611" i="29"/>
  <c r="G1611" i="29"/>
  <c r="N1611" i="29"/>
  <c r="P1611" i="29"/>
  <c r="Q1611" i="29"/>
  <c r="T1611" i="29"/>
  <c r="S1611" i="29"/>
  <c r="F1612" i="29"/>
  <c r="G1612" i="29"/>
  <c r="N1612" i="29"/>
  <c r="P1612" i="29"/>
  <c r="Q1612" i="29"/>
  <c r="F1613" i="29"/>
  <c r="G1613" i="29"/>
  <c r="N1613" i="29"/>
  <c r="P1613" i="29"/>
  <c r="Q1613" i="29"/>
  <c r="T1613" i="29"/>
  <c r="F1614" i="29"/>
  <c r="G1614" i="29"/>
  <c r="N1614" i="29"/>
  <c r="P1614" i="29"/>
  <c r="Q1614" i="29"/>
  <c r="S1614" i="29"/>
  <c r="F1615" i="29"/>
  <c r="G1615" i="29"/>
  <c r="N1615" i="29"/>
  <c r="P1615" i="29"/>
  <c r="Q1615" i="29"/>
  <c r="F1616" i="29"/>
  <c r="G1616" i="29"/>
  <c r="N1616" i="29"/>
  <c r="P1616" i="29"/>
  <c r="Q1616" i="29"/>
  <c r="F1617" i="29"/>
  <c r="G1617" i="29"/>
  <c r="N1617" i="29"/>
  <c r="P1617" i="29"/>
  <c r="Q1617" i="29"/>
  <c r="T1617" i="29"/>
  <c r="S1617" i="29"/>
  <c r="F1618" i="29"/>
  <c r="G1618" i="29"/>
  <c r="N1618" i="29"/>
  <c r="P1618" i="29"/>
  <c r="Q1618" i="29"/>
  <c r="T1618" i="29"/>
  <c r="S1618" i="29"/>
  <c r="F1619" i="29"/>
  <c r="G1619" i="29"/>
  <c r="N1619" i="29"/>
  <c r="Q1619" i="29"/>
  <c r="F1620" i="29"/>
  <c r="G1620" i="29"/>
  <c r="N1620" i="29"/>
  <c r="P1620" i="29"/>
  <c r="Q1620" i="29"/>
  <c r="T1620" i="29"/>
  <c r="S1620" i="29"/>
  <c r="F1621" i="29"/>
  <c r="G1621" i="29"/>
  <c r="N1621" i="29"/>
  <c r="P1621" i="29"/>
  <c r="Q1621" i="29"/>
  <c r="T1621" i="29"/>
  <c r="S1621" i="29"/>
  <c r="F1622" i="29"/>
  <c r="G1622" i="29"/>
  <c r="J1622" i="29"/>
  <c r="N1622" i="29"/>
  <c r="P1622" i="29"/>
  <c r="Q1622" i="29"/>
  <c r="T1622" i="29"/>
  <c r="S1622" i="29"/>
  <c r="F1623" i="29"/>
  <c r="G1623" i="29"/>
  <c r="N1623" i="29"/>
  <c r="P1623" i="29"/>
  <c r="Q1623" i="29"/>
  <c r="T1623" i="29"/>
  <c r="F1624" i="29"/>
  <c r="G1624" i="29"/>
  <c r="N1624" i="29"/>
  <c r="P1624" i="29"/>
  <c r="Q1624" i="29"/>
  <c r="S1624" i="29"/>
  <c r="F1625" i="29"/>
  <c r="G1625" i="29"/>
  <c r="N1625" i="29"/>
  <c r="P1625" i="29"/>
  <c r="Q1625" i="29"/>
  <c r="T1625" i="29"/>
  <c r="S1625" i="29"/>
  <c r="F1626" i="29"/>
  <c r="G1626" i="29"/>
  <c r="N1626" i="29"/>
  <c r="P1626" i="29"/>
  <c r="Q1626" i="29"/>
  <c r="F1627" i="29"/>
  <c r="G1627" i="29"/>
  <c r="N1627" i="29"/>
  <c r="P1627" i="29"/>
  <c r="Q1627" i="29"/>
  <c r="T1627" i="29"/>
  <c r="S1627" i="29"/>
  <c r="F1628" i="29"/>
  <c r="G1628" i="29"/>
  <c r="N1628" i="29"/>
  <c r="P1628" i="29"/>
  <c r="Q1628" i="29"/>
  <c r="T1628" i="29"/>
  <c r="S1628" i="29"/>
  <c r="F1629" i="29"/>
  <c r="G1629" i="29"/>
  <c r="N1629" i="29"/>
  <c r="P1629" i="29"/>
  <c r="Q1629" i="29"/>
  <c r="F1630" i="29"/>
  <c r="G1630" i="29"/>
  <c r="N1630" i="29"/>
  <c r="P1630" i="29"/>
  <c r="Q1630" i="29"/>
  <c r="F1631" i="29"/>
  <c r="G1631" i="29"/>
  <c r="N1631" i="29"/>
  <c r="P1631" i="29"/>
  <c r="Q1631" i="29"/>
  <c r="F1632" i="29"/>
  <c r="G1632" i="29"/>
  <c r="N1632" i="29"/>
  <c r="P1632" i="29"/>
  <c r="Q1632" i="29"/>
  <c r="F1633" i="29"/>
  <c r="G1633" i="29"/>
  <c r="N1633" i="29"/>
  <c r="P1633" i="29"/>
  <c r="Q1633" i="29"/>
  <c r="F1634" i="29"/>
  <c r="G1634" i="29"/>
  <c r="N1634" i="29"/>
  <c r="P1634" i="29"/>
  <c r="Q1634" i="29"/>
  <c r="T1634" i="29"/>
  <c r="S1634" i="29"/>
  <c r="F1635" i="29"/>
  <c r="G1635" i="29"/>
  <c r="N1635" i="29"/>
  <c r="P1635" i="29"/>
  <c r="Q1635" i="29"/>
  <c r="F1636" i="29"/>
  <c r="G1636" i="29"/>
  <c r="N1636" i="29"/>
  <c r="P1636" i="29"/>
  <c r="Q1636" i="29"/>
  <c r="T1636" i="29"/>
  <c r="S1636" i="29"/>
  <c r="F1637" i="29"/>
  <c r="G1637" i="29"/>
  <c r="N1637" i="29"/>
  <c r="P1637" i="29"/>
  <c r="Q1637" i="29"/>
  <c r="T1637" i="29"/>
  <c r="S1637" i="29"/>
  <c r="F1638" i="29"/>
  <c r="G1638" i="29"/>
  <c r="N1638" i="29"/>
  <c r="P1638" i="29"/>
  <c r="Q1638" i="29"/>
  <c r="T1638" i="29"/>
  <c r="S1638" i="29"/>
  <c r="F1639" i="29"/>
  <c r="G1639" i="29"/>
  <c r="N1639" i="29"/>
  <c r="P1639" i="29"/>
  <c r="Q1639" i="29"/>
  <c r="F1640" i="29"/>
  <c r="G1640" i="29"/>
  <c r="N1640" i="29"/>
  <c r="P1640" i="29"/>
  <c r="S1640" i="29"/>
  <c r="T1640" i="29"/>
  <c r="F1641" i="29"/>
  <c r="G1641" i="29"/>
  <c r="J1641" i="29"/>
  <c r="N1641" i="29"/>
  <c r="P1641" i="29"/>
  <c r="Q1641" i="29"/>
  <c r="F1642" i="29"/>
  <c r="G1642" i="29"/>
  <c r="N1642" i="29"/>
  <c r="P1642" i="29"/>
  <c r="Q1642" i="29"/>
  <c r="T1642" i="29"/>
  <c r="S1642" i="29"/>
  <c r="F1643" i="29"/>
  <c r="G1643" i="29"/>
  <c r="N1643" i="29"/>
  <c r="P1643" i="29"/>
  <c r="Q1643" i="29"/>
  <c r="T1643" i="29"/>
  <c r="S1643" i="29"/>
  <c r="F1644" i="29"/>
  <c r="G1644" i="29"/>
  <c r="N1644" i="29"/>
  <c r="P1644" i="29"/>
  <c r="Q1644" i="29"/>
  <c r="F1645" i="29"/>
  <c r="G1645" i="29"/>
  <c r="N1645" i="29"/>
  <c r="Q1645" i="29"/>
  <c r="S1645" i="29"/>
  <c r="F1646" i="29"/>
  <c r="G1646" i="29"/>
  <c r="N1646" i="29"/>
  <c r="P1646" i="29"/>
  <c r="Q1646" i="29"/>
  <c r="S1646" i="29"/>
  <c r="F1647" i="29"/>
  <c r="G1647" i="29"/>
  <c r="J1647" i="29"/>
  <c r="N1647" i="29"/>
  <c r="P1647" i="29"/>
  <c r="Q1647" i="29"/>
  <c r="F1648" i="29"/>
  <c r="G1648" i="29"/>
  <c r="N1648" i="29"/>
  <c r="P1648" i="29"/>
  <c r="Q1648" i="29"/>
  <c r="T1648" i="29"/>
  <c r="F1649" i="29"/>
  <c r="G1649" i="29"/>
  <c r="N1649" i="29"/>
  <c r="P1649" i="29"/>
  <c r="S1649" i="29"/>
  <c r="T1649" i="29"/>
  <c r="F1650" i="29"/>
  <c r="G1650" i="29"/>
  <c r="N1650" i="29"/>
  <c r="P1650" i="29"/>
  <c r="S1650" i="29"/>
  <c r="T1650" i="29"/>
  <c r="F1651" i="29"/>
  <c r="G1651" i="29"/>
  <c r="N1651" i="29"/>
  <c r="P1651" i="29"/>
  <c r="Q1651" i="29"/>
  <c r="F1652" i="29"/>
  <c r="G1652" i="29"/>
  <c r="N1652" i="29"/>
  <c r="P1652" i="29"/>
  <c r="Q1652" i="29"/>
  <c r="T1652" i="29"/>
  <c r="S1652" i="29"/>
  <c r="F1653" i="29"/>
  <c r="G1653" i="29"/>
  <c r="J1653" i="29"/>
  <c r="N1653" i="29"/>
  <c r="P1653" i="29"/>
  <c r="Q1653" i="29"/>
  <c r="S1653" i="29"/>
  <c r="F1654" i="29"/>
  <c r="G1654" i="29"/>
  <c r="N1654" i="29"/>
  <c r="P1654" i="29"/>
  <c r="Q1654" i="29"/>
  <c r="T1654" i="29"/>
  <c r="S1654" i="29"/>
  <c r="F1655" i="29"/>
  <c r="G1655" i="29"/>
  <c r="N1655" i="29"/>
  <c r="P1655" i="29"/>
  <c r="Q1655" i="29"/>
  <c r="T1655" i="29"/>
  <c r="S1655" i="29"/>
  <c r="F1656" i="29"/>
  <c r="G1656" i="29"/>
  <c r="N1656" i="29"/>
  <c r="P1656" i="29"/>
  <c r="Q1656" i="29"/>
  <c r="F1657" i="29"/>
  <c r="G1657" i="29"/>
  <c r="N1657" i="29"/>
  <c r="P1657" i="29"/>
  <c r="Q1657" i="29"/>
  <c r="F1658" i="29"/>
  <c r="G1658" i="29"/>
  <c r="N1658" i="29"/>
  <c r="P1658" i="29"/>
  <c r="Q1658" i="29"/>
  <c r="F1659" i="29"/>
  <c r="G1659" i="29"/>
  <c r="J1659" i="29"/>
  <c r="N1659" i="29"/>
  <c r="P1659" i="29"/>
  <c r="Q1659" i="29"/>
  <c r="S1659" i="29"/>
  <c r="F1660" i="29"/>
  <c r="G1660" i="29"/>
  <c r="P1660" i="29"/>
  <c r="Q1660" i="29"/>
  <c r="T1660" i="29"/>
  <c r="S1660" i="29"/>
  <c r="F1661" i="29"/>
  <c r="G1661" i="29"/>
  <c r="P1661" i="29"/>
  <c r="Q1661" i="29"/>
  <c r="T1661" i="29"/>
  <c r="S1661" i="29"/>
  <c r="F1662" i="29"/>
  <c r="G1662" i="29"/>
  <c r="N1662" i="29"/>
  <c r="P1662" i="29"/>
  <c r="Q1662" i="29"/>
  <c r="S1662" i="29"/>
  <c r="F1663" i="29"/>
  <c r="G1663" i="29"/>
  <c r="N1663" i="29"/>
  <c r="P1663" i="29"/>
  <c r="Q1663" i="29"/>
  <c r="F1664" i="29"/>
  <c r="G1664" i="29"/>
  <c r="N1664" i="29"/>
  <c r="P1664" i="29"/>
  <c r="Q1664" i="29"/>
  <c r="F1665" i="29"/>
  <c r="G1665" i="29"/>
  <c r="N1665" i="29"/>
  <c r="P1665" i="29"/>
  <c r="Q1665" i="29"/>
  <c r="F1666" i="29"/>
  <c r="G1666" i="29"/>
  <c r="J1666" i="29"/>
  <c r="N1666" i="29"/>
  <c r="P1666" i="29"/>
  <c r="Q1666" i="29"/>
  <c r="S1666" i="29"/>
  <c r="F1667" i="29"/>
  <c r="G1667" i="29"/>
  <c r="N1667" i="29"/>
  <c r="P1667" i="29"/>
  <c r="Q1667" i="29"/>
  <c r="F1668" i="29"/>
  <c r="G1668" i="29"/>
  <c r="N1668" i="29"/>
  <c r="P1668" i="29"/>
  <c r="Q1668" i="29"/>
  <c r="S1668" i="29"/>
  <c r="F1669" i="29"/>
  <c r="G1669" i="29"/>
  <c r="N1669" i="29"/>
  <c r="P1669" i="29"/>
  <c r="Q1669" i="29"/>
  <c r="F1670" i="29"/>
  <c r="G1670" i="29"/>
  <c r="N1670" i="29"/>
  <c r="P1670" i="29"/>
  <c r="Q1670" i="29"/>
  <c r="T1670" i="29"/>
  <c r="S1670" i="29"/>
  <c r="F1671" i="29"/>
  <c r="G1671" i="29"/>
  <c r="N1671" i="29"/>
  <c r="P1671" i="29"/>
  <c r="Q1671" i="29"/>
  <c r="T1671" i="29"/>
  <c r="S1671" i="29"/>
  <c r="F1672" i="29"/>
  <c r="G1672" i="29"/>
  <c r="N1672" i="29"/>
  <c r="P1672" i="29"/>
  <c r="Q1672" i="29"/>
  <c r="T1672" i="29"/>
  <c r="S1672" i="29"/>
  <c r="F1673" i="29"/>
  <c r="G1673" i="29"/>
  <c r="N1673" i="29"/>
  <c r="P1673" i="29"/>
  <c r="Q1673" i="29"/>
  <c r="T1673" i="29"/>
  <c r="S1673" i="29"/>
  <c r="N1674" i="29"/>
  <c r="W1674" i="29"/>
  <c r="F1675" i="29"/>
  <c r="G1675" i="29"/>
  <c r="N1675" i="29"/>
  <c r="P1675" i="29"/>
  <c r="Q1675" i="29"/>
  <c r="F1676" i="29"/>
  <c r="G1676" i="29"/>
  <c r="N1676" i="29"/>
  <c r="P1676" i="29"/>
  <c r="Q1676" i="29"/>
  <c r="F1677" i="29"/>
  <c r="G1677" i="29"/>
  <c r="N1677" i="29"/>
  <c r="P1677" i="29"/>
  <c r="Q1677" i="29"/>
  <c r="S1677" i="29"/>
  <c r="F1678" i="29"/>
  <c r="G1678" i="29"/>
  <c r="N1678" i="29"/>
  <c r="P1678" i="29"/>
  <c r="Q1678" i="29"/>
  <c r="F1679" i="29"/>
  <c r="G1679" i="29"/>
  <c r="N1679" i="29"/>
  <c r="F1680" i="29"/>
  <c r="G1680" i="29"/>
  <c r="N1680" i="29"/>
  <c r="P1680" i="29"/>
  <c r="Q1680" i="29"/>
  <c r="T1680" i="29"/>
  <c r="S1680" i="29"/>
  <c r="F1681" i="29"/>
  <c r="G1681" i="29"/>
  <c r="N1681" i="29"/>
  <c r="P1681" i="29"/>
  <c r="Q1681" i="29"/>
  <c r="T1681" i="29"/>
  <c r="S1681" i="29"/>
  <c r="F1682" i="29"/>
  <c r="G1682" i="29"/>
  <c r="N1682" i="29"/>
  <c r="P1682" i="29"/>
  <c r="Q1682" i="29"/>
  <c r="T1682" i="29"/>
  <c r="S1682" i="29"/>
  <c r="F1683" i="29"/>
  <c r="G1683" i="29"/>
  <c r="N1683" i="29"/>
  <c r="P1683" i="29"/>
  <c r="Q1683" i="29"/>
  <c r="T1683" i="29"/>
  <c r="S1683" i="29"/>
  <c r="F1684" i="29"/>
  <c r="G1684" i="29"/>
  <c r="N1684" i="29"/>
  <c r="P1684" i="29"/>
  <c r="Q1684" i="29"/>
  <c r="F1685" i="29"/>
  <c r="G1685" i="29"/>
  <c r="N1685" i="29"/>
  <c r="P1685" i="29"/>
  <c r="Q1685" i="29"/>
  <c r="F1686" i="29"/>
  <c r="G1686" i="29"/>
  <c r="N1686" i="29"/>
  <c r="P1686" i="29"/>
  <c r="Q1686" i="29"/>
  <c r="T1686" i="29"/>
  <c r="S1686" i="29"/>
  <c r="F1687" i="29"/>
  <c r="G1687" i="29"/>
  <c r="N1687" i="29"/>
  <c r="P1687" i="29"/>
  <c r="Q1687" i="29"/>
  <c r="T1687" i="29"/>
  <c r="S1687" i="29"/>
  <c r="F1688" i="29"/>
  <c r="G1688" i="29"/>
  <c r="N1688" i="29"/>
  <c r="P1688" i="29"/>
  <c r="Q1688" i="29"/>
  <c r="T1688" i="29"/>
  <c r="S1688" i="29"/>
  <c r="F1689" i="29"/>
  <c r="G1689" i="29"/>
  <c r="N1689" i="29"/>
  <c r="P1689" i="29"/>
  <c r="Q1689" i="29"/>
  <c r="T1689" i="29"/>
  <c r="S1689" i="29"/>
  <c r="F1690" i="29"/>
  <c r="G1690" i="29"/>
  <c r="N1690" i="29"/>
  <c r="P1690" i="29"/>
  <c r="Q1690" i="29"/>
  <c r="T1690" i="29"/>
  <c r="F1691" i="29"/>
  <c r="G1691" i="29"/>
  <c r="N1691" i="29"/>
  <c r="P1691" i="29"/>
  <c r="Q1691" i="29"/>
  <c r="S1691" i="29"/>
  <c r="F1692" i="29"/>
  <c r="G1692" i="29"/>
  <c r="N1692" i="29"/>
  <c r="P1692" i="29"/>
  <c r="Q1692" i="29"/>
  <c r="F1693" i="29"/>
  <c r="G1693" i="29"/>
  <c r="N1693" i="29"/>
  <c r="P1693" i="29"/>
  <c r="Q1693" i="29"/>
  <c r="F1694" i="29"/>
  <c r="G1694" i="29"/>
  <c r="N1694" i="29"/>
  <c r="P1694" i="29"/>
  <c r="Q1694" i="29"/>
  <c r="F1695" i="29"/>
  <c r="G1695" i="29"/>
  <c r="J1695" i="29"/>
  <c r="N1695" i="29"/>
  <c r="P1695" i="29"/>
  <c r="Q1695" i="29"/>
  <c r="F1696" i="29"/>
  <c r="G1696" i="29"/>
  <c r="J1696" i="29"/>
  <c r="N1696" i="29"/>
  <c r="P1696" i="29"/>
  <c r="R1696" i="29"/>
  <c r="Q1696" i="29"/>
  <c r="F1697" i="29"/>
  <c r="G1697" i="29"/>
  <c r="J1697" i="29"/>
  <c r="N1697" i="29"/>
  <c r="P1697" i="29"/>
  <c r="R1697" i="29"/>
  <c r="Q1697" i="29"/>
  <c r="F1698" i="29"/>
  <c r="G1698" i="29"/>
  <c r="N1698" i="29"/>
  <c r="P1698" i="29"/>
  <c r="Q1698" i="29"/>
  <c r="F1699" i="29"/>
  <c r="G1699" i="29"/>
  <c r="N1699" i="29"/>
  <c r="P1699" i="29"/>
  <c r="Q1699" i="29"/>
  <c r="F1700" i="29"/>
  <c r="G1700" i="29"/>
  <c r="J1700" i="29"/>
  <c r="N1700" i="29"/>
  <c r="P1700" i="29"/>
  <c r="Q1700" i="29"/>
  <c r="F1701" i="29"/>
  <c r="G1701" i="29"/>
  <c r="J1701" i="29"/>
  <c r="N1701" i="29"/>
  <c r="P1701" i="29"/>
  <c r="Q1701" i="29"/>
  <c r="T1701" i="29"/>
  <c r="F1702" i="29"/>
  <c r="G1702" i="29"/>
  <c r="N1702" i="29"/>
  <c r="P1702" i="29"/>
  <c r="Q1702" i="29"/>
  <c r="S1702" i="29"/>
  <c r="F1703" i="29"/>
  <c r="G1703" i="29"/>
  <c r="N1703" i="29"/>
  <c r="P1703" i="29"/>
  <c r="Q1703" i="29"/>
  <c r="F1704" i="29"/>
  <c r="G1704" i="29"/>
  <c r="J1704" i="29"/>
  <c r="N1704" i="29"/>
  <c r="P1704" i="29"/>
  <c r="Q1704" i="29"/>
  <c r="F1705" i="29"/>
  <c r="G1705" i="29"/>
  <c r="N1705" i="29"/>
  <c r="P1705" i="29"/>
  <c r="Q1705" i="29"/>
  <c r="F1706" i="29"/>
  <c r="G1706" i="29"/>
  <c r="N1706" i="29"/>
  <c r="P1706" i="29"/>
  <c r="Q1706" i="29"/>
  <c r="T1706" i="29"/>
  <c r="F1707" i="29"/>
  <c r="G1707" i="29"/>
  <c r="N1707" i="29"/>
  <c r="P1707" i="29"/>
  <c r="Q1707" i="29"/>
  <c r="F1708" i="29"/>
  <c r="G1708" i="29"/>
  <c r="N1708" i="29"/>
  <c r="P1708" i="29"/>
  <c r="Q1708" i="29"/>
  <c r="F1709" i="29"/>
  <c r="G1709" i="29"/>
  <c r="N1709" i="29"/>
  <c r="P1709" i="29"/>
  <c r="Q1709" i="29"/>
  <c r="T1709" i="29"/>
  <c r="S1709" i="29"/>
  <c r="F1710" i="29"/>
  <c r="G1710" i="29"/>
  <c r="N1710" i="29"/>
  <c r="P1710" i="29"/>
  <c r="Q1710" i="29"/>
  <c r="T1710" i="29"/>
  <c r="S1710" i="29"/>
  <c r="F1711" i="29"/>
  <c r="G1711" i="29"/>
  <c r="N1711" i="29"/>
  <c r="P1711" i="29"/>
  <c r="Q1711" i="29"/>
  <c r="S1711" i="29"/>
  <c r="F1712" i="29"/>
  <c r="G1712" i="29"/>
  <c r="N1712" i="29"/>
  <c r="P1712" i="29"/>
  <c r="Q1712" i="29"/>
  <c r="F1713" i="29"/>
  <c r="G1713" i="29"/>
  <c r="N1713" i="29"/>
  <c r="P1713" i="29"/>
  <c r="Q1713" i="29"/>
  <c r="F1714" i="29"/>
  <c r="G1714" i="29"/>
  <c r="N1714" i="29"/>
  <c r="P1714" i="29"/>
  <c r="Q1714" i="29"/>
  <c r="S1714" i="29"/>
  <c r="F1715" i="29"/>
  <c r="G1715" i="29"/>
  <c r="N1715" i="29"/>
  <c r="P1715" i="29"/>
  <c r="Q1715" i="29"/>
  <c r="F1716" i="29"/>
  <c r="G1716" i="29"/>
  <c r="N1716" i="29"/>
  <c r="P1716" i="29"/>
  <c r="Q1716" i="29"/>
  <c r="T1716" i="29"/>
  <c r="S1716" i="29"/>
  <c r="F1717" i="29"/>
  <c r="G1717" i="29"/>
  <c r="N1717" i="29"/>
  <c r="P1717" i="29"/>
  <c r="Q1717" i="29"/>
  <c r="F1718" i="29"/>
  <c r="G1718" i="29"/>
  <c r="J1718" i="29"/>
  <c r="N1718" i="29"/>
  <c r="P1718" i="29"/>
  <c r="R1718" i="29"/>
  <c r="Q1718" i="29"/>
  <c r="F1719" i="29"/>
  <c r="G1719" i="29"/>
  <c r="N1719" i="29"/>
  <c r="P1719" i="29"/>
  <c r="Q1719" i="29"/>
  <c r="F1720" i="29"/>
  <c r="G1720" i="29"/>
  <c r="N1720" i="29"/>
  <c r="P1720" i="29"/>
  <c r="Q1720" i="29"/>
  <c r="T1720" i="29"/>
  <c r="F1721" i="29"/>
  <c r="G1721" i="29"/>
  <c r="J1721" i="29"/>
  <c r="N1721" i="29"/>
  <c r="P1721" i="29"/>
  <c r="Q1721" i="29"/>
  <c r="T1721" i="29"/>
  <c r="S1721" i="29"/>
  <c r="F1722" i="29"/>
  <c r="G1722" i="29"/>
  <c r="N1722" i="29"/>
  <c r="P1722" i="29"/>
  <c r="Q1722" i="29"/>
  <c r="T1722" i="29"/>
  <c r="S1722" i="29"/>
  <c r="F1723" i="29"/>
  <c r="G1723" i="29"/>
  <c r="N1723" i="29"/>
  <c r="P1723" i="29"/>
  <c r="Q1723" i="29"/>
  <c r="T1723" i="29"/>
  <c r="S1723" i="29"/>
  <c r="F1724" i="29"/>
  <c r="G1724" i="29"/>
  <c r="N1724" i="29"/>
  <c r="P1724" i="29"/>
  <c r="Q1724" i="29"/>
  <c r="F1725" i="29"/>
  <c r="G1725" i="29"/>
  <c r="N1725" i="29"/>
  <c r="P1725" i="29"/>
  <c r="Q1725" i="29"/>
  <c r="F1726" i="29"/>
  <c r="G1726" i="29"/>
  <c r="N1726" i="29"/>
  <c r="P1726" i="29"/>
  <c r="Q1726" i="29"/>
  <c r="F1727" i="29"/>
  <c r="G1727" i="29"/>
  <c r="N1727" i="29"/>
  <c r="P1727" i="29"/>
  <c r="Q1727" i="29"/>
  <c r="T1727" i="29"/>
  <c r="S1727" i="29"/>
  <c r="F1728" i="29"/>
  <c r="G1728" i="29"/>
  <c r="N1728" i="29"/>
  <c r="P1728" i="29"/>
  <c r="Q1728" i="29"/>
  <c r="F1729" i="29"/>
  <c r="G1729" i="29"/>
  <c r="N1729" i="29"/>
  <c r="P1729" i="29"/>
  <c r="Q1729" i="29"/>
  <c r="F1730" i="29"/>
  <c r="G1730" i="29"/>
  <c r="N1730" i="29"/>
  <c r="P1730" i="29"/>
  <c r="Q1730" i="29"/>
  <c r="F1731" i="29"/>
  <c r="G1731" i="29"/>
  <c r="J1731" i="29"/>
  <c r="N1731" i="29"/>
  <c r="P1731" i="29"/>
  <c r="Q1731" i="29"/>
  <c r="F1732" i="29"/>
  <c r="G1732" i="29"/>
  <c r="N1732" i="29"/>
  <c r="P1732" i="29"/>
  <c r="Q1732" i="29"/>
  <c r="F1733" i="29"/>
  <c r="G1733" i="29"/>
  <c r="N1733" i="29"/>
  <c r="P1733" i="29"/>
  <c r="Q1733" i="29"/>
  <c r="F1734" i="29"/>
  <c r="G1734" i="29"/>
  <c r="N1734" i="29"/>
  <c r="P1734" i="29"/>
  <c r="Q1734" i="29"/>
  <c r="F1735" i="29"/>
  <c r="G1735" i="29"/>
  <c r="J1735" i="29"/>
  <c r="N1735" i="29"/>
  <c r="P1735" i="29"/>
  <c r="Q1735" i="29"/>
  <c r="S1735" i="29"/>
  <c r="F1736" i="29"/>
  <c r="G1736" i="29"/>
  <c r="N1736" i="29"/>
  <c r="P1736" i="29"/>
  <c r="Q1736" i="29"/>
  <c r="F1737" i="29"/>
  <c r="G1737" i="29"/>
  <c r="N1737" i="29"/>
  <c r="P1737" i="29"/>
  <c r="Q1737" i="29"/>
  <c r="F1738" i="29"/>
  <c r="G1738" i="29"/>
  <c r="N1738" i="29"/>
  <c r="P1738" i="29"/>
  <c r="Q1738" i="29"/>
  <c r="F1739" i="29"/>
  <c r="G1739" i="29"/>
  <c r="N1739" i="29"/>
  <c r="P1739" i="29"/>
  <c r="Q1739" i="29"/>
  <c r="F1740" i="29"/>
  <c r="G1740" i="29"/>
  <c r="N1740" i="29"/>
  <c r="P1740" i="29"/>
  <c r="Q1740" i="29"/>
  <c r="F1741" i="29"/>
  <c r="G1741" i="29"/>
  <c r="N1741" i="29"/>
  <c r="P1741" i="29"/>
  <c r="Q1741" i="29"/>
  <c r="F1742" i="29"/>
  <c r="G1742" i="29"/>
  <c r="J1742" i="29"/>
  <c r="N1742" i="29"/>
  <c r="P1742" i="29"/>
  <c r="R1742" i="29"/>
  <c r="Q1742" i="29"/>
  <c r="F1743" i="29"/>
  <c r="G1743" i="29"/>
  <c r="N1743" i="29"/>
  <c r="P1743" i="29"/>
  <c r="R1743" i="29"/>
  <c r="Q1743" i="29"/>
  <c r="F1744" i="29"/>
  <c r="G1744" i="29"/>
  <c r="N1744" i="29"/>
  <c r="P1744" i="29"/>
  <c r="Q1744" i="29"/>
  <c r="T1744" i="29"/>
  <c r="S1744" i="29"/>
  <c r="F1745" i="29"/>
  <c r="G1745" i="29"/>
  <c r="N1745" i="29"/>
  <c r="P1745" i="29"/>
  <c r="Q1745" i="29"/>
  <c r="T1745" i="29"/>
  <c r="S1745" i="29"/>
  <c r="F1746" i="29"/>
  <c r="G1746" i="29"/>
  <c r="N1746" i="29"/>
  <c r="P1746" i="29"/>
  <c r="Q1746" i="29"/>
  <c r="F1747" i="29"/>
  <c r="G1747" i="29"/>
  <c r="N1747" i="29"/>
  <c r="P1747" i="29"/>
  <c r="Q1747" i="29"/>
  <c r="F1748" i="29"/>
  <c r="G1748" i="29"/>
  <c r="N1748" i="29"/>
  <c r="P1748" i="29"/>
  <c r="Q1748" i="29"/>
  <c r="F1749" i="29"/>
  <c r="G1749" i="29"/>
  <c r="N1749" i="29"/>
  <c r="P1749" i="29"/>
  <c r="Q1749" i="29"/>
  <c r="F1750" i="29"/>
  <c r="G1750" i="29"/>
  <c r="N1750" i="29"/>
  <c r="P1750" i="29"/>
  <c r="Q1750" i="29"/>
  <c r="F1751" i="29"/>
  <c r="G1751" i="29"/>
  <c r="J1751" i="29"/>
  <c r="N1751" i="29"/>
  <c r="P1751" i="29"/>
  <c r="Q1751" i="29"/>
  <c r="T1751" i="29"/>
  <c r="F1752" i="29"/>
  <c r="G1752" i="29"/>
  <c r="J1752" i="29"/>
  <c r="N1752" i="29"/>
  <c r="P1752" i="29"/>
  <c r="R1752" i="29"/>
  <c r="Q1752" i="29"/>
  <c r="F1753" i="29"/>
  <c r="G1753" i="29"/>
  <c r="J1753" i="29"/>
  <c r="N1753" i="29"/>
  <c r="P1753" i="29"/>
  <c r="R1753" i="29"/>
  <c r="Q1753" i="29"/>
  <c r="F1754" i="29"/>
  <c r="G1754" i="29"/>
  <c r="N1754" i="29"/>
  <c r="P1754" i="29"/>
  <c r="Q1754" i="29"/>
  <c r="F1755" i="29"/>
  <c r="G1755" i="29"/>
  <c r="N1755" i="29"/>
  <c r="P1755" i="29"/>
  <c r="Q1755" i="29"/>
  <c r="F1756" i="29"/>
  <c r="G1756" i="29"/>
  <c r="J1756" i="29"/>
  <c r="N1756" i="29"/>
  <c r="P1756" i="29"/>
  <c r="Q1756" i="29"/>
  <c r="S1756" i="29"/>
  <c r="F1757" i="29"/>
  <c r="G1757" i="29"/>
  <c r="J1757" i="29"/>
  <c r="N1757" i="29"/>
  <c r="P1757" i="29"/>
  <c r="Q1757" i="29"/>
  <c r="F1758" i="29"/>
  <c r="G1758" i="29"/>
  <c r="N1758" i="29"/>
  <c r="P1758" i="29"/>
  <c r="Q1758" i="29"/>
  <c r="F1759" i="29"/>
  <c r="G1759" i="29"/>
  <c r="N1759" i="29"/>
  <c r="P1759" i="29"/>
  <c r="Q1759" i="29"/>
  <c r="T1759" i="29"/>
  <c r="S1759" i="29"/>
  <c r="F1760" i="29"/>
  <c r="G1760" i="29"/>
  <c r="N1760" i="29"/>
  <c r="P1760" i="29"/>
  <c r="Q1760" i="29"/>
  <c r="T1760" i="29"/>
  <c r="S1760" i="29"/>
  <c r="F1761" i="29"/>
  <c r="G1761" i="29"/>
  <c r="N1761" i="29"/>
  <c r="P1761" i="29"/>
  <c r="Q1761" i="29"/>
  <c r="F1762" i="29"/>
  <c r="G1762" i="29"/>
  <c r="N1762" i="29"/>
  <c r="P1762" i="29"/>
  <c r="Q1762" i="29"/>
  <c r="F1763" i="29"/>
  <c r="G1763" i="29"/>
  <c r="N1763" i="29"/>
  <c r="P1763" i="29"/>
  <c r="Q1763" i="29"/>
  <c r="T1763" i="29"/>
  <c r="S1763" i="29"/>
  <c r="F1764" i="29"/>
  <c r="G1764" i="29"/>
  <c r="N1764" i="29"/>
  <c r="P1764" i="29"/>
  <c r="Q1764" i="29"/>
  <c r="T1764" i="29"/>
  <c r="S1764" i="29"/>
  <c r="F1765" i="29"/>
  <c r="G1765" i="29"/>
  <c r="N1765" i="29"/>
  <c r="P1765" i="29"/>
  <c r="Q1765" i="29"/>
  <c r="F1766" i="29"/>
  <c r="G1766" i="29"/>
  <c r="N1766" i="29"/>
  <c r="Q1766" i="29"/>
  <c r="T1766" i="29"/>
  <c r="F1767" i="29"/>
  <c r="G1767" i="29"/>
  <c r="N1767" i="29"/>
  <c r="P1767" i="29"/>
  <c r="Q1767" i="29"/>
  <c r="F1768" i="29"/>
  <c r="G1768" i="29"/>
  <c r="N1768" i="29"/>
  <c r="P1768" i="29"/>
  <c r="Q1768" i="29"/>
  <c r="T1768" i="29"/>
  <c r="S1768" i="29"/>
  <c r="F1769" i="29"/>
  <c r="G1769" i="29"/>
  <c r="J1769" i="29"/>
  <c r="N1769" i="29"/>
  <c r="P1769" i="29"/>
  <c r="Q1769" i="29"/>
  <c r="T1769" i="29"/>
  <c r="F1770" i="29"/>
  <c r="G1770" i="29"/>
  <c r="J1770" i="29"/>
  <c r="N1770" i="29"/>
  <c r="P1770" i="29"/>
  <c r="Q1770" i="29"/>
  <c r="F1771" i="29"/>
  <c r="G1771" i="29"/>
  <c r="P1771" i="29"/>
  <c r="Q1771" i="29"/>
  <c r="T1771" i="29"/>
  <c r="S1771" i="29"/>
  <c r="F1772" i="29"/>
  <c r="G1772" i="29"/>
  <c r="P1772" i="29"/>
  <c r="Q1772" i="29"/>
  <c r="T1772" i="29"/>
  <c r="S1772" i="29"/>
  <c r="F1773" i="29"/>
  <c r="G1773" i="29"/>
  <c r="N1773" i="29"/>
  <c r="P1773" i="29"/>
  <c r="Q1773" i="29"/>
  <c r="F1774" i="29"/>
  <c r="G1774" i="29"/>
  <c r="N1774" i="29"/>
  <c r="P1774" i="29"/>
  <c r="Q1774" i="29"/>
  <c r="F1775" i="29"/>
  <c r="G1775" i="29"/>
  <c r="N1775" i="29"/>
  <c r="P1775" i="29"/>
  <c r="Q1775" i="29"/>
  <c r="F1776" i="29"/>
  <c r="G1776" i="29"/>
  <c r="N1776" i="29"/>
  <c r="P1776" i="29"/>
  <c r="Q1776" i="29"/>
  <c r="F1777" i="29"/>
  <c r="G1777" i="29"/>
  <c r="N1777" i="29"/>
  <c r="P1777" i="29"/>
  <c r="Q1777" i="29"/>
  <c r="T1777" i="29"/>
  <c r="S1777" i="29"/>
  <c r="F1778" i="29"/>
  <c r="G1778" i="29"/>
  <c r="N1778" i="29"/>
  <c r="P1778" i="29"/>
  <c r="Q1778" i="29"/>
  <c r="T1778" i="29"/>
  <c r="S1778" i="29"/>
  <c r="F1779" i="29"/>
  <c r="G1779" i="29"/>
  <c r="N1779" i="29"/>
  <c r="P1779" i="29"/>
  <c r="Q1779" i="29"/>
  <c r="T1779" i="29"/>
  <c r="S1779" i="29"/>
  <c r="F1780" i="29"/>
  <c r="G1780" i="29"/>
  <c r="N1780" i="29"/>
  <c r="P1780" i="29"/>
  <c r="Q1780" i="29"/>
  <c r="F1781" i="29"/>
  <c r="G1781" i="29"/>
  <c r="J1781" i="29"/>
  <c r="N1781" i="29"/>
  <c r="P1781" i="29"/>
  <c r="Q1781" i="29"/>
  <c r="F1782" i="29"/>
  <c r="G1782" i="29"/>
  <c r="N1782" i="29"/>
  <c r="P1782" i="29"/>
  <c r="Q1782" i="29"/>
  <c r="T1782" i="29"/>
  <c r="S1782" i="29"/>
  <c r="F1783" i="29"/>
  <c r="G1783" i="29"/>
  <c r="N1783" i="29"/>
  <c r="P1783" i="29"/>
  <c r="Q1783" i="29"/>
  <c r="T1783" i="29"/>
  <c r="S1783" i="29"/>
  <c r="F1784" i="29"/>
  <c r="G1784" i="29"/>
  <c r="N1784" i="29"/>
  <c r="P1784" i="29"/>
  <c r="Q1784" i="29"/>
  <c r="T1784" i="29"/>
  <c r="S1784" i="29"/>
  <c r="F1785" i="29"/>
  <c r="G1785" i="29"/>
  <c r="N1785" i="29"/>
  <c r="P1785" i="29"/>
  <c r="Q1785" i="29"/>
  <c r="F1786" i="29"/>
  <c r="G1786" i="29"/>
  <c r="N1786" i="29"/>
  <c r="P1786" i="29"/>
  <c r="Q1786" i="29"/>
  <c r="F1787" i="29"/>
  <c r="G1787" i="29"/>
  <c r="N1787" i="29"/>
  <c r="P1787" i="29"/>
  <c r="Q1787" i="29"/>
  <c r="F1788" i="29"/>
  <c r="G1788" i="29"/>
  <c r="N1788" i="29"/>
  <c r="P1788" i="29"/>
  <c r="Q1788" i="29"/>
  <c r="F1789" i="29"/>
  <c r="G1789" i="29"/>
  <c r="J1789" i="29"/>
  <c r="N1789" i="29"/>
  <c r="P1789" i="29"/>
  <c r="Q1789" i="29"/>
  <c r="F1790" i="29"/>
  <c r="G1790" i="29"/>
  <c r="N1790" i="29"/>
  <c r="P1790" i="29"/>
  <c r="Q1790" i="29"/>
  <c r="F1791" i="29"/>
  <c r="G1791" i="29"/>
  <c r="N1791" i="29"/>
  <c r="P1791" i="29"/>
  <c r="Q1791" i="29"/>
  <c r="T1791" i="29"/>
  <c r="N1792" i="29"/>
  <c r="W1792" i="29"/>
  <c r="F1793" i="29"/>
  <c r="G1793" i="29"/>
  <c r="J1793" i="29"/>
  <c r="N1793" i="29"/>
  <c r="P1793" i="29"/>
  <c r="Q1793" i="29"/>
  <c r="F1794" i="29"/>
  <c r="G1794" i="29"/>
  <c r="N1794" i="29"/>
  <c r="P1794" i="29"/>
  <c r="Q1794" i="29"/>
  <c r="T1794" i="29"/>
  <c r="S1794" i="29"/>
  <c r="F1795" i="29"/>
  <c r="G1795" i="29"/>
  <c r="N1795" i="29"/>
  <c r="P1795" i="29"/>
  <c r="Q1795" i="29"/>
  <c r="T1795" i="29"/>
  <c r="S1795" i="29"/>
  <c r="F1796" i="29"/>
  <c r="G1796" i="29"/>
  <c r="N1796" i="29"/>
  <c r="P1796" i="29"/>
  <c r="Q1796" i="29"/>
  <c r="F1797" i="29"/>
  <c r="G1797" i="29"/>
  <c r="N1797" i="29"/>
  <c r="P1797" i="29"/>
  <c r="Q1797" i="29"/>
  <c r="T1797" i="29"/>
  <c r="F1798" i="29"/>
  <c r="G1798" i="29"/>
  <c r="N1798" i="29"/>
  <c r="P1798" i="29"/>
  <c r="Q1798" i="29"/>
  <c r="S1798" i="29"/>
  <c r="F1799" i="29"/>
  <c r="G1799" i="29"/>
  <c r="N1799" i="29"/>
  <c r="P1799" i="29"/>
  <c r="Q1799" i="29"/>
  <c r="T1799" i="29"/>
  <c r="S1799" i="29"/>
  <c r="F1800" i="29"/>
  <c r="G1800" i="29"/>
  <c r="N1800" i="29"/>
  <c r="P1800" i="29"/>
  <c r="Q1800" i="29"/>
  <c r="T1800" i="29"/>
  <c r="S1800" i="29"/>
  <c r="F1801" i="29"/>
  <c r="G1801" i="29"/>
  <c r="N1801" i="29"/>
  <c r="P1801" i="29"/>
  <c r="Q1801" i="29"/>
  <c r="T1801" i="29"/>
  <c r="S1801" i="29"/>
  <c r="F1802" i="29"/>
  <c r="G1802" i="29"/>
  <c r="N1802" i="29"/>
  <c r="P1802" i="29"/>
  <c r="Q1802" i="29"/>
  <c r="F1803" i="29"/>
  <c r="G1803" i="29"/>
  <c r="J1803" i="29"/>
  <c r="N1803" i="29"/>
  <c r="P1803" i="29"/>
  <c r="Q1803" i="29"/>
  <c r="F1804" i="29"/>
  <c r="G1804" i="29"/>
  <c r="N1804" i="29"/>
  <c r="P1804" i="29"/>
  <c r="Q1804" i="29"/>
  <c r="T1804" i="29"/>
  <c r="S1804" i="29"/>
  <c r="F1805" i="29"/>
  <c r="G1805" i="29"/>
  <c r="N1805" i="29"/>
  <c r="P1805" i="29"/>
  <c r="Q1805" i="29"/>
  <c r="T1805" i="29"/>
  <c r="R1805" i="29"/>
  <c r="S1805" i="29"/>
  <c r="F1806" i="29"/>
  <c r="G1806" i="29"/>
  <c r="N1806" i="29"/>
  <c r="P1806" i="29"/>
  <c r="Q1806" i="29"/>
  <c r="F1807" i="29"/>
  <c r="G1807" i="29"/>
  <c r="N1807" i="29"/>
  <c r="P1807" i="29"/>
  <c r="R1807" i="29"/>
  <c r="Q1807" i="29"/>
  <c r="F1808" i="29"/>
  <c r="G1808" i="29"/>
  <c r="N1808" i="29"/>
  <c r="P1808" i="29"/>
  <c r="Q1808" i="29"/>
  <c r="F1809" i="29"/>
  <c r="G1809" i="29"/>
  <c r="N1809" i="29"/>
  <c r="P1809" i="29"/>
  <c r="Q1809" i="29"/>
  <c r="F1810" i="29"/>
  <c r="G1810" i="29"/>
  <c r="N1810" i="29"/>
  <c r="P1810" i="29"/>
  <c r="Q1810" i="29"/>
  <c r="F1811" i="29"/>
  <c r="G1811" i="29"/>
  <c r="N1811" i="29"/>
  <c r="P1811" i="29"/>
  <c r="Q1811" i="29"/>
  <c r="T1811" i="29"/>
  <c r="S1811" i="29"/>
  <c r="F1812" i="29"/>
  <c r="G1812" i="29"/>
  <c r="N1812" i="29"/>
  <c r="P1812" i="29"/>
  <c r="Q1812" i="29"/>
  <c r="T1812" i="29"/>
  <c r="S1812" i="29"/>
  <c r="F1813" i="29"/>
  <c r="G1813" i="29"/>
  <c r="N1813" i="29"/>
  <c r="P1813" i="29"/>
  <c r="Q1813" i="29"/>
  <c r="F1814" i="29"/>
  <c r="G1814" i="29"/>
  <c r="N1814" i="29"/>
  <c r="P1814" i="29"/>
  <c r="Q1814" i="29"/>
  <c r="F1815" i="29"/>
  <c r="G1815" i="29"/>
  <c r="N1815" i="29"/>
  <c r="P1815" i="29"/>
  <c r="Q1815" i="29"/>
  <c r="F1816" i="29"/>
  <c r="G1816" i="29"/>
  <c r="N1816" i="29"/>
  <c r="P1816" i="29"/>
  <c r="Q1816" i="29"/>
  <c r="F1817" i="29"/>
  <c r="G1817" i="29"/>
  <c r="N1817" i="29"/>
  <c r="P1817" i="29"/>
  <c r="Q1817" i="29"/>
  <c r="F1818" i="29"/>
  <c r="G1818" i="29"/>
  <c r="N1818" i="29"/>
  <c r="P1818" i="29"/>
  <c r="Q1818" i="29"/>
  <c r="T1818" i="29"/>
  <c r="S1818" i="29"/>
  <c r="F1819" i="29"/>
  <c r="G1819" i="29"/>
  <c r="N1819" i="29"/>
  <c r="P1819" i="29"/>
  <c r="Q1819" i="29"/>
  <c r="S1819" i="29"/>
  <c r="F1820" i="29"/>
  <c r="G1820" i="29"/>
  <c r="J1820" i="29"/>
  <c r="N1820" i="29"/>
  <c r="P1820" i="29"/>
  <c r="Q1820" i="29"/>
  <c r="F1821" i="29"/>
  <c r="G1821" i="29"/>
  <c r="N1821" i="29"/>
  <c r="P1821" i="29"/>
  <c r="Q1821" i="29"/>
  <c r="F1822" i="29"/>
  <c r="G1822" i="29"/>
  <c r="N1822" i="29"/>
  <c r="P1822" i="29"/>
  <c r="Q1822" i="29"/>
  <c r="F1823" i="29"/>
  <c r="G1823" i="29"/>
  <c r="N1823" i="29"/>
  <c r="P1823" i="29"/>
  <c r="Q1823" i="29"/>
  <c r="S1823" i="29"/>
  <c r="F1824" i="29"/>
  <c r="G1824" i="29"/>
  <c r="N1824" i="29"/>
  <c r="P1824" i="29"/>
  <c r="Q1824" i="29"/>
  <c r="F1825" i="29"/>
  <c r="G1825" i="29"/>
  <c r="N1825" i="29"/>
  <c r="P1825" i="29"/>
  <c r="Q1825" i="29"/>
  <c r="T1825" i="29"/>
  <c r="F1826" i="29"/>
  <c r="G1826" i="29"/>
  <c r="N1826" i="29"/>
  <c r="P1826" i="29"/>
  <c r="Q1826" i="29"/>
  <c r="F1827" i="29"/>
  <c r="G1827" i="29"/>
  <c r="N1827" i="29"/>
  <c r="P1827" i="29"/>
  <c r="Q1827" i="29"/>
  <c r="F1828" i="29"/>
  <c r="G1828" i="29"/>
  <c r="N1828" i="29"/>
  <c r="P1828" i="29"/>
  <c r="Q1828" i="29"/>
  <c r="F1829" i="29"/>
  <c r="G1829" i="29"/>
  <c r="N1829" i="29"/>
  <c r="P1829" i="29"/>
  <c r="Q1829" i="29"/>
  <c r="F1830" i="29"/>
  <c r="G1830" i="29"/>
  <c r="N1830" i="29"/>
  <c r="P1830" i="29"/>
  <c r="Q1830" i="29"/>
  <c r="F1831" i="29"/>
  <c r="G1831" i="29"/>
  <c r="N1831" i="29"/>
  <c r="P1831" i="29"/>
  <c r="Q1831" i="29"/>
  <c r="R1831" i="29"/>
  <c r="F1832" i="29"/>
  <c r="G1832" i="29"/>
  <c r="N1832" i="29"/>
  <c r="P1832" i="29"/>
  <c r="Q1832" i="29"/>
  <c r="F1833" i="29"/>
  <c r="G1833" i="29"/>
  <c r="J1833" i="29"/>
  <c r="N1833" i="29"/>
  <c r="P1833" i="29"/>
  <c r="R1833" i="29"/>
  <c r="Q1833" i="29"/>
  <c r="F1834" i="29"/>
  <c r="G1834" i="29"/>
  <c r="J1834" i="29"/>
  <c r="N1834" i="29"/>
  <c r="P1834" i="29"/>
  <c r="R1834" i="29"/>
  <c r="Q1834" i="29"/>
  <c r="F1835" i="29"/>
  <c r="G1835" i="29"/>
  <c r="N1835" i="29"/>
  <c r="P1835" i="29"/>
  <c r="Q1835" i="29"/>
  <c r="F1836" i="29"/>
  <c r="G1836" i="29"/>
  <c r="N1836" i="29"/>
  <c r="P1836" i="29"/>
  <c r="Q1836" i="29"/>
  <c r="F1837" i="29"/>
  <c r="G1837" i="29"/>
  <c r="J1837" i="29"/>
  <c r="N1837" i="29"/>
  <c r="P1837" i="29"/>
  <c r="Q1837" i="29"/>
  <c r="F1838" i="29"/>
  <c r="G1838" i="29"/>
  <c r="N1838" i="29"/>
  <c r="P1838" i="29"/>
  <c r="Q1838" i="29"/>
  <c r="T1838" i="29"/>
  <c r="F1839" i="29"/>
  <c r="G1839" i="29"/>
  <c r="N1839" i="29"/>
  <c r="P1839" i="29"/>
  <c r="Q1839" i="29"/>
  <c r="F1840" i="29"/>
  <c r="G1840" i="29"/>
  <c r="N1840" i="29"/>
  <c r="P1840" i="29"/>
  <c r="Q1840" i="29"/>
  <c r="S1840" i="29"/>
  <c r="F1841" i="29"/>
  <c r="G1841" i="29"/>
  <c r="N1841" i="29"/>
  <c r="P1841" i="29"/>
  <c r="Q1841" i="29"/>
  <c r="S1841" i="29"/>
  <c r="F1842" i="29"/>
  <c r="G1842" i="29"/>
  <c r="N1842" i="29"/>
  <c r="P1842" i="29"/>
  <c r="Q1842" i="29"/>
  <c r="F1843" i="29"/>
  <c r="G1843" i="29"/>
  <c r="N1843" i="29"/>
  <c r="P1843" i="29"/>
  <c r="Q1843" i="29"/>
  <c r="F1844" i="29"/>
  <c r="G1844" i="29"/>
  <c r="N1844" i="29"/>
  <c r="P1844" i="29"/>
  <c r="Q1844" i="29"/>
  <c r="F1845" i="29"/>
  <c r="G1845" i="29"/>
  <c r="N1845" i="29"/>
  <c r="P1845" i="29"/>
  <c r="Q1845" i="29"/>
  <c r="F1846" i="29"/>
  <c r="G1846" i="29"/>
  <c r="N1846" i="29"/>
  <c r="P1846" i="29"/>
  <c r="Q1846" i="29"/>
  <c r="F1847" i="29"/>
  <c r="G1847" i="29"/>
  <c r="N1847" i="29"/>
  <c r="P1847" i="29"/>
  <c r="Q1847" i="29"/>
  <c r="F1848" i="29"/>
  <c r="G1848" i="29"/>
  <c r="N1848" i="29"/>
  <c r="P1848" i="29"/>
  <c r="Q1848" i="29"/>
  <c r="F1849" i="29"/>
  <c r="G1849" i="29"/>
  <c r="N1849" i="29"/>
  <c r="P1849" i="29"/>
  <c r="Q1849" i="29"/>
  <c r="S1849" i="29"/>
  <c r="F1850" i="29"/>
  <c r="G1850" i="29"/>
  <c r="N1850" i="29"/>
  <c r="P1850" i="29"/>
  <c r="Q1850" i="29"/>
  <c r="T1850" i="29"/>
  <c r="S1850" i="29"/>
  <c r="F1851" i="29"/>
  <c r="G1851" i="29"/>
  <c r="N1851" i="29"/>
  <c r="P1851" i="29"/>
  <c r="Q1851" i="29"/>
  <c r="T1851" i="29"/>
  <c r="S1851" i="29"/>
  <c r="F1852" i="29"/>
  <c r="G1852" i="29"/>
  <c r="N1852" i="29"/>
  <c r="P1852" i="29"/>
  <c r="Q1852" i="29"/>
  <c r="T1852" i="29"/>
  <c r="S1852" i="29"/>
  <c r="F1853" i="29"/>
  <c r="G1853" i="29"/>
  <c r="N1853" i="29"/>
  <c r="P1853" i="29"/>
  <c r="Q1853" i="29"/>
  <c r="S1853" i="29"/>
  <c r="F1854" i="29"/>
  <c r="G1854" i="29"/>
  <c r="N1854" i="29"/>
  <c r="P1854" i="29"/>
  <c r="Q1854" i="29"/>
  <c r="T1854" i="29"/>
  <c r="S1854" i="29"/>
  <c r="F1855" i="29"/>
  <c r="G1855" i="29"/>
  <c r="N1855" i="29"/>
  <c r="P1855" i="29"/>
  <c r="Q1855" i="29"/>
  <c r="F1856" i="29"/>
  <c r="G1856" i="29"/>
  <c r="N1856" i="29"/>
  <c r="P1856" i="29"/>
  <c r="Q1856" i="29"/>
  <c r="S1856" i="29"/>
  <c r="F1857" i="29"/>
  <c r="G1857" i="29"/>
  <c r="N1857" i="29"/>
  <c r="P1857" i="29"/>
  <c r="Q1857" i="29"/>
  <c r="T1857" i="29"/>
  <c r="S1857" i="29"/>
  <c r="F1858" i="29"/>
  <c r="G1858" i="29"/>
  <c r="J1858" i="29"/>
  <c r="N1858" i="29"/>
  <c r="P1858" i="29"/>
  <c r="Q1858" i="29"/>
  <c r="F1859" i="29"/>
  <c r="G1859" i="29"/>
  <c r="J1859" i="29"/>
  <c r="N1859" i="29"/>
  <c r="P1859" i="29"/>
  <c r="Q1859" i="29"/>
  <c r="F1860" i="29"/>
  <c r="G1860" i="29"/>
  <c r="P1860" i="29"/>
  <c r="Q1860" i="29"/>
  <c r="T1860" i="29"/>
  <c r="S1860" i="29"/>
  <c r="F1861" i="29"/>
  <c r="G1861" i="29"/>
  <c r="P1861" i="29"/>
  <c r="Q1861" i="29"/>
  <c r="T1861" i="29"/>
  <c r="S1861" i="29"/>
  <c r="F1862" i="29"/>
  <c r="G1862" i="29"/>
  <c r="N1862" i="29"/>
  <c r="P1862" i="29"/>
  <c r="Q1862" i="29"/>
  <c r="S1862" i="29"/>
  <c r="F1863" i="29"/>
  <c r="G1863" i="29"/>
  <c r="N1863" i="29"/>
  <c r="P1863" i="29"/>
  <c r="Q1863" i="29"/>
  <c r="F1864" i="29"/>
  <c r="G1864" i="29"/>
  <c r="N1864" i="29"/>
  <c r="P1864" i="29"/>
  <c r="Q1864" i="29"/>
  <c r="F1865" i="29"/>
  <c r="G1865" i="29"/>
  <c r="N1865" i="29"/>
  <c r="P1865" i="29"/>
  <c r="Q1865" i="29"/>
  <c r="T1865" i="29"/>
  <c r="N1866" i="29"/>
  <c r="W1866" i="29"/>
  <c r="F1867" i="29"/>
  <c r="G1867" i="29"/>
  <c r="N1867" i="29"/>
  <c r="P1867" i="29"/>
  <c r="Q1867" i="29"/>
  <c r="F1868" i="29"/>
  <c r="G1868" i="29"/>
  <c r="N1868" i="29"/>
  <c r="P1868" i="29"/>
  <c r="Q1868" i="29"/>
  <c r="S1868" i="29"/>
  <c r="F1869" i="29"/>
  <c r="G1869" i="29"/>
  <c r="N1869" i="29"/>
  <c r="P1869" i="29"/>
  <c r="Q1869" i="29"/>
  <c r="F1870" i="29"/>
  <c r="G1870" i="29"/>
  <c r="N1870" i="29"/>
  <c r="P1870" i="29"/>
  <c r="Q1870" i="29"/>
  <c r="F1871" i="29"/>
  <c r="G1871" i="29"/>
  <c r="N1871" i="29"/>
  <c r="P1871" i="29"/>
  <c r="Q1871" i="29"/>
  <c r="F1872" i="29"/>
  <c r="G1872" i="29"/>
  <c r="N1872" i="29"/>
  <c r="P1872" i="29"/>
  <c r="Q1872" i="29"/>
  <c r="F1873" i="29"/>
  <c r="G1873" i="29"/>
  <c r="N1873" i="29"/>
  <c r="P1873" i="29"/>
  <c r="Q1873" i="29"/>
  <c r="F1874" i="29"/>
  <c r="G1874" i="29"/>
  <c r="N1874" i="29"/>
  <c r="P1874" i="29"/>
  <c r="Q1874" i="29"/>
  <c r="F1875" i="29"/>
  <c r="G1875" i="29"/>
  <c r="N1875" i="29"/>
  <c r="P1875" i="29"/>
  <c r="Q1875" i="29"/>
  <c r="F1876" i="29"/>
  <c r="G1876" i="29"/>
  <c r="N1876" i="29"/>
  <c r="P1876" i="29"/>
  <c r="Q1876" i="29"/>
  <c r="F1877" i="29"/>
  <c r="G1877" i="29"/>
  <c r="J1877" i="29"/>
  <c r="N1877" i="29"/>
  <c r="P1877" i="29"/>
  <c r="R1877" i="29"/>
  <c r="Q1877" i="29"/>
  <c r="F1878" i="29"/>
  <c r="G1878" i="29"/>
  <c r="N1878" i="29"/>
  <c r="P1878" i="29"/>
  <c r="Q1878" i="29"/>
  <c r="S1878" i="29"/>
  <c r="F1879" i="29"/>
  <c r="G1879" i="29"/>
  <c r="J1879" i="29"/>
  <c r="N1879" i="29"/>
  <c r="P1879" i="29"/>
  <c r="Q1879" i="29"/>
  <c r="T1879" i="29"/>
  <c r="F1880" i="29"/>
  <c r="G1880" i="29"/>
  <c r="N1880" i="29"/>
  <c r="P1880" i="29"/>
  <c r="Q1880" i="29"/>
  <c r="F1881" i="29"/>
  <c r="G1881" i="29"/>
  <c r="N1881" i="29"/>
  <c r="P1881" i="29"/>
  <c r="Q1881" i="29"/>
  <c r="F1882" i="29"/>
  <c r="G1882" i="29"/>
  <c r="N1882" i="29"/>
  <c r="P1882" i="29"/>
  <c r="Q1882" i="29"/>
  <c r="T1882" i="29"/>
  <c r="S1882" i="29"/>
  <c r="F1883" i="29"/>
  <c r="G1883" i="29"/>
  <c r="N1883" i="29"/>
  <c r="P1883" i="29"/>
  <c r="Q1883" i="29"/>
  <c r="F1884" i="29"/>
  <c r="G1884" i="29"/>
  <c r="J1884" i="29"/>
  <c r="N1884" i="29"/>
  <c r="P1884" i="29"/>
  <c r="Q1884" i="29"/>
  <c r="T1884" i="29"/>
  <c r="F1885" i="29"/>
  <c r="G1885" i="29"/>
  <c r="N1885" i="29"/>
  <c r="P1885" i="29"/>
  <c r="Q1885" i="29"/>
  <c r="T1885" i="29"/>
  <c r="S1885" i="29"/>
  <c r="F1886" i="29"/>
  <c r="G1886" i="29"/>
  <c r="N1886" i="29"/>
  <c r="P1886" i="29"/>
  <c r="Q1886" i="29"/>
  <c r="T1886" i="29"/>
  <c r="S1886" i="29"/>
  <c r="F1887" i="29"/>
  <c r="G1887" i="29"/>
  <c r="N1887" i="29"/>
  <c r="P1887" i="29"/>
  <c r="Q1887" i="29"/>
  <c r="F1888" i="29"/>
  <c r="G1888" i="29"/>
  <c r="N1888" i="29"/>
  <c r="P1888" i="29"/>
  <c r="Q1888" i="29"/>
  <c r="F1889" i="29"/>
  <c r="G1889" i="29"/>
  <c r="N1889" i="29"/>
  <c r="P1889" i="29"/>
  <c r="Q1889" i="29"/>
  <c r="F1890" i="29"/>
  <c r="G1890" i="29"/>
  <c r="N1890" i="29"/>
  <c r="P1890" i="29"/>
  <c r="Q1890" i="29"/>
  <c r="F1891" i="29"/>
  <c r="G1891" i="29"/>
  <c r="N1891" i="29"/>
  <c r="P1891" i="29"/>
  <c r="Q1891" i="29"/>
  <c r="F1892" i="29"/>
  <c r="G1892" i="29"/>
  <c r="N1892" i="29"/>
  <c r="P1892" i="29"/>
  <c r="Q1892" i="29"/>
  <c r="F1893" i="29"/>
  <c r="G1893" i="29"/>
  <c r="N1893" i="29"/>
  <c r="P1893" i="29"/>
  <c r="Q1893" i="29"/>
  <c r="S1893" i="29"/>
  <c r="F1894" i="29"/>
  <c r="G1894" i="29"/>
  <c r="N1894" i="29"/>
  <c r="P1894" i="29"/>
  <c r="Q1894" i="29"/>
  <c r="F1895" i="29"/>
  <c r="G1895" i="29"/>
  <c r="N1895" i="29"/>
  <c r="P1895" i="29"/>
  <c r="Q1895" i="29"/>
  <c r="S1895" i="29"/>
  <c r="F1896" i="29"/>
  <c r="G1896" i="29"/>
  <c r="N1896" i="29"/>
  <c r="P1896" i="29"/>
  <c r="Q1896" i="29"/>
  <c r="F1897" i="29"/>
  <c r="G1897" i="29"/>
  <c r="N1897" i="29"/>
  <c r="P1897" i="29"/>
  <c r="Q1897" i="29"/>
  <c r="T1897" i="29"/>
  <c r="S1897" i="29"/>
  <c r="F1898" i="29"/>
  <c r="G1898" i="29"/>
  <c r="N1898" i="29"/>
  <c r="P1898" i="29"/>
  <c r="Q1898" i="29"/>
  <c r="T1898" i="29"/>
  <c r="S1898" i="29"/>
  <c r="F1899" i="29"/>
  <c r="G1899" i="29"/>
  <c r="N1899" i="29"/>
  <c r="P1899" i="29"/>
  <c r="Q1899" i="29"/>
  <c r="T1899" i="29"/>
  <c r="S1899" i="29"/>
  <c r="F1900" i="29"/>
  <c r="G1900" i="29"/>
  <c r="J1900" i="29"/>
  <c r="N1900" i="29"/>
  <c r="P1900" i="29"/>
  <c r="Q1900" i="29"/>
  <c r="T1900" i="29"/>
  <c r="S1900" i="29"/>
  <c r="F1901" i="29"/>
  <c r="G1901" i="29"/>
  <c r="N1901" i="29"/>
  <c r="P1901" i="29"/>
  <c r="Q1901" i="29"/>
  <c r="F1902" i="29"/>
  <c r="G1902" i="29"/>
  <c r="N1902" i="29"/>
  <c r="P1902" i="29"/>
  <c r="Q1902" i="29"/>
  <c r="F1903" i="29"/>
  <c r="G1903" i="29"/>
  <c r="N1903" i="29"/>
  <c r="P1903" i="29"/>
  <c r="Q1903" i="29"/>
  <c r="T1903" i="29"/>
  <c r="F1904" i="29"/>
  <c r="G1904" i="29"/>
  <c r="J1904" i="29"/>
  <c r="N1904" i="29"/>
  <c r="P1904" i="29"/>
  <c r="R1904" i="29"/>
  <c r="Q1904" i="29"/>
  <c r="F1905" i="29"/>
  <c r="G1905" i="29"/>
  <c r="J1905" i="29"/>
  <c r="N1905" i="29"/>
  <c r="P1905" i="29"/>
  <c r="R1905" i="29"/>
  <c r="Q1905" i="29"/>
  <c r="F1906" i="29"/>
  <c r="G1906" i="29"/>
  <c r="N1906" i="29"/>
  <c r="P1906" i="29"/>
  <c r="Q1906" i="29"/>
  <c r="F1907" i="29"/>
  <c r="G1907" i="29"/>
  <c r="N1907" i="29"/>
  <c r="P1907" i="29"/>
  <c r="Q1907" i="29"/>
  <c r="F1908" i="29"/>
  <c r="G1908" i="29"/>
  <c r="N1908" i="29"/>
  <c r="P1908" i="29"/>
  <c r="Q1908" i="29"/>
  <c r="F1909" i="29"/>
  <c r="G1909" i="29"/>
  <c r="N1909" i="29"/>
  <c r="P1909" i="29"/>
  <c r="Q1909" i="29"/>
  <c r="F1910" i="29"/>
  <c r="G1910" i="29"/>
  <c r="J1910" i="29"/>
  <c r="N1910" i="29"/>
  <c r="P1910" i="29"/>
  <c r="Q1910" i="29"/>
  <c r="S1910" i="29"/>
  <c r="F1911" i="29"/>
  <c r="G1911" i="29"/>
  <c r="J1911" i="29"/>
  <c r="N1911" i="29"/>
  <c r="P1911" i="29"/>
  <c r="Q1911" i="29"/>
  <c r="F1912" i="29"/>
  <c r="G1912" i="29"/>
  <c r="N1912" i="29"/>
  <c r="P1912" i="29"/>
  <c r="Q1912" i="29"/>
  <c r="T1912" i="29"/>
  <c r="S1912" i="29"/>
  <c r="F1913" i="29"/>
  <c r="G1913" i="29"/>
  <c r="N1913" i="29"/>
  <c r="P1913" i="29"/>
  <c r="Q1913" i="29"/>
  <c r="S1913" i="29"/>
  <c r="F1914" i="29"/>
  <c r="G1914" i="29"/>
  <c r="N1914" i="29"/>
  <c r="P1914" i="29"/>
  <c r="Q1914" i="29"/>
  <c r="T1914" i="29"/>
  <c r="S1914" i="29"/>
  <c r="F1915" i="29"/>
  <c r="G1915" i="29"/>
  <c r="N1915" i="29"/>
  <c r="P1915" i="29"/>
  <c r="Q1915" i="29"/>
  <c r="F1916" i="29"/>
  <c r="G1916" i="29"/>
  <c r="N1916" i="29"/>
  <c r="P1916" i="29"/>
  <c r="Q1916" i="29"/>
  <c r="T1916" i="29"/>
  <c r="S1916" i="29"/>
  <c r="F1917" i="29"/>
  <c r="G1917" i="29"/>
  <c r="N1917" i="29"/>
  <c r="P1917" i="29"/>
  <c r="Q1917" i="29"/>
  <c r="T1917" i="29"/>
  <c r="F1918" i="29"/>
  <c r="G1918" i="29"/>
  <c r="N1918" i="29"/>
  <c r="P1918" i="29"/>
  <c r="Q1918" i="29"/>
  <c r="T1918" i="29"/>
  <c r="S1918" i="29"/>
  <c r="F1919" i="29"/>
  <c r="G1919" i="29"/>
  <c r="N1919" i="29"/>
  <c r="P1919" i="29"/>
  <c r="Q1919" i="29"/>
  <c r="S1919" i="29"/>
  <c r="F1920" i="29"/>
  <c r="G1920" i="29"/>
  <c r="N1920" i="29"/>
  <c r="P1920" i="29"/>
  <c r="Q1920" i="29"/>
  <c r="S1920" i="29"/>
  <c r="F1921" i="29"/>
  <c r="G1921" i="29"/>
  <c r="N1921" i="29"/>
  <c r="P1921" i="29"/>
  <c r="Q1921" i="29"/>
  <c r="T1921" i="29"/>
  <c r="S1921" i="29"/>
  <c r="F1922" i="29"/>
  <c r="G1922" i="29"/>
  <c r="N1922" i="29"/>
  <c r="P1922" i="29"/>
  <c r="Q1922" i="29"/>
  <c r="F1923" i="29"/>
  <c r="G1923" i="29"/>
  <c r="N1923" i="29"/>
  <c r="P1923" i="29"/>
  <c r="Q1923" i="29"/>
  <c r="T1923" i="29"/>
  <c r="S1923" i="29"/>
  <c r="F1924" i="29"/>
  <c r="G1924" i="29"/>
  <c r="N1924" i="29"/>
  <c r="P1924" i="29"/>
  <c r="Q1924" i="29"/>
  <c r="F1925" i="29"/>
  <c r="G1925" i="29"/>
  <c r="N1925" i="29"/>
  <c r="Q1925" i="29"/>
  <c r="S1925" i="29"/>
  <c r="F1926" i="29"/>
  <c r="G1926" i="29"/>
  <c r="N1926" i="29"/>
  <c r="P1926" i="29"/>
  <c r="Q1926" i="29"/>
  <c r="F1927" i="29"/>
  <c r="G1927" i="29"/>
  <c r="N1927" i="29"/>
  <c r="P1927" i="29"/>
  <c r="Q1927" i="29"/>
  <c r="T1927" i="29"/>
  <c r="S1927" i="29"/>
  <c r="F1928" i="29"/>
  <c r="G1928" i="29"/>
  <c r="J1928" i="29"/>
  <c r="N1928" i="29"/>
  <c r="P1928" i="29"/>
  <c r="Q1928" i="29"/>
  <c r="S1928" i="29"/>
  <c r="F1929" i="29"/>
  <c r="G1929" i="29"/>
  <c r="J1929" i="29"/>
  <c r="N1929" i="29"/>
  <c r="P1929" i="29"/>
  <c r="Q1929" i="29"/>
  <c r="F1930" i="29"/>
  <c r="G1930" i="29"/>
  <c r="P1930" i="29"/>
  <c r="Q1930" i="29"/>
  <c r="T1930" i="29"/>
  <c r="S1930" i="29"/>
  <c r="F1931" i="29"/>
  <c r="G1931" i="29"/>
  <c r="P1931" i="29"/>
  <c r="Q1931" i="29"/>
  <c r="T1931" i="29"/>
  <c r="S1931" i="29"/>
  <c r="F1932" i="29"/>
  <c r="G1932" i="29"/>
  <c r="N1932" i="29"/>
  <c r="P1932" i="29"/>
  <c r="Q1932" i="29"/>
  <c r="S1932" i="29"/>
  <c r="F1933" i="29"/>
  <c r="G1933" i="29"/>
  <c r="N1933" i="29"/>
  <c r="P1933" i="29"/>
  <c r="Q1933" i="29"/>
  <c r="T1933" i="29"/>
  <c r="F1934" i="29"/>
  <c r="G1934" i="29"/>
  <c r="N1934" i="29"/>
  <c r="P1934" i="29"/>
  <c r="Q1934" i="29"/>
  <c r="F1935" i="29"/>
  <c r="G1935" i="29"/>
  <c r="N1935" i="29"/>
  <c r="P1935" i="29"/>
  <c r="Q1935" i="29"/>
  <c r="F1936" i="29"/>
  <c r="G1936" i="29"/>
  <c r="N1936" i="29"/>
  <c r="P1936" i="29"/>
  <c r="Q1936" i="29"/>
  <c r="F1937" i="29"/>
  <c r="G1937" i="29"/>
  <c r="N1937" i="29"/>
  <c r="P1937" i="29"/>
  <c r="Q1937" i="29"/>
  <c r="T1937" i="29"/>
  <c r="S1937" i="29"/>
  <c r="F1938" i="29"/>
  <c r="G1938" i="29"/>
  <c r="N1938" i="29"/>
  <c r="P1938" i="29"/>
  <c r="Q1938" i="29"/>
  <c r="F1939" i="29"/>
  <c r="G1939" i="29"/>
  <c r="N1939" i="29"/>
  <c r="P1939" i="29"/>
  <c r="S1939" i="29"/>
  <c r="T1939" i="29"/>
  <c r="F1940" i="29"/>
  <c r="G1940" i="29"/>
  <c r="N1940" i="29"/>
  <c r="P1940" i="29"/>
  <c r="F1941" i="29"/>
  <c r="G1941" i="29"/>
  <c r="N1941" i="29"/>
  <c r="P1941" i="29"/>
  <c r="F1942" i="29"/>
  <c r="G1942" i="29"/>
  <c r="N1942" i="29"/>
  <c r="P1942" i="29"/>
  <c r="S1942" i="29"/>
  <c r="T1942" i="29"/>
  <c r="N1943" i="29"/>
  <c r="W1943" i="29"/>
  <c r="F1944" i="29"/>
  <c r="G1944" i="29"/>
  <c r="N1944" i="29"/>
  <c r="P1944" i="29"/>
  <c r="Q1944" i="29"/>
  <c r="F1945" i="29"/>
  <c r="G1945" i="29"/>
  <c r="N1945" i="29"/>
  <c r="P1945" i="29"/>
  <c r="Q1945" i="29"/>
  <c r="F1946" i="29"/>
  <c r="G1946" i="29"/>
  <c r="N1946" i="29"/>
  <c r="P1946" i="29"/>
  <c r="Q1946" i="29"/>
  <c r="F1947" i="29"/>
  <c r="G1947" i="29"/>
  <c r="N1947" i="29"/>
  <c r="P1947" i="29"/>
  <c r="Q1947" i="29"/>
  <c r="F1948" i="29"/>
  <c r="G1948" i="29"/>
  <c r="N1948" i="29"/>
  <c r="P1948" i="29"/>
  <c r="Q1948" i="29"/>
  <c r="F1949" i="29"/>
  <c r="G1949" i="29"/>
  <c r="N1949" i="29"/>
  <c r="P1949" i="29"/>
  <c r="Q1949" i="29"/>
  <c r="F1950" i="29"/>
  <c r="G1950" i="29"/>
  <c r="N1950" i="29"/>
  <c r="P1950" i="29"/>
  <c r="Q1950" i="29"/>
  <c r="T1950" i="29"/>
  <c r="S1950" i="29"/>
  <c r="F1951" i="29"/>
  <c r="G1951" i="29"/>
  <c r="N1951" i="29"/>
  <c r="P1951" i="29"/>
  <c r="Q1951" i="29"/>
  <c r="F1952" i="29"/>
  <c r="G1952" i="29"/>
  <c r="J1952" i="29"/>
  <c r="N1952" i="29"/>
  <c r="P1952" i="29"/>
  <c r="Q1952" i="29"/>
  <c r="F1953" i="29"/>
  <c r="G1953" i="29"/>
  <c r="N1953" i="29"/>
  <c r="P1953" i="29"/>
  <c r="Q1953" i="29"/>
  <c r="F1954" i="29"/>
  <c r="G1954" i="29"/>
  <c r="N1954" i="29"/>
  <c r="P1954" i="29"/>
  <c r="Q1954" i="29"/>
  <c r="F1955" i="29"/>
  <c r="G1955" i="29"/>
  <c r="N1955" i="29"/>
  <c r="P1955" i="29"/>
  <c r="Q1955" i="29"/>
  <c r="S1955" i="29"/>
  <c r="F1956" i="29"/>
  <c r="G1956" i="29"/>
  <c r="N1956" i="29"/>
  <c r="P1956" i="29"/>
  <c r="Q1956" i="29"/>
  <c r="N1957" i="29"/>
  <c r="F1959" i="29"/>
  <c r="G1959" i="29"/>
  <c r="N1959" i="29"/>
  <c r="P1959" i="29"/>
  <c r="Q1959" i="29"/>
  <c r="T1959" i="29"/>
  <c r="S1959" i="29"/>
  <c r="F1960" i="29"/>
  <c r="G1960" i="29"/>
  <c r="N1960" i="29"/>
  <c r="P1960" i="29"/>
  <c r="Q1960" i="29"/>
  <c r="F1961" i="29"/>
  <c r="G1961" i="29"/>
  <c r="N1961" i="29"/>
  <c r="P1961" i="29"/>
  <c r="Q1961" i="29"/>
  <c r="S1961" i="29"/>
  <c r="F1962" i="29"/>
  <c r="G1962" i="29"/>
  <c r="N1962" i="29"/>
  <c r="P1962" i="29"/>
  <c r="Q1962" i="29"/>
  <c r="T1962" i="29"/>
  <c r="S1962" i="29"/>
  <c r="F1963" i="29"/>
  <c r="G1963" i="29"/>
  <c r="N1963" i="29"/>
  <c r="P1963" i="29"/>
  <c r="Q1963" i="29"/>
  <c r="T1963" i="29"/>
  <c r="S1963" i="29"/>
  <c r="F1964" i="29"/>
  <c r="G1964" i="29"/>
  <c r="N1964" i="29"/>
  <c r="P1964" i="29"/>
  <c r="Q1964" i="29"/>
  <c r="T1964" i="29"/>
  <c r="S1964" i="29"/>
  <c r="F1965" i="29"/>
  <c r="G1965" i="29"/>
  <c r="N1965" i="29"/>
  <c r="P1965" i="29"/>
  <c r="Q1965" i="29"/>
  <c r="T1965" i="29"/>
  <c r="S1965" i="29"/>
  <c r="F1966" i="29"/>
  <c r="G1966" i="29"/>
  <c r="N1966" i="29"/>
  <c r="P1966" i="29"/>
  <c r="Q1966" i="29"/>
  <c r="F1967" i="29"/>
  <c r="G1967" i="29"/>
  <c r="N1967" i="29"/>
  <c r="P1967" i="29"/>
  <c r="Q1967" i="29"/>
  <c r="T1967" i="29"/>
  <c r="F1968" i="29"/>
  <c r="G1968" i="29"/>
  <c r="N1968" i="29"/>
  <c r="P1968" i="29"/>
  <c r="Q1968" i="29"/>
  <c r="F1969" i="29"/>
  <c r="G1969" i="29"/>
  <c r="N1969" i="29"/>
  <c r="P1969" i="29"/>
  <c r="Q1969" i="29"/>
  <c r="F1970" i="29"/>
  <c r="G1970" i="29"/>
  <c r="N1970" i="29"/>
  <c r="P1970" i="29"/>
  <c r="Q1970" i="29"/>
  <c r="T1970" i="29"/>
  <c r="F1971" i="29"/>
  <c r="G1971" i="29"/>
  <c r="N1971" i="29"/>
  <c r="P1971" i="29"/>
  <c r="Q1971" i="29"/>
  <c r="F1972" i="29"/>
  <c r="G1972" i="29"/>
  <c r="N1972" i="29"/>
  <c r="P1972" i="29"/>
  <c r="Q1972" i="29"/>
  <c r="F1973" i="29"/>
  <c r="G1973" i="29"/>
  <c r="N1973" i="29"/>
  <c r="P1973" i="29"/>
  <c r="Q1973" i="29"/>
  <c r="F1974" i="29"/>
  <c r="G1974" i="29"/>
  <c r="N1974" i="29"/>
  <c r="P1974" i="29"/>
  <c r="Q1974" i="29"/>
  <c r="F1975" i="29"/>
  <c r="G1975" i="29"/>
  <c r="N1975" i="29"/>
  <c r="P1975" i="29"/>
  <c r="Q1975" i="29"/>
  <c r="F1976" i="29"/>
  <c r="G1976" i="29"/>
  <c r="N1976" i="29"/>
  <c r="P1976" i="29"/>
  <c r="Q1976" i="29"/>
  <c r="F1977" i="29"/>
  <c r="G1977" i="29"/>
  <c r="J1977" i="29"/>
  <c r="N1977" i="29"/>
  <c r="P1977" i="29"/>
  <c r="Q1977" i="29"/>
  <c r="F1978" i="29"/>
  <c r="G1978" i="29"/>
  <c r="N1978" i="29"/>
  <c r="P1978" i="29"/>
  <c r="S1978" i="29"/>
  <c r="T1978" i="29"/>
  <c r="F1979" i="29"/>
  <c r="G1979" i="29"/>
  <c r="N1979" i="29"/>
  <c r="P1979" i="29"/>
  <c r="S1979" i="29"/>
  <c r="T1979" i="29"/>
  <c r="F1980" i="29"/>
  <c r="G1980" i="29"/>
  <c r="N1980" i="29"/>
  <c r="P1980" i="29"/>
  <c r="Q1980" i="29"/>
  <c r="T1980" i="29"/>
  <c r="S1980" i="29"/>
  <c r="F1981" i="29"/>
  <c r="G1981" i="29"/>
  <c r="J1981" i="29"/>
  <c r="N1981" i="29"/>
  <c r="P1981" i="29"/>
  <c r="Q1981" i="29"/>
  <c r="F1982" i="29"/>
  <c r="G1982" i="29"/>
  <c r="N1982" i="29"/>
  <c r="P1982" i="29"/>
  <c r="Q1982" i="29"/>
  <c r="T1982" i="29"/>
  <c r="S1982" i="29"/>
  <c r="F1983" i="29"/>
  <c r="G1983" i="29"/>
  <c r="N1983" i="29"/>
  <c r="P1983" i="29"/>
  <c r="Q1983" i="29"/>
  <c r="T1983" i="29"/>
  <c r="F1984" i="29"/>
  <c r="G1984" i="29"/>
  <c r="J1984" i="29"/>
  <c r="N1984" i="29"/>
  <c r="P1984" i="29"/>
  <c r="Q1984" i="29"/>
  <c r="F1985" i="29"/>
  <c r="G1985" i="29"/>
  <c r="N1985" i="29"/>
  <c r="P1985" i="29"/>
  <c r="Q1985" i="29"/>
  <c r="F1986" i="29"/>
  <c r="G1986" i="29"/>
  <c r="N1986" i="29"/>
  <c r="P1986" i="29"/>
  <c r="Q1986" i="29"/>
  <c r="T1986" i="29"/>
  <c r="S1986" i="29"/>
  <c r="F1987" i="29"/>
  <c r="G1987" i="29"/>
  <c r="N1987" i="29"/>
  <c r="P1987" i="29"/>
  <c r="Q1987" i="29"/>
  <c r="T1987" i="29"/>
  <c r="S1987" i="29"/>
  <c r="F1988" i="29"/>
  <c r="G1988" i="29"/>
  <c r="N1988" i="29"/>
  <c r="P1988" i="29"/>
  <c r="Q1988" i="29"/>
  <c r="F1989" i="29"/>
  <c r="G1989" i="29"/>
  <c r="N1989" i="29"/>
  <c r="P1989" i="29"/>
  <c r="Q1989" i="29"/>
  <c r="F1990" i="29"/>
  <c r="G1990" i="29"/>
  <c r="N1990" i="29"/>
  <c r="P1990" i="29"/>
  <c r="Q1990" i="29"/>
  <c r="T1990" i="29"/>
  <c r="F1991" i="29"/>
  <c r="G1991" i="29"/>
  <c r="N1991" i="29"/>
  <c r="P1991" i="29"/>
  <c r="Q1991" i="29"/>
  <c r="F1992" i="29"/>
  <c r="G1992" i="29"/>
  <c r="N1992" i="29"/>
  <c r="P1992" i="29"/>
  <c r="Q1992" i="29"/>
  <c r="F1993" i="29"/>
  <c r="G1993" i="29"/>
  <c r="N1993" i="29"/>
  <c r="P1993" i="29"/>
  <c r="Q1993" i="29"/>
  <c r="T1993" i="29"/>
  <c r="F1994" i="29"/>
  <c r="G1994" i="29"/>
  <c r="N1994" i="29"/>
  <c r="P1994" i="29"/>
  <c r="Q1994" i="29"/>
  <c r="F1995" i="29"/>
  <c r="G1995" i="29"/>
  <c r="J1995" i="29"/>
  <c r="N1995" i="29"/>
  <c r="P1995" i="29"/>
  <c r="Q1995" i="29"/>
  <c r="F1996" i="29"/>
  <c r="G1996" i="29"/>
  <c r="N1996" i="29"/>
  <c r="P1996" i="29"/>
  <c r="Q1996" i="29"/>
  <c r="T1996" i="29"/>
  <c r="S1996" i="29"/>
  <c r="F1997" i="29"/>
  <c r="G1997" i="29"/>
  <c r="N1997" i="29"/>
  <c r="P1997" i="29"/>
  <c r="Q1997" i="29"/>
  <c r="T1997" i="29"/>
  <c r="S1997" i="29"/>
  <c r="F1998" i="29"/>
  <c r="G1998" i="29"/>
  <c r="N1998" i="29"/>
  <c r="P1998" i="29"/>
  <c r="Q1998" i="29"/>
  <c r="F1999" i="29"/>
  <c r="G1999" i="29"/>
  <c r="N1999" i="29"/>
  <c r="P1999" i="29"/>
  <c r="Q1999" i="29"/>
  <c r="T1999" i="29"/>
  <c r="S1999" i="29"/>
  <c r="F2000" i="29"/>
  <c r="G2000" i="29"/>
  <c r="N2000" i="29"/>
  <c r="P2000" i="29"/>
  <c r="Q2000" i="29"/>
  <c r="T2000" i="29"/>
  <c r="F2001" i="29"/>
  <c r="G2001" i="29"/>
  <c r="N2001" i="29"/>
  <c r="P2001" i="29"/>
  <c r="Q2001" i="29"/>
  <c r="T2001" i="29"/>
  <c r="F2002" i="29"/>
  <c r="G2002" i="29"/>
  <c r="N2002" i="29"/>
  <c r="P2002" i="29"/>
  <c r="Q2002" i="29"/>
  <c r="T2002" i="29"/>
  <c r="S2002" i="29"/>
  <c r="F2003" i="29"/>
  <c r="G2003" i="29"/>
  <c r="N2003" i="29"/>
  <c r="P2003" i="29"/>
  <c r="Q2003" i="29"/>
  <c r="F2004" i="29"/>
  <c r="G2004" i="29"/>
  <c r="N2004" i="29"/>
  <c r="P2004" i="29"/>
  <c r="Q2004" i="29"/>
  <c r="T2004" i="29"/>
  <c r="S2004" i="29"/>
  <c r="F2005" i="29"/>
  <c r="G2005" i="29"/>
  <c r="N2005" i="29"/>
  <c r="P2005" i="29"/>
  <c r="Q2005" i="29"/>
  <c r="F2006" i="29"/>
  <c r="G2006" i="29"/>
  <c r="N2006" i="29"/>
  <c r="Q2006" i="29"/>
  <c r="F2007" i="29"/>
  <c r="G2007" i="29"/>
  <c r="N2007" i="29"/>
  <c r="P2007" i="29"/>
  <c r="Q2007" i="29"/>
  <c r="T2007" i="29"/>
  <c r="F2008" i="29"/>
  <c r="G2008" i="29"/>
  <c r="N2008" i="29"/>
  <c r="P2008" i="29"/>
  <c r="Q2008" i="29"/>
  <c r="T2008" i="29"/>
  <c r="S2008" i="29"/>
  <c r="F2009" i="29"/>
  <c r="G2009" i="29"/>
  <c r="N2009" i="29"/>
  <c r="P2009" i="29"/>
  <c r="Q2009" i="29"/>
  <c r="S2009" i="29"/>
  <c r="F2010" i="29"/>
  <c r="G2010" i="29"/>
  <c r="J2010" i="29"/>
  <c r="N2010" i="29"/>
  <c r="P2010" i="29"/>
  <c r="Q2010" i="29"/>
  <c r="F2011" i="29"/>
  <c r="G2011" i="29"/>
  <c r="P2011" i="29"/>
  <c r="Q2011" i="29"/>
  <c r="T2011" i="29"/>
  <c r="S2011" i="29"/>
  <c r="F2012" i="29"/>
  <c r="G2012" i="29"/>
  <c r="P2012" i="29"/>
  <c r="Q2012" i="29"/>
  <c r="T2012" i="29"/>
  <c r="S2012" i="29"/>
  <c r="F2013" i="29"/>
  <c r="G2013" i="29"/>
  <c r="N2013" i="29"/>
  <c r="P2013" i="29"/>
  <c r="Q2013" i="29"/>
  <c r="F2014" i="29"/>
  <c r="G2014" i="29"/>
  <c r="N2014" i="29"/>
  <c r="P2014" i="29"/>
  <c r="Q2014" i="29"/>
  <c r="T2014" i="29"/>
  <c r="F2015" i="29"/>
  <c r="G2015" i="29"/>
  <c r="N2015" i="29"/>
  <c r="P2015" i="29"/>
  <c r="Q2015" i="29"/>
  <c r="F2016" i="29"/>
  <c r="G2016" i="29"/>
  <c r="N2016" i="29"/>
  <c r="P2016" i="29"/>
  <c r="Q2016" i="29"/>
  <c r="F2017" i="29"/>
  <c r="G2017" i="29"/>
  <c r="N2017" i="29"/>
  <c r="P2017" i="29"/>
  <c r="Q2017" i="29"/>
  <c r="F2018" i="29"/>
  <c r="G2018" i="29"/>
  <c r="N2018" i="29"/>
  <c r="P2018" i="29"/>
  <c r="Q2018" i="29"/>
  <c r="F2019" i="29"/>
  <c r="G2019" i="29"/>
  <c r="N2019" i="29"/>
  <c r="P2019" i="29"/>
  <c r="Q2019" i="29"/>
  <c r="F2020" i="29"/>
  <c r="G2020" i="29"/>
  <c r="N2020" i="29"/>
  <c r="P2020" i="29"/>
  <c r="Q2020" i="29"/>
  <c r="F2021" i="29"/>
  <c r="G2021" i="29"/>
  <c r="J2021" i="29"/>
  <c r="N2021" i="29"/>
  <c r="P2021" i="29"/>
  <c r="Q2021" i="29"/>
  <c r="F2022" i="29"/>
  <c r="G2022" i="29"/>
  <c r="J2022" i="29"/>
  <c r="N2022" i="29"/>
  <c r="P2022" i="29"/>
  <c r="R2022" i="29"/>
  <c r="Q2022" i="29"/>
  <c r="F2023" i="29"/>
  <c r="G2023" i="29"/>
  <c r="J2023" i="29"/>
  <c r="N2023" i="29"/>
  <c r="P2023" i="29"/>
  <c r="R2023" i="29"/>
  <c r="Q2023" i="29"/>
  <c r="F2024" i="29"/>
  <c r="G2024" i="29"/>
  <c r="N2024" i="29"/>
  <c r="P2024" i="29"/>
  <c r="Q2024" i="29"/>
  <c r="F2025" i="29"/>
  <c r="G2025" i="29"/>
  <c r="N2025" i="29"/>
  <c r="P2025" i="29"/>
  <c r="Q2025" i="29"/>
  <c r="T2025" i="29"/>
  <c r="S2025" i="29"/>
  <c r="F2026" i="29"/>
  <c r="G2026" i="29"/>
  <c r="J2026" i="29"/>
  <c r="N2026" i="29"/>
  <c r="P2026" i="29"/>
  <c r="Q2026" i="29"/>
  <c r="F2027" i="29"/>
  <c r="G2027" i="29"/>
  <c r="N2027" i="29"/>
  <c r="P2027" i="29"/>
  <c r="Q2027" i="29"/>
  <c r="F2028" i="29"/>
  <c r="G2028" i="29"/>
  <c r="N2028" i="29"/>
  <c r="P2028" i="29"/>
  <c r="Q2028" i="29"/>
  <c r="F2029" i="29"/>
  <c r="G2029" i="29"/>
  <c r="N2029" i="29"/>
  <c r="P2029" i="29"/>
  <c r="Q2029" i="29"/>
  <c r="F2030" i="29"/>
  <c r="G2030" i="29"/>
  <c r="N2030" i="29"/>
  <c r="P2030" i="29"/>
  <c r="Q2030" i="29"/>
  <c r="S2030" i="29"/>
  <c r="F2031" i="29"/>
  <c r="G2031" i="29"/>
  <c r="N2031" i="29"/>
  <c r="P2031" i="29"/>
  <c r="Q2031" i="29"/>
  <c r="T2031" i="29"/>
  <c r="F2032" i="29"/>
  <c r="G2032" i="29"/>
  <c r="N2032" i="29"/>
  <c r="P2032" i="29"/>
  <c r="Q2032" i="29"/>
  <c r="S2032" i="29"/>
  <c r="F2033" i="29"/>
  <c r="G2033" i="29"/>
  <c r="N2033" i="29"/>
  <c r="P2033" i="29"/>
  <c r="Q2033" i="29"/>
  <c r="F2034" i="29"/>
  <c r="G2034" i="29"/>
  <c r="N2034" i="29"/>
  <c r="P2034" i="29"/>
  <c r="Q2034" i="29"/>
  <c r="F2035" i="29"/>
  <c r="G2035" i="29"/>
  <c r="N2035" i="29"/>
  <c r="P2035" i="29"/>
  <c r="Q2035" i="29"/>
  <c r="T2035" i="29"/>
  <c r="F2036" i="29"/>
  <c r="G2036" i="29"/>
  <c r="N2036" i="29"/>
  <c r="P2036" i="29"/>
  <c r="Q2036" i="29"/>
  <c r="N2037" i="29"/>
  <c r="W2037" i="29"/>
  <c r="F2038" i="29"/>
  <c r="G2038" i="29"/>
  <c r="N2038" i="29"/>
  <c r="P2038" i="29"/>
  <c r="Q2038" i="29"/>
  <c r="F2039" i="29"/>
  <c r="G2039" i="29"/>
  <c r="N2039" i="29"/>
  <c r="P2039" i="29"/>
  <c r="Q2039" i="29"/>
  <c r="F2040" i="29"/>
  <c r="G2040" i="29"/>
  <c r="N2040" i="29"/>
  <c r="P2040" i="29"/>
  <c r="Q2040" i="29"/>
  <c r="F2041" i="29"/>
  <c r="G2041" i="29"/>
  <c r="N2041" i="29"/>
  <c r="P2041" i="29"/>
  <c r="Q2041" i="29"/>
  <c r="T2041" i="29"/>
  <c r="F2042" i="29"/>
  <c r="G2042" i="29"/>
  <c r="N2042" i="29"/>
  <c r="P2042" i="29"/>
  <c r="Q2042" i="29"/>
  <c r="T2042" i="29"/>
  <c r="S2042" i="29"/>
  <c r="F2043" i="29"/>
  <c r="G2043" i="29"/>
  <c r="N2043" i="29"/>
  <c r="P2043" i="29"/>
  <c r="Q2043" i="29"/>
  <c r="F2044" i="29"/>
  <c r="G2044" i="29"/>
  <c r="N2044" i="29"/>
  <c r="P2044" i="29"/>
  <c r="Q2044" i="29"/>
  <c r="T2044" i="29"/>
  <c r="S2044" i="29"/>
  <c r="F2045" i="29"/>
  <c r="G2045" i="29"/>
  <c r="N2045" i="29"/>
  <c r="P2045" i="29"/>
  <c r="S2045" i="29"/>
  <c r="T2045" i="29"/>
  <c r="F2046" i="29"/>
  <c r="G2046" i="29"/>
  <c r="N2046" i="29"/>
  <c r="P2046" i="29"/>
  <c r="Q2046" i="29"/>
  <c r="F2047" i="29"/>
  <c r="G2047" i="29"/>
  <c r="N2047" i="29"/>
  <c r="P2047" i="29"/>
  <c r="Q2047" i="29"/>
  <c r="F2048" i="29"/>
  <c r="G2048" i="29"/>
  <c r="N2048" i="29"/>
  <c r="P2048" i="29"/>
  <c r="Q2048" i="29"/>
  <c r="F2049" i="29"/>
  <c r="G2049" i="29"/>
  <c r="N2049" i="29"/>
  <c r="P2049" i="29"/>
  <c r="Q2049" i="29"/>
  <c r="S2049" i="29"/>
  <c r="F2050" i="29"/>
  <c r="G2050" i="29"/>
  <c r="N2050" i="29"/>
  <c r="P2050" i="29"/>
  <c r="Q2050" i="29"/>
  <c r="F2051" i="29"/>
  <c r="G2051" i="29"/>
  <c r="N2051" i="29"/>
  <c r="P2051" i="29"/>
  <c r="Q2051" i="29"/>
  <c r="F2052" i="29"/>
  <c r="G2052" i="29"/>
  <c r="J2052" i="29"/>
  <c r="N2052" i="29"/>
  <c r="P2052" i="29"/>
  <c r="Q2052" i="29"/>
  <c r="F2053" i="29"/>
  <c r="G2053" i="29"/>
  <c r="N2053" i="29"/>
  <c r="P2053" i="29"/>
  <c r="Q2053" i="29"/>
  <c r="F2054" i="29"/>
  <c r="G2054" i="29"/>
  <c r="N2054" i="29"/>
  <c r="P2054" i="29"/>
  <c r="Q2054" i="29"/>
  <c r="F2055" i="29"/>
  <c r="G2055" i="29"/>
  <c r="N2055" i="29"/>
  <c r="P2055" i="29"/>
  <c r="Q2055" i="29"/>
  <c r="T2055" i="29"/>
  <c r="S2055" i="29"/>
  <c r="F2056" i="29"/>
  <c r="G2056" i="29"/>
  <c r="N2056" i="29"/>
  <c r="P2056" i="29"/>
  <c r="Q2056" i="29"/>
  <c r="T2056" i="29"/>
  <c r="S2056" i="29"/>
  <c r="F2057" i="29"/>
  <c r="G2057" i="29"/>
  <c r="J2057" i="29"/>
  <c r="N2057" i="29"/>
  <c r="P2057" i="29"/>
  <c r="Q2057" i="29"/>
  <c r="F2058" i="29"/>
  <c r="G2058" i="29"/>
  <c r="N2058" i="29"/>
  <c r="P2058" i="29"/>
  <c r="Q2058" i="29"/>
  <c r="F2059" i="29"/>
  <c r="G2059" i="29"/>
  <c r="N2059" i="29"/>
  <c r="P2059" i="29"/>
  <c r="Q2059" i="29"/>
  <c r="F2060" i="29"/>
  <c r="G2060" i="29"/>
  <c r="N2060" i="29"/>
  <c r="P2060" i="29"/>
  <c r="Q2060" i="29"/>
  <c r="F2061" i="29"/>
  <c r="G2061" i="29"/>
  <c r="N2061" i="29"/>
  <c r="P2061" i="29"/>
  <c r="Q2061" i="29"/>
  <c r="T2061" i="29"/>
  <c r="S2061" i="29"/>
  <c r="F2062" i="29"/>
  <c r="G2062" i="29"/>
  <c r="N2062" i="29"/>
  <c r="P2062" i="29"/>
  <c r="Q2062" i="29"/>
  <c r="F2063" i="29"/>
  <c r="G2063" i="29"/>
  <c r="N2063" i="29"/>
  <c r="P2063" i="29"/>
  <c r="Q2063" i="29"/>
  <c r="T2063" i="29"/>
  <c r="F2064" i="29"/>
  <c r="G2064" i="29"/>
  <c r="N2064" i="29"/>
  <c r="P2064" i="29"/>
  <c r="Q2064" i="29"/>
  <c r="F2065" i="29"/>
  <c r="G2065" i="29"/>
  <c r="J2065" i="29"/>
  <c r="N2065" i="29"/>
  <c r="P2065" i="29"/>
  <c r="Q2065" i="29"/>
  <c r="F2066" i="29"/>
  <c r="G2066" i="29"/>
  <c r="N2066" i="29"/>
  <c r="P2066" i="29"/>
  <c r="Q2066" i="29"/>
  <c r="F2067" i="29"/>
  <c r="G2067" i="29"/>
  <c r="N2067" i="29"/>
  <c r="P2067" i="29"/>
  <c r="Q2067" i="29"/>
  <c r="T2067" i="29"/>
  <c r="S2067" i="29"/>
  <c r="F2068" i="29"/>
  <c r="G2068" i="29"/>
  <c r="N2068" i="29"/>
  <c r="P2068" i="29"/>
  <c r="Q2068" i="29"/>
  <c r="F2069" i="29"/>
  <c r="G2069" i="29"/>
  <c r="N2069" i="29"/>
  <c r="P2069" i="29"/>
  <c r="Q2069" i="29"/>
  <c r="T2069" i="29"/>
  <c r="S2069" i="29"/>
  <c r="F2070" i="29"/>
  <c r="G2070" i="29"/>
  <c r="N2070" i="29"/>
  <c r="P2070" i="29"/>
  <c r="Q2070" i="29"/>
  <c r="F2071" i="29"/>
  <c r="G2071" i="29"/>
  <c r="J2071" i="29"/>
  <c r="N2071" i="29"/>
  <c r="P2071" i="29"/>
  <c r="Q2071" i="29"/>
  <c r="F2072" i="29"/>
  <c r="G2072" i="29"/>
  <c r="N2072" i="29"/>
  <c r="P2072" i="29"/>
  <c r="Q2072" i="29"/>
  <c r="T2072" i="29"/>
  <c r="S2072" i="29"/>
  <c r="F2073" i="29"/>
  <c r="G2073" i="29"/>
  <c r="N2073" i="29"/>
  <c r="P2073" i="29"/>
  <c r="Q2073" i="29"/>
  <c r="F2074" i="29"/>
  <c r="G2074" i="29"/>
  <c r="N2074" i="29"/>
  <c r="P2074" i="29"/>
  <c r="Q2074" i="29"/>
  <c r="F2075" i="29"/>
  <c r="N2075" i="29"/>
  <c r="P2075" i="29"/>
  <c r="Q2075" i="29"/>
  <c r="F2076" i="29"/>
  <c r="G2076" i="29"/>
  <c r="J2076" i="29"/>
  <c r="N2076" i="29"/>
  <c r="P2076" i="29"/>
  <c r="Q2076" i="29"/>
  <c r="F2077" i="29"/>
  <c r="G2077" i="29"/>
  <c r="N2077" i="29"/>
  <c r="P2077" i="29"/>
  <c r="R2077" i="29"/>
  <c r="Q2077" i="29"/>
  <c r="F2078" i="29"/>
  <c r="G2078" i="29"/>
  <c r="J2078" i="29"/>
  <c r="N2078" i="29"/>
  <c r="P2078" i="29"/>
  <c r="R2078" i="29"/>
  <c r="Q2078" i="29"/>
  <c r="F2079" i="29"/>
  <c r="G2079" i="29"/>
  <c r="N2079" i="29"/>
  <c r="P2079" i="29"/>
  <c r="Q2079" i="29"/>
  <c r="F2080" i="29"/>
  <c r="G2080" i="29"/>
  <c r="N2080" i="29"/>
  <c r="P2080" i="29"/>
  <c r="Q2080" i="29"/>
  <c r="S2080" i="29"/>
  <c r="F2081" i="29"/>
  <c r="G2081" i="29"/>
  <c r="J2081" i="29"/>
  <c r="N2081" i="29"/>
  <c r="P2081" i="29"/>
  <c r="Q2081" i="29"/>
  <c r="F2082" i="29"/>
  <c r="G2082" i="29"/>
  <c r="N2082" i="29"/>
  <c r="P2082" i="29"/>
  <c r="Q2082" i="29"/>
  <c r="F2083" i="29"/>
  <c r="G2083" i="29"/>
  <c r="P2083" i="29"/>
  <c r="Q2083" i="29"/>
  <c r="S2083" i="29"/>
  <c r="F2084" i="29"/>
  <c r="G2084" i="29"/>
  <c r="N2084" i="29"/>
  <c r="P2084" i="29"/>
  <c r="Q2084" i="29"/>
  <c r="F2085" i="29"/>
  <c r="G2085" i="29"/>
  <c r="N2085" i="29"/>
  <c r="P2085" i="29"/>
  <c r="Q2085" i="29"/>
  <c r="T2085" i="29"/>
  <c r="S2085" i="29"/>
  <c r="F2086" i="29"/>
  <c r="G2086" i="29"/>
  <c r="N2086" i="29"/>
  <c r="P2086" i="29"/>
  <c r="Q2086" i="29"/>
  <c r="F2087" i="29"/>
  <c r="G2087" i="29"/>
  <c r="N2087" i="29"/>
  <c r="P2087" i="29"/>
  <c r="Q2087" i="29"/>
  <c r="T2087" i="29"/>
  <c r="S2087" i="29"/>
  <c r="F2088" i="29"/>
  <c r="G2088" i="29"/>
  <c r="N2088" i="29"/>
  <c r="P2088" i="29"/>
  <c r="Q2088" i="29"/>
  <c r="F2089" i="29"/>
  <c r="G2089" i="29"/>
  <c r="N2089" i="29"/>
  <c r="Q2089" i="29"/>
  <c r="T2089" i="29"/>
  <c r="F2090" i="29"/>
  <c r="G2090" i="29"/>
  <c r="N2090" i="29"/>
  <c r="P2090" i="29"/>
  <c r="Q2090" i="29"/>
  <c r="T2090" i="29"/>
  <c r="F2091" i="29"/>
  <c r="G2091" i="29"/>
  <c r="N2091" i="29"/>
  <c r="P2091" i="29"/>
  <c r="Q2091" i="29"/>
  <c r="T2091" i="29"/>
  <c r="S2091" i="29"/>
  <c r="F2092" i="29"/>
  <c r="G2092" i="29"/>
  <c r="N2092" i="29"/>
  <c r="P2092" i="29"/>
  <c r="Q2092" i="29"/>
  <c r="F2093" i="29"/>
  <c r="G2093" i="29"/>
  <c r="N2093" i="29"/>
  <c r="P2093" i="29"/>
  <c r="Q2093" i="29"/>
  <c r="F2094" i="29"/>
  <c r="G2094" i="29"/>
  <c r="P2094" i="29"/>
  <c r="Q2094" i="29"/>
  <c r="T2094" i="29"/>
  <c r="S2094" i="29"/>
  <c r="F2095" i="29"/>
  <c r="G2095" i="29"/>
  <c r="P2095" i="29"/>
  <c r="Q2095" i="29"/>
  <c r="T2095" i="29"/>
  <c r="S2095" i="29"/>
  <c r="F2096" i="29"/>
  <c r="G2096" i="29"/>
  <c r="N2096" i="29"/>
  <c r="P2096" i="29"/>
  <c r="Q2096" i="29"/>
  <c r="T2096" i="29"/>
  <c r="F2097" i="29"/>
  <c r="G2097" i="29"/>
  <c r="N2097" i="29"/>
  <c r="P2097" i="29"/>
  <c r="Q2097" i="29"/>
  <c r="T2097" i="29"/>
  <c r="F2098" i="29"/>
  <c r="G2098" i="29"/>
  <c r="N2098" i="29"/>
  <c r="P2098" i="29"/>
  <c r="Q2098" i="29"/>
  <c r="F2099" i="29"/>
  <c r="G2099" i="29"/>
  <c r="N2099" i="29"/>
  <c r="P2099" i="29"/>
  <c r="Q2099" i="29"/>
  <c r="F2100" i="29"/>
  <c r="G2100" i="29"/>
  <c r="N2100" i="29"/>
  <c r="P2100" i="29"/>
  <c r="Q2100" i="29"/>
  <c r="F2101" i="29"/>
  <c r="G2101" i="29"/>
  <c r="N2101" i="29"/>
  <c r="P2101" i="29"/>
  <c r="Q2101" i="29"/>
  <c r="F2102" i="29"/>
  <c r="G2102" i="29"/>
  <c r="N2102" i="29"/>
  <c r="P2102" i="29"/>
  <c r="Q2102" i="29"/>
  <c r="F2103" i="29"/>
  <c r="G2103" i="29"/>
  <c r="N2103" i="29"/>
  <c r="P2103" i="29"/>
  <c r="Q2103" i="29"/>
  <c r="F2104" i="29"/>
  <c r="G2104" i="29"/>
  <c r="N2104" i="29"/>
  <c r="P2104" i="29"/>
  <c r="Q2104" i="29"/>
  <c r="T2104" i="29"/>
  <c r="F2105" i="29"/>
  <c r="G2105" i="29"/>
  <c r="N2105" i="29"/>
  <c r="P2105" i="29"/>
  <c r="Q2105" i="29"/>
  <c r="T2105" i="29"/>
  <c r="S2105" i="29"/>
  <c r="F2106" i="29"/>
  <c r="G2106" i="29"/>
  <c r="N2106" i="29"/>
  <c r="P2106" i="29"/>
  <c r="Q2106" i="29"/>
  <c r="T2106" i="29"/>
  <c r="S2106" i="29"/>
  <c r="F2107" i="29"/>
  <c r="G2107" i="29"/>
  <c r="N2107" i="29"/>
  <c r="P2107" i="29"/>
  <c r="Q2107" i="29"/>
  <c r="T2107" i="29"/>
  <c r="S2107" i="29"/>
  <c r="F2108" i="29"/>
  <c r="G2108" i="29"/>
  <c r="N2108" i="29"/>
  <c r="P2108" i="29"/>
  <c r="Q2108" i="29"/>
  <c r="T2108" i="29"/>
  <c r="S2108" i="29"/>
  <c r="F2109" i="29"/>
  <c r="G2109" i="29"/>
  <c r="N2109" i="29"/>
  <c r="P2109" i="29"/>
  <c r="Q2109" i="29"/>
  <c r="F2110" i="29"/>
  <c r="G2110" i="29"/>
  <c r="N2110" i="29"/>
  <c r="P2110" i="29"/>
  <c r="Q2110" i="29"/>
  <c r="F2111" i="29"/>
  <c r="G2111" i="29"/>
  <c r="N2111" i="29"/>
  <c r="P2111" i="29"/>
  <c r="Q2111" i="29"/>
  <c r="F2112" i="29"/>
  <c r="G2112" i="29"/>
  <c r="N2112" i="29"/>
  <c r="P2112" i="29"/>
  <c r="Q2112" i="29"/>
  <c r="T2112" i="29"/>
  <c r="S2112" i="29"/>
  <c r="F2113" i="29"/>
  <c r="G2113" i="29"/>
  <c r="N2113" i="29"/>
  <c r="P2113" i="29"/>
  <c r="Q2113" i="29"/>
  <c r="F2114" i="29"/>
  <c r="G2114" i="29"/>
  <c r="N2114" i="29"/>
  <c r="P2114" i="29"/>
  <c r="Q2114" i="29"/>
  <c r="T2114" i="29"/>
  <c r="S2114" i="29"/>
  <c r="F2115" i="29"/>
  <c r="G2115" i="29"/>
  <c r="N2115" i="29"/>
  <c r="P2115" i="29"/>
  <c r="Q2115" i="29"/>
  <c r="N2116" i="29"/>
  <c r="W2116" i="29"/>
  <c r="F2117" i="29"/>
  <c r="G2117" i="29"/>
  <c r="N2117" i="29"/>
  <c r="P2117" i="29"/>
  <c r="Q2117" i="29"/>
  <c r="T2117" i="29"/>
  <c r="R2117" i="29"/>
  <c r="F2118" i="29"/>
  <c r="G2118" i="29"/>
  <c r="N2118" i="29"/>
  <c r="P2118" i="29"/>
  <c r="Q2118" i="29"/>
  <c r="F2119" i="29"/>
  <c r="G2119" i="29"/>
  <c r="N2119" i="29"/>
  <c r="P2119" i="29"/>
  <c r="Q2119" i="29"/>
  <c r="T2119" i="29"/>
  <c r="R2119" i="29"/>
  <c r="F2120" i="29"/>
  <c r="G2120" i="29"/>
  <c r="N2120" i="29"/>
  <c r="P2120" i="29"/>
  <c r="Q2120" i="29"/>
  <c r="F2121" i="29"/>
  <c r="G2121" i="29"/>
  <c r="N2121" i="29"/>
  <c r="P2121" i="29"/>
  <c r="Q2121" i="29"/>
  <c r="S2121" i="29"/>
  <c r="F2122" i="29"/>
  <c r="G2122" i="29"/>
  <c r="N2122" i="29"/>
  <c r="P2122" i="29"/>
  <c r="Q2122" i="29"/>
  <c r="T2122" i="29"/>
  <c r="F2123" i="29"/>
  <c r="G2123" i="29"/>
  <c r="N2123" i="29"/>
  <c r="P2123" i="29"/>
  <c r="Q2123" i="29"/>
  <c r="F2124" i="29"/>
  <c r="G2124" i="29"/>
  <c r="N2124" i="29"/>
  <c r="P2124" i="29"/>
  <c r="Q2124" i="29"/>
  <c r="F2125" i="29"/>
  <c r="G2125" i="29"/>
  <c r="J2125" i="29"/>
  <c r="N2125" i="29"/>
  <c r="P2125" i="29"/>
  <c r="Q2125" i="29"/>
  <c r="F2126" i="29"/>
  <c r="G2126" i="29"/>
  <c r="N2126" i="29"/>
  <c r="P2126" i="29"/>
  <c r="Q2126" i="29"/>
  <c r="F2127" i="29"/>
  <c r="G2127" i="29"/>
  <c r="N2127" i="29"/>
  <c r="P2127" i="29"/>
  <c r="Q2127" i="29"/>
  <c r="F2128" i="29"/>
  <c r="G2128" i="29"/>
  <c r="N2128" i="29"/>
  <c r="P2128" i="29"/>
  <c r="Q2128" i="29"/>
  <c r="F2129" i="29"/>
  <c r="G2129" i="29"/>
  <c r="J2129" i="29"/>
  <c r="N2129" i="29"/>
  <c r="P2129" i="29"/>
  <c r="Q2129" i="29"/>
  <c r="T2129" i="29"/>
  <c r="F2130" i="29"/>
  <c r="G2130" i="29"/>
  <c r="N2130" i="29"/>
  <c r="P2130" i="29"/>
  <c r="Q2130" i="29"/>
  <c r="F2131" i="29"/>
  <c r="G2131" i="29"/>
  <c r="N2131" i="29"/>
  <c r="P2131" i="29"/>
  <c r="Q2131" i="29"/>
  <c r="T2131" i="29"/>
  <c r="S2131" i="29"/>
  <c r="F2132" i="29"/>
  <c r="G2132" i="29"/>
  <c r="N2132" i="29"/>
  <c r="P2132" i="29"/>
  <c r="Q2132" i="29"/>
  <c r="F2133" i="29"/>
  <c r="G2133" i="29"/>
  <c r="N2133" i="29"/>
  <c r="P2133" i="29"/>
  <c r="Q2133" i="29"/>
  <c r="F2134" i="29"/>
  <c r="G2134" i="29"/>
  <c r="J2134" i="29"/>
  <c r="N2134" i="29"/>
  <c r="P2134" i="29"/>
  <c r="Q2134" i="29"/>
  <c r="F2135" i="29"/>
  <c r="G2135" i="29"/>
  <c r="N2135" i="29"/>
  <c r="P2135" i="29"/>
  <c r="Q2135" i="29"/>
  <c r="F2136" i="29"/>
  <c r="G2136" i="29"/>
  <c r="N2136" i="29"/>
  <c r="P2136" i="29"/>
  <c r="Q2136" i="29"/>
  <c r="T2136" i="29"/>
  <c r="S2136" i="29"/>
  <c r="F2137" i="29"/>
  <c r="G2137" i="29"/>
  <c r="N2137" i="29"/>
  <c r="P2137" i="29"/>
  <c r="Q2137" i="29"/>
  <c r="T2137" i="29"/>
  <c r="S2137" i="29"/>
  <c r="F2138" i="29"/>
  <c r="G2138" i="29"/>
  <c r="N2138" i="29"/>
  <c r="P2138" i="29"/>
  <c r="Q2138" i="29"/>
  <c r="T2138" i="29"/>
  <c r="F2139" i="29"/>
  <c r="G2139" i="29"/>
  <c r="J2139" i="29"/>
  <c r="N2139" i="29"/>
  <c r="P2139" i="29"/>
  <c r="Q2139" i="29"/>
  <c r="S2139" i="29"/>
  <c r="F2140" i="29"/>
  <c r="G2140" i="29"/>
  <c r="N2140" i="29"/>
  <c r="P2140" i="29"/>
  <c r="Q2140" i="29"/>
  <c r="S2140" i="29"/>
  <c r="F2141" i="29"/>
  <c r="G2141" i="29"/>
  <c r="N2141" i="29"/>
  <c r="P2141" i="29"/>
  <c r="Q2141" i="29"/>
  <c r="F2142" i="29"/>
  <c r="G2142" i="29"/>
  <c r="N2142" i="29"/>
  <c r="P2142" i="29"/>
  <c r="Q2142" i="29"/>
  <c r="F2143" i="29"/>
  <c r="G2143" i="29"/>
  <c r="J2143" i="29"/>
  <c r="N2143" i="29"/>
  <c r="P2143" i="29"/>
  <c r="Q2143" i="29"/>
  <c r="F2144" i="29"/>
  <c r="G2144" i="29"/>
  <c r="J2144" i="29"/>
  <c r="N2144" i="29"/>
  <c r="P2144" i="29"/>
  <c r="R2144" i="29"/>
  <c r="Q2144" i="29"/>
  <c r="F2145" i="29"/>
  <c r="G2145" i="29"/>
  <c r="J2145" i="29"/>
  <c r="N2145" i="29"/>
  <c r="P2145" i="29"/>
  <c r="R2145" i="29"/>
  <c r="Q2145" i="29"/>
  <c r="F2146" i="29"/>
  <c r="G2146" i="29"/>
  <c r="Q2146" i="29"/>
  <c r="T2146" i="29"/>
  <c r="F2147" i="29"/>
  <c r="G2147" i="29"/>
  <c r="Q2147" i="29"/>
  <c r="F2148" i="29"/>
  <c r="G2148" i="29"/>
  <c r="N2148" i="29"/>
  <c r="P2148" i="29"/>
  <c r="Q2148" i="29"/>
  <c r="F2149" i="29"/>
  <c r="G2149" i="29"/>
  <c r="N2149" i="29"/>
  <c r="P2149" i="29"/>
  <c r="Q2149" i="29"/>
  <c r="F2150" i="29"/>
  <c r="G2150" i="29"/>
  <c r="N2150" i="29"/>
  <c r="P2150" i="29"/>
  <c r="Q2150" i="29"/>
  <c r="T2150" i="29"/>
  <c r="S2150" i="29"/>
  <c r="F2151" i="29"/>
  <c r="G2151" i="29"/>
  <c r="J2151" i="29"/>
  <c r="N2151" i="29"/>
  <c r="P2151" i="29"/>
  <c r="Q2151" i="29"/>
  <c r="F2152" i="29"/>
  <c r="G2152" i="29"/>
  <c r="N2152" i="29"/>
  <c r="P2152" i="29"/>
  <c r="Q2152" i="29"/>
  <c r="F2153" i="29"/>
  <c r="G2153" i="29"/>
  <c r="N2153" i="29"/>
  <c r="P2153" i="29"/>
  <c r="Q2153" i="29"/>
  <c r="R2153" i="29"/>
  <c r="F2154" i="29"/>
  <c r="G2154" i="29"/>
  <c r="N2154" i="29"/>
  <c r="P2154" i="29"/>
  <c r="Q2154" i="29"/>
  <c r="R2154" i="29"/>
  <c r="F2155" i="29"/>
  <c r="G2155" i="29"/>
  <c r="N2155" i="29"/>
  <c r="P2155" i="29"/>
  <c r="Q2155" i="29"/>
  <c r="F2156" i="29"/>
  <c r="G2156" i="29"/>
  <c r="N2156" i="29"/>
  <c r="P2156" i="29"/>
  <c r="Q2156" i="29"/>
  <c r="F2157" i="29"/>
  <c r="G2157" i="29"/>
  <c r="N2157" i="29"/>
  <c r="P2157" i="29"/>
  <c r="Q2157" i="29"/>
  <c r="F2158" i="29"/>
  <c r="G2158" i="29"/>
  <c r="N2158" i="29"/>
  <c r="P2158" i="29"/>
  <c r="Q2158" i="29"/>
  <c r="F2159" i="29"/>
  <c r="G2159" i="29"/>
  <c r="N2159" i="29"/>
  <c r="P2159" i="29"/>
  <c r="Q2159" i="29"/>
  <c r="T2159" i="29"/>
  <c r="S2159" i="29"/>
  <c r="F2160" i="29"/>
  <c r="G2160" i="29"/>
  <c r="N2160" i="29"/>
  <c r="P2160" i="29"/>
  <c r="Q2160" i="29"/>
  <c r="F2161" i="29"/>
  <c r="G2161" i="29"/>
  <c r="N2161" i="29"/>
  <c r="P2161" i="29"/>
  <c r="Q2161" i="29"/>
  <c r="T2161" i="29"/>
  <c r="S2161" i="29"/>
  <c r="F2162" i="29"/>
  <c r="G2162" i="29"/>
  <c r="N2162" i="29"/>
  <c r="P2162" i="29"/>
  <c r="Q2162" i="29"/>
  <c r="F2163" i="29"/>
  <c r="G2163" i="29"/>
  <c r="N2163" i="29"/>
  <c r="Q2163" i="29"/>
  <c r="F2164" i="29"/>
  <c r="G2164" i="29"/>
  <c r="N2164" i="29"/>
  <c r="P2164" i="29"/>
  <c r="Q2164" i="29"/>
  <c r="F2165" i="29"/>
  <c r="G2165" i="29"/>
  <c r="N2165" i="29"/>
  <c r="P2165" i="29"/>
  <c r="Q2165" i="29"/>
  <c r="T2165" i="29"/>
  <c r="S2165" i="29"/>
  <c r="F2166" i="29"/>
  <c r="G2166" i="29"/>
  <c r="N2166" i="29"/>
  <c r="P2166" i="29"/>
  <c r="Q2166" i="29"/>
  <c r="F2167" i="29"/>
  <c r="G2167" i="29"/>
  <c r="J2167" i="29"/>
  <c r="N2167" i="29"/>
  <c r="P2167" i="29"/>
  <c r="Q2167" i="29"/>
  <c r="F2168" i="29"/>
  <c r="G2168" i="29"/>
  <c r="P2168" i="29"/>
  <c r="Q2168" i="29"/>
  <c r="T2168" i="29"/>
  <c r="S2168" i="29"/>
  <c r="F2169" i="29"/>
  <c r="G2169" i="29"/>
  <c r="P2169" i="29"/>
  <c r="Q2169" i="29"/>
  <c r="T2169" i="29"/>
  <c r="S2169" i="29"/>
  <c r="F2170" i="29"/>
  <c r="G2170" i="29"/>
  <c r="N2170" i="29"/>
  <c r="P2170" i="29"/>
  <c r="Q2170" i="29"/>
  <c r="F2171" i="29"/>
  <c r="G2171" i="29"/>
  <c r="N2171" i="29"/>
  <c r="P2171" i="29"/>
  <c r="Q2171" i="29"/>
  <c r="S2171" i="29"/>
  <c r="F2172" i="29"/>
  <c r="G2172" i="29"/>
  <c r="N2172" i="29"/>
  <c r="P2172" i="29"/>
  <c r="Q2172" i="29"/>
  <c r="F2173" i="29"/>
  <c r="G2173" i="29"/>
  <c r="N2173" i="29"/>
  <c r="P2173" i="29"/>
  <c r="Q2173" i="29"/>
  <c r="F2174" i="29"/>
  <c r="G2174" i="29"/>
  <c r="N2174" i="29"/>
  <c r="P2174" i="29"/>
  <c r="Q2174" i="29"/>
  <c r="F2175" i="29"/>
  <c r="G2175" i="29"/>
  <c r="N2175" i="29"/>
  <c r="P2175" i="29"/>
  <c r="Q2175" i="29"/>
  <c r="F2176" i="29"/>
  <c r="G2176" i="29"/>
  <c r="N2176" i="29"/>
  <c r="P2176" i="29"/>
  <c r="Q2176" i="29"/>
  <c r="F2177" i="29"/>
  <c r="G2177" i="29"/>
  <c r="N2177" i="29"/>
  <c r="P2177" i="29"/>
  <c r="Q2177" i="29"/>
  <c r="F2178" i="29"/>
  <c r="G2178" i="29"/>
  <c r="N2178" i="29"/>
  <c r="P2178" i="29"/>
  <c r="Q2178" i="29"/>
  <c r="F2179" i="29"/>
  <c r="G2179" i="29"/>
  <c r="J2179" i="29"/>
  <c r="N2179" i="29"/>
  <c r="P2179" i="29"/>
  <c r="Q2179" i="29"/>
  <c r="F2180" i="29"/>
  <c r="G2180" i="29"/>
  <c r="N2180" i="29"/>
  <c r="P2180" i="29"/>
  <c r="Q2180" i="29"/>
  <c r="R2180" i="29"/>
  <c r="F2181" i="29"/>
  <c r="G2181" i="29"/>
  <c r="N2181" i="29"/>
  <c r="P2181" i="29"/>
  <c r="Q2181" i="29"/>
  <c r="T2181" i="29"/>
  <c r="N2182" i="29"/>
  <c r="W2182" i="29"/>
  <c r="F2183" i="29"/>
  <c r="G2183" i="29"/>
  <c r="N2183" i="29"/>
  <c r="P2183" i="29"/>
  <c r="Q2183" i="29"/>
  <c r="F2184" i="29"/>
  <c r="G2184" i="29"/>
  <c r="N2184" i="29"/>
  <c r="P2184" i="29"/>
  <c r="Q2184" i="29"/>
  <c r="F2185" i="29"/>
  <c r="G2185" i="29"/>
  <c r="N2185" i="29"/>
  <c r="P2185" i="29"/>
  <c r="Q2185" i="29"/>
  <c r="F2186" i="29"/>
  <c r="G2186" i="29"/>
  <c r="N2186" i="29"/>
  <c r="P2186" i="29"/>
  <c r="Q2186" i="29"/>
  <c r="F2187" i="29"/>
  <c r="G2187" i="29"/>
  <c r="N2187" i="29"/>
  <c r="P2187" i="29"/>
  <c r="Q2187" i="29"/>
  <c r="F2188" i="29"/>
  <c r="G2188" i="29"/>
  <c r="N2188" i="29"/>
  <c r="P2188" i="29"/>
  <c r="Q2188" i="29"/>
  <c r="F2189" i="29"/>
  <c r="G2189" i="29"/>
  <c r="N2189" i="29"/>
  <c r="P2189" i="29"/>
  <c r="Q2189" i="29"/>
  <c r="F2190" i="29"/>
  <c r="G2190" i="29"/>
  <c r="J2190" i="29"/>
  <c r="N2190" i="29"/>
  <c r="P2190" i="29"/>
  <c r="Q2190" i="29"/>
  <c r="F2191" i="29"/>
  <c r="G2191" i="29"/>
  <c r="N2191" i="29"/>
  <c r="P2191" i="29"/>
  <c r="Q2191" i="29"/>
  <c r="F2192" i="29"/>
  <c r="G2192" i="29"/>
  <c r="N2192" i="29"/>
  <c r="P2192" i="29"/>
  <c r="Q2192" i="29"/>
  <c r="F2193" i="29"/>
  <c r="G2193" i="29"/>
  <c r="N2193" i="29"/>
  <c r="P2193" i="29"/>
  <c r="Q2193" i="29"/>
  <c r="S2193" i="29"/>
  <c r="F2194" i="29"/>
  <c r="G2194" i="29"/>
  <c r="P2194" i="29"/>
  <c r="Q2194" i="29"/>
  <c r="F2195" i="29"/>
  <c r="G2195" i="29"/>
  <c r="N2195" i="29"/>
  <c r="P2195" i="29"/>
  <c r="S2195" i="29"/>
  <c r="T2195" i="29"/>
  <c r="F2196" i="29"/>
  <c r="G2196" i="29"/>
  <c r="N2196" i="29"/>
  <c r="P2196" i="29"/>
  <c r="Q2196" i="29"/>
  <c r="T2196" i="29"/>
  <c r="F2197" i="29"/>
  <c r="G2197" i="29"/>
  <c r="N2197" i="29"/>
  <c r="P2197" i="29"/>
  <c r="Q2197" i="29"/>
  <c r="R2197" i="29"/>
  <c r="F2198" i="29"/>
  <c r="G2198" i="29"/>
  <c r="N2198" i="29"/>
  <c r="P2198" i="29"/>
  <c r="Q2198" i="29"/>
  <c r="F2199" i="29"/>
  <c r="G2199" i="29"/>
  <c r="N2199" i="29"/>
  <c r="P2199" i="29"/>
  <c r="Q2199" i="29"/>
  <c r="T2199" i="29"/>
  <c r="F2200" i="29"/>
  <c r="G2200" i="29"/>
  <c r="Q2200" i="29"/>
  <c r="T2200" i="29"/>
  <c r="S2200" i="29"/>
  <c r="F2201" i="29"/>
  <c r="G2201" i="29"/>
  <c r="Q2201" i="29"/>
  <c r="T2201" i="29"/>
  <c r="S2201" i="29"/>
  <c r="F2202" i="29"/>
  <c r="G2202" i="29"/>
  <c r="N2202" i="29"/>
  <c r="P2202" i="29"/>
  <c r="Q2202" i="29"/>
  <c r="T2202" i="29"/>
  <c r="S2202" i="29"/>
  <c r="F2203" i="29"/>
  <c r="G2203" i="29"/>
  <c r="N2203" i="29"/>
  <c r="P2203" i="29"/>
  <c r="Q2203" i="29"/>
  <c r="T2203" i="29"/>
  <c r="S2203" i="29"/>
  <c r="F2204" i="29"/>
  <c r="G2204" i="29"/>
  <c r="P2204" i="29"/>
  <c r="Q2204" i="29"/>
  <c r="F2205" i="29"/>
  <c r="G2205" i="29"/>
  <c r="N2205" i="29"/>
  <c r="P2205" i="29"/>
  <c r="Q2205" i="29"/>
  <c r="F2206" i="29"/>
  <c r="G2206" i="29"/>
  <c r="N2206" i="29"/>
  <c r="P2206" i="29"/>
  <c r="Q2206" i="29"/>
  <c r="F2207" i="29"/>
  <c r="G2207" i="29"/>
  <c r="J2207" i="29"/>
  <c r="N2207" i="29"/>
  <c r="P2207" i="29"/>
  <c r="Q2207" i="29"/>
  <c r="F2208" i="29"/>
  <c r="G2208" i="29"/>
  <c r="J2208" i="29"/>
  <c r="N2208" i="29"/>
  <c r="P2208" i="29"/>
  <c r="R2208" i="29"/>
  <c r="Q2208" i="29"/>
  <c r="F2209" i="29"/>
  <c r="G2209" i="29"/>
  <c r="J2209" i="29"/>
  <c r="N2209" i="29"/>
  <c r="P2209" i="29"/>
  <c r="R2209" i="29"/>
  <c r="Q2209" i="29"/>
  <c r="F2210" i="29"/>
  <c r="G2210" i="29"/>
  <c r="N2210" i="29"/>
  <c r="P2210" i="29"/>
  <c r="Q2210" i="29"/>
  <c r="T2210" i="29"/>
  <c r="S2210" i="29"/>
  <c r="F2211" i="29"/>
  <c r="G2211" i="29"/>
  <c r="N2211" i="29"/>
  <c r="P2211" i="29"/>
  <c r="Q2211" i="29"/>
  <c r="T2211" i="29"/>
  <c r="S2211" i="29"/>
  <c r="F2212" i="29"/>
  <c r="G2212" i="29"/>
  <c r="N2212" i="29"/>
  <c r="P2212" i="29"/>
  <c r="Q2212" i="29"/>
  <c r="F2213" i="29"/>
  <c r="G2213" i="29"/>
  <c r="N2213" i="29"/>
  <c r="P2213" i="29"/>
  <c r="Q2213" i="29"/>
  <c r="T2213" i="29"/>
  <c r="S2213" i="29"/>
  <c r="F2214" i="29"/>
  <c r="G2214" i="29"/>
  <c r="N2214" i="29"/>
  <c r="P2214" i="29"/>
  <c r="Q2214" i="29"/>
  <c r="F2215" i="29"/>
  <c r="G2215" i="29"/>
  <c r="N2215" i="29"/>
  <c r="P2215" i="29"/>
  <c r="Q2215" i="29"/>
  <c r="F2216" i="29"/>
  <c r="G2216" i="29"/>
  <c r="N2216" i="29"/>
  <c r="P2216" i="29"/>
  <c r="Q2216" i="29"/>
  <c r="F2217" i="29"/>
  <c r="G2217" i="29"/>
  <c r="N2217" i="29"/>
  <c r="P2217" i="29"/>
  <c r="Q2217" i="29"/>
  <c r="F2218" i="29"/>
  <c r="G2218" i="29"/>
  <c r="N2218" i="29"/>
  <c r="P2218" i="29"/>
  <c r="Q2218" i="29"/>
  <c r="T2218" i="29"/>
  <c r="F2219" i="29"/>
  <c r="G2219" i="29"/>
  <c r="N2219" i="29"/>
  <c r="P2219" i="29"/>
  <c r="Q2219" i="29"/>
  <c r="F2220" i="29"/>
  <c r="G2220" i="29"/>
  <c r="N2220" i="29"/>
  <c r="P2220" i="29"/>
  <c r="Q2220" i="29"/>
  <c r="F2221" i="29"/>
  <c r="G2221" i="29"/>
  <c r="N2221" i="29"/>
  <c r="P2221" i="29"/>
  <c r="Q2221" i="29"/>
  <c r="F2222" i="29"/>
  <c r="G2222" i="29"/>
  <c r="N2222" i="29"/>
  <c r="P2222" i="29"/>
  <c r="Q2222" i="29"/>
  <c r="F2223" i="29"/>
  <c r="G2223" i="29"/>
  <c r="N2223" i="29"/>
  <c r="P2223" i="29"/>
  <c r="Q2223" i="29"/>
  <c r="F2224" i="29"/>
  <c r="G2224" i="29"/>
  <c r="N2224" i="29"/>
  <c r="P2224" i="29"/>
  <c r="Q2224" i="29"/>
  <c r="F2225" i="29"/>
  <c r="G2225" i="29"/>
  <c r="N2225" i="29"/>
  <c r="P2225" i="29"/>
  <c r="Q2225" i="29"/>
  <c r="F2226" i="29"/>
  <c r="G2226" i="29"/>
  <c r="J2226" i="29"/>
  <c r="N2226" i="29"/>
  <c r="P2226" i="29"/>
  <c r="Q2226" i="29"/>
  <c r="F2227" i="29"/>
  <c r="G2227" i="29"/>
  <c r="J2227" i="29"/>
  <c r="N2227" i="29"/>
  <c r="P2227" i="29"/>
  <c r="Q2227" i="29"/>
  <c r="F2228" i="29"/>
  <c r="G2228" i="29"/>
  <c r="N2228" i="29"/>
  <c r="P2228" i="29"/>
  <c r="Q2228" i="29"/>
  <c r="F2229" i="29"/>
  <c r="G2229" i="29"/>
  <c r="N2229" i="29"/>
  <c r="P2229" i="29"/>
  <c r="Q2229" i="29"/>
  <c r="F2230" i="29"/>
  <c r="G2230" i="29"/>
  <c r="J2230" i="29"/>
  <c r="N2230" i="29"/>
  <c r="P2230" i="29"/>
  <c r="Q2230" i="29"/>
  <c r="F2231" i="29"/>
  <c r="G2231" i="29"/>
  <c r="N2231" i="29"/>
  <c r="P2231" i="29"/>
  <c r="Q2231" i="29"/>
  <c r="F2232" i="29"/>
  <c r="G2232" i="29"/>
  <c r="Q2232" i="29"/>
  <c r="S2232" i="29"/>
  <c r="F2233" i="29"/>
  <c r="G2233" i="29"/>
  <c r="Q2233" i="29"/>
  <c r="T2233" i="29"/>
  <c r="F2234" i="29"/>
  <c r="G2234" i="29"/>
  <c r="N2234" i="29"/>
  <c r="S2234" i="29"/>
  <c r="T2234" i="29"/>
  <c r="F2235" i="29"/>
  <c r="G2235" i="29"/>
  <c r="N2235" i="29"/>
  <c r="P2235" i="29"/>
  <c r="Q2235" i="29"/>
  <c r="F2236" i="29"/>
  <c r="G2236" i="29"/>
  <c r="N2236" i="29"/>
  <c r="P2236" i="29"/>
  <c r="Q2236" i="29"/>
  <c r="F2237" i="29"/>
  <c r="G2237" i="29"/>
  <c r="N2237" i="29"/>
  <c r="P2237" i="29"/>
  <c r="Q2237" i="29"/>
  <c r="F2238" i="29"/>
  <c r="G2238" i="29"/>
  <c r="N2238" i="29"/>
  <c r="P2238" i="29"/>
  <c r="Q2238" i="29"/>
  <c r="F2239" i="29"/>
  <c r="G2239" i="29"/>
  <c r="N2239" i="29"/>
  <c r="P2239" i="29"/>
  <c r="Q2239" i="29"/>
  <c r="F2240" i="29"/>
  <c r="G2240" i="29"/>
  <c r="N2240" i="29"/>
  <c r="P2240" i="29"/>
  <c r="Q2240" i="29"/>
  <c r="F2241" i="29"/>
  <c r="G2241" i="29"/>
  <c r="N2241" i="29"/>
  <c r="P2241" i="29"/>
  <c r="Q2241" i="29"/>
  <c r="F2242" i="29"/>
  <c r="G2242" i="29"/>
  <c r="J2242" i="29"/>
  <c r="N2242" i="29"/>
  <c r="P2242" i="29"/>
  <c r="Q2242" i="29"/>
  <c r="T2242" i="29"/>
  <c r="S2242" i="29"/>
  <c r="F2243" i="29"/>
  <c r="G2243" i="29"/>
  <c r="J2243" i="29"/>
  <c r="N2243" i="29"/>
  <c r="P2243" i="29"/>
  <c r="Q2243" i="29"/>
  <c r="T2243" i="29"/>
  <c r="S2243" i="29"/>
  <c r="F2244" i="29"/>
  <c r="G2244" i="29"/>
  <c r="N2244" i="29"/>
  <c r="P2244" i="29"/>
  <c r="Q2244" i="29"/>
  <c r="T2244" i="29"/>
  <c r="S2244" i="29"/>
  <c r="F2245" i="29"/>
  <c r="G2245" i="29"/>
  <c r="N2245" i="29"/>
  <c r="Q2245" i="29"/>
  <c r="T2245" i="29"/>
  <c r="S2245" i="29"/>
  <c r="F2246" i="29"/>
  <c r="G2246" i="29"/>
  <c r="N2246" i="29"/>
  <c r="P2246" i="29"/>
  <c r="Q2246" i="29"/>
  <c r="T2246" i="29"/>
  <c r="R2246" i="29"/>
  <c r="S2246" i="29"/>
  <c r="F2247" i="29"/>
  <c r="G2247" i="29"/>
  <c r="N2247" i="29"/>
  <c r="P2247" i="29"/>
  <c r="Q2247" i="29"/>
  <c r="T2247" i="29"/>
  <c r="R2247" i="29"/>
  <c r="S2247" i="29"/>
  <c r="F2248" i="29"/>
  <c r="G2248" i="29"/>
  <c r="N2248" i="29"/>
  <c r="P2248" i="29"/>
  <c r="Q2248" i="29"/>
  <c r="T2248" i="29"/>
  <c r="S2248" i="29"/>
  <c r="F2249" i="29"/>
  <c r="G2249" i="29"/>
  <c r="N2249" i="29"/>
  <c r="P2249" i="29"/>
  <c r="Q2249" i="29"/>
  <c r="F2250" i="29"/>
  <c r="G2250" i="29"/>
  <c r="N2250" i="29"/>
  <c r="P2250" i="29"/>
  <c r="Q2250" i="29"/>
  <c r="T2250" i="29"/>
  <c r="S2250" i="29"/>
  <c r="F2251" i="29"/>
  <c r="G2251" i="29"/>
  <c r="N2251" i="29"/>
  <c r="P2251" i="29"/>
  <c r="Q2251" i="29"/>
  <c r="F2252" i="29"/>
  <c r="G2252" i="29"/>
  <c r="N2252" i="29"/>
  <c r="Q2252" i="29"/>
  <c r="F2253" i="29"/>
  <c r="G2253" i="29"/>
  <c r="N2253" i="29"/>
  <c r="P2253" i="29"/>
  <c r="Q2253" i="29"/>
  <c r="F2254" i="29"/>
  <c r="G2254" i="29"/>
  <c r="N2254" i="29"/>
  <c r="P2254" i="29"/>
  <c r="Q2254" i="29"/>
  <c r="T2254" i="29"/>
  <c r="S2254" i="29"/>
  <c r="F2255" i="29"/>
  <c r="G2255" i="29"/>
  <c r="N2255" i="29"/>
  <c r="P2255" i="29"/>
  <c r="Q2255" i="29"/>
  <c r="F2256" i="29"/>
  <c r="G2256" i="29"/>
  <c r="J2256" i="29"/>
  <c r="N2256" i="29"/>
  <c r="P2256" i="29"/>
  <c r="Q2256" i="29"/>
  <c r="F2257" i="29"/>
  <c r="G2257" i="29"/>
  <c r="N2257" i="29"/>
  <c r="P2257" i="29"/>
  <c r="Q2257" i="29"/>
  <c r="T2257" i="29"/>
  <c r="S2257" i="29"/>
  <c r="F2258" i="29"/>
  <c r="G2258" i="29"/>
  <c r="N2258" i="29"/>
  <c r="P2258" i="29"/>
  <c r="Q2258" i="29"/>
  <c r="T2258" i="29"/>
  <c r="S2258" i="29"/>
  <c r="F2259" i="29"/>
  <c r="G2259" i="29"/>
  <c r="N2259" i="29"/>
  <c r="P2259" i="29"/>
  <c r="Q2259" i="29"/>
  <c r="S2259" i="29"/>
  <c r="F2260" i="29"/>
  <c r="G2260" i="29"/>
  <c r="N2260" i="29"/>
  <c r="P2260" i="29"/>
  <c r="Q2260" i="29"/>
  <c r="F2261" i="29"/>
  <c r="G2261" i="29"/>
  <c r="N2261" i="29"/>
  <c r="P2261" i="29"/>
  <c r="Q2261" i="29"/>
  <c r="F2262" i="29"/>
  <c r="G2262" i="29"/>
  <c r="N2262" i="29"/>
  <c r="P2262" i="29"/>
  <c r="Q2262" i="29"/>
  <c r="F2263" i="29"/>
  <c r="G2263" i="29"/>
  <c r="N2263" i="29"/>
  <c r="P2263" i="29"/>
  <c r="Q2263" i="29"/>
  <c r="S2263" i="29"/>
  <c r="F2264" i="29"/>
  <c r="G2264" i="29"/>
  <c r="N2264" i="29"/>
  <c r="P2264" i="29"/>
  <c r="Q2264" i="29"/>
  <c r="F2265" i="29"/>
  <c r="G2265" i="29"/>
  <c r="N2265" i="29"/>
  <c r="P2265" i="29"/>
  <c r="Q2265" i="29"/>
  <c r="F2266" i="29"/>
  <c r="G2266" i="29"/>
  <c r="N2266" i="29"/>
  <c r="P2266" i="29"/>
  <c r="Q2266" i="29"/>
  <c r="F2267" i="29"/>
  <c r="G2267" i="29"/>
  <c r="N2267" i="29"/>
  <c r="P2267" i="29"/>
  <c r="Q2267" i="29"/>
  <c r="F2268" i="29"/>
  <c r="G2268" i="29"/>
  <c r="N2268" i="29"/>
  <c r="P2268" i="29"/>
  <c r="Q2268" i="29"/>
  <c r="F2269" i="29"/>
  <c r="G2269" i="29"/>
  <c r="N2269" i="29"/>
  <c r="P2269" i="29"/>
  <c r="Q2269" i="29"/>
  <c r="T2269" i="29"/>
  <c r="S2269" i="29"/>
  <c r="F2270" i="29"/>
  <c r="G2270" i="29"/>
  <c r="N2270" i="29"/>
  <c r="P2270" i="29"/>
  <c r="Q2270" i="29"/>
  <c r="T2270" i="29"/>
  <c r="N2271" i="29"/>
  <c r="W2271" i="29"/>
  <c r="F2272" i="29"/>
  <c r="G2272" i="29"/>
  <c r="N2272" i="29"/>
  <c r="P2272" i="29"/>
  <c r="S2272" i="29"/>
  <c r="T2272" i="29"/>
  <c r="F2273" i="29"/>
  <c r="G2273" i="29"/>
  <c r="N2273" i="29"/>
  <c r="Q2273" i="29"/>
  <c r="T2273" i="29"/>
  <c r="S2273" i="29"/>
  <c r="F2274" i="29"/>
  <c r="G2274" i="29"/>
  <c r="N2274" i="29"/>
  <c r="P2274" i="29"/>
  <c r="Q2274" i="29"/>
  <c r="F2275" i="29"/>
  <c r="G2275" i="29"/>
  <c r="N2275" i="29"/>
  <c r="P2275" i="29"/>
  <c r="Q2275" i="29"/>
  <c r="R2275" i="29"/>
  <c r="F2276" i="29"/>
  <c r="G2276" i="29"/>
  <c r="N2276" i="29"/>
  <c r="P2276" i="29"/>
  <c r="Q2276" i="29"/>
  <c r="R2276" i="29"/>
  <c r="F2277" i="29"/>
  <c r="G2277" i="29"/>
  <c r="N2277" i="29"/>
  <c r="P2277" i="29"/>
  <c r="Q2277" i="29"/>
  <c r="F2278" i="29"/>
  <c r="G2278" i="29"/>
  <c r="N2278" i="29"/>
  <c r="P2278" i="29"/>
  <c r="Q2278" i="29"/>
  <c r="T2278" i="29"/>
  <c r="S2278" i="29"/>
  <c r="F2279" i="29"/>
  <c r="G2279" i="29"/>
  <c r="N2279" i="29"/>
  <c r="P2279" i="29"/>
  <c r="Q2279" i="29"/>
  <c r="F2280" i="29"/>
  <c r="G2280" i="29"/>
  <c r="N2280" i="29"/>
  <c r="P2280" i="29"/>
  <c r="Q2280" i="29"/>
  <c r="T2280" i="29"/>
  <c r="S2280" i="29"/>
  <c r="F2281" i="29"/>
  <c r="G2281" i="29"/>
  <c r="J2281" i="29"/>
  <c r="N2281" i="29"/>
  <c r="P2281" i="29"/>
  <c r="Q2281" i="29"/>
  <c r="F2282" i="29"/>
  <c r="G2282" i="29"/>
  <c r="J2282" i="29"/>
  <c r="N2282" i="29"/>
  <c r="P2282" i="29"/>
  <c r="R2282" i="29"/>
  <c r="Q2282" i="29"/>
  <c r="F2283" i="29"/>
  <c r="G2283" i="29"/>
  <c r="J2283" i="29"/>
  <c r="N2283" i="29"/>
  <c r="P2283" i="29"/>
  <c r="R2283" i="29"/>
  <c r="Q2283" i="29"/>
  <c r="F2284" i="29"/>
  <c r="G2284" i="29"/>
  <c r="N2284" i="29"/>
  <c r="P2284" i="29"/>
  <c r="Q2284" i="29"/>
  <c r="F2285" i="29"/>
  <c r="G2285" i="29"/>
  <c r="N2285" i="29"/>
  <c r="P2285" i="29"/>
  <c r="Q2285" i="29"/>
  <c r="F2286" i="29"/>
  <c r="G2286" i="29"/>
  <c r="N2286" i="29"/>
  <c r="P2286" i="29"/>
  <c r="Q2286" i="29"/>
  <c r="F2287" i="29"/>
  <c r="G2287" i="29"/>
  <c r="N2287" i="29"/>
  <c r="P2287" i="29"/>
  <c r="Q2287" i="29"/>
  <c r="F2288" i="29"/>
  <c r="G2288" i="29"/>
  <c r="N2288" i="29"/>
  <c r="P2288" i="29"/>
  <c r="Q2288" i="29"/>
  <c r="T2288" i="29"/>
  <c r="S2288" i="29"/>
  <c r="F2289" i="29"/>
  <c r="G2289" i="29"/>
  <c r="N2289" i="29"/>
  <c r="P2289" i="29"/>
  <c r="Q2289" i="29"/>
  <c r="F2290" i="29"/>
  <c r="G2290" i="29"/>
  <c r="N2290" i="29"/>
  <c r="P2290" i="29"/>
  <c r="Q2290" i="29"/>
  <c r="F2291" i="29"/>
  <c r="G2291" i="29"/>
  <c r="N2291" i="29"/>
  <c r="P2291" i="29"/>
  <c r="Q2291" i="29"/>
  <c r="R2291" i="29"/>
  <c r="F2292" i="29"/>
  <c r="G2292" i="29"/>
  <c r="N2292" i="29"/>
  <c r="P2292" i="29"/>
  <c r="Q2292" i="29"/>
  <c r="R2292" i="29"/>
  <c r="F2293" i="29"/>
  <c r="G2293" i="29"/>
  <c r="N2293" i="29"/>
  <c r="P2293" i="29"/>
  <c r="Q2293" i="29"/>
  <c r="R2293" i="29"/>
  <c r="F2294" i="29"/>
  <c r="G2294" i="29"/>
  <c r="N2294" i="29"/>
  <c r="P2294" i="29"/>
  <c r="Q2294" i="29"/>
  <c r="F2295" i="29"/>
  <c r="G2295" i="29"/>
  <c r="N2295" i="29"/>
  <c r="P2295" i="29"/>
  <c r="Q2295" i="29"/>
  <c r="N2296" i="29"/>
  <c r="Q2296" i="29"/>
  <c r="N2297" i="29"/>
  <c r="Q2297" i="29"/>
  <c r="F2298" i="29"/>
  <c r="G2298" i="29"/>
  <c r="N2298" i="29"/>
  <c r="P2298" i="29"/>
  <c r="Q2298" i="29"/>
  <c r="F2299" i="29"/>
  <c r="G2299" i="29"/>
  <c r="N2299" i="29"/>
  <c r="P2299" i="29"/>
  <c r="Q2299" i="29"/>
  <c r="F2300" i="29"/>
  <c r="G2300" i="29"/>
  <c r="Q2300" i="29"/>
  <c r="S2300" i="29"/>
  <c r="F2301" i="29"/>
  <c r="Q2301" i="29"/>
  <c r="S2301" i="29"/>
  <c r="F2302" i="29"/>
  <c r="G2302" i="29"/>
  <c r="N2302" i="29"/>
  <c r="P2302" i="29"/>
  <c r="Q2302" i="29"/>
  <c r="F2303" i="29"/>
  <c r="G2303" i="29"/>
  <c r="N2303" i="29"/>
  <c r="P2303" i="29"/>
  <c r="Q2303" i="29"/>
  <c r="F2304" i="29"/>
  <c r="G2304" i="29"/>
  <c r="N2304" i="29"/>
  <c r="P2304" i="29"/>
  <c r="Q2304" i="29"/>
  <c r="T2304" i="29"/>
  <c r="S2304" i="29"/>
  <c r="F2305" i="29"/>
  <c r="G2305" i="29"/>
  <c r="N2305" i="29"/>
  <c r="P2305" i="29"/>
  <c r="Q2305" i="29"/>
  <c r="F2306" i="29"/>
  <c r="G2306" i="29"/>
  <c r="N2306" i="29"/>
  <c r="P2306" i="29"/>
  <c r="Q2306" i="29"/>
  <c r="F2307" i="29"/>
  <c r="G2307" i="29"/>
  <c r="N2307" i="29"/>
  <c r="P2307" i="29"/>
  <c r="Q2307" i="29"/>
  <c r="F2308" i="29"/>
  <c r="G2308" i="29"/>
  <c r="N2308" i="29"/>
  <c r="P2308" i="29"/>
  <c r="Q2308" i="29"/>
  <c r="T2308" i="29"/>
  <c r="S2308" i="29"/>
  <c r="F2309" i="29"/>
  <c r="G2309" i="29"/>
  <c r="N2309" i="29"/>
  <c r="P2309" i="29"/>
  <c r="Q2309" i="29"/>
  <c r="S2309" i="29"/>
  <c r="F2310" i="29"/>
  <c r="G2310" i="29"/>
  <c r="N2310" i="29"/>
  <c r="P2310" i="29"/>
  <c r="Q2310" i="29"/>
  <c r="T2310" i="29"/>
  <c r="S2310" i="29"/>
  <c r="F2311" i="29"/>
  <c r="G2311" i="29"/>
  <c r="N2311" i="29"/>
  <c r="P2311" i="29"/>
  <c r="Q2311" i="29"/>
  <c r="S2311" i="29"/>
  <c r="F2312" i="29"/>
  <c r="G2312" i="29"/>
  <c r="N2312" i="29"/>
  <c r="P2312" i="29"/>
  <c r="Q2312" i="29"/>
  <c r="F2313" i="29"/>
  <c r="G2313" i="29"/>
  <c r="N2313" i="29"/>
  <c r="P2313" i="29"/>
  <c r="Q2313" i="29"/>
  <c r="F2314" i="29"/>
  <c r="G2314" i="29"/>
  <c r="J2314" i="29"/>
  <c r="N2314" i="29"/>
  <c r="P2314" i="29"/>
  <c r="Q2314" i="29"/>
  <c r="T2314" i="29"/>
  <c r="F2315" i="29"/>
  <c r="G2315" i="29"/>
  <c r="J2315" i="29"/>
  <c r="N2315" i="29"/>
  <c r="P2315" i="29"/>
  <c r="R2315" i="29"/>
  <c r="Q2315" i="29"/>
  <c r="F2316" i="29"/>
  <c r="G2316" i="29"/>
  <c r="J2316" i="29"/>
  <c r="N2316" i="29"/>
  <c r="P2316" i="29"/>
  <c r="R2316" i="29"/>
  <c r="Q2316" i="29"/>
  <c r="F2317" i="29"/>
  <c r="G2317" i="29"/>
  <c r="N2317" i="29"/>
  <c r="P2317" i="29"/>
  <c r="Q2317" i="29"/>
  <c r="S2317" i="29"/>
  <c r="F2318" i="29"/>
  <c r="G2318" i="29"/>
  <c r="J2318" i="29"/>
  <c r="N2318" i="29"/>
  <c r="P2318" i="29"/>
  <c r="Q2318" i="29"/>
  <c r="T2318" i="29"/>
  <c r="S2318" i="29"/>
  <c r="F2319" i="29"/>
  <c r="G2319" i="29"/>
  <c r="N2319" i="29"/>
  <c r="P2319" i="29"/>
  <c r="Q2319" i="29"/>
  <c r="T2319" i="29"/>
  <c r="R2319" i="29"/>
  <c r="S2319" i="29"/>
  <c r="F2320" i="29"/>
  <c r="G2320" i="29"/>
  <c r="N2320" i="29"/>
  <c r="P2320" i="29"/>
  <c r="Q2320" i="29"/>
  <c r="T2320" i="29"/>
  <c r="R2320" i="29"/>
  <c r="S2320" i="29"/>
  <c r="F2321" i="29"/>
  <c r="G2321" i="29"/>
  <c r="N2321" i="29"/>
  <c r="P2321" i="29"/>
  <c r="Q2321" i="29"/>
  <c r="T2321" i="29"/>
  <c r="S2321" i="29"/>
  <c r="E2322" i="29"/>
  <c r="N2322" i="29"/>
  <c r="P2322" i="29"/>
  <c r="Q2322" i="29"/>
  <c r="T2322" i="29"/>
  <c r="R2322" i="29"/>
  <c r="S2322" i="29"/>
  <c r="N2323" i="29"/>
  <c r="P2323" i="29"/>
  <c r="Q2323" i="29"/>
  <c r="T2323" i="29"/>
  <c r="S2323" i="29"/>
  <c r="U2323" i="29"/>
  <c r="F2324" i="29"/>
  <c r="G2324" i="29"/>
  <c r="N2324" i="29"/>
  <c r="P2324" i="29"/>
  <c r="Q2324" i="29"/>
  <c r="T2324" i="29"/>
  <c r="S2324" i="29"/>
  <c r="F2325" i="29"/>
  <c r="G2325" i="29"/>
  <c r="N2325" i="29"/>
  <c r="P2325" i="29"/>
  <c r="Q2325" i="29"/>
  <c r="F2326" i="29"/>
  <c r="G2326" i="29"/>
  <c r="N2326" i="29"/>
  <c r="P2326" i="29"/>
  <c r="Q2326" i="29"/>
  <c r="T2326" i="29"/>
  <c r="S2326" i="29"/>
  <c r="F2327" i="29"/>
  <c r="G2327" i="29"/>
  <c r="N2327" i="29"/>
  <c r="P2327" i="29"/>
  <c r="Q2327" i="29"/>
  <c r="T2327" i="29"/>
  <c r="S2327" i="29"/>
  <c r="F2328" i="29"/>
  <c r="G2328" i="29"/>
  <c r="N2328" i="29"/>
  <c r="P2328" i="29"/>
  <c r="Q2328" i="29"/>
  <c r="F2329" i="29"/>
  <c r="G2329" i="29"/>
  <c r="J2329" i="29"/>
  <c r="N2329" i="29"/>
  <c r="P2329" i="29"/>
  <c r="Q2329" i="29"/>
  <c r="F2330" i="29"/>
  <c r="G2330" i="29"/>
  <c r="J2330" i="29"/>
  <c r="N2330" i="29"/>
  <c r="P2330" i="29"/>
  <c r="R2330" i="29"/>
  <c r="Q2330" i="29"/>
  <c r="F2331" i="29"/>
  <c r="G2331" i="29"/>
  <c r="N2331" i="29"/>
  <c r="P2331" i="29"/>
  <c r="Q2331" i="29"/>
  <c r="F2332" i="29"/>
  <c r="G2332" i="29"/>
  <c r="N2332" i="29"/>
  <c r="P2332" i="29"/>
  <c r="Q2332" i="29"/>
  <c r="T2332" i="29"/>
  <c r="S2332" i="29"/>
  <c r="F2333" i="29"/>
  <c r="G2333" i="29"/>
  <c r="N2333" i="29"/>
  <c r="P2333" i="29"/>
  <c r="Q2333" i="29"/>
  <c r="F2334" i="29"/>
  <c r="G2334" i="29"/>
  <c r="N2334" i="29"/>
  <c r="P2334" i="29"/>
  <c r="Q2334" i="29"/>
  <c r="T2334" i="29"/>
  <c r="S2334" i="29"/>
  <c r="F2335" i="29"/>
  <c r="G2335" i="29"/>
  <c r="N2335" i="29"/>
  <c r="P2335" i="29"/>
  <c r="Q2335" i="29"/>
  <c r="F2336" i="29"/>
  <c r="G2336" i="29"/>
  <c r="N2336" i="29"/>
  <c r="Q2336" i="29"/>
  <c r="F2337" i="29"/>
  <c r="G2337" i="29"/>
  <c r="N2337" i="29"/>
  <c r="P2337" i="29"/>
  <c r="Q2337" i="29"/>
  <c r="S2337" i="29"/>
  <c r="F2338" i="29"/>
  <c r="G2338" i="29"/>
  <c r="N2338" i="29"/>
  <c r="P2338" i="29"/>
  <c r="Q2338" i="29"/>
  <c r="T2338" i="29"/>
  <c r="S2338" i="29"/>
  <c r="F2339" i="29"/>
  <c r="G2339" i="29"/>
  <c r="N2339" i="29"/>
  <c r="P2339" i="29"/>
  <c r="Q2339" i="29"/>
  <c r="T2339" i="29"/>
  <c r="F2340" i="29"/>
  <c r="G2340" i="29"/>
  <c r="J2340" i="29"/>
  <c r="N2340" i="29"/>
  <c r="P2340" i="29"/>
  <c r="Q2340" i="29"/>
  <c r="S2340" i="29"/>
  <c r="F2341" i="29"/>
  <c r="G2341" i="29"/>
  <c r="P2341" i="29"/>
  <c r="Q2341" i="29"/>
  <c r="T2341" i="29"/>
  <c r="S2341" i="29"/>
  <c r="F2342" i="29"/>
  <c r="G2342" i="29"/>
  <c r="P2342" i="29"/>
  <c r="Q2342" i="29"/>
  <c r="S2342" i="29"/>
  <c r="F2343" i="29"/>
  <c r="G2343" i="29"/>
  <c r="N2343" i="29"/>
  <c r="P2343" i="29"/>
  <c r="Q2343" i="29"/>
  <c r="S2343" i="29"/>
  <c r="F2344" i="29"/>
  <c r="G2344" i="29"/>
  <c r="N2344" i="29"/>
  <c r="P2344" i="29"/>
  <c r="Q2344" i="29"/>
  <c r="S2344" i="29"/>
  <c r="F2345" i="29"/>
  <c r="G2345" i="29"/>
  <c r="N2345" i="29"/>
  <c r="P2345" i="29"/>
  <c r="Q2345" i="29"/>
  <c r="F2346" i="29"/>
  <c r="G2346" i="29"/>
  <c r="N2346" i="29"/>
  <c r="P2346" i="29"/>
  <c r="Q2346" i="29"/>
  <c r="F2347" i="29"/>
  <c r="G2347" i="29"/>
  <c r="N2347" i="29"/>
  <c r="P2347" i="29"/>
  <c r="Q2347" i="29"/>
  <c r="F2348" i="29"/>
  <c r="G2348" i="29"/>
  <c r="N2348" i="29"/>
  <c r="P2348" i="29"/>
  <c r="Q2348" i="29"/>
  <c r="F2349" i="29"/>
  <c r="G2349" i="29"/>
  <c r="N2349" i="29"/>
  <c r="P2349" i="29"/>
  <c r="Q2349" i="29"/>
  <c r="F2350" i="29"/>
  <c r="G2350" i="29"/>
  <c r="N2350" i="29"/>
  <c r="P2350" i="29"/>
  <c r="Q2350" i="29"/>
  <c r="F2351" i="29"/>
  <c r="G2351" i="29"/>
  <c r="N2351" i="29"/>
  <c r="P2351" i="29"/>
  <c r="Q2351" i="29"/>
  <c r="S2351" i="29"/>
  <c r="F2352" i="29"/>
  <c r="G2352" i="29"/>
  <c r="N2352" i="29"/>
  <c r="P2352" i="29"/>
  <c r="Q2352" i="29"/>
  <c r="F2353" i="29"/>
  <c r="G2353" i="29"/>
  <c r="N2353" i="29"/>
  <c r="P2353" i="29"/>
  <c r="Q2353" i="29"/>
  <c r="F2354" i="29"/>
  <c r="G2354" i="29"/>
  <c r="N2354" i="29"/>
  <c r="P2354" i="29"/>
  <c r="Q2354" i="29"/>
  <c r="F2355" i="29"/>
  <c r="G2355" i="29"/>
  <c r="N2355" i="29"/>
  <c r="P2355" i="29"/>
  <c r="Q2355" i="29"/>
  <c r="F2356" i="29"/>
  <c r="G2356" i="29"/>
  <c r="N2356" i="29"/>
  <c r="P2356" i="29"/>
  <c r="Q2356" i="29"/>
  <c r="S2356" i="29"/>
  <c r="F2357" i="29"/>
  <c r="G2357" i="29"/>
  <c r="N2357" i="29"/>
  <c r="P2357" i="29"/>
  <c r="Q2357" i="29"/>
  <c r="F2358" i="29"/>
  <c r="G2358" i="29"/>
  <c r="N2358" i="29"/>
  <c r="P2358" i="29"/>
  <c r="Q2358" i="29"/>
  <c r="N2359" i="29"/>
  <c r="Q2359" i="29"/>
  <c r="F2360" i="29"/>
  <c r="G2360" i="29"/>
  <c r="N2360" i="29"/>
  <c r="P2360" i="29"/>
  <c r="Q2360" i="29"/>
  <c r="T2360" i="29"/>
  <c r="F2361" i="29"/>
  <c r="G2361" i="29"/>
  <c r="N2361" i="29"/>
  <c r="P2361" i="29"/>
  <c r="Q2361" i="29"/>
  <c r="N2362" i="29"/>
  <c r="W2362" i="29"/>
  <c r="F2363" i="29"/>
  <c r="G2363" i="29"/>
  <c r="P2363" i="29"/>
  <c r="Q2363" i="29"/>
  <c r="F2364" i="29"/>
  <c r="G2364" i="29"/>
  <c r="N2364" i="29"/>
  <c r="P2364" i="29"/>
  <c r="Q2364" i="29"/>
  <c r="T2364" i="29"/>
  <c r="F2365" i="29"/>
  <c r="G2365" i="29"/>
  <c r="N2365" i="29"/>
  <c r="P2365" i="29"/>
  <c r="Q2365" i="29"/>
  <c r="R2365" i="29"/>
  <c r="F2366" i="29"/>
  <c r="G2366" i="29"/>
  <c r="N2366" i="29"/>
  <c r="P2366" i="29"/>
  <c r="Q2366" i="29"/>
  <c r="F2367" i="29"/>
  <c r="G2367" i="29"/>
  <c r="N2367" i="29"/>
  <c r="P2367" i="29"/>
  <c r="Q2367" i="29"/>
  <c r="F2368" i="29"/>
  <c r="G2368" i="29"/>
  <c r="N2368" i="29"/>
  <c r="P2368" i="29"/>
  <c r="Q2368" i="29"/>
  <c r="F2369" i="29"/>
  <c r="G2369" i="29"/>
  <c r="N2369" i="29"/>
  <c r="P2369" i="29"/>
  <c r="Q2369" i="29"/>
  <c r="F2370" i="29"/>
  <c r="G2370" i="29"/>
  <c r="N2370" i="29"/>
  <c r="Q2370" i="29"/>
  <c r="F2371" i="29"/>
  <c r="G2371" i="29"/>
  <c r="N2371" i="29"/>
  <c r="Q2371" i="29"/>
  <c r="F2372" i="29"/>
  <c r="G2372" i="29"/>
  <c r="N2372" i="29"/>
  <c r="P2372" i="29"/>
  <c r="Q2372" i="29"/>
  <c r="T2372" i="29"/>
  <c r="S2372" i="29"/>
  <c r="F2373" i="29"/>
  <c r="G2373" i="29"/>
  <c r="N2373" i="29"/>
  <c r="P2373" i="29"/>
  <c r="Q2373" i="29"/>
  <c r="F2374" i="29"/>
  <c r="G2374" i="29"/>
  <c r="N2374" i="29"/>
  <c r="P2374" i="29"/>
  <c r="Q2374" i="29"/>
  <c r="F2375" i="29"/>
  <c r="G2375" i="29"/>
  <c r="N2375" i="29"/>
  <c r="P2375" i="29"/>
  <c r="Q2375" i="29"/>
  <c r="S2375" i="29"/>
  <c r="F2376" i="29"/>
  <c r="Q2376" i="29"/>
  <c r="T2376" i="29"/>
  <c r="J2376" i="29"/>
  <c r="F2377" i="29"/>
  <c r="G2377" i="29"/>
  <c r="Q2377" i="29"/>
  <c r="F2378" i="29"/>
  <c r="G2378" i="29"/>
  <c r="J2378" i="29"/>
  <c r="N2378" i="29"/>
  <c r="P2378" i="29"/>
  <c r="Q2378" i="29"/>
  <c r="S2378" i="29"/>
  <c r="F2379" i="29"/>
  <c r="G2379" i="29"/>
  <c r="J2379" i="29"/>
  <c r="N2379" i="29"/>
  <c r="P2379" i="29"/>
  <c r="Q2379" i="29"/>
  <c r="T2379" i="29"/>
  <c r="F2380" i="29"/>
  <c r="G2380" i="29"/>
  <c r="J2380" i="29"/>
  <c r="N2380" i="29"/>
  <c r="P2380" i="29"/>
  <c r="R2380" i="29"/>
  <c r="Q2380" i="29"/>
  <c r="F2381" i="29"/>
  <c r="G2381" i="29"/>
  <c r="J2381" i="29"/>
  <c r="N2381" i="29"/>
  <c r="P2381" i="29"/>
  <c r="R2381" i="29"/>
  <c r="Q2381" i="29"/>
  <c r="F2382" i="29"/>
  <c r="G2382" i="29"/>
  <c r="N2382" i="29"/>
  <c r="P2382" i="29"/>
  <c r="Q2382" i="29"/>
  <c r="F2383" i="29"/>
  <c r="G2383" i="29"/>
  <c r="N2383" i="29"/>
  <c r="P2383" i="29"/>
  <c r="Q2383" i="29"/>
  <c r="F2384" i="29"/>
  <c r="G2384" i="29"/>
  <c r="N2384" i="29"/>
  <c r="P2384" i="29"/>
  <c r="Q2384" i="29"/>
  <c r="F2385" i="29"/>
  <c r="G2385" i="29"/>
  <c r="N2385" i="29"/>
  <c r="P2385" i="29"/>
  <c r="Q2385" i="29"/>
  <c r="F2386" i="29"/>
  <c r="G2386" i="29"/>
  <c r="N2386" i="29"/>
  <c r="P2386" i="29"/>
  <c r="Q2386" i="29"/>
  <c r="S2386" i="29"/>
  <c r="N2387" i="29"/>
  <c r="P2387" i="29"/>
  <c r="Q2387" i="29"/>
  <c r="F2388" i="29"/>
  <c r="G2388" i="29"/>
  <c r="N2388" i="29"/>
  <c r="P2388" i="29"/>
  <c r="Q2388" i="29"/>
  <c r="F2389" i="29"/>
  <c r="G2389" i="29"/>
  <c r="N2389" i="29"/>
  <c r="P2389" i="29"/>
  <c r="Q2389" i="29"/>
  <c r="F2390" i="29"/>
  <c r="G2390" i="29"/>
  <c r="N2390" i="29"/>
  <c r="P2390" i="29"/>
  <c r="Q2390" i="29"/>
  <c r="F2391" i="29"/>
  <c r="G2391" i="29"/>
  <c r="N2391" i="29"/>
  <c r="Q2391" i="29"/>
  <c r="F2392" i="29"/>
  <c r="G2392" i="29"/>
  <c r="N2392" i="29"/>
  <c r="Q2392" i="29"/>
  <c r="F2393" i="29"/>
  <c r="G2393" i="29"/>
  <c r="N2393" i="29"/>
  <c r="Q2393" i="29"/>
  <c r="F2394" i="29"/>
  <c r="G2394" i="29"/>
  <c r="N2394" i="29"/>
  <c r="Q2394" i="29"/>
  <c r="F2395" i="29"/>
  <c r="G2395" i="29"/>
  <c r="N2395" i="29"/>
  <c r="P2395" i="29"/>
  <c r="Q2395" i="29"/>
  <c r="T2395" i="29"/>
  <c r="F2396" i="29"/>
  <c r="G2396" i="29"/>
  <c r="N2396" i="29"/>
  <c r="Q2396" i="29"/>
  <c r="R2396" i="29"/>
  <c r="F2397" i="29"/>
  <c r="G2397" i="29"/>
  <c r="N2397" i="29"/>
  <c r="P2397" i="29"/>
  <c r="Q2397" i="29"/>
  <c r="F2398" i="29"/>
  <c r="G2398" i="29"/>
  <c r="N2398" i="29"/>
  <c r="P2398" i="29"/>
  <c r="Q2398" i="29"/>
  <c r="F2399" i="29"/>
  <c r="G2399" i="29"/>
  <c r="J2399" i="29"/>
  <c r="N2399" i="29"/>
  <c r="P2399" i="29"/>
  <c r="Q2399" i="29"/>
  <c r="F2400" i="29"/>
  <c r="G2400" i="29"/>
  <c r="N2400" i="29"/>
  <c r="P2400" i="29"/>
  <c r="Q2400" i="29"/>
  <c r="F2401" i="29"/>
  <c r="G2401" i="29"/>
  <c r="N2401" i="29"/>
  <c r="P2401" i="29"/>
  <c r="Q2401" i="29"/>
  <c r="T2401" i="29"/>
  <c r="S2401" i="29"/>
  <c r="F2402" i="29"/>
  <c r="G2402" i="29"/>
  <c r="N2402" i="29"/>
  <c r="P2402" i="29"/>
  <c r="Q2402" i="29"/>
  <c r="F2403" i="29"/>
  <c r="G2403" i="29"/>
  <c r="N2403" i="29"/>
  <c r="P2403" i="29"/>
  <c r="Q2403" i="29"/>
  <c r="F2404" i="29"/>
  <c r="G2404" i="29"/>
  <c r="N2404" i="29"/>
  <c r="P2404" i="29"/>
  <c r="Q2404" i="29"/>
  <c r="T2404" i="29"/>
  <c r="F2405" i="29"/>
  <c r="G2405" i="29"/>
  <c r="N2405" i="29"/>
  <c r="P2405" i="29"/>
  <c r="Q2405" i="29"/>
  <c r="S2405" i="29"/>
  <c r="F2406" i="29"/>
  <c r="G2406" i="29"/>
  <c r="N2406" i="29"/>
  <c r="P2406" i="29"/>
  <c r="Q2406" i="29"/>
  <c r="F2407" i="29"/>
  <c r="G2407" i="29"/>
  <c r="N2407" i="29"/>
  <c r="P2407" i="29"/>
  <c r="Q2407" i="29"/>
  <c r="F2408" i="29"/>
  <c r="G2408" i="29"/>
  <c r="N2408" i="29"/>
  <c r="P2408" i="29"/>
  <c r="Q2408" i="29"/>
  <c r="F2409" i="29"/>
  <c r="G2409" i="29"/>
  <c r="N2409" i="29"/>
  <c r="P2409" i="29"/>
  <c r="Q2409" i="29"/>
  <c r="F2410" i="29"/>
  <c r="Q2410" i="29"/>
  <c r="T2410" i="29"/>
  <c r="J2410" i="29"/>
  <c r="F2411" i="29"/>
  <c r="G2411" i="29"/>
  <c r="Q2411" i="29"/>
  <c r="F2412" i="29"/>
  <c r="G2412" i="29"/>
  <c r="N2412" i="29"/>
  <c r="P2412" i="29"/>
  <c r="Q2412" i="29"/>
  <c r="T2412" i="29"/>
  <c r="S2412" i="29"/>
  <c r="F2413" i="29"/>
  <c r="G2413" i="29"/>
  <c r="N2413" i="29"/>
  <c r="P2413" i="29"/>
  <c r="Q2413" i="29"/>
  <c r="F2414" i="29"/>
  <c r="G2414" i="29"/>
  <c r="N2414" i="29"/>
  <c r="P2414" i="29"/>
  <c r="Q2414" i="29"/>
  <c r="T2414" i="29"/>
  <c r="S2414" i="29"/>
  <c r="F2415" i="29"/>
  <c r="G2415" i="29"/>
  <c r="N2415" i="29"/>
  <c r="P2415" i="29"/>
  <c r="Q2415" i="29"/>
  <c r="F2416" i="29"/>
  <c r="G2416" i="29"/>
  <c r="N2416" i="29"/>
  <c r="Q2416" i="29"/>
  <c r="T2416" i="29"/>
  <c r="F2417" i="29"/>
  <c r="G2417" i="29"/>
  <c r="N2417" i="29"/>
  <c r="P2417" i="29"/>
  <c r="Q2417" i="29"/>
  <c r="F2418" i="29"/>
  <c r="G2418" i="29"/>
  <c r="N2418" i="29"/>
  <c r="P2418" i="29"/>
  <c r="Q2418" i="29"/>
  <c r="T2418" i="29"/>
  <c r="S2418" i="29"/>
  <c r="F2419" i="29"/>
  <c r="G2419" i="29"/>
  <c r="N2419" i="29"/>
  <c r="P2419" i="29"/>
  <c r="Q2419" i="29"/>
  <c r="F2420" i="29"/>
  <c r="G2420" i="29"/>
  <c r="N2420" i="29"/>
  <c r="P2420" i="29"/>
  <c r="Q2420" i="29"/>
  <c r="F2421" i="29"/>
  <c r="G2421" i="29"/>
  <c r="P2421" i="29"/>
  <c r="Q2421" i="29"/>
  <c r="T2421" i="29"/>
  <c r="S2421" i="29"/>
  <c r="F2422" i="29"/>
  <c r="G2422" i="29"/>
  <c r="P2422" i="29"/>
  <c r="Q2422" i="29"/>
  <c r="F2423" i="29"/>
  <c r="G2423" i="29"/>
  <c r="N2423" i="29"/>
  <c r="P2423" i="29"/>
  <c r="Q2423" i="29"/>
  <c r="F2424" i="29"/>
  <c r="G2424" i="29"/>
  <c r="N2424" i="29"/>
  <c r="P2424" i="29"/>
  <c r="Q2424" i="29"/>
  <c r="T2424" i="29"/>
  <c r="F2425" i="29"/>
  <c r="G2425" i="29"/>
  <c r="N2425" i="29"/>
  <c r="P2425" i="29"/>
  <c r="Q2425" i="29"/>
  <c r="F2426" i="29"/>
  <c r="G2426" i="29"/>
  <c r="N2426" i="29"/>
  <c r="P2426" i="29"/>
  <c r="Q2426" i="29"/>
  <c r="F2427" i="29"/>
  <c r="G2427" i="29"/>
  <c r="N2427" i="29"/>
  <c r="P2427" i="29"/>
  <c r="Q2427" i="29"/>
  <c r="F2428" i="29"/>
  <c r="G2428" i="29"/>
  <c r="N2428" i="29"/>
  <c r="P2428" i="29"/>
  <c r="Q2428" i="29"/>
  <c r="S2428" i="29"/>
  <c r="F2429" i="29"/>
  <c r="G2429" i="29"/>
  <c r="N2429" i="29"/>
  <c r="P2429" i="29"/>
  <c r="Q2429" i="29"/>
  <c r="S2429" i="29"/>
  <c r="F2430" i="29"/>
  <c r="G2430" i="29"/>
  <c r="N2430" i="29"/>
  <c r="P2430" i="29"/>
  <c r="Q2430" i="29"/>
  <c r="T2430" i="29"/>
  <c r="F2431" i="29"/>
  <c r="G2431" i="29"/>
  <c r="N2431" i="29"/>
  <c r="P2431" i="29"/>
  <c r="Q2431" i="29"/>
  <c r="F2432" i="29"/>
  <c r="G2432" i="29"/>
  <c r="N2432" i="29"/>
  <c r="P2432" i="29"/>
  <c r="Q2432" i="29"/>
  <c r="T2432" i="29"/>
  <c r="S2432" i="29"/>
  <c r="F2433" i="29"/>
  <c r="G2433" i="29"/>
  <c r="N2433" i="29"/>
  <c r="P2433" i="29"/>
  <c r="Q2433" i="29"/>
  <c r="T2433" i="29"/>
  <c r="R2433" i="29"/>
  <c r="S2433" i="29"/>
  <c r="F2434" i="29"/>
  <c r="G2434" i="29"/>
  <c r="N2434" i="29"/>
  <c r="P2434" i="29"/>
  <c r="Q2434" i="29"/>
  <c r="F2435" i="29"/>
  <c r="G2435" i="29"/>
  <c r="N2435" i="29"/>
  <c r="P2435" i="29"/>
  <c r="Q2435" i="29"/>
  <c r="T2435" i="29"/>
  <c r="R2435" i="29"/>
  <c r="F2436" i="29"/>
  <c r="G2436" i="29"/>
  <c r="N2436" i="29"/>
  <c r="P2436" i="29"/>
  <c r="Q2436" i="29"/>
  <c r="F2437" i="29"/>
  <c r="G2437" i="29"/>
  <c r="J2437" i="29"/>
  <c r="N2437" i="29"/>
  <c r="P2437" i="29"/>
  <c r="Q2437" i="29"/>
  <c r="T2437" i="29"/>
  <c r="S2437" i="29"/>
  <c r="F2438" i="29"/>
  <c r="G2438" i="29"/>
  <c r="N2438" i="29"/>
  <c r="P2438" i="29"/>
  <c r="Q2438" i="29"/>
  <c r="F2439" i="29"/>
  <c r="G2439" i="29"/>
  <c r="N2439" i="29"/>
  <c r="P2439" i="29"/>
  <c r="Q2439" i="29"/>
  <c r="N2440" i="29"/>
  <c r="W2440" i="29"/>
  <c r="F2441" i="29"/>
  <c r="G2441" i="29"/>
  <c r="N2441" i="29"/>
  <c r="P2441" i="29"/>
  <c r="Q2441" i="29"/>
  <c r="R2441" i="29"/>
  <c r="F2442" i="29"/>
  <c r="G2442" i="29"/>
  <c r="N2442" i="29"/>
  <c r="P2442" i="29"/>
  <c r="Q2442" i="29"/>
  <c r="F2443" i="29"/>
  <c r="G2443" i="29"/>
  <c r="N2443" i="29"/>
  <c r="P2443" i="29"/>
  <c r="Q2443" i="29"/>
  <c r="F2444" i="29"/>
  <c r="G2444" i="29"/>
  <c r="N2444" i="29"/>
  <c r="P2444" i="29"/>
  <c r="Q2444" i="29"/>
  <c r="F2445" i="29"/>
  <c r="G2445" i="29"/>
  <c r="N2445" i="29"/>
  <c r="P2445" i="29"/>
  <c r="Q2445" i="29"/>
  <c r="T2445" i="29"/>
  <c r="F2446" i="29"/>
  <c r="G2446" i="29"/>
  <c r="N2446" i="29"/>
  <c r="Q2446" i="29"/>
  <c r="S2446" i="29"/>
  <c r="F2447" i="29"/>
  <c r="G2447" i="29"/>
  <c r="N2447" i="29"/>
  <c r="P2447" i="29"/>
  <c r="Q2447" i="29"/>
  <c r="T2447" i="29"/>
  <c r="R2447" i="29"/>
  <c r="S2447" i="29"/>
  <c r="Q2448" i="29"/>
  <c r="Q2449" i="29"/>
  <c r="F2450" i="29"/>
  <c r="G2450" i="29"/>
  <c r="N2450" i="29"/>
  <c r="P2450" i="29"/>
  <c r="Q2450" i="29"/>
  <c r="T2450" i="29"/>
  <c r="F2451" i="29"/>
  <c r="G2451" i="29"/>
  <c r="N2451" i="29"/>
  <c r="P2451" i="29"/>
  <c r="Q2451" i="29"/>
  <c r="T2451" i="29"/>
  <c r="S2451" i="29"/>
  <c r="F2452" i="29"/>
  <c r="G2452" i="29"/>
  <c r="N2452" i="29"/>
  <c r="P2452" i="29"/>
  <c r="Q2452" i="29"/>
  <c r="S2452" i="29"/>
  <c r="F2453" i="29"/>
  <c r="G2453" i="29"/>
  <c r="N2453" i="29"/>
  <c r="P2453" i="29"/>
  <c r="Q2453" i="29"/>
  <c r="F2454" i="29"/>
  <c r="G2454" i="29"/>
  <c r="J2454" i="29"/>
  <c r="N2454" i="29"/>
  <c r="P2454" i="29"/>
  <c r="Q2454" i="29"/>
  <c r="F2455" i="29"/>
  <c r="G2455" i="29"/>
  <c r="N2455" i="29"/>
  <c r="P2455" i="29"/>
  <c r="R2455" i="29"/>
  <c r="Q2455" i="29"/>
  <c r="F2456" i="29"/>
  <c r="G2456" i="29"/>
  <c r="J2456" i="29"/>
  <c r="N2456" i="29"/>
  <c r="P2456" i="29"/>
  <c r="R2456" i="29"/>
  <c r="Q2456" i="29"/>
  <c r="F2457" i="29"/>
  <c r="G2457" i="29"/>
  <c r="N2457" i="29"/>
  <c r="P2457" i="29"/>
  <c r="Q2457" i="29"/>
  <c r="Q2458" i="29"/>
  <c r="Q2459" i="29"/>
  <c r="N2460" i="29"/>
  <c r="Q2460" i="29"/>
  <c r="F2461" i="29"/>
  <c r="G2461" i="29"/>
  <c r="N2461" i="29"/>
  <c r="Q2461" i="29"/>
  <c r="S2461" i="29"/>
  <c r="F2462" i="29"/>
  <c r="G2462" i="29"/>
  <c r="N2462" i="29"/>
  <c r="Q2462" i="29"/>
  <c r="F2463" i="29"/>
  <c r="G2463" i="29"/>
  <c r="N2463" i="29"/>
  <c r="Q2463" i="29"/>
  <c r="F2464" i="29"/>
  <c r="G2464" i="29"/>
  <c r="N2464" i="29"/>
  <c r="P2464" i="29"/>
  <c r="Q2464" i="29"/>
  <c r="F2465" i="29"/>
  <c r="G2465" i="29"/>
  <c r="N2465" i="29"/>
  <c r="P2465" i="29"/>
  <c r="Q2465" i="29"/>
  <c r="T2465" i="29"/>
  <c r="F2466" i="29"/>
  <c r="G2466" i="29"/>
  <c r="N2466" i="29"/>
  <c r="P2466" i="29"/>
  <c r="Q2466" i="29"/>
  <c r="F2467" i="29"/>
  <c r="G2467" i="29"/>
  <c r="N2467" i="29"/>
  <c r="P2467" i="29"/>
  <c r="Q2467" i="29"/>
  <c r="F2468" i="29"/>
  <c r="G2468" i="29"/>
  <c r="N2468" i="29"/>
  <c r="P2468" i="29"/>
  <c r="Q2468" i="29"/>
  <c r="F2469" i="29"/>
  <c r="G2469" i="29"/>
  <c r="N2469" i="29"/>
  <c r="P2469" i="29"/>
  <c r="Q2469" i="29"/>
  <c r="F2470" i="29"/>
  <c r="G2470" i="29"/>
  <c r="J2470" i="29"/>
  <c r="N2470" i="29"/>
  <c r="P2470" i="29"/>
  <c r="Q2470" i="29"/>
  <c r="T2470" i="29"/>
  <c r="F2471" i="29"/>
  <c r="G2471" i="29"/>
  <c r="N2471" i="29"/>
  <c r="P2471" i="29"/>
  <c r="Q2471" i="29"/>
  <c r="S2471" i="29"/>
  <c r="F2472" i="29"/>
  <c r="G2472" i="29"/>
  <c r="N2472" i="29"/>
  <c r="P2472" i="29"/>
  <c r="Q2472" i="29"/>
  <c r="F2473" i="29"/>
  <c r="Q2473" i="29"/>
  <c r="F2474" i="29"/>
  <c r="G2474" i="29"/>
  <c r="Q2474" i="29"/>
  <c r="F2475" i="29"/>
  <c r="G2475" i="29"/>
  <c r="J2475" i="29"/>
  <c r="N2475" i="29"/>
  <c r="P2475" i="29"/>
  <c r="Q2475" i="29"/>
  <c r="S2475" i="29"/>
  <c r="F2476" i="29"/>
  <c r="G2476" i="29"/>
  <c r="N2476" i="29"/>
  <c r="P2476" i="29"/>
  <c r="R2476" i="29"/>
  <c r="Q2476" i="29"/>
  <c r="F2477" i="29"/>
  <c r="G2477" i="29"/>
  <c r="N2477" i="29"/>
  <c r="P2477" i="29"/>
  <c r="Q2477" i="29"/>
  <c r="F2478" i="29"/>
  <c r="G2478" i="29"/>
  <c r="N2478" i="29"/>
  <c r="P2478" i="29"/>
  <c r="Q2478" i="29"/>
  <c r="T2478" i="29"/>
  <c r="R2478" i="29"/>
  <c r="S2478" i="29"/>
  <c r="F2479" i="29"/>
  <c r="G2479" i="29"/>
  <c r="N2479" i="29"/>
  <c r="P2479" i="29"/>
  <c r="Q2479" i="29"/>
  <c r="F2480" i="29"/>
  <c r="G2480" i="29"/>
  <c r="N2480" i="29"/>
  <c r="P2480" i="29"/>
  <c r="S2480" i="29"/>
  <c r="T2480" i="29"/>
  <c r="F2481" i="29"/>
  <c r="G2481" i="29"/>
  <c r="N2481" i="29"/>
  <c r="P2481" i="29"/>
  <c r="Q2481" i="29"/>
  <c r="T2481" i="29"/>
  <c r="S2481" i="29"/>
  <c r="F2482" i="29"/>
  <c r="G2482" i="29"/>
  <c r="N2482" i="29"/>
  <c r="Q2482" i="29"/>
  <c r="F2483" i="29"/>
  <c r="G2483" i="29"/>
  <c r="J2483" i="29"/>
  <c r="N2483" i="29"/>
  <c r="P2483" i="29"/>
  <c r="R2483" i="29"/>
  <c r="Q2483" i="29"/>
  <c r="F2484" i="29"/>
  <c r="G2484" i="29"/>
  <c r="N2484" i="29"/>
  <c r="P2484" i="29"/>
  <c r="Q2484" i="29"/>
  <c r="T2484" i="29"/>
  <c r="S2484" i="29"/>
  <c r="F2485" i="29"/>
  <c r="G2485" i="29"/>
  <c r="N2485" i="29"/>
  <c r="P2485" i="29"/>
  <c r="Q2485" i="29"/>
  <c r="F2486" i="29"/>
  <c r="G2486" i="29"/>
  <c r="N2486" i="29"/>
  <c r="P2486" i="29"/>
  <c r="Q2486" i="29"/>
  <c r="S2486" i="29"/>
  <c r="F2487" i="29"/>
  <c r="G2487" i="29"/>
  <c r="N2487" i="29"/>
  <c r="P2487" i="29"/>
  <c r="Q2487" i="29"/>
  <c r="F2488" i="29"/>
  <c r="G2488" i="29"/>
  <c r="N2488" i="29"/>
  <c r="P2488" i="29"/>
  <c r="Q2488" i="29"/>
  <c r="T2488" i="29"/>
  <c r="S2488" i="29"/>
  <c r="F2489" i="29"/>
  <c r="G2489" i="29"/>
  <c r="N2489" i="29"/>
  <c r="P2489" i="29"/>
  <c r="Q2489" i="29"/>
  <c r="F2490" i="29"/>
  <c r="G2490" i="29"/>
  <c r="N2490" i="29"/>
  <c r="P2490" i="29"/>
  <c r="Q2490" i="29"/>
  <c r="T2490" i="29"/>
  <c r="S2490" i="29"/>
  <c r="F2491" i="29"/>
  <c r="G2491" i="29"/>
  <c r="N2491" i="29"/>
  <c r="P2491" i="29"/>
  <c r="Q2491" i="29"/>
  <c r="F2492" i="29"/>
  <c r="G2492" i="29"/>
  <c r="N2492" i="29"/>
  <c r="P2492" i="29"/>
  <c r="Q2492" i="29"/>
  <c r="F2493" i="29"/>
  <c r="G2493" i="29"/>
  <c r="N2493" i="29"/>
  <c r="P2493" i="29"/>
  <c r="Q2493" i="29"/>
  <c r="S2493" i="29"/>
  <c r="F2494" i="29"/>
  <c r="G2494" i="29"/>
  <c r="N2494" i="29"/>
  <c r="P2494" i="29"/>
  <c r="Q2494" i="29"/>
  <c r="T2494" i="29"/>
  <c r="S2494" i="29"/>
  <c r="F2495" i="29"/>
  <c r="G2495" i="29"/>
  <c r="N2495" i="29"/>
  <c r="P2495" i="29"/>
  <c r="Q2495" i="29"/>
  <c r="F2496" i="29"/>
  <c r="G2496" i="29"/>
  <c r="N2496" i="29"/>
  <c r="P2496" i="29"/>
  <c r="Q2496" i="29"/>
  <c r="S2496" i="29"/>
  <c r="F2497" i="29"/>
  <c r="G2497" i="29"/>
  <c r="P2497" i="29"/>
  <c r="Q2497" i="29"/>
  <c r="T2497" i="29"/>
  <c r="S2497" i="29"/>
  <c r="F2498" i="29"/>
  <c r="G2498" i="29"/>
  <c r="P2498" i="29"/>
  <c r="Q2498" i="29"/>
  <c r="S2498" i="29"/>
  <c r="F2499" i="29"/>
  <c r="G2499" i="29"/>
  <c r="N2499" i="29"/>
  <c r="P2499" i="29"/>
  <c r="Q2499" i="29"/>
  <c r="F2500" i="29"/>
  <c r="G2500" i="29"/>
  <c r="N2500" i="29"/>
  <c r="P2500" i="29"/>
  <c r="Q2500" i="29"/>
  <c r="F2501" i="29"/>
  <c r="G2501" i="29"/>
  <c r="N2501" i="29"/>
  <c r="P2501" i="29"/>
  <c r="Q2501" i="29"/>
  <c r="F2502" i="29"/>
  <c r="G2502" i="29"/>
  <c r="N2502" i="29"/>
  <c r="P2502" i="29"/>
  <c r="Q2502" i="29"/>
  <c r="F2503" i="29"/>
  <c r="G2503" i="29"/>
  <c r="N2503" i="29"/>
  <c r="P2503" i="29"/>
  <c r="Q2503" i="29"/>
  <c r="F2504" i="29"/>
  <c r="G2504" i="29"/>
  <c r="N2504" i="29"/>
  <c r="P2504" i="29"/>
  <c r="Q2504" i="29"/>
  <c r="S2504" i="29"/>
  <c r="F2505" i="29"/>
  <c r="G2505" i="29"/>
  <c r="N2505" i="29"/>
  <c r="P2505" i="29"/>
  <c r="Q2505" i="29"/>
  <c r="S2505" i="29"/>
  <c r="F2506" i="29"/>
  <c r="G2506" i="29"/>
  <c r="N2506" i="29"/>
  <c r="P2506" i="29"/>
  <c r="Q2506" i="29"/>
  <c r="F2507" i="29"/>
  <c r="G2507" i="29"/>
  <c r="N2507" i="29"/>
  <c r="P2507" i="29"/>
  <c r="Q2507" i="29"/>
  <c r="T2507" i="29"/>
  <c r="F2508" i="29"/>
  <c r="G2508" i="29"/>
  <c r="J2508" i="29"/>
  <c r="N2508" i="29"/>
  <c r="P2508" i="29"/>
  <c r="Q2508" i="29"/>
  <c r="T2508" i="29"/>
  <c r="S2508" i="29"/>
  <c r="F2509" i="29"/>
  <c r="G2509" i="29"/>
  <c r="N2509" i="29"/>
  <c r="P2509" i="29"/>
  <c r="Q2509" i="29"/>
  <c r="T2509" i="29"/>
  <c r="F2510" i="29"/>
  <c r="G2510" i="29"/>
  <c r="J2510" i="29"/>
  <c r="N2510" i="29"/>
  <c r="P2510" i="29"/>
  <c r="Q2510" i="29"/>
  <c r="T2510" i="29"/>
  <c r="S2510" i="29"/>
  <c r="F2511" i="29"/>
  <c r="G2511" i="29"/>
  <c r="J2511" i="29"/>
  <c r="N2511" i="29"/>
  <c r="P2511" i="29"/>
  <c r="Q2511" i="29"/>
  <c r="F2512" i="29"/>
  <c r="G2512" i="29"/>
  <c r="N2512" i="29"/>
  <c r="P2512" i="29"/>
  <c r="Q2512" i="29"/>
  <c r="F2513" i="29"/>
  <c r="G2513" i="29"/>
  <c r="N2513" i="29"/>
  <c r="P2513" i="29"/>
  <c r="Q2513" i="29"/>
  <c r="F2514" i="29"/>
  <c r="G2514" i="29"/>
  <c r="N2514" i="29"/>
  <c r="P2514" i="29"/>
  <c r="S2514" i="29"/>
  <c r="T2514" i="29"/>
  <c r="N2515" i="29"/>
  <c r="W2515" i="29"/>
  <c r="F2516" i="29"/>
  <c r="G2516" i="29"/>
  <c r="N2516" i="29"/>
  <c r="P2516" i="29"/>
  <c r="Q2516" i="29"/>
  <c r="F2517" i="29"/>
  <c r="G2517" i="29"/>
  <c r="N2517" i="29"/>
  <c r="P2517" i="29"/>
  <c r="Q2517" i="29"/>
  <c r="T2517" i="29"/>
  <c r="R2517" i="29"/>
  <c r="S2517" i="29"/>
  <c r="F2518" i="29"/>
  <c r="G2518" i="29"/>
  <c r="J2518" i="29"/>
  <c r="N2518" i="29"/>
  <c r="P2518" i="29"/>
  <c r="Q2518" i="29"/>
  <c r="F2519" i="29"/>
  <c r="G2519" i="29"/>
  <c r="J2519" i="29"/>
  <c r="N2519" i="29"/>
  <c r="P2519" i="29"/>
  <c r="R2519" i="29"/>
  <c r="Q2519" i="29"/>
  <c r="F2520" i="29"/>
  <c r="G2520" i="29"/>
  <c r="J2520" i="29"/>
  <c r="N2520" i="29"/>
  <c r="P2520" i="29"/>
  <c r="R2520" i="29"/>
  <c r="Q2520" i="29"/>
  <c r="F2521" i="29"/>
  <c r="G2521" i="29"/>
  <c r="J2521" i="29"/>
  <c r="N2521" i="29"/>
  <c r="P2521" i="29"/>
  <c r="R2521" i="29"/>
  <c r="Q2521" i="29"/>
  <c r="F2522" i="29"/>
  <c r="G2522" i="29"/>
  <c r="N2522" i="29"/>
  <c r="P2522" i="29"/>
  <c r="Q2522" i="29"/>
  <c r="T2522" i="29"/>
  <c r="F2523" i="29"/>
  <c r="G2523" i="29"/>
  <c r="N2523" i="29"/>
  <c r="P2523" i="29"/>
  <c r="Q2523" i="29"/>
  <c r="F2524" i="29"/>
  <c r="G2524" i="29"/>
  <c r="N2524" i="29"/>
  <c r="P2524" i="29"/>
  <c r="Q2524" i="29"/>
  <c r="F2525" i="29"/>
  <c r="G2525" i="29"/>
  <c r="N2525" i="29"/>
  <c r="P2525" i="29"/>
  <c r="Q2525" i="29"/>
  <c r="T2525" i="29"/>
  <c r="S2525" i="29"/>
  <c r="F2526" i="29"/>
  <c r="G2526" i="29"/>
  <c r="N2526" i="29"/>
  <c r="P2526" i="29"/>
  <c r="Q2526" i="29"/>
  <c r="F2527" i="29"/>
  <c r="G2527" i="29"/>
  <c r="N2527" i="29"/>
  <c r="P2527" i="29"/>
  <c r="Q2527" i="29"/>
  <c r="F2528" i="29"/>
  <c r="G2528" i="29"/>
  <c r="N2528" i="29"/>
  <c r="P2528" i="29"/>
  <c r="Q2528" i="29"/>
  <c r="S2528" i="29"/>
  <c r="F2529" i="29"/>
  <c r="G2529" i="29"/>
  <c r="N2529" i="29"/>
  <c r="P2529" i="29"/>
  <c r="Q2529" i="29"/>
  <c r="F2530" i="29"/>
  <c r="G2530" i="29"/>
  <c r="N2530" i="29"/>
  <c r="P2530" i="29"/>
  <c r="Q2530" i="29"/>
  <c r="F2531" i="29"/>
  <c r="G2531" i="29"/>
  <c r="N2531" i="29"/>
  <c r="P2531" i="29"/>
  <c r="Q2531" i="29"/>
  <c r="T2531" i="29"/>
  <c r="F2532" i="29"/>
  <c r="G2532" i="29"/>
  <c r="N2532" i="29"/>
  <c r="P2532" i="29"/>
  <c r="Q2532" i="29"/>
  <c r="T2532" i="29"/>
  <c r="F2533" i="29"/>
  <c r="G2533" i="29"/>
  <c r="N2533" i="29"/>
  <c r="P2533" i="29"/>
  <c r="Q2533" i="29"/>
  <c r="F2534" i="29"/>
  <c r="G2534" i="29"/>
  <c r="N2534" i="29"/>
  <c r="P2534" i="29"/>
  <c r="Q2534" i="29"/>
  <c r="F2535" i="29"/>
  <c r="G2535" i="29"/>
  <c r="N2535" i="29"/>
  <c r="P2535" i="29"/>
  <c r="Q2535" i="29"/>
  <c r="S2535" i="29"/>
  <c r="F2536" i="29"/>
  <c r="G2536" i="29"/>
  <c r="J2536" i="29"/>
  <c r="N2536" i="29"/>
  <c r="P2536" i="29"/>
  <c r="Q2536" i="29"/>
  <c r="F2537" i="29"/>
  <c r="G2537" i="29"/>
  <c r="N2537" i="29"/>
  <c r="P2537" i="29"/>
  <c r="Q2537" i="29"/>
  <c r="T2537" i="29"/>
  <c r="S2537" i="29"/>
  <c r="F2538" i="29"/>
  <c r="N2538" i="29"/>
  <c r="P2538" i="29"/>
  <c r="Q2538" i="29"/>
  <c r="F2539" i="29"/>
  <c r="J2539" i="29"/>
  <c r="N2539" i="29"/>
  <c r="P2539" i="29"/>
  <c r="Q2539" i="29"/>
  <c r="F2540" i="29"/>
  <c r="J2540" i="29"/>
  <c r="N2540" i="29"/>
  <c r="P2540" i="29"/>
  <c r="Q2540" i="29"/>
  <c r="F2541" i="29"/>
  <c r="G2541" i="29"/>
  <c r="N2541" i="29"/>
  <c r="P2541" i="29"/>
  <c r="Q2541" i="29"/>
  <c r="F2542" i="29"/>
  <c r="G2542" i="29"/>
  <c r="N2542" i="29"/>
  <c r="P2542" i="29"/>
  <c r="Q2542" i="29"/>
  <c r="F2543" i="29"/>
  <c r="G2543" i="29"/>
  <c r="N2543" i="29"/>
  <c r="P2543" i="29"/>
  <c r="Q2543" i="29"/>
  <c r="T2543" i="29"/>
  <c r="R2543" i="29"/>
  <c r="S2543" i="29"/>
  <c r="F2544" i="29"/>
  <c r="G2544" i="29"/>
  <c r="N2544" i="29"/>
  <c r="P2544" i="29"/>
  <c r="Q2544" i="29"/>
  <c r="F2545" i="29"/>
  <c r="G2545" i="29"/>
  <c r="N2545" i="29"/>
  <c r="P2545" i="29"/>
  <c r="Q2545" i="29"/>
  <c r="T2545" i="29"/>
  <c r="F2546" i="29"/>
  <c r="G2546" i="29"/>
  <c r="N2546" i="29"/>
  <c r="P2546" i="29"/>
  <c r="Q2546" i="29"/>
  <c r="F2547" i="29"/>
  <c r="G2547" i="29"/>
  <c r="N2547" i="29"/>
  <c r="P2547" i="29"/>
  <c r="Q2547" i="29"/>
  <c r="F2548" i="29"/>
  <c r="G2548" i="29"/>
  <c r="N2548" i="29"/>
  <c r="P2548" i="29"/>
  <c r="Q2548" i="29"/>
  <c r="F2549" i="29"/>
  <c r="G2549" i="29"/>
  <c r="N2549" i="29"/>
  <c r="P2549" i="29"/>
  <c r="Q2549" i="29"/>
  <c r="F2550" i="29"/>
  <c r="G2550" i="29"/>
  <c r="N2550" i="29"/>
  <c r="P2550" i="29"/>
  <c r="Q2550" i="29"/>
  <c r="S2550" i="29"/>
  <c r="F2551" i="29"/>
  <c r="G2551" i="29"/>
  <c r="N2551" i="29"/>
  <c r="P2551" i="29"/>
  <c r="Q2551" i="29"/>
  <c r="F2552" i="29"/>
  <c r="G2552" i="29"/>
  <c r="J2552" i="29"/>
  <c r="N2552" i="29"/>
  <c r="P2552" i="29"/>
  <c r="R2552" i="29"/>
  <c r="Q2552" i="29"/>
  <c r="F2553" i="29"/>
  <c r="G2553" i="29"/>
  <c r="J2553" i="29"/>
  <c r="N2553" i="29"/>
  <c r="P2553" i="29"/>
  <c r="R2553" i="29"/>
  <c r="Q2553" i="29"/>
  <c r="F2554" i="29"/>
  <c r="N2554" i="29"/>
  <c r="P2554" i="29"/>
  <c r="Q2554" i="29"/>
  <c r="T2554" i="29"/>
  <c r="J2554" i="29"/>
  <c r="F2555" i="29"/>
  <c r="G2555" i="29"/>
  <c r="N2555" i="29"/>
  <c r="P2555" i="29"/>
  <c r="Q2555" i="29"/>
  <c r="F2556" i="29"/>
  <c r="G2556" i="29"/>
  <c r="J2556" i="29"/>
  <c r="N2556" i="29"/>
  <c r="P2556" i="29"/>
  <c r="Q2556" i="29"/>
  <c r="S2556" i="29"/>
  <c r="F2557" i="29"/>
  <c r="G2557" i="29"/>
  <c r="N2557" i="29"/>
  <c r="P2557" i="29"/>
  <c r="Q2557" i="29"/>
  <c r="T2557" i="29"/>
  <c r="F2558" i="29"/>
  <c r="G2558" i="29"/>
  <c r="N2558" i="29"/>
  <c r="P2558" i="29"/>
  <c r="Q2558" i="29"/>
  <c r="F2559" i="29"/>
  <c r="G2559" i="29"/>
  <c r="N2559" i="29"/>
  <c r="P2559" i="29"/>
  <c r="Q2559" i="29"/>
  <c r="F2560" i="29"/>
  <c r="G2560" i="29"/>
  <c r="N2560" i="29"/>
  <c r="P2560" i="29"/>
  <c r="Q2560" i="29"/>
  <c r="T2560" i="29"/>
  <c r="S2560" i="29"/>
  <c r="F2561" i="29"/>
  <c r="G2561" i="29"/>
  <c r="N2561" i="29"/>
  <c r="P2561" i="29"/>
  <c r="Q2561" i="29"/>
  <c r="F2562" i="29"/>
  <c r="G2562" i="29"/>
  <c r="N2562" i="29"/>
  <c r="P2562" i="29"/>
  <c r="Q2562" i="29"/>
  <c r="F2563" i="29"/>
  <c r="G2563" i="29"/>
  <c r="N2563" i="29"/>
  <c r="P2563" i="29"/>
  <c r="Q2563" i="29"/>
  <c r="F2564" i="29"/>
  <c r="G2564" i="29"/>
  <c r="N2564" i="29"/>
  <c r="P2564" i="29"/>
  <c r="Q2564" i="29"/>
  <c r="T2564" i="29"/>
  <c r="S2564" i="29"/>
  <c r="F2565" i="29"/>
  <c r="G2565" i="29"/>
  <c r="N2565" i="29"/>
  <c r="P2565" i="29"/>
  <c r="Q2565" i="29"/>
  <c r="T2565" i="29"/>
  <c r="S2565" i="29"/>
  <c r="F2566" i="29"/>
  <c r="G2566" i="29"/>
  <c r="N2566" i="29"/>
  <c r="P2566" i="29"/>
  <c r="Q2566" i="29"/>
  <c r="T2566" i="29"/>
  <c r="S2566" i="29"/>
  <c r="F2567" i="29"/>
  <c r="G2567" i="29"/>
  <c r="N2567" i="29"/>
  <c r="P2567" i="29"/>
  <c r="Q2567" i="29"/>
  <c r="T2567" i="29"/>
  <c r="S2567" i="29"/>
  <c r="F2568" i="29"/>
  <c r="G2568" i="29"/>
  <c r="N2568" i="29"/>
  <c r="P2568" i="29"/>
  <c r="Q2568" i="29"/>
  <c r="F2569" i="29"/>
  <c r="G2569" i="29"/>
  <c r="N2569" i="29"/>
  <c r="P2569" i="29"/>
  <c r="Q2569" i="29"/>
  <c r="T2569" i="29"/>
  <c r="F2570" i="29"/>
  <c r="G2570" i="29"/>
  <c r="N2570" i="29"/>
  <c r="P2570" i="29"/>
  <c r="Q2570" i="29"/>
  <c r="F2571" i="29"/>
  <c r="G2571" i="29"/>
  <c r="N2571" i="29"/>
  <c r="P2571" i="29"/>
  <c r="Q2571" i="29"/>
  <c r="F2572" i="29"/>
  <c r="G2572" i="29"/>
  <c r="N2572" i="29"/>
  <c r="P2572" i="29"/>
  <c r="Q2572" i="29"/>
  <c r="F2573" i="29"/>
  <c r="G2573" i="29"/>
  <c r="N2573" i="29"/>
  <c r="P2573" i="29"/>
  <c r="Q2573" i="29"/>
  <c r="F2574" i="29"/>
  <c r="N2574" i="29"/>
  <c r="P2574" i="29"/>
  <c r="Q2574" i="29"/>
  <c r="S2574" i="29"/>
  <c r="F2575" i="29"/>
  <c r="G2575" i="29"/>
  <c r="N2575" i="29"/>
  <c r="P2575" i="29"/>
  <c r="Q2575" i="29"/>
  <c r="F2576" i="29"/>
  <c r="G2576" i="29"/>
  <c r="N2576" i="29"/>
  <c r="P2576" i="29"/>
  <c r="Q2576" i="29"/>
  <c r="F2577" i="29"/>
  <c r="G2577" i="29"/>
  <c r="N2577" i="29"/>
  <c r="P2577" i="29"/>
  <c r="Q2577" i="29"/>
  <c r="T2577" i="29"/>
  <c r="S2577" i="29"/>
  <c r="F2578" i="29"/>
  <c r="G2578" i="29"/>
  <c r="N2578" i="29"/>
  <c r="P2578" i="29"/>
  <c r="Q2578" i="29"/>
  <c r="T2578" i="29"/>
  <c r="S2578" i="29"/>
  <c r="F2579" i="29"/>
  <c r="G2579" i="29"/>
  <c r="N2579" i="29"/>
  <c r="P2579" i="29"/>
  <c r="Q2579" i="29"/>
  <c r="T2579" i="29"/>
  <c r="S2579" i="29"/>
  <c r="F2580" i="29"/>
  <c r="G2580" i="29"/>
  <c r="N2580" i="29"/>
  <c r="P2580" i="29"/>
  <c r="Q2580" i="29"/>
  <c r="T2580" i="29"/>
  <c r="S2580" i="29"/>
  <c r="F2581" i="29"/>
  <c r="G2581" i="29"/>
  <c r="N2581" i="29"/>
  <c r="P2581" i="29"/>
  <c r="Q2581" i="29"/>
  <c r="F2582" i="29"/>
  <c r="G2582" i="29"/>
  <c r="N2582" i="29"/>
  <c r="P2582" i="29"/>
  <c r="Q2582" i="29"/>
  <c r="T2582" i="29"/>
  <c r="S2582" i="29"/>
  <c r="F2583" i="29"/>
  <c r="G2583" i="29"/>
  <c r="N2583" i="29"/>
  <c r="P2583" i="29"/>
  <c r="Q2583" i="29"/>
  <c r="T2583" i="29"/>
  <c r="S2583" i="29"/>
  <c r="F2584" i="29"/>
  <c r="G2584" i="29"/>
  <c r="N2584" i="29"/>
  <c r="P2584" i="29"/>
  <c r="Q2584" i="29"/>
  <c r="T2584" i="29"/>
  <c r="S2584" i="29"/>
  <c r="F2585" i="29"/>
  <c r="G2585" i="29"/>
  <c r="N2585" i="29"/>
  <c r="P2585" i="29"/>
  <c r="Q2585" i="29"/>
  <c r="F2586" i="29"/>
  <c r="G2586" i="29"/>
  <c r="N2586" i="29"/>
  <c r="P2586" i="29"/>
  <c r="Q2586" i="29"/>
  <c r="T2586" i="29"/>
  <c r="S2586" i="29"/>
  <c r="F2587" i="29"/>
  <c r="G2587" i="29"/>
  <c r="N2587" i="29"/>
  <c r="P2587" i="29"/>
  <c r="Q2587" i="29"/>
  <c r="F2588" i="29"/>
  <c r="G2588" i="29"/>
  <c r="N2588" i="29"/>
  <c r="P2588" i="29"/>
  <c r="Q2588" i="29"/>
  <c r="T2588" i="29"/>
  <c r="S2588" i="29"/>
  <c r="F2589" i="29"/>
  <c r="G2589" i="29"/>
  <c r="N2589" i="29"/>
  <c r="P2589" i="29"/>
  <c r="Q2589" i="29"/>
  <c r="F2590" i="29"/>
  <c r="G2590" i="29"/>
  <c r="N2590" i="29"/>
  <c r="P2590" i="29"/>
  <c r="Q2590" i="29"/>
  <c r="T2590" i="29"/>
  <c r="S2590" i="29"/>
  <c r="F2591" i="29"/>
  <c r="G2591" i="29"/>
  <c r="N2591" i="29"/>
  <c r="P2591" i="29"/>
  <c r="Q2591" i="29"/>
  <c r="F2592" i="29"/>
  <c r="G2592" i="29"/>
  <c r="N2592" i="29"/>
  <c r="P2592" i="29"/>
  <c r="Q2592" i="29"/>
  <c r="F2593" i="29"/>
  <c r="G2593" i="29"/>
  <c r="N2593" i="29"/>
  <c r="P2593" i="29"/>
  <c r="Q2593" i="29"/>
  <c r="F2594" i="29"/>
  <c r="G2594" i="29"/>
  <c r="N2594" i="29"/>
  <c r="P2594" i="29"/>
  <c r="Q2594" i="29"/>
  <c r="T2594" i="29"/>
  <c r="S2594" i="29"/>
  <c r="F2595" i="29"/>
  <c r="G2595" i="29"/>
  <c r="N2595" i="29"/>
  <c r="P2595" i="29"/>
  <c r="Q2595" i="29"/>
  <c r="F2596" i="29"/>
  <c r="G2596" i="29"/>
  <c r="N2596" i="29"/>
  <c r="P2596" i="29"/>
  <c r="Q2596" i="29"/>
  <c r="T2596" i="29"/>
  <c r="F2597" i="29"/>
  <c r="G2597" i="29"/>
  <c r="N2597" i="29"/>
  <c r="P2597" i="29"/>
  <c r="Q2597" i="29"/>
  <c r="T2597" i="29"/>
  <c r="S2597" i="29"/>
  <c r="F2598" i="29"/>
  <c r="G2598" i="29"/>
  <c r="N2598" i="29"/>
  <c r="P2598" i="29"/>
  <c r="Q2598" i="29"/>
  <c r="F2599" i="29"/>
  <c r="G2599" i="29"/>
  <c r="N2599" i="29"/>
  <c r="P2599" i="29"/>
  <c r="Q2599" i="29"/>
  <c r="S2599" i="29"/>
  <c r="F2600" i="29"/>
  <c r="G2600" i="29"/>
  <c r="N2600" i="29"/>
  <c r="P2600" i="29"/>
  <c r="Q2600" i="29"/>
  <c r="F2601" i="29"/>
  <c r="G2601" i="29"/>
  <c r="N2601" i="29"/>
  <c r="P2601" i="29"/>
  <c r="Q2601" i="29"/>
  <c r="F2602" i="29"/>
  <c r="G2602" i="29"/>
  <c r="N2602" i="29"/>
  <c r="P2602" i="29"/>
  <c r="Q2602" i="29"/>
  <c r="F2603" i="29"/>
  <c r="G2603" i="29"/>
  <c r="N2603" i="29"/>
  <c r="P2603" i="29"/>
  <c r="Q2603" i="29"/>
  <c r="T2603" i="29"/>
  <c r="F2604" i="29"/>
  <c r="G2604" i="29"/>
  <c r="N2604" i="29"/>
  <c r="P2604" i="29"/>
  <c r="Q2604" i="29"/>
  <c r="F2605" i="29"/>
  <c r="G2605" i="29"/>
  <c r="N2605" i="29"/>
  <c r="P2605" i="29"/>
  <c r="Q2605" i="29"/>
  <c r="F2606" i="29"/>
  <c r="G2606" i="29"/>
  <c r="N2606" i="29"/>
  <c r="P2606" i="29"/>
  <c r="Q2606" i="29"/>
  <c r="F2607" i="29"/>
  <c r="G2607" i="29"/>
  <c r="N2607" i="29"/>
  <c r="P2607" i="29"/>
  <c r="Q2607" i="29"/>
  <c r="F2608" i="29"/>
  <c r="G2608" i="29"/>
  <c r="N2608" i="29"/>
  <c r="P2608" i="29"/>
  <c r="Q2608" i="29"/>
  <c r="T2608" i="29"/>
  <c r="F2609" i="29"/>
  <c r="G2609" i="29"/>
  <c r="N2609" i="29"/>
  <c r="P2609" i="29"/>
  <c r="Q2609" i="29"/>
  <c r="R2609" i="29"/>
  <c r="F2610" i="29"/>
  <c r="G2610" i="29"/>
  <c r="N2610" i="29"/>
  <c r="P2610" i="29"/>
  <c r="Q2610" i="29"/>
  <c r="F2611" i="29"/>
  <c r="G2611" i="29"/>
  <c r="N2611" i="29"/>
  <c r="P2611" i="29"/>
  <c r="Q2611" i="29"/>
  <c r="T2611" i="29"/>
  <c r="S2611" i="29"/>
  <c r="F2612" i="29"/>
  <c r="G2612" i="29"/>
  <c r="J2612" i="29"/>
  <c r="N2612" i="29"/>
  <c r="P2612" i="29"/>
  <c r="Q2612" i="29"/>
  <c r="F2613" i="29"/>
  <c r="G2613" i="29"/>
  <c r="N2613" i="29"/>
  <c r="P2613" i="29"/>
  <c r="Q2613" i="29"/>
  <c r="F2614" i="29"/>
  <c r="G2614" i="29"/>
  <c r="J2614" i="29"/>
  <c r="N2614" i="29"/>
  <c r="P2614" i="29"/>
  <c r="Q2614" i="29"/>
  <c r="T2614" i="29"/>
  <c r="S2614" i="29"/>
  <c r="F2615" i="29"/>
  <c r="G2615" i="29"/>
  <c r="J2615" i="29"/>
  <c r="N2615" i="29"/>
  <c r="P2615" i="29"/>
  <c r="Q2615" i="29"/>
  <c r="S2615" i="29"/>
  <c r="F2616" i="29"/>
  <c r="G2616" i="29"/>
  <c r="N2616" i="29"/>
  <c r="P2616" i="29"/>
  <c r="Q2616" i="29"/>
  <c r="F2617" i="29"/>
  <c r="G2617" i="29"/>
  <c r="J2617" i="29"/>
  <c r="N2617" i="29"/>
  <c r="P2617" i="29"/>
  <c r="Q2617" i="29"/>
  <c r="T2617" i="29"/>
  <c r="R2617" i="29"/>
  <c r="S2617" i="29"/>
  <c r="F2618" i="29"/>
  <c r="G2618" i="29"/>
  <c r="N2618" i="29"/>
  <c r="P2618" i="29"/>
  <c r="Q2618" i="29"/>
  <c r="T2618" i="29"/>
  <c r="S2618" i="29"/>
  <c r="F2619" i="29"/>
  <c r="G2619" i="29"/>
  <c r="N2619" i="29"/>
  <c r="P2619" i="29"/>
  <c r="Q2619" i="29"/>
  <c r="T2619" i="29"/>
  <c r="S2619" i="29"/>
  <c r="F2620" i="29"/>
  <c r="G2620" i="29"/>
  <c r="N2620" i="29"/>
  <c r="P2620" i="29"/>
  <c r="Q2620" i="29"/>
  <c r="T2620" i="29"/>
  <c r="S2620" i="29"/>
  <c r="F2621" i="29"/>
  <c r="G2621" i="29"/>
  <c r="N2621" i="29"/>
  <c r="P2621" i="29"/>
  <c r="Q2621" i="29"/>
  <c r="T2621" i="29"/>
  <c r="S2621" i="29"/>
  <c r="F2622" i="29"/>
  <c r="G2622" i="29"/>
  <c r="N2622" i="29"/>
  <c r="P2622" i="29"/>
  <c r="Q2622" i="29"/>
  <c r="T2622" i="29"/>
  <c r="S2622" i="29"/>
  <c r="F2623" i="29"/>
  <c r="G2623" i="29"/>
  <c r="N2623" i="29"/>
  <c r="P2623" i="29"/>
  <c r="Q2623" i="29"/>
  <c r="T2623" i="29"/>
  <c r="S2623" i="29"/>
  <c r="F2624" i="29"/>
  <c r="G2624" i="29"/>
  <c r="N2624" i="29"/>
  <c r="P2624" i="29"/>
  <c r="Q2624" i="29"/>
  <c r="T2624" i="29"/>
  <c r="S2624" i="29"/>
  <c r="F2625" i="29"/>
  <c r="G2625" i="29"/>
  <c r="N2625" i="29"/>
  <c r="P2625" i="29"/>
  <c r="Q2625" i="29"/>
  <c r="T2625" i="29"/>
  <c r="S2625" i="29"/>
  <c r="F2626" i="29"/>
  <c r="G2626" i="29"/>
  <c r="N2626" i="29"/>
  <c r="P2626" i="29"/>
  <c r="Q2626" i="29"/>
  <c r="T2626" i="29"/>
  <c r="S2626" i="29"/>
  <c r="F2627" i="29"/>
  <c r="G2627" i="29"/>
  <c r="N2627" i="29"/>
  <c r="P2627" i="29"/>
  <c r="Q2627" i="29"/>
  <c r="T2627" i="29"/>
  <c r="S2627" i="29"/>
  <c r="N2628" i="29"/>
  <c r="W2628" i="29"/>
  <c r="F2629" i="29"/>
  <c r="G2629" i="29"/>
  <c r="N2629" i="29"/>
  <c r="P2629" i="29"/>
  <c r="Q2629" i="29"/>
  <c r="T2629" i="29"/>
  <c r="F2630" i="29"/>
  <c r="G2630" i="29"/>
  <c r="N2630" i="29"/>
  <c r="P2630" i="29"/>
  <c r="Q2630" i="29"/>
  <c r="F2631" i="29"/>
  <c r="G2631" i="29"/>
  <c r="N2631" i="29"/>
  <c r="P2631" i="29"/>
  <c r="Q2631" i="29"/>
  <c r="F2632" i="29"/>
  <c r="G2632" i="29"/>
  <c r="N2632" i="29"/>
  <c r="P2632" i="29"/>
  <c r="Q2632" i="29"/>
  <c r="F2633" i="29"/>
  <c r="G2633" i="29"/>
  <c r="N2633" i="29"/>
  <c r="P2633" i="29"/>
  <c r="Q2633" i="29"/>
  <c r="R2633" i="29"/>
  <c r="F2634" i="29"/>
  <c r="G2634" i="29"/>
  <c r="N2634" i="29"/>
  <c r="P2634" i="29"/>
  <c r="Q2634" i="29"/>
  <c r="F2635" i="29"/>
  <c r="G2635" i="29"/>
  <c r="J2635" i="29"/>
  <c r="N2635" i="29"/>
  <c r="P2635" i="29"/>
  <c r="Q2635" i="29"/>
  <c r="F2636" i="29"/>
  <c r="G2636" i="29"/>
  <c r="J2636" i="29"/>
  <c r="N2636" i="29"/>
  <c r="P2636" i="29"/>
  <c r="R2636" i="29"/>
  <c r="Q2636" i="29"/>
  <c r="F2637" i="29"/>
  <c r="G2637" i="29"/>
  <c r="J2637" i="29"/>
  <c r="N2637" i="29"/>
  <c r="P2637" i="29"/>
  <c r="R2637" i="29"/>
  <c r="Q2637" i="29"/>
  <c r="F2638" i="29"/>
  <c r="G2638" i="29"/>
  <c r="N2638" i="29"/>
  <c r="P2638" i="29"/>
  <c r="Q2638" i="29"/>
  <c r="F2639" i="29"/>
  <c r="G2639" i="29"/>
  <c r="N2639" i="29"/>
  <c r="P2639" i="29"/>
  <c r="Q2639" i="29"/>
  <c r="T2639" i="29"/>
  <c r="F2640" i="29"/>
  <c r="G2640" i="29"/>
  <c r="N2640" i="29"/>
  <c r="P2640" i="29"/>
  <c r="Q2640" i="29"/>
  <c r="F2641" i="29"/>
  <c r="N2641" i="29"/>
  <c r="P2641" i="29"/>
  <c r="Q2641" i="29"/>
  <c r="F2642" i="29"/>
  <c r="G2642" i="29"/>
  <c r="J2642" i="29"/>
  <c r="N2642" i="29"/>
  <c r="P2642" i="29"/>
  <c r="Q2642" i="29"/>
  <c r="F2643" i="29"/>
  <c r="G2643" i="29"/>
  <c r="N2643" i="29"/>
  <c r="P2643" i="29"/>
  <c r="Q2643" i="29"/>
  <c r="F2644" i="29"/>
  <c r="G2644" i="29"/>
  <c r="N2644" i="29"/>
  <c r="P2644" i="29"/>
  <c r="Q2644" i="29"/>
  <c r="F2645" i="29"/>
  <c r="G2645" i="29"/>
  <c r="N2645" i="29"/>
  <c r="P2645" i="29"/>
  <c r="Q2645" i="29"/>
  <c r="R2645" i="29"/>
  <c r="F2646" i="29"/>
  <c r="G2646" i="29"/>
  <c r="N2646" i="29"/>
  <c r="P2646" i="29"/>
  <c r="Q2646" i="29"/>
  <c r="S2646" i="29"/>
  <c r="F2647" i="29"/>
  <c r="N2647" i="29"/>
  <c r="P2647" i="29"/>
  <c r="Q2647" i="29"/>
  <c r="S2647" i="29"/>
  <c r="F2648" i="29"/>
  <c r="G2648" i="29"/>
  <c r="N2648" i="29"/>
  <c r="P2648" i="29"/>
  <c r="Q2648" i="29"/>
  <c r="F2649" i="29"/>
  <c r="G2649" i="29"/>
  <c r="N2649" i="29"/>
  <c r="P2649" i="29"/>
  <c r="Q2649" i="29"/>
  <c r="T2649" i="29"/>
  <c r="F2650" i="29"/>
  <c r="G2650" i="29"/>
  <c r="N2650" i="29"/>
  <c r="P2650" i="29"/>
  <c r="Q2650" i="29"/>
  <c r="F2651" i="29"/>
  <c r="G2651" i="29"/>
  <c r="N2651" i="29"/>
  <c r="P2651" i="29"/>
  <c r="Q2651" i="29"/>
  <c r="S2651" i="29"/>
  <c r="F2652" i="29"/>
  <c r="G2652" i="29"/>
  <c r="N2652" i="29"/>
  <c r="P2652" i="29"/>
  <c r="Q2652" i="29"/>
  <c r="F2653" i="29"/>
  <c r="G2653" i="29"/>
  <c r="N2653" i="29"/>
  <c r="P2653" i="29"/>
  <c r="Q2653" i="29"/>
  <c r="F2654" i="29"/>
  <c r="G2654" i="29"/>
  <c r="N2654" i="29"/>
  <c r="P2654" i="29"/>
  <c r="S2654" i="29"/>
  <c r="T2654" i="29"/>
  <c r="F2655" i="29"/>
  <c r="K2655" i="29"/>
  <c r="G2655" i="29"/>
  <c r="N2655" i="29"/>
  <c r="P2655" i="29"/>
  <c r="Q2655" i="29"/>
  <c r="F2656" i="29"/>
  <c r="K2656" i="29"/>
  <c r="G2656" i="29"/>
  <c r="N2656" i="29"/>
  <c r="P2656" i="29"/>
  <c r="Q2656" i="29"/>
  <c r="F2657" i="29"/>
  <c r="G2657" i="29"/>
  <c r="N2657" i="29"/>
  <c r="P2657" i="29"/>
  <c r="Q2657" i="29"/>
  <c r="F2658" i="29"/>
  <c r="G2658" i="29"/>
  <c r="N2658" i="29"/>
  <c r="P2658" i="29"/>
  <c r="Q2658" i="29"/>
  <c r="S2658" i="29"/>
  <c r="F2659" i="29"/>
  <c r="G2659" i="29"/>
  <c r="N2659" i="29"/>
  <c r="P2659" i="29"/>
  <c r="Q2659" i="29"/>
  <c r="F2660" i="29"/>
  <c r="G2660" i="29"/>
  <c r="N2660" i="29"/>
  <c r="P2660" i="29"/>
  <c r="Q2660" i="29"/>
  <c r="F2661" i="29"/>
  <c r="G2661" i="29"/>
  <c r="N2661" i="29"/>
  <c r="P2661" i="29"/>
  <c r="Q2661" i="29"/>
  <c r="S2661" i="29"/>
  <c r="F2662" i="29"/>
  <c r="G2662" i="29"/>
  <c r="N2662" i="29"/>
  <c r="P2662" i="29"/>
  <c r="Q2662" i="29"/>
  <c r="F2663" i="29"/>
  <c r="G2663" i="29"/>
  <c r="N2663" i="29"/>
  <c r="P2663" i="29"/>
  <c r="Q2663" i="29"/>
  <c r="F2664" i="29"/>
  <c r="G2664" i="29"/>
  <c r="N2664" i="29"/>
  <c r="P2664" i="29"/>
  <c r="Q2664" i="29"/>
  <c r="R2664" i="29"/>
  <c r="F2665" i="29"/>
  <c r="N2665" i="29"/>
  <c r="P2665" i="29"/>
  <c r="Q2665" i="29"/>
  <c r="F2666" i="29"/>
  <c r="G2666" i="29"/>
  <c r="N2666" i="29"/>
  <c r="P2666" i="29"/>
  <c r="Q2666" i="29"/>
  <c r="F2667" i="29"/>
  <c r="G2667" i="29"/>
  <c r="N2667" i="29"/>
  <c r="P2667" i="29"/>
  <c r="Q2667" i="29"/>
  <c r="F2668" i="29"/>
  <c r="G2668" i="29"/>
  <c r="N2668" i="29"/>
  <c r="P2668" i="29"/>
  <c r="Q2668" i="29"/>
  <c r="F2669" i="29"/>
  <c r="G2669" i="29"/>
  <c r="N2669" i="29"/>
  <c r="P2669" i="29"/>
  <c r="Q2669" i="29"/>
  <c r="F2670" i="29"/>
  <c r="G2670" i="29"/>
  <c r="N2670" i="29"/>
  <c r="P2670" i="29"/>
  <c r="Q2670" i="29"/>
  <c r="F2671" i="29"/>
  <c r="G2671" i="29"/>
  <c r="N2671" i="29"/>
  <c r="P2671" i="29"/>
  <c r="Q2671" i="29"/>
  <c r="S2671" i="29"/>
  <c r="F2672" i="29"/>
  <c r="G2672" i="29"/>
  <c r="N2672" i="29"/>
  <c r="P2672" i="29"/>
  <c r="Q2672" i="29"/>
  <c r="F2673" i="29"/>
  <c r="G2673" i="29"/>
  <c r="N2673" i="29"/>
  <c r="P2673" i="29"/>
  <c r="Q2673" i="29"/>
  <c r="F2674" i="29"/>
  <c r="G2674" i="29"/>
  <c r="N2674" i="29"/>
  <c r="P2674" i="29"/>
  <c r="Q2674" i="29"/>
  <c r="T2674" i="29"/>
  <c r="F2675" i="29"/>
  <c r="G2675" i="29"/>
  <c r="N2675" i="29"/>
  <c r="P2675" i="29"/>
  <c r="Q2675" i="29"/>
  <c r="S2675" i="29"/>
  <c r="F2676" i="29"/>
  <c r="G2676" i="29"/>
  <c r="N2676" i="29"/>
  <c r="P2676" i="29"/>
  <c r="Q2676" i="29"/>
  <c r="F2677" i="29"/>
  <c r="G2677" i="29"/>
  <c r="N2677" i="29"/>
  <c r="P2677" i="29"/>
  <c r="Q2677" i="29"/>
  <c r="T2677" i="29"/>
  <c r="F2678" i="29"/>
  <c r="G2678" i="29"/>
  <c r="N2678" i="29"/>
  <c r="P2678" i="29"/>
  <c r="Q2678" i="29"/>
  <c r="R2678" i="29"/>
  <c r="F2679" i="29"/>
  <c r="G2679" i="29"/>
  <c r="N2679" i="29"/>
  <c r="P2679" i="29"/>
  <c r="Q2679" i="29"/>
  <c r="F2680" i="29"/>
  <c r="G2680" i="29"/>
  <c r="N2680" i="29"/>
  <c r="P2680" i="29"/>
  <c r="Q2680" i="29"/>
  <c r="F2681" i="29"/>
  <c r="G2681" i="29"/>
  <c r="J2681" i="29"/>
  <c r="N2681" i="29"/>
  <c r="P2681" i="29"/>
  <c r="Q2681" i="29"/>
  <c r="T2681" i="29"/>
  <c r="F2682" i="29"/>
  <c r="G2682" i="29"/>
  <c r="N2682" i="29"/>
  <c r="P2682" i="29"/>
  <c r="Q2682" i="29"/>
  <c r="F2683" i="29"/>
  <c r="G2683" i="29"/>
  <c r="N2683" i="29"/>
  <c r="P2683" i="29"/>
  <c r="Q2683" i="29"/>
  <c r="F2684" i="29"/>
  <c r="G2684" i="29"/>
  <c r="N2684" i="29"/>
  <c r="P2684" i="29"/>
  <c r="Q2684" i="29"/>
  <c r="T2684" i="29"/>
  <c r="F2685" i="29"/>
  <c r="G2685" i="29"/>
  <c r="J2685" i="29"/>
  <c r="N2685" i="29"/>
  <c r="P2685" i="29"/>
  <c r="Q2685" i="29"/>
  <c r="F2686" i="29"/>
  <c r="G2686" i="29"/>
  <c r="J2686" i="29"/>
  <c r="N2686" i="29"/>
  <c r="P2686" i="29"/>
  <c r="Q2686" i="29"/>
  <c r="T2686" i="29"/>
  <c r="F2687" i="29"/>
  <c r="G2687" i="29"/>
  <c r="N2687" i="29"/>
  <c r="P2687" i="29"/>
  <c r="Q2687" i="29"/>
  <c r="F2688" i="29"/>
  <c r="G2688" i="29"/>
  <c r="J2688" i="29"/>
  <c r="N2688" i="29"/>
  <c r="P2688" i="29"/>
  <c r="R2688" i="29"/>
  <c r="Q2688" i="29"/>
  <c r="F2689" i="29"/>
  <c r="G2689" i="29"/>
  <c r="N2689" i="29"/>
  <c r="P2689" i="29"/>
  <c r="Q2689" i="29"/>
  <c r="R2689" i="29"/>
  <c r="F2690" i="29"/>
  <c r="G2690" i="29"/>
  <c r="N2690" i="29"/>
  <c r="P2690" i="29"/>
  <c r="Q2690" i="29"/>
  <c r="F2691" i="29"/>
  <c r="G2691" i="29"/>
  <c r="J2691" i="29"/>
  <c r="N2691" i="29"/>
  <c r="P2691" i="29"/>
  <c r="Q2691" i="29"/>
  <c r="F2692" i="29"/>
  <c r="G2692" i="29"/>
  <c r="J2692" i="29"/>
  <c r="N2692" i="29"/>
  <c r="P2692" i="29"/>
  <c r="R2692" i="29"/>
  <c r="Q2692" i="29"/>
  <c r="F2693" i="29"/>
  <c r="G2693" i="29"/>
  <c r="J2693" i="29"/>
  <c r="N2693" i="29"/>
  <c r="P2693" i="29"/>
  <c r="R2693" i="29"/>
  <c r="Q2693" i="29"/>
  <c r="F2694" i="29"/>
  <c r="G2694" i="29"/>
  <c r="N2694" i="29"/>
  <c r="P2694" i="29"/>
  <c r="Q2694" i="29"/>
  <c r="F2695" i="29"/>
  <c r="G2695" i="29"/>
  <c r="N2695" i="29"/>
  <c r="P2695" i="29"/>
  <c r="Q2695" i="29"/>
  <c r="F2696" i="29"/>
  <c r="G2696" i="29"/>
  <c r="N2696" i="29"/>
  <c r="P2696" i="29"/>
  <c r="Q2696" i="29"/>
  <c r="F2697" i="29"/>
  <c r="G2697" i="29"/>
  <c r="N2697" i="29"/>
  <c r="P2697" i="29"/>
  <c r="Q2697" i="29"/>
  <c r="T2697" i="29"/>
  <c r="F2698" i="29"/>
  <c r="G2698" i="29"/>
  <c r="N2698" i="29"/>
  <c r="P2698" i="29"/>
  <c r="Q2698" i="29"/>
  <c r="S2698" i="29"/>
  <c r="F2699" i="29"/>
  <c r="G2699" i="29"/>
  <c r="N2699" i="29"/>
  <c r="P2699" i="29"/>
  <c r="Q2699" i="29"/>
  <c r="S2699" i="29"/>
  <c r="F2700" i="29"/>
  <c r="G2700" i="29"/>
  <c r="N2700" i="29"/>
  <c r="P2700" i="29"/>
  <c r="Q2700" i="29"/>
  <c r="F2701" i="29"/>
  <c r="G2701" i="29"/>
  <c r="N2701" i="29"/>
  <c r="P2701" i="29"/>
  <c r="Q2701" i="29"/>
  <c r="F2702" i="29"/>
  <c r="G2702" i="29"/>
  <c r="N2702" i="29"/>
  <c r="P2702" i="29"/>
  <c r="Q2702" i="29"/>
  <c r="F2703" i="29"/>
  <c r="G2703" i="29"/>
  <c r="N2703" i="29"/>
  <c r="P2703" i="29"/>
  <c r="Q2703" i="29"/>
  <c r="R2703" i="29"/>
  <c r="F2704" i="29"/>
  <c r="G2704" i="29"/>
  <c r="N2704" i="29"/>
  <c r="P2704" i="29"/>
  <c r="Q2704" i="29"/>
  <c r="F2705" i="29"/>
  <c r="G2705" i="29"/>
  <c r="N2705" i="29"/>
  <c r="P2705" i="29"/>
  <c r="Q2705" i="29"/>
  <c r="F2706" i="29"/>
  <c r="G2706" i="29"/>
  <c r="N2706" i="29"/>
  <c r="P2706" i="29"/>
  <c r="Q2706" i="29"/>
  <c r="S2706" i="29"/>
  <c r="F2707" i="29"/>
  <c r="G2707" i="29"/>
  <c r="N2707" i="29"/>
  <c r="P2707" i="29"/>
  <c r="Q2707" i="29"/>
  <c r="T2707" i="29"/>
  <c r="F2708" i="29"/>
  <c r="G2708" i="29"/>
  <c r="N2708" i="29"/>
  <c r="P2708" i="29"/>
  <c r="Q2708" i="29"/>
  <c r="F2709" i="29"/>
  <c r="G2709" i="29"/>
  <c r="N2709" i="29"/>
  <c r="P2709" i="29"/>
  <c r="Q2709" i="29"/>
  <c r="F2710" i="29"/>
  <c r="G2710" i="29"/>
  <c r="J2710" i="29"/>
  <c r="N2710" i="29"/>
  <c r="P2710" i="29"/>
  <c r="R2710" i="29"/>
  <c r="Q2710" i="29"/>
  <c r="F2711" i="29"/>
  <c r="G2711" i="29"/>
  <c r="N2711" i="29"/>
  <c r="P2711" i="29"/>
  <c r="Q2711" i="29"/>
  <c r="T2711" i="29"/>
  <c r="F2712" i="29"/>
  <c r="G2712" i="29"/>
  <c r="N2712" i="29"/>
  <c r="P2712" i="29"/>
  <c r="Q2712" i="29"/>
  <c r="F2713" i="29"/>
  <c r="G2713" i="29"/>
  <c r="N2713" i="29"/>
  <c r="P2713" i="29"/>
  <c r="Q2713" i="29"/>
  <c r="S2713" i="29"/>
  <c r="F2714" i="29"/>
  <c r="G2714" i="29"/>
  <c r="N2714" i="29"/>
  <c r="P2714" i="29"/>
  <c r="Q2714" i="29"/>
  <c r="F2715" i="29"/>
  <c r="G2715" i="29"/>
  <c r="N2715" i="29"/>
  <c r="P2715" i="29"/>
  <c r="Q2715" i="29"/>
  <c r="S2715" i="29"/>
  <c r="F2716" i="29"/>
  <c r="G2716" i="29"/>
  <c r="N2716" i="29"/>
  <c r="P2716" i="29"/>
  <c r="Q2716" i="29"/>
  <c r="T2716" i="29"/>
  <c r="F2717" i="29"/>
  <c r="G2717" i="29"/>
  <c r="N2717" i="29"/>
  <c r="P2717" i="29"/>
  <c r="Q2717" i="29"/>
  <c r="F2718" i="29"/>
  <c r="G2718" i="29"/>
  <c r="N2718" i="29"/>
  <c r="P2718" i="29"/>
  <c r="Q2718" i="29"/>
  <c r="S2718" i="29"/>
  <c r="F2719" i="29"/>
  <c r="G2719" i="29"/>
  <c r="N2719" i="29"/>
  <c r="P2719" i="29"/>
  <c r="Q2719" i="29"/>
  <c r="F2720" i="29"/>
  <c r="G2720" i="29"/>
  <c r="N2720" i="29"/>
  <c r="P2720" i="29"/>
  <c r="Q2720" i="29"/>
  <c r="R2720" i="29"/>
  <c r="F2721" i="29"/>
  <c r="G2721" i="29"/>
  <c r="N2721" i="29"/>
  <c r="P2721" i="29"/>
  <c r="Q2721" i="29"/>
  <c r="S2721" i="29"/>
  <c r="F2722" i="29"/>
  <c r="G2722" i="29"/>
  <c r="N2722" i="29"/>
  <c r="P2722" i="29"/>
  <c r="Q2722" i="29"/>
  <c r="T2722" i="29"/>
  <c r="F2723" i="29"/>
  <c r="G2723" i="29"/>
  <c r="N2723" i="29"/>
  <c r="P2723" i="29"/>
  <c r="Q2723" i="29"/>
  <c r="F2724" i="29"/>
  <c r="G2724" i="29"/>
  <c r="N2724" i="29"/>
  <c r="P2724" i="29"/>
  <c r="Q2724" i="29"/>
  <c r="F2725" i="29"/>
  <c r="G2725" i="29"/>
  <c r="N2725" i="29"/>
  <c r="P2725" i="29"/>
  <c r="Q2725" i="29"/>
  <c r="F2726" i="29"/>
  <c r="G2726" i="29"/>
  <c r="N2726" i="29"/>
  <c r="P2726" i="29"/>
  <c r="Q2726" i="29"/>
  <c r="T2726" i="29"/>
  <c r="F2727" i="29"/>
  <c r="G2727" i="29"/>
  <c r="N2727" i="29"/>
  <c r="P2727" i="29"/>
  <c r="Q2727" i="29"/>
  <c r="F2728" i="29"/>
  <c r="G2728" i="29"/>
  <c r="N2728" i="29"/>
  <c r="P2728" i="29"/>
  <c r="Q2728" i="29"/>
  <c r="F2729" i="29"/>
  <c r="G2729" i="29"/>
  <c r="N2729" i="29"/>
  <c r="P2729" i="29"/>
  <c r="Q2729" i="29"/>
  <c r="F2730" i="29"/>
  <c r="G2730" i="29"/>
  <c r="N2730" i="29"/>
  <c r="P2730" i="29"/>
  <c r="Q2730" i="29"/>
  <c r="F2731" i="29"/>
  <c r="G2731" i="29"/>
  <c r="N2731" i="29"/>
  <c r="P2731" i="29"/>
  <c r="Q2731" i="29"/>
  <c r="F2732" i="29"/>
  <c r="G2732" i="29"/>
  <c r="N2732" i="29"/>
  <c r="P2732" i="29"/>
  <c r="Q2732" i="29"/>
  <c r="F2733" i="29"/>
  <c r="G2733" i="29"/>
  <c r="N2733" i="29"/>
  <c r="P2733" i="29"/>
  <c r="Q2733" i="29"/>
  <c r="F2734" i="29"/>
  <c r="G2734" i="29"/>
  <c r="N2734" i="29"/>
  <c r="P2734" i="29"/>
  <c r="Q2734" i="29"/>
  <c r="F2735" i="29"/>
  <c r="G2735" i="29"/>
  <c r="N2735" i="29"/>
  <c r="P2735" i="29"/>
  <c r="Q2735" i="29"/>
  <c r="F2736" i="29"/>
  <c r="G2736" i="29"/>
  <c r="N2736" i="29"/>
  <c r="P2736" i="29"/>
  <c r="Q2736" i="29"/>
  <c r="F2737" i="29"/>
  <c r="G2737" i="29"/>
  <c r="N2737" i="29"/>
  <c r="P2737" i="29"/>
  <c r="Q2737" i="29"/>
  <c r="S2737" i="29"/>
  <c r="F2738" i="29"/>
  <c r="G2738" i="29"/>
  <c r="N2738" i="29"/>
  <c r="P2738" i="29"/>
  <c r="Q2738" i="29"/>
  <c r="F2739" i="29"/>
  <c r="G2739" i="29"/>
  <c r="N2739" i="29"/>
  <c r="P2739" i="29"/>
  <c r="Q2739" i="29"/>
  <c r="R2739" i="29"/>
  <c r="N2740" i="29"/>
  <c r="W2740" i="29"/>
  <c r="F2741" i="29"/>
  <c r="G2741" i="29"/>
  <c r="N2741" i="29"/>
  <c r="P2741" i="29"/>
  <c r="Q2741" i="29"/>
  <c r="F2742" i="29"/>
  <c r="G2742" i="29"/>
  <c r="N2742" i="29"/>
  <c r="P2742" i="29"/>
  <c r="Q2742" i="29"/>
  <c r="F2743" i="29"/>
  <c r="G2743" i="29"/>
  <c r="N2743" i="29"/>
  <c r="P2743" i="29"/>
  <c r="Q2743" i="29"/>
  <c r="T2743" i="29"/>
  <c r="F2744" i="29"/>
  <c r="G2744" i="29"/>
  <c r="J2744" i="29"/>
  <c r="N2744" i="29"/>
  <c r="P2744" i="29"/>
  <c r="Q2744" i="29"/>
  <c r="F2745" i="29"/>
  <c r="G2745" i="29"/>
  <c r="N2745" i="29"/>
  <c r="P2745" i="29"/>
  <c r="Q2745" i="29"/>
  <c r="F2746" i="29"/>
  <c r="G2746" i="29"/>
  <c r="J2746" i="29"/>
  <c r="N2746" i="29"/>
  <c r="P2746" i="29"/>
  <c r="Q2746" i="29"/>
  <c r="F2747" i="29"/>
  <c r="G2747" i="29"/>
  <c r="N2747" i="29"/>
  <c r="P2747" i="29"/>
  <c r="Q2747" i="29"/>
  <c r="F2748" i="29"/>
  <c r="G2748" i="29"/>
  <c r="N2748" i="29"/>
  <c r="P2748" i="29"/>
  <c r="Q2748" i="29"/>
  <c r="S2748" i="29"/>
  <c r="F2749" i="29"/>
  <c r="G2749" i="29"/>
  <c r="N2749" i="29"/>
  <c r="P2749" i="29"/>
  <c r="Q2749" i="29"/>
  <c r="F2750" i="29"/>
  <c r="G2750" i="29"/>
  <c r="N2750" i="29"/>
  <c r="P2750" i="29"/>
  <c r="Q2750" i="29"/>
  <c r="F2751" i="29"/>
  <c r="G2751" i="29"/>
  <c r="N2751" i="29"/>
  <c r="P2751" i="29"/>
  <c r="Q2751" i="29"/>
  <c r="F2752" i="29"/>
  <c r="G2752" i="29"/>
  <c r="N2752" i="29"/>
  <c r="P2752" i="29"/>
  <c r="Q2752" i="29"/>
  <c r="T2752" i="29"/>
  <c r="F2753" i="29"/>
  <c r="G2753" i="29"/>
  <c r="N2753" i="29"/>
  <c r="P2753" i="29"/>
  <c r="Q2753" i="29"/>
  <c r="F2754" i="29"/>
  <c r="G2754" i="29"/>
  <c r="N2754" i="29"/>
  <c r="P2754" i="29"/>
  <c r="Q2754" i="29"/>
  <c r="F2755" i="29"/>
  <c r="G2755" i="29"/>
  <c r="N2755" i="29"/>
  <c r="P2755" i="29"/>
  <c r="Q2755" i="29"/>
  <c r="F2756" i="29"/>
  <c r="G2756" i="29"/>
  <c r="N2756" i="29"/>
  <c r="P2756" i="29"/>
  <c r="Q2756" i="29"/>
  <c r="F2757" i="29"/>
  <c r="G2757" i="29"/>
  <c r="N2757" i="29"/>
  <c r="P2757" i="29"/>
  <c r="Q2757" i="29"/>
  <c r="F2758" i="29"/>
  <c r="G2758" i="29"/>
  <c r="N2758" i="29"/>
  <c r="P2758" i="29"/>
  <c r="Q2758" i="29"/>
  <c r="F2759" i="29"/>
  <c r="G2759" i="29"/>
  <c r="N2759" i="29"/>
  <c r="P2759" i="29"/>
  <c r="Q2759" i="29"/>
  <c r="F2760" i="29"/>
  <c r="G2760" i="29"/>
  <c r="N2760" i="29"/>
  <c r="P2760" i="29"/>
  <c r="Q2760" i="29"/>
  <c r="F2761" i="29"/>
  <c r="G2761" i="29"/>
  <c r="N2761" i="29"/>
  <c r="P2761" i="29"/>
  <c r="R2761" i="29"/>
  <c r="Q2761" i="29"/>
  <c r="F2762" i="29"/>
  <c r="G2762" i="29"/>
  <c r="N2762" i="29"/>
  <c r="P2762" i="29"/>
  <c r="R2762" i="29"/>
  <c r="Q2762" i="29"/>
  <c r="F2763" i="29"/>
  <c r="G2763" i="29"/>
  <c r="N2763" i="29"/>
  <c r="P2763" i="29"/>
  <c r="Q2763" i="29"/>
  <c r="F2764" i="29"/>
  <c r="G2764" i="29"/>
  <c r="N2764" i="29"/>
  <c r="P2764" i="29"/>
  <c r="Q2764" i="29"/>
  <c r="F2765" i="29"/>
  <c r="G2765" i="29"/>
  <c r="N2765" i="29"/>
  <c r="P2765" i="29"/>
  <c r="Q2765" i="29"/>
  <c r="F2766" i="29"/>
  <c r="G2766" i="29"/>
  <c r="N2766" i="29"/>
  <c r="P2766" i="29"/>
  <c r="Q2766" i="29"/>
  <c r="S2766" i="29"/>
  <c r="F2767" i="29"/>
  <c r="G2767" i="29"/>
  <c r="N2767" i="29"/>
  <c r="P2767" i="29"/>
  <c r="Q2767" i="29"/>
  <c r="T2767" i="29"/>
  <c r="F2768" i="29"/>
  <c r="G2768" i="29"/>
  <c r="N2768" i="29"/>
  <c r="P2768" i="29"/>
  <c r="Q2768" i="29"/>
  <c r="T2768" i="29"/>
  <c r="F2769" i="29"/>
  <c r="G2769" i="29"/>
  <c r="N2769" i="29"/>
  <c r="P2769" i="29"/>
  <c r="Q2769" i="29"/>
  <c r="S2769" i="29"/>
  <c r="F2770" i="29"/>
  <c r="G2770" i="29"/>
  <c r="N2770" i="29"/>
  <c r="P2770" i="29"/>
  <c r="Q2770" i="29"/>
  <c r="F2771" i="29"/>
  <c r="G2771" i="29"/>
  <c r="N2771" i="29"/>
  <c r="P2771" i="29"/>
  <c r="Q2771" i="29"/>
  <c r="F2772" i="29"/>
  <c r="G2772" i="29"/>
  <c r="N2772" i="29"/>
  <c r="P2772" i="29"/>
  <c r="Q2772" i="29"/>
  <c r="F2773" i="29"/>
  <c r="G2773" i="29"/>
  <c r="N2773" i="29"/>
  <c r="P2773" i="29"/>
  <c r="Q2773" i="29"/>
  <c r="F2774" i="29"/>
  <c r="G2774" i="29"/>
  <c r="N2774" i="29"/>
  <c r="P2774" i="29"/>
  <c r="Q2774" i="29"/>
  <c r="F2775" i="29"/>
  <c r="G2775" i="29"/>
  <c r="N2775" i="29"/>
  <c r="P2775" i="29"/>
  <c r="Q2775" i="29"/>
  <c r="F2776" i="29"/>
  <c r="G2776" i="29"/>
  <c r="N2776" i="29"/>
  <c r="P2776" i="29"/>
  <c r="Q2776" i="29"/>
  <c r="S2776" i="29"/>
  <c r="F2777" i="29"/>
  <c r="G2777" i="29"/>
  <c r="N2777" i="29"/>
  <c r="P2777" i="29"/>
  <c r="Q2777" i="29"/>
  <c r="S2777" i="29"/>
  <c r="R2777" i="29"/>
  <c r="F2778" i="29"/>
  <c r="G2778" i="29"/>
  <c r="N2778" i="29"/>
  <c r="P2778" i="29"/>
  <c r="Q2778" i="29"/>
  <c r="T2778" i="29"/>
  <c r="F2779" i="29"/>
  <c r="G2779" i="29"/>
  <c r="N2779" i="29"/>
  <c r="P2779" i="29"/>
  <c r="Q2779" i="29"/>
  <c r="S2779" i="29"/>
  <c r="F2780" i="29"/>
  <c r="G2780" i="29"/>
  <c r="N2780" i="29"/>
  <c r="P2780" i="29"/>
  <c r="Q2780" i="29"/>
  <c r="F2781" i="29"/>
  <c r="G2781" i="29"/>
  <c r="N2781" i="29"/>
  <c r="P2781" i="29"/>
  <c r="Q2781" i="29"/>
  <c r="T2781" i="29"/>
  <c r="F2782" i="29"/>
  <c r="G2782" i="29"/>
  <c r="N2782" i="29"/>
  <c r="P2782" i="29"/>
  <c r="Q2782" i="29"/>
  <c r="F2783" i="29"/>
  <c r="G2783" i="29"/>
  <c r="N2783" i="29"/>
  <c r="P2783" i="29"/>
  <c r="Q2783" i="29"/>
  <c r="F2784" i="29"/>
  <c r="G2784" i="29"/>
  <c r="N2784" i="29"/>
  <c r="P2784" i="29"/>
  <c r="Q2784" i="29"/>
  <c r="F2785" i="29"/>
  <c r="G2785" i="29"/>
  <c r="N2785" i="29"/>
  <c r="P2785" i="29"/>
  <c r="Q2785" i="29"/>
  <c r="R2785" i="29"/>
  <c r="F2786" i="29"/>
  <c r="G2786" i="29"/>
  <c r="N2786" i="29"/>
  <c r="P2786" i="29"/>
  <c r="Q2786" i="29"/>
  <c r="F2787" i="29"/>
  <c r="G2787" i="29"/>
  <c r="N2787" i="29"/>
  <c r="P2787" i="29"/>
  <c r="Q2787" i="29"/>
  <c r="F2788" i="29"/>
  <c r="G2788" i="29"/>
  <c r="N2788" i="29"/>
  <c r="P2788" i="29"/>
  <c r="Q2788" i="29"/>
  <c r="F2789" i="29"/>
  <c r="G2789" i="29"/>
  <c r="N2789" i="29"/>
  <c r="P2789" i="29"/>
  <c r="Q2789" i="29"/>
  <c r="T2789" i="29"/>
  <c r="F2790" i="29"/>
  <c r="G2790" i="29"/>
  <c r="N2790" i="29"/>
  <c r="P2790" i="29"/>
  <c r="Q2790" i="29"/>
  <c r="T2790" i="29"/>
  <c r="F2791" i="29"/>
  <c r="G2791" i="29"/>
  <c r="N2791" i="29"/>
  <c r="P2791" i="29"/>
  <c r="Q2791" i="29"/>
  <c r="R2791" i="29"/>
  <c r="F2792" i="29"/>
  <c r="G2792" i="29"/>
  <c r="N2792" i="29"/>
  <c r="P2792" i="29"/>
  <c r="Q2792" i="29"/>
  <c r="F2793" i="29"/>
  <c r="G2793" i="29"/>
  <c r="N2793" i="29"/>
  <c r="P2793" i="29"/>
  <c r="Q2793" i="29"/>
  <c r="R2793" i="29"/>
  <c r="F2794" i="29"/>
  <c r="G2794" i="29"/>
  <c r="N2794" i="29"/>
  <c r="P2794" i="29"/>
  <c r="Q2794" i="29"/>
  <c r="R2794" i="29"/>
  <c r="F2795" i="29"/>
  <c r="G2795" i="29"/>
  <c r="N2795" i="29"/>
  <c r="P2795" i="29"/>
  <c r="Q2795" i="29"/>
  <c r="R2795" i="29"/>
  <c r="F2796" i="29"/>
  <c r="G2796" i="29"/>
  <c r="N2796" i="29"/>
  <c r="P2796" i="29"/>
  <c r="Q2796" i="29"/>
  <c r="R2796" i="29"/>
  <c r="F2797" i="29"/>
  <c r="G2797" i="29"/>
  <c r="N2797" i="29"/>
  <c r="P2797" i="29"/>
  <c r="Q2797" i="29"/>
  <c r="R2797" i="29"/>
  <c r="F2798" i="29"/>
  <c r="G2798" i="29"/>
  <c r="N2798" i="29"/>
  <c r="P2798" i="29"/>
  <c r="Q2798" i="29"/>
  <c r="S2798" i="29"/>
  <c r="F2799" i="29"/>
  <c r="G2799" i="29"/>
  <c r="N2799" i="29"/>
  <c r="P2799" i="29"/>
  <c r="Q2799" i="29"/>
  <c r="S2799" i="29"/>
  <c r="F2800" i="29"/>
  <c r="G2800" i="29"/>
  <c r="N2800" i="29"/>
  <c r="P2800" i="29"/>
  <c r="Q2800" i="29"/>
  <c r="F2801" i="29"/>
  <c r="G2801" i="29"/>
  <c r="N2801" i="29"/>
  <c r="P2801" i="29"/>
  <c r="Q2801" i="29"/>
  <c r="F2802" i="29"/>
  <c r="G2802" i="29"/>
  <c r="N2802" i="29"/>
  <c r="P2802" i="29"/>
  <c r="Q2802" i="29"/>
  <c r="S2802" i="29"/>
  <c r="F2803" i="29"/>
  <c r="G2803" i="29"/>
  <c r="N2803" i="29"/>
  <c r="P2803" i="29"/>
  <c r="Q2803" i="29"/>
  <c r="T2803" i="29"/>
  <c r="F2804" i="29"/>
  <c r="G2804" i="29"/>
  <c r="N2804" i="29"/>
  <c r="P2804" i="29"/>
  <c r="Q2804" i="29"/>
  <c r="F2805" i="29"/>
  <c r="G2805" i="29"/>
  <c r="N2805" i="29"/>
  <c r="P2805" i="29"/>
  <c r="Q2805" i="29"/>
  <c r="F2806" i="29"/>
  <c r="G2806" i="29"/>
  <c r="N2806" i="29"/>
  <c r="P2806" i="29"/>
  <c r="Q2806" i="29"/>
  <c r="F2807" i="29"/>
  <c r="G2807" i="29"/>
  <c r="N2807" i="29"/>
  <c r="P2807" i="29"/>
  <c r="Q2807" i="29"/>
  <c r="F2808" i="29"/>
  <c r="G2808" i="29"/>
  <c r="N2808" i="29"/>
  <c r="P2808" i="29"/>
  <c r="Q2808" i="29"/>
  <c r="F2809" i="29"/>
  <c r="G2809" i="29"/>
  <c r="N2809" i="29"/>
  <c r="P2809" i="29"/>
  <c r="Q2809" i="29"/>
  <c r="F2810" i="29"/>
  <c r="G2810" i="29"/>
  <c r="N2810" i="29"/>
  <c r="P2810" i="29"/>
  <c r="Q2810" i="29"/>
  <c r="F2811" i="29"/>
  <c r="G2811" i="29"/>
  <c r="N2811" i="29"/>
  <c r="P2811" i="29"/>
  <c r="Q2811" i="29"/>
  <c r="F2812" i="29"/>
  <c r="G2812" i="29"/>
  <c r="N2812" i="29"/>
  <c r="P2812" i="29"/>
  <c r="Q2812" i="29"/>
  <c r="F2813" i="29"/>
  <c r="G2813" i="29"/>
  <c r="N2813" i="29"/>
  <c r="P2813" i="29"/>
  <c r="Q2813" i="29"/>
  <c r="T2813" i="29"/>
  <c r="F2814" i="29"/>
  <c r="G2814" i="29"/>
  <c r="N2814" i="29"/>
  <c r="P2814" i="29"/>
  <c r="Q2814" i="29"/>
  <c r="F2815" i="29"/>
  <c r="G2815" i="29"/>
  <c r="N2815" i="29"/>
  <c r="P2815" i="29"/>
  <c r="Q2815" i="29"/>
  <c r="R2815" i="29"/>
  <c r="F2816" i="29"/>
  <c r="G2816" i="29"/>
  <c r="N2816" i="29"/>
  <c r="P2816" i="29"/>
  <c r="Q2816" i="29"/>
  <c r="R2816" i="29"/>
  <c r="F2817" i="29"/>
  <c r="G2817" i="29"/>
  <c r="N2817" i="29"/>
  <c r="P2817" i="29"/>
  <c r="Q2817" i="29"/>
  <c r="S2817" i="29"/>
  <c r="N2818" i="29"/>
  <c r="W2818" i="29"/>
  <c r="F2819" i="29"/>
  <c r="G2819" i="29"/>
  <c r="N2819" i="29"/>
  <c r="P2819" i="29"/>
  <c r="Q2819" i="29"/>
  <c r="R2819" i="29"/>
  <c r="F2820" i="29"/>
  <c r="G2820" i="29"/>
  <c r="N2820" i="29"/>
  <c r="P2820" i="29"/>
  <c r="Q2820" i="29"/>
  <c r="R2820" i="29"/>
  <c r="F2821" i="29"/>
  <c r="G2821" i="29"/>
  <c r="N2821" i="29"/>
  <c r="P2821" i="29"/>
  <c r="Q2821" i="29"/>
  <c r="S2821" i="29"/>
  <c r="F2822" i="29"/>
  <c r="G2822" i="29"/>
  <c r="N2822" i="29"/>
  <c r="P2822" i="29"/>
  <c r="Q2822" i="29"/>
  <c r="T2822" i="29"/>
  <c r="R2822" i="29"/>
  <c r="F2823" i="29"/>
  <c r="G2823" i="29"/>
  <c r="N2823" i="29"/>
  <c r="P2823" i="29"/>
  <c r="Q2823" i="29"/>
  <c r="S2823" i="29"/>
  <c r="F2824" i="29"/>
  <c r="G2824" i="29"/>
  <c r="N2824" i="29"/>
  <c r="P2824" i="29"/>
  <c r="Q2824" i="29"/>
  <c r="E2825" i="29"/>
  <c r="G2825" i="29"/>
  <c r="N2825" i="29"/>
  <c r="P2825" i="29"/>
  <c r="Q2825" i="29"/>
  <c r="T2825" i="29"/>
  <c r="F2826" i="29"/>
  <c r="G2826" i="29"/>
  <c r="N2826" i="29"/>
  <c r="P2826" i="29"/>
  <c r="Q2826" i="29"/>
  <c r="F2827" i="29"/>
  <c r="G2827" i="29"/>
  <c r="N2827" i="29"/>
  <c r="P2827" i="29"/>
  <c r="Q2827" i="29"/>
  <c r="R2827" i="29"/>
  <c r="F2828" i="29"/>
  <c r="G2828" i="29"/>
  <c r="N2828" i="29"/>
  <c r="P2828" i="29"/>
  <c r="Q2828" i="29"/>
  <c r="F2829" i="29"/>
  <c r="G2829" i="29"/>
  <c r="N2829" i="29"/>
  <c r="P2829" i="29"/>
  <c r="Q2829" i="29"/>
  <c r="F2830" i="29"/>
  <c r="G2830" i="29"/>
  <c r="N2830" i="29"/>
  <c r="P2830" i="29"/>
  <c r="Q2830" i="29"/>
  <c r="F2831" i="29"/>
  <c r="G2831" i="29"/>
  <c r="J2831" i="29"/>
  <c r="N2831" i="29"/>
  <c r="P2831" i="29"/>
  <c r="Q2831" i="29"/>
  <c r="S2831" i="29"/>
  <c r="F2832" i="29"/>
  <c r="G2832" i="29"/>
  <c r="J2832" i="29"/>
  <c r="N2832" i="29"/>
  <c r="P2832" i="29"/>
  <c r="Q2832" i="29"/>
  <c r="F2833" i="29"/>
  <c r="G2833" i="29"/>
  <c r="N2833" i="29"/>
  <c r="P2833" i="29"/>
  <c r="Q2833" i="29"/>
  <c r="F2834" i="29"/>
  <c r="G2834" i="29"/>
  <c r="N2834" i="29"/>
  <c r="P2834" i="29"/>
  <c r="Q2834" i="29"/>
  <c r="F2835" i="29"/>
  <c r="G2835" i="29"/>
  <c r="N2835" i="29"/>
  <c r="P2835" i="29"/>
  <c r="Q2835" i="29"/>
  <c r="F2836" i="29"/>
  <c r="G2836" i="29"/>
  <c r="N2836" i="29"/>
  <c r="P2836" i="29"/>
  <c r="Q2836" i="29"/>
  <c r="F2837" i="29"/>
  <c r="G2837" i="29"/>
  <c r="N2837" i="29"/>
  <c r="P2837" i="29"/>
  <c r="Q2837" i="29"/>
  <c r="F2838" i="29"/>
  <c r="G2838" i="29"/>
  <c r="N2838" i="29"/>
  <c r="P2838" i="29"/>
  <c r="Q2838" i="29"/>
  <c r="S2838" i="29"/>
  <c r="F2839" i="29"/>
  <c r="G2839" i="29"/>
  <c r="N2839" i="29"/>
  <c r="P2839" i="29"/>
  <c r="Q2839" i="29"/>
  <c r="F2840" i="29"/>
  <c r="G2840" i="29"/>
  <c r="N2840" i="29"/>
  <c r="P2840" i="29"/>
  <c r="Q2840" i="29"/>
  <c r="F2841" i="29"/>
  <c r="G2841" i="29"/>
  <c r="N2841" i="29"/>
  <c r="P2841" i="29"/>
  <c r="R2841" i="29"/>
  <c r="Q2841" i="29"/>
  <c r="F2842" i="29"/>
  <c r="G2842" i="29"/>
  <c r="N2842" i="29"/>
  <c r="P2842" i="29"/>
  <c r="R2842" i="29"/>
  <c r="Q2842" i="29"/>
  <c r="F2843" i="29"/>
  <c r="G2843" i="29"/>
  <c r="N2843" i="29"/>
  <c r="P2843" i="29"/>
  <c r="Q2843" i="29"/>
  <c r="F2844" i="29"/>
  <c r="G2844" i="29"/>
  <c r="N2844" i="29"/>
  <c r="P2844" i="29"/>
  <c r="Q2844" i="29"/>
  <c r="S2844" i="29"/>
  <c r="F2845" i="29"/>
  <c r="G2845" i="29"/>
  <c r="N2845" i="29"/>
  <c r="P2845" i="29"/>
  <c r="Q2845" i="29"/>
  <c r="T2845" i="29"/>
  <c r="F2846" i="29"/>
  <c r="G2846" i="29"/>
  <c r="N2846" i="29"/>
  <c r="P2846" i="29"/>
  <c r="Q2846" i="29"/>
  <c r="F2847" i="29"/>
  <c r="G2847" i="29"/>
  <c r="N2847" i="29"/>
  <c r="P2847" i="29"/>
  <c r="Q2847" i="29"/>
  <c r="F2848" i="29"/>
  <c r="G2848" i="29"/>
  <c r="N2848" i="29"/>
  <c r="P2848" i="29"/>
  <c r="Q2848" i="29"/>
  <c r="S2848" i="29"/>
  <c r="F2849" i="29"/>
  <c r="G2849" i="29"/>
  <c r="N2849" i="29"/>
  <c r="P2849" i="29"/>
  <c r="Q2849" i="29"/>
  <c r="F2850" i="29"/>
  <c r="G2850" i="29"/>
  <c r="N2850" i="29"/>
  <c r="P2850" i="29"/>
  <c r="Q2850" i="29"/>
  <c r="F2851" i="29"/>
  <c r="G2851" i="29"/>
  <c r="N2851" i="29"/>
  <c r="P2851" i="29"/>
  <c r="Q2851" i="29"/>
  <c r="F2852" i="29"/>
  <c r="G2852" i="29"/>
  <c r="N2852" i="29"/>
  <c r="P2852" i="29"/>
  <c r="Q2852" i="29"/>
  <c r="S2852" i="29"/>
  <c r="F2853" i="29"/>
  <c r="G2853" i="29"/>
  <c r="N2853" i="29"/>
  <c r="P2853" i="29"/>
  <c r="Q2853" i="29"/>
  <c r="F2854" i="29"/>
  <c r="G2854" i="29"/>
  <c r="N2854" i="29"/>
  <c r="P2854" i="29"/>
  <c r="Q2854" i="29"/>
  <c r="S2854" i="29"/>
  <c r="F2855" i="29"/>
  <c r="G2855" i="29"/>
  <c r="N2855" i="29"/>
  <c r="P2855" i="29"/>
  <c r="Q2855" i="29"/>
  <c r="F2856" i="29"/>
  <c r="G2856" i="29"/>
  <c r="N2856" i="29"/>
  <c r="P2856" i="29"/>
  <c r="Q2856" i="29"/>
  <c r="F2857" i="29"/>
  <c r="G2857" i="29"/>
  <c r="N2857" i="29"/>
  <c r="P2857" i="29"/>
  <c r="Q2857" i="29"/>
  <c r="T2857" i="29"/>
  <c r="F2858" i="29"/>
  <c r="G2858" i="29"/>
  <c r="N2858" i="29"/>
  <c r="P2858" i="29"/>
  <c r="Q2858" i="29"/>
  <c r="T2858" i="29"/>
  <c r="F2859" i="29"/>
  <c r="G2859" i="29"/>
  <c r="N2859" i="29"/>
  <c r="P2859" i="29"/>
  <c r="Q2859" i="29"/>
  <c r="F2860" i="29"/>
  <c r="G2860" i="29"/>
  <c r="N2860" i="29"/>
  <c r="P2860" i="29"/>
  <c r="Q2860" i="29"/>
  <c r="R2860" i="29"/>
  <c r="F2861" i="29"/>
  <c r="G2861" i="29"/>
  <c r="N2861" i="29"/>
  <c r="P2861" i="29"/>
  <c r="Q2861" i="29"/>
  <c r="F2862" i="29"/>
  <c r="G2862" i="29"/>
  <c r="N2862" i="29"/>
  <c r="P2862" i="29"/>
  <c r="Q2862" i="29"/>
  <c r="T2862" i="29"/>
  <c r="F2863" i="29"/>
  <c r="G2863" i="29"/>
  <c r="N2863" i="29"/>
  <c r="P2863" i="29"/>
  <c r="Q2863" i="29"/>
  <c r="F2864" i="29"/>
  <c r="G2864" i="29"/>
  <c r="N2864" i="29"/>
  <c r="P2864" i="29"/>
  <c r="Q2864" i="29"/>
  <c r="F2865" i="29"/>
  <c r="G2865" i="29"/>
  <c r="N2865" i="29"/>
  <c r="P2865" i="29"/>
  <c r="Q2865" i="29"/>
  <c r="F2866" i="29"/>
  <c r="G2866" i="29"/>
  <c r="N2866" i="29"/>
  <c r="P2866" i="29"/>
  <c r="Q2866" i="29"/>
  <c r="F2867" i="29"/>
  <c r="G2867" i="29"/>
  <c r="N2867" i="29"/>
  <c r="P2867" i="29"/>
  <c r="Q2867" i="29"/>
  <c r="F2868" i="29"/>
  <c r="G2868" i="29"/>
  <c r="N2868" i="29"/>
  <c r="P2868" i="29"/>
  <c r="Q2868" i="29"/>
  <c r="F2869" i="29"/>
  <c r="G2869" i="29"/>
  <c r="N2869" i="29"/>
  <c r="P2869" i="29"/>
  <c r="Q2869" i="29"/>
  <c r="F2870" i="29"/>
  <c r="G2870" i="29"/>
  <c r="N2870" i="29"/>
  <c r="P2870" i="29"/>
  <c r="Q2870" i="29"/>
  <c r="S2870" i="29"/>
  <c r="F2871" i="29"/>
  <c r="G2871" i="29"/>
  <c r="J2871" i="29"/>
  <c r="N2871" i="29"/>
  <c r="P2871" i="29"/>
  <c r="Q2871" i="29"/>
  <c r="F2872" i="29"/>
  <c r="G2872" i="29"/>
  <c r="N2872" i="29"/>
  <c r="P2872" i="29"/>
  <c r="Q2872" i="29"/>
  <c r="T2872" i="29"/>
  <c r="F2873" i="29"/>
  <c r="G2873" i="29"/>
  <c r="N2873" i="29"/>
  <c r="P2873" i="29"/>
  <c r="Q2873" i="29"/>
  <c r="F2874" i="29"/>
  <c r="G2874" i="29"/>
  <c r="N2874" i="29"/>
  <c r="P2874" i="29"/>
  <c r="Q2874" i="29"/>
  <c r="F2875" i="29"/>
  <c r="G2875" i="29"/>
  <c r="N2875" i="29"/>
  <c r="P2875" i="29"/>
  <c r="Q2875" i="29"/>
  <c r="S2875" i="29"/>
  <c r="F2876" i="29"/>
  <c r="G2876" i="29"/>
  <c r="N2876" i="29"/>
  <c r="P2876" i="29"/>
  <c r="Q2876" i="29"/>
  <c r="T2876" i="29"/>
  <c r="F2877" i="29"/>
  <c r="G2877" i="29"/>
  <c r="N2877" i="29"/>
  <c r="P2877" i="29"/>
  <c r="Q2877" i="29"/>
  <c r="R2877" i="29"/>
  <c r="F2878" i="29"/>
  <c r="G2878" i="29"/>
  <c r="N2878" i="29"/>
  <c r="P2878" i="29"/>
  <c r="Q2878" i="29"/>
  <c r="R2878" i="29"/>
  <c r="F2879" i="29"/>
  <c r="G2879" i="29"/>
  <c r="N2879" i="29"/>
  <c r="P2879" i="29"/>
  <c r="Q2879" i="29"/>
  <c r="R2879" i="29"/>
  <c r="F2880" i="29"/>
  <c r="G2880" i="29"/>
  <c r="N2880" i="29"/>
  <c r="P2880" i="29"/>
  <c r="Q2880" i="29"/>
  <c r="R2880" i="29"/>
  <c r="F2881" i="29"/>
  <c r="G2881" i="29"/>
  <c r="N2881" i="29"/>
  <c r="P2881" i="29"/>
  <c r="Q2881" i="29"/>
  <c r="R2881" i="29"/>
  <c r="F2882" i="29"/>
  <c r="G2882" i="29"/>
  <c r="N2882" i="29"/>
  <c r="P2882" i="29"/>
  <c r="Q2882" i="29"/>
  <c r="T2882" i="29"/>
  <c r="F2883" i="29"/>
  <c r="G2883" i="29"/>
  <c r="N2883" i="29"/>
  <c r="P2883" i="29"/>
  <c r="Q2883" i="29"/>
  <c r="T2883" i="29"/>
  <c r="F2884" i="29"/>
  <c r="G2884" i="29"/>
  <c r="N2884" i="29"/>
  <c r="P2884" i="29"/>
  <c r="Q2884" i="29"/>
  <c r="F2885" i="29"/>
  <c r="G2885" i="29"/>
  <c r="N2885" i="29"/>
  <c r="P2885" i="29"/>
  <c r="Q2885" i="29"/>
  <c r="F2886" i="29"/>
  <c r="G2886" i="29"/>
  <c r="N2886" i="29"/>
  <c r="P2886" i="29"/>
  <c r="Q2886" i="29"/>
  <c r="T2886" i="29"/>
  <c r="F2887" i="29"/>
  <c r="G2887" i="29"/>
  <c r="N2887" i="29"/>
  <c r="P2887" i="29"/>
  <c r="Q2887" i="29"/>
  <c r="F2888" i="29"/>
  <c r="G2888" i="29"/>
  <c r="N2888" i="29"/>
  <c r="P2888" i="29"/>
  <c r="Q2888" i="29"/>
  <c r="F2889" i="29"/>
  <c r="G2889" i="29"/>
  <c r="N2889" i="29"/>
  <c r="P2889" i="29"/>
  <c r="Q2889" i="29"/>
  <c r="F2890" i="29"/>
  <c r="G2890" i="29"/>
  <c r="N2890" i="29"/>
  <c r="P2890" i="29"/>
  <c r="Q2890" i="29"/>
  <c r="F2891" i="29"/>
  <c r="G2891" i="29"/>
  <c r="N2891" i="29"/>
  <c r="P2891" i="29"/>
  <c r="Q2891" i="29"/>
  <c r="F2892" i="29"/>
  <c r="G2892" i="29"/>
  <c r="N2892" i="29"/>
  <c r="P2892" i="29"/>
  <c r="Q2892" i="29"/>
  <c r="F2893" i="29"/>
  <c r="G2893" i="29"/>
  <c r="N2893" i="29"/>
  <c r="P2893" i="29"/>
  <c r="Q2893" i="29"/>
  <c r="F2894" i="29"/>
  <c r="G2894" i="29"/>
  <c r="N2894" i="29"/>
  <c r="P2894" i="29"/>
  <c r="Q2894" i="29"/>
  <c r="F2895" i="29"/>
  <c r="G2895" i="29"/>
  <c r="N2895" i="29"/>
  <c r="P2895" i="29"/>
  <c r="Q2895" i="29"/>
  <c r="F2896" i="29"/>
  <c r="G2896" i="29"/>
  <c r="N2896" i="29"/>
  <c r="P2896" i="29"/>
  <c r="Q2896" i="29"/>
  <c r="N2897" i="29"/>
  <c r="W2897" i="29"/>
  <c r="F2898" i="29"/>
  <c r="G2898" i="29"/>
  <c r="P2898" i="29"/>
  <c r="Q2898" i="29"/>
  <c r="T2898" i="29"/>
  <c r="S2898" i="29"/>
  <c r="F2899" i="29"/>
  <c r="G2899" i="29"/>
  <c r="P2899" i="29"/>
  <c r="S2899" i="29"/>
  <c r="T2899" i="29"/>
  <c r="F2900" i="29"/>
  <c r="G2900" i="29"/>
  <c r="P2900" i="29"/>
  <c r="Q2900" i="29"/>
  <c r="T2900" i="29"/>
  <c r="S2900" i="29"/>
  <c r="F2901" i="29"/>
  <c r="G2901" i="29"/>
  <c r="N2901" i="29"/>
  <c r="P2901" i="29"/>
  <c r="Q2901" i="29"/>
  <c r="S2901" i="29"/>
  <c r="F2902" i="29"/>
  <c r="G2902" i="29"/>
  <c r="N2902" i="29"/>
  <c r="P2902" i="29"/>
  <c r="Q2902" i="29"/>
  <c r="F2903" i="29"/>
  <c r="G2903" i="29"/>
  <c r="N2903" i="29"/>
  <c r="P2903" i="29"/>
  <c r="Q2903" i="29"/>
  <c r="F2904" i="29"/>
  <c r="G2904" i="29"/>
  <c r="J2904" i="29"/>
  <c r="N2904" i="29"/>
  <c r="P2904" i="29"/>
  <c r="Q2904" i="29"/>
  <c r="T2904" i="29"/>
  <c r="F2905" i="29"/>
  <c r="G2905" i="29"/>
  <c r="N2905" i="29"/>
  <c r="P2905" i="29"/>
  <c r="Q2905" i="29"/>
  <c r="F2906" i="29"/>
  <c r="G2906" i="29"/>
  <c r="N2906" i="29"/>
  <c r="P2906" i="29"/>
  <c r="Q2906" i="29"/>
  <c r="F2907" i="29"/>
  <c r="G2907" i="29"/>
  <c r="N2907" i="29"/>
  <c r="P2907" i="29"/>
  <c r="R2907" i="29"/>
  <c r="Q2907" i="29"/>
  <c r="F2908" i="29"/>
  <c r="G2908" i="29"/>
  <c r="N2908" i="29"/>
  <c r="P2908" i="29"/>
  <c r="R2908" i="29"/>
  <c r="Q2908" i="29"/>
  <c r="F2909" i="29"/>
  <c r="G2909" i="29"/>
  <c r="J2909" i="29"/>
  <c r="N2909" i="29"/>
  <c r="P2909" i="29"/>
  <c r="R2909" i="29"/>
  <c r="Q2909" i="29"/>
  <c r="F2910" i="29"/>
  <c r="G2910" i="29"/>
  <c r="N2910" i="29"/>
  <c r="P2910" i="29"/>
  <c r="Q2910" i="29"/>
  <c r="T2910" i="29"/>
  <c r="F2911" i="29"/>
  <c r="G2911" i="29"/>
  <c r="N2911" i="29"/>
  <c r="P2911" i="29"/>
  <c r="Q2911" i="29"/>
  <c r="F2912" i="29"/>
  <c r="G2912" i="29"/>
  <c r="N2912" i="29"/>
  <c r="P2912" i="29"/>
  <c r="Q2912" i="29"/>
  <c r="T2912" i="29"/>
  <c r="F2913" i="29"/>
  <c r="G2913" i="29"/>
  <c r="N2913" i="29"/>
  <c r="P2913" i="29"/>
  <c r="Q2913" i="29"/>
  <c r="F2914" i="29"/>
  <c r="G2914" i="29"/>
  <c r="N2914" i="29"/>
  <c r="P2914" i="29"/>
  <c r="Q2914" i="29"/>
  <c r="F2915" i="29"/>
  <c r="G2915" i="29"/>
  <c r="N2915" i="29"/>
  <c r="P2915" i="29"/>
  <c r="Q2915" i="29"/>
  <c r="F2916" i="29"/>
  <c r="G2916" i="29"/>
  <c r="N2916" i="29"/>
  <c r="P2916" i="29"/>
  <c r="Q2916" i="29"/>
  <c r="T2916" i="29"/>
  <c r="S2916" i="29"/>
  <c r="F2917" i="29"/>
  <c r="G2917" i="29"/>
  <c r="P2917" i="29"/>
  <c r="Q2917" i="29"/>
  <c r="T2917" i="29"/>
  <c r="S2917" i="29"/>
  <c r="F2918" i="29"/>
  <c r="G2918" i="29"/>
  <c r="P2918" i="29"/>
  <c r="Q2918" i="29"/>
  <c r="T2918" i="29"/>
  <c r="S2918" i="29"/>
  <c r="F2919" i="29"/>
  <c r="G2919" i="29"/>
  <c r="P2919" i="29"/>
  <c r="Q2919" i="29"/>
  <c r="T2919" i="29"/>
  <c r="S2919" i="29"/>
  <c r="F2920" i="29"/>
  <c r="G2920" i="29"/>
  <c r="P2920" i="29"/>
  <c r="Q2920" i="29"/>
  <c r="T2920" i="29"/>
  <c r="S2920" i="29"/>
  <c r="F2921" i="29"/>
  <c r="G2921" i="29"/>
  <c r="N2921" i="29"/>
  <c r="P2921" i="29"/>
  <c r="Q2921" i="29"/>
  <c r="T2921" i="29"/>
  <c r="N2922" i="29"/>
  <c r="P2922" i="29"/>
  <c r="Q2922" i="29"/>
  <c r="F2923" i="29"/>
  <c r="G2923" i="29"/>
  <c r="N2923" i="29"/>
  <c r="P2923" i="29"/>
  <c r="Q2923" i="29"/>
  <c r="T2923" i="29"/>
  <c r="S2923" i="29"/>
  <c r="F2924" i="29"/>
  <c r="G2924" i="29"/>
  <c r="N2924" i="29"/>
  <c r="P2924" i="29"/>
  <c r="Q2924" i="29"/>
  <c r="S2924" i="29"/>
  <c r="F2925" i="29"/>
  <c r="G2925" i="29"/>
  <c r="N2925" i="29"/>
  <c r="P2925" i="29"/>
  <c r="Q2925" i="29"/>
  <c r="T2925" i="29"/>
  <c r="F2926" i="29"/>
  <c r="G2926" i="29"/>
  <c r="N2926" i="29"/>
  <c r="P2926" i="29"/>
  <c r="Q2926" i="29"/>
  <c r="T2926" i="29"/>
  <c r="F2927" i="29"/>
  <c r="G2927" i="29"/>
  <c r="N2927" i="29"/>
  <c r="P2927" i="29"/>
  <c r="Q2927" i="29"/>
  <c r="F2928" i="29"/>
  <c r="G2928" i="29"/>
  <c r="N2928" i="29"/>
  <c r="P2928" i="29"/>
  <c r="Q2928" i="29"/>
  <c r="F2929" i="29"/>
  <c r="G2929" i="29"/>
  <c r="N2929" i="29"/>
  <c r="P2929" i="29"/>
  <c r="Q2929" i="29"/>
  <c r="T2929" i="29"/>
  <c r="F2930" i="29"/>
  <c r="G2930" i="29"/>
  <c r="N2930" i="29"/>
  <c r="P2930" i="29"/>
  <c r="Q2930" i="29"/>
  <c r="R2930" i="29"/>
  <c r="F2931" i="29"/>
  <c r="G2931" i="29"/>
  <c r="N2931" i="29"/>
  <c r="P2931" i="29"/>
  <c r="Q2931" i="29"/>
  <c r="T2931" i="29"/>
  <c r="F2932" i="29"/>
  <c r="G2932" i="29"/>
  <c r="N2932" i="29"/>
  <c r="P2932" i="29"/>
  <c r="Q2932" i="29"/>
  <c r="F2933" i="29"/>
  <c r="G2933" i="29"/>
  <c r="N2933" i="29"/>
  <c r="P2933" i="29"/>
  <c r="Q2933" i="29"/>
  <c r="F2934" i="29"/>
  <c r="G2934" i="29"/>
  <c r="N2934" i="29"/>
  <c r="P2934" i="29"/>
  <c r="Q2934" i="29"/>
  <c r="F2935" i="29"/>
  <c r="G2935" i="29"/>
  <c r="N2935" i="29"/>
  <c r="P2935" i="29"/>
  <c r="Q2935" i="29"/>
  <c r="F2936" i="29"/>
  <c r="G2936" i="29"/>
  <c r="N2936" i="29"/>
  <c r="P2936" i="29"/>
  <c r="Q2936" i="29"/>
  <c r="S2936" i="29"/>
  <c r="F2937" i="29"/>
  <c r="G2937" i="29"/>
  <c r="N2937" i="29"/>
  <c r="P2937" i="29"/>
  <c r="Q2937" i="29"/>
  <c r="S2937" i="29"/>
  <c r="F2938" i="29"/>
  <c r="G2938" i="29"/>
  <c r="J2938" i="29"/>
  <c r="N2938" i="29"/>
  <c r="P2938" i="29"/>
  <c r="Q2938" i="29"/>
  <c r="F2939" i="29"/>
  <c r="G2939" i="29"/>
  <c r="N2939" i="29"/>
  <c r="P2939" i="29"/>
  <c r="Q2939" i="29"/>
  <c r="F2940" i="29"/>
  <c r="G2940" i="29"/>
  <c r="N2940" i="29"/>
  <c r="P2940" i="29"/>
  <c r="Q2940" i="29"/>
  <c r="F2941" i="29"/>
  <c r="G2941" i="29"/>
  <c r="N2941" i="29"/>
  <c r="P2941" i="29"/>
  <c r="Q2941" i="29"/>
  <c r="S2941" i="29"/>
  <c r="F2942" i="29"/>
  <c r="G2942" i="29"/>
  <c r="N2942" i="29"/>
  <c r="P2942" i="29"/>
  <c r="Q2942" i="29"/>
  <c r="F2943" i="29"/>
  <c r="G2943" i="29"/>
  <c r="N2943" i="29"/>
  <c r="P2943" i="29"/>
  <c r="Q2943" i="29"/>
  <c r="F2944" i="29"/>
  <c r="G2944" i="29"/>
  <c r="N2944" i="29"/>
  <c r="P2944" i="29"/>
  <c r="Q2944" i="29"/>
  <c r="F2945" i="29"/>
  <c r="G2945" i="29"/>
  <c r="N2945" i="29"/>
  <c r="P2945" i="29"/>
  <c r="Q2945" i="29"/>
  <c r="R2945" i="29"/>
  <c r="F2946" i="29"/>
  <c r="G2946" i="29"/>
  <c r="N2946" i="29"/>
  <c r="P2946" i="29"/>
  <c r="Q2946" i="29"/>
  <c r="R2946" i="29"/>
  <c r="F2947" i="29"/>
  <c r="G2947" i="29"/>
  <c r="N2947" i="29"/>
  <c r="P2947" i="29"/>
  <c r="Q2947" i="29"/>
  <c r="R2947" i="29"/>
  <c r="F2948" i="29"/>
  <c r="G2948" i="29"/>
  <c r="N2948" i="29"/>
  <c r="P2948" i="29"/>
  <c r="Q2948" i="29"/>
  <c r="R2948" i="29"/>
  <c r="F2949" i="29"/>
  <c r="G2949" i="29"/>
  <c r="N2949" i="29"/>
  <c r="P2949" i="29"/>
  <c r="Q2949" i="29"/>
  <c r="R2949" i="29"/>
  <c r="F2950" i="29"/>
  <c r="G2950" i="29"/>
  <c r="N2950" i="29"/>
  <c r="P2950" i="29"/>
  <c r="Q2950" i="29"/>
  <c r="F2951" i="29"/>
  <c r="G2951" i="29"/>
  <c r="N2951" i="29"/>
  <c r="P2951" i="29"/>
  <c r="Q2951" i="29"/>
  <c r="F2952" i="29"/>
  <c r="G2952" i="29"/>
  <c r="N2952" i="29"/>
  <c r="P2952" i="29"/>
  <c r="Q2952" i="29"/>
  <c r="F2953" i="29"/>
  <c r="G2953" i="29"/>
  <c r="N2953" i="29"/>
  <c r="P2953" i="29"/>
  <c r="Q2953" i="29"/>
  <c r="F2954" i="29"/>
  <c r="G2954" i="29"/>
  <c r="N2954" i="29"/>
  <c r="P2954" i="29"/>
  <c r="Q2954" i="29"/>
  <c r="T2954" i="29"/>
  <c r="F2955" i="29"/>
  <c r="G2955" i="29"/>
  <c r="N2955" i="29"/>
  <c r="P2955" i="29"/>
  <c r="Q2955" i="29"/>
  <c r="F2956" i="29"/>
  <c r="G2956" i="29"/>
  <c r="N2956" i="29"/>
  <c r="P2956" i="29"/>
  <c r="Q2956" i="29"/>
  <c r="F2957" i="29"/>
  <c r="G2957" i="29"/>
  <c r="N2957" i="29"/>
  <c r="P2957" i="29"/>
  <c r="Q2957" i="29"/>
  <c r="S2957" i="29"/>
  <c r="F2958" i="29"/>
  <c r="G2958" i="29"/>
  <c r="N2958" i="29"/>
  <c r="P2958" i="29"/>
  <c r="Q2958" i="29"/>
  <c r="T2958" i="29"/>
  <c r="F2959" i="29"/>
  <c r="G2959" i="29"/>
  <c r="N2959" i="29"/>
  <c r="P2959" i="29"/>
  <c r="Q2959" i="29"/>
  <c r="S2959" i="29"/>
  <c r="F2960" i="29"/>
  <c r="G2960" i="29"/>
  <c r="N2960" i="29"/>
  <c r="P2960" i="29"/>
  <c r="Q2960" i="29"/>
  <c r="T2960" i="29"/>
  <c r="F2961" i="29"/>
  <c r="G2961" i="29"/>
  <c r="N2961" i="29"/>
  <c r="P2961" i="29"/>
  <c r="Q2961" i="29"/>
  <c r="F2962" i="29"/>
  <c r="G2962" i="29"/>
  <c r="P2962" i="29"/>
  <c r="Q2962" i="29"/>
  <c r="F2963" i="29"/>
  <c r="G2963" i="29"/>
  <c r="N2963" i="29"/>
  <c r="P2963" i="29"/>
  <c r="Q2963" i="29"/>
  <c r="F2964" i="29"/>
  <c r="G2964" i="29"/>
  <c r="N2964" i="29"/>
  <c r="P2964" i="29"/>
  <c r="Q2964" i="29"/>
  <c r="S2964" i="29"/>
  <c r="F2965" i="29"/>
  <c r="G2965" i="29"/>
  <c r="N2965" i="29"/>
  <c r="P2965" i="29"/>
  <c r="Q2965" i="29"/>
  <c r="F2966" i="29"/>
  <c r="G2966" i="29"/>
  <c r="N2966" i="29"/>
  <c r="P2966" i="29"/>
  <c r="Q2966" i="29"/>
  <c r="T2966" i="29"/>
  <c r="F2967" i="29"/>
  <c r="G2967" i="29"/>
  <c r="N2967" i="29"/>
  <c r="P2967" i="29"/>
  <c r="S2967" i="29"/>
  <c r="T2967" i="29"/>
  <c r="N2968" i="29"/>
  <c r="W2968" i="29"/>
  <c r="F2969" i="29"/>
  <c r="G2969" i="29"/>
  <c r="N2969" i="29"/>
  <c r="P2969" i="29"/>
  <c r="Q2969" i="29"/>
  <c r="T2969" i="29"/>
  <c r="R2969" i="29"/>
  <c r="F2970" i="29"/>
  <c r="G2970" i="29"/>
  <c r="P2970" i="29"/>
  <c r="Q2970" i="29"/>
  <c r="F2971" i="29"/>
  <c r="G2971" i="29"/>
  <c r="N2971" i="29"/>
  <c r="P2971" i="29"/>
  <c r="Q2971" i="29"/>
  <c r="F2972" i="29"/>
  <c r="G2972" i="29"/>
  <c r="N2972" i="29"/>
  <c r="P2972" i="29"/>
  <c r="Q2972" i="29"/>
  <c r="T2972" i="29"/>
  <c r="F2973" i="29"/>
  <c r="G2973" i="29"/>
  <c r="N2973" i="29"/>
  <c r="P2973" i="29"/>
  <c r="Q2973" i="29"/>
  <c r="S2973" i="29"/>
  <c r="F2974" i="29"/>
  <c r="G2974" i="29"/>
  <c r="N2974" i="29"/>
  <c r="P2974" i="29"/>
  <c r="Q2974" i="29"/>
  <c r="F2975" i="29"/>
  <c r="G2975" i="29"/>
  <c r="J2975" i="29"/>
  <c r="N2975" i="29"/>
  <c r="P2975" i="29"/>
  <c r="Q2975" i="29"/>
  <c r="S2975" i="29"/>
  <c r="F2976" i="29"/>
  <c r="G2976" i="29"/>
  <c r="N2976" i="29"/>
  <c r="P2976" i="29"/>
  <c r="Q2976" i="29"/>
  <c r="F2977" i="29"/>
  <c r="G2977" i="29"/>
  <c r="N2977" i="29"/>
  <c r="P2977" i="29"/>
  <c r="Q2977" i="29"/>
  <c r="F2978" i="29"/>
  <c r="G2978" i="29"/>
  <c r="N2978" i="29"/>
  <c r="P2978" i="29"/>
  <c r="Q2978" i="29"/>
  <c r="S2978" i="29"/>
  <c r="F2979" i="29"/>
  <c r="G2979" i="29"/>
  <c r="N2979" i="29"/>
  <c r="P2979" i="29"/>
  <c r="Q2979" i="29"/>
  <c r="F2980" i="29"/>
  <c r="G2980" i="29"/>
  <c r="N2980" i="29"/>
  <c r="P2980" i="29"/>
  <c r="Q2980" i="29"/>
  <c r="F2981" i="29"/>
  <c r="G2981" i="29"/>
  <c r="N2981" i="29"/>
  <c r="P2981" i="29"/>
  <c r="Q2981" i="29"/>
  <c r="F2982" i="29"/>
  <c r="G2982" i="29"/>
  <c r="N2982" i="29"/>
  <c r="P2982" i="29"/>
  <c r="Q2982" i="29"/>
  <c r="S2982" i="29"/>
  <c r="F2983" i="29"/>
  <c r="G2983" i="29"/>
  <c r="N2983" i="29"/>
  <c r="P2983" i="29"/>
  <c r="Q2983" i="29"/>
  <c r="F2984" i="29"/>
  <c r="G2984" i="29"/>
  <c r="N2984" i="29"/>
  <c r="P2984" i="29"/>
  <c r="Q2984" i="29"/>
  <c r="F2985" i="29"/>
  <c r="G2985" i="29"/>
  <c r="N2985" i="29"/>
  <c r="P2985" i="29"/>
  <c r="Q2985" i="29"/>
  <c r="F2986" i="29"/>
  <c r="G2986" i="29"/>
  <c r="J2986" i="29"/>
  <c r="N2986" i="29"/>
  <c r="P2986" i="29"/>
  <c r="R2986" i="29"/>
  <c r="Q2986" i="29"/>
  <c r="F2987" i="29"/>
  <c r="G2987" i="29"/>
  <c r="N2987" i="29"/>
  <c r="P2987" i="29"/>
  <c r="Q2987" i="29"/>
  <c r="F2988" i="29"/>
  <c r="G2988" i="29"/>
  <c r="N2988" i="29"/>
  <c r="P2988" i="29"/>
  <c r="Q2988" i="29"/>
  <c r="F2989" i="29"/>
  <c r="G2989" i="29"/>
  <c r="N2989" i="29"/>
  <c r="P2989" i="29"/>
  <c r="Q2989" i="29"/>
  <c r="F2990" i="29"/>
  <c r="G2990" i="29"/>
  <c r="N2990" i="29"/>
  <c r="P2990" i="29"/>
  <c r="Q2990" i="29"/>
  <c r="F2991" i="29"/>
  <c r="G2991" i="29"/>
  <c r="N2991" i="29"/>
  <c r="P2991" i="29"/>
  <c r="Q2991" i="29"/>
  <c r="F2992" i="29"/>
  <c r="G2992" i="29"/>
  <c r="N2992" i="29"/>
  <c r="P2992" i="29"/>
  <c r="Q2992" i="29"/>
  <c r="T2992" i="29"/>
  <c r="F2993" i="29"/>
  <c r="G2993" i="29"/>
  <c r="N2993" i="29"/>
  <c r="P2993" i="29"/>
  <c r="Q2993" i="29"/>
  <c r="F2994" i="29"/>
  <c r="G2994" i="29"/>
  <c r="N2994" i="29"/>
  <c r="P2994" i="29"/>
  <c r="Q2994" i="29"/>
  <c r="F2995" i="29"/>
  <c r="G2995" i="29"/>
  <c r="N2995" i="29"/>
  <c r="P2995" i="29"/>
  <c r="Q2995" i="29"/>
  <c r="S2995" i="29"/>
  <c r="F2996" i="29"/>
  <c r="G2996" i="29"/>
  <c r="N2996" i="29"/>
  <c r="P2996" i="29"/>
  <c r="Q2996" i="29"/>
  <c r="F2997" i="29"/>
  <c r="G2997" i="29"/>
  <c r="N2997" i="29"/>
  <c r="P2997" i="29"/>
  <c r="Q2997" i="29"/>
  <c r="F2998" i="29"/>
  <c r="G2998" i="29"/>
  <c r="J2998" i="29"/>
  <c r="N2998" i="29"/>
  <c r="P2998" i="29"/>
  <c r="Q2998" i="29"/>
  <c r="F2999" i="29"/>
  <c r="G2999" i="29"/>
  <c r="N2999" i="29"/>
  <c r="P2999" i="29"/>
  <c r="Q2999" i="29"/>
  <c r="F3000" i="29"/>
  <c r="G3000" i="29"/>
  <c r="N3000" i="29"/>
  <c r="P3000" i="29"/>
  <c r="Q3000" i="29"/>
  <c r="F3001" i="29"/>
  <c r="G3001" i="29"/>
  <c r="N3001" i="29"/>
  <c r="P3001" i="29"/>
  <c r="Q3001" i="29"/>
  <c r="F3002" i="29"/>
  <c r="G3002" i="29"/>
  <c r="N3002" i="29"/>
  <c r="P3002" i="29"/>
  <c r="Q3002" i="29"/>
  <c r="F3003" i="29"/>
  <c r="G3003" i="29"/>
  <c r="N3003" i="29"/>
  <c r="P3003" i="29"/>
  <c r="Q3003" i="29"/>
  <c r="R3003" i="29"/>
  <c r="F3004" i="29"/>
  <c r="G3004" i="29"/>
  <c r="N3004" i="29"/>
  <c r="P3004" i="29"/>
  <c r="Q3004" i="29"/>
  <c r="S3004" i="29"/>
  <c r="F3005" i="29"/>
  <c r="G3005" i="29"/>
  <c r="N3005" i="29"/>
  <c r="P3005" i="29"/>
  <c r="Q3005" i="29"/>
  <c r="F3006" i="29"/>
  <c r="G3006" i="29"/>
  <c r="N3006" i="29"/>
  <c r="P3006" i="29"/>
  <c r="Q3006" i="29"/>
  <c r="F3007" i="29"/>
  <c r="G3007" i="29"/>
  <c r="N3007" i="29"/>
  <c r="P3007" i="29"/>
  <c r="Q3007" i="29"/>
  <c r="F3008" i="29"/>
  <c r="G3008" i="29"/>
  <c r="N3008" i="29"/>
  <c r="P3008" i="29"/>
  <c r="Q3008" i="29"/>
  <c r="F3009" i="29"/>
  <c r="G3009" i="29"/>
  <c r="N3009" i="29"/>
  <c r="P3009" i="29"/>
  <c r="Q3009" i="29"/>
  <c r="F3010" i="29"/>
  <c r="G3010" i="29"/>
  <c r="N3010" i="29"/>
  <c r="P3010" i="29"/>
  <c r="Q3010" i="29"/>
  <c r="R3010" i="29"/>
  <c r="F3011" i="29"/>
  <c r="G3011" i="29"/>
  <c r="N3011" i="29"/>
  <c r="P3011" i="29"/>
  <c r="Q3011" i="29"/>
  <c r="F3012" i="29"/>
  <c r="G3012" i="29"/>
  <c r="P3012" i="29"/>
  <c r="Q3012" i="29"/>
  <c r="F3013" i="29"/>
  <c r="G3013" i="29"/>
  <c r="N3013" i="29"/>
  <c r="P3013" i="29"/>
  <c r="Q3013" i="29"/>
  <c r="F3014" i="29"/>
  <c r="G3014" i="29"/>
  <c r="N3014" i="29"/>
  <c r="P3014" i="29"/>
  <c r="Q3014" i="29"/>
  <c r="N3015" i="29"/>
  <c r="P3015" i="29"/>
  <c r="Q3015" i="29"/>
  <c r="F3016" i="29"/>
  <c r="G3016" i="29"/>
  <c r="N3016" i="29"/>
  <c r="P3016" i="29"/>
  <c r="Q3016" i="29"/>
  <c r="T3016" i="29"/>
  <c r="F3017" i="29"/>
  <c r="G3017" i="29"/>
  <c r="P3017" i="29"/>
  <c r="Q3017" i="29"/>
  <c r="F3018" i="29"/>
  <c r="G3018" i="29"/>
  <c r="N3018" i="29"/>
  <c r="P3018" i="29"/>
  <c r="Q3018" i="29"/>
  <c r="F3019" i="29"/>
  <c r="G3019" i="29"/>
  <c r="N3019" i="29"/>
  <c r="P3019" i="29"/>
  <c r="Q3019" i="29"/>
  <c r="R3019" i="29"/>
  <c r="F3020" i="29"/>
  <c r="G3020" i="29"/>
  <c r="N3020" i="29"/>
  <c r="P3020" i="29"/>
  <c r="Q3020" i="29"/>
  <c r="R3020" i="29"/>
  <c r="F3021" i="29"/>
  <c r="G3021" i="29"/>
  <c r="N3021" i="29"/>
  <c r="P3021" i="29"/>
  <c r="Q3021" i="29"/>
  <c r="R3021" i="29"/>
  <c r="F3022" i="29"/>
  <c r="G3022" i="29"/>
  <c r="N3022" i="29"/>
  <c r="P3022" i="29"/>
  <c r="Q3022" i="29"/>
  <c r="R3022" i="29"/>
  <c r="F3023" i="29"/>
  <c r="G3023" i="29"/>
  <c r="N3023" i="29"/>
  <c r="P3023" i="29"/>
  <c r="Q3023" i="29"/>
  <c r="R3023" i="29"/>
  <c r="F3024" i="29"/>
  <c r="G3024" i="29"/>
  <c r="N3024" i="29"/>
  <c r="P3024" i="29"/>
  <c r="Q3024" i="29"/>
  <c r="F3025" i="29"/>
  <c r="G3025" i="29"/>
  <c r="N3025" i="29"/>
  <c r="P3025" i="29"/>
  <c r="Q3025" i="29"/>
  <c r="S3025" i="29"/>
  <c r="F3026" i="29"/>
  <c r="G3026" i="29"/>
  <c r="N3026" i="29"/>
  <c r="P3026" i="29"/>
  <c r="Q3026" i="29"/>
  <c r="T3026" i="29"/>
  <c r="F3027" i="29"/>
  <c r="G3027" i="29"/>
  <c r="N3027" i="29"/>
  <c r="P3027" i="29"/>
  <c r="Q3027" i="29"/>
  <c r="F3028" i="29"/>
  <c r="G3028" i="29"/>
  <c r="N3028" i="29"/>
  <c r="P3028" i="29"/>
  <c r="Q3028" i="29"/>
  <c r="T3028" i="29"/>
  <c r="F3029" i="29"/>
  <c r="G3029" i="29"/>
  <c r="N3029" i="29"/>
  <c r="P3029" i="29"/>
  <c r="Q3029" i="29"/>
  <c r="S3029" i="29"/>
  <c r="F3030" i="29"/>
  <c r="G3030" i="29"/>
  <c r="N3030" i="29"/>
  <c r="P3030" i="29"/>
  <c r="Q3030" i="29"/>
  <c r="F3031" i="29"/>
  <c r="G3031" i="29"/>
  <c r="N3031" i="29"/>
  <c r="P3031" i="29"/>
  <c r="Q3031" i="29"/>
  <c r="F3032" i="29"/>
  <c r="G3032" i="29"/>
  <c r="N3032" i="29"/>
  <c r="P3032" i="29"/>
  <c r="Q3032" i="29"/>
  <c r="T3032" i="29"/>
  <c r="F3033" i="29"/>
  <c r="G3033" i="29"/>
  <c r="N3033" i="29"/>
  <c r="P3033" i="29"/>
  <c r="Q3033" i="29"/>
  <c r="F3034" i="29"/>
  <c r="G3034" i="29"/>
  <c r="N3034" i="29"/>
  <c r="P3034" i="29"/>
  <c r="Q3034" i="29"/>
  <c r="T3034" i="29"/>
  <c r="N3035" i="29"/>
  <c r="W3035" i="29"/>
  <c r="F3036" i="29"/>
  <c r="G3036" i="29"/>
  <c r="N3036" i="29"/>
  <c r="P3036" i="29"/>
  <c r="Q3036" i="29"/>
  <c r="F3037" i="29"/>
  <c r="G3037" i="29"/>
  <c r="N3037" i="29"/>
  <c r="P3037" i="29"/>
  <c r="Q3037" i="29"/>
  <c r="F3038" i="29"/>
  <c r="G3038" i="29"/>
  <c r="N3038" i="29"/>
  <c r="P3038" i="29"/>
  <c r="Q3038" i="29"/>
  <c r="F3039" i="29"/>
  <c r="G3039" i="29"/>
  <c r="N3039" i="29"/>
  <c r="P3039" i="29"/>
  <c r="Q3039" i="29"/>
  <c r="F3040" i="29"/>
  <c r="G3040" i="29"/>
  <c r="N3040" i="29"/>
  <c r="P3040" i="29"/>
  <c r="Q3040" i="29"/>
  <c r="F3041" i="29"/>
  <c r="G3041" i="29"/>
  <c r="N3041" i="29"/>
  <c r="P3041" i="29"/>
  <c r="Q3041" i="29"/>
  <c r="S3041" i="29"/>
  <c r="F3042" i="29"/>
  <c r="G3042" i="29"/>
  <c r="N3042" i="29"/>
  <c r="P3042" i="29"/>
  <c r="Q3042" i="29"/>
  <c r="F3043" i="29"/>
  <c r="G3043" i="29"/>
  <c r="N3043" i="29"/>
  <c r="P3043" i="29"/>
  <c r="Q3043" i="29"/>
  <c r="F3044" i="29"/>
  <c r="G3044" i="29"/>
  <c r="N3044" i="29"/>
  <c r="P3044" i="29"/>
  <c r="Q3044" i="29"/>
  <c r="T3044" i="29"/>
  <c r="F3045" i="29"/>
  <c r="G3045" i="29"/>
  <c r="N3045" i="29"/>
  <c r="P3045" i="29"/>
  <c r="Q3045" i="29"/>
  <c r="S3045" i="29"/>
  <c r="F3046" i="29"/>
  <c r="G3046" i="29"/>
  <c r="N3046" i="29"/>
  <c r="P3046" i="29"/>
  <c r="Q3046" i="29"/>
  <c r="S3046" i="29"/>
  <c r="F3047" i="29"/>
  <c r="G3047" i="29"/>
  <c r="N3047" i="29"/>
  <c r="P3047" i="29"/>
  <c r="Q3047" i="29"/>
  <c r="F3048" i="29"/>
  <c r="G3048" i="29"/>
  <c r="N3048" i="29"/>
  <c r="P3048" i="29"/>
  <c r="Q3048" i="29"/>
  <c r="T3048" i="29"/>
  <c r="F3049" i="29"/>
  <c r="G3049" i="29"/>
  <c r="N3049" i="29"/>
  <c r="P3049" i="29"/>
  <c r="Q3049" i="29"/>
  <c r="F3050" i="29"/>
  <c r="G3050" i="29"/>
  <c r="N3050" i="29"/>
  <c r="P3050" i="29"/>
  <c r="Q3050" i="29"/>
  <c r="F3051" i="29"/>
  <c r="G3051" i="29"/>
  <c r="N3051" i="29"/>
  <c r="P3051" i="29"/>
  <c r="Q3051" i="29"/>
  <c r="F3052" i="29"/>
  <c r="G3052" i="29"/>
  <c r="N3052" i="29"/>
  <c r="P3052" i="29"/>
  <c r="Q3052" i="29"/>
  <c r="T3052" i="29"/>
  <c r="F3053" i="29"/>
  <c r="G3053" i="29"/>
  <c r="N3053" i="29"/>
  <c r="P3053" i="29"/>
  <c r="Q3053" i="29"/>
  <c r="F3054" i="29"/>
  <c r="G3054" i="29"/>
  <c r="N3054" i="29"/>
  <c r="P3054" i="29"/>
  <c r="Q3054" i="29"/>
  <c r="S3054" i="29"/>
  <c r="F3055" i="29"/>
  <c r="G3055" i="29"/>
  <c r="N3055" i="29"/>
  <c r="P3055" i="29"/>
  <c r="Q3055" i="29"/>
  <c r="F3056" i="29"/>
  <c r="G3056" i="29"/>
  <c r="N3056" i="29"/>
  <c r="P3056" i="29"/>
  <c r="Q3056" i="29"/>
  <c r="F3057" i="29"/>
  <c r="G3057" i="29"/>
  <c r="N3057" i="29"/>
  <c r="P3057" i="29"/>
  <c r="Q3057" i="29"/>
  <c r="F3058" i="29"/>
  <c r="G3058" i="29"/>
  <c r="N3058" i="29"/>
  <c r="P3058" i="29"/>
  <c r="Q3058" i="29"/>
  <c r="F3059" i="29"/>
  <c r="G3059" i="29"/>
  <c r="N3059" i="29"/>
  <c r="P3059" i="29"/>
  <c r="Q3059" i="29"/>
  <c r="F3060" i="29"/>
  <c r="G3060" i="29"/>
  <c r="N3060" i="29"/>
  <c r="P3060" i="29"/>
  <c r="Q3060" i="29"/>
  <c r="F3061" i="29"/>
  <c r="G3061" i="29"/>
  <c r="N3061" i="29"/>
  <c r="P3061" i="29"/>
  <c r="Q3061" i="29"/>
  <c r="N3062" i="29"/>
  <c r="P3062" i="29"/>
  <c r="Q3062" i="29"/>
  <c r="S3062" i="29"/>
  <c r="F3063" i="29"/>
  <c r="G3063" i="29"/>
  <c r="N3063" i="29"/>
  <c r="P3063" i="29"/>
  <c r="Q3063" i="29"/>
  <c r="F3064" i="29"/>
  <c r="G3064" i="29"/>
  <c r="N3064" i="29"/>
  <c r="P3064" i="29"/>
  <c r="Q3064" i="29"/>
  <c r="F3065" i="29"/>
  <c r="G3065" i="29"/>
  <c r="N3065" i="29"/>
  <c r="P3065" i="29"/>
  <c r="Q3065" i="29"/>
  <c r="F3066" i="29"/>
  <c r="G3066" i="29"/>
  <c r="N3066" i="29"/>
  <c r="P3066" i="29"/>
  <c r="Q3066" i="29"/>
  <c r="F3067" i="29"/>
  <c r="G3067" i="29"/>
  <c r="N3067" i="29"/>
  <c r="P3067" i="29"/>
  <c r="Q3067" i="29"/>
  <c r="F3068" i="29"/>
  <c r="G3068" i="29"/>
  <c r="N3068" i="29"/>
  <c r="P3068" i="29"/>
  <c r="Q3068" i="29"/>
  <c r="F3069" i="29"/>
  <c r="G3069" i="29"/>
  <c r="N3069" i="29"/>
  <c r="P3069" i="29"/>
  <c r="Q3069" i="29"/>
  <c r="T3069" i="29"/>
  <c r="F3070" i="29"/>
  <c r="G3070" i="29"/>
  <c r="N3070" i="29"/>
  <c r="P3070" i="29"/>
  <c r="Q3070" i="29"/>
  <c r="T3070" i="29"/>
  <c r="F3071" i="29"/>
  <c r="G3071" i="29"/>
  <c r="N3071" i="29"/>
  <c r="P3071" i="29"/>
  <c r="Q3071" i="29"/>
  <c r="T3071" i="29"/>
  <c r="F3072" i="29"/>
  <c r="G3072" i="29"/>
  <c r="N3072" i="29"/>
  <c r="P3072" i="29"/>
  <c r="Q3072" i="29"/>
  <c r="S3072" i="29"/>
  <c r="F3073" i="29"/>
  <c r="G3073" i="29"/>
  <c r="N3073" i="29"/>
  <c r="P3073" i="29"/>
  <c r="Q3073" i="29"/>
  <c r="F3074" i="29"/>
  <c r="G3074" i="29"/>
  <c r="N3074" i="29"/>
  <c r="P3074" i="29"/>
  <c r="Q3074" i="29"/>
  <c r="T3074" i="29"/>
  <c r="F3075" i="29"/>
  <c r="G3075" i="29"/>
  <c r="N3075" i="29"/>
  <c r="P3075" i="29"/>
  <c r="Q3075" i="29"/>
  <c r="F3076" i="29"/>
  <c r="G3076" i="29"/>
  <c r="N3076" i="29"/>
  <c r="P3076" i="29"/>
  <c r="Q3076" i="29"/>
  <c r="S3076" i="29"/>
  <c r="F3077" i="29"/>
  <c r="G3077" i="29"/>
  <c r="N3077" i="29"/>
  <c r="P3077" i="29"/>
  <c r="Q3077" i="29"/>
  <c r="F3078" i="29"/>
  <c r="G3078" i="29"/>
  <c r="N3078" i="29"/>
  <c r="P3078" i="29"/>
  <c r="Q3078" i="29"/>
  <c r="T3078" i="29"/>
  <c r="F3079" i="29"/>
  <c r="G3079" i="29"/>
  <c r="N3079" i="29"/>
  <c r="P3079" i="29"/>
  <c r="Q3079" i="29"/>
  <c r="F3080" i="29"/>
  <c r="G3080" i="29"/>
  <c r="N3080" i="29"/>
  <c r="P3080" i="29"/>
  <c r="Q3080" i="29"/>
  <c r="F3081" i="29"/>
  <c r="G3081" i="29"/>
  <c r="N3081" i="29"/>
  <c r="P3081" i="29"/>
  <c r="Q3081" i="29"/>
  <c r="T3081" i="29"/>
  <c r="F3082" i="29"/>
  <c r="G3082" i="29"/>
  <c r="N3082" i="29"/>
  <c r="P3082" i="29"/>
  <c r="Q3082" i="29"/>
  <c r="F3083" i="29"/>
  <c r="G3083" i="29"/>
  <c r="N3083" i="29"/>
  <c r="P3083" i="29"/>
  <c r="Q3083" i="29"/>
  <c r="T3083" i="29"/>
  <c r="F3084" i="29"/>
  <c r="G3084" i="29"/>
  <c r="N3084" i="29"/>
  <c r="P3084" i="29"/>
  <c r="Q3084" i="29"/>
  <c r="N3085" i="29"/>
  <c r="P3085" i="29"/>
  <c r="Q3085" i="29"/>
  <c r="S3085" i="29"/>
  <c r="F3086" i="29"/>
  <c r="G3086" i="29"/>
  <c r="N3086" i="29"/>
  <c r="P3086" i="29"/>
  <c r="Q3086" i="29"/>
  <c r="F3087" i="29"/>
  <c r="G3087" i="29"/>
  <c r="N3087" i="29"/>
  <c r="P3087" i="29"/>
  <c r="Q3087" i="29"/>
  <c r="F3088" i="29"/>
  <c r="G3088" i="29"/>
  <c r="N3088" i="29"/>
  <c r="P3088" i="29"/>
  <c r="Q3088" i="29"/>
  <c r="F3089" i="29"/>
  <c r="G3089" i="29"/>
  <c r="N3089" i="29"/>
  <c r="P3089" i="29"/>
  <c r="Q3089" i="29"/>
  <c r="R3089" i="29"/>
  <c r="F3090" i="29"/>
  <c r="G3090" i="29"/>
  <c r="N3090" i="29"/>
  <c r="P3090" i="29"/>
  <c r="Q3090" i="29"/>
  <c r="R3090" i="29"/>
  <c r="F3091" i="29"/>
  <c r="G3091" i="29"/>
  <c r="N3091" i="29"/>
  <c r="P3091" i="29"/>
  <c r="Q3091" i="29"/>
  <c r="R3091" i="29"/>
  <c r="F3092" i="29"/>
  <c r="G3092" i="29"/>
  <c r="N3092" i="29"/>
  <c r="P3092" i="29"/>
  <c r="Q3092" i="29"/>
  <c r="R3092" i="29"/>
  <c r="F3093" i="29"/>
  <c r="G3093" i="29"/>
  <c r="N3093" i="29"/>
  <c r="P3093" i="29"/>
  <c r="Q3093" i="29"/>
  <c r="R3093" i="29"/>
  <c r="F3094" i="29"/>
  <c r="G3094" i="29"/>
  <c r="N3094" i="29"/>
  <c r="P3094" i="29"/>
  <c r="Q3094" i="29"/>
  <c r="F3095" i="29"/>
  <c r="G3095" i="29"/>
  <c r="N3095" i="29"/>
  <c r="P3095" i="29"/>
  <c r="Q3095" i="29"/>
  <c r="F3096" i="29"/>
  <c r="G3096" i="29"/>
  <c r="N3096" i="29"/>
  <c r="P3096" i="29"/>
  <c r="Q3096" i="29"/>
  <c r="F3097" i="29"/>
  <c r="G3097" i="29"/>
  <c r="N3097" i="29"/>
  <c r="P3097" i="29"/>
  <c r="Q3097" i="29"/>
  <c r="F3098" i="29"/>
  <c r="G3098" i="29"/>
  <c r="N3098" i="29"/>
  <c r="P3098" i="29"/>
  <c r="Q3098" i="29"/>
  <c r="F3099" i="29"/>
  <c r="G3099" i="29"/>
  <c r="N3099" i="29"/>
  <c r="P3099" i="29"/>
  <c r="Q3099" i="29"/>
  <c r="T3099" i="29"/>
  <c r="F3100" i="29"/>
  <c r="G3100" i="29"/>
  <c r="N3100" i="29"/>
  <c r="P3100" i="29"/>
  <c r="Q3100" i="29"/>
  <c r="T3100" i="29"/>
  <c r="F3101" i="29"/>
  <c r="G3101" i="29"/>
  <c r="N3101" i="29"/>
  <c r="P3101" i="29"/>
  <c r="Q3101" i="29"/>
  <c r="F3102" i="29"/>
  <c r="G3102" i="29"/>
  <c r="N3102" i="29"/>
  <c r="P3102" i="29"/>
  <c r="Q3102" i="29"/>
  <c r="F3103" i="29"/>
  <c r="G3103" i="29"/>
  <c r="N3103" i="29"/>
  <c r="P3103" i="29"/>
  <c r="Q3103" i="29"/>
  <c r="F3104" i="29"/>
  <c r="G3104" i="29"/>
  <c r="N3104" i="29"/>
  <c r="P3104" i="29"/>
  <c r="Q3104" i="29"/>
  <c r="F3105" i="29"/>
  <c r="G3105" i="29"/>
  <c r="N3105" i="29"/>
  <c r="P3105" i="29"/>
  <c r="Q3105" i="29"/>
  <c r="N3106" i="29"/>
  <c r="W3106" i="29"/>
  <c r="F3107" i="29"/>
  <c r="G3107" i="29"/>
  <c r="N3107" i="29"/>
  <c r="P3107" i="29"/>
  <c r="Q3107" i="29"/>
  <c r="F3108" i="29"/>
  <c r="G3108" i="29"/>
  <c r="N3108" i="29"/>
  <c r="P3108" i="29"/>
  <c r="Q3108" i="29"/>
  <c r="F3109" i="29"/>
  <c r="G3109" i="29"/>
  <c r="N3109" i="29"/>
  <c r="P3109" i="29"/>
  <c r="Q3109" i="29"/>
  <c r="F3110" i="29"/>
  <c r="G3110" i="29"/>
  <c r="N3110" i="29"/>
  <c r="P3110" i="29"/>
  <c r="Q3110" i="29"/>
  <c r="T3110" i="29"/>
  <c r="F3111" i="29"/>
  <c r="G3111" i="29"/>
  <c r="N3111" i="29"/>
  <c r="P3111" i="29"/>
  <c r="Q3111" i="29"/>
  <c r="F3112" i="29"/>
  <c r="G3112" i="29"/>
  <c r="J3112" i="29"/>
  <c r="N3112" i="29"/>
  <c r="P3112" i="29"/>
  <c r="Q3112" i="29"/>
  <c r="T3112" i="29"/>
  <c r="S3112" i="29"/>
  <c r="F3113" i="29"/>
  <c r="G3113" i="29"/>
  <c r="N3113" i="29"/>
  <c r="P3113" i="29"/>
  <c r="Q3113" i="29"/>
  <c r="T3113" i="29"/>
  <c r="S3113" i="29"/>
  <c r="F3114" i="29"/>
  <c r="G3114" i="29"/>
  <c r="N3114" i="29"/>
  <c r="P3114" i="29"/>
  <c r="Q3114" i="29"/>
  <c r="F3115" i="29"/>
  <c r="G3115" i="29"/>
  <c r="N3115" i="29"/>
  <c r="P3115" i="29"/>
  <c r="Q3115" i="29"/>
  <c r="F3116" i="29"/>
  <c r="G3116" i="29"/>
  <c r="N3116" i="29"/>
  <c r="P3116" i="29"/>
  <c r="Q3116" i="29"/>
  <c r="S3116" i="29"/>
  <c r="F3117" i="29"/>
  <c r="G3117" i="29"/>
  <c r="N3117" i="29"/>
  <c r="P3117" i="29"/>
  <c r="Q3117" i="29"/>
  <c r="F3118" i="29"/>
  <c r="G3118" i="29"/>
  <c r="N3118" i="29"/>
  <c r="P3118" i="29"/>
  <c r="Q3118" i="29"/>
  <c r="F3119" i="29"/>
  <c r="G3119" i="29"/>
  <c r="N3119" i="29"/>
  <c r="P3119" i="29"/>
  <c r="Q3119" i="29"/>
  <c r="F3120" i="29"/>
  <c r="G3120" i="29"/>
  <c r="N3120" i="29"/>
  <c r="P3120" i="29"/>
  <c r="Q3120" i="29"/>
  <c r="F3121" i="29"/>
  <c r="G3121" i="29"/>
  <c r="N3121" i="29"/>
  <c r="P3121" i="29"/>
  <c r="Q3121" i="29"/>
  <c r="F3122" i="29"/>
  <c r="G3122" i="29"/>
  <c r="N3122" i="29"/>
  <c r="P3122" i="29"/>
  <c r="Q3122" i="29"/>
  <c r="F3123" i="29"/>
  <c r="G3123" i="29"/>
  <c r="N3123" i="29"/>
  <c r="P3123" i="29"/>
  <c r="Q3123" i="29"/>
  <c r="F3124" i="29"/>
  <c r="G3124" i="29"/>
  <c r="J3124" i="29"/>
  <c r="N3124" i="29"/>
  <c r="P3124" i="29"/>
  <c r="Q3124" i="29"/>
  <c r="F3125" i="29"/>
  <c r="G3125" i="29"/>
  <c r="N3125" i="29"/>
  <c r="P3125" i="29"/>
  <c r="R3125" i="29"/>
  <c r="Q3125" i="29"/>
  <c r="F3126" i="29"/>
  <c r="G3126" i="29"/>
  <c r="N3126" i="29"/>
  <c r="P3126" i="29"/>
  <c r="Q3126" i="29"/>
  <c r="F3127" i="29"/>
  <c r="G3127" i="29"/>
  <c r="N3127" i="29"/>
  <c r="P3127" i="29"/>
  <c r="Q3127" i="29"/>
  <c r="T3127" i="29"/>
  <c r="F3128" i="29"/>
  <c r="G3128" i="29"/>
  <c r="N3128" i="29"/>
  <c r="P3128" i="29"/>
  <c r="R3128" i="29"/>
  <c r="Q3128" i="29"/>
  <c r="F3129" i="29"/>
  <c r="G3129" i="29"/>
  <c r="N3129" i="29"/>
  <c r="P3129" i="29"/>
  <c r="R3129" i="29"/>
  <c r="Q3129" i="29"/>
  <c r="F3130" i="29"/>
  <c r="G3130" i="29"/>
  <c r="N3130" i="29"/>
  <c r="P3130" i="29"/>
  <c r="Q3130" i="29"/>
  <c r="F3131" i="29"/>
  <c r="G3131" i="29"/>
  <c r="N3131" i="29"/>
  <c r="P3131" i="29"/>
  <c r="Q3131" i="29"/>
  <c r="T3131" i="29"/>
  <c r="F3132" i="29"/>
  <c r="G3132" i="29"/>
  <c r="J3132" i="29"/>
  <c r="N3132" i="29"/>
  <c r="P3132" i="29"/>
  <c r="Q3132" i="29"/>
  <c r="F3133" i="29"/>
  <c r="G3133" i="29"/>
  <c r="N3133" i="29"/>
  <c r="P3133" i="29"/>
  <c r="Q3133" i="29"/>
  <c r="F3134" i="29"/>
  <c r="G3134" i="29"/>
  <c r="J3134" i="29"/>
  <c r="N3134" i="29"/>
  <c r="P3134" i="29"/>
  <c r="Q3134" i="29"/>
  <c r="T3134" i="29"/>
  <c r="F3135" i="29"/>
  <c r="G3135" i="29"/>
  <c r="N3135" i="29"/>
  <c r="P3135" i="29"/>
  <c r="Q3135" i="29"/>
  <c r="F3136" i="29"/>
  <c r="G3136" i="29"/>
  <c r="N3136" i="29"/>
  <c r="P3136" i="29"/>
  <c r="Q3136" i="29"/>
  <c r="F3137" i="29"/>
  <c r="G3137" i="29"/>
  <c r="N3137" i="29"/>
  <c r="P3137" i="29"/>
  <c r="Q3137" i="29"/>
  <c r="T3137" i="29"/>
  <c r="F3138" i="29"/>
  <c r="G3138" i="29"/>
  <c r="N3138" i="29"/>
  <c r="P3138" i="29"/>
  <c r="Q3138" i="29"/>
  <c r="F3139" i="29"/>
  <c r="G3139" i="29"/>
  <c r="N3139" i="29"/>
  <c r="P3139" i="29"/>
  <c r="Q3139" i="29"/>
  <c r="F3140" i="29"/>
  <c r="G3140" i="29"/>
  <c r="N3140" i="29"/>
  <c r="P3140" i="29"/>
  <c r="Q3140" i="29"/>
  <c r="F3141" i="29"/>
  <c r="G3141" i="29"/>
  <c r="N3141" i="29"/>
  <c r="P3141" i="29"/>
  <c r="Q3141" i="29"/>
  <c r="S3141" i="29"/>
  <c r="F3142" i="29"/>
  <c r="G3142" i="29"/>
  <c r="N3142" i="29"/>
  <c r="P3142" i="29"/>
  <c r="Q3142" i="29"/>
  <c r="F3143" i="29"/>
  <c r="G3143" i="29"/>
  <c r="N3143" i="29"/>
  <c r="P3143" i="29"/>
  <c r="Q3143" i="29"/>
  <c r="F3144" i="29"/>
  <c r="G3144" i="29"/>
  <c r="N3144" i="29"/>
  <c r="P3144" i="29"/>
  <c r="Q3144" i="29"/>
  <c r="F3145" i="29"/>
  <c r="G3145" i="29"/>
  <c r="N3145" i="29"/>
  <c r="P3145" i="29"/>
  <c r="Q3145" i="29"/>
  <c r="F3146" i="29"/>
  <c r="G3146" i="29"/>
  <c r="N3146" i="29"/>
  <c r="P3146" i="29"/>
  <c r="Q3146" i="29"/>
  <c r="F3147" i="29"/>
  <c r="G3147" i="29"/>
  <c r="N3147" i="29"/>
  <c r="P3147" i="29"/>
  <c r="Q3147" i="29"/>
  <c r="S3147" i="29"/>
  <c r="F3148" i="29"/>
  <c r="G3148" i="29"/>
  <c r="N3148" i="29"/>
  <c r="P3148" i="29"/>
  <c r="Q3148" i="29"/>
  <c r="S3148" i="29"/>
  <c r="F3149" i="29"/>
  <c r="G3149" i="29"/>
  <c r="N3149" i="29"/>
  <c r="P3149" i="29"/>
  <c r="Q3149" i="29"/>
  <c r="F3150" i="29"/>
  <c r="G3150" i="29"/>
  <c r="J3150" i="29"/>
  <c r="N3150" i="29"/>
  <c r="P3150" i="29"/>
  <c r="Q3150" i="29"/>
  <c r="F3151" i="29"/>
  <c r="G3151" i="29"/>
  <c r="N3151" i="29"/>
  <c r="P3151" i="29"/>
  <c r="Q3151" i="29"/>
  <c r="F3152" i="29"/>
  <c r="G3152" i="29"/>
  <c r="N3152" i="29"/>
  <c r="P3152" i="29"/>
  <c r="Q3152" i="29"/>
  <c r="S3152" i="29"/>
  <c r="F3153" i="29"/>
  <c r="G3153" i="29"/>
  <c r="N3153" i="29"/>
  <c r="P3153" i="29"/>
  <c r="Q3153" i="29"/>
  <c r="F3154" i="29"/>
  <c r="G3154" i="29"/>
  <c r="N3154" i="29"/>
  <c r="P3154" i="29"/>
  <c r="Q3154" i="29"/>
  <c r="F3155" i="29"/>
  <c r="G3155" i="29"/>
  <c r="N3155" i="29"/>
  <c r="P3155" i="29"/>
  <c r="Q3155" i="29"/>
  <c r="S3155" i="29"/>
  <c r="F3156" i="29"/>
  <c r="G3156" i="29"/>
  <c r="N3156" i="29"/>
  <c r="P3156" i="29"/>
  <c r="Q3156" i="29"/>
  <c r="F3157" i="29"/>
  <c r="G3157" i="29"/>
  <c r="N3157" i="29"/>
  <c r="P3157" i="29"/>
  <c r="Q3157" i="29"/>
  <c r="F3158" i="29"/>
  <c r="G3158" i="29"/>
  <c r="N3158" i="29"/>
  <c r="P3158" i="29"/>
  <c r="Q3158" i="29"/>
  <c r="F3159" i="29"/>
  <c r="G3159" i="29"/>
  <c r="N3159" i="29"/>
  <c r="P3159" i="29"/>
  <c r="Q3159" i="29"/>
  <c r="R3159" i="29"/>
  <c r="F3160" i="29"/>
  <c r="G3160" i="29"/>
  <c r="N3160" i="29"/>
  <c r="P3160" i="29"/>
  <c r="Q3160" i="29"/>
  <c r="R3160" i="29"/>
  <c r="F3161" i="29"/>
  <c r="G3161" i="29"/>
  <c r="N3161" i="29"/>
  <c r="P3161" i="29"/>
  <c r="Q3161" i="29"/>
  <c r="R3161" i="29"/>
  <c r="F3162" i="29"/>
  <c r="G3162" i="29"/>
  <c r="N3162" i="29"/>
  <c r="P3162" i="29"/>
  <c r="Q3162" i="29"/>
  <c r="R3162" i="29"/>
  <c r="F3163" i="29"/>
  <c r="G3163" i="29"/>
  <c r="N3163" i="29"/>
  <c r="P3163" i="29"/>
  <c r="Q3163" i="29"/>
  <c r="R3163" i="29"/>
  <c r="F3164" i="29"/>
  <c r="G3164" i="29"/>
  <c r="N3164" i="29"/>
  <c r="P3164" i="29"/>
  <c r="Q3164" i="29"/>
  <c r="F3165" i="29"/>
  <c r="G3165" i="29"/>
  <c r="N3165" i="29"/>
  <c r="P3165" i="29"/>
  <c r="Q3165" i="29"/>
  <c r="F3166" i="29"/>
  <c r="G3166" i="29"/>
  <c r="N3166" i="29"/>
  <c r="P3166" i="29"/>
  <c r="Q3166" i="29"/>
  <c r="F3167" i="29"/>
  <c r="G3167" i="29"/>
  <c r="N3167" i="29"/>
  <c r="P3167" i="29"/>
  <c r="Q3167" i="29"/>
  <c r="F3168" i="29"/>
  <c r="G3168" i="29"/>
  <c r="N3168" i="29"/>
  <c r="P3168" i="29"/>
  <c r="Q3168" i="29"/>
  <c r="S3168" i="29"/>
  <c r="F3169" i="29"/>
  <c r="G3169" i="29"/>
  <c r="N3169" i="29"/>
  <c r="P3169" i="29"/>
  <c r="Q3169" i="29"/>
  <c r="F3170" i="29"/>
  <c r="G3170" i="29"/>
  <c r="N3170" i="29"/>
  <c r="P3170" i="29"/>
  <c r="Q3170" i="29"/>
  <c r="F3171" i="29"/>
  <c r="G3171" i="29"/>
  <c r="N3171" i="29"/>
  <c r="P3171" i="29"/>
  <c r="Q3171" i="29"/>
  <c r="F3172" i="29"/>
  <c r="G3172" i="29"/>
  <c r="N3172" i="29"/>
  <c r="P3172" i="29"/>
  <c r="Q3172" i="29"/>
  <c r="F3173" i="29"/>
  <c r="G3173" i="29"/>
  <c r="N3173" i="29"/>
  <c r="P3173" i="29"/>
  <c r="Q3173" i="29"/>
  <c r="S3173" i="29"/>
  <c r="F3174" i="29"/>
  <c r="G3174" i="29"/>
  <c r="N3174" i="29"/>
  <c r="P3174" i="29"/>
  <c r="Q3174" i="29"/>
  <c r="F3175" i="29"/>
  <c r="G3175" i="29"/>
  <c r="N3175" i="29"/>
  <c r="P3175" i="29"/>
  <c r="Q3175" i="29"/>
  <c r="R3175" i="29"/>
  <c r="F3176" i="29"/>
  <c r="G3176" i="29"/>
  <c r="N3176" i="29"/>
  <c r="P3176" i="29"/>
  <c r="Q3176" i="29"/>
  <c r="R3176" i="29"/>
  <c r="F3177" i="29"/>
  <c r="G3177" i="29"/>
  <c r="N3177" i="29"/>
  <c r="P3177" i="29"/>
  <c r="Q3177" i="29"/>
  <c r="N3178" i="29"/>
  <c r="W3178" i="29"/>
  <c r="F3179" i="29"/>
  <c r="G3179" i="29"/>
  <c r="N3179" i="29"/>
  <c r="P3179" i="29"/>
  <c r="Q3179" i="29"/>
  <c r="F3180" i="29"/>
  <c r="G3180" i="29"/>
  <c r="N3180" i="29"/>
  <c r="P3180" i="29"/>
  <c r="Q3180" i="29"/>
  <c r="S3180" i="29"/>
  <c r="F3181" i="29"/>
  <c r="G3181" i="29"/>
  <c r="N3181" i="29"/>
  <c r="P3181" i="29"/>
  <c r="Q3181" i="29"/>
  <c r="S3181" i="29"/>
  <c r="R3181" i="29"/>
  <c r="F3182" i="29"/>
  <c r="G3182" i="29"/>
  <c r="N3182" i="29"/>
  <c r="P3182" i="29"/>
  <c r="Q3182" i="29"/>
  <c r="F3183" i="29"/>
  <c r="G3183" i="29"/>
  <c r="N3183" i="29"/>
  <c r="P3183" i="29"/>
  <c r="Q3183" i="29"/>
  <c r="F3184" i="29"/>
  <c r="G3184" i="29"/>
  <c r="N3184" i="29"/>
  <c r="P3184" i="29"/>
  <c r="Q3184" i="29"/>
  <c r="S3184" i="29"/>
  <c r="F3185" i="29"/>
  <c r="N3185" i="29"/>
  <c r="P3185" i="29"/>
  <c r="S3185" i="29"/>
  <c r="T3185" i="29"/>
  <c r="J3185" i="29"/>
  <c r="F3186" i="29"/>
  <c r="G3186" i="29"/>
  <c r="N3186" i="29"/>
  <c r="P3186" i="29"/>
  <c r="Q3186" i="29"/>
  <c r="F3187" i="29"/>
  <c r="G3187" i="29"/>
  <c r="N3187" i="29"/>
  <c r="P3187" i="29"/>
  <c r="Q3187" i="29"/>
  <c r="F3188" i="29"/>
  <c r="G3188" i="29"/>
  <c r="N3188" i="29"/>
  <c r="P3188" i="29"/>
  <c r="Q3188" i="29"/>
  <c r="S3188" i="29"/>
  <c r="F3189" i="29"/>
  <c r="G3189" i="29"/>
  <c r="N3189" i="29"/>
  <c r="P3189" i="29"/>
  <c r="Q3189" i="29"/>
  <c r="S3189" i="29"/>
  <c r="F3190" i="29"/>
  <c r="G3190" i="29"/>
  <c r="N3190" i="29"/>
  <c r="P3190" i="29"/>
  <c r="Q3190" i="29"/>
  <c r="F3191" i="29"/>
  <c r="G3191" i="29"/>
  <c r="N3191" i="29"/>
  <c r="P3191" i="29"/>
  <c r="Q3191" i="29"/>
  <c r="T3191" i="29"/>
  <c r="F3192" i="29"/>
  <c r="G3192" i="29"/>
  <c r="N3192" i="29"/>
  <c r="P3192" i="29"/>
  <c r="Q3192" i="29"/>
  <c r="T3192" i="29"/>
  <c r="F3193" i="29"/>
  <c r="G3193" i="29"/>
  <c r="N3193" i="29"/>
  <c r="P3193" i="29"/>
  <c r="Q3193" i="29"/>
  <c r="F3194" i="29"/>
  <c r="G3194" i="29"/>
  <c r="N3194" i="29"/>
  <c r="P3194" i="29"/>
  <c r="Q3194" i="29"/>
  <c r="F3195" i="29"/>
  <c r="G3195" i="29"/>
  <c r="N3195" i="29"/>
  <c r="P3195" i="29"/>
  <c r="Q3195" i="29"/>
  <c r="F3196" i="29"/>
  <c r="G3196" i="29"/>
  <c r="N3196" i="29"/>
  <c r="P3196" i="29"/>
  <c r="Q3196" i="29"/>
  <c r="F3197" i="29"/>
  <c r="G3197" i="29"/>
  <c r="N3197" i="29"/>
  <c r="P3197" i="29"/>
  <c r="Q3197" i="29"/>
  <c r="S3197" i="29"/>
  <c r="F3198" i="29"/>
  <c r="G3198" i="29"/>
  <c r="N3198" i="29"/>
  <c r="P3198" i="29"/>
  <c r="Q3198" i="29"/>
  <c r="S3198" i="29"/>
  <c r="F3199" i="29"/>
  <c r="G3199" i="29"/>
  <c r="N3199" i="29"/>
  <c r="P3199" i="29"/>
  <c r="Q3199" i="29"/>
  <c r="F3200" i="29"/>
  <c r="G3200" i="29"/>
  <c r="N3200" i="29"/>
  <c r="P3200" i="29"/>
  <c r="Q3200" i="29"/>
  <c r="F3201" i="29"/>
  <c r="G3201" i="29"/>
  <c r="N3201" i="29"/>
  <c r="P3201" i="29"/>
  <c r="Q3201" i="29"/>
  <c r="T3201" i="29"/>
  <c r="R3201" i="29"/>
  <c r="N3202" i="29"/>
  <c r="P3202" i="29"/>
  <c r="Q3202" i="29"/>
  <c r="N3203" i="29"/>
  <c r="P3203" i="29"/>
  <c r="Q3203" i="29"/>
  <c r="F3204" i="29"/>
  <c r="G3204" i="29"/>
  <c r="N3204" i="29"/>
  <c r="P3204" i="29"/>
  <c r="Q3204" i="29"/>
  <c r="F3205" i="29"/>
  <c r="G3205" i="29"/>
  <c r="N3205" i="29"/>
  <c r="P3205" i="29"/>
  <c r="Q3205" i="29"/>
  <c r="T3205" i="29"/>
  <c r="F3206" i="29"/>
  <c r="G3206" i="29"/>
  <c r="N3206" i="29"/>
  <c r="P3206" i="29"/>
  <c r="Q3206" i="29"/>
  <c r="S3206" i="29"/>
  <c r="F3207" i="29"/>
  <c r="G3207" i="29"/>
  <c r="N3207" i="29"/>
  <c r="P3207" i="29"/>
  <c r="Q3207" i="29"/>
  <c r="F3208" i="29"/>
  <c r="G3208" i="29"/>
  <c r="N3208" i="29"/>
  <c r="P3208" i="29"/>
  <c r="Q3208" i="29"/>
  <c r="S3208" i="29"/>
  <c r="F3209" i="29"/>
  <c r="G3209" i="29"/>
  <c r="N3209" i="29"/>
  <c r="P3209" i="29"/>
  <c r="Q3209" i="29"/>
  <c r="F3210" i="29"/>
  <c r="G3210" i="29"/>
  <c r="N3210" i="29"/>
  <c r="P3210" i="29"/>
  <c r="Q3210" i="29"/>
  <c r="T3210" i="29"/>
  <c r="F3211" i="29"/>
  <c r="G3211" i="29"/>
  <c r="N3211" i="29"/>
  <c r="P3211" i="29"/>
  <c r="Q3211" i="29"/>
  <c r="F3212" i="29"/>
  <c r="G3212" i="29"/>
  <c r="N3212" i="29"/>
  <c r="P3212" i="29"/>
  <c r="Q3212" i="29"/>
  <c r="S3212" i="29"/>
  <c r="F3213" i="29"/>
  <c r="G3213" i="29"/>
  <c r="N3213" i="29"/>
  <c r="P3213" i="29"/>
  <c r="R3213" i="29"/>
  <c r="Q3213" i="29"/>
  <c r="F3214" i="29"/>
  <c r="G3214" i="29"/>
  <c r="N3214" i="29"/>
  <c r="P3214" i="29"/>
  <c r="R3214" i="29"/>
  <c r="Q3214" i="29"/>
  <c r="F3215" i="29"/>
  <c r="G3215" i="29"/>
  <c r="N3215" i="29"/>
  <c r="P3215" i="29"/>
  <c r="Q3215" i="29"/>
  <c r="F3216" i="29"/>
  <c r="G3216" i="29"/>
  <c r="N3216" i="29"/>
  <c r="P3216" i="29"/>
  <c r="Q3216" i="29"/>
  <c r="F3217" i="29"/>
  <c r="G3217" i="29"/>
  <c r="N3217" i="29"/>
  <c r="P3217" i="29"/>
  <c r="Q3217" i="29"/>
  <c r="S3217" i="29"/>
  <c r="F3218" i="29"/>
  <c r="G3218" i="29"/>
  <c r="N3218" i="29"/>
  <c r="P3218" i="29"/>
  <c r="Q3218" i="29"/>
  <c r="S3218" i="29"/>
  <c r="F3219" i="29"/>
  <c r="G3219" i="29"/>
  <c r="N3219" i="29"/>
  <c r="P3219" i="29"/>
  <c r="Q3219" i="29"/>
  <c r="F3220" i="29"/>
  <c r="G3220" i="29"/>
  <c r="N3220" i="29"/>
  <c r="P3220" i="29"/>
  <c r="Q3220" i="29"/>
  <c r="R3220" i="29"/>
  <c r="F3221" i="29"/>
  <c r="G3221" i="29"/>
  <c r="N3221" i="29"/>
  <c r="P3221" i="29"/>
  <c r="Q3221" i="29"/>
  <c r="R3221" i="29"/>
  <c r="F3222" i="29"/>
  <c r="G3222" i="29"/>
  <c r="N3222" i="29"/>
  <c r="P3222" i="29"/>
  <c r="Q3222" i="29"/>
  <c r="R3222" i="29"/>
  <c r="F3223" i="29"/>
  <c r="G3223" i="29"/>
  <c r="N3223" i="29"/>
  <c r="P3223" i="29"/>
  <c r="Q3223" i="29"/>
  <c r="R3223" i="29"/>
  <c r="F3224" i="29"/>
  <c r="G3224" i="29"/>
  <c r="N3224" i="29"/>
  <c r="P3224" i="29"/>
  <c r="Q3224" i="29"/>
  <c r="R3224" i="29"/>
  <c r="F3225" i="29"/>
  <c r="G3225" i="29"/>
  <c r="N3225" i="29"/>
  <c r="P3225" i="29"/>
  <c r="Q3225" i="29"/>
  <c r="F3226" i="29"/>
  <c r="G3226" i="29"/>
  <c r="N3226" i="29"/>
  <c r="P3226" i="29"/>
  <c r="Q3226" i="29"/>
  <c r="F3227" i="29"/>
  <c r="G3227" i="29"/>
  <c r="N3227" i="29"/>
  <c r="P3227" i="29"/>
  <c r="Q3227" i="29"/>
  <c r="T3227" i="29"/>
  <c r="F3228" i="29"/>
  <c r="G3228" i="29"/>
  <c r="N3228" i="29"/>
  <c r="P3228" i="29"/>
  <c r="Q3228" i="29"/>
  <c r="F3229" i="29"/>
  <c r="G3229" i="29"/>
  <c r="N3229" i="29"/>
  <c r="P3229" i="29"/>
  <c r="Q3229" i="29"/>
  <c r="S3229" i="29"/>
  <c r="F3230" i="29"/>
  <c r="G3230" i="29"/>
  <c r="N3230" i="29"/>
  <c r="P3230" i="29"/>
  <c r="Q3230" i="29"/>
  <c r="S3230" i="29"/>
  <c r="F3231" i="29"/>
  <c r="G3231" i="29"/>
  <c r="N3231" i="29"/>
  <c r="P3231" i="29"/>
  <c r="Q3231" i="29"/>
  <c r="F3232" i="29"/>
  <c r="G3232" i="29"/>
  <c r="N3232" i="29"/>
  <c r="P3232" i="29"/>
  <c r="Q3232" i="29"/>
  <c r="F3233" i="29"/>
  <c r="G3233" i="29"/>
  <c r="N3233" i="29"/>
  <c r="P3233" i="29"/>
  <c r="Q3233" i="29"/>
  <c r="T3233" i="29"/>
  <c r="F3234" i="29"/>
  <c r="G3234" i="29"/>
  <c r="N3234" i="29"/>
  <c r="P3234" i="29"/>
  <c r="Q3234" i="29"/>
  <c r="F3235" i="29"/>
  <c r="G3235" i="29"/>
  <c r="N3235" i="29"/>
  <c r="P3235" i="29"/>
  <c r="Q3235" i="29"/>
  <c r="R3235" i="29"/>
  <c r="E3236" i="29"/>
  <c r="J3236" i="29"/>
  <c r="U3236" i="29"/>
  <c r="N3236" i="29"/>
  <c r="P3236" i="29"/>
  <c r="Q3236" i="29"/>
  <c r="T3236" i="29"/>
  <c r="N3237" i="29"/>
  <c r="W3237" i="29"/>
  <c r="F3238" i="29"/>
  <c r="G3238" i="29"/>
  <c r="N3238" i="29"/>
  <c r="P3238" i="29"/>
  <c r="Q3238" i="29"/>
  <c r="F3239" i="29"/>
  <c r="G3239" i="29"/>
  <c r="N3239" i="29"/>
  <c r="P3239" i="29"/>
  <c r="Q3239" i="29"/>
  <c r="F3240" i="29"/>
  <c r="G3240" i="29"/>
  <c r="N3240" i="29"/>
  <c r="P3240" i="29"/>
  <c r="Q3240" i="29"/>
  <c r="F3241" i="29"/>
  <c r="G3241" i="29"/>
  <c r="N3241" i="29"/>
  <c r="P3241" i="29"/>
  <c r="Q3241" i="29"/>
  <c r="F3242" i="29"/>
  <c r="G3242" i="29"/>
  <c r="N3242" i="29"/>
  <c r="P3242" i="29"/>
  <c r="Q3242" i="29"/>
  <c r="F3243" i="29"/>
  <c r="G3243" i="29"/>
  <c r="N3243" i="29"/>
  <c r="P3243" i="29"/>
  <c r="Q3243" i="29"/>
  <c r="T3243" i="29"/>
  <c r="F3244" i="29"/>
  <c r="G3244" i="29"/>
  <c r="N3244" i="29"/>
  <c r="P3244" i="29"/>
  <c r="Q3244" i="29"/>
  <c r="F3245" i="29"/>
  <c r="G3245" i="29"/>
  <c r="N3245" i="29"/>
  <c r="P3245" i="29"/>
  <c r="Q3245" i="29"/>
  <c r="F3246" i="29"/>
  <c r="G3246" i="29"/>
  <c r="N3246" i="29"/>
  <c r="P3246" i="29"/>
  <c r="Q3246" i="29"/>
  <c r="F3247" i="29"/>
  <c r="G3247" i="29"/>
  <c r="N3247" i="29"/>
  <c r="P3247" i="29"/>
  <c r="Q3247" i="29"/>
  <c r="S3247" i="29"/>
  <c r="F3248" i="29"/>
  <c r="G3248" i="29"/>
  <c r="N3248" i="29"/>
  <c r="P3248" i="29"/>
  <c r="Q3248" i="29"/>
  <c r="F3249" i="29"/>
  <c r="G3249" i="29"/>
  <c r="N3249" i="29"/>
  <c r="P3249" i="29"/>
  <c r="Q3249" i="29"/>
  <c r="F3250" i="29"/>
  <c r="G3250" i="29"/>
  <c r="N3250" i="29"/>
  <c r="P3250" i="29"/>
  <c r="Q3250" i="29"/>
  <c r="F3251" i="29"/>
  <c r="G3251" i="29"/>
  <c r="N3251" i="29"/>
  <c r="P3251" i="29"/>
  <c r="Q3251" i="29"/>
  <c r="S3251" i="29"/>
  <c r="F3252" i="29"/>
  <c r="G3252" i="29"/>
  <c r="N3252" i="29"/>
  <c r="P3252" i="29"/>
  <c r="Q3252" i="29"/>
  <c r="F3253" i="29"/>
  <c r="G3253" i="29"/>
  <c r="N3253" i="29"/>
  <c r="P3253" i="29"/>
  <c r="Q3253" i="29"/>
  <c r="F3254" i="29"/>
  <c r="G3254" i="29"/>
  <c r="N3254" i="29"/>
  <c r="P3254" i="29"/>
  <c r="Q3254" i="29"/>
  <c r="S3254" i="29"/>
  <c r="F3255" i="29"/>
  <c r="G3255" i="29"/>
  <c r="J3255" i="29"/>
  <c r="N3255" i="29"/>
  <c r="P3255" i="29"/>
  <c r="R3255" i="29"/>
  <c r="Q3255" i="29"/>
  <c r="F3256" i="29"/>
  <c r="G3256" i="29"/>
  <c r="N3256" i="29"/>
  <c r="P3256" i="29"/>
  <c r="Q3256" i="29"/>
  <c r="S3256" i="29"/>
  <c r="U3256" i="29"/>
  <c r="F3257" i="29"/>
  <c r="G3257" i="29"/>
  <c r="N3257" i="29"/>
  <c r="P3257" i="29"/>
  <c r="Q3257" i="29"/>
  <c r="F3258" i="29"/>
  <c r="G3258" i="29"/>
  <c r="N3258" i="29"/>
  <c r="P3258" i="29"/>
  <c r="Q3258" i="29"/>
  <c r="F3259" i="29"/>
  <c r="G3259" i="29"/>
  <c r="N3259" i="29"/>
  <c r="P3259" i="29"/>
  <c r="Q3259" i="29"/>
  <c r="F3260" i="29"/>
  <c r="G3260" i="29"/>
  <c r="N3260" i="29"/>
  <c r="P3260" i="29"/>
  <c r="Q3260" i="29"/>
  <c r="F3261" i="29"/>
  <c r="G3261" i="29"/>
  <c r="N3261" i="29"/>
  <c r="P3261" i="29"/>
  <c r="Q3261" i="29"/>
  <c r="F3262" i="29"/>
  <c r="G3262" i="29"/>
  <c r="N3262" i="29"/>
  <c r="P3262" i="29"/>
  <c r="Q3262" i="29"/>
  <c r="F3263" i="29"/>
  <c r="G3263" i="29"/>
  <c r="J3263" i="29"/>
  <c r="N3263" i="29"/>
  <c r="P3263" i="29"/>
  <c r="Q3263" i="29"/>
  <c r="F3264" i="29"/>
  <c r="G3264" i="29"/>
  <c r="N3264" i="29"/>
  <c r="P3264" i="29"/>
  <c r="Q3264" i="29"/>
  <c r="F3265" i="29"/>
  <c r="G3265" i="29"/>
  <c r="N3265" i="29"/>
  <c r="P3265" i="29"/>
  <c r="Q3265" i="29"/>
  <c r="T3265" i="29"/>
  <c r="F3266" i="29"/>
  <c r="G3266" i="29"/>
  <c r="N3266" i="29"/>
  <c r="P3266" i="29"/>
  <c r="Q3266" i="29"/>
  <c r="F3267" i="29"/>
  <c r="G3267" i="29"/>
  <c r="N3267" i="29"/>
  <c r="P3267" i="29"/>
  <c r="Q3267" i="29"/>
  <c r="F3268" i="29"/>
  <c r="G3268" i="29"/>
  <c r="N3268" i="29"/>
  <c r="P3268" i="29"/>
  <c r="Q3268" i="29"/>
  <c r="F3269" i="29"/>
  <c r="G3269" i="29"/>
  <c r="N3269" i="29"/>
  <c r="P3269" i="29"/>
  <c r="Q3269" i="29"/>
  <c r="U3269" i="29"/>
  <c r="F3270" i="29"/>
  <c r="G3270" i="29"/>
  <c r="N3270" i="29"/>
  <c r="P3270" i="29"/>
  <c r="Q3270" i="29"/>
  <c r="T3270" i="29"/>
  <c r="F3271" i="29"/>
  <c r="G3271" i="29"/>
  <c r="N3271" i="29"/>
  <c r="P3271" i="29"/>
  <c r="Q3271" i="29"/>
  <c r="S3271" i="29"/>
  <c r="F3272" i="29"/>
  <c r="G3272" i="29"/>
  <c r="N3272" i="29"/>
  <c r="P3272" i="29"/>
  <c r="R3272" i="29"/>
  <c r="Q3272" i="29"/>
  <c r="F3273" i="29"/>
  <c r="G3273" i="29"/>
  <c r="N3273" i="29"/>
  <c r="P3273" i="29"/>
  <c r="R3273" i="29"/>
  <c r="Q3273" i="29"/>
  <c r="F3274" i="29"/>
  <c r="G3274" i="29"/>
  <c r="N3274" i="29"/>
  <c r="P3274" i="29"/>
  <c r="Q3274" i="29"/>
  <c r="F3275" i="29"/>
  <c r="G3275" i="29"/>
  <c r="N3275" i="29"/>
  <c r="P3275" i="29"/>
  <c r="Q3275" i="29"/>
  <c r="F3276" i="29"/>
  <c r="G3276" i="29"/>
  <c r="N3276" i="29"/>
  <c r="P3276" i="29"/>
  <c r="Q3276" i="29"/>
  <c r="F3277" i="29"/>
  <c r="G3277" i="29"/>
  <c r="N3277" i="29"/>
  <c r="P3277" i="29"/>
  <c r="Q3277" i="29"/>
  <c r="S3277" i="29"/>
  <c r="F3278" i="29"/>
  <c r="G3278" i="29"/>
  <c r="N3278" i="29"/>
  <c r="P3278" i="29"/>
  <c r="Q3278" i="29"/>
  <c r="F3279" i="29"/>
  <c r="G3279" i="29"/>
  <c r="N3279" i="29"/>
  <c r="P3279" i="29"/>
  <c r="Q3279" i="29"/>
  <c r="F3280" i="29"/>
  <c r="G3280" i="29"/>
  <c r="N3280" i="29"/>
  <c r="P3280" i="29"/>
  <c r="Q3280" i="29"/>
  <c r="F3281" i="29"/>
  <c r="G3281" i="29"/>
  <c r="N3281" i="29"/>
  <c r="P3281" i="29"/>
  <c r="Q3281" i="29"/>
  <c r="F3282" i="29"/>
  <c r="G3282" i="29"/>
  <c r="N3282" i="29"/>
  <c r="P3282" i="29"/>
  <c r="Q3282" i="29"/>
  <c r="S3282" i="29"/>
  <c r="F3283" i="29"/>
  <c r="G3283" i="29"/>
  <c r="N3283" i="29"/>
  <c r="P3283" i="29"/>
  <c r="Q3283" i="29"/>
  <c r="F3284" i="29"/>
  <c r="G3284" i="29"/>
  <c r="N3284" i="29"/>
  <c r="P3284" i="29"/>
  <c r="Q3284" i="29"/>
  <c r="F3285" i="29"/>
  <c r="G3285" i="29"/>
  <c r="N3285" i="29"/>
  <c r="P3285" i="29"/>
  <c r="Q3285" i="29"/>
  <c r="U3285" i="29"/>
  <c r="F3286" i="29"/>
  <c r="G3286" i="29"/>
  <c r="N3286" i="29"/>
  <c r="P3286" i="29"/>
  <c r="Q3286" i="29"/>
  <c r="F3287" i="29"/>
  <c r="G3287" i="29"/>
  <c r="N3287" i="29"/>
  <c r="P3287" i="29"/>
  <c r="Q3287" i="29"/>
  <c r="S3287" i="29"/>
  <c r="F3288" i="29"/>
  <c r="G3288" i="29"/>
  <c r="N3288" i="29"/>
  <c r="P3288" i="29"/>
  <c r="Q3288" i="29"/>
  <c r="F3289" i="29"/>
  <c r="G3289" i="29"/>
  <c r="N3289" i="29"/>
  <c r="P3289" i="29"/>
  <c r="Q3289" i="29"/>
  <c r="F3290" i="29"/>
  <c r="G3290" i="29"/>
  <c r="N3290" i="29"/>
  <c r="P3290" i="29"/>
  <c r="Q3290" i="29"/>
  <c r="S3290" i="29"/>
  <c r="F3291" i="29"/>
  <c r="G3291" i="29"/>
  <c r="N3291" i="29"/>
  <c r="P3291" i="29"/>
  <c r="Q3291" i="29"/>
  <c r="S3291" i="29"/>
  <c r="F3292" i="29"/>
  <c r="G3292" i="29"/>
  <c r="N3292" i="29"/>
  <c r="P3292" i="29"/>
  <c r="Q3292" i="29"/>
  <c r="R3292" i="29"/>
  <c r="F3293" i="29"/>
  <c r="G3293" i="29"/>
  <c r="N3293" i="29"/>
  <c r="P3293" i="29"/>
  <c r="Q3293" i="29"/>
  <c r="R3293" i="29"/>
  <c r="F3294" i="29"/>
  <c r="G3294" i="29"/>
  <c r="N3294" i="29"/>
  <c r="P3294" i="29"/>
  <c r="Q3294" i="29"/>
  <c r="R3294" i="29"/>
  <c r="F3295" i="29"/>
  <c r="G3295" i="29"/>
  <c r="N3295" i="29"/>
  <c r="P3295" i="29"/>
  <c r="Q3295" i="29"/>
  <c r="R3295" i="29"/>
  <c r="F3296" i="29"/>
  <c r="G3296" i="29"/>
  <c r="N3296" i="29"/>
  <c r="P3296" i="29"/>
  <c r="Q3296" i="29"/>
  <c r="R3296" i="29"/>
  <c r="F3297" i="29"/>
  <c r="G3297" i="29"/>
  <c r="N3297" i="29"/>
  <c r="P3297" i="29"/>
  <c r="Q3297" i="29"/>
  <c r="T3297" i="29"/>
  <c r="F3298" i="29"/>
  <c r="G3298" i="29"/>
  <c r="N3298" i="29"/>
  <c r="P3298" i="29"/>
  <c r="Q3298" i="29"/>
  <c r="F3299" i="29"/>
  <c r="G3299" i="29"/>
  <c r="N3299" i="29"/>
  <c r="P3299" i="29"/>
  <c r="Q3299" i="29"/>
  <c r="T3299" i="29"/>
  <c r="F3300" i="29"/>
  <c r="G3300" i="29"/>
  <c r="N3300" i="29"/>
  <c r="P3300" i="29"/>
  <c r="Q3300" i="29"/>
  <c r="F3301" i="29"/>
  <c r="G3301" i="29"/>
  <c r="N3301" i="29"/>
  <c r="P3301" i="29"/>
  <c r="Q3301" i="29"/>
  <c r="T3301" i="29"/>
  <c r="F3302" i="29"/>
  <c r="G3302" i="29"/>
  <c r="N3302" i="29"/>
  <c r="P3302" i="29"/>
  <c r="Q3302" i="29"/>
  <c r="S3302" i="29"/>
  <c r="F3303" i="29"/>
  <c r="G3303" i="29"/>
  <c r="N3303" i="29"/>
  <c r="P3303" i="29"/>
  <c r="Q3303" i="29"/>
  <c r="F3304" i="29"/>
  <c r="G3304" i="29"/>
  <c r="N3304" i="29"/>
  <c r="P3304" i="29"/>
  <c r="Q3304" i="29"/>
  <c r="F3305" i="29"/>
  <c r="G3305" i="29"/>
  <c r="N3305" i="29"/>
  <c r="P3305" i="29"/>
  <c r="Q3305" i="29"/>
  <c r="S3305" i="29"/>
  <c r="F3306" i="29"/>
  <c r="G3306" i="29"/>
  <c r="N3306" i="29"/>
  <c r="P3306" i="29"/>
  <c r="Q3306" i="29"/>
  <c r="F3307" i="29"/>
  <c r="G3307" i="29"/>
  <c r="N3307" i="29"/>
  <c r="P3307" i="29"/>
  <c r="Q3307" i="29"/>
  <c r="N3308" i="29"/>
  <c r="W3308" i="29"/>
  <c r="F3309" i="29"/>
  <c r="G3309" i="29"/>
  <c r="N3309" i="29"/>
  <c r="P3309" i="29"/>
  <c r="Q3309" i="29"/>
  <c r="F3310" i="29"/>
  <c r="G3310" i="29"/>
  <c r="N3310" i="29"/>
  <c r="P3310" i="29"/>
  <c r="Q3310" i="29"/>
  <c r="F3311" i="29"/>
  <c r="G3311" i="29"/>
  <c r="N3311" i="29"/>
  <c r="P3311" i="29"/>
  <c r="Q3311" i="29"/>
  <c r="F3312" i="29"/>
  <c r="G3312" i="29"/>
  <c r="N3312" i="29"/>
  <c r="P3312" i="29"/>
  <c r="Q3312" i="29"/>
  <c r="T3312" i="29"/>
  <c r="F3313" i="29"/>
  <c r="G3313" i="29"/>
  <c r="N3313" i="29"/>
  <c r="P3313" i="29"/>
  <c r="Q3313" i="29"/>
  <c r="S3313" i="29"/>
  <c r="F3314" i="29"/>
  <c r="G3314" i="29"/>
  <c r="N3314" i="29"/>
  <c r="P3314" i="29"/>
  <c r="Q3314" i="29"/>
  <c r="F3315" i="29"/>
  <c r="G3315" i="29"/>
  <c r="N3315" i="29"/>
  <c r="P3315" i="29"/>
  <c r="Q3315" i="29"/>
  <c r="F3316" i="29"/>
  <c r="G3316" i="29"/>
  <c r="N3316" i="29"/>
  <c r="P3316" i="29"/>
  <c r="Q3316" i="29"/>
  <c r="F3317" i="29"/>
  <c r="G3317" i="29"/>
  <c r="N3317" i="29"/>
  <c r="P3317" i="29"/>
  <c r="Q3317" i="29"/>
  <c r="F3318" i="29"/>
  <c r="G3318" i="29"/>
  <c r="N3318" i="29"/>
  <c r="P3318" i="29"/>
  <c r="Q3318" i="29"/>
  <c r="S3318" i="29"/>
  <c r="F3319" i="29"/>
  <c r="G3319" i="29"/>
  <c r="N3319" i="29"/>
  <c r="P3319" i="29"/>
  <c r="Q3319" i="29"/>
  <c r="F3320" i="29"/>
  <c r="G3320" i="29"/>
  <c r="N3320" i="29"/>
  <c r="P3320" i="29"/>
  <c r="Q3320" i="29"/>
  <c r="F3321" i="29"/>
  <c r="G3321" i="29"/>
  <c r="N3321" i="29"/>
  <c r="P3321" i="29"/>
  <c r="Q3321" i="29"/>
  <c r="S3321" i="29"/>
  <c r="F3322" i="29"/>
  <c r="G3322" i="29"/>
  <c r="N3322" i="29"/>
  <c r="P3322" i="29"/>
  <c r="Q3322" i="29"/>
  <c r="S3322" i="29"/>
  <c r="F3323" i="29"/>
  <c r="G3323" i="29"/>
  <c r="N3323" i="29"/>
  <c r="P3323" i="29"/>
  <c r="Q3323" i="29"/>
  <c r="F3324" i="29"/>
  <c r="G3324" i="29"/>
  <c r="N3324" i="29"/>
  <c r="P3324" i="29"/>
  <c r="Q3324" i="29"/>
  <c r="T3324" i="29"/>
  <c r="F3325" i="29"/>
  <c r="G3325" i="29"/>
  <c r="N3325" i="29"/>
  <c r="P3325" i="29"/>
  <c r="Q3325" i="29"/>
  <c r="S3325" i="29"/>
  <c r="R3325" i="29"/>
  <c r="F3326" i="29"/>
  <c r="G3326" i="29"/>
  <c r="N3326" i="29"/>
  <c r="P3326" i="29"/>
  <c r="Q3326" i="29"/>
  <c r="F3327" i="29"/>
  <c r="G3327" i="29"/>
  <c r="N3327" i="29"/>
  <c r="P3327" i="29"/>
  <c r="Q3327" i="29"/>
  <c r="F3328" i="29"/>
  <c r="G3328" i="29"/>
  <c r="N3328" i="29"/>
  <c r="P3328" i="29"/>
  <c r="Q3328" i="29"/>
  <c r="F3329" i="29"/>
  <c r="G3329" i="29"/>
  <c r="N3329" i="29"/>
  <c r="P3329" i="29"/>
  <c r="Q3329" i="29"/>
  <c r="U3329" i="29"/>
  <c r="F3330" i="29"/>
  <c r="G3330" i="29"/>
  <c r="N3330" i="29"/>
  <c r="P3330" i="29"/>
  <c r="Q3330" i="29"/>
  <c r="S3330" i="29"/>
  <c r="F3331" i="29"/>
  <c r="G3331" i="29"/>
  <c r="N3331" i="29"/>
  <c r="P3331" i="29"/>
  <c r="Q3331" i="29"/>
  <c r="F3332" i="29"/>
  <c r="G3332" i="29"/>
  <c r="N3332" i="29"/>
  <c r="P3332" i="29"/>
  <c r="Q3332" i="29"/>
  <c r="F3333" i="29"/>
  <c r="G3333" i="29"/>
  <c r="N3333" i="29"/>
  <c r="P3333" i="29"/>
  <c r="Q3333" i="29"/>
  <c r="F3334" i="29"/>
  <c r="G3334" i="29"/>
  <c r="N3334" i="29"/>
  <c r="P3334" i="29"/>
  <c r="Q3334" i="29"/>
  <c r="F3335" i="29"/>
  <c r="G3335" i="29"/>
  <c r="N3335" i="29"/>
  <c r="P3335" i="29"/>
  <c r="Q3335" i="29"/>
  <c r="F3336" i="29"/>
  <c r="G3336" i="29"/>
  <c r="N3336" i="29"/>
  <c r="P3336" i="29"/>
  <c r="Q3336" i="29"/>
  <c r="F3337" i="29"/>
  <c r="G3337" i="29"/>
  <c r="N3337" i="29"/>
  <c r="P3337" i="29"/>
  <c r="Q3337" i="29"/>
  <c r="F3338" i="29"/>
  <c r="G3338" i="29"/>
  <c r="J3338" i="29"/>
  <c r="N3338" i="29"/>
  <c r="P3338" i="29"/>
  <c r="Q3338" i="29"/>
  <c r="F3339" i="29"/>
  <c r="G3339" i="29"/>
  <c r="N3339" i="29"/>
  <c r="P3339" i="29"/>
  <c r="Q3339" i="29"/>
  <c r="F3340" i="29"/>
  <c r="G3340" i="29"/>
  <c r="N3340" i="29"/>
  <c r="P3340" i="29"/>
  <c r="Q3340" i="29"/>
  <c r="F3341" i="29"/>
  <c r="G3341" i="29"/>
  <c r="N3341" i="29"/>
  <c r="P3341" i="29"/>
  <c r="Q3341" i="29"/>
  <c r="U3341" i="29"/>
  <c r="F3342" i="29"/>
  <c r="G3342" i="29"/>
  <c r="N3342" i="29"/>
  <c r="P3342" i="29"/>
  <c r="Q3342" i="29"/>
  <c r="F3343" i="29"/>
  <c r="G3343" i="29"/>
  <c r="N3343" i="29"/>
  <c r="P3343" i="29"/>
  <c r="Q3343" i="29"/>
  <c r="F3344" i="29"/>
  <c r="G3344" i="29"/>
  <c r="N3344" i="29"/>
  <c r="P3344" i="29"/>
  <c r="Q3344" i="29"/>
  <c r="F3345" i="29"/>
  <c r="G3345" i="29"/>
  <c r="N3345" i="29"/>
  <c r="P3345" i="29"/>
  <c r="Q3345" i="29"/>
  <c r="F3346" i="29"/>
  <c r="G3346" i="29"/>
  <c r="N3346" i="29"/>
  <c r="P3346" i="29"/>
  <c r="Q3346" i="29"/>
  <c r="T3346" i="29"/>
  <c r="F3347" i="29"/>
  <c r="G3347" i="29"/>
  <c r="N3347" i="29"/>
  <c r="P3347" i="29"/>
  <c r="Q3347" i="29"/>
  <c r="T3347" i="29"/>
  <c r="F3348" i="29"/>
  <c r="G3348" i="29"/>
  <c r="N3348" i="29"/>
  <c r="P3348" i="29"/>
  <c r="Q3348" i="29"/>
  <c r="T3348" i="29"/>
  <c r="F3349" i="29"/>
  <c r="G3349" i="29"/>
  <c r="J3349" i="29"/>
  <c r="N3349" i="29"/>
  <c r="P3349" i="29"/>
  <c r="Q3349" i="29"/>
  <c r="F3350" i="29"/>
  <c r="G3350" i="29"/>
  <c r="J3350" i="29"/>
  <c r="N3350" i="29"/>
  <c r="P3350" i="29"/>
  <c r="R3350" i="29"/>
  <c r="Q3350" i="29"/>
  <c r="F3351" i="29"/>
  <c r="G3351" i="29"/>
  <c r="J3351" i="29"/>
  <c r="N3351" i="29"/>
  <c r="P3351" i="29"/>
  <c r="R3351" i="29"/>
  <c r="Q3351" i="29"/>
  <c r="F3352" i="29"/>
  <c r="G3352" i="29"/>
  <c r="N3352" i="29"/>
  <c r="P3352" i="29"/>
  <c r="Q3352" i="29"/>
  <c r="F3353" i="29"/>
  <c r="G3353" i="29"/>
  <c r="N3353" i="29"/>
  <c r="P3353" i="29"/>
  <c r="Q3353" i="29"/>
  <c r="F3354" i="29"/>
  <c r="G3354" i="29"/>
  <c r="N3354" i="29"/>
  <c r="P3354" i="29"/>
  <c r="Q3354" i="29"/>
  <c r="T3354" i="29"/>
  <c r="F3355" i="29"/>
  <c r="G3355" i="29"/>
  <c r="N3355" i="29"/>
  <c r="P3355" i="29"/>
  <c r="Q3355" i="29"/>
  <c r="F3356" i="29"/>
  <c r="G3356" i="29"/>
  <c r="N3356" i="29"/>
  <c r="P3356" i="29"/>
  <c r="Q3356" i="29"/>
  <c r="F3357" i="29"/>
  <c r="G3357" i="29"/>
  <c r="N3357" i="29"/>
  <c r="P3357" i="29"/>
  <c r="Q3357" i="29"/>
  <c r="U3357" i="29"/>
  <c r="F3358" i="29"/>
  <c r="G3358" i="29"/>
  <c r="N3358" i="29"/>
  <c r="P3358" i="29"/>
  <c r="Q3358" i="29"/>
  <c r="F3359" i="29"/>
  <c r="G3359" i="29"/>
  <c r="N3359" i="29"/>
  <c r="P3359" i="29"/>
  <c r="Q3359" i="29"/>
  <c r="S3359" i="29"/>
  <c r="F3360" i="29"/>
  <c r="G3360" i="29"/>
  <c r="N3360" i="29"/>
  <c r="P3360" i="29"/>
  <c r="Q3360" i="29"/>
  <c r="F3361" i="29"/>
  <c r="G3361" i="29"/>
  <c r="N3361" i="29"/>
  <c r="P3361" i="29"/>
  <c r="Q3361" i="29"/>
  <c r="T3361" i="29"/>
  <c r="F3362" i="29"/>
  <c r="G3362" i="29"/>
  <c r="N3362" i="29"/>
  <c r="P3362" i="29"/>
  <c r="Q3362" i="29"/>
  <c r="F3363" i="29"/>
  <c r="G3363" i="29"/>
  <c r="N3363" i="29"/>
  <c r="P3363" i="29"/>
  <c r="Q3363" i="29"/>
  <c r="S3363" i="29"/>
  <c r="F3364" i="29"/>
  <c r="G3364" i="29"/>
  <c r="N3364" i="29"/>
  <c r="P3364" i="29"/>
  <c r="Q3364" i="29"/>
  <c r="F3365" i="29"/>
  <c r="G3365" i="29"/>
  <c r="N3365" i="29"/>
  <c r="P3365" i="29"/>
  <c r="Q3365" i="29"/>
  <c r="R3365" i="29"/>
  <c r="F3366" i="29"/>
  <c r="G3366" i="29"/>
  <c r="N3366" i="29"/>
  <c r="P3366" i="29"/>
  <c r="Q3366" i="29"/>
  <c r="R3366" i="29"/>
  <c r="F3367" i="29"/>
  <c r="G3367" i="29"/>
  <c r="N3367" i="29"/>
  <c r="P3367" i="29"/>
  <c r="Q3367" i="29"/>
  <c r="R3367" i="29"/>
  <c r="F3368" i="29"/>
  <c r="G3368" i="29"/>
  <c r="N3368" i="29"/>
  <c r="P3368" i="29"/>
  <c r="Q3368" i="29"/>
  <c r="R3368" i="29"/>
  <c r="F3369" i="29"/>
  <c r="G3369" i="29"/>
  <c r="N3369" i="29"/>
  <c r="P3369" i="29"/>
  <c r="Q3369" i="29"/>
  <c r="R3369" i="29"/>
  <c r="F3370" i="29"/>
  <c r="G3370" i="29"/>
  <c r="N3370" i="29"/>
  <c r="P3370" i="29"/>
  <c r="Q3370" i="29"/>
  <c r="F3371" i="29"/>
  <c r="G3371" i="29"/>
  <c r="N3371" i="29"/>
  <c r="P3371" i="29"/>
  <c r="Q3371" i="29"/>
  <c r="F3372" i="29"/>
  <c r="G3372" i="29"/>
  <c r="N3372" i="29"/>
  <c r="P3372" i="29"/>
  <c r="Q3372" i="29"/>
  <c r="F3373" i="29"/>
  <c r="G3373" i="29"/>
  <c r="N3373" i="29"/>
  <c r="P3373" i="29"/>
  <c r="Q3373" i="29"/>
  <c r="F3374" i="29"/>
  <c r="G3374" i="29"/>
  <c r="N3374" i="29"/>
  <c r="P3374" i="29"/>
  <c r="Q3374" i="29"/>
  <c r="F3375" i="29"/>
  <c r="G3375" i="29"/>
  <c r="N3375" i="29"/>
  <c r="P3375" i="29"/>
  <c r="Q3375" i="29"/>
  <c r="F3376" i="29"/>
  <c r="G3376" i="29"/>
  <c r="N3376" i="29"/>
  <c r="P3376" i="29"/>
  <c r="Q3376" i="29"/>
  <c r="S3376" i="29"/>
  <c r="F3377" i="29"/>
  <c r="G3377" i="29"/>
  <c r="N3377" i="29"/>
  <c r="P3377" i="29"/>
  <c r="Q3377" i="29"/>
  <c r="F3378" i="29"/>
  <c r="G3378" i="29"/>
  <c r="N3378" i="29"/>
  <c r="P3378" i="29"/>
  <c r="Q3378" i="29"/>
  <c r="F3379" i="29"/>
  <c r="G3379" i="29"/>
  <c r="N3379" i="29"/>
  <c r="P3379" i="29"/>
  <c r="Q3379" i="29"/>
  <c r="F3380" i="29"/>
  <c r="G3380" i="29"/>
  <c r="N3380" i="29"/>
  <c r="P3380" i="29"/>
  <c r="Q3380" i="29"/>
  <c r="T3380" i="29"/>
  <c r="N3381" i="29"/>
  <c r="W3381" i="29"/>
  <c r="F3382" i="29"/>
  <c r="G3382" i="29"/>
  <c r="N3382" i="29"/>
  <c r="P3382" i="29"/>
  <c r="Q3382" i="29"/>
  <c r="F3383" i="29"/>
  <c r="G3383" i="29"/>
  <c r="N3383" i="29"/>
  <c r="P3383" i="29"/>
  <c r="Q3383" i="29"/>
  <c r="F3384" i="29"/>
  <c r="G3384" i="29"/>
  <c r="N3384" i="29"/>
  <c r="P3384" i="29"/>
  <c r="Q3384" i="29"/>
  <c r="T3384" i="29"/>
  <c r="F3385" i="29"/>
  <c r="G3385" i="29"/>
  <c r="N3385" i="29"/>
  <c r="P3385" i="29"/>
  <c r="Q3385" i="29"/>
  <c r="F3386" i="29"/>
  <c r="G3386" i="29"/>
  <c r="N3386" i="29"/>
  <c r="P3386" i="29"/>
  <c r="Q3386" i="29"/>
  <c r="F3387" i="29"/>
  <c r="G3387" i="29"/>
  <c r="N3387" i="29"/>
  <c r="P3387" i="29"/>
  <c r="Q3387" i="29"/>
  <c r="F3388" i="29"/>
  <c r="G3388" i="29"/>
  <c r="N3388" i="29"/>
  <c r="P3388" i="29"/>
  <c r="Q3388" i="29"/>
  <c r="F3389" i="29"/>
  <c r="G3389" i="29"/>
  <c r="N3389" i="29"/>
  <c r="P3389" i="29"/>
  <c r="Q3389" i="29"/>
  <c r="T3389" i="29"/>
  <c r="F3390" i="29"/>
  <c r="G3390" i="29"/>
  <c r="N3390" i="29"/>
  <c r="P3390" i="29"/>
  <c r="Q3390" i="29"/>
  <c r="S3390" i="29"/>
  <c r="F3391" i="29"/>
  <c r="G3391" i="29"/>
  <c r="N3391" i="29"/>
  <c r="P3391" i="29"/>
  <c r="Q3391" i="29"/>
  <c r="S3391" i="29"/>
  <c r="F3392" i="29"/>
  <c r="G3392" i="29"/>
  <c r="N3392" i="29"/>
  <c r="P3392" i="29"/>
  <c r="Q3392" i="29"/>
  <c r="S3392" i="29"/>
  <c r="F3393" i="29"/>
  <c r="G3393" i="29"/>
  <c r="J3393" i="29"/>
  <c r="N3393" i="29"/>
  <c r="P3393" i="29"/>
  <c r="Q3393" i="29"/>
  <c r="S3393" i="29"/>
  <c r="F3394" i="29"/>
  <c r="G3394" i="29"/>
  <c r="N3394" i="29"/>
  <c r="P3394" i="29"/>
  <c r="Q3394" i="29"/>
  <c r="F3395" i="29"/>
  <c r="G3395" i="29"/>
  <c r="N3395" i="29"/>
  <c r="P3395" i="29"/>
  <c r="Q3395" i="29"/>
  <c r="F3396" i="29"/>
  <c r="G3396" i="29"/>
  <c r="N3396" i="29"/>
  <c r="P3396" i="29"/>
  <c r="Q3396" i="29"/>
  <c r="F3397" i="29"/>
  <c r="G3397" i="29"/>
  <c r="N3397" i="29"/>
  <c r="P3397" i="29"/>
  <c r="Q3397" i="29"/>
  <c r="T3397" i="29"/>
  <c r="F3398" i="29"/>
  <c r="G3398" i="29"/>
  <c r="N3398" i="29"/>
  <c r="P3398" i="29"/>
  <c r="Q3398" i="29"/>
  <c r="T3398" i="29"/>
  <c r="F3399" i="29"/>
  <c r="G3399" i="29"/>
  <c r="N3399" i="29"/>
  <c r="P3399" i="29"/>
  <c r="Q3399" i="29"/>
  <c r="T3399" i="29"/>
  <c r="F3400" i="29"/>
  <c r="G3400" i="29"/>
  <c r="N3400" i="29"/>
  <c r="P3400" i="29"/>
  <c r="Q3400" i="29"/>
  <c r="S3400" i="29"/>
  <c r="F3401" i="29"/>
  <c r="G3401" i="29"/>
  <c r="N3401" i="29"/>
  <c r="P3401" i="29"/>
  <c r="Q3401" i="29"/>
  <c r="F3402" i="29"/>
  <c r="G3402" i="29"/>
  <c r="N3402" i="29"/>
  <c r="P3402" i="29"/>
  <c r="Q3402" i="29"/>
  <c r="F3403" i="29"/>
  <c r="G3403" i="29"/>
  <c r="N3403" i="29"/>
  <c r="P3403" i="29"/>
  <c r="Q3403" i="29"/>
  <c r="S3403" i="29"/>
  <c r="F3404" i="29"/>
  <c r="G3404" i="29"/>
  <c r="N3404" i="29"/>
  <c r="P3404" i="29"/>
  <c r="Q3404" i="29"/>
  <c r="S3404" i="29"/>
  <c r="F3405" i="29"/>
  <c r="G3405" i="29"/>
  <c r="N3405" i="29"/>
  <c r="P3405" i="29"/>
  <c r="Q3405" i="29"/>
  <c r="F3406" i="29"/>
  <c r="G3406" i="29"/>
  <c r="N3406" i="29"/>
  <c r="P3406" i="29"/>
  <c r="Q3406" i="29"/>
  <c r="F3407" i="29"/>
  <c r="G3407" i="29"/>
  <c r="J3407" i="29"/>
  <c r="N3407" i="29"/>
  <c r="P3407" i="29"/>
  <c r="Q3407" i="29"/>
  <c r="S3407" i="29"/>
  <c r="F3408" i="29"/>
  <c r="G3408" i="29"/>
  <c r="N3408" i="29"/>
  <c r="P3408" i="29"/>
  <c r="Q3408" i="29"/>
  <c r="F3409" i="29"/>
  <c r="G3409" i="29"/>
  <c r="J3409" i="29"/>
  <c r="N3409" i="29"/>
  <c r="P3409" i="29"/>
  <c r="R3409" i="29"/>
  <c r="Q3409" i="29"/>
  <c r="F3410" i="29"/>
  <c r="G3410" i="29"/>
  <c r="N3410" i="29"/>
  <c r="P3410" i="29"/>
  <c r="Q3410" i="29"/>
  <c r="F3411" i="29"/>
  <c r="G3411" i="29"/>
  <c r="N3411" i="29"/>
  <c r="P3411" i="29"/>
  <c r="S3411" i="29"/>
  <c r="T3411" i="29"/>
  <c r="F3412" i="29"/>
  <c r="G3412" i="29"/>
  <c r="N3412" i="29"/>
  <c r="P3412" i="29"/>
  <c r="Q3412" i="29"/>
  <c r="F3413" i="29"/>
  <c r="G3413" i="29"/>
  <c r="N3413" i="29"/>
  <c r="P3413" i="29"/>
  <c r="Q3413" i="29"/>
  <c r="S3413" i="29"/>
  <c r="F3414" i="29"/>
  <c r="G3414" i="29"/>
  <c r="N3414" i="29"/>
  <c r="P3414" i="29"/>
  <c r="Q3414" i="29"/>
  <c r="T3414" i="29"/>
  <c r="F3415" i="29"/>
  <c r="G3415" i="29"/>
  <c r="N3415" i="29"/>
  <c r="P3415" i="29"/>
  <c r="Q3415" i="29"/>
  <c r="S3415" i="29"/>
  <c r="F3416" i="29"/>
  <c r="G3416" i="29"/>
  <c r="J3416" i="29"/>
  <c r="N3416" i="29"/>
  <c r="P3416" i="29"/>
  <c r="Q3416" i="29"/>
  <c r="S3416" i="29"/>
  <c r="F3417" i="29"/>
  <c r="G3417" i="29"/>
  <c r="J3417" i="29"/>
  <c r="N3417" i="29"/>
  <c r="P3417" i="29"/>
  <c r="R3417" i="29"/>
  <c r="Q3417" i="29"/>
  <c r="F3418" i="29"/>
  <c r="G3418" i="29"/>
  <c r="J3418" i="29"/>
  <c r="N3418" i="29"/>
  <c r="P3418" i="29"/>
  <c r="R3418" i="29"/>
  <c r="Q3418" i="29"/>
  <c r="F3419" i="29"/>
  <c r="G3419" i="29"/>
  <c r="N3419" i="29"/>
  <c r="P3419" i="29"/>
  <c r="Q3419" i="29"/>
  <c r="S3419" i="29"/>
  <c r="F3420" i="29"/>
  <c r="G3420" i="29"/>
  <c r="N3420" i="29"/>
  <c r="P3420" i="29"/>
  <c r="Q3420" i="29"/>
  <c r="S3420" i="29"/>
  <c r="F3421" i="29"/>
  <c r="G3421" i="29"/>
  <c r="N3421" i="29"/>
  <c r="P3421" i="29"/>
  <c r="Q3421" i="29"/>
  <c r="F3422" i="29"/>
  <c r="G3422" i="29"/>
  <c r="N3422" i="29"/>
  <c r="P3422" i="29"/>
  <c r="Q3422" i="29"/>
  <c r="F3423" i="29"/>
  <c r="G3423" i="29"/>
  <c r="N3423" i="29"/>
  <c r="P3423" i="29"/>
  <c r="Q3423" i="29"/>
  <c r="T3423" i="29"/>
  <c r="F3424" i="29"/>
  <c r="G3424" i="29"/>
  <c r="N3424" i="29"/>
  <c r="P3424" i="29"/>
  <c r="Q3424" i="29"/>
  <c r="F3425" i="29"/>
  <c r="G3425" i="29"/>
  <c r="N3425" i="29"/>
  <c r="P3425" i="29"/>
  <c r="Q3425" i="29"/>
  <c r="F3426" i="29"/>
  <c r="G3426" i="29"/>
  <c r="N3426" i="29"/>
  <c r="P3426" i="29"/>
  <c r="Q3426" i="29"/>
  <c r="S3426" i="29"/>
  <c r="F3427" i="29"/>
  <c r="G3427" i="29"/>
  <c r="N3427" i="29"/>
  <c r="P3427" i="29"/>
  <c r="Q3427" i="29"/>
  <c r="S3427" i="29"/>
  <c r="F3428" i="29"/>
  <c r="G3428" i="29"/>
  <c r="N3428" i="29"/>
  <c r="P3428" i="29"/>
  <c r="Q3428" i="29"/>
  <c r="F3429" i="29"/>
  <c r="G3429" i="29"/>
  <c r="N3429" i="29"/>
  <c r="P3429" i="29"/>
  <c r="Q3429" i="29"/>
  <c r="S3429" i="29"/>
  <c r="F3430" i="29"/>
  <c r="G3430" i="29"/>
  <c r="N3430" i="29"/>
  <c r="P3430" i="29"/>
  <c r="Q3430" i="29"/>
  <c r="T3430" i="29"/>
  <c r="F3431" i="29"/>
  <c r="G3431" i="29"/>
  <c r="N3431" i="29"/>
  <c r="P3431" i="29"/>
  <c r="Q3431" i="29"/>
  <c r="S3431" i="29"/>
  <c r="F3432" i="29"/>
  <c r="G3432" i="29"/>
  <c r="N3432" i="29"/>
  <c r="P3432" i="29"/>
  <c r="Q3432" i="29"/>
  <c r="V3432" i="29"/>
  <c r="F3433" i="29"/>
  <c r="G3433" i="29"/>
  <c r="N3433" i="29"/>
  <c r="P3433" i="29"/>
  <c r="Q3433" i="29"/>
  <c r="F3434" i="29"/>
  <c r="G3434" i="29"/>
  <c r="N3434" i="29"/>
  <c r="P3434" i="29"/>
  <c r="Q3434" i="29"/>
  <c r="F3435" i="29"/>
  <c r="G3435" i="29"/>
  <c r="N3435" i="29"/>
  <c r="P3435" i="29"/>
  <c r="Q3435" i="29"/>
  <c r="T3435" i="29"/>
  <c r="F3436" i="29"/>
  <c r="G3436" i="29"/>
  <c r="N3436" i="29"/>
  <c r="P3436" i="29"/>
  <c r="Q3436" i="29"/>
  <c r="S3436" i="29"/>
  <c r="F3437" i="29"/>
  <c r="G3437" i="29"/>
  <c r="N3437" i="29"/>
  <c r="P3437" i="29"/>
  <c r="Q3437" i="29"/>
  <c r="F3438" i="29"/>
  <c r="G3438" i="29"/>
  <c r="N3438" i="29"/>
  <c r="P3438" i="29"/>
  <c r="Q3438" i="29"/>
  <c r="F3439" i="29"/>
  <c r="G3439" i="29"/>
  <c r="N3439" i="29"/>
  <c r="P3439" i="29"/>
  <c r="Q3439" i="29"/>
  <c r="S3439" i="29"/>
  <c r="F3440" i="29"/>
  <c r="G3440" i="29"/>
  <c r="N3440" i="29"/>
  <c r="P3440" i="29"/>
  <c r="Q3440" i="29"/>
  <c r="F3441" i="29"/>
  <c r="G3441" i="29"/>
  <c r="N3441" i="29"/>
  <c r="P3441" i="29"/>
  <c r="Q3441" i="29"/>
  <c r="S3441" i="29"/>
  <c r="F3442" i="29"/>
  <c r="G3442" i="29"/>
  <c r="N3442" i="29"/>
  <c r="P3442" i="29"/>
  <c r="Q3442" i="29"/>
  <c r="T3442" i="29"/>
  <c r="F3443" i="29"/>
  <c r="G3443" i="29"/>
  <c r="N3443" i="29"/>
  <c r="P3443" i="29"/>
  <c r="Q3443" i="29"/>
  <c r="S3443" i="29"/>
  <c r="F3444" i="29"/>
  <c r="G3444" i="29"/>
  <c r="N3444" i="29"/>
  <c r="P3444" i="29"/>
  <c r="Q3444" i="29"/>
  <c r="F3445" i="29"/>
  <c r="G3445" i="29"/>
  <c r="N3445" i="29"/>
  <c r="P3445" i="29"/>
  <c r="Q3445" i="29"/>
  <c r="F3446" i="29"/>
  <c r="G3446" i="29"/>
  <c r="N3446" i="29"/>
  <c r="P3446" i="29"/>
  <c r="Q3446" i="29"/>
  <c r="F3447" i="29"/>
  <c r="G3447" i="29"/>
  <c r="N3447" i="29"/>
  <c r="P3447" i="29"/>
  <c r="Q3447" i="29"/>
  <c r="F3448" i="29"/>
  <c r="G3448" i="29"/>
  <c r="N3448" i="29"/>
  <c r="P3448" i="29"/>
  <c r="Q3448" i="29"/>
  <c r="R3448" i="29"/>
  <c r="F3449" i="29"/>
  <c r="G3449" i="29"/>
  <c r="N3449" i="29"/>
  <c r="P3449" i="29"/>
  <c r="Q3449" i="29"/>
  <c r="R3449" i="29"/>
  <c r="F3450" i="29"/>
  <c r="G3450" i="29"/>
  <c r="N3450" i="29"/>
  <c r="P3450" i="29"/>
  <c r="Q3450" i="29"/>
  <c r="R3450" i="29"/>
  <c r="F3451" i="29"/>
  <c r="G3451" i="29"/>
  <c r="N3451" i="29"/>
  <c r="P3451" i="29"/>
  <c r="Q3451" i="29"/>
  <c r="R3451" i="29"/>
  <c r="F3452" i="29"/>
  <c r="G3452" i="29"/>
  <c r="N3452" i="29"/>
  <c r="P3452" i="29"/>
  <c r="Q3452" i="29"/>
  <c r="R3452" i="29"/>
  <c r="F3453" i="29"/>
  <c r="G3453" i="29"/>
  <c r="N3453" i="29"/>
  <c r="P3453" i="29"/>
  <c r="Q3453" i="29"/>
  <c r="F3454" i="29"/>
  <c r="G3454" i="29"/>
  <c r="N3454" i="29"/>
  <c r="P3454" i="29"/>
  <c r="Q3454" i="29"/>
  <c r="F3455" i="29"/>
  <c r="G3455" i="29"/>
  <c r="N3455" i="29"/>
  <c r="P3455" i="29"/>
  <c r="Q3455" i="29"/>
  <c r="S3455" i="29"/>
  <c r="F3456" i="29"/>
  <c r="G3456" i="29"/>
  <c r="N3456" i="29"/>
  <c r="P3456" i="29"/>
  <c r="Q3456" i="29"/>
  <c r="F3457" i="29"/>
  <c r="G3457" i="29"/>
  <c r="N3457" i="29"/>
  <c r="P3457" i="29"/>
  <c r="Q3457" i="29"/>
  <c r="F3458" i="29"/>
  <c r="G3458" i="29"/>
  <c r="N3458" i="29"/>
  <c r="P3458" i="29"/>
  <c r="Q3458" i="29"/>
  <c r="F3459" i="29"/>
  <c r="G3459" i="29"/>
  <c r="N3459" i="29"/>
  <c r="P3459" i="29"/>
  <c r="Q3459" i="29"/>
  <c r="F3460" i="29"/>
  <c r="G3460" i="29"/>
  <c r="N3460" i="29"/>
  <c r="P3460" i="29"/>
  <c r="Q3460" i="29"/>
  <c r="F3461" i="29"/>
  <c r="G3461" i="29"/>
  <c r="N3461" i="29"/>
  <c r="P3461" i="29"/>
  <c r="Q3461" i="29"/>
  <c r="T3461" i="29"/>
  <c r="F3462" i="29"/>
  <c r="G3462" i="29"/>
  <c r="N3462" i="29"/>
  <c r="P3462" i="29"/>
  <c r="Q3462" i="29"/>
  <c r="F3463" i="29"/>
  <c r="G3463" i="29"/>
  <c r="N3463" i="29"/>
  <c r="P3463" i="29"/>
  <c r="Q3463" i="29"/>
  <c r="S3463" i="29"/>
  <c r="F3464" i="29"/>
  <c r="K3464" i="29"/>
  <c r="G3464" i="29"/>
  <c r="N3464" i="29"/>
  <c r="P3464" i="29"/>
  <c r="Q3464" i="29"/>
  <c r="U3464" i="29"/>
  <c r="F3465" i="29"/>
  <c r="G3465" i="29"/>
  <c r="N3465" i="29"/>
  <c r="P3465" i="29"/>
  <c r="Q3465" i="29"/>
  <c r="F3466" i="29"/>
  <c r="G3466" i="29"/>
  <c r="N3466" i="29"/>
  <c r="P3466" i="29"/>
  <c r="Q3466" i="29"/>
  <c r="N3467" i="29"/>
  <c r="W3467" i="29"/>
  <c r="F3468" i="29"/>
  <c r="G3468" i="29"/>
  <c r="N3468" i="29"/>
  <c r="P3468" i="29"/>
  <c r="Q3468" i="29"/>
  <c r="R3468" i="29"/>
  <c r="F3469" i="29"/>
  <c r="G3469" i="29"/>
  <c r="N3469" i="29"/>
  <c r="P3469" i="29"/>
  <c r="Q3469" i="29"/>
  <c r="F3470" i="29"/>
  <c r="G3470" i="29"/>
  <c r="N3470" i="29"/>
  <c r="P3470" i="29"/>
  <c r="Q3470" i="29"/>
  <c r="T3470" i="29"/>
  <c r="F3471" i="29"/>
  <c r="G3471" i="29"/>
  <c r="N3471" i="29"/>
  <c r="P3471" i="29"/>
  <c r="Q3471" i="29"/>
  <c r="F3472" i="29"/>
  <c r="G3472" i="29"/>
  <c r="N3472" i="29"/>
  <c r="P3472" i="29"/>
  <c r="Q3472" i="29"/>
  <c r="F3473" i="29"/>
  <c r="G3473" i="29"/>
  <c r="N3473" i="29"/>
  <c r="P3473" i="29"/>
  <c r="Q3473" i="29"/>
  <c r="F3474" i="29"/>
  <c r="G3474" i="29"/>
  <c r="N3474" i="29"/>
  <c r="P3474" i="29"/>
  <c r="Q3474" i="29"/>
  <c r="F3475" i="29"/>
  <c r="G3475" i="29"/>
  <c r="N3475" i="29"/>
  <c r="P3475" i="29"/>
  <c r="Q3475" i="29"/>
  <c r="F3476" i="29"/>
  <c r="G3476" i="29"/>
  <c r="N3476" i="29"/>
  <c r="P3476" i="29"/>
  <c r="Q3476" i="29"/>
  <c r="T3476" i="29"/>
  <c r="F3477" i="29"/>
  <c r="G3477" i="29"/>
  <c r="N3477" i="29"/>
  <c r="P3477" i="29"/>
  <c r="Q3477" i="29"/>
  <c r="S3477" i="29"/>
  <c r="F3478" i="29"/>
  <c r="G3478" i="29"/>
  <c r="N3478" i="29"/>
  <c r="P3478" i="29"/>
  <c r="Q3478" i="29"/>
  <c r="F3479" i="29"/>
  <c r="G3479" i="29"/>
  <c r="N3479" i="29"/>
  <c r="P3479" i="29"/>
  <c r="Q3479" i="29"/>
  <c r="T3479" i="29"/>
  <c r="F3480" i="29"/>
  <c r="G3480" i="29"/>
  <c r="N3480" i="29"/>
  <c r="P3480" i="29"/>
  <c r="Q3480" i="29"/>
  <c r="T3480" i="29"/>
  <c r="F3481" i="29"/>
  <c r="G3481" i="29"/>
  <c r="N3481" i="29"/>
  <c r="P3481" i="29"/>
  <c r="Q3481" i="29"/>
  <c r="F3482" i="29"/>
  <c r="G3482" i="29"/>
  <c r="J3482" i="29"/>
  <c r="N3482" i="29"/>
  <c r="P3482" i="29"/>
  <c r="Q3482" i="29"/>
  <c r="F3483" i="29"/>
  <c r="G3483" i="29"/>
  <c r="N3483" i="29"/>
  <c r="P3483" i="29"/>
  <c r="Q3483" i="29"/>
  <c r="F3484" i="29"/>
  <c r="G3484" i="29"/>
  <c r="N3484" i="29"/>
  <c r="P3484" i="29"/>
  <c r="Q3484" i="29"/>
  <c r="F3485" i="29"/>
  <c r="G3485" i="29"/>
  <c r="N3485" i="29"/>
  <c r="P3485" i="29"/>
  <c r="Q3485" i="29"/>
  <c r="F3486" i="29"/>
  <c r="G3486" i="29"/>
  <c r="N3486" i="29"/>
  <c r="P3486" i="29"/>
  <c r="Q3486" i="29"/>
  <c r="F3487" i="29"/>
  <c r="G3487" i="29"/>
  <c r="N3487" i="29"/>
  <c r="P3487" i="29"/>
  <c r="Q3487" i="29"/>
  <c r="R3487" i="29"/>
  <c r="F3488" i="29"/>
  <c r="G3488" i="29"/>
  <c r="J3488" i="29"/>
  <c r="N3488" i="29"/>
  <c r="P3488" i="29"/>
  <c r="Q3488" i="29"/>
  <c r="T3488" i="29"/>
  <c r="F3489" i="29"/>
  <c r="G3489" i="29"/>
  <c r="N3489" i="29"/>
  <c r="P3489" i="29"/>
  <c r="R3489" i="29"/>
  <c r="Q3489" i="29"/>
  <c r="F3490" i="29"/>
  <c r="G3490" i="29"/>
  <c r="J3490" i="29"/>
  <c r="N3490" i="29"/>
  <c r="P3490" i="29"/>
  <c r="R3490" i="29"/>
  <c r="Q3490" i="29"/>
  <c r="F3491" i="29"/>
  <c r="G3491" i="29"/>
  <c r="N3491" i="29"/>
  <c r="P3491" i="29"/>
  <c r="Q3491" i="29"/>
  <c r="F3492" i="29"/>
  <c r="G3492" i="29"/>
  <c r="N3492" i="29"/>
  <c r="P3492" i="29"/>
  <c r="Q3492" i="29"/>
  <c r="T3492" i="29"/>
  <c r="F3493" i="29"/>
  <c r="G3493" i="29"/>
  <c r="N3493" i="29"/>
  <c r="P3493" i="29"/>
  <c r="Q3493" i="29"/>
  <c r="F3494" i="29"/>
  <c r="G3494" i="29"/>
  <c r="N3494" i="29"/>
  <c r="P3494" i="29"/>
  <c r="Q3494" i="29"/>
  <c r="F3495" i="29"/>
  <c r="G3495" i="29"/>
  <c r="N3495" i="29"/>
  <c r="P3495" i="29"/>
  <c r="Q3495" i="29"/>
  <c r="F3496" i="29"/>
  <c r="G3496" i="29"/>
  <c r="N3496" i="29"/>
  <c r="P3496" i="29"/>
  <c r="Q3496" i="29"/>
  <c r="F3497" i="29"/>
  <c r="G3497" i="29"/>
  <c r="N3497" i="29"/>
  <c r="P3497" i="29"/>
  <c r="Q3497" i="29"/>
  <c r="F3498" i="29"/>
  <c r="G3498" i="29"/>
  <c r="N3498" i="29"/>
  <c r="P3498" i="29"/>
  <c r="Q3498" i="29"/>
  <c r="T3498" i="29"/>
  <c r="F3499" i="29"/>
  <c r="G3499" i="29"/>
  <c r="J3499" i="29"/>
  <c r="N3499" i="29"/>
  <c r="P3499" i="29"/>
  <c r="Q3499" i="29"/>
  <c r="S3499" i="29"/>
  <c r="F3500" i="29"/>
  <c r="G3500" i="29"/>
  <c r="N3500" i="29"/>
  <c r="P3500" i="29"/>
  <c r="Q3500" i="29"/>
  <c r="F3501" i="29"/>
  <c r="G3501" i="29"/>
  <c r="N3501" i="29"/>
  <c r="P3501" i="29"/>
  <c r="Q3501" i="29"/>
  <c r="F3502" i="29"/>
  <c r="G3502" i="29"/>
  <c r="N3502" i="29"/>
  <c r="P3502" i="29"/>
  <c r="Q3502" i="29"/>
  <c r="F3503" i="29"/>
  <c r="G3503" i="29"/>
  <c r="N3503" i="29"/>
  <c r="P3503" i="29"/>
  <c r="Q3503" i="29"/>
  <c r="T3503" i="29"/>
  <c r="F3504" i="29"/>
  <c r="G3504" i="29"/>
  <c r="N3504" i="29"/>
  <c r="P3504" i="29"/>
  <c r="Q3504" i="29"/>
  <c r="F3505" i="29"/>
  <c r="G3505" i="29"/>
  <c r="J3505" i="29"/>
  <c r="N3505" i="29"/>
  <c r="P3505" i="29"/>
  <c r="Q3505" i="29"/>
  <c r="F3506" i="29"/>
  <c r="G3506" i="29"/>
  <c r="N3506" i="29"/>
  <c r="P3506" i="29"/>
  <c r="Q3506" i="29"/>
  <c r="F3507" i="29"/>
  <c r="G3507" i="29"/>
  <c r="N3507" i="29"/>
  <c r="P3507" i="29"/>
  <c r="Q3507" i="29"/>
  <c r="T3507" i="29"/>
  <c r="F3508" i="29"/>
  <c r="G3508" i="29"/>
  <c r="N3508" i="29"/>
  <c r="P3508" i="29"/>
  <c r="Q3508" i="29"/>
  <c r="T3508" i="29"/>
  <c r="F3509" i="29"/>
  <c r="G3509" i="29"/>
  <c r="N3509" i="29"/>
  <c r="P3509" i="29"/>
  <c r="Q3509" i="29"/>
  <c r="T3509" i="29"/>
  <c r="F3510" i="29"/>
  <c r="G3510" i="29"/>
  <c r="N3510" i="29"/>
  <c r="P3510" i="29"/>
  <c r="Q3510" i="29"/>
  <c r="S3510" i="29"/>
  <c r="F3511" i="29"/>
  <c r="G3511" i="29"/>
  <c r="N3511" i="29"/>
  <c r="P3511" i="29"/>
  <c r="Q3511" i="29"/>
  <c r="F3512" i="29"/>
  <c r="G3512" i="29"/>
  <c r="N3512" i="29"/>
  <c r="P3512" i="29"/>
  <c r="Q3512" i="29"/>
  <c r="T3512" i="29"/>
  <c r="F3513" i="29"/>
  <c r="G3513" i="29"/>
  <c r="N3513" i="29"/>
  <c r="P3513" i="29"/>
  <c r="Q3513" i="29"/>
  <c r="F3514" i="29"/>
  <c r="G3514" i="29"/>
  <c r="N3514" i="29"/>
  <c r="P3514" i="29"/>
  <c r="Q3514" i="29"/>
  <c r="F3515" i="29"/>
  <c r="G3515" i="29"/>
  <c r="N3515" i="29"/>
  <c r="P3515" i="29"/>
  <c r="Q3515" i="29"/>
  <c r="S3515" i="29"/>
  <c r="F3516" i="29"/>
  <c r="G3516" i="29"/>
  <c r="N3516" i="29"/>
  <c r="P3516" i="29"/>
  <c r="Q3516" i="29"/>
  <c r="F3517" i="29"/>
  <c r="G3517" i="29"/>
  <c r="N3517" i="29"/>
  <c r="P3517" i="29"/>
  <c r="Q3517" i="29"/>
  <c r="T3517" i="29"/>
  <c r="R3517" i="29"/>
  <c r="R3713" i="29"/>
  <c r="F3518" i="29"/>
  <c r="G3518" i="29"/>
  <c r="J3518" i="29"/>
  <c r="N3518" i="29"/>
  <c r="P3518" i="29"/>
  <c r="Q3518" i="29"/>
  <c r="T3518" i="29"/>
  <c r="F3519" i="29"/>
  <c r="G3519" i="29"/>
  <c r="J3519" i="29"/>
  <c r="N3519" i="29"/>
  <c r="P3519" i="29"/>
  <c r="R3519" i="29"/>
  <c r="Q3519" i="29"/>
  <c r="F3520" i="29"/>
  <c r="G3520" i="29"/>
  <c r="J3520" i="29"/>
  <c r="N3520" i="29"/>
  <c r="P3520" i="29"/>
  <c r="R3520" i="29"/>
  <c r="Q3520" i="29"/>
  <c r="F3521" i="29"/>
  <c r="G3521" i="29"/>
  <c r="N3521" i="29"/>
  <c r="P3521" i="29"/>
  <c r="Q3521" i="29"/>
  <c r="F3522" i="29"/>
  <c r="G3522" i="29"/>
  <c r="N3522" i="29"/>
  <c r="P3522" i="29"/>
  <c r="Q3522" i="29"/>
  <c r="T3522" i="29"/>
  <c r="F3523" i="29"/>
  <c r="G3523" i="29"/>
  <c r="N3523" i="29"/>
  <c r="P3523" i="29"/>
  <c r="Q3523" i="29"/>
  <c r="F3524" i="29"/>
  <c r="G3524" i="29"/>
  <c r="N3524" i="29"/>
  <c r="P3524" i="29"/>
  <c r="Q3524" i="29"/>
  <c r="T3524" i="29"/>
  <c r="F3525" i="29"/>
  <c r="G3525" i="29"/>
  <c r="N3525" i="29"/>
  <c r="P3525" i="29"/>
  <c r="Q3525" i="29"/>
  <c r="T3525" i="29"/>
  <c r="F3526" i="29"/>
  <c r="G3526" i="29"/>
  <c r="N3526" i="29"/>
  <c r="P3526" i="29"/>
  <c r="Q3526" i="29"/>
  <c r="F3527" i="29"/>
  <c r="G3527" i="29"/>
  <c r="N3527" i="29"/>
  <c r="P3527" i="29"/>
  <c r="Q3527" i="29"/>
  <c r="S3527" i="29"/>
  <c r="F3528" i="29"/>
  <c r="G3528" i="29"/>
  <c r="N3528" i="29"/>
  <c r="P3528" i="29"/>
  <c r="Q3528" i="29"/>
  <c r="F3529" i="29"/>
  <c r="G3529" i="29"/>
  <c r="N3529" i="29"/>
  <c r="P3529" i="29"/>
  <c r="Q3529" i="29"/>
  <c r="T3529" i="29"/>
  <c r="F3530" i="29"/>
  <c r="G3530" i="29"/>
  <c r="N3530" i="29"/>
  <c r="P3530" i="29"/>
  <c r="Q3530" i="29"/>
  <c r="S3530" i="29"/>
  <c r="F3531" i="29"/>
  <c r="G3531" i="29"/>
  <c r="N3531" i="29"/>
  <c r="P3531" i="29"/>
  <c r="Q3531" i="29"/>
  <c r="F3532" i="29"/>
  <c r="G3532" i="29"/>
  <c r="N3532" i="29"/>
  <c r="P3532" i="29"/>
  <c r="Q3532" i="29"/>
  <c r="F3533" i="29"/>
  <c r="G3533" i="29"/>
  <c r="N3533" i="29"/>
  <c r="P3533" i="29"/>
  <c r="Q3533" i="29"/>
  <c r="F3534" i="29"/>
  <c r="G3534" i="29"/>
  <c r="N3534" i="29"/>
  <c r="P3534" i="29"/>
  <c r="Q3534" i="29"/>
  <c r="R3534" i="29"/>
  <c r="F3535" i="29"/>
  <c r="G3535" i="29"/>
  <c r="N3535" i="29"/>
  <c r="P3535" i="29"/>
  <c r="Q3535" i="29"/>
  <c r="F3536" i="29"/>
  <c r="G3536" i="29"/>
  <c r="N3536" i="29"/>
  <c r="P3536" i="29"/>
  <c r="Q3536" i="29"/>
  <c r="S3536" i="29"/>
  <c r="F3537" i="29"/>
  <c r="G3537" i="29"/>
  <c r="N3537" i="29"/>
  <c r="P3537" i="29"/>
  <c r="Q3537" i="29"/>
  <c r="F3538" i="29"/>
  <c r="G3538" i="29"/>
  <c r="N3538" i="29"/>
  <c r="P3538" i="29"/>
  <c r="Q3538" i="29"/>
  <c r="F3539" i="29"/>
  <c r="G3539" i="29"/>
  <c r="N3539" i="29"/>
  <c r="P3539" i="29"/>
  <c r="Q3539" i="29"/>
  <c r="F3540" i="29"/>
  <c r="G3540" i="29"/>
  <c r="N3540" i="29"/>
  <c r="P3540" i="29"/>
  <c r="Q3540" i="29"/>
  <c r="F3541" i="29"/>
  <c r="G3541" i="29"/>
  <c r="N3541" i="29"/>
  <c r="P3541" i="29"/>
  <c r="Q3541" i="29"/>
  <c r="F3542" i="29"/>
  <c r="G3542" i="29"/>
  <c r="N3542" i="29"/>
  <c r="P3542" i="29"/>
  <c r="Q3542" i="29"/>
  <c r="F3543" i="29"/>
  <c r="G3543" i="29"/>
  <c r="N3543" i="29"/>
  <c r="P3543" i="29"/>
  <c r="Q3543" i="29"/>
  <c r="F3544" i="29"/>
  <c r="G3544" i="29"/>
  <c r="N3544" i="29"/>
  <c r="P3544" i="29"/>
  <c r="Q3544" i="29"/>
  <c r="V3544" i="29"/>
  <c r="F3545" i="29"/>
  <c r="G3545" i="29"/>
  <c r="N3545" i="29"/>
  <c r="P3545" i="29"/>
  <c r="Q3545" i="29"/>
  <c r="F3546" i="29"/>
  <c r="G3546" i="29"/>
  <c r="N3546" i="29"/>
  <c r="P3546" i="29"/>
  <c r="Q3546" i="29"/>
  <c r="F3547" i="29"/>
  <c r="G3547" i="29"/>
  <c r="N3547" i="29"/>
  <c r="P3547" i="29"/>
  <c r="Q3547" i="29"/>
  <c r="F3548" i="29"/>
  <c r="G3548" i="29"/>
  <c r="N3548" i="29"/>
  <c r="P3548" i="29"/>
  <c r="Q3548" i="29"/>
  <c r="F3549" i="29"/>
  <c r="G3549" i="29"/>
  <c r="N3549" i="29"/>
  <c r="P3549" i="29"/>
  <c r="Q3549" i="29"/>
  <c r="R3549" i="29"/>
  <c r="F3550" i="29"/>
  <c r="G3550" i="29"/>
  <c r="N3550" i="29"/>
  <c r="P3550" i="29"/>
  <c r="Q3550" i="29"/>
  <c r="R3550" i="29"/>
  <c r="F3551" i="29"/>
  <c r="G3551" i="29"/>
  <c r="N3551" i="29"/>
  <c r="P3551" i="29"/>
  <c r="Q3551" i="29"/>
  <c r="R3551" i="29"/>
  <c r="F3552" i="29"/>
  <c r="G3552" i="29"/>
  <c r="N3552" i="29"/>
  <c r="P3552" i="29"/>
  <c r="Q3552" i="29"/>
  <c r="R3552" i="29"/>
  <c r="F3553" i="29"/>
  <c r="G3553" i="29"/>
  <c r="N3553" i="29"/>
  <c r="P3553" i="29"/>
  <c r="Q3553" i="29"/>
  <c r="R3553" i="29"/>
  <c r="F3554" i="29"/>
  <c r="G3554" i="29"/>
  <c r="N3554" i="29"/>
  <c r="P3554" i="29"/>
  <c r="Q3554" i="29"/>
  <c r="F3555" i="29"/>
  <c r="G3555" i="29"/>
  <c r="N3555" i="29"/>
  <c r="P3555" i="29"/>
  <c r="Q3555" i="29"/>
  <c r="F3556" i="29"/>
  <c r="G3556" i="29"/>
  <c r="N3556" i="29"/>
  <c r="P3556" i="29"/>
  <c r="Q3556" i="29"/>
  <c r="S3556" i="29"/>
  <c r="F3557" i="29"/>
  <c r="G3557" i="29"/>
  <c r="N3557" i="29"/>
  <c r="P3557" i="29"/>
  <c r="Q3557" i="29"/>
  <c r="F3558" i="29"/>
  <c r="G3558" i="29"/>
  <c r="N3558" i="29"/>
  <c r="P3558" i="29"/>
  <c r="Q3558" i="29"/>
  <c r="F3559" i="29"/>
  <c r="G3559" i="29"/>
  <c r="N3559" i="29"/>
  <c r="P3559" i="29"/>
  <c r="Q3559" i="29"/>
  <c r="T3559" i="29"/>
  <c r="F3560" i="29"/>
  <c r="G3560" i="29"/>
  <c r="N3560" i="29"/>
  <c r="P3560" i="29"/>
  <c r="Q3560" i="29"/>
  <c r="F3561" i="29"/>
  <c r="G3561" i="29"/>
  <c r="N3561" i="29"/>
  <c r="P3561" i="29"/>
  <c r="Q3561" i="29"/>
  <c r="F3562" i="29"/>
  <c r="G3562" i="29"/>
  <c r="N3562" i="29"/>
  <c r="P3562" i="29"/>
  <c r="Q3562" i="29"/>
  <c r="F3563" i="29"/>
  <c r="G3563" i="29"/>
  <c r="N3563" i="29"/>
  <c r="P3563" i="29"/>
  <c r="Q3563" i="29"/>
  <c r="S3563" i="29"/>
  <c r="F3564" i="29"/>
  <c r="G3564" i="29"/>
  <c r="N3564" i="29"/>
  <c r="P3564" i="29"/>
  <c r="Q3564" i="29"/>
  <c r="F3565" i="29"/>
  <c r="G3565" i="29"/>
  <c r="N3565" i="29"/>
  <c r="P3565" i="29"/>
  <c r="Q3565" i="29"/>
  <c r="N3566" i="29"/>
  <c r="W3566" i="29"/>
  <c r="F3567" i="29"/>
  <c r="G3567" i="29"/>
  <c r="N3567" i="29"/>
  <c r="P3567" i="29"/>
  <c r="Q3567" i="29"/>
  <c r="S3567" i="29"/>
  <c r="F3568" i="29"/>
  <c r="G3568" i="29"/>
  <c r="N3568" i="29"/>
  <c r="P3568" i="29"/>
  <c r="Q3568" i="29"/>
  <c r="F3569" i="29"/>
  <c r="G3569" i="29"/>
  <c r="N3569" i="29"/>
  <c r="P3569" i="29"/>
  <c r="Q3569" i="29"/>
  <c r="R3569" i="29"/>
  <c r="F3570" i="29"/>
  <c r="G3570" i="29"/>
  <c r="N3570" i="29"/>
  <c r="P3570" i="29"/>
  <c r="Q3570" i="29"/>
  <c r="T3570" i="29"/>
  <c r="R3570" i="29"/>
  <c r="F3571" i="29"/>
  <c r="G3571" i="29"/>
  <c r="N3571" i="29"/>
  <c r="P3571" i="29"/>
  <c r="Q3571" i="29"/>
  <c r="F3572" i="29"/>
  <c r="G3572" i="29"/>
  <c r="N3572" i="29"/>
  <c r="P3572" i="29"/>
  <c r="Q3572" i="29"/>
  <c r="F3573" i="29"/>
  <c r="G3573" i="29"/>
  <c r="N3573" i="29"/>
  <c r="P3573" i="29"/>
  <c r="Q3573" i="29"/>
  <c r="T3573" i="29"/>
  <c r="F3574" i="29"/>
  <c r="G3574" i="29"/>
  <c r="N3574" i="29"/>
  <c r="P3574" i="29"/>
  <c r="Q3574" i="29"/>
  <c r="F3575" i="29"/>
  <c r="G3575" i="29"/>
  <c r="N3575" i="29"/>
  <c r="P3575" i="29"/>
  <c r="Q3575" i="29"/>
  <c r="F3576" i="29"/>
  <c r="G3576" i="29"/>
  <c r="N3576" i="29"/>
  <c r="P3576" i="29"/>
  <c r="Q3576" i="29"/>
  <c r="F3577" i="29"/>
  <c r="G3577" i="29"/>
  <c r="N3577" i="29"/>
  <c r="P3577" i="29"/>
  <c r="Q3577" i="29"/>
  <c r="F3578" i="29"/>
  <c r="G3578" i="29"/>
  <c r="N3578" i="29"/>
  <c r="P3578" i="29"/>
  <c r="Q3578" i="29"/>
  <c r="S3578" i="29"/>
  <c r="F3579" i="29"/>
  <c r="G3579" i="29"/>
  <c r="N3579" i="29"/>
  <c r="P3579" i="29"/>
  <c r="Q3579" i="29"/>
  <c r="F3580" i="29"/>
  <c r="G3580" i="29"/>
  <c r="N3580" i="29"/>
  <c r="P3580" i="29"/>
  <c r="Q3580" i="29"/>
  <c r="F3581" i="29"/>
  <c r="G3581" i="29"/>
  <c r="N3581" i="29"/>
  <c r="P3581" i="29"/>
  <c r="Q3581" i="29"/>
  <c r="F3582" i="29"/>
  <c r="G3582" i="29"/>
  <c r="N3582" i="29"/>
  <c r="P3582" i="29"/>
  <c r="Q3582" i="29"/>
  <c r="S3582" i="29"/>
  <c r="F3583" i="29"/>
  <c r="G3583" i="29"/>
  <c r="N3583" i="29"/>
  <c r="P3583" i="29"/>
  <c r="Q3583" i="29"/>
  <c r="T3583" i="29"/>
  <c r="F3584" i="29"/>
  <c r="G3584" i="29"/>
  <c r="N3584" i="29"/>
  <c r="P3584" i="29"/>
  <c r="Q3584" i="29"/>
  <c r="F3585" i="29"/>
  <c r="G3585" i="29"/>
  <c r="N3585" i="29"/>
  <c r="P3585" i="29"/>
  <c r="Q3585" i="29"/>
  <c r="F3586" i="29"/>
  <c r="G3586" i="29"/>
  <c r="N3586" i="29"/>
  <c r="P3586" i="29"/>
  <c r="Q3586" i="29"/>
  <c r="F3587" i="29"/>
  <c r="G3587" i="29"/>
  <c r="N3587" i="29"/>
  <c r="P3587" i="29"/>
  <c r="Q3587" i="29"/>
  <c r="F3588" i="29"/>
  <c r="G3588" i="29"/>
  <c r="N3588" i="29"/>
  <c r="P3588" i="29"/>
  <c r="Q3588" i="29"/>
  <c r="F3589" i="29"/>
  <c r="G3589" i="29"/>
  <c r="N3589" i="29"/>
  <c r="P3589" i="29"/>
  <c r="Q3589" i="29"/>
  <c r="S3589" i="29"/>
  <c r="F3590" i="29"/>
  <c r="G3590" i="29"/>
  <c r="N3590" i="29"/>
  <c r="P3590" i="29"/>
  <c r="Q3590" i="29"/>
  <c r="T3590" i="29"/>
  <c r="F3591" i="29"/>
  <c r="G3591" i="29"/>
  <c r="N3591" i="29"/>
  <c r="P3591" i="29"/>
  <c r="Q3591" i="29"/>
  <c r="S3591" i="29"/>
  <c r="F3592" i="29"/>
  <c r="G3592" i="29"/>
  <c r="N3592" i="29"/>
  <c r="P3592" i="29"/>
  <c r="Q3592" i="29"/>
  <c r="F3593" i="29"/>
  <c r="G3593" i="29"/>
  <c r="J3593" i="29"/>
  <c r="N3593" i="29"/>
  <c r="P3593" i="29"/>
  <c r="Q3593" i="29"/>
  <c r="T3593" i="29"/>
  <c r="F3594" i="29"/>
  <c r="G3594" i="29"/>
  <c r="J3594" i="29"/>
  <c r="N3594" i="29"/>
  <c r="P3594" i="29"/>
  <c r="R3594" i="29"/>
  <c r="Q3594" i="29"/>
  <c r="F3595" i="29"/>
  <c r="G3595" i="29"/>
  <c r="J3595" i="29"/>
  <c r="N3595" i="29"/>
  <c r="P3595" i="29"/>
  <c r="R3595" i="29"/>
  <c r="Q3595" i="29"/>
  <c r="F3596" i="29"/>
  <c r="G3596" i="29"/>
  <c r="N3596" i="29"/>
  <c r="P3596" i="29"/>
  <c r="Q3596" i="29"/>
  <c r="F3597" i="29"/>
  <c r="G3597" i="29"/>
  <c r="J3597" i="29"/>
  <c r="N3597" i="29"/>
  <c r="P3597" i="29"/>
  <c r="R3597" i="29"/>
  <c r="Q3597" i="29"/>
  <c r="F3598" i="29"/>
  <c r="G3598" i="29"/>
  <c r="N3598" i="29"/>
  <c r="P3598" i="29"/>
  <c r="Q3598" i="29"/>
  <c r="V3598" i="29"/>
  <c r="F3599" i="29"/>
  <c r="G3599" i="29"/>
  <c r="N3599" i="29"/>
  <c r="P3599" i="29"/>
  <c r="Q3599" i="29"/>
  <c r="F3600" i="29"/>
  <c r="G3600" i="29"/>
  <c r="N3600" i="29"/>
  <c r="P3600" i="29"/>
  <c r="Q3600" i="29"/>
  <c r="T3600" i="29"/>
  <c r="F3601" i="29"/>
  <c r="G3601" i="29"/>
  <c r="N3601" i="29"/>
  <c r="P3601" i="29"/>
  <c r="Q3601" i="29"/>
  <c r="F3602" i="29"/>
  <c r="G3602" i="29"/>
  <c r="N3602" i="29"/>
  <c r="P3602" i="29"/>
  <c r="Q3602" i="29"/>
  <c r="S3602" i="29"/>
  <c r="F3603" i="29"/>
  <c r="G3603" i="29"/>
  <c r="N3603" i="29"/>
  <c r="P3603" i="29"/>
  <c r="Q3603" i="29"/>
  <c r="T3603" i="29"/>
  <c r="F3604" i="29"/>
  <c r="G3604" i="29"/>
  <c r="N3604" i="29"/>
  <c r="P3604" i="29"/>
  <c r="Q3604" i="29"/>
  <c r="F3605" i="29"/>
  <c r="G3605" i="29"/>
  <c r="N3605" i="29"/>
  <c r="P3605" i="29"/>
  <c r="Q3605" i="29"/>
  <c r="F3606" i="29"/>
  <c r="G3606" i="29"/>
  <c r="N3606" i="29"/>
  <c r="P3606" i="29"/>
  <c r="Q3606" i="29"/>
  <c r="T3606" i="29"/>
  <c r="F3607" i="29"/>
  <c r="G3607" i="29"/>
  <c r="N3607" i="29"/>
  <c r="P3607" i="29"/>
  <c r="Q3607" i="29"/>
  <c r="F3608" i="29"/>
  <c r="G3608" i="29"/>
  <c r="N3608" i="29"/>
  <c r="P3608" i="29"/>
  <c r="Q3608" i="29"/>
  <c r="F3609" i="29"/>
  <c r="G3609" i="29"/>
  <c r="N3609" i="29"/>
  <c r="P3609" i="29"/>
  <c r="Q3609" i="29"/>
  <c r="T3609" i="29"/>
  <c r="F3610" i="29"/>
  <c r="G3610" i="29"/>
  <c r="N3610" i="29"/>
  <c r="P3610" i="29"/>
  <c r="Q3610" i="29"/>
  <c r="S3610" i="29"/>
  <c r="F3611" i="29"/>
  <c r="G3611" i="29"/>
  <c r="N3611" i="29"/>
  <c r="P3611" i="29"/>
  <c r="Q3611" i="29"/>
  <c r="F3612" i="29"/>
  <c r="G3612" i="29"/>
  <c r="N3612" i="29"/>
  <c r="P3612" i="29"/>
  <c r="Q3612" i="29"/>
  <c r="F3613" i="29"/>
  <c r="G3613" i="29"/>
  <c r="N3613" i="29"/>
  <c r="P3613" i="29"/>
  <c r="Q3613" i="29"/>
  <c r="F3614" i="29"/>
  <c r="G3614" i="29"/>
  <c r="N3614" i="29"/>
  <c r="P3614" i="29"/>
  <c r="Q3614" i="29"/>
  <c r="F3615" i="29"/>
  <c r="G3615" i="29"/>
  <c r="N3615" i="29"/>
  <c r="P3615" i="29"/>
  <c r="Q3615" i="29"/>
  <c r="F3616" i="29"/>
  <c r="G3616" i="29"/>
  <c r="N3616" i="29"/>
  <c r="P3616" i="29"/>
  <c r="Q3616" i="29"/>
  <c r="F3617" i="29"/>
  <c r="G3617" i="29"/>
  <c r="N3617" i="29"/>
  <c r="P3617" i="29"/>
  <c r="Q3617" i="29"/>
  <c r="F3618" i="29"/>
  <c r="G3618" i="29"/>
  <c r="N3618" i="29"/>
  <c r="P3618" i="29"/>
  <c r="Q3618" i="29"/>
  <c r="S3618" i="29"/>
  <c r="F3619" i="29"/>
  <c r="G3619" i="29"/>
  <c r="N3619" i="29"/>
  <c r="P3619" i="29"/>
  <c r="Q3619" i="29"/>
  <c r="F3620" i="29"/>
  <c r="G3620" i="29"/>
  <c r="N3620" i="29"/>
  <c r="P3620" i="29"/>
  <c r="Q3620" i="29"/>
  <c r="F3621" i="29"/>
  <c r="G3621" i="29"/>
  <c r="J3621" i="29"/>
  <c r="N3621" i="29"/>
  <c r="P3621" i="29"/>
  <c r="Q3621" i="29"/>
  <c r="F3622" i="29"/>
  <c r="G3622" i="29"/>
  <c r="N3622" i="29"/>
  <c r="P3622" i="29"/>
  <c r="Q3622" i="29"/>
  <c r="F3623" i="29"/>
  <c r="G3623" i="29"/>
  <c r="N3623" i="29"/>
  <c r="P3623" i="29"/>
  <c r="Q3623" i="29"/>
  <c r="F3624" i="29"/>
  <c r="G3624" i="29"/>
  <c r="N3624" i="29"/>
  <c r="P3624" i="29"/>
  <c r="Q3624" i="29"/>
  <c r="F3625" i="29"/>
  <c r="G3625" i="29"/>
  <c r="J3625" i="29"/>
  <c r="N3625" i="29"/>
  <c r="P3625" i="29"/>
  <c r="Q3625" i="29"/>
  <c r="F3626" i="29"/>
  <c r="G3626" i="29"/>
  <c r="J3626" i="29"/>
  <c r="N3626" i="29"/>
  <c r="P3626" i="29"/>
  <c r="R3626" i="29"/>
  <c r="Q3626" i="29"/>
  <c r="F3627" i="29"/>
  <c r="G3627" i="29"/>
  <c r="J3627" i="29"/>
  <c r="N3627" i="29"/>
  <c r="P3627" i="29"/>
  <c r="R3627" i="29"/>
  <c r="Q3627" i="29"/>
  <c r="F3628" i="29"/>
  <c r="G3628" i="29"/>
  <c r="N3628" i="29"/>
  <c r="P3628" i="29"/>
  <c r="Q3628" i="29"/>
  <c r="F3629" i="29"/>
  <c r="G3629" i="29"/>
  <c r="N3629" i="29"/>
  <c r="P3629" i="29"/>
  <c r="Q3629" i="29"/>
  <c r="F3630" i="29"/>
  <c r="G3630" i="29"/>
  <c r="N3630" i="29"/>
  <c r="P3630" i="29"/>
  <c r="Q3630" i="29"/>
  <c r="F3631" i="29"/>
  <c r="G3631" i="29"/>
  <c r="N3631" i="29"/>
  <c r="P3631" i="29"/>
  <c r="Q3631" i="29"/>
  <c r="F3632" i="29"/>
  <c r="G3632" i="29"/>
  <c r="N3632" i="29"/>
  <c r="P3632" i="29"/>
  <c r="Q3632" i="29"/>
  <c r="F3633" i="29"/>
  <c r="G3633" i="29"/>
  <c r="N3633" i="29"/>
  <c r="P3633" i="29"/>
  <c r="Q3633" i="29"/>
  <c r="S3633" i="29"/>
  <c r="F3634" i="29"/>
  <c r="G3634" i="29"/>
  <c r="N3634" i="29"/>
  <c r="P3634" i="29"/>
  <c r="Q3634" i="29"/>
  <c r="F3635" i="29"/>
  <c r="G3635" i="29"/>
  <c r="N3635" i="29"/>
  <c r="P3635" i="29"/>
  <c r="Q3635" i="29"/>
  <c r="R3635" i="29"/>
  <c r="F3636" i="29"/>
  <c r="G3636" i="29"/>
  <c r="N3636" i="29"/>
  <c r="P3636" i="29"/>
  <c r="Q3636" i="29"/>
  <c r="F3637" i="29"/>
  <c r="G3637" i="29"/>
  <c r="N3637" i="29"/>
  <c r="P3637" i="29"/>
  <c r="Q3637" i="29"/>
  <c r="T3637" i="29"/>
  <c r="F3638" i="29"/>
  <c r="G3638" i="29"/>
  <c r="N3638" i="29"/>
  <c r="P3638" i="29"/>
  <c r="Q3638" i="29"/>
  <c r="S3638" i="29"/>
  <c r="F3639" i="29"/>
  <c r="G3639" i="29"/>
  <c r="N3639" i="29"/>
  <c r="P3639" i="29"/>
  <c r="Q3639" i="29"/>
  <c r="R3639" i="29"/>
  <c r="F3640" i="29"/>
  <c r="G3640" i="29"/>
  <c r="N3640" i="29"/>
  <c r="P3640" i="29"/>
  <c r="Q3640" i="29"/>
  <c r="F3641" i="29"/>
  <c r="G3641" i="29"/>
  <c r="N3641" i="29"/>
  <c r="P3641" i="29"/>
  <c r="Q3641" i="29"/>
  <c r="S3641" i="29"/>
  <c r="F3642" i="29"/>
  <c r="G3642" i="29"/>
  <c r="N3642" i="29"/>
  <c r="P3642" i="29"/>
  <c r="Q3642" i="29"/>
  <c r="F3643" i="29"/>
  <c r="G3643" i="29"/>
  <c r="N3643" i="29"/>
  <c r="P3643" i="29"/>
  <c r="Q3643" i="29"/>
  <c r="F3644" i="29"/>
  <c r="G3644" i="29"/>
  <c r="N3644" i="29"/>
  <c r="P3644" i="29"/>
  <c r="Q3644" i="29"/>
  <c r="F3645" i="29"/>
  <c r="G3645" i="29"/>
  <c r="N3645" i="29"/>
  <c r="P3645" i="29"/>
  <c r="Q3645" i="29"/>
  <c r="F3646" i="29"/>
  <c r="G3646" i="29"/>
  <c r="N3646" i="29"/>
  <c r="P3646" i="29"/>
  <c r="Q3646" i="29"/>
  <c r="F3647" i="29"/>
  <c r="G3647" i="29"/>
  <c r="N3647" i="29"/>
  <c r="P3647" i="29"/>
  <c r="Q3647" i="29"/>
  <c r="F3648" i="29"/>
  <c r="G3648" i="29"/>
  <c r="N3648" i="29"/>
  <c r="P3648" i="29"/>
  <c r="Q3648" i="29"/>
  <c r="F3649" i="29"/>
  <c r="G3649" i="29"/>
  <c r="N3649" i="29"/>
  <c r="P3649" i="29"/>
  <c r="Q3649" i="29"/>
  <c r="R3649" i="29"/>
  <c r="F3650" i="29"/>
  <c r="G3650" i="29"/>
  <c r="N3650" i="29"/>
  <c r="P3650" i="29"/>
  <c r="Q3650" i="29"/>
  <c r="R3650" i="29"/>
  <c r="F3651" i="29"/>
  <c r="G3651" i="29"/>
  <c r="N3651" i="29"/>
  <c r="P3651" i="29"/>
  <c r="Q3651" i="29"/>
  <c r="R3651" i="29"/>
  <c r="F3652" i="29"/>
  <c r="G3652" i="29"/>
  <c r="N3652" i="29"/>
  <c r="P3652" i="29"/>
  <c r="Q3652" i="29"/>
  <c r="R3652" i="29"/>
  <c r="F3653" i="29"/>
  <c r="G3653" i="29"/>
  <c r="N3653" i="29"/>
  <c r="P3653" i="29"/>
  <c r="Q3653" i="29"/>
  <c r="R3653" i="29"/>
  <c r="F3654" i="29"/>
  <c r="G3654" i="29"/>
  <c r="N3654" i="29"/>
  <c r="P3654" i="29"/>
  <c r="Q3654" i="29"/>
  <c r="F3655" i="29"/>
  <c r="G3655" i="29"/>
  <c r="N3655" i="29"/>
  <c r="P3655" i="29"/>
  <c r="Q3655" i="29"/>
  <c r="F3656" i="29"/>
  <c r="G3656" i="29"/>
  <c r="N3656" i="29"/>
  <c r="P3656" i="29"/>
  <c r="Q3656" i="29"/>
  <c r="F3657" i="29"/>
  <c r="G3657" i="29"/>
  <c r="N3657" i="29"/>
  <c r="P3657" i="29"/>
  <c r="Q3657" i="29"/>
  <c r="F3658" i="29"/>
  <c r="G3658" i="29"/>
  <c r="N3658" i="29"/>
  <c r="P3658" i="29"/>
  <c r="Q3658" i="29"/>
  <c r="F3659" i="29"/>
  <c r="G3659" i="29"/>
  <c r="N3659" i="29"/>
  <c r="P3659" i="29"/>
  <c r="Q3659" i="29"/>
  <c r="F3660" i="29"/>
  <c r="G3660" i="29"/>
  <c r="N3660" i="29"/>
  <c r="P3660" i="29"/>
  <c r="Q3660" i="29"/>
  <c r="F3661" i="29"/>
  <c r="G3661" i="29"/>
  <c r="N3661" i="29"/>
  <c r="P3661" i="29"/>
  <c r="Q3661" i="29"/>
  <c r="F3662" i="29"/>
  <c r="G3662" i="29"/>
  <c r="N3662" i="29"/>
  <c r="P3662" i="29"/>
  <c r="Q3662" i="29"/>
  <c r="S3662" i="29"/>
  <c r="F3663" i="29"/>
  <c r="G3663" i="29"/>
  <c r="N3663" i="29"/>
  <c r="P3663" i="29"/>
  <c r="Q3663" i="29"/>
  <c r="T3663" i="29"/>
  <c r="F3664" i="29"/>
  <c r="G3664" i="29"/>
  <c r="N3664" i="29"/>
  <c r="P3664" i="29"/>
  <c r="Q3664" i="29"/>
  <c r="F3665" i="29"/>
  <c r="G3665" i="29"/>
  <c r="N3665" i="29"/>
  <c r="P3665" i="29"/>
  <c r="Q3665" i="29"/>
  <c r="F3666" i="29"/>
  <c r="G3666" i="29"/>
  <c r="N3666" i="29"/>
  <c r="P3666" i="29"/>
  <c r="Q3666" i="29"/>
  <c r="F3667" i="29"/>
  <c r="G3667" i="29"/>
  <c r="N3667" i="29"/>
  <c r="P3667" i="29"/>
  <c r="Q3667" i="29"/>
  <c r="F3668" i="29"/>
  <c r="G3668" i="29"/>
  <c r="N3668" i="29"/>
  <c r="P3668" i="29"/>
  <c r="Q3668" i="29"/>
  <c r="N3669" i="29"/>
  <c r="W3669" i="29"/>
  <c r="F3670" i="29"/>
  <c r="G3670" i="29"/>
  <c r="N3670" i="29"/>
  <c r="P3670" i="29"/>
  <c r="Q3670" i="29"/>
  <c r="S3670" i="29"/>
  <c r="F3671" i="29"/>
  <c r="G3671" i="29"/>
  <c r="N3671" i="29"/>
  <c r="P3671" i="29"/>
  <c r="Q3671" i="29"/>
  <c r="S3671" i="29"/>
  <c r="F3672" i="29"/>
  <c r="G3672" i="29"/>
  <c r="N3672" i="29"/>
  <c r="P3672" i="29"/>
  <c r="Q3672" i="29"/>
  <c r="T3672" i="29"/>
  <c r="F3673" i="29"/>
  <c r="G3673" i="29"/>
  <c r="N3673" i="29"/>
  <c r="P3673" i="29"/>
  <c r="Q3673" i="29"/>
  <c r="F3674" i="29"/>
  <c r="G3674" i="29"/>
  <c r="N3674" i="29"/>
  <c r="P3674" i="29"/>
  <c r="Q3674" i="29"/>
  <c r="S3674" i="29"/>
  <c r="F3675" i="29"/>
  <c r="G3675" i="29"/>
  <c r="N3675" i="29"/>
  <c r="P3675" i="29"/>
  <c r="Q3675" i="29"/>
  <c r="F3676" i="29"/>
  <c r="G3676" i="29"/>
  <c r="N3676" i="29"/>
  <c r="P3676" i="29"/>
  <c r="Q3676" i="29"/>
  <c r="F3677" i="29"/>
  <c r="G3677" i="29"/>
  <c r="N3677" i="29"/>
  <c r="P3677" i="29"/>
  <c r="Q3677" i="29"/>
  <c r="F3678" i="29"/>
  <c r="G3678" i="29"/>
  <c r="N3678" i="29"/>
  <c r="P3678" i="29"/>
  <c r="Q3678" i="29"/>
  <c r="F3679" i="29"/>
  <c r="G3679" i="29"/>
  <c r="N3679" i="29"/>
  <c r="P3679" i="29"/>
  <c r="Q3679" i="29"/>
  <c r="F3680" i="29"/>
  <c r="G3680" i="29"/>
  <c r="N3680" i="29"/>
  <c r="P3680" i="29"/>
  <c r="S3680" i="29"/>
  <c r="T3680" i="29"/>
  <c r="F3681" i="29"/>
  <c r="G3681" i="29"/>
  <c r="N3681" i="29"/>
  <c r="P3681" i="29"/>
  <c r="Q3681" i="29"/>
  <c r="F3682" i="29"/>
  <c r="G3682" i="29"/>
  <c r="N3682" i="29"/>
  <c r="P3682" i="29"/>
  <c r="Q3682" i="29"/>
  <c r="F3683" i="29"/>
  <c r="G3683" i="29"/>
  <c r="N3683" i="29"/>
  <c r="P3683" i="29"/>
  <c r="Q3683" i="29"/>
  <c r="F3684" i="29"/>
  <c r="G3684" i="29"/>
  <c r="N3684" i="29"/>
  <c r="P3684" i="29"/>
  <c r="Q3684" i="29"/>
  <c r="T3684" i="29"/>
  <c r="F3685" i="29"/>
  <c r="G3685" i="29"/>
  <c r="N3685" i="29"/>
  <c r="P3685" i="29"/>
  <c r="Q3685" i="29"/>
  <c r="F3686" i="29"/>
  <c r="G3686" i="29"/>
  <c r="N3686" i="29"/>
  <c r="P3686" i="29"/>
  <c r="Q3686" i="29"/>
  <c r="T3686" i="29"/>
  <c r="F3687" i="29"/>
  <c r="G3687" i="29"/>
  <c r="N3687" i="29"/>
  <c r="P3687" i="29"/>
  <c r="Q3687" i="29"/>
  <c r="F3688" i="29"/>
  <c r="G3688" i="29"/>
  <c r="N3688" i="29"/>
  <c r="P3688" i="29"/>
  <c r="Q3688" i="29"/>
  <c r="F3689" i="29"/>
  <c r="G3689" i="29"/>
  <c r="N3689" i="29"/>
  <c r="P3689" i="29"/>
  <c r="Q3689" i="29"/>
  <c r="S3689" i="29"/>
  <c r="F3690" i="29"/>
  <c r="G3690" i="29"/>
  <c r="N3690" i="29"/>
  <c r="P3690" i="29"/>
  <c r="Q3690" i="29"/>
  <c r="F3691" i="29"/>
  <c r="G3691" i="29"/>
  <c r="N3691" i="29"/>
  <c r="P3691" i="29"/>
  <c r="Q3691" i="29"/>
  <c r="F3692" i="29"/>
  <c r="G3692" i="29"/>
  <c r="N3692" i="29"/>
  <c r="P3692" i="29"/>
  <c r="Q3692" i="29"/>
  <c r="F3693" i="29"/>
  <c r="G3693" i="29"/>
  <c r="N3693" i="29"/>
  <c r="P3693" i="29"/>
  <c r="R3693" i="29"/>
  <c r="Q3693" i="29"/>
  <c r="F3694" i="29"/>
  <c r="G3694" i="29"/>
  <c r="N3694" i="29"/>
  <c r="P3694" i="29"/>
  <c r="Q3694" i="29"/>
  <c r="F3695" i="29"/>
  <c r="G3695" i="29"/>
  <c r="N3695" i="29"/>
  <c r="P3695" i="29"/>
  <c r="Q3695" i="29"/>
  <c r="F3696" i="29"/>
  <c r="G3696" i="29"/>
  <c r="N3696" i="29"/>
  <c r="P3696" i="29"/>
  <c r="Q3696" i="29"/>
  <c r="F3697" i="29"/>
  <c r="G3697" i="29"/>
  <c r="N3697" i="29"/>
  <c r="P3697" i="29"/>
  <c r="Q3697" i="29"/>
  <c r="F3698" i="29"/>
  <c r="G3698" i="29"/>
  <c r="N3698" i="29"/>
  <c r="P3698" i="29"/>
  <c r="Q3698" i="29"/>
  <c r="S3698" i="29"/>
  <c r="F3699" i="29"/>
  <c r="G3699" i="29"/>
  <c r="N3699" i="29"/>
  <c r="P3699" i="29"/>
  <c r="Q3699" i="29"/>
  <c r="S3699" i="29"/>
  <c r="F3700" i="29"/>
  <c r="G3700" i="29"/>
  <c r="N3700" i="29"/>
  <c r="P3700" i="29"/>
  <c r="Q3700" i="29"/>
  <c r="F3701" i="29"/>
  <c r="G3701" i="29"/>
  <c r="N3701" i="29"/>
  <c r="P3701" i="29"/>
  <c r="Q3701" i="29"/>
  <c r="S3701" i="29"/>
  <c r="F3702" i="29"/>
  <c r="G3702" i="29"/>
  <c r="N3702" i="29"/>
  <c r="P3702" i="29"/>
  <c r="Q3702" i="29"/>
  <c r="F3703" i="29"/>
  <c r="G3703" i="29"/>
  <c r="N3703" i="29"/>
  <c r="P3703" i="29"/>
  <c r="Q3703" i="29"/>
  <c r="F3704" i="29"/>
  <c r="G3704" i="29"/>
  <c r="N3704" i="29"/>
  <c r="P3704" i="29"/>
  <c r="Q3704" i="29"/>
  <c r="F3705" i="29"/>
  <c r="G3705" i="29"/>
  <c r="N3705" i="29"/>
  <c r="P3705" i="29"/>
  <c r="Q3705" i="29"/>
  <c r="F3706" i="29"/>
  <c r="G3706" i="29"/>
  <c r="N3706" i="29"/>
  <c r="P3706" i="29"/>
  <c r="Q3706" i="29"/>
  <c r="F3707" i="29"/>
  <c r="G3707" i="29"/>
  <c r="N3707" i="29"/>
  <c r="P3707" i="29"/>
  <c r="Q3707" i="29"/>
  <c r="S3707" i="29"/>
  <c r="F3708" i="29"/>
  <c r="G3708" i="29"/>
  <c r="N3708" i="29"/>
  <c r="P3708" i="29"/>
  <c r="Q3708" i="29"/>
  <c r="S3708" i="29"/>
  <c r="F3709" i="29"/>
  <c r="G3709" i="29"/>
  <c r="N3709" i="29"/>
  <c r="P3709" i="29"/>
  <c r="Q3709" i="29"/>
  <c r="F3710" i="29"/>
  <c r="G3710" i="29"/>
  <c r="N3710" i="29"/>
  <c r="P3710" i="29"/>
  <c r="Q3710" i="29"/>
  <c r="F3711" i="29"/>
  <c r="G3711" i="29"/>
  <c r="N3711" i="29"/>
  <c r="P3711" i="29"/>
  <c r="Q3711" i="29"/>
  <c r="F3712" i="29"/>
  <c r="G3712" i="29"/>
  <c r="N3712" i="29"/>
  <c r="P3712" i="29"/>
  <c r="Q3712" i="29"/>
  <c r="S3712" i="29"/>
  <c r="F3713" i="29"/>
  <c r="G3713" i="29"/>
  <c r="N3713" i="29"/>
  <c r="P3713" i="29"/>
  <c r="Q3713" i="29"/>
  <c r="F3714" i="29"/>
  <c r="K3714" i="29"/>
  <c r="G3714" i="29"/>
  <c r="N3714" i="29"/>
  <c r="P3714" i="29"/>
  <c r="Q3714" i="29"/>
  <c r="F3715" i="29"/>
  <c r="G3715" i="29"/>
  <c r="N3715" i="29"/>
  <c r="P3715" i="29"/>
  <c r="Q3715" i="29"/>
  <c r="F3716" i="29"/>
  <c r="G3716" i="29"/>
  <c r="N3716" i="29"/>
  <c r="P3716" i="29"/>
  <c r="Q3716" i="29"/>
  <c r="F3717" i="29"/>
  <c r="G3717" i="29"/>
  <c r="N3717" i="29"/>
  <c r="P3717" i="29"/>
  <c r="Q3717" i="29"/>
  <c r="F3718" i="29"/>
  <c r="G3718" i="29"/>
  <c r="N3718" i="29"/>
  <c r="P3718" i="29"/>
  <c r="Q3718" i="29"/>
  <c r="F3719" i="29"/>
  <c r="G3719" i="29"/>
  <c r="N3719" i="29"/>
  <c r="P3719" i="29"/>
  <c r="Q3719" i="29"/>
  <c r="T3719" i="29"/>
  <c r="F3720" i="29"/>
  <c r="G3720" i="29"/>
  <c r="N3720" i="29"/>
  <c r="P3720" i="29"/>
  <c r="Q3720" i="29"/>
  <c r="S3720" i="29"/>
  <c r="F3721" i="29"/>
  <c r="G3721" i="29"/>
  <c r="N3721" i="29"/>
  <c r="P3721" i="29"/>
  <c r="Q3721" i="29"/>
  <c r="F3722" i="29"/>
  <c r="G3722" i="29"/>
  <c r="N3722" i="29"/>
  <c r="P3722" i="29"/>
  <c r="Q3722" i="29"/>
  <c r="F3723" i="29"/>
  <c r="G3723" i="29"/>
  <c r="N3723" i="29"/>
  <c r="P3723" i="29"/>
  <c r="Q3723" i="29"/>
  <c r="F3724" i="29"/>
  <c r="G3724" i="29"/>
  <c r="N3724" i="29"/>
  <c r="P3724" i="29"/>
  <c r="Q3724" i="29"/>
  <c r="S3724" i="29"/>
  <c r="F3725" i="29"/>
  <c r="G3725" i="29"/>
  <c r="N3725" i="29"/>
  <c r="P3725" i="29"/>
  <c r="Q3725" i="29"/>
  <c r="F3726" i="29"/>
  <c r="G3726" i="29"/>
  <c r="N3726" i="29"/>
  <c r="P3726" i="29"/>
  <c r="Q3726" i="29"/>
  <c r="F3727" i="29"/>
  <c r="G3727" i="29"/>
  <c r="N3727" i="29"/>
  <c r="P3727" i="29"/>
  <c r="Q3727" i="29"/>
  <c r="S3727" i="29"/>
  <c r="F3728" i="29"/>
  <c r="G3728" i="29"/>
  <c r="N3728" i="29"/>
  <c r="P3728" i="29"/>
  <c r="Q3728" i="29"/>
  <c r="F3729" i="29"/>
  <c r="G3729" i="29"/>
  <c r="N3729" i="29"/>
  <c r="P3729" i="29"/>
  <c r="Q3729" i="29"/>
  <c r="F3730" i="29"/>
  <c r="G3730" i="29"/>
  <c r="N3730" i="29"/>
  <c r="P3730" i="29"/>
  <c r="Q3730" i="29"/>
  <c r="F3731" i="29"/>
  <c r="G3731" i="29"/>
  <c r="N3731" i="29"/>
  <c r="P3731" i="29"/>
  <c r="Q3731" i="29"/>
  <c r="F3732" i="29"/>
  <c r="G3732" i="29"/>
  <c r="N3732" i="29"/>
  <c r="P3732" i="29"/>
  <c r="Q3732" i="29"/>
  <c r="F3733" i="29"/>
  <c r="G3733" i="29"/>
  <c r="N3733" i="29"/>
  <c r="P3733" i="29"/>
  <c r="Q3733" i="29"/>
  <c r="R3733" i="29"/>
  <c r="F3734" i="29"/>
  <c r="G3734" i="29"/>
  <c r="N3734" i="29"/>
  <c r="P3734" i="29"/>
  <c r="Q3734" i="29"/>
  <c r="R3734" i="29"/>
  <c r="F3735" i="29"/>
  <c r="G3735" i="29"/>
  <c r="N3735" i="29"/>
  <c r="P3735" i="29"/>
  <c r="Q3735" i="29"/>
  <c r="R3735" i="29"/>
  <c r="F3736" i="29"/>
  <c r="G3736" i="29"/>
  <c r="N3736" i="29"/>
  <c r="P3736" i="29"/>
  <c r="Q3736" i="29"/>
  <c r="R3736" i="29"/>
  <c r="F3737" i="29"/>
  <c r="G3737" i="29"/>
  <c r="N3737" i="29"/>
  <c r="P3737" i="29"/>
  <c r="Q3737" i="29"/>
  <c r="R3737" i="29"/>
  <c r="F3738" i="29"/>
  <c r="G3738" i="29"/>
  <c r="N3738" i="29"/>
  <c r="P3738" i="29"/>
  <c r="Q3738" i="29"/>
  <c r="F3739" i="29"/>
  <c r="G3739" i="29"/>
  <c r="N3739" i="29"/>
  <c r="P3739" i="29"/>
  <c r="Q3739" i="29"/>
  <c r="T3739" i="29"/>
  <c r="F3740" i="29"/>
  <c r="G3740" i="29"/>
  <c r="N3740" i="29"/>
  <c r="P3740" i="29"/>
  <c r="Q3740" i="29"/>
  <c r="F3741" i="29"/>
  <c r="G3741" i="29"/>
  <c r="N3741" i="29"/>
  <c r="P3741" i="29"/>
  <c r="Q3741" i="29"/>
  <c r="S3741" i="29"/>
  <c r="F3742" i="29"/>
  <c r="G3742" i="29"/>
  <c r="N3742" i="29"/>
  <c r="P3742" i="29"/>
  <c r="Q3742" i="29"/>
  <c r="F3743" i="29"/>
  <c r="G3743" i="29"/>
  <c r="N3743" i="29"/>
  <c r="P3743" i="29"/>
  <c r="Q3743" i="29"/>
  <c r="F3744" i="29"/>
  <c r="G3744" i="29"/>
  <c r="N3744" i="29"/>
  <c r="P3744" i="29"/>
  <c r="Q3744" i="29"/>
  <c r="F3745" i="29"/>
  <c r="G3745" i="29"/>
  <c r="N3745" i="29"/>
  <c r="P3745" i="29"/>
  <c r="Q3745" i="29"/>
  <c r="F3746" i="29"/>
  <c r="G3746" i="29"/>
  <c r="N3746" i="29"/>
  <c r="P3746" i="29"/>
  <c r="Q3746" i="29"/>
  <c r="F3747" i="29"/>
  <c r="G3747" i="29"/>
  <c r="N3747" i="29"/>
  <c r="P3747" i="29"/>
  <c r="Q3747" i="29"/>
  <c r="F3748" i="29"/>
  <c r="G3748" i="29"/>
  <c r="N3748" i="29"/>
  <c r="P3748" i="29"/>
  <c r="Q3748" i="29"/>
  <c r="F3749" i="29"/>
  <c r="G3749" i="29"/>
  <c r="N3749" i="29"/>
  <c r="P3749" i="29"/>
  <c r="Q3749" i="29"/>
  <c r="F3750" i="29"/>
  <c r="G3750" i="29"/>
  <c r="N3750" i="29"/>
  <c r="P3750" i="29"/>
  <c r="Q3750" i="29"/>
  <c r="F3751" i="29"/>
  <c r="G3751" i="29"/>
  <c r="N3751" i="29"/>
  <c r="P3751" i="29"/>
  <c r="Q3751" i="29"/>
  <c r="T3751" i="29"/>
  <c r="N3752" i="29"/>
  <c r="W3752" i="29"/>
  <c r="F3753" i="29"/>
  <c r="G3753" i="29"/>
  <c r="N3753" i="29"/>
  <c r="P3753" i="29"/>
  <c r="Q3753" i="29"/>
  <c r="F3754" i="29"/>
  <c r="G3754" i="29"/>
  <c r="N3754" i="29"/>
  <c r="P3754" i="29"/>
  <c r="Q3754" i="29"/>
  <c r="S3754" i="29"/>
  <c r="F3755" i="29"/>
  <c r="G3755" i="29"/>
  <c r="N3755" i="29"/>
  <c r="P3755" i="29"/>
  <c r="Q3755" i="29"/>
  <c r="F3756" i="29"/>
  <c r="G3756" i="29"/>
  <c r="J3756" i="29"/>
  <c r="N3756" i="29"/>
  <c r="P3756" i="29"/>
  <c r="Q3756" i="29"/>
  <c r="F3757" i="29"/>
  <c r="G3757" i="29"/>
  <c r="J3757" i="29"/>
  <c r="N3757" i="29"/>
  <c r="P3757" i="29"/>
  <c r="R3757" i="29"/>
  <c r="Q3757" i="29"/>
  <c r="F3758" i="29"/>
  <c r="G3758" i="29"/>
  <c r="J3758" i="29"/>
  <c r="N3758" i="29"/>
  <c r="P3758" i="29"/>
  <c r="R3758" i="29"/>
  <c r="Q3758" i="29"/>
  <c r="F3759" i="29"/>
  <c r="G3759" i="29"/>
  <c r="N3759" i="29"/>
  <c r="P3759" i="29"/>
  <c r="Q3759" i="29"/>
  <c r="F3760" i="29"/>
  <c r="G3760" i="29"/>
  <c r="N3760" i="29"/>
  <c r="P3760" i="29"/>
  <c r="Q3760" i="29"/>
  <c r="F3761" i="29"/>
  <c r="G3761" i="29"/>
  <c r="N3761" i="29"/>
  <c r="P3761" i="29"/>
  <c r="Q3761" i="29"/>
  <c r="F3762" i="29"/>
  <c r="G3762" i="29"/>
  <c r="N3762" i="29"/>
  <c r="P3762" i="29"/>
  <c r="Q3762" i="29"/>
  <c r="T3762" i="29"/>
  <c r="F3763" i="29"/>
  <c r="G3763" i="29"/>
  <c r="N3763" i="29"/>
  <c r="P3763" i="29"/>
  <c r="Q3763" i="29"/>
  <c r="F3764" i="29"/>
  <c r="G3764" i="29"/>
  <c r="N3764" i="29"/>
  <c r="P3764" i="29"/>
  <c r="Q3764" i="29"/>
  <c r="G3765" i="29"/>
  <c r="E3765" i="29"/>
  <c r="N3765" i="29"/>
  <c r="P3765" i="29"/>
  <c r="Q3765" i="29"/>
  <c r="T3765" i="29"/>
  <c r="R3765" i="29"/>
  <c r="F3766" i="29"/>
  <c r="G3766" i="29"/>
  <c r="N3766" i="29"/>
  <c r="P3766" i="29"/>
  <c r="Q3766" i="29"/>
  <c r="T3766" i="29"/>
  <c r="F3767" i="29"/>
  <c r="G3767" i="29"/>
  <c r="N3767" i="29"/>
  <c r="P3767" i="29"/>
  <c r="Q3767" i="29"/>
  <c r="F3768" i="29"/>
  <c r="G3768" i="29"/>
  <c r="N3768" i="29"/>
  <c r="P3768" i="29"/>
  <c r="Q3768" i="29"/>
  <c r="F3769" i="29"/>
  <c r="G3769" i="29"/>
  <c r="N3769" i="29"/>
  <c r="P3769" i="29"/>
  <c r="Q3769" i="29"/>
  <c r="F3770" i="29"/>
  <c r="G3770" i="29"/>
  <c r="N3770" i="29"/>
  <c r="P3770" i="29"/>
  <c r="Q3770" i="29"/>
  <c r="S3770" i="29"/>
  <c r="F3771" i="29"/>
  <c r="G3771" i="29"/>
  <c r="N3771" i="29"/>
  <c r="P3771" i="29"/>
  <c r="Q3771" i="29"/>
  <c r="F3772" i="29"/>
  <c r="G3772" i="29"/>
  <c r="N3772" i="29"/>
  <c r="P3772" i="29"/>
  <c r="Q3772" i="29"/>
  <c r="R3772" i="29"/>
  <c r="F3773" i="29"/>
  <c r="G3773" i="29"/>
  <c r="N3773" i="29"/>
  <c r="P3773" i="29"/>
  <c r="Q3773" i="29"/>
  <c r="T3773" i="29"/>
  <c r="F3774" i="29"/>
  <c r="G3774" i="29"/>
  <c r="N3774" i="29"/>
  <c r="P3774" i="29"/>
  <c r="Q3774" i="29"/>
  <c r="T3774" i="29"/>
  <c r="F3775" i="29"/>
  <c r="G3775" i="29"/>
  <c r="N3775" i="29"/>
  <c r="P3775" i="29"/>
  <c r="Q3775" i="29"/>
  <c r="S3775" i="29"/>
  <c r="F3776" i="29"/>
  <c r="G3776" i="29"/>
  <c r="N3776" i="29"/>
  <c r="P3776" i="29"/>
  <c r="Q3776" i="29"/>
  <c r="S3776" i="29"/>
  <c r="F3777" i="29"/>
  <c r="G3777" i="29"/>
  <c r="N3777" i="29"/>
  <c r="P3777" i="29"/>
  <c r="Q3777" i="29"/>
  <c r="F3778" i="29"/>
  <c r="G3778" i="29"/>
  <c r="N3778" i="29"/>
  <c r="P3778" i="29"/>
  <c r="Q3778" i="29"/>
  <c r="F3779" i="29"/>
  <c r="G3779" i="29"/>
  <c r="N3779" i="29"/>
  <c r="P3779" i="29"/>
  <c r="Q3779" i="29"/>
  <c r="F3780" i="29"/>
  <c r="G3780" i="29"/>
  <c r="N3780" i="29"/>
  <c r="P3780" i="29"/>
  <c r="Q3780" i="29"/>
  <c r="F3781" i="29"/>
  <c r="G3781" i="29"/>
  <c r="N3781" i="29"/>
  <c r="P3781" i="29"/>
  <c r="Q3781" i="29"/>
  <c r="T3781" i="29"/>
  <c r="F3782" i="29"/>
  <c r="G3782" i="29"/>
  <c r="N3782" i="29"/>
  <c r="P3782" i="29"/>
  <c r="Q3782" i="29"/>
  <c r="F3783" i="29"/>
  <c r="G3783" i="29"/>
  <c r="J3783" i="29"/>
  <c r="N3783" i="29"/>
  <c r="P3783" i="29"/>
  <c r="R3783" i="29"/>
  <c r="Q3783" i="29"/>
  <c r="F3784" i="29"/>
  <c r="G3784" i="29"/>
  <c r="N3784" i="29"/>
  <c r="P3784" i="29"/>
  <c r="Q3784" i="29"/>
  <c r="F3785" i="29"/>
  <c r="G3785" i="29"/>
  <c r="J3785" i="29"/>
  <c r="N3785" i="29"/>
  <c r="P3785" i="29"/>
  <c r="Q3785" i="29"/>
  <c r="F3786" i="29"/>
  <c r="G3786" i="29"/>
  <c r="J3786" i="29"/>
  <c r="N3786" i="29"/>
  <c r="P3786" i="29"/>
  <c r="R3786" i="29"/>
  <c r="Q3786" i="29"/>
  <c r="F3787" i="29"/>
  <c r="G3787" i="29"/>
  <c r="J3787" i="29"/>
  <c r="N3787" i="29"/>
  <c r="P3787" i="29"/>
  <c r="R3787" i="29"/>
  <c r="Q3787" i="29"/>
  <c r="F3788" i="29"/>
  <c r="G3788" i="29"/>
  <c r="N3788" i="29"/>
  <c r="P3788" i="29"/>
  <c r="Q3788" i="29"/>
  <c r="F3789" i="29"/>
  <c r="G3789" i="29"/>
  <c r="N3789" i="29"/>
  <c r="P3789" i="29"/>
  <c r="Q3789" i="29"/>
  <c r="F3790" i="29"/>
  <c r="G3790" i="29"/>
  <c r="N3790" i="29"/>
  <c r="P3790" i="29"/>
  <c r="Q3790" i="29"/>
  <c r="F3791" i="29"/>
  <c r="G3791" i="29"/>
  <c r="N3791" i="29"/>
  <c r="P3791" i="29"/>
  <c r="Q3791" i="29"/>
  <c r="S3791" i="29"/>
  <c r="F3792" i="29"/>
  <c r="G3792" i="29"/>
  <c r="N3792" i="29"/>
  <c r="P3792" i="29"/>
  <c r="Q3792" i="29"/>
  <c r="T3792" i="29"/>
  <c r="F3793" i="29"/>
  <c r="G3793" i="29"/>
  <c r="N3793" i="29"/>
  <c r="P3793" i="29"/>
  <c r="Q3793" i="29"/>
  <c r="F3794" i="29"/>
  <c r="G3794" i="29"/>
  <c r="N3794" i="29"/>
  <c r="P3794" i="29"/>
  <c r="Q3794" i="29"/>
  <c r="F3795" i="29"/>
  <c r="G3795" i="29"/>
  <c r="N3795" i="29"/>
  <c r="P3795" i="29"/>
  <c r="Q3795" i="29"/>
  <c r="F3796" i="29"/>
  <c r="K3796" i="29"/>
  <c r="G3796" i="29"/>
  <c r="N3796" i="29"/>
  <c r="P3796" i="29"/>
  <c r="Q3796" i="29"/>
  <c r="F3797" i="29"/>
  <c r="G3797" i="29"/>
  <c r="N3797" i="29"/>
  <c r="P3797" i="29"/>
  <c r="Q3797" i="29"/>
  <c r="F3798" i="29"/>
  <c r="G3798" i="29"/>
  <c r="N3798" i="29"/>
  <c r="P3798" i="29"/>
  <c r="Q3798" i="29"/>
  <c r="F3799" i="29"/>
  <c r="G3799" i="29"/>
  <c r="N3799" i="29"/>
  <c r="P3799" i="29"/>
  <c r="Q3799" i="29"/>
  <c r="S3799" i="29"/>
  <c r="F3800" i="29"/>
  <c r="G3800" i="29"/>
  <c r="N3800" i="29"/>
  <c r="P3800" i="29"/>
  <c r="Q3800" i="29"/>
  <c r="F3801" i="29"/>
  <c r="G3801" i="29"/>
  <c r="J3801" i="29"/>
  <c r="N3801" i="29"/>
  <c r="P3801" i="29"/>
  <c r="Q3801" i="29"/>
  <c r="F3802" i="29"/>
  <c r="G3802" i="29"/>
  <c r="N3802" i="29"/>
  <c r="P3802" i="29"/>
  <c r="Q3802" i="29"/>
  <c r="S3802" i="29"/>
  <c r="F3803" i="29"/>
  <c r="G3803" i="29"/>
  <c r="N3803" i="29"/>
  <c r="P3803" i="29"/>
  <c r="Q3803" i="29"/>
  <c r="S3803" i="29"/>
  <c r="F3804" i="29"/>
  <c r="G3804" i="29"/>
  <c r="N3804" i="29"/>
  <c r="P3804" i="29"/>
  <c r="Q3804" i="29"/>
  <c r="S3804" i="29"/>
  <c r="F3805" i="29"/>
  <c r="G3805" i="29"/>
  <c r="J3805" i="29"/>
  <c r="N3805" i="29"/>
  <c r="P3805" i="29"/>
  <c r="Q3805" i="29"/>
  <c r="F3806" i="29"/>
  <c r="G3806" i="29"/>
  <c r="J3806" i="29"/>
  <c r="N3806" i="29"/>
  <c r="P3806" i="29"/>
  <c r="Q3806" i="29"/>
  <c r="F3807" i="29"/>
  <c r="G3807" i="29"/>
  <c r="N3807" i="29"/>
  <c r="P3807" i="29"/>
  <c r="Q3807" i="29"/>
  <c r="S3807" i="29"/>
  <c r="F3808" i="29"/>
  <c r="G3808" i="29"/>
  <c r="N3808" i="29"/>
  <c r="P3808" i="29"/>
  <c r="Q3808" i="29"/>
  <c r="R3808" i="29"/>
  <c r="F3809" i="29"/>
  <c r="G3809" i="29"/>
  <c r="N3809" i="29"/>
  <c r="P3809" i="29"/>
  <c r="Q3809" i="29"/>
  <c r="S3809" i="29"/>
  <c r="F3810" i="29"/>
  <c r="G3810" i="29"/>
  <c r="N3810" i="29"/>
  <c r="P3810" i="29"/>
  <c r="Q3810" i="29"/>
  <c r="T3810" i="29"/>
  <c r="F3811" i="29"/>
  <c r="G3811" i="29"/>
  <c r="N3811" i="29"/>
  <c r="P3811" i="29"/>
  <c r="Q3811" i="29"/>
  <c r="F3812" i="29"/>
  <c r="G3812" i="29"/>
  <c r="N3812" i="29"/>
  <c r="P3812" i="29"/>
  <c r="Q3812" i="29"/>
  <c r="F3813" i="29"/>
  <c r="G3813" i="29"/>
  <c r="N3813" i="29"/>
  <c r="P3813" i="29"/>
  <c r="Q3813" i="29"/>
  <c r="S3813" i="29"/>
  <c r="F3814" i="29"/>
  <c r="G3814" i="29"/>
  <c r="N3814" i="29"/>
  <c r="P3814" i="29"/>
  <c r="Q3814" i="29"/>
  <c r="S3814" i="29"/>
  <c r="F3815" i="29"/>
  <c r="G3815" i="29"/>
  <c r="N3815" i="29"/>
  <c r="P3815" i="29"/>
  <c r="Q3815" i="29"/>
  <c r="T3815" i="29"/>
  <c r="F3816" i="29"/>
  <c r="G3816" i="29"/>
  <c r="N3816" i="29"/>
  <c r="P3816" i="29"/>
  <c r="Q3816" i="29"/>
  <c r="F3817" i="29"/>
  <c r="G3817" i="29"/>
  <c r="N3817" i="29"/>
  <c r="P3817" i="29"/>
  <c r="Q3817" i="29"/>
  <c r="R3817" i="29"/>
  <c r="F3818" i="29"/>
  <c r="G3818" i="29"/>
  <c r="N3818" i="29"/>
  <c r="P3818" i="29"/>
  <c r="Q3818" i="29"/>
  <c r="R3818" i="29"/>
  <c r="F3819" i="29"/>
  <c r="G3819" i="29"/>
  <c r="N3819" i="29"/>
  <c r="P3819" i="29"/>
  <c r="Q3819" i="29"/>
  <c r="R3819" i="29"/>
  <c r="F3820" i="29"/>
  <c r="G3820" i="29"/>
  <c r="N3820" i="29"/>
  <c r="P3820" i="29"/>
  <c r="Q3820" i="29"/>
  <c r="R3820" i="29"/>
  <c r="F3821" i="29"/>
  <c r="G3821" i="29"/>
  <c r="N3821" i="29"/>
  <c r="P3821" i="29"/>
  <c r="Q3821" i="29"/>
  <c r="R3821" i="29"/>
  <c r="F3822" i="29"/>
  <c r="G3822" i="29"/>
  <c r="N3822" i="29"/>
  <c r="P3822" i="29"/>
  <c r="Q3822" i="29"/>
  <c r="F3823" i="29"/>
  <c r="G3823" i="29"/>
  <c r="N3823" i="29"/>
  <c r="P3823" i="29"/>
  <c r="Q3823" i="29"/>
  <c r="F3824" i="29"/>
  <c r="G3824" i="29"/>
  <c r="N3824" i="29"/>
  <c r="P3824" i="29"/>
  <c r="Q3824" i="29"/>
  <c r="S3824" i="29"/>
  <c r="F3825" i="29"/>
  <c r="G3825" i="29"/>
  <c r="N3825" i="29"/>
  <c r="P3825" i="29"/>
  <c r="Q3825" i="29"/>
  <c r="F3826" i="29"/>
  <c r="G3826" i="29"/>
  <c r="N3826" i="29"/>
  <c r="P3826" i="29"/>
  <c r="Q3826" i="29"/>
  <c r="T3826" i="29"/>
  <c r="F3827" i="29"/>
  <c r="G3827" i="29"/>
  <c r="N3827" i="29"/>
  <c r="P3827" i="29"/>
  <c r="Q3827" i="29"/>
  <c r="F3828" i="29"/>
  <c r="G3828" i="29"/>
  <c r="N3828" i="29"/>
  <c r="P3828" i="29"/>
  <c r="Q3828" i="29"/>
  <c r="F3829" i="29"/>
  <c r="G3829" i="29"/>
  <c r="N3829" i="29"/>
  <c r="P3829" i="29"/>
  <c r="Q3829" i="29"/>
  <c r="F3830" i="29"/>
  <c r="G3830" i="29"/>
  <c r="N3830" i="29"/>
  <c r="P3830" i="29"/>
  <c r="Q3830" i="29"/>
  <c r="F3831" i="29"/>
  <c r="G3831" i="29"/>
  <c r="N3831" i="29"/>
  <c r="P3831" i="29"/>
  <c r="Q3831" i="29"/>
  <c r="F3832" i="29"/>
  <c r="G3832" i="29"/>
  <c r="N3832" i="29"/>
  <c r="P3832" i="29"/>
  <c r="Q3832" i="29"/>
  <c r="S3832" i="29"/>
  <c r="F3833" i="29"/>
  <c r="G3833" i="29"/>
  <c r="N3833" i="29"/>
  <c r="P3833" i="29"/>
  <c r="Q3833" i="29"/>
  <c r="F3834" i="29"/>
  <c r="K3834" i="29"/>
  <c r="G3834" i="29"/>
  <c r="N3834" i="29"/>
  <c r="P3834" i="29"/>
  <c r="Q3834" i="29"/>
  <c r="N3835" i="29"/>
  <c r="W3835" i="29"/>
  <c r="F3836" i="29"/>
  <c r="G3836" i="29"/>
  <c r="N3836" i="29"/>
  <c r="P3836" i="29"/>
  <c r="Q3836" i="29"/>
  <c r="S3836" i="29"/>
  <c r="F3837" i="29"/>
  <c r="G3837" i="29"/>
  <c r="N3837" i="29"/>
  <c r="P3837" i="29"/>
  <c r="Q3837" i="29"/>
  <c r="R3837" i="29"/>
  <c r="F3838" i="29"/>
  <c r="G3838" i="29"/>
  <c r="N3838" i="29"/>
  <c r="P3838" i="29"/>
  <c r="Q3838" i="29"/>
  <c r="F3839" i="29"/>
  <c r="G3839" i="29"/>
  <c r="N3839" i="29"/>
  <c r="P3839" i="29"/>
  <c r="Q3839" i="29"/>
  <c r="F3840" i="29"/>
  <c r="G3840" i="29"/>
  <c r="N3840" i="29"/>
  <c r="P3840" i="29"/>
  <c r="Q3840" i="29"/>
  <c r="S3840" i="29"/>
  <c r="F3841" i="29"/>
  <c r="G3841" i="29"/>
  <c r="N3841" i="29"/>
  <c r="P3841" i="29"/>
  <c r="Q3841" i="29"/>
  <c r="F3842" i="29"/>
  <c r="G3842" i="29"/>
  <c r="N3842" i="29"/>
  <c r="P3842" i="29"/>
  <c r="Q3842" i="29"/>
  <c r="F3843" i="29"/>
  <c r="G3843" i="29"/>
  <c r="N3843" i="29"/>
  <c r="P3843" i="29"/>
  <c r="S3843" i="29"/>
  <c r="T3843" i="29"/>
  <c r="F3844" i="29"/>
  <c r="G3844" i="29"/>
  <c r="N3844" i="29"/>
  <c r="P3844" i="29"/>
  <c r="Q3844" i="29"/>
  <c r="F3845" i="29"/>
  <c r="G3845" i="29"/>
  <c r="N3845" i="29"/>
  <c r="P3845" i="29"/>
  <c r="Q3845" i="29"/>
  <c r="F3846" i="29"/>
  <c r="G3846" i="29"/>
  <c r="N3846" i="29"/>
  <c r="P3846" i="29"/>
  <c r="Q3846" i="29"/>
  <c r="F3847" i="29"/>
  <c r="G3847" i="29"/>
  <c r="N3847" i="29"/>
  <c r="P3847" i="29"/>
  <c r="Q3847" i="29"/>
  <c r="F3848" i="29"/>
  <c r="G3848" i="29"/>
  <c r="N3848" i="29"/>
  <c r="P3848" i="29"/>
  <c r="R3848" i="29"/>
  <c r="Q3848" i="29"/>
  <c r="F3849" i="29"/>
  <c r="G3849" i="29"/>
  <c r="N3849" i="29"/>
  <c r="P3849" i="29"/>
  <c r="R3849" i="29"/>
  <c r="Q3849" i="29"/>
  <c r="F3850" i="29"/>
  <c r="G3850" i="29"/>
  <c r="N3850" i="29"/>
  <c r="P3850" i="29"/>
  <c r="Q3850" i="29"/>
  <c r="S3850" i="29"/>
  <c r="F3851" i="29"/>
  <c r="G3851" i="29"/>
  <c r="N3851" i="29"/>
  <c r="P3851" i="29"/>
  <c r="Q3851" i="29"/>
  <c r="F3852" i="29"/>
  <c r="G3852" i="29"/>
  <c r="N3852" i="29"/>
  <c r="P3852" i="29"/>
  <c r="Q3852" i="29"/>
  <c r="F3853" i="29"/>
  <c r="G3853" i="29"/>
  <c r="N3853" i="29"/>
  <c r="P3853" i="29"/>
  <c r="Q3853" i="29"/>
  <c r="F3854" i="29"/>
  <c r="G3854" i="29"/>
  <c r="N3854" i="29"/>
  <c r="P3854" i="29"/>
  <c r="Q3854" i="29"/>
  <c r="F3855" i="29"/>
  <c r="G3855" i="29"/>
  <c r="N3855" i="29"/>
  <c r="P3855" i="29"/>
  <c r="Q3855" i="29"/>
  <c r="S3855" i="29"/>
  <c r="F3856" i="29"/>
  <c r="G3856" i="29"/>
  <c r="N3856" i="29"/>
  <c r="P3856" i="29"/>
  <c r="Q3856" i="29"/>
  <c r="F3857" i="29"/>
  <c r="G3857" i="29"/>
  <c r="N3857" i="29"/>
  <c r="P3857" i="29"/>
  <c r="Q3857" i="29"/>
  <c r="F3858" i="29"/>
  <c r="G3858" i="29"/>
  <c r="N3858" i="29"/>
  <c r="P3858" i="29"/>
  <c r="Q3858" i="29"/>
  <c r="F3859" i="29"/>
  <c r="G3859" i="29"/>
  <c r="N3859" i="29"/>
  <c r="P3859" i="29"/>
  <c r="Q3859" i="29"/>
  <c r="F3860" i="29"/>
  <c r="G3860" i="29"/>
  <c r="N3860" i="29"/>
  <c r="P3860" i="29"/>
  <c r="Q3860" i="29"/>
  <c r="F3861" i="29"/>
  <c r="G3861" i="29"/>
  <c r="N3861" i="29"/>
  <c r="P3861" i="29"/>
  <c r="Q3861" i="29"/>
  <c r="F3862" i="29"/>
  <c r="G3862" i="29"/>
  <c r="N3862" i="29"/>
  <c r="P3862" i="29"/>
  <c r="Q3862" i="29"/>
  <c r="F3863" i="29"/>
  <c r="G3863" i="29"/>
  <c r="N3863" i="29"/>
  <c r="P3863" i="29"/>
  <c r="Q3863" i="29"/>
  <c r="F3864" i="29"/>
  <c r="G3864" i="29"/>
  <c r="N3864" i="29"/>
  <c r="P3864" i="29"/>
  <c r="Q3864" i="29"/>
  <c r="F3865" i="29"/>
  <c r="G3865" i="29"/>
  <c r="N3865" i="29"/>
  <c r="P3865" i="29"/>
  <c r="Q3865" i="29"/>
  <c r="F3866" i="29"/>
  <c r="G3866" i="29"/>
  <c r="N3866" i="29"/>
  <c r="P3866" i="29"/>
  <c r="Q3866" i="29"/>
  <c r="T3866" i="29"/>
  <c r="F3867" i="29"/>
  <c r="G3867" i="29"/>
  <c r="N3867" i="29"/>
  <c r="P3867" i="29"/>
  <c r="S3867" i="29"/>
  <c r="T3867" i="29"/>
  <c r="F3868" i="29"/>
  <c r="G3868" i="29"/>
  <c r="N3868" i="29"/>
  <c r="P3868" i="29"/>
  <c r="Q3868" i="29"/>
  <c r="F3869" i="29"/>
  <c r="G3869" i="29"/>
  <c r="N3869" i="29"/>
  <c r="P3869" i="29"/>
  <c r="Q3869" i="29"/>
  <c r="S3869" i="29"/>
  <c r="F3870" i="29"/>
  <c r="G3870" i="29"/>
  <c r="N3870" i="29"/>
  <c r="P3870" i="29"/>
  <c r="Q3870" i="29"/>
  <c r="F3871" i="29"/>
  <c r="G3871" i="29"/>
  <c r="N3871" i="29"/>
  <c r="P3871" i="29"/>
  <c r="Q3871" i="29"/>
  <c r="F3872" i="29"/>
  <c r="G3872" i="29"/>
  <c r="N3872" i="29"/>
  <c r="P3872" i="29"/>
  <c r="Q3872" i="29"/>
  <c r="F3873" i="29"/>
  <c r="G3873" i="29"/>
  <c r="N3873" i="29"/>
  <c r="P3873" i="29"/>
  <c r="Q3873" i="29"/>
  <c r="F3874" i="29"/>
  <c r="G3874" i="29"/>
  <c r="N3874" i="29"/>
  <c r="P3874" i="29"/>
  <c r="Q3874" i="29"/>
  <c r="F3875" i="29"/>
  <c r="G3875" i="29"/>
  <c r="N3875" i="29"/>
  <c r="P3875" i="29"/>
  <c r="Q3875" i="29"/>
  <c r="F3876" i="29"/>
  <c r="G3876" i="29"/>
  <c r="N3876" i="29"/>
  <c r="P3876" i="29"/>
  <c r="Q3876" i="29"/>
  <c r="F3877" i="29"/>
  <c r="G3877" i="29"/>
  <c r="N3877" i="29"/>
  <c r="P3877" i="29"/>
  <c r="Q3877" i="29"/>
  <c r="F3878" i="29"/>
  <c r="G3878" i="29"/>
  <c r="N3878" i="29"/>
  <c r="P3878" i="29"/>
  <c r="Q3878" i="29"/>
  <c r="V3878" i="29"/>
  <c r="F3879" i="29"/>
  <c r="G3879" i="29"/>
  <c r="N3879" i="29"/>
  <c r="P3879" i="29"/>
  <c r="Q3879" i="29"/>
  <c r="F3880" i="29"/>
  <c r="G3880" i="29"/>
  <c r="N3880" i="29"/>
  <c r="P3880" i="29"/>
  <c r="R3880" i="29"/>
  <c r="F3881" i="29"/>
  <c r="G3881" i="29"/>
  <c r="N3881" i="29"/>
  <c r="P3881" i="29"/>
  <c r="Q3881" i="29"/>
  <c r="F3882" i="29"/>
  <c r="G3882" i="29"/>
  <c r="N3882" i="29"/>
  <c r="P3882" i="29"/>
  <c r="Q3882" i="29"/>
  <c r="F3883" i="29"/>
  <c r="G3883" i="29"/>
  <c r="N3883" i="29"/>
  <c r="P3883" i="29"/>
  <c r="Q3883" i="29"/>
  <c r="S3883" i="29"/>
  <c r="F3884" i="29"/>
  <c r="G3884" i="29"/>
  <c r="N3884" i="29"/>
  <c r="P3884" i="29"/>
  <c r="Q3884" i="29"/>
  <c r="T3884" i="29"/>
  <c r="F3885" i="29"/>
  <c r="G3885" i="29"/>
  <c r="N3885" i="29"/>
  <c r="P3885" i="29"/>
  <c r="Q3885" i="29"/>
  <c r="F3886" i="29"/>
  <c r="G3886" i="29"/>
  <c r="N3886" i="29"/>
  <c r="P3886" i="29"/>
  <c r="Q3886" i="29"/>
  <c r="S3886" i="29"/>
  <c r="F3887" i="29"/>
  <c r="G3887" i="29"/>
  <c r="N3887" i="29"/>
  <c r="P3887" i="29"/>
  <c r="Q3887" i="29"/>
  <c r="F3888" i="29"/>
  <c r="G3888" i="29"/>
  <c r="N3888" i="29"/>
  <c r="P3888" i="29"/>
  <c r="Q3888" i="29"/>
  <c r="T3888" i="29"/>
  <c r="F3889" i="29"/>
  <c r="G3889" i="29"/>
  <c r="N3889" i="29"/>
  <c r="P3889" i="29"/>
  <c r="Q3889" i="29"/>
  <c r="T3889" i="29"/>
  <c r="R3889" i="29"/>
  <c r="F3890" i="29"/>
  <c r="G3890" i="29"/>
  <c r="N3890" i="29"/>
  <c r="P3890" i="29"/>
  <c r="Q3890" i="29"/>
  <c r="T3890" i="29"/>
  <c r="R3890" i="29"/>
  <c r="F3891" i="29"/>
  <c r="G3891" i="29"/>
  <c r="N3891" i="29"/>
  <c r="P3891" i="29"/>
  <c r="Q3891" i="29"/>
  <c r="F3892" i="29"/>
  <c r="G3892" i="29"/>
  <c r="N3892" i="29"/>
  <c r="P3892" i="29"/>
  <c r="Q3892" i="29"/>
  <c r="F3893" i="29"/>
  <c r="G3893" i="29"/>
  <c r="N3893" i="29"/>
  <c r="P3893" i="29"/>
  <c r="Q3893" i="29"/>
  <c r="F3894" i="29"/>
  <c r="G3894" i="29"/>
  <c r="N3894" i="29"/>
  <c r="P3894" i="29"/>
  <c r="Q3894" i="29"/>
  <c r="F3895" i="29"/>
  <c r="G3895" i="29"/>
  <c r="N3895" i="29"/>
  <c r="P3895" i="29"/>
  <c r="Q3895" i="29"/>
  <c r="F3896" i="29"/>
  <c r="G3896" i="29"/>
  <c r="N3896" i="29"/>
  <c r="P3896" i="29"/>
  <c r="Q3896" i="29"/>
  <c r="T3896" i="29"/>
  <c r="F3897" i="29"/>
  <c r="G3897" i="29"/>
  <c r="N3897" i="29"/>
  <c r="P3897" i="29"/>
  <c r="Q3897" i="29"/>
  <c r="T3897" i="29"/>
  <c r="F3898" i="29"/>
  <c r="G3898" i="29"/>
  <c r="N3898" i="29"/>
  <c r="P3898" i="29"/>
  <c r="Q3898" i="29"/>
  <c r="F3899" i="29"/>
  <c r="G3899" i="29"/>
  <c r="N3899" i="29"/>
  <c r="P3899" i="29"/>
  <c r="Q3899" i="29"/>
  <c r="F3900" i="29"/>
  <c r="G3900" i="29"/>
  <c r="N3900" i="29"/>
  <c r="P3900" i="29"/>
  <c r="Q3900" i="29"/>
  <c r="R3900" i="29"/>
  <c r="F3901" i="29"/>
  <c r="G3901" i="29"/>
  <c r="N3901" i="29"/>
  <c r="P3901" i="29"/>
  <c r="Q3901" i="29"/>
  <c r="R3901" i="29"/>
  <c r="F3902" i="29"/>
  <c r="G3902" i="29"/>
  <c r="N3902" i="29"/>
  <c r="P3902" i="29"/>
  <c r="Q3902" i="29"/>
  <c r="R3902" i="29"/>
  <c r="F3903" i="29"/>
  <c r="G3903" i="29"/>
  <c r="N3903" i="29"/>
  <c r="P3903" i="29"/>
  <c r="Q3903" i="29"/>
  <c r="R3903" i="29"/>
  <c r="F3904" i="29"/>
  <c r="G3904" i="29"/>
  <c r="N3904" i="29"/>
  <c r="P3904" i="29"/>
  <c r="Q3904" i="29"/>
  <c r="R3904" i="29"/>
  <c r="F3905" i="29"/>
  <c r="G3905" i="29"/>
  <c r="N3905" i="29"/>
  <c r="P3905" i="29"/>
  <c r="Q3905" i="29"/>
  <c r="F3906" i="29"/>
  <c r="G3906" i="29"/>
  <c r="N3906" i="29"/>
  <c r="P3906" i="29"/>
  <c r="Q3906" i="29"/>
  <c r="S3906" i="29"/>
  <c r="F3907" i="29"/>
  <c r="G3907" i="29"/>
  <c r="N3907" i="29"/>
  <c r="P3907" i="29"/>
  <c r="Q3907" i="29"/>
  <c r="F3908" i="29"/>
  <c r="G3908" i="29"/>
  <c r="N3908" i="29"/>
  <c r="P3908" i="29"/>
  <c r="Q3908" i="29"/>
  <c r="F3909" i="29"/>
  <c r="G3909" i="29"/>
  <c r="N3909" i="29"/>
  <c r="P3909" i="29"/>
  <c r="Q3909" i="29"/>
  <c r="F3910" i="29"/>
  <c r="G3910" i="29"/>
  <c r="N3910" i="29"/>
  <c r="P3910" i="29"/>
  <c r="Q3910" i="29"/>
  <c r="F3911" i="29"/>
  <c r="G3911" i="29"/>
  <c r="N3911" i="29"/>
  <c r="P3911" i="29"/>
  <c r="Q3911" i="29"/>
  <c r="F3912" i="29"/>
  <c r="G3912" i="29"/>
  <c r="N3912" i="29"/>
  <c r="P3912" i="29"/>
  <c r="Q3912" i="29"/>
  <c r="S3912" i="29"/>
  <c r="F3913" i="29"/>
  <c r="G3913" i="29"/>
  <c r="N3913" i="29"/>
  <c r="P3913" i="29"/>
  <c r="Q3913" i="29"/>
  <c r="F3914" i="29"/>
  <c r="G3914" i="29"/>
  <c r="N3914" i="29"/>
  <c r="P3914" i="29"/>
  <c r="Q3914" i="29"/>
  <c r="S3914" i="29"/>
  <c r="F3915" i="29"/>
  <c r="G3915" i="29"/>
  <c r="N3915" i="29"/>
  <c r="P3915" i="29"/>
  <c r="Q3915" i="29"/>
  <c r="N3916" i="29"/>
  <c r="W3916" i="29"/>
  <c r="F3917" i="29"/>
  <c r="G3917" i="29"/>
  <c r="N3917" i="29"/>
  <c r="P3917" i="29"/>
  <c r="Q3917" i="29"/>
  <c r="F3918" i="29"/>
  <c r="G3918" i="29"/>
  <c r="N3918" i="29"/>
  <c r="P3918" i="29"/>
  <c r="Q3918" i="29"/>
  <c r="S3918" i="29"/>
  <c r="F3919" i="29"/>
  <c r="G3919" i="29"/>
  <c r="N3919" i="29"/>
  <c r="P3919" i="29"/>
  <c r="Q3919" i="29"/>
  <c r="F3920" i="29"/>
  <c r="G3920" i="29"/>
  <c r="N3920" i="29"/>
  <c r="P3920" i="29"/>
  <c r="Q3920" i="29"/>
  <c r="F3921" i="29"/>
  <c r="G3921" i="29"/>
  <c r="N3921" i="29"/>
  <c r="P3921" i="29"/>
  <c r="Q3921" i="29"/>
  <c r="F3922" i="29"/>
  <c r="G3922" i="29"/>
  <c r="N3922" i="29"/>
  <c r="P3922" i="29"/>
  <c r="Q3922" i="29"/>
  <c r="F3923" i="29"/>
  <c r="G3923" i="29"/>
  <c r="N3923" i="29"/>
  <c r="P3923" i="29"/>
  <c r="Q3923" i="29"/>
  <c r="F3924" i="29"/>
  <c r="G3924" i="29"/>
  <c r="N3924" i="29"/>
  <c r="P3924" i="29"/>
  <c r="Q3924" i="29"/>
  <c r="S3924" i="29"/>
  <c r="F3925" i="29"/>
  <c r="G3925" i="29"/>
  <c r="N3925" i="29"/>
  <c r="P3925" i="29"/>
  <c r="Q3925" i="29"/>
  <c r="F3926" i="29"/>
  <c r="G3926" i="29"/>
  <c r="N3926" i="29"/>
  <c r="P3926" i="29"/>
  <c r="Q3926" i="29"/>
  <c r="F3927" i="29"/>
  <c r="G3927" i="29"/>
  <c r="N3927" i="29"/>
  <c r="P3927" i="29"/>
  <c r="Q3927" i="29"/>
  <c r="F3928" i="29"/>
  <c r="G3928" i="29"/>
  <c r="N3928" i="29"/>
  <c r="P3928" i="29"/>
  <c r="Q3928" i="29"/>
  <c r="F3929" i="29"/>
  <c r="G3929" i="29"/>
  <c r="N3929" i="29"/>
  <c r="P3929" i="29"/>
  <c r="Q3929" i="29"/>
  <c r="F3930" i="29"/>
  <c r="G3930" i="29"/>
  <c r="N3930" i="29"/>
  <c r="P3930" i="29"/>
  <c r="Q3930" i="29"/>
  <c r="F3931" i="29"/>
  <c r="G3931" i="29"/>
  <c r="N3931" i="29"/>
  <c r="P3931" i="29"/>
  <c r="Q3931" i="29"/>
  <c r="F3932" i="29"/>
  <c r="G3932" i="29"/>
  <c r="N3932" i="29"/>
  <c r="P3932" i="29"/>
  <c r="Q3932" i="29"/>
  <c r="S3932" i="29"/>
  <c r="F3933" i="29"/>
  <c r="G3933" i="29"/>
  <c r="N3933" i="29"/>
  <c r="P3933" i="29"/>
  <c r="Q3933" i="29"/>
  <c r="F3934" i="29"/>
  <c r="G3934" i="29"/>
  <c r="N3934" i="29"/>
  <c r="P3934" i="29"/>
  <c r="Q3934" i="29"/>
  <c r="F3935" i="29"/>
  <c r="G3935" i="29"/>
  <c r="N3935" i="29"/>
  <c r="P3935" i="29"/>
  <c r="Q3935" i="29"/>
  <c r="F3936" i="29"/>
  <c r="G3936" i="29"/>
  <c r="N3936" i="29"/>
  <c r="P3936" i="29"/>
  <c r="Q3936" i="29"/>
  <c r="F3937" i="29"/>
  <c r="G3937" i="29"/>
  <c r="N3937" i="29"/>
  <c r="P3937" i="29"/>
  <c r="Q3937" i="29"/>
  <c r="F3938" i="29"/>
  <c r="G3938" i="29"/>
  <c r="N3938" i="29"/>
  <c r="P3938" i="29"/>
  <c r="Q3938" i="29"/>
  <c r="F3939" i="29"/>
  <c r="G3939" i="29"/>
  <c r="N3939" i="29"/>
  <c r="P3939" i="29"/>
  <c r="Q3939" i="29"/>
  <c r="F3940" i="29"/>
  <c r="G3940" i="29"/>
  <c r="N3940" i="29"/>
  <c r="P3940" i="29"/>
  <c r="R3940" i="29"/>
  <c r="Q3940" i="29"/>
  <c r="F3941" i="29"/>
  <c r="G3941" i="29"/>
  <c r="N3941" i="29"/>
  <c r="P3941" i="29"/>
  <c r="R3941" i="29"/>
  <c r="Q3941" i="29"/>
  <c r="F3942" i="29"/>
  <c r="G3942" i="29"/>
  <c r="N3942" i="29"/>
  <c r="P3942" i="29"/>
  <c r="Q3942" i="29"/>
  <c r="F3943" i="29"/>
  <c r="G3943" i="29"/>
  <c r="N3943" i="29"/>
  <c r="P3943" i="29"/>
  <c r="Q3943" i="29"/>
  <c r="S3943" i="29"/>
  <c r="F3944" i="29"/>
  <c r="G3944" i="29"/>
  <c r="N3944" i="29"/>
  <c r="P3944" i="29"/>
  <c r="Q3944" i="29"/>
  <c r="S3944" i="29"/>
  <c r="F3945" i="29"/>
  <c r="G3945" i="29"/>
  <c r="N3945" i="29"/>
  <c r="P3945" i="29"/>
  <c r="Q3945" i="29"/>
  <c r="F3946" i="29"/>
  <c r="G3946" i="29"/>
  <c r="N3946" i="29"/>
  <c r="P3946" i="29"/>
  <c r="Q3946" i="29"/>
  <c r="F3947" i="29"/>
  <c r="G3947" i="29"/>
  <c r="N3947" i="29"/>
  <c r="P3947" i="29"/>
  <c r="Q3947" i="29"/>
  <c r="T3947" i="29"/>
  <c r="F3948" i="29"/>
  <c r="G3948" i="29"/>
  <c r="N3948" i="29"/>
  <c r="P3948" i="29"/>
  <c r="Q3948" i="29"/>
  <c r="F3949" i="29"/>
  <c r="G3949" i="29"/>
  <c r="N3949" i="29"/>
  <c r="P3949" i="29"/>
  <c r="Q3949" i="29"/>
  <c r="F3950" i="29"/>
  <c r="G3950" i="29"/>
  <c r="J3950" i="29"/>
  <c r="N3950" i="29"/>
  <c r="P3950" i="29"/>
  <c r="R3950" i="29"/>
  <c r="Q3950" i="29"/>
  <c r="F3951" i="29"/>
  <c r="G3951" i="29"/>
  <c r="N3951" i="29"/>
  <c r="P3951" i="29"/>
  <c r="Q3951" i="29"/>
  <c r="F3952" i="29"/>
  <c r="G3952" i="29"/>
  <c r="N3952" i="29"/>
  <c r="P3952" i="29"/>
  <c r="Q3952" i="29"/>
  <c r="F3953" i="29"/>
  <c r="G3953" i="29"/>
  <c r="N3953" i="29"/>
  <c r="P3953" i="29"/>
  <c r="Q3953" i="29"/>
  <c r="F3954" i="29"/>
  <c r="G3954" i="29"/>
  <c r="N3954" i="29"/>
  <c r="P3954" i="29"/>
  <c r="Q3954" i="29"/>
  <c r="F3955" i="29"/>
  <c r="G3955" i="29"/>
  <c r="N3955" i="29"/>
  <c r="P3955" i="29"/>
  <c r="Q3955" i="29"/>
  <c r="F3956" i="29"/>
  <c r="G3956" i="29"/>
  <c r="N3956" i="29"/>
  <c r="P3956" i="29"/>
  <c r="Q3956" i="29"/>
  <c r="F3957" i="29"/>
  <c r="G3957" i="29"/>
  <c r="N3957" i="29"/>
  <c r="P3957" i="29"/>
  <c r="Q3957" i="29"/>
  <c r="F3958" i="29"/>
  <c r="G3958" i="29"/>
  <c r="N3958" i="29"/>
  <c r="P3958" i="29"/>
  <c r="Q3958" i="29"/>
  <c r="F3959" i="29"/>
  <c r="G3959" i="29"/>
  <c r="N3959" i="29"/>
  <c r="P3959" i="29"/>
  <c r="Q3959" i="29"/>
  <c r="F3960" i="29"/>
  <c r="G3960" i="29"/>
  <c r="N3960" i="29"/>
  <c r="P3960" i="29"/>
  <c r="Q3960" i="29"/>
  <c r="R3960" i="29"/>
  <c r="F3961" i="29"/>
  <c r="G3961" i="29"/>
  <c r="N3961" i="29"/>
  <c r="P3961" i="29"/>
  <c r="Q3961" i="29"/>
  <c r="F3962" i="29"/>
  <c r="G3962" i="29"/>
  <c r="N3962" i="29"/>
  <c r="P3962" i="29"/>
  <c r="Q3962" i="29"/>
  <c r="F3963" i="29"/>
  <c r="G3963" i="29"/>
  <c r="N3963" i="29"/>
  <c r="P3963" i="29"/>
  <c r="Q3963" i="29"/>
  <c r="T3963" i="29"/>
  <c r="F3964" i="29"/>
  <c r="G3964" i="29"/>
  <c r="N3964" i="29"/>
  <c r="P3964" i="29"/>
  <c r="Q3964" i="29"/>
  <c r="T3964" i="29"/>
  <c r="F3965" i="29"/>
  <c r="G3965" i="29"/>
  <c r="N3965" i="29"/>
  <c r="P3965" i="29"/>
  <c r="Q3965" i="29"/>
  <c r="T3965" i="29"/>
  <c r="F3966" i="29"/>
  <c r="G3966" i="29"/>
  <c r="N3966" i="29"/>
  <c r="P3966" i="29"/>
  <c r="Q3966" i="29"/>
  <c r="F3967" i="29"/>
  <c r="G3967" i="29"/>
  <c r="N3967" i="29"/>
  <c r="P3967" i="29"/>
  <c r="Q3967" i="29"/>
  <c r="F3968" i="29"/>
  <c r="G3968" i="29"/>
  <c r="N3968" i="29"/>
  <c r="P3968" i="29"/>
  <c r="Q3968" i="29"/>
  <c r="F3969" i="29"/>
  <c r="G3969" i="29"/>
  <c r="N3969" i="29"/>
  <c r="P3969" i="29"/>
  <c r="Q3969" i="29"/>
  <c r="F3970" i="29"/>
  <c r="G3970" i="29"/>
  <c r="N3970" i="29"/>
  <c r="P3970" i="29"/>
  <c r="Q3970" i="29"/>
  <c r="F3971" i="29"/>
  <c r="G3971" i="29"/>
  <c r="N3971" i="29"/>
  <c r="P3971" i="29"/>
  <c r="Q3971" i="29"/>
  <c r="F3972" i="29"/>
  <c r="G3972" i="29"/>
  <c r="N3972" i="29"/>
  <c r="P3972" i="29"/>
  <c r="Q3972" i="29"/>
  <c r="F3973" i="29"/>
  <c r="G3973" i="29"/>
  <c r="N3973" i="29"/>
  <c r="P3973" i="29"/>
  <c r="Q3973" i="29"/>
  <c r="F3974" i="29"/>
  <c r="G3974" i="29"/>
  <c r="N3974" i="29"/>
  <c r="P3974" i="29"/>
  <c r="Q3974" i="29"/>
  <c r="T3974" i="29"/>
  <c r="F3975" i="29"/>
  <c r="G3975" i="29"/>
  <c r="N3975" i="29"/>
  <c r="P3975" i="29"/>
  <c r="Q3975" i="29"/>
  <c r="F3976" i="29"/>
  <c r="G3976" i="29"/>
  <c r="N3976" i="29"/>
  <c r="P3976" i="29"/>
  <c r="Q3976" i="29"/>
  <c r="S3976" i="29"/>
  <c r="F3977" i="29"/>
  <c r="G3977" i="29"/>
  <c r="N3977" i="29"/>
  <c r="P3977" i="29"/>
  <c r="Q3977" i="29"/>
  <c r="R3977" i="29"/>
  <c r="F3978" i="29"/>
  <c r="G3978" i="29"/>
  <c r="N3978" i="29"/>
  <c r="P3978" i="29"/>
  <c r="Q3978" i="29"/>
  <c r="R3978" i="29"/>
  <c r="F3979" i="29"/>
  <c r="G3979" i="29"/>
  <c r="N3979" i="29"/>
  <c r="P3979" i="29"/>
  <c r="Q3979" i="29"/>
  <c r="R3979" i="29"/>
  <c r="F3980" i="29"/>
  <c r="G3980" i="29"/>
  <c r="N3980" i="29"/>
  <c r="P3980" i="29"/>
  <c r="Q3980" i="29"/>
  <c r="R3980" i="29"/>
  <c r="F3981" i="29"/>
  <c r="G3981" i="29"/>
  <c r="N3981" i="29"/>
  <c r="P3981" i="29"/>
  <c r="Q3981" i="29"/>
  <c r="R3981" i="29"/>
  <c r="F3982" i="29"/>
  <c r="G3982" i="29"/>
  <c r="N3982" i="29"/>
  <c r="P3982" i="29"/>
  <c r="Q3982" i="29"/>
  <c r="F3983" i="29"/>
  <c r="G3983" i="29"/>
  <c r="N3983" i="29"/>
  <c r="P3983" i="29"/>
  <c r="Q3983" i="29"/>
  <c r="F3984" i="29"/>
  <c r="G3984" i="29"/>
  <c r="N3984" i="29"/>
  <c r="P3984" i="29"/>
  <c r="Q3984" i="29"/>
  <c r="F3985" i="29"/>
  <c r="G3985" i="29"/>
  <c r="N3985" i="29"/>
  <c r="P3985" i="29"/>
  <c r="Q3985" i="29"/>
  <c r="F3986" i="29"/>
  <c r="G3986" i="29"/>
  <c r="N3986" i="29"/>
  <c r="P3986" i="29"/>
  <c r="Q3986" i="29"/>
  <c r="F3987" i="29"/>
  <c r="G3987" i="29"/>
  <c r="N3987" i="29"/>
  <c r="P3987" i="29"/>
  <c r="Q3987" i="29"/>
  <c r="F3988" i="29"/>
  <c r="G3988" i="29"/>
  <c r="N3988" i="29"/>
  <c r="P3988" i="29"/>
  <c r="Q3988" i="29"/>
  <c r="F3989" i="29"/>
  <c r="G3989" i="29"/>
  <c r="N3989" i="29"/>
  <c r="P3989" i="29"/>
  <c r="Q3989" i="29"/>
  <c r="T3989" i="29"/>
  <c r="F3990" i="29"/>
  <c r="G3990" i="29"/>
  <c r="N3990" i="29"/>
  <c r="P3990" i="29"/>
  <c r="Q3990" i="29"/>
  <c r="S3990" i="29"/>
  <c r="F3991" i="29"/>
  <c r="G3991" i="29"/>
  <c r="N3991" i="29"/>
  <c r="P3991" i="29"/>
  <c r="Q3991" i="29"/>
  <c r="T3991" i="29"/>
  <c r="F3992" i="29"/>
  <c r="G3992" i="29"/>
  <c r="N3992" i="29"/>
  <c r="P3992" i="29"/>
  <c r="Q3992" i="29"/>
  <c r="F3993" i="29"/>
  <c r="G3993" i="29"/>
  <c r="N3993" i="29"/>
  <c r="P3993" i="29"/>
  <c r="Q3993" i="29"/>
  <c r="F3994" i="29"/>
  <c r="G3994" i="29"/>
  <c r="N3994" i="29"/>
  <c r="P3994" i="29"/>
  <c r="Q3994" i="29"/>
  <c r="F3995" i="29"/>
  <c r="G3995" i="29"/>
  <c r="N3995" i="29"/>
  <c r="P3995" i="29"/>
  <c r="Q3995" i="29"/>
  <c r="N3996" i="29"/>
  <c r="W3996" i="29"/>
  <c r="F3997" i="29"/>
  <c r="G3997" i="29"/>
  <c r="N3997" i="29"/>
  <c r="P3997" i="29"/>
  <c r="Q3997" i="29"/>
  <c r="F3998" i="29"/>
  <c r="G3998" i="29"/>
  <c r="N3998" i="29"/>
  <c r="P3998" i="29"/>
  <c r="Q3998" i="29"/>
  <c r="F3999" i="29"/>
  <c r="G3999" i="29"/>
  <c r="N3999" i="29"/>
  <c r="P3999" i="29"/>
  <c r="Q3999" i="29"/>
  <c r="S3999" i="29"/>
  <c r="F4000" i="29"/>
  <c r="G4000" i="29"/>
  <c r="N4000" i="29"/>
  <c r="P4000" i="29"/>
  <c r="Q4000" i="29"/>
  <c r="F4001" i="29"/>
  <c r="G4001" i="29"/>
  <c r="N4001" i="29"/>
  <c r="P4001" i="29"/>
  <c r="Q4001" i="29"/>
  <c r="F4002" i="29"/>
  <c r="G4002" i="29"/>
  <c r="N4002" i="29"/>
  <c r="P4002" i="29"/>
  <c r="Q4002" i="29"/>
  <c r="S4002" i="29"/>
  <c r="F4003" i="29"/>
  <c r="G4003" i="29"/>
  <c r="N4003" i="29"/>
  <c r="P4003" i="29"/>
  <c r="Q4003" i="29"/>
  <c r="F4004" i="29"/>
  <c r="G4004" i="29"/>
  <c r="N4004" i="29"/>
  <c r="P4004" i="29"/>
  <c r="Q4004" i="29"/>
  <c r="F4005" i="29"/>
  <c r="G4005" i="29"/>
  <c r="N4005" i="29"/>
  <c r="P4005" i="29"/>
  <c r="Q4005" i="29"/>
  <c r="S4005" i="29"/>
  <c r="F4006" i="29"/>
  <c r="G4006" i="29"/>
  <c r="N4006" i="29"/>
  <c r="P4006" i="29"/>
  <c r="Q4006" i="29"/>
  <c r="F4007" i="29"/>
  <c r="G4007" i="29"/>
  <c r="N4007" i="29"/>
  <c r="P4007" i="29"/>
  <c r="Q4007" i="29"/>
  <c r="F4008" i="29"/>
  <c r="G4008" i="29"/>
  <c r="N4008" i="29"/>
  <c r="P4008" i="29"/>
  <c r="Q4008" i="29"/>
  <c r="F4009" i="29"/>
  <c r="G4009" i="29"/>
  <c r="N4009" i="29"/>
  <c r="P4009" i="29"/>
  <c r="Q4009" i="29"/>
  <c r="F4010" i="29"/>
  <c r="G4010" i="29"/>
  <c r="N4010" i="29"/>
  <c r="P4010" i="29"/>
  <c r="Q4010" i="29"/>
  <c r="F4011" i="29"/>
  <c r="G4011" i="29"/>
  <c r="N4011" i="29"/>
  <c r="P4011" i="29"/>
  <c r="Q4011" i="29"/>
  <c r="F4012" i="29"/>
  <c r="G4012" i="29"/>
  <c r="N4012" i="29"/>
  <c r="P4012" i="29"/>
  <c r="Q4012" i="29"/>
  <c r="F4013" i="29"/>
  <c r="G4013" i="29"/>
  <c r="N4013" i="29"/>
  <c r="P4013" i="29"/>
  <c r="Q4013" i="29"/>
  <c r="T4013" i="29"/>
  <c r="F4014" i="29"/>
  <c r="G4014" i="29"/>
  <c r="N4014" i="29"/>
  <c r="P4014" i="29"/>
  <c r="Q4014" i="29"/>
  <c r="T4014" i="29"/>
  <c r="F4015" i="29"/>
  <c r="G4015" i="29"/>
  <c r="N4015" i="29"/>
  <c r="P4015" i="29"/>
  <c r="Q4015" i="29"/>
  <c r="F4016" i="29"/>
  <c r="G4016" i="29"/>
  <c r="N4016" i="29"/>
  <c r="P4016" i="29"/>
  <c r="Q4016" i="29"/>
  <c r="F4017" i="29"/>
  <c r="G4017" i="29"/>
  <c r="N4017" i="29"/>
  <c r="P4017" i="29"/>
  <c r="Q4017" i="29"/>
  <c r="F4018" i="29"/>
  <c r="G4018" i="29"/>
  <c r="N4018" i="29"/>
  <c r="P4018" i="29"/>
  <c r="Q4018" i="29"/>
  <c r="S4018" i="29"/>
  <c r="F4019" i="29"/>
  <c r="G4019" i="29"/>
  <c r="N4019" i="29"/>
  <c r="P4019" i="29"/>
  <c r="Q4019" i="29"/>
  <c r="S4019" i="29"/>
  <c r="F4020" i="29"/>
  <c r="G4020" i="29"/>
  <c r="N4020" i="29"/>
  <c r="P4020" i="29"/>
  <c r="Q4020" i="29"/>
  <c r="S4020" i="29"/>
  <c r="F4021" i="29"/>
  <c r="G4021" i="29"/>
  <c r="N4021" i="29"/>
  <c r="P4021" i="29"/>
  <c r="Q4021" i="29"/>
  <c r="F4022" i="29"/>
  <c r="G4022" i="29"/>
  <c r="N4022" i="29"/>
  <c r="P4022" i="29"/>
  <c r="Q4022" i="29"/>
  <c r="F4023" i="29"/>
  <c r="G4023" i="29"/>
  <c r="N4023" i="29"/>
  <c r="P4023" i="29"/>
  <c r="Q4023" i="29"/>
  <c r="S4023" i="29"/>
  <c r="F4024" i="29"/>
  <c r="G4024" i="29"/>
  <c r="N4024" i="29"/>
  <c r="P4024" i="29"/>
  <c r="Q4024" i="29"/>
  <c r="T4024" i="29"/>
  <c r="F4025" i="29"/>
  <c r="G4025" i="29"/>
  <c r="N4025" i="29"/>
  <c r="P4025" i="29"/>
  <c r="Q4025" i="29"/>
  <c r="F4026" i="29"/>
  <c r="G4026" i="29"/>
  <c r="N4026" i="29"/>
  <c r="P4026" i="29"/>
  <c r="Q4026" i="29"/>
  <c r="S4026" i="29"/>
  <c r="F4027" i="29"/>
  <c r="G4027" i="29"/>
  <c r="N4027" i="29"/>
  <c r="P4027" i="29"/>
  <c r="Q4027" i="29"/>
  <c r="T4027" i="29"/>
  <c r="F4028" i="29"/>
  <c r="G4028" i="29"/>
  <c r="N4028" i="29"/>
  <c r="P4028" i="29"/>
  <c r="Q4028" i="29"/>
  <c r="F4029" i="29"/>
  <c r="G4029" i="29"/>
  <c r="N4029" i="29"/>
  <c r="P4029" i="29"/>
  <c r="Q4029" i="29"/>
  <c r="F4030" i="29"/>
  <c r="G4030" i="29"/>
  <c r="N4030" i="29"/>
  <c r="P4030" i="29"/>
  <c r="Q4030" i="29"/>
  <c r="F4031" i="29"/>
  <c r="G4031" i="29"/>
  <c r="N4031" i="29"/>
  <c r="P4031" i="29"/>
  <c r="Q4031" i="29"/>
  <c r="F4032" i="29"/>
  <c r="G4032" i="29"/>
  <c r="N4032" i="29"/>
  <c r="P4032" i="29"/>
  <c r="Q4032" i="29"/>
  <c r="F4033" i="29"/>
  <c r="G4033" i="29"/>
  <c r="N4033" i="29"/>
  <c r="P4033" i="29"/>
  <c r="Q4033" i="29"/>
  <c r="F4034" i="29"/>
  <c r="G4034" i="29"/>
  <c r="N4034" i="29"/>
  <c r="P4034" i="29"/>
  <c r="Q4034" i="29"/>
  <c r="F4035" i="29"/>
  <c r="G4035" i="29"/>
  <c r="N4035" i="29"/>
  <c r="P4035" i="29"/>
  <c r="Q4035" i="29"/>
  <c r="F4036" i="29"/>
  <c r="G4036" i="29"/>
  <c r="N4036" i="29"/>
  <c r="P4036" i="29"/>
  <c r="Q4036" i="29"/>
  <c r="T4036" i="29"/>
  <c r="F4037" i="29"/>
  <c r="G4037" i="29"/>
  <c r="N4037" i="29"/>
  <c r="P4037" i="29"/>
  <c r="Q4037" i="29"/>
  <c r="S4037" i="29"/>
  <c r="F4038" i="29"/>
  <c r="G4038" i="29"/>
  <c r="N4038" i="29"/>
  <c r="P4038" i="29"/>
  <c r="Q4038" i="29"/>
  <c r="F4039" i="29"/>
  <c r="G4039" i="29"/>
  <c r="N4039" i="29"/>
  <c r="P4039" i="29"/>
  <c r="Q4039" i="29"/>
  <c r="F4040" i="29"/>
  <c r="G4040" i="29"/>
  <c r="N4040" i="29"/>
  <c r="P4040" i="29"/>
  <c r="Q4040" i="29"/>
  <c r="F4041" i="29"/>
  <c r="G4041" i="29"/>
  <c r="N4041" i="29"/>
  <c r="P4041" i="29"/>
  <c r="Q4041" i="29"/>
  <c r="F4042" i="29"/>
  <c r="G4042" i="29"/>
  <c r="N4042" i="29"/>
  <c r="P4042" i="29"/>
  <c r="Q4042" i="29"/>
  <c r="F4043" i="29"/>
  <c r="G4043" i="29"/>
  <c r="N4043" i="29"/>
  <c r="P4043" i="29"/>
  <c r="Q4043" i="29"/>
  <c r="F4044" i="29"/>
  <c r="G4044" i="29"/>
  <c r="N4044" i="29"/>
  <c r="P4044" i="29"/>
  <c r="Q4044" i="29"/>
  <c r="F4045" i="29"/>
  <c r="G4045" i="29"/>
  <c r="N4045" i="29"/>
  <c r="P4045" i="29"/>
  <c r="Q4045" i="29"/>
  <c r="F4046" i="29"/>
  <c r="G4046" i="29"/>
  <c r="N4046" i="29"/>
  <c r="P4046" i="29"/>
  <c r="Q4046" i="29"/>
  <c r="F4047" i="29"/>
  <c r="G4047" i="29"/>
  <c r="N4047" i="29"/>
  <c r="P4047" i="29"/>
  <c r="Q4047" i="29"/>
  <c r="F4048" i="29"/>
  <c r="G4048" i="29"/>
  <c r="N4048" i="29"/>
  <c r="P4048" i="29"/>
  <c r="Q4048" i="29"/>
  <c r="S4048" i="29"/>
  <c r="F4049" i="29"/>
  <c r="G4049" i="29"/>
  <c r="N4049" i="29"/>
  <c r="P4049" i="29"/>
  <c r="Q4049" i="29"/>
  <c r="R4049" i="29"/>
  <c r="F4050" i="29"/>
  <c r="G4050" i="29"/>
  <c r="N4050" i="29"/>
  <c r="P4050" i="29"/>
  <c r="Q4050" i="29"/>
  <c r="S4050" i="29"/>
  <c r="F4051" i="29"/>
  <c r="G4051" i="29"/>
  <c r="N4051" i="29"/>
  <c r="P4051" i="29"/>
  <c r="Q4051" i="29"/>
  <c r="F4052" i="29"/>
  <c r="G4052" i="29"/>
  <c r="N4052" i="29"/>
  <c r="P4052" i="29"/>
  <c r="Q4052" i="29"/>
  <c r="F4053" i="29"/>
  <c r="G4053" i="29"/>
  <c r="N4053" i="29"/>
  <c r="P4053" i="29"/>
  <c r="Q4053" i="29"/>
  <c r="S4053" i="29"/>
  <c r="F4054" i="29"/>
  <c r="G4054" i="29"/>
  <c r="N4054" i="29"/>
  <c r="P4054" i="29"/>
  <c r="Q4054" i="29"/>
  <c r="F4055" i="29"/>
  <c r="G4055" i="29"/>
  <c r="N4055" i="29"/>
  <c r="P4055" i="29"/>
  <c r="Q4055" i="29"/>
  <c r="F4056" i="29"/>
  <c r="G4056" i="29"/>
  <c r="N4056" i="29"/>
  <c r="P4056" i="29"/>
  <c r="Q4056" i="29"/>
  <c r="R4056" i="29"/>
  <c r="F4057" i="29"/>
  <c r="G4057" i="29"/>
  <c r="N4057" i="29"/>
  <c r="P4057" i="29"/>
  <c r="Q4057" i="29"/>
  <c r="R4057" i="29"/>
  <c r="F4058" i="29"/>
  <c r="G4058" i="29"/>
  <c r="N4058" i="29"/>
  <c r="P4058" i="29"/>
  <c r="Q4058" i="29"/>
  <c r="R4058" i="29"/>
  <c r="F4059" i="29"/>
  <c r="G4059" i="29"/>
  <c r="N4059" i="29"/>
  <c r="P4059" i="29"/>
  <c r="Q4059" i="29"/>
  <c r="R4059" i="29"/>
  <c r="F4060" i="29"/>
  <c r="G4060" i="29"/>
  <c r="N4060" i="29"/>
  <c r="P4060" i="29"/>
  <c r="Q4060" i="29"/>
  <c r="R4060" i="29"/>
  <c r="F4061" i="29"/>
  <c r="G4061" i="29"/>
  <c r="N4061" i="29"/>
  <c r="P4061" i="29"/>
  <c r="Q4061" i="29"/>
  <c r="F4062" i="29"/>
  <c r="G4062" i="29"/>
  <c r="N4062" i="29"/>
  <c r="P4062" i="29"/>
  <c r="Q4062" i="29"/>
  <c r="F4063" i="29"/>
  <c r="G4063" i="29"/>
  <c r="N4063" i="29"/>
  <c r="P4063" i="29"/>
  <c r="Q4063" i="29"/>
  <c r="F4064" i="29"/>
  <c r="G4064" i="29"/>
  <c r="N4064" i="29"/>
  <c r="P4064" i="29"/>
  <c r="Q4064" i="29"/>
  <c r="S4064" i="29"/>
  <c r="F4065" i="29"/>
  <c r="G4065" i="29"/>
  <c r="N4065" i="29"/>
  <c r="P4065" i="29"/>
  <c r="Q4065" i="29"/>
  <c r="F4066" i="29"/>
  <c r="G4066" i="29"/>
  <c r="N4066" i="29"/>
  <c r="P4066" i="29"/>
  <c r="Q4066" i="29"/>
  <c r="F4067" i="29"/>
  <c r="G4067" i="29"/>
  <c r="N4067" i="29"/>
  <c r="P4067" i="29"/>
  <c r="Q4067" i="29"/>
  <c r="F4068" i="29"/>
  <c r="G4068" i="29"/>
  <c r="N4068" i="29"/>
  <c r="P4068" i="29"/>
  <c r="Q4068" i="29"/>
  <c r="F4069" i="29"/>
  <c r="G4069" i="29"/>
  <c r="N4069" i="29"/>
  <c r="P4069" i="29"/>
  <c r="Q4069" i="29"/>
  <c r="F4070" i="29"/>
  <c r="G4070" i="29"/>
  <c r="N4070" i="29"/>
  <c r="P4070" i="29"/>
  <c r="Q4070" i="29"/>
  <c r="F4071" i="29"/>
  <c r="G4071" i="29"/>
  <c r="N4071" i="29"/>
  <c r="P4071" i="29"/>
  <c r="Q4071" i="29"/>
  <c r="S4071" i="29"/>
  <c r="F4072" i="29"/>
  <c r="G4072" i="29"/>
  <c r="N4072" i="29"/>
  <c r="P4072" i="29"/>
  <c r="Q4072" i="29"/>
  <c r="F4073" i="29"/>
  <c r="G4073" i="29"/>
  <c r="N4073" i="29"/>
  <c r="P4073" i="29"/>
  <c r="Q4073" i="29"/>
  <c r="F4074" i="29"/>
  <c r="G4074" i="29"/>
  <c r="N4074" i="29"/>
  <c r="P4074" i="29"/>
  <c r="Q4074" i="29"/>
  <c r="N4075" i="29"/>
  <c r="W4075" i="29"/>
  <c r="F4076" i="29"/>
  <c r="G4076" i="29"/>
  <c r="N4076" i="29"/>
  <c r="P4076" i="29"/>
  <c r="Q4076" i="29"/>
  <c r="T4076" i="29"/>
  <c r="F4077" i="29"/>
  <c r="G4077" i="29"/>
  <c r="N4077" i="29"/>
  <c r="P4077" i="29"/>
  <c r="Q4077" i="29"/>
  <c r="S4077" i="29"/>
  <c r="F4078" i="29"/>
  <c r="G4078" i="29"/>
  <c r="N4078" i="29"/>
  <c r="P4078" i="29"/>
  <c r="Q4078" i="29"/>
  <c r="F4079" i="29"/>
  <c r="G4079" i="29"/>
  <c r="N4079" i="29"/>
  <c r="P4079" i="29"/>
  <c r="Q4079" i="29"/>
  <c r="F4080" i="29"/>
  <c r="G4080" i="29"/>
  <c r="N4080" i="29"/>
  <c r="P4080" i="29"/>
  <c r="Q4080" i="29"/>
  <c r="F4081" i="29"/>
  <c r="G4081" i="29"/>
  <c r="N4081" i="29"/>
  <c r="P4081" i="29"/>
  <c r="Q4081" i="29"/>
  <c r="R4081" i="29"/>
  <c r="F4082" i="29"/>
  <c r="G4082" i="29"/>
  <c r="N4082" i="29"/>
  <c r="P4082" i="29"/>
  <c r="Q4082" i="29"/>
  <c r="F4083" i="29"/>
  <c r="G4083" i="29"/>
  <c r="N4083" i="29"/>
  <c r="P4083" i="29"/>
  <c r="Q4083" i="29"/>
  <c r="F4084" i="29"/>
  <c r="G4084" i="29"/>
  <c r="N4084" i="29"/>
  <c r="P4084" i="29"/>
  <c r="Q4084" i="29"/>
  <c r="F4085" i="29"/>
  <c r="G4085" i="29"/>
  <c r="N4085" i="29"/>
  <c r="P4085" i="29"/>
  <c r="Q4085" i="29"/>
  <c r="F4086" i="29"/>
  <c r="G4086" i="29"/>
  <c r="N4086" i="29"/>
  <c r="P4086" i="29"/>
  <c r="Q4086" i="29"/>
  <c r="F4087" i="29"/>
  <c r="G4087" i="29"/>
  <c r="N4087" i="29"/>
  <c r="P4087" i="29"/>
  <c r="R4087" i="29"/>
  <c r="Q4087" i="29"/>
  <c r="F4088" i="29"/>
  <c r="G4088" i="29"/>
  <c r="N4088" i="29"/>
  <c r="P4088" i="29"/>
  <c r="R4088" i="29"/>
  <c r="F4089" i="29"/>
  <c r="G4089" i="29"/>
  <c r="N4089" i="29"/>
  <c r="P4089" i="29"/>
  <c r="Q4089" i="29"/>
  <c r="F4090" i="29"/>
  <c r="G4090" i="29"/>
  <c r="N4090" i="29"/>
  <c r="P4090" i="29"/>
  <c r="Q4090" i="29"/>
  <c r="F4091" i="29"/>
  <c r="G4091" i="29"/>
  <c r="N4091" i="29"/>
  <c r="P4091" i="29"/>
  <c r="Q4091" i="29"/>
  <c r="F4092" i="29"/>
  <c r="G4092" i="29"/>
  <c r="N4092" i="29"/>
  <c r="P4092" i="29"/>
  <c r="S4092" i="29"/>
  <c r="T4092" i="29"/>
  <c r="F4093" i="29"/>
  <c r="G4093" i="29"/>
  <c r="N4093" i="29"/>
  <c r="P4093" i="29"/>
  <c r="Q4093" i="29"/>
  <c r="F4094" i="29"/>
  <c r="G4094" i="29"/>
  <c r="N4094" i="29"/>
  <c r="P4094" i="29"/>
  <c r="Q4094" i="29"/>
  <c r="F4095" i="29"/>
  <c r="G4095" i="29"/>
  <c r="N4095" i="29"/>
  <c r="P4095" i="29"/>
  <c r="Q4095" i="29"/>
  <c r="F4096" i="29"/>
  <c r="G4096" i="29"/>
  <c r="N4096" i="29"/>
  <c r="P4096" i="29"/>
  <c r="Q4096" i="29"/>
  <c r="F4097" i="29"/>
  <c r="G4097" i="29"/>
  <c r="N4097" i="29"/>
  <c r="P4097" i="29"/>
  <c r="Q4097" i="29"/>
  <c r="F4098" i="29"/>
  <c r="G4098" i="29"/>
  <c r="N4098" i="29"/>
  <c r="P4098" i="29"/>
  <c r="Q4098" i="29"/>
  <c r="F4099" i="29"/>
  <c r="G4099" i="29"/>
  <c r="N4099" i="29"/>
  <c r="P4099" i="29"/>
  <c r="Q4099" i="29"/>
  <c r="F4100" i="29"/>
  <c r="G4100" i="29"/>
  <c r="N4100" i="29"/>
  <c r="P4100" i="29"/>
  <c r="Q4100" i="29"/>
  <c r="F4101" i="29"/>
  <c r="G4101" i="29"/>
  <c r="N4101" i="29"/>
  <c r="P4101" i="29"/>
  <c r="Q4101" i="29"/>
  <c r="T4101" i="29"/>
  <c r="F4102" i="29"/>
  <c r="G4102" i="29"/>
  <c r="N4102" i="29"/>
  <c r="P4102" i="29"/>
  <c r="S4102" i="29"/>
  <c r="T4102" i="29"/>
  <c r="F4103" i="29"/>
  <c r="G4103" i="29"/>
  <c r="N4103" i="29"/>
  <c r="P4103" i="29"/>
  <c r="Q4103" i="29"/>
  <c r="F4104" i="29"/>
  <c r="G4104" i="29"/>
  <c r="N4104" i="29"/>
  <c r="P4104" i="29"/>
  <c r="Q4104" i="29"/>
  <c r="T4104" i="29"/>
  <c r="F4105" i="29"/>
  <c r="G4105" i="29"/>
  <c r="N4105" i="29"/>
  <c r="P4105" i="29"/>
  <c r="Q4105" i="29"/>
  <c r="T4105" i="29"/>
  <c r="F4106" i="29"/>
  <c r="G4106" i="29"/>
  <c r="N4106" i="29"/>
  <c r="P4106" i="29"/>
  <c r="Q4106" i="29"/>
  <c r="F4107" i="29"/>
  <c r="G4107" i="29"/>
  <c r="N4107" i="29"/>
  <c r="P4107" i="29"/>
  <c r="Q4107" i="29"/>
  <c r="F4108" i="29"/>
  <c r="G4108" i="29"/>
  <c r="N4108" i="29"/>
  <c r="P4108" i="29"/>
  <c r="Q4108" i="29"/>
  <c r="F4109" i="29"/>
  <c r="G4109" i="29"/>
  <c r="N4109" i="29"/>
  <c r="P4109" i="29"/>
  <c r="Q4109" i="29"/>
  <c r="F4110" i="29"/>
  <c r="G4110" i="29"/>
  <c r="N4110" i="29"/>
  <c r="P4110" i="29"/>
  <c r="Q4110" i="29"/>
  <c r="F4111" i="29"/>
  <c r="G4111" i="29"/>
  <c r="N4111" i="29"/>
  <c r="P4111" i="29"/>
  <c r="Q4111" i="29"/>
  <c r="F4112" i="29"/>
  <c r="G4112" i="29"/>
  <c r="N4112" i="29"/>
  <c r="P4112" i="29"/>
  <c r="Q4112" i="29"/>
  <c r="F4113" i="29"/>
  <c r="G4113" i="29"/>
  <c r="N4113" i="29"/>
  <c r="P4113" i="29"/>
  <c r="R4113" i="29"/>
  <c r="F4114" i="29"/>
  <c r="G4114" i="29"/>
  <c r="N4114" i="29"/>
  <c r="P4114" i="29"/>
  <c r="R4114" i="29"/>
  <c r="T4114" i="29"/>
  <c r="F4115" i="29"/>
  <c r="G4115" i="29"/>
  <c r="N4115" i="29"/>
  <c r="P4115" i="29"/>
  <c r="Q4115" i="29"/>
  <c r="F4116" i="29"/>
  <c r="G4116" i="29"/>
  <c r="N4116" i="29"/>
  <c r="P4116" i="29"/>
  <c r="Q4116" i="29"/>
  <c r="F4117" i="29"/>
  <c r="G4117" i="29"/>
  <c r="N4117" i="29"/>
  <c r="P4117" i="29"/>
  <c r="Q4117" i="29"/>
  <c r="S4117" i="29"/>
  <c r="F4118" i="29"/>
  <c r="G4118" i="29"/>
  <c r="N4118" i="29"/>
  <c r="P4118" i="29"/>
  <c r="Q4118" i="29"/>
  <c r="F4119" i="29"/>
  <c r="G4119" i="29"/>
  <c r="N4119" i="29"/>
  <c r="P4119" i="29"/>
  <c r="Q4119" i="29"/>
  <c r="F4120" i="29"/>
  <c r="G4120" i="29"/>
  <c r="J4120" i="29"/>
  <c r="N4120" i="29"/>
  <c r="P4120" i="29"/>
  <c r="R4120" i="29"/>
  <c r="Q4120" i="29"/>
  <c r="F4121" i="29"/>
  <c r="G4121" i="29"/>
  <c r="N4121" i="29"/>
  <c r="P4121" i="29"/>
  <c r="Q4121" i="29"/>
  <c r="F4122" i="29"/>
  <c r="G4122" i="29"/>
  <c r="N4122" i="29"/>
  <c r="P4122" i="29"/>
  <c r="Q4122" i="29"/>
  <c r="F4123" i="29"/>
  <c r="G4123" i="29"/>
  <c r="N4123" i="29"/>
  <c r="P4123" i="29"/>
  <c r="Q4123" i="29"/>
  <c r="F4124" i="29"/>
  <c r="G4124" i="29"/>
  <c r="N4124" i="29"/>
  <c r="P4124" i="29"/>
  <c r="S4124" i="29"/>
  <c r="T4124" i="29"/>
  <c r="F4125" i="29"/>
  <c r="G4125" i="29"/>
  <c r="N4125" i="29"/>
  <c r="P4125" i="29"/>
  <c r="Q4125" i="29"/>
  <c r="F4126" i="29"/>
  <c r="G4126" i="29"/>
  <c r="N4126" i="29"/>
  <c r="P4126" i="29"/>
  <c r="Q4126" i="29"/>
  <c r="F4127" i="29"/>
  <c r="G4127" i="29"/>
  <c r="N4127" i="29"/>
  <c r="P4127" i="29"/>
  <c r="Q4127" i="29"/>
  <c r="F4128" i="29"/>
  <c r="G4128" i="29"/>
  <c r="N4128" i="29"/>
  <c r="P4128" i="29"/>
  <c r="Q4128" i="29"/>
  <c r="F4129" i="29"/>
  <c r="G4129" i="29"/>
  <c r="N4129" i="29"/>
  <c r="P4129" i="29"/>
  <c r="Q4129" i="29"/>
  <c r="F4130" i="29"/>
  <c r="G4130" i="29"/>
  <c r="N4130" i="29"/>
  <c r="P4130" i="29"/>
  <c r="Q4130" i="29"/>
  <c r="F4131" i="29"/>
  <c r="G4131" i="29"/>
  <c r="N4131" i="29"/>
  <c r="P4131" i="29"/>
  <c r="Q4131" i="29"/>
  <c r="T4131" i="29"/>
  <c r="F4132" i="29"/>
  <c r="G4132" i="29"/>
  <c r="N4132" i="29"/>
  <c r="P4132" i="29"/>
  <c r="Q4132" i="29"/>
  <c r="F4133" i="29"/>
  <c r="G4133" i="29"/>
  <c r="N4133" i="29"/>
  <c r="P4133" i="29"/>
  <c r="Q4133" i="29"/>
  <c r="F4134" i="29"/>
  <c r="G4134" i="29"/>
  <c r="N4134" i="29"/>
  <c r="P4134" i="29"/>
  <c r="Q4134" i="29"/>
  <c r="F4135" i="29"/>
  <c r="G4135" i="29"/>
  <c r="N4135" i="29"/>
  <c r="P4135" i="29"/>
  <c r="Q4135" i="29"/>
  <c r="F4136" i="29"/>
  <c r="G4136" i="29"/>
  <c r="N4136" i="29"/>
  <c r="P4136" i="29"/>
  <c r="Q4136" i="29"/>
  <c r="F4137" i="29"/>
  <c r="G4137" i="29"/>
  <c r="N4137" i="29"/>
  <c r="P4137" i="29"/>
  <c r="Q4137" i="29"/>
  <c r="F4138" i="29"/>
  <c r="G4138" i="29"/>
  <c r="N4138" i="29"/>
  <c r="P4138" i="29"/>
  <c r="Q4138" i="29"/>
  <c r="F4139" i="29"/>
  <c r="G4139" i="29"/>
  <c r="N4139" i="29"/>
  <c r="P4139" i="29"/>
  <c r="Q4139" i="29"/>
  <c r="T4139" i="29"/>
  <c r="F4140" i="29"/>
  <c r="G4140" i="29"/>
  <c r="N4140" i="29"/>
  <c r="P4140" i="29"/>
  <c r="S4140" i="29"/>
  <c r="T4140" i="29"/>
  <c r="F4141" i="29"/>
  <c r="G4141" i="29"/>
  <c r="N4141" i="29"/>
  <c r="P4141" i="29"/>
  <c r="Q4141" i="29"/>
  <c r="F4142" i="29"/>
  <c r="G4142" i="29"/>
  <c r="N4142" i="29"/>
  <c r="P4142" i="29"/>
  <c r="Q4142" i="29"/>
  <c r="T4142" i="29"/>
  <c r="F4143" i="29"/>
  <c r="G4143" i="29"/>
  <c r="N4143" i="29"/>
  <c r="P4143" i="29"/>
  <c r="Q4143" i="29"/>
  <c r="F4144" i="29"/>
  <c r="G4144" i="29"/>
  <c r="N4144" i="29"/>
  <c r="P4144" i="29"/>
  <c r="Q4144" i="29"/>
  <c r="F4145" i="29"/>
  <c r="G4145" i="29"/>
  <c r="N4145" i="29"/>
  <c r="P4145" i="29"/>
  <c r="Q4145" i="29"/>
  <c r="T4145" i="29"/>
  <c r="F4146" i="29"/>
  <c r="G4146" i="29"/>
  <c r="N4146" i="29"/>
  <c r="P4146" i="29"/>
  <c r="Q4146" i="29"/>
  <c r="F4147" i="29"/>
  <c r="G4147" i="29"/>
  <c r="N4147" i="29"/>
  <c r="P4147" i="29"/>
  <c r="Q4147" i="29"/>
  <c r="R4147" i="29"/>
  <c r="F4148" i="29"/>
  <c r="G4148" i="29"/>
  <c r="N4148" i="29"/>
  <c r="P4148" i="29"/>
  <c r="Q4148" i="29"/>
  <c r="R4148" i="29"/>
  <c r="F4149" i="29"/>
  <c r="G4149" i="29"/>
  <c r="N4149" i="29"/>
  <c r="P4149" i="29"/>
  <c r="Q4149" i="29"/>
  <c r="R4149" i="29"/>
  <c r="F4150" i="29"/>
  <c r="G4150" i="29"/>
  <c r="N4150" i="29"/>
  <c r="P4150" i="29"/>
  <c r="Q4150" i="29"/>
  <c r="R4150" i="29"/>
  <c r="F4151" i="29"/>
  <c r="G4151" i="29"/>
  <c r="N4151" i="29"/>
  <c r="P4151" i="29"/>
  <c r="Q4151" i="29"/>
  <c r="R4151" i="29"/>
  <c r="F4152" i="29"/>
  <c r="G4152" i="29"/>
  <c r="N4152" i="29"/>
  <c r="P4152" i="29"/>
  <c r="Q4152" i="29"/>
  <c r="F4153" i="29"/>
  <c r="G4153" i="29"/>
  <c r="N4153" i="29"/>
  <c r="P4153" i="29"/>
  <c r="Q4153" i="29"/>
  <c r="F4154" i="29"/>
  <c r="G4154" i="29"/>
  <c r="N4154" i="29"/>
  <c r="P4154" i="29"/>
  <c r="Q4154" i="29"/>
  <c r="F4155" i="29"/>
  <c r="G4155" i="29"/>
  <c r="N4155" i="29"/>
  <c r="P4155" i="29"/>
  <c r="Q4155" i="29"/>
  <c r="F4156" i="29"/>
  <c r="G4156" i="29"/>
  <c r="N4156" i="29"/>
  <c r="P4156" i="29"/>
  <c r="Q4156" i="29"/>
  <c r="S4156" i="29"/>
  <c r="F4157" i="29"/>
  <c r="G4157" i="29"/>
  <c r="N4157" i="29"/>
  <c r="P4157" i="29"/>
  <c r="Q4157" i="29"/>
  <c r="S4157" i="29"/>
  <c r="F4158" i="29"/>
  <c r="G4158" i="29"/>
  <c r="N4158" i="29"/>
  <c r="P4158" i="29"/>
  <c r="Q4158" i="29"/>
  <c r="F4159" i="29"/>
  <c r="G4159" i="29"/>
  <c r="N4159" i="29"/>
  <c r="P4159" i="29"/>
  <c r="Q4159" i="29"/>
  <c r="F4160" i="29"/>
  <c r="G4160" i="29"/>
  <c r="N4160" i="29"/>
  <c r="P4160" i="29"/>
  <c r="Q4160" i="29"/>
  <c r="F4161" i="29"/>
  <c r="G4161" i="29"/>
  <c r="N4161" i="29"/>
  <c r="P4161" i="29"/>
  <c r="Q4161" i="29"/>
  <c r="F4162" i="29"/>
  <c r="G4162" i="29"/>
  <c r="N4162" i="29"/>
  <c r="P4162" i="29"/>
  <c r="Q4162" i="29"/>
  <c r="F4163" i="29"/>
  <c r="G4163" i="29"/>
  <c r="N4163" i="29"/>
  <c r="P4163" i="29"/>
  <c r="Q4163" i="29"/>
  <c r="T4163" i="29"/>
  <c r="F4164" i="29"/>
  <c r="G4164" i="29"/>
  <c r="N4164" i="29"/>
  <c r="P4164" i="29"/>
  <c r="Q4164" i="29"/>
  <c r="F4165" i="29"/>
  <c r="G4165" i="29"/>
  <c r="N4165" i="29"/>
  <c r="P4165" i="29"/>
  <c r="Q4165" i="29"/>
  <c r="F4166" i="29"/>
  <c r="G4166" i="29"/>
  <c r="N4166" i="29"/>
  <c r="P4166" i="29"/>
  <c r="Q4166" i="29"/>
  <c r="F4167" i="29"/>
  <c r="G4167" i="29"/>
  <c r="N4167" i="29"/>
  <c r="P4167" i="29"/>
  <c r="Q4167" i="29"/>
  <c r="F4168" i="29"/>
  <c r="G4168" i="29"/>
  <c r="N4168" i="29"/>
  <c r="P4168" i="29"/>
  <c r="Q4168" i="29"/>
  <c r="S4168" i="29"/>
  <c r="F4169" i="29"/>
  <c r="G4169" i="29"/>
  <c r="N4169" i="29"/>
  <c r="P4169" i="29"/>
  <c r="Q4169" i="29"/>
  <c r="N4170" i="29"/>
  <c r="W4170" i="29"/>
  <c r="F4171" i="29"/>
  <c r="G4171" i="29"/>
  <c r="N4171" i="29"/>
  <c r="P4171" i="29"/>
  <c r="Q4171" i="29"/>
  <c r="F4172" i="29"/>
  <c r="G4172" i="29"/>
  <c r="N4172" i="29"/>
  <c r="P4172" i="29"/>
  <c r="Q4172" i="29"/>
  <c r="F4173" i="29"/>
  <c r="G4173" i="29"/>
  <c r="N4173" i="29"/>
  <c r="P4173" i="29"/>
  <c r="Q4173" i="29"/>
  <c r="F4174" i="29"/>
  <c r="G4174" i="29"/>
  <c r="N4174" i="29"/>
  <c r="P4174" i="29"/>
  <c r="Q4174" i="29"/>
  <c r="F4175" i="29"/>
  <c r="G4175" i="29"/>
  <c r="N4175" i="29"/>
  <c r="P4175" i="29"/>
  <c r="Q4175" i="29"/>
  <c r="F4176" i="29"/>
  <c r="G4176" i="29"/>
  <c r="N4176" i="29"/>
  <c r="P4176" i="29"/>
  <c r="Q4176" i="29"/>
  <c r="F4177" i="29"/>
  <c r="G4177" i="29"/>
  <c r="N4177" i="29"/>
  <c r="P4177" i="29"/>
  <c r="Q4177" i="29"/>
  <c r="F4178" i="29"/>
  <c r="G4178" i="29"/>
  <c r="N4178" i="29"/>
  <c r="P4178" i="29"/>
  <c r="R4178" i="29"/>
  <c r="F4179" i="29"/>
  <c r="G4179" i="29"/>
  <c r="N4179" i="29"/>
  <c r="P4179" i="29"/>
  <c r="R4179" i="29"/>
  <c r="F4180" i="29"/>
  <c r="G4180" i="29"/>
  <c r="N4180" i="29"/>
  <c r="P4180" i="29"/>
  <c r="Q4180" i="29"/>
  <c r="S4180" i="29"/>
  <c r="F4181" i="29"/>
  <c r="G4181" i="29"/>
  <c r="N4181" i="29"/>
  <c r="P4181" i="29"/>
  <c r="Q4181" i="29"/>
  <c r="F4182" i="29"/>
  <c r="G4182" i="29"/>
  <c r="N4182" i="29"/>
  <c r="P4182" i="29"/>
  <c r="Q4182" i="29"/>
  <c r="S4182" i="29"/>
  <c r="F4183" i="29"/>
  <c r="G4183" i="29"/>
  <c r="N4183" i="29"/>
  <c r="P4183" i="29"/>
  <c r="Q4183" i="29"/>
  <c r="F4184" i="29"/>
  <c r="G4184" i="29"/>
  <c r="N4184" i="29"/>
  <c r="P4184" i="29"/>
  <c r="Q4184" i="29"/>
  <c r="F4185" i="29"/>
  <c r="G4185" i="29"/>
  <c r="N4185" i="29"/>
  <c r="P4185" i="29"/>
  <c r="Q4185" i="29"/>
  <c r="F4186" i="29"/>
  <c r="G4186" i="29"/>
  <c r="N4186" i="29"/>
  <c r="P4186" i="29"/>
  <c r="Q4186" i="29"/>
  <c r="F4187" i="29"/>
  <c r="G4187" i="29"/>
  <c r="N4187" i="29"/>
  <c r="P4187" i="29"/>
  <c r="Q4187" i="29"/>
  <c r="F4188" i="29"/>
  <c r="G4188" i="29"/>
  <c r="N4188" i="29"/>
  <c r="P4188" i="29"/>
  <c r="Q4188" i="29"/>
  <c r="F4189" i="29"/>
  <c r="G4189" i="29"/>
  <c r="N4189" i="29"/>
  <c r="P4189" i="29"/>
  <c r="Q4189" i="29"/>
  <c r="S4189" i="29"/>
  <c r="F4190" i="29"/>
  <c r="G4190" i="29"/>
  <c r="N4190" i="29"/>
  <c r="P4190" i="29"/>
  <c r="Q4190" i="29"/>
  <c r="T4190" i="29"/>
  <c r="F4191" i="29"/>
  <c r="G4191" i="29"/>
  <c r="N4191" i="29"/>
  <c r="P4191" i="29"/>
  <c r="Q4191" i="29"/>
  <c r="S4191" i="29"/>
  <c r="F4192" i="29"/>
  <c r="G4192" i="29"/>
  <c r="N4192" i="29"/>
  <c r="P4192" i="29"/>
  <c r="Q4192" i="29"/>
  <c r="F4193" i="29"/>
  <c r="G4193" i="29"/>
  <c r="N4193" i="29"/>
  <c r="P4193" i="29"/>
  <c r="Q4193" i="29"/>
  <c r="F4194" i="29"/>
  <c r="G4194" i="29"/>
  <c r="N4194" i="29"/>
  <c r="P4194" i="29"/>
  <c r="Q4194" i="29"/>
  <c r="T4194" i="29"/>
  <c r="F4195" i="29"/>
  <c r="G4195" i="29"/>
  <c r="N4195" i="29"/>
  <c r="P4195" i="29"/>
  <c r="Q4195" i="29"/>
  <c r="F4196" i="29"/>
  <c r="G4196" i="29"/>
  <c r="N4196" i="29"/>
  <c r="P4196" i="29"/>
  <c r="Q4196" i="29"/>
  <c r="F4197" i="29"/>
  <c r="G4197" i="29"/>
  <c r="N4197" i="29"/>
  <c r="P4197" i="29"/>
  <c r="Q4197" i="29"/>
  <c r="F4198" i="29"/>
  <c r="G4198" i="29"/>
  <c r="N4198" i="29"/>
  <c r="P4198" i="29"/>
  <c r="Q4198" i="29"/>
  <c r="F4199" i="29"/>
  <c r="G4199" i="29"/>
  <c r="N4199" i="29"/>
  <c r="P4199" i="29"/>
  <c r="Q4199" i="29"/>
  <c r="F4200" i="29"/>
  <c r="G4200" i="29"/>
  <c r="N4200" i="29"/>
  <c r="P4200" i="29"/>
  <c r="Q4200" i="29"/>
  <c r="T4200" i="29"/>
  <c r="F4201" i="29"/>
  <c r="G4201" i="29"/>
  <c r="N4201" i="29"/>
  <c r="P4201" i="29"/>
  <c r="Q4201" i="29"/>
  <c r="F4202" i="29"/>
  <c r="G4202" i="29"/>
  <c r="N4202" i="29"/>
  <c r="P4202" i="29"/>
  <c r="Q4202" i="29"/>
  <c r="F4203" i="29"/>
  <c r="G4203" i="29"/>
  <c r="N4203" i="29"/>
  <c r="P4203" i="29"/>
  <c r="Q4203" i="29"/>
  <c r="F4204" i="29"/>
  <c r="G4204" i="29"/>
  <c r="N4204" i="29"/>
  <c r="P4204" i="29"/>
  <c r="Q4204" i="29"/>
  <c r="F4205" i="29"/>
  <c r="G4205" i="29"/>
  <c r="N4205" i="29"/>
  <c r="P4205" i="29"/>
  <c r="Q4205" i="29"/>
  <c r="F4206" i="29"/>
  <c r="G4206" i="29"/>
  <c r="N4206" i="29"/>
  <c r="P4206" i="29"/>
  <c r="Q4206" i="29"/>
  <c r="T4206" i="29"/>
  <c r="F4207" i="29"/>
  <c r="G4207" i="29"/>
  <c r="N4207" i="29"/>
  <c r="P4207" i="29"/>
  <c r="Q4207" i="29"/>
  <c r="F4208" i="29"/>
  <c r="G4208" i="29"/>
  <c r="N4208" i="29"/>
  <c r="P4208" i="29"/>
  <c r="Q4208" i="29"/>
  <c r="F4209" i="29"/>
  <c r="G4209" i="29"/>
  <c r="N4209" i="29"/>
  <c r="P4209" i="29"/>
  <c r="Q4209" i="29"/>
  <c r="F4210" i="29"/>
  <c r="G4210" i="29"/>
  <c r="N4210" i="29"/>
  <c r="P4210" i="29"/>
  <c r="Q4210" i="29"/>
  <c r="F4211" i="29"/>
  <c r="G4211" i="29"/>
  <c r="N4211" i="29"/>
  <c r="P4211" i="29"/>
  <c r="Q4211" i="29"/>
  <c r="F4212" i="29"/>
  <c r="G4212" i="29"/>
  <c r="N4212" i="29"/>
  <c r="P4212" i="29"/>
  <c r="Q4212" i="29"/>
  <c r="F4213" i="29"/>
  <c r="G4213" i="29"/>
  <c r="N4213" i="29"/>
  <c r="P4213" i="29"/>
  <c r="Q4213" i="29"/>
  <c r="V4213" i="29"/>
  <c r="F4214" i="29"/>
  <c r="G4214" i="29"/>
  <c r="N4214" i="29"/>
  <c r="P4214" i="29"/>
  <c r="Q4214" i="29"/>
  <c r="F4215" i="29"/>
  <c r="G4215" i="29"/>
  <c r="N4215" i="29"/>
  <c r="P4215" i="29"/>
  <c r="Q4215" i="29"/>
  <c r="S4215" i="29"/>
  <c r="F4216" i="29"/>
  <c r="G4216" i="29"/>
  <c r="N4216" i="29"/>
  <c r="P4216" i="29"/>
  <c r="Q4216" i="29"/>
  <c r="F4217" i="29"/>
  <c r="G4217" i="29"/>
  <c r="N4217" i="29"/>
  <c r="P4217" i="29"/>
  <c r="Q4217" i="29"/>
  <c r="F4218" i="29"/>
  <c r="G4218" i="29"/>
  <c r="N4218" i="29"/>
  <c r="P4218" i="29"/>
  <c r="Q4218" i="29"/>
  <c r="S4218" i="29"/>
  <c r="F4219" i="29"/>
  <c r="G4219" i="29"/>
  <c r="N4219" i="29"/>
  <c r="P4219" i="29"/>
  <c r="Q4219" i="29"/>
  <c r="F4220" i="29"/>
  <c r="G4220" i="29"/>
  <c r="N4220" i="29"/>
  <c r="P4220" i="29"/>
  <c r="Q4220" i="29"/>
  <c r="S4220" i="29"/>
  <c r="F4221" i="29"/>
  <c r="G4221" i="29"/>
  <c r="N4221" i="29"/>
  <c r="P4221" i="29"/>
  <c r="Q4221" i="29"/>
  <c r="F4222" i="29"/>
  <c r="G4222" i="29"/>
  <c r="N4222" i="29"/>
  <c r="P4222" i="29"/>
  <c r="Q4222" i="29"/>
  <c r="F4223" i="29"/>
  <c r="G4223" i="29"/>
  <c r="N4223" i="29"/>
  <c r="P4223" i="29"/>
  <c r="Q4223" i="29"/>
  <c r="F4224" i="29"/>
  <c r="G4224" i="29"/>
  <c r="N4224" i="29"/>
  <c r="P4224" i="29"/>
  <c r="Q4224" i="29"/>
  <c r="S4224" i="29"/>
  <c r="F4225" i="29"/>
  <c r="G4225" i="29"/>
  <c r="N4225" i="29"/>
  <c r="P4225" i="29"/>
  <c r="R4225" i="29"/>
  <c r="F4226" i="29"/>
  <c r="G4226" i="29"/>
  <c r="N4226" i="29"/>
  <c r="P4226" i="29"/>
  <c r="R4226" i="29"/>
  <c r="Q4226" i="29"/>
  <c r="F4227" i="29"/>
  <c r="G4227" i="29"/>
  <c r="N4227" i="29"/>
  <c r="P4227" i="29"/>
  <c r="Q4227" i="29"/>
  <c r="F4228" i="29"/>
  <c r="G4228" i="29"/>
  <c r="N4228" i="29"/>
  <c r="P4228" i="29"/>
  <c r="Q4228" i="29"/>
  <c r="F4229" i="29"/>
  <c r="G4229" i="29"/>
  <c r="N4229" i="29"/>
  <c r="P4229" i="29"/>
  <c r="Q4229" i="29"/>
  <c r="F4230" i="29"/>
  <c r="G4230" i="29"/>
  <c r="N4230" i="29"/>
  <c r="P4230" i="29"/>
  <c r="Q4230" i="29"/>
  <c r="F4231" i="29"/>
  <c r="G4231" i="29"/>
  <c r="N4231" i="29"/>
  <c r="P4231" i="29"/>
  <c r="Q4231" i="29"/>
  <c r="F4232" i="29"/>
  <c r="G4232" i="29"/>
  <c r="N4232" i="29"/>
  <c r="P4232" i="29"/>
  <c r="Q4232" i="29"/>
  <c r="F4233" i="29"/>
  <c r="G4233" i="29"/>
  <c r="N4233" i="29"/>
  <c r="P4233" i="29"/>
  <c r="Q4233" i="29"/>
  <c r="R4233" i="29"/>
  <c r="F4234" i="29"/>
  <c r="G4234" i="29"/>
  <c r="N4234" i="29"/>
  <c r="P4234" i="29"/>
  <c r="Q4234" i="29"/>
  <c r="R4234" i="29"/>
  <c r="F4235" i="29"/>
  <c r="G4235" i="29"/>
  <c r="N4235" i="29"/>
  <c r="P4235" i="29"/>
  <c r="Q4235" i="29"/>
  <c r="R4235" i="29"/>
  <c r="F4236" i="29"/>
  <c r="G4236" i="29"/>
  <c r="N4236" i="29"/>
  <c r="P4236" i="29"/>
  <c r="Q4236" i="29"/>
  <c r="R4236" i="29"/>
  <c r="F4237" i="29"/>
  <c r="G4237" i="29"/>
  <c r="N4237" i="29"/>
  <c r="P4237" i="29"/>
  <c r="Q4237" i="29"/>
  <c r="R4237" i="29"/>
  <c r="F4238" i="29"/>
  <c r="G4238" i="29"/>
  <c r="N4238" i="29"/>
  <c r="P4238" i="29"/>
  <c r="Q4238" i="29"/>
  <c r="F4239" i="29"/>
  <c r="G4239" i="29"/>
  <c r="N4239" i="29"/>
  <c r="P4239" i="29"/>
  <c r="Q4239" i="29"/>
  <c r="S4239" i="29"/>
  <c r="F4240" i="29"/>
  <c r="G4240" i="29"/>
  <c r="N4240" i="29"/>
  <c r="P4240" i="29"/>
  <c r="Q4240" i="29"/>
  <c r="F4241" i="29"/>
  <c r="G4241" i="29"/>
  <c r="N4241" i="29"/>
  <c r="P4241" i="29"/>
  <c r="Q4241" i="29"/>
  <c r="T4241" i="29"/>
  <c r="F4242" i="29"/>
  <c r="G4242" i="29"/>
  <c r="N4242" i="29"/>
  <c r="P4242" i="29"/>
  <c r="Q4242" i="29"/>
  <c r="T4242" i="29"/>
  <c r="F4243" i="29"/>
  <c r="G4243" i="29"/>
  <c r="N4243" i="29"/>
  <c r="P4243" i="29"/>
  <c r="Q4243" i="29"/>
  <c r="F4244" i="29"/>
  <c r="G4244" i="29"/>
  <c r="N4244" i="29"/>
  <c r="P4244" i="29"/>
  <c r="Q4244" i="29"/>
  <c r="F4245" i="29"/>
  <c r="G4245" i="29"/>
  <c r="N4245" i="29"/>
  <c r="P4245" i="29"/>
  <c r="Q4245" i="29"/>
  <c r="F4246" i="29"/>
  <c r="G4246" i="29"/>
  <c r="N4246" i="29"/>
  <c r="P4246" i="29"/>
  <c r="Q4246" i="29"/>
  <c r="T4246" i="29"/>
  <c r="F4247" i="29"/>
  <c r="G4247" i="29"/>
  <c r="N4247" i="29"/>
  <c r="P4247" i="29"/>
  <c r="Q4247" i="29"/>
  <c r="F4248" i="29"/>
  <c r="G4248" i="29"/>
  <c r="N4248" i="29"/>
  <c r="P4248" i="29"/>
  <c r="Q4248" i="29"/>
  <c r="F4249" i="29"/>
  <c r="G4249" i="29"/>
  <c r="N4249" i="29"/>
  <c r="P4249" i="29"/>
  <c r="Q4249" i="29"/>
  <c r="F4250" i="29"/>
  <c r="G4250" i="29"/>
  <c r="N4250" i="29"/>
  <c r="P4250" i="29"/>
  <c r="Q4250" i="29"/>
  <c r="S4250" i="29"/>
  <c r="F4251" i="29"/>
  <c r="G4251" i="29"/>
  <c r="N4251" i="29"/>
  <c r="P4251" i="29"/>
  <c r="Q4251" i="29"/>
  <c r="F4252" i="29"/>
  <c r="G4252" i="29"/>
  <c r="N4252" i="29"/>
  <c r="P4252" i="29"/>
  <c r="Q4252" i="29"/>
  <c r="T4252" i="29"/>
  <c r="F4253" i="29"/>
  <c r="G4253" i="29"/>
  <c r="N4253" i="29"/>
  <c r="P4253" i="29"/>
  <c r="Q4253" i="29"/>
  <c r="F4254" i="29"/>
  <c r="G4254" i="29"/>
  <c r="N4254" i="29"/>
  <c r="P4254" i="29"/>
  <c r="Q4254" i="29"/>
  <c r="N4255" i="29"/>
  <c r="W4255" i="29"/>
  <c r="F4256" i="29"/>
  <c r="G4256" i="29"/>
  <c r="N4256" i="29"/>
  <c r="P4256" i="29"/>
  <c r="Q4256" i="29"/>
  <c r="F4257" i="29"/>
  <c r="G4257" i="29"/>
  <c r="J4257" i="29"/>
  <c r="N4257" i="29"/>
  <c r="P4257" i="29"/>
  <c r="Q4257" i="29"/>
  <c r="F4258" i="29"/>
  <c r="G4258" i="29"/>
  <c r="J4258" i="29"/>
  <c r="N4258" i="29"/>
  <c r="P4258" i="29"/>
  <c r="Q4258" i="29"/>
  <c r="F4259" i="29"/>
  <c r="G4259" i="29"/>
  <c r="N4259" i="29"/>
  <c r="P4259" i="29"/>
  <c r="Q4259" i="29"/>
  <c r="F4260" i="29"/>
  <c r="G4260" i="29"/>
  <c r="N4260" i="29"/>
  <c r="P4260" i="29"/>
  <c r="S4260" i="29"/>
  <c r="T4260" i="29"/>
  <c r="F4261" i="29"/>
  <c r="G4261" i="29"/>
  <c r="N4261" i="29"/>
  <c r="P4261" i="29"/>
  <c r="Q4261" i="29"/>
  <c r="F4262" i="29"/>
  <c r="G4262" i="29"/>
  <c r="N4262" i="29"/>
  <c r="P4262" i="29"/>
  <c r="Q4262" i="29"/>
  <c r="F4263" i="29"/>
  <c r="G4263" i="29"/>
  <c r="N4263" i="29"/>
  <c r="P4263" i="29"/>
  <c r="Q4263" i="29"/>
  <c r="F4264" i="29"/>
  <c r="G4264" i="29"/>
  <c r="N4264" i="29"/>
  <c r="P4264" i="29"/>
  <c r="Q4264" i="29"/>
  <c r="S4264" i="29"/>
  <c r="F4265" i="29"/>
  <c r="G4265" i="29"/>
  <c r="N4265" i="29"/>
  <c r="P4265" i="29"/>
  <c r="Q4265" i="29"/>
  <c r="F4266" i="29"/>
  <c r="G4266" i="29"/>
  <c r="N4266" i="29"/>
  <c r="P4266" i="29"/>
  <c r="Q4266" i="29"/>
  <c r="F4267" i="29"/>
  <c r="G4267" i="29"/>
  <c r="N4267" i="29"/>
  <c r="P4267" i="29"/>
  <c r="Q4267" i="29"/>
  <c r="F4268" i="29"/>
  <c r="G4268" i="29"/>
  <c r="N4268" i="29"/>
  <c r="P4268" i="29"/>
  <c r="Q4268" i="29"/>
  <c r="T4268" i="29"/>
  <c r="F4269" i="29"/>
  <c r="G4269" i="29"/>
  <c r="N4269" i="29"/>
  <c r="P4269" i="29"/>
  <c r="Q4269" i="29"/>
  <c r="F4270" i="29"/>
  <c r="G4270" i="29"/>
  <c r="N4270" i="29"/>
  <c r="P4270" i="29"/>
  <c r="Q4270" i="29"/>
  <c r="F4271" i="29"/>
  <c r="G4271" i="29"/>
  <c r="N4271" i="29"/>
  <c r="P4271" i="29"/>
  <c r="Q4271" i="29"/>
  <c r="S4271" i="29"/>
  <c r="F4272" i="29"/>
  <c r="G4272" i="29"/>
  <c r="N4272" i="29"/>
  <c r="P4272" i="29"/>
  <c r="Q4272" i="29"/>
  <c r="F4273" i="29"/>
  <c r="G4273" i="29"/>
  <c r="N4273" i="29"/>
  <c r="P4273" i="29"/>
  <c r="Q4273" i="29"/>
  <c r="S4273" i="29"/>
  <c r="F4274" i="29"/>
  <c r="G4274" i="29"/>
  <c r="N4274" i="29"/>
  <c r="P4274" i="29"/>
  <c r="Q4274" i="29"/>
  <c r="S4274" i="29"/>
  <c r="F4275" i="29"/>
  <c r="G4275" i="29"/>
  <c r="N4275" i="29"/>
  <c r="P4275" i="29"/>
  <c r="Q4275" i="29"/>
  <c r="S4275" i="29"/>
  <c r="F4276" i="29"/>
  <c r="G4276" i="29"/>
  <c r="N4276" i="29"/>
  <c r="P4276" i="29"/>
  <c r="Q4276" i="29"/>
  <c r="F4277" i="29"/>
  <c r="G4277" i="29"/>
  <c r="N4277" i="29"/>
  <c r="P4277" i="29"/>
  <c r="Q4277" i="29"/>
  <c r="F4278" i="29"/>
  <c r="G4278" i="29"/>
  <c r="N4278" i="29"/>
  <c r="P4278" i="29"/>
  <c r="Q4278" i="29"/>
  <c r="F4279" i="29"/>
  <c r="G4279" i="29"/>
  <c r="J4279" i="29"/>
  <c r="N4279" i="29"/>
  <c r="P4279" i="29"/>
  <c r="S4279" i="29"/>
  <c r="T4279" i="29"/>
  <c r="F4280" i="29"/>
  <c r="G4280" i="29"/>
  <c r="N4280" i="29"/>
  <c r="P4280" i="29"/>
  <c r="R4280" i="29"/>
  <c r="F4281" i="29"/>
  <c r="G4281" i="29"/>
  <c r="N4281" i="29"/>
  <c r="P4281" i="29"/>
  <c r="Q4281" i="29"/>
  <c r="F4282" i="29"/>
  <c r="G4282" i="29"/>
  <c r="N4282" i="29"/>
  <c r="P4282" i="29"/>
  <c r="Q4282" i="29"/>
  <c r="F4283" i="29"/>
  <c r="G4283" i="29"/>
  <c r="N4283" i="29"/>
  <c r="P4283" i="29"/>
  <c r="Q4283" i="29"/>
  <c r="F4284" i="29"/>
  <c r="G4284" i="29"/>
  <c r="N4284" i="29"/>
  <c r="P4284" i="29"/>
  <c r="Q4284" i="29"/>
  <c r="F4285" i="29"/>
  <c r="G4285" i="29"/>
  <c r="N4285" i="29"/>
  <c r="P4285" i="29"/>
  <c r="Q4285" i="29"/>
  <c r="R4285" i="29"/>
  <c r="F4286" i="29"/>
  <c r="G4286" i="29"/>
  <c r="N4286" i="29"/>
  <c r="P4286" i="29"/>
  <c r="Q4286" i="29"/>
  <c r="F4287" i="29"/>
  <c r="G4287" i="29"/>
  <c r="N4287" i="29"/>
  <c r="P4287" i="29"/>
  <c r="Q4287" i="29"/>
  <c r="F4288" i="29"/>
  <c r="G4288" i="29"/>
  <c r="N4288" i="29"/>
  <c r="P4288" i="29"/>
  <c r="Q4288" i="29"/>
  <c r="F4289" i="29"/>
  <c r="G4289" i="29"/>
  <c r="N4289" i="29"/>
  <c r="P4289" i="29"/>
  <c r="Q4289" i="29"/>
  <c r="S4289" i="29"/>
  <c r="F4290" i="29"/>
  <c r="G4290" i="29"/>
  <c r="N4290" i="29"/>
  <c r="P4290" i="29"/>
  <c r="Q4290" i="29"/>
  <c r="F4291" i="29"/>
  <c r="G4291" i="29"/>
  <c r="N4291" i="29"/>
  <c r="P4291" i="29"/>
  <c r="Q4291" i="29"/>
  <c r="S4291" i="29"/>
  <c r="F4292" i="29"/>
  <c r="G4292" i="29"/>
  <c r="N4292" i="29"/>
  <c r="P4292" i="29"/>
  <c r="Q4292" i="29"/>
  <c r="F4293" i="29"/>
  <c r="G4293" i="29"/>
  <c r="N4293" i="29"/>
  <c r="P4293" i="29"/>
  <c r="Q4293" i="29"/>
  <c r="T4293" i="29"/>
  <c r="F4294" i="29"/>
  <c r="G4294" i="29"/>
  <c r="N4294" i="29"/>
  <c r="P4294" i="29"/>
  <c r="Q4294" i="29"/>
  <c r="T4294" i="29"/>
  <c r="F4295" i="29"/>
  <c r="G4295" i="29"/>
  <c r="N4295" i="29"/>
  <c r="P4295" i="29"/>
  <c r="Q4295" i="29"/>
  <c r="T4295" i="29"/>
  <c r="F4296" i="29"/>
  <c r="G4296" i="29"/>
  <c r="N4296" i="29"/>
  <c r="P4296" i="29"/>
  <c r="Q4296" i="29"/>
  <c r="F4297" i="29"/>
  <c r="G4297" i="29"/>
  <c r="N4297" i="29"/>
  <c r="P4297" i="29"/>
  <c r="Q4297" i="29"/>
  <c r="F4298" i="29"/>
  <c r="G4298" i="29"/>
  <c r="N4298" i="29"/>
  <c r="P4298" i="29"/>
  <c r="S4298" i="29"/>
  <c r="T4298" i="29"/>
  <c r="F4299" i="29"/>
  <c r="G4299" i="29"/>
  <c r="N4299" i="29"/>
  <c r="P4299" i="29"/>
  <c r="S4299" i="29"/>
  <c r="T4299" i="29"/>
  <c r="F4300" i="29"/>
  <c r="G4300" i="29"/>
  <c r="N4300" i="29"/>
  <c r="P4300" i="29"/>
  <c r="Q4300" i="29"/>
  <c r="T4300" i="29"/>
  <c r="F4301" i="29"/>
  <c r="G4301" i="29"/>
  <c r="N4301" i="29"/>
  <c r="P4301" i="29"/>
  <c r="Q4301" i="29"/>
  <c r="F4302" i="29"/>
  <c r="G4302" i="29"/>
  <c r="N4302" i="29"/>
  <c r="P4302" i="29"/>
  <c r="Q4302" i="29"/>
  <c r="F4303" i="29"/>
  <c r="G4303" i="29"/>
  <c r="N4303" i="29"/>
  <c r="P4303" i="29"/>
  <c r="Q4303" i="29"/>
  <c r="F4304" i="29"/>
  <c r="G4304" i="29"/>
  <c r="N4304" i="29"/>
  <c r="P4304" i="29"/>
  <c r="Q4304" i="29"/>
  <c r="T4304" i="29"/>
  <c r="F4305" i="29"/>
  <c r="G4305" i="29"/>
  <c r="N4305" i="29"/>
  <c r="P4305" i="29"/>
  <c r="Q4305" i="29"/>
  <c r="F4306" i="29"/>
  <c r="G4306" i="29"/>
  <c r="N4306" i="29"/>
  <c r="P4306" i="29"/>
  <c r="Q4306" i="29"/>
  <c r="F4307" i="29"/>
  <c r="G4307" i="29"/>
  <c r="N4307" i="29"/>
  <c r="P4307" i="29"/>
  <c r="Q4307" i="29"/>
  <c r="F4308" i="29"/>
  <c r="G4308" i="29"/>
  <c r="N4308" i="29"/>
  <c r="P4308" i="29"/>
  <c r="Q4308" i="29"/>
  <c r="F4309" i="29"/>
  <c r="G4309" i="29"/>
  <c r="N4309" i="29"/>
  <c r="P4309" i="29"/>
  <c r="Q4309" i="29"/>
  <c r="F4310" i="29"/>
  <c r="G4310" i="29"/>
  <c r="N4310" i="29"/>
  <c r="P4310" i="29"/>
  <c r="Q4310" i="29"/>
  <c r="T4310" i="29"/>
  <c r="F4311" i="29"/>
  <c r="G4311" i="29"/>
  <c r="N4311" i="29"/>
  <c r="P4311" i="29"/>
  <c r="Q4311" i="29"/>
  <c r="F4312" i="29"/>
  <c r="G4312" i="29"/>
  <c r="N4312" i="29"/>
  <c r="P4312" i="29"/>
  <c r="Q4312" i="29"/>
  <c r="F4313" i="29"/>
  <c r="G4313" i="29"/>
  <c r="N4313" i="29"/>
  <c r="P4313" i="29"/>
  <c r="Q4313" i="29"/>
  <c r="F4314" i="29"/>
  <c r="G4314" i="29"/>
  <c r="N4314" i="29"/>
  <c r="P4314" i="29"/>
  <c r="Q4314" i="29"/>
  <c r="F4315" i="29"/>
  <c r="G4315" i="29"/>
  <c r="N4315" i="29"/>
  <c r="P4315" i="29"/>
  <c r="Q4315" i="29"/>
  <c r="F4316" i="29"/>
  <c r="G4316" i="29"/>
  <c r="N4316" i="29"/>
  <c r="P4316" i="29"/>
  <c r="Q4316" i="29"/>
  <c r="F4317" i="29"/>
  <c r="G4317" i="29"/>
  <c r="N4317" i="29"/>
  <c r="P4317" i="29"/>
  <c r="Q4317" i="29"/>
  <c r="T4317" i="29"/>
  <c r="F4318" i="29"/>
  <c r="G4318" i="29"/>
  <c r="N4318" i="29"/>
  <c r="P4318" i="29"/>
  <c r="Q4318" i="29"/>
  <c r="F4319" i="29"/>
  <c r="G4319" i="29"/>
  <c r="N4319" i="29"/>
  <c r="P4319" i="29"/>
  <c r="Q4319" i="29"/>
  <c r="F4320" i="29"/>
  <c r="G4320" i="29"/>
  <c r="N4320" i="29"/>
  <c r="P4320" i="29"/>
  <c r="Q4320" i="29"/>
  <c r="F4321" i="29"/>
  <c r="G4321" i="29"/>
  <c r="N4321" i="29"/>
  <c r="P4321" i="29"/>
  <c r="Q4321" i="29"/>
  <c r="S4321" i="29"/>
  <c r="F4322" i="29"/>
  <c r="G4322" i="29"/>
  <c r="N4322" i="29"/>
  <c r="P4322" i="29"/>
  <c r="Q4322" i="29"/>
  <c r="F4323" i="29"/>
  <c r="G4323" i="29"/>
  <c r="N4323" i="29"/>
  <c r="P4323" i="29"/>
  <c r="Q4323" i="29"/>
  <c r="F4324" i="29"/>
  <c r="G4324" i="29"/>
  <c r="N4324" i="29"/>
  <c r="P4324" i="29"/>
  <c r="Q4324" i="29"/>
  <c r="F4325" i="29"/>
  <c r="G4325" i="29"/>
  <c r="N4325" i="29"/>
  <c r="P4325" i="29"/>
  <c r="Q4325" i="29"/>
  <c r="T4325" i="29"/>
  <c r="F4326" i="29"/>
  <c r="G4326" i="29"/>
  <c r="N4326" i="29"/>
  <c r="P4326" i="29"/>
  <c r="Q4326" i="29"/>
  <c r="F4327" i="29"/>
  <c r="G4327" i="29"/>
  <c r="N4327" i="29"/>
  <c r="P4327" i="29"/>
  <c r="Q4327" i="29"/>
  <c r="F4328" i="29"/>
  <c r="G4328" i="29"/>
  <c r="N4328" i="29"/>
  <c r="P4328" i="29"/>
  <c r="Q4328" i="29"/>
  <c r="F4329" i="29"/>
  <c r="G4329" i="29"/>
  <c r="N4329" i="29"/>
  <c r="P4329" i="29"/>
  <c r="Q4329" i="29"/>
  <c r="F4330" i="29"/>
  <c r="G4330" i="29"/>
  <c r="N4330" i="29"/>
  <c r="P4330" i="29"/>
  <c r="Q4330" i="29"/>
  <c r="F4331" i="29"/>
  <c r="G4331" i="29"/>
  <c r="N4331" i="29"/>
  <c r="P4331" i="29"/>
  <c r="Q4331" i="29"/>
  <c r="F4332" i="29"/>
  <c r="G4332" i="29"/>
  <c r="N4332" i="29"/>
  <c r="P4332" i="29"/>
  <c r="Q4332" i="29"/>
  <c r="U4332" i="29"/>
  <c r="F4333" i="29"/>
  <c r="G4333" i="29"/>
  <c r="N4333" i="29"/>
  <c r="P4333" i="29"/>
  <c r="Q4333" i="29"/>
  <c r="N4334" i="29"/>
  <c r="W4334" i="29"/>
  <c r="F4335" i="29"/>
  <c r="G4335" i="29"/>
  <c r="N4335" i="29"/>
  <c r="P4335" i="29"/>
  <c r="Q4335" i="29"/>
  <c r="F4336" i="29"/>
  <c r="G4336" i="29"/>
  <c r="N4336" i="29"/>
  <c r="P4336" i="29"/>
  <c r="Q4336" i="29"/>
  <c r="F4337" i="29"/>
  <c r="G4337" i="29"/>
  <c r="N4337" i="29"/>
  <c r="P4337" i="29"/>
  <c r="Q4337" i="29"/>
  <c r="F4338" i="29"/>
  <c r="G4338" i="29"/>
  <c r="N4338" i="29"/>
  <c r="P4338" i="29"/>
  <c r="Q4338" i="29"/>
  <c r="F4339" i="29"/>
  <c r="G4339" i="29"/>
  <c r="N4339" i="29"/>
  <c r="P4339" i="29"/>
  <c r="Q4339" i="29"/>
  <c r="F4340" i="29"/>
  <c r="G4340" i="29"/>
  <c r="N4340" i="29"/>
  <c r="P4340" i="29"/>
  <c r="S4340" i="29"/>
  <c r="T4340" i="29"/>
  <c r="F4341" i="29"/>
  <c r="G4341" i="29"/>
  <c r="N4341" i="29"/>
  <c r="P4341" i="29"/>
  <c r="Q4341" i="29"/>
  <c r="S4341" i="29"/>
  <c r="F4342" i="29"/>
  <c r="G4342" i="29"/>
  <c r="N4342" i="29"/>
  <c r="P4342" i="29"/>
  <c r="Q4342" i="29"/>
  <c r="F4343" i="29"/>
  <c r="G4343" i="29"/>
  <c r="N4343" i="29"/>
  <c r="P4343" i="29"/>
  <c r="Q4343" i="29"/>
  <c r="F4344" i="29"/>
  <c r="G4344" i="29"/>
  <c r="N4344" i="29"/>
  <c r="P4344" i="29"/>
  <c r="Q4344" i="29"/>
  <c r="T4344" i="29"/>
  <c r="F4345" i="29"/>
  <c r="G4345" i="29"/>
  <c r="N4345" i="29"/>
  <c r="P4345" i="29"/>
  <c r="Q4345" i="29"/>
  <c r="S4345" i="29"/>
  <c r="F4346" i="29"/>
  <c r="G4346" i="29"/>
  <c r="N4346" i="29"/>
  <c r="P4346" i="29"/>
  <c r="Q4346" i="29"/>
  <c r="T4346" i="29"/>
  <c r="F4347" i="29"/>
  <c r="G4347" i="29"/>
  <c r="N4347" i="29"/>
  <c r="P4347" i="29"/>
  <c r="Q4347" i="29"/>
  <c r="F4348" i="29"/>
  <c r="G4348" i="29"/>
  <c r="N4348" i="29"/>
  <c r="P4348" i="29"/>
  <c r="Q4348" i="29"/>
  <c r="F4349" i="29"/>
  <c r="G4349" i="29"/>
  <c r="N4349" i="29"/>
  <c r="P4349" i="29"/>
  <c r="Q4349" i="29"/>
  <c r="S4349" i="29"/>
  <c r="F4350" i="29"/>
  <c r="G4350" i="29"/>
  <c r="N4350" i="29"/>
  <c r="P4350" i="29"/>
  <c r="Q4350" i="29"/>
  <c r="T4350" i="29"/>
  <c r="F4351" i="29"/>
  <c r="G4351" i="29"/>
  <c r="N4351" i="29"/>
  <c r="P4351" i="29"/>
  <c r="Q4351" i="29"/>
  <c r="F4352" i="29"/>
  <c r="G4352" i="29"/>
  <c r="N4352" i="29"/>
  <c r="P4352" i="29"/>
  <c r="Q4352" i="29"/>
  <c r="F4353" i="29"/>
  <c r="G4353" i="29"/>
  <c r="N4353" i="29"/>
  <c r="P4353" i="29"/>
  <c r="Q4353" i="29"/>
  <c r="F4354" i="29"/>
  <c r="G4354" i="29"/>
  <c r="N4354" i="29"/>
  <c r="P4354" i="29"/>
  <c r="R4354" i="29"/>
  <c r="S4354" i="29"/>
  <c r="F4355" i="29"/>
  <c r="G4355" i="29"/>
  <c r="N4355" i="29"/>
  <c r="P4355" i="29"/>
  <c r="R4355" i="29"/>
  <c r="Q4355" i="29"/>
  <c r="F4356" i="29"/>
  <c r="G4356" i="29"/>
  <c r="N4356" i="29"/>
  <c r="P4356" i="29"/>
  <c r="Q4356" i="29"/>
  <c r="F4357" i="29"/>
  <c r="G4357" i="29"/>
  <c r="N4357" i="29"/>
  <c r="P4357" i="29"/>
  <c r="Q4357" i="29"/>
  <c r="T4357" i="29"/>
  <c r="F4358" i="29"/>
  <c r="G4358" i="29"/>
  <c r="N4358" i="29"/>
  <c r="P4358" i="29"/>
  <c r="Q4358" i="29"/>
  <c r="F4359" i="29"/>
  <c r="G4359" i="29"/>
  <c r="N4359" i="29"/>
  <c r="P4359" i="29"/>
  <c r="Q4359" i="29"/>
  <c r="F4360" i="29"/>
  <c r="G4360" i="29"/>
  <c r="N4360" i="29"/>
  <c r="P4360" i="29"/>
  <c r="Q4360" i="29"/>
  <c r="T4360" i="29"/>
  <c r="F4361" i="29"/>
  <c r="G4361" i="29"/>
  <c r="N4361" i="29"/>
  <c r="P4361" i="29"/>
  <c r="Q4361" i="29"/>
  <c r="F4362" i="29"/>
  <c r="G4362" i="29"/>
  <c r="N4362" i="29"/>
  <c r="P4362" i="29"/>
  <c r="S4362" i="29"/>
  <c r="T4362" i="29"/>
  <c r="F4363" i="29"/>
  <c r="G4363" i="29"/>
  <c r="N4363" i="29"/>
  <c r="P4363" i="29"/>
  <c r="Q4363" i="29"/>
  <c r="T4363" i="29"/>
  <c r="F4364" i="29"/>
  <c r="G4364" i="29"/>
  <c r="N4364" i="29"/>
  <c r="P4364" i="29"/>
  <c r="Q4364" i="29"/>
  <c r="F4365" i="29"/>
  <c r="G4365" i="29"/>
  <c r="N4365" i="29"/>
  <c r="P4365" i="29"/>
  <c r="Q4365" i="29"/>
  <c r="S4365" i="29"/>
  <c r="F4366" i="29"/>
  <c r="G4366" i="29"/>
  <c r="N4366" i="29"/>
  <c r="P4366" i="29"/>
  <c r="Q4366" i="29"/>
  <c r="F4367" i="29"/>
  <c r="G4367" i="29"/>
  <c r="N4367" i="29"/>
  <c r="P4367" i="29"/>
  <c r="S4367" i="29"/>
  <c r="T4367" i="29"/>
  <c r="F4368" i="29"/>
  <c r="G4368" i="29"/>
  <c r="N4368" i="29"/>
  <c r="P4368" i="29"/>
  <c r="Q4368" i="29"/>
  <c r="F4369" i="29"/>
  <c r="G4369" i="29"/>
  <c r="N4369" i="29"/>
  <c r="P4369" i="29"/>
  <c r="Q4369" i="29"/>
  <c r="F4370" i="29"/>
  <c r="G4370" i="29"/>
  <c r="N4370" i="29"/>
  <c r="P4370" i="29"/>
  <c r="Q4370" i="29"/>
  <c r="F4371" i="29"/>
  <c r="G4371" i="29"/>
  <c r="N4371" i="29"/>
  <c r="P4371" i="29"/>
  <c r="Q4371" i="29"/>
  <c r="R4371" i="29"/>
  <c r="F4372" i="29"/>
  <c r="G4372" i="29"/>
  <c r="N4372" i="29"/>
  <c r="P4372" i="29"/>
  <c r="Q4372" i="29"/>
  <c r="F4373" i="29"/>
  <c r="G4373" i="29"/>
  <c r="N4373" i="29"/>
  <c r="P4373" i="29"/>
  <c r="Q4373" i="29"/>
  <c r="F4374" i="29"/>
  <c r="G4374" i="29"/>
  <c r="N4374" i="29"/>
  <c r="P4374" i="29"/>
  <c r="Q4374" i="29"/>
  <c r="S4374" i="29"/>
  <c r="F4375" i="29"/>
  <c r="G4375" i="29"/>
  <c r="N4375" i="29"/>
  <c r="P4375" i="29"/>
  <c r="Q4375" i="29"/>
  <c r="F4376" i="29"/>
  <c r="G4376" i="29"/>
  <c r="N4376" i="29"/>
  <c r="P4376" i="29"/>
  <c r="Q4376" i="29"/>
  <c r="F4377" i="29"/>
  <c r="G4377" i="29"/>
  <c r="N4377" i="29"/>
  <c r="P4377" i="29"/>
  <c r="Q4377" i="29"/>
  <c r="F4378" i="29"/>
  <c r="G4378" i="29"/>
  <c r="N4378" i="29"/>
  <c r="P4378" i="29"/>
  <c r="Q4378" i="29"/>
  <c r="F4379" i="29"/>
  <c r="G4379" i="29"/>
  <c r="N4379" i="29"/>
  <c r="P4379" i="29"/>
  <c r="Q4379" i="29"/>
  <c r="F4380" i="29"/>
  <c r="G4380" i="29"/>
  <c r="N4380" i="29"/>
  <c r="P4380" i="29"/>
  <c r="Q4380" i="29"/>
  <c r="S4380" i="29"/>
  <c r="F4381" i="29"/>
  <c r="G4381" i="29"/>
  <c r="N4381" i="29"/>
  <c r="P4381" i="29"/>
  <c r="Q4381" i="29"/>
  <c r="F4382" i="29"/>
  <c r="G4382" i="29"/>
  <c r="N4382" i="29"/>
  <c r="P4382" i="29"/>
  <c r="Q4382" i="29"/>
  <c r="T4382" i="29"/>
  <c r="F4383" i="29"/>
  <c r="G4383" i="29"/>
  <c r="N4383" i="29"/>
  <c r="P4383" i="29"/>
  <c r="Q4383" i="29"/>
  <c r="F4384" i="29"/>
  <c r="G4384" i="29"/>
  <c r="N4384" i="29"/>
  <c r="P4384" i="29"/>
  <c r="Q4384" i="29"/>
  <c r="S4384" i="29"/>
  <c r="F4385" i="29"/>
  <c r="G4385" i="29"/>
  <c r="N4385" i="29"/>
  <c r="P4385" i="29"/>
  <c r="Q4385" i="29"/>
  <c r="T4385" i="29"/>
  <c r="F4386" i="29"/>
  <c r="G4386" i="29"/>
  <c r="N4386" i="29"/>
  <c r="P4386" i="29"/>
  <c r="Q4386" i="29"/>
  <c r="F4387" i="29"/>
  <c r="G4387" i="29"/>
  <c r="N4387" i="29"/>
  <c r="P4387" i="29"/>
  <c r="Q4387" i="29"/>
  <c r="F4388" i="29"/>
  <c r="G4388" i="29"/>
  <c r="N4388" i="29"/>
  <c r="P4388" i="29"/>
  <c r="Q4388" i="29"/>
  <c r="F4389" i="29"/>
  <c r="G4389" i="29"/>
  <c r="N4389" i="29"/>
  <c r="P4389" i="29"/>
  <c r="Q4389" i="29"/>
  <c r="T4389" i="29"/>
  <c r="F4390" i="29"/>
  <c r="G4390" i="29"/>
  <c r="N4390" i="29"/>
  <c r="P4390" i="29"/>
  <c r="Q4390" i="29"/>
  <c r="F4391" i="29"/>
  <c r="G4391" i="29"/>
  <c r="N4391" i="29"/>
  <c r="P4391" i="29"/>
  <c r="Q4391" i="29"/>
  <c r="F4392" i="29"/>
  <c r="G4392" i="29"/>
  <c r="N4392" i="29"/>
  <c r="P4392" i="29"/>
  <c r="Q4392" i="29"/>
  <c r="F4393" i="29"/>
  <c r="G4393" i="29"/>
  <c r="N4393" i="29"/>
  <c r="P4393" i="29"/>
  <c r="Q4393" i="29"/>
  <c r="F4394" i="29"/>
  <c r="G4394" i="29"/>
  <c r="N4394" i="29"/>
  <c r="P4394" i="29"/>
  <c r="Q4394" i="29"/>
  <c r="F4395" i="29"/>
  <c r="G4395" i="29"/>
  <c r="N4395" i="29"/>
  <c r="P4395" i="29"/>
  <c r="Q4395" i="29"/>
  <c r="F4396" i="29"/>
  <c r="G4396" i="29"/>
  <c r="N4396" i="29"/>
  <c r="P4396" i="29"/>
  <c r="Q4396" i="29"/>
  <c r="F4397" i="29"/>
  <c r="G4397" i="29"/>
  <c r="N4397" i="29"/>
  <c r="P4397" i="29"/>
  <c r="Q4397" i="29"/>
  <c r="F4398" i="29"/>
  <c r="G4398" i="29"/>
  <c r="N4398" i="29"/>
  <c r="P4398" i="29"/>
  <c r="Q4398" i="29"/>
  <c r="F4399" i="29"/>
  <c r="G4399" i="29"/>
  <c r="N4399" i="29"/>
  <c r="P4399" i="29"/>
  <c r="Q4399" i="29"/>
  <c r="F4400" i="29"/>
  <c r="G4400" i="29"/>
  <c r="N4400" i="29"/>
  <c r="P4400" i="29"/>
  <c r="Q4400" i="29"/>
  <c r="F4401" i="29"/>
  <c r="G4401" i="29"/>
  <c r="N4401" i="29"/>
  <c r="P4401" i="29"/>
  <c r="Q4401" i="29"/>
  <c r="F4402" i="29"/>
  <c r="G4402" i="29"/>
  <c r="N4402" i="29"/>
  <c r="P4402" i="29"/>
  <c r="Q4402" i="29"/>
  <c r="F4403" i="29"/>
  <c r="G4403" i="29"/>
  <c r="N4403" i="29"/>
  <c r="P4403" i="29"/>
  <c r="Q4403" i="29"/>
  <c r="F4404" i="29"/>
  <c r="G4404" i="29"/>
  <c r="N4404" i="29"/>
  <c r="P4404" i="29"/>
  <c r="Q4404" i="29"/>
  <c r="F4405" i="29"/>
  <c r="G4405" i="29"/>
  <c r="N4405" i="29"/>
  <c r="P4405" i="29"/>
  <c r="Q4405" i="29"/>
  <c r="F4406" i="29"/>
  <c r="G4406" i="29"/>
  <c r="N4406" i="29"/>
  <c r="P4406" i="29"/>
  <c r="Q4406" i="29"/>
  <c r="N4407" i="29"/>
  <c r="W4407" i="29"/>
  <c r="F4408" i="29"/>
  <c r="G4408" i="29"/>
  <c r="N4408" i="29"/>
  <c r="P4408" i="29"/>
  <c r="Q4408" i="29"/>
  <c r="F4409" i="29"/>
  <c r="G4409" i="29"/>
  <c r="N4409" i="29"/>
  <c r="P4409" i="29"/>
  <c r="Q4409" i="29"/>
  <c r="F4410" i="29"/>
  <c r="G4410" i="29"/>
  <c r="N4410" i="29"/>
  <c r="P4410" i="29"/>
  <c r="Q4410" i="29"/>
  <c r="T4410" i="29"/>
  <c r="F4411" i="29"/>
  <c r="G4411" i="29"/>
  <c r="N4411" i="29"/>
  <c r="P4411" i="29"/>
  <c r="Q4411" i="29"/>
  <c r="F4412" i="29"/>
  <c r="G4412" i="29"/>
  <c r="N4412" i="29"/>
  <c r="P4412" i="29"/>
  <c r="Q4412" i="29"/>
  <c r="F4413" i="29"/>
  <c r="G4413" i="29"/>
  <c r="N4413" i="29"/>
  <c r="P4413" i="29"/>
  <c r="Q4413" i="29"/>
  <c r="T4413" i="29"/>
  <c r="F4414" i="29"/>
  <c r="G4414" i="29"/>
  <c r="N4414" i="29"/>
  <c r="P4414" i="29"/>
  <c r="Q4414" i="29"/>
  <c r="F4415" i="29"/>
  <c r="G4415" i="29"/>
  <c r="N4415" i="29"/>
  <c r="P4415" i="29"/>
  <c r="Q4415" i="29"/>
  <c r="S4415" i="29"/>
  <c r="F4416" i="29"/>
  <c r="G4416" i="29"/>
  <c r="N4416" i="29"/>
  <c r="P4416" i="29"/>
  <c r="Q4416" i="29"/>
  <c r="F4417" i="29"/>
  <c r="G4417" i="29"/>
  <c r="N4417" i="29"/>
  <c r="P4417" i="29"/>
  <c r="Q4417" i="29"/>
  <c r="F4418" i="29"/>
  <c r="G4418" i="29"/>
  <c r="N4418" i="29"/>
  <c r="P4418" i="29"/>
  <c r="Q4418" i="29"/>
  <c r="F4419" i="29"/>
  <c r="G4419" i="29"/>
  <c r="N4419" i="29"/>
  <c r="P4419" i="29"/>
  <c r="Q4419" i="29"/>
  <c r="S4419" i="29"/>
  <c r="F4420" i="29"/>
  <c r="G4420" i="29"/>
  <c r="N4420" i="29"/>
  <c r="P4420" i="29"/>
  <c r="Q4420" i="29"/>
  <c r="F4421" i="29"/>
  <c r="G4421" i="29"/>
  <c r="N4421" i="29"/>
  <c r="P4421" i="29"/>
  <c r="Q4421" i="29"/>
  <c r="T4421" i="29"/>
  <c r="F4422" i="29"/>
  <c r="G4422" i="29"/>
  <c r="N4422" i="29"/>
  <c r="P4422" i="29"/>
  <c r="Q4422" i="29"/>
  <c r="F4423" i="29"/>
  <c r="G4423" i="29"/>
  <c r="N4423" i="29"/>
  <c r="P4423" i="29"/>
  <c r="R4423" i="29"/>
  <c r="Q4423" i="29"/>
  <c r="F4424" i="29"/>
  <c r="G4424" i="29"/>
  <c r="N4424" i="29"/>
  <c r="P4424" i="29"/>
  <c r="R4424" i="29"/>
  <c r="S4424" i="29"/>
  <c r="F4425" i="29"/>
  <c r="G4425" i="29"/>
  <c r="N4425" i="29"/>
  <c r="P4425" i="29"/>
  <c r="R4425" i="29"/>
  <c r="Q4425" i="29"/>
  <c r="F4426" i="29"/>
  <c r="G4426" i="29"/>
  <c r="N4426" i="29"/>
  <c r="P4426" i="29"/>
  <c r="Q4426" i="29"/>
  <c r="F4427" i="29"/>
  <c r="G4427" i="29"/>
  <c r="N4427" i="29"/>
  <c r="P4427" i="29"/>
  <c r="Q4427" i="29"/>
  <c r="F4428" i="29"/>
  <c r="G4428" i="29"/>
  <c r="N4428" i="29"/>
  <c r="P4428" i="29"/>
  <c r="Q4428" i="29"/>
  <c r="F4429" i="29"/>
  <c r="G4429" i="29"/>
  <c r="N4429" i="29"/>
  <c r="P4429" i="29"/>
  <c r="Q4429" i="29"/>
  <c r="T4429" i="29"/>
  <c r="F4430" i="29"/>
  <c r="G4430" i="29"/>
  <c r="N4430" i="29"/>
  <c r="P4430" i="29"/>
  <c r="Q4430" i="29"/>
  <c r="S4430" i="29"/>
  <c r="F4431" i="29"/>
  <c r="G4431" i="29"/>
  <c r="N4431" i="29"/>
  <c r="P4431" i="29"/>
  <c r="Q4431" i="29"/>
  <c r="F4432" i="29"/>
  <c r="G4432" i="29"/>
  <c r="N4432" i="29"/>
  <c r="P4432" i="29"/>
  <c r="Q4432" i="29"/>
  <c r="F4433" i="29"/>
  <c r="G4433" i="29"/>
  <c r="N4433" i="29"/>
  <c r="P4433" i="29"/>
  <c r="Q4433" i="29"/>
  <c r="F4434" i="29"/>
  <c r="G4434" i="29"/>
  <c r="N4434" i="29"/>
  <c r="P4434" i="29"/>
  <c r="Q4434" i="29"/>
  <c r="F4435" i="29"/>
  <c r="G4435" i="29"/>
  <c r="N4435" i="29"/>
  <c r="P4435" i="29"/>
  <c r="Q4435" i="29"/>
  <c r="F4436" i="29"/>
  <c r="G4436" i="29"/>
  <c r="N4436" i="29"/>
  <c r="P4436" i="29"/>
  <c r="Q4436" i="29"/>
  <c r="S4436" i="29"/>
  <c r="F4437" i="29"/>
  <c r="G4437" i="29"/>
  <c r="N4437" i="29"/>
  <c r="P4437" i="29"/>
  <c r="Q4437" i="29"/>
  <c r="F4438" i="29"/>
  <c r="G4438" i="29"/>
  <c r="N4438" i="29"/>
  <c r="P4438" i="29"/>
  <c r="S4438" i="29"/>
  <c r="T4438" i="29"/>
  <c r="F4439" i="29"/>
  <c r="G4439" i="29"/>
  <c r="N4439" i="29"/>
  <c r="P4439" i="29"/>
  <c r="Q4439" i="29"/>
  <c r="F4440" i="29"/>
  <c r="G4440" i="29"/>
  <c r="N4440" i="29"/>
  <c r="P4440" i="29"/>
  <c r="Q4440" i="29"/>
  <c r="F4441" i="29"/>
  <c r="G4441" i="29"/>
  <c r="N4441" i="29"/>
  <c r="P4441" i="29"/>
  <c r="Q4441" i="29"/>
  <c r="F4442" i="29"/>
  <c r="G4442" i="29"/>
  <c r="N4442" i="29"/>
  <c r="P4442" i="29"/>
  <c r="Q4442" i="29"/>
  <c r="T4442" i="29"/>
  <c r="F4443" i="29"/>
  <c r="G4443" i="29"/>
  <c r="N4443" i="29"/>
  <c r="P4443" i="29"/>
  <c r="Q4443" i="29"/>
  <c r="T4443" i="29"/>
  <c r="F4444" i="29"/>
  <c r="G4444" i="29"/>
  <c r="N4444" i="29"/>
  <c r="P4444" i="29"/>
  <c r="Q4444" i="29"/>
  <c r="F4445" i="29"/>
  <c r="G4445" i="29"/>
  <c r="N4445" i="29"/>
  <c r="P4445" i="29"/>
  <c r="Q4445" i="29"/>
  <c r="F4446" i="29"/>
  <c r="G4446" i="29"/>
  <c r="N4446" i="29"/>
  <c r="P4446" i="29"/>
  <c r="Q4446" i="29"/>
  <c r="F4447" i="29"/>
  <c r="G4447" i="29"/>
  <c r="N4447" i="29"/>
  <c r="P4447" i="29"/>
  <c r="Q4447" i="29"/>
  <c r="F4448" i="29"/>
  <c r="G4448" i="29"/>
  <c r="N4448" i="29"/>
  <c r="P4448" i="29"/>
  <c r="Q4448" i="29"/>
  <c r="S4448" i="29"/>
  <c r="F4449" i="29"/>
  <c r="G4449" i="29"/>
  <c r="N4449" i="29"/>
  <c r="P4449" i="29"/>
  <c r="S4449" i="29"/>
  <c r="T4449" i="29"/>
  <c r="F4450" i="29"/>
  <c r="G4450" i="29"/>
  <c r="N4450" i="29"/>
  <c r="P4450" i="29"/>
  <c r="Q4450" i="29"/>
  <c r="F4451" i="29"/>
  <c r="G4451" i="29"/>
  <c r="N4451" i="29"/>
  <c r="P4451" i="29"/>
  <c r="Q4451" i="29"/>
  <c r="F4452" i="29"/>
  <c r="G4452" i="29"/>
  <c r="N4452" i="29"/>
  <c r="P4452" i="29"/>
  <c r="Q4452" i="29"/>
  <c r="F4453" i="29"/>
  <c r="G4453" i="29"/>
  <c r="N4453" i="29"/>
  <c r="P4453" i="29"/>
  <c r="Q4453" i="29"/>
  <c r="F4454" i="29"/>
  <c r="G4454" i="29"/>
  <c r="N4454" i="29"/>
  <c r="P4454" i="29"/>
  <c r="Q4454" i="29"/>
  <c r="F4455" i="29"/>
  <c r="G4455" i="29"/>
  <c r="N4455" i="29"/>
  <c r="P4455" i="29"/>
  <c r="Q4455" i="29"/>
  <c r="F4456" i="29"/>
  <c r="G4456" i="29"/>
  <c r="N4456" i="29"/>
  <c r="P4456" i="29"/>
  <c r="Q4456" i="29"/>
  <c r="F4457" i="29"/>
  <c r="G4457" i="29"/>
  <c r="N4457" i="29"/>
  <c r="P4457" i="29"/>
  <c r="Q4457" i="29"/>
  <c r="F4458" i="29"/>
  <c r="G4458" i="29"/>
  <c r="N4458" i="29"/>
  <c r="P4458" i="29"/>
  <c r="R4458" i="29"/>
  <c r="Q4458" i="29"/>
  <c r="F4459" i="29"/>
  <c r="G4459" i="29"/>
  <c r="N4459" i="29"/>
  <c r="P4459" i="29"/>
  <c r="R4459" i="29"/>
  <c r="Q4459" i="29"/>
  <c r="F4460" i="29"/>
  <c r="G4460" i="29"/>
  <c r="N4460" i="29"/>
  <c r="P4460" i="29"/>
  <c r="Q4460" i="29"/>
  <c r="F4461" i="29"/>
  <c r="G4461" i="29"/>
  <c r="N4461" i="29"/>
  <c r="P4461" i="29"/>
  <c r="S4461" i="29"/>
  <c r="T4461" i="29"/>
  <c r="F4462" i="29"/>
  <c r="G4462" i="29"/>
  <c r="N4462" i="29"/>
  <c r="P4462" i="29"/>
  <c r="Q4462" i="29"/>
  <c r="F4463" i="29"/>
  <c r="G4463" i="29"/>
  <c r="N4463" i="29"/>
  <c r="P4463" i="29"/>
  <c r="Q4463" i="29"/>
  <c r="F4464" i="29"/>
  <c r="G4464" i="29"/>
  <c r="N4464" i="29"/>
  <c r="P4464" i="29"/>
  <c r="Q4464" i="29"/>
  <c r="F4465" i="29"/>
  <c r="G4465" i="29"/>
  <c r="N4465" i="29"/>
  <c r="P4465" i="29"/>
  <c r="Q4465" i="29"/>
  <c r="F4466" i="29"/>
  <c r="G4466" i="29"/>
  <c r="N4466" i="29"/>
  <c r="P4466" i="29"/>
  <c r="S4466" i="29"/>
  <c r="T4466" i="29"/>
  <c r="F4467" i="29"/>
  <c r="G4467" i="29"/>
  <c r="N4467" i="29"/>
  <c r="P4467" i="29"/>
  <c r="Q4467" i="29"/>
  <c r="T4467" i="29"/>
  <c r="F4468" i="29"/>
  <c r="G4468" i="29"/>
  <c r="N4468" i="29"/>
  <c r="P4468" i="29"/>
  <c r="Q4468" i="29"/>
  <c r="F4469" i="29"/>
  <c r="G4469" i="29"/>
  <c r="N4469" i="29"/>
  <c r="P4469" i="29"/>
  <c r="Q4469" i="29"/>
  <c r="F4470" i="29"/>
  <c r="G4470" i="29"/>
  <c r="N4470" i="29"/>
  <c r="P4470" i="29"/>
  <c r="Q4470" i="29"/>
  <c r="T4470" i="29"/>
  <c r="F4471" i="29"/>
  <c r="G4471" i="29"/>
  <c r="N4471" i="29"/>
  <c r="P4471" i="29"/>
  <c r="Q4471" i="29"/>
  <c r="F4472" i="29"/>
  <c r="G4472" i="29"/>
  <c r="N4472" i="29"/>
  <c r="P4472" i="29"/>
  <c r="Q4472" i="29"/>
  <c r="S4472" i="29"/>
  <c r="F4473" i="29"/>
  <c r="G4473" i="29"/>
  <c r="N4473" i="29"/>
  <c r="P4473" i="29"/>
  <c r="Q4473" i="29"/>
  <c r="F4474" i="29"/>
  <c r="G4474" i="29"/>
  <c r="N4474" i="29"/>
  <c r="P4474" i="29"/>
  <c r="Q4474" i="29"/>
  <c r="F4475" i="29"/>
  <c r="G4475" i="29"/>
  <c r="N4475" i="29"/>
  <c r="P4475" i="29"/>
  <c r="Q4475" i="29"/>
  <c r="F4476" i="29"/>
  <c r="G4476" i="29"/>
  <c r="N4476" i="29"/>
  <c r="P4476" i="29"/>
  <c r="Q4476" i="29"/>
  <c r="F4477" i="29"/>
  <c r="G4477" i="29"/>
  <c r="N4477" i="29"/>
  <c r="P4477" i="29"/>
  <c r="Q4477" i="29"/>
  <c r="F4478" i="29"/>
  <c r="G4478" i="29"/>
  <c r="N4478" i="29"/>
  <c r="P4478" i="29"/>
  <c r="Q4478" i="29"/>
  <c r="F4479" i="29"/>
  <c r="G4479" i="29"/>
  <c r="N4479" i="29"/>
  <c r="P4479" i="29"/>
  <c r="Q4479" i="29"/>
  <c r="F4480" i="29"/>
  <c r="G4480" i="29"/>
  <c r="N4480" i="29"/>
  <c r="P4480" i="29"/>
  <c r="Q4480" i="29"/>
  <c r="T4480" i="29"/>
  <c r="F4481" i="29"/>
  <c r="G4481" i="29"/>
  <c r="N4481" i="29"/>
  <c r="P4481" i="29"/>
  <c r="Q4481" i="29"/>
  <c r="F4482" i="29"/>
  <c r="G4482" i="29"/>
  <c r="N4482" i="29"/>
  <c r="P4482" i="29"/>
  <c r="Q4482" i="29"/>
  <c r="S4482" i="29"/>
  <c r="F4483" i="29"/>
  <c r="G4483" i="29"/>
  <c r="N4483" i="29"/>
  <c r="P4483" i="29"/>
  <c r="Q4483" i="29"/>
  <c r="F4484" i="29"/>
  <c r="G4484" i="29"/>
  <c r="N4484" i="29"/>
  <c r="P4484" i="29"/>
  <c r="Q4484" i="29"/>
  <c r="F4485" i="29"/>
  <c r="G4485" i="29"/>
  <c r="N4485" i="29"/>
  <c r="P4485" i="29"/>
  <c r="Q4485" i="29"/>
  <c r="F4486" i="29"/>
  <c r="G4486" i="29"/>
  <c r="N4486" i="29"/>
  <c r="P4486" i="29"/>
  <c r="Q4486" i="29"/>
  <c r="S4486" i="29"/>
  <c r="F4487" i="29"/>
  <c r="G4487" i="29"/>
  <c r="N4487" i="29"/>
  <c r="P4487" i="29"/>
  <c r="Q4487" i="29"/>
  <c r="F4488" i="29"/>
  <c r="G4488" i="29"/>
  <c r="N4488" i="29"/>
  <c r="P4488" i="29"/>
  <c r="Q4488" i="29"/>
  <c r="S4488" i="29"/>
  <c r="F4489" i="29"/>
  <c r="G4489" i="29"/>
  <c r="N4489" i="29"/>
  <c r="P4489" i="29"/>
  <c r="Q4489" i="29"/>
  <c r="F4490" i="29"/>
  <c r="G4490" i="29"/>
  <c r="N4490" i="29"/>
  <c r="P4490" i="29"/>
  <c r="Q4490" i="29"/>
  <c r="F4491" i="29"/>
  <c r="G4491" i="29"/>
  <c r="N4491" i="29"/>
  <c r="P4491" i="29"/>
  <c r="Q4491" i="29"/>
  <c r="F4492" i="29"/>
  <c r="G4492" i="29"/>
  <c r="N4492" i="29"/>
  <c r="P4492" i="29"/>
  <c r="Q4492" i="29"/>
  <c r="F4493" i="29"/>
  <c r="G4493" i="29"/>
  <c r="N4493" i="29"/>
  <c r="P4493" i="29"/>
  <c r="Q4493" i="29"/>
  <c r="F4494" i="29"/>
  <c r="G4494" i="29"/>
  <c r="N4494" i="29"/>
  <c r="P4494" i="29"/>
  <c r="Q4494" i="29"/>
  <c r="S4494" i="29"/>
  <c r="F4495" i="29"/>
  <c r="G4495" i="29"/>
  <c r="N4495" i="29"/>
  <c r="P4495" i="29"/>
  <c r="Q4495" i="29"/>
  <c r="N4496" i="29"/>
  <c r="W4496" i="29"/>
  <c r="F4497" i="29"/>
  <c r="G4497" i="29"/>
  <c r="N4497" i="29"/>
  <c r="P4497" i="29"/>
  <c r="Q4497" i="29"/>
  <c r="S4497" i="29"/>
  <c r="R4497" i="29"/>
  <c r="F4498" i="29"/>
  <c r="G4498" i="29"/>
  <c r="N4498" i="29"/>
  <c r="P4498" i="29"/>
  <c r="Q4498" i="29"/>
  <c r="F4499" i="29"/>
  <c r="G4499" i="29"/>
  <c r="N4499" i="29"/>
  <c r="P4499" i="29"/>
  <c r="R4499" i="29"/>
  <c r="Q4499" i="29"/>
  <c r="F4500" i="29"/>
  <c r="G4500" i="29"/>
  <c r="N4500" i="29"/>
  <c r="P4500" i="29"/>
  <c r="R4500" i="29"/>
  <c r="Q4500" i="29"/>
  <c r="F4501" i="29"/>
  <c r="G4501" i="29"/>
  <c r="N4501" i="29"/>
  <c r="P4501" i="29"/>
  <c r="Q4501" i="29"/>
  <c r="F4502" i="29"/>
  <c r="G4502" i="29"/>
  <c r="N4502" i="29"/>
  <c r="P4502" i="29"/>
  <c r="Q4502" i="29"/>
  <c r="F4503" i="29"/>
  <c r="G4503" i="29"/>
  <c r="N4503" i="29"/>
  <c r="P4503" i="29"/>
  <c r="Q4503" i="29"/>
  <c r="F4504" i="29"/>
  <c r="G4504" i="29"/>
  <c r="N4504" i="29"/>
  <c r="P4504" i="29"/>
  <c r="Q4504" i="29"/>
  <c r="F4505" i="29"/>
  <c r="G4505" i="29"/>
  <c r="N4505" i="29"/>
  <c r="P4505" i="29"/>
  <c r="Q4505" i="29"/>
  <c r="S4505" i="29"/>
  <c r="F4506" i="29"/>
  <c r="G4506" i="29"/>
  <c r="N4506" i="29"/>
  <c r="P4506" i="29"/>
  <c r="Q4506" i="29"/>
  <c r="S4506" i="29"/>
  <c r="F4507" i="29"/>
  <c r="G4507" i="29"/>
  <c r="N4507" i="29"/>
  <c r="P4507" i="29"/>
  <c r="Q4507" i="29"/>
  <c r="F4508" i="29"/>
  <c r="G4508" i="29"/>
  <c r="N4508" i="29"/>
  <c r="P4508" i="29"/>
  <c r="Q4508" i="29"/>
  <c r="F4509" i="29"/>
  <c r="G4509" i="29"/>
  <c r="N4509" i="29"/>
  <c r="P4509" i="29"/>
  <c r="Q4509" i="29"/>
  <c r="F4510" i="29"/>
  <c r="G4510" i="29"/>
  <c r="N4510" i="29"/>
  <c r="P4510" i="29"/>
  <c r="Q4510" i="29"/>
  <c r="F4511" i="29"/>
  <c r="G4511" i="29"/>
  <c r="N4511" i="29"/>
  <c r="P4511" i="29"/>
  <c r="Q4511" i="29"/>
  <c r="F4512" i="29"/>
  <c r="G4512" i="29"/>
  <c r="N4512" i="29"/>
  <c r="P4512" i="29"/>
  <c r="Q4512" i="29"/>
  <c r="F4513" i="29"/>
  <c r="G4513" i="29"/>
  <c r="N4513" i="29"/>
  <c r="F4514" i="29"/>
  <c r="G4514" i="29"/>
  <c r="N4514" i="29"/>
  <c r="F4515" i="29"/>
  <c r="G4515" i="29"/>
  <c r="N4515" i="29"/>
  <c r="P4515" i="29"/>
  <c r="S4515" i="29"/>
  <c r="T4515" i="29"/>
  <c r="F4516" i="29"/>
  <c r="G4516" i="29"/>
  <c r="J4516" i="29"/>
  <c r="N4516" i="29"/>
  <c r="P4516" i="29"/>
  <c r="F4517" i="29"/>
  <c r="G4517" i="29"/>
  <c r="N4517" i="29"/>
  <c r="P4517" i="29"/>
  <c r="Q4517" i="29"/>
  <c r="T4517" i="29"/>
  <c r="F4518" i="29"/>
  <c r="G4518" i="29"/>
  <c r="N4518" i="29"/>
  <c r="P4518" i="29"/>
  <c r="Q4518" i="29"/>
  <c r="T4518" i="29"/>
  <c r="F4519" i="29"/>
  <c r="G4519" i="29"/>
  <c r="N4519" i="29"/>
  <c r="P4519" i="29"/>
  <c r="Q4519" i="29"/>
  <c r="S4519" i="29"/>
  <c r="F4520" i="29"/>
  <c r="G4520" i="29"/>
  <c r="N4520" i="29"/>
  <c r="P4520" i="29"/>
  <c r="Q4520" i="29"/>
  <c r="F4521" i="29"/>
  <c r="G4521" i="29"/>
  <c r="N4521" i="29"/>
  <c r="P4521" i="29"/>
  <c r="Q4521" i="29"/>
  <c r="R4521" i="29"/>
  <c r="F4522" i="29"/>
  <c r="G4522" i="29"/>
  <c r="N4522" i="29"/>
  <c r="P4522" i="29"/>
  <c r="Q4522" i="29"/>
  <c r="F4523" i="29"/>
  <c r="G4523" i="29"/>
  <c r="N4523" i="29"/>
  <c r="P4523" i="29"/>
  <c r="Q4523" i="29"/>
  <c r="F4524" i="29"/>
  <c r="G4524" i="29"/>
  <c r="N4524" i="29"/>
  <c r="P4524" i="29"/>
  <c r="Q4524" i="29"/>
  <c r="F4525" i="29"/>
  <c r="G4525" i="29"/>
  <c r="N4525" i="29"/>
  <c r="P4525" i="29"/>
  <c r="Q4525" i="29"/>
  <c r="F4526" i="29"/>
  <c r="G4526" i="29"/>
  <c r="N4526" i="29"/>
  <c r="P4526" i="29"/>
  <c r="Q4526" i="29"/>
  <c r="F4527" i="29"/>
  <c r="G4527" i="29"/>
  <c r="N4527" i="29"/>
  <c r="P4527" i="29"/>
  <c r="Q4527" i="29"/>
  <c r="F4528" i="29"/>
  <c r="G4528" i="29"/>
  <c r="N4528" i="29"/>
  <c r="P4528" i="29"/>
  <c r="Q4528" i="29"/>
  <c r="F4529" i="29"/>
  <c r="G4529" i="29"/>
  <c r="N4529" i="29"/>
  <c r="P4529" i="29"/>
  <c r="Q4529" i="29"/>
  <c r="F4530" i="29"/>
  <c r="G4530" i="29"/>
  <c r="N4530" i="29"/>
  <c r="P4530" i="29"/>
  <c r="Q4530" i="29"/>
  <c r="F4531" i="29"/>
  <c r="G4531" i="29"/>
  <c r="N4531" i="29"/>
  <c r="P4531" i="29"/>
  <c r="Q4531" i="29"/>
  <c r="S4531" i="29"/>
  <c r="F4532" i="29"/>
  <c r="G4532" i="29"/>
  <c r="N4532" i="29"/>
  <c r="P4532" i="29"/>
  <c r="Q4532" i="29"/>
  <c r="T4532" i="29"/>
  <c r="F4533" i="29"/>
  <c r="G4533" i="29"/>
  <c r="N4533" i="29"/>
  <c r="P4533" i="29"/>
  <c r="Q4533" i="29"/>
  <c r="F4534" i="29"/>
  <c r="G4534" i="29"/>
  <c r="J4534" i="29"/>
  <c r="N4534" i="29"/>
  <c r="P4534" i="29"/>
  <c r="Q4534" i="29"/>
  <c r="F4535" i="29"/>
  <c r="G4535" i="29"/>
  <c r="N4535" i="29"/>
  <c r="P4535" i="29"/>
  <c r="S4535" i="29"/>
  <c r="T4535" i="29"/>
  <c r="F4536" i="29"/>
  <c r="G4536" i="29"/>
  <c r="N4536" i="29"/>
  <c r="P4536" i="29"/>
  <c r="Q4536" i="29"/>
  <c r="T4536" i="29"/>
  <c r="F4537" i="29"/>
  <c r="G4537" i="29"/>
  <c r="N4537" i="29"/>
  <c r="P4537" i="29"/>
  <c r="Q4537" i="29"/>
  <c r="F4538" i="29"/>
  <c r="G4538" i="29"/>
  <c r="N4538" i="29"/>
  <c r="P4538" i="29"/>
  <c r="Q4538" i="29"/>
  <c r="F4539" i="29"/>
  <c r="G4539" i="29"/>
  <c r="N4539" i="29"/>
  <c r="P4539" i="29"/>
  <c r="Q4539" i="29"/>
  <c r="T4539" i="29"/>
  <c r="F4540" i="29"/>
  <c r="G4540" i="29"/>
  <c r="N4540" i="29"/>
  <c r="P4540" i="29"/>
  <c r="Q4540" i="29"/>
  <c r="F4541" i="29"/>
  <c r="G4541" i="29"/>
  <c r="N4541" i="29"/>
  <c r="P4541" i="29"/>
  <c r="Q4541" i="29"/>
  <c r="T4541" i="29"/>
  <c r="F4542" i="29"/>
  <c r="G4542" i="29"/>
  <c r="N4542" i="29"/>
  <c r="P4542" i="29"/>
  <c r="Q4542" i="29"/>
  <c r="T4542" i="29"/>
  <c r="F4543" i="29"/>
  <c r="G4543" i="29"/>
  <c r="N4543" i="29"/>
  <c r="P4543" i="29"/>
  <c r="Q4543" i="29"/>
  <c r="T4543" i="29"/>
  <c r="F4544" i="29"/>
  <c r="G4544" i="29"/>
  <c r="N4544" i="29"/>
  <c r="P4544" i="29"/>
  <c r="Q4544" i="29"/>
  <c r="T4544" i="29"/>
  <c r="F4545" i="29"/>
  <c r="G4545" i="29"/>
  <c r="N4545" i="29"/>
  <c r="P4545" i="29"/>
  <c r="Q4545" i="29"/>
  <c r="T4545" i="29"/>
  <c r="F4546" i="29"/>
  <c r="G4546" i="29"/>
  <c r="N4546" i="29"/>
  <c r="P4546" i="29"/>
  <c r="Q4546" i="29"/>
  <c r="F4547" i="29"/>
  <c r="G4547" i="29"/>
  <c r="N4547" i="29"/>
  <c r="P4547" i="29"/>
  <c r="Q4547" i="29"/>
  <c r="S4547" i="29"/>
  <c r="F4548" i="29"/>
  <c r="G4548" i="29"/>
  <c r="N4548" i="29"/>
  <c r="P4548" i="29"/>
  <c r="Q4548" i="29"/>
  <c r="F4549" i="29"/>
  <c r="G4549" i="29"/>
  <c r="N4549" i="29"/>
  <c r="P4549" i="29"/>
  <c r="Q4549" i="29"/>
  <c r="F4550" i="29"/>
  <c r="G4550" i="29"/>
  <c r="N4550" i="29"/>
  <c r="P4550" i="29"/>
  <c r="Q4550" i="29"/>
  <c r="N4551" i="29"/>
  <c r="P4551" i="29"/>
  <c r="N4552" i="29"/>
  <c r="P4552" i="29"/>
  <c r="F4553" i="29"/>
  <c r="G4553" i="29"/>
  <c r="N4553" i="29"/>
  <c r="P4553" i="29"/>
  <c r="Q4553" i="29"/>
  <c r="T4553" i="29"/>
  <c r="F4554" i="29"/>
  <c r="G4554" i="29"/>
  <c r="N4554" i="29"/>
  <c r="P4554" i="29"/>
  <c r="S4554" i="29"/>
  <c r="T4554" i="29"/>
  <c r="F4555" i="29"/>
  <c r="G4555" i="29"/>
  <c r="N4555" i="29"/>
  <c r="P4555" i="29"/>
  <c r="Q4555" i="29"/>
  <c r="S4555" i="29"/>
  <c r="F4556" i="29"/>
  <c r="G4556" i="29"/>
  <c r="N4556" i="29"/>
  <c r="P4556" i="29"/>
  <c r="Q4556" i="29"/>
  <c r="F4557" i="29"/>
  <c r="G4557" i="29"/>
  <c r="N4557" i="29"/>
  <c r="P4557" i="29"/>
  <c r="Q4557" i="29"/>
  <c r="F4558" i="29"/>
  <c r="G4558" i="29"/>
  <c r="N4558" i="29"/>
  <c r="P4558" i="29"/>
  <c r="Q4558" i="29"/>
  <c r="S4558" i="29"/>
  <c r="F4559" i="29"/>
  <c r="G4559" i="29"/>
  <c r="N4559" i="29"/>
  <c r="P4559" i="29"/>
  <c r="Q4559" i="29"/>
  <c r="F4560" i="29"/>
  <c r="G4560" i="29"/>
  <c r="N4560" i="29"/>
  <c r="P4560" i="29"/>
  <c r="Q4560" i="29"/>
  <c r="F4561" i="29"/>
  <c r="G4561" i="29"/>
  <c r="N4561" i="29"/>
  <c r="P4561" i="29"/>
  <c r="Q4561" i="29"/>
  <c r="S4561" i="29"/>
  <c r="F4562" i="29"/>
  <c r="G4562" i="29"/>
  <c r="N4562" i="29"/>
  <c r="P4562" i="29"/>
  <c r="Q4562" i="29"/>
  <c r="F4563" i="29"/>
  <c r="G4563" i="29"/>
  <c r="N4563" i="29"/>
  <c r="P4563" i="29"/>
  <c r="Q4563" i="29"/>
  <c r="F4564" i="29"/>
  <c r="G4564" i="29"/>
  <c r="N4564" i="29"/>
  <c r="P4564" i="29"/>
  <c r="Q4564" i="29"/>
  <c r="F4565" i="29"/>
  <c r="G4565" i="29"/>
  <c r="N4565" i="29"/>
  <c r="P4565" i="29"/>
  <c r="Q4565" i="29"/>
  <c r="T4565" i="29"/>
  <c r="F4566" i="29"/>
  <c r="G4566" i="29"/>
  <c r="N4566" i="29"/>
  <c r="P4566" i="29"/>
  <c r="Q4566" i="29"/>
  <c r="F4567" i="29"/>
  <c r="G4567" i="29"/>
  <c r="N4567" i="29"/>
  <c r="P4567" i="29"/>
  <c r="Q4567" i="29"/>
  <c r="F4568" i="29"/>
  <c r="G4568" i="29"/>
  <c r="N4568" i="29"/>
  <c r="P4568" i="29"/>
  <c r="Q4568" i="29"/>
  <c r="F4569" i="29"/>
  <c r="G4569" i="29"/>
  <c r="N4569" i="29"/>
  <c r="P4569" i="29"/>
  <c r="Q4569" i="29"/>
  <c r="F4570" i="29"/>
  <c r="G4570" i="29"/>
  <c r="N4570" i="29"/>
  <c r="P4570" i="29"/>
  <c r="Q4570" i="29"/>
  <c r="F4571" i="29"/>
  <c r="G4571" i="29"/>
  <c r="N4571" i="29"/>
  <c r="P4571" i="29"/>
  <c r="Q4571" i="29"/>
  <c r="T4571" i="29"/>
  <c r="F4572" i="29"/>
  <c r="G4572" i="29"/>
  <c r="N4572" i="29"/>
  <c r="P4572" i="29"/>
  <c r="Q4572" i="29"/>
  <c r="T4572" i="29"/>
  <c r="F4573" i="29"/>
  <c r="G4573" i="29"/>
  <c r="N4573" i="29"/>
  <c r="P4573" i="29"/>
  <c r="R4573" i="29"/>
  <c r="F4574" i="29"/>
  <c r="G4574" i="29"/>
  <c r="N4574" i="29"/>
  <c r="P4574" i="29"/>
  <c r="Q4574" i="29"/>
  <c r="F4575" i="29"/>
  <c r="G4575" i="29"/>
  <c r="N4575" i="29"/>
  <c r="P4575" i="29"/>
  <c r="Q4575" i="29"/>
  <c r="T4575" i="29"/>
  <c r="F4576" i="29"/>
  <c r="G4576" i="29"/>
  <c r="N4576" i="29"/>
  <c r="P4576" i="29"/>
  <c r="Q4576" i="29"/>
  <c r="F4577" i="29"/>
  <c r="G4577" i="29"/>
  <c r="N4577" i="29"/>
  <c r="P4577" i="29"/>
  <c r="Q4577" i="29"/>
  <c r="F4578" i="29"/>
  <c r="G4578" i="29"/>
  <c r="N4578" i="29"/>
  <c r="P4578" i="29"/>
  <c r="Q4578" i="29"/>
  <c r="T4578" i="29"/>
  <c r="F4579" i="29"/>
  <c r="G4579" i="29"/>
  <c r="N4579" i="29"/>
  <c r="P4579" i="29"/>
  <c r="Q4579" i="29"/>
  <c r="F4580" i="29"/>
  <c r="G4580" i="29"/>
  <c r="N4580" i="29"/>
  <c r="P4580" i="29"/>
  <c r="Q4580" i="29"/>
  <c r="F4581" i="29"/>
  <c r="G4581" i="29"/>
  <c r="N4581" i="29"/>
  <c r="P4581" i="29"/>
  <c r="Q4581" i="29"/>
  <c r="F4582" i="29"/>
  <c r="G4582" i="29"/>
  <c r="N4582" i="29"/>
  <c r="P4582" i="29"/>
  <c r="Q4582" i="29"/>
  <c r="T4582" i="29"/>
  <c r="F4583" i="29"/>
  <c r="G4583" i="29"/>
  <c r="N4583" i="29"/>
  <c r="P4583" i="29"/>
  <c r="Q4583" i="29"/>
  <c r="F4584" i="29"/>
  <c r="G4584" i="29"/>
  <c r="N4584" i="29"/>
  <c r="P4584" i="29"/>
  <c r="Q4584" i="29"/>
  <c r="S4584" i="29"/>
  <c r="F4585" i="29"/>
  <c r="G4585" i="29"/>
  <c r="N4585" i="29"/>
  <c r="P4585" i="29"/>
  <c r="Q4585" i="29"/>
  <c r="S4585" i="29"/>
  <c r="F4586" i="29"/>
  <c r="G4586" i="29"/>
  <c r="N4586" i="29"/>
  <c r="P4586" i="29"/>
  <c r="Q4586" i="29"/>
  <c r="F4587" i="29"/>
  <c r="G4587" i="29"/>
  <c r="N4587" i="29"/>
  <c r="P4587" i="29"/>
  <c r="Q4587" i="29"/>
  <c r="S4587" i="29"/>
  <c r="F4588" i="29"/>
  <c r="G4588" i="29"/>
  <c r="N4588" i="29"/>
  <c r="P4588" i="29"/>
  <c r="Q4588" i="29"/>
  <c r="F4589" i="29"/>
  <c r="G4589" i="29"/>
  <c r="N4589" i="29"/>
  <c r="P4589" i="29"/>
  <c r="Q4589" i="29"/>
  <c r="S4589" i="29"/>
  <c r="F4590" i="29"/>
  <c r="G4590" i="29"/>
  <c r="N4590" i="29"/>
  <c r="P4590" i="29"/>
  <c r="Q4590" i="29"/>
  <c r="T4590" i="29"/>
  <c r="F4591" i="29"/>
  <c r="G4591" i="29"/>
  <c r="N4591" i="29"/>
  <c r="P4591" i="29"/>
  <c r="Q4591" i="29"/>
  <c r="F4592" i="29"/>
  <c r="G4592" i="29"/>
  <c r="N4592" i="29"/>
  <c r="P4592" i="29"/>
  <c r="Q4592" i="29"/>
  <c r="F4593" i="29"/>
  <c r="G4593" i="29"/>
  <c r="N4593" i="29"/>
  <c r="P4593" i="29"/>
  <c r="Q4593" i="29"/>
  <c r="N4594" i="29"/>
  <c r="W4594" i="29"/>
  <c r="F4595" i="29"/>
  <c r="G4595" i="29"/>
  <c r="N4595" i="29"/>
  <c r="P4595" i="29"/>
  <c r="Q4595" i="29"/>
  <c r="F4596" i="29"/>
  <c r="G4596" i="29"/>
  <c r="N4596" i="29"/>
  <c r="P4596" i="29"/>
  <c r="Q4596" i="29"/>
  <c r="F4597" i="29"/>
  <c r="G4597" i="29"/>
  <c r="N4597" i="29"/>
  <c r="P4597" i="29"/>
  <c r="Q4597" i="29"/>
  <c r="S4597" i="29"/>
  <c r="F4598" i="29"/>
  <c r="G4598" i="29"/>
  <c r="N4598" i="29"/>
  <c r="P4598" i="29"/>
  <c r="Q4598" i="29"/>
  <c r="S4598" i="29"/>
  <c r="F4599" i="29"/>
  <c r="G4599" i="29"/>
  <c r="N4599" i="29"/>
  <c r="P4599" i="29"/>
  <c r="Q4599" i="29"/>
  <c r="F4600" i="29"/>
  <c r="G4600" i="29"/>
  <c r="N4600" i="29"/>
  <c r="P4600" i="29"/>
  <c r="Q4600" i="29"/>
  <c r="F4601" i="29"/>
  <c r="G4601" i="29"/>
  <c r="N4601" i="29"/>
  <c r="P4601" i="29"/>
  <c r="Q4601" i="29"/>
  <c r="F4602" i="29"/>
  <c r="G4602" i="29"/>
  <c r="N4602" i="29"/>
  <c r="P4602" i="29"/>
  <c r="Q4602" i="29"/>
  <c r="F4603" i="29"/>
  <c r="G4603" i="29"/>
  <c r="N4603" i="29"/>
  <c r="P4603" i="29"/>
  <c r="Q4603" i="29"/>
  <c r="F4604" i="29"/>
  <c r="G4604" i="29"/>
  <c r="N4604" i="29"/>
  <c r="P4604" i="29"/>
  <c r="Q4604" i="29"/>
  <c r="S4604" i="29"/>
  <c r="F4605" i="29"/>
  <c r="G4605" i="29"/>
  <c r="N4605" i="29"/>
  <c r="P4605" i="29"/>
  <c r="Q4605" i="29"/>
  <c r="F4606" i="29"/>
  <c r="G4606" i="29"/>
  <c r="N4606" i="29"/>
  <c r="P4606" i="29"/>
  <c r="Q4606" i="29"/>
  <c r="F4607" i="29"/>
  <c r="G4607" i="29"/>
  <c r="N4607" i="29"/>
  <c r="P4607" i="29"/>
  <c r="Q4607" i="29"/>
  <c r="F4608" i="29"/>
  <c r="G4608" i="29"/>
  <c r="N4608" i="29"/>
  <c r="P4608" i="29"/>
  <c r="Q4608" i="29"/>
  <c r="F4609" i="29"/>
  <c r="G4609" i="29"/>
  <c r="N4609" i="29"/>
  <c r="P4609" i="29"/>
  <c r="Q4609" i="29"/>
  <c r="F4610" i="29"/>
  <c r="G4610" i="29"/>
  <c r="N4610" i="29"/>
  <c r="P4610" i="29"/>
  <c r="Q4610" i="29"/>
  <c r="T4610" i="29"/>
  <c r="F4611" i="29"/>
  <c r="G4611" i="29"/>
  <c r="N4611" i="29"/>
  <c r="P4611" i="29"/>
  <c r="Q4611" i="29"/>
  <c r="F4612" i="29"/>
  <c r="G4612" i="29"/>
  <c r="N4612" i="29"/>
  <c r="P4612" i="29"/>
  <c r="Q4612" i="29"/>
  <c r="S4612" i="29"/>
  <c r="F4613" i="29"/>
  <c r="G4613" i="29"/>
  <c r="N4613" i="29"/>
  <c r="P4613" i="29"/>
  <c r="Q4613" i="29"/>
  <c r="S4613" i="29"/>
  <c r="F4614" i="29"/>
  <c r="G4614" i="29"/>
  <c r="N4614" i="29"/>
  <c r="P4614" i="29"/>
  <c r="Q4614" i="29"/>
  <c r="F4615" i="29"/>
  <c r="G4615" i="29"/>
  <c r="N4615" i="29"/>
  <c r="P4615" i="29"/>
  <c r="Q4615" i="29"/>
  <c r="F4616" i="29"/>
  <c r="G4616" i="29"/>
  <c r="N4616" i="29"/>
  <c r="P4616" i="29"/>
  <c r="Q4616" i="29"/>
  <c r="S4616" i="29"/>
  <c r="F4617" i="29"/>
  <c r="G4617" i="29"/>
  <c r="N4617" i="29"/>
  <c r="P4617" i="29"/>
  <c r="Q4617" i="29"/>
  <c r="F4618" i="29"/>
  <c r="G4618" i="29"/>
  <c r="N4618" i="29"/>
  <c r="P4618" i="29"/>
  <c r="Q4618" i="29"/>
  <c r="F4619" i="29"/>
  <c r="G4619" i="29"/>
  <c r="N4619" i="29"/>
  <c r="P4619" i="29"/>
  <c r="Q4619" i="29"/>
  <c r="F4620" i="29"/>
  <c r="G4620" i="29"/>
  <c r="N4620" i="29"/>
  <c r="P4620" i="29"/>
  <c r="Q4620" i="29"/>
  <c r="F4621" i="29"/>
  <c r="G4621" i="29"/>
  <c r="N4621" i="29"/>
  <c r="P4621" i="29"/>
  <c r="Q4621" i="29"/>
  <c r="S4621" i="29"/>
  <c r="F4622" i="29"/>
  <c r="G4622" i="29"/>
  <c r="N4622" i="29"/>
  <c r="P4622" i="29"/>
  <c r="Q4622" i="29"/>
  <c r="F4623" i="29"/>
  <c r="G4623" i="29"/>
  <c r="N4623" i="29"/>
  <c r="P4623" i="29"/>
  <c r="Q4623" i="29"/>
  <c r="F4624" i="29"/>
  <c r="G4624" i="29"/>
  <c r="N4624" i="29"/>
  <c r="P4624" i="29"/>
  <c r="Q4624" i="29"/>
  <c r="F4625" i="29"/>
  <c r="G4625" i="29"/>
  <c r="N4625" i="29"/>
  <c r="P4625" i="29"/>
  <c r="R4625" i="29"/>
  <c r="Q4625" i="29"/>
  <c r="F4626" i="29"/>
  <c r="G4626" i="29"/>
  <c r="N4626" i="29"/>
  <c r="P4626" i="29"/>
  <c r="Q4626" i="29"/>
  <c r="S4626" i="29"/>
  <c r="F4627" i="29"/>
  <c r="G4627" i="29"/>
  <c r="N4627" i="29"/>
  <c r="P4627" i="29"/>
  <c r="S4627" i="29"/>
  <c r="T4627" i="29"/>
  <c r="F4628" i="29"/>
  <c r="G4628" i="29"/>
  <c r="N4628" i="29"/>
  <c r="P4628" i="29"/>
  <c r="Q4628" i="29"/>
  <c r="F4629" i="29"/>
  <c r="G4629" i="29"/>
  <c r="N4629" i="29"/>
  <c r="P4629" i="29"/>
  <c r="Q4629" i="29"/>
  <c r="T4629" i="29"/>
  <c r="F4630" i="29"/>
  <c r="G4630" i="29"/>
  <c r="N4630" i="29"/>
  <c r="P4630" i="29"/>
  <c r="Q4630" i="29"/>
  <c r="F4631" i="29"/>
  <c r="G4631" i="29"/>
  <c r="N4631" i="29"/>
  <c r="P4631" i="29"/>
  <c r="Q4631" i="29"/>
  <c r="F4632" i="29"/>
  <c r="G4632" i="29"/>
  <c r="N4632" i="29"/>
  <c r="P4632" i="29"/>
  <c r="Q4632" i="29"/>
  <c r="R4632" i="29"/>
  <c r="F4633" i="29"/>
  <c r="G4633" i="29"/>
  <c r="N4633" i="29"/>
  <c r="P4633" i="29"/>
  <c r="Q4633" i="29"/>
  <c r="F4634" i="29"/>
  <c r="G4634" i="29"/>
  <c r="N4634" i="29"/>
  <c r="P4634" i="29"/>
  <c r="Q4634" i="29"/>
  <c r="F4635" i="29"/>
  <c r="G4635" i="29"/>
  <c r="N4635" i="29"/>
  <c r="P4635" i="29"/>
  <c r="Q4635" i="29"/>
  <c r="T4635" i="29"/>
  <c r="F4636" i="29"/>
  <c r="G4636" i="29"/>
  <c r="N4636" i="29"/>
  <c r="P4636" i="29"/>
  <c r="Q4636" i="29"/>
  <c r="R4636" i="29"/>
  <c r="F4637" i="29"/>
  <c r="G4637" i="29"/>
  <c r="N4637" i="29"/>
  <c r="P4637" i="29"/>
  <c r="Q4637" i="29"/>
  <c r="F4638" i="29"/>
  <c r="G4638" i="29"/>
  <c r="N4638" i="29"/>
  <c r="P4638" i="29"/>
  <c r="Q4638" i="29"/>
  <c r="T4638" i="29"/>
  <c r="F4639" i="29"/>
  <c r="G4639" i="29"/>
  <c r="N4639" i="29"/>
  <c r="P4639" i="29"/>
  <c r="Q4639" i="29"/>
  <c r="F4640" i="29"/>
  <c r="G4640" i="29"/>
  <c r="N4640" i="29"/>
  <c r="P4640" i="29"/>
  <c r="Q4640" i="29"/>
  <c r="F4641" i="29"/>
  <c r="G4641" i="29"/>
  <c r="N4641" i="29"/>
  <c r="P4641" i="29"/>
  <c r="Q4641" i="29"/>
  <c r="S4641" i="29"/>
  <c r="F4642" i="29"/>
  <c r="G4642" i="29"/>
  <c r="N4642" i="29"/>
  <c r="P4642" i="29"/>
  <c r="Q4642" i="29"/>
  <c r="F4643" i="29"/>
  <c r="G4643" i="29"/>
  <c r="N4643" i="29"/>
  <c r="P4643" i="29"/>
  <c r="Q4643" i="29"/>
  <c r="F4644" i="29"/>
  <c r="G4644" i="29"/>
  <c r="N4644" i="29"/>
  <c r="P4644" i="29"/>
  <c r="Q4644" i="29"/>
  <c r="F4645" i="29"/>
  <c r="G4645" i="29"/>
  <c r="N4645" i="29"/>
  <c r="P4645" i="29"/>
  <c r="Q4645" i="29"/>
  <c r="F4646" i="29"/>
  <c r="G4646" i="29"/>
  <c r="N4646" i="29"/>
  <c r="P4646" i="29"/>
  <c r="Q4646" i="29"/>
  <c r="F4647" i="29"/>
  <c r="G4647" i="29"/>
  <c r="N4647" i="29"/>
  <c r="P4647" i="29"/>
  <c r="Q4647" i="29"/>
  <c r="F4648" i="29"/>
  <c r="G4648" i="29"/>
  <c r="N4648" i="29"/>
  <c r="P4648" i="29"/>
  <c r="Q4648" i="29"/>
  <c r="T4648" i="29"/>
  <c r="F4649" i="29"/>
  <c r="G4649" i="29"/>
  <c r="N4649" i="29"/>
  <c r="P4649" i="29"/>
  <c r="Q4649" i="29"/>
  <c r="T4649" i="29"/>
  <c r="F4650" i="29"/>
  <c r="G4650" i="29"/>
  <c r="N4650" i="29"/>
  <c r="P4650" i="29"/>
  <c r="Q4650" i="29"/>
  <c r="F4651" i="29"/>
  <c r="G4651" i="29"/>
  <c r="N4651" i="29"/>
  <c r="P4651" i="29"/>
  <c r="Q4651" i="29"/>
  <c r="F4652" i="29"/>
  <c r="G4652" i="29"/>
  <c r="N4652" i="29"/>
  <c r="P4652" i="29"/>
  <c r="Q4652" i="29"/>
  <c r="F4653" i="29"/>
  <c r="G4653" i="29"/>
  <c r="N4653" i="29"/>
  <c r="P4653" i="29"/>
  <c r="Q4653" i="29"/>
  <c r="F4654" i="29"/>
  <c r="G4654" i="29"/>
  <c r="N4654" i="29"/>
  <c r="P4654" i="29"/>
  <c r="R4654" i="29"/>
  <c r="Q4654" i="29"/>
  <c r="F4655" i="29"/>
  <c r="G4655" i="29"/>
  <c r="N4655" i="29"/>
  <c r="P4655" i="29"/>
  <c r="Q4655" i="29"/>
  <c r="T4655" i="29"/>
  <c r="F4656" i="29"/>
  <c r="G4656" i="29"/>
  <c r="N4656" i="29"/>
  <c r="P4656" i="29"/>
  <c r="Q4656" i="29"/>
  <c r="F4657" i="29"/>
  <c r="G4657" i="29"/>
  <c r="N4657" i="29"/>
  <c r="P4657" i="29"/>
  <c r="Q4657" i="29"/>
  <c r="F4658" i="29"/>
  <c r="G4658" i="29"/>
  <c r="N4658" i="29"/>
  <c r="P4658" i="29"/>
  <c r="Q4658" i="29"/>
  <c r="F4659" i="29"/>
  <c r="G4659" i="29"/>
  <c r="N4659" i="29"/>
  <c r="P4659" i="29"/>
  <c r="Q4659" i="29"/>
  <c r="F4660" i="29"/>
  <c r="G4660" i="29"/>
  <c r="N4660" i="29"/>
  <c r="P4660" i="29"/>
  <c r="Q4660" i="29"/>
  <c r="S4660" i="29"/>
  <c r="F4661" i="29"/>
  <c r="G4661" i="29"/>
  <c r="N4661" i="29"/>
  <c r="P4661" i="29"/>
  <c r="Q4661" i="29"/>
  <c r="S4661" i="29"/>
  <c r="F4662" i="29"/>
  <c r="G4662" i="29"/>
  <c r="N4662" i="29"/>
  <c r="P4662" i="29"/>
  <c r="Q4662" i="29"/>
  <c r="F4663" i="29"/>
  <c r="G4663" i="29"/>
  <c r="N4663" i="29"/>
  <c r="P4663" i="29"/>
  <c r="Q4663" i="29"/>
  <c r="F4664" i="29"/>
  <c r="G4664" i="29"/>
  <c r="N4664" i="29"/>
  <c r="P4664" i="29"/>
  <c r="Q4664" i="29"/>
  <c r="T4664" i="29"/>
  <c r="F4665" i="29"/>
  <c r="G4665" i="29"/>
  <c r="N4665" i="29"/>
  <c r="P4665" i="29"/>
  <c r="Q4665" i="29"/>
  <c r="T4665" i="29"/>
  <c r="F4666" i="29"/>
  <c r="G4666" i="29"/>
  <c r="N4666" i="29"/>
  <c r="P4666" i="29"/>
  <c r="Q4666" i="29"/>
  <c r="F4667" i="29"/>
  <c r="G4667" i="29"/>
  <c r="N4667" i="29"/>
  <c r="P4667" i="29"/>
  <c r="Q4667" i="29"/>
  <c r="S4667" i="29"/>
  <c r="F4668" i="29"/>
  <c r="G4668" i="29"/>
  <c r="N4668" i="29"/>
  <c r="P4668" i="29"/>
  <c r="Q4668" i="29"/>
  <c r="F4669" i="29"/>
  <c r="G4669" i="29"/>
  <c r="N4669" i="29"/>
  <c r="P4669" i="29"/>
  <c r="Q4669" i="29"/>
  <c r="F4670" i="29"/>
  <c r="G4670" i="29"/>
  <c r="N4670" i="29"/>
  <c r="P4670" i="29"/>
  <c r="Q4670" i="29"/>
  <c r="F4671" i="29"/>
  <c r="G4671" i="29"/>
  <c r="N4671" i="29"/>
  <c r="P4671" i="29"/>
  <c r="Q4671" i="29"/>
  <c r="S4671" i="29"/>
  <c r="F4672" i="29"/>
  <c r="G4672" i="29"/>
  <c r="N4672" i="29"/>
  <c r="P4672" i="29"/>
  <c r="Q4672" i="29"/>
  <c r="F4673" i="29"/>
  <c r="G4673" i="29"/>
  <c r="N4673" i="29"/>
  <c r="P4673" i="29"/>
  <c r="Q4673" i="29"/>
  <c r="F4674" i="29"/>
  <c r="G4674" i="29"/>
  <c r="N4674" i="29"/>
  <c r="P4674" i="29"/>
  <c r="Q4674" i="29"/>
  <c r="F4675" i="29"/>
  <c r="G4675" i="29"/>
  <c r="N4675" i="29"/>
  <c r="P4675" i="29"/>
  <c r="Q4675" i="29"/>
  <c r="F4676" i="29"/>
  <c r="G4676" i="29"/>
  <c r="N4676" i="29"/>
  <c r="P4676" i="29"/>
  <c r="Q4676" i="29"/>
  <c r="F4677" i="29"/>
  <c r="G4677" i="29"/>
  <c r="N4677" i="29"/>
  <c r="P4677" i="29"/>
  <c r="Q4677" i="29"/>
  <c r="F4678" i="29"/>
  <c r="G4678" i="29"/>
  <c r="N4678" i="29"/>
  <c r="P4678" i="29"/>
  <c r="Q4678" i="29"/>
  <c r="F4679" i="29"/>
  <c r="G4679" i="29"/>
  <c r="N4679" i="29"/>
  <c r="P4679" i="29"/>
  <c r="Q4679" i="29"/>
  <c r="F4680" i="29"/>
  <c r="G4680" i="29"/>
  <c r="N4680" i="29"/>
  <c r="P4680" i="29"/>
  <c r="Q4680" i="29"/>
  <c r="F4681" i="29"/>
  <c r="G4681" i="29"/>
  <c r="N4681" i="29"/>
  <c r="P4681" i="29"/>
  <c r="Q4681" i="29"/>
  <c r="F4682" i="29"/>
  <c r="G4682" i="29"/>
  <c r="N4682" i="29"/>
  <c r="P4682" i="29"/>
  <c r="Q4682" i="29"/>
  <c r="S4682" i="29"/>
  <c r="F4683" i="29"/>
  <c r="G4683" i="29"/>
  <c r="N4683" i="29"/>
  <c r="P4683" i="29"/>
  <c r="Q4683" i="29"/>
  <c r="T4683" i="29"/>
  <c r="F4684" i="29"/>
  <c r="G4684" i="29"/>
  <c r="N4684" i="29"/>
  <c r="P4684" i="29"/>
  <c r="Q4684" i="29"/>
  <c r="F4685" i="29"/>
  <c r="G4685" i="29"/>
  <c r="N4685" i="29"/>
  <c r="P4685" i="29"/>
  <c r="Q4685" i="29"/>
  <c r="F4686" i="29"/>
  <c r="G4686" i="29"/>
  <c r="N4686" i="29"/>
  <c r="P4686" i="29"/>
  <c r="Q4686" i="29"/>
  <c r="F4687" i="29"/>
  <c r="G4687" i="29"/>
  <c r="N4687" i="29"/>
  <c r="P4687" i="29"/>
  <c r="Q4687" i="29"/>
  <c r="F4688" i="29"/>
  <c r="G4688" i="29"/>
  <c r="N4688" i="29"/>
  <c r="P4688" i="29"/>
  <c r="Q4688" i="29"/>
  <c r="F4689" i="29"/>
  <c r="G4689" i="29"/>
  <c r="N4689" i="29"/>
  <c r="P4689" i="29"/>
  <c r="Q4689" i="29"/>
  <c r="T4689" i="29"/>
  <c r="F4690" i="29"/>
  <c r="G4690" i="29"/>
  <c r="N4690" i="29"/>
  <c r="P4690" i="29"/>
  <c r="Q4690" i="29"/>
  <c r="F4691" i="29"/>
  <c r="G4691" i="29"/>
  <c r="N4691" i="29"/>
  <c r="P4691" i="29"/>
  <c r="Q4691" i="29"/>
  <c r="N4692" i="29"/>
  <c r="W4692" i="29"/>
  <c r="F4693" i="29"/>
  <c r="G4693" i="29"/>
  <c r="P4693" i="29"/>
  <c r="Q4693" i="29"/>
  <c r="F4694" i="29"/>
  <c r="G4694" i="29"/>
  <c r="P4694" i="29"/>
  <c r="Q4694" i="29"/>
  <c r="F4695" i="29"/>
  <c r="G4695" i="29"/>
  <c r="N4695" i="29"/>
  <c r="P4695" i="29"/>
  <c r="Q4695" i="29"/>
  <c r="F4696" i="29"/>
  <c r="G4696" i="29"/>
  <c r="N4696" i="29"/>
  <c r="P4696" i="29"/>
  <c r="Q4696" i="29"/>
  <c r="F4697" i="29"/>
  <c r="G4697" i="29"/>
  <c r="N4697" i="29"/>
  <c r="P4697" i="29"/>
  <c r="Q4697" i="29"/>
  <c r="F4698" i="29"/>
  <c r="G4698" i="29"/>
  <c r="N4698" i="29"/>
  <c r="P4698" i="29"/>
  <c r="Q4698" i="29"/>
  <c r="T4698" i="29"/>
  <c r="F4699" i="29"/>
  <c r="G4699" i="29"/>
  <c r="N4699" i="29"/>
  <c r="P4699" i="29"/>
  <c r="Q4699" i="29"/>
  <c r="P4700" i="29"/>
  <c r="Q4700" i="29"/>
  <c r="S4700" i="29"/>
  <c r="P4701" i="29"/>
  <c r="Q4701" i="29"/>
  <c r="P4702" i="29"/>
  <c r="Q4702" i="29"/>
  <c r="S4702" i="29"/>
  <c r="F4703" i="29"/>
  <c r="G4703" i="29"/>
  <c r="N4703" i="29"/>
  <c r="P4703" i="29"/>
  <c r="Q4703" i="29"/>
  <c r="F4704" i="29"/>
  <c r="G4704" i="29"/>
  <c r="N4704" i="29"/>
  <c r="P4704" i="29"/>
  <c r="Q4704" i="29"/>
  <c r="F4705" i="29"/>
  <c r="G4705" i="29"/>
  <c r="N4705" i="29"/>
  <c r="P4705" i="29"/>
  <c r="Q4705" i="29"/>
  <c r="S4705" i="29"/>
  <c r="F4706" i="29"/>
  <c r="G4706" i="29"/>
  <c r="N4706" i="29"/>
  <c r="P4706" i="29"/>
  <c r="Q4706" i="29"/>
  <c r="F4707" i="29"/>
  <c r="G4707" i="29"/>
  <c r="N4707" i="29"/>
  <c r="P4707" i="29"/>
  <c r="Q4707" i="29"/>
  <c r="F4708" i="29"/>
  <c r="G4708" i="29"/>
  <c r="N4708" i="29"/>
  <c r="P4708" i="29"/>
  <c r="Q4708" i="29"/>
  <c r="F4709" i="29"/>
  <c r="G4709" i="29"/>
  <c r="N4709" i="29"/>
  <c r="P4709" i="29"/>
  <c r="Q4709" i="29"/>
  <c r="S4709" i="29"/>
  <c r="F4710" i="29"/>
  <c r="G4710" i="29"/>
  <c r="N4710" i="29"/>
  <c r="P4710" i="29"/>
  <c r="Q4710" i="29"/>
  <c r="F4711" i="29"/>
  <c r="G4711" i="29"/>
  <c r="N4711" i="29"/>
  <c r="P4711" i="29"/>
  <c r="Q4711" i="29"/>
  <c r="F4712" i="29"/>
  <c r="G4712" i="29"/>
  <c r="N4712" i="29"/>
  <c r="P4712" i="29"/>
  <c r="Q4712" i="29"/>
  <c r="F4713" i="29"/>
  <c r="G4713" i="29"/>
  <c r="N4713" i="29"/>
  <c r="P4713" i="29"/>
  <c r="Q4713" i="29"/>
  <c r="R4713" i="29"/>
  <c r="F4714" i="29"/>
  <c r="G4714" i="29"/>
  <c r="N4714" i="29"/>
  <c r="P4714" i="29"/>
  <c r="Q4714" i="29"/>
  <c r="R4714" i="29"/>
  <c r="F4715" i="29"/>
  <c r="G4715" i="29"/>
  <c r="N4715" i="29"/>
  <c r="P4715" i="29"/>
  <c r="Q4715" i="29"/>
  <c r="R4715" i="29"/>
  <c r="F4716" i="29"/>
  <c r="G4716" i="29"/>
  <c r="N4716" i="29"/>
  <c r="P4716" i="29"/>
  <c r="Q4716" i="29"/>
  <c r="T4716" i="29"/>
  <c r="F4717" i="29"/>
  <c r="G4717" i="29"/>
  <c r="N4717" i="29"/>
  <c r="P4717" i="29"/>
  <c r="Q4717" i="29"/>
  <c r="F4718" i="29"/>
  <c r="G4718" i="29"/>
  <c r="N4718" i="29"/>
  <c r="P4718" i="29"/>
  <c r="Q4718" i="29"/>
  <c r="T4718" i="29"/>
  <c r="F4719" i="29"/>
  <c r="G4719" i="29"/>
  <c r="N4719" i="29"/>
  <c r="P4719" i="29"/>
  <c r="Q4719" i="29"/>
  <c r="F4720" i="29"/>
  <c r="G4720" i="29"/>
  <c r="N4720" i="29"/>
  <c r="P4720" i="29"/>
  <c r="Q4720" i="29"/>
  <c r="F4721" i="29"/>
  <c r="G4721" i="29"/>
  <c r="N4721" i="29"/>
  <c r="P4721" i="29"/>
  <c r="Q4721" i="29"/>
  <c r="T4721" i="29"/>
  <c r="F4722" i="29"/>
  <c r="G4722" i="29"/>
  <c r="N4722" i="29"/>
  <c r="P4722" i="29"/>
  <c r="Q4722" i="29"/>
  <c r="F4723" i="29"/>
  <c r="G4723" i="29"/>
  <c r="N4723" i="29"/>
  <c r="P4723" i="29"/>
  <c r="Q4723" i="29"/>
  <c r="F4724" i="29"/>
  <c r="G4724" i="29"/>
  <c r="N4724" i="29"/>
  <c r="P4724" i="29"/>
  <c r="Q4724" i="29"/>
  <c r="F4725" i="29"/>
  <c r="G4725" i="29"/>
  <c r="N4725" i="29"/>
  <c r="P4725" i="29"/>
  <c r="Q4725" i="29"/>
  <c r="F4726" i="29"/>
  <c r="G4726" i="29"/>
  <c r="N4726" i="29"/>
  <c r="P4726" i="29"/>
  <c r="Q4726" i="29"/>
  <c r="T4726" i="29"/>
  <c r="F4727" i="29"/>
  <c r="G4727" i="29"/>
  <c r="N4727" i="29"/>
  <c r="P4727" i="29"/>
  <c r="Q4727" i="29"/>
  <c r="F4728" i="29"/>
  <c r="G4728" i="29"/>
  <c r="N4728" i="29"/>
  <c r="P4728" i="29"/>
  <c r="Q4728" i="29"/>
  <c r="F4729" i="29"/>
  <c r="G4729" i="29"/>
  <c r="N4729" i="29"/>
  <c r="P4729" i="29"/>
  <c r="Q4729" i="29"/>
  <c r="T4729" i="29"/>
  <c r="F4730" i="29"/>
  <c r="G4730" i="29"/>
  <c r="N4730" i="29"/>
  <c r="P4730" i="29"/>
  <c r="Q4730" i="29"/>
  <c r="F4731" i="29"/>
  <c r="G4731" i="29"/>
  <c r="N4731" i="29"/>
  <c r="P4731" i="29"/>
  <c r="Q4731" i="29"/>
  <c r="F4732" i="29"/>
  <c r="G4732" i="29"/>
  <c r="N4732" i="29"/>
  <c r="P4732" i="29"/>
  <c r="Q4732" i="29"/>
  <c r="S4732" i="29"/>
  <c r="F4733" i="29"/>
  <c r="G4733" i="29"/>
  <c r="N4733" i="29"/>
  <c r="P4733" i="29"/>
  <c r="Q4733" i="29"/>
  <c r="F4734" i="29"/>
  <c r="G4734" i="29"/>
  <c r="N4734" i="29"/>
  <c r="P4734" i="29"/>
  <c r="Q4734" i="29"/>
  <c r="T4734" i="29"/>
  <c r="F4735" i="29"/>
  <c r="G4735" i="29"/>
  <c r="N4735" i="29"/>
  <c r="P4735" i="29"/>
  <c r="Q4735" i="29"/>
  <c r="T4735" i="29"/>
  <c r="F4736" i="29"/>
  <c r="G4736" i="29"/>
  <c r="N4736" i="29"/>
  <c r="P4736" i="29"/>
  <c r="Q4736" i="29"/>
  <c r="F4737" i="29"/>
  <c r="G4737" i="29"/>
  <c r="N4737" i="29"/>
  <c r="P4737" i="29"/>
  <c r="Q4737" i="29"/>
  <c r="F4738" i="29"/>
  <c r="G4738" i="29"/>
  <c r="N4738" i="29"/>
  <c r="P4738" i="29"/>
  <c r="Q4738" i="29"/>
  <c r="F4739" i="29"/>
  <c r="G4739" i="29"/>
  <c r="N4739" i="29"/>
  <c r="P4739" i="29"/>
  <c r="Q4739" i="29"/>
  <c r="F4740" i="29"/>
  <c r="G4740" i="29"/>
  <c r="N4740" i="29"/>
  <c r="P4740" i="29"/>
  <c r="Q4740" i="29"/>
  <c r="P4741" i="29"/>
  <c r="Q4741" i="29"/>
  <c r="F4742" i="29"/>
  <c r="G4742" i="29"/>
  <c r="N4742" i="29"/>
  <c r="P4742" i="29"/>
  <c r="Q4742" i="29"/>
  <c r="T4742" i="29"/>
  <c r="F4743" i="29"/>
  <c r="G4743" i="29"/>
  <c r="N4743" i="29"/>
  <c r="P4743" i="29"/>
  <c r="Q4743" i="29"/>
  <c r="F4744" i="29"/>
  <c r="G4744" i="29"/>
  <c r="N4744" i="29"/>
  <c r="P4744" i="29"/>
  <c r="Q4744" i="29"/>
  <c r="F4745" i="29"/>
  <c r="G4745" i="29"/>
  <c r="N4745" i="29"/>
  <c r="P4745" i="29"/>
  <c r="Q4745" i="29"/>
  <c r="F4746" i="29"/>
  <c r="G4746" i="29"/>
  <c r="N4746" i="29"/>
  <c r="P4746" i="29"/>
  <c r="Q4746" i="29"/>
  <c r="F4747" i="29"/>
  <c r="G4747" i="29"/>
  <c r="N4747" i="29"/>
  <c r="P4747" i="29"/>
  <c r="Q4747" i="29"/>
  <c r="S4747" i="29"/>
  <c r="F4748" i="29"/>
  <c r="G4748" i="29"/>
  <c r="N4748" i="29"/>
  <c r="P4748" i="29"/>
  <c r="Q4748" i="29"/>
  <c r="F4749" i="29"/>
  <c r="G4749" i="29"/>
  <c r="N4749" i="29"/>
  <c r="P4749" i="29"/>
  <c r="Q4749" i="29"/>
  <c r="F4750" i="29"/>
  <c r="G4750" i="29"/>
  <c r="N4750" i="29"/>
  <c r="P4750" i="29"/>
  <c r="Q4750" i="29"/>
  <c r="T4750" i="29"/>
  <c r="F4751" i="29"/>
  <c r="G4751" i="29"/>
  <c r="N4751" i="29"/>
  <c r="P4751" i="29"/>
  <c r="Q4751" i="29"/>
  <c r="F4752" i="29"/>
  <c r="G4752" i="29"/>
  <c r="N4752" i="29"/>
  <c r="P4752" i="29"/>
  <c r="Q4752" i="29"/>
  <c r="S4752" i="29"/>
  <c r="F4753" i="29"/>
  <c r="G4753" i="29"/>
  <c r="N4753" i="29"/>
  <c r="P4753" i="29"/>
  <c r="Q4753" i="29"/>
  <c r="F4754" i="29"/>
  <c r="G4754" i="29"/>
  <c r="N4754" i="29"/>
  <c r="P4754" i="29"/>
  <c r="Q4754" i="29"/>
  <c r="F4755" i="29"/>
  <c r="G4755" i="29"/>
  <c r="N4755" i="29"/>
  <c r="P4755" i="29"/>
  <c r="Q4755" i="29"/>
  <c r="S4755" i="29"/>
  <c r="F4756" i="29"/>
  <c r="G4756" i="29"/>
  <c r="N4756" i="29"/>
  <c r="P4756" i="29"/>
  <c r="Q4756" i="29"/>
  <c r="F4757" i="29"/>
  <c r="G4757" i="29"/>
  <c r="N4757" i="29"/>
  <c r="P4757" i="29"/>
  <c r="Q4757" i="29"/>
  <c r="F4758" i="29"/>
  <c r="G4758" i="29"/>
  <c r="N4758" i="29"/>
  <c r="P4758" i="29"/>
  <c r="Q4758" i="29"/>
  <c r="T4758" i="29"/>
  <c r="F4759" i="29"/>
  <c r="G4759" i="29"/>
  <c r="N4759" i="29"/>
  <c r="P4759" i="29"/>
  <c r="Q4759" i="29"/>
  <c r="T4759" i="29"/>
  <c r="F4760" i="29"/>
  <c r="G4760" i="29"/>
  <c r="P4760" i="29"/>
  <c r="Q4760" i="29"/>
  <c r="T4760" i="29"/>
  <c r="F4761" i="29"/>
  <c r="G4761" i="29"/>
  <c r="N4761" i="29"/>
  <c r="P4761" i="29"/>
  <c r="Q4761" i="29"/>
  <c r="S4761" i="29"/>
  <c r="F4762" i="29"/>
  <c r="G4762" i="29"/>
  <c r="N4762" i="29"/>
  <c r="P4762" i="29"/>
  <c r="Q4762" i="29"/>
  <c r="F4763" i="29"/>
  <c r="G4763" i="29"/>
  <c r="N4763" i="29"/>
  <c r="P4763" i="29"/>
  <c r="Q4763" i="29"/>
  <c r="F4764" i="29"/>
  <c r="G4764" i="29"/>
  <c r="N4764" i="29"/>
  <c r="P4764" i="29"/>
  <c r="Q4764" i="29"/>
  <c r="F4765" i="29"/>
  <c r="G4765" i="29"/>
  <c r="N4765" i="29"/>
  <c r="P4765" i="29"/>
  <c r="Q4765" i="29"/>
  <c r="F4766" i="29"/>
  <c r="G4766" i="29"/>
  <c r="N4766" i="29"/>
  <c r="P4766" i="29"/>
  <c r="Q4766" i="29"/>
  <c r="F4767" i="29"/>
  <c r="G4767" i="29"/>
  <c r="P4767" i="29"/>
  <c r="Q4767" i="29"/>
  <c r="F4768" i="29"/>
  <c r="G4768" i="29"/>
  <c r="N4768" i="29"/>
  <c r="P4768" i="29"/>
  <c r="Q4768" i="29"/>
  <c r="N4769" i="29"/>
  <c r="W4769" i="29"/>
  <c r="F4770" i="29"/>
  <c r="G4770" i="29"/>
  <c r="N4770" i="29"/>
  <c r="P4770" i="29"/>
  <c r="Q4770" i="29"/>
  <c r="T4770" i="29"/>
  <c r="F4771" i="29"/>
  <c r="G4771" i="29"/>
  <c r="N4771" i="29"/>
  <c r="P4771" i="29"/>
  <c r="Q4771" i="29"/>
  <c r="F4772" i="29"/>
  <c r="G4772" i="29"/>
  <c r="N4772" i="29"/>
  <c r="P4772" i="29"/>
  <c r="Q4772" i="29"/>
  <c r="F4773" i="29"/>
  <c r="G4773" i="29"/>
  <c r="N4773" i="29"/>
  <c r="P4773" i="29"/>
  <c r="Q4773" i="29"/>
  <c r="F4774" i="29"/>
  <c r="G4774" i="29"/>
  <c r="N4774" i="29"/>
  <c r="P4774" i="29"/>
  <c r="Q4774" i="29"/>
  <c r="F4775" i="29"/>
  <c r="G4775" i="29"/>
  <c r="N4775" i="29"/>
  <c r="P4775" i="29"/>
  <c r="Q4775" i="29"/>
  <c r="F4776" i="29"/>
  <c r="G4776" i="29"/>
  <c r="N4776" i="29"/>
  <c r="P4776" i="29"/>
  <c r="Q4776" i="29"/>
  <c r="F4777" i="29"/>
  <c r="G4777" i="29"/>
  <c r="N4777" i="29"/>
  <c r="P4777" i="29"/>
  <c r="Q4777" i="29"/>
  <c r="T4777" i="29"/>
  <c r="F4778" i="29"/>
  <c r="G4778" i="29"/>
  <c r="N4778" i="29"/>
  <c r="P4778" i="29"/>
  <c r="Q4778" i="29"/>
  <c r="F4779" i="29"/>
  <c r="G4779" i="29"/>
  <c r="N4779" i="29"/>
  <c r="P4779" i="29"/>
  <c r="S4779" i="29"/>
  <c r="T4779" i="29"/>
  <c r="F4780" i="29"/>
  <c r="G4780" i="29"/>
  <c r="N4780" i="29"/>
  <c r="Q4780" i="29"/>
  <c r="F4781" i="29"/>
  <c r="G4781" i="29"/>
  <c r="N4781" i="29"/>
  <c r="P4781" i="29"/>
  <c r="Q4781" i="29"/>
  <c r="F4782" i="29"/>
  <c r="G4782" i="29"/>
  <c r="N4782" i="29"/>
  <c r="P4782" i="29"/>
  <c r="Q4782" i="29"/>
  <c r="S4782" i="29"/>
  <c r="P4783" i="29"/>
  <c r="Q4783" i="29"/>
  <c r="P4784" i="29"/>
  <c r="Q4784" i="29"/>
  <c r="Q4785" i="29"/>
  <c r="T4785" i="29"/>
  <c r="F4786" i="29"/>
  <c r="G4786" i="29"/>
  <c r="P4786" i="29"/>
  <c r="Q4786" i="29"/>
  <c r="F4787" i="29"/>
  <c r="G4787" i="29"/>
  <c r="P4787" i="29"/>
  <c r="Q4787" i="29"/>
  <c r="F4788" i="29"/>
  <c r="G4788" i="29"/>
  <c r="N4788" i="29"/>
  <c r="P4788" i="29"/>
  <c r="Q4788" i="29"/>
  <c r="F4789" i="29"/>
  <c r="G4789" i="29"/>
  <c r="N4789" i="29"/>
  <c r="P4789" i="29"/>
  <c r="Q4789" i="29"/>
  <c r="F4790" i="29"/>
  <c r="G4790" i="29"/>
  <c r="N4790" i="29"/>
  <c r="P4790" i="29"/>
  <c r="Q4790" i="29"/>
  <c r="F4791" i="29"/>
  <c r="G4791" i="29"/>
  <c r="N4791" i="29"/>
  <c r="P4791" i="29"/>
  <c r="Q4791" i="29"/>
  <c r="F4792" i="29"/>
  <c r="G4792" i="29"/>
  <c r="N4792" i="29"/>
  <c r="P4792" i="29"/>
  <c r="Q4792" i="29"/>
  <c r="T4792" i="29"/>
  <c r="F4793" i="29"/>
  <c r="G4793" i="29"/>
  <c r="N4793" i="29"/>
  <c r="P4793" i="29"/>
  <c r="Q4793" i="29"/>
  <c r="F4794" i="29"/>
  <c r="G4794" i="29"/>
  <c r="N4794" i="29"/>
  <c r="Q4794" i="29"/>
  <c r="F4795" i="29"/>
  <c r="G4795" i="29"/>
  <c r="N4795" i="29"/>
  <c r="P4795" i="29"/>
  <c r="Q4795" i="29"/>
  <c r="T4795" i="29"/>
  <c r="F4796" i="29"/>
  <c r="G4796" i="29"/>
  <c r="N4796" i="29"/>
  <c r="P4796" i="29"/>
  <c r="Q4796" i="29"/>
  <c r="F4797" i="29"/>
  <c r="G4797" i="29"/>
  <c r="N4797" i="29"/>
  <c r="P4797" i="29"/>
  <c r="Q4797" i="29"/>
  <c r="F4798" i="29"/>
  <c r="G4798" i="29"/>
  <c r="N4798" i="29"/>
  <c r="P4798" i="29"/>
  <c r="Q4798" i="29"/>
  <c r="F4799" i="29"/>
  <c r="G4799" i="29"/>
  <c r="N4799" i="29"/>
  <c r="P4799" i="29"/>
  <c r="Q4799" i="29"/>
  <c r="F4800" i="29"/>
  <c r="G4800" i="29"/>
  <c r="P4800" i="29"/>
  <c r="Q4800" i="29"/>
  <c r="F4801" i="29"/>
  <c r="G4801" i="29"/>
  <c r="N4801" i="29"/>
  <c r="P4801" i="29"/>
  <c r="Q4801" i="29"/>
  <c r="F4802" i="29"/>
  <c r="G4802" i="29"/>
  <c r="P4802" i="29"/>
  <c r="Q4802" i="29"/>
  <c r="T4802" i="29"/>
  <c r="F4803" i="29"/>
  <c r="G4803" i="29"/>
  <c r="P4803" i="29"/>
  <c r="Q4803" i="29"/>
  <c r="F4804" i="29"/>
  <c r="G4804" i="29"/>
  <c r="N4804" i="29"/>
  <c r="P4804" i="29"/>
  <c r="Q4804" i="29"/>
  <c r="F4805" i="29"/>
  <c r="G4805" i="29"/>
  <c r="N4805" i="29"/>
  <c r="P4805" i="29"/>
  <c r="Q4805" i="29"/>
  <c r="F4806" i="29"/>
  <c r="G4806" i="29"/>
  <c r="N4806" i="29"/>
  <c r="P4806" i="29"/>
  <c r="Q4806" i="29"/>
  <c r="F4807" i="29"/>
  <c r="G4807" i="29"/>
  <c r="N4807" i="29"/>
  <c r="P4807" i="29"/>
  <c r="Q4807" i="29"/>
  <c r="F4808" i="29"/>
  <c r="G4808" i="29"/>
  <c r="N4808" i="29"/>
  <c r="P4808" i="29"/>
  <c r="Q4808" i="29"/>
  <c r="F4809" i="29"/>
  <c r="G4809" i="29"/>
  <c r="N4809" i="29"/>
  <c r="P4809" i="29"/>
  <c r="Q4809" i="29"/>
  <c r="F4810" i="29"/>
  <c r="G4810" i="29"/>
  <c r="N4810" i="29"/>
  <c r="P4810" i="29"/>
  <c r="Q4810" i="29"/>
  <c r="F4811" i="29"/>
  <c r="G4811" i="29"/>
  <c r="N4811" i="29"/>
  <c r="P4811" i="29"/>
  <c r="Q4811" i="29"/>
  <c r="F4812" i="29"/>
  <c r="G4812" i="29"/>
  <c r="N4812" i="29"/>
  <c r="P4812" i="29"/>
  <c r="Q4812" i="29"/>
  <c r="S4812" i="29"/>
  <c r="F4813" i="29"/>
  <c r="G4813" i="29"/>
  <c r="N4813" i="29"/>
  <c r="P4813" i="29"/>
  <c r="Q4813" i="29"/>
  <c r="S4813" i="29"/>
  <c r="F4814" i="29"/>
  <c r="G4814" i="29"/>
  <c r="N4814" i="29"/>
  <c r="P4814" i="29"/>
  <c r="Q4814" i="29"/>
  <c r="F4815" i="29"/>
  <c r="G4815" i="29"/>
  <c r="N4815" i="29"/>
  <c r="P4815" i="29"/>
  <c r="Q4815" i="29"/>
  <c r="S4815" i="29"/>
  <c r="F4816" i="29"/>
  <c r="G4816" i="29"/>
  <c r="N4816" i="29"/>
  <c r="P4816" i="29"/>
  <c r="Q4816" i="29"/>
  <c r="F4817" i="29"/>
  <c r="G4817" i="29"/>
  <c r="N4817" i="29"/>
  <c r="P4817" i="29"/>
  <c r="Q4817" i="29"/>
  <c r="S4817" i="29"/>
  <c r="F4818" i="29"/>
  <c r="G4818" i="29"/>
  <c r="N4818" i="29"/>
  <c r="P4818" i="29"/>
  <c r="Q4818" i="29"/>
  <c r="F4819" i="29"/>
  <c r="G4819" i="29"/>
  <c r="N4819" i="29"/>
  <c r="P4819" i="29"/>
  <c r="Q4819" i="29"/>
  <c r="F4820" i="29"/>
  <c r="G4820" i="29"/>
  <c r="N4820" i="29"/>
  <c r="P4820" i="29"/>
  <c r="Q4820" i="29"/>
  <c r="F4821" i="29"/>
  <c r="G4821" i="29"/>
  <c r="N4821" i="29"/>
  <c r="P4821" i="29"/>
  <c r="Q4821" i="29"/>
  <c r="S4821" i="29"/>
  <c r="F4822" i="29"/>
  <c r="G4822" i="29"/>
  <c r="N4822" i="29"/>
  <c r="P4822" i="29"/>
  <c r="Q4822" i="29"/>
  <c r="F4823" i="29"/>
  <c r="G4823" i="29"/>
  <c r="N4823" i="29"/>
  <c r="P4823" i="29"/>
  <c r="Q4823" i="29"/>
  <c r="S4823" i="29"/>
  <c r="F4824" i="29"/>
  <c r="G4824" i="29"/>
  <c r="N4824" i="29"/>
  <c r="P4824" i="29"/>
  <c r="Q4824" i="29"/>
  <c r="F4825" i="29"/>
  <c r="G4825" i="29"/>
  <c r="N4825" i="29"/>
  <c r="P4825" i="29"/>
  <c r="Q4825" i="29"/>
  <c r="F4826" i="29"/>
  <c r="G4826" i="29"/>
  <c r="N4826" i="29"/>
  <c r="P4826" i="29"/>
  <c r="Q4826" i="29"/>
  <c r="F4827" i="29"/>
  <c r="G4827" i="29"/>
  <c r="N4827" i="29"/>
  <c r="P4827" i="29"/>
  <c r="Q4827" i="29"/>
  <c r="F4828" i="29"/>
  <c r="G4828" i="29"/>
  <c r="N4828" i="29"/>
  <c r="P4828" i="29"/>
  <c r="Q4828" i="29"/>
  <c r="F4829" i="29"/>
  <c r="G4829" i="29"/>
  <c r="N4829" i="29"/>
  <c r="P4829" i="29"/>
  <c r="Q4829" i="29"/>
  <c r="F4830" i="29"/>
  <c r="G4830" i="29"/>
  <c r="N4830" i="29"/>
  <c r="P4830" i="29"/>
  <c r="Q4830" i="29"/>
  <c r="N4831" i="29"/>
  <c r="W4831" i="29"/>
  <c r="F4832" i="29"/>
  <c r="G4832" i="29"/>
  <c r="N4832" i="29"/>
  <c r="F4833" i="29"/>
  <c r="G4833" i="29"/>
  <c r="N4833" i="29"/>
  <c r="P4833" i="29"/>
  <c r="Q4833" i="29"/>
  <c r="F4834" i="29"/>
  <c r="G4834" i="29"/>
  <c r="P4834" i="29"/>
  <c r="Q4834" i="29"/>
  <c r="T4834" i="29"/>
  <c r="F4835" i="29"/>
  <c r="G4835" i="29"/>
  <c r="N4835" i="29"/>
  <c r="Q4835" i="29"/>
  <c r="S4835" i="29"/>
  <c r="F4836" i="29"/>
  <c r="G4836" i="29"/>
  <c r="N4836" i="29"/>
  <c r="P4836" i="29"/>
  <c r="Q4836" i="29"/>
  <c r="F4837" i="29"/>
  <c r="G4837" i="29"/>
  <c r="N4837" i="29"/>
  <c r="P4837" i="29"/>
  <c r="Q4837" i="29"/>
  <c r="F4838" i="29"/>
  <c r="G4838" i="29"/>
  <c r="N4838" i="29"/>
  <c r="P4838" i="29"/>
  <c r="Q4838" i="29"/>
  <c r="F4839" i="29"/>
  <c r="G4839" i="29"/>
  <c r="N4839" i="29"/>
  <c r="P4839" i="29"/>
  <c r="Q4839" i="29"/>
  <c r="F4840" i="29"/>
  <c r="G4840" i="29"/>
  <c r="P4840" i="29"/>
  <c r="Q4840" i="29"/>
  <c r="F4841" i="29"/>
  <c r="G4841" i="29"/>
  <c r="N4841" i="29"/>
  <c r="P4841" i="29"/>
  <c r="Q4841" i="29"/>
  <c r="F4842" i="29"/>
  <c r="G4842" i="29"/>
  <c r="N4842" i="29"/>
  <c r="P4842" i="29"/>
  <c r="Q4842" i="29"/>
  <c r="S4842" i="29"/>
  <c r="F4843" i="29"/>
  <c r="G4843" i="29"/>
  <c r="N4843" i="29"/>
  <c r="P4843" i="29"/>
  <c r="Q4843" i="29"/>
  <c r="F4844" i="29"/>
  <c r="G4844" i="29"/>
  <c r="J4844" i="29"/>
  <c r="N4844" i="29"/>
  <c r="P4844" i="29"/>
  <c r="Q4844" i="29"/>
  <c r="T4844" i="29"/>
  <c r="S4844" i="29"/>
  <c r="F4845" i="29"/>
  <c r="G4845" i="29"/>
  <c r="N4845" i="29"/>
  <c r="P4845" i="29"/>
  <c r="Q4845" i="29"/>
  <c r="F4846" i="29"/>
  <c r="G4846" i="29"/>
  <c r="N4846" i="29"/>
  <c r="P4846" i="29"/>
  <c r="Q4846" i="29"/>
  <c r="F4847" i="29"/>
  <c r="G4847" i="29"/>
  <c r="N4847" i="29"/>
  <c r="P4847" i="29"/>
  <c r="Q4847" i="29"/>
  <c r="F4848" i="29"/>
  <c r="G4848" i="29"/>
  <c r="N4848" i="29"/>
  <c r="P4848" i="29"/>
  <c r="Q4848" i="29"/>
  <c r="F4849" i="29"/>
  <c r="G4849" i="29"/>
  <c r="N4849" i="29"/>
  <c r="P4849" i="29"/>
  <c r="Q4849" i="29"/>
  <c r="P4850" i="29"/>
  <c r="Q4850" i="29"/>
  <c r="P4851" i="29"/>
  <c r="Q4851" i="29"/>
  <c r="S4851" i="29"/>
  <c r="Q4852" i="29"/>
  <c r="F4853" i="29"/>
  <c r="G4853" i="29"/>
  <c r="N4853" i="29"/>
  <c r="P4853" i="29"/>
  <c r="Q4853" i="29"/>
  <c r="T4853" i="29"/>
  <c r="F4854" i="29"/>
  <c r="G4854" i="29"/>
  <c r="N4854" i="29"/>
  <c r="Q4854" i="29"/>
  <c r="F4855" i="29"/>
  <c r="G4855" i="29"/>
  <c r="N4855" i="29"/>
  <c r="P4855" i="29"/>
  <c r="Q4855" i="29"/>
  <c r="F4856" i="29"/>
  <c r="G4856" i="29"/>
  <c r="N4856" i="29"/>
  <c r="P4856" i="29"/>
  <c r="Q4856" i="29"/>
  <c r="F4857" i="29"/>
  <c r="G4857" i="29"/>
  <c r="N4857" i="29"/>
  <c r="P4857" i="29"/>
  <c r="Q4857" i="29"/>
  <c r="F4858" i="29"/>
  <c r="G4858" i="29"/>
  <c r="N4858" i="29"/>
  <c r="P4858" i="29"/>
  <c r="Q4858" i="29"/>
  <c r="T4858" i="29"/>
  <c r="F4859" i="29"/>
  <c r="G4859" i="29"/>
  <c r="N4859" i="29"/>
  <c r="P4859" i="29"/>
  <c r="Q4859" i="29"/>
  <c r="F4860" i="29"/>
  <c r="G4860" i="29"/>
  <c r="N4860" i="29"/>
  <c r="P4860" i="29"/>
  <c r="Q4860" i="29"/>
  <c r="F4861" i="29"/>
  <c r="G4861" i="29"/>
  <c r="N4861" i="29"/>
  <c r="P4861" i="29"/>
  <c r="Q4861" i="29"/>
  <c r="F4862" i="29"/>
  <c r="G4862" i="29"/>
  <c r="N4862" i="29"/>
  <c r="P4862" i="29"/>
  <c r="Q4862" i="29"/>
  <c r="F4863" i="29"/>
  <c r="G4863" i="29"/>
  <c r="N4863" i="29"/>
  <c r="P4863" i="29"/>
  <c r="Q4863" i="29"/>
  <c r="S4863" i="29"/>
  <c r="F4864" i="29"/>
  <c r="G4864" i="29"/>
  <c r="N4864" i="29"/>
  <c r="P4864" i="29"/>
  <c r="Q4864" i="29"/>
  <c r="F4865" i="29"/>
  <c r="G4865" i="29"/>
  <c r="N4865" i="29"/>
  <c r="P4865" i="29"/>
  <c r="Q4865" i="29"/>
  <c r="F4866" i="29"/>
  <c r="G4866" i="29"/>
  <c r="N4866" i="29"/>
  <c r="P4866" i="29"/>
  <c r="Q4866" i="29"/>
  <c r="F4867" i="29"/>
  <c r="G4867" i="29"/>
  <c r="N4867" i="29"/>
  <c r="P4867" i="29"/>
  <c r="Q4867" i="29"/>
  <c r="F4868" i="29"/>
  <c r="G4868" i="29"/>
  <c r="N4868" i="29"/>
  <c r="P4868" i="29"/>
  <c r="Q4868" i="29"/>
  <c r="F4869" i="29"/>
  <c r="G4869" i="29"/>
  <c r="N4869" i="29"/>
  <c r="P4869" i="29"/>
  <c r="Q4869" i="29"/>
  <c r="F4870" i="29"/>
  <c r="G4870" i="29"/>
  <c r="N4870" i="29"/>
  <c r="P4870" i="29"/>
  <c r="Q4870" i="29"/>
  <c r="T4870" i="29"/>
  <c r="F4871" i="29"/>
  <c r="G4871" i="29"/>
  <c r="N4871" i="29"/>
  <c r="P4871" i="29"/>
  <c r="Q4871" i="29"/>
  <c r="S4871" i="29"/>
  <c r="F4872" i="29"/>
  <c r="G4872" i="29"/>
  <c r="N4872" i="29"/>
  <c r="P4872" i="29"/>
  <c r="Q4872" i="29"/>
  <c r="F4873" i="29"/>
  <c r="G4873" i="29"/>
  <c r="N4873" i="29"/>
  <c r="P4873" i="29"/>
  <c r="Q4873" i="29"/>
  <c r="F4874" i="29"/>
  <c r="G4874" i="29"/>
  <c r="N4874" i="29"/>
  <c r="P4874" i="29"/>
  <c r="Q4874" i="29"/>
  <c r="F4875" i="29"/>
  <c r="G4875" i="29"/>
  <c r="N4875" i="29"/>
  <c r="P4875" i="29"/>
  <c r="Q4875" i="29"/>
  <c r="F4876" i="29"/>
  <c r="G4876" i="29"/>
  <c r="N4876" i="29"/>
  <c r="P4876" i="29"/>
  <c r="Q4876" i="29"/>
  <c r="F4877" i="29"/>
  <c r="G4877" i="29"/>
  <c r="N4877" i="29"/>
  <c r="P4877" i="29"/>
  <c r="Q4877" i="29"/>
  <c r="F4878" i="29"/>
  <c r="G4878" i="29"/>
  <c r="N4878" i="29"/>
  <c r="P4878" i="29"/>
  <c r="Q4878" i="29"/>
  <c r="F4879" i="29"/>
  <c r="G4879" i="29"/>
  <c r="N4879" i="29"/>
  <c r="P4879" i="29"/>
  <c r="Q4879" i="29"/>
  <c r="F4880" i="29"/>
  <c r="G4880" i="29"/>
  <c r="N4880" i="29"/>
  <c r="P4880" i="29"/>
  <c r="Q4880" i="29"/>
  <c r="F4881" i="29"/>
  <c r="G4881" i="29"/>
  <c r="N4881" i="29"/>
  <c r="P4881" i="29"/>
  <c r="Q4881" i="29"/>
  <c r="F4882" i="29"/>
  <c r="G4882" i="29"/>
  <c r="N4882" i="29"/>
  <c r="P4882" i="29"/>
  <c r="Q4882" i="29"/>
  <c r="F4883" i="29"/>
  <c r="G4883" i="29"/>
  <c r="N4883" i="29"/>
  <c r="P4883" i="29"/>
  <c r="Q4883" i="29"/>
  <c r="F4884" i="29"/>
  <c r="G4884" i="29"/>
  <c r="N4884" i="29"/>
  <c r="P4884" i="29"/>
  <c r="Q4884" i="29"/>
  <c r="T4884" i="29"/>
  <c r="F4885" i="29"/>
  <c r="G4885" i="29"/>
  <c r="N4885" i="29"/>
  <c r="P4885" i="29"/>
  <c r="Q4885" i="29"/>
  <c r="F4886" i="29"/>
  <c r="G4886" i="29"/>
  <c r="N4886" i="29"/>
  <c r="P4886" i="29"/>
  <c r="Q4886" i="29"/>
  <c r="F4887" i="29"/>
  <c r="G4887" i="29"/>
  <c r="N4887" i="29"/>
  <c r="P4887" i="29"/>
  <c r="Q4887" i="29"/>
  <c r="F4888" i="29"/>
  <c r="G4888" i="29"/>
  <c r="N4888" i="29"/>
  <c r="P4888" i="29"/>
  <c r="Q4888" i="29"/>
  <c r="S4888" i="29"/>
  <c r="F4889" i="29"/>
  <c r="G4889" i="29"/>
  <c r="N4889" i="29"/>
  <c r="P4889" i="29"/>
  <c r="Q4889" i="29"/>
  <c r="F4890" i="29"/>
  <c r="G4890" i="29"/>
  <c r="N4890" i="29"/>
  <c r="P4890" i="29"/>
  <c r="Q4890" i="29"/>
  <c r="F4891" i="29"/>
  <c r="G4891" i="29"/>
  <c r="N4891" i="29"/>
  <c r="P4891" i="29"/>
  <c r="Q4891" i="29"/>
  <c r="F4892" i="29"/>
  <c r="G4892" i="29"/>
  <c r="N4892" i="29"/>
  <c r="P4892" i="29"/>
  <c r="Q4892" i="29"/>
  <c r="F4893" i="29"/>
  <c r="G4893" i="29"/>
  <c r="N4893" i="29"/>
  <c r="P4893" i="29"/>
  <c r="Q4893" i="29"/>
  <c r="F4894" i="29"/>
  <c r="G4894" i="29"/>
  <c r="N4894" i="29"/>
  <c r="P4894" i="29"/>
  <c r="Q4894" i="29"/>
  <c r="F4895" i="29"/>
  <c r="G4895" i="29"/>
  <c r="N4895" i="29"/>
  <c r="P4895" i="29"/>
  <c r="Q4895" i="29"/>
  <c r="F4896" i="29"/>
  <c r="G4896" i="29"/>
  <c r="N4896" i="29"/>
  <c r="P4896" i="29"/>
  <c r="Q4896" i="29"/>
  <c r="F4897" i="29"/>
  <c r="G4897" i="29"/>
  <c r="N4897" i="29"/>
  <c r="P4897" i="29"/>
  <c r="Q4897" i="29"/>
  <c r="T4897" i="29"/>
  <c r="F4898" i="29"/>
  <c r="G4898" i="29"/>
  <c r="N4898" i="29"/>
  <c r="P4898" i="29"/>
  <c r="Q4898" i="29"/>
  <c r="T4898" i="29"/>
  <c r="S4898" i="29"/>
  <c r="N4899" i="29"/>
  <c r="W4899" i="29"/>
  <c r="F4900" i="29"/>
  <c r="G4900" i="29"/>
  <c r="N4900" i="29"/>
  <c r="P4900" i="29"/>
  <c r="Q4900" i="29"/>
  <c r="F4901" i="29"/>
  <c r="G4901" i="29"/>
  <c r="N4901" i="29"/>
  <c r="P4901" i="29"/>
  <c r="Q4901" i="29"/>
  <c r="F4902" i="29"/>
  <c r="G4902" i="29"/>
  <c r="N4902" i="29"/>
  <c r="P4902" i="29"/>
  <c r="Q4902" i="29"/>
  <c r="F4903" i="29"/>
  <c r="G4903" i="29"/>
  <c r="P4903" i="29"/>
  <c r="Q4903" i="29"/>
  <c r="F4904" i="29"/>
  <c r="G4904" i="29"/>
  <c r="N4904" i="29"/>
  <c r="P4904" i="29"/>
  <c r="Q4904" i="29"/>
  <c r="T4904" i="29"/>
  <c r="F4905" i="29"/>
  <c r="G4905" i="29"/>
  <c r="N4905" i="29"/>
  <c r="P4905" i="29"/>
  <c r="Q4905" i="29"/>
  <c r="S4905" i="29"/>
  <c r="F4906" i="29"/>
  <c r="G4906" i="29"/>
  <c r="N4906" i="29"/>
  <c r="P4906" i="29"/>
  <c r="Q4906" i="29"/>
  <c r="F4907" i="29"/>
  <c r="G4907" i="29"/>
  <c r="N4907" i="29"/>
  <c r="P4907" i="29"/>
  <c r="Q4907" i="29"/>
  <c r="T4907" i="29"/>
  <c r="F4908" i="29"/>
  <c r="G4908" i="29"/>
  <c r="N4908" i="29"/>
  <c r="P4908" i="29"/>
  <c r="Q4908" i="29"/>
  <c r="T4908" i="29"/>
  <c r="F4909" i="29"/>
  <c r="G4909" i="29"/>
  <c r="N4909" i="29"/>
  <c r="P4909" i="29"/>
  <c r="Q4909" i="29"/>
  <c r="F4910" i="29"/>
  <c r="G4910" i="29"/>
  <c r="N4910" i="29"/>
  <c r="P4910" i="29"/>
  <c r="Q4910" i="29"/>
  <c r="F4911" i="29"/>
  <c r="G4911" i="29"/>
  <c r="N4911" i="29"/>
  <c r="P4911" i="29"/>
  <c r="Q4911" i="29"/>
  <c r="F4912" i="29"/>
  <c r="G4912" i="29"/>
  <c r="N4912" i="29"/>
  <c r="P4912" i="29"/>
  <c r="Q4912" i="29"/>
  <c r="F4913" i="29"/>
  <c r="G4913" i="29"/>
  <c r="N4913" i="29"/>
  <c r="P4913" i="29"/>
  <c r="Q4913" i="29"/>
  <c r="S4913" i="29"/>
  <c r="F4914" i="29"/>
  <c r="G4914" i="29"/>
  <c r="N4914" i="29"/>
  <c r="P4914" i="29"/>
  <c r="Q4914" i="29"/>
  <c r="F4915" i="29"/>
  <c r="G4915" i="29"/>
  <c r="N4915" i="29"/>
  <c r="P4915" i="29"/>
  <c r="Q4915" i="29"/>
  <c r="T4915" i="29"/>
  <c r="F4916" i="29"/>
  <c r="G4916" i="29"/>
  <c r="N4916" i="29"/>
  <c r="P4916" i="29"/>
  <c r="Q4916" i="29"/>
  <c r="P4917" i="29"/>
  <c r="Q4917" i="29"/>
  <c r="P4918" i="29"/>
  <c r="Q4918" i="29"/>
  <c r="F4919" i="29"/>
  <c r="G4919" i="29"/>
  <c r="N4919" i="29"/>
  <c r="Q4919" i="29"/>
  <c r="T4919" i="29"/>
  <c r="F4920" i="29"/>
  <c r="G4920" i="29"/>
  <c r="N4920" i="29"/>
  <c r="Q4920" i="29"/>
  <c r="F4921" i="29"/>
  <c r="G4921" i="29"/>
  <c r="N4921" i="29"/>
  <c r="Q4921" i="29"/>
  <c r="F4922" i="29"/>
  <c r="G4922" i="29"/>
  <c r="N4922" i="29"/>
  <c r="P4922" i="29"/>
  <c r="Q4922" i="29"/>
  <c r="S4922" i="29"/>
  <c r="F4923" i="29"/>
  <c r="G4923" i="29"/>
  <c r="N4923" i="29"/>
  <c r="P4923" i="29"/>
  <c r="Q4923" i="29"/>
  <c r="F4924" i="29"/>
  <c r="G4924" i="29"/>
  <c r="N4924" i="29"/>
  <c r="P4924" i="29"/>
  <c r="Q4924" i="29"/>
  <c r="S4924" i="29"/>
  <c r="F4925" i="29"/>
  <c r="G4925" i="29"/>
  <c r="N4925" i="29"/>
  <c r="P4925" i="29"/>
  <c r="Q4925" i="29"/>
  <c r="F4926" i="29"/>
  <c r="G4926" i="29"/>
  <c r="N4926" i="29"/>
  <c r="P4926" i="29"/>
  <c r="Q4926" i="29"/>
  <c r="F4927" i="29"/>
  <c r="G4927" i="29"/>
  <c r="N4927" i="29"/>
  <c r="P4927" i="29"/>
  <c r="Q4927" i="29"/>
  <c r="F4928" i="29"/>
  <c r="G4928" i="29"/>
  <c r="N4928" i="29"/>
  <c r="P4928" i="29"/>
  <c r="Q4928" i="29"/>
  <c r="F4929" i="29"/>
  <c r="G4929" i="29"/>
  <c r="N4929" i="29"/>
  <c r="P4929" i="29"/>
  <c r="Q4929" i="29"/>
  <c r="F4930" i="29"/>
  <c r="G4930" i="29"/>
  <c r="N4930" i="29"/>
  <c r="P4930" i="29"/>
  <c r="Q4930" i="29"/>
  <c r="S4930" i="29"/>
  <c r="F4931" i="29"/>
  <c r="G4931" i="29"/>
  <c r="N4931" i="29"/>
  <c r="P4931" i="29"/>
  <c r="Q4931" i="29"/>
  <c r="R4931" i="29"/>
  <c r="F4932" i="29"/>
  <c r="G4932" i="29"/>
  <c r="N4932" i="29"/>
  <c r="P4932" i="29"/>
  <c r="Q4932" i="29"/>
  <c r="R4932" i="29"/>
  <c r="F4933" i="29"/>
  <c r="G4933" i="29"/>
  <c r="N4933" i="29"/>
  <c r="P4933" i="29"/>
  <c r="Q4933" i="29"/>
  <c r="R4933" i="29"/>
  <c r="F4934" i="29"/>
  <c r="G4934" i="29"/>
  <c r="N4934" i="29"/>
  <c r="P4934" i="29"/>
  <c r="Q4934" i="29"/>
  <c r="R4934" i="29"/>
  <c r="F4935" i="29"/>
  <c r="G4935" i="29"/>
  <c r="N4935" i="29"/>
  <c r="P4935" i="29"/>
  <c r="Q4935" i="29"/>
  <c r="R4935" i="29"/>
  <c r="F4936" i="29"/>
  <c r="G4936" i="29"/>
  <c r="N4936" i="29"/>
  <c r="P4936" i="29"/>
  <c r="Q4936" i="29"/>
  <c r="R4936" i="29"/>
  <c r="F4937" i="29"/>
  <c r="G4937" i="29"/>
  <c r="N4937" i="29"/>
  <c r="P4937" i="29"/>
  <c r="Q4937" i="29"/>
  <c r="R4937" i="29"/>
  <c r="F4938" i="29"/>
  <c r="G4938" i="29"/>
  <c r="N4938" i="29"/>
  <c r="P4938" i="29"/>
  <c r="Q4938" i="29"/>
  <c r="R4938" i="29"/>
  <c r="F4939" i="29"/>
  <c r="G4939" i="29"/>
  <c r="N4939" i="29"/>
  <c r="P4939" i="29"/>
  <c r="Q4939" i="29"/>
  <c r="R4939" i="29"/>
  <c r="F4940" i="29"/>
  <c r="G4940" i="29"/>
  <c r="N4940" i="29"/>
  <c r="P4940" i="29"/>
  <c r="Q4940" i="29"/>
  <c r="R4940" i="29"/>
  <c r="F4941" i="29"/>
  <c r="G4941" i="29"/>
  <c r="N4941" i="29"/>
  <c r="P4941" i="29"/>
  <c r="Q4941" i="29"/>
  <c r="S4941" i="29"/>
  <c r="F4942" i="29"/>
  <c r="G4942" i="29"/>
  <c r="N4942" i="29"/>
  <c r="P4942" i="29"/>
  <c r="Q4942" i="29"/>
  <c r="S4942" i="29"/>
  <c r="F4943" i="29"/>
  <c r="G4943" i="29"/>
  <c r="N4943" i="29"/>
  <c r="P4943" i="29"/>
  <c r="Q4943" i="29"/>
  <c r="F4944" i="29"/>
  <c r="G4944" i="29"/>
  <c r="N4944" i="29"/>
  <c r="P4944" i="29"/>
  <c r="Q4944" i="29"/>
  <c r="F4945" i="29"/>
  <c r="G4945" i="29"/>
  <c r="N4945" i="29"/>
  <c r="P4945" i="29"/>
  <c r="Q4945" i="29"/>
  <c r="T4945" i="29"/>
  <c r="F4946" i="29"/>
  <c r="G4946" i="29"/>
  <c r="N4946" i="29"/>
  <c r="P4946" i="29"/>
  <c r="Q4946" i="29"/>
  <c r="T4946" i="29"/>
  <c r="F4947" i="29"/>
  <c r="G4947" i="29"/>
  <c r="N4947" i="29"/>
  <c r="P4947" i="29"/>
  <c r="Q4947" i="29"/>
  <c r="F4948" i="29"/>
  <c r="G4948" i="29"/>
  <c r="N4948" i="29"/>
  <c r="P4948" i="29"/>
  <c r="Q4948" i="29"/>
  <c r="T4948" i="29"/>
  <c r="F4949" i="29"/>
  <c r="G4949" i="29"/>
  <c r="N4949" i="29"/>
  <c r="P4949" i="29"/>
  <c r="Q4949" i="29"/>
  <c r="F4950" i="29"/>
  <c r="G4950" i="29"/>
  <c r="N4950" i="29"/>
  <c r="P4950" i="29"/>
  <c r="Q4950" i="29"/>
  <c r="F4951" i="29"/>
  <c r="G4951" i="29"/>
  <c r="N4951" i="29"/>
  <c r="P4951" i="29"/>
  <c r="Q4951" i="29"/>
  <c r="S4951" i="29"/>
  <c r="F4952" i="29"/>
  <c r="G4952" i="29"/>
  <c r="N4952" i="29"/>
  <c r="P4952" i="29"/>
  <c r="Q4952" i="29"/>
  <c r="F4953" i="29"/>
  <c r="G4953" i="29"/>
  <c r="N4953" i="29"/>
  <c r="P4953" i="29"/>
  <c r="Q4953" i="29"/>
  <c r="S4953" i="29"/>
  <c r="F4954" i="29"/>
  <c r="G4954" i="29"/>
  <c r="N4954" i="29"/>
  <c r="P4954" i="29"/>
  <c r="Q4954" i="29"/>
  <c r="F4955" i="29"/>
  <c r="G4955" i="29"/>
  <c r="P4955" i="29"/>
  <c r="Q4955" i="29"/>
  <c r="T4955" i="29"/>
  <c r="S4955" i="29"/>
  <c r="F4956" i="29"/>
  <c r="G4956" i="29"/>
  <c r="P4956" i="29"/>
  <c r="Q4956" i="29"/>
  <c r="T4956" i="29"/>
  <c r="S4956" i="29"/>
  <c r="F4957" i="29"/>
  <c r="G4957" i="29"/>
  <c r="N4957" i="29"/>
  <c r="P4957" i="29"/>
  <c r="Q4957" i="29"/>
  <c r="T4957" i="29"/>
  <c r="R4957" i="29"/>
  <c r="F4958" i="29"/>
  <c r="G4958" i="29"/>
  <c r="N4958" i="29"/>
  <c r="P4958" i="29"/>
  <c r="Q4958" i="29"/>
  <c r="R4958" i="29"/>
  <c r="F4959" i="29"/>
  <c r="G4959" i="29"/>
  <c r="N4959" i="29"/>
  <c r="P4959" i="29"/>
  <c r="Q4959" i="29"/>
  <c r="T4959" i="29"/>
  <c r="F4960" i="29"/>
  <c r="G4960" i="29"/>
  <c r="N4960" i="29"/>
  <c r="P4960" i="29"/>
  <c r="Q4960" i="29"/>
  <c r="F4961" i="29"/>
  <c r="G4961" i="29"/>
  <c r="N4961" i="29"/>
  <c r="P4961" i="29"/>
  <c r="Q4961" i="29"/>
  <c r="F4962" i="29"/>
  <c r="G4962" i="29"/>
  <c r="N4962" i="29"/>
  <c r="P4962" i="29"/>
  <c r="Q4962" i="29"/>
  <c r="F4963" i="29"/>
  <c r="G4963" i="29"/>
  <c r="N4963" i="29"/>
  <c r="P4963" i="29"/>
  <c r="Q4963" i="29"/>
  <c r="F4964" i="29"/>
  <c r="G4964" i="29"/>
  <c r="N4964" i="29"/>
  <c r="P4964" i="29"/>
  <c r="Q4964" i="29"/>
  <c r="F4965" i="29"/>
  <c r="G4965" i="29"/>
  <c r="N4965" i="29"/>
  <c r="P4965" i="29"/>
  <c r="Q4965" i="29"/>
  <c r="F4966" i="29"/>
  <c r="G4966" i="29"/>
  <c r="N4966" i="29"/>
  <c r="P4966" i="29"/>
  <c r="Q4966" i="29"/>
  <c r="S4966" i="29"/>
  <c r="F4967" i="29"/>
  <c r="G4967" i="29"/>
  <c r="N4967" i="29"/>
  <c r="P4967" i="29"/>
  <c r="Q4967" i="29"/>
  <c r="F4968" i="29"/>
  <c r="G4968" i="29"/>
  <c r="N4968" i="29"/>
  <c r="P4968" i="29"/>
  <c r="Q4968" i="29"/>
  <c r="F4969" i="29"/>
  <c r="G4969" i="29"/>
  <c r="N4969" i="29"/>
  <c r="P4969" i="29"/>
  <c r="Q4969" i="29"/>
  <c r="F4970" i="29"/>
  <c r="G4970" i="29"/>
  <c r="J4970" i="29"/>
  <c r="N4970" i="29"/>
  <c r="P4970" i="29"/>
  <c r="Q4970" i="29"/>
  <c r="S4970" i="29"/>
  <c r="F4971" i="29"/>
  <c r="G4971" i="29"/>
  <c r="N4971" i="29"/>
  <c r="P4971" i="29"/>
  <c r="Q4971" i="29"/>
  <c r="S4971" i="29"/>
  <c r="N4972" i="29"/>
  <c r="W4972" i="29"/>
  <c r="F4973" i="29"/>
  <c r="G4973" i="29"/>
  <c r="N4973" i="29"/>
  <c r="P4973" i="29"/>
  <c r="Q4973" i="29"/>
  <c r="F4974" i="29"/>
  <c r="G4974" i="29"/>
  <c r="N4974" i="29"/>
  <c r="P4974" i="29"/>
  <c r="Q4974" i="29"/>
  <c r="F4975" i="29"/>
  <c r="G4975" i="29"/>
  <c r="N4975" i="29"/>
  <c r="P4975" i="29"/>
  <c r="Q4975" i="29"/>
  <c r="T4975" i="29"/>
  <c r="F4978" i="29"/>
  <c r="G4978" i="29"/>
  <c r="P4978" i="29"/>
  <c r="Q4978" i="29"/>
  <c r="F4979" i="29"/>
  <c r="G4979" i="29"/>
  <c r="N4979" i="29"/>
  <c r="P4979" i="29"/>
  <c r="Q4979" i="29"/>
  <c r="F4980" i="29"/>
  <c r="G4980" i="29"/>
  <c r="N4980" i="29"/>
  <c r="P4980" i="29"/>
  <c r="Q4980" i="29"/>
  <c r="S4980" i="29"/>
  <c r="F4981" i="29"/>
  <c r="G4981" i="29"/>
  <c r="N4981" i="29"/>
  <c r="P4981" i="29"/>
  <c r="Q4981" i="29"/>
  <c r="F4982" i="29"/>
  <c r="G4982" i="29"/>
  <c r="N4982" i="29"/>
  <c r="P4982" i="29"/>
  <c r="Q4982" i="29"/>
  <c r="F4983" i="29"/>
  <c r="G4983" i="29"/>
  <c r="N4983" i="29"/>
  <c r="P4983" i="29"/>
  <c r="Q4983" i="29"/>
  <c r="S4983" i="29"/>
  <c r="F4984" i="29"/>
  <c r="G4984" i="29"/>
  <c r="N4984" i="29"/>
  <c r="P4984" i="29"/>
  <c r="Q4984" i="29"/>
  <c r="F4985" i="29"/>
  <c r="G4985" i="29"/>
  <c r="N4985" i="29"/>
  <c r="P4985" i="29"/>
  <c r="Q4985" i="29"/>
  <c r="T4985" i="29"/>
  <c r="F4986" i="29"/>
  <c r="G4986" i="29"/>
  <c r="N4986" i="29"/>
  <c r="P4986" i="29"/>
  <c r="Q4986" i="29"/>
  <c r="F4987" i="29"/>
  <c r="G4987" i="29"/>
  <c r="N4987" i="29"/>
  <c r="P4987" i="29"/>
  <c r="Q4987" i="29"/>
  <c r="F4988" i="29"/>
  <c r="G4988" i="29"/>
  <c r="N4988" i="29"/>
  <c r="P4988" i="29"/>
  <c r="Q4988" i="29"/>
  <c r="F4989" i="29"/>
  <c r="G4989" i="29"/>
  <c r="N4989" i="29"/>
  <c r="P4989" i="29"/>
  <c r="Q4989" i="29"/>
  <c r="S4989" i="29"/>
  <c r="F4990" i="29"/>
  <c r="G4990" i="29"/>
  <c r="N4990" i="29"/>
  <c r="P4990" i="29"/>
  <c r="Q4990" i="29"/>
  <c r="F4991" i="29"/>
  <c r="G4991" i="29"/>
  <c r="N4991" i="29"/>
  <c r="P4991" i="29"/>
  <c r="Q4991" i="29"/>
  <c r="F4992" i="29"/>
  <c r="G4992" i="29"/>
  <c r="N4992" i="29"/>
  <c r="P4992" i="29"/>
  <c r="Q4992" i="29"/>
  <c r="S4992" i="29"/>
  <c r="F4993" i="29"/>
  <c r="G4993" i="29"/>
  <c r="N4993" i="29"/>
  <c r="P4993" i="29"/>
  <c r="Q4993" i="29"/>
  <c r="F4994" i="29"/>
  <c r="G4994" i="29"/>
  <c r="N4994" i="29"/>
  <c r="P4994" i="29"/>
  <c r="Q4994" i="29"/>
  <c r="F4995" i="29"/>
  <c r="G4995" i="29"/>
  <c r="N4995" i="29"/>
  <c r="P4995" i="29"/>
  <c r="Q4995" i="29"/>
  <c r="F4996" i="29"/>
  <c r="G4996" i="29"/>
  <c r="P4996" i="29"/>
  <c r="Q4996" i="29"/>
  <c r="T4996" i="29"/>
  <c r="F4997" i="29"/>
  <c r="G4997" i="29"/>
  <c r="P4997" i="29"/>
  <c r="Q4997" i="29"/>
  <c r="T4997" i="29"/>
  <c r="F4998" i="29"/>
  <c r="G4998" i="29"/>
  <c r="Q4998" i="29"/>
  <c r="T4998" i="29"/>
  <c r="F4999" i="29"/>
  <c r="G4999" i="29"/>
  <c r="P4999" i="29"/>
  <c r="Q4999" i="29"/>
  <c r="F5000" i="29"/>
  <c r="G5000" i="29"/>
  <c r="P5000" i="29"/>
  <c r="Q5000" i="29"/>
  <c r="T5000" i="29"/>
  <c r="F5001" i="29"/>
  <c r="G5001" i="29"/>
  <c r="N5001" i="29"/>
  <c r="P5001" i="29"/>
  <c r="Q5001" i="29"/>
  <c r="T5001" i="29"/>
  <c r="F5002" i="29"/>
  <c r="G5002" i="29"/>
  <c r="N5002" i="29"/>
  <c r="P5002" i="29"/>
  <c r="Q5002" i="29"/>
  <c r="F5003" i="29"/>
  <c r="G5003" i="29"/>
  <c r="Q5003" i="29"/>
  <c r="T5003" i="29"/>
  <c r="F5004" i="29"/>
  <c r="G5004" i="29"/>
  <c r="N5004" i="29"/>
  <c r="P5004" i="29"/>
  <c r="Q5004" i="29"/>
  <c r="F5005" i="29"/>
  <c r="G5005" i="29"/>
  <c r="N5005" i="29"/>
  <c r="P5005" i="29"/>
  <c r="Q5005" i="29"/>
  <c r="F5006" i="29"/>
  <c r="G5006" i="29"/>
  <c r="N5006" i="29"/>
  <c r="P5006" i="29"/>
  <c r="Q5006" i="29"/>
  <c r="S5006" i="29"/>
  <c r="F5007" i="29"/>
  <c r="G5007" i="29"/>
  <c r="N5007" i="29"/>
  <c r="P5007" i="29"/>
  <c r="Q5007" i="29"/>
  <c r="T5007" i="29"/>
  <c r="F5008" i="29"/>
  <c r="G5008" i="29"/>
  <c r="N5008" i="29"/>
  <c r="P5008" i="29"/>
  <c r="Q5008" i="29"/>
  <c r="F5009" i="29"/>
  <c r="G5009" i="29"/>
  <c r="N5009" i="29"/>
  <c r="P5009" i="29"/>
  <c r="Q5009" i="29"/>
  <c r="S5009" i="29"/>
  <c r="F5010" i="29"/>
  <c r="G5010" i="29"/>
  <c r="N5010" i="29"/>
  <c r="P5010" i="29"/>
  <c r="Q5010" i="29"/>
  <c r="S5010" i="29"/>
  <c r="F5011" i="29"/>
  <c r="G5011" i="29"/>
  <c r="N5011" i="29"/>
  <c r="P5011" i="29"/>
  <c r="Q5011" i="29"/>
  <c r="F5012" i="29"/>
  <c r="G5012" i="29"/>
  <c r="N5012" i="29"/>
  <c r="P5012" i="29"/>
  <c r="Q5012" i="29"/>
  <c r="F5013" i="29"/>
  <c r="G5013" i="29"/>
  <c r="N5013" i="29"/>
  <c r="P5013" i="29"/>
  <c r="Q5013" i="29"/>
  <c r="S5013" i="29"/>
  <c r="F5014" i="29"/>
  <c r="G5014" i="29"/>
  <c r="N5014" i="29"/>
  <c r="P5014" i="29"/>
  <c r="Q5014" i="29"/>
  <c r="F5015" i="29"/>
  <c r="G5015" i="29"/>
  <c r="N5015" i="29"/>
  <c r="P5015" i="29"/>
  <c r="Q5015" i="29"/>
  <c r="F5016" i="29"/>
  <c r="G5016" i="29"/>
  <c r="N5016" i="29"/>
  <c r="P5016" i="29"/>
  <c r="Q5016" i="29"/>
  <c r="S5016" i="29"/>
  <c r="F5017" i="29"/>
  <c r="G5017" i="29"/>
  <c r="N5017" i="29"/>
  <c r="P5017" i="29"/>
  <c r="Q5017" i="29"/>
  <c r="S5017" i="29"/>
  <c r="F5018" i="29"/>
  <c r="G5018" i="29"/>
  <c r="N5018" i="29"/>
  <c r="P5018" i="29"/>
  <c r="Q5018" i="29"/>
  <c r="F5019" i="29"/>
  <c r="G5019" i="29"/>
  <c r="N5019" i="29"/>
  <c r="P5019" i="29"/>
  <c r="Q5019" i="29"/>
  <c r="F5020" i="29"/>
  <c r="G5020" i="29"/>
  <c r="N5020" i="29"/>
  <c r="P5020" i="29"/>
  <c r="Q5020" i="29"/>
  <c r="F5021" i="29"/>
  <c r="G5021" i="29"/>
  <c r="N5021" i="29"/>
  <c r="P5021" i="29"/>
  <c r="Q5021" i="29"/>
  <c r="F5022" i="29"/>
  <c r="G5022" i="29"/>
  <c r="N5022" i="29"/>
  <c r="P5022" i="29"/>
  <c r="Q5022" i="29"/>
  <c r="T5022" i="29"/>
  <c r="F5023" i="29"/>
  <c r="G5023" i="29"/>
  <c r="N5023" i="29"/>
  <c r="P5023" i="29"/>
  <c r="Q5023" i="29"/>
  <c r="F5024" i="29"/>
  <c r="G5024" i="29"/>
  <c r="N5024" i="29"/>
  <c r="P5024" i="29"/>
  <c r="Q5024" i="29"/>
  <c r="F5025" i="29"/>
  <c r="G5025" i="29"/>
  <c r="N5025" i="29"/>
  <c r="P5025" i="29"/>
  <c r="Q5025" i="29"/>
  <c r="F5026" i="29"/>
  <c r="G5026" i="29"/>
  <c r="N5026" i="29"/>
  <c r="P5026" i="29"/>
  <c r="Q5026" i="29"/>
  <c r="R5026" i="29"/>
  <c r="F5027" i="29"/>
  <c r="G5027" i="29"/>
  <c r="N5027" i="29"/>
  <c r="P5027" i="29"/>
  <c r="Q5027" i="29"/>
  <c r="R5027" i="29"/>
  <c r="F5028" i="29"/>
  <c r="G5028" i="29"/>
  <c r="N5028" i="29"/>
  <c r="P5028" i="29"/>
  <c r="Q5028" i="29"/>
  <c r="F5029" i="29"/>
  <c r="G5029" i="29"/>
  <c r="N5029" i="29"/>
  <c r="P5029" i="29"/>
  <c r="Q5029" i="29"/>
  <c r="F5030" i="29"/>
  <c r="G5030" i="29"/>
  <c r="N5030" i="29"/>
  <c r="P5030" i="29"/>
  <c r="Q5030" i="29"/>
  <c r="F5031" i="29"/>
  <c r="G5031" i="29"/>
  <c r="N5031" i="29"/>
  <c r="P5031" i="29"/>
  <c r="Q5031" i="29"/>
  <c r="F5032" i="29"/>
  <c r="G5032" i="29"/>
  <c r="N5032" i="29"/>
  <c r="P5032" i="29"/>
  <c r="Q5032" i="29"/>
  <c r="F5033" i="29"/>
  <c r="G5033" i="29"/>
  <c r="N5033" i="29"/>
  <c r="P5033" i="29"/>
  <c r="Q5033" i="29"/>
  <c r="S5033" i="29"/>
  <c r="F5034" i="29"/>
  <c r="G5034" i="29"/>
  <c r="N5034" i="29"/>
  <c r="P5034" i="29"/>
  <c r="Q5034" i="29"/>
  <c r="F5035" i="29"/>
  <c r="G5035" i="29"/>
  <c r="N5035" i="29"/>
  <c r="P5035" i="29"/>
  <c r="Q5035" i="29"/>
  <c r="F5036" i="29"/>
  <c r="G5036" i="29"/>
  <c r="N5036" i="29"/>
  <c r="P5036" i="29"/>
  <c r="Q5036" i="29"/>
  <c r="F5037" i="29"/>
  <c r="G5037" i="29"/>
  <c r="N5037" i="29"/>
  <c r="P5037" i="29"/>
  <c r="Q5037" i="29"/>
  <c r="F5038" i="29"/>
  <c r="G5038" i="29"/>
  <c r="N5038" i="29"/>
  <c r="P5038" i="29"/>
  <c r="Q5038" i="29"/>
  <c r="F5039" i="29"/>
  <c r="G5039" i="29"/>
  <c r="N5039" i="29"/>
  <c r="P5039" i="29"/>
  <c r="Q5039" i="29"/>
  <c r="F5040" i="29"/>
  <c r="G5040" i="29"/>
  <c r="N5040" i="29"/>
  <c r="P5040" i="29"/>
  <c r="Q5040" i="29"/>
  <c r="F5041" i="29"/>
  <c r="G5041" i="29"/>
  <c r="N5041" i="29"/>
  <c r="P5041" i="29"/>
  <c r="Q5041" i="29"/>
  <c r="F5042" i="29"/>
  <c r="G5042" i="29"/>
  <c r="N5042" i="29"/>
  <c r="P5042" i="29"/>
  <c r="Q5042" i="29"/>
  <c r="F5043" i="29"/>
  <c r="G5043" i="29"/>
  <c r="N5043" i="29"/>
  <c r="P5043" i="29"/>
  <c r="Q5043" i="29"/>
  <c r="F5044" i="29"/>
  <c r="G5044" i="29"/>
  <c r="N5044" i="29"/>
  <c r="P5044" i="29"/>
  <c r="Q5044" i="29"/>
  <c r="S5044" i="29"/>
  <c r="F5045" i="29"/>
  <c r="G5045" i="29"/>
  <c r="N5045" i="29"/>
  <c r="P5045" i="29"/>
  <c r="Q5045" i="29"/>
  <c r="T5045" i="29"/>
  <c r="B17" i="24"/>
  <c r="C17" i="24"/>
  <c r="D17" i="24"/>
  <c r="E17" i="24"/>
  <c r="B34" i="24"/>
  <c r="B35" i="24"/>
  <c r="C34" i="24"/>
  <c r="C35" i="24"/>
  <c r="D34" i="24"/>
  <c r="E51" i="24"/>
  <c r="I51" i="24"/>
  <c r="J261" i="24"/>
  <c r="K261" i="24"/>
  <c r="J262" i="24"/>
  <c r="K262" i="24"/>
  <c r="E263" i="24"/>
  <c r="F263" i="24"/>
  <c r="E264" i="24"/>
  <c r="F264" i="24"/>
  <c r="E265" i="24"/>
  <c r="F265" i="24"/>
  <c r="E266" i="24"/>
  <c r="F266" i="24"/>
  <c r="E267" i="24"/>
  <c r="F267" i="24"/>
  <c r="E268" i="24"/>
  <c r="F268" i="24"/>
  <c r="E269" i="24"/>
  <c r="F269" i="24"/>
  <c r="E270" i="24"/>
  <c r="F270" i="24"/>
  <c r="E271" i="24"/>
  <c r="F271" i="24"/>
  <c r="E272" i="24"/>
  <c r="F272" i="24"/>
  <c r="E273" i="24"/>
  <c r="F273" i="24"/>
  <c r="E274" i="24"/>
  <c r="F274" i="24"/>
  <c r="D3" i="36"/>
  <c r="F3" i="36"/>
  <c r="F2" i="10"/>
  <c r="F3" i="10"/>
  <c r="C4" i="10"/>
  <c r="D4" i="10"/>
  <c r="E4" i="10"/>
  <c r="G4" i="10"/>
  <c r="F5" i="10"/>
  <c r="F6" i="10"/>
  <c r="F7" i="10"/>
  <c r="F8" i="10"/>
  <c r="F9" i="10"/>
  <c r="C10" i="10"/>
  <c r="D10" i="10"/>
  <c r="E10" i="10"/>
  <c r="G10" i="10"/>
  <c r="F11" i="10"/>
  <c r="C12" i="10"/>
  <c r="D12" i="10"/>
  <c r="E12" i="10"/>
  <c r="G12" i="10"/>
  <c r="F13" i="10"/>
  <c r="F14" i="10"/>
  <c r="F15" i="10"/>
  <c r="F16" i="10"/>
  <c r="F17" i="10"/>
  <c r="C18" i="10"/>
  <c r="D18" i="10"/>
  <c r="E18" i="10"/>
  <c r="G18" i="10"/>
  <c r="F19" i="10"/>
  <c r="F20" i="10"/>
  <c r="F21" i="10"/>
  <c r="F22" i="10"/>
  <c r="F23" i="10"/>
  <c r="F24" i="10"/>
  <c r="C25" i="10"/>
  <c r="D25" i="10"/>
  <c r="E25" i="10"/>
  <c r="F25" i="10"/>
  <c r="G25" i="10"/>
  <c r="F26" i="10"/>
  <c r="C27" i="10"/>
  <c r="D27" i="10"/>
  <c r="E27" i="10"/>
  <c r="G27" i="10"/>
  <c r="F28" i="10"/>
  <c r="C29" i="10"/>
  <c r="D29" i="10"/>
  <c r="E29" i="10"/>
  <c r="G29" i="10"/>
  <c r="F30" i="10"/>
  <c r="F31" i="10"/>
  <c r="F32" i="10"/>
  <c r="F33" i="10"/>
  <c r="C34" i="10"/>
  <c r="D34" i="10"/>
  <c r="E34" i="10"/>
  <c r="F34" i="10"/>
  <c r="G34" i="10"/>
  <c r="F35" i="10"/>
  <c r="C36" i="10"/>
  <c r="D36" i="10"/>
  <c r="E36" i="10"/>
  <c r="F36" i="10"/>
  <c r="G36" i="10"/>
  <c r="F37" i="10"/>
  <c r="F38" i="10"/>
  <c r="C39" i="10"/>
  <c r="D39" i="10"/>
  <c r="E39" i="10"/>
  <c r="F39" i="10"/>
  <c r="G39" i="10"/>
  <c r="F40" i="10"/>
  <c r="C41" i="10"/>
  <c r="D41" i="10"/>
  <c r="E41" i="10"/>
  <c r="G41" i="10"/>
  <c r="F42" i="10"/>
  <c r="F43" i="10"/>
  <c r="C44" i="10"/>
  <c r="D44" i="10"/>
  <c r="E44" i="10"/>
  <c r="G44" i="10"/>
  <c r="F46" i="10"/>
  <c r="F47" i="10"/>
  <c r="F48" i="10"/>
  <c r="C49" i="10"/>
  <c r="D49" i="10"/>
  <c r="E49" i="10"/>
  <c r="F49" i="10"/>
  <c r="G49" i="10"/>
  <c r="G54" i="10"/>
  <c r="D62" i="10"/>
  <c r="E62" i="10"/>
  <c r="G63" i="10"/>
  <c r="G68" i="10"/>
  <c r="G72" i="10"/>
  <c r="D67" i="10"/>
  <c r="D68" i="10"/>
  <c r="C68" i="10"/>
  <c r="G74" i="10"/>
  <c r="G78" i="10"/>
  <c r="C83" i="10"/>
  <c r="D83" i="10"/>
  <c r="F83" i="10"/>
  <c r="E83" i="10"/>
  <c r="F2" i="6"/>
  <c r="C3" i="6"/>
  <c r="D3" i="6"/>
  <c r="E3" i="6"/>
  <c r="G3" i="6"/>
  <c r="F4" i="6"/>
  <c r="F5" i="6"/>
  <c r="F6" i="6"/>
  <c r="C7" i="6"/>
  <c r="D7" i="6"/>
  <c r="E7" i="6"/>
  <c r="G7" i="6"/>
  <c r="F8" i="6"/>
  <c r="F9" i="6"/>
  <c r="F10" i="6"/>
  <c r="C11" i="6"/>
  <c r="D11" i="6"/>
  <c r="E11" i="6"/>
  <c r="G11" i="6"/>
  <c r="F12" i="6"/>
  <c r="F13" i="6"/>
  <c r="F14" i="6"/>
  <c r="F15" i="6"/>
  <c r="F16" i="6"/>
  <c r="F17" i="6"/>
  <c r="F18" i="6"/>
  <c r="F19" i="6"/>
  <c r="F20" i="6"/>
  <c r="F21" i="6"/>
  <c r="F22" i="6"/>
  <c r="F23" i="6"/>
  <c r="C24" i="6"/>
  <c r="D24" i="6"/>
  <c r="E24" i="6"/>
  <c r="G24" i="6"/>
  <c r="F25" i="6"/>
  <c r="F26" i="6"/>
  <c r="F27" i="6"/>
  <c r="F28" i="6"/>
  <c r="F29" i="6"/>
  <c r="F30" i="6"/>
  <c r="C31" i="6"/>
  <c r="D31" i="6"/>
  <c r="E31" i="6"/>
  <c r="G31" i="6"/>
  <c r="F32" i="6"/>
  <c r="F33" i="6"/>
  <c r="F34" i="6"/>
  <c r="F35" i="6"/>
  <c r="F36" i="6"/>
  <c r="F37" i="6"/>
  <c r="C38" i="6"/>
  <c r="D38" i="6"/>
  <c r="E38" i="6"/>
  <c r="G38" i="6"/>
  <c r="F39" i="6"/>
  <c r="F40" i="6"/>
  <c r="F41" i="6"/>
  <c r="F42" i="6"/>
  <c r="C43" i="6"/>
  <c r="D43" i="6"/>
  <c r="E43" i="6"/>
  <c r="G43" i="6"/>
  <c r="F44" i="6"/>
  <c r="F45" i="6"/>
  <c r="F46" i="6"/>
  <c r="F47" i="6"/>
  <c r="C48" i="6"/>
  <c r="D48" i="6"/>
  <c r="E48" i="6"/>
  <c r="G48" i="6"/>
  <c r="F49" i="6"/>
  <c r="F50" i="6"/>
  <c r="F51" i="6"/>
  <c r="F52" i="6"/>
  <c r="C53" i="6"/>
  <c r="D53" i="6"/>
  <c r="E53" i="6"/>
  <c r="G53" i="6"/>
  <c r="F54" i="6"/>
  <c r="F55" i="6"/>
  <c r="F56" i="6"/>
  <c r="F57" i="6"/>
  <c r="C58" i="6"/>
  <c r="D58" i="6"/>
  <c r="E58" i="6"/>
  <c r="G58" i="6"/>
  <c r="F59" i="6"/>
  <c r="F60" i="6"/>
  <c r="F61" i="6"/>
  <c r="C62" i="6"/>
  <c r="D62" i="6"/>
  <c r="E62" i="6"/>
  <c r="G62" i="6"/>
  <c r="F63" i="6"/>
  <c r="F64" i="6"/>
  <c r="F65" i="6"/>
  <c r="F66" i="6"/>
  <c r="F67" i="6"/>
  <c r="F68" i="6"/>
  <c r="F69" i="6"/>
  <c r="F70" i="6"/>
  <c r="C71" i="6"/>
  <c r="D71" i="6"/>
  <c r="E71" i="6"/>
  <c r="G71" i="6"/>
  <c r="F72" i="6"/>
  <c r="F73" i="6"/>
  <c r="F74" i="6"/>
  <c r="F75" i="6"/>
  <c r="F76" i="6"/>
  <c r="F77" i="6"/>
  <c r="F78" i="6"/>
  <c r="C79" i="6"/>
  <c r="D79" i="6"/>
  <c r="E79" i="6"/>
  <c r="G79" i="6"/>
  <c r="F80" i="6"/>
  <c r="F81" i="6"/>
  <c r="F82" i="6"/>
  <c r="C83" i="6"/>
  <c r="D83" i="6"/>
  <c r="E83" i="6"/>
  <c r="G83" i="6"/>
  <c r="F84" i="6"/>
  <c r="F85" i="6"/>
  <c r="F86" i="6"/>
  <c r="F87" i="6"/>
  <c r="C88" i="6"/>
  <c r="D88" i="6"/>
  <c r="E88" i="6"/>
  <c r="G88" i="6"/>
  <c r="F89" i="6"/>
  <c r="F90" i="6"/>
  <c r="F91" i="6"/>
  <c r="C92" i="6"/>
  <c r="D92" i="6"/>
  <c r="E92" i="6"/>
  <c r="G92" i="6"/>
  <c r="F93" i="6"/>
  <c r="F94" i="6"/>
  <c r="F95" i="6"/>
  <c r="F96" i="6"/>
  <c r="C97" i="6"/>
  <c r="D97" i="6"/>
  <c r="E97" i="6"/>
  <c r="G97" i="6"/>
  <c r="F98" i="6"/>
  <c r="F99" i="6"/>
  <c r="F100" i="6"/>
  <c r="F101" i="6"/>
  <c r="C102" i="6"/>
  <c r="D102" i="6"/>
  <c r="E102" i="6"/>
  <c r="G102" i="6"/>
  <c r="F103" i="6"/>
  <c r="F104" i="6"/>
  <c r="C105" i="6"/>
  <c r="D105" i="6"/>
  <c r="E105" i="6"/>
  <c r="G105" i="6"/>
  <c r="F106" i="6"/>
  <c r="F107" i="6"/>
  <c r="C108" i="6"/>
  <c r="D108" i="6"/>
  <c r="E108" i="6"/>
  <c r="G108" i="6"/>
  <c r="G115" i="6"/>
  <c r="G120" i="6"/>
  <c r="G125" i="6"/>
  <c r="G129" i="6"/>
  <c r="G133" i="6"/>
  <c r="G138" i="6"/>
  <c r="G142" i="6"/>
  <c r="G146" i="6"/>
  <c r="G151" i="6"/>
  <c r="G157" i="6"/>
  <c r="G163" i="6"/>
  <c r="G169" i="6"/>
  <c r="G174" i="6"/>
  <c r="G179" i="6"/>
  <c r="G186" i="6"/>
  <c r="G190" i="6"/>
  <c r="G197" i="6"/>
  <c r="G207" i="6"/>
  <c r="G213" i="6"/>
  <c r="G219" i="6"/>
  <c r="G225" i="6"/>
  <c r="G231" i="6"/>
  <c r="G237" i="6"/>
  <c r="G246" i="6"/>
  <c r="G251" i="6"/>
  <c r="G259" i="6"/>
  <c r="G266" i="6"/>
  <c r="G272" i="6"/>
  <c r="G276" i="6"/>
  <c r="G284" i="6"/>
  <c r="G295" i="6"/>
  <c r="G299" i="6"/>
  <c r="G307" i="6"/>
  <c r="G311" i="6"/>
  <c r="G319" i="6"/>
  <c r="G326" i="6"/>
  <c r="G331" i="6"/>
  <c r="G336" i="6"/>
  <c r="G341" i="6"/>
  <c r="G346" i="6"/>
  <c r="G354" i="6"/>
  <c r="G360" i="6"/>
  <c r="G368" i="6"/>
  <c r="G374" i="6"/>
  <c r="G380" i="6"/>
  <c r="G386" i="6"/>
  <c r="G393" i="6"/>
  <c r="G399" i="6"/>
  <c r="G406" i="6"/>
  <c r="G414" i="6"/>
  <c r="G419" i="6"/>
  <c r="G423" i="6"/>
  <c r="G429" i="6"/>
  <c r="G433" i="6"/>
  <c r="G440" i="6"/>
  <c r="F2" i="9"/>
  <c r="G2" i="9"/>
  <c r="G3" i="9"/>
  <c r="C3" i="9"/>
  <c r="D3" i="9"/>
  <c r="E3" i="9"/>
  <c r="F3" i="9"/>
  <c r="F4" i="9"/>
  <c r="G4" i="9"/>
  <c r="F5" i="9"/>
  <c r="G5" i="9"/>
  <c r="C6" i="9"/>
  <c r="D6" i="9"/>
  <c r="E6" i="9"/>
  <c r="F6" i="9"/>
  <c r="F7" i="9"/>
  <c r="G7" i="9"/>
  <c r="C8" i="9"/>
  <c r="D8" i="9"/>
  <c r="E8" i="9"/>
  <c r="F9" i="9"/>
  <c r="G9" i="9"/>
  <c r="G10" i="9"/>
  <c r="C10" i="9"/>
  <c r="D10" i="9"/>
  <c r="E10" i="9"/>
  <c r="F11" i="9"/>
  <c r="G11" i="9"/>
  <c r="C12" i="9"/>
  <c r="D12" i="9"/>
  <c r="E12" i="9"/>
  <c r="F13" i="9"/>
  <c r="G13" i="9"/>
  <c r="G16" i="9"/>
  <c r="F14" i="9"/>
  <c r="F15" i="9"/>
  <c r="C16" i="9"/>
  <c r="D16" i="9"/>
  <c r="E16" i="9"/>
  <c r="F17" i="9"/>
  <c r="F18" i="9"/>
  <c r="G18" i="9"/>
  <c r="G19" i="9"/>
  <c r="C19" i="9"/>
  <c r="D19" i="9"/>
  <c r="E19" i="9"/>
  <c r="F20" i="9"/>
  <c r="G20" i="9"/>
  <c r="F21" i="9"/>
  <c r="G21" i="9"/>
  <c r="F22" i="9"/>
  <c r="G22" i="9"/>
  <c r="F23" i="9"/>
  <c r="G23" i="9"/>
  <c r="C24" i="9"/>
  <c r="D24" i="9"/>
  <c r="E24" i="9"/>
  <c r="F25" i="9"/>
  <c r="G25" i="9"/>
  <c r="F26" i="9"/>
  <c r="G26" i="9"/>
  <c r="F27" i="9"/>
  <c r="G27" i="9"/>
  <c r="F28" i="9"/>
  <c r="G28" i="9"/>
  <c r="C29" i="9"/>
  <c r="D29" i="9"/>
  <c r="E29" i="9"/>
  <c r="F30" i="9"/>
  <c r="G30" i="9"/>
  <c r="F31" i="9"/>
  <c r="G31" i="9"/>
  <c r="C32" i="9"/>
  <c r="D32" i="9"/>
  <c r="E32" i="9"/>
  <c r="F33" i="9"/>
  <c r="G33" i="9"/>
  <c r="G34" i="9"/>
  <c r="C34" i="9"/>
  <c r="D34" i="9"/>
  <c r="E34" i="9"/>
  <c r="F35" i="9"/>
  <c r="G35" i="9"/>
  <c r="F36" i="9"/>
  <c r="G36" i="9"/>
  <c r="F37" i="9"/>
  <c r="G37" i="9"/>
  <c r="F38" i="9"/>
  <c r="C39" i="9"/>
  <c r="D39" i="9"/>
  <c r="E39" i="9"/>
  <c r="F40" i="9"/>
  <c r="G40" i="9"/>
  <c r="F41" i="9"/>
  <c r="G41" i="9"/>
  <c r="F42" i="9"/>
  <c r="G42" i="9"/>
  <c r="C43" i="9"/>
  <c r="D43" i="9"/>
  <c r="E43" i="9"/>
  <c r="F43" i="9"/>
  <c r="F44" i="9"/>
  <c r="F45" i="9"/>
  <c r="G45" i="9"/>
  <c r="F46" i="9"/>
  <c r="G46" i="9"/>
  <c r="F47" i="9"/>
  <c r="G47" i="9"/>
  <c r="F48" i="9"/>
  <c r="G48" i="9"/>
  <c r="C49" i="9"/>
  <c r="D49" i="9"/>
  <c r="E49" i="9"/>
  <c r="F50" i="9"/>
  <c r="G50" i="9"/>
  <c r="G51" i="9"/>
  <c r="C51" i="9"/>
  <c r="D51" i="9"/>
  <c r="E51" i="9"/>
  <c r="F52" i="9"/>
  <c r="F53" i="9"/>
  <c r="G53" i="9"/>
  <c r="F54" i="9"/>
  <c r="G54" i="9"/>
  <c r="F55" i="9"/>
  <c r="G55" i="9"/>
  <c r="C56" i="9"/>
  <c r="D56" i="9"/>
  <c r="E56" i="9"/>
  <c r="F57" i="9"/>
  <c r="G57" i="9"/>
  <c r="F58" i="9"/>
  <c r="G58" i="9"/>
  <c r="C59" i="9"/>
  <c r="D59" i="9"/>
  <c r="E59" i="9"/>
  <c r="F59" i="9"/>
  <c r="F60" i="9"/>
  <c r="G60" i="9"/>
  <c r="F61" i="9"/>
  <c r="G61" i="9"/>
  <c r="C62" i="9"/>
  <c r="D62" i="9"/>
  <c r="E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C70" i="9"/>
  <c r="D70" i="9"/>
  <c r="E70" i="9"/>
  <c r="F71" i="9"/>
  <c r="G71" i="9"/>
  <c r="F72" i="9"/>
  <c r="F73" i="9"/>
  <c r="G73" i="9"/>
  <c r="C74" i="9"/>
  <c r="D74" i="9"/>
  <c r="E74" i="9"/>
  <c r="F75" i="9"/>
  <c r="G75" i="9"/>
  <c r="F76" i="9"/>
  <c r="G76" i="9"/>
  <c r="F77" i="9"/>
  <c r="G77" i="9"/>
  <c r="F78" i="9"/>
  <c r="G78" i="9"/>
  <c r="C79" i="9"/>
  <c r="D79" i="9"/>
  <c r="E79" i="9"/>
  <c r="F80" i="9"/>
  <c r="G80" i="9"/>
  <c r="F81" i="9"/>
  <c r="G81" i="9"/>
  <c r="F82" i="9"/>
  <c r="G82" i="9"/>
  <c r="F83" i="9"/>
  <c r="G83" i="9"/>
  <c r="F84" i="9"/>
  <c r="G84" i="9"/>
  <c r="F85" i="9"/>
  <c r="C86" i="9"/>
  <c r="D86" i="9"/>
  <c r="E86" i="9"/>
  <c r="F86" i="9"/>
  <c r="F87" i="9"/>
  <c r="G87" i="9"/>
  <c r="F88" i="9"/>
  <c r="G88" i="9"/>
  <c r="F89" i="9"/>
  <c r="G89" i="9"/>
  <c r="F90" i="9"/>
  <c r="C91" i="9"/>
  <c r="D91" i="9"/>
  <c r="E91" i="9"/>
  <c r="F92" i="9"/>
  <c r="G92" i="9"/>
  <c r="F93" i="9"/>
  <c r="G93" i="9"/>
  <c r="F94" i="9"/>
  <c r="G94" i="9"/>
  <c r="F95" i="9"/>
  <c r="G95" i="9"/>
  <c r="F96" i="9"/>
  <c r="G96" i="9"/>
  <c r="F97" i="9"/>
  <c r="G97" i="9"/>
  <c r="C98" i="9"/>
  <c r="D98" i="9"/>
  <c r="E98" i="9"/>
  <c r="F98" i="9"/>
  <c r="F99" i="9"/>
  <c r="G99" i="9"/>
  <c r="F100" i="9"/>
  <c r="G100" i="9"/>
  <c r="F101" i="9"/>
  <c r="G101" i="9"/>
  <c r="F102" i="9"/>
  <c r="G102" i="9"/>
  <c r="F103" i="9"/>
  <c r="G103" i="9"/>
  <c r="C104" i="9"/>
  <c r="D104" i="9"/>
  <c r="E104" i="9"/>
  <c r="F105" i="9"/>
  <c r="G105" i="9"/>
  <c r="F106" i="9"/>
  <c r="G106" i="9"/>
  <c r="F107" i="9"/>
  <c r="G107" i="9"/>
  <c r="F108" i="9"/>
  <c r="G108" i="9"/>
  <c r="F109" i="9"/>
  <c r="G109" i="9"/>
  <c r="F110" i="9"/>
  <c r="F111" i="9"/>
  <c r="C112" i="9"/>
  <c r="D112" i="9"/>
  <c r="E112" i="9"/>
  <c r="F113" i="9"/>
  <c r="F114" i="9"/>
  <c r="C115" i="9"/>
  <c r="D115" i="9"/>
  <c r="E115" i="9"/>
  <c r="G115" i="9"/>
  <c r="F116" i="9"/>
  <c r="G116" i="9"/>
  <c r="F117" i="9"/>
  <c r="F118" i="9"/>
  <c r="G118" i="9"/>
  <c r="C119" i="9"/>
  <c r="D119" i="9"/>
  <c r="E119" i="9"/>
  <c r="E120" i="9"/>
  <c r="F120" i="9"/>
  <c r="F121" i="9"/>
  <c r="G121" i="9"/>
  <c r="F122" i="9"/>
  <c r="G122" i="9"/>
  <c r="F123" i="9"/>
  <c r="G123" i="9"/>
  <c r="C124" i="9"/>
  <c r="D124" i="9"/>
  <c r="D129" i="9"/>
  <c r="E129" i="9"/>
  <c r="D137" i="9"/>
  <c r="E137" i="9"/>
  <c r="F137" i="9"/>
  <c r="C3" i="4"/>
  <c r="F3" i="4"/>
  <c r="G3" i="4"/>
  <c r="C4" i="4"/>
  <c r="F4" i="4"/>
  <c r="G4" i="4"/>
  <c r="C5" i="4"/>
  <c r="F5" i="4"/>
  <c r="G5" i="4"/>
  <c r="C6" i="4"/>
  <c r="F6" i="4"/>
  <c r="G6" i="4"/>
  <c r="C7" i="4"/>
  <c r="F7" i="4"/>
  <c r="G7" i="4"/>
  <c r="C8" i="4"/>
  <c r="F8" i="4"/>
  <c r="G8" i="4"/>
  <c r="C9" i="4"/>
  <c r="F9" i="4"/>
  <c r="G9" i="4"/>
  <c r="C10" i="4"/>
  <c r="F10" i="4"/>
  <c r="G10" i="4"/>
  <c r="C11" i="4"/>
  <c r="F11" i="4"/>
  <c r="G11" i="4"/>
  <c r="C12" i="4"/>
  <c r="F12" i="4"/>
  <c r="G12" i="4"/>
  <c r="C13" i="4"/>
  <c r="F13" i="4"/>
  <c r="G13" i="4"/>
  <c r="C14" i="4"/>
  <c r="F14" i="4"/>
  <c r="G14" i="4"/>
  <c r="C15" i="4"/>
  <c r="F15" i="4"/>
  <c r="G15" i="4"/>
  <c r="C16" i="4"/>
  <c r="F16" i="4"/>
  <c r="G16" i="4"/>
  <c r="G22" i="4"/>
  <c r="C17" i="4"/>
  <c r="F17" i="4"/>
  <c r="G17" i="4"/>
  <c r="C18" i="4"/>
  <c r="F18" i="4"/>
  <c r="G18" i="4"/>
  <c r="C19" i="4"/>
  <c r="F19" i="4"/>
  <c r="G19" i="4"/>
  <c r="C20" i="4"/>
  <c r="F20" i="4"/>
  <c r="G20" i="4"/>
  <c r="C21" i="4"/>
  <c r="F21" i="4"/>
  <c r="G21" i="4"/>
  <c r="D22" i="4"/>
  <c r="E22" i="4"/>
  <c r="C23" i="4"/>
  <c r="F23" i="4"/>
  <c r="G23" i="4"/>
  <c r="C24" i="4"/>
  <c r="F24" i="4"/>
  <c r="G24" i="4"/>
  <c r="C25" i="4"/>
  <c r="F25" i="4"/>
  <c r="G25" i="4"/>
  <c r="C26" i="4"/>
  <c r="F26" i="4"/>
  <c r="G26" i="4"/>
  <c r="C27" i="4"/>
  <c r="F27" i="4"/>
  <c r="G27" i="4"/>
  <c r="C28" i="4"/>
  <c r="F28" i="4"/>
  <c r="G28" i="4"/>
  <c r="C29" i="4"/>
  <c r="F29" i="4"/>
  <c r="G29" i="4"/>
  <c r="D30" i="4"/>
  <c r="E30" i="4"/>
  <c r="F30" i="4"/>
  <c r="C31" i="4"/>
  <c r="F31" i="4"/>
  <c r="G31" i="4"/>
  <c r="C32" i="4"/>
  <c r="F32" i="4"/>
  <c r="G32" i="4"/>
  <c r="C33" i="4"/>
  <c r="F33" i="4"/>
  <c r="G33" i="4"/>
  <c r="C34" i="4"/>
  <c r="F34" i="4"/>
  <c r="G34" i="4"/>
  <c r="C35" i="4"/>
  <c r="F35" i="4"/>
  <c r="G35" i="4"/>
  <c r="C36" i="4"/>
  <c r="F36" i="4"/>
  <c r="G36" i="4"/>
  <c r="D37" i="4"/>
  <c r="E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F46" i="4"/>
  <c r="G46" i="4"/>
  <c r="F47" i="4"/>
  <c r="G47" i="4"/>
  <c r="F48" i="4"/>
  <c r="F49" i="4"/>
  <c r="G49" i="4"/>
  <c r="C50" i="4"/>
  <c r="D50" i="4"/>
  <c r="E50" i="4"/>
  <c r="F51" i="4"/>
  <c r="G51" i="4"/>
  <c r="F52" i="4"/>
  <c r="G52" i="4"/>
  <c r="F53" i="4"/>
  <c r="G53" i="4"/>
  <c r="F54" i="4"/>
  <c r="G54" i="4"/>
  <c r="F55" i="4"/>
  <c r="G55" i="4"/>
  <c r="F56" i="4"/>
  <c r="G56" i="4"/>
  <c r="C57" i="4"/>
  <c r="D57" i="4"/>
  <c r="E57" i="4"/>
  <c r="C58" i="4"/>
  <c r="F58" i="4"/>
  <c r="G58" i="4"/>
  <c r="C59" i="4"/>
  <c r="C63" i="4"/>
  <c r="F59" i="4"/>
  <c r="G59" i="4"/>
  <c r="G63" i="4"/>
  <c r="C60" i="4"/>
  <c r="F60" i="4"/>
  <c r="G60" i="4"/>
  <c r="C61" i="4"/>
  <c r="F61" i="4"/>
  <c r="G61" i="4"/>
  <c r="C62" i="4"/>
  <c r="F62" i="4"/>
  <c r="G62" i="4"/>
  <c r="D63" i="4"/>
  <c r="E63" i="4"/>
  <c r="C64" i="4"/>
  <c r="F64" i="4"/>
  <c r="G64" i="4"/>
  <c r="C65" i="4"/>
  <c r="F65" i="4"/>
  <c r="G65" i="4"/>
  <c r="C66" i="4"/>
  <c r="F66" i="4"/>
  <c r="G66" i="4"/>
  <c r="C67" i="4"/>
  <c r="F67" i="4"/>
  <c r="G67" i="4"/>
  <c r="C68" i="4"/>
  <c r="F68" i="4"/>
  <c r="G68" i="4"/>
  <c r="C69" i="4"/>
  <c r="F69" i="4"/>
  <c r="G69" i="4"/>
  <c r="D70" i="4"/>
  <c r="E70" i="4"/>
  <c r="C71" i="4"/>
  <c r="C80" i="4"/>
  <c r="F71" i="4"/>
  <c r="G71" i="4"/>
  <c r="C72" i="4"/>
  <c r="F72" i="4"/>
  <c r="G72" i="4"/>
  <c r="C73" i="4"/>
  <c r="F73" i="4"/>
  <c r="G73" i="4"/>
  <c r="C74" i="4"/>
  <c r="F74" i="4"/>
  <c r="G74" i="4"/>
  <c r="C75" i="4"/>
  <c r="F75" i="4"/>
  <c r="G75" i="4"/>
  <c r="C76" i="4"/>
  <c r="F76" i="4"/>
  <c r="G76" i="4"/>
  <c r="C77" i="4"/>
  <c r="F77" i="4"/>
  <c r="G77" i="4"/>
  <c r="C78" i="4"/>
  <c r="F78" i="4"/>
  <c r="G78" i="4"/>
  <c r="C79" i="4"/>
  <c r="F79" i="4"/>
  <c r="G79" i="4"/>
  <c r="D80" i="4"/>
  <c r="E80" i="4"/>
  <c r="F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C92" i="4"/>
  <c r="D92" i="4"/>
  <c r="E92" i="4"/>
  <c r="F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C103" i="4"/>
  <c r="D103" i="4"/>
  <c r="E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C115" i="4"/>
  <c r="D115" i="4"/>
  <c r="E115" i="4"/>
  <c r="F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C126" i="4"/>
  <c r="D126" i="4"/>
  <c r="E126" i="4"/>
  <c r="F127" i="4"/>
  <c r="G127" i="4"/>
  <c r="F128" i="4"/>
  <c r="G128" i="4"/>
  <c r="G135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C135" i="4"/>
  <c r="D135" i="4"/>
  <c r="E135" i="4"/>
  <c r="F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C150" i="4"/>
  <c r="D150" i="4"/>
  <c r="E150" i="4"/>
  <c r="F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C161" i="4"/>
  <c r="D161" i="4"/>
  <c r="E161" i="4"/>
  <c r="F161" i="4"/>
  <c r="F162" i="4"/>
  <c r="G162" i="4"/>
  <c r="G169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C169" i="4"/>
  <c r="D169" i="4"/>
  <c r="E169" i="4"/>
  <c r="F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C180" i="4"/>
  <c r="D180" i="4"/>
  <c r="E180" i="4"/>
  <c r="F181" i="4"/>
  <c r="G181" i="4"/>
  <c r="F182" i="4"/>
  <c r="G182" i="4"/>
  <c r="F183" i="4"/>
  <c r="G183" i="4"/>
  <c r="F184" i="4"/>
  <c r="G184" i="4"/>
  <c r="F185" i="4"/>
  <c r="G185" i="4"/>
  <c r="F186" i="4"/>
  <c r="F187" i="4"/>
  <c r="G187" i="4"/>
  <c r="F188" i="4"/>
  <c r="G188" i="4"/>
  <c r="F189" i="4"/>
  <c r="G189" i="4"/>
  <c r="F190" i="4"/>
  <c r="C191" i="4"/>
  <c r="D191" i="4"/>
  <c r="E191" i="4"/>
  <c r="F192" i="4"/>
  <c r="G192" i="4"/>
  <c r="F193" i="4"/>
  <c r="G193" i="4"/>
  <c r="F194" i="4"/>
  <c r="F195" i="4"/>
  <c r="G195" i="4"/>
  <c r="F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203" i="4"/>
  <c r="G203" i="4"/>
  <c r="C204" i="4"/>
  <c r="D204" i="4"/>
  <c r="E204" i="4"/>
  <c r="F205" i="4"/>
  <c r="G205" i="4"/>
  <c r="F206" i="4"/>
  <c r="G206" i="4"/>
  <c r="F207" i="4"/>
  <c r="G207" i="4"/>
  <c r="F208" i="4"/>
  <c r="G208" i="4"/>
  <c r="F209" i="4"/>
  <c r="G209" i="4"/>
  <c r="F210" i="4"/>
  <c r="G210" i="4"/>
  <c r="F211" i="4"/>
  <c r="G211" i="4"/>
  <c r="F212" i="4"/>
  <c r="G212" i="4"/>
  <c r="F213" i="4"/>
  <c r="G213" i="4"/>
  <c r="F214" i="4"/>
  <c r="G214" i="4"/>
  <c r="F215" i="4"/>
  <c r="G215" i="4"/>
  <c r="F216" i="4"/>
  <c r="G216" i="4"/>
  <c r="F217" i="4"/>
  <c r="G217" i="4"/>
  <c r="F218" i="4"/>
  <c r="G218" i="4"/>
  <c r="F219" i="4"/>
  <c r="G219" i="4"/>
  <c r="F220" i="4"/>
  <c r="G220" i="4"/>
  <c r="F221" i="4"/>
  <c r="G221" i="4"/>
  <c r="F222" i="4"/>
  <c r="G222" i="4"/>
  <c r="F223" i="4"/>
  <c r="G223" i="4"/>
  <c r="F224" i="4"/>
  <c r="G224" i="4"/>
  <c r="F225" i="4"/>
  <c r="G225" i="4"/>
  <c r="C226" i="4"/>
  <c r="D226" i="4"/>
  <c r="E226" i="4"/>
  <c r="F227" i="4"/>
  <c r="F228" i="4"/>
  <c r="G228" i="4"/>
  <c r="F229" i="4"/>
  <c r="G229" i="4"/>
  <c r="F230" i="4"/>
  <c r="G230" i="4"/>
  <c r="F231" i="4"/>
  <c r="G231" i="4"/>
  <c r="F232" i="4"/>
  <c r="G232" i="4"/>
  <c r="F233" i="4"/>
  <c r="G233" i="4"/>
  <c r="F234" i="4"/>
  <c r="G234" i="4"/>
  <c r="F235" i="4"/>
  <c r="G235" i="4"/>
  <c r="F236" i="4"/>
  <c r="G236" i="4"/>
  <c r="F237" i="4"/>
  <c r="G237" i="4"/>
  <c r="F238" i="4"/>
  <c r="G238" i="4"/>
  <c r="F239" i="4"/>
  <c r="F240" i="4"/>
  <c r="G240" i="4"/>
  <c r="F241" i="4"/>
  <c r="G241" i="4"/>
  <c r="F242" i="4"/>
  <c r="G242" i="4"/>
  <c r="F243" i="4"/>
  <c r="G243" i="4"/>
  <c r="C244" i="4"/>
  <c r="D244" i="4"/>
  <c r="E244" i="4"/>
  <c r="F245" i="4"/>
  <c r="G245" i="4"/>
  <c r="F246" i="4"/>
  <c r="G246" i="4"/>
  <c r="F247" i="4"/>
  <c r="G247" i="4"/>
  <c r="F248" i="4"/>
  <c r="G248" i="4"/>
  <c r="F249" i="4"/>
  <c r="G249" i="4"/>
  <c r="F250" i="4"/>
  <c r="G250" i="4"/>
  <c r="F251" i="4"/>
  <c r="G251" i="4"/>
  <c r="F252" i="4"/>
  <c r="G252" i="4"/>
  <c r="F253" i="4"/>
  <c r="G253" i="4"/>
  <c r="F254" i="4"/>
  <c r="G254" i="4"/>
  <c r="F255" i="4"/>
  <c r="G255" i="4"/>
  <c r="F256" i="4"/>
  <c r="G256" i="4"/>
  <c r="F257" i="4"/>
  <c r="G257" i="4"/>
  <c r="F258" i="4"/>
  <c r="G258" i="4"/>
  <c r="F259" i="4"/>
  <c r="G259" i="4"/>
  <c r="F260" i="4"/>
  <c r="G260" i="4"/>
  <c r="C261" i="4"/>
  <c r="D261" i="4"/>
  <c r="E261" i="4"/>
  <c r="F261" i="4"/>
  <c r="F262" i="4"/>
  <c r="G262" i="4"/>
  <c r="F263" i="4"/>
  <c r="G263" i="4"/>
  <c r="F264" i="4"/>
  <c r="G264" i="4"/>
  <c r="F265" i="4"/>
  <c r="G265" i="4"/>
  <c r="F266" i="4"/>
  <c r="G266" i="4"/>
  <c r="F267" i="4"/>
  <c r="G267" i="4"/>
  <c r="F268" i="4"/>
  <c r="G268" i="4"/>
  <c r="F269" i="4"/>
  <c r="G269" i="4"/>
  <c r="F270" i="4"/>
  <c r="G270" i="4"/>
  <c r="F271" i="4"/>
  <c r="G271" i="4"/>
  <c r="F272" i="4"/>
  <c r="G272" i="4"/>
  <c r="F273" i="4"/>
  <c r="G273" i="4"/>
  <c r="F274" i="4"/>
  <c r="G274" i="4"/>
  <c r="F275" i="4"/>
  <c r="G275" i="4"/>
  <c r="F276" i="4"/>
  <c r="G276" i="4"/>
  <c r="F277" i="4"/>
  <c r="G277" i="4"/>
  <c r="C278" i="4"/>
  <c r="D278" i="4"/>
  <c r="F278" i="4"/>
  <c r="E278" i="4"/>
  <c r="F279" i="4"/>
  <c r="G279" i="4"/>
  <c r="F280" i="4"/>
  <c r="G280" i="4"/>
  <c r="F281" i="4"/>
  <c r="G281" i="4"/>
  <c r="F282" i="4"/>
  <c r="G282" i="4"/>
  <c r="F283" i="4"/>
  <c r="G283" i="4"/>
  <c r="F284" i="4"/>
  <c r="G284" i="4"/>
  <c r="F285" i="4"/>
  <c r="G285" i="4"/>
  <c r="F286" i="4"/>
  <c r="G286" i="4"/>
  <c r="F287" i="4"/>
  <c r="G287" i="4"/>
  <c r="F288" i="4"/>
  <c r="G288" i="4"/>
  <c r="F289" i="4"/>
  <c r="G289" i="4"/>
  <c r="F290" i="4"/>
  <c r="G290" i="4"/>
  <c r="F291" i="4"/>
  <c r="F292" i="4"/>
  <c r="G292" i="4"/>
  <c r="F293" i="4"/>
  <c r="G293" i="4"/>
  <c r="F294" i="4"/>
  <c r="G294" i="4"/>
  <c r="G305" i="4"/>
  <c r="F295" i="4"/>
  <c r="G295" i="4"/>
  <c r="F296" i="4"/>
  <c r="G296" i="4"/>
  <c r="F297" i="4"/>
  <c r="G297" i="4"/>
  <c r="F298" i="4"/>
  <c r="G298" i="4"/>
  <c r="F299" i="4"/>
  <c r="G299" i="4"/>
  <c r="F300" i="4"/>
  <c r="G300" i="4"/>
  <c r="F301" i="4"/>
  <c r="G301" i="4"/>
  <c r="F302" i="4"/>
  <c r="F303" i="4"/>
  <c r="G303" i="4"/>
  <c r="F304" i="4"/>
  <c r="G304" i="4"/>
  <c r="C305" i="4"/>
  <c r="D305" i="4"/>
  <c r="E305" i="4"/>
  <c r="F305" i="4"/>
  <c r="F306" i="4"/>
  <c r="G306" i="4"/>
  <c r="F307" i="4"/>
  <c r="G307" i="4"/>
  <c r="F308" i="4"/>
  <c r="G308" i="4"/>
  <c r="F309" i="4"/>
  <c r="G309" i="4"/>
  <c r="F310" i="4"/>
  <c r="G310" i="4"/>
  <c r="F311" i="4"/>
  <c r="G311" i="4"/>
  <c r="F312" i="4"/>
  <c r="G312" i="4"/>
  <c r="F313" i="4"/>
  <c r="G313" i="4"/>
  <c r="F314" i="4"/>
  <c r="G314" i="4"/>
  <c r="F315" i="4"/>
  <c r="G315" i="4"/>
  <c r="F316" i="4"/>
  <c r="G316" i="4"/>
  <c r="F317" i="4"/>
  <c r="G317" i="4"/>
  <c r="F318" i="4"/>
  <c r="G318" i="4"/>
  <c r="F319" i="4"/>
  <c r="G319" i="4"/>
  <c r="F320" i="4"/>
  <c r="G320" i="4"/>
  <c r="F321" i="4"/>
  <c r="G321" i="4"/>
  <c r="F322" i="4"/>
  <c r="G322" i="4"/>
  <c r="F323" i="4"/>
  <c r="G323" i="4"/>
  <c r="F324" i="4"/>
  <c r="F325" i="4"/>
  <c r="G325" i="4"/>
  <c r="C326" i="4"/>
  <c r="D326" i="4"/>
  <c r="E326" i="4"/>
  <c r="F326" i="4"/>
  <c r="F327" i="4"/>
  <c r="G327" i="4"/>
  <c r="F328" i="4"/>
  <c r="G328" i="4"/>
  <c r="F329" i="4"/>
  <c r="G329" i="4"/>
  <c r="F330" i="4"/>
  <c r="G330" i="4"/>
  <c r="F331" i="4"/>
  <c r="G331" i="4"/>
  <c r="F332" i="4"/>
  <c r="G332" i="4"/>
  <c r="F333" i="4"/>
  <c r="G333" i="4"/>
  <c r="F334" i="4"/>
  <c r="G334" i="4"/>
  <c r="F335" i="4"/>
  <c r="G335" i="4"/>
  <c r="F336" i="4"/>
  <c r="G336" i="4"/>
  <c r="F337" i="4"/>
  <c r="G337" i="4"/>
  <c r="F338" i="4"/>
  <c r="G338" i="4"/>
  <c r="F339" i="4"/>
  <c r="C340" i="4"/>
  <c r="D340" i="4"/>
  <c r="E340" i="4"/>
  <c r="F341" i="4"/>
  <c r="G341" i="4"/>
  <c r="F342" i="4"/>
  <c r="G342" i="4"/>
  <c r="F343" i="4"/>
  <c r="G343" i="4"/>
  <c r="F344" i="4"/>
  <c r="G344" i="4"/>
  <c r="F345" i="4"/>
  <c r="F346" i="4"/>
  <c r="F347" i="4"/>
  <c r="G347" i="4"/>
  <c r="F348" i="4"/>
  <c r="G348" i="4"/>
  <c r="F349" i="4"/>
  <c r="G349" i="4"/>
  <c r="F350" i="4"/>
  <c r="G350" i="4"/>
  <c r="F351" i="4"/>
  <c r="G351" i="4"/>
  <c r="F352" i="4"/>
  <c r="G352" i="4"/>
  <c r="C353" i="4"/>
  <c r="D353" i="4"/>
  <c r="E353" i="4"/>
  <c r="F353" i="4"/>
  <c r="F354" i="4"/>
  <c r="G354" i="4"/>
  <c r="F355" i="4"/>
  <c r="G355" i="4"/>
  <c r="F356" i="4"/>
  <c r="G356" i="4"/>
  <c r="F357" i="4"/>
  <c r="G357" i="4"/>
  <c r="F358" i="4"/>
  <c r="G358" i="4"/>
  <c r="F359" i="4"/>
  <c r="G359" i="4"/>
  <c r="F360" i="4"/>
  <c r="G360" i="4"/>
  <c r="F361" i="4"/>
  <c r="G361" i="4"/>
  <c r="F362" i="4"/>
  <c r="G362" i="4"/>
  <c r="F363" i="4"/>
  <c r="F364" i="4"/>
  <c r="G364" i="4"/>
  <c r="F365" i="4"/>
  <c r="G365" i="4"/>
  <c r="F366" i="4"/>
  <c r="G366" i="4"/>
  <c r="F367" i="4"/>
  <c r="G367" i="4"/>
  <c r="C368" i="4"/>
  <c r="D368" i="4"/>
  <c r="E368" i="4"/>
  <c r="F368" i="4"/>
  <c r="F369" i="4"/>
  <c r="F370" i="4"/>
  <c r="G370" i="4"/>
  <c r="F371" i="4"/>
  <c r="G371" i="4"/>
  <c r="F372" i="4"/>
  <c r="G372" i="4"/>
  <c r="F373" i="4"/>
  <c r="G373" i="4"/>
  <c r="F374" i="4"/>
  <c r="G374" i="4"/>
  <c r="F375" i="4"/>
  <c r="F376" i="4"/>
  <c r="G376" i="4"/>
  <c r="F377" i="4"/>
  <c r="G377" i="4"/>
  <c r="F378" i="4"/>
  <c r="G378" i="4"/>
  <c r="F379" i="4"/>
  <c r="G379" i="4"/>
  <c r="C380" i="4"/>
  <c r="D380" i="4"/>
  <c r="E380" i="4"/>
  <c r="F381" i="4"/>
  <c r="G381" i="4"/>
  <c r="F382" i="4"/>
  <c r="G382" i="4"/>
  <c r="F383" i="4"/>
  <c r="G383" i="4"/>
  <c r="F384" i="4"/>
  <c r="G384" i="4"/>
  <c r="F385" i="4"/>
  <c r="G385" i="4"/>
  <c r="F386" i="4"/>
  <c r="G386" i="4"/>
  <c r="F387" i="4"/>
  <c r="F388" i="4"/>
  <c r="G388" i="4"/>
  <c r="F389" i="4"/>
  <c r="G389" i="4"/>
  <c r="F390" i="4"/>
  <c r="G390" i="4"/>
  <c r="F391" i="4"/>
  <c r="F392" i="4"/>
  <c r="G392" i="4"/>
  <c r="F393" i="4"/>
  <c r="G393" i="4"/>
  <c r="F394" i="4"/>
  <c r="G394" i="4"/>
  <c r="C395" i="4"/>
  <c r="D395" i="4"/>
  <c r="E395" i="4"/>
  <c r="F396" i="4"/>
  <c r="G396" i="4"/>
  <c r="F397" i="4"/>
  <c r="G397" i="4"/>
  <c r="F398" i="4"/>
  <c r="G398" i="4"/>
  <c r="F399" i="4"/>
  <c r="G399" i="4"/>
  <c r="F400" i="4"/>
  <c r="F401" i="4"/>
  <c r="G401" i="4"/>
  <c r="F402" i="4"/>
  <c r="G402" i="4"/>
  <c r="F403" i="4"/>
  <c r="G403" i="4"/>
  <c r="F404" i="4"/>
  <c r="G404" i="4"/>
  <c r="F405" i="4"/>
  <c r="G405" i="4"/>
  <c r="F406" i="4"/>
  <c r="F407" i="4"/>
  <c r="G407" i="4"/>
  <c r="F408" i="4"/>
  <c r="G408" i="4"/>
  <c r="C409" i="4"/>
  <c r="D409" i="4"/>
  <c r="E409" i="4"/>
  <c r="F410" i="4"/>
  <c r="G410" i="4"/>
  <c r="F411" i="4"/>
  <c r="F412" i="4"/>
  <c r="G412" i="4"/>
  <c r="F413" i="4"/>
  <c r="G413" i="4"/>
  <c r="F414" i="4"/>
  <c r="G414" i="4"/>
  <c r="F415" i="4"/>
  <c r="G415" i="4"/>
  <c r="F416" i="4"/>
  <c r="G416" i="4"/>
  <c r="F417" i="4"/>
  <c r="G417" i="4"/>
  <c r="F418" i="4"/>
  <c r="G418" i="4"/>
  <c r="F419" i="4"/>
  <c r="F420" i="4"/>
  <c r="G420" i="4"/>
  <c r="F421" i="4"/>
  <c r="G421" i="4"/>
  <c r="C422" i="4"/>
  <c r="D422" i="4"/>
  <c r="E422" i="4"/>
  <c r="F423" i="4"/>
  <c r="G423" i="4"/>
  <c r="F424" i="4"/>
  <c r="G424" i="4"/>
  <c r="F425" i="4"/>
  <c r="G425" i="4"/>
  <c r="F426" i="4"/>
  <c r="G426" i="4"/>
  <c r="F427" i="4"/>
  <c r="G427" i="4"/>
  <c r="F428" i="4"/>
  <c r="G428" i="4"/>
  <c r="F429" i="4"/>
  <c r="G429" i="4"/>
  <c r="F430" i="4"/>
  <c r="G430" i="4"/>
  <c r="F431" i="4"/>
  <c r="G431" i="4"/>
  <c r="F432" i="4"/>
  <c r="F433" i="4"/>
  <c r="G433" i="4"/>
  <c r="G442" i="4"/>
  <c r="F434" i="4"/>
  <c r="F435" i="4"/>
  <c r="G435" i="4"/>
  <c r="F436" i="4"/>
  <c r="G436" i="4"/>
  <c r="F437" i="4"/>
  <c r="G437" i="4"/>
  <c r="F438" i="4"/>
  <c r="G438" i="4"/>
  <c r="F439" i="4"/>
  <c r="G439" i="4"/>
  <c r="F440" i="4"/>
  <c r="F441" i="4"/>
  <c r="G441" i="4"/>
  <c r="C442" i="4"/>
  <c r="D442" i="4"/>
  <c r="F442" i="4"/>
  <c r="E442" i="4"/>
  <c r="F443" i="4"/>
  <c r="G443" i="4"/>
  <c r="F444" i="4"/>
  <c r="G444" i="4"/>
  <c r="F445" i="4"/>
  <c r="F446" i="4"/>
  <c r="G446" i="4"/>
  <c r="F447" i="4"/>
  <c r="G447" i="4"/>
  <c r="F448" i="4"/>
  <c r="G448" i="4"/>
  <c r="F449" i="4"/>
  <c r="G449" i="4"/>
  <c r="F450" i="4"/>
  <c r="G450" i="4"/>
  <c r="F451" i="4"/>
  <c r="G451" i="4"/>
  <c r="F452" i="4"/>
  <c r="G452" i="4"/>
  <c r="F453" i="4"/>
  <c r="G453" i="4"/>
  <c r="F454" i="4"/>
  <c r="F455" i="4"/>
  <c r="G455" i="4"/>
  <c r="C456" i="4"/>
  <c r="D456" i="4"/>
  <c r="E456" i="4"/>
  <c r="F457" i="4"/>
  <c r="G457" i="4"/>
  <c r="F458" i="4"/>
  <c r="F459" i="4"/>
  <c r="G459" i="4"/>
  <c r="F460" i="4"/>
  <c r="G460" i="4"/>
  <c r="F461" i="4"/>
  <c r="G461" i="4"/>
  <c r="F462" i="4"/>
  <c r="G462" i="4"/>
  <c r="F463" i="4"/>
  <c r="G463" i="4"/>
  <c r="F464" i="4"/>
  <c r="G464" i="4"/>
  <c r="F465" i="4"/>
  <c r="F466" i="4"/>
  <c r="G466" i="4"/>
  <c r="F467" i="4"/>
  <c r="G467" i="4"/>
  <c r="G473" i="4"/>
  <c r="F468" i="4"/>
  <c r="G468" i="4"/>
  <c r="F469" i="4"/>
  <c r="G469" i="4"/>
  <c r="F470" i="4"/>
  <c r="F471" i="4"/>
  <c r="G471" i="4"/>
  <c r="F472" i="4"/>
  <c r="G472" i="4"/>
  <c r="C473" i="4"/>
  <c r="D473" i="4"/>
  <c r="E473" i="4"/>
  <c r="F474" i="4"/>
  <c r="G474" i="4"/>
  <c r="F475" i="4"/>
  <c r="G475" i="4"/>
  <c r="F476" i="4"/>
  <c r="G476" i="4"/>
  <c r="F477" i="4"/>
  <c r="G477" i="4"/>
  <c r="F478" i="4"/>
  <c r="F479" i="4"/>
  <c r="G479" i="4"/>
  <c r="F480" i="4"/>
  <c r="G480" i="4"/>
  <c r="F481" i="4"/>
  <c r="G481" i="4"/>
  <c r="F482" i="4"/>
  <c r="G482" i="4"/>
  <c r="F483" i="4"/>
  <c r="G483" i="4"/>
  <c r="F484" i="4"/>
  <c r="G484" i="4"/>
  <c r="F485" i="4"/>
  <c r="G485" i="4"/>
  <c r="F486" i="4"/>
  <c r="G486" i="4"/>
  <c r="F487" i="4"/>
  <c r="G487" i="4"/>
  <c r="F488" i="4"/>
  <c r="G488" i="4"/>
  <c r="F489" i="4"/>
  <c r="F490" i="4"/>
  <c r="G490" i="4"/>
  <c r="F491" i="4"/>
  <c r="G491" i="4"/>
  <c r="F492" i="4"/>
  <c r="G492" i="4"/>
  <c r="F493" i="4"/>
  <c r="G493" i="4"/>
  <c r="F494" i="4"/>
  <c r="G494" i="4"/>
  <c r="C495" i="4"/>
  <c r="D495" i="4"/>
  <c r="E495" i="4"/>
  <c r="F495" i="4"/>
  <c r="F496" i="4"/>
  <c r="G496" i="4"/>
  <c r="F497" i="4"/>
  <c r="G497" i="4"/>
  <c r="F498" i="4"/>
  <c r="G498" i="4"/>
  <c r="F499" i="4"/>
  <c r="G499" i="4"/>
  <c r="F500" i="4"/>
  <c r="G500" i="4"/>
  <c r="F501" i="4"/>
  <c r="F502" i="4"/>
  <c r="G502" i="4"/>
  <c r="F503" i="4"/>
  <c r="G503" i="4"/>
  <c r="F504" i="4"/>
  <c r="G504" i="4"/>
  <c r="F505" i="4"/>
  <c r="F506" i="4"/>
  <c r="G506" i="4"/>
  <c r="F507" i="4"/>
  <c r="G507" i="4"/>
  <c r="F508" i="4"/>
  <c r="G508" i="4"/>
  <c r="F509" i="4"/>
  <c r="F510" i="4"/>
  <c r="G510" i="4"/>
  <c r="F511" i="4"/>
  <c r="G511" i="4"/>
  <c r="C512" i="4"/>
  <c r="D512" i="4"/>
  <c r="E512" i="4"/>
  <c r="F512" i="4"/>
  <c r="F513" i="4"/>
  <c r="G513" i="4"/>
  <c r="F514" i="4"/>
  <c r="G514" i="4"/>
  <c r="F515" i="4"/>
  <c r="F516" i="4"/>
  <c r="G516" i="4"/>
  <c r="F517" i="4"/>
  <c r="G517" i="4"/>
  <c r="F518" i="4"/>
  <c r="G518" i="4"/>
  <c r="F519" i="4"/>
  <c r="G519" i="4"/>
  <c r="F520" i="4"/>
  <c r="F521" i="4"/>
  <c r="F522" i="4"/>
  <c r="G522" i="4"/>
  <c r="F523" i="4"/>
  <c r="G523" i="4"/>
  <c r="F524" i="4"/>
  <c r="G524" i="4"/>
  <c r="F525" i="4"/>
  <c r="G525" i="4"/>
  <c r="F526" i="4"/>
  <c r="G526" i="4"/>
  <c r="F527" i="4"/>
  <c r="G527" i="4"/>
  <c r="F528" i="4"/>
  <c r="G528" i="4"/>
  <c r="C529" i="4"/>
  <c r="D529" i="4"/>
  <c r="E529" i="4"/>
  <c r="F529" i="4"/>
  <c r="F530" i="4"/>
  <c r="G530" i="4"/>
  <c r="F531" i="4"/>
  <c r="G531" i="4"/>
  <c r="F532" i="4"/>
  <c r="F533" i="4"/>
  <c r="F534" i="4"/>
  <c r="G534" i="4"/>
  <c r="F535" i="4"/>
  <c r="G535" i="4"/>
  <c r="F536" i="4"/>
  <c r="G536" i="4"/>
  <c r="F537" i="4"/>
  <c r="F538" i="4"/>
  <c r="F539" i="4"/>
  <c r="G539" i="4"/>
  <c r="F540" i="4"/>
  <c r="G540" i="4"/>
  <c r="F541" i="4"/>
  <c r="G541" i="4"/>
  <c r="F542" i="4"/>
  <c r="G542" i="4"/>
  <c r="F543" i="4"/>
  <c r="F544" i="4"/>
  <c r="G544" i="4"/>
  <c r="G550" i="4"/>
  <c r="F545" i="4"/>
  <c r="G545" i="4"/>
  <c r="F546" i="4"/>
  <c r="F547" i="4"/>
  <c r="G547" i="4"/>
  <c r="F548" i="4"/>
  <c r="G548" i="4"/>
  <c r="F549" i="4"/>
  <c r="G549" i="4"/>
  <c r="C550" i="4"/>
  <c r="D550" i="4"/>
  <c r="E550" i="4"/>
  <c r="F551" i="4"/>
  <c r="G551" i="4"/>
  <c r="F552" i="4"/>
  <c r="G552" i="4"/>
  <c r="F553" i="4"/>
  <c r="F554" i="4"/>
  <c r="G554" i="4"/>
  <c r="F555" i="4"/>
  <c r="F556" i="4"/>
  <c r="F557" i="4"/>
  <c r="F558" i="4"/>
  <c r="G558" i="4"/>
  <c r="F559" i="4"/>
  <c r="G559" i="4"/>
  <c r="F560" i="4"/>
  <c r="G560" i="4"/>
  <c r="F561" i="4"/>
  <c r="G561" i="4"/>
  <c r="F562" i="4"/>
  <c r="G562" i="4"/>
  <c r="F563" i="4"/>
  <c r="G563" i="4"/>
  <c r="F564" i="4"/>
  <c r="G564" i="4"/>
  <c r="F565" i="4"/>
  <c r="G565" i="4"/>
  <c r="F566" i="4"/>
  <c r="G566" i="4"/>
  <c r="F567" i="4"/>
  <c r="G567" i="4"/>
  <c r="F568" i="4"/>
  <c r="G568" i="4"/>
  <c r="F569" i="4"/>
  <c r="G569" i="4"/>
  <c r="F570" i="4"/>
  <c r="G570" i="4"/>
  <c r="F571" i="4"/>
  <c r="G571" i="4"/>
  <c r="C572" i="4"/>
  <c r="D572" i="4"/>
  <c r="E572" i="4"/>
  <c r="F572" i="4"/>
  <c r="F573" i="4"/>
  <c r="C574" i="4"/>
  <c r="D574" i="4"/>
  <c r="E574" i="4"/>
  <c r="G574" i="4"/>
  <c r="C575" i="4"/>
  <c r="D575" i="4"/>
  <c r="E575" i="4"/>
  <c r="C576" i="4"/>
  <c r="D576" i="4"/>
  <c r="E576" i="4"/>
  <c r="G576" i="4"/>
  <c r="C577" i="4"/>
  <c r="D577" i="4"/>
  <c r="E577" i="4"/>
  <c r="G577" i="4"/>
  <c r="C578" i="4"/>
  <c r="D578" i="4"/>
  <c r="F578" i="4"/>
  <c r="E578" i="4"/>
  <c r="G578" i="4"/>
  <c r="C579" i="4"/>
  <c r="D579" i="4"/>
  <c r="E579" i="4"/>
  <c r="G579" i="4"/>
  <c r="C580" i="4"/>
  <c r="D580" i="4"/>
  <c r="E580" i="4"/>
  <c r="G580" i="4"/>
  <c r="C581" i="4"/>
  <c r="D581" i="4"/>
  <c r="E581" i="4"/>
  <c r="G581" i="4"/>
  <c r="C582" i="4"/>
  <c r="D582" i="4"/>
  <c r="F582" i="4"/>
  <c r="E582" i="4"/>
  <c r="G582" i="4"/>
  <c r="C583" i="4"/>
  <c r="D583" i="4"/>
  <c r="E583" i="4"/>
  <c r="C584" i="4"/>
  <c r="D584" i="4"/>
  <c r="E584" i="4"/>
  <c r="G584" i="4"/>
  <c r="C585" i="4"/>
  <c r="D585" i="4"/>
  <c r="E585" i="4"/>
  <c r="G585" i="4"/>
  <c r="C586" i="4"/>
  <c r="D586" i="4"/>
  <c r="E586" i="4"/>
  <c r="G586" i="4"/>
  <c r="D1004" i="4"/>
  <c r="F1004" i="4"/>
  <c r="G1004" i="4"/>
  <c r="D1022" i="4"/>
  <c r="F1022" i="4"/>
  <c r="G1022" i="4"/>
  <c r="I1105" i="4"/>
  <c r="I1116" i="4"/>
  <c r="I1138" i="4"/>
  <c r="I1148" i="4"/>
  <c r="G644" i="31"/>
  <c r="H644" i="31"/>
  <c r="G396" i="31"/>
  <c r="H396" i="31"/>
  <c r="Y5" i="45"/>
  <c r="S4" i="45"/>
  <c r="P27" i="33"/>
  <c r="P23" i="33"/>
  <c r="P32" i="32"/>
  <c r="P28" i="32"/>
  <c r="P24" i="32"/>
  <c r="S5083" i="29"/>
  <c r="G395" i="31"/>
  <c r="H395" i="31"/>
  <c r="Z4" i="45"/>
  <c r="O21" i="33"/>
  <c r="O24" i="33"/>
  <c r="O28" i="33"/>
  <c r="O20" i="33"/>
  <c r="O29" i="33"/>
  <c r="O25" i="33"/>
  <c r="H37" i="38"/>
  <c r="D35" i="24"/>
  <c r="O23" i="33"/>
  <c r="S6" i="45"/>
  <c r="H21" i="42"/>
  <c r="O22" i="33"/>
  <c r="P22" i="33"/>
  <c r="G259" i="31"/>
  <c r="H259" i="31"/>
  <c r="P27" i="32"/>
  <c r="P29" i="33"/>
  <c r="N15" i="33"/>
  <c r="N33" i="32"/>
  <c r="O24" i="32"/>
  <c r="H44" i="42"/>
  <c r="H65" i="42"/>
  <c r="I32" i="33"/>
  <c r="M32" i="33"/>
  <c r="O27" i="33"/>
  <c r="N16" i="32"/>
  <c r="G367" i="31"/>
  <c r="H367" i="31"/>
  <c r="T6" i="45"/>
  <c r="F32" i="33"/>
  <c r="G365" i="31"/>
  <c r="H365" i="31"/>
  <c r="T4" i="45"/>
  <c r="P31" i="32"/>
  <c r="G317" i="31"/>
  <c r="H317" i="31"/>
  <c r="G316" i="31"/>
  <c r="H316" i="31"/>
  <c r="G364" i="31"/>
  <c r="H364" i="31"/>
  <c r="Y6" i="45"/>
  <c r="Z5" i="45"/>
  <c r="T5" i="45"/>
  <c r="O30" i="33"/>
  <c r="O26" i="33"/>
  <c r="P23" i="32"/>
  <c r="O29" i="45"/>
  <c r="Z6" i="45"/>
  <c r="S5" i="45"/>
  <c r="O4" i="32"/>
  <c r="O15" i="32"/>
  <c r="O6" i="32"/>
  <c r="O8" i="32"/>
  <c r="O10" i="32"/>
  <c r="O12" i="32"/>
  <c r="O16" i="32"/>
  <c r="O5" i="32"/>
  <c r="O7" i="32"/>
  <c r="O9" i="32"/>
  <c r="O11" i="32"/>
  <c r="O13" i="32"/>
  <c r="O14" i="32"/>
  <c r="O23" i="32"/>
  <c r="O30" i="32"/>
  <c r="O26" i="32"/>
  <c r="O22" i="32"/>
  <c r="N34" i="32"/>
  <c r="O29" i="32"/>
  <c r="O25" i="32"/>
  <c r="O31" i="32"/>
  <c r="O21" i="32"/>
  <c r="O27" i="32"/>
  <c r="O32" i="32"/>
  <c r="O15" i="33"/>
  <c r="O4" i="33"/>
  <c r="O13" i="33"/>
  <c r="O6" i="33"/>
  <c r="O9" i="33"/>
  <c r="O12" i="33"/>
  <c r="O8" i="33"/>
  <c r="O5" i="33"/>
  <c r="O10" i="33"/>
  <c r="O14" i="33"/>
  <c r="O11" i="33"/>
  <c r="O7" i="33"/>
  <c r="O31" i="33"/>
  <c r="N32" i="33"/>
  <c r="O28" i="32"/>
  <c r="O33" i="32"/>
  <c r="F4" i="10"/>
  <c r="F91" i="9"/>
  <c r="F29" i="9"/>
  <c r="G74" i="9"/>
  <c r="G643" i="31"/>
  <c r="H643" i="31"/>
  <c r="G338" i="31"/>
  <c r="H338" i="31"/>
  <c r="G642" i="31"/>
  <c r="H642" i="31"/>
  <c r="G393" i="31"/>
  <c r="H393" i="31"/>
  <c r="G752" i="31"/>
  <c r="H752" i="31"/>
  <c r="G368" i="31"/>
  <c r="H368" i="31"/>
  <c r="G320" i="31"/>
  <c r="H320" i="31"/>
  <c r="G305" i="31"/>
  <c r="H305" i="31"/>
  <c r="G289" i="31"/>
  <c r="H289" i="31"/>
  <c r="G743" i="31"/>
  <c r="H743" i="31"/>
  <c r="G270" i="31"/>
  <c r="H270" i="31"/>
  <c r="G282" i="31"/>
  <c r="H282" i="31"/>
  <c r="G647" i="31"/>
  <c r="R1535" i="29"/>
  <c r="S1535" i="29"/>
  <c r="G285" i="31"/>
  <c r="H285" i="31"/>
  <c r="G756" i="31"/>
  <c r="H756" i="31"/>
  <c r="G286" i="31"/>
  <c r="H286" i="31"/>
  <c r="G475" i="31"/>
  <c r="H475" i="31"/>
  <c r="F16" i="9"/>
  <c r="G43" i="9"/>
  <c r="G392" i="31"/>
  <c r="H392" i="31"/>
  <c r="G323" i="31"/>
  <c r="H323" i="31"/>
  <c r="G421" i="31"/>
  <c r="H421" i="31"/>
  <c r="G333" i="31"/>
  <c r="H333" i="31"/>
  <c r="G740" i="31"/>
  <c r="H740" i="31"/>
  <c r="G273" i="31"/>
  <c r="H273" i="31"/>
  <c r="G635" i="31"/>
  <c r="H635" i="31"/>
  <c r="G397" i="31"/>
  <c r="H397" i="31"/>
  <c r="G366" i="31"/>
  <c r="H366" i="31"/>
  <c r="G318" i="31"/>
  <c r="H318" i="31"/>
  <c r="G271" i="31"/>
  <c r="H271" i="31"/>
  <c r="G380" i="31"/>
  <c r="H380" i="31"/>
  <c r="G322" i="31"/>
  <c r="H322" i="31"/>
  <c r="G274" i="31"/>
  <c r="H274" i="31"/>
  <c r="G517" i="31"/>
  <c r="H517" i="31"/>
  <c r="G269" i="31"/>
  <c r="H269" i="31"/>
  <c r="G78" i="31"/>
  <c r="H78" i="31"/>
  <c r="G306" i="31"/>
  <c r="H306" i="31"/>
  <c r="G372" i="31"/>
  <c r="H372" i="31"/>
  <c r="G121" i="31"/>
  <c r="H121" i="31"/>
  <c r="G321" i="31"/>
  <c r="H321" i="31"/>
  <c r="G734" i="31"/>
  <c r="H734" i="31"/>
  <c r="G283" i="31"/>
  <c r="H283" i="31"/>
  <c r="G122" i="31"/>
  <c r="H122" i="31"/>
  <c r="G759" i="31"/>
  <c r="H759" i="31"/>
  <c r="G761" i="31"/>
  <c r="H761" i="31"/>
  <c r="G293" i="31"/>
  <c r="H293" i="31"/>
  <c r="G452" i="31"/>
  <c r="H452" i="31"/>
  <c r="G400" i="31"/>
  <c r="H400" i="31"/>
  <c r="G355" i="31"/>
  <c r="H355" i="31"/>
  <c r="G255" i="31"/>
  <c r="H255" i="31"/>
  <c r="G453" i="31"/>
  <c r="H453" i="31"/>
  <c r="G388" i="31"/>
  <c r="H388" i="31"/>
  <c r="G512" i="31"/>
  <c r="H512" i="31"/>
  <c r="G386" i="31"/>
  <c r="H386" i="31"/>
  <c r="G288" i="31"/>
  <c r="H288" i="31"/>
  <c r="G319" i="31"/>
  <c r="H319" i="31"/>
  <c r="G518" i="31"/>
  <c r="H518" i="31"/>
  <c r="G330" i="31"/>
  <c r="H330" i="31"/>
  <c r="G394" i="31"/>
  <c r="H394" i="31"/>
  <c r="G339" i="31"/>
  <c r="H339" i="31"/>
  <c r="G290" i="31"/>
  <c r="H290" i="31"/>
  <c r="G260" i="31"/>
  <c r="H260" i="31"/>
  <c r="G324" i="31"/>
  <c r="H324" i="31"/>
  <c r="G391" i="31"/>
  <c r="H391" i="31"/>
  <c r="G253" i="31"/>
  <c r="H253" i="31"/>
  <c r="G465" i="31"/>
  <c r="H465" i="31"/>
  <c r="G519" i="31"/>
  <c r="H519" i="31"/>
  <c r="G347" i="31"/>
  <c r="H347" i="31"/>
  <c r="G645" i="31"/>
  <c r="G363" i="31"/>
  <c r="H363" i="31"/>
  <c r="G441" i="31"/>
  <c r="H441" i="31"/>
  <c r="G457" i="31"/>
  <c r="H457" i="31"/>
  <c r="G354" i="31"/>
  <c r="H354" i="31"/>
  <c r="G297" i="31"/>
  <c r="H297" i="31"/>
  <c r="G266" i="31"/>
  <c r="H266" i="31"/>
  <c r="G276" i="31"/>
  <c r="H276" i="31"/>
  <c r="G506" i="31"/>
  <c r="H506" i="31"/>
  <c r="G478" i="31"/>
  <c r="H478" i="31"/>
  <c r="G461" i="31"/>
  <c r="H461" i="31"/>
  <c r="G409" i="31"/>
  <c r="H409" i="31"/>
  <c r="G689" i="31"/>
  <c r="H689" i="31"/>
  <c r="G369" i="31"/>
  <c r="H369" i="31"/>
  <c r="F755" i="31"/>
  <c r="G720" i="31"/>
  <c r="H720" i="31"/>
  <c r="F74" i="9"/>
  <c r="F49" i="9"/>
  <c r="F12" i="9"/>
  <c r="G119" i="9"/>
  <c r="F70" i="9"/>
  <c r="F19" i="9"/>
  <c r="F129" i="9"/>
  <c r="F62" i="9"/>
  <c r="G56" i="9"/>
  <c r="G32" i="9"/>
  <c r="F8" i="9"/>
  <c r="F119" i="9"/>
  <c r="G91" i="9"/>
  <c r="F112" i="9"/>
  <c r="F79" i="9"/>
  <c r="F34" i="9"/>
  <c r="F56" i="9"/>
  <c r="G49" i="9"/>
  <c r="F39" i="9"/>
  <c r="F10" i="9"/>
  <c r="F24" i="9"/>
  <c r="E124" i="9"/>
  <c r="E29" i="24"/>
  <c r="E34" i="24"/>
  <c r="E35" i="24"/>
  <c r="G12" i="9"/>
  <c r="F104" i="9"/>
  <c r="G62" i="9"/>
  <c r="S6398" i="29"/>
  <c r="G804" i="29"/>
  <c r="F7" i="6"/>
  <c r="F92" i="6"/>
  <c r="F53" i="6"/>
  <c r="F409" i="4"/>
  <c r="F191" i="4"/>
  <c r="F37" i="4"/>
  <c r="G416" i="31"/>
  <c r="H416" i="31"/>
  <c r="G456" i="31"/>
  <c r="H456" i="31"/>
  <c r="G765" i="31"/>
  <c r="H765" i="31"/>
  <c r="G498" i="31"/>
  <c r="H498" i="31"/>
  <c r="G513" i="31"/>
  <c r="H513" i="31"/>
  <c r="G383" i="31"/>
  <c r="H383" i="31"/>
  <c r="G628" i="31"/>
  <c r="R696" i="29"/>
  <c r="G360" i="31"/>
  <c r="H360" i="31"/>
  <c r="G766" i="31"/>
  <c r="H766" i="31"/>
  <c r="G497" i="31"/>
  <c r="H497" i="31"/>
  <c r="G265" i="31"/>
  <c r="H265" i="31"/>
  <c r="G401" i="31"/>
  <c r="H401" i="31"/>
  <c r="G348" i="31"/>
  <c r="H348" i="31"/>
  <c r="G405" i="31"/>
  <c r="H405" i="31"/>
  <c r="G398" i="31"/>
  <c r="H398" i="31"/>
  <c r="G385" i="31"/>
  <c r="H385" i="31"/>
  <c r="G373" i="31"/>
  <c r="H373" i="31"/>
  <c r="G418" i="31"/>
  <c r="H418" i="31"/>
  <c r="G448" i="31"/>
  <c r="H448" i="31"/>
  <c r="G767" i="31"/>
  <c r="H767" i="31"/>
  <c r="G508" i="31"/>
  <c r="H508" i="31"/>
  <c r="G381" i="31"/>
  <c r="H381" i="31"/>
  <c r="G344" i="31"/>
  <c r="H344" i="31"/>
  <c r="G343" i="31"/>
  <c r="H343" i="31"/>
  <c r="G331" i="31"/>
  <c r="H331" i="31"/>
  <c r="G389" i="31"/>
  <c r="H389" i="31"/>
  <c r="G462" i="31"/>
  <c r="H462" i="31"/>
  <c r="G408" i="31"/>
  <c r="H408" i="31"/>
  <c r="G327" i="31"/>
  <c r="H327" i="31"/>
  <c r="G280" i="31"/>
  <c r="H280" i="31"/>
  <c r="G345" i="31"/>
  <c r="H345" i="31"/>
  <c r="G351" i="31"/>
  <c r="H351" i="31"/>
  <c r="G342" i="31"/>
  <c r="H342" i="31"/>
  <c r="G340" i="31"/>
  <c r="H340" i="31"/>
  <c r="G463" i="31"/>
  <c r="H463" i="31"/>
  <c r="G341" i="31"/>
  <c r="H341" i="31"/>
  <c r="G300" i="31"/>
  <c r="H300" i="31"/>
  <c r="G251" i="31"/>
  <c r="R2989" i="29"/>
  <c r="G281" i="31"/>
  <c r="H281" i="31"/>
  <c r="G346" i="31"/>
  <c r="H346" i="31"/>
  <c r="G411" i="31"/>
  <c r="H411" i="31"/>
  <c r="G419" i="31"/>
  <c r="H419" i="31"/>
  <c r="G464" i="31"/>
  <c r="H464" i="31"/>
  <c r="G387" i="31"/>
  <c r="H387" i="31"/>
  <c r="G256" i="31"/>
  <c r="H256" i="31"/>
  <c r="G492" i="31"/>
  <c r="H492" i="31"/>
  <c r="G494" i="31"/>
  <c r="H494" i="31"/>
  <c r="G263" i="31"/>
  <c r="H263" i="31"/>
  <c r="G470" i="31"/>
  <c r="H470" i="31"/>
  <c r="G390" i="31"/>
  <c r="H390" i="31"/>
  <c r="G399" i="31"/>
  <c r="H399" i="31"/>
  <c r="G721" i="31"/>
  <c r="R1309" i="29"/>
  <c r="S1309" i="29"/>
  <c r="G688" i="31"/>
  <c r="H688" i="31"/>
  <c r="G471" i="31"/>
  <c r="H471" i="31"/>
  <c r="G459" i="31"/>
  <c r="H459" i="31"/>
  <c r="G511" i="31"/>
  <c r="H511" i="31"/>
  <c r="G434" i="31"/>
  <c r="H434" i="31"/>
  <c r="G446" i="31"/>
  <c r="H446" i="31"/>
  <c r="G458" i="31"/>
  <c r="H458" i="31"/>
  <c r="G469" i="31"/>
  <c r="H469" i="31"/>
  <c r="G447" i="31"/>
  <c r="H447" i="31"/>
  <c r="G491" i="31"/>
  <c r="H491" i="31"/>
  <c r="G493" i="31"/>
  <c r="H493" i="31"/>
  <c r="G495" i="31"/>
  <c r="H495" i="31"/>
  <c r="G507" i="31"/>
  <c r="H507" i="31"/>
  <c r="G477" i="31"/>
  <c r="H477" i="31"/>
  <c r="G431" i="31"/>
  <c r="H431" i="31"/>
  <c r="G627" i="31"/>
  <c r="H627" i="31"/>
  <c r="G412" i="31"/>
  <c r="H412" i="31"/>
  <c r="G428" i="31"/>
  <c r="H428" i="31"/>
  <c r="G440" i="31"/>
  <c r="H440" i="31"/>
  <c r="G252" i="31"/>
  <c r="H252" i="31"/>
  <c r="G442" i="31"/>
  <c r="H442" i="31"/>
  <c r="G454" i="31"/>
  <c r="H454" i="31"/>
  <c r="G687" i="31"/>
  <c r="H687" i="31"/>
  <c r="G500" i="31"/>
  <c r="H500" i="31"/>
  <c r="G503" i="31"/>
  <c r="H503" i="31"/>
  <c r="G735" i="31"/>
  <c r="H735" i="31"/>
  <c r="G278" i="31"/>
  <c r="H278" i="31"/>
  <c r="G262" i="31"/>
  <c r="H262" i="31"/>
  <c r="G443" i="31"/>
  <c r="H443" i="31"/>
  <c r="G484" i="31"/>
  <c r="H484" i="31"/>
  <c r="G686" i="31"/>
  <c r="H686" i="31"/>
  <c r="G504" i="31"/>
  <c r="H504" i="31"/>
  <c r="G349" i="31"/>
  <c r="H349" i="31"/>
  <c r="G335" i="31"/>
  <c r="H335" i="31"/>
  <c r="G332" i="31"/>
  <c r="H332" i="31"/>
  <c r="G308" i="31"/>
  <c r="H308" i="31"/>
  <c r="G295" i="31"/>
  <c r="H295" i="31"/>
  <c r="G292" i="31"/>
  <c r="H292" i="31"/>
  <c r="G414" i="31"/>
  <c r="H414" i="31"/>
  <c r="G432" i="31"/>
  <c r="H432" i="31"/>
  <c r="G467" i="31"/>
  <c r="H467" i="31"/>
  <c r="G685" i="31"/>
  <c r="H685" i="31"/>
  <c r="G499" i="31"/>
  <c r="H499" i="31"/>
  <c r="G505" i="31"/>
  <c r="H505" i="31"/>
  <c r="G357" i="31"/>
  <c r="H357" i="31"/>
  <c r="G423" i="31"/>
  <c r="H423" i="31"/>
  <c r="G468" i="31"/>
  <c r="H468" i="31"/>
  <c r="G427" i="31"/>
  <c r="H427" i="31"/>
  <c r="G433" i="31"/>
  <c r="H433" i="31"/>
  <c r="G474" i="31"/>
  <c r="H474" i="31"/>
  <c r="G479" i="31"/>
  <c r="H479" i="31"/>
  <c r="G487" i="31"/>
  <c r="H487" i="31"/>
  <c r="G762" i="31"/>
  <c r="H762" i="31"/>
  <c r="G267" i="31"/>
  <c r="H267" i="31"/>
  <c r="G277" i="31"/>
  <c r="H277" i="31"/>
  <c r="G258" i="31"/>
  <c r="H258" i="31"/>
  <c r="G359" i="31"/>
  <c r="H359" i="31"/>
  <c r="G329" i="31"/>
  <c r="H329" i="31"/>
  <c r="G379" i="31"/>
  <c r="H379" i="31"/>
  <c r="G375" i="31"/>
  <c r="H375" i="31"/>
  <c r="G294" i="31"/>
  <c r="H294" i="31"/>
  <c r="G350" i="31"/>
  <c r="H350" i="31"/>
  <c r="G402" i="31"/>
  <c r="H402" i="31"/>
  <c r="G437" i="31"/>
  <c r="H437" i="31"/>
  <c r="G460" i="31"/>
  <c r="H460" i="31"/>
  <c r="G472" i="31"/>
  <c r="H472" i="31"/>
  <c r="G480" i="31"/>
  <c r="H480" i="31"/>
  <c r="G488" i="31"/>
  <c r="H488" i="31"/>
  <c r="G724" i="31"/>
  <c r="H724" i="31"/>
  <c r="G279" i="31"/>
  <c r="H279" i="31"/>
  <c r="G314" i="31"/>
  <c r="H314" i="31"/>
  <c r="G406" i="31"/>
  <c r="H406" i="31"/>
  <c r="G719" i="31"/>
  <c r="H719" i="31"/>
  <c r="G296" i="31"/>
  <c r="H296" i="31"/>
  <c r="G352" i="31"/>
  <c r="H352" i="31"/>
  <c r="G410" i="31"/>
  <c r="H410" i="31"/>
  <c r="G429" i="31"/>
  <c r="H429" i="31"/>
  <c r="G438" i="31"/>
  <c r="H438" i="31"/>
  <c r="G444" i="31"/>
  <c r="H444" i="31"/>
  <c r="G481" i="31"/>
  <c r="H481" i="31"/>
  <c r="G489" i="31"/>
  <c r="H489" i="31"/>
  <c r="G509" i="31"/>
  <c r="H509" i="31"/>
  <c r="G515" i="31"/>
  <c r="H515" i="31"/>
  <c r="G439" i="31"/>
  <c r="H439" i="31"/>
  <c r="G445" i="31"/>
  <c r="H445" i="31"/>
  <c r="G482" i="31"/>
  <c r="H482" i="31"/>
  <c r="G490" i="31"/>
  <c r="H490" i="31"/>
  <c r="G510" i="31"/>
  <c r="H510" i="31"/>
  <c r="G516" i="31"/>
  <c r="H516" i="31"/>
  <c r="G337" i="31"/>
  <c r="H337" i="31"/>
  <c r="G353" i="31"/>
  <c r="H353" i="31"/>
  <c r="G264" i="31"/>
  <c r="H264" i="31"/>
  <c r="G356" i="31"/>
  <c r="H356" i="31"/>
  <c r="G407" i="31"/>
  <c r="H407" i="31"/>
  <c r="G483" i="31"/>
  <c r="H483" i="31"/>
  <c r="G313" i="31"/>
  <c r="H313" i="31"/>
  <c r="G291" i="31"/>
  <c r="H291" i="31"/>
  <c r="G268" i="31"/>
  <c r="H268" i="31"/>
  <c r="G722" i="31"/>
  <c r="H722" i="31"/>
  <c r="G298" i="31"/>
  <c r="H298" i="31"/>
  <c r="G250" i="31"/>
  <c r="H250" i="31"/>
  <c r="G310" i="31"/>
  <c r="H310" i="31"/>
  <c r="G376" i="31"/>
  <c r="H376" i="31"/>
  <c r="G404" i="31"/>
  <c r="H404" i="31"/>
  <c r="G417" i="31"/>
  <c r="H417" i="31"/>
  <c r="G436" i="31"/>
  <c r="H436" i="31"/>
  <c r="G334" i="31"/>
  <c r="H334" i="31"/>
  <c r="G403" i="31"/>
  <c r="H403" i="31"/>
  <c r="G415" i="31"/>
  <c r="H415" i="31"/>
  <c r="G303" i="31"/>
  <c r="H303" i="31"/>
  <c r="G257" i="31"/>
  <c r="H257" i="31"/>
  <c r="G384" i="31"/>
  <c r="H384" i="31"/>
  <c r="G358" i="31"/>
  <c r="H358" i="31"/>
  <c r="G309" i="31"/>
  <c r="H309" i="31"/>
  <c r="G361" i="31"/>
  <c r="H361" i="31"/>
  <c r="G254" i="31"/>
  <c r="H254" i="31"/>
  <c r="G326" i="31"/>
  <c r="H326" i="31"/>
  <c r="G382" i="31"/>
  <c r="H382" i="31"/>
  <c r="G430" i="31"/>
  <c r="H430" i="31"/>
  <c r="G422" i="31"/>
  <c r="H422" i="31"/>
  <c r="F682" i="31"/>
  <c r="G362" i="31"/>
  <c r="H362" i="31"/>
  <c r="G311" i="31"/>
  <c r="H311" i="31"/>
  <c r="G377" i="31"/>
  <c r="H377" i="31"/>
  <c r="G723" i="31"/>
  <c r="H723" i="31"/>
  <c r="G312" i="31"/>
  <c r="H312" i="31"/>
  <c r="G378" i="31"/>
  <c r="H378" i="31"/>
  <c r="G301" i="31"/>
  <c r="H301" i="31"/>
  <c r="G299" i="31"/>
  <c r="H299" i="31"/>
  <c r="G302" i="31"/>
  <c r="H302" i="31"/>
  <c r="G315" i="31"/>
  <c r="H315" i="31"/>
  <c r="G336" i="31"/>
  <c r="H336" i="31"/>
  <c r="G328" i="31"/>
  <c r="H328" i="31"/>
  <c r="F681" i="31"/>
  <c r="G435" i="31"/>
  <c r="H435" i="31"/>
  <c r="F31" i="6"/>
  <c r="F51" i="9"/>
  <c r="G39" i="9"/>
  <c r="G6" i="9"/>
  <c r="G8" i="9"/>
  <c r="G86" i="9"/>
  <c r="G79" i="9"/>
  <c r="F115" i="9"/>
  <c r="F32" i="9"/>
  <c r="G98" i="9"/>
  <c r="G24" i="9"/>
  <c r="G124" i="9"/>
  <c r="G112" i="9"/>
  <c r="G59" i="9"/>
  <c r="G29" i="9"/>
  <c r="G104" i="9"/>
  <c r="G70" i="9"/>
  <c r="R1458" i="29"/>
  <c r="F380" i="4"/>
  <c r="G95" i="31"/>
  <c r="H95" i="31"/>
  <c r="R1679" i="29"/>
  <c r="T1679" i="29"/>
  <c r="F11" i="6"/>
  <c r="F3" i="6"/>
  <c r="F38" i="6"/>
  <c r="F97" i="6"/>
  <c r="F43" i="6"/>
  <c r="F108" i="6"/>
  <c r="F24" i="6"/>
  <c r="F62" i="6"/>
  <c r="F48" i="6"/>
  <c r="F102" i="6"/>
  <c r="F83" i="6"/>
  <c r="F79" i="6"/>
  <c r="F58" i="6"/>
  <c r="F88" i="6"/>
  <c r="F71" i="6"/>
  <c r="F105" i="6"/>
  <c r="G837" i="29"/>
  <c r="J837" i="29"/>
  <c r="D601" i="6"/>
  <c r="H718" i="31"/>
  <c r="R1869" i="29"/>
  <c r="R845" i="29"/>
  <c r="R1693" i="29"/>
  <c r="S1693" i="29"/>
  <c r="R1874" i="29"/>
  <c r="R2354" i="29"/>
  <c r="T6395" i="29"/>
  <c r="G2322" i="29"/>
  <c r="F2322" i="29"/>
  <c r="S4280" i="29"/>
  <c r="T4280" i="29"/>
  <c r="R3716" i="29"/>
  <c r="F2825" i="29"/>
  <c r="S2435" i="29"/>
  <c r="T3880" i="29"/>
  <c r="S3880" i="29"/>
  <c r="G3236" i="29"/>
  <c r="F3236" i="29"/>
  <c r="S6298" i="29"/>
  <c r="G681" i="31"/>
  <c r="H681" i="31"/>
  <c r="H251" i="31"/>
  <c r="F124" i="9"/>
  <c r="G682" i="31"/>
  <c r="H682" i="31"/>
  <c r="G768" i="31"/>
  <c r="H768" i="31"/>
  <c r="E617" i="36"/>
  <c r="C613" i="36"/>
  <c r="C614" i="36"/>
  <c r="C616" i="36"/>
  <c r="C612" i="36"/>
  <c r="C492" i="9"/>
  <c r="E1840" i="4"/>
  <c r="E493" i="9"/>
  <c r="E1841" i="4"/>
  <c r="C1845" i="4"/>
  <c r="C1843" i="4"/>
  <c r="E1842" i="4"/>
  <c r="E1844" i="4"/>
  <c r="E1835" i="4"/>
  <c r="E1838" i="4"/>
  <c r="E1837" i="4"/>
  <c r="E1836" i="4"/>
  <c r="E1834" i="4"/>
  <c r="C771" i="6"/>
  <c r="C610" i="36"/>
  <c r="C778" i="6"/>
  <c r="C1824" i="4"/>
  <c r="C601" i="36"/>
  <c r="E772" i="6"/>
  <c r="E1816" i="4"/>
  <c r="C769" i="6"/>
  <c r="C609" i="36"/>
  <c r="E777" i="6"/>
  <c r="C1823" i="4"/>
  <c r="C600" i="36"/>
  <c r="C608" i="36"/>
  <c r="C777" i="6"/>
  <c r="C766" i="6"/>
  <c r="C599" i="36"/>
  <c r="C1820" i="4"/>
  <c r="C1831" i="4"/>
  <c r="E1818" i="4"/>
  <c r="C607" i="36"/>
  <c r="E775" i="6"/>
  <c r="C487" i="9"/>
  <c r="C598" i="36"/>
  <c r="C775" i="6"/>
  <c r="C603" i="36"/>
  <c r="C331" i="10"/>
  <c r="C490" i="9"/>
  <c r="C486" i="9"/>
  <c r="E331" i="10"/>
  <c r="C489" i="9"/>
  <c r="C1821" i="4"/>
  <c r="C763" i="6"/>
  <c r="C1832" i="4"/>
  <c r="C1816" i="4"/>
  <c r="C1819" i="4"/>
  <c r="C1815" i="4"/>
  <c r="C1830" i="4"/>
  <c r="C1813" i="4"/>
  <c r="C1829" i="4"/>
  <c r="C606" i="36"/>
  <c r="C1818" i="4"/>
  <c r="C605" i="36"/>
  <c r="C1811" i="4"/>
  <c r="E335" i="10"/>
  <c r="C335" i="10"/>
  <c r="E334" i="10"/>
  <c r="C334" i="10"/>
  <c r="C336" i="10"/>
  <c r="E1828" i="4"/>
  <c r="C1817" i="4"/>
  <c r="C762" i="6"/>
  <c r="E336" i="10"/>
  <c r="C1828" i="4"/>
  <c r="C772" i="6"/>
  <c r="C1827" i="4"/>
  <c r="C1814" i="4"/>
  <c r="E768" i="6"/>
  <c r="E771" i="6"/>
  <c r="C1826" i="4"/>
  <c r="C1812" i="4"/>
  <c r="E766" i="6"/>
  <c r="C1825" i="4"/>
  <c r="C602" i="36"/>
  <c r="C768" i="6"/>
  <c r="F617" i="36"/>
  <c r="K8344" i="29"/>
  <c r="D612" i="36"/>
  <c r="C618" i="36"/>
  <c r="D616" i="36"/>
  <c r="D614" i="36"/>
  <c r="D613" i="36"/>
  <c r="K8292" i="29"/>
  <c r="D1843" i="4"/>
  <c r="D1845" i="4"/>
  <c r="D1846" i="4"/>
  <c r="C1846" i="4"/>
  <c r="G1841" i="4"/>
  <c r="G493" i="9"/>
  <c r="F493" i="9"/>
  <c r="G1840" i="4"/>
  <c r="D492" i="9"/>
  <c r="D494" i="9"/>
  <c r="C494" i="9"/>
  <c r="F1840" i="4"/>
  <c r="S8258" i="29"/>
  <c r="K8290" i="29"/>
  <c r="D788" i="6"/>
  <c r="D785" i="6"/>
  <c r="F785" i="6"/>
  <c r="K8291" i="29"/>
  <c r="F1841" i="4"/>
  <c r="F422" i="4"/>
  <c r="F575" i="4"/>
  <c r="G495" i="4"/>
  <c r="F395" i="4"/>
  <c r="F70" i="4"/>
  <c r="F583" i="4"/>
  <c r="F226" i="4"/>
  <c r="C30" i="4"/>
  <c r="F22" i="4"/>
  <c r="G422" i="4"/>
  <c r="G150" i="4"/>
  <c r="G529" i="4"/>
  <c r="G353" i="4"/>
  <c r="G326" i="4"/>
  <c r="G278" i="4"/>
  <c r="G115" i="4"/>
  <c r="G261" i="4"/>
  <c r="G244" i="4"/>
  <c r="C70" i="4"/>
  <c r="G57" i="4"/>
  <c r="C37" i="4"/>
  <c r="F584" i="4"/>
  <c r="G291" i="4"/>
  <c r="G126" i="4"/>
  <c r="G103" i="4"/>
  <c r="G380" i="4"/>
  <c r="G161" i="4"/>
  <c r="G226" i="4"/>
  <c r="F576" i="4"/>
  <c r="F550" i="4"/>
  <c r="F473" i="4"/>
  <c r="F456" i="4"/>
  <c r="G395" i="4"/>
  <c r="F340" i="4"/>
  <c r="G204" i="4"/>
  <c r="F180" i="4"/>
  <c r="F126" i="4"/>
  <c r="F103" i="4"/>
  <c r="G409" i="4"/>
  <c r="G368" i="4"/>
  <c r="G340" i="4"/>
  <c r="F244" i="4"/>
  <c r="F204" i="4"/>
  <c r="G191" i="4"/>
  <c r="G180" i="4"/>
  <c r="G80" i="4"/>
  <c r="G70" i="4"/>
  <c r="F63" i="4"/>
  <c r="F57" i="4"/>
  <c r="F50" i="4"/>
  <c r="C22" i="4"/>
  <c r="G572" i="4"/>
  <c r="F581" i="4"/>
  <c r="G512" i="4"/>
  <c r="F580" i="4"/>
  <c r="G456" i="4"/>
  <c r="G92" i="4"/>
  <c r="G1842" i="4"/>
  <c r="F1842" i="4"/>
  <c r="K8311" i="29"/>
  <c r="G1834" i="4"/>
  <c r="G1836" i="4"/>
  <c r="G1837" i="4"/>
  <c r="F1838" i="4"/>
  <c r="G1838" i="4"/>
  <c r="G1835" i="4"/>
  <c r="G1844" i="4"/>
  <c r="F1844" i="4"/>
  <c r="K8315" i="29"/>
  <c r="K8330" i="29"/>
  <c r="F1835" i="4"/>
  <c r="F1836" i="4"/>
  <c r="K8302" i="29"/>
  <c r="K8328" i="29"/>
  <c r="F1837" i="4"/>
  <c r="F1834" i="4"/>
  <c r="U8305" i="29"/>
  <c r="K8322" i="29"/>
  <c r="T8267" i="29"/>
  <c r="J8272" i="29"/>
  <c r="K8272" i="29"/>
  <c r="J8301" i="29"/>
  <c r="K8301" i="29"/>
  <c r="K8305" i="29"/>
  <c r="J8287" i="29"/>
  <c r="J8294" i="29"/>
  <c r="J8295" i="29"/>
  <c r="K8295" i="29"/>
  <c r="J8274" i="29"/>
  <c r="K8274" i="29"/>
  <c r="J8304" i="29"/>
  <c r="T8298" i="29"/>
  <c r="J8298" i="29"/>
  <c r="K8298" i="29"/>
  <c r="J8288" i="29"/>
  <c r="W8300" i="29"/>
  <c r="J8281" i="29"/>
  <c r="K8281" i="29"/>
  <c r="J8276" i="29"/>
  <c r="K8309" i="29"/>
  <c r="U8309" i="29"/>
  <c r="S8264" i="29"/>
  <c r="J8284" i="29"/>
  <c r="K8284" i="29"/>
  <c r="W8294" i="29"/>
  <c r="J8299" i="29"/>
  <c r="K8299" i="29"/>
  <c r="J8297" i="29"/>
  <c r="K8297" i="29"/>
  <c r="J8300" i="29"/>
  <c r="K8300" i="29"/>
  <c r="S8301" i="29"/>
  <c r="S8295" i="29"/>
  <c r="T8296" i="29"/>
  <c r="J8296" i="29"/>
  <c r="K8296" i="29"/>
  <c r="S8300" i="29"/>
  <c r="S8299" i="29"/>
  <c r="S8298" i="29"/>
  <c r="S8297" i="29"/>
  <c r="S8296" i="29"/>
  <c r="S8294" i="29"/>
  <c r="J8277" i="29"/>
  <c r="K8277" i="29"/>
  <c r="S8283" i="29"/>
  <c r="J8285" i="29"/>
  <c r="K8285" i="29"/>
  <c r="J8278" i="29"/>
  <c r="K8278" i="29"/>
  <c r="J8282" i="29"/>
  <c r="K8282" i="29"/>
  <c r="J8270" i="29"/>
  <c r="K8270" i="29"/>
  <c r="J8279" i="29"/>
  <c r="K8279" i="29"/>
  <c r="S8282" i="29"/>
  <c r="J8271" i="29"/>
  <c r="K8271" i="29"/>
  <c r="S8263" i="29"/>
  <c r="T8280" i="29"/>
  <c r="J8280" i="29"/>
  <c r="K8280" i="29"/>
  <c r="J8283" i="29"/>
  <c r="K8283" i="29"/>
  <c r="J8289" i="29"/>
  <c r="J8273" i="29"/>
  <c r="K8273" i="29"/>
  <c r="S8273" i="29"/>
  <c r="S8270" i="29"/>
  <c r="J8269" i="29"/>
  <c r="J8286" i="29"/>
  <c r="S8286" i="29"/>
  <c r="T8275" i="29"/>
  <c r="J8275" i="29"/>
  <c r="K8275" i="29"/>
  <c r="S8284" i="29"/>
  <c r="S8277" i="29"/>
  <c r="S8279" i="29"/>
  <c r="S8272" i="29"/>
  <c r="S8281" i="29"/>
  <c r="S8274" i="29"/>
  <c r="S8276" i="29"/>
  <c r="S8269" i="29"/>
  <c r="S8285" i="29"/>
  <c r="S8278" i="29"/>
  <c r="S8271" i="29"/>
  <c r="S8287" i="29"/>
  <c r="S8262" i="29"/>
  <c r="J8251" i="29"/>
  <c r="K8251" i="29"/>
  <c r="J8250" i="29"/>
  <c r="K8250" i="29"/>
  <c r="J8258" i="29"/>
  <c r="J8245" i="29"/>
  <c r="K8245" i="29"/>
  <c r="J8261" i="29"/>
  <c r="K8261" i="29"/>
  <c r="D610" i="36"/>
  <c r="D609" i="36"/>
  <c r="D608" i="36"/>
  <c r="D607" i="36"/>
  <c r="D606" i="36"/>
  <c r="C611" i="36"/>
  <c r="D605" i="36"/>
  <c r="D335" i="10"/>
  <c r="D334" i="10"/>
  <c r="F29" i="10"/>
  <c r="F10" i="10"/>
  <c r="F18" i="10"/>
  <c r="F27" i="10"/>
  <c r="F41" i="10"/>
  <c r="F44" i="10"/>
  <c r="E67" i="10"/>
  <c r="E68" i="10"/>
  <c r="F68" i="10"/>
  <c r="G66" i="10"/>
  <c r="F12" i="10"/>
  <c r="C337" i="10"/>
  <c r="D336" i="10"/>
  <c r="E337" i="10"/>
  <c r="D772" i="6"/>
  <c r="S8261" i="29"/>
  <c r="J8252" i="29"/>
  <c r="D775" i="6"/>
  <c r="D777" i="6"/>
  <c r="C779" i="6"/>
  <c r="D771" i="6"/>
  <c r="C776" i="6"/>
  <c r="D778" i="6"/>
  <c r="E776" i="6"/>
  <c r="D490" i="9"/>
  <c r="S8265" i="29"/>
  <c r="S8266" i="29"/>
  <c r="S8250" i="29"/>
  <c r="C491" i="9"/>
  <c r="D489" i="9"/>
  <c r="F586" i="4"/>
  <c r="F585" i="4"/>
  <c r="D1832" i="4"/>
  <c r="D1831" i="4"/>
  <c r="D1830" i="4"/>
  <c r="D1829" i="4"/>
  <c r="D1828" i="4"/>
  <c r="F1828" i="4"/>
  <c r="D1827" i="4"/>
  <c r="D1826" i="4"/>
  <c r="D1825" i="4"/>
  <c r="D1824" i="4"/>
  <c r="C1833" i="4"/>
  <c r="D1823" i="4"/>
  <c r="G1828" i="4"/>
  <c r="J8257" i="29"/>
  <c r="K8257" i="29"/>
  <c r="J8260" i="29"/>
  <c r="K8260" i="29"/>
  <c r="S8260" i="29"/>
  <c r="T8259" i="29"/>
  <c r="J8259" i="29"/>
  <c r="S8259" i="29"/>
  <c r="S8252" i="29"/>
  <c r="J8248" i="29"/>
  <c r="K8248" i="29"/>
  <c r="J8229" i="29"/>
  <c r="J8256" i="29"/>
  <c r="K8256" i="29"/>
  <c r="J8255" i="29"/>
  <c r="K8255" i="29"/>
  <c r="S8213" i="29"/>
  <c r="J8253" i="29"/>
  <c r="T8216" i="29"/>
  <c r="J8216" i="29"/>
  <c r="K8216" i="29"/>
  <c r="S8251" i="29"/>
  <c r="J8254" i="29"/>
  <c r="K8254" i="29"/>
  <c r="J8228" i="29"/>
  <c r="S8257" i="29"/>
  <c r="S8256" i="29"/>
  <c r="S8255" i="29"/>
  <c r="S8254" i="29"/>
  <c r="S8253" i="29"/>
  <c r="T8249" i="29"/>
  <c r="J8249" i="29"/>
  <c r="K8249" i="29"/>
  <c r="J8231" i="29"/>
  <c r="K8231" i="29"/>
  <c r="J8247" i="29"/>
  <c r="S8248" i="29"/>
  <c r="S8247" i="29"/>
  <c r="J8246" i="29"/>
  <c r="S8246" i="29"/>
  <c r="S8245" i="29"/>
  <c r="S8217" i="29"/>
  <c r="J8219" i="29"/>
  <c r="K8219" i="29"/>
  <c r="J8241" i="29"/>
  <c r="K8241" i="29"/>
  <c r="J8220" i="29"/>
  <c r="K8220" i="29"/>
  <c r="J8240" i="29"/>
  <c r="J8237" i="29"/>
  <c r="U8237" i="29"/>
  <c r="J8243" i="29"/>
  <c r="U8243" i="29"/>
  <c r="J8242" i="29"/>
  <c r="K8242" i="29"/>
  <c r="S8243" i="29"/>
  <c r="S8242" i="29"/>
  <c r="S8241" i="29"/>
  <c r="S8240" i="29"/>
  <c r="J8227" i="29"/>
  <c r="J8232" i="29"/>
  <c r="K8232" i="29"/>
  <c r="J8234" i="29"/>
  <c r="K8234" i="29"/>
  <c r="J8238" i="29"/>
  <c r="K8238" i="29"/>
  <c r="J8235" i="29"/>
  <c r="K8235" i="29"/>
  <c r="J8236" i="29"/>
  <c r="K8236" i="29"/>
  <c r="J8233" i="29"/>
  <c r="K8233" i="29"/>
  <c r="J8239" i="29"/>
  <c r="S8239" i="29"/>
  <c r="J8230" i="29"/>
  <c r="K8230" i="29"/>
  <c r="S8238" i="29"/>
  <c r="S8237" i="29"/>
  <c r="S8236" i="29"/>
  <c r="S8234" i="29"/>
  <c r="S8235" i="29"/>
  <c r="S8233" i="29"/>
  <c r="S8232" i="29"/>
  <c r="S8230" i="29"/>
  <c r="S8229" i="29"/>
  <c r="S8231" i="29"/>
  <c r="S8228" i="29"/>
  <c r="J8214" i="29"/>
  <c r="K8214" i="29"/>
  <c r="J8213" i="29"/>
  <c r="K8213" i="29"/>
  <c r="T8222" i="29"/>
  <c r="J8222" i="29"/>
  <c r="K8222" i="29"/>
  <c r="W8223" i="29"/>
  <c r="J8224" i="29"/>
  <c r="K8224" i="29"/>
  <c r="S8227" i="29"/>
  <c r="J8226" i="29"/>
  <c r="S8226" i="29"/>
  <c r="W8212" i="29"/>
  <c r="J8217" i="29"/>
  <c r="K8217" i="29"/>
  <c r="S8212" i="29"/>
  <c r="T8218" i="29"/>
  <c r="J8218" i="29"/>
  <c r="K8218" i="29"/>
  <c r="T8221" i="29"/>
  <c r="J8221" i="29"/>
  <c r="K8221" i="29"/>
  <c r="J8208" i="29"/>
  <c r="W8219" i="29"/>
  <c r="S8219" i="29"/>
  <c r="J8225" i="29"/>
  <c r="K8225" i="29"/>
  <c r="S8225" i="29"/>
  <c r="S8224" i="29"/>
  <c r="J8223" i="29"/>
  <c r="S8223" i="29"/>
  <c r="S8222" i="29"/>
  <c r="S8221" i="29"/>
  <c r="S8220" i="29"/>
  <c r="J8215" i="29"/>
  <c r="K8215" i="29"/>
  <c r="J8211" i="29"/>
  <c r="S8215" i="29"/>
  <c r="S8214" i="29"/>
  <c r="J8212" i="29"/>
  <c r="S8211" i="29"/>
  <c r="T8204" i="29"/>
  <c r="J8204" i="29"/>
  <c r="K8204" i="29"/>
  <c r="S8202" i="29"/>
  <c r="J8206" i="29"/>
  <c r="K8206" i="29"/>
  <c r="J8194" i="29"/>
  <c r="K8194" i="29"/>
  <c r="S8197" i="29"/>
  <c r="J8201" i="29"/>
  <c r="K8201" i="29"/>
  <c r="T8186" i="29"/>
  <c r="J8186" i="29"/>
  <c r="K8186" i="29"/>
  <c r="T8187" i="29"/>
  <c r="J8187" i="29"/>
  <c r="K8187" i="29"/>
  <c r="J8196" i="29"/>
  <c r="K8196" i="29"/>
  <c r="S8198" i="29"/>
  <c r="S8201" i="29"/>
  <c r="J8205" i="29"/>
  <c r="K8205" i="29"/>
  <c r="J8199" i="29"/>
  <c r="K8199" i="29"/>
  <c r="T8203" i="29"/>
  <c r="J8203" i="29"/>
  <c r="K8203" i="29"/>
  <c r="S8206" i="29"/>
  <c r="J8198" i="29"/>
  <c r="K8198" i="29"/>
  <c r="J8193" i="29"/>
  <c r="K8193" i="29"/>
  <c r="J8207" i="29"/>
  <c r="J8197" i="29"/>
  <c r="J8162" i="29"/>
  <c r="K8162" i="29"/>
  <c r="J8195" i="29"/>
  <c r="K8195" i="29"/>
  <c r="S8196" i="29"/>
  <c r="S8194" i="29"/>
  <c r="S8193" i="29"/>
  <c r="J8191" i="29"/>
  <c r="K8191" i="29"/>
  <c r="J8190" i="29"/>
  <c r="J8202" i="29"/>
  <c r="K8202" i="29"/>
  <c r="J8192" i="29"/>
  <c r="K8192" i="29"/>
  <c r="J8200" i="29"/>
  <c r="K8200" i="29"/>
  <c r="S8205" i="29"/>
  <c r="S8191" i="29"/>
  <c r="S8207" i="29"/>
  <c r="S8200" i="29"/>
  <c r="S8195" i="29"/>
  <c r="S8190" i="29"/>
  <c r="S8199" i="29"/>
  <c r="S8192" i="29"/>
  <c r="S8208" i="29"/>
  <c r="J8188" i="29"/>
  <c r="K8188" i="29"/>
  <c r="J8181" i="29"/>
  <c r="K8181" i="29"/>
  <c r="J8107" i="29"/>
  <c r="K8107" i="29"/>
  <c r="J8178" i="29"/>
  <c r="K8178" i="29"/>
  <c r="J8159" i="29"/>
  <c r="K8159" i="29"/>
  <c r="J8163" i="29"/>
  <c r="K8163" i="29"/>
  <c r="J8174" i="29"/>
  <c r="K8174" i="29"/>
  <c r="J8161" i="29"/>
  <c r="K8161" i="29"/>
  <c r="J8160" i="29"/>
  <c r="K8160" i="29"/>
  <c r="J8164" i="29"/>
  <c r="K8164" i="29"/>
  <c r="J8155" i="29"/>
  <c r="K8155" i="29"/>
  <c r="J8158" i="29"/>
  <c r="K8158" i="29"/>
  <c r="J8176" i="29"/>
  <c r="K8176" i="29"/>
  <c r="J8156" i="29"/>
  <c r="K8156" i="29"/>
  <c r="J8185" i="29"/>
  <c r="K8185" i="29"/>
  <c r="J8106" i="29"/>
  <c r="S8185" i="29"/>
  <c r="H153" i="31"/>
  <c r="H139" i="31"/>
  <c r="R2048" i="29"/>
  <c r="H161" i="31"/>
  <c r="R1531" i="29"/>
  <c r="S1531" i="29"/>
  <c r="R448" i="29"/>
  <c r="H727" i="31"/>
  <c r="R1829" i="29"/>
  <c r="T1829" i="29"/>
  <c r="J1829" i="29"/>
  <c r="R1616" i="29"/>
  <c r="H666" i="31"/>
  <c r="H633" i="31"/>
  <c r="R2353" i="29"/>
  <c r="R1536" i="29"/>
  <c r="S1536" i="29"/>
  <c r="R1632" i="29"/>
  <c r="S1632" i="29"/>
  <c r="H81" i="31"/>
  <c r="R688" i="29"/>
  <c r="T688" i="29"/>
  <c r="J688" i="29"/>
  <c r="R1454" i="29"/>
  <c r="R1814" i="29"/>
  <c r="S1814" i="29"/>
  <c r="H99" i="31"/>
  <c r="R1455" i="29"/>
  <c r="R2183" i="29"/>
  <c r="R1589" i="29"/>
  <c r="R1740" i="29"/>
  <c r="R1560" i="29"/>
  <c r="H127" i="31"/>
  <c r="H658" i="31"/>
  <c r="H163" i="31"/>
  <c r="H138" i="31"/>
  <c r="H65" i="31"/>
  <c r="H92" i="31"/>
  <c r="R2352" i="29"/>
  <c r="T2352" i="29"/>
  <c r="J2352" i="29"/>
  <c r="R2221" i="29"/>
  <c r="T2221" i="29"/>
  <c r="J2221" i="29"/>
  <c r="R1948" i="29"/>
  <c r="R1867" i="29"/>
  <c r="H641" i="31"/>
  <c r="R1530" i="29"/>
  <c r="S1530" i="29"/>
  <c r="R2188" i="29"/>
  <c r="R732" i="29"/>
  <c r="T732" i="29"/>
  <c r="W732" i="29"/>
  <c r="R1813" i="29"/>
  <c r="S1813" i="29"/>
  <c r="R2038" i="29"/>
  <c r="H730" i="31"/>
  <c r="R1717" i="29"/>
  <c r="S1717" i="29"/>
  <c r="R2383" i="29"/>
  <c r="T2383" i="29"/>
  <c r="J2383" i="29"/>
  <c r="R681" i="29"/>
  <c r="T681" i="29"/>
  <c r="R1730" i="29"/>
  <c r="S1730" i="29"/>
  <c r="R673" i="29"/>
  <c r="T673" i="29"/>
  <c r="W673" i="29"/>
  <c r="H600" i="31"/>
  <c r="H142" i="31"/>
  <c r="S1846" i="29"/>
  <c r="H663" i="31"/>
  <c r="H193" i="31"/>
  <c r="R2434" i="29"/>
  <c r="S2434" i="29"/>
  <c r="R999" i="29"/>
  <c r="R87" i="29"/>
  <c r="S87" i="29"/>
  <c r="R682" i="29"/>
  <c r="R2467" i="29"/>
  <c r="H623" i="31"/>
  <c r="G566" i="31"/>
  <c r="H566" i="31"/>
  <c r="R2990" i="29"/>
  <c r="S2990" i="29"/>
  <c r="G565" i="31"/>
  <c r="H565" i="31"/>
  <c r="R1892" i="29"/>
  <c r="S1892" i="29"/>
  <c r="R734" i="29"/>
  <c r="R735" i="29"/>
  <c r="S735" i="29"/>
  <c r="J735" i="29"/>
  <c r="R695" i="29"/>
  <c r="S695" i="29"/>
  <c r="H75" i="31"/>
  <c r="S1679" i="29"/>
  <c r="R1236" i="29"/>
  <c r="R1263" i="29"/>
  <c r="S1263" i="29"/>
  <c r="R2029" i="29"/>
  <c r="S2029" i="29"/>
  <c r="H184" i="31"/>
  <c r="H130" i="31"/>
  <c r="H90" i="31"/>
  <c r="H54" i="31"/>
  <c r="R1746" i="29"/>
  <c r="S1746" i="29"/>
  <c r="T1398" i="29"/>
  <c r="W1398" i="29"/>
  <c r="R1741" i="29"/>
  <c r="S1741" i="29"/>
  <c r="H147" i="31"/>
  <c r="H87" i="31"/>
  <c r="H74" i="31"/>
  <c r="R2985" i="29"/>
  <c r="T2985" i="29"/>
  <c r="J2985" i="29"/>
  <c r="K2985" i="29"/>
  <c r="R1106" i="29"/>
  <c r="S1106" i="29"/>
  <c r="R2130" i="29"/>
  <c r="T2130" i="29"/>
  <c r="J2130" i="29"/>
  <c r="K2130" i="29"/>
  <c r="R2984" i="29"/>
  <c r="S2984" i="29"/>
  <c r="H202" i="31"/>
  <c r="H136" i="31"/>
  <c r="R2156" i="29"/>
  <c r="S2156" i="29"/>
  <c r="R2082" i="29"/>
  <c r="H156" i="31"/>
  <c r="H73" i="31"/>
  <c r="R3001" i="29"/>
  <c r="T3001" i="29"/>
  <c r="J3001" i="29"/>
  <c r="R1125" i="29"/>
  <c r="S1125" i="29"/>
  <c r="R2184" i="29"/>
  <c r="S2184" i="29"/>
  <c r="T1740" i="29"/>
  <c r="J1740" i="29"/>
  <c r="R1603" i="29"/>
  <c r="S1603" i="29"/>
  <c r="R2028" i="29"/>
  <c r="T2028" i="29"/>
  <c r="J2028" i="29"/>
  <c r="K2028" i="29"/>
  <c r="R2307" i="29"/>
  <c r="S2307" i="29"/>
  <c r="R1941" i="29"/>
  <c r="S1941" i="29"/>
  <c r="H188" i="31"/>
  <c r="H58" i="31"/>
  <c r="R2981" i="29"/>
  <c r="S2981" i="29"/>
  <c r="R1947" i="29"/>
  <c r="T1947" i="29"/>
  <c r="J1947" i="29"/>
  <c r="H594" i="31"/>
  <c r="H70" i="31"/>
  <c r="T1336" i="29"/>
  <c r="J1336" i="29"/>
  <c r="K1336" i="29"/>
  <c r="R1453" i="29"/>
  <c r="S1453" i="29"/>
  <c r="R2194" i="29"/>
  <c r="T2194" i="29"/>
  <c r="J2194" i="29"/>
  <c r="K2194" i="29"/>
  <c r="R1333" i="29"/>
  <c r="S1333" i="29"/>
  <c r="H129" i="31"/>
  <c r="H107" i="31"/>
  <c r="R582" i="29"/>
  <c r="T582" i="29"/>
  <c r="W582" i="29"/>
  <c r="U582" i="29"/>
  <c r="T1813" i="29"/>
  <c r="J1813" i="29"/>
  <c r="R3002" i="29"/>
  <c r="S3002" i="29"/>
  <c r="T1571" i="29"/>
  <c r="J1571" i="29"/>
  <c r="R848" i="29"/>
  <c r="T848" i="29"/>
  <c r="J848" i="29"/>
  <c r="R1224" i="29"/>
  <c r="S1224" i="29"/>
  <c r="R2223" i="29"/>
  <c r="T2223" i="29"/>
  <c r="J2223" i="29"/>
  <c r="H647" i="31"/>
  <c r="H638" i="31"/>
  <c r="H629" i="31"/>
  <c r="H190" i="31"/>
  <c r="H145" i="31"/>
  <c r="H128" i="31"/>
  <c r="H106" i="31"/>
  <c r="H79" i="31"/>
  <c r="H593" i="31"/>
  <c r="R1534" i="29"/>
  <c r="S1534" i="29"/>
  <c r="R1907" i="29"/>
  <c r="S1907" i="29"/>
  <c r="R1848" i="29"/>
  <c r="T1848" i="29"/>
  <c r="J1848" i="29"/>
  <c r="K1848" i="29"/>
  <c r="R1152" i="29"/>
  <c r="T1152" i="29"/>
  <c r="J1152" i="29"/>
  <c r="H196" i="31"/>
  <c r="H10" i="31"/>
  <c r="R638" i="29"/>
  <c r="J638" i="29"/>
  <c r="K638" i="29"/>
  <c r="R1891" i="29"/>
  <c r="S1891" i="29"/>
  <c r="R2149" i="29"/>
  <c r="S2149" i="29"/>
  <c r="R1307" i="29"/>
  <c r="S1307" i="29"/>
  <c r="R95" i="29"/>
  <c r="S95" i="29"/>
  <c r="T1874" i="29"/>
  <c r="J1874" i="29"/>
  <c r="T1814" i="29"/>
  <c r="J1814" i="29"/>
  <c r="K1814" i="29"/>
  <c r="H124" i="31"/>
  <c r="R1441" i="29"/>
  <c r="T1441" i="29"/>
  <c r="J1441" i="29"/>
  <c r="R1410" i="29"/>
  <c r="S1410" i="29"/>
  <c r="R2980" i="29"/>
  <c r="S2980" i="29"/>
  <c r="H715" i="31"/>
  <c r="H185" i="31"/>
  <c r="H140" i="31"/>
  <c r="R1442" i="29"/>
  <c r="S1442" i="29"/>
  <c r="R805" i="29"/>
  <c r="S805" i="29"/>
  <c r="R769" i="29"/>
  <c r="S769" i="29"/>
  <c r="T1867" i="29"/>
  <c r="J1867" i="29"/>
  <c r="K1867" i="29"/>
  <c r="S1464" i="29"/>
  <c r="H655" i="31"/>
  <c r="S1109" i="29"/>
  <c r="T1109" i="29"/>
  <c r="J1109" i="29"/>
  <c r="K1109" i="29"/>
  <c r="R707" i="29"/>
  <c r="T707" i="29"/>
  <c r="H645" i="31"/>
  <c r="R1532" i="29"/>
  <c r="S1532" i="29"/>
  <c r="S1827" i="29"/>
  <c r="S1940" i="29"/>
  <c r="T1940" i="29"/>
  <c r="J1940" i="29"/>
  <c r="H38" i="31"/>
  <c r="J397" i="29"/>
  <c r="K397" i="29"/>
  <c r="R1537" i="29"/>
  <c r="S1537" i="29"/>
  <c r="S687" i="29"/>
  <c r="R1631" i="29"/>
  <c r="T1631" i="29"/>
  <c r="J1631" i="29"/>
  <c r="R2155" i="29"/>
  <c r="S2155" i="29"/>
  <c r="S1254" i="29"/>
  <c r="S779" i="29"/>
  <c r="T85" i="29"/>
  <c r="W85" i="29"/>
  <c r="U85" i="29"/>
  <c r="R1533" i="29"/>
  <c r="S1533" i="29"/>
  <c r="R1815" i="29"/>
  <c r="S1815" i="29"/>
  <c r="T1694" i="29"/>
  <c r="J1694" i="29"/>
  <c r="K1694" i="29"/>
  <c r="T1535" i="29"/>
  <c r="J1535" i="29"/>
  <c r="U1535" i="29"/>
  <c r="T722" i="29"/>
  <c r="W722" i="29"/>
  <c r="T88" i="29"/>
  <c r="W88" i="29"/>
  <c r="U88" i="29"/>
  <c r="H604" i="31"/>
  <c r="H105" i="31"/>
  <c r="H72" i="31"/>
  <c r="R1127" i="29"/>
  <c r="T1127" i="29"/>
  <c r="J1127" i="29"/>
  <c r="R2047" i="29"/>
  <c r="S2047" i="29"/>
  <c r="T1538" i="29"/>
  <c r="J1538" i="29"/>
  <c r="K1538" i="29"/>
  <c r="T1355" i="29"/>
  <c r="J1355" i="29"/>
  <c r="T1232" i="29"/>
  <c r="J1232" i="29"/>
  <c r="J779" i="29"/>
  <c r="K779" i="29"/>
  <c r="R1356" i="29"/>
  <c r="S1356" i="29"/>
  <c r="R692" i="29"/>
  <c r="T692" i="29"/>
  <c r="H628" i="31"/>
  <c r="T2989" i="29"/>
  <c r="J2989" i="29"/>
  <c r="S706" i="29"/>
  <c r="T686" i="29"/>
  <c r="J686" i="29"/>
  <c r="K686" i="29"/>
  <c r="T584" i="29"/>
  <c r="W584" i="29"/>
  <c r="U584" i="29"/>
  <c r="J448" i="29"/>
  <c r="H742" i="31"/>
  <c r="H619" i="31"/>
  <c r="H71" i="31"/>
  <c r="H63" i="31"/>
  <c r="R775" i="29"/>
  <c r="S775" i="29"/>
  <c r="S2048" i="29"/>
  <c r="T1531" i="29"/>
  <c r="J1531" i="29"/>
  <c r="K1531" i="29"/>
  <c r="R1539" i="29"/>
  <c r="S1539" i="29"/>
  <c r="S2157" i="29"/>
  <c r="T1693" i="29"/>
  <c r="J1693" i="29"/>
  <c r="S1454" i="29"/>
  <c r="T1445" i="29"/>
  <c r="J1445" i="29"/>
  <c r="T682" i="29"/>
  <c r="W682" i="29"/>
  <c r="S2977" i="29"/>
  <c r="T1333" i="29"/>
  <c r="W1333" i="29"/>
  <c r="T1309" i="29"/>
  <c r="J1309" i="29"/>
  <c r="K1309" i="29"/>
  <c r="T696" i="29"/>
  <c r="W696" i="29"/>
  <c r="U696" i="29"/>
  <c r="H721" i="31"/>
  <c r="R1847" i="29"/>
  <c r="S1847" i="29"/>
  <c r="R2186" i="29"/>
  <c r="T1460" i="29"/>
  <c r="J1460" i="29"/>
  <c r="U1460" i="29"/>
  <c r="T952" i="29"/>
  <c r="W952" i="29"/>
  <c r="T1149" i="29"/>
  <c r="J1149" i="29"/>
  <c r="U1149" i="29"/>
  <c r="T1816" i="29"/>
  <c r="J1816" i="29"/>
  <c r="U1816" i="29"/>
  <c r="S1253" i="29"/>
  <c r="H716" i="31"/>
  <c r="R1430" i="29"/>
  <c r="S1430" i="29"/>
  <c r="R1443" i="29"/>
  <c r="T1443" i="29"/>
  <c r="J1443" i="29"/>
  <c r="T1828" i="29"/>
  <c r="J1828" i="29"/>
  <c r="T1378" i="29"/>
  <c r="J1378" i="29"/>
  <c r="E98" i="10"/>
  <c r="R953" i="29"/>
  <c r="S953" i="29"/>
  <c r="R921" i="29"/>
  <c r="S921" i="29"/>
  <c r="T1615" i="29"/>
  <c r="J1615" i="29"/>
  <c r="R843" i="29"/>
  <c r="S843" i="29"/>
  <c r="R72" i="29"/>
  <c r="S72" i="29"/>
  <c r="R1830" i="29"/>
  <c r="T1830" i="29"/>
  <c r="J1830" i="29"/>
  <c r="U1830" i="29"/>
  <c r="T2115" i="29"/>
  <c r="W2115" i="29"/>
  <c r="S1739" i="29"/>
  <c r="T1472" i="29"/>
  <c r="J1472" i="29"/>
  <c r="K1472" i="29"/>
  <c r="T95" i="29"/>
  <c r="W95" i="29"/>
  <c r="U95" i="29"/>
  <c r="H12" i="31"/>
  <c r="H4" i="31"/>
  <c r="S585" i="29"/>
  <c r="R1839" i="29"/>
  <c r="S1839" i="29"/>
  <c r="T2434" i="29"/>
  <c r="J2434" i="29"/>
  <c r="T2204" i="29"/>
  <c r="J2204" i="29"/>
  <c r="S1255" i="29"/>
  <c r="S733" i="29"/>
  <c r="J733" i="29"/>
  <c r="T86" i="29"/>
  <c r="W86" i="29"/>
  <c r="U86" i="29"/>
  <c r="S1633" i="29"/>
  <c r="S2467" i="29"/>
  <c r="T2185" i="29"/>
  <c r="J2185" i="29"/>
  <c r="T1530" i="29"/>
  <c r="J1530" i="29"/>
  <c r="U1530" i="29"/>
  <c r="H141" i="31"/>
  <c r="S1604" i="29"/>
  <c r="T1456" i="29"/>
  <c r="J1456" i="29"/>
  <c r="T951" i="29"/>
  <c r="W951" i="29"/>
  <c r="S842" i="29"/>
  <c r="T804" i="29"/>
  <c r="J804" i="29"/>
  <c r="T89" i="29"/>
  <c r="W89" i="29"/>
  <c r="U89" i="29"/>
  <c r="D603" i="36"/>
  <c r="D602" i="36"/>
  <c r="D601" i="36"/>
  <c r="C604" i="36"/>
  <c r="D600" i="36"/>
  <c r="D599" i="36"/>
  <c r="D598" i="36"/>
  <c r="G83" i="10"/>
  <c r="G81" i="10"/>
  <c r="G85" i="10"/>
  <c r="C332" i="10"/>
  <c r="D331" i="10"/>
  <c r="E332" i="10"/>
  <c r="D763" i="6"/>
  <c r="D766" i="6"/>
  <c r="D768" i="6"/>
  <c r="D769" i="6"/>
  <c r="C770" i="6"/>
  <c r="D762" i="6"/>
  <c r="C767" i="6"/>
  <c r="D487" i="9"/>
  <c r="C488" i="9"/>
  <c r="D486" i="9"/>
  <c r="S8188" i="29"/>
  <c r="J8170" i="29"/>
  <c r="D1821" i="4"/>
  <c r="D1820" i="4"/>
  <c r="D1819" i="4"/>
  <c r="D1818" i="4"/>
  <c r="F1818" i="4"/>
  <c r="D1817" i="4"/>
  <c r="D1816" i="4"/>
  <c r="F1816" i="4"/>
  <c r="D1815" i="4"/>
  <c r="D1814" i="4"/>
  <c r="C1822" i="4"/>
  <c r="D1813" i="4"/>
  <c r="D1812" i="4"/>
  <c r="D1811" i="4"/>
  <c r="G1818" i="4"/>
  <c r="G1816" i="4"/>
  <c r="S7107" i="29"/>
  <c r="S8181" i="29"/>
  <c r="J8184" i="29"/>
  <c r="K8184" i="29"/>
  <c r="W4759" i="29"/>
  <c r="T8180" i="29"/>
  <c r="J8180" i="29"/>
  <c r="K8180" i="29"/>
  <c r="S8169" i="29"/>
  <c r="S8182" i="29"/>
  <c r="T5825" i="29"/>
  <c r="J5825" i="29"/>
  <c r="T8183" i="29"/>
  <c r="J8183" i="29"/>
  <c r="S8183" i="29"/>
  <c r="S8184" i="29"/>
  <c r="J8171" i="29"/>
  <c r="T6921" i="29"/>
  <c r="J6921" i="29"/>
  <c r="K6921" i="29"/>
  <c r="K85" i="29"/>
  <c r="K2986" i="29"/>
  <c r="S2880" i="29"/>
  <c r="J8173" i="29"/>
  <c r="K8173" i="29"/>
  <c r="S8173" i="29"/>
  <c r="T8179" i="29"/>
  <c r="J8179" i="29"/>
  <c r="K8179" i="29"/>
  <c r="S8155" i="29"/>
  <c r="S8156" i="29"/>
  <c r="J8172" i="29"/>
  <c r="S8174" i="29"/>
  <c r="T8177" i="29"/>
  <c r="S8178" i="29"/>
  <c r="T8175" i="29"/>
  <c r="S8176" i="29"/>
  <c r="S8172" i="29"/>
  <c r="S5093" i="29"/>
  <c r="K2642" i="29"/>
  <c r="K2612" i="29"/>
  <c r="K2381" i="29"/>
  <c r="K1701" i="29"/>
  <c r="K1032" i="29"/>
  <c r="J8149" i="29"/>
  <c r="K8149" i="29"/>
  <c r="J8153" i="29"/>
  <c r="J8142" i="29"/>
  <c r="K8142" i="29"/>
  <c r="S8171" i="29"/>
  <c r="J8167" i="29"/>
  <c r="J6188" i="29"/>
  <c r="K6188" i="29"/>
  <c r="S8170" i="29"/>
  <c r="J8137" i="29"/>
  <c r="K8137" i="29"/>
  <c r="S8167" i="29"/>
  <c r="K104" i="29"/>
  <c r="S8165" i="29"/>
  <c r="J8165" i="29"/>
  <c r="K8165" i="29"/>
  <c r="J4470" i="29"/>
  <c r="K4470" i="29"/>
  <c r="J6344" i="29"/>
  <c r="K6344" i="29"/>
  <c r="J7236" i="29"/>
  <c r="K7236" i="29"/>
  <c r="W4310" i="29"/>
  <c r="S8164" i="29"/>
  <c r="S8163" i="29"/>
  <c r="S8161" i="29"/>
  <c r="S8162" i="29"/>
  <c r="S8160" i="29"/>
  <c r="S8159" i="29"/>
  <c r="T8157" i="29"/>
  <c r="S8158" i="29"/>
  <c r="J8135" i="29"/>
  <c r="K8135" i="29"/>
  <c r="J8154" i="29"/>
  <c r="K8154" i="29"/>
  <c r="J8134" i="29"/>
  <c r="K8134" i="29"/>
  <c r="J8151" i="29"/>
  <c r="K8151" i="29"/>
  <c r="J8131" i="29"/>
  <c r="K8131" i="29"/>
  <c r="J5732" i="29"/>
  <c r="K5732" i="29"/>
  <c r="J8150" i="29"/>
  <c r="K8150" i="29"/>
  <c r="S8153" i="29"/>
  <c r="S8154" i="29"/>
  <c r="J8140" i="29"/>
  <c r="K8140" i="29"/>
  <c r="J8143" i="29"/>
  <c r="J2767" i="29"/>
  <c r="K2767" i="29"/>
  <c r="W1611" i="29"/>
  <c r="S8141" i="29"/>
  <c r="J2012" i="29"/>
  <c r="K2012" i="29"/>
  <c r="S3128" i="29"/>
  <c r="K2540" i="29"/>
  <c r="K2521" i="29"/>
  <c r="W8128" i="29"/>
  <c r="J8147" i="29"/>
  <c r="J8144" i="29"/>
  <c r="K8144" i="29"/>
  <c r="K3416" i="29"/>
  <c r="K743" i="29"/>
  <c r="J8138" i="29"/>
  <c r="J8136" i="29"/>
  <c r="J8139" i="29"/>
  <c r="J8145" i="29"/>
  <c r="S8149" i="29"/>
  <c r="J8141" i="29"/>
  <c r="K8141" i="29"/>
  <c r="T8146" i="29"/>
  <c r="J8146" i="29"/>
  <c r="K8146" i="29"/>
  <c r="T6308" i="29"/>
  <c r="J6308" i="29"/>
  <c r="U6308" i="29"/>
  <c r="T6259" i="29"/>
  <c r="W6259" i="29"/>
  <c r="W445" i="29"/>
  <c r="U445" i="29"/>
  <c r="W429" i="29"/>
  <c r="W426" i="29"/>
  <c r="W278" i="29"/>
  <c r="W5165" i="29"/>
  <c r="T5178" i="29"/>
  <c r="W5178" i="29"/>
  <c r="S8137" i="29"/>
  <c r="W932" i="29"/>
  <c r="W219" i="29"/>
  <c r="U219" i="29"/>
  <c r="W211" i="29"/>
  <c r="U211" i="29"/>
  <c r="W178" i="29"/>
  <c r="U178" i="29"/>
  <c r="W7" i="29"/>
  <c r="U7" i="29"/>
  <c r="K291" i="29"/>
  <c r="J8152" i="29"/>
  <c r="S8152" i="29"/>
  <c r="J8148" i="29"/>
  <c r="K8148" i="29"/>
  <c r="S8148" i="29"/>
  <c r="S8151" i="29"/>
  <c r="S8150" i="29"/>
  <c r="S8147" i="29"/>
  <c r="S8145" i="29"/>
  <c r="S8144" i="29"/>
  <c r="S8143" i="29"/>
  <c r="S8142" i="29"/>
  <c r="S8140" i="29"/>
  <c r="S8139" i="29"/>
  <c r="S8138" i="29"/>
  <c r="S8136" i="29"/>
  <c r="K1411" i="29"/>
  <c r="J6078" i="29"/>
  <c r="U6078" i="29"/>
  <c r="W47" i="29"/>
  <c r="U47" i="29"/>
  <c r="J5793" i="29"/>
  <c r="K5793" i="29"/>
  <c r="W5822" i="29"/>
  <c r="S1990" i="29"/>
  <c r="T4117" i="29"/>
  <c r="J4117" i="29"/>
  <c r="S2876" i="29"/>
  <c r="T6022" i="29"/>
  <c r="J6022" i="29"/>
  <c r="K6022" i="29"/>
  <c r="J2778" i="29"/>
  <c r="K2778" i="29"/>
  <c r="J5913" i="29"/>
  <c r="K5913" i="29"/>
  <c r="T5062" i="29"/>
  <c r="J5062" i="29"/>
  <c r="U5062" i="29"/>
  <c r="W183" i="29"/>
  <c r="J8129" i="29"/>
  <c r="T1677" i="29"/>
  <c r="J1677" i="29"/>
  <c r="K1677" i="29"/>
  <c r="S587" i="29"/>
  <c r="S3980" i="29"/>
  <c r="S3449" i="29"/>
  <c r="K3418" i="29"/>
  <c r="S3369" i="29"/>
  <c r="K1340" i="29"/>
  <c r="K851" i="29"/>
  <c r="J8124" i="29"/>
  <c r="J8121" i="29"/>
  <c r="K8121" i="29"/>
  <c r="S8130" i="29"/>
  <c r="S1766" i="29"/>
  <c r="S8134" i="29"/>
  <c r="T1646" i="29"/>
  <c r="J1646" i="29"/>
  <c r="K1646" i="29"/>
  <c r="T5153" i="29"/>
  <c r="J5153" i="29"/>
  <c r="J6316" i="29"/>
  <c r="K6316" i="29"/>
  <c r="S3888" i="29"/>
  <c r="T5474" i="29"/>
  <c r="W5474" i="29"/>
  <c r="T854" i="29"/>
  <c r="W854" i="29"/>
  <c r="T3221" i="29"/>
  <c r="W3221" i="29"/>
  <c r="J6203" i="29"/>
  <c r="K6203" i="29"/>
  <c r="T7024" i="29"/>
  <c r="J7024" i="29"/>
  <c r="K7024" i="29"/>
  <c r="S8135" i="29"/>
  <c r="J8133" i="29"/>
  <c r="W8133" i="29"/>
  <c r="S8133" i="29"/>
  <c r="T8132" i="29"/>
  <c r="J8132" i="29"/>
  <c r="K8132" i="29"/>
  <c r="S8131" i="29"/>
  <c r="W8130" i="29"/>
  <c r="J8130" i="29"/>
  <c r="S8129" i="29"/>
  <c r="S6227" i="29"/>
  <c r="J6220" i="29"/>
  <c r="U6220" i="29"/>
  <c r="S722" i="29"/>
  <c r="T1928" i="29"/>
  <c r="W1928" i="29"/>
  <c r="U1928" i="29"/>
  <c r="S5398" i="29"/>
  <c r="S396" i="29"/>
  <c r="J1237" i="29"/>
  <c r="K1237" i="29"/>
  <c r="T2647" i="29"/>
  <c r="J2647" i="29"/>
  <c r="K2647" i="29"/>
  <c r="T1447" i="29"/>
  <c r="W1447" i="29"/>
  <c r="S552" i="29"/>
  <c r="S830" i="29"/>
  <c r="S898" i="29"/>
  <c r="T3189" i="29"/>
  <c r="J3189" i="29"/>
  <c r="T6117" i="29"/>
  <c r="J6117" i="29"/>
  <c r="J6231" i="29"/>
  <c r="U6231" i="29"/>
  <c r="T8122" i="29"/>
  <c r="J8122" i="29"/>
  <c r="K8122" i="29"/>
  <c r="T4616" i="29"/>
  <c r="S6536" i="29"/>
  <c r="J8118" i="29"/>
  <c r="K8118" i="29"/>
  <c r="T6219" i="29"/>
  <c r="J6219" i="29"/>
  <c r="K6219" i="29"/>
  <c r="T3025" i="29"/>
  <c r="W3025" i="29"/>
  <c r="S6397" i="29"/>
  <c r="S3991" i="29"/>
  <c r="K214" i="29"/>
  <c r="T6197" i="29"/>
  <c r="J6197" i="29"/>
  <c r="K6197" i="29"/>
  <c r="S6278" i="29"/>
  <c r="S8021" i="29"/>
  <c r="T2505" i="29"/>
  <c r="J2505" i="29"/>
  <c r="K2505" i="29"/>
  <c r="J6032" i="29"/>
  <c r="K6032" i="29"/>
  <c r="J8125" i="29"/>
  <c r="T4037" i="29"/>
  <c r="J4037" i="29"/>
  <c r="T1117" i="29"/>
  <c r="W1117" i="29"/>
  <c r="U1117" i="29"/>
  <c r="S6078" i="29"/>
  <c r="S4759" i="29"/>
  <c r="S1933" i="29"/>
  <c r="T8022" i="29"/>
  <c r="J8022" i="29"/>
  <c r="K8022" i="29"/>
  <c r="T5905" i="29"/>
  <c r="J5905" i="29"/>
  <c r="K5905" i="29"/>
  <c r="J4542" i="29"/>
  <c r="K4542" i="29"/>
  <c r="J4114" i="29"/>
  <c r="K4114" i="29"/>
  <c r="J1343" i="29"/>
  <c r="U1343" i="29"/>
  <c r="T1878" i="29"/>
  <c r="J1878" i="29"/>
  <c r="K1878" i="29"/>
  <c r="T6402" i="29"/>
  <c r="J6402" i="29"/>
  <c r="T4354" i="29"/>
  <c r="W4354" i="29"/>
  <c r="T3976" i="29"/>
  <c r="J3976" i="29"/>
  <c r="K3976" i="29"/>
  <c r="T1846" i="29"/>
  <c r="J1846" i="29"/>
  <c r="J3889" i="29"/>
  <c r="K3889" i="29"/>
  <c r="T2937" i="29"/>
  <c r="J2937" i="29"/>
  <c r="K2937" i="29"/>
  <c r="S8128" i="29"/>
  <c r="J8128" i="29"/>
  <c r="T8113" i="29"/>
  <c r="J8113" i="29"/>
  <c r="T5416" i="29"/>
  <c r="W5416" i="29"/>
  <c r="J8112" i="29"/>
  <c r="K8112" i="29"/>
  <c r="T1718" i="29"/>
  <c r="W1718" i="29"/>
  <c r="U1718" i="29"/>
  <c r="T5522" i="29"/>
  <c r="W5522" i="29"/>
  <c r="S773" i="29"/>
  <c r="S426" i="29"/>
  <c r="S6230" i="29"/>
  <c r="S584" i="29"/>
  <c r="T6195" i="29"/>
  <c r="J6195" i="29"/>
  <c r="S4945" i="29"/>
  <c r="S6180" i="29"/>
  <c r="T536" i="29"/>
  <c r="W536" i="29"/>
  <c r="U536" i="29"/>
  <c r="S1090" i="29"/>
  <c r="T5220" i="29"/>
  <c r="J5220" i="29"/>
  <c r="K5220" i="29"/>
  <c r="T6295" i="29"/>
  <c r="W6295" i="29"/>
  <c r="S1037" i="29"/>
  <c r="T895" i="29"/>
  <c r="W895" i="29"/>
  <c r="U895" i="29"/>
  <c r="T1379" i="29"/>
  <c r="J1379" i="29"/>
  <c r="T5088" i="29"/>
  <c r="J5088" i="29"/>
  <c r="K5088" i="29"/>
  <c r="S1293" i="29"/>
  <c r="T5227" i="29"/>
  <c r="J5227" i="29"/>
  <c r="K5227" i="29"/>
  <c r="W1178" i="29"/>
  <c r="S1472" i="29"/>
  <c r="S1093" i="29"/>
  <c r="S6262" i="29"/>
  <c r="S5089" i="29"/>
  <c r="T985" i="29"/>
  <c r="W985" i="29"/>
  <c r="U985" i="29"/>
  <c r="S3048" i="29"/>
  <c r="S512" i="29"/>
  <c r="S6509" i="29"/>
  <c r="J6391" i="29"/>
  <c r="K6391" i="29"/>
  <c r="T5646" i="29"/>
  <c r="J5646" i="29"/>
  <c r="K5646" i="29"/>
  <c r="T5143" i="29"/>
  <c r="J5143" i="29"/>
  <c r="W3989" i="29"/>
  <c r="T8020" i="29"/>
  <c r="J8020" i="29"/>
  <c r="K8020" i="29"/>
  <c r="T6369" i="29"/>
  <c r="J6369" i="29"/>
  <c r="T6394" i="29"/>
  <c r="J6394" i="29"/>
  <c r="K6394" i="29"/>
  <c r="T5071" i="29"/>
  <c r="J5071" i="29"/>
  <c r="T6228" i="29"/>
  <c r="J6228" i="29"/>
  <c r="T313" i="29"/>
  <c r="W313" i="29"/>
  <c r="T1330" i="29"/>
  <c r="W1330" i="29"/>
  <c r="W5269" i="29"/>
  <c r="J5630" i="29"/>
  <c r="K5630" i="29"/>
  <c r="S6196" i="29"/>
  <c r="T5130" i="29"/>
  <c r="J5130" i="29"/>
  <c r="S5121" i="29"/>
  <c r="T2698" i="29"/>
  <c r="W2698" i="29"/>
  <c r="T5339" i="29"/>
  <c r="J5339" i="29"/>
  <c r="K5339" i="29"/>
  <c r="K5340" i="29"/>
  <c r="T803" i="29"/>
  <c r="J803" i="29"/>
  <c r="K803" i="29"/>
  <c r="T6480" i="29"/>
  <c r="J6480" i="29"/>
  <c r="K6480" i="29"/>
  <c r="W79" i="29"/>
  <c r="S966" i="29"/>
  <c r="S5241" i="29"/>
  <c r="T976" i="29"/>
  <c r="W976" i="29"/>
  <c r="S813" i="29"/>
  <c r="T3305" i="29"/>
  <c r="J3305" i="29"/>
  <c r="T5097" i="29"/>
  <c r="J5097" i="29"/>
  <c r="K5097" i="29"/>
  <c r="T706" i="29"/>
  <c r="J706" i="29"/>
  <c r="K706" i="29"/>
  <c r="T1315" i="29"/>
  <c r="W1315" i="29"/>
  <c r="T3416" i="29"/>
  <c r="W3416" i="29"/>
  <c r="U3416" i="29"/>
  <c r="T284" i="29"/>
  <c r="W704" i="29"/>
  <c r="U704" i="29"/>
  <c r="T8024" i="29"/>
  <c r="J8024" i="29"/>
  <c r="K8024" i="29"/>
  <c r="J8120" i="29"/>
  <c r="K8120" i="29"/>
  <c r="W253" i="29"/>
  <c r="J6361" i="29"/>
  <c r="K6361" i="29"/>
  <c r="T8117" i="29"/>
  <c r="J8117" i="29"/>
  <c r="K8117" i="29"/>
  <c r="J5639" i="29"/>
  <c r="K5639" i="29"/>
  <c r="J5394" i="29"/>
  <c r="K5394" i="29"/>
  <c r="S8034" i="29"/>
  <c r="S1132" i="29"/>
  <c r="S5957" i="29"/>
  <c r="S5077" i="29"/>
  <c r="T6447" i="29"/>
  <c r="J6447" i="29"/>
  <c r="J2514" i="29"/>
  <c r="K2514" i="29"/>
  <c r="W2159" i="29"/>
  <c r="J1643" i="29"/>
  <c r="U1643" i="29"/>
  <c r="T2156" i="29"/>
  <c r="J2156" i="29"/>
  <c r="K2156" i="29"/>
  <c r="S1456" i="29"/>
  <c r="W1093" i="29"/>
  <c r="U1093" i="29"/>
  <c r="S1435" i="29"/>
  <c r="T3390" i="29"/>
  <c r="J3390" i="29"/>
  <c r="S489" i="29"/>
  <c r="S3479" i="29"/>
  <c r="T1735" i="29"/>
  <c r="W1735" i="29"/>
  <c r="U1735" i="29"/>
  <c r="S4027" i="29"/>
  <c r="T3610" i="29"/>
  <c r="W3610" i="29"/>
  <c r="S3265" i="29"/>
  <c r="T2405" i="29"/>
  <c r="J2405" i="29"/>
  <c r="S1130" i="29"/>
  <c r="S5464" i="29"/>
  <c r="W4325" i="29"/>
  <c r="K995" i="29"/>
  <c r="W989" i="29"/>
  <c r="K855" i="29"/>
  <c r="W255" i="29"/>
  <c r="T7965" i="29"/>
  <c r="J7965" i="29"/>
  <c r="K7965" i="29"/>
  <c r="T7968" i="29"/>
  <c r="J7968" i="29"/>
  <c r="K7968" i="29"/>
  <c r="S4499" i="29"/>
  <c r="S2470" i="29"/>
  <c r="S6507" i="29"/>
  <c r="T4419" i="29"/>
  <c r="J4419" i="29"/>
  <c r="K4419" i="29"/>
  <c r="S6420" i="29"/>
  <c r="T4626" i="29"/>
  <c r="W4626" i="29"/>
  <c r="T3932" i="29"/>
  <c r="J3932" i="29"/>
  <c r="S3346" i="29"/>
  <c r="T3230" i="29"/>
  <c r="J3230" i="29"/>
  <c r="T3407" i="29"/>
  <c r="W3407" i="29"/>
  <c r="U3407" i="29"/>
  <c r="T6013" i="29"/>
  <c r="J6013" i="29"/>
  <c r="K6013" i="29"/>
  <c r="T6290" i="29"/>
  <c r="J6290" i="29"/>
  <c r="U6290" i="29"/>
  <c r="T4641" i="29"/>
  <c r="J4641" i="29"/>
  <c r="T1827" i="29"/>
  <c r="J1827" i="29"/>
  <c r="K1827" i="29"/>
  <c r="S6056" i="29"/>
  <c r="T3527" i="29"/>
  <c r="J3527" i="29"/>
  <c r="T4156" i="29"/>
  <c r="W4156" i="29"/>
  <c r="T3912" i="29"/>
  <c r="J3912" i="29"/>
  <c r="J3826" i="29"/>
  <c r="K3826" i="29"/>
  <c r="T4613" i="29"/>
  <c r="J4613" i="29"/>
  <c r="U4613" i="29"/>
  <c r="T2776" i="29"/>
  <c r="J2776" i="29"/>
  <c r="T2838" i="29"/>
  <c r="J2838" i="29"/>
  <c r="K2838" i="29"/>
  <c r="T1862" i="29"/>
  <c r="J1862" i="29"/>
  <c r="T4519" i="29"/>
  <c r="J4519" i="29"/>
  <c r="S3414" i="29"/>
  <c r="S5782" i="29"/>
  <c r="T5069" i="29"/>
  <c r="J5069" i="29"/>
  <c r="K5069" i="29"/>
  <c r="S5946" i="29"/>
  <c r="T5865" i="29"/>
  <c r="J5865" i="29"/>
  <c r="K5865" i="29"/>
  <c r="S5801" i="29"/>
  <c r="S4936" i="29"/>
  <c r="J4665" i="29"/>
  <c r="K4665" i="29"/>
  <c r="J4649" i="29"/>
  <c r="K4649" i="29"/>
  <c r="J4449" i="29"/>
  <c r="K4449" i="29"/>
  <c r="W1238" i="29"/>
  <c r="S2097" i="29"/>
  <c r="S4689" i="29"/>
  <c r="S6010" i="29"/>
  <c r="T4547" i="29"/>
  <c r="J4547" i="29"/>
  <c r="S3897" i="29"/>
  <c r="S1595" i="29"/>
  <c r="W1620" i="29"/>
  <c r="T2009" i="29"/>
  <c r="J2009" i="29"/>
  <c r="S3099" i="29"/>
  <c r="T1462" i="29"/>
  <c r="J1462" i="29"/>
  <c r="K837" i="29"/>
  <c r="S6225" i="29"/>
  <c r="S3299" i="29"/>
  <c r="S3026" i="29"/>
  <c r="T5047" i="29"/>
  <c r="J5047" i="29"/>
  <c r="K5047" i="29"/>
  <c r="T5816" i="29"/>
  <c r="J5816" i="29"/>
  <c r="T6224" i="29"/>
  <c r="J6224" i="29"/>
  <c r="K6224" i="29"/>
  <c r="T4064" i="29"/>
  <c r="W4064" i="29"/>
  <c r="T4752" i="29"/>
  <c r="J4752" i="29"/>
  <c r="T270" i="29"/>
  <c r="W270" i="29"/>
  <c r="U270" i="29"/>
  <c r="J5147" i="29"/>
  <c r="K5147" i="29"/>
  <c r="T1453" i="29"/>
  <c r="J1453" i="29"/>
  <c r="K1453" i="29"/>
  <c r="S6256" i="29"/>
  <c r="S5072" i="29"/>
  <c r="S1444" i="29"/>
  <c r="T5670" i="29"/>
  <c r="J5670" i="29"/>
  <c r="K5670" i="29"/>
  <c r="T840" i="29"/>
  <c r="W840" i="29"/>
  <c r="U840" i="29"/>
  <c r="S4919" i="29"/>
  <c r="S469" i="29"/>
  <c r="T6187" i="29"/>
  <c r="J6187" i="29"/>
  <c r="K6187" i="29"/>
  <c r="S6079" i="29"/>
  <c r="S5260" i="29"/>
  <c r="W1312" i="29"/>
  <c r="T392" i="29"/>
  <c r="W392" i="29"/>
  <c r="T4215" i="29"/>
  <c r="J4215" i="29"/>
  <c r="T2375" i="29"/>
  <c r="J2375" i="29"/>
  <c r="K2375" i="29"/>
  <c r="T1450" i="29"/>
  <c r="J1450" i="29"/>
  <c r="K1450" i="29"/>
  <c r="S2858" i="29"/>
  <c r="W5123" i="29"/>
  <c r="S1135" i="29"/>
  <c r="S1720" i="29"/>
  <c r="S6317" i="29"/>
  <c r="S1228" i="29"/>
  <c r="S2857" i="29"/>
  <c r="T3004" i="29"/>
  <c r="J3004" i="29"/>
  <c r="S1033" i="29"/>
  <c r="S1283" i="29"/>
  <c r="T1308" i="29"/>
  <c r="J1308" i="29"/>
  <c r="U1308" i="29"/>
  <c r="T6373" i="29"/>
  <c r="J6373" i="29"/>
  <c r="T943" i="29"/>
  <c r="S5849" i="29"/>
  <c r="T5496" i="29"/>
  <c r="J5496" i="29"/>
  <c r="J4317" i="29"/>
  <c r="K4317" i="29"/>
  <c r="J3989" i="29"/>
  <c r="K3989" i="29"/>
  <c r="J3781" i="29"/>
  <c r="K3781" i="29"/>
  <c r="J3739" i="29"/>
  <c r="K3739" i="29"/>
  <c r="K1352" i="29"/>
  <c r="W1327" i="29"/>
  <c r="U1327" i="29"/>
  <c r="K1244" i="29"/>
  <c r="J1179" i="29"/>
  <c r="U1179" i="29"/>
  <c r="K359" i="29"/>
  <c r="K329" i="29"/>
  <c r="K297" i="29"/>
  <c r="K191" i="29"/>
  <c r="W49" i="29"/>
  <c r="U49" i="29"/>
  <c r="J6227" i="29"/>
  <c r="K6227" i="29"/>
  <c r="T5132" i="29"/>
  <c r="W5132" i="29"/>
  <c r="T6043" i="29"/>
  <c r="J6043" i="29"/>
  <c r="K6043" i="29"/>
  <c r="S2681" i="29"/>
  <c r="T2713" i="29"/>
  <c r="J2713" i="29"/>
  <c r="T5033" i="29"/>
  <c r="J5033" i="29"/>
  <c r="K5033" i="29"/>
  <c r="S299" i="29"/>
  <c r="T532" i="29"/>
  <c r="W532" i="29"/>
  <c r="U532" i="29"/>
  <c r="T1893" i="29"/>
  <c r="J1893" i="29"/>
  <c r="S6040" i="29"/>
  <c r="S5589" i="29"/>
  <c r="S4997" i="29"/>
  <c r="S5086" i="29"/>
  <c r="S2921" i="29"/>
  <c r="T5289" i="29"/>
  <c r="W5289" i="29"/>
  <c r="T5821" i="29"/>
  <c r="J5821" i="29"/>
  <c r="K5821" i="29"/>
  <c r="S2722" i="29"/>
  <c r="S1769" i="29"/>
  <c r="T3181" i="29"/>
  <c r="J3181" i="29"/>
  <c r="T3552" i="29"/>
  <c r="W3552" i="29"/>
  <c r="K3263" i="29"/>
  <c r="T3091" i="29"/>
  <c r="J3091" i="29"/>
  <c r="T3023" i="29"/>
  <c r="W3023" i="29"/>
  <c r="K1044" i="29"/>
  <c r="K572" i="29"/>
  <c r="K565" i="29"/>
  <c r="K546" i="29"/>
  <c r="J8119" i="29"/>
  <c r="K8119" i="29"/>
  <c r="S8125" i="29"/>
  <c r="J8111" i="29"/>
  <c r="K8111" i="29"/>
  <c r="T8110" i="29"/>
  <c r="J8110" i="29"/>
  <c r="K8110" i="29"/>
  <c r="J8108" i="29"/>
  <c r="K8108" i="29"/>
  <c r="S8106" i="29"/>
  <c r="S8121" i="29"/>
  <c r="S8107" i="29"/>
  <c r="T8114" i="29"/>
  <c r="J8114" i="29"/>
  <c r="K8114" i="29"/>
  <c r="T8123" i="29"/>
  <c r="J8123" i="29"/>
  <c r="T8116" i="29"/>
  <c r="J8116" i="29"/>
  <c r="K8116" i="29"/>
  <c r="T8109" i="29"/>
  <c r="J8109" i="29"/>
  <c r="K8109" i="29"/>
  <c r="S8118" i="29"/>
  <c r="S8111" i="29"/>
  <c r="S8120" i="29"/>
  <c r="S8112" i="29"/>
  <c r="S8108" i="29"/>
  <c r="T8115" i="29"/>
  <c r="J8115" i="29"/>
  <c r="K8115" i="29"/>
  <c r="S8124" i="29"/>
  <c r="S8119" i="29"/>
  <c r="K488" i="29"/>
  <c r="K363" i="29"/>
  <c r="K285" i="29"/>
  <c r="S6318" i="29"/>
  <c r="T6331" i="29"/>
  <c r="J6331" i="29"/>
  <c r="K6331" i="29"/>
  <c r="T2259" i="29"/>
  <c r="W2259" i="29"/>
  <c r="T5478" i="29"/>
  <c r="J5478" i="29"/>
  <c r="K5478" i="29"/>
  <c r="T1248" i="29"/>
  <c r="W1248" i="29"/>
  <c r="T7795" i="29"/>
  <c r="J7795" i="29"/>
  <c r="K7795" i="29"/>
  <c r="T7852" i="29"/>
  <c r="J7852" i="29"/>
  <c r="K7852" i="29"/>
  <c r="T1910" i="29"/>
  <c r="W1910" i="29"/>
  <c r="U1910" i="29"/>
  <c r="T6302" i="29"/>
  <c r="J6302" i="29"/>
  <c r="U6302" i="29"/>
  <c r="T983" i="29"/>
  <c r="W983" i="29"/>
  <c r="S5883" i="29"/>
  <c r="S6426" i="29"/>
  <c r="S6458" i="29"/>
  <c r="T5673" i="29"/>
  <c r="J5673" i="29"/>
  <c r="K5673" i="29"/>
  <c r="T6283" i="29"/>
  <c r="J6283" i="29"/>
  <c r="K6283" i="29"/>
  <c r="T5889" i="29"/>
  <c r="J5889" i="29"/>
  <c r="K5889" i="29"/>
  <c r="S6220" i="29"/>
  <c r="T359" i="29"/>
  <c r="W359" i="29"/>
  <c r="U359" i="29"/>
  <c r="S2803" i="29"/>
  <c r="T481" i="29"/>
  <c r="W481" i="29"/>
  <c r="U481" i="29"/>
  <c r="T585" i="29"/>
  <c r="W585" i="29"/>
  <c r="U585" i="29"/>
  <c r="T4321" i="29"/>
  <c r="J4321" i="29"/>
  <c r="S2522" i="29"/>
  <c r="T5961" i="29"/>
  <c r="J5961" i="29"/>
  <c r="S6006" i="29"/>
  <c r="T2936" i="29"/>
  <c r="J2936" i="29"/>
  <c r="T6367" i="29"/>
  <c r="J6367" i="29"/>
  <c r="K6367" i="29"/>
  <c r="S323" i="29"/>
  <c r="T5843" i="29"/>
  <c r="J5843" i="29"/>
  <c r="K5843" i="29"/>
  <c r="T1913" i="29"/>
  <c r="W1913" i="29"/>
  <c r="T5495" i="29"/>
  <c r="J5495" i="29"/>
  <c r="K5495" i="29"/>
  <c r="T7859" i="29"/>
  <c r="J7859" i="29"/>
  <c r="S3347" i="29"/>
  <c r="S6316" i="29"/>
  <c r="T1302" i="29"/>
  <c r="W1302" i="29"/>
  <c r="U1302" i="29"/>
  <c r="S5504" i="29"/>
  <c r="S2096" i="29"/>
  <c r="S932" i="29"/>
  <c r="S1050" i="29"/>
  <c r="W469" i="29"/>
  <c r="S3595" i="29"/>
  <c r="T2498" i="29"/>
  <c r="W2498" i="29"/>
  <c r="W1489" i="29"/>
  <c r="S2316" i="29"/>
  <c r="T6300" i="29"/>
  <c r="J6300" i="29"/>
  <c r="S1376" i="29"/>
  <c r="S6334" i="29"/>
  <c r="S2410" i="29"/>
  <c r="S6188" i="29"/>
  <c r="S6364" i="29"/>
  <c r="T1440" i="29"/>
  <c r="J1440" i="29"/>
  <c r="T3708" i="29"/>
  <c r="J3708" i="29"/>
  <c r="S6361" i="29"/>
  <c r="T6270" i="29"/>
  <c r="J6270" i="29"/>
  <c r="K6270" i="29"/>
  <c r="T1100" i="29"/>
  <c r="W1100" i="29"/>
  <c r="T1200" i="29"/>
  <c r="W1200" i="29"/>
  <c r="S4629" i="29"/>
  <c r="T1256" i="29"/>
  <c r="W1256" i="29"/>
  <c r="S6203" i="29"/>
  <c r="S1354" i="29"/>
  <c r="T3720" i="29"/>
  <c r="J3720" i="29"/>
  <c r="S278" i="29"/>
  <c r="T3662" i="29"/>
  <c r="J3662" i="29"/>
  <c r="K3662" i="29"/>
  <c r="S4413" i="29"/>
  <c r="T4071" i="29"/>
  <c r="J4071" i="29"/>
  <c r="K4071" i="29"/>
  <c r="S5394" i="29"/>
  <c r="T3029" i="29"/>
  <c r="J3029" i="29"/>
  <c r="K3029" i="29"/>
  <c r="T2171" i="29"/>
  <c r="W2171" i="29"/>
  <c r="S1084" i="29"/>
  <c r="S6113" i="29"/>
  <c r="S5203" i="29"/>
  <c r="T3869" i="29"/>
  <c r="J3869" i="29"/>
  <c r="K3869" i="29"/>
  <c r="S1371" i="29"/>
  <c r="T5336" i="29"/>
  <c r="J5336" i="29"/>
  <c r="K5336" i="29"/>
  <c r="T6025" i="29"/>
  <c r="J6025" i="29"/>
  <c r="K6025" i="29"/>
  <c r="J4571" i="29"/>
  <c r="K4571" i="29"/>
  <c r="J4246" i="29"/>
  <c r="K4246" i="29"/>
  <c r="W2845" i="29"/>
  <c r="K2553" i="29"/>
  <c r="W2094" i="29"/>
  <c r="K1090" i="29"/>
  <c r="K438" i="29"/>
  <c r="K413" i="29"/>
  <c r="W107" i="29"/>
  <c r="S5515" i="29"/>
  <c r="T786" i="29"/>
  <c r="W786" i="29"/>
  <c r="U786" i="29"/>
  <c r="S1183" i="29"/>
  <c r="S6391" i="29"/>
  <c r="T3415" i="29"/>
  <c r="J3415" i="29"/>
  <c r="U3415" i="29"/>
  <c r="T7299" i="29"/>
  <c r="J7299" i="29"/>
  <c r="K7299" i="29"/>
  <c r="T3367" i="29"/>
  <c r="W3367" i="29"/>
  <c r="T3351" i="29"/>
  <c r="W3351" i="29"/>
  <c r="U3351" i="29"/>
  <c r="T6082" i="29"/>
  <c r="J6082" i="29"/>
  <c r="K6082" i="29"/>
  <c r="S519" i="29"/>
  <c r="S1648" i="29"/>
  <c r="T908" i="29"/>
  <c r="J908" i="29"/>
  <c r="T6221" i="29"/>
  <c r="J6221" i="29"/>
  <c r="K6221" i="29"/>
  <c r="T2340" i="29"/>
  <c r="W2340" i="29"/>
  <c r="U2340" i="29"/>
  <c r="S445" i="29"/>
  <c r="S6476" i="29"/>
  <c r="J1783" i="29"/>
  <c r="K1783" i="29"/>
  <c r="T5937" i="29"/>
  <c r="J5937" i="29"/>
  <c r="K5937" i="29"/>
  <c r="K278" i="29"/>
  <c r="T7857" i="29"/>
  <c r="J7857" i="29"/>
  <c r="K7857" i="29"/>
  <c r="S5100" i="29"/>
  <c r="S6336" i="29"/>
  <c r="T6285" i="29"/>
  <c r="J6285" i="29"/>
  <c r="T4587" i="29"/>
  <c r="W4587" i="29"/>
  <c r="S6296" i="29"/>
  <c r="S5107" i="29"/>
  <c r="T2351" i="29"/>
  <c r="W2351" i="29"/>
  <c r="T2301" i="29"/>
  <c r="J2301" i="29"/>
  <c r="K2301" i="29"/>
  <c r="S3100" i="29"/>
  <c r="S496" i="29"/>
  <c r="S287" i="29"/>
  <c r="T4180" i="29"/>
  <c r="J4180" i="29"/>
  <c r="K4180" i="29"/>
  <c r="S4145" i="29"/>
  <c r="T2232" i="29"/>
  <c r="J2232" i="29"/>
  <c r="K2232" i="29"/>
  <c r="T3282" i="29"/>
  <c r="J3282" i="29"/>
  <c r="U3282" i="29"/>
  <c r="S2465" i="29"/>
  <c r="T3251" i="29"/>
  <c r="J3251" i="29"/>
  <c r="T5302" i="29"/>
  <c r="J5302" i="29"/>
  <c r="K5302" i="29"/>
  <c r="T1487" i="29"/>
  <c r="W1487" i="29"/>
  <c r="S5165" i="29"/>
  <c r="S4683" i="29"/>
  <c r="T1408" i="29"/>
  <c r="W1408" i="29"/>
  <c r="T1268" i="29"/>
  <c r="J1268" i="29"/>
  <c r="S686" i="29"/>
  <c r="S5249" i="29"/>
  <c r="J2577" i="29"/>
  <c r="U2577" i="29"/>
  <c r="J1540" i="29"/>
  <c r="K1540" i="29"/>
  <c r="K1469" i="29"/>
  <c r="K1360" i="29"/>
  <c r="S1111" i="29"/>
  <c r="W1052" i="29"/>
  <c r="K922" i="29"/>
  <c r="K910" i="29"/>
  <c r="W859" i="29"/>
  <c r="K744" i="29"/>
  <c r="K696" i="29"/>
  <c r="K641" i="29"/>
  <c r="J6120" i="29"/>
  <c r="J6318" i="29"/>
  <c r="K6318" i="29"/>
  <c r="S2146" i="29"/>
  <c r="T1370" i="29"/>
  <c r="W1370" i="29"/>
  <c r="U1370" i="29"/>
  <c r="T4423" i="29"/>
  <c r="W4423" i="29"/>
  <c r="S6253" i="29"/>
  <c r="S2196" i="29"/>
  <c r="S807" i="29"/>
  <c r="T1103" i="29"/>
  <c r="W1103" i="29"/>
  <c r="U1103" i="29"/>
  <c r="S6235" i="29"/>
  <c r="T6303" i="29"/>
  <c r="J6303" i="29"/>
  <c r="T2615" i="29"/>
  <c r="W2615" i="29"/>
  <c r="U2615" i="29"/>
  <c r="S3765" i="29"/>
  <c r="S2966" i="29"/>
  <c r="T4289" i="29"/>
  <c r="W4289" i="29"/>
  <c r="S5630" i="29"/>
  <c r="T5519" i="29"/>
  <c r="J5519" i="29"/>
  <c r="K5519" i="29"/>
  <c r="S3552" i="29"/>
  <c r="T982" i="29"/>
  <c r="J982" i="29"/>
  <c r="S2716" i="29"/>
  <c r="S311" i="29"/>
  <c r="S4571" i="29"/>
  <c r="S2677" i="29"/>
  <c r="T3803" i="29"/>
  <c r="J3803" i="29"/>
  <c r="S791" i="29"/>
  <c r="S5669" i="29"/>
  <c r="W261" i="29"/>
  <c r="U261" i="29"/>
  <c r="W242" i="29"/>
  <c r="T7312" i="29"/>
  <c r="J7312" i="29"/>
  <c r="S6344" i="29"/>
  <c r="S6355" i="29"/>
  <c r="T6321" i="29"/>
  <c r="W6321" i="29"/>
  <c r="S2692" i="29"/>
  <c r="T2661" i="29"/>
  <c r="J2661" i="29"/>
  <c r="K2661" i="29"/>
  <c r="T5553" i="29"/>
  <c r="J5553" i="29"/>
  <c r="T4458" i="29"/>
  <c r="W4458" i="29"/>
  <c r="T6410" i="29"/>
  <c r="J6410" i="29"/>
  <c r="K6410" i="29"/>
  <c r="T6150" i="29"/>
  <c r="J6150" i="29"/>
  <c r="T6401" i="29"/>
  <c r="J6401" i="29"/>
  <c r="S882" i="29"/>
  <c r="T4053" i="29"/>
  <c r="W4053" i="29"/>
  <c r="S4541" i="29"/>
  <c r="S879" i="29"/>
  <c r="T6236" i="29"/>
  <c r="J6236" i="29"/>
  <c r="K6236" i="29"/>
  <c r="T677" i="29"/>
  <c r="W677" i="29"/>
  <c r="S4024" i="29"/>
  <c r="T4700" i="29"/>
  <c r="T1662" i="29"/>
  <c r="W1662" i="29"/>
  <c r="S2931" i="29"/>
  <c r="T5272" i="29"/>
  <c r="J5272" i="29"/>
  <c r="T5956" i="29"/>
  <c r="J5956" i="29"/>
  <c r="K5956" i="29"/>
  <c r="T5473" i="29"/>
  <c r="J5473" i="29"/>
  <c r="K5473" i="29"/>
  <c r="S947" i="29"/>
  <c r="W162" i="29"/>
  <c r="U162" i="29"/>
  <c r="S4998" i="29"/>
  <c r="T622" i="29"/>
  <c r="W622" i="29"/>
  <c r="U622" i="29"/>
  <c r="S2707" i="29"/>
  <c r="S3663" i="29"/>
  <c r="S4638" i="29"/>
  <c r="S5976" i="29"/>
  <c r="S5732" i="29"/>
  <c r="T3197" i="29"/>
  <c r="J3197" i="29"/>
  <c r="K943" i="29"/>
  <c r="K881" i="29"/>
  <c r="K793" i="29"/>
  <c r="K514" i="29"/>
  <c r="T504" i="29"/>
  <c r="W504" i="29"/>
  <c r="U504" i="29"/>
  <c r="S2781" i="29"/>
  <c r="T3392" i="29"/>
  <c r="J3392" i="29"/>
  <c r="S4139" i="29"/>
  <c r="S2430" i="29"/>
  <c r="T5509" i="29"/>
  <c r="J5509" i="29"/>
  <c r="U5509" i="29"/>
  <c r="T4789" i="29"/>
  <c r="J4789" i="29"/>
  <c r="K4789" i="29"/>
  <c r="S4789" i="29"/>
  <c r="T4062" i="29"/>
  <c r="J4062" i="29"/>
  <c r="K4062" i="29"/>
  <c r="S4062" i="29"/>
  <c r="S3977" i="29"/>
  <c r="T3939" i="29"/>
  <c r="J3939" i="29"/>
  <c r="K3939" i="29"/>
  <c r="S3939" i="29"/>
  <c r="T3626" i="29"/>
  <c r="W3626" i="29"/>
  <c r="U3626" i="29"/>
  <c r="S3382" i="29"/>
  <c r="T3382" i="29"/>
  <c r="W3382" i="29"/>
  <c r="S3082" i="29"/>
  <c r="T3082" i="29"/>
  <c r="J3082" i="29"/>
  <c r="S2953" i="29"/>
  <c r="T2953" i="29"/>
  <c r="W2953" i="29"/>
  <c r="T2947" i="29"/>
  <c r="J2947" i="29"/>
  <c r="K2947" i="29"/>
  <c r="S2397" i="29"/>
  <c r="T2397" i="29"/>
  <c r="W2397" i="29"/>
  <c r="T2010" i="29"/>
  <c r="W2010" i="29"/>
  <c r="U2010" i="29"/>
  <c r="S2010" i="29"/>
  <c r="S1977" i="29"/>
  <c r="T1977" i="29"/>
  <c r="W1977" i="29"/>
  <c r="U1977" i="29"/>
  <c r="S1229" i="29"/>
  <c r="T1229" i="29"/>
  <c r="W1229" i="29"/>
  <c r="U1229" i="29"/>
  <c r="T8019" i="29"/>
  <c r="J8019" i="29"/>
  <c r="K8019" i="29"/>
  <c r="S3572" i="29"/>
  <c r="T3572" i="29"/>
  <c r="J3572" i="29"/>
  <c r="S3241" i="29"/>
  <c r="T3241" i="29"/>
  <c r="J3241" i="29"/>
  <c r="S1880" i="29"/>
  <c r="T1880" i="29"/>
  <c r="W1880" i="29"/>
  <c r="T5388" i="29"/>
  <c r="J5388" i="29"/>
  <c r="S5388" i="29"/>
  <c r="S3623" i="29"/>
  <c r="T3623" i="29"/>
  <c r="J3623" i="29"/>
  <c r="S6722" i="29"/>
  <c r="T6722" i="29"/>
  <c r="J6722" i="29"/>
  <c r="K6722" i="29"/>
  <c r="T6742" i="29"/>
  <c r="J6742" i="29"/>
  <c r="K6742" i="29"/>
  <c r="S6742" i="29"/>
  <c r="T2386" i="29"/>
  <c r="J2386" i="29"/>
  <c r="T4307" i="29"/>
  <c r="J4307" i="29"/>
  <c r="K4307" i="29"/>
  <c r="S4307" i="29"/>
  <c r="S3215" i="29"/>
  <c r="T3215" i="29"/>
  <c r="J3215" i="29"/>
  <c r="U3215" i="29"/>
  <c r="T2755" i="29"/>
  <c r="J2755" i="29"/>
  <c r="S2755" i="29"/>
  <c r="T3427" i="29"/>
  <c r="J3427" i="29"/>
  <c r="U3427" i="29"/>
  <c r="S2001" i="29"/>
  <c r="T3466" i="29"/>
  <c r="J3466" i="29"/>
  <c r="S3466" i="29"/>
  <c r="T3166" i="29"/>
  <c r="W3166" i="29"/>
  <c r="S3166" i="29"/>
  <c r="T2546" i="29"/>
  <c r="J2546" i="29"/>
  <c r="S2546" i="29"/>
  <c r="S2361" i="29"/>
  <c r="T2361" i="29"/>
  <c r="J2361" i="29"/>
  <c r="T2354" i="29"/>
  <c r="J2354" i="29"/>
  <c r="U2354" i="29"/>
  <c r="S2354" i="29"/>
  <c r="S2285" i="29"/>
  <c r="T2285" i="29"/>
  <c r="J2285" i="29"/>
  <c r="T1915" i="29"/>
  <c r="W1915" i="29"/>
  <c r="S1915" i="29"/>
  <c r="T1909" i="29"/>
  <c r="J1909" i="29"/>
  <c r="K1909" i="29"/>
  <c r="S1909" i="29"/>
  <c r="T1806" i="29"/>
  <c r="W1806" i="29"/>
  <c r="S1806" i="29"/>
  <c r="T1770" i="29"/>
  <c r="W1770" i="29"/>
  <c r="U1770" i="29"/>
  <c r="S1770" i="29"/>
  <c r="T1589" i="29"/>
  <c r="J1589" i="29"/>
  <c r="S1589" i="29"/>
  <c r="S2554" i="29"/>
  <c r="T2646" i="29"/>
  <c r="J2646" i="29"/>
  <c r="K2646" i="29"/>
  <c r="S1865" i="29"/>
  <c r="T3775" i="29"/>
  <c r="J3775" i="29"/>
  <c r="U3775" i="29"/>
  <c r="T4430" i="29"/>
  <c r="J4430" i="29"/>
  <c r="K4430" i="29"/>
  <c r="S2845" i="29"/>
  <c r="S4410" i="29"/>
  <c r="T3499" i="29"/>
  <c r="W3499" i="29"/>
  <c r="U3499" i="29"/>
  <c r="T1756" i="29"/>
  <c r="W1756" i="29"/>
  <c r="U1756" i="29"/>
  <c r="T5362" i="29"/>
  <c r="W5362" i="29"/>
  <c r="T5738" i="29"/>
  <c r="J5738" i="29"/>
  <c r="S5738" i="29"/>
  <c r="S5787" i="29"/>
  <c r="T5787" i="29"/>
  <c r="J5787" i="29"/>
  <c r="S6277" i="29"/>
  <c r="T6277" i="29"/>
  <c r="J6277" i="29"/>
  <c r="K6277" i="29"/>
  <c r="T6465" i="29"/>
  <c r="J6465" i="29"/>
  <c r="K6465" i="29"/>
  <c r="S6465" i="29"/>
  <c r="S6478" i="29"/>
  <c r="T6478" i="29"/>
  <c r="J6478" i="29"/>
  <c r="K6478" i="29"/>
  <c r="T3753" i="29"/>
  <c r="J3753" i="29"/>
  <c r="U3753" i="29"/>
  <c r="S3753" i="29"/>
  <c r="T5402" i="29"/>
  <c r="J5402" i="29"/>
  <c r="S5402" i="29"/>
  <c r="S3111" i="29"/>
  <c r="T3111" i="29"/>
  <c r="J3111" i="29"/>
  <c r="K3111" i="29"/>
  <c r="S1867" i="29"/>
  <c r="S3616" i="29"/>
  <c r="T3616" i="29"/>
  <c r="J3616" i="29"/>
  <c r="S3094" i="29"/>
  <c r="T3094" i="29"/>
  <c r="W3094" i="29"/>
  <c r="S2790" i="29"/>
  <c r="T826" i="29"/>
  <c r="W826" i="29"/>
  <c r="T4120" i="29"/>
  <c r="W4120" i="29"/>
  <c r="U4120" i="29"/>
  <c r="T4604" i="29"/>
  <c r="J4604" i="29"/>
  <c r="K4604" i="29"/>
  <c r="T3591" i="29"/>
  <c r="J3591" i="29"/>
  <c r="T343" i="29"/>
  <c r="W343" i="29"/>
  <c r="U343" i="29"/>
  <c r="S2864" i="29"/>
  <c r="T2864" i="29"/>
  <c r="J2864" i="29"/>
  <c r="K2864" i="29"/>
  <c r="T2616" i="29"/>
  <c r="W2616" i="29"/>
  <c r="S2616" i="29"/>
  <c r="S2444" i="29"/>
  <c r="T2444" i="29"/>
  <c r="J2444" i="29"/>
  <c r="K2444" i="29"/>
  <c r="S6419" i="29"/>
  <c r="T6419" i="29"/>
  <c r="J6419" i="29"/>
  <c r="K6419" i="29"/>
  <c r="S4470" i="29"/>
  <c r="S5123" i="29"/>
  <c r="S5147" i="29"/>
  <c r="S3964" i="29"/>
  <c r="S2199" i="29"/>
  <c r="T4924" i="29"/>
  <c r="J4924" i="29"/>
  <c r="U4924" i="29"/>
  <c r="T3420" i="29"/>
  <c r="J3420" i="29"/>
  <c r="J2094" i="29"/>
  <c r="K2094" i="29"/>
  <c r="J6010" i="29"/>
  <c r="K6010" i="29"/>
  <c r="S6392" i="29"/>
  <c r="T6392" i="29"/>
  <c r="J6392" i="29"/>
  <c r="S896" i="29"/>
  <c r="T896" i="29"/>
  <c r="W896" i="29"/>
  <c r="U896" i="29"/>
  <c r="T301" i="29"/>
  <c r="W301" i="29"/>
  <c r="U301" i="29"/>
  <c r="S301" i="29"/>
  <c r="S5622" i="29"/>
  <c r="T1734" i="29"/>
  <c r="W1734" i="29"/>
  <c r="S1734" i="29"/>
  <c r="W666" i="29"/>
  <c r="U666" i="29"/>
  <c r="T4697" i="29"/>
  <c r="J4697" i="29"/>
  <c r="K4697" i="29"/>
  <c r="S4697" i="29"/>
  <c r="S4512" i="29"/>
  <c r="T4512" i="29"/>
  <c r="J4512" i="29"/>
  <c r="S3929" i="29"/>
  <c r="T3929" i="29"/>
  <c r="W3929" i="29"/>
  <c r="T4966" i="29"/>
  <c r="J4966" i="29"/>
  <c r="S2883" i="29"/>
  <c r="S4985" i="29"/>
  <c r="S3480" i="29"/>
  <c r="T471" i="29"/>
  <c r="J471" i="29"/>
  <c r="K471" i="29"/>
  <c r="S2129" i="29"/>
  <c r="S5639" i="29"/>
  <c r="J3099" i="29"/>
  <c r="K3099" i="29"/>
  <c r="T5177" i="29"/>
  <c r="J5177" i="29"/>
  <c r="S5177" i="29"/>
  <c r="T5797" i="29"/>
  <c r="J5797" i="29"/>
  <c r="K5797" i="29"/>
  <c r="S5797" i="29"/>
  <c r="S6241" i="29"/>
  <c r="T6241" i="29"/>
  <c r="J6241" i="29"/>
  <c r="K6241" i="29"/>
  <c r="S6366" i="29"/>
  <c r="T6366" i="29"/>
  <c r="J6366" i="29"/>
  <c r="U6366" i="29"/>
  <c r="T3569" i="29"/>
  <c r="J3569" i="29"/>
  <c r="S3569" i="29"/>
  <c r="T3323" i="29"/>
  <c r="J3323" i="29"/>
  <c r="U3323" i="29"/>
  <c r="S3323" i="29"/>
  <c r="S2377" i="29"/>
  <c r="T2377" i="29"/>
  <c r="J2377" i="29"/>
  <c r="U2377" i="29"/>
  <c r="S1455" i="29"/>
  <c r="T1455" i="29"/>
  <c r="J1455" i="29"/>
  <c r="T770" i="29"/>
  <c r="W770" i="29"/>
  <c r="S770" i="29"/>
  <c r="S620" i="29"/>
  <c r="T620" i="29"/>
  <c r="W620" i="29"/>
  <c r="S2808" i="29"/>
  <c r="T2808" i="29"/>
  <c r="W2808" i="29"/>
  <c r="T3730" i="29"/>
  <c r="J3730" i="29"/>
  <c r="K3730" i="29"/>
  <c r="S3730" i="29"/>
  <c r="T1724" i="29"/>
  <c r="J1724" i="29"/>
  <c r="K1724" i="29"/>
  <c r="S1724" i="29"/>
  <c r="S4423" i="29"/>
  <c r="T2300" i="29"/>
  <c r="J2300" i="29"/>
  <c r="K2300" i="29"/>
  <c r="S4542" i="29"/>
  <c r="S2886" i="29"/>
  <c r="S4565" i="29"/>
  <c r="T6702" i="29"/>
  <c r="J6702" i="29"/>
  <c r="K6702" i="29"/>
  <c r="S6702" i="29"/>
  <c r="S2726" i="29"/>
  <c r="S4734" i="29"/>
  <c r="T1342" i="29"/>
  <c r="W1342" i="29"/>
  <c r="S1342" i="29"/>
  <c r="W4246" i="29"/>
  <c r="T4365" i="29"/>
  <c r="J4365" i="29"/>
  <c r="K4365" i="29"/>
  <c r="T4661" i="29"/>
  <c r="J4661" i="29"/>
  <c r="S2910" i="29"/>
  <c r="S5493" i="29"/>
  <c r="T2802" i="29"/>
  <c r="J2802" i="29"/>
  <c r="K2802" i="29"/>
  <c r="T491" i="29"/>
  <c r="W491" i="29"/>
  <c r="T3212" i="29"/>
  <c r="J3212" i="29"/>
  <c r="K3212" i="29"/>
  <c r="T1510" i="29"/>
  <c r="J1510" i="29"/>
  <c r="U1510" i="29"/>
  <c r="J1166" i="29"/>
  <c r="K1166" i="29"/>
  <c r="T5933" i="29"/>
  <c r="J5933" i="29"/>
  <c r="T5984" i="29"/>
  <c r="J5984" i="29"/>
  <c r="K5984" i="29"/>
  <c r="S5984" i="29"/>
  <c r="S6099" i="29"/>
  <c r="T6099" i="29"/>
  <c r="J6099" i="29"/>
  <c r="K6099" i="29"/>
  <c r="T5569" i="29"/>
  <c r="J5569" i="29"/>
  <c r="K5569" i="29"/>
  <c r="S5569" i="29"/>
  <c r="T350" i="29"/>
  <c r="W350" i="29"/>
  <c r="U350" i="29"/>
  <c r="S350" i="29"/>
  <c r="S4503" i="29"/>
  <c r="T4503" i="29"/>
  <c r="J4503" i="29"/>
  <c r="T1870" i="29"/>
  <c r="J1870" i="29"/>
  <c r="S1870" i="29"/>
  <c r="S3127" i="29"/>
  <c r="T455" i="29"/>
  <c r="W455" i="29"/>
  <c r="S5034" i="29"/>
  <c r="T5034" i="29"/>
  <c r="W5034" i="29"/>
  <c r="S3170" i="29"/>
  <c r="T3170" i="29"/>
  <c r="J3170" i="29"/>
  <c r="T3804" i="29"/>
  <c r="J3804" i="29"/>
  <c r="S704" i="29"/>
  <c r="S2339" i="29"/>
  <c r="T3689" i="29"/>
  <c r="J3689" i="29"/>
  <c r="S3227" i="29"/>
  <c r="S5030" i="29"/>
  <c r="T5030" i="29"/>
  <c r="J5030" i="29"/>
  <c r="S4720" i="29"/>
  <c r="T4720" i="29"/>
  <c r="J4720" i="29"/>
  <c r="T2880" i="29"/>
  <c r="J2880" i="29"/>
  <c r="K2880" i="29"/>
  <c r="W5394" i="29"/>
  <c r="S1238" i="29"/>
  <c r="S2929" i="29"/>
  <c r="T3727" i="29"/>
  <c r="J3727" i="29"/>
  <c r="T4264" i="29"/>
  <c r="J4264" i="29"/>
  <c r="K4264" i="29"/>
  <c r="T4374" i="29"/>
  <c r="T3173" i="29"/>
  <c r="W3173" i="29"/>
  <c r="T5524" i="29"/>
  <c r="W5524" i="29"/>
  <c r="S1368" i="29"/>
  <c r="T1368" i="29"/>
  <c r="J1368" i="29"/>
  <c r="J1239" i="29"/>
  <c r="K1239" i="29"/>
  <c r="T1134" i="29"/>
  <c r="J1134" i="29"/>
  <c r="K1134" i="29"/>
  <c r="S1134" i="29"/>
  <c r="S5205" i="29"/>
  <c r="T5205" i="29"/>
  <c r="J5205" i="29"/>
  <c r="K5205" i="29"/>
  <c r="S5629" i="29"/>
  <c r="T5629" i="29"/>
  <c r="J5629" i="29"/>
  <c r="S5836" i="29"/>
  <c r="T5836" i="29"/>
  <c r="J5836" i="29"/>
  <c r="K5836" i="29"/>
  <c r="S5872" i="29"/>
  <c r="T5872" i="29"/>
  <c r="J5872" i="29"/>
  <c r="K5872" i="29"/>
  <c r="T5930" i="29"/>
  <c r="J5930" i="29"/>
  <c r="S5930" i="29"/>
  <c r="T5975" i="29"/>
  <c r="J5975" i="29"/>
  <c r="K5975" i="29"/>
  <c r="S5975" i="29"/>
  <c r="S2670" i="29"/>
  <c r="T2670" i="29"/>
  <c r="J2670" i="29"/>
  <c r="K2670" i="29"/>
  <c r="T3873" i="29"/>
  <c r="J3873" i="29"/>
  <c r="U3873" i="29"/>
  <c r="S3873" i="29"/>
  <c r="S4822" i="29"/>
  <c r="T4822" i="29"/>
  <c r="W4822" i="29"/>
  <c r="S3351" i="29"/>
  <c r="T1954" i="29"/>
  <c r="J1954" i="29"/>
  <c r="S1954" i="29"/>
  <c r="T1685" i="29"/>
  <c r="W1685" i="29"/>
  <c r="S1685" i="29"/>
  <c r="T1639" i="29"/>
  <c r="W1639" i="29"/>
  <c r="S1639" i="29"/>
  <c r="S4973" i="29"/>
  <c r="T4973" i="29"/>
  <c r="J4973" i="29"/>
  <c r="S4194" i="29"/>
  <c r="S4445" i="29"/>
  <c r="T4445" i="29"/>
  <c r="J4445" i="29"/>
  <c r="K4445" i="29"/>
  <c r="T3454" i="29"/>
  <c r="W3454" i="29"/>
  <c r="S3454" i="29"/>
  <c r="T3296" i="29"/>
  <c r="J3296" i="29"/>
  <c r="K3296" i="29"/>
  <c r="S3296" i="29"/>
  <c r="T3126" i="29"/>
  <c r="J3126" i="29"/>
  <c r="S3126" i="29"/>
  <c r="S1934" i="29"/>
  <c r="T1934" i="29"/>
  <c r="J1934" i="29"/>
  <c r="J1654" i="29"/>
  <c r="K1654" i="29"/>
  <c r="T3578" i="29"/>
  <c r="J3578" i="29"/>
  <c r="S4442" i="29"/>
  <c r="S5590" i="29"/>
  <c r="S3810" i="29"/>
  <c r="S3354" i="29"/>
  <c r="S3866" i="29"/>
  <c r="T2959" i="29"/>
  <c r="J2959" i="29"/>
  <c r="K2959" i="29"/>
  <c r="S3091" i="29"/>
  <c r="S5193" i="29"/>
  <c r="S4785" i="29"/>
  <c r="S3974" i="29"/>
  <c r="J4385" i="29"/>
  <c r="K4385" i="29"/>
  <c r="S2881" i="29"/>
  <c r="W2114" i="29"/>
  <c r="J1545" i="29"/>
  <c r="K1545" i="29"/>
  <c r="W1517" i="29"/>
  <c r="T1211" i="29"/>
  <c r="W1211" i="29"/>
  <c r="U1211" i="29"/>
  <c r="S1211" i="29"/>
  <c r="W1143" i="29"/>
  <c r="S961" i="29"/>
  <c r="T961" i="29"/>
  <c r="W961" i="29"/>
  <c r="U961" i="29"/>
  <c r="J574" i="29"/>
  <c r="K574" i="29"/>
  <c r="W574" i="29"/>
  <c r="W462" i="29"/>
  <c r="W446" i="29"/>
  <c r="U446" i="29"/>
  <c r="S5526" i="29"/>
  <c r="T5526" i="29"/>
  <c r="J5526" i="29"/>
  <c r="K5526" i="29"/>
  <c r="S5511" i="29"/>
  <c r="T5511" i="29"/>
  <c r="J5511" i="29"/>
  <c r="S5645" i="29"/>
  <c r="T5645" i="29"/>
  <c r="J5645" i="29"/>
  <c r="K5645" i="29"/>
  <c r="T6354" i="29"/>
  <c r="J6354" i="29"/>
  <c r="K6354" i="29"/>
  <c r="S6354" i="29"/>
  <c r="S6403" i="29"/>
  <c r="T6403" i="29"/>
  <c r="J6403" i="29"/>
  <c r="K6403" i="29"/>
  <c r="T6479" i="29"/>
  <c r="J6479" i="29"/>
  <c r="K6479" i="29"/>
  <c r="S6479" i="29"/>
  <c r="T4283" i="29"/>
  <c r="J4283" i="29"/>
  <c r="S4283" i="29"/>
  <c r="T4652" i="29"/>
  <c r="S4652" i="29"/>
  <c r="T845" i="29"/>
  <c r="W845" i="29"/>
  <c r="S845" i="29"/>
  <c r="W1214" i="29"/>
  <c r="J1214" i="29"/>
  <c r="K1214" i="29"/>
  <c r="S3882" i="29"/>
  <c r="T3882" i="29"/>
  <c r="J3882" i="29"/>
  <c r="T3388" i="29"/>
  <c r="J3388" i="29"/>
  <c r="K3388" i="29"/>
  <c r="S3388" i="29"/>
  <c r="S5190" i="29"/>
  <c r="W3781" i="29"/>
  <c r="T739" i="29"/>
  <c r="W739" i="29"/>
  <c r="S1051" i="29"/>
  <c r="T4815" i="29"/>
  <c r="W4815" i="29"/>
  <c r="S4016" i="29"/>
  <c r="T4016" i="29"/>
  <c r="J4016" i="29"/>
  <c r="U4016" i="29"/>
  <c r="T3848" i="29"/>
  <c r="J3848" i="29"/>
  <c r="T3452" i="29"/>
  <c r="J3452" i="29"/>
  <c r="K3452" i="29"/>
  <c r="K3409" i="29"/>
  <c r="T3222" i="29"/>
  <c r="W3222" i="29"/>
  <c r="W3070" i="29"/>
  <c r="T2945" i="29"/>
  <c r="W2945" i="29"/>
  <c r="K1952" i="29"/>
  <c r="J1805" i="29"/>
  <c r="K1805" i="29"/>
  <c r="W1680" i="29"/>
  <c r="J1634" i="29"/>
  <c r="K1634" i="29"/>
  <c r="J1554" i="29"/>
  <c r="K1554" i="29"/>
  <c r="T839" i="29"/>
  <c r="W839" i="29"/>
  <c r="S839" i="29"/>
  <c r="T755" i="29"/>
  <c r="W755" i="29"/>
  <c r="U755" i="29"/>
  <c r="S755" i="29"/>
  <c r="T544" i="29"/>
  <c r="W544" i="29"/>
  <c r="S544" i="29"/>
  <c r="K532" i="29"/>
  <c r="T465" i="29"/>
  <c r="W465" i="29"/>
  <c r="U465" i="29"/>
  <c r="S465" i="29"/>
  <c r="T282" i="29"/>
  <c r="W282" i="29"/>
  <c r="S282" i="29"/>
  <c r="T5210" i="29"/>
  <c r="J5210" i="29"/>
  <c r="K5210" i="29"/>
  <c r="S5210" i="29"/>
  <c r="S5494" i="29"/>
  <c r="T5494" i="29"/>
  <c r="J5494" i="29"/>
  <c r="K5494" i="29"/>
  <c r="W1318" i="29"/>
  <c r="W1222" i="29"/>
  <c r="U1222" i="29"/>
  <c r="W1210" i="29"/>
  <c r="W902" i="29"/>
  <c r="W773" i="29"/>
  <c r="W742" i="29"/>
  <c r="U742" i="29"/>
  <c r="W710" i="29"/>
  <c r="J665" i="29"/>
  <c r="K665" i="29"/>
  <c r="W639" i="29"/>
  <c r="W458" i="29"/>
  <c r="U458" i="29"/>
  <c r="W375" i="29"/>
  <c r="W323" i="29"/>
  <c r="J5255" i="29"/>
  <c r="K5255" i="29"/>
  <c r="J5657" i="29"/>
  <c r="J1204" i="29"/>
  <c r="K1204" i="29"/>
  <c r="J1159" i="29"/>
  <c r="K1159" i="29"/>
  <c r="T6884" i="29"/>
  <c r="J6884" i="29"/>
  <c r="K6884" i="29"/>
  <c r="T8025" i="29"/>
  <c r="J8025" i="29"/>
  <c r="K8025" i="29"/>
  <c r="W2560" i="29"/>
  <c r="J1679" i="29"/>
  <c r="K1679" i="29"/>
  <c r="T4531" i="29"/>
  <c r="J4531" i="29"/>
  <c r="T597" i="29"/>
  <c r="W597" i="29"/>
  <c r="S5657" i="29"/>
  <c r="T4714" i="29"/>
  <c r="J4714" i="29"/>
  <c r="K4714" i="29"/>
  <c r="T4499" i="29"/>
  <c r="J4499" i="29"/>
  <c r="T2795" i="29"/>
  <c r="J2795" i="29"/>
  <c r="K2795" i="29"/>
  <c r="J2716" i="29"/>
  <c r="K2716" i="29"/>
  <c r="J2697" i="29"/>
  <c r="K2697" i="29"/>
  <c r="W2379" i="29"/>
  <c r="U2379" i="29"/>
  <c r="J2045" i="29"/>
  <c r="K2045" i="29"/>
  <c r="J1950" i="29"/>
  <c r="K1950" i="29"/>
  <c r="J1448" i="29"/>
  <c r="K1448" i="29"/>
  <c r="K1361" i="29"/>
  <c r="K1229" i="29"/>
  <c r="T1167" i="29"/>
  <c r="W1167" i="29"/>
  <c r="J1156" i="29"/>
  <c r="K1156" i="29"/>
  <c r="K1119" i="29"/>
  <c r="J576" i="29"/>
  <c r="K576" i="29"/>
  <c r="K417" i="29"/>
  <c r="K200" i="29"/>
  <c r="J5249" i="29"/>
  <c r="K5249" i="29"/>
  <c r="T5643" i="29"/>
  <c r="J5643" i="29"/>
  <c r="K5643" i="29"/>
  <c r="T6775" i="29"/>
  <c r="J6775" i="29"/>
  <c r="K6775" i="29"/>
  <c r="J7392" i="29"/>
  <c r="U7392" i="29"/>
  <c r="J5089" i="29"/>
  <c r="K5089" i="29"/>
  <c r="T300" i="29"/>
  <c r="W300" i="29"/>
  <c r="S6477" i="29"/>
  <c r="K1327" i="29"/>
  <c r="K1170" i="29"/>
  <c r="T997" i="29"/>
  <c r="W997" i="29"/>
  <c r="U997" i="29"/>
  <c r="T763" i="29"/>
  <c r="W763" i="29"/>
  <c r="U763" i="29"/>
  <c r="K716" i="29"/>
  <c r="K642" i="29"/>
  <c r="K500" i="29"/>
  <c r="J6209" i="29"/>
  <c r="K6209" i="29"/>
  <c r="T6342" i="29"/>
  <c r="J6342" i="29"/>
  <c r="S7706" i="29"/>
  <c r="S6299" i="29"/>
  <c r="T1405" i="29"/>
  <c r="W1405" i="29"/>
  <c r="S5174" i="29"/>
  <c r="W1850" i="29"/>
  <c r="J1218" i="29"/>
  <c r="K1218" i="29"/>
  <c r="W1188" i="29"/>
  <c r="J1141" i="29"/>
  <c r="U1141" i="29"/>
  <c r="W922" i="29"/>
  <c r="U922" i="29"/>
  <c r="W744" i="29"/>
  <c r="U744" i="29"/>
  <c r="K725" i="29"/>
  <c r="W476" i="29"/>
  <c r="U476" i="29"/>
  <c r="W240" i="29"/>
  <c r="U240" i="29"/>
  <c r="W104" i="29"/>
  <c r="U104" i="29"/>
  <c r="J6264" i="29"/>
  <c r="K6264" i="29"/>
  <c r="S6483" i="29"/>
  <c r="W2722" i="29"/>
  <c r="W1918" i="29"/>
  <c r="T1856" i="29"/>
  <c r="J1856" i="29"/>
  <c r="K1856" i="29"/>
  <c r="S4310" i="29"/>
  <c r="S521" i="29"/>
  <c r="T3441" i="29"/>
  <c r="J3441" i="29"/>
  <c r="U3441" i="29"/>
  <c r="S5076" i="29"/>
  <c r="T4667" i="29"/>
  <c r="J4667" i="29"/>
  <c r="U4667" i="29"/>
  <c r="S572" i="29"/>
  <c r="S4915" i="29"/>
  <c r="T810" i="29"/>
  <c r="W810" i="29"/>
  <c r="W4438" i="29"/>
  <c r="W2857" i="29"/>
  <c r="W1414" i="29"/>
  <c r="W1283" i="29"/>
  <c r="J919" i="29"/>
  <c r="K919" i="29"/>
  <c r="W885" i="29"/>
  <c r="K578" i="29"/>
  <c r="W542" i="29"/>
  <c r="U542" i="29"/>
  <c r="W235" i="29"/>
  <c r="W82" i="29"/>
  <c r="W6" i="29"/>
  <c r="U6" i="29"/>
  <c r="J5722" i="29"/>
  <c r="K5722" i="29"/>
  <c r="S772" i="29"/>
  <c r="S406" i="29"/>
  <c r="W1782" i="29"/>
  <c r="T1475" i="29"/>
  <c r="W1475" i="29"/>
  <c r="U1475" i="29"/>
  <c r="S473" i="29"/>
  <c r="S2122" i="29"/>
  <c r="T851" i="29"/>
  <c r="W851" i="29"/>
  <c r="U851" i="29"/>
  <c r="T4488" i="29"/>
  <c r="W4488" i="29"/>
  <c r="T4705" i="29"/>
  <c r="J4705" i="29"/>
  <c r="K4705" i="29"/>
  <c r="T2452" i="29"/>
  <c r="J2452" i="29"/>
  <c r="K2452" i="29"/>
  <c r="S5397" i="29"/>
  <c r="J5045" i="29"/>
  <c r="U5045" i="29"/>
  <c r="W5007" i="29"/>
  <c r="J4421" i="29"/>
  <c r="K4421" i="29"/>
  <c r="J3270" i="29"/>
  <c r="U3270" i="29"/>
  <c r="W3134" i="29"/>
  <c r="U3134" i="29"/>
  <c r="J1384" i="29"/>
  <c r="K1384" i="29"/>
  <c r="K985" i="29"/>
  <c r="T571" i="29"/>
  <c r="W571" i="29"/>
  <c r="U571" i="29"/>
  <c r="W524" i="29"/>
  <c r="K457" i="29"/>
  <c r="K213" i="29"/>
  <c r="K180" i="29"/>
  <c r="K25" i="29"/>
  <c r="J6637" i="29"/>
  <c r="K6637" i="29"/>
  <c r="J6736" i="29"/>
  <c r="K6736" i="29"/>
  <c r="F577" i="4"/>
  <c r="D587" i="4"/>
  <c r="F574" i="4"/>
  <c r="E587" i="4"/>
  <c r="F579" i="4"/>
  <c r="C587" i="4"/>
  <c r="G583" i="4"/>
  <c r="G587" i="4"/>
  <c r="S3626" i="29"/>
  <c r="S3940" i="29"/>
  <c r="S1262" i="29"/>
  <c r="S6396" i="29"/>
  <c r="S2119" i="29"/>
  <c r="T4191" i="29"/>
  <c r="W4191" i="29"/>
  <c r="T3041" i="29"/>
  <c r="J3041" i="29"/>
  <c r="K3041" i="29"/>
  <c r="S2904" i="29"/>
  <c r="S5892" i="29"/>
  <c r="S5404" i="29"/>
  <c r="S5240" i="29"/>
  <c r="T3667" i="29"/>
  <c r="J3667" i="29"/>
  <c r="K3667" i="29"/>
  <c r="S3667" i="29"/>
  <c r="T7097" i="29"/>
  <c r="J7097" i="29"/>
  <c r="K7097" i="29"/>
  <c r="S7097" i="29"/>
  <c r="J6364" i="29"/>
  <c r="U6364" i="29"/>
  <c r="T1142" i="29"/>
  <c r="W1142" i="29"/>
  <c r="T3832" i="29"/>
  <c r="W3832" i="29"/>
  <c r="S5691" i="29"/>
  <c r="T5691" i="29"/>
  <c r="W5691" i="29"/>
  <c r="T5699" i="29"/>
  <c r="J5699" i="29"/>
  <c r="K5699" i="29"/>
  <c r="S5699" i="29"/>
  <c r="T5768" i="29"/>
  <c r="W5768" i="29"/>
  <c r="S5768" i="29"/>
  <c r="T5911" i="29"/>
  <c r="J5911" i="29"/>
  <c r="K5911" i="29"/>
  <c r="S5911" i="29"/>
  <c r="T5972" i="29"/>
  <c r="J5972" i="29"/>
  <c r="K5972" i="29"/>
  <c r="S5972" i="29"/>
  <c r="T6118" i="29"/>
  <c r="J6118" i="29"/>
  <c r="S6118" i="29"/>
  <c r="J6334" i="29"/>
  <c r="K6334" i="29"/>
  <c r="T6343" i="29"/>
  <c r="J6343" i="29"/>
  <c r="S6343" i="29"/>
  <c r="J6458" i="29"/>
  <c r="K6458" i="29"/>
  <c r="T6485" i="29"/>
  <c r="J6485" i="29"/>
  <c r="S6485" i="29"/>
  <c r="T1076" i="29"/>
  <c r="W1076" i="29"/>
  <c r="S1076" i="29"/>
  <c r="T986" i="29"/>
  <c r="W986" i="29"/>
  <c r="U986" i="29"/>
  <c r="S986" i="29"/>
  <c r="S957" i="29"/>
  <c r="T957" i="29"/>
  <c r="W957" i="29"/>
  <c r="T497" i="29"/>
  <c r="W497" i="29"/>
  <c r="U497" i="29"/>
  <c r="S497" i="29"/>
  <c r="T397" i="29"/>
  <c r="W397" i="29"/>
  <c r="S397" i="29"/>
  <c r="T5206" i="29"/>
  <c r="S5206" i="29"/>
  <c r="T5375" i="29"/>
  <c r="W5375" i="29"/>
  <c r="S5375" i="29"/>
  <c r="S5724" i="29"/>
  <c r="T5724" i="29"/>
  <c r="J5724" i="29"/>
  <c r="U5724" i="29"/>
  <c r="T5778" i="29"/>
  <c r="J5778" i="29"/>
  <c r="S5778" i="29"/>
  <c r="T5966" i="29"/>
  <c r="J5966" i="29"/>
  <c r="K5966" i="29"/>
  <c r="S5966" i="29"/>
  <c r="S6204" i="29"/>
  <c r="T6204" i="29"/>
  <c r="J6204" i="29"/>
  <c r="K6204" i="29"/>
  <c r="T6337" i="29"/>
  <c r="J6337" i="29"/>
  <c r="K6337" i="29"/>
  <c r="S6337" i="29"/>
  <c r="T6370" i="29"/>
  <c r="J6370" i="29"/>
  <c r="S6370" i="29"/>
  <c r="S6453" i="29"/>
  <c r="T6453" i="29"/>
  <c r="J6453" i="29"/>
  <c r="K6453" i="29"/>
  <c r="T6495" i="29"/>
  <c r="J6495" i="29"/>
  <c r="K6495" i="29"/>
  <c r="S6495" i="29"/>
  <c r="T5748" i="29"/>
  <c r="J5748" i="29"/>
  <c r="S5748" i="29"/>
  <c r="S5795" i="29"/>
  <c r="T5795" i="29"/>
  <c r="J5795" i="29"/>
  <c r="K5795" i="29"/>
  <c r="J6057" i="29"/>
  <c r="K6057" i="29"/>
  <c r="T6100" i="29"/>
  <c r="J6100" i="29"/>
  <c r="K6100" i="29"/>
  <c r="S6100" i="29"/>
  <c r="T6131" i="29"/>
  <c r="J6131" i="29"/>
  <c r="S6131" i="29"/>
  <c r="T6147" i="29"/>
  <c r="S6147" i="29"/>
  <c r="S6166" i="29"/>
  <c r="T6166" i="29"/>
  <c r="J6166" i="29"/>
  <c r="T6301" i="29"/>
  <c r="J6301" i="29"/>
  <c r="S6301" i="29"/>
  <c r="S6284" i="29"/>
  <c r="T6284" i="29"/>
  <c r="J6284" i="29"/>
  <c r="K6284" i="29"/>
  <c r="T6405" i="29"/>
  <c r="S6405" i="29"/>
  <c r="T6411" i="29"/>
  <c r="J6411" i="29"/>
  <c r="K6411" i="29"/>
  <c r="S6411" i="29"/>
  <c r="T6421" i="29"/>
  <c r="J6421" i="29"/>
  <c r="S6421" i="29"/>
  <c r="S6448" i="29"/>
  <c r="T6448" i="29"/>
  <c r="J6448" i="29"/>
  <c r="K6448" i="29"/>
  <c r="T5359" i="29"/>
  <c r="S5359" i="29"/>
  <c r="T5810" i="29"/>
  <c r="J5810" i="29"/>
  <c r="K5810" i="29"/>
  <c r="S5810" i="29"/>
  <c r="T6255" i="29"/>
  <c r="J6255" i="29"/>
  <c r="K6255" i="29"/>
  <c r="S6255" i="29"/>
  <c r="T6434" i="29"/>
  <c r="J6434" i="29"/>
  <c r="K6434" i="29"/>
  <c r="S6434" i="29"/>
  <c r="S5111" i="29"/>
  <c r="T5111" i="29"/>
  <c r="W5111" i="29"/>
  <c r="W5203" i="29"/>
  <c r="J5203" i="29"/>
  <c r="T5350" i="29"/>
  <c r="J5350" i="29"/>
  <c r="K5350" i="29"/>
  <c r="S5350" i="29"/>
  <c r="S4717" i="29"/>
  <c r="T4717" i="29"/>
  <c r="J4717" i="29"/>
  <c r="K4717" i="29"/>
  <c r="T4701" i="29"/>
  <c r="S4701" i="29"/>
  <c r="S4670" i="29"/>
  <c r="T4670" i="29"/>
  <c r="J4670" i="29"/>
  <c r="K4670" i="29"/>
  <c r="S4574" i="29"/>
  <c r="T4574" i="29"/>
  <c r="J4574" i="29"/>
  <c r="T4525" i="29"/>
  <c r="J4525" i="29"/>
  <c r="S4525" i="29"/>
  <c r="S4339" i="29"/>
  <c r="T4339" i="29"/>
  <c r="J4339" i="29"/>
  <c r="K4339" i="29"/>
  <c r="T4329" i="29"/>
  <c r="W4329" i="29"/>
  <c r="S4329" i="29"/>
  <c r="S4313" i="29"/>
  <c r="T4313" i="29"/>
  <c r="S4166" i="29"/>
  <c r="T4166" i="29"/>
  <c r="S4081" i="29"/>
  <c r="T4081" i="29"/>
  <c r="J4081" i="29"/>
  <c r="T4074" i="29"/>
  <c r="W4074" i="29"/>
  <c r="S4074" i="29"/>
  <c r="T3793" i="29"/>
  <c r="W3793" i="29"/>
  <c r="S3793" i="29"/>
  <c r="T3704" i="29"/>
  <c r="J3704" i="29"/>
  <c r="K3704" i="29"/>
  <c r="S3704" i="29"/>
  <c r="T3647" i="29"/>
  <c r="W3647" i="29"/>
  <c r="S3647" i="29"/>
  <c r="S3564" i="29"/>
  <c r="T3564" i="29"/>
  <c r="J3564" i="29"/>
  <c r="K3564" i="29"/>
  <c r="S3460" i="29"/>
  <c r="T3460" i="29"/>
  <c r="W3460" i="29"/>
  <c r="T1761" i="29"/>
  <c r="S1761" i="29"/>
  <c r="S1641" i="29"/>
  <c r="T1641" i="29"/>
  <c r="W1641" i="29"/>
  <c r="U1641" i="29"/>
  <c r="T1457" i="29"/>
  <c r="J1457" i="29"/>
  <c r="S1457" i="29"/>
  <c r="S1185" i="29"/>
  <c r="T1185" i="29"/>
  <c r="W1185" i="29"/>
  <c r="S892" i="29"/>
  <c r="T892" i="29"/>
  <c r="W892" i="29"/>
  <c r="T680" i="29"/>
  <c r="W680" i="29"/>
  <c r="S680" i="29"/>
  <c r="S464" i="29"/>
  <c r="T464" i="29"/>
  <c r="W464" i="29"/>
  <c r="S5251" i="29"/>
  <c r="T5251" i="29"/>
  <c r="J5251" i="29"/>
  <c r="T5258" i="29"/>
  <c r="S5258" i="29"/>
  <c r="T5285" i="29"/>
  <c r="S5285" i="29"/>
  <c r="T5400" i="29"/>
  <c r="J5400" i="29"/>
  <c r="K5400" i="29"/>
  <c r="S5400" i="29"/>
  <c r="T5660" i="29"/>
  <c r="J5660" i="29"/>
  <c r="U5660" i="29"/>
  <c r="S5660" i="29"/>
  <c r="S5812" i="29"/>
  <c r="T5812" i="29"/>
  <c r="J5812" i="29"/>
  <c r="K5812" i="29"/>
  <c r="T5934" i="29"/>
  <c r="J5934" i="29"/>
  <c r="S5934" i="29"/>
  <c r="T5992" i="29"/>
  <c r="J5992" i="29"/>
  <c r="S5992" i="29"/>
  <c r="T6011" i="29"/>
  <c r="J6011" i="29"/>
  <c r="K6011" i="29"/>
  <c r="S6011" i="29"/>
  <c r="S6250" i="29"/>
  <c r="T6250" i="29"/>
  <c r="J6250" i="29"/>
  <c r="S6234" i="29"/>
  <c r="T6234" i="29"/>
  <c r="J6234" i="29"/>
  <c r="S6218" i="29"/>
  <c r="T6218" i="29"/>
  <c r="J6218" i="29"/>
  <c r="S6268" i="29"/>
  <c r="T6268" i="29"/>
  <c r="J6268" i="29"/>
  <c r="K6268" i="29"/>
  <c r="T6319" i="29"/>
  <c r="S6319" i="29"/>
  <c r="T6412" i="29"/>
  <c r="J6412" i="29"/>
  <c r="K6412" i="29"/>
  <c r="S6412" i="29"/>
  <c r="J6420" i="29"/>
  <c r="K6420" i="29"/>
  <c r="T6470" i="29"/>
  <c r="J6470" i="29"/>
  <c r="S6470" i="29"/>
  <c r="S5310" i="29"/>
  <c r="T5310" i="29"/>
  <c r="J5310" i="29"/>
  <c r="S742" i="29"/>
  <c r="S307" i="29"/>
  <c r="S6190" i="29"/>
  <c r="T5092" i="29"/>
  <c r="W5092" i="29"/>
  <c r="S5278" i="29"/>
  <c r="T4882" i="29"/>
  <c r="W4882" i="29"/>
  <c r="S4882" i="29"/>
  <c r="S4866" i="29"/>
  <c r="T4866" i="29"/>
  <c r="J4866" i="29"/>
  <c r="S4736" i="29"/>
  <c r="T4736" i="29"/>
  <c r="J4736" i="29"/>
  <c r="K4736" i="29"/>
  <c r="S4654" i="29"/>
  <c r="T4479" i="29"/>
  <c r="S4479" i="29"/>
  <c r="S4332" i="29"/>
  <c r="T4332" i="29"/>
  <c r="T4316" i="29"/>
  <c r="W4316" i="29"/>
  <c r="S4316" i="29"/>
  <c r="S4202" i="29"/>
  <c r="T4202" i="29"/>
  <c r="J4202" i="29"/>
  <c r="K4202" i="29"/>
  <c r="S4153" i="29"/>
  <c r="T4153" i="29"/>
  <c r="W4153" i="29"/>
  <c r="T4150" i="29"/>
  <c r="W4150" i="29"/>
  <c r="T3900" i="29"/>
  <c r="W3900" i="29"/>
  <c r="T3830" i="29"/>
  <c r="W3830" i="29"/>
  <c r="S3830" i="29"/>
  <c r="S3761" i="29"/>
  <c r="T3761" i="29"/>
  <c r="J3761" i="29"/>
  <c r="S3758" i="29"/>
  <c r="S3738" i="29"/>
  <c r="T3738" i="29"/>
  <c r="S3580" i="29"/>
  <c r="T3580" i="29"/>
  <c r="W3580" i="29"/>
  <c r="S3533" i="29"/>
  <c r="T3533" i="29"/>
  <c r="J3533" i="29"/>
  <c r="U3533" i="29"/>
  <c r="J3397" i="29"/>
  <c r="U3397" i="29"/>
  <c r="T3249" i="29"/>
  <c r="J3249" i="29"/>
  <c r="K3249" i="29"/>
  <c r="S3249" i="29"/>
  <c r="S3119" i="29"/>
  <c r="T3119" i="29"/>
  <c r="J3081" i="29"/>
  <c r="K3081" i="29"/>
  <c r="S2902" i="29"/>
  <c r="T2902" i="29"/>
  <c r="J2902" i="29"/>
  <c r="S2820" i="29"/>
  <c r="T2820" i="29"/>
  <c r="J2820" i="29"/>
  <c r="K2820" i="29"/>
  <c r="T2678" i="29"/>
  <c r="J2678" i="29"/>
  <c r="K2678" i="29"/>
  <c r="S2678" i="29"/>
  <c r="S2613" i="29"/>
  <c r="T2613" i="29"/>
  <c r="W2613" i="29"/>
  <c r="S2499" i="29"/>
  <c r="T2499" i="29"/>
  <c r="J2499" i="29"/>
  <c r="S2365" i="29"/>
  <c r="T2365" i="29"/>
  <c r="J2365" i="29"/>
  <c r="S1994" i="29"/>
  <c r="T1994" i="29"/>
  <c r="J1994" i="29"/>
  <c r="S1831" i="29"/>
  <c r="T1831" i="29"/>
  <c r="J1831" i="29"/>
  <c r="J1485" i="29"/>
  <c r="K1485" i="29"/>
  <c r="W1435" i="29"/>
  <c r="U1435" i="29"/>
  <c r="W1387" i="29"/>
  <c r="J1382" i="29"/>
  <c r="U1382" i="29"/>
  <c r="T1125" i="29"/>
  <c r="J1125" i="29"/>
  <c r="T950" i="29"/>
  <c r="J950" i="29"/>
  <c r="S950" i="29"/>
  <c r="T857" i="29"/>
  <c r="J857" i="29"/>
  <c r="K857" i="29"/>
  <c r="S857" i="29"/>
  <c r="S700" i="29"/>
  <c r="T700" i="29"/>
  <c r="W700" i="29"/>
  <c r="U700" i="29"/>
  <c r="T616" i="29"/>
  <c r="W616" i="29"/>
  <c r="S616" i="29"/>
  <c r="S467" i="29"/>
  <c r="T467" i="29"/>
  <c r="W467" i="29"/>
  <c r="U467" i="29"/>
  <c r="T342" i="29"/>
  <c r="W342" i="29"/>
  <c r="U342" i="29"/>
  <c r="S342" i="29"/>
  <c r="S5181" i="29"/>
  <c r="T5181" i="29"/>
  <c r="T5282" i="29"/>
  <c r="W5282" i="29"/>
  <c r="S5282" i="29"/>
  <c r="T5342" i="29"/>
  <c r="S5342" i="29"/>
  <c r="T5399" i="29"/>
  <c r="S5399" i="29"/>
  <c r="T5131" i="29"/>
  <c r="J5131" i="29"/>
  <c r="K5131" i="29"/>
  <c r="S5131" i="29"/>
  <c r="K5563" i="29"/>
  <c r="T5640" i="29"/>
  <c r="J5640" i="29"/>
  <c r="K5640" i="29"/>
  <c r="S5640" i="29"/>
  <c r="S4465" i="29"/>
  <c r="T4465" i="29"/>
  <c r="J4465" i="29"/>
  <c r="S3516" i="29"/>
  <c r="T3516" i="29"/>
  <c r="J3516" i="29"/>
  <c r="T5307" i="29"/>
  <c r="J5307" i="29"/>
  <c r="S5307" i="29"/>
  <c r="T1010" i="29"/>
  <c r="J1010" i="29"/>
  <c r="K1010" i="29"/>
  <c r="S375" i="29"/>
  <c r="T1451" i="29"/>
  <c r="J1451" i="29"/>
  <c r="K1451" i="29"/>
  <c r="S458" i="29"/>
  <c r="T3168" i="29"/>
  <c r="J3168" i="29"/>
  <c r="K3168" i="29"/>
  <c r="T4987" i="29"/>
  <c r="S4987" i="29"/>
  <c r="T4943" i="29"/>
  <c r="S4943" i="29"/>
  <c r="T4929" i="29"/>
  <c r="J4929" i="29"/>
  <c r="S4929" i="29"/>
  <c r="S4885" i="29"/>
  <c r="T4885" i="29"/>
  <c r="J4885" i="29"/>
  <c r="K4885" i="29"/>
  <c r="T4580" i="29"/>
  <c r="J4580" i="29"/>
  <c r="S4580" i="29"/>
  <c r="S4221" i="29"/>
  <c r="T4221" i="29"/>
  <c r="J4221" i="29"/>
  <c r="T4205" i="29"/>
  <c r="W4205" i="29"/>
  <c r="S4205" i="29"/>
  <c r="T4046" i="29"/>
  <c r="S4046" i="29"/>
  <c r="S3226" i="29"/>
  <c r="T3226" i="29"/>
  <c r="T3169" i="29"/>
  <c r="S3169" i="29"/>
  <c r="T3084" i="29"/>
  <c r="W3084" i="29"/>
  <c r="S3084" i="29"/>
  <c r="S3058" i="29"/>
  <c r="T3058" i="29"/>
  <c r="J3058" i="29"/>
  <c r="K3058" i="29"/>
  <c r="T2994" i="29"/>
  <c r="J2994" i="29"/>
  <c r="K2994" i="29"/>
  <c r="S2994" i="29"/>
  <c r="J2627" i="29"/>
  <c r="K2627" i="29"/>
  <c r="W2085" i="29"/>
  <c r="W2063" i="29"/>
  <c r="W1885" i="29"/>
  <c r="S1375" i="29"/>
  <c r="T1375" i="29"/>
  <c r="W1375" i="29"/>
  <c r="S1369" i="29"/>
  <c r="T1369" i="29"/>
  <c r="W1369" i="29"/>
  <c r="T1087" i="29"/>
  <c r="W1087" i="29"/>
  <c r="U1087" i="29"/>
  <c r="S1087" i="29"/>
  <c r="S619" i="29"/>
  <c r="T619" i="29"/>
  <c r="W619" i="29"/>
  <c r="U619" i="29"/>
  <c r="T603" i="29"/>
  <c r="W603" i="29"/>
  <c r="S603" i="29"/>
  <c r="S5925" i="29"/>
  <c r="T5925" i="29"/>
  <c r="J5925" i="29"/>
  <c r="U5925" i="29"/>
  <c r="S6297" i="29"/>
  <c r="T6297" i="29"/>
  <c r="J6297" i="29"/>
  <c r="K6297" i="29"/>
  <c r="T6449" i="29"/>
  <c r="J6449" i="29"/>
  <c r="K6449" i="29"/>
  <c r="S6449" i="29"/>
  <c r="T4468" i="29"/>
  <c r="J4468" i="29"/>
  <c r="K4468" i="29"/>
  <c r="S4468" i="29"/>
  <c r="T2758" i="29"/>
  <c r="J2758" i="29"/>
  <c r="S2758" i="29"/>
  <c r="T1859" i="29"/>
  <c r="W1859" i="29"/>
  <c r="U1859" i="29"/>
  <c r="S1859" i="29"/>
  <c r="T503" i="29"/>
  <c r="W503" i="29"/>
  <c r="T5075" i="29"/>
  <c r="J5075" i="29"/>
  <c r="U5075" i="29"/>
  <c r="T1253" i="29"/>
  <c r="W1253" i="29"/>
  <c r="T4821" i="29"/>
  <c r="J4821" i="29"/>
  <c r="S5080" i="29"/>
  <c r="T559" i="29"/>
  <c r="W559" i="29"/>
  <c r="S3210" i="29"/>
  <c r="S1479" i="29"/>
  <c r="J4638" i="29"/>
  <c r="K4638" i="29"/>
  <c r="T4125" i="29"/>
  <c r="S4125" i="29"/>
  <c r="J3751" i="29"/>
  <c r="K3751" i="29"/>
  <c r="T3365" i="29"/>
  <c r="T3160" i="29"/>
  <c r="T2908" i="29"/>
  <c r="J2908" i="29"/>
  <c r="S2885" i="29"/>
  <c r="T2885" i="29"/>
  <c r="W2885" i="29"/>
  <c r="S2810" i="29"/>
  <c r="T2810" i="29"/>
  <c r="J2810" i="29"/>
  <c r="T2728" i="29"/>
  <c r="J2728" i="29"/>
  <c r="K2728" i="29"/>
  <c r="S2728" i="29"/>
  <c r="T2591" i="29"/>
  <c r="W2591" i="29"/>
  <c r="S2591" i="29"/>
  <c r="K2556" i="29"/>
  <c r="K2518" i="29"/>
  <c r="K2379" i="29"/>
  <c r="J2181" i="29"/>
  <c r="J1764" i="29"/>
  <c r="K1764" i="29"/>
  <c r="K1696" i="29"/>
  <c r="K1659" i="29"/>
  <c r="T1402" i="29"/>
  <c r="W1402" i="29"/>
  <c r="U1402" i="29"/>
  <c r="S1402" i="29"/>
  <c r="S1249" i="29"/>
  <c r="T1249" i="29"/>
  <c r="W1249" i="29"/>
  <c r="T1059" i="29"/>
  <c r="W1059" i="29"/>
  <c r="S1059" i="29"/>
  <c r="S956" i="29"/>
  <c r="T956" i="29"/>
  <c r="J956" i="29"/>
  <c r="K956" i="29"/>
  <c r="W935" i="29"/>
  <c r="T928" i="29"/>
  <c r="W928" i="29"/>
  <c r="U928" i="29"/>
  <c r="S928" i="29"/>
  <c r="T901" i="29"/>
  <c r="S901" i="29"/>
  <c r="T831" i="29"/>
  <c r="W831" i="29"/>
  <c r="S831" i="29"/>
  <c r="T828" i="29"/>
  <c r="W828" i="29"/>
  <c r="S828" i="29"/>
  <c r="S352" i="29"/>
  <c r="T352" i="29"/>
  <c r="W352" i="29"/>
  <c r="S3383" i="29"/>
  <c r="T3383" i="29"/>
  <c r="J3383" i="29"/>
  <c r="U3383" i="29"/>
  <c r="T3153" i="29"/>
  <c r="J3153" i="29"/>
  <c r="S3153" i="29"/>
  <c r="T3067" i="29"/>
  <c r="J3067" i="29"/>
  <c r="K3067" i="29"/>
  <c r="S3067" i="29"/>
  <c r="J2322" i="29"/>
  <c r="K2322" i="29"/>
  <c r="S4411" i="29"/>
  <c r="T4411" i="29"/>
  <c r="S4178" i="29"/>
  <c r="T4178" i="29"/>
  <c r="J4178" i="29"/>
  <c r="K4178" i="29"/>
  <c r="T6205" i="29"/>
  <c r="J6205" i="29"/>
  <c r="K6205" i="29"/>
  <c r="S6205" i="29"/>
  <c r="T3376" i="29"/>
  <c r="W3376" i="29"/>
  <c r="J3048" i="29"/>
  <c r="K3048" i="29"/>
  <c r="S2928" i="29"/>
  <c r="T2928" i="29"/>
  <c r="W2928" i="29"/>
  <c r="T1216" i="29"/>
  <c r="S1216" i="29"/>
  <c r="S4443" i="29"/>
  <c r="T3582" i="29"/>
  <c r="W3582" i="29"/>
  <c r="T4875" i="29"/>
  <c r="S4875" i="29"/>
  <c r="S4376" i="29"/>
  <c r="T4376" i="29"/>
  <c r="J4376" i="29"/>
  <c r="K4376" i="29"/>
  <c r="S4335" i="29"/>
  <c r="T4335" i="29"/>
  <c r="J4335" i="29"/>
  <c r="S3823" i="29"/>
  <c r="T3823" i="29"/>
  <c r="J3823" i="29"/>
  <c r="J3684" i="29"/>
  <c r="K3684" i="29"/>
  <c r="J3573" i="29"/>
  <c r="K3573" i="29"/>
  <c r="J3570" i="29"/>
  <c r="J3191" i="29"/>
  <c r="K3191" i="29"/>
  <c r="T3175" i="29"/>
  <c r="J3175" i="29"/>
  <c r="S3175" i="29"/>
  <c r="J3074" i="29"/>
  <c r="K3074" i="29"/>
  <c r="W2639" i="29"/>
  <c r="S2084" i="29"/>
  <c r="T2084" i="29"/>
  <c r="W1884" i="29"/>
  <c r="U1884" i="29"/>
  <c r="T1582" i="29"/>
  <c r="W1582" i="29"/>
  <c r="U1582" i="29"/>
  <c r="S1582" i="29"/>
  <c r="S1579" i="29"/>
  <c r="T1579" i="29"/>
  <c r="J1579" i="29"/>
  <c r="S1138" i="29"/>
  <c r="T1138" i="29"/>
  <c r="W1138" i="29"/>
  <c r="T3725" i="29"/>
  <c r="J3725" i="29"/>
  <c r="S3725" i="29"/>
  <c r="S3336" i="29"/>
  <c r="T3336" i="29"/>
  <c r="J3336" i="29"/>
  <c r="U3336" i="29"/>
  <c r="S3057" i="29"/>
  <c r="T3057" i="29"/>
  <c r="J3057" i="29"/>
  <c r="T3595" i="29"/>
  <c r="W3595" i="29"/>
  <c r="U3595" i="29"/>
  <c r="T5880" i="29"/>
  <c r="J5880" i="29"/>
  <c r="S5880" i="29"/>
  <c r="S1675" i="29"/>
  <c r="T1675" i="29"/>
  <c r="J1675" i="29"/>
  <c r="U1675" i="29"/>
  <c r="T782" i="29"/>
  <c r="W782" i="29"/>
  <c r="S782" i="29"/>
  <c r="T5236" i="29"/>
  <c r="J5236" i="29"/>
  <c r="S5236" i="29"/>
  <c r="S5649" i="29"/>
  <c r="T5649" i="29"/>
  <c r="J5649" i="29"/>
  <c r="K5649" i="29"/>
  <c r="S5099" i="29"/>
  <c r="T687" i="29"/>
  <c r="W687" i="29"/>
  <c r="J5100" i="29"/>
  <c r="T6271" i="29"/>
  <c r="J6271" i="29"/>
  <c r="K6271" i="29"/>
  <c r="W206" i="29"/>
  <c r="U206" i="29"/>
  <c r="S2954" i="29"/>
  <c r="T2493" i="29"/>
  <c r="W2493" i="29"/>
  <c r="S6508" i="29"/>
  <c r="J4908" i="29"/>
  <c r="U4908" i="29"/>
  <c r="W4242" i="29"/>
  <c r="W4131" i="29"/>
  <c r="S3295" i="29"/>
  <c r="S3220" i="29"/>
  <c r="J3016" i="29"/>
  <c r="K3016" i="29"/>
  <c r="S2021" i="29"/>
  <c r="T2021" i="29"/>
  <c r="W2021" i="29"/>
  <c r="U2021" i="29"/>
  <c r="T1732" i="29"/>
  <c r="S1732" i="29"/>
  <c r="T1658" i="29"/>
  <c r="W1658" i="29"/>
  <c r="S1658" i="29"/>
  <c r="S1505" i="29"/>
  <c r="W1240" i="29"/>
  <c r="W1237" i="29"/>
  <c r="T296" i="29"/>
  <c r="W296" i="29"/>
  <c r="U296" i="29"/>
  <c r="S296" i="29"/>
  <c r="S280" i="29"/>
  <c r="T280" i="29"/>
  <c r="W280" i="29"/>
  <c r="U280" i="29"/>
  <c r="S4404" i="29"/>
  <c r="T4404" i="29"/>
  <c r="J4404" i="29"/>
  <c r="K4404" i="29"/>
  <c r="S4305" i="29"/>
  <c r="T4305" i="29"/>
  <c r="J4305" i="29"/>
  <c r="S4350" i="29"/>
  <c r="T4220" i="29"/>
  <c r="J4220" i="29"/>
  <c r="K4220" i="29"/>
  <c r="J3346" i="29"/>
  <c r="K3346" i="29"/>
  <c r="T6324" i="29"/>
  <c r="J6324" i="29"/>
  <c r="K6324" i="29"/>
  <c r="S6324" i="29"/>
  <c r="T2019" i="29"/>
  <c r="J2019" i="29"/>
  <c r="K2019" i="29"/>
  <c r="S2019" i="29"/>
  <c r="S960" i="29"/>
  <c r="T960" i="29"/>
  <c r="W960" i="29"/>
  <c r="U960" i="29"/>
  <c r="T591" i="29"/>
  <c r="W591" i="29"/>
  <c r="S591" i="29"/>
  <c r="S294" i="29"/>
  <c r="T294" i="29"/>
  <c r="W294" i="29"/>
  <c r="U294" i="29"/>
  <c r="S1418" i="29"/>
  <c r="T4424" i="29"/>
  <c r="S6386" i="29"/>
  <c r="S639" i="29"/>
  <c r="W5121" i="29"/>
  <c r="W311" i="29"/>
  <c r="T272" i="29"/>
  <c r="W272" i="29"/>
  <c r="U272" i="29"/>
  <c r="T2496" i="29"/>
  <c r="W2496" i="29"/>
  <c r="S5269" i="29"/>
  <c r="T3990" i="29"/>
  <c r="W3990" i="29"/>
  <c r="S929" i="29"/>
  <c r="T5828" i="29"/>
  <c r="J5828" i="29"/>
  <c r="K5828" i="29"/>
  <c r="S4233" i="29"/>
  <c r="T4060" i="29"/>
  <c r="S3367" i="29"/>
  <c r="S3292" i="29"/>
  <c r="S2894" i="29"/>
  <c r="T2894" i="29"/>
  <c r="W2894" i="29"/>
  <c r="T2747" i="29"/>
  <c r="J2747" i="29"/>
  <c r="S2747" i="29"/>
  <c r="S2573" i="29"/>
  <c r="T2573" i="29"/>
  <c r="J2573" i="29"/>
  <c r="K2573" i="29"/>
  <c r="T2197" i="29"/>
  <c r="J2197" i="29"/>
  <c r="K2197" i="29"/>
  <c r="S2197" i="29"/>
  <c r="S2194" i="29"/>
  <c r="K2143" i="29"/>
  <c r="J1933" i="29"/>
  <c r="K1933" i="29"/>
  <c r="W1933" i="29"/>
  <c r="S1781" i="29"/>
  <c r="T1781" i="29"/>
  <c r="W1781" i="29"/>
  <c r="U1781" i="29"/>
  <c r="S1392" i="29"/>
  <c r="T1392" i="29"/>
  <c r="W1392" i="29"/>
  <c r="U1392" i="29"/>
  <c r="T818" i="29"/>
  <c r="W818" i="29"/>
  <c r="S818" i="29"/>
  <c r="S596" i="29"/>
  <c r="T596" i="29"/>
  <c r="W596" i="29"/>
  <c r="J6006" i="29"/>
  <c r="K6006" i="29"/>
  <c r="J6341" i="29"/>
  <c r="K6341" i="29"/>
  <c r="J6467" i="29"/>
  <c r="U6467" i="29"/>
  <c r="K224" i="29"/>
  <c r="K216" i="29"/>
  <c r="K167" i="29"/>
  <c r="K88" i="29"/>
  <c r="W66" i="29"/>
  <c r="W52" i="29"/>
  <c r="W44" i="29"/>
  <c r="J5204" i="29"/>
  <c r="K5204" i="29"/>
  <c r="J6322" i="29"/>
  <c r="J6338" i="29"/>
  <c r="J6477" i="29"/>
  <c r="K6477" i="29"/>
  <c r="J3965" i="29"/>
  <c r="K3965" i="29"/>
  <c r="K3627" i="29"/>
  <c r="T3550" i="29"/>
  <c r="J3550" i="29"/>
  <c r="K3550" i="29"/>
  <c r="W2960" i="29"/>
  <c r="J2404" i="29"/>
  <c r="J1987" i="29"/>
  <c r="U1987" i="29"/>
  <c r="J1852" i="29"/>
  <c r="U1852" i="29"/>
  <c r="S1114" i="29"/>
  <c r="S996" i="29"/>
  <c r="J6213" i="29"/>
  <c r="U6213" i="29"/>
  <c r="S6850" i="29"/>
  <c r="S7373" i="29"/>
  <c r="T7780" i="29"/>
  <c r="J7780" i="29"/>
  <c r="W3083" i="29"/>
  <c r="J2002" i="29"/>
  <c r="U2002" i="29"/>
  <c r="J1965" i="29"/>
  <c r="U1965" i="29"/>
  <c r="W1923" i="29"/>
  <c r="W1763" i="29"/>
  <c r="W1744" i="29"/>
  <c r="W1683" i="29"/>
  <c r="J1661" i="29"/>
  <c r="K1661" i="29"/>
  <c r="W1652" i="29"/>
  <c r="J1640" i="29"/>
  <c r="T1002" i="29"/>
  <c r="W1002" i="29"/>
  <c r="U1002" i="29"/>
  <c r="W386" i="29"/>
  <c r="U386" i="29"/>
  <c r="K251" i="29"/>
  <c r="J6278" i="29"/>
  <c r="K6278" i="29"/>
  <c r="J6262" i="29"/>
  <c r="K6262" i="29"/>
  <c r="J6336" i="29"/>
  <c r="K6336" i="29"/>
  <c r="S4151" i="29"/>
  <c r="W3663" i="29"/>
  <c r="K2904" i="29"/>
  <c r="K2139" i="29"/>
  <c r="J1325" i="29"/>
  <c r="K1325" i="29"/>
  <c r="J1316" i="29"/>
  <c r="U1316" i="29"/>
  <c r="J1184" i="29"/>
  <c r="U1184" i="29"/>
  <c r="W93" i="29"/>
  <c r="U93" i="29"/>
  <c r="J5397" i="29"/>
  <c r="K5397" i="29"/>
  <c r="J5441" i="29"/>
  <c r="K5441" i="29"/>
  <c r="J6196" i="29"/>
  <c r="K6196" i="29"/>
  <c r="J6180" i="29"/>
  <c r="K6180" i="29"/>
  <c r="W2617" i="29"/>
  <c r="U2617" i="29"/>
  <c r="K1704" i="29"/>
  <c r="W1208" i="29"/>
  <c r="W1192" i="29"/>
  <c r="W1042" i="29"/>
  <c r="U1042" i="29"/>
  <c r="W887" i="29"/>
  <c r="K765" i="29"/>
  <c r="W752" i="29"/>
  <c r="U752" i="29"/>
  <c r="W698" i="29"/>
  <c r="W627" i="29"/>
  <c r="W354" i="29"/>
  <c r="K245" i="29"/>
  <c r="W179" i="29"/>
  <c r="U179" i="29"/>
  <c r="W171" i="29"/>
  <c r="J6358" i="29"/>
  <c r="K6358" i="29"/>
  <c r="W4532" i="29"/>
  <c r="W4467" i="29"/>
  <c r="T3653" i="29"/>
  <c r="J3653" i="29"/>
  <c r="K3653" i="29"/>
  <c r="W3227" i="29"/>
  <c r="T2941" i="29"/>
  <c r="J2941" i="29"/>
  <c r="K2941" i="29"/>
  <c r="J2465" i="29"/>
  <c r="W1300" i="29"/>
  <c r="W1048" i="29"/>
  <c r="U1048" i="29"/>
  <c r="W874" i="29"/>
  <c r="U874" i="29"/>
  <c r="W247" i="29"/>
  <c r="U247" i="29"/>
  <c r="W239" i="29"/>
  <c r="U239" i="29"/>
  <c r="W231" i="29"/>
  <c r="W192" i="29"/>
  <c r="K1793" i="29"/>
  <c r="J1777" i="29"/>
  <c r="K1777" i="29"/>
  <c r="W1421" i="29"/>
  <c r="W1394" i="29"/>
  <c r="U1394" i="29"/>
  <c r="J1391" i="29"/>
  <c r="K1391" i="29"/>
  <c r="J1358" i="29"/>
  <c r="K1358" i="29"/>
  <c r="J1238" i="29"/>
  <c r="K1238" i="29"/>
  <c r="W967" i="29"/>
  <c r="U967" i="29"/>
  <c r="W795" i="29"/>
  <c r="U795" i="29"/>
  <c r="W729" i="29"/>
  <c r="U729" i="29"/>
  <c r="K666" i="29"/>
  <c r="K583" i="29"/>
  <c r="W566" i="29"/>
  <c r="W488" i="29"/>
  <c r="U488" i="29"/>
  <c r="J5389" i="29"/>
  <c r="U5389" i="29"/>
  <c r="J5892" i="29"/>
  <c r="K5892" i="29"/>
  <c r="S7167" i="29"/>
  <c r="J6230" i="29"/>
  <c r="K6230" i="29"/>
  <c r="W4915" i="29"/>
  <c r="K3597" i="29"/>
  <c r="J3590" i="29"/>
  <c r="W3026" i="29"/>
  <c r="J2969" i="29"/>
  <c r="K2969" i="29"/>
  <c r="W2509" i="29"/>
  <c r="W2481" i="29"/>
  <c r="K2380" i="29"/>
  <c r="J1618" i="29"/>
  <c r="U1618" i="29"/>
  <c r="W1596" i="29"/>
  <c r="W662" i="29"/>
  <c r="U662" i="29"/>
  <c r="W576" i="29"/>
  <c r="K179" i="29"/>
  <c r="W100" i="29"/>
  <c r="U100" i="29"/>
  <c r="K95" i="29"/>
  <c r="K62" i="29"/>
  <c r="J5269" i="29"/>
  <c r="J5493" i="29"/>
  <c r="K5493" i="29"/>
  <c r="J5859" i="29"/>
  <c r="K5859" i="29"/>
  <c r="J6121" i="29"/>
  <c r="J1283" i="29"/>
  <c r="S5973" i="29"/>
  <c r="T5973" i="29"/>
  <c r="J5973" i="29"/>
  <c r="W2767" i="29"/>
  <c r="T3077" i="29"/>
  <c r="J3077" i="29"/>
  <c r="K3077" i="29"/>
  <c r="S3077" i="29"/>
  <c r="T2533" i="29"/>
  <c r="J2533" i="29"/>
  <c r="K2533" i="29"/>
  <c r="S2533" i="29"/>
  <c r="S2459" i="29"/>
  <c r="T2459" i="29"/>
  <c r="J2459" i="29"/>
  <c r="T2068" i="29"/>
  <c r="W2068" i="29"/>
  <c r="S2068" i="29"/>
  <c r="T5360" i="29"/>
  <c r="J5360" i="29"/>
  <c r="K5360" i="29"/>
  <c r="S5360" i="29"/>
  <c r="T5623" i="29"/>
  <c r="J5623" i="29"/>
  <c r="K5623" i="29"/>
  <c r="S5623" i="29"/>
  <c r="J257" i="29"/>
  <c r="K257" i="29"/>
  <c r="W257" i="29"/>
  <c r="S5085" i="29"/>
  <c r="T5085" i="29"/>
  <c r="W5464" i="29"/>
  <c r="J5464" i="29"/>
  <c r="T5556" i="29"/>
  <c r="J5556" i="29"/>
  <c r="S5556" i="29"/>
  <c r="T5970" i="29"/>
  <c r="J5970" i="29"/>
  <c r="S5970" i="29"/>
  <c r="S6200" i="29"/>
  <c r="T6200" i="29"/>
  <c r="J6200" i="29"/>
  <c r="K6200" i="29"/>
  <c r="S6416" i="29"/>
  <c r="T6416" i="29"/>
  <c r="J6416" i="29"/>
  <c r="T6216" i="29"/>
  <c r="J6216" i="29"/>
  <c r="S5032" i="29"/>
  <c r="T5032" i="29"/>
  <c r="J5032" i="29"/>
  <c r="K5032" i="29"/>
  <c r="T4566" i="29"/>
  <c r="J4566" i="29"/>
  <c r="K4566" i="29"/>
  <c r="S4566" i="29"/>
  <c r="S4155" i="29"/>
  <c r="T4155" i="29"/>
  <c r="J4155" i="29"/>
  <c r="S1102" i="29"/>
  <c r="T1102" i="29"/>
  <c r="W1102" i="29"/>
  <c r="T1024" i="29"/>
  <c r="J1024" i="29"/>
  <c r="U1024" i="29"/>
  <c r="S1024" i="29"/>
  <c r="J658" i="29"/>
  <c r="K658" i="29"/>
  <c r="W658" i="29"/>
  <c r="T628" i="29"/>
  <c r="W628" i="29"/>
  <c r="S628" i="29"/>
  <c r="S612" i="29"/>
  <c r="T612" i="29"/>
  <c r="W612" i="29"/>
  <c r="S325" i="29"/>
  <c r="T325" i="29"/>
  <c r="W325" i="29"/>
  <c r="S5135" i="29"/>
  <c r="T5135" i="29"/>
  <c r="J5135" i="29"/>
  <c r="K5135" i="29"/>
  <c r="J5770" i="29"/>
  <c r="W5770" i="29"/>
  <c r="T5890" i="29"/>
  <c r="J5890" i="29"/>
  <c r="K5890" i="29"/>
  <c r="S5890" i="29"/>
  <c r="T6247" i="29"/>
  <c r="J6247" i="29"/>
  <c r="U6247" i="29"/>
  <c r="S6247" i="29"/>
  <c r="T6217" i="29"/>
  <c r="J6217" i="29"/>
  <c r="T2779" i="29"/>
  <c r="J2779" i="29"/>
  <c r="K2779" i="29"/>
  <c r="S2185" i="29"/>
  <c r="S5000" i="29"/>
  <c r="T3455" i="29"/>
  <c r="J3455" i="29"/>
  <c r="K3455" i="29"/>
  <c r="S2711" i="29"/>
  <c r="S6314" i="29"/>
  <c r="T6359" i="29"/>
  <c r="J6359" i="29"/>
  <c r="K6359" i="29"/>
  <c r="S6293" i="29"/>
  <c r="J1923" i="29"/>
  <c r="K1923" i="29"/>
  <c r="T3431" i="29"/>
  <c r="J3431" i="29"/>
  <c r="K3431" i="29"/>
  <c r="S3301" i="29"/>
  <c r="S5112" i="29"/>
  <c r="T3807" i="29"/>
  <c r="J3807" i="29"/>
  <c r="K3807" i="29"/>
  <c r="T5382" i="29"/>
  <c r="T2193" i="29"/>
  <c r="T2486" i="29"/>
  <c r="W2486" i="29"/>
  <c r="T5161" i="29"/>
  <c r="J5161" i="29"/>
  <c r="U5161" i="29"/>
  <c r="S6032" i="29"/>
  <c r="T2030" i="29"/>
  <c r="T4992" i="29"/>
  <c r="J4992" i="29"/>
  <c r="U4992" i="29"/>
  <c r="T3510" i="29"/>
  <c r="W3510" i="29"/>
  <c r="T3443" i="29"/>
  <c r="J3443" i="29"/>
  <c r="S386" i="29"/>
  <c r="T2957" i="29"/>
  <c r="J2957" i="29"/>
  <c r="S3348" i="29"/>
  <c r="S2218" i="29"/>
  <c r="S859" i="29"/>
  <c r="T5887" i="29"/>
  <c r="J5887" i="29"/>
  <c r="K5887" i="29"/>
  <c r="S6248" i="29"/>
  <c r="T6185" i="29"/>
  <c r="J6185" i="29"/>
  <c r="K6185" i="29"/>
  <c r="T6215" i="29"/>
  <c r="J6215" i="29"/>
  <c r="K6215" i="29"/>
  <c r="S3430" i="29"/>
  <c r="S1083" i="29"/>
  <c r="S4357" i="29"/>
  <c r="S796" i="29"/>
  <c r="S5431" i="29"/>
  <c r="T5900" i="29"/>
  <c r="J5900" i="29"/>
  <c r="T6015" i="29"/>
  <c r="J6015" i="29"/>
  <c r="K6015" i="29"/>
  <c r="T6002" i="29"/>
  <c r="J6002" i="29"/>
  <c r="T4872" i="29"/>
  <c r="J4872" i="29"/>
  <c r="K4872" i="29"/>
  <c r="S4872" i="29"/>
  <c r="S2807" i="29"/>
  <c r="T2807" i="29"/>
  <c r="J2807" i="29"/>
  <c r="T2725" i="29"/>
  <c r="S2725" i="29"/>
  <c r="T2502" i="29"/>
  <c r="W2502" i="29"/>
  <c r="S2502" i="29"/>
  <c r="T2399" i="29"/>
  <c r="W2399" i="29"/>
  <c r="U2399" i="29"/>
  <c r="S2399" i="29"/>
  <c r="S2385" i="29"/>
  <c r="T2385" i="29"/>
  <c r="J2385" i="29"/>
  <c r="S1665" i="29"/>
  <c r="T1665" i="29"/>
  <c r="W1665" i="29"/>
  <c r="S1493" i="29"/>
  <c r="T1493" i="29"/>
  <c r="J1493" i="29"/>
  <c r="T1390" i="29"/>
  <c r="S1390" i="29"/>
  <c r="T4134" i="29"/>
  <c r="J4134" i="29"/>
  <c r="S4134" i="29"/>
  <c r="S3877" i="29"/>
  <c r="T3877" i="29"/>
  <c r="W3877" i="29"/>
  <c r="S3333" i="29"/>
  <c r="T3333" i="29"/>
  <c r="J3333" i="29"/>
  <c r="S3009" i="29"/>
  <c r="T3009" i="29"/>
  <c r="J3009" i="29"/>
  <c r="K3009" i="29"/>
  <c r="S2951" i="29"/>
  <c r="T2951" i="29"/>
  <c r="W2951" i="29"/>
  <c r="S2930" i="29"/>
  <c r="T2930" i="29"/>
  <c r="J2930" i="29"/>
  <c r="K2930" i="29"/>
  <c r="S2548" i="29"/>
  <c r="T2548" i="29"/>
  <c r="J2548" i="29"/>
  <c r="T2174" i="29"/>
  <c r="S2174" i="29"/>
  <c r="T1548" i="29"/>
  <c r="S1548" i="29"/>
  <c r="S1295" i="29"/>
  <c r="J1295" i="29"/>
  <c r="K1295" i="29"/>
  <c r="T1295" i="29"/>
  <c r="W1295" i="29"/>
  <c r="T1160" i="29"/>
  <c r="W1160" i="29"/>
  <c r="S1160" i="29"/>
  <c r="S856" i="29"/>
  <c r="T856" i="29"/>
  <c r="J856" i="29"/>
  <c r="K856" i="29"/>
  <c r="S434" i="29"/>
  <c r="T434" i="29"/>
  <c r="W434" i="29"/>
  <c r="W99" i="29"/>
  <c r="J99" i="29"/>
  <c r="K99" i="29"/>
  <c r="T5371" i="29"/>
  <c r="W5371" i="29"/>
  <c r="U5371" i="29"/>
  <c r="S5371" i="29"/>
  <c r="T5412" i="29"/>
  <c r="S5412" i="29"/>
  <c r="T5841" i="29"/>
  <c r="J5841" i="29"/>
  <c r="U5841" i="29"/>
  <c r="S5841" i="29"/>
  <c r="S5856" i="29"/>
  <c r="T5856" i="29"/>
  <c r="J5856" i="29"/>
  <c r="K5856" i="29"/>
  <c r="T5875" i="29"/>
  <c r="J5875" i="29"/>
  <c r="K5875" i="29"/>
  <c r="S5875" i="29"/>
  <c r="S5919" i="29"/>
  <c r="T5919" i="29"/>
  <c r="J5919" i="29"/>
  <c r="S6148" i="29"/>
  <c r="T6148" i="29"/>
  <c r="J6148" i="29"/>
  <c r="K6148" i="29"/>
  <c r="T6312" i="29"/>
  <c r="J6312" i="29"/>
  <c r="K6312" i="29"/>
  <c r="S6312" i="29"/>
  <c r="T3715" i="29"/>
  <c r="J3715" i="29"/>
  <c r="S3715" i="29"/>
  <c r="S3143" i="29"/>
  <c r="T3143" i="29"/>
  <c r="J3143" i="29"/>
  <c r="K3143" i="29"/>
  <c r="T2155" i="29"/>
  <c r="J2155" i="29"/>
  <c r="S1276" i="29"/>
  <c r="T1276" i="29"/>
  <c r="W1276" i="29"/>
  <c r="U1276" i="29"/>
  <c r="S999" i="29"/>
  <c r="T999" i="29"/>
  <c r="J999" i="29"/>
  <c r="S824" i="29"/>
  <c r="T824" i="29"/>
  <c r="W824" i="29"/>
  <c r="T685" i="29"/>
  <c r="W685" i="29"/>
  <c r="S685" i="29"/>
  <c r="T657" i="29"/>
  <c r="W657" i="29"/>
  <c r="S657" i="29"/>
  <c r="T618" i="29"/>
  <c r="W618" i="29"/>
  <c r="U618" i="29"/>
  <c r="S618" i="29"/>
  <c r="W115" i="29"/>
  <c r="W41" i="29"/>
  <c r="W17" i="29"/>
  <c r="T5082" i="29"/>
  <c r="S5082" i="29"/>
  <c r="W5515" i="29"/>
  <c r="J5515" i="29"/>
  <c r="T5644" i="29"/>
  <c r="J5644" i="29"/>
  <c r="K5644" i="29"/>
  <c r="S5644" i="29"/>
  <c r="T5860" i="29"/>
  <c r="J5860" i="29"/>
  <c r="K5860" i="29"/>
  <c r="S5860" i="29"/>
  <c r="T6129" i="29"/>
  <c r="J6129" i="29"/>
  <c r="K6129" i="29"/>
  <c r="S6129" i="29"/>
  <c r="T6182" i="29"/>
  <c r="J6182" i="29"/>
  <c r="K6182" i="29"/>
  <c r="S6182" i="29"/>
  <c r="S2960" i="29"/>
  <c r="S4633" i="29"/>
  <c r="T4633" i="29"/>
  <c r="J4633" i="29"/>
  <c r="K4633" i="29"/>
  <c r="S4038" i="29"/>
  <c r="T4038" i="29"/>
  <c r="W4038" i="29"/>
  <c r="T3968" i="29"/>
  <c r="J3968" i="29"/>
  <c r="S3968" i="29"/>
  <c r="T3547" i="29"/>
  <c r="J3547" i="29"/>
  <c r="K3547" i="29"/>
  <c r="S3547" i="29"/>
  <c r="S3506" i="29"/>
  <c r="T3506" i="29"/>
  <c r="W3506" i="29"/>
  <c r="T3487" i="29"/>
  <c r="J3487" i="29"/>
  <c r="K3487" i="29"/>
  <c r="S3487" i="29"/>
  <c r="T3468" i="29"/>
  <c r="J3468" i="29"/>
  <c r="K3468" i="29"/>
  <c r="S3468" i="29"/>
  <c r="T3458" i="29"/>
  <c r="S3458" i="29"/>
  <c r="T2756" i="29"/>
  <c r="J2756" i="29"/>
  <c r="S2756" i="29"/>
  <c r="T1616" i="29"/>
  <c r="J1616" i="29"/>
  <c r="S1616" i="29"/>
  <c r="S1578" i="29"/>
  <c r="T1578" i="29"/>
  <c r="J1578" i="29"/>
  <c r="U1578" i="29"/>
  <c r="T1039" i="29"/>
  <c r="J1039" i="29"/>
  <c r="S1039" i="29"/>
  <c r="S827" i="29"/>
  <c r="T827" i="29"/>
  <c r="W827" i="29"/>
  <c r="U827" i="29"/>
  <c r="T637" i="29"/>
  <c r="W637" i="29"/>
  <c r="S637" i="29"/>
  <c r="J5072" i="29"/>
  <c r="K5072" i="29"/>
  <c r="T5751" i="29"/>
  <c r="J5751" i="29"/>
  <c r="K5751" i="29"/>
  <c r="S5751" i="29"/>
  <c r="T5871" i="29"/>
  <c r="J5871" i="29"/>
  <c r="K5871" i="29"/>
  <c r="S5871" i="29"/>
  <c r="S6036" i="29"/>
  <c r="T6036" i="29"/>
  <c r="J6036" i="29"/>
  <c r="K6036" i="29"/>
  <c r="T6095" i="29"/>
  <c r="J6095" i="29"/>
  <c r="K6095" i="29"/>
  <c r="S6095" i="29"/>
  <c r="T6161" i="29"/>
  <c r="J6161" i="29"/>
  <c r="K6161" i="29"/>
  <c r="S6161" i="29"/>
  <c r="J6248" i="29"/>
  <c r="K6248" i="29"/>
  <c r="T6357" i="29"/>
  <c r="J6357" i="29"/>
  <c r="K6357" i="29"/>
  <c r="S6357" i="29"/>
  <c r="T2964" i="29"/>
  <c r="S5109" i="29"/>
  <c r="T4741" i="29"/>
  <c r="S4741" i="29"/>
  <c r="S4477" i="29"/>
  <c r="T4477" i="29"/>
  <c r="T4455" i="29"/>
  <c r="W4455" i="29"/>
  <c r="S4455" i="29"/>
  <c r="S4333" i="29"/>
  <c r="T4333" i="29"/>
  <c r="J4333" i="29"/>
  <c r="K4333" i="29"/>
  <c r="S4292" i="29"/>
  <c r="T4292" i="29"/>
  <c r="J4292" i="29"/>
  <c r="S4041" i="29"/>
  <c r="T4041" i="29"/>
  <c r="J4041" i="29"/>
  <c r="K4041" i="29"/>
  <c r="T4009" i="29"/>
  <c r="J4009" i="29"/>
  <c r="K4009" i="29"/>
  <c r="S4009" i="29"/>
  <c r="T3838" i="29"/>
  <c r="J3838" i="29"/>
  <c r="S3838" i="29"/>
  <c r="S3828" i="29"/>
  <c r="T3828" i="29"/>
  <c r="J3828" i="29"/>
  <c r="T3565" i="29"/>
  <c r="J3565" i="29"/>
  <c r="S3565" i="29"/>
  <c r="S1948" i="29"/>
  <c r="T1948" i="29"/>
  <c r="J1948" i="29"/>
  <c r="W1914" i="29"/>
  <c r="J177" i="29"/>
  <c r="K177" i="29"/>
  <c r="W177" i="29"/>
  <c r="J161" i="29"/>
  <c r="K161" i="29"/>
  <c r="W161" i="29"/>
  <c r="W46" i="29"/>
  <c r="S5358" i="29"/>
  <c r="T5358" i="29"/>
  <c r="W5358" i="29"/>
  <c r="T5910" i="29"/>
  <c r="J5910" i="29"/>
  <c r="K5910" i="29"/>
  <c r="S5910" i="29"/>
  <c r="S4911" i="29"/>
  <c r="T4911" i="29"/>
  <c r="J4911" i="29"/>
  <c r="S4679" i="29"/>
  <c r="T4679" i="29"/>
  <c r="T2038" i="29"/>
  <c r="J2038" i="29"/>
  <c r="K2038" i="29"/>
  <c r="S2038" i="29"/>
  <c r="S4328" i="29"/>
  <c r="T4328" i="29"/>
  <c r="S4198" i="29"/>
  <c r="T4198" i="29"/>
  <c r="J4198" i="29"/>
  <c r="T3444" i="29"/>
  <c r="J3444" i="29"/>
  <c r="S3444" i="29"/>
  <c r="S3264" i="29"/>
  <c r="T3264" i="29"/>
  <c r="J3264" i="29"/>
  <c r="S2888" i="29"/>
  <c r="T2888" i="29"/>
  <c r="W2888" i="29"/>
  <c r="T2757" i="29"/>
  <c r="J2757" i="29"/>
  <c r="S2757" i="29"/>
  <c r="S2495" i="29"/>
  <c r="T2495" i="29"/>
  <c r="S2059" i="29"/>
  <c r="T2059" i="29"/>
  <c r="J2059" i="29"/>
  <c r="S1824" i="29"/>
  <c r="T1824" i="29"/>
  <c r="S5324" i="29"/>
  <c r="T5324" i="29"/>
  <c r="J5324" i="29"/>
  <c r="T5370" i="29"/>
  <c r="W5370" i="29"/>
  <c r="U5370" i="29"/>
  <c r="S5370" i="29"/>
  <c r="T6315" i="29"/>
  <c r="J6315" i="29"/>
  <c r="S6315" i="29"/>
  <c r="T1499" i="29"/>
  <c r="J1499" i="29"/>
  <c r="K1499" i="29"/>
  <c r="T3737" i="29"/>
  <c r="S3737" i="29"/>
  <c r="T3494" i="29"/>
  <c r="W3494" i="29"/>
  <c r="S3494" i="29"/>
  <c r="T3311" i="29"/>
  <c r="J3311" i="29"/>
  <c r="S3311" i="29"/>
  <c r="T3304" i="29"/>
  <c r="W3304" i="29"/>
  <c r="S3304" i="29"/>
  <c r="S3038" i="29"/>
  <c r="T3038" i="29"/>
  <c r="J3038" i="29"/>
  <c r="K3038" i="29"/>
  <c r="T3019" i="29"/>
  <c r="J3019" i="29"/>
  <c r="S3019" i="29"/>
  <c r="S2800" i="29"/>
  <c r="T2800" i="29"/>
  <c r="J2800" i="29"/>
  <c r="K2800" i="29"/>
  <c r="T2734" i="29"/>
  <c r="W2734" i="29"/>
  <c r="S2734" i="29"/>
  <c r="W1299" i="29"/>
  <c r="J1299" i="29"/>
  <c r="T670" i="29"/>
  <c r="W670" i="29"/>
  <c r="S670" i="29"/>
  <c r="T625" i="29"/>
  <c r="W625" i="29"/>
  <c r="U625" i="29"/>
  <c r="S625" i="29"/>
  <c r="T399" i="29"/>
  <c r="W399" i="29"/>
  <c r="U399" i="29"/>
  <c r="S399" i="29"/>
  <c r="T371" i="29"/>
  <c r="W371" i="29"/>
  <c r="S371" i="29"/>
  <c r="J371" i="29"/>
  <c r="S5081" i="29"/>
  <c r="T5081" i="29"/>
  <c r="T5222" i="29"/>
  <c r="J5222" i="29"/>
  <c r="S5222" i="29"/>
  <c r="S5263" i="29"/>
  <c r="T5263" i="29"/>
  <c r="J5263" i="29"/>
  <c r="T5615" i="29"/>
  <c r="J5615" i="29"/>
  <c r="K5615" i="29"/>
  <c r="S5615" i="29"/>
  <c r="S6048" i="29"/>
  <c r="T6048" i="29"/>
  <c r="J6048" i="29"/>
  <c r="S6138" i="29"/>
  <c r="T6138" i="29"/>
  <c r="J6138" i="29"/>
  <c r="K6138" i="29"/>
  <c r="T6232" i="29"/>
  <c r="J6232" i="29"/>
  <c r="K6232" i="29"/>
  <c r="S6232" i="29"/>
  <c r="T6459" i="29"/>
  <c r="J6459" i="29"/>
  <c r="K6459" i="29"/>
  <c r="S6459" i="29"/>
  <c r="T6496" i="29"/>
  <c r="J6496" i="29"/>
  <c r="S6496" i="29"/>
  <c r="T4248" i="29"/>
  <c r="W4248" i="29"/>
  <c r="S4248" i="29"/>
  <c r="T4204" i="29"/>
  <c r="S4204" i="29"/>
  <c r="S1270" i="29"/>
  <c r="T1270" i="29"/>
  <c r="W1270" i="29"/>
  <c r="U1270" i="29"/>
  <c r="S1012" i="29"/>
  <c r="T1012" i="29"/>
  <c r="W1012" i="29"/>
  <c r="U1012" i="29"/>
  <c r="S946" i="29"/>
  <c r="T946" i="29"/>
  <c r="W946" i="29"/>
  <c r="U946" i="29"/>
  <c r="T759" i="29"/>
  <c r="W759" i="29"/>
  <c r="U759" i="29"/>
  <c r="S759" i="29"/>
  <c r="S402" i="29"/>
  <c r="T402" i="29"/>
  <c r="W402" i="29"/>
  <c r="U402" i="29"/>
  <c r="S355" i="29"/>
  <c r="T355" i="29"/>
  <c r="W355" i="29"/>
  <c r="S5115" i="29"/>
  <c r="T5115" i="29"/>
  <c r="J5115" i="29"/>
  <c r="K5115" i="29"/>
  <c r="S5141" i="29"/>
  <c r="T5141" i="29"/>
  <c r="J5141" i="29"/>
  <c r="K5141" i="29"/>
  <c r="T5300" i="29"/>
  <c r="J5300" i="29"/>
  <c r="S5300" i="29"/>
  <c r="S5267" i="29"/>
  <c r="T5267" i="29"/>
  <c r="J5267" i="29"/>
  <c r="K5267" i="29"/>
  <c r="T6199" i="29"/>
  <c r="J6199" i="29"/>
  <c r="K6199" i="29"/>
  <c r="S6199" i="29"/>
  <c r="S6280" i="29"/>
  <c r="T6280" i="29"/>
  <c r="J6280" i="29"/>
  <c r="K6280" i="29"/>
  <c r="T6427" i="29"/>
  <c r="J6427" i="29"/>
  <c r="K6427" i="29"/>
  <c r="S6427" i="29"/>
  <c r="S6439" i="29"/>
  <c r="T6439" i="29"/>
  <c r="J6439" i="29"/>
  <c r="K6439" i="29"/>
  <c r="T4032" i="29"/>
  <c r="J4032" i="29"/>
  <c r="K4032" i="29"/>
  <c r="S4032" i="29"/>
  <c r="S3553" i="29"/>
  <c r="T3553" i="29"/>
  <c r="T2253" i="29"/>
  <c r="S2253" i="29"/>
  <c r="S1560" i="29"/>
  <c r="T1560" i="29"/>
  <c r="J1560" i="29"/>
  <c r="K1560" i="29"/>
  <c r="S1344" i="29"/>
  <c r="T1344" i="29"/>
  <c r="W1344" i="29"/>
  <c r="T1298" i="29"/>
  <c r="J1298" i="29"/>
  <c r="S1298" i="29"/>
  <c r="T1043" i="29"/>
  <c r="J1043" i="29"/>
  <c r="K1043" i="29"/>
  <c r="S1043" i="29"/>
  <c r="T802" i="29"/>
  <c r="S802" i="29"/>
  <c r="S727" i="29"/>
  <c r="T727" i="29"/>
  <c r="W727" i="29"/>
  <c r="T405" i="29"/>
  <c r="W405" i="29"/>
  <c r="U405" i="29"/>
  <c r="S405" i="29"/>
  <c r="K5138" i="29"/>
  <c r="S5713" i="29"/>
  <c r="T5713" i="29"/>
  <c r="J5713" i="29"/>
  <c r="K5713" i="29"/>
  <c r="S5760" i="29"/>
  <c r="T5760" i="29"/>
  <c r="J5760" i="29"/>
  <c r="K5760" i="29"/>
  <c r="S5881" i="29"/>
  <c r="T5881" i="29"/>
  <c r="J5881" i="29"/>
  <c r="K5881" i="29"/>
  <c r="S5903" i="29"/>
  <c r="T5903" i="29"/>
  <c r="J5903" i="29"/>
  <c r="K5903" i="29"/>
  <c r="S5948" i="29"/>
  <c r="T5948" i="29"/>
  <c r="J5948" i="29"/>
  <c r="T5996" i="29"/>
  <c r="J5996" i="29"/>
  <c r="K5996" i="29"/>
  <c r="S5996" i="29"/>
  <c r="S6183" i="29"/>
  <c r="T6183" i="29"/>
  <c r="J6183" i="29"/>
  <c r="K6183" i="29"/>
  <c r="T6279" i="29"/>
  <c r="J6279" i="29"/>
  <c r="K6279" i="29"/>
  <c r="S6279" i="29"/>
  <c r="T6335" i="29"/>
  <c r="J6335" i="29"/>
  <c r="K6335" i="29"/>
  <c r="S6335" i="29"/>
  <c r="S4286" i="29"/>
  <c r="T4286" i="29"/>
  <c r="J4286" i="29"/>
  <c r="S3604" i="29"/>
  <c r="T3604" i="29"/>
  <c r="J3604" i="29"/>
  <c r="T3279" i="29"/>
  <c r="J3279" i="29"/>
  <c r="K3279" i="29"/>
  <c r="S3279" i="29"/>
  <c r="S3260" i="29"/>
  <c r="T3260" i="29"/>
  <c r="J3260" i="29"/>
  <c r="T2727" i="29"/>
  <c r="W2727" i="29"/>
  <c r="S2727" i="29"/>
  <c r="T1471" i="29"/>
  <c r="J1471" i="29"/>
  <c r="K1471" i="29"/>
  <c r="S1471" i="29"/>
  <c r="S1236" i="29"/>
  <c r="J1236" i="29"/>
  <c r="T1236" i="29"/>
  <c r="W1236" i="29"/>
  <c r="S981" i="29"/>
  <c r="T981" i="29"/>
  <c r="W981" i="29"/>
  <c r="T768" i="29"/>
  <c r="J768" i="29"/>
  <c r="S768" i="29"/>
  <c r="T765" i="29"/>
  <c r="W765" i="29"/>
  <c r="U765" i="29"/>
  <c r="S765" i="29"/>
  <c r="S737" i="29"/>
  <c r="T737" i="29"/>
  <c r="W737" i="29"/>
  <c r="W9" i="29"/>
  <c r="S5126" i="29"/>
  <c r="T5126" i="29"/>
  <c r="S5331" i="29"/>
  <c r="T5331" i="29"/>
  <c r="J5331" i="29"/>
  <c r="K5331" i="29"/>
  <c r="T5530" i="29"/>
  <c r="J5530" i="29"/>
  <c r="K5530" i="29"/>
  <c r="S5530" i="29"/>
  <c r="T5916" i="29"/>
  <c r="J5916" i="29"/>
  <c r="K5916" i="29"/>
  <c r="S5916" i="29"/>
  <c r="T6263" i="29"/>
  <c r="J6263" i="29"/>
  <c r="K6263" i="29"/>
  <c r="S6263" i="29"/>
  <c r="J6381" i="29"/>
  <c r="T7367" i="29"/>
  <c r="J7367" i="29"/>
  <c r="K7367" i="29"/>
  <c r="S6266" i="29"/>
  <c r="S682" i="29"/>
  <c r="T4490" i="29"/>
  <c r="W4490" i="29"/>
  <c r="S4490" i="29"/>
  <c r="S3263" i="29"/>
  <c r="T3263" i="29"/>
  <c r="W3263" i="29"/>
  <c r="U3263" i="29"/>
  <c r="T3089" i="29"/>
  <c r="J3089" i="29"/>
  <c r="S3089" i="29"/>
  <c r="S2346" i="29"/>
  <c r="T2346" i="29"/>
  <c r="W2346" i="29"/>
  <c r="T1889" i="29"/>
  <c r="J1889" i="29"/>
  <c r="U1889" i="29"/>
  <c r="S1889" i="29"/>
  <c r="T1842" i="29"/>
  <c r="J1842" i="29"/>
  <c r="S1842" i="29"/>
  <c r="T1750" i="29"/>
  <c r="J1750" i="29"/>
  <c r="K1750" i="29"/>
  <c r="S1750" i="29"/>
  <c r="T1486" i="29"/>
  <c r="J1486" i="29"/>
  <c r="K1486" i="29"/>
  <c r="S1486" i="29"/>
  <c r="T924" i="29"/>
  <c r="W924" i="29"/>
  <c r="S924" i="29"/>
  <c r="W96" i="29"/>
  <c r="U96" i="29"/>
  <c r="T5754" i="29"/>
  <c r="J5754" i="29"/>
  <c r="S5754" i="29"/>
  <c r="T5974" i="29"/>
  <c r="J5974" i="29"/>
  <c r="U5974" i="29"/>
  <c r="S5974" i="29"/>
  <c r="T6246" i="29"/>
  <c r="J6246" i="29"/>
  <c r="U6246" i="29"/>
  <c r="S1239" i="29"/>
  <c r="S1797" i="29"/>
  <c r="S5028" i="29"/>
  <c r="T5028" i="29"/>
  <c r="W5028" i="29"/>
  <c r="T4639" i="29"/>
  <c r="W4639" i="29"/>
  <c r="S4639" i="29"/>
  <c r="T3913" i="29"/>
  <c r="J3913" i="29"/>
  <c r="S3913" i="29"/>
  <c r="S3898" i="29"/>
  <c r="T3898" i="29"/>
  <c r="J3898" i="29"/>
  <c r="K3898" i="29"/>
  <c r="S3857" i="29"/>
  <c r="T3857" i="29"/>
  <c r="J3857" i="29"/>
  <c r="W756" i="29"/>
  <c r="T538" i="29"/>
  <c r="W538" i="29"/>
  <c r="U538" i="29"/>
  <c r="S538" i="29"/>
  <c r="S424" i="29"/>
  <c r="T424" i="29"/>
  <c r="J424" i="29"/>
  <c r="K424" i="29"/>
  <c r="S273" i="29"/>
  <c r="T273" i="29"/>
  <c r="W273" i="29"/>
  <c r="U273" i="29"/>
  <c r="J120" i="29"/>
  <c r="W60" i="29"/>
  <c r="W54" i="29"/>
  <c r="J54" i="29"/>
  <c r="K54" i="29"/>
  <c r="W30" i="29"/>
  <c r="J5318" i="29"/>
  <c r="K5318" i="29"/>
  <c r="T5635" i="29"/>
  <c r="J5635" i="29"/>
  <c r="K5635" i="29"/>
  <c r="S5635" i="29"/>
  <c r="T6049" i="29"/>
  <c r="J6049" i="29"/>
  <c r="K6049" i="29"/>
  <c r="S6049" i="29"/>
  <c r="S6139" i="29"/>
  <c r="T6139" i="29"/>
  <c r="J6139" i="29"/>
  <c r="J6298" i="29"/>
  <c r="K6298" i="29"/>
  <c r="S6292" i="29"/>
  <c r="T6292" i="29"/>
  <c r="J6292" i="29"/>
  <c r="J6375" i="29"/>
  <c r="K6375" i="29"/>
  <c r="T4208" i="29"/>
  <c r="S4208" i="29"/>
  <c r="S4001" i="29"/>
  <c r="T4001" i="29"/>
  <c r="J4001" i="29"/>
  <c r="K4001" i="29"/>
  <c r="T3994" i="29"/>
  <c r="W3994" i="29"/>
  <c r="S3994" i="29"/>
  <c r="T3905" i="29"/>
  <c r="W3905" i="29"/>
  <c r="S3905" i="29"/>
  <c r="T2422" i="29"/>
  <c r="J2422" i="29"/>
  <c r="S2422" i="29"/>
  <c r="S2175" i="29"/>
  <c r="T2175" i="29"/>
  <c r="T6504" i="29"/>
  <c r="J6504" i="29"/>
  <c r="S6504" i="29"/>
  <c r="T4878" i="29"/>
  <c r="S4878" i="29"/>
  <c r="T4637" i="29"/>
  <c r="S4637" i="29"/>
  <c r="S4395" i="29"/>
  <c r="T4395" i="29"/>
  <c r="W4395" i="29"/>
  <c r="T4080" i="29"/>
  <c r="S4080" i="29"/>
  <c r="S3969" i="29"/>
  <c r="T3969" i="29"/>
  <c r="J3969" i="29"/>
  <c r="T3703" i="29"/>
  <c r="W3703" i="29"/>
  <c r="S3703" i="29"/>
  <c r="T3608" i="29"/>
  <c r="J3608" i="29"/>
  <c r="U3608" i="29"/>
  <c r="S3608" i="29"/>
  <c r="S3548" i="29"/>
  <c r="T3548" i="29"/>
  <c r="T3428" i="29"/>
  <c r="W3428" i="29"/>
  <c r="S3428" i="29"/>
  <c r="T3286" i="29"/>
  <c r="J3286" i="29"/>
  <c r="S3286" i="29"/>
  <c r="T2873" i="29"/>
  <c r="J2873" i="29"/>
  <c r="K2873" i="29"/>
  <c r="S2873" i="29"/>
  <c r="S2816" i="29"/>
  <c r="T2816" i="29"/>
  <c r="J2816" i="29"/>
  <c r="T2652" i="29"/>
  <c r="J2652" i="29"/>
  <c r="S2652" i="29"/>
  <c r="T2415" i="29"/>
  <c r="J2415" i="29"/>
  <c r="S2415" i="29"/>
  <c r="T2074" i="29"/>
  <c r="J2074" i="29"/>
  <c r="K2074" i="29"/>
  <c r="S2074" i="29"/>
  <c r="S1902" i="29"/>
  <c r="T1902" i="29"/>
  <c r="S5565" i="29"/>
  <c r="T5565" i="29"/>
  <c r="W5565" i="29"/>
  <c r="T5605" i="29"/>
  <c r="J5605" i="29"/>
  <c r="K5605" i="29"/>
  <c r="S5605" i="29"/>
  <c r="T6141" i="29"/>
  <c r="J6141" i="29"/>
  <c r="K6141" i="29"/>
  <c r="S6141" i="29"/>
  <c r="T6160" i="29"/>
  <c r="J6160" i="29"/>
  <c r="K6160" i="29"/>
  <c r="S6160" i="29"/>
  <c r="S6233" i="29"/>
  <c r="T6233" i="29"/>
  <c r="J6233" i="29"/>
  <c r="K6233" i="29"/>
  <c r="S6201" i="29"/>
  <c r="T6201" i="29"/>
  <c r="J6201" i="29"/>
  <c r="K6201" i="29"/>
  <c r="T6267" i="29"/>
  <c r="J6267" i="29"/>
  <c r="K6267" i="29"/>
  <c r="S6267" i="29"/>
  <c r="S6328" i="29"/>
  <c r="T6328" i="29"/>
  <c r="S6350" i="29"/>
  <c r="T6350" i="29"/>
  <c r="J6350" i="29"/>
  <c r="K6350" i="29"/>
  <c r="T7611" i="29"/>
  <c r="J7611" i="29"/>
  <c r="K7611" i="29"/>
  <c r="S7611" i="29"/>
  <c r="T4589" i="29"/>
  <c r="W4589" i="29"/>
  <c r="S4398" i="29"/>
  <c r="T4398" i="29"/>
  <c r="J4398" i="29"/>
  <c r="K4398" i="29"/>
  <c r="S4315" i="29"/>
  <c r="T4315" i="29"/>
  <c r="T3664" i="29"/>
  <c r="W3664" i="29"/>
  <c r="S3664" i="29"/>
  <c r="S3207" i="29"/>
  <c r="T3207" i="29"/>
  <c r="J3207" i="29"/>
  <c r="K3207" i="29"/>
  <c r="T3200" i="29"/>
  <c r="J3200" i="29"/>
  <c r="S3200" i="29"/>
  <c r="T3105" i="29"/>
  <c r="J3105" i="29"/>
  <c r="S3105" i="29"/>
  <c r="T5118" i="29"/>
  <c r="J5118" i="29"/>
  <c r="K5118" i="29"/>
  <c r="S5118" i="29"/>
  <c r="T5055" i="29"/>
  <c r="J5055" i="29"/>
  <c r="K5055" i="29"/>
  <c r="S5055" i="29"/>
  <c r="S5844" i="29"/>
  <c r="T5844" i="29"/>
  <c r="J5844" i="29"/>
  <c r="K5844" i="29"/>
  <c r="T5986" i="29"/>
  <c r="J5986" i="29"/>
  <c r="K5986" i="29"/>
  <c r="S5986" i="29"/>
  <c r="T6173" i="29"/>
  <c r="J6173" i="29"/>
  <c r="S6173" i="29"/>
  <c r="T6501" i="29"/>
  <c r="J6501" i="29"/>
  <c r="K6501" i="29"/>
  <c r="S6501" i="29"/>
  <c r="T7612" i="29"/>
  <c r="J7612" i="29"/>
  <c r="K7612" i="29"/>
  <c r="S2090" i="29"/>
  <c r="S3131" i="29"/>
  <c r="S1884" i="29"/>
  <c r="T1301" i="29"/>
  <c r="J1301" i="29"/>
  <c r="K1301" i="29"/>
  <c r="S1301" i="29"/>
  <c r="S1267" i="29"/>
  <c r="T1267" i="29"/>
  <c r="J1267" i="29"/>
  <c r="K1267" i="29"/>
  <c r="T787" i="29"/>
  <c r="W787" i="29"/>
  <c r="U787" i="29"/>
  <c r="S787" i="29"/>
  <c r="T593" i="29"/>
  <c r="W593" i="29"/>
  <c r="U593" i="29"/>
  <c r="S593" i="29"/>
  <c r="T5906" i="29"/>
  <c r="J5906" i="29"/>
  <c r="K5906" i="29"/>
  <c r="S5906" i="29"/>
  <c r="S6088" i="29"/>
  <c r="T6088" i="29"/>
  <c r="J6088" i="29"/>
  <c r="K6088" i="29"/>
  <c r="T6170" i="29"/>
  <c r="J6170" i="29"/>
  <c r="K6170" i="29"/>
  <c r="S6170" i="29"/>
  <c r="S6184" i="29"/>
  <c r="T6184" i="29"/>
  <c r="J6184" i="29"/>
  <c r="K6184" i="29"/>
  <c r="S4111" i="29"/>
  <c r="T4111" i="29"/>
  <c r="W4111" i="29"/>
  <c r="S3386" i="29"/>
  <c r="T3386" i="29"/>
  <c r="J3386" i="29"/>
  <c r="U3386" i="29"/>
  <c r="S3060" i="29"/>
  <c r="T3060" i="29"/>
  <c r="J3060" i="29"/>
  <c r="S2847" i="29"/>
  <c r="T2847" i="29"/>
  <c r="J2847" i="29"/>
  <c r="K2847" i="29"/>
  <c r="S2702" i="29"/>
  <c r="T2702" i="29"/>
  <c r="J2702" i="29"/>
  <c r="W2597" i="29"/>
  <c r="J2597" i="29"/>
  <c r="K2597" i="29"/>
  <c r="S2099" i="29"/>
  <c r="T2099" i="29"/>
  <c r="J2099" i="29"/>
  <c r="T5059" i="29"/>
  <c r="J5059" i="29"/>
  <c r="S5059" i="29"/>
  <c r="S5171" i="29"/>
  <c r="T5171" i="29"/>
  <c r="J5171" i="29"/>
  <c r="J5631" i="29"/>
  <c r="K5631" i="29"/>
  <c r="S5745" i="29"/>
  <c r="T5745" i="29"/>
  <c r="J5745" i="29"/>
  <c r="T5848" i="29"/>
  <c r="J5848" i="29"/>
  <c r="S5848" i="29"/>
  <c r="T5861" i="29"/>
  <c r="J5861" i="29"/>
  <c r="K5861" i="29"/>
  <c r="S5861" i="29"/>
  <c r="S6009" i="29"/>
  <c r="T6009" i="29"/>
  <c r="J6009" i="29"/>
  <c r="K6009" i="29"/>
  <c r="S6101" i="29"/>
  <c r="T6101" i="29"/>
  <c r="J6101" i="29"/>
  <c r="K6101" i="29"/>
  <c r="S6368" i="29"/>
  <c r="T6368" i="29"/>
  <c r="J6368" i="29"/>
  <c r="K6368" i="29"/>
  <c r="S6406" i="29"/>
  <c r="T6406" i="29"/>
  <c r="J6406" i="29"/>
  <c r="K6406" i="29"/>
  <c r="T7614" i="29"/>
  <c r="J7614" i="29"/>
  <c r="K7614" i="29"/>
  <c r="S7614" i="29"/>
  <c r="S6231" i="29"/>
  <c r="T5430" i="29"/>
  <c r="J5430" i="29"/>
  <c r="K5430" i="29"/>
  <c r="S4324" i="29"/>
  <c r="T4324" i="29"/>
  <c r="J4324" i="29"/>
  <c r="S4161" i="29"/>
  <c r="T4161" i="29"/>
  <c r="T4146" i="29"/>
  <c r="J4146" i="29"/>
  <c r="S4146" i="29"/>
  <c r="T3930" i="29"/>
  <c r="J3930" i="29"/>
  <c r="K3930" i="29"/>
  <c r="S3930" i="29"/>
  <c r="S3904" i="29"/>
  <c r="T3440" i="29"/>
  <c r="J3440" i="29"/>
  <c r="S3440" i="29"/>
  <c r="S3405" i="29"/>
  <c r="T3405" i="29"/>
  <c r="W3405" i="29"/>
  <c r="T3345" i="29"/>
  <c r="J3345" i="29"/>
  <c r="K3345" i="29"/>
  <c r="S3345" i="29"/>
  <c r="T3320" i="29"/>
  <c r="J3320" i="29"/>
  <c r="K3320" i="29"/>
  <c r="S3320" i="29"/>
  <c r="T3098" i="29"/>
  <c r="W3098" i="29"/>
  <c r="S3098" i="29"/>
  <c r="S2884" i="29"/>
  <c r="T2884" i="29"/>
  <c r="W2884" i="29"/>
  <c r="J2876" i="29"/>
  <c r="K2876" i="29"/>
  <c r="S2850" i="29"/>
  <c r="T2850" i="29"/>
  <c r="J2850" i="29"/>
  <c r="S2834" i="29"/>
  <c r="T2834" i="29"/>
  <c r="J2834" i="29"/>
  <c r="K2834" i="29"/>
  <c r="S2791" i="29"/>
  <c r="T2791" i="29"/>
  <c r="J2791" i="29"/>
  <c r="K2791" i="29"/>
  <c r="S2753" i="29"/>
  <c r="T2753" i="29"/>
  <c r="J2753" i="29"/>
  <c r="W1861" i="29"/>
  <c r="J1861" i="29"/>
  <c r="T1820" i="29"/>
  <c r="W1820" i="29"/>
  <c r="U1820" i="29"/>
  <c r="S1820" i="29"/>
  <c r="S1610" i="29"/>
  <c r="T1610" i="29"/>
  <c r="W1610" i="29"/>
  <c r="T1597" i="29"/>
  <c r="J1597" i="29"/>
  <c r="K1597" i="29"/>
  <c r="S1597" i="29"/>
  <c r="T1575" i="29"/>
  <c r="J1575" i="29"/>
  <c r="U1575" i="29"/>
  <c r="S1575" i="29"/>
  <c r="T1523" i="29"/>
  <c r="W1523" i="29"/>
  <c r="S1523" i="29"/>
  <c r="W71" i="29"/>
  <c r="W57" i="29"/>
  <c r="J5077" i="29"/>
  <c r="K5077" i="29"/>
  <c r="W6000" i="29"/>
  <c r="J6000" i="29"/>
  <c r="K6000" i="29"/>
  <c r="S6338" i="29"/>
  <c r="S542" i="29"/>
  <c r="T4942" i="29"/>
  <c r="W4942" i="29"/>
  <c r="S4668" i="29"/>
  <c r="T4668" i="29"/>
  <c r="J4668" i="29"/>
  <c r="K4668" i="29"/>
  <c r="S4520" i="29"/>
  <c r="T4520" i="29"/>
  <c r="J4520" i="29"/>
  <c r="K4520" i="29"/>
  <c r="S4098" i="29"/>
  <c r="T4098" i="29"/>
  <c r="J4098" i="29"/>
  <c r="T3660" i="29"/>
  <c r="J3660" i="29"/>
  <c r="S3660" i="29"/>
  <c r="S3562" i="29"/>
  <c r="T3562" i="29"/>
  <c r="S3528" i="29"/>
  <c r="T3528" i="29"/>
  <c r="W3528" i="29"/>
  <c r="S3326" i="29"/>
  <c r="T3326" i="29"/>
  <c r="J3326" i="29"/>
  <c r="T3108" i="29"/>
  <c r="J3108" i="29"/>
  <c r="S3108" i="29"/>
  <c r="S3050" i="29"/>
  <c r="T3050" i="29"/>
  <c r="J3050" i="29"/>
  <c r="K3050" i="29"/>
  <c r="S2887" i="29"/>
  <c r="T2887" i="29"/>
  <c r="W2887" i="29"/>
  <c r="S927" i="29"/>
  <c r="T927" i="29"/>
  <c r="W927" i="29"/>
  <c r="U927" i="29"/>
  <c r="W193" i="29"/>
  <c r="S5466" i="29"/>
  <c r="T5466" i="29"/>
  <c r="T5585" i="29"/>
  <c r="J5585" i="29"/>
  <c r="K5585" i="29"/>
  <c r="S5585" i="29"/>
  <c r="S5730" i="29"/>
  <c r="T5730" i="29"/>
  <c r="J5730" i="29"/>
  <c r="K5730" i="29"/>
  <c r="T5949" i="29"/>
  <c r="J5949" i="29"/>
  <c r="S5949" i="29"/>
  <c r="S6244" i="29"/>
  <c r="T6244" i="29"/>
  <c r="J6244" i="29"/>
  <c r="S6181" i="29"/>
  <c r="T6181" i="29"/>
  <c r="J6181" i="29"/>
  <c r="K6181" i="29"/>
  <c r="T6329" i="29"/>
  <c r="J6329" i="29"/>
  <c r="K6329" i="29"/>
  <c r="S6329" i="29"/>
  <c r="T6588" i="29"/>
  <c r="J6588" i="29"/>
  <c r="K6588" i="29"/>
  <c r="S6341" i="29"/>
  <c r="T2121" i="29"/>
  <c r="W2121" i="29"/>
  <c r="T6214" i="29"/>
  <c r="J6214" i="29"/>
  <c r="S1172" i="29"/>
  <c r="S3104" i="29"/>
  <c r="T3104" i="29"/>
  <c r="J3104" i="29"/>
  <c r="K3104" i="29"/>
  <c r="T3079" i="29"/>
  <c r="J3079" i="29"/>
  <c r="K3079" i="29"/>
  <c r="S3079" i="29"/>
  <c r="S3011" i="29"/>
  <c r="T3011" i="29"/>
  <c r="J2579" i="29"/>
  <c r="K2579" i="29"/>
  <c r="S1786" i="29"/>
  <c r="T1786" i="29"/>
  <c r="J1786" i="29"/>
  <c r="K1786" i="29"/>
  <c r="S1676" i="29"/>
  <c r="T1676" i="29"/>
  <c r="J1676" i="29"/>
  <c r="S1507" i="29"/>
  <c r="T1507" i="29"/>
  <c r="S1483" i="29"/>
  <c r="T1483" i="29"/>
  <c r="W1483" i="29"/>
  <c r="W1459" i="29"/>
  <c r="J1273" i="29"/>
  <c r="K1273" i="29"/>
  <c r="J1264" i="29"/>
  <c r="K1264" i="29"/>
  <c r="J1190" i="29"/>
  <c r="U1190" i="29"/>
  <c r="J1187" i="29"/>
  <c r="U1187" i="29"/>
  <c r="W916" i="29"/>
  <c r="S906" i="29"/>
  <c r="T906" i="29"/>
  <c r="W153" i="29"/>
  <c r="W129" i="29"/>
  <c r="W68" i="29"/>
  <c r="J38" i="29"/>
  <c r="W38" i="29"/>
  <c r="W22" i="29"/>
  <c r="W14" i="29"/>
  <c r="T5119" i="29"/>
  <c r="S5119" i="29"/>
  <c r="T5150" i="29"/>
  <c r="J5150" i="29"/>
  <c r="S5150" i="29"/>
  <c r="S5277" i="29"/>
  <c r="T5277" i="29"/>
  <c r="J5277" i="29"/>
  <c r="S6211" i="29"/>
  <c r="T6211" i="29"/>
  <c r="J6211" i="29"/>
  <c r="T6497" i="29"/>
  <c r="J6497" i="29"/>
  <c r="K6497" i="29"/>
  <c r="S6497" i="29"/>
  <c r="S3529" i="29"/>
  <c r="S2778" i="29"/>
  <c r="S6332" i="29"/>
  <c r="T2535" i="29"/>
  <c r="J2535" i="29"/>
  <c r="T3330" i="29"/>
  <c r="J3330" i="29"/>
  <c r="U3330" i="29"/>
  <c r="S574" i="29"/>
  <c r="T1255" i="29"/>
  <c r="J1255" i="29"/>
  <c r="K1255" i="29"/>
  <c r="T463" i="29"/>
  <c r="W463" i="29"/>
  <c r="W6338" i="29"/>
  <c r="J1240" i="29"/>
  <c r="K1240" i="29"/>
  <c r="T609" i="29"/>
  <c r="W609" i="29"/>
  <c r="S2926" i="29"/>
  <c r="T3563" i="29"/>
  <c r="J3563" i="29"/>
  <c r="T5864" i="29"/>
  <c r="J5864" i="29"/>
  <c r="K5864" i="29"/>
  <c r="T1018" i="29"/>
  <c r="W1018" i="29"/>
  <c r="S3889" i="29"/>
  <c r="T3206" i="29"/>
  <c r="W3206" i="29"/>
  <c r="T1823" i="29"/>
  <c r="J1823" i="29"/>
  <c r="S2945" i="29"/>
  <c r="T3369" i="29"/>
  <c r="W3369" i="29"/>
  <c r="T978" i="29"/>
  <c r="J978" i="29"/>
  <c r="K978" i="29"/>
  <c r="T498" i="29"/>
  <c r="W498" i="29"/>
  <c r="U498" i="29"/>
  <c r="T3076" i="29"/>
  <c r="J3076" i="29"/>
  <c r="T878" i="29"/>
  <c r="T3813" i="29"/>
  <c r="J3813" i="29"/>
  <c r="S5036" i="29"/>
  <c r="T5036" i="29"/>
  <c r="J5036" i="29"/>
  <c r="S4663" i="29"/>
  <c r="T4663" i="29"/>
  <c r="T4306" i="29"/>
  <c r="J4306" i="29"/>
  <c r="K4306" i="29"/>
  <c r="S4306" i="29"/>
  <c r="S4083" i="29"/>
  <c r="T4083" i="29"/>
  <c r="J4083" i="29"/>
  <c r="K4083" i="29"/>
  <c r="S3984" i="29"/>
  <c r="T3984" i="29"/>
  <c r="S3808" i="29"/>
  <c r="T3808" i="29"/>
  <c r="J3808" i="29"/>
  <c r="S3750" i="29"/>
  <c r="T3750" i="29"/>
  <c r="J3750" i="29"/>
  <c r="K3750" i="29"/>
  <c r="S3661" i="29"/>
  <c r="T3661" i="29"/>
  <c r="J3661" i="29"/>
  <c r="T3472" i="29"/>
  <c r="J3472" i="29"/>
  <c r="S3472" i="29"/>
  <c r="T3102" i="29"/>
  <c r="S3102" i="29"/>
  <c r="S2971" i="29"/>
  <c r="T2971" i="29"/>
  <c r="J2971" i="29"/>
  <c r="T2927" i="29"/>
  <c r="J2927" i="29"/>
  <c r="S2927" i="29"/>
  <c r="S2731" i="29"/>
  <c r="T2731" i="29"/>
  <c r="S2489" i="29"/>
  <c r="T2489" i="29"/>
  <c r="T2408" i="29"/>
  <c r="J2408" i="29"/>
  <c r="K2408" i="29"/>
  <c r="S2408" i="29"/>
  <c r="S2153" i="29"/>
  <c r="T2153" i="29"/>
  <c r="J2153" i="29"/>
  <c r="K2153" i="29"/>
  <c r="S2062" i="29"/>
  <c r="T2062" i="29"/>
  <c r="W2062" i="29"/>
  <c r="S1858" i="29"/>
  <c r="T1858" i="29"/>
  <c r="W1858" i="29"/>
  <c r="U1858" i="29"/>
  <c r="T1855" i="29"/>
  <c r="W1855" i="29"/>
  <c r="S1855" i="29"/>
  <c r="S5323" i="29"/>
  <c r="T5323" i="29"/>
  <c r="J5323" i="29"/>
  <c r="K5323" i="29"/>
  <c r="S6027" i="29"/>
  <c r="T6027" i="29"/>
  <c r="J6027" i="29"/>
  <c r="S6051" i="29"/>
  <c r="T6051" i="29"/>
  <c r="J6051" i="29"/>
  <c r="K6051" i="29"/>
  <c r="S6249" i="29"/>
  <c r="T6249" i="29"/>
  <c r="J6249" i="29"/>
  <c r="U6249" i="29"/>
  <c r="S6186" i="29"/>
  <c r="T6186" i="29"/>
  <c r="J6186" i="29"/>
  <c r="K6186" i="29"/>
  <c r="S6282" i="29"/>
  <c r="T6282" i="29"/>
  <c r="J6282" i="29"/>
  <c r="K6282" i="29"/>
  <c r="S6415" i="29"/>
  <c r="T6415" i="29"/>
  <c r="J6415" i="29"/>
  <c r="S2603" i="29"/>
  <c r="S4946" i="29"/>
  <c r="S3447" i="29"/>
  <c r="T3447" i="29"/>
  <c r="W3447" i="29"/>
  <c r="T2093" i="29"/>
  <c r="W2093" i="29"/>
  <c r="S2093" i="29"/>
  <c r="S850" i="29"/>
  <c r="T850" i="29"/>
  <c r="W850" i="29"/>
  <c r="T322" i="29"/>
  <c r="W322" i="29"/>
  <c r="S322" i="29"/>
  <c r="S274" i="29"/>
  <c r="T274" i="29"/>
  <c r="W274" i="29"/>
  <c r="T5317" i="29"/>
  <c r="J5317" i="29"/>
  <c r="S5317" i="29"/>
  <c r="T5893" i="29"/>
  <c r="J5893" i="29"/>
  <c r="K5893" i="29"/>
  <c r="S5893" i="29"/>
  <c r="S6325" i="29"/>
  <c r="T6325" i="29"/>
  <c r="J6325" i="29"/>
  <c r="K6325" i="29"/>
  <c r="T6431" i="29"/>
  <c r="J6431" i="29"/>
  <c r="S6431" i="29"/>
  <c r="T5137" i="29"/>
  <c r="J5137" i="29"/>
  <c r="S5137" i="29"/>
  <c r="S5235" i="29"/>
  <c r="T5235" i="29"/>
  <c r="J5235" i="29"/>
  <c r="S5270" i="29"/>
  <c r="T5270" i="29"/>
  <c r="W5270" i="29"/>
  <c r="T5855" i="29"/>
  <c r="J5855" i="29"/>
  <c r="K5855" i="29"/>
  <c r="S5855" i="29"/>
  <c r="S5941" i="29"/>
  <c r="T5941" i="29"/>
  <c r="J5941" i="29"/>
  <c r="K5941" i="29"/>
  <c r="S5989" i="29"/>
  <c r="T5989" i="29"/>
  <c r="J5989" i="29"/>
  <c r="K5989" i="29"/>
  <c r="S7286" i="29"/>
  <c r="T7286" i="29"/>
  <c r="J7286" i="29"/>
  <c r="K7286" i="29"/>
  <c r="S2996" i="29"/>
  <c r="T2996" i="29"/>
  <c r="J2996" i="29"/>
  <c r="U2996" i="29"/>
  <c r="S2806" i="29"/>
  <c r="T2806" i="29"/>
  <c r="W2806" i="29"/>
  <c r="S2785" i="29"/>
  <c r="T2785" i="29"/>
  <c r="J2785" i="29"/>
  <c r="T2750" i="29"/>
  <c r="W2750" i="29"/>
  <c r="S2750" i="29"/>
  <c r="S2724" i="29"/>
  <c r="T2724" i="29"/>
  <c r="T2501" i="29"/>
  <c r="J2501" i="29"/>
  <c r="K2501" i="29"/>
  <c r="S2501" i="29"/>
  <c r="T2275" i="29"/>
  <c r="J2275" i="29"/>
  <c r="K2275" i="29"/>
  <c r="S2275" i="29"/>
  <c r="S2256" i="29"/>
  <c r="T2256" i="29"/>
  <c r="W2256" i="29"/>
  <c r="U2256" i="29"/>
  <c r="T1926" i="29"/>
  <c r="S1926" i="29"/>
  <c r="S894" i="29"/>
  <c r="T894" i="29"/>
  <c r="W894" i="29"/>
  <c r="T790" i="29"/>
  <c r="W790" i="29"/>
  <c r="S790" i="29"/>
  <c r="T615" i="29"/>
  <c r="W615" i="29"/>
  <c r="U615" i="29"/>
  <c r="S615" i="29"/>
  <c r="S564" i="29"/>
  <c r="T564" i="29"/>
  <c r="W564" i="29"/>
  <c r="S466" i="29"/>
  <c r="T466" i="29"/>
  <c r="W466" i="29"/>
  <c r="T328" i="29"/>
  <c r="W328" i="29"/>
  <c r="U328" i="29"/>
  <c r="S328" i="29"/>
  <c r="T5231" i="29"/>
  <c r="J5231" i="29"/>
  <c r="S5231" i="29"/>
  <c r="T5287" i="29"/>
  <c r="J5287" i="29"/>
  <c r="S5287" i="29"/>
  <c r="T5846" i="29"/>
  <c r="J5846" i="29"/>
  <c r="S5846" i="29"/>
  <c r="T5857" i="29"/>
  <c r="J5857" i="29"/>
  <c r="K5857" i="29"/>
  <c r="S5857" i="29"/>
  <c r="T6132" i="29"/>
  <c r="J6132" i="29"/>
  <c r="K6132" i="29"/>
  <c r="S6132" i="29"/>
  <c r="T6151" i="29"/>
  <c r="J6151" i="29"/>
  <c r="K6151" i="29"/>
  <c r="S6151" i="29"/>
  <c r="S6198" i="29"/>
  <c r="T6198" i="29"/>
  <c r="J6198" i="29"/>
  <c r="K6198" i="29"/>
  <c r="T6424" i="29"/>
  <c r="J6424" i="29"/>
  <c r="S6424" i="29"/>
  <c r="S6696" i="29"/>
  <c r="T6265" i="29"/>
  <c r="J6265" i="29"/>
  <c r="K6265" i="29"/>
  <c r="S2882" i="29"/>
  <c r="T2831" i="29"/>
  <c r="W2831" i="29"/>
  <c r="U2831" i="29"/>
  <c r="S2031" i="29"/>
  <c r="T5038" i="29"/>
  <c r="W5038" i="29"/>
  <c r="S5038" i="29"/>
  <c r="T4471" i="29"/>
  <c r="J4471" i="29"/>
  <c r="S4471" i="29"/>
  <c r="T4414" i="29"/>
  <c r="J4414" i="29"/>
  <c r="K4414" i="29"/>
  <c r="S4414" i="29"/>
  <c r="S3822" i="29"/>
  <c r="T3822" i="29"/>
  <c r="S3788" i="29"/>
  <c r="T3788" i="29"/>
  <c r="J3788" i="29"/>
  <c r="S3657" i="29"/>
  <c r="T3657" i="29"/>
  <c r="S3620" i="29"/>
  <c r="T3620" i="29"/>
  <c r="J3620" i="29"/>
  <c r="K3620" i="29"/>
  <c r="T3588" i="29"/>
  <c r="J3588" i="29"/>
  <c r="U3588" i="29"/>
  <c r="S3588" i="29"/>
  <c r="T3544" i="29"/>
  <c r="J3544" i="29"/>
  <c r="S3544" i="29"/>
  <c r="S3484" i="29"/>
  <c r="T3484" i="29"/>
  <c r="J3484" i="29"/>
  <c r="T3424" i="29"/>
  <c r="J3424" i="29"/>
  <c r="S3424" i="29"/>
  <c r="S3231" i="29"/>
  <c r="T3231" i="29"/>
  <c r="J3231" i="29"/>
  <c r="K3231" i="29"/>
  <c r="T2265" i="29"/>
  <c r="W2265" i="29"/>
  <c r="S2265" i="29"/>
  <c r="W2168" i="29"/>
  <c r="J2168" i="29"/>
  <c r="T1704" i="29"/>
  <c r="W1704" i="29"/>
  <c r="U1704" i="29"/>
  <c r="S1704" i="29"/>
  <c r="T1572" i="29"/>
  <c r="J1572" i="29"/>
  <c r="S1572" i="29"/>
  <c r="W156" i="29"/>
  <c r="W33" i="29"/>
  <c r="S5105" i="29"/>
  <c r="T5105" i="29"/>
  <c r="J5105" i="29"/>
  <c r="T5571" i="29"/>
  <c r="J5571" i="29"/>
  <c r="K5571" i="29"/>
  <c r="S5571" i="29"/>
  <c r="T6417" i="29"/>
  <c r="J6417" i="29"/>
  <c r="S6417" i="29"/>
  <c r="S1052" i="29"/>
  <c r="S5204" i="29"/>
  <c r="S4588" i="29"/>
  <c r="T4588" i="29"/>
  <c r="J4588" i="29"/>
  <c r="K4588" i="29"/>
  <c r="S4394" i="29"/>
  <c r="T4394" i="29"/>
  <c r="S3825" i="29"/>
  <c r="T3825" i="29"/>
  <c r="W3825" i="29"/>
  <c r="T3718" i="29"/>
  <c r="J3718" i="29"/>
  <c r="S3718" i="29"/>
  <c r="T3471" i="29"/>
  <c r="J3471" i="29"/>
  <c r="K3471" i="29"/>
  <c r="S3471" i="29"/>
  <c r="S3408" i="29"/>
  <c r="T3408" i="29"/>
  <c r="T2970" i="29"/>
  <c r="S2970" i="29"/>
  <c r="T2017" i="29"/>
  <c r="W2017" i="29"/>
  <c r="S2017" i="29"/>
  <c r="S1935" i="29"/>
  <c r="T1935" i="29"/>
  <c r="T1619" i="29"/>
  <c r="J1619" i="29"/>
  <c r="K1619" i="29"/>
  <c r="S1619" i="29"/>
  <c r="S1600" i="29"/>
  <c r="T1600" i="29"/>
  <c r="J1600" i="29"/>
  <c r="K1600" i="29"/>
  <c r="S1581" i="29"/>
  <c r="T1581" i="29"/>
  <c r="J1581" i="29"/>
  <c r="T1307" i="29"/>
  <c r="J1307" i="29"/>
  <c r="U1307" i="29"/>
  <c r="W1304" i="29"/>
  <c r="T865" i="29"/>
  <c r="W865" i="29"/>
  <c r="S865" i="29"/>
  <c r="J747" i="29"/>
  <c r="K747" i="29"/>
  <c r="W747" i="29"/>
  <c r="S621" i="29"/>
  <c r="T621" i="29"/>
  <c r="W621" i="29"/>
  <c r="U621" i="29"/>
  <c r="T5638" i="29"/>
  <c r="S5638" i="29"/>
  <c r="S5734" i="29"/>
  <c r="T5734" i="29"/>
  <c r="J5734" i="29"/>
  <c r="K5734" i="29"/>
  <c r="S5790" i="29"/>
  <c r="T5790" i="29"/>
  <c r="J5790" i="29"/>
  <c r="K5790" i="29"/>
  <c r="S5929" i="29"/>
  <c r="T5929" i="29"/>
  <c r="J5929" i="29"/>
  <c r="K5929" i="29"/>
  <c r="T6077" i="29"/>
  <c r="J6077" i="29"/>
  <c r="S6077" i="29"/>
  <c r="T6176" i="29"/>
  <c r="J6176" i="29"/>
  <c r="K6176" i="29"/>
  <c r="S6176" i="29"/>
  <c r="T6212" i="29"/>
  <c r="J6212" i="29"/>
  <c r="S6212" i="29"/>
  <c r="S6378" i="29"/>
  <c r="T6378" i="29"/>
  <c r="J6378" i="29"/>
  <c r="U6378" i="29"/>
  <c r="T2139" i="29"/>
  <c r="W2139" i="29"/>
  <c r="U2139" i="29"/>
  <c r="S3550" i="29"/>
  <c r="J4734" i="29"/>
  <c r="K4734" i="29"/>
  <c r="W4734" i="29"/>
  <c r="T4591" i="29"/>
  <c r="J4591" i="29"/>
  <c r="S4591" i="29"/>
  <c r="S4381" i="29"/>
  <c r="T4381" i="29"/>
  <c r="T3332" i="29"/>
  <c r="J3332" i="29"/>
  <c r="K3332" i="29"/>
  <c r="S3332" i="29"/>
  <c r="T3164" i="29"/>
  <c r="W3164" i="29"/>
  <c r="S3164" i="29"/>
  <c r="S3149" i="29"/>
  <c r="T3149" i="29"/>
  <c r="J3149" i="29"/>
  <c r="K3149" i="29"/>
  <c r="T3117" i="29"/>
  <c r="J3117" i="29"/>
  <c r="K3117" i="29"/>
  <c r="S3117" i="29"/>
  <c r="S2092" i="29"/>
  <c r="T2092" i="29"/>
  <c r="J2092" i="29"/>
  <c r="S2064" i="29"/>
  <c r="T2064" i="29"/>
  <c r="W2064" i="29"/>
  <c r="T1951" i="29"/>
  <c r="J1951" i="29"/>
  <c r="S1951" i="29"/>
  <c r="T1765" i="29"/>
  <c r="S1765" i="29"/>
  <c r="S1719" i="29"/>
  <c r="T1719" i="29"/>
  <c r="W1719" i="29"/>
  <c r="T5066" i="29"/>
  <c r="J5066" i="29"/>
  <c r="S5066" i="29"/>
  <c r="T5189" i="29"/>
  <c r="J5189" i="29"/>
  <c r="S5189" i="29"/>
  <c r="S5242" i="29"/>
  <c r="T5242" i="29"/>
  <c r="J5242" i="29"/>
  <c r="S5465" i="29"/>
  <c r="T5465" i="29"/>
  <c r="J5465" i="29"/>
  <c r="K5465" i="29"/>
  <c r="S5926" i="29"/>
  <c r="T5926" i="29"/>
  <c r="J5926" i="29"/>
  <c r="U5926" i="29"/>
  <c r="S6074" i="29"/>
  <c r="T6074" i="29"/>
  <c r="J6074" i="29"/>
  <c r="T6084" i="29"/>
  <c r="S6084" i="29"/>
  <c r="J6314" i="29"/>
  <c r="S952" i="29"/>
  <c r="T529" i="29"/>
  <c r="W529" i="29"/>
  <c r="S1380" i="29"/>
  <c r="W882" i="29"/>
  <c r="U882" i="29"/>
  <c r="S5793" i="29"/>
  <c r="S6264" i="29"/>
  <c r="T5146" i="29"/>
  <c r="J5146" i="29"/>
  <c r="T3670" i="29"/>
  <c r="J3670" i="29"/>
  <c r="S3028" i="29"/>
  <c r="T815" i="29"/>
  <c r="W815" i="29"/>
  <c r="U815" i="29"/>
  <c r="S5444" i="29"/>
  <c r="S5826" i="29"/>
  <c r="W6322" i="29"/>
  <c r="S6322" i="29"/>
  <c r="T2769" i="29"/>
  <c r="J2769" i="29"/>
  <c r="K2769" i="29"/>
  <c r="T663" i="29"/>
  <c r="W663" i="29"/>
  <c r="U663" i="29"/>
  <c r="S3297" i="29"/>
  <c r="T561" i="29"/>
  <c r="W561" i="29"/>
  <c r="U561" i="29"/>
  <c r="T2848" i="29"/>
  <c r="J2848" i="29"/>
  <c r="K2848" i="29"/>
  <c r="T3699" i="29"/>
  <c r="J3699" i="29"/>
  <c r="T6436" i="29"/>
  <c r="S4252" i="29"/>
  <c r="S5913" i="29"/>
  <c r="J3297" i="29"/>
  <c r="K3297" i="29"/>
  <c r="J1492" i="29"/>
  <c r="W1228" i="29"/>
  <c r="U1228" i="29"/>
  <c r="J1542" i="29"/>
  <c r="K1542" i="29"/>
  <c r="W587" i="29"/>
  <c r="U587" i="29"/>
  <c r="J6190" i="29"/>
  <c r="K6190" i="29"/>
  <c r="J6507" i="29"/>
  <c r="K6507" i="29"/>
  <c r="S3844" i="29"/>
  <c r="T3844" i="29"/>
  <c r="J3844" i="29"/>
  <c r="S3018" i="29"/>
  <c r="T3018" i="29"/>
  <c r="T1863" i="29"/>
  <c r="W1863" i="29"/>
  <c r="S1863" i="29"/>
  <c r="W1242" i="29"/>
  <c r="J1157" i="29"/>
  <c r="J1083" i="29"/>
  <c r="K1083" i="29"/>
  <c r="W993" i="29"/>
  <c r="W812" i="29"/>
  <c r="S6307" i="29"/>
  <c r="T6307" i="29"/>
  <c r="J6307" i="29"/>
  <c r="T6210" i="29"/>
  <c r="J6210" i="29"/>
  <c r="K6210" i="29"/>
  <c r="V3724" i="29"/>
  <c r="T1266" i="29"/>
  <c r="S4680" i="29"/>
  <c r="T4680" i="29"/>
  <c r="J4680" i="29"/>
  <c r="K4680" i="29"/>
  <c r="S4406" i="29"/>
  <c r="T4406" i="29"/>
  <c r="J4406" i="29"/>
  <c r="S4148" i="29"/>
  <c r="S4034" i="29"/>
  <c r="T4034" i="29"/>
  <c r="J4034" i="29"/>
  <c r="T3995" i="29"/>
  <c r="J3995" i="29"/>
  <c r="K3995" i="29"/>
  <c r="S3995" i="29"/>
  <c r="S3682" i="29"/>
  <c r="T3682" i="29"/>
  <c r="J3682" i="29"/>
  <c r="S5196" i="29"/>
  <c r="T5196" i="29"/>
  <c r="T5284" i="29"/>
  <c r="J5284" i="29"/>
  <c r="K5284" i="29"/>
  <c r="S5284" i="29"/>
  <c r="S5453" i="29"/>
  <c r="T5453" i="29"/>
  <c r="J5453" i="29"/>
  <c r="T5794" i="29"/>
  <c r="J5794" i="29"/>
  <c r="K5794" i="29"/>
  <c r="S5794" i="29"/>
  <c r="J5946" i="29"/>
  <c r="K5946" i="29"/>
  <c r="J6353" i="29"/>
  <c r="K6353" i="29"/>
  <c r="T1925" i="29"/>
  <c r="T4002" i="29"/>
  <c r="J4002" i="29"/>
  <c r="K4002" i="29"/>
  <c r="S1358" i="29"/>
  <c r="T3436" i="29"/>
  <c r="J3436" i="29"/>
  <c r="K3436" i="29"/>
  <c r="J5504" i="29"/>
  <c r="U5504" i="29"/>
  <c r="S3781" i="29"/>
  <c r="T1011" i="29"/>
  <c r="W1011" i="29"/>
  <c r="W1084" i="29"/>
  <c r="S3762" i="29"/>
  <c r="T3155" i="29"/>
  <c r="J3155" i="29"/>
  <c r="T1516" i="29"/>
  <c r="W1516" i="29"/>
  <c r="T4486" i="29"/>
  <c r="W4486" i="29"/>
  <c r="K210" i="29"/>
  <c r="W190" i="29"/>
  <c r="T5587" i="29"/>
  <c r="J5587" i="29"/>
  <c r="K5587" i="29"/>
  <c r="S5587" i="29"/>
  <c r="S5702" i="29"/>
  <c r="T5702" i="29"/>
  <c r="J5702" i="29"/>
  <c r="U5702" i="29"/>
  <c r="S5764" i="29"/>
  <c r="T5764" i="29"/>
  <c r="J5764" i="29"/>
  <c r="K5764" i="29"/>
  <c r="T6071" i="29"/>
  <c r="J6071" i="29"/>
  <c r="K6071" i="29"/>
  <c r="S6071" i="29"/>
  <c r="T6339" i="29"/>
  <c r="J6339" i="29"/>
  <c r="K6339" i="29"/>
  <c r="S6339" i="29"/>
  <c r="S3989" i="29"/>
  <c r="S4839" i="29"/>
  <c r="T4839" i="29"/>
  <c r="S4015" i="29"/>
  <c r="T4015" i="29"/>
  <c r="J4015" i="29"/>
  <c r="T3784" i="29"/>
  <c r="J3784" i="29"/>
  <c r="S3784" i="29"/>
  <c r="J3686" i="29"/>
  <c r="U3686" i="29"/>
  <c r="S2723" i="29"/>
  <c r="T2723" i="29"/>
  <c r="J2723" i="29"/>
  <c r="S2663" i="29"/>
  <c r="T2663" i="29"/>
  <c r="J2663" i="29"/>
  <c r="S2644" i="29"/>
  <c r="T2644" i="29"/>
  <c r="J2644" i="29"/>
  <c r="K2644" i="29"/>
  <c r="J2304" i="29"/>
  <c r="W2304" i="29"/>
  <c r="W1710" i="29"/>
  <c r="S1663" i="29"/>
  <c r="T1663" i="29"/>
  <c r="J1663" i="29"/>
  <c r="K1663" i="29"/>
  <c r="W1362" i="29"/>
  <c r="W1086" i="29"/>
  <c r="S5423" i="29"/>
  <c r="T5423" i="29"/>
  <c r="T5052" i="29"/>
  <c r="J5052" i="29"/>
  <c r="K5052" i="29"/>
  <c r="S5052" i="29"/>
  <c r="S5888" i="29"/>
  <c r="T5888" i="29"/>
  <c r="W5888" i="29"/>
  <c r="J6111" i="29"/>
  <c r="K6111" i="29"/>
  <c r="T2821" i="29"/>
  <c r="J2821" i="29"/>
  <c r="K2821" i="29"/>
  <c r="T5480" i="29"/>
  <c r="J5480" i="29"/>
  <c r="K5480" i="29"/>
  <c r="T5939" i="29"/>
  <c r="J5939" i="29"/>
  <c r="S3240" i="29"/>
  <c r="T3240" i="29"/>
  <c r="J3240" i="29"/>
  <c r="K3240" i="29"/>
  <c r="W195" i="29"/>
  <c r="S5534" i="29"/>
  <c r="T5534" i="29"/>
  <c r="S5994" i="29"/>
  <c r="T5994" i="29"/>
  <c r="J5994" i="29"/>
  <c r="K5994" i="29"/>
  <c r="S6146" i="29"/>
  <c r="T6146" i="29"/>
  <c r="J6146" i="29"/>
  <c r="K6146" i="29"/>
  <c r="T6306" i="29"/>
  <c r="J6306" i="29"/>
  <c r="K6306" i="29"/>
  <c r="W4945" i="29"/>
  <c r="T4157" i="29"/>
  <c r="J4157" i="29"/>
  <c r="K4157" i="29"/>
  <c r="T3363" i="29"/>
  <c r="S1829" i="29"/>
  <c r="T733" i="29"/>
  <c r="W733" i="29"/>
  <c r="S4957" i="29"/>
  <c r="T6323" i="29"/>
  <c r="W6323" i="29"/>
  <c r="T4702" i="29"/>
  <c r="T4747" i="29"/>
  <c r="W4747" i="29"/>
  <c r="S6358" i="29"/>
  <c r="T3999" i="29"/>
  <c r="J3999" i="29"/>
  <c r="K3999" i="29"/>
  <c r="T3906" i="29"/>
  <c r="J3906" i="29"/>
  <c r="K3906" i="29"/>
  <c r="J5123" i="29"/>
  <c r="S3023" i="29"/>
  <c r="S2862" i="29"/>
  <c r="S3653" i="29"/>
  <c r="S3221" i="29"/>
  <c r="T5116" i="29"/>
  <c r="J5116" i="29"/>
  <c r="K5116" i="29"/>
  <c r="S6000" i="29"/>
  <c r="S5735" i="29"/>
  <c r="S4617" i="29"/>
  <c r="T4617" i="29"/>
  <c r="J4617" i="29"/>
  <c r="T4359" i="29"/>
  <c r="W4359" i="29"/>
  <c r="S4359" i="29"/>
  <c r="T3306" i="29"/>
  <c r="W3306" i="29"/>
  <c r="S3306" i="29"/>
  <c r="T3167" i="29"/>
  <c r="J3167" i="29"/>
  <c r="S3167" i="29"/>
  <c r="S2935" i="29"/>
  <c r="T2935" i="29"/>
  <c r="J2935" i="29"/>
  <c r="T2736" i="29"/>
  <c r="J2736" i="29"/>
  <c r="K2736" i="29"/>
  <c r="S2736" i="29"/>
  <c r="T2676" i="29"/>
  <c r="J2676" i="29"/>
  <c r="S2676" i="29"/>
  <c r="S1992" i="29"/>
  <c r="T1992" i="29"/>
  <c r="J1992" i="29"/>
  <c r="T3152" i="29"/>
  <c r="W3152" i="29"/>
  <c r="T4724" i="29"/>
  <c r="J4724" i="29"/>
  <c r="S4724" i="29"/>
  <c r="T3977" i="29"/>
  <c r="S3401" i="29"/>
  <c r="T3401" i="29"/>
  <c r="W3401" i="29"/>
  <c r="T1737" i="29"/>
  <c r="W1737" i="29"/>
  <c r="S1737" i="29"/>
  <c r="S1630" i="29"/>
  <c r="T1630" i="29"/>
  <c r="J1630" i="29"/>
  <c r="U1630" i="29"/>
  <c r="T1519" i="29"/>
  <c r="W1519" i="29"/>
  <c r="S1519" i="29"/>
  <c r="S1513" i="29"/>
  <c r="T1513" i="29"/>
  <c r="S1458" i="29"/>
  <c r="T1458" i="29"/>
  <c r="J1458" i="29"/>
  <c r="W1377" i="29"/>
  <c r="U1377" i="29"/>
  <c r="J1374" i="29"/>
  <c r="W1365" i="29"/>
  <c r="U1365" i="29"/>
  <c r="W1230" i="29"/>
  <c r="J1058" i="29"/>
  <c r="J865" i="29"/>
  <c r="K865" i="29"/>
  <c r="T5632" i="29"/>
  <c r="W5632" i="29"/>
  <c r="S5632" i="29"/>
  <c r="S3176" i="29"/>
  <c r="T3176" i="29"/>
  <c r="J3176" i="29"/>
  <c r="K3176" i="29"/>
  <c r="S3158" i="29"/>
  <c r="T3158" i="29"/>
  <c r="W3158" i="29"/>
  <c r="T3097" i="29"/>
  <c r="W3097" i="29"/>
  <c r="S3097" i="29"/>
  <c r="T2423" i="29"/>
  <c r="J2423" i="29"/>
  <c r="K2423" i="29"/>
  <c r="S2423" i="29"/>
  <c r="J2319" i="29"/>
  <c r="K2319" i="29"/>
  <c r="T1433" i="29"/>
  <c r="J1433" i="29"/>
  <c r="S1433" i="29"/>
  <c r="S977" i="29"/>
  <c r="T977" i="29"/>
  <c r="J977" i="29"/>
  <c r="K977" i="29"/>
  <c r="S951" i="29"/>
  <c r="T933" i="29"/>
  <c r="S4467" i="29"/>
  <c r="S2608" i="29"/>
  <c r="S4142" i="29"/>
  <c r="S3069" i="29"/>
  <c r="S5651" i="29"/>
  <c r="T4812" i="29"/>
  <c r="J4812" i="29"/>
  <c r="K4812" i="29"/>
  <c r="T6102" i="29"/>
  <c r="J6102" i="29"/>
  <c r="K6102" i="29"/>
  <c r="T5694" i="29"/>
  <c r="J5694" i="29"/>
  <c r="K5694" i="29"/>
  <c r="T5025" i="29"/>
  <c r="J5025" i="29"/>
  <c r="K5025" i="29"/>
  <c r="S5025" i="29"/>
  <c r="T4529" i="29"/>
  <c r="J4529" i="29"/>
  <c r="K4529" i="29"/>
  <c r="S4529" i="29"/>
  <c r="T4044" i="29"/>
  <c r="J4044" i="29"/>
  <c r="S4044" i="29"/>
  <c r="T3120" i="29"/>
  <c r="J3120" i="29"/>
  <c r="S3120" i="29"/>
  <c r="T3033" i="29"/>
  <c r="S3033" i="29"/>
  <c r="S2394" i="29"/>
  <c r="T2394" i="29"/>
  <c r="J2394" i="29"/>
  <c r="K2394" i="29"/>
  <c r="T2390" i="29"/>
  <c r="J2390" i="29"/>
  <c r="S2390" i="29"/>
  <c r="W1413" i="29"/>
  <c r="W1166" i="29"/>
  <c r="S276" i="29"/>
  <c r="T276" i="29"/>
  <c r="W276" i="29"/>
  <c r="W76" i="29"/>
  <c r="T5698" i="29"/>
  <c r="S5698" i="29"/>
  <c r="T5891" i="29"/>
  <c r="S5891" i="29"/>
  <c r="S6179" i="29"/>
  <c r="T6179" i="29"/>
  <c r="J6179" i="29"/>
  <c r="K6179" i="29"/>
  <c r="S6291" i="29"/>
  <c r="T6291" i="29"/>
  <c r="J6291" i="29"/>
  <c r="K6291" i="29"/>
  <c r="S6276" i="29"/>
  <c r="T6276" i="29"/>
  <c r="J6276" i="29"/>
  <c r="K6276" i="29"/>
  <c r="S6260" i="29"/>
  <c r="T6260" i="29"/>
  <c r="J6260" i="29"/>
  <c r="K6260" i="29"/>
  <c r="S6347" i="29"/>
  <c r="T6347" i="29"/>
  <c r="J6347" i="29"/>
  <c r="K6347" i="29"/>
  <c r="T6372" i="29"/>
  <c r="J6372" i="29"/>
  <c r="K6372" i="29"/>
  <c r="S6372" i="29"/>
  <c r="T4645" i="29"/>
  <c r="J4645" i="29"/>
  <c r="U4645" i="29"/>
  <c r="S4645" i="29"/>
  <c r="T4320" i="29"/>
  <c r="J4320" i="29"/>
  <c r="K4320" i="29"/>
  <c r="S4320" i="29"/>
  <c r="T3958" i="29"/>
  <c r="S3958" i="29"/>
  <c r="T3863" i="29"/>
  <c r="J3863" i="29"/>
  <c r="S3863" i="29"/>
  <c r="T3338" i="29"/>
  <c r="W3338" i="29"/>
  <c r="U3338" i="29"/>
  <c r="S3338" i="29"/>
  <c r="S3139" i="29"/>
  <c r="T3139" i="29"/>
  <c r="S3043" i="29"/>
  <c r="T3043" i="29"/>
  <c r="J3043" i="29"/>
  <c r="T2292" i="29"/>
  <c r="J2292" i="29"/>
  <c r="S2292" i="29"/>
  <c r="S2183" i="29"/>
  <c r="T2183" i="29"/>
  <c r="J2183" i="29"/>
  <c r="K2183" i="29"/>
  <c r="T820" i="29"/>
  <c r="S820" i="29"/>
  <c r="S801" i="29"/>
  <c r="T801" i="29"/>
  <c r="W801" i="29"/>
  <c r="T327" i="29"/>
  <c r="W327" i="29"/>
  <c r="U327" i="29"/>
  <c r="S327" i="29"/>
  <c r="T5648" i="29"/>
  <c r="J5648" i="29"/>
  <c r="K5648" i="29"/>
  <c r="S5648" i="29"/>
  <c r="T6016" i="29"/>
  <c r="J6016" i="29"/>
  <c r="K6016" i="29"/>
  <c r="S6016" i="29"/>
  <c r="S4323" i="29"/>
  <c r="T4323" i="29"/>
  <c r="J4323" i="29"/>
  <c r="J4200" i="29"/>
  <c r="U4200" i="29"/>
  <c r="T4160" i="29"/>
  <c r="W4160" i="29"/>
  <c r="S4160" i="29"/>
  <c r="S3558" i="29"/>
  <c r="T3558" i="29"/>
  <c r="S3344" i="29"/>
  <c r="T3344" i="29"/>
  <c r="W3344" i="29"/>
  <c r="S2944" i="29"/>
  <c r="T2944" i="29"/>
  <c r="W2944" i="29"/>
  <c r="S2438" i="29"/>
  <c r="T2438" i="29"/>
  <c r="W2438" i="29"/>
  <c r="W1297" i="29"/>
  <c r="J1297" i="29"/>
  <c r="T4506" i="29"/>
  <c r="J4506" i="29"/>
  <c r="U4506" i="29"/>
  <c r="T3404" i="29"/>
  <c r="J3404" i="29"/>
  <c r="W287" i="29"/>
  <c r="S4750" i="29"/>
  <c r="S6209" i="29"/>
  <c r="K219" i="29"/>
  <c r="S3423" i="29"/>
  <c r="T4018" i="29"/>
  <c r="J4018" i="29"/>
  <c r="T3072" i="29"/>
  <c r="J3072" i="29"/>
  <c r="S2752" i="29"/>
  <c r="T3439" i="29"/>
  <c r="J3439" i="29"/>
  <c r="U3439" i="29"/>
  <c r="S6111" i="29"/>
  <c r="S3739" i="29"/>
  <c r="T4902" i="29"/>
  <c r="J4902" i="29"/>
  <c r="S4902" i="29"/>
  <c r="T3685" i="29"/>
  <c r="J3685" i="29"/>
  <c r="S3685" i="29"/>
  <c r="W2886" i="29"/>
  <c r="J2886" i="29"/>
  <c r="W1654" i="29"/>
  <c r="W1642" i="29"/>
  <c r="J1449" i="29"/>
  <c r="K1449" i="29"/>
  <c r="T1133" i="29"/>
  <c r="J1133" i="29"/>
  <c r="S1133" i="29"/>
  <c r="T569" i="29"/>
  <c r="W569" i="29"/>
  <c r="U569" i="29"/>
  <c r="S569" i="29"/>
  <c r="S494" i="29"/>
  <c r="T494" i="29"/>
  <c r="W494" i="29"/>
  <c r="T317" i="29"/>
  <c r="S317" i="29"/>
  <c r="K261" i="29"/>
  <c r="T1119" i="29"/>
  <c r="W1119" i="29"/>
  <c r="U1119" i="29"/>
  <c r="S662" i="29"/>
  <c r="S4845" i="29"/>
  <c r="T4845" i="29"/>
  <c r="J4845" i="29"/>
  <c r="U4845" i="29"/>
  <c r="T3894" i="29"/>
  <c r="S3894" i="29"/>
  <c r="T2729" i="29"/>
  <c r="J2729" i="29"/>
  <c r="S2729" i="29"/>
  <c r="T2589" i="29"/>
  <c r="S2589" i="29"/>
  <c r="S2506" i="29"/>
  <c r="T2506" i="29"/>
  <c r="J2506" i="29"/>
  <c r="K2506" i="29"/>
  <c r="W2339" i="29"/>
  <c r="T1669" i="29"/>
  <c r="W1669" i="29"/>
  <c r="S1669" i="29"/>
  <c r="J3880" i="29"/>
  <c r="K3880" i="29"/>
  <c r="J1354" i="29"/>
  <c r="W1354" i="29"/>
  <c r="W496" i="29"/>
  <c r="U496" i="29"/>
  <c r="S4163" i="29"/>
  <c r="S3236" i="29"/>
  <c r="W1159" i="29"/>
  <c r="W1720" i="29"/>
  <c r="J1444" i="29"/>
  <c r="K1444" i="29"/>
  <c r="S3233" i="29"/>
  <c r="W32" i="29"/>
  <c r="S5437" i="29"/>
  <c r="T5437" i="29"/>
  <c r="J5437" i="29"/>
  <c r="S5588" i="29"/>
  <c r="J6299" i="29"/>
  <c r="K6299" i="29"/>
  <c r="T5852" i="29"/>
  <c r="J5852" i="29"/>
  <c r="K5852" i="29"/>
  <c r="T3707" i="29"/>
  <c r="J3707" i="29"/>
  <c r="K3707" i="29"/>
  <c r="T4708" i="29"/>
  <c r="J4708" i="29"/>
  <c r="S4708" i="29"/>
  <c r="S4269" i="29"/>
  <c r="T4269" i="29"/>
  <c r="J4269" i="29"/>
  <c r="S4234" i="29"/>
  <c r="W2912" i="29"/>
  <c r="J2619" i="29"/>
  <c r="K2619" i="29"/>
  <c r="J2445" i="29"/>
  <c r="K2445" i="29"/>
  <c r="J2085" i="29"/>
  <c r="J1970" i="29"/>
  <c r="S1718" i="29"/>
  <c r="W1682" i="29"/>
  <c r="S4824" i="29"/>
  <c r="T4824" i="29"/>
  <c r="J4824" i="29"/>
  <c r="K4824" i="29"/>
  <c r="S4358" i="29"/>
  <c r="T4358" i="29"/>
  <c r="W4358" i="29"/>
  <c r="J3843" i="29"/>
  <c r="J1979" i="29"/>
  <c r="S1207" i="29"/>
  <c r="T1207" i="29"/>
  <c r="W798" i="29"/>
  <c r="S4544" i="29"/>
  <c r="S1327" i="29"/>
  <c r="W552" i="29"/>
  <c r="W4610" i="29"/>
  <c r="J3479" i="29"/>
  <c r="J3435" i="29"/>
  <c r="U3435" i="29"/>
  <c r="J3384" i="29"/>
  <c r="J3233" i="29"/>
  <c r="K3233" i="29"/>
  <c r="J2097" i="29"/>
  <c r="J1921" i="29"/>
  <c r="K1921" i="29"/>
  <c r="K1385" i="29"/>
  <c r="K1346" i="29"/>
  <c r="K1257" i="29"/>
  <c r="K1104" i="29"/>
  <c r="K1048" i="29"/>
  <c r="K948" i="29"/>
  <c r="K504" i="29"/>
  <c r="K2975" i="29"/>
  <c r="W2537" i="29"/>
  <c r="W2514" i="29"/>
  <c r="W2478" i="29"/>
  <c r="K2125" i="29"/>
  <c r="W1982" i="29"/>
  <c r="J6238" i="29"/>
  <c r="J6256" i="29"/>
  <c r="K6256" i="29"/>
  <c r="J1650" i="29"/>
  <c r="K1650" i="29"/>
  <c r="W214" i="29"/>
  <c r="U214" i="29"/>
  <c r="W102" i="29"/>
  <c r="U102" i="29"/>
  <c r="W10" i="29"/>
  <c r="W5200" i="29"/>
  <c r="T5353" i="29"/>
  <c r="S5521" i="29"/>
  <c r="J5736" i="29"/>
  <c r="K5736" i="29"/>
  <c r="S1044" i="29"/>
  <c r="W216" i="29"/>
  <c r="U216" i="29"/>
  <c r="W159" i="29"/>
  <c r="U159" i="29"/>
  <c r="W135" i="29"/>
  <c r="W91" i="29"/>
  <c r="U91" i="29"/>
  <c r="W36" i="29"/>
  <c r="W28" i="29"/>
  <c r="J5093" i="29"/>
  <c r="K5093" i="29"/>
  <c r="W5204" i="29"/>
  <c r="J5212" i="29"/>
  <c r="K5212" i="29"/>
  <c r="W2954" i="29"/>
  <c r="S2948" i="29"/>
  <c r="J2917" i="29"/>
  <c r="J2898" i="29"/>
  <c r="U2898" i="29"/>
  <c r="W772" i="29"/>
  <c r="K562" i="29"/>
  <c r="K403" i="29"/>
  <c r="K138" i="29"/>
  <c r="W74" i="29"/>
  <c r="U74" i="29"/>
  <c r="J5826" i="29"/>
  <c r="S560" i="29"/>
  <c r="T560" i="29"/>
  <c r="W560" i="29"/>
  <c r="U560" i="29"/>
  <c r="T5945" i="29"/>
  <c r="J5945" i="29"/>
  <c r="S5945" i="29"/>
  <c r="T6080" i="29"/>
  <c r="J6080" i="29"/>
  <c r="S6080" i="29"/>
  <c r="S354" i="29"/>
  <c r="S6294" i="29"/>
  <c r="S627" i="29"/>
  <c r="T308" i="29"/>
  <c r="W308" i="29"/>
  <c r="U308" i="29"/>
  <c r="S5482" i="29"/>
  <c r="T6655" i="29"/>
  <c r="J6655" i="29"/>
  <c r="S6655" i="29"/>
  <c r="S1740" i="29"/>
  <c r="T1254" i="29"/>
  <c r="J1254" i="29"/>
  <c r="T501" i="29"/>
  <c r="W501" i="29"/>
  <c r="T6309" i="29"/>
  <c r="J6309" i="29"/>
  <c r="K6309" i="29"/>
  <c r="T2471" i="29"/>
  <c r="J2471" i="29"/>
  <c r="K2471" i="29"/>
  <c r="T2556" i="29"/>
  <c r="W2556" i="29"/>
  <c r="U2556" i="29"/>
  <c r="S4729" i="29"/>
  <c r="S2379" i="29"/>
  <c r="T7613" i="29"/>
  <c r="J7613" i="29"/>
  <c r="K7613" i="29"/>
  <c r="S1828" i="29"/>
  <c r="J6293" i="29"/>
  <c r="S2509" i="29"/>
  <c r="T6311" i="29"/>
  <c r="J6311" i="29"/>
  <c r="S388" i="29"/>
  <c r="T2461" i="29"/>
  <c r="J2461" i="29"/>
  <c r="K2461" i="29"/>
  <c r="J1312" i="29"/>
  <c r="K1312" i="29"/>
  <c r="S5655" i="29"/>
  <c r="S5822" i="29"/>
  <c r="T6313" i="29"/>
  <c r="J6313" i="29"/>
  <c r="U6313" i="29"/>
  <c r="S6313" i="29"/>
  <c r="K912" i="29"/>
  <c r="S3606" i="29"/>
  <c r="S2789" i="29"/>
  <c r="T3463" i="29"/>
  <c r="J3463" i="29"/>
  <c r="K3463" i="29"/>
  <c r="K218" i="29"/>
  <c r="T2870" i="29"/>
  <c r="J2870" i="29"/>
  <c r="K2870" i="29"/>
  <c r="S4904" i="29"/>
  <c r="S902" i="29"/>
  <c r="T5727" i="29"/>
  <c r="J5727" i="29"/>
  <c r="K5727" i="29"/>
  <c r="T6081" i="29"/>
  <c r="J6081" i="29"/>
  <c r="J226" i="29"/>
  <c r="W226" i="29"/>
  <c r="J137" i="29"/>
  <c r="W137" i="29"/>
  <c r="T5098" i="29"/>
  <c r="J5098" i="29"/>
  <c r="K5098" i="29"/>
  <c r="S5098" i="29"/>
  <c r="S5175" i="29"/>
  <c r="T5175" i="29"/>
  <c r="W5175" i="29"/>
  <c r="S5498" i="29"/>
  <c r="S5668" i="29"/>
  <c r="T5668" i="29"/>
  <c r="T5717" i="29"/>
  <c r="J5717" i="29"/>
  <c r="K5717" i="29"/>
  <c r="S5717" i="29"/>
  <c r="J6398" i="29"/>
  <c r="K6398" i="29"/>
  <c r="J3423" i="29"/>
  <c r="S2969" i="29"/>
  <c r="S633" i="29"/>
  <c r="T4968" i="29"/>
  <c r="J4968" i="29"/>
  <c r="S4968" i="29"/>
  <c r="K4279" i="29"/>
  <c r="T4169" i="29"/>
  <c r="S4169" i="29"/>
  <c r="S4135" i="29"/>
  <c r="T4135" i="29"/>
  <c r="J4135" i="29"/>
  <c r="S3935" i="29"/>
  <c r="T3935" i="29"/>
  <c r="W3935" i="29"/>
  <c r="T3875" i="29"/>
  <c r="J3875" i="29"/>
  <c r="K3875" i="29"/>
  <c r="S3875" i="29"/>
  <c r="S3577" i="29"/>
  <c r="T3577" i="29"/>
  <c r="J3577" i="29"/>
  <c r="U3577" i="29"/>
  <c r="S3331" i="29"/>
  <c r="T3331" i="29"/>
  <c r="J3331" i="29"/>
  <c r="T3309" i="29"/>
  <c r="J3309" i="29"/>
  <c r="S3309" i="29"/>
  <c r="S3036" i="29"/>
  <c r="T3036" i="29"/>
  <c r="J3036" i="29"/>
  <c r="S2742" i="29"/>
  <c r="T2742" i="29"/>
  <c r="J2742" i="29"/>
  <c r="K2742" i="29"/>
  <c r="T2694" i="29"/>
  <c r="J2694" i="29"/>
  <c r="K2694" i="29"/>
  <c r="S2694" i="29"/>
  <c r="K2614" i="29"/>
  <c r="W2586" i="29"/>
  <c r="K2129" i="29"/>
  <c r="J2122" i="29"/>
  <c r="K2122" i="29"/>
  <c r="K1977" i="29"/>
  <c r="K1910" i="29"/>
  <c r="S1844" i="29"/>
  <c r="T1844" i="29"/>
  <c r="J1844" i="29"/>
  <c r="S1825" i="29"/>
  <c r="K1789" i="29"/>
  <c r="T1599" i="29"/>
  <c r="S1599" i="29"/>
  <c r="K1587" i="29"/>
  <c r="J1409" i="29"/>
  <c r="S1361" i="29"/>
  <c r="T1361" i="29"/>
  <c r="W1361" i="29"/>
  <c r="U1361" i="29"/>
  <c r="S1349" i="29"/>
  <c r="T1349" i="29"/>
  <c r="J1349" i="29"/>
  <c r="K1055" i="29"/>
  <c r="S893" i="29"/>
  <c r="T893" i="29"/>
  <c r="W893" i="29"/>
  <c r="S717" i="29"/>
  <c r="T295" i="29"/>
  <c r="W295" i="29"/>
  <c r="S295" i="29"/>
  <c r="W201" i="29"/>
  <c r="J201" i="29"/>
  <c r="J174" i="29"/>
  <c r="W174" i="29"/>
  <c r="T5616" i="29"/>
  <c r="J5616" i="29"/>
  <c r="S5616" i="29"/>
  <c r="J5669" i="29"/>
  <c r="W5669" i="29"/>
  <c r="T3574" i="29"/>
  <c r="J3574" i="29"/>
  <c r="K3574" i="29"/>
  <c r="S3574" i="29"/>
  <c r="S2922" i="29"/>
  <c r="T2922" i="29"/>
  <c r="J2922" i="29"/>
  <c r="U2922" i="29"/>
  <c r="S3922" i="29"/>
  <c r="T3922" i="29"/>
  <c r="J3922" i="29"/>
  <c r="T478" i="29"/>
  <c r="W478" i="29"/>
  <c r="T6365" i="29"/>
  <c r="J6365" i="29"/>
  <c r="T324" i="29"/>
  <c r="W324" i="29"/>
  <c r="S3796" i="29"/>
  <c r="T3796" i="29"/>
  <c r="T3334" i="29"/>
  <c r="J3334" i="29"/>
  <c r="S3334" i="29"/>
  <c r="V3055" i="29"/>
  <c r="S3055" i="29"/>
  <c r="T3055" i="29"/>
  <c r="J3055" i="29"/>
  <c r="K3055" i="29"/>
  <c r="S1235" i="29"/>
  <c r="J1235" i="29"/>
  <c r="T1235" i="29"/>
  <c r="W1235" i="29"/>
  <c r="S1032" i="29"/>
  <c r="T1032" i="29"/>
  <c r="W1032" i="29"/>
  <c r="U1032" i="29"/>
  <c r="T1001" i="29"/>
  <c r="W1001" i="29"/>
  <c r="S1001" i="29"/>
  <c r="T811" i="29"/>
  <c r="W811" i="29"/>
  <c r="S811" i="29"/>
  <c r="T6136" i="29"/>
  <c r="J6136" i="29"/>
  <c r="K6136" i="29"/>
  <c r="S6136" i="29"/>
  <c r="K486" i="29"/>
  <c r="S488" i="29"/>
  <c r="S3397" i="29"/>
  <c r="T3840" i="29"/>
  <c r="J3840" i="29"/>
  <c r="T4925" i="29"/>
  <c r="J4925" i="29"/>
  <c r="U4925" i="29"/>
  <c r="S4925" i="29"/>
  <c r="T4017" i="29"/>
  <c r="J4017" i="29"/>
  <c r="S4017" i="29"/>
  <c r="T5665" i="29"/>
  <c r="J5665" i="29"/>
  <c r="K5665" i="29"/>
  <c r="S2633" i="29"/>
  <c r="T2633" i="29"/>
  <c r="T1470" i="29"/>
  <c r="S1470" i="29"/>
  <c r="T1633" i="29"/>
  <c r="J1633" i="29"/>
  <c r="K1633" i="29"/>
  <c r="T4256" i="29"/>
  <c r="J4256" i="29"/>
  <c r="S4256" i="29"/>
  <c r="S1785" i="29"/>
  <c r="T1785" i="29"/>
  <c r="W1785" i="29"/>
  <c r="S1107" i="29"/>
  <c r="T1107" i="29"/>
  <c r="W1107" i="29"/>
  <c r="U1107" i="29"/>
  <c r="T1088" i="29"/>
  <c r="W1088" i="29"/>
  <c r="U1088" i="29"/>
  <c r="S1088" i="29"/>
  <c r="S3590" i="29"/>
  <c r="T1666" i="29"/>
  <c r="W1666" i="29"/>
  <c r="U1666" i="29"/>
  <c r="T4030" i="29"/>
  <c r="J4030" i="29"/>
  <c r="S4030" i="29"/>
  <c r="T2527" i="29"/>
  <c r="W2527" i="29"/>
  <c r="S2527" i="29"/>
  <c r="T2134" i="29"/>
  <c r="W2134" i="29"/>
  <c r="U2134" i="29"/>
  <c r="S2134" i="29"/>
  <c r="S369" i="29"/>
  <c r="T369" i="29"/>
  <c r="W369" i="29"/>
  <c r="U369" i="29"/>
  <c r="K492" i="29"/>
  <c r="T3536" i="29"/>
  <c r="J3536" i="29"/>
  <c r="S6384" i="29"/>
  <c r="S462" i="29"/>
  <c r="S6446" i="29"/>
  <c r="S2754" i="29"/>
  <c r="T2754" i="29"/>
  <c r="W2754" i="29"/>
  <c r="T1028" i="29"/>
  <c r="W1028" i="29"/>
  <c r="S1028" i="29"/>
  <c r="T867" i="29"/>
  <c r="W867" i="29"/>
  <c r="U867" i="29"/>
  <c r="T785" i="29"/>
  <c r="W785" i="29"/>
  <c r="S785" i="29"/>
  <c r="S500" i="29"/>
  <c r="T500" i="29"/>
  <c r="W500" i="29"/>
  <c r="U500" i="29"/>
  <c r="S477" i="29"/>
  <c r="T477" i="29"/>
  <c r="W477" i="29"/>
  <c r="T275" i="29"/>
  <c r="W275" i="29"/>
  <c r="U275" i="29"/>
  <c r="S275" i="29"/>
  <c r="T5633" i="29"/>
  <c r="J5633" i="29"/>
  <c r="K5633" i="29"/>
  <c r="S5633" i="29"/>
  <c r="S5823" i="29"/>
  <c r="T5823" i="29"/>
  <c r="J5823" i="29"/>
  <c r="K5823" i="29"/>
  <c r="J6226" i="29"/>
  <c r="K6226" i="29"/>
  <c r="T842" i="29"/>
  <c r="W62" i="29"/>
  <c r="U62" i="29"/>
  <c r="T1840" i="29"/>
  <c r="W1840" i="29"/>
  <c r="S566" i="29"/>
  <c r="T2475" i="29"/>
  <c r="W2475" i="29"/>
  <c r="U2475" i="29"/>
  <c r="S1394" i="29"/>
  <c r="T4275" i="29"/>
  <c r="J4275" i="29"/>
  <c r="K4275" i="29"/>
  <c r="S5335" i="29"/>
  <c r="K302" i="29"/>
  <c r="S1094" i="29"/>
  <c r="T4660" i="29"/>
  <c r="J4660" i="29"/>
  <c r="T5463" i="29"/>
  <c r="J5463" i="29"/>
  <c r="K5463" i="29"/>
  <c r="S1364" i="29"/>
  <c r="T474" i="29"/>
  <c r="W474" i="29"/>
  <c r="U474" i="29"/>
  <c r="S4974" i="29"/>
  <c r="T4974" i="29"/>
  <c r="J4974" i="29"/>
  <c r="T4217" i="29"/>
  <c r="J4217" i="29"/>
  <c r="S4217" i="29"/>
  <c r="S4201" i="29"/>
  <c r="T4201" i="29"/>
  <c r="J4201" i="29"/>
  <c r="K4201" i="29"/>
  <c r="T3592" i="29"/>
  <c r="J3592" i="29"/>
  <c r="S3592" i="29"/>
  <c r="S3412" i="29"/>
  <c r="T3412" i="29"/>
  <c r="J3412" i="29"/>
  <c r="T3235" i="29"/>
  <c r="J3235" i="29"/>
  <c r="K3235" i="29"/>
  <c r="S3235" i="29"/>
  <c r="T2987" i="29"/>
  <c r="J2987" i="29"/>
  <c r="S2987" i="29"/>
  <c r="T2773" i="29"/>
  <c r="S2773" i="29"/>
  <c r="T2636" i="29"/>
  <c r="W2636" i="29"/>
  <c r="U2636" i="29"/>
  <c r="T2191" i="29"/>
  <c r="J2191" i="29"/>
  <c r="K2191" i="29"/>
  <c r="S2191" i="29"/>
  <c r="T1946" i="29"/>
  <c r="W1946" i="29"/>
  <c r="S1946" i="29"/>
  <c r="S1881" i="29"/>
  <c r="T1881" i="29"/>
  <c r="J1881" i="29"/>
  <c r="S1843" i="29"/>
  <c r="T1843" i="29"/>
  <c r="J1843" i="29"/>
  <c r="K1843" i="29"/>
  <c r="S1821" i="29"/>
  <c r="T1821" i="29"/>
  <c r="S1803" i="29"/>
  <c r="T1803" i="29"/>
  <c r="W1803" i="29"/>
  <c r="U1803" i="29"/>
  <c r="T1576" i="29"/>
  <c r="J1576" i="29"/>
  <c r="S1576" i="29"/>
  <c r="T1363" i="29"/>
  <c r="S1363" i="29"/>
  <c r="T562" i="29"/>
  <c r="W562" i="29"/>
  <c r="U562" i="29"/>
  <c r="S562" i="29"/>
  <c r="T5346" i="29"/>
  <c r="J5346" i="29"/>
  <c r="S5346" i="29"/>
  <c r="T5403" i="29"/>
  <c r="W5403" i="29"/>
  <c r="S5403" i="29"/>
  <c r="S5386" i="29"/>
  <c r="T5386" i="29"/>
  <c r="J5386" i="29"/>
  <c r="T5446" i="29"/>
  <c r="J5446" i="29"/>
  <c r="K5446" i="29"/>
  <c r="S5446" i="29"/>
  <c r="S6223" i="29"/>
  <c r="T6223" i="29"/>
  <c r="J6223" i="29"/>
  <c r="K6223" i="29"/>
  <c r="T1060" i="29"/>
  <c r="W1060" i="29"/>
  <c r="U1060" i="29"/>
  <c r="S1060" i="29"/>
  <c r="T668" i="29"/>
  <c r="W668" i="29"/>
  <c r="U668" i="29"/>
  <c r="S668" i="29"/>
  <c r="S304" i="29"/>
  <c r="T304" i="29"/>
  <c r="W304" i="29"/>
  <c r="U304" i="29"/>
  <c r="S2000" i="29"/>
  <c r="T5095" i="29"/>
  <c r="J5095" i="29"/>
  <c r="S5095" i="29"/>
  <c r="T5610" i="29"/>
  <c r="J5610" i="29"/>
  <c r="S5610" i="29"/>
  <c r="T6130" i="29"/>
  <c r="J6130" i="29"/>
  <c r="S6130" i="29"/>
  <c r="S7856" i="29"/>
  <c r="T6178" i="29"/>
  <c r="J6178" i="29"/>
  <c r="K6178" i="29"/>
  <c r="S4543" i="29"/>
  <c r="T6242" i="29"/>
  <c r="J6242" i="29"/>
  <c r="K6242" i="29"/>
  <c r="T4980" i="29"/>
  <c r="J4980" i="29"/>
  <c r="T6388" i="29"/>
  <c r="J6388" i="29"/>
  <c r="S3435" i="29"/>
  <c r="S1615" i="29"/>
  <c r="T2467" i="29"/>
  <c r="J2467" i="29"/>
  <c r="S2697" i="29"/>
  <c r="W489" i="29"/>
  <c r="U489" i="29"/>
  <c r="S522" i="29"/>
  <c r="S698" i="29"/>
  <c r="S3074" i="29"/>
  <c r="S3191" i="29"/>
  <c r="W220" i="29"/>
  <c r="U220" i="29"/>
  <c r="S3609" i="29"/>
  <c r="T5942" i="29"/>
  <c r="J5942" i="29"/>
  <c r="U5942" i="29"/>
  <c r="T3271" i="29"/>
  <c r="W3271" i="29"/>
  <c r="S4698" i="29"/>
  <c r="S4536" i="29"/>
  <c r="S4459" i="29"/>
  <c r="S3760" i="29"/>
  <c r="T3760" i="29"/>
  <c r="J3760" i="29"/>
  <c r="T3722" i="29"/>
  <c r="J3722" i="29"/>
  <c r="S3722" i="29"/>
  <c r="S3690" i="29"/>
  <c r="T3690" i="29"/>
  <c r="J3690" i="29"/>
  <c r="T3579" i="29"/>
  <c r="J3579" i="29"/>
  <c r="U3579" i="29"/>
  <c r="S3579" i="29"/>
  <c r="S3532" i="29"/>
  <c r="T3532" i="29"/>
  <c r="J3532" i="29"/>
  <c r="T3409" i="29"/>
  <c r="W3409" i="29"/>
  <c r="U3409" i="29"/>
  <c r="T3267" i="29"/>
  <c r="S3267" i="29"/>
  <c r="K3255" i="29"/>
  <c r="T3064" i="29"/>
  <c r="J3064" i="29"/>
  <c r="K3064" i="29"/>
  <c r="S3064" i="29"/>
  <c r="T2933" i="29"/>
  <c r="J2933" i="29"/>
  <c r="S2933" i="29"/>
  <c r="S2760" i="29"/>
  <c r="T2760" i="29"/>
  <c r="W2760" i="29"/>
  <c r="S2570" i="29"/>
  <c r="T2570" i="29"/>
  <c r="J2570" i="29"/>
  <c r="K2570" i="29"/>
  <c r="S2536" i="29"/>
  <c r="T2536" i="29"/>
  <c r="W2536" i="29"/>
  <c r="U2536" i="29"/>
  <c r="S2477" i="29"/>
  <c r="T2477" i="29"/>
  <c r="J2477" i="29"/>
  <c r="K2477" i="29"/>
  <c r="T2219" i="29"/>
  <c r="W2219" i="29"/>
  <c r="S2219" i="29"/>
  <c r="S1984" i="29"/>
  <c r="T1984" i="29"/>
  <c r="W1984" i="29"/>
  <c r="U1984" i="29"/>
  <c r="W1912" i="29"/>
  <c r="W1779" i="29"/>
  <c r="S1296" i="29"/>
  <c r="T1296" i="29"/>
  <c r="W1296" i="29"/>
  <c r="K1222" i="29"/>
  <c r="S1161" i="29"/>
  <c r="T1161" i="29"/>
  <c r="J1161" i="29"/>
  <c r="J923" i="29"/>
  <c r="W923" i="29"/>
  <c r="S822" i="29"/>
  <c r="T822" i="29"/>
  <c r="J822" i="29"/>
  <c r="K822" i="29"/>
  <c r="K582" i="29"/>
  <c r="T487" i="29"/>
  <c r="W487" i="29"/>
  <c r="U487" i="29"/>
  <c r="S487" i="29"/>
  <c r="K474" i="29"/>
  <c r="T297" i="29"/>
  <c r="W297" i="29"/>
  <c r="U297" i="29"/>
  <c r="S297" i="29"/>
  <c r="T281" i="29"/>
  <c r="W281" i="29"/>
  <c r="U281" i="29"/>
  <c r="S281" i="29"/>
  <c r="K165" i="29"/>
  <c r="K42" i="29"/>
  <c r="W5404" i="29"/>
  <c r="J5433" i="29"/>
  <c r="K5433" i="29"/>
  <c r="T5401" i="29"/>
  <c r="J5401" i="29"/>
  <c r="S5401" i="29"/>
  <c r="T5506" i="29"/>
  <c r="J5506" i="29"/>
  <c r="S5506" i="29"/>
  <c r="T4143" i="29"/>
  <c r="S4143" i="29"/>
  <c r="T3598" i="29"/>
  <c r="S3598" i="29"/>
  <c r="S3513" i="29"/>
  <c r="T3513" i="29"/>
  <c r="J3513" i="29"/>
  <c r="S2860" i="29"/>
  <c r="T2860" i="29"/>
  <c r="S2841" i="29"/>
  <c r="T2841" i="29"/>
  <c r="S2680" i="29"/>
  <c r="T2680" i="29"/>
  <c r="W2680" i="29"/>
  <c r="W1321" i="29"/>
  <c r="S1034" i="29"/>
  <c r="T1034" i="29"/>
  <c r="T518" i="29"/>
  <c r="W518" i="29"/>
  <c r="U518" i="29"/>
  <c r="S518" i="29"/>
  <c r="S362" i="29"/>
  <c r="T362" i="29"/>
  <c r="W362" i="29"/>
  <c r="U362" i="29"/>
  <c r="W105" i="29"/>
  <c r="T5384" i="29"/>
  <c r="J5384" i="29"/>
  <c r="S5384" i="29"/>
  <c r="T5490" i="29"/>
  <c r="J5490" i="29"/>
  <c r="S5490" i="29"/>
  <c r="T5785" i="29"/>
  <c r="J5785" i="29"/>
  <c r="U5785" i="29"/>
  <c r="S5785" i="29"/>
  <c r="T6034" i="29"/>
  <c r="J6034" i="29"/>
  <c r="K6034" i="29"/>
  <c r="S6034" i="29"/>
  <c r="J6072" i="29"/>
  <c r="T5291" i="29"/>
  <c r="J5291" i="29"/>
  <c r="S5291" i="29"/>
  <c r="S5923" i="29"/>
  <c r="T5923" i="29"/>
  <c r="J5923" i="29"/>
  <c r="J6225" i="29"/>
  <c r="S6381" i="29"/>
  <c r="T5561" i="29"/>
  <c r="J5561" i="29"/>
  <c r="K5561" i="29"/>
  <c r="T1162" i="29"/>
  <c r="W1162" i="29"/>
  <c r="U1162" i="29"/>
  <c r="T4775" i="29"/>
  <c r="J4775" i="29"/>
  <c r="S4775" i="29"/>
  <c r="S2630" i="29"/>
  <c r="T2630" i="29"/>
  <c r="J2630" i="29"/>
  <c r="T2081" i="29"/>
  <c r="W2081" i="29"/>
  <c r="U2081" i="29"/>
  <c r="S2081" i="29"/>
  <c r="S864" i="29"/>
  <c r="T864" i="29"/>
  <c r="T4189" i="29"/>
  <c r="J4189" i="29"/>
  <c r="K4189" i="29"/>
  <c r="T6240" i="29"/>
  <c r="J6240" i="29"/>
  <c r="K6240" i="29"/>
  <c r="T6194" i="29"/>
  <c r="J6194" i="29"/>
  <c r="S2063" i="29"/>
  <c r="S1623" i="29"/>
  <c r="T3944" i="29"/>
  <c r="J3944" i="29"/>
  <c r="K3944" i="29"/>
  <c r="J3765" i="29"/>
  <c r="T3148" i="29"/>
  <c r="J3148" i="29"/>
  <c r="S611" i="29"/>
  <c r="S1706" i="29"/>
  <c r="S3593" i="29"/>
  <c r="S4977" i="29"/>
  <c r="T1632" i="29"/>
  <c r="J1632" i="29"/>
  <c r="K1632" i="29"/>
  <c r="T3419" i="29"/>
  <c r="J3419" i="29"/>
  <c r="U3419" i="29"/>
  <c r="S4013" i="29"/>
  <c r="S2104" i="29"/>
  <c r="T6252" i="29"/>
  <c r="J6252" i="29"/>
  <c r="K6252" i="29"/>
  <c r="S2041" i="29"/>
  <c r="T1624" i="29"/>
  <c r="S3751" i="29"/>
  <c r="T4224" i="29"/>
  <c r="J4224" i="29"/>
  <c r="T3208" i="29"/>
  <c r="J3208" i="29"/>
  <c r="S4000" i="29"/>
  <c r="T4000" i="29"/>
  <c r="J4000" i="29"/>
  <c r="K4000" i="29"/>
  <c r="T2542" i="29"/>
  <c r="J2542" i="29"/>
  <c r="K2542" i="29"/>
  <c r="S2542" i="29"/>
  <c r="S2523" i="29"/>
  <c r="T2523" i="29"/>
  <c r="S1317" i="29"/>
  <c r="T1317" i="29"/>
  <c r="J1317" i="29"/>
  <c r="K1317" i="29"/>
  <c r="T863" i="29"/>
  <c r="W863" i="29"/>
  <c r="S863" i="29"/>
  <c r="S664" i="29"/>
  <c r="T664" i="29"/>
  <c r="W664" i="29"/>
  <c r="U664" i="29"/>
  <c r="T530" i="29"/>
  <c r="W530" i="29"/>
  <c r="S530" i="29"/>
  <c r="T457" i="29"/>
  <c r="W457" i="29"/>
  <c r="U457" i="29"/>
  <c r="S457" i="29"/>
  <c r="S5566" i="29"/>
  <c r="T5566" i="29"/>
  <c r="J5566" i="29"/>
  <c r="K5566" i="29"/>
  <c r="T5560" i="29"/>
  <c r="J5560" i="29"/>
  <c r="S3201" i="29"/>
  <c r="T6229" i="29"/>
  <c r="J6229" i="29"/>
  <c r="K6229" i="29"/>
  <c r="J2781" i="29"/>
  <c r="K2781" i="29"/>
  <c r="S547" i="29"/>
  <c r="T2777" i="29"/>
  <c r="S3476" i="29"/>
  <c r="J228" i="29"/>
  <c r="W228" i="29"/>
  <c r="S4309" i="29"/>
  <c r="T4309" i="29"/>
  <c r="J4309" i="29"/>
  <c r="T4790" i="29"/>
  <c r="J4790" i="29"/>
  <c r="S4790" i="29"/>
  <c r="W4027" i="29"/>
  <c r="S5901" i="29"/>
  <c r="T5901" i="29"/>
  <c r="J5901" i="29"/>
  <c r="K5901" i="29"/>
  <c r="T5573" i="29"/>
  <c r="J5573" i="29"/>
  <c r="K5573" i="29"/>
  <c r="S3815" i="29"/>
  <c r="T2706" i="29"/>
  <c r="J2706" i="29"/>
  <c r="S1042" i="29"/>
  <c r="W1033" i="29"/>
  <c r="U1033" i="29"/>
  <c r="S1791" i="29"/>
  <c r="T4308" i="29"/>
  <c r="J4308" i="29"/>
  <c r="S4308" i="29"/>
  <c r="S3213" i="29"/>
  <c r="T3213" i="29"/>
  <c r="S1757" i="29"/>
  <c r="T1757" i="29"/>
  <c r="W1757" i="29"/>
  <c r="U1757" i="29"/>
  <c r="T6245" i="29"/>
  <c r="J6245" i="29"/>
  <c r="T4709" i="29"/>
  <c r="J4709" i="29"/>
  <c r="S563" i="29"/>
  <c r="S3963" i="29"/>
  <c r="T4971" i="29"/>
  <c r="J4971" i="29"/>
  <c r="S360" i="29"/>
  <c r="T5102" i="29"/>
  <c r="J5102" i="29"/>
  <c r="T5013" i="29"/>
  <c r="J5013" i="29"/>
  <c r="S710" i="29"/>
  <c r="T3758" i="29"/>
  <c r="W3758" i="29"/>
  <c r="U3758" i="29"/>
  <c r="V4014" i="29"/>
  <c r="T3359" i="29"/>
  <c r="J3359" i="29"/>
  <c r="S3016" i="29"/>
  <c r="T2080" i="29"/>
  <c r="W2080" i="29"/>
  <c r="S3270" i="29"/>
  <c r="S3507" i="29"/>
  <c r="S4382" i="29"/>
  <c r="S4517" i="29"/>
  <c r="S5389" i="29"/>
  <c r="T2854" i="29"/>
  <c r="J2854" i="29"/>
  <c r="K2854" i="29"/>
  <c r="T941" i="29"/>
  <c r="W941" i="29"/>
  <c r="T1204" i="29"/>
  <c r="W1204" i="29"/>
  <c r="S5757" i="29"/>
  <c r="S5714" i="29"/>
  <c r="T4712" i="29"/>
  <c r="J4712" i="29"/>
  <c r="K4712" i="29"/>
  <c r="S4712" i="29"/>
  <c r="S4636" i="29"/>
  <c r="T4636" i="29"/>
  <c r="T4452" i="29"/>
  <c r="J4452" i="29"/>
  <c r="S4452" i="29"/>
  <c r="S4417" i="29"/>
  <c r="T4417" i="29"/>
  <c r="J4417" i="29"/>
  <c r="K4417" i="29"/>
  <c r="S758" i="29"/>
  <c r="T758" i="29"/>
  <c r="W758" i="29"/>
  <c r="T672" i="29"/>
  <c r="W672" i="29"/>
  <c r="T4993" i="29"/>
  <c r="J4993" i="29"/>
  <c r="K4993" i="29"/>
  <c r="S4993" i="29"/>
  <c r="S4704" i="29"/>
  <c r="T4704" i="29"/>
  <c r="J4704" i="29"/>
  <c r="S4699" i="29"/>
  <c r="T4699" i="29"/>
  <c r="T4537" i="29"/>
  <c r="J4537" i="29"/>
  <c r="S4537" i="29"/>
  <c r="S4106" i="29"/>
  <c r="T4106" i="29"/>
  <c r="J4106" i="29"/>
  <c r="S3837" i="29"/>
  <c r="T3837" i="29"/>
  <c r="J3837" i="29"/>
  <c r="K3837" i="29"/>
  <c r="S3780" i="29"/>
  <c r="T3780" i="29"/>
  <c r="J3780" i="29"/>
  <c r="K3780" i="29"/>
  <c r="S3010" i="29"/>
  <c r="T3010" i="29"/>
  <c r="J3010" i="29"/>
  <c r="S2571" i="29"/>
  <c r="T2571" i="29"/>
  <c r="J2571" i="29"/>
  <c r="S1985" i="29"/>
  <c r="T1985" i="29"/>
  <c r="T452" i="29"/>
  <c r="W452" i="29"/>
  <c r="U452" i="29"/>
  <c r="S452" i="29"/>
  <c r="J544" i="29"/>
  <c r="S320" i="29"/>
  <c r="T320" i="29"/>
  <c r="W320" i="29"/>
  <c r="S6226" i="29"/>
  <c r="S5706" i="29"/>
  <c r="T2687" i="29"/>
  <c r="J2687" i="29"/>
  <c r="S2687" i="29"/>
  <c r="S804" i="29"/>
  <c r="S3081" i="29"/>
  <c r="T3217" i="29"/>
  <c r="S6375" i="29"/>
  <c r="T2140" i="29"/>
  <c r="T3321" i="29"/>
  <c r="J3321" i="29"/>
  <c r="K3321" i="29"/>
  <c r="S1970" i="29"/>
  <c r="S665" i="29"/>
  <c r="S4014" i="29"/>
  <c r="T2574" i="29"/>
  <c r="J2574" i="29"/>
  <c r="S5320" i="29"/>
  <c r="T5820" i="29"/>
  <c r="J5820" i="29"/>
  <c r="T4446" i="29"/>
  <c r="J4446" i="29"/>
  <c r="K4446" i="29"/>
  <c r="S4446" i="29"/>
  <c r="T4353" i="29"/>
  <c r="J4353" i="29"/>
  <c r="K4353" i="29"/>
  <c r="S4353" i="29"/>
  <c r="T3864" i="29"/>
  <c r="J3864" i="29"/>
  <c r="S3864" i="29"/>
  <c r="S3418" i="29"/>
  <c r="S2942" i="29"/>
  <c r="T2942" i="29"/>
  <c r="J2942" i="29"/>
  <c r="K2942" i="29"/>
  <c r="S2788" i="29"/>
  <c r="T2788" i="29"/>
  <c r="J2788" i="29"/>
  <c r="W2269" i="29"/>
  <c r="J2478" i="29"/>
  <c r="S1874" i="29"/>
  <c r="T1868" i="29"/>
  <c r="J1868" i="29"/>
  <c r="U1868" i="29"/>
  <c r="T610" i="29"/>
  <c r="W610" i="29"/>
  <c r="U610" i="29"/>
  <c r="S1690" i="29"/>
  <c r="T1604" i="29"/>
  <c r="J1604" i="29"/>
  <c r="K1604" i="29"/>
  <c r="T3147" i="29"/>
  <c r="J3147" i="29"/>
  <c r="U3147" i="29"/>
  <c r="T6407" i="29"/>
  <c r="J6407" i="29"/>
  <c r="K6407" i="29"/>
  <c r="T1478" i="29"/>
  <c r="W1478" i="29"/>
  <c r="S2972" i="29"/>
  <c r="T1711" i="29"/>
  <c r="W1711" i="29"/>
  <c r="W217" i="29"/>
  <c r="U217" i="29"/>
  <c r="S6213" i="29"/>
  <c r="S1903" i="29"/>
  <c r="T4048" i="29"/>
  <c r="J4048" i="29"/>
  <c r="K4048" i="29"/>
  <c r="T2766" i="29"/>
  <c r="J2766" i="29"/>
  <c r="S746" i="29"/>
  <c r="S3312" i="29"/>
  <c r="J4145" i="29"/>
  <c r="K4145" i="29"/>
  <c r="S3884" i="29"/>
  <c r="S446" i="29"/>
  <c r="T5010" i="29"/>
  <c r="J5010" i="29"/>
  <c r="K5010" i="29"/>
  <c r="S3672" i="29"/>
  <c r="W212" i="29"/>
  <c r="U212" i="29"/>
  <c r="T3943" i="29"/>
  <c r="J3943" i="29"/>
  <c r="K3943" i="29"/>
  <c r="S3137" i="29"/>
  <c r="T3184" i="29"/>
  <c r="J3184" i="29"/>
  <c r="S2813" i="29"/>
  <c r="T5784" i="29"/>
  <c r="J5784" i="29"/>
  <c r="J2921" i="29"/>
  <c r="K2921" i="29"/>
  <c r="J2918" i="29"/>
  <c r="K2918" i="29"/>
  <c r="K2710" i="29"/>
  <c r="W1997" i="29"/>
  <c r="W1082" i="29"/>
  <c r="W136" i="29"/>
  <c r="W37" i="29"/>
  <c r="W13" i="29"/>
  <c r="J6446" i="29"/>
  <c r="U6446" i="29"/>
  <c r="W339" i="29"/>
  <c r="U339" i="29"/>
  <c r="W307" i="29"/>
  <c r="U307" i="29"/>
  <c r="K298" i="29"/>
  <c r="K279" i="29"/>
  <c r="J5752" i="29"/>
  <c r="K5752" i="29"/>
  <c r="W1047" i="29"/>
  <c r="J994" i="29"/>
  <c r="S925" i="29"/>
  <c r="S555" i="29"/>
  <c r="J94" i="29"/>
  <c r="K94" i="29"/>
  <c r="J5165" i="29"/>
  <c r="J2001" i="29"/>
  <c r="K2001" i="29"/>
  <c r="W1625" i="29"/>
  <c r="K5449" i="29"/>
  <c r="J5957" i="29"/>
  <c r="K5957" i="29"/>
  <c r="J6079" i="29"/>
  <c r="K6079" i="29"/>
  <c r="W1083" i="29"/>
  <c r="J2862" i="29"/>
  <c r="K2862" i="29"/>
  <c r="J5782" i="29"/>
  <c r="K5782" i="29"/>
  <c r="J4959" i="29"/>
  <c r="K4959" i="29"/>
  <c r="W3518" i="29"/>
  <c r="U3518" i="29"/>
  <c r="J3398" i="29"/>
  <c r="U3398" i="29"/>
  <c r="K5831" i="29"/>
  <c r="J4853" i="29"/>
  <c r="U4853" i="29"/>
  <c r="W364" i="29"/>
  <c r="W256" i="29"/>
  <c r="U256" i="29"/>
  <c r="W245" i="29"/>
  <c r="U245" i="29"/>
  <c r="W237" i="29"/>
  <c r="W198" i="29"/>
  <c r="W126" i="29"/>
  <c r="U126" i="29"/>
  <c r="W101" i="29"/>
  <c r="U101" i="29"/>
  <c r="J84" i="29"/>
  <c r="W519" i="29"/>
  <c r="U519" i="29"/>
  <c r="K4120" i="29"/>
  <c r="K3626" i="29"/>
  <c r="W1759" i="29"/>
  <c r="K1407" i="29"/>
  <c r="W1080" i="29"/>
  <c r="K949" i="29"/>
  <c r="W774" i="29"/>
  <c r="K721" i="29"/>
  <c r="K689" i="29"/>
  <c r="W586" i="29"/>
  <c r="K511" i="29"/>
  <c r="K328" i="29"/>
  <c r="K277" i="29"/>
  <c r="J6951" i="29"/>
  <c r="K6951" i="29"/>
  <c r="T4214" i="29"/>
  <c r="S4214" i="29"/>
  <c r="S4538" i="29"/>
  <c r="T4538" i="29"/>
  <c r="J4538" i="29"/>
  <c r="K4538" i="29"/>
  <c r="S2576" i="29"/>
  <c r="T2576" i="29"/>
  <c r="W2576" i="29"/>
  <c r="T7932" i="29"/>
  <c r="J7932" i="29"/>
  <c r="K7932" i="29"/>
  <c r="T4436" i="29"/>
  <c r="J4436" i="29"/>
  <c r="T2593" i="29"/>
  <c r="S2593" i="29"/>
  <c r="T6382" i="29"/>
  <c r="J6382" i="29"/>
  <c r="U6382" i="29"/>
  <c r="S2822" i="29"/>
  <c r="T1932" i="29"/>
  <c r="J1932" i="29"/>
  <c r="K1932" i="29"/>
  <c r="S5022" i="29"/>
  <c r="T6193" i="29"/>
  <c r="J6193" i="29"/>
  <c r="K6193" i="29"/>
  <c r="T2528" i="29"/>
  <c r="W2528" i="29"/>
  <c r="J105" i="29"/>
  <c r="S4241" i="29"/>
  <c r="T4905" i="29"/>
  <c r="T2798" i="29"/>
  <c r="W2798" i="29"/>
  <c r="T2817" i="29"/>
  <c r="J2817" i="29"/>
  <c r="T4913" i="29"/>
  <c r="S2035" i="29"/>
  <c r="S2596" i="29"/>
  <c r="T345" i="29"/>
  <c r="T2844" i="29"/>
  <c r="J2844" i="29"/>
  <c r="S6238" i="29"/>
  <c r="T5104" i="29"/>
  <c r="J5104" i="29"/>
  <c r="S368" i="29"/>
  <c r="T5347" i="29"/>
  <c r="W5347" i="29"/>
  <c r="S5752" i="29"/>
  <c r="S4065" i="29"/>
  <c r="T4065" i="29"/>
  <c r="S3992" i="29"/>
  <c r="T3992" i="29"/>
  <c r="W3992" i="29"/>
  <c r="T3860" i="29"/>
  <c r="J3860" i="29"/>
  <c r="S3860" i="29"/>
  <c r="S3831" i="29"/>
  <c r="T3831" i="29"/>
  <c r="W3831" i="29"/>
  <c r="T3736" i="29"/>
  <c r="W3736" i="29"/>
  <c r="S3736" i="29"/>
  <c r="T3629" i="29"/>
  <c r="J3629" i="29"/>
  <c r="S3629" i="29"/>
  <c r="S3496" i="29"/>
  <c r="T3496" i="29"/>
  <c r="J3496" i="29"/>
  <c r="T3183" i="29"/>
  <c r="J3183" i="29"/>
  <c r="U3183" i="29"/>
  <c r="S3183" i="29"/>
  <c r="T3056" i="29"/>
  <c r="W3056" i="29"/>
  <c r="S3056" i="29"/>
  <c r="T5516" i="29"/>
  <c r="J5516" i="29"/>
  <c r="K5516" i="29"/>
  <c r="S5516" i="29"/>
  <c r="S5454" i="29"/>
  <c r="T5454" i="29"/>
  <c r="J5454" i="29"/>
  <c r="S5536" i="29"/>
  <c r="T5536" i="29"/>
  <c r="J5536" i="29"/>
  <c r="K5536" i="29"/>
  <c r="S5537" i="29"/>
  <c r="T5537" i="29"/>
  <c r="J5537" i="29"/>
  <c r="S5624" i="29"/>
  <c r="T5624" i="29"/>
  <c r="J5624" i="29"/>
  <c r="T5634" i="29"/>
  <c r="J5634" i="29"/>
  <c r="S5634" i="29"/>
  <c r="T5813" i="29"/>
  <c r="J5813" i="29"/>
  <c r="K5813" i="29"/>
  <c r="T5915" i="29"/>
  <c r="J5915" i="29"/>
  <c r="K5915" i="29"/>
  <c r="S5915" i="29"/>
  <c r="S5931" i="29"/>
  <c r="T5931" i="29"/>
  <c r="J5931" i="29"/>
  <c r="S5944" i="29"/>
  <c r="T5944" i="29"/>
  <c r="J5944" i="29"/>
  <c r="K5944" i="29"/>
  <c r="T5958" i="29"/>
  <c r="J5958" i="29"/>
  <c r="K5958" i="29"/>
  <c r="S5958" i="29"/>
  <c r="S7669" i="29"/>
  <c r="V3141" i="29"/>
  <c r="T4999" i="29"/>
  <c r="S4999" i="29"/>
  <c r="J4027" i="29"/>
  <c r="T5719" i="29"/>
  <c r="J5719" i="29"/>
  <c r="K5719" i="29"/>
  <c r="S5719" i="29"/>
  <c r="S5683" i="29"/>
  <c r="T5683" i="29"/>
  <c r="J5683" i="29"/>
  <c r="K5683" i="29"/>
  <c r="T5805" i="29"/>
  <c r="J5805" i="29"/>
  <c r="S5805" i="29"/>
  <c r="T5817" i="29"/>
  <c r="J5817" i="29"/>
  <c r="K5817" i="29"/>
  <c r="S5817" i="29"/>
  <c r="T5936" i="29"/>
  <c r="S5936" i="29"/>
  <c r="S5960" i="29"/>
  <c r="T5960" i="29"/>
  <c r="J5960" i="29"/>
  <c r="K5960" i="29"/>
  <c r="S4858" i="29"/>
  <c r="T5079" i="29"/>
  <c r="W5079" i="29"/>
  <c r="S5079" i="29"/>
  <c r="S5288" i="29"/>
  <c r="T5288" i="29"/>
  <c r="W5288" i="29"/>
  <c r="T6389" i="29"/>
  <c r="J6389" i="29"/>
  <c r="S6389" i="29"/>
  <c r="T4555" i="29"/>
  <c r="J4555" i="29"/>
  <c r="T2658" i="29"/>
  <c r="J2658" i="29"/>
  <c r="K2658" i="29"/>
  <c r="S3171" i="29"/>
  <c r="T3171" i="29"/>
  <c r="T6085" i="29"/>
  <c r="J6085" i="29"/>
  <c r="S6085" i="29"/>
  <c r="T4182" i="29"/>
  <c r="J4182" i="29"/>
  <c r="U4182" i="29"/>
  <c r="S4532" i="29"/>
  <c r="S5003" i="29"/>
  <c r="T4584" i="29"/>
  <c r="T4274" i="29"/>
  <c r="J4274" i="29"/>
  <c r="S4648" i="29"/>
  <c r="T2878" i="29"/>
  <c r="S2878" i="29"/>
  <c r="S5692" i="29"/>
  <c r="T5692" i="29"/>
  <c r="T5679" i="29"/>
  <c r="J5679" i="29"/>
  <c r="S5679" i="29"/>
  <c r="T6014" i="29"/>
  <c r="J6014" i="29"/>
  <c r="K6014" i="29"/>
  <c r="S6014" i="29"/>
  <c r="T2977" i="29"/>
  <c r="J2977" i="29"/>
  <c r="T3886" i="29"/>
  <c r="J3886" i="29"/>
  <c r="T6090" i="29"/>
  <c r="J6090" i="29"/>
  <c r="K6090" i="29"/>
  <c r="S476" i="29"/>
  <c r="S5200" i="29"/>
  <c r="J5590" i="29"/>
  <c r="K5590" i="29"/>
  <c r="S5418" i="29"/>
  <c r="T5637" i="29"/>
  <c r="J5637" i="29"/>
  <c r="K5637" i="29"/>
  <c r="S4550" i="29"/>
  <c r="T4550" i="29"/>
  <c r="J4550" i="29"/>
  <c r="J4535" i="29"/>
  <c r="W4535" i="29"/>
  <c r="T4528" i="29"/>
  <c r="S4528" i="29"/>
  <c r="T286" i="29"/>
  <c r="S286" i="29"/>
  <c r="T5157" i="29"/>
  <c r="J5157" i="29"/>
  <c r="K5157" i="29"/>
  <c r="S5157" i="29"/>
  <c r="T5245" i="29"/>
  <c r="W5245" i="29"/>
  <c r="S5245" i="29"/>
  <c r="T5379" i="29"/>
  <c r="S5379" i="29"/>
  <c r="K100" i="29"/>
  <c r="S590" i="29"/>
  <c r="S4539" i="29"/>
  <c r="S930" i="29"/>
  <c r="T930" i="29"/>
  <c r="W930" i="29"/>
  <c r="S395" i="29"/>
  <c r="T395" i="29"/>
  <c r="W395" i="29"/>
  <c r="U395" i="29"/>
  <c r="J207" i="29"/>
  <c r="W207" i="29"/>
  <c r="T5122" i="29"/>
  <c r="S5122" i="29"/>
  <c r="S5166" i="29"/>
  <c r="T5166" i="29"/>
  <c r="W5166" i="29"/>
  <c r="T5411" i="29"/>
  <c r="S5411" i="29"/>
  <c r="T5599" i="29"/>
  <c r="J5599" i="29"/>
  <c r="S5599" i="29"/>
  <c r="S5763" i="29"/>
  <c r="T5763" i="29"/>
  <c r="J5763" i="29"/>
  <c r="K5763" i="29"/>
  <c r="T5854" i="29"/>
  <c r="J5854" i="29"/>
  <c r="S5854" i="29"/>
  <c r="T5909" i="29"/>
  <c r="J5909" i="29"/>
  <c r="K5909" i="29"/>
  <c r="S5909" i="29"/>
  <c r="T5952" i="29"/>
  <c r="J5952" i="29"/>
  <c r="S5952" i="29"/>
  <c r="T5955" i="29"/>
  <c r="J5955" i="29"/>
  <c r="K5955" i="29"/>
  <c r="S5955" i="29"/>
  <c r="T3343" i="29"/>
  <c r="J3343" i="29"/>
  <c r="S3343" i="29"/>
  <c r="S3096" i="29"/>
  <c r="T3096" i="29"/>
  <c r="T7807" i="29"/>
  <c r="J7807" i="29"/>
  <c r="K7807" i="29"/>
  <c r="S7807" i="29"/>
  <c r="S4948" i="29"/>
  <c r="T3188" i="29"/>
  <c r="J3188" i="29"/>
  <c r="S4954" i="29"/>
  <c r="T4954" i="29"/>
  <c r="J4954" i="29"/>
  <c r="S7737" i="29"/>
  <c r="T7737" i="29"/>
  <c r="J7737" i="29"/>
  <c r="K7737" i="29"/>
  <c r="T5611" i="29"/>
  <c r="J5611" i="29"/>
  <c r="K5611" i="29"/>
  <c r="S5611" i="29"/>
  <c r="S5230" i="29"/>
  <c r="T5230" i="29"/>
  <c r="J5230" i="29"/>
  <c r="S5491" i="29"/>
  <c r="T5491" i="29"/>
  <c r="J5491" i="29"/>
  <c r="K5491" i="29"/>
  <c r="S4363" i="29"/>
  <c r="S3034" i="29"/>
  <c r="S3743" i="29"/>
  <c r="T3743" i="29"/>
  <c r="S3364" i="29"/>
  <c r="T3364" i="29"/>
  <c r="W3364" i="29"/>
  <c r="S3187" i="29"/>
  <c r="T3187" i="29"/>
  <c r="J3187" i="29"/>
  <c r="S303" i="29"/>
  <c r="T303" i="29"/>
  <c r="W303" i="29"/>
  <c r="U303" i="29"/>
  <c r="T5194" i="29"/>
  <c r="S5194" i="29"/>
  <c r="S5266" i="29"/>
  <c r="T5266" i="29"/>
  <c r="J5266" i="29"/>
  <c r="K5266" i="29"/>
  <c r="T5050" i="29"/>
  <c r="J5050" i="29"/>
  <c r="S5050" i="29"/>
  <c r="T6033" i="29"/>
  <c r="J6033" i="29"/>
  <c r="K6033" i="29"/>
  <c r="S6033" i="29"/>
  <c r="T6044" i="29"/>
  <c r="J6044" i="29"/>
  <c r="S6044" i="29"/>
  <c r="T6140" i="29"/>
  <c r="J6140" i="29"/>
  <c r="S6140" i="29"/>
  <c r="S3947" i="29"/>
  <c r="T4271" i="29"/>
  <c r="T5917" i="29"/>
  <c r="J5917" i="29"/>
  <c r="K5917" i="29"/>
  <c r="S4950" i="29"/>
  <c r="T4950" i="29"/>
  <c r="S4483" i="29"/>
  <c r="T4483" i="29"/>
  <c r="S1551" i="29"/>
  <c r="T1551" i="29"/>
  <c r="J1551" i="29"/>
  <c r="K1551" i="29"/>
  <c r="S1520" i="29"/>
  <c r="T1520" i="29"/>
  <c r="S4295" i="29"/>
  <c r="S6143" i="29"/>
  <c r="T460" i="29"/>
  <c r="W460" i="29"/>
  <c r="S4480" i="29"/>
  <c r="T3712" i="29"/>
  <c r="T5674" i="29"/>
  <c r="J5674" i="29"/>
  <c r="S5995" i="29"/>
  <c r="J221" i="29"/>
  <c r="W221" i="29"/>
  <c r="W63" i="29"/>
  <c r="J63" i="29"/>
  <c r="S5531" i="29"/>
  <c r="T5531" i="29"/>
  <c r="T7323" i="29"/>
  <c r="J7323" i="29"/>
  <c r="K7323" i="29"/>
  <c r="S7323" i="29"/>
  <c r="S5341" i="29"/>
  <c r="S987" i="29"/>
  <c r="T987" i="29"/>
  <c r="W987" i="29"/>
  <c r="T711" i="29"/>
  <c r="S711" i="29"/>
  <c r="S4242" i="29"/>
  <c r="T2973" i="29"/>
  <c r="J2973" i="29"/>
  <c r="K2973" i="29"/>
  <c r="S4036" i="29"/>
  <c r="S1701" i="29"/>
  <c r="T4951" i="29"/>
  <c r="W4951" i="29"/>
  <c r="T3556" i="29"/>
  <c r="W3556" i="29"/>
  <c r="T5654" i="29"/>
  <c r="J5654" i="29"/>
  <c r="K5654" i="29"/>
  <c r="S2424" i="29"/>
  <c r="W1218" i="29"/>
  <c r="T644" i="29"/>
  <c r="W644" i="29"/>
  <c r="U644" i="29"/>
  <c r="T5824" i="29"/>
  <c r="S5708" i="29"/>
  <c r="S5074" i="29"/>
  <c r="S5604" i="29"/>
  <c r="T4934" i="29"/>
  <c r="J4934" i="29"/>
  <c r="S4934" i="29"/>
  <c r="T4862" i="29"/>
  <c r="J4862" i="29"/>
  <c r="S4862" i="29"/>
  <c r="S2871" i="29"/>
  <c r="T2871" i="29"/>
  <c r="W2871" i="29"/>
  <c r="U2871" i="29"/>
  <c r="S2836" i="29"/>
  <c r="T2836" i="29"/>
  <c r="J2836" i="29"/>
  <c r="S2811" i="29"/>
  <c r="T2811" i="29"/>
  <c r="S2771" i="29"/>
  <c r="T2771" i="29"/>
  <c r="J2771" i="29"/>
  <c r="K2771" i="29"/>
  <c r="T2669" i="29"/>
  <c r="J2669" i="29"/>
  <c r="K2669" i="29"/>
  <c r="S2669" i="29"/>
  <c r="T2230" i="29"/>
  <c r="W2230" i="29"/>
  <c r="U2230" i="29"/>
  <c r="S2230" i="29"/>
  <c r="T2088" i="29"/>
  <c r="J2088" i="29"/>
  <c r="K2088" i="29"/>
  <c r="S2088" i="29"/>
  <c r="T2051" i="29"/>
  <c r="W2051" i="29"/>
  <c r="S2051" i="29"/>
  <c r="T2016" i="29"/>
  <c r="S2016" i="29"/>
  <c r="S1944" i="29"/>
  <c r="T1944" i="29"/>
  <c r="J1944" i="29"/>
  <c r="U1944" i="29"/>
  <c r="J6239" i="29"/>
  <c r="T6438" i="29"/>
  <c r="J6438" i="29"/>
  <c r="K6438" i="29"/>
  <c r="S6438" i="29"/>
  <c r="T6445" i="29"/>
  <c r="J6445" i="29"/>
  <c r="K6445" i="29"/>
  <c r="S6445" i="29"/>
  <c r="T6454" i="29"/>
  <c r="J6454" i="29"/>
  <c r="K6454" i="29"/>
  <c r="S6454" i="29"/>
  <c r="T4401" i="29"/>
  <c r="J4401" i="29"/>
  <c r="S4401" i="29"/>
  <c r="T3277" i="29"/>
  <c r="W3277" i="29"/>
  <c r="S2993" i="29"/>
  <c r="T2993" i="29"/>
  <c r="J2993" i="29"/>
  <c r="S5297" i="29"/>
  <c r="T5297" i="29"/>
  <c r="J5297" i="29"/>
  <c r="K5297" i="29"/>
  <c r="S6162" i="29"/>
  <c r="T6162" i="29"/>
  <c r="J6162" i="29"/>
  <c r="K6162" i="29"/>
  <c r="S4385" i="29"/>
  <c r="T5507" i="29"/>
  <c r="J5507" i="29"/>
  <c r="S4439" i="29"/>
  <c r="T4439" i="29"/>
  <c r="J4439" i="29"/>
  <c r="S4301" i="29"/>
  <c r="T4301" i="29"/>
  <c r="J4301" i="29"/>
  <c r="T4270" i="29"/>
  <c r="J4270" i="29"/>
  <c r="S4270" i="29"/>
  <c r="T3801" i="29"/>
  <c r="W3801" i="29"/>
  <c r="U3801" i="29"/>
  <c r="S3801" i="29"/>
  <c r="S3402" i="29"/>
  <c r="T3402" i="29"/>
  <c r="J3402" i="29"/>
  <c r="K3402" i="29"/>
  <c r="S5228" i="29"/>
  <c r="T5228" i="29"/>
  <c r="J5228" i="29"/>
  <c r="K5228" i="29"/>
  <c r="S5305" i="29"/>
  <c r="T5305" i="29"/>
  <c r="S5451" i="29"/>
  <c r="T5451" i="29"/>
  <c r="S5417" i="29"/>
  <c r="T5417" i="29"/>
  <c r="W5417" i="29"/>
  <c r="S6026" i="29"/>
  <c r="T6026" i="29"/>
  <c r="J6026" i="29"/>
  <c r="S6239" i="29"/>
  <c r="T2699" i="29"/>
  <c r="J2699" i="29"/>
  <c r="U2699" i="29"/>
  <c r="T5197" i="29"/>
  <c r="J5197" i="29"/>
  <c r="S4784" i="29"/>
  <c r="T4784" i="29"/>
  <c r="S2529" i="29"/>
  <c r="T2529" i="29"/>
  <c r="S1775" i="29"/>
  <c r="T1775" i="29"/>
  <c r="T3418" i="29"/>
  <c r="W3418" i="29"/>
  <c r="U3418" i="29"/>
  <c r="S4770" i="29"/>
  <c r="S1009" i="29"/>
  <c r="S4553" i="29"/>
  <c r="T6028" i="29"/>
  <c r="J6028" i="29"/>
  <c r="S6028" i="29"/>
  <c r="S8017" i="29"/>
  <c r="S744" i="29"/>
  <c r="T3318" i="29"/>
  <c r="W3318" i="29"/>
  <c r="T1607" i="29"/>
  <c r="W1607" i="29"/>
  <c r="S2775" i="29"/>
  <c r="T2775" i="29"/>
  <c r="J2775" i="29"/>
  <c r="K2775" i="29"/>
  <c r="S4649" i="29"/>
  <c r="T4863" i="29"/>
  <c r="J4863" i="29"/>
  <c r="S2743" i="29"/>
  <c r="W1384" i="29"/>
  <c r="T418" i="29"/>
  <c r="W418" i="29"/>
  <c r="S418" i="29"/>
  <c r="T6604" i="29"/>
  <c r="J6604" i="29"/>
  <c r="S6604" i="29"/>
  <c r="S6641" i="29"/>
  <c r="T6641" i="29"/>
  <c r="J6641" i="29"/>
  <c r="K6641" i="29"/>
  <c r="S5148" i="29"/>
  <c r="T5485" i="29"/>
  <c r="J5485" i="29"/>
  <c r="K5485" i="29"/>
  <c r="S903" i="29"/>
  <c r="T903" i="29"/>
  <c r="J903" i="29"/>
  <c r="T4585" i="29"/>
  <c r="J4585" i="29"/>
  <c r="S6045" i="29"/>
  <c r="T5051" i="29"/>
  <c r="J5051" i="29"/>
  <c r="K5051" i="29"/>
  <c r="S696" i="29"/>
  <c r="T5006" i="29"/>
  <c r="W5006" i="29"/>
  <c r="S2404" i="29"/>
  <c r="T3403" i="29"/>
  <c r="J3403" i="29"/>
  <c r="U3403" i="29"/>
  <c r="T1526" i="29"/>
  <c r="J1526" i="29"/>
  <c r="K1526" i="29"/>
  <c r="S6072" i="29"/>
  <c r="T1593" i="29"/>
  <c r="W1593" i="29"/>
  <c r="T2504" i="29"/>
  <c r="T4287" i="29"/>
  <c r="S4287" i="29"/>
  <c r="S4141" i="29"/>
  <c r="T4141" i="29"/>
  <c r="J4141" i="29"/>
  <c r="K4141" i="29"/>
  <c r="S4011" i="29"/>
  <c r="T4011" i="29"/>
  <c r="J4011" i="29"/>
  <c r="S3293" i="29"/>
  <c r="T3293" i="29"/>
  <c r="W3293" i="29"/>
  <c r="S3007" i="29"/>
  <c r="T3007" i="29"/>
  <c r="J3007" i="29"/>
  <c r="S2653" i="29"/>
  <c r="T2653" i="29"/>
  <c r="J2653" i="29"/>
  <c r="K2653" i="29"/>
  <c r="T2637" i="29"/>
  <c r="W2637" i="29"/>
  <c r="U2637" i="29"/>
  <c r="S2487" i="29"/>
  <c r="T2487" i="29"/>
  <c r="J2487" i="29"/>
  <c r="S2237" i="29"/>
  <c r="T2237" i="29"/>
  <c r="S2144" i="29"/>
  <c r="T1749" i="29"/>
  <c r="W1749" i="29"/>
  <c r="S1749" i="29"/>
  <c r="T1712" i="29"/>
  <c r="W1712" i="29"/>
  <c r="S1712" i="29"/>
  <c r="J1660" i="29"/>
  <c r="K1660" i="29"/>
  <c r="S1340" i="29"/>
  <c r="T1340" i="29"/>
  <c r="W1340" i="29"/>
  <c r="U1340" i="29"/>
  <c r="S1272" i="29"/>
  <c r="T1272" i="29"/>
  <c r="S1014" i="29"/>
  <c r="T1014" i="29"/>
  <c r="W1014" i="29"/>
  <c r="U1014" i="29"/>
  <c r="S915" i="29"/>
  <c r="T915" i="29"/>
  <c r="T789" i="29"/>
  <c r="S789" i="29"/>
  <c r="S726" i="29"/>
  <c r="T726" i="29"/>
  <c r="W726" i="29"/>
  <c r="T507" i="29"/>
  <c r="W507" i="29"/>
  <c r="S507" i="29"/>
  <c r="S357" i="29"/>
  <c r="T357" i="29"/>
  <c r="W357" i="29"/>
  <c r="T269" i="29"/>
  <c r="W269" i="29"/>
  <c r="S269" i="29"/>
  <c r="W84" i="29"/>
  <c r="T5528" i="29"/>
  <c r="W5528" i="29"/>
  <c r="S5528" i="29"/>
  <c r="S4296" i="29"/>
  <c r="T4296" i="29"/>
  <c r="J4296" i="29"/>
  <c r="T3340" i="29"/>
  <c r="J3340" i="29"/>
  <c r="U3340" i="29"/>
  <c r="S3340" i="29"/>
  <c r="T3141" i="29"/>
  <c r="S5619" i="29"/>
  <c r="T5619" i="29"/>
  <c r="J5619" i="29"/>
  <c r="K5619" i="29"/>
  <c r="T5739" i="29"/>
  <c r="J5739" i="29"/>
  <c r="K5739" i="29"/>
  <c r="S5739" i="29"/>
  <c r="S5747" i="29"/>
  <c r="T5747" i="29"/>
  <c r="J5747" i="29"/>
  <c r="K5747" i="29"/>
  <c r="T5771" i="29"/>
  <c r="J5771" i="29"/>
  <c r="K5771" i="29"/>
  <c r="S5771" i="29"/>
  <c r="T5791" i="29"/>
  <c r="J5791" i="29"/>
  <c r="K5791" i="29"/>
  <c r="S5791" i="29"/>
  <c r="W4665" i="29"/>
  <c r="S4360" i="29"/>
  <c r="S3421" i="29"/>
  <c r="T3421" i="29"/>
  <c r="J3421" i="29"/>
  <c r="S3222" i="29"/>
  <c r="S5969" i="29"/>
  <c r="T5969" i="29"/>
  <c r="J5969" i="29"/>
  <c r="U5969" i="29"/>
  <c r="T6172" i="29"/>
  <c r="J6172" i="29"/>
  <c r="S6172" i="29"/>
  <c r="T5049" i="29"/>
  <c r="J5049" i="29"/>
  <c r="S4268" i="29"/>
  <c r="T2427" i="29"/>
  <c r="S2427" i="29"/>
  <c r="S2180" i="29"/>
  <c r="T2180" i="29"/>
  <c r="J2180" i="29"/>
  <c r="S2825" i="29"/>
  <c r="T6017" i="29"/>
  <c r="J6017" i="29"/>
  <c r="K6017" i="29"/>
  <c r="S4926" i="29"/>
  <c r="T4926" i="29"/>
  <c r="J4926" i="29"/>
  <c r="S2963" i="29"/>
  <c r="T2963" i="29"/>
  <c r="J2963" i="29"/>
  <c r="S5664" i="29"/>
  <c r="T5664" i="29"/>
  <c r="J5664" i="29"/>
  <c r="K5664" i="29"/>
  <c r="S5902" i="29"/>
  <c r="T5902" i="29"/>
  <c r="J5902" i="29"/>
  <c r="K5902" i="29"/>
  <c r="T5229" i="29"/>
  <c r="J5229" i="29"/>
  <c r="S5229" i="29"/>
  <c r="S5428" i="29"/>
  <c r="T5428" i="29"/>
  <c r="J5428" i="29"/>
  <c r="K5428" i="29"/>
  <c r="T5928" i="29"/>
  <c r="J5928" i="29"/>
  <c r="U5928" i="29"/>
  <c r="S5928" i="29"/>
  <c r="T6506" i="29"/>
  <c r="J6506" i="29"/>
  <c r="K6506" i="29"/>
  <c r="J4915" i="29"/>
  <c r="S411" i="29"/>
  <c r="T4842" i="29"/>
  <c r="J4842" i="29"/>
  <c r="K4842" i="29"/>
  <c r="J156" i="29"/>
  <c r="S1137" i="29"/>
  <c r="T1137" i="29"/>
  <c r="T1464" i="29"/>
  <c r="J1464" i="29"/>
  <c r="K1464" i="29"/>
  <c r="S4853" i="29"/>
  <c r="T4782" i="29"/>
  <c r="J4782" i="29"/>
  <c r="S2507" i="29"/>
  <c r="J469" i="29"/>
  <c r="S4317" i="29"/>
  <c r="T555" i="29"/>
  <c r="W555" i="29"/>
  <c r="S1838" i="29"/>
  <c r="S2674" i="29"/>
  <c r="S4392" i="29"/>
  <c r="T4392" i="29"/>
  <c r="W4392" i="29"/>
  <c r="S3448" i="29"/>
  <c r="T3448" i="29"/>
  <c r="S3103" i="29"/>
  <c r="T3103" i="29"/>
  <c r="S2989" i="29"/>
  <c r="W25" i="29"/>
  <c r="U25" i="29"/>
  <c r="T334" i="29"/>
  <c r="W334" i="29"/>
  <c r="T2721" i="29"/>
  <c r="J2721" i="29"/>
  <c r="S4346" i="29"/>
  <c r="W260" i="29"/>
  <c r="U260" i="29"/>
  <c r="S2912" i="29"/>
  <c r="S3070" i="29"/>
  <c r="T2550" i="29"/>
  <c r="J2550" i="29"/>
  <c r="K2550" i="29"/>
  <c r="T645" i="29"/>
  <c r="W645" i="29"/>
  <c r="T3530" i="29"/>
  <c r="J3530" i="29"/>
  <c r="K3530" i="29"/>
  <c r="T3633" i="29"/>
  <c r="J3633" i="29"/>
  <c r="U3633" i="29"/>
  <c r="W572" i="29"/>
  <c r="U572" i="29"/>
  <c r="S3044" i="29"/>
  <c r="T2901" i="29"/>
  <c r="J2901" i="29"/>
  <c r="K2901" i="29"/>
  <c r="S4131" i="29"/>
  <c r="T5337" i="29"/>
  <c r="J5337" i="29"/>
  <c r="K5337" i="29"/>
  <c r="S5212" i="29"/>
  <c r="T3429" i="29"/>
  <c r="T5217" i="29"/>
  <c r="J5217" i="29"/>
  <c r="T1853" i="29"/>
  <c r="J1853" i="29"/>
  <c r="K1853" i="29"/>
  <c r="T1468" i="29"/>
  <c r="W1468" i="29"/>
  <c r="U1468" i="29"/>
  <c r="S4837" i="29"/>
  <c r="T4837" i="29"/>
  <c r="J4837" i="29"/>
  <c r="T4259" i="29"/>
  <c r="J4259" i="29"/>
  <c r="U4259" i="29"/>
  <c r="S4259" i="29"/>
  <c r="T4159" i="29"/>
  <c r="S4159" i="29"/>
  <c r="T4109" i="29"/>
  <c r="J4109" i="29"/>
  <c r="K4109" i="29"/>
  <c r="S4109" i="29"/>
  <c r="S3998" i="29"/>
  <c r="T3998" i="29"/>
  <c r="J3998" i="29"/>
  <c r="K3998" i="29"/>
  <c r="T3957" i="29"/>
  <c r="S3957" i="29"/>
  <c r="T3859" i="29"/>
  <c r="J3859" i="29"/>
  <c r="S3859" i="29"/>
  <c r="T3691" i="29"/>
  <c r="S3691" i="29"/>
  <c r="T3628" i="29"/>
  <c r="J3628" i="29"/>
  <c r="S3628" i="29"/>
  <c r="S3596" i="29"/>
  <c r="T3596" i="29"/>
  <c r="J3596" i="29"/>
  <c r="K3596" i="29"/>
  <c r="T3432" i="29"/>
  <c r="S3432" i="29"/>
  <c r="S3374" i="29"/>
  <c r="T3374" i="29"/>
  <c r="J3374" i="29"/>
  <c r="K3374" i="29"/>
  <c r="S3356" i="29"/>
  <c r="T3356" i="29"/>
  <c r="J3356" i="29"/>
  <c r="S3151" i="29"/>
  <c r="T3151" i="29"/>
  <c r="J3151" i="29"/>
  <c r="T3020" i="29"/>
  <c r="S2780" i="29"/>
  <c r="T2780" i="29"/>
  <c r="J2780" i="29"/>
  <c r="K2780" i="29"/>
  <c r="T2659" i="29"/>
  <c r="J2659" i="29"/>
  <c r="K2659" i="29"/>
  <c r="S2659" i="29"/>
  <c r="S2315" i="29"/>
  <c r="T2240" i="29"/>
  <c r="J2240" i="29"/>
  <c r="S2240" i="29"/>
  <c r="S2075" i="29"/>
  <c r="T2075" i="29"/>
  <c r="S4055" i="29"/>
  <c r="T4055" i="29"/>
  <c r="S4665" i="29"/>
  <c r="T2763" i="29"/>
  <c r="J2763" i="29"/>
  <c r="S2763" i="29"/>
  <c r="T5108" i="29"/>
  <c r="S5108" i="29"/>
  <c r="S5216" i="29"/>
  <c r="T5216" i="29"/>
  <c r="J5216" i="29"/>
  <c r="T6096" i="29"/>
  <c r="J6096" i="29"/>
  <c r="S6096" i="29"/>
  <c r="T6127" i="29"/>
  <c r="J6127" i="29"/>
  <c r="S6127" i="29"/>
  <c r="S6208" i="29"/>
  <c r="T6208" i="29"/>
  <c r="J6208" i="29"/>
  <c r="K6208" i="29"/>
  <c r="J249" i="29"/>
  <c r="W249" i="29"/>
  <c r="W1239" i="29"/>
  <c r="W1772" i="29"/>
  <c r="J1772" i="29"/>
  <c r="S1664" i="29"/>
  <c r="T1664" i="29"/>
  <c r="S5255" i="29"/>
  <c r="T3254" i="29"/>
  <c r="J3254" i="29"/>
  <c r="T4879" i="29"/>
  <c r="J4879" i="29"/>
  <c r="K4879" i="29"/>
  <c r="S4879" i="29"/>
  <c r="T4848" i="29"/>
  <c r="S4848" i="29"/>
  <c r="S2296" i="29"/>
  <c r="T2296" i="29"/>
  <c r="J2296" i="29"/>
  <c r="K2296" i="29"/>
  <c r="J148" i="29"/>
  <c r="K148" i="29"/>
  <c r="W148" i="29"/>
  <c r="J140" i="29"/>
  <c r="K140" i="29"/>
  <c r="W140" i="29"/>
  <c r="S5469" i="29"/>
  <c r="T5469" i="29"/>
  <c r="J5469" i="29"/>
  <c r="K5469" i="29"/>
  <c r="T335" i="29"/>
  <c r="W335" i="29"/>
  <c r="W213" i="29"/>
  <c r="U213" i="29"/>
  <c r="W2904" i="29"/>
  <c r="U2904" i="29"/>
  <c r="T348" i="29"/>
  <c r="W348" i="29"/>
  <c r="U348" i="29"/>
  <c r="T4020" i="29"/>
  <c r="J4020" i="29"/>
  <c r="U4020" i="29"/>
  <c r="S1876" i="29"/>
  <c r="T1876" i="29"/>
  <c r="W1876" i="29"/>
  <c r="S554" i="29"/>
  <c r="T554" i="29"/>
  <c r="W554" i="29"/>
  <c r="U554" i="29"/>
  <c r="V2973" i="29"/>
  <c r="S4795" i="29"/>
  <c r="S3071" i="29"/>
  <c r="S4664" i="29"/>
  <c r="S3938" i="29"/>
  <c r="T3938" i="29"/>
  <c r="J3938" i="29"/>
  <c r="T3856" i="29"/>
  <c r="S3856" i="29"/>
  <c r="S3549" i="29"/>
  <c r="T3549" i="29"/>
  <c r="J3549" i="29"/>
  <c r="J1517" i="29"/>
  <c r="T4384" i="29"/>
  <c r="T2651" i="29"/>
  <c r="J2651" i="29"/>
  <c r="K2651" i="29"/>
  <c r="S4572" i="29"/>
  <c r="T3229" i="29"/>
  <c r="T4415" i="29"/>
  <c r="J4415" i="29"/>
  <c r="K4415" i="29"/>
  <c r="W181" i="29"/>
  <c r="U181" i="29"/>
  <c r="T2342" i="29"/>
  <c r="W2129" i="29"/>
  <c r="U2129" i="29"/>
  <c r="S4325" i="29"/>
  <c r="W2218" i="29"/>
  <c r="T2343" i="29"/>
  <c r="T5912" i="29"/>
  <c r="J5912" i="29"/>
  <c r="K5912" i="29"/>
  <c r="V3254" i="29"/>
  <c r="T5492" i="29"/>
  <c r="J5492" i="29"/>
  <c r="T6023" i="29"/>
  <c r="J6023" i="29"/>
  <c r="K6023" i="29"/>
  <c r="T5591" i="29"/>
  <c r="J5591" i="29"/>
  <c r="K5591" i="29"/>
  <c r="T5156" i="29"/>
  <c r="J5156" i="29"/>
  <c r="S6057" i="29"/>
  <c r="T4236" i="29"/>
  <c r="S3960" i="29"/>
  <c r="T3960" i="29"/>
  <c r="J3960" i="29"/>
  <c r="K3960" i="29"/>
  <c r="S3941" i="29"/>
  <c r="S3881" i="29"/>
  <c r="T3881" i="29"/>
  <c r="J3881" i="29"/>
  <c r="K3787" i="29"/>
  <c r="T3223" i="29"/>
  <c r="S2955" i="29"/>
  <c r="T2955" i="29"/>
  <c r="J2925" i="29"/>
  <c r="K2925" i="29"/>
  <c r="S2895" i="29"/>
  <c r="T2895" i="29"/>
  <c r="S2738" i="29"/>
  <c r="T2738" i="29"/>
  <c r="J2738" i="29"/>
  <c r="T2719" i="29"/>
  <c r="S2719" i="29"/>
  <c r="S1810" i="29"/>
  <c r="T1810" i="29"/>
  <c r="J1810" i="29"/>
  <c r="S1703" i="29"/>
  <c r="T1703" i="29"/>
  <c r="W1703" i="29"/>
  <c r="S1528" i="29"/>
  <c r="T1528" i="29"/>
  <c r="J1528" i="29"/>
  <c r="K1528" i="29"/>
  <c r="S1285" i="29"/>
  <c r="T1285" i="29"/>
  <c r="W1285" i="29"/>
  <c r="K1163" i="29"/>
  <c r="K1117" i="29"/>
  <c r="T1029" i="29"/>
  <c r="W1029" i="29"/>
  <c r="S1029" i="29"/>
  <c r="S877" i="29"/>
  <c r="T877" i="29"/>
  <c r="T5208" i="29"/>
  <c r="S5208" i="29"/>
  <c r="J5418" i="29"/>
  <c r="K5418" i="29"/>
  <c r="T2003" i="29"/>
  <c r="W2003" i="29"/>
  <c r="S2003" i="29"/>
  <c r="T1991" i="29"/>
  <c r="J1991" i="29"/>
  <c r="S1991" i="29"/>
  <c r="S1953" i="29"/>
  <c r="T1953" i="29"/>
  <c r="T1924" i="29"/>
  <c r="S1924" i="29"/>
  <c r="W1177" i="29"/>
  <c r="W1146" i="29"/>
  <c r="J1143" i="29"/>
  <c r="K1143" i="29"/>
  <c r="T980" i="29"/>
  <c r="W980" i="29"/>
  <c r="S980" i="29"/>
  <c r="S659" i="29"/>
  <c r="T659" i="29"/>
  <c r="W659" i="29"/>
  <c r="U659" i="29"/>
  <c r="S617" i="29"/>
  <c r="T617" i="29"/>
  <c r="W617" i="29"/>
  <c r="U617" i="29"/>
  <c r="T279" i="29"/>
  <c r="W279" i="29"/>
  <c r="U279" i="29"/>
  <c r="S279" i="29"/>
  <c r="W223" i="29"/>
  <c r="W134" i="29"/>
  <c r="K87" i="29"/>
  <c r="W65" i="29"/>
  <c r="U65" i="29"/>
  <c r="W51" i="29"/>
  <c r="W43" i="29"/>
  <c r="W27" i="29"/>
  <c r="W19" i="29"/>
  <c r="W11" i="29"/>
  <c r="J5139" i="29"/>
  <c r="W5352" i="29"/>
  <c r="S6991" i="29"/>
  <c r="S4630" i="29"/>
  <c r="T4630" i="29"/>
  <c r="J4630" i="29"/>
  <c r="K4630" i="29"/>
  <c r="T4559" i="29"/>
  <c r="J4559" i="29"/>
  <c r="S4559" i="29"/>
  <c r="T4487" i="29"/>
  <c r="J4487" i="29"/>
  <c r="K4487" i="29"/>
  <c r="S4487" i="29"/>
  <c r="T4388" i="29"/>
  <c r="J4388" i="29"/>
  <c r="S4388" i="29"/>
  <c r="W4014" i="29"/>
  <c r="J3991" i="29"/>
  <c r="K3991" i="29"/>
  <c r="J3312" i="29"/>
  <c r="U3312" i="29"/>
  <c r="S3232" i="29"/>
  <c r="T3232" i="29"/>
  <c r="K2057" i="29"/>
  <c r="J2035" i="29"/>
  <c r="T1509" i="29"/>
  <c r="J1509" i="29"/>
  <c r="S1509" i="29"/>
  <c r="K1436" i="29"/>
  <c r="K1394" i="29"/>
  <c r="W1391" i="29"/>
  <c r="K1279" i="29"/>
  <c r="K1042" i="29"/>
  <c r="W1026" i="29"/>
  <c r="W936" i="29"/>
  <c r="T550" i="29"/>
  <c r="W550" i="29"/>
  <c r="U550" i="29"/>
  <c r="S550" i="29"/>
  <c r="S347" i="29"/>
  <c r="T347" i="29"/>
  <c r="S333" i="29"/>
  <c r="T333" i="29"/>
  <c r="W333" i="29"/>
  <c r="S6098" i="29"/>
  <c r="T6098" i="29"/>
  <c r="J6098" i="29"/>
  <c r="K6098" i="29"/>
  <c r="S6145" i="29"/>
  <c r="T6145" i="29"/>
  <c r="J6145" i="29"/>
  <c r="K6145" i="29"/>
  <c r="S6856" i="29"/>
  <c r="T6856" i="29"/>
  <c r="J6856" i="29"/>
  <c r="K6856" i="29"/>
  <c r="T1961" i="29"/>
  <c r="J1961" i="29"/>
  <c r="J4545" i="29"/>
  <c r="K4545" i="29"/>
  <c r="S4391" i="29"/>
  <c r="T4391" i="29"/>
  <c r="W3826" i="29"/>
  <c r="J3324" i="29"/>
  <c r="T2709" i="29"/>
  <c r="W2709" i="29"/>
  <c r="S2709" i="29"/>
  <c r="J2684" i="29"/>
  <c r="K2684" i="29"/>
  <c r="W2372" i="29"/>
  <c r="W1364" i="29"/>
  <c r="J1300" i="29"/>
  <c r="S1250" i="29"/>
  <c r="T1250" i="29"/>
  <c r="W1250" i="29"/>
  <c r="W1219" i="29"/>
  <c r="J1219" i="29"/>
  <c r="W1168" i="29"/>
  <c r="S1041" i="29"/>
  <c r="T1041" i="29"/>
  <c r="S938" i="29"/>
  <c r="T938" i="29"/>
  <c r="W938" i="29"/>
  <c r="T607" i="29"/>
  <c r="W607" i="29"/>
  <c r="U607" i="29"/>
  <c r="S607" i="29"/>
  <c r="S6052" i="29"/>
  <c r="T6052" i="29"/>
  <c r="T6441" i="29"/>
  <c r="J6441" i="29"/>
  <c r="K6441" i="29"/>
  <c r="S6441" i="29"/>
  <c r="T6455" i="29"/>
  <c r="J6455" i="29"/>
  <c r="K6455" i="29"/>
  <c r="S6455" i="29"/>
  <c r="J3301" i="29"/>
  <c r="K3301" i="29"/>
  <c r="T1798" i="29"/>
  <c r="J1798" i="29"/>
  <c r="S4548" i="29"/>
  <c r="T4548" i="29"/>
  <c r="J4548" i="29"/>
  <c r="S4261" i="29"/>
  <c r="T4261" i="29"/>
  <c r="J4261" i="29"/>
  <c r="K4261" i="29"/>
  <c r="S4251" i="29"/>
  <c r="T4251" i="29"/>
  <c r="S4158" i="29"/>
  <c r="T4158" i="29"/>
  <c r="S3535" i="29"/>
  <c r="T3535" i="29"/>
  <c r="J3535" i="29"/>
  <c r="U3535" i="29"/>
  <c r="S3409" i="29"/>
  <c r="T2392" i="29"/>
  <c r="J2392" i="29"/>
  <c r="K2392" i="29"/>
  <c r="S2392" i="29"/>
  <c r="J1795" i="29"/>
  <c r="S1776" i="29"/>
  <c r="T1776" i="29"/>
  <c r="W1727" i="29"/>
  <c r="T1170" i="29"/>
  <c r="W1170" i="29"/>
  <c r="U1170" i="29"/>
  <c r="S1170" i="29"/>
  <c r="T1139" i="29"/>
  <c r="S1139" i="29"/>
  <c r="T5968" i="29"/>
  <c r="J5968" i="29"/>
  <c r="S5968" i="29"/>
  <c r="S5990" i="29"/>
  <c r="T5990" i="29"/>
  <c r="J5990" i="29"/>
  <c r="J3347" i="29"/>
  <c r="K3347" i="29"/>
  <c r="W3297" i="29"/>
  <c r="T1841" i="29"/>
  <c r="J1841" i="29"/>
  <c r="S4694" i="29"/>
  <c r="J4694" i="29"/>
  <c r="K4694" i="29"/>
  <c r="T4694" i="29"/>
  <c r="T4568" i="29"/>
  <c r="J4568" i="29"/>
  <c r="S4568" i="29"/>
  <c r="S4314" i="29"/>
  <c r="T4314" i="29"/>
  <c r="J4314" i="29"/>
  <c r="K4314" i="29"/>
  <c r="T3538" i="29"/>
  <c r="J3538" i="29"/>
  <c r="S3538" i="29"/>
  <c r="K3488" i="29"/>
  <c r="T2948" i="29"/>
  <c r="K2832" i="29"/>
  <c r="S2744" i="29"/>
  <c r="T2744" i="29"/>
  <c r="W2744" i="29"/>
  <c r="U2744" i="29"/>
  <c r="S5656" i="29"/>
  <c r="T5656" i="29"/>
  <c r="J5656" i="29"/>
  <c r="T5666" i="29"/>
  <c r="J5666" i="29"/>
  <c r="K5666" i="29"/>
  <c r="S5666" i="29"/>
  <c r="T5731" i="29"/>
  <c r="J5731" i="29"/>
  <c r="K5731" i="29"/>
  <c r="S5731" i="29"/>
  <c r="S5842" i="29"/>
  <c r="T5842" i="29"/>
  <c r="J5842" i="29"/>
  <c r="K5842" i="29"/>
  <c r="T5862" i="29"/>
  <c r="J5862" i="29"/>
  <c r="K5862" i="29"/>
  <c r="S5862" i="29"/>
  <c r="T5876" i="29"/>
  <c r="J5876" i="29"/>
  <c r="K5876" i="29"/>
  <c r="S5876" i="29"/>
  <c r="S5477" i="29"/>
  <c r="T5477" i="29"/>
  <c r="J5477" i="29"/>
  <c r="K5477" i="29"/>
  <c r="S5777" i="29"/>
  <c r="T5777" i="29"/>
  <c r="J5777" i="29"/>
  <c r="T5907" i="29"/>
  <c r="J5907" i="29"/>
  <c r="K5907" i="29"/>
  <c r="S5907" i="29"/>
  <c r="S7774" i="29"/>
  <c r="T7774" i="29"/>
  <c r="J7774" i="29"/>
  <c r="T969" i="29"/>
  <c r="W969" i="29"/>
  <c r="U969" i="29"/>
  <c r="K493" i="29"/>
  <c r="S5191" i="29"/>
  <c r="T5191" i="29"/>
  <c r="J5191" i="29"/>
  <c r="S5279" i="29"/>
  <c r="T5279" i="29"/>
  <c r="S5327" i="29"/>
  <c r="T5327" i="29"/>
  <c r="T5067" i="29"/>
  <c r="J5067" i="29"/>
  <c r="K5067" i="29"/>
  <c r="S5067" i="29"/>
  <c r="S5695" i="29"/>
  <c r="T5695" i="29"/>
  <c r="T5987" i="29"/>
  <c r="J5987" i="29"/>
  <c r="K5987" i="29"/>
  <c r="S5987" i="29"/>
  <c r="S6158" i="29"/>
  <c r="T6158" i="29"/>
  <c r="J6158" i="29"/>
  <c r="K6158" i="29"/>
  <c r="S6243" i="29"/>
  <c r="T6243" i="29"/>
  <c r="J6243" i="29"/>
  <c r="K6243" i="29"/>
  <c r="W4683" i="29"/>
  <c r="T4129" i="29"/>
  <c r="W4129" i="29"/>
  <c r="S4129" i="29"/>
  <c r="T3059" i="29"/>
  <c r="W3059" i="29"/>
  <c r="S3059" i="29"/>
  <c r="J2992" i="29"/>
  <c r="K2992" i="29"/>
  <c r="S2330" i="29"/>
  <c r="T1826" i="29"/>
  <c r="J1826" i="29"/>
  <c r="S1826" i="29"/>
  <c r="W1661" i="29"/>
  <c r="K496" i="29"/>
  <c r="W238" i="29"/>
  <c r="W230" i="29"/>
  <c r="J205" i="29"/>
  <c r="K205" i="29"/>
  <c r="W205" i="29"/>
  <c r="W172" i="29"/>
  <c r="U172" i="29"/>
  <c r="T5065" i="29"/>
  <c r="J5065" i="29"/>
  <c r="S5065" i="29"/>
  <c r="S5187" i="29"/>
  <c r="T5187" i="29"/>
  <c r="J5187" i="29"/>
  <c r="T7542" i="29"/>
  <c r="W7542" i="29"/>
  <c r="S7542" i="29"/>
  <c r="W4884" i="29"/>
  <c r="T3502" i="29"/>
  <c r="J3502" i="29"/>
  <c r="U3502" i="29"/>
  <c r="S3502" i="29"/>
  <c r="S2605" i="29"/>
  <c r="T2605" i="29"/>
  <c r="J2605" i="29"/>
  <c r="K2605" i="29"/>
  <c r="J2014" i="29"/>
  <c r="K2014" i="29"/>
  <c r="J2004" i="29"/>
  <c r="K2004" i="29"/>
  <c r="W1980" i="29"/>
  <c r="W1962" i="29"/>
  <c r="W1959" i="29"/>
  <c r="W1799" i="29"/>
  <c r="W1688" i="29"/>
  <c r="W1209" i="29"/>
  <c r="W1121" i="29"/>
  <c r="T602" i="29"/>
  <c r="W602" i="29"/>
  <c r="U602" i="29"/>
  <c r="S602" i="29"/>
  <c r="S571" i="29"/>
  <c r="T358" i="29"/>
  <c r="W358" i="29"/>
  <c r="S358" i="29"/>
  <c r="W232" i="29"/>
  <c r="U232" i="29"/>
  <c r="W12" i="29"/>
  <c r="S5169" i="29"/>
  <c r="T5169" i="29"/>
  <c r="S5472" i="29"/>
  <c r="T5472" i="29"/>
  <c r="J5472" i="29"/>
  <c r="K5472" i="29"/>
  <c r="T5728" i="29"/>
  <c r="J5728" i="29"/>
  <c r="K5728" i="29"/>
  <c r="S5728" i="29"/>
  <c r="T5762" i="29"/>
  <c r="J5762" i="29"/>
  <c r="K5762" i="29"/>
  <c r="S5762" i="29"/>
  <c r="T6152" i="29"/>
  <c r="J6152" i="29"/>
  <c r="K6152" i="29"/>
  <c r="S6152" i="29"/>
  <c r="T3049" i="29"/>
  <c r="J3049" i="29"/>
  <c r="S3049" i="29"/>
  <c r="W2045" i="29"/>
  <c r="S1762" i="29"/>
  <c r="T1762" i="29"/>
  <c r="S1606" i="29"/>
  <c r="T1606" i="29"/>
  <c r="T1584" i="29"/>
  <c r="W1584" i="29"/>
  <c r="U1584" i="29"/>
  <c r="K1569" i="29"/>
  <c r="W1386" i="29"/>
  <c r="J1304" i="29"/>
  <c r="K1270" i="29"/>
  <c r="W428" i="29"/>
  <c r="K425" i="29"/>
  <c r="K399" i="29"/>
  <c r="W396" i="29"/>
  <c r="W218" i="29"/>
  <c r="U218" i="29"/>
  <c r="W210" i="29"/>
  <c r="U210" i="29"/>
  <c r="W185" i="29"/>
  <c r="S5311" i="29"/>
  <c r="T5311" i="29"/>
  <c r="J5311" i="29"/>
  <c r="U5311" i="29"/>
  <c r="T5396" i="29"/>
  <c r="W5396" i="29"/>
  <c r="S5396" i="29"/>
  <c r="S5620" i="29"/>
  <c r="T5620" i="29"/>
  <c r="J5620" i="29"/>
  <c r="K5620" i="29"/>
  <c r="T5940" i="29"/>
  <c r="J5940" i="29"/>
  <c r="S5940" i="29"/>
  <c r="T6149" i="29"/>
  <c r="J6149" i="29"/>
  <c r="K6149" i="29"/>
  <c r="S6149" i="29"/>
  <c r="J8089" i="29"/>
  <c r="K8089" i="29"/>
  <c r="W391" i="29"/>
  <c r="K292" i="29"/>
  <c r="W234" i="29"/>
  <c r="U234" i="29"/>
  <c r="W123" i="29"/>
  <c r="W106" i="29"/>
  <c r="W98" i="29"/>
  <c r="J5498" i="29"/>
  <c r="K5498" i="29"/>
  <c r="J6125" i="29"/>
  <c r="J6396" i="29"/>
  <c r="K6396" i="29"/>
  <c r="W604" i="29"/>
  <c r="J163" i="29"/>
  <c r="W155" i="29"/>
  <c r="J131" i="29"/>
  <c r="W70" i="29"/>
  <c r="W56" i="29"/>
  <c r="W40" i="29"/>
  <c r="T6949" i="29"/>
  <c r="J4977" i="29"/>
  <c r="K4977" i="29"/>
  <c r="W1090" i="29"/>
  <c r="U1090" i="29"/>
  <c r="S4458" i="29"/>
  <c r="S2483" i="29"/>
  <c r="W2254" i="29"/>
  <c r="J2165" i="29"/>
  <c r="K2165" i="29"/>
  <c r="W2131" i="29"/>
  <c r="J1942" i="29"/>
  <c r="K1770" i="29"/>
  <c r="W1751" i="29"/>
  <c r="U1751" i="29"/>
  <c r="J1423" i="29"/>
  <c r="K458" i="29"/>
  <c r="K423" i="29"/>
  <c r="K420" i="29"/>
  <c r="K382" i="29"/>
  <c r="K301" i="29"/>
  <c r="W165" i="29"/>
  <c r="U165" i="29"/>
  <c r="W26" i="29"/>
  <c r="J5822" i="29"/>
  <c r="K5822" i="29"/>
  <c r="J7598" i="29"/>
  <c r="K7598" i="29"/>
  <c r="J2364" i="29"/>
  <c r="K2364" i="29"/>
  <c r="W1917" i="29"/>
  <c r="J1481" i="29"/>
  <c r="W816" i="29"/>
  <c r="W600" i="29"/>
  <c r="W97" i="29"/>
  <c r="U97" i="29"/>
  <c r="W80" i="29"/>
  <c r="W5255" i="29"/>
  <c r="J6879" i="29"/>
  <c r="K6879" i="29"/>
  <c r="W5001" i="29"/>
  <c r="J4898" i="29"/>
  <c r="U4898" i="29"/>
  <c r="J4770" i="29"/>
  <c r="J4664" i="29"/>
  <c r="K4664" i="29"/>
  <c r="W4571" i="29"/>
  <c r="J4346" i="29"/>
  <c r="J4139" i="29"/>
  <c r="W3461" i="29"/>
  <c r="K1742" i="29"/>
  <c r="W246" i="29"/>
  <c r="U246" i="29"/>
  <c r="K203" i="29"/>
  <c r="W69" i="29"/>
  <c r="W55" i="29"/>
  <c r="W31" i="29"/>
  <c r="W23" i="29"/>
  <c r="W15" i="29"/>
  <c r="J5241" i="29"/>
  <c r="K5241" i="29"/>
  <c r="S3890" i="29"/>
  <c r="T3602" i="29"/>
  <c r="J3602" i="29"/>
  <c r="S880" i="29"/>
  <c r="S7532" i="29"/>
  <c r="T7532" i="29"/>
  <c r="J7532" i="29"/>
  <c r="K7532" i="29"/>
  <c r="T1415" i="29"/>
  <c r="T3802" i="29"/>
  <c r="J3802" i="29"/>
  <c r="T948" i="29"/>
  <c r="W948" i="29"/>
  <c r="U948" i="29"/>
  <c r="T440" i="29"/>
  <c r="W440" i="29"/>
  <c r="U440" i="29"/>
  <c r="S440" i="29"/>
  <c r="S1388" i="29"/>
  <c r="T1388" i="29"/>
  <c r="T1251" i="29"/>
  <c r="S1251" i="29"/>
  <c r="T1095" i="29"/>
  <c r="W1095" i="29"/>
  <c r="S1095" i="29"/>
  <c r="T1061" i="29"/>
  <c r="J1061" i="29"/>
  <c r="K1061" i="29"/>
  <c r="S1061" i="29"/>
  <c r="S939" i="29"/>
  <c r="T939" i="29"/>
  <c r="W939" i="29"/>
  <c r="U939" i="29"/>
  <c r="S749" i="29"/>
  <c r="T749" i="29"/>
  <c r="W749" i="29"/>
  <c r="T708" i="29"/>
  <c r="W708" i="29"/>
  <c r="S708" i="29"/>
  <c r="S669" i="29"/>
  <c r="T669" i="29"/>
  <c r="W669" i="29"/>
  <c r="T640" i="29"/>
  <c r="W640" i="29"/>
  <c r="S640" i="29"/>
  <c r="S624" i="29"/>
  <c r="T624" i="29"/>
  <c r="W624" i="29"/>
  <c r="S608" i="29"/>
  <c r="T608" i="29"/>
  <c r="W608" i="29"/>
  <c r="T589" i="29"/>
  <c r="W589" i="29"/>
  <c r="J589" i="29"/>
  <c r="S589" i="29"/>
  <c r="S557" i="29"/>
  <c r="T557" i="29"/>
  <c r="W557" i="29"/>
  <c r="S7547" i="29"/>
  <c r="T7547" i="29"/>
  <c r="J7547" i="29"/>
  <c r="K7547" i="29"/>
  <c r="S7913" i="29"/>
  <c r="T7913" i="29"/>
  <c r="J7913" i="29"/>
  <c r="T5783" i="29"/>
  <c r="J5783" i="29"/>
  <c r="S3833" i="29"/>
  <c r="T3833" i="29"/>
  <c r="J3833" i="29"/>
  <c r="K3833" i="29"/>
  <c r="T3764" i="29"/>
  <c r="J3764" i="29"/>
  <c r="S3764" i="29"/>
  <c r="K3407" i="29"/>
  <c r="S3365" i="29"/>
  <c r="S3362" i="29"/>
  <c r="T3362" i="29"/>
  <c r="S3315" i="29"/>
  <c r="T3315" i="29"/>
  <c r="J3315" i="29"/>
  <c r="T3252" i="29"/>
  <c r="J3252" i="29"/>
  <c r="K3252" i="29"/>
  <c r="S3252" i="29"/>
  <c r="T3211" i="29"/>
  <c r="J3211" i="29"/>
  <c r="K3211" i="29"/>
  <c r="S3211" i="29"/>
  <c r="S3154" i="29"/>
  <c r="T3154" i="29"/>
  <c r="J3154" i="29"/>
  <c r="K3154" i="29"/>
  <c r="S3068" i="29"/>
  <c r="T3068" i="29"/>
  <c r="J3068" i="29"/>
  <c r="S3017" i="29"/>
  <c r="T3017" i="29"/>
  <c r="J3017" i="29"/>
  <c r="S2915" i="29"/>
  <c r="T2915" i="29"/>
  <c r="W2915" i="29"/>
  <c r="J2726" i="29"/>
  <c r="K2726" i="29"/>
  <c r="W2726" i="29"/>
  <c r="S2672" i="29"/>
  <c r="T2672" i="29"/>
  <c r="S2592" i="29"/>
  <c r="T2592" i="29"/>
  <c r="S1412" i="29"/>
  <c r="T1412" i="29"/>
  <c r="W1412" i="29"/>
  <c r="T1171" i="29"/>
  <c r="W1171" i="29"/>
  <c r="U1171" i="29"/>
  <c r="S1171" i="29"/>
  <c r="W1140" i="29"/>
  <c r="J1140" i="29"/>
  <c r="T871" i="29"/>
  <c r="S871" i="29"/>
  <c r="S3887" i="29"/>
  <c r="T3887" i="29"/>
  <c r="J3887" i="29"/>
  <c r="S3868" i="29"/>
  <c r="T3868" i="29"/>
  <c r="J3868" i="29"/>
  <c r="K3868" i="29"/>
  <c r="S3453" i="29"/>
  <c r="T3453" i="29"/>
  <c r="J3453" i="29"/>
  <c r="S1439" i="29"/>
  <c r="T1439" i="29"/>
  <c r="J1439" i="29"/>
  <c r="T1104" i="29"/>
  <c r="W1104" i="29"/>
  <c r="U1104" i="29"/>
  <c r="S1104" i="29"/>
  <c r="S5853" i="29"/>
  <c r="T5853" i="29"/>
  <c r="J5853" i="29"/>
  <c r="K5853" i="29"/>
  <c r="S6207" i="29"/>
  <c r="T6207" i="29"/>
  <c r="J6207" i="29"/>
  <c r="K6207" i="29"/>
  <c r="S6273" i="29"/>
  <c r="T6273" i="29"/>
  <c r="J6273" i="29"/>
  <c r="K6273" i="29"/>
  <c r="T6330" i="29"/>
  <c r="J6330" i="29"/>
  <c r="K6330" i="29"/>
  <c r="S6330" i="29"/>
  <c r="S6340" i="29"/>
  <c r="T6340" i="29"/>
  <c r="J6340" i="29"/>
  <c r="K6340" i="29"/>
  <c r="T6348" i="29"/>
  <c r="J6348" i="29"/>
  <c r="K6348" i="29"/>
  <c r="S6348" i="29"/>
  <c r="S6363" i="29"/>
  <c r="T6363" i="29"/>
  <c r="J6363" i="29"/>
  <c r="K6363" i="29"/>
  <c r="T6379" i="29"/>
  <c r="J6379" i="29"/>
  <c r="S6379" i="29"/>
  <c r="T6399" i="29"/>
  <c r="J6399" i="29"/>
  <c r="K6399" i="29"/>
  <c r="S6399" i="29"/>
  <c r="T6461" i="29"/>
  <c r="J6461" i="29"/>
  <c r="K6461" i="29"/>
  <c r="S6461" i="29"/>
  <c r="T6491" i="29"/>
  <c r="J6491" i="29"/>
  <c r="S6491" i="29"/>
  <c r="T6505" i="29"/>
  <c r="J6505" i="29"/>
  <c r="S6505" i="29"/>
  <c r="T6523" i="29"/>
  <c r="J6523" i="29"/>
  <c r="K6523" i="29"/>
  <c r="S6523" i="29"/>
  <c r="T7596" i="29"/>
  <c r="J7596" i="29"/>
  <c r="K7596" i="29"/>
  <c r="T5582" i="29"/>
  <c r="J5582" i="29"/>
  <c r="K5582" i="29"/>
  <c r="S5582" i="29"/>
  <c r="T3918" i="29"/>
  <c r="J3918" i="29"/>
  <c r="K3918" i="29"/>
  <c r="T1956" i="29"/>
  <c r="J1956" i="29"/>
  <c r="U1956" i="29"/>
  <c r="S1956" i="29"/>
  <c r="T1324" i="29"/>
  <c r="S1324" i="29"/>
  <c r="J1303" i="29"/>
  <c r="W1303" i="29"/>
  <c r="S1290" i="29"/>
  <c r="T1290" i="29"/>
  <c r="J142" i="29"/>
  <c r="W142" i="29"/>
  <c r="J117" i="29"/>
  <c r="K117" i="29"/>
  <c r="W117" i="29"/>
  <c r="D77" i="30"/>
  <c r="J2923" i="29"/>
  <c r="D74" i="30"/>
  <c r="J17" i="29"/>
  <c r="T5163" i="29"/>
  <c r="J5163" i="29"/>
  <c r="S5163" i="29"/>
  <c r="S5268" i="29"/>
  <c r="T5268" i="29"/>
  <c r="W5278" i="29"/>
  <c r="J5278" i="29"/>
  <c r="S5424" i="29"/>
  <c r="T5424" i="29"/>
  <c r="S5467" i="29"/>
  <c r="T5467" i="29"/>
  <c r="J5467" i="29"/>
  <c r="K5467" i="29"/>
  <c r="T5533" i="29"/>
  <c r="S5533" i="29"/>
  <c r="T5547" i="29"/>
  <c r="J5547" i="29"/>
  <c r="S5547" i="29"/>
  <c r="T6104" i="29"/>
  <c r="J6104" i="29"/>
  <c r="S6104" i="29"/>
  <c r="S6107" i="29"/>
  <c r="T6107" i="29"/>
  <c r="J6107" i="29"/>
  <c r="T6083" i="29"/>
  <c r="J6083" i="29"/>
  <c r="S6083" i="29"/>
  <c r="T6112" i="29"/>
  <c r="J6112" i="29"/>
  <c r="S6112" i="29"/>
  <c r="S6237" i="29"/>
  <c r="T6237" i="29"/>
  <c r="J6237" i="29"/>
  <c r="S6222" i="29"/>
  <c r="T6222" i="29"/>
  <c r="J6222" i="29"/>
  <c r="S6206" i="29"/>
  <c r="T6206" i="29"/>
  <c r="J6206" i="29"/>
  <c r="K6206" i="29"/>
  <c r="T6304" i="29"/>
  <c r="J6304" i="29"/>
  <c r="S6304" i="29"/>
  <c r="S6287" i="29"/>
  <c r="T6287" i="29"/>
  <c r="J6287" i="29"/>
  <c r="S6272" i="29"/>
  <c r="T6272" i="29"/>
  <c r="J6272" i="29"/>
  <c r="K6272" i="29"/>
  <c r="S6327" i="29"/>
  <c r="T6327" i="29"/>
  <c r="S6360" i="29"/>
  <c r="T6360" i="29"/>
  <c r="J6360" i="29"/>
  <c r="K6360" i="29"/>
  <c r="T6376" i="29"/>
  <c r="J6376" i="29"/>
  <c r="S6376" i="29"/>
  <c r="T6383" i="29"/>
  <c r="J6383" i="29"/>
  <c r="K6383" i="29"/>
  <c r="S6383" i="29"/>
  <c r="T6452" i="29"/>
  <c r="J6452" i="29"/>
  <c r="K6452" i="29"/>
  <c r="S6452" i="29"/>
  <c r="S7000" i="29"/>
  <c r="T7000" i="29"/>
  <c r="J7000" i="29"/>
  <c r="K7000" i="29"/>
  <c r="T6577" i="29"/>
  <c r="J6577" i="29"/>
  <c r="U6577" i="29"/>
  <c r="S6577" i="29"/>
  <c r="T6597" i="29"/>
  <c r="J6597" i="29"/>
  <c r="K6597" i="29"/>
  <c r="S6597" i="29"/>
  <c r="S1325" i="29"/>
  <c r="T3861" i="29"/>
  <c r="S3861" i="29"/>
  <c r="T3845" i="29"/>
  <c r="J3845" i="29"/>
  <c r="K3845" i="29"/>
  <c r="S3845" i="29"/>
  <c r="S3842" i="29"/>
  <c r="T3842" i="29"/>
  <c r="W3842" i="29"/>
  <c r="S3798" i="29"/>
  <c r="T3798" i="29"/>
  <c r="J3798" i="29"/>
  <c r="T3763" i="29"/>
  <c r="J3763" i="29"/>
  <c r="S3763" i="29"/>
  <c r="S2178" i="29"/>
  <c r="T2178" i="29"/>
  <c r="J2178" i="29"/>
  <c r="T2162" i="29"/>
  <c r="S2162" i="29"/>
  <c r="S2143" i="29"/>
  <c r="T2143" i="29"/>
  <c r="W2143" i="29"/>
  <c r="U2143" i="29"/>
  <c r="S2103" i="29"/>
  <c r="T2103" i="29"/>
  <c r="S2034" i="29"/>
  <c r="T2034" i="29"/>
  <c r="T2015" i="29"/>
  <c r="S2015" i="29"/>
  <c r="T1635" i="29"/>
  <c r="S1635" i="29"/>
  <c r="T1626" i="29"/>
  <c r="W1626" i="29"/>
  <c r="S1626" i="29"/>
  <c r="T5598" i="29"/>
  <c r="J5598" i="29"/>
  <c r="K5598" i="29"/>
  <c r="S5598" i="29"/>
  <c r="S7033" i="29"/>
  <c r="T7033" i="29"/>
  <c r="J7033" i="29"/>
  <c r="T7862" i="29"/>
  <c r="J7862" i="29"/>
  <c r="K7862" i="29"/>
  <c r="S7862" i="29"/>
  <c r="S4086" i="29"/>
  <c r="T4086" i="29"/>
  <c r="J4086" i="29"/>
  <c r="K4086" i="29"/>
  <c r="T3978" i="29"/>
  <c r="S3978" i="29"/>
  <c r="T3972" i="29"/>
  <c r="J3972" i="29"/>
  <c r="S3972" i="29"/>
  <c r="S3570" i="29"/>
  <c r="T3770" i="29"/>
  <c r="J3770" i="29"/>
  <c r="K3770" i="29"/>
  <c r="S3684" i="29"/>
  <c r="T6257" i="29"/>
  <c r="J6257" i="29"/>
  <c r="K6257" i="29"/>
  <c r="S472" i="29"/>
  <c r="T3799" i="29"/>
  <c r="J3799" i="29"/>
  <c r="J5883" i="29"/>
  <c r="T5550" i="29"/>
  <c r="J5550" i="29"/>
  <c r="K5550" i="29"/>
  <c r="S5352" i="29"/>
  <c r="T3754" i="29"/>
  <c r="J3754" i="29"/>
  <c r="T5766" i="29"/>
  <c r="J5766" i="29"/>
  <c r="K5766" i="29"/>
  <c r="S4371" i="29"/>
  <c r="T4371" i="29"/>
  <c r="J4371" i="29"/>
  <c r="S4304" i="29"/>
  <c r="T4181" i="29"/>
  <c r="J4181" i="29"/>
  <c r="S4181" i="29"/>
  <c r="T4171" i="29"/>
  <c r="J4171" i="29"/>
  <c r="K4171" i="29"/>
  <c r="S4171" i="29"/>
  <c r="S4069" i="29"/>
  <c r="T4069" i="29"/>
  <c r="S5737" i="29"/>
  <c r="T5737" i="29"/>
  <c r="J5737" i="29"/>
  <c r="K5737" i="29"/>
  <c r="J4945" i="29"/>
  <c r="K4945" i="29"/>
  <c r="J859" i="29"/>
  <c r="D31" i="30"/>
  <c r="J426" i="29"/>
  <c r="T3741" i="29"/>
  <c r="T5020" i="29"/>
  <c r="J5020" i="29"/>
  <c r="K5020" i="29"/>
  <c r="S5020" i="29"/>
  <c r="T5004" i="29"/>
  <c r="J5004" i="29"/>
  <c r="S5004" i="29"/>
  <c r="S4949" i="29"/>
  <c r="T4949" i="29"/>
  <c r="T4859" i="29"/>
  <c r="J4859" i="29"/>
  <c r="S4859" i="29"/>
  <c r="T4739" i="29"/>
  <c r="J4739" i="29"/>
  <c r="S4739" i="29"/>
  <c r="S4673" i="29"/>
  <c r="T4673" i="29"/>
  <c r="T4657" i="29"/>
  <c r="S4657" i="29"/>
  <c r="S4577" i="29"/>
  <c r="T4577" i="29"/>
  <c r="S4564" i="29"/>
  <c r="T4564" i="29"/>
  <c r="J4564" i="29"/>
  <c r="J4532" i="29"/>
  <c r="T4502" i="29"/>
  <c r="J4502" i="29"/>
  <c r="S4502" i="29"/>
  <c r="T4492" i="29"/>
  <c r="W4492" i="29"/>
  <c r="S4492" i="29"/>
  <c r="S4393" i="29"/>
  <c r="T4393" i="29"/>
  <c r="T4336" i="29"/>
  <c r="J4336" i="29"/>
  <c r="S4336" i="29"/>
  <c r="T4276" i="29"/>
  <c r="J4276" i="29"/>
  <c r="S4276" i="29"/>
  <c r="S4167" i="29"/>
  <c r="T4167" i="29"/>
  <c r="J4167" i="29"/>
  <c r="T4151" i="29"/>
  <c r="S4079" i="29"/>
  <c r="T4079" i="29"/>
  <c r="J4079" i="29"/>
  <c r="S4072" i="29"/>
  <c r="T4072" i="29"/>
  <c r="J4072" i="29"/>
  <c r="T3983" i="29"/>
  <c r="S3983" i="29"/>
  <c r="S3933" i="29"/>
  <c r="T3933" i="29"/>
  <c r="J3933" i="29"/>
  <c r="S2388" i="29"/>
  <c r="T2388" i="29"/>
  <c r="J2388" i="29"/>
  <c r="J4742" i="29"/>
  <c r="K4742" i="29"/>
  <c r="W4742" i="29"/>
  <c r="J4163" i="29"/>
  <c r="K4163" i="29"/>
  <c r="W4163" i="29"/>
  <c r="W4750" i="29"/>
  <c r="J4750" i="29"/>
  <c r="T3902" i="29"/>
  <c r="S3902" i="29"/>
  <c r="T5576" i="29"/>
  <c r="J5576" i="29"/>
  <c r="K5576" i="29"/>
  <c r="S5576" i="29"/>
  <c r="S6404" i="29"/>
  <c r="T6404" i="29"/>
  <c r="J6404" i="29"/>
  <c r="S1085" i="29"/>
  <c r="T1085" i="29"/>
  <c r="W1085" i="29"/>
  <c r="U1085" i="29"/>
  <c r="S1054" i="29"/>
  <c r="T1054" i="29"/>
  <c r="W1054" i="29"/>
  <c r="J1020" i="29"/>
  <c r="K1020" i="29"/>
  <c r="W1020" i="29"/>
  <c r="S954" i="29"/>
  <c r="T954" i="29"/>
  <c r="T5254" i="29"/>
  <c r="J5254" i="29"/>
  <c r="S5254" i="29"/>
  <c r="S5274" i="29"/>
  <c r="T5274" i="29"/>
  <c r="T5529" i="29"/>
  <c r="S5529" i="29"/>
  <c r="S5468" i="29"/>
  <c r="T5468" i="29"/>
  <c r="J5468" i="29"/>
  <c r="K5468" i="29"/>
  <c r="S5541" i="29"/>
  <c r="T5541" i="29"/>
  <c r="T5572" i="29"/>
  <c r="S5572" i="29"/>
  <c r="S5721" i="29"/>
  <c r="T5721" i="29"/>
  <c r="J5721" i="29"/>
  <c r="T5733" i="29"/>
  <c r="J5733" i="29"/>
  <c r="S5733" i="29"/>
  <c r="T974" i="29"/>
  <c r="T3567" i="29"/>
  <c r="J3567" i="29"/>
  <c r="U3567" i="29"/>
  <c r="T3589" i="29"/>
  <c r="J3589" i="29"/>
  <c r="U3589" i="29"/>
  <c r="T1057" i="29"/>
  <c r="T4108" i="29"/>
  <c r="J4108" i="29"/>
  <c r="S4108" i="29"/>
  <c r="S4063" i="29"/>
  <c r="T4063" i="29"/>
  <c r="W4063" i="29"/>
  <c r="T3975" i="29"/>
  <c r="J3975" i="29"/>
  <c r="U3975" i="29"/>
  <c r="S3975" i="29"/>
  <c r="S3956" i="29"/>
  <c r="T3956" i="29"/>
  <c r="J3956" i="29"/>
  <c r="T743" i="29"/>
  <c r="W743" i="29"/>
  <c r="U743" i="29"/>
  <c r="T849" i="29"/>
  <c r="J849" i="29"/>
  <c r="S1318" i="29"/>
  <c r="S4105" i="29"/>
  <c r="T958" i="29"/>
  <c r="T4619" i="29"/>
  <c r="J4619" i="29"/>
  <c r="S4619" i="29"/>
  <c r="T4603" i="29"/>
  <c r="J4603" i="29"/>
  <c r="S4603" i="29"/>
  <c r="S4567" i="29"/>
  <c r="T4567" i="29"/>
  <c r="J4567" i="29"/>
  <c r="S4476" i="29"/>
  <c r="T4476" i="29"/>
  <c r="J4461" i="29"/>
  <c r="W4461" i="29"/>
  <c r="T4432" i="29"/>
  <c r="J4432" i="29"/>
  <c r="S4432" i="29"/>
  <c r="T4396" i="29"/>
  <c r="W4396" i="29"/>
  <c r="S4396" i="29"/>
  <c r="T4154" i="29"/>
  <c r="S4154" i="29"/>
  <c r="T3931" i="29"/>
  <c r="J3931" i="29"/>
  <c r="K3931" i="29"/>
  <c r="S3931" i="29"/>
  <c r="S3893" i="29"/>
  <c r="T3893" i="29"/>
  <c r="J3893" i="29"/>
  <c r="S3557" i="29"/>
  <c r="T3557" i="29"/>
  <c r="S3482" i="29"/>
  <c r="T3482" i="29"/>
  <c r="W3482" i="29"/>
  <c r="U3482" i="29"/>
  <c r="W955" i="29"/>
  <c r="J955" i="29"/>
  <c r="K955" i="29"/>
  <c r="J880" i="29"/>
  <c r="W880" i="29"/>
  <c r="S7199" i="29"/>
  <c r="T7199" i="29"/>
  <c r="J7199" i="29"/>
  <c r="K7199" i="29"/>
  <c r="S3911" i="29"/>
  <c r="T3911" i="29"/>
  <c r="T3852" i="29"/>
  <c r="J3852" i="29"/>
  <c r="S3852" i="29"/>
  <c r="T3849" i="29"/>
  <c r="S3805" i="29"/>
  <c r="T3805" i="29"/>
  <c r="W3805" i="29"/>
  <c r="U3805" i="29"/>
  <c r="T3747" i="29"/>
  <c r="J3747" i="29"/>
  <c r="S3747" i="29"/>
  <c r="T3643" i="29"/>
  <c r="J3643" i="29"/>
  <c r="U3643" i="29"/>
  <c r="S3643" i="29"/>
  <c r="T3987" i="29"/>
  <c r="J3987" i="29"/>
  <c r="K3987" i="29"/>
  <c r="S3987" i="29"/>
  <c r="T2128" i="29"/>
  <c r="S2128" i="29"/>
  <c r="T1976" i="29"/>
  <c r="W1976" i="29"/>
  <c r="S1976" i="29"/>
  <c r="D62" i="30"/>
  <c r="S5543" i="29"/>
  <c r="S4894" i="29"/>
  <c r="T4894" i="29"/>
  <c r="J4894" i="29"/>
  <c r="T4847" i="29"/>
  <c r="J4847" i="29"/>
  <c r="U4847" i="29"/>
  <c r="S4847" i="29"/>
  <c r="T4841" i="29"/>
  <c r="J4841" i="29"/>
  <c r="S4841" i="29"/>
  <c r="S4762" i="29"/>
  <c r="T4762" i="29"/>
  <c r="J4762" i="29"/>
  <c r="K4762" i="29"/>
  <c r="S3498" i="29"/>
  <c r="T4922" i="29"/>
  <c r="J4922" i="29"/>
  <c r="D4" i="30"/>
  <c r="T2823" i="29"/>
  <c r="J2823" i="29"/>
  <c r="K2823" i="29"/>
  <c r="S1136" i="29"/>
  <c r="S4429" i="29"/>
  <c r="V4105" i="29"/>
  <c r="T4019" i="29"/>
  <c r="J4019" i="29"/>
  <c r="S4726" i="29"/>
  <c r="S3789" i="29"/>
  <c r="T3789" i="29"/>
  <c r="J3789" i="29"/>
  <c r="T3618" i="29"/>
  <c r="J3618" i="29"/>
  <c r="K3618" i="29"/>
  <c r="S3517" i="29"/>
  <c r="J5112" i="29"/>
  <c r="K5112" i="29"/>
  <c r="W5112" i="29"/>
  <c r="J4410" i="29"/>
  <c r="J1168" i="29"/>
  <c r="K1168" i="29"/>
  <c r="S3032" i="29"/>
  <c r="S5631" i="29"/>
  <c r="W4317" i="29"/>
  <c r="T4127" i="29"/>
  <c r="J4127" i="29"/>
  <c r="U4127" i="29"/>
  <c r="S4127" i="29"/>
  <c r="S3993" i="29"/>
  <c r="T3993" i="29"/>
  <c r="S3959" i="29"/>
  <c r="T3959" i="29"/>
  <c r="W3959" i="29"/>
  <c r="K3950" i="29"/>
  <c r="K3786" i="29"/>
  <c r="S7275" i="29"/>
  <c r="T7275" i="29"/>
  <c r="J7275" i="29"/>
  <c r="K7275" i="29"/>
  <c r="T4986" i="29"/>
  <c r="J4986" i="29"/>
  <c r="S4986" i="29"/>
  <c r="T4881" i="29"/>
  <c r="S4881" i="29"/>
  <c r="T4865" i="29"/>
  <c r="J4865" i="29"/>
  <c r="K4865" i="29"/>
  <c r="S4865" i="29"/>
  <c r="T4606" i="29"/>
  <c r="J4606" i="29"/>
  <c r="S4606" i="29"/>
  <c r="S4028" i="29"/>
  <c r="T4028" i="29"/>
  <c r="J4028" i="29"/>
  <c r="K4028" i="29"/>
  <c r="K2552" i="29"/>
  <c r="S2520" i="29"/>
  <c r="K2511" i="29"/>
  <c r="T2337" i="29"/>
  <c r="J2337" i="29"/>
  <c r="T2065" i="29"/>
  <c r="W2065" i="29"/>
  <c r="U2065" i="29"/>
  <c r="S2065" i="29"/>
  <c r="S394" i="29"/>
  <c r="T394" i="29"/>
  <c r="W394" i="29"/>
  <c r="U394" i="29"/>
  <c r="K379" i="29"/>
  <c r="K187" i="29"/>
  <c r="K158" i="29"/>
  <c r="K81" i="29"/>
  <c r="S7076" i="29"/>
  <c r="T7076" i="29"/>
  <c r="J7076" i="29"/>
  <c r="K7076" i="29"/>
  <c r="T7161" i="29"/>
  <c r="J7161" i="29"/>
  <c r="U7161" i="29"/>
  <c r="S7161" i="29"/>
  <c r="K101" i="29"/>
  <c r="W1825" i="29"/>
  <c r="T4967" i="29"/>
  <c r="J4967" i="29"/>
  <c r="S4967" i="29"/>
  <c r="J4298" i="29"/>
  <c r="K4298" i="29"/>
  <c r="T4237" i="29"/>
  <c r="T3648" i="29"/>
  <c r="J3648" i="29"/>
  <c r="K3648" i="29"/>
  <c r="S3648" i="29"/>
  <c r="S3037" i="29"/>
  <c r="T3037" i="29"/>
  <c r="J3037" i="29"/>
  <c r="K3037" i="29"/>
  <c r="S2398" i="29"/>
  <c r="T2398" i="29"/>
  <c r="W2398" i="29"/>
  <c r="W2012" i="29"/>
  <c r="S841" i="29"/>
  <c r="T841" i="29"/>
  <c r="W841" i="29"/>
  <c r="T546" i="29"/>
  <c r="W546" i="29"/>
  <c r="U546" i="29"/>
  <c r="S546" i="29"/>
  <c r="T509" i="29"/>
  <c r="W509" i="29"/>
  <c r="W360" i="29"/>
  <c r="S5281" i="29"/>
  <c r="T5281" i="29"/>
  <c r="W5281" i="29"/>
  <c r="T5512" i="29"/>
  <c r="J5512" i="29"/>
  <c r="S5512" i="29"/>
  <c r="S5497" i="29"/>
  <c r="T5497" i="29"/>
  <c r="J5497" i="29"/>
  <c r="K5497" i="29"/>
  <c r="J2104" i="29"/>
  <c r="K2104" i="29"/>
  <c r="T4573" i="29"/>
  <c r="S4573" i="29"/>
  <c r="S4373" i="29"/>
  <c r="T4373" i="29"/>
  <c r="J4373" i="29"/>
  <c r="S3673" i="29"/>
  <c r="T3673" i="29"/>
  <c r="J3673" i="29"/>
  <c r="U3673" i="29"/>
  <c r="S3066" i="29"/>
  <c r="T3066" i="29"/>
  <c r="J3066" i="29"/>
  <c r="S3040" i="29"/>
  <c r="T3040" i="29"/>
  <c r="J3040" i="29"/>
  <c r="T3008" i="29"/>
  <c r="J3008" i="29"/>
  <c r="S3008" i="29"/>
  <c r="T2759" i="29"/>
  <c r="J2759" i="29"/>
  <c r="K2759" i="29"/>
  <c r="S2759" i="29"/>
  <c r="S2733" i="29"/>
  <c r="T2733" i="29"/>
  <c r="T2635" i="29"/>
  <c r="W2635" i="29"/>
  <c r="U2635" i="29"/>
  <c r="S2635" i="29"/>
  <c r="S483" i="29"/>
  <c r="T483" i="29"/>
  <c r="W483" i="29"/>
  <c r="U483" i="29"/>
  <c r="S310" i="29"/>
  <c r="T310" i="29"/>
  <c r="W310" i="29"/>
  <c r="S5120" i="29"/>
  <c r="T5120" i="29"/>
  <c r="W5120" i="29"/>
  <c r="S5405" i="29"/>
  <c r="T5405" i="29"/>
  <c r="J5405" i="29"/>
  <c r="T4976" i="29"/>
  <c r="J4976" i="29"/>
  <c r="K4976" i="29"/>
  <c r="S4976" i="29"/>
  <c r="S5525" i="29"/>
  <c r="T5525" i="29"/>
  <c r="T6103" i="29"/>
  <c r="J6103" i="29"/>
  <c r="K6103" i="29"/>
  <c r="S6103" i="29"/>
  <c r="T6119" i="29"/>
  <c r="S6119" i="29"/>
  <c r="J6123" i="29"/>
  <c r="S4884" i="29"/>
  <c r="S4300" i="29"/>
  <c r="S3518" i="29"/>
  <c r="T3180" i="29"/>
  <c r="J3180" i="29"/>
  <c r="U3180" i="29"/>
  <c r="S3461" i="29"/>
  <c r="S2872" i="29"/>
  <c r="J4897" i="29"/>
  <c r="S4874" i="29"/>
  <c r="T4874" i="29"/>
  <c r="T4722" i="29"/>
  <c r="J4722" i="29"/>
  <c r="K4722" i="29"/>
  <c r="S4722" i="29"/>
  <c r="T4303" i="29"/>
  <c r="J4303" i="29"/>
  <c r="S4303" i="29"/>
  <c r="T4183" i="29"/>
  <c r="J4183" i="29"/>
  <c r="S4183" i="29"/>
  <c r="W2001" i="29"/>
  <c r="S4742" i="29"/>
  <c r="T3291" i="29"/>
  <c r="T3247" i="29"/>
  <c r="W3247" i="29"/>
  <c r="T4148" i="29"/>
  <c r="W4148" i="29"/>
  <c r="S4907" i="29"/>
  <c r="S4758" i="29"/>
  <c r="S4921" i="29"/>
  <c r="T4921" i="29"/>
  <c r="J4921" i="29"/>
  <c r="T4893" i="29"/>
  <c r="J4893" i="29"/>
  <c r="K4893" i="29"/>
  <c r="S4893" i="29"/>
  <c r="S4618" i="29"/>
  <c r="T4618" i="29"/>
  <c r="J4618" i="29"/>
  <c r="J4726" i="29"/>
  <c r="K4726" i="29"/>
  <c r="T4871" i="29"/>
  <c r="J4871" i="29"/>
  <c r="S4294" i="29"/>
  <c r="S3509" i="29"/>
  <c r="T4331" i="29"/>
  <c r="J4331" i="29"/>
  <c r="K4331" i="29"/>
  <c r="S4331" i="29"/>
  <c r="T934" i="29"/>
  <c r="S934" i="29"/>
  <c r="S837" i="29"/>
  <c r="T837" i="29"/>
  <c r="W837" i="29"/>
  <c r="U837" i="29"/>
  <c r="J2883" i="29"/>
  <c r="K2883" i="29"/>
  <c r="T4754" i="29"/>
  <c r="S4754" i="29"/>
  <c r="T4731" i="29"/>
  <c r="J4731" i="29"/>
  <c r="S4731" i="29"/>
  <c r="S4608" i="29"/>
  <c r="T4608" i="29"/>
  <c r="J4608" i="29"/>
  <c r="U4608" i="29"/>
  <c r="S4408" i="29"/>
  <c r="T4408" i="29"/>
  <c r="J4408" i="29"/>
  <c r="S4288" i="29"/>
  <c r="T4288" i="29"/>
  <c r="J4101" i="29"/>
  <c r="K4101" i="29"/>
  <c r="S1837" i="29"/>
  <c r="T1837" i="29"/>
  <c r="W1837" i="29"/>
  <c r="U1837" i="29"/>
  <c r="T6880" i="29"/>
  <c r="J6880" i="29"/>
  <c r="K6880" i="29"/>
  <c r="S6880" i="29"/>
  <c r="J6296" i="29"/>
  <c r="K6296" i="29"/>
  <c r="J6266" i="29"/>
  <c r="K6266" i="29"/>
  <c r="T3045" i="29"/>
  <c r="J3045" i="29"/>
  <c r="S3716" i="29"/>
  <c r="T2748" i="29"/>
  <c r="J2748" i="29"/>
  <c r="K2748" i="29"/>
  <c r="S4206" i="29"/>
  <c r="S2767" i="29"/>
  <c r="T581" i="29"/>
  <c r="S581" i="29"/>
  <c r="S6070" i="29"/>
  <c r="T6070" i="29"/>
  <c r="J6070" i="29"/>
  <c r="K6070" i="29"/>
  <c r="T6462" i="29"/>
  <c r="J6462" i="29"/>
  <c r="K6462" i="29"/>
  <c r="S6462" i="29"/>
  <c r="T6939" i="29"/>
  <c r="J6939" i="29"/>
  <c r="U6939" i="29"/>
  <c r="J3127" i="29"/>
  <c r="K3127" i="29"/>
  <c r="T2675" i="29"/>
  <c r="J2675" i="29"/>
  <c r="T3393" i="29"/>
  <c r="W3393" i="29"/>
  <c r="U3393" i="29"/>
  <c r="W252" i="29"/>
  <c r="W236" i="29"/>
  <c r="W197" i="29"/>
  <c r="W189" i="29"/>
  <c r="T1359" i="29"/>
  <c r="W1359" i="29"/>
  <c r="S1359" i="29"/>
  <c r="W1273" i="29"/>
  <c r="W1261" i="29"/>
  <c r="S1131" i="29"/>
  <c r="T1131" i="29"/>
  <c r="J1131" i="29"/>
  <c r="K1131" i="29"/>
  <c r="K1093" i="29"/>
  <c r="K1066" i="29"/>
  <c r="W1015" i="29"/>
  <c r="S962" i="29"/>
  <c r="S3298" i="29"/>
  <c r="T3298" i="29"/>
  <c r="S3255" i="29"/>
  <c r="T3125" i="29"/>
  <c r="W3125" i="29"/>
  <c r="T1089" i="29"/>
  <c r="W1089" i="29"/>
  <c r="S1089" i="29"/>
  <c r="T702" i="29"/>
  <c r="S702" i="29"/>
  <c r="T486" i="29"/>
  <c r="W486" i="29"/>
  <c r="U486" i="29"/>
  <c r="S486" i="29"/>
  <c r="T3349" i="29"/>
  <c r="W3349" i="29"/>
  <c r="U3349" i="29"/>
  <c r="S3349" i="29"/>
  <c r="T3295" i="29"/>
  <c r="J3295" i="29"/>
  <c r="S3115" i="29"/>
  <c r="T3115" i="29"/>
  <c r="J3115" i="29"/>
  <c r="T3051" i="29"/>
  <c r="J3051" i="29"/>
  <c r="K3051" i="29"/>
  <c r="S3051" i="29"/>
  <c r="W3032" i="29"/>
  <c r="J2899" i="29"/>
  <c r="K2899" i="29"/>
  <c r="S1583" i="29"/>
  <c r="W1174" i="29"/>
  <c r="J1101" i="29"/>
  <c r="K1101" i="29"/>
  <c r="W1046" i="29"/>
  <c r="K1002" i="29"/>
  <c r="W676" i="29"/>
  <c r="U676" i="29"/>
  <c r="S651" i="29"/>
  <c r="T511" i="29"/>
  <c r="W511" i="29"/>
  <c r="U511" i="29"/>
  <c r="T393" i="29"/>
  <c r="W393" i="29"/>
  <c r="U393" i="29"/>
  <c r="S393" i="29"/>
  <c r="W368" i="29"/>
  <c r="U368" i="29"/>
  <c r="T319" i="29"/>
  <c r="W319" i="29"/>
  <c r="S319" i="29"/>
  <c r="W191" i="29"/>
  <c r="U191" i="29"/>
  <c r="K181" i="29"/>
  <c r="S5140" i="29"/>
  <c r="T5140" i="29"/>
  <c r="T5436" i="29"/>
  <c r="J5436" i="29"/>
  <c r="S5436" i="29"/>
  <c r="T5387" i="29"/>
  <c r="J5387" i="29"/>
  <c r="S5387" i="29"/>
  <c r="T6058" i="29"/>
  <c r="J6058" i="29"/>
  <c r="T6063" i="29"/>
  <c r="J6063" i="29"/>
  <c r="S6063" i="29"/>
  <c r="T6489" i="29"/>
  <c r="J6489" i="29"/>
  <c r="S6489" i="29"/>
  <c r="S6766" i="29"/>
  <c r="T6766" i="29"/>
  <c r="J6766" i="29"/>
  <c r="T5965" i="29"/>
  <c r="J5965" i="29"/>
  <c r="U5965" i="29"/>
  <c r="S5965" i="29"/>
  <c r="S6087" i="29"/>
  <c r="T6087" i="29"/>
  <c r="J6087" i="29"/>
  <c r="S6154" i="29"/>
  <c r="T6154" i="29"/>
  <c r="J6154" i="29"/>
  <c r="U6154" i="29"/>
  <c r="J7075" i="29"/>
  <c r="K7075" i="29"/>
  <c r="W2421" i="29"/>
  <c r="K2134" i="29"/>
  <c r="W2106" i="29"/>
  <c r="S1864" i="29"/>
  <c r="T1864" i="29"/>
  <c r="J1864" i="29"/>
  <c r="K1864" i="29"/>
  <c r="J1546" i="29"/>
  <c r="U1546" i="29"/>
  <c r="S1417" i="29"/>
  <c r="T1417" i="29"/>
  <c r="S1339" i="29"/>
  <c r="T1339" i="29"/>
  <c r="W1339" i="29"/>
  <c r="U1339" i="29"/>
  <c r="S5459" i="29"/>
  <c r="T5459" i="29"/>
  <c r="J5459" i="29"/>
  <c r="J5849" i="29"/>
  <c r="K5849" i="29"/>
  <c r="S6019" i="29"/>
  <c r="T6019" i="29"/>
  <c r="J6019" i="29"/>
  <c r="K6019" i="29"/>
  <c r="S6651" i="29"/>
  <c r="T6651" i="29"/>
  <c r="J6651" i="29"/>
  <c r="K6651" i="29"/>
  <c r="K3756" i="29"/>
  <c r="J3524" i="29"/>
  <c r="K3524" i="29"/>
  <c r="W2926" i="29"/>
  <c r="J2919" i="29"/>
  <c r="K2919" i="29"/>
  <c r="J2900" i="29"/>
  <c r="U2900" i="29"/>
  <c r="T2762" i="29"/>
  <c r="T2641" i="29"/>
  <c r="J2641" i="29"/>
  <c r="K2641" i="29"/>
  <c r="S2641" i="29"/>
  <c r="K2554" i="29"/>
  <c r="K2539" i="29"/>
  <c r="W2450" i="29"/>
  <c r="J2433" i="29"/>
  <c r="K2433" i="29"/>
  <c r="J2159" i="29"/>
  <c r="S2133" i="29"/>
  <c r="T2133" i="29"/>
  <c r="W2133" i="29"/>
  <c r="T5593" i="29"/>
  <c r="J5593" i="29"/>
  <c r="K5593" i="29"/>
  <c r="S5593" i="29"/>
  <c r="J5604" i="29"/>
  <c r="K5604" i="29"/>
  <c r="T5788" i="29"/>
  <c r="J5788" i="29"/>
  <c r="S5788" i="29"/>
  <c r="S5898" i="29"/>
  <c r="T5898" i="29"/>
  <c r="S6763" i="29"/>
  <c r="T6763" i="29"/>
  <c r="J6763" i="29"/>
  <c r="K6763" i="29"/>
  <c r="T4077" i="29"/>
  <c r="J4077" i="29"/>
  <c r="T4052" i="29"/>
  <c r="J4052" i="29"/>
  <c r="S4052" i="29"/>
  <c r="S3650" i="29"/>
  <c r="K3518" i="29"/>
  <c r="J3442" i="29"/>
  <c r="K3417" i="29"/>
  <c r="J3243" i="29"/>
  <c r="J3192" i="29"/>
  <c r="J2790" i="29"/>
  <c r="J2768" i="29"/>
  <c r="K2768" i="29"/>
  <c r="J2752" i="29"/>
  <c r="J2707" i="29"/>
  <c r="J2557" i="29"/>
  <c r="J2200" i="29"/>
  <c r="K2200" i="29"/>
  <c r="S2177" i="29"/>
  <c r="T2177" i="29"/>
  <c r="W2165" i="29"/>
  <c r="K2021" i="29"/>
  <c r="J1990" i="29"/>
  <c r="K1905" i="29"/>
  <c r="W1800" i="29"/>
  <c r="J1778" i="29"/>
  <c r="K1778" i="29"/>
  <c r="T1738" i="29"/>
  <c r="W1738" i="29"/>
  <c r="S1738" i="29"/>
  <c r="S1563" i="29"/>
  <c r="T1563" i="29"/>
  <c r="W1563" i="29"/>
  <c r="T5134" i="29"/>
  <c r="J5134" i="29"/>
  <c r="K5134" i="29"/>
  <c r="S5134" i="29"/>
  <c r="T5594" i="29"/>
  <c r="J5594" i="29"/>
  <c r="K5594" i="29"/>
  <c r="S5594" i="29"/>
  <c r="S5663" i="29"/>
  <c r="T5663" i="29"/>
  <c r="J5663" i="29"/>
  <c r="K5663" i="29"/>
  <c r="T5765" i="29"/>
  <c r="S5765" i="29"/>
  <c r="S6950" i="29"/>
  <c r="S7794" i="29"/>
  <c r="T4856" i="29"/>
  <c r="W4856" i="29"/>
  <c r="S4856" i="29"/>
  <c r="T4711" i="29"/>
  <c r="W4711" i="29"/>
  <c r="S4711" i="29"/>
  <c r="J3508" i="29"/>
  <c r="J3265" i="29"/>
  <c r="J3205" i="29"/>
  <c r="J3110" i="29"/>
  <c r="J3078" i="29"/>
  <c r="J3069" i="29"/>
  <c r="K3069" i="29"/>
  <c r="J3052" i="29"/>
  <c r="J2522" i="29"/>
  <c r="K2522" i="29"/>
  <c r="J2339" i="29"/>
  <c r="T1945" i="29"/>
  <c r="J1945" i="29"/>
  <c r="S1945" i="29"/>
  <c r="S1747" i="29"/>
  <c r="T1747" i="29"/>
  <c r="W1747" i="29"/>
  <c r="S5170" i="29"/>
  <c r="T5170" i="29"/>
  <c r="T5395" i="29"/>
  <c r="S5395" i="29"/>
  <c r="S5595" i="29"/>
  <c r="T5595" i="29"/>
  <c r="J5595" i="29"/>
  <c r="K5595" i="29"/>
  <c r="S5908" i="29"/>
  <c r="T5908" i="29"/>
  <c r="J5908" i="29"/>
  <c r="K5908" i="29"/>
  <c r="S5954" i="29"/>
  <c r="T5954" i="29"/>
  <c r="J5954" i="29"/>
  <c r="T5991" i="29"/>
  <c r="J5991" i="29"/>
  <c r="S5991" i="29"/>
  <c r="T6039" i="29"/>
  <c r="J6039" i="29"/>
  <c r="K6039" i="29"/>
  <c r="S6039" i="29"/>
  <c r="S6716" i="29"/>
  <c r="T6716" i="29"/>
  <c r="J6716" i="29"/>
  <c r="S2637" i="29"/>
  <c r="S1707" i="29"/>
  <c r="T1707" i="29"/>
  <c r="J947" i="29"/>
  <c r="W947" i="29"/>
  <c r="J510" i="29"/>
  <c r="K510" i="29"/>
  <c r="W510" i="29"/>
  <c r="S442" i="29"/>
  <c r="T442" i="29"/>
  <c r="J442" i="29"/>
  <c r="S5188" i="29"/>
  <c r="T5188" i="29"/>
  <c r="J5188" i="29"/>
  <c r="K5286" i="29"/>
  <c r="S5608" i="29"/>
  <c r="T5608" i="29"/>
  <c r="J5608" i="29"/>
  <c r="T5667" i="29"/>
  <c r="J5667" i="29"/>
  <c r="S5667" i="29"/>
  <c r="T5921" i="29"/>
  <c r="J5921" i="29"/>
  <c r="S5921" i="29"/>
  <c r="S7823" i="29"/>
  <c r="T7823" i="29"/>
  <c r="J7823" i="29"/>
  <c r="T1998" i="29"/>
  <c r="W1998" i="29"/>
  <c r="S1998" i="29"/>
  <c r="J1206" i="29"/>
  <c r="W1175" i="29"/>
  <c r="W1172" i="29"/>
  <c r="J1078" i="29"/>
  <c r="K1078" i="29"/>
  <c r="W1075" i="29"/>
  <c r="W1027" i="29"/>
  <c r="K997" i="29"/>
  <c r="W988" i="29"/>
  <c r="S969" i="29"/>
  <c r="S959" i="29"/>
  <c r="T959" i="29"/>
  <c r="W937" i="29"/>
  <c r="S800" i="29"/>
  <c r="T800" i="29"/>
  <c r="J800" i="29"/>
  <c r="K800" i="29"/>
  <c r="K452" i="29"/>
  <c r="K376" i="29"/>
  <c r="T363" i="29"/>
  <c r="W363" i="29"/>
  <c r="U363" i="29"/>
  <c r="S363" i="29"/>
  <c r="K308" i="29"/>
  <c r="K273" i="29"/>
  <c r="K166" i="29"/>
  <c r="J109" i="29"/>
  <c r="W109" i="29"/>
  <c r="T5361" i="29"/>
  <c r="W5361" i="29"/>
  <c r="S5361" i="29"/>
  <c r="S5756" i="29"/>
  <c r="T5756" i="29"/>
  <c r="J5756" i="29"/>
  <c r="T5884" i="29"/>
  <c r="J5884" i="29"/>
  <c r="K5884" i="29"/>
  <c r="S5884" i="29"/>
  <c r="T5918" i="29"/>
  <c r="J5918" i="29"/>
  <c r="S5918" i="29"/>
  <c r="T6001" i="29"/>
  <c r="J6001" i="29"/>
  <c r="K6001" i="29"/>
  <c r="S6001" i="29"/>
  <c r="S7585" i="29"/>
  <c r="T7585" i="29"/>
  <c r="J7585" i="29"/>
  <c r="K7585" i="29"/>
  <c r="T7766" i="29"/>
  <c r="J7766" i="29"/>
  <c r="K7766" i="29"/>
  <c r="S7766" i="29"/>
  <c r="W1385" i="29"/>
  <c r="U1385" i="29"/>
  <c r="W712" i="29"/>
  <c r="K700" i="29"/>
  <c r="K400" i="29"/>
  <c r="W385" i="29"/>
  <c r="W157" i="29"/>
  <c r="U157" i="29"/>
  <c r="W149" i="29"/>
  <c r="U149" i="29"/>
  <c r="W141" i="29"/>
  <c r="U141" i="29"/>
  <c r="J133" i="29"/>
  <c r="K133" i="29"/>
  <c r="K128" i="29"/>
  <c r="W116" i="29"/>
  <c r="U116" i="29"/>
  <c r="W111" i="29"/>
  <c r="W64" i="29"/>
  <c r="W50" i="29"/>
  <c r="W42" i="29"/>
  <c r="U42" i="29"/>
  <c r="W34" i="29"/>
  <c r="J5155" i="29"/>
  <c r="J5320" i="29"/>
  <c r="J6113" i="29"/>
  <c r="K2456" i="29"/>
  <c r="T2209" i="29"/>
  <c r="W2209" i="29"/>
  <c r="U2209" i="29"/>
  <c r="W1996" i="29"/>
  <c r="K1781" i="29"/>
  <c r="J1760" i="29"/>
  <c r="W1524" i="29"/>
  <c r="K1502" i="29"/>
  <c r="K1195" i="29"/>
  <c r="K593" i="29"/>
  <c r="K441" i="29"/>
  <c r="K431" i="29"/>
  <c r="K381" i="29"/>
  <c r="K362" i="29"/>
  <c r="K284" i="29"/>
  <c r="K18" i="29"/>
  <c r="J5799" i="29"/>
  <c r="K5799" i="29"/>
  <c r="S6925" i="29"/>
  <c r="J7100" i="29"/>
  <c r="K7100" i="29"/>
  <c r="S7302" i="29"/>
  <c r="S7469" i="29"/>
  <c r="S7676" i="29"/>
  <c r="K3520" i="29"/>
  <c r="J3380" i="29"/>
  <c r="J2161" i="29"/>
  <c r="K2161" i="29"/>
  <c r="S1753" i="29"/>
  <c r="W1628" i="29"/>
  <c r="K1505" i="29"/>
  <c r="T1145" i="29"/>
  <c r="W1145" i="29"/>
  <c r="S1091" i="29"/>
  <c r="J5976" i="29"/>
  <c r="T7220" i="29"/>
  <c r="J7220" i="29"/>
  <c r="K7220" i="29"/>
  <c r="T4953" i="29"/>
  <c r="J4953" i="29"/>
  <c r="W4449" i="29"/>
  <c r="J2967" i="29"/>
  <c r="U2967" i="29"/>
  <c r="S2693" i="29"/>
  <c r="W2061" i="29"/>
  <c r="J1860" i="29"/>
  <c r="K1860" i="29"/>
  <c r="J1854" i="29"/>
  <c r="K1854" i="29"/>
  <c r="J1321" i="29"/>
  <c r="J6418" i="29"/>
  <c r="K6418" i="29"/>
  <c r="S6531" i="29"/>
  <c r="S7114" i="29"/>
  <c r="J7136" i="29"/>
  <c r="K7136" i="29"/>
  <c r="J2624" i="29"/>
  <c r="W2594" i="29"/>
  <c r="K1731" i="29"/>
  <c r="W1722" i="29"/>
  <c r="T1697" i="29"/>
  <c r="W1697" i="29"/>
  <c r="U1697" i="29"/>
  <c r="J1514" i="29"/>
  <c r="U1514" i="29"/>
  <c r="J1399" i="29"/>
  <c r="U1399" i="29"/>
  <c r="S761" i="29"/>
  <c r="K705" i="29"/>
  <c r="W633" i="29"/>
  <c r="U633" i="29"/>
  <c r="K437" i="29"/>
  <c r="W289" i="29"/>
  <c r="K280" i="29"/>
  <c r="J5398" i="29"/>
  <c r="K5398" i="29"/>
  <c r="T5521" i="29"/>
  <c r="J5706" i="29"/>
  <c r="K5706" i="29"/>
  <c r="J6385" i="29"/>
  <c r="J7494" i="29"/>
  <c r="K7494" i="29"/>
  <c r="J7523" i="29"/>
  <c r="K7523" i="29"/>
  <c r="S7948" i="29"/>
  <c r="K2636" i="29"/>
  <c r="J2565" i="29"/>
  <c r="K2565" i="29"/>
  <c r="W2072" i="29"/>
  <c r="W2069" i="29"/>
  <c r="J2063" i="29"/>
  <c r="K2063" i="29"/>
  <c r="W1900" i="29"/>
  <c r="U1900" i="29"/>
  <c r="W1801" i="29"/>
  <c r="W714" i="29"/>
  <c r="J411" i="29"/>
  <c r="W158" i="29"/>
  <c r="U158" i="29"/>
  <c r="S5414" i="29"/>
  <c r="T7962" i="29"/>
  <c r="J7962" i="29"/>
  <c r="K7962" i="29"/>
  <c r="S8047" i="29"/>
  <c r="K3519" i="29"/>
  <c r="T3449" i="29"/>
  <c r="J2248" i="29"/>
  <c r="K2248" i="29"/>
  <c r="K2230" i="29"/>
  <c r="T1743" i="29"/>
  <c r="W1743" i="29"/>
  <c r="K1697" i="29"/>
  <c r="K1437" i="29"/>
  <c r="W1431" i="29"/>
  <c r="W1419" i="29"/>
  <c r="U1419" i="29"/>
  <c r="J1413" i="29"/>
  <c r="W1407" i="29"/>
  <c r="U1407" i="29"/>
  <c r="J1000" i="29"/>
  <c r="K970" i="29"/>
  <c r="K960" i="29"/>
  <c r="J780" i="29"/>
  <c r="K780" i="29"/>
  <c r="W522" i="29"/>
  <c r="K367" i="29"/>
  <c r="K348" i="29"/>
  <c r="K286" i="29"/>
  <c r="K112" i="29"/>
  <c r="J5781" i="29"/>
  <c r="J6144" i="29"/>
  <c r="K6144" i="29"/>
  <c r="J6386" i="29"/>
  <c r="J7608" i="29"/>
  <c r="K7608" i="29"/>
  <c r="T4361" i="29"/>
  <c r="J4361" i="29"/>
  <c r="K4361" i="29"/>
  <c r="S4361" i="29"/>
  <c r="T4193" i="29"/>
  <c r="J4193" i="29"/>
  <c r="S4193" i="29"/>
  <c r="S4136" i="29"/>
  <c r="T4136" i="29"/>
  <c r="J4136" i="29"/>
  <c r="S3921" i="29"/>
  <c r="T3921" i="29"/>
  <c r="J3921" i="29"/>
  <c r="T3767" i="29"/>
  <c r="S3767" i="29"/>
  <c r="S3710" i="29"/>
  <c r="T3710" i="29"/>
  <c r="J3710" i="29"/>
  <c r="V3675" i="29"/>
  <c r="S3675" i="29"/>
  <c r="T3675" i="29"/>
  <c r="T3668" i="29"/>
  <c r="J3668" i="29"/>
  <c r="S3668" i="29"/>
  <c r="S3612" i="29"/>
  <c r="T3612" i="29"/>
  <c r="J3612" i="29"/>
  <c r="K3612" i="29"/>
  <c r="S2988" i="29"/>
  <c r="T2988" i="29"/>
  <c r="J2988" i="29"/>
  <c r="S2839" i="29"/>
  <c r="T2839" i="29"/>
  <c r="J2839" i="29"/>
  <c r="S2814" i="29"/>
  <c r="T2814" i="29"/>
  <c r="J2814" i="29"/>
  <c r="T2774" i="29"/>
  <c r="J2774" i="29"/>
  <c r="K2774" i="29"/>
  <c r="S2774" i="29"/>
  <c r="S2187" i="29"/>
  <c r="T2187" i="29"/>
  <c r="J2187" i="29"/>
  <c r="K2187" i="29"/>
  <c r="S1695" i="29"/>
  <c r="T1695" i="29"/>
  <c r="W1695" i="29"/>
  <c r="U1695" i="29"/>
  <c r="S1432" i="29"/>
  <c r="T1432" i="29"/>
  <c r="T444" i="29"/>
  <c r="W444" i="29"/>
  <c r="U444" i="29"/>
  <c r="S444" i="29"/>
  <c r="T3198" i="29"/>
  <c r="J3198" i="29"/>
  <c r="K3198" i="29"/>
  <c r="T4341" i="29"/>
  <c r="J4341" i="29"/>
  <c r="T3878" i="29"/>
  <c r="J3878" i="29"/>
  <c r="K3878" i="29"/>
  <c r="S3488" i="29"/>
  <c r="S2181" i="29"/>
  <c r="T4218" i="29"/>
  <c r="J4218" i="29"/>
  <c r="S3078" i="29"/>
  <c r="J4142" i="29"/>
  <c r="U4142" i="29"/>
  <c r="T3322" i="29"/>
  <c r="J3322" i="29"/>
  <c r="S3192" i="29"/>
  <c r="T4835" i="29"/>
  <c r="J4835" i="29"/>
  <c r="S5441" i="29"/>
  <c r="T5041" i="29"/>
  <c r="J5041" i="29"/>
  <c r="S5041" i="29"/>
  <c r="T4979" i="29"/>
  <c r="J4979" i="29"/>
  <c r="S4979" i="29"/>
  <c r="T4910" i="29"/>
  <c r="J4910" i="29"/>
  <c r="S4910" i="29"/>
  <c r="T4855" i="29"/>
  <c r="J4855" i="29"/>
  <c r="S4855" i="29"/>
  <c r="T3701" i="29"/>
  <c r="J3701" i="29"/>
  <c r="T1849" i="29"/>
  <c r="W1849" i="29"/>
  <c r="S3878" i="29"/>
  <c r="S3492" i="29"/>
  <c r="W2858" i="29"/>
  <c r="J2858" i="29"/>
  <c r="T825" i="29"/>
  <c r="W825" i="29"/>
  <c r="U825" i="29"/>
  <c r="S339" i="29"/>
  <c r="J5099" i="29"/>
  <c r="S3052" i="29"/>
  <c r="J4036" i="29"/>
  <c r="S5155" i="29"/>
  <c r="T372" i="29"/>
  <c r="W372" i="29"/>
  <c r="T4851" i="29"/>
  <c r="T1397" i="29"/>
  <c r="W1397" i="29"/>
  <c r="S2450" i="29"/>
  <c r="S5257" i="29"/>
  <c r="T4900" i="29"/>
  <c r="J4900" i="29"/>
  <c r="S4900" i="29"/>
  <c r="S3849" i="29"/>
  <c r="T1096" i="29"/>
  <c r="W1096" i="29"/>
  <c r="U1096" i="29"/>
  <c r="S1096" i="29"/>
  <c r="T940" i="29"/>
  <c r="W940" i="29"/>
  <c r="U940" i="29"/>
  <c r="S940" i="29"/>
  <c r="S760" i="29"/>
  <c r="T760" i="29"/>
  <c r="W760" i="29"/>
  <c r="U760" i="29"/>
  <c r="T5488" i="29"/>
  <c r="J5488" i="29"/>
  <c r="S5488" i="29"/>
  <c r="T5562" i="29"/>
  <c r="S5562" i="29"/>
  <c r="S5707" i="29"/>
  <c r="T5707" i="29"/>
  <c r="J5707" i="29"/>
  <c r="K5707" i="29"/>
  <c r="S3787" i="29"/>
  <c r="T3787" i="29"/>
  <c r="W3787" i="29"/>
  <c r="U3787" i="29"/>
  <c r="S2367" i="29"/>
  <c r="T2367" i="29"/>
  <c r="W2367" i="29"/>
  <c r="S2353" i="29"/>
  <c r="T2353" i="29"/>
  <c r="J2353" i="29"/>
  <c r="K2353" i="29"/>
  <c r="T5377" i="29"/>
  <c r="S5377" i="29"/>
  <c r="S5057" i="29"/>
  <c r="T5057" i="29"/>
  <c r="J5057" i="29"/>
  <c r="K5057" i="29"/>
  <c r="S5502" i="29"/>
  <c r="T5502" i="29"/>
  <c r="J5502" i="29"/>
  <c r="K5502" i="29"/>
  <c r="T3812" i="29"/>
  <c r="S3812" i="29"/>
  <c r="S3014" i="29"/>
  <c r="T3014" i="29"/>
  <c r="T2436" i="29"/>
  <c r="W2436" i="29"/>
  <c r="S2436" i="29"/>
  <c r="S5091" i="29"/>
  <c r="T5091" i="29"/>
  <c r="S5172" i="29"/>
  <c r="T5172" i="29"/>
  <c r="S5501" i="29"/>
  <c r="T5501" i="29"/>
  <c r="J5501" i="29"/>
  <c r="T3107" i="29"/>
  <c r="J3107" i="29"/>
  <c r="K3107" i="29"/>
  <c r="S3107" i="29"/>
  <c r="T2868" i="29"/>
  <c r="J2868" i="29"/>
  <c r="K2868" i="29"/>
  <c r="S2868" i="29"/>
  <c r="T1558" i="29"/>
  <c r="W1558" i="29"/>
  <c r="S1558" i="29"/>
  <c r="T5048" i="29"/>
  <c r="J5048" i="29"/>
  <c r="S5048" i="29"/>
  <c r="S7215" i="29"/>
  <c r="T7215" i="29"/>
  <c r="J7215" i="29"/>
  <c r="T2311" i="29"/>
  <c r="T4285" i="29"/>
  <c r="J4285" i="29"/>
  <c r="S4285" i="29"/>
  <c r="S4095" i="29"/>
  <c r="T4095" i="29"/>
  <c r="J4095" i="29"/>
  <c r="T4010" i="29"/>
  <c r="J4010" i="29"/>
  <c r="U4010" i="29"/>
  <c r="S4010" i="29"/>
  <c r="S3353" i="29"/>
  <c r="T3353" i="29"/>
  <c r="J3353" i="29"/>
  <c r="T3350" i="29"/>
  <c r="W3350" i="29"/>
  <c r="U3350" i="29"/>
  <c r="S3350" i="29"/>
  <c r="S3284" i="29"/>
  <c r="T3284" i="29"/>
  <c r="J3284" i="29"/>
  <c r="T3246" i="29"/>
  <c r="J3246" i="29"/>
  <c r="S3246" i="29"/>
  <c r="S3195" i="29"/>
  <c r="T3195" i="29"/>
  <c r="W3195" i="29"/>
  <c r="T1403" i="29"/>
  <c r="W1403" i="29"/>
  <c r="S1403" i="29"/>
  <c r="T422" i="29"/>
  <c r="W422" i="29"/>
  <c r="S422" i="29"/>
  <c r="S416" i="29"/>
  <c r="T416" i="29"/>
  <c r="W416" i="29"/>
  <c r="J168" i="29"/>
  <c r="K168" i="29"/>
  <c r="W168" i="29"/>
  <c r="J160" i="29"/>
  <c r="K160" i="29"/>
  <c r="W160" i="29"/>
  <c r="J103" i="29"/>
  <c r="W103" i="29"/>
  <c r="W78" i="29"/>
  <c r="J78" i="29"/>
  <c r="K78" i="29"/>
  <c r="D3" i="30"/>
  <c r="J2326" i="29"/>
  <c r="K2326" i="29"/>
  <c r="D16" i="30"/>
  <c r="J16" i="29"/>
  <c r="D52" i="30"/>
  <c r="D44" i="30"/>
  <c r="J337" i="29"/>
  <c r="D8" i="30"/>
  <c r="J21" i="29"/>
  <c r="D5" i="30"/>
  <c r="J3288" i="29"/>
  <c r="K3288" i="29"/>
  <c r="D41" i="30"/>
  <c r="J1713" i="29"/>
  <c r="K1713" i="29"/>
  <c r="T5167" i="29"/>
  <c r="S5167" i="29"/>
  <c r="T5226" i="29"/>
  <c r="J5226" i="29"/>
  <c r="S5226" i="29"/>
  <c r="S5237" i="29"/>
  <c r="T5237" i="29"/>
  <c r="J5237" i="29"/>
  <c r="T5439" i="29"/>
  <c r="J5439" i="29"/>
  <c r="K5439" i="29"/>
  <c r="S5439" i="29"/>
  <c r="S5499" i="29"/>
  <c r="T5499" i="29"/>
  <c r="J5499" i="29"/>
  <c r="S1027" i="29"/>
  <c r="S3205" i="29"/>
  <c r="T683" i="29"/>
  <c r="W2041" i="29"/>
  <c r="S2364" i="29"/>
  <c r="J106" i="29"/>
  <c r="S2569" i="29"/>
  <c r="T1668" i="29"/>
  <c r="J4092" i="29"/>
  <c r="W4470" i="29"/>
  <c r="T725" i="29"/>
  <c r="W725" i="29"/>
  <c r="U725" i="29"/>
  <c r="T3777" i="29"/>
  <c r="J3777" i="29"/>
  <c r="S3777" i="29"/>
  <c r="S1108" i="29"/>
  <c r="T1108" i="29"/>
  <c r="S949" i="29"/>
  <c r="T949" i="29"/>
  <c r="W949" i="29"/>
  <c r="U949" i="29"/>
  <c r="S5539" i="29"/>
  <c r="T5539" i="29"/>
  <c r="T7996" i="29"/>
  <c r="J7996" i="29"/>
  <c r="K7996" i="29"/>
  <c r="S7996" i="29"/>
  <c r="S3966" i="29"/>
  <c r="T3966" i="29"/>
  <c r="J3966" i="29"/>
  <c r="K3966" i="29"/>
  <c r="T3486" i="29"/>
  <c r="J3486" i="29"/>
  <c r="S3486" i="29"/>
  <c r="T5500" i="29"/>
  <c r="J5500" i="29"/>
  <c r="S5500" i="29"/>
  <c r="T1181" i="29"/>
  <c r="J1181" i="29"/>
  <c r="K1181" i="29"/>
  <c r="S4772" i="29"/>
  <c r="T4772" i="29"/>
  <c r="J4772" i="29"/>
  <c r="U4772" i="29"/>
  <c r="S3129" i="29"/>
  <c r="T3129" i="29"/>
  <c r="T1920" i="29"/>
  <c r="W1920" i="29"/>
  <c r="S5579" i="29"/>
  <c r="T4843" i="29"/>
  <c r="J4843" i="29"/>
  <c r="S4843" i="29"/>
  <c r="S4728" i="29"/>
  <c r="T4728" i="29"/>
  <c r="J4728" i="29"/>
  <c r="U4728" i="29"/>
  <c r="S4379" i="29"/>
  <c r="T4379" i="29"/>
  <c r="S4281" i="29"/>
  <c r="T4281" i="29"/>
  <c r="J4281" i="29"/>
  <c r="T4186" i="29"/>
  <c r="J4186" i="29"/>
  <c r="S4186" i="29"/>
  <c r="T3779" i="29"/>
  <c r="J3779" i="29"/>
  <c r="S3779" i="29"/>
  <c r="S3687" i="29"/>
  <c r="T3687" i="29"/>
  <c r="J3687" i="29"/>
  <c r="K3687" i="29"/>
  <c r="T3469" i="29"/>
  <c r="J3469" i="29"/>
  <c r="K3469" i="29"/>
  <c r="S3469" i="29"/>
  <c r="S3425" i="29"/>
  <c r="T3425" i="29"/>
  <c r="S3242" i="29"/>
  <c r="T3242" i="29"/>
  <c r="J3242" i="29"/>
  <c r="T3144" i="29"/>
  <c r="J3144" i="29"/>
  <c r="K3144" i="29"/>
  <c r="S3144" i="29"/>
  <c r="T1393" i="29"/>
  <c r="W1393" i="29"/>
  <c r="U1393" i="29"/>
  <c r="S1393" i="29"/>
  <c r="S437" i="29"/>
  <c r="T437" i="29"/>
  <c r="W437" i="29"/>
  <c r="U437" i="29"/>
  <c r="T3755" i="29"/>
  <c r="J3755" i="29"/>
  <c r="S3755" i="29"/>
  <c r="S1334" i="29"/>
  <c r="T1334" i="29"/>
  <c r="T1154" i="29"/>
  <c r="W1154" i="29"/>
  <c r="S1154" i="29"/>
  <c r="S913" i="29"/>
  <c r="T913" i="29"/>
  <c r="W913" i="29"/>
  <c r="S806" i="29"/>
  <c r="T806" i="29"/>
  <c r="W806" i="29"/>
  <c r="S5440" i="29"/>
  <c r="T5440" i="29"/>
  <c r="J898" i="29"/>
  <c r="T3218" i="29"/>
  <c r="W5563" i="29"/>
  <c r="U5563" i="29"/>
  <c r="S5319" i="29"/>
  <c r="T5568" i="29"/>
  <c r="J5568" i="29"/>
  <c r="K5568" i="29"/>
  <c r="T3116" i="29"/>
  <c r="J3116" i="29"/>
  <c r="S1163" i="29"/>
  <c r="S738" i="29"/>
  <c r="S4854" i="29"/>
  <c r="T4854" i="29"/>
  <c r="J4854" i="29"/>
  <c r="T3971" i="29"/>
  <c r="S3971" i="29"/>
  <c r="S3936" i="29"/>
  <c r="T3936" i="29"/>
  <c r="S3920" i="29"/>
  <c r="T3920" i="29"/>
  <c r="J3920" i="29"/>
  <c r="K3920" i="29"/>
  <c r="S3870" i="29"/>
  <c r="T3870" i="29"/>
  <c r="J3870" i="29"/>
  <c r="K3870" i="29"/>
  <c r="T3785" i="29"/>
  <c r="W3785" i="29"/>
  <c r="U3785" i="29"/>
  <c r="S3785" i="29"/>
  <c r="S2562" i="29"/>
  <c r="T2562" i="29"/>
  <c r="J2562" i="29"/>
  <c r="S2559" i="29"/>
  <c r="T2559" i="29"/>
  <c r="J2559" i="29"/>
  <c r="K2559" i="29"/>
  <c r="T2409" i="29"/>
  <c r="W2409" i="29"/>
  <c r="S2409" i="29"/>
  <c r="S1566" i="29"/>
  <c r="T1566" i="29"/>
  <c r="J1566" i="29"/>
  <c r="S1501" i="29"/>
  <c r="T1501" i="29"/>
  <c r="S1495" i="29"/>
  <c r="T1495" i="29"/>
  <c r="S1465" i="29"/>
  <c r="T1465" i="29"/>
  <c r="W1465" i="29"/>
  <c r="S3360" i="29"/>
  <c r="T3360" i="29"/>
  <c r="J3360" i="29"/>
  <c r="T3269" i="29"/>
  <c r="S3269" i="29"/>
  <c r="T779" i="29"/>
  <c r="W779" i="29"/>
  <c r="S4190" i="29"/>
  <c r="T3062" i="29"/>
  <c r="J3062" i="29"/>
  <c r="T2446" i="29"/>
  <c r="J2446" i="29"/>
  <c r="W697" i="29"/>
  <c r="U697" i="29"/>
  <c r="T3477" i="29"/>
  <c r="J3477" i="29"/>
  <c r="S2545" i="29"/>
  <c r="T4026" i="29"/>
  <c r="J4026" i="29"/>
  <c r="K4026" i="29"/>
  <c r="S2395" i="29"/>
  <c r="W48" i="29"/>
  <c r="U48" i="29"/>
  <c r="S4421" i="29"/>
  <c r="T3287" i="29"/>
  <c r="J3287" i="29"/>
  <c r="U3287" i="29"/>
  <c r="W5318" i="29"/>
  <c r="S732" i="29"/>
  <c r="J732" i="29"/>
  <c r="S4735" i="29"/>
  <c r="J3866" i="29"/>
  <c r="T3313" i="29"/>
  <c r="J3313" i="29"/>
  <c r="S2768" i="29"/>
  <c r="T1614" i="29"/>
  <c r="T1955" i="29"/>
  <c r="V3512" i="29"/>
  <c r="S2557" i="29"/>
  <c r="T291" i="29"/>
  <c r="W291" i="29"/>
  <c r="S5007" i="29"/>
  <c r="S5005" i="29"/>
  <c r="T5005" i="29"/>
  <c r="J5005" i="29"/>
  <c r="S4981" i="29"/>
  <c r="T4981" i="29"/>
  <c r="J4981" i="29"/>
  <c r="S2581" i="29"/>
  <c r="T2581" i="29"/>
  <c r="W2581" i="29"/>
  <c r="T5058" i="29"/>
  <c r="J5058" i="29"/>
  <c r="K5058" i="29"/>
  <c r="S5058" i="29"/>
  <c r="S1445" i="29"/>
  <c r="T3934" i="29"/>
  <c r="J3934" i="29"/>
  <c r="S3934" i="29"/>
  <c r="S3410" i="29"/>
  <c r="T3410" i="29"/>
  <c r="J3410" i="29"/>
  <c r="S441" i="29"/>
  <c r="T441" i="29"/>
  <c r="W441" i="29"/>
  <c r="U441" i="29"/>
  <c r="T3391" i="29"/>
  <c r="J3391" i="29"/>
  <c r="T3413" i="29"/>
  <c r="J3413" i="29"/>
  <c r="T4823" i="29"/>
  <c r="W3965" i="29"/>
  <c r="S1917" i="29"/>
  <c r="T4732" i="29"/>
  <c r="S3512" i="29"/>
  <c r="T4345" i="29"/>
  <c r="J4345" i="29"/>
  <c r="K4345" i="29"/>
  <c r="S5318" i="29"/>
  <c r="S3774" i="29"/>
  <c r="T3085" i="29"/>
  <c r="J3085" i="29"/>
  <c r="K3085" i="29"/>
  <c r="T3357" i="29"/>
  <c r="S3357" i="29"/>
  <c r="S2305" i="29"/>
  <c r="T2305" i="29"/>
  <c r="W2305" i="29"/>
  <c r="S2188" i="29"/>
  <c r="T2188" i="29"/>
  <c r="J2188" i="29"/>
  <c r="K2188" i="29"/>
  <c r="T543" i="29"/>
  <c r="W543" i="29"/>
  <c r="S543" i="29"/>
  <c r="S5458" i="29"/>
  <c r="T5458" i="29"/>
  <c r="J5458" i="29"/>
  <c r="S5575" i="29"/>
  <c r="T5575" i="29"/>
  <c r="T5627" i="29"/>
  <c r="J5627" i="29"/>
  <c r="K5627" i="29"/>
  <c r="S5627" i="29"/>
  <c r="T5703" i="29"/>
  <c r="J5703" i="29"/>
  <c r="S5703" i="29"/>
  <c r="S5711" i="29"/>
  <c r="T5711" i="29"/>
  <c r="J5711" i="29"/>
  <c r="T4958" i="29"/>
  <c r="J4958" i="29"/>
  <c r="K4958" i="29"/>
  <c r="S4958" i="29"/>
  <c r="S4891" i="29"/>
  <c r="T4891" i="29"/>
  <c r="J4891" i="29"/>
  <c r="T3925" i="29"/>
  <c r="J3925" i="29"/>
  <c r="K3925" i="29"/>
  <c r="S3925" i="29"/>
  <c r="S3853" i="29"/>
  <c r="T3853" i="29"/>
  <c r="J3853" i="29"/>
  <c r="T3632" i="29"/>
  <c r="J3632" i="29"/>
  <c r="S3632" i="29"/>
  <c r="S2587" i="29"/>
  <c r="T2587" i="29"/>
  <c r="J2587" i="29"/>
  <c r="S5063" i="29"/>
  <c r="T5063" i="29"/>
  <c r="J5063" i="29"/>
  <c r="K5063" i="29"/>
  <c r="W5257" i="29"/>
  <c r="J5257" i="29"/>
  <c r="S5426" i="29"/>
  <c r="T5426" i="29"/>
  <c r="J5426" i="29"/>
  <c r="K5426" i="29"/>
  <c r="S5487" i="29"/>
  <c r="T5487" i="29"/>
  <c r="J5487" i="29"/>
  <c r="S5535" i="29"/>
  <c r="T5535" i="29"/>
  <c r="S5549" i="29"/>
  <c r="T5549" i="29"/>
  <c r="J5549" i="29"/>
  <c r="K5549" i="29"/>
  <c r="S5094" i="29"/>
  <c r="T3928" i="29"/>
  <c r="J3928" i="29"/>
  <c r="S3928" i="29"/>
  <c r="S3619" i="29"/>
  <c r="T3619" i="29"/>
  <c r="J3619" i="29"/>
  <c r="K3619" i="29"/>
  <c r="T3571" i="29"/>
  <c r="J3571" i="29"/>
  <c r="S3571" i="29"/>
  <c r="T2701" i="29"/>
  <c r="J2701" i="29"/>
  <c r="K2701" i="29"/>
  <c r="S2701" i="29"/>
  <c r="S2551" i="29"/>
  <c r="T2551" i="29"/>
  <c r="W2551" i="29"/>
  <c r="T2469" i="29"/>
  <c r="W2469" i="29"/>
  <c r="S2469" i="29"/>
  <c r="S1291" i="29"/>
  <c r="T1291" i="29"/>
  <c r="W1291" i="29"/>
  <c r="J1040" i="29"/>
  <c r="K1040" i="29"/>
  <c r="W1040" i="29"/>
  <c r="T1030" i="29"/>
  <c r="S1030" i="29"/>
  <c r="J258" i="29"/>
  <c r="K258" i="29"/>
  <c r="W258" i="29"/>
  <c r="W5096" i="29"/>
  <c r="J5096" i="29"/>
  <c r="S5376" i="29"/>
  <c r="T5376" i="29"/>
  <c r="T5570" i="29"/>
  <c r="J5570" i="29"/>
  <c r="S5570" i="29"/>
  <c r="S3281" i="29"/>
  <c r="T3281" i="29"/>
  <c r="J3281" i="29"/>
  <c r="S1400" i="29"/>
  <c r="T1400" i="29"/>
  <c r="S378" i="29"/>
  <c r="J378" i="29"/>
  <c r="T378" i="29"/>
  <c r="W378" i="29"/>
  <c r="J147" i="29"/>
  <c r="W147" i="29"/>
  <c r="T5215" i="29"/>
  <c r="J5215" i="29"/>
  <c r="S5215" i="29"/>
  <c r="T3809" i="29"/>
  <c r="J3809" i="29"/>
  <c r="T5142" i="29"/>
  <c r="J5142" i="29"/>
  <c r="T1896" i="29"/>
  <c r="J1896" i="29"/>
  <c r="K1896" i="29"/>
  <c r="S1896" i="29"/>
  <c r="J4014" i="29"/>
  <c r="K4014" i="29"/>
  <c r="S3243" i="29"/>
  <c r="S3508" i="29"/>
  <c r="S3600" i="29"/>
  <c r="T703" i="29"/>
  <c r="J155" i="29"/>
  <c r="S3719" i="29"/>
  <c r="T4838" i="29"/>
  <c r="J4838" i="29"/>
  <c r="S4838" i="29"/>
  <c r="S2443" i="29"/>
  <c r="T2443" i="29"/>
  <c r="T1062" i="29"/>
  <c r="W1062" i="29"/>
  <c r="S1062" i="29"/>
  <c r="S788" i="29"/>
  <c r="T788" i="29"/>
  <c r="S5183" i="29"/>
  <c r="T2679" i="29"/>
  <c r="S2679" i="29"/>
  <c r="T2660" i="29"/>
  <c r="J2660" i="29"/>
  <c r="K2660" i="29"/>
  <c r="S2660" i="29"/>
  <c r="T2439" i="29"/>
  <c r="J2439" i="29"/>
  <c r="S2439" i="29"/>
  <c r="T5233" i="29"/>
  <c r="J5233" i="29"/>
  <c r="S5233" i="29"/>
  <c r="T5392" i="29"/>
  <c r="S5392" i="29"/>
  <c r="J5579" i="29"/>
  <c r="K5579" i="29"/>
  <c r="T2998" i="29"/>
  <c r="W2998" i="29"/>
  <c r="U2998" i="29"/>
  <c r="S2998" i="29"/>
  <c r="S2833" i="29"/>
  <c r="T2833" i="29"/>
  <c r="J2833" i="29"/>
  <c r="S1512" i="29"/>
  <c r="T1512" i="29"/>
  <c r="J139" i="29"/>
  <c r="K139" i="29"/>
  <c r="W139" i="29"/>
  <c r="S5078" i="29"/>
  <c r="T5078" i="29"/>
  <c r="J5078" i="29"/>
  <c r="S5301" i="29"/>
  <c r="T5301" i="29"/>
  <c r="J5301" i="29"/>
  <c r="W966" i="29"/>
  <c r="S4797" i="29"/>
  <c r="T4797" i="29"/>
  <c r="J4797" i="29"/>
  <c r="T3950" i="29"/>
  <c r="W3950" i="29"/>
  <c r="U3950" i="29"/>
  <c r="S3950" i="29"/>
  <c r="T3445" i="29"/>
  <c r="J3445" i="29"/>
  <c r="S3445" i="29"/>
  <c r="S3328" i="29"/>
  <c r="T3328" i="29"/>
  <c r="J3328" i="29"/>
  <c r="T3515" i="29"/>
  <c r="J3515" i="29"/>
  <c r="K3515" i="29"/>
  <c r="J3299" i="29"/>
  <c r="K3299" i="29"/>
  <c r="W3299" i="29"/>
  <c r="T3325" i="29"/>
  <c r="J3325" i="29"/>
  <c r="S1993" i="29"/>
  <c r="T3814" i="29"/>
  <c r="J3814" i="29"/>
  <c r="T419" i="29"/>
  <c r="W419" i="29"/>
  <c r="S3603" i="29"/>
  <c r="T4983" i="29"/>
  <c r="J4983" i="29"/>
  <c r="K4983" i="29"/>
  <c r="J1052" i="29"/>
  <c r="T1454" i="29"/>
  <c r="J1454" i="29"/>
  <c r="S3524" i="29"/>
  <c r="J4295" i="29"/>
  <c r="S2233" i="29"/>
  <c r="T3874" i="29"/>
  <c r="J3874" i="29"/>
  <c r="K3874" i="29"/>
  <c r="S3874" i="29"/>
  <c r="S3274" i="29"/>
  <c r="T3274" i="29"/>
  <c r="J3274" i="29"/>
  <c r="S3042" i="29"/>
  <c r="T3042" i="29"/>
  <c r="J3042" i="29"/>
  <c r="S447" i="29"/>
  <c r="T447" i="29"/>
  <c r="W447" i="29"/>
  <c r="U447" i="29"/>
  <c r="S349" i="29"/>
  <c r="T349" i="29"/>
  <c r="W349" i="29"/>
  <c r="U349" i="29"/>
  <c r="K326" i="29"/>
  <c r="K294" i="29"/>
  <c r="T271" i="29"/>
  <c r="W271" i="29"/>
  <c r="U271" i="29"/>
  <c r="S271" i="29"/>
  <c r="W92" i="29"/>
  <c r="T5186" i="29"/>
  <c r="J5186" i="29"/>
  <c r="S5186" i="29"/>
  <c r="T5253" i="29"/>
  <c r="J5253" i="29"/>
  <c r="K5253" i="29"/>
  <c r="S5253" i="29"/>
  <c r="S5438" i="29"/>
  <c r="T5438" i="29"/>
  <c r="J5438" i="29"/>
  <c r="T5406" i="29"/>
  <c r="W5406" i="29"/>
  <c r="S5406" i="29"/>
  <c r="W388" i="29"/>
  <c r="U388" i="29"/>
  <c r="S4110" i="29"/>
  <c r="T4110" i="29"/>
  <c r="J4110" i="29"/>
  <c r="U4110" i="29"/>
  <c r="S4022" i="29"/>
  <c r="T4022" i="29"/>
  <c r="J4022" i="29"/>
  <c r="K4022" i="29"/>
  <c r="S3962" i="29"/>
  <c r="T3962" i="29"/>
  <c r="J3962" i="29"/>
  <c r="S631" i="29"/>
  <c r="T631" i="29"/>
  <c r="W631" i="29"/>
  <c r="U631" i="29"/>
  <c r="S605" i="29"/>
  <c r="T605" i="29"/>
  <c r="W605" i="29"/>
  <c r="T577" i="29"/>
  <c r="W577" i="29"/>
  <c r="S577" i="29"/>
  <c r="S306" i="29"/>
  <c r="T306" i="29"/>
  <c r="W306" i="29"/>
  <c r="T290" i="29"/>
  <c r="W290" i="29"/>
  <c r="U290" i="29"/>
  <c r="S290" i="29"/>
  <c r="J173" i="29"/>
  <c r="K173" i="29"/>
  <c r="W173" i="29"/>
  <c r="W130" i="29"/>
  <c r="J130" i="29"/>
  <c r="K130" i="29"/>
  <c r="J5" i="29"/>
  <c r="W5" i="29"/>
  <c r="T5184" i="29"/>
  <c r="S5184" i="29"/>
  <c r="S5213" i="29"/>
  <c r="T5213" i="29"/>
  <c r="J5213" i="29"/>
  <c r="T5248" i="29"/>
  <c r="S5248" i="29"/>
  <c r="J5260" i="29"/>
  <c r="T4440" i="29"/>
  <c r="J4440" i="29"/>
  <c r="S4440" i="29"/>
  <c r="T777" i="29"/>
  <c r="S777" i="29"/>
  <c r="S4614" i="29"/>
  <c r="T4614" i="29"/>
  <c r="J4614" i="29"/>
  <c r="K4614" i="29"/>
  <c r="S1173" i="29"/>
  <c r="T1173" i="29"/>
  <c r="W1173" i="29"/>
  <c r="S6171" i="29"/>
  <c r="T6171" i="29"/>
  <c r="J6171" i="29"/>
  <c r="T6474" i="29"/>
  <c r="J6474" i="29"/>
  <c r="K6474" i="29"/>
  <c r="S6474" i="29"/>
  <c r="J3815" i="29"/>
  <c r="K3815" i="29"/>
  <c r="T3400" i="29"/>
  <c r="J3400" i="29"/>
  <c r="S4655" i="29"/>
  <c r="S4021" i="29"/>
  <c r="T4021" i="29"/>
  <c r="J4021" i="29"/>
  <c r="J2484" i="29"/>
  <c r="K2484" i="29"/>
  <c r="W2484" i="29"/>
  <c r="T2217" i="29"/>
  <c r="S2217" i="29"/>
  <c r="S1700" i="29"/>
  <c r="T1700" i="29"/>
  <c r="W1700" i="29"/>
  <c r="U1700" i="29"/>
  <c r="S4545" i="29"/>
  <c r="W1623" i="29"/>
  <c r="S3384" i="29"/>
  <c r="S2639" i="29"/>
  <c r="T3924" i="29"/>
  <c r="J3924" i="29"/>
  <c r="S4420" i="29"/>
  <c r="T4420" i="29"/>
  <c r="J4420" i="29"/>
  <c r="K4420" i="29"/>
  <c r="S4230" i="29"/>
  <c r="T4230" i="29"/>
  <c r="J4230" i="29"/>
  <c r="T2066" i="29"/>
  <c r="S2066" i="29"/>
  <c r="S2060" i="29"/>
  <c r="T2060" i="29"/>
  <c r="W2060" i="29"/>
  <c r="J1916" i="29"/>
  <c r="K1916" i="29"/>
  <c r="W1916" i="29"/>
  <c r="W1804" i="29"/>
  <c r="J1804" i="29"/>
  <c r="T436" i="29"/>
  <c r="W436" i="29"/>
  <c r="S436" i="29"/>
  <c r="J1318" i="29"/>
  <c r="J3201" i="29"/>
  <c r="S4777" i="29"/>
  <c r="T4497" i="29"/>
  <c r="J4497" i="29"/>
  <c r="T2983" i="29"/>
  <c r="J2983" i="29"/>
  <c r="S2983" i="29"/>
  <c r="T2869" i="29"/>
  <c r="J2869" i="29"/>
  <c r="K2869" i="29"/>
  <c r="S2869" i="29"/>
  <c r="S2276" i="29"/>
  <c r="T2276" i="29"/>
  <c r="J2276" i="29"/>
  <c r="K2276" i="29"/>
  <c r="T1715" i="29"/>
  <c r="S1715" i="29"/>
  <c r="S1556" i="29"/>
  <c r="T1556" i="29"/>
  <c r="W1556" i="29"/>
  <c r="J839" i="29"/>
  <c r="K839" i="29"/>
  <c r="T588" i="29"/>
  <c r="W588" i="29"/>
  <c r="U588" i="29"/>
  <c r="S588" i="29"/>
  <c r="T5159" i="29"/>
  <c r="J5159" i="29"/>
  <c r="S5159" i="29"/>
  <c r="S5314" i="29"/>
  <c r="T5314" i="29"/>
  <c r="J5314" i="29"/>
  <c r="S5303" i="29"/>
  <c r="T5303" i="29"/>
  <c r="J5303" i="29"/>
  <c r="S1243" i="29"/>
  <c r="T2978" i="29"/>
  <c r="J2978" i="29"/>
  <c r="T4671" i="29"/>
  <c r="J4671" i="29"/>
  <c r="W4299" i="29"/>
  <c r="S3490" i="29"/>
  <c r="T3490" i="29"/>
  <c r="W3490" i="29"/>
  <c r="U3490" i="29"/>
  <c r="T3474" i="29"/>
  <c r="J3474" i="29"/>
  <c r="K3474" i="29"/>
  <c r="S3474" i="29"/>
  <c r="T3446" i="29"/>
  <c r="S3446" i="29"/>
  <c r="T3053" i="29"/>
  <c r="J3053" i="29"/>
  <c r="K3053" i="29"/>
  <c r="S3053" i="29"/>
  <c r="S671" i="29"/>
  <c r="T671" i="29"/>
  <c r="W671" i="29"/>
  <c r="U671" i="29"/>
  <c r="J3888" i="29"/>
  <c r="T4558" i="29"/>
  <c r="J4558" i="29"/>
  <c r="K4558" i="29"/>
  <c r="J4919" i="29"/>
  <c r="S2387" i="29"/>
  <c r="T2387" i="29"/>
  <c r="J2387" i="29"/>
  <c r="S309" i="29"/>
  <c r="T309" i="29"/>
  <c r="W309" i="29"/>
  <c r="T293" i="29"/>
  <c r="W293" i="29"/>
  <c r="U293" i="29"/>
  <c r="S293" i="29"/>
  <c r="T7993" i="29"/>
  <c r="J7993" i="29"/>
  <c r="K7993" i="29"/>
  <c r="S7993" i="29"/>
  <c r="S3948" i="29"/>
  <c r="T3948" i="29"/>
  <c r="J3948" i="29"/>
  <c r="K3948" i="29"/>
  <c r="W994" i="29"/>
  <c r="K717" i="29"/>
  <c r="K663" i="29"/>
  <c r="W563" i="29"/>
  <c r="S504" i="29"/>
  <c r="K450" i="29"/>
  <c r="W365" i="29"/>
  <c r="U365" i="29"/>
  <c r="T7907" i="29"/>
  <c r="S7907" i="29"/>
  <c r="T573" i="29"/>
  <c r="W573" i="29"/>
  <c r="S573" i="29"/>
  <c r="K453" i="29"/>
  <c r="S6574" i="29"/>
  <c r="T6574" i="29"/>
  <c r="J6574" i="29"/>
  <c r="K6574" i="29"/>
  <c r="S6871" i="29"/>
  <c r="T6871" i="29"/>
  <c r="J6871" i="29"/>
  <c r="K6871" i="29"/>
  <c r="T7851" i="29"/>
  <c r="J7851" i="29"/>
  <c r="K7851" i="29"/>
  <c r="S7922" i="29"/>
  <c r="T7922" i="29"/>
  <c r="J7922" i="29"/>
  <c r="K7922" i="29"/>
  <c r="S2124" i="29"/>
  <c r="T2124" i="29"/>
  <c r="S1193" i="29"/>
  <c r="T1193" i="29"/>
  <c r="W1193" i="29"/>
  <c r="T1056" i="29"/>
  <c r="W1056" i="29"/>
  <c r="U1056" i="29"/>
  <c r="S1056" i="29"/>
  <c r="T1003" i="29"/>
  <c r="W1003" i="29"/>
  <c r="U1003" i="29"/>
  <c r="S751" i="29"/>
  <c r="K701" i="29"/>
  <c r="K650" i="29"/>
  <c r="S636" i="29"/>
  <c r="T636" i="29"/>
  <c r="W636" i="29"/>
  <c r="U636" i="29"/>
  <c r="T579" i="29"/>
  <c r="W579" i="29"/>
  <c r="U579" i="29"/>
  <c r="S579" i="29"/>
  <c r="K541" i="29"/>
  <c r="T449" i="29"/>
  <c r="W449" i="29"/>
  <c r="S449" i="29"/>
  <c r="K440" i="29"/>
  <c r="T5985" i="29"/>
  <c r="J5985" i="29"/>
  <c r="K5985" i="29"/>
  <c r="S5985" i="29"/>
  <c r="T6114" i="29"/>
  <c r="J6114" i="29"/>
  <c r="S6114" i="29"/>
  <c r="T3193" i="29"/>
  <c r="W3193" i="29"/>
  <c r="S3193" i="29"/>
  <c r="S2939" i="29"/>
  <c r="T2939" i="29"/>
  <c r="J2939" i="29"/>
  <c r="T2866" i="29"/>
  <c r="J2866" i="29"/>
  <c r="S2866" i="29"/>
  <c r="T2190" i="29"/>
  <c r="W2190" i="29"/>
  <c r="U2190" i="29"/>
  <c r="S2190" i="29"/>
  <c r="T2111" i="29"/>
  <c r="W2111" i="29"/>
  <c r="S2111" i="29"/>
  <c r="S1836" i="29"/>
  <c r="T1836" i="29"/>
  <c r="T1601" i="29"/>
  <c r="J1601" i="29"/>
  <c r="K1601" i="29"/>
  <c r="S1601" i="29"/>
  <c r="K1583" i="29"/>
  <c r="S1469" i="29"/>
  <c r="T1469" i="29"/>
  <c r="W1469" i="29"/>
  <c r="U1469" i="29"/>
  <c r="K1338" i="29"/>
  <c r="K1212" i="29"/>
  <c r="T1124" i="29"/>
  <c r="W1124" i="29"/>
  <c r="U1124" i="29"/>
  <c r="S1124" i="29"/>
  <c r="K1003" i="29"/>
  <c r="T728" i="29"/>
  <c r="W728" i="29"/>
  <c r="S728" i="29"/>
  <c r="T5838" i="29"/>
  <c r="J5838" i="29"/>
  <c r="S5838" i="29"/>
  <c r="T5922" i="29"/>
  <c r="J5922" i="29"/>
  <c r="K5922" i="29"/>
  <c r="S5922" i="29"/>
  <c r="S7714" i="29"/>
  <c r="T7714" i="29"/>
  <c r="J7714" i="29"/>
  <c r="U7714" i="29"/>
  <c r="S5710" i="29"/>
  <c r="T5710" i="29"/>
  <c r="J5710" i="29"/>
  <c r="K5710" i="29"/>
  <c r="T5718" i="29"/>
  <c r="J5718" i="29"/>
  <c r="S5718" i="29"/>
  <c r="T5835" i="29"/>
  <c r="J5835" i="29"/>
  <c r="S5835" i="29"/>
  <c r="S5964" i="29"/>
  <c r="T5964" i="29"/>
  <c r="J5964" i="29"/>
  <c r="S7451" i="29"/>
  <c r="T7451" i="29"/>
  <c r="J7451" i="29"/>
  <c r="K7451" i="29"/>
  <c r="J7837" i="29"/>
  <c r="K7837" i="29"/>
  <c r="W2686" i="29"/>
  <c r="U2686" i="29"/>
  <c r="W1999" i="29"/>
  <c r="S1877" i="29"/>
  <c r="K1751" i="29"/>
  <c r="J1671" i="29"/>
  <c r="K1671" i="29"/>
  <c r="W1592" i="29"/>
  <c r="J1592" i="29"/>
  <c r="K1592" i="29"/>
  <c r="S1220" i="29"/>
  <c r="K1196" i="29"/>
  <c r="K1072" i="29"/>
  <c r="T996" i="29"/>
  <c r="W996" i="29"/>
  <c r="U996" i="29"/>
  <c r="T5935" i="29"/>
  <c r="J5935" i="29"/>
  <c r="S5935" i="29"/>
  <c r="J2743" i="29"/>
  <c r="U2743" i="29"/>
  <c r="J4443" i="29"/>
  <c r="U4443" i="29"/>
  <c r="S4610" i="29"/>
  <c r="T4351" i="29"/>
  <c r="W4351" i="29"/>
  <c r="S4351" i="29"/>
  <c r="J3884" i="29"/>
  <c r="S3568" i="29"/>
  <c r="T3568" i="29"/>
  <c r="J3568" i="29"/>
  <c r="U3568" i="29"/>
  <c r="K3351" i="29"/>
  <c r="S3316" i="29"/>
  <c r="T3316" i="29"/>
  <c r="S3186" i="29"/>
  <c r="T3186" i="29"/>
  <c r="J3186" i="29"/>
  <c r="K3186" i="29"/>
  <c r="T1971" i="29"/>
  <c r="S1971" i="29"/>
  <c r="W1484" i="29"/>
  <c r="S1282" i="29"/>
  <c r="T1282" i="29"/>
  <c r="S5489" i="29"/>
  <c r="T5489" i="29"/>
  <c r="J5489" i="29"/>
  <c r="U5489" i="29"/>
  <c r="S5564" i="29"/>
  <c r="T5564" i="29"/>
  <c r="J5564" i="29"/>
  <c r="K5564" i="29"/>
  <c r="J5622" i="29"/>
  <c r="T5829" i="29"/>
  <c r="S5829" i="29"/>
  <c r="T5953" i="29"/>
  <c r="J5953" i="29"/>
  <c r="K5953" i="29"/>
  <c r="S5953" i="29"/>
  <c r="K518" i="29"/>
  <c r="T5009" i="29"/>
  <c r="W1371" i="29"/>
  <c r="U1371" i="29"/>
  <c r="S4988" i="29"/>
  <c r="T4988" i="29"/>
  <c r="J4988" i="29"/>
  <c r="S4199" i="29"/>
  <c r="T4199" i="29"/>
  <c r="J4199" i="29"/>
  <c r="S4120" i="29"/>
  <c r="S2746" i="29"/>
  <c r="T2746" i="29"/>
  <c r="W2746" i="29"/>
  <c r="U2746" i="29"/>
  <c r="T2638" i="29"/>
  <c r="J2638" i="29"/>
  <c r="S2638" i="29"/>
  <c r="T1832" i="29"/>
  <c r="W1832" i="29"/>
  <c r="S1832" i="29"/>
  <c r="W1570" i="29"/>
  <c r="K5676" i="29"/>
  <c r="T5818" i="29"/>
  <c r="J5818" i="29"/>
  <c r="K5818" i="29"/>
  <c r="S5818" i="29"/>
  <c r="S5827" i="29"/>
  <c r="T5827" i="29"/>
  <c r="J5827" i="29"/>
  <c r="T7423" i="29"/>
  <c r="J7423" i="29"/>
  <c r="K7423" i="29"/>
  <c r="S7423" i="29"/>
  <c r="S6736" i="29"/>
  <c r="W259" i="29"/>
  <c r="W196" i="29"/>
  <c r="W122" i="29"/>
  <c r="K3783" i="29"/>
  <c r="J3637" i="29"/>
  <c r="K3593" i="29"/>
  <c r="J3517" i="29"/>
  <c r="W2138" i="29"/>
  <c r="K2052" i="29"/>
  <c r="W1811" i="29"/>
  <c r="W1716" i="29"/>
  <c r="W1686" i="29"/>
  <c r="W1331" i="29"/>
  <c r="W1288" i="29"/>
  <c r="K1211" i="29"/>
  <c r="S1186" i="29"/>
  <c r="T1055" i="29"/>
  <c r="W1055" i="29"/>
  <c r="U1055" i="29"/>
  <c r="S1002" i="29"/>
  <c r="K962" i="29"/>
  <c r="W904" i="29"/>
  <c r="T869" i="29"/>
  <c r="W869" i="29"/>
  <c r="U869" i="29"/>
  <c r="K797" i="29"/>
  <c r="K763" i="29"/>
  <c r="T709" i="29"/>
  <c r="W709" i="29"/>
  <c r="T693" i="29"/>
  <c r="J693" i="29"/>
  <c r="K484" i="29"/>
  <c r="T7035" i="29"/>
  <c r="J7035" i="29"/>
  <c r="K7035" i="29"/>
  <c r="S7534" i="29"/>
  <c r="J127" i="29"/>
  <c r="J4975" i="29"/>
  <c r="K3805" i="29"/>
  <c r="K2282" i="29"/>
  <c r="W2211" i="29"/>
  <c r="J1986" i="29"/>
  <c r="T1113" i="29"/>
  <c r="W1113" i="29"/>
  <c r="U1113" i="29"/>
  <c r="T718" i="29"/>
  <c r="W718" i="29"/>
  <c r="U718" i="29"/>
  <c r="J6235" i="29"/>
  <c r="J6872" i="29"/>
  <c r="K6872" i="29"/>
  <c r="W1557" i="29"/>
  <c r="T1504" i="29"/>
  <c r="W1504" i="29"/>
  <c r="U1504" i="29"/>
  <c r="S971" i="29"/>
  <c r="W689" i="29"/>
  <c r="U689" i="29"/>
  <c r="K74" i="29"/>
  <c r="J5174" i="29"/>
  <c r="J6476" i="29"/>
  <c r="T7110" i="29"/>
  <c r="J7110" i="29"/>
  <c r="T7385" i="29"/>
  <c r="J7385" i="29"/>
  <c r="K2688" i="29"/>
  <c r="K939" i="29"/>
  <c r="K664" i="29"/>
  <c r="K622" i="29"/>
  <c r="K327" i="29"/>
  <c r="J6122" i="29"/>
  <c r="J7860" i="29"/>
  <c r="K7860" i="29"/>
  <c r="S4714" i="29"/>
  <c r="J3867" i="29"/>
  <c r="K3867" i="29"/>
  <c r="J2578" i="29"/>
  <c r="K2578" i="29"/>
  <c r="K220" i="29"/>
  <c r="K145" i="29"/>
  <c r="J5757" i="29"/>
  <c r="J6962" i="29"/>
  <c r="K6962" i="29"/>
  <c r="S7189" i="29"/>
  <c r="J7786" i="29"/>
  <c r="K7786" i="29"/>
  <c r="T8067" i="29"/>
  <c r="J8067" i="29"/>
  <c r="K8067" i="29"/>
  <c r="J4124" i="29"/>
  <c r="J4102" i="29"/>
  <c r="J2560" i="29"/>
  <c r="K2560" i="29"/>
  <c r="W1950" i="29"/>
  <c r="W1687" i="29"/>
  <c r="T1115" i="29"/>
  <c r="W1115" i="29"/>
  <c r="U1115" i="29"/>
  <c r="J902" i="29"/>
  <c r="K406" i="29"/>
  <c r="S384" i="29"/>
  <c r="K304" i="29"/>
  <c r="K272" i="29"/>
  <c r="S6962" i="29"/>
  <c r="S7984" i="29"/>
  <c r="J4610" i="29"/>
  <c r="K3112" i="29"/>
  <c r="K2376" i="29"/>
  <c r="W1818" i="29"/>
  <c r="K1718" i="29"/>
  <c r="J1709" i="29"/>
  <c r="J1178" i="29"/>
  <c r="T970" i="29"/>
  <c r="W970" i="29"/>
  <c r="U970" i="29"/>
  <c r="K868" i="29"/>
  <c r="K740" i="29"/>
  <c r="K695" i="29"/>
  <c r="W678" i="29"/>
  <c r="K339" i="29"/>
  <c r="K209" i="29"/>
  <c r="W194" i="29"/>
  <c r="U194" i="29"/>
  <c r="J43" i="29"/>
  <c r="W35" i="29"/>
  <c r="J5444" i="29"/>
  <c r="J5714" i="29"/>
  <c r="K5714" i="29"/>
  <c r="T6965" i="29"/>
  <c r="J6965" i="29"/>
  <c r="T7495" i="29"/>
  <c r="J7495" i="29"/>
  <c r="T8080" i="29"/>
  <c r="J8080" i="29"/>
  <c r="J1613" i="29"/>
  <c r="W1613" i="29"/>
  <c r="J2007" i="29"/>
  <c r="K2007" i="29"/>
  <c r="W2007" i="29"/>
  <c r="J6258" i="29"/>
  <c r="K6258" i="29"/>
  <c r="W6258" i="29"/>
  <c r="S6528" i="29"/>
  <c r="T6528" i="29"/>
  <c r="J6528" i="29"/>
  <c r="K6528" i="29"/>
  <c r="S4672" i="29"/>
  <c r="T4672" i="29"/>
  <c r="J4672" i="29"/>
  <c r="S5037" i="29"/>
  <c r="T5037" i="29"/>
  <c r="W5037" i="29"/>
  <c r="S4991" i="29"/>
  <c r="T4991" i="29"/>
  <c r="J4991" i="29"/>
  <c r="J2041" i="29"/>
  <c r="S6556" i="29"/>
  <c r="T6556" i="29"/>
  <c r="J6556" i="29"/>
  <c r="S1591" i="29"/>
  <c r="T1591" i="29"/>
  <c r="J1591" i="29"/>
  <c r="S6418" i="29"/>
  <c r="J2199" i="29"/>
  <c r="K2199" i="29"/>
  <c r="S2113" i="29"/>
  <c r="T2113" i="29"/>
  <c r="W2113" i="29"/>
  <c r="T2098" i="29"/>
  <c r="W2098" i="29"/>
  <c r="S2098" i="29"/>
  <c r="T1995" i="29"/>
  <c r="W1995" i="29"/>
  <c r="U1995" i="29"/>
  <c r="S1995" i="29"/>
  <c r="S1873" i="29"/>
  <c r="T1873" i="29"/>
  <c r="J1873" i="29"/>
  <c r="U1873" i="29"/>
  <c r="K1820" i="29"/>
  <c r="S1789" i="29"/>
  <c r="T1789" i="29"/>
  <c r="W1789" i="29"/>
  <c r="U1789" i="29"/>
  <c r="T1780" i="29"/>
  <c r="W1780" i="29"/>
  <c r="S1780" i="29"/>
  <c r="T1731" i="29"/>
  <c r="W1731" i="29"/>
  <c r="U1731" i="29"/>
  <c r="S1731" i="29"/>
  <c r="J1294" i="29"/>
  <c r="W1294" i="29"/>
  <c r="S1241" i="29"/>
  <c r="T1241" i="29"/>
  <c r="T1226" i="29"/>
  <c r="S1226" i="29"/>
  <c r="T1189" i="29"/>
  <c r="W1189" i="29"/>
  <c r="S1189" i="29"/>
  <c r="S1098" i="29"/>
  <c r="T1098" i="29"/>
  <c r="J1089" i="29"/>
  <c r="K1089" i="29"/>
  <c r="T1065" i="29"/>
  <c r="W1065" i="29"/>
  <c r="U1065" i="29"/>
  <c r="S1065" i="29"/>
  <c r="S984" i="29"/>
  <c r="T984" i="29"/>
  <c r="S897" i="29"/>
  <c r="T897" i="29"/>
  <c r="W897" i="29"/>
  <c r="U897" i="29"/>
  <c r="S834" i="29"/>
  <c r="T834" i="29"/>
  <c r="W834" i="29"/>
  <c r="U834" i="29"/>
  <c r="W819" i="29"/>
  <c r="J819" i="29"/>
  <c r="K819" i="29"/>
  <c r="T784" i="29"/>
  <c r="W784" i="29"/>
  <c r="U784" i="29"/>
  <c r="S784" i="29"/>
  <c r="J728" i="29"/>
  <c r="K728" i="29"/>
  <c r="T715" i="29"/>
  <c r="W715" i="29"/>
  <c r="U715" i="29"/>
  <c r="S715" i="29"/>
  <c r="S661" i="29"/>
  <c r="T661" i="29"/>
  <c r="W661" i="29"/>
  <c r="U661" i="29"/>
  <c r="J591" i="29"/>
  <c r="S578" i="29"/>
  <c r="T578" i="29"/>
  <c r="W578" i="29"/>
  <c r="U578" i="29"/>
  <c r="T575" i="29"/>
  <c r="W575" i="29"/>
  <c r="S575" i="29"/>
  <c r="S549" i="29"/>
  <c r="T549" i="29"/>
  <c r="W549" i="29"/>
  <c r="S6192" i="29"/>
  <c r="T6192" i="29"/>
  <c r="J6192" i="29"/>
  <c r="K6192" i="29"/>
  <c r="S6409" i="29"/>
  <c r="T6409" i="29"/>
  <c r="J6409" i="29"/>
  <c r="K6409" i="29"/>
  <c r="T6451" i="29"/>
  <c r="J6451" i="29"/>
  <c r="K6451" i="29"/>
  <c r="S6451" i="29"/>
  <c r="T8074" i="29"/>
  <c r="J8074" i="29"/>
  <c r="K8074" i="29"/>
  <c r="S8074" i="29"/>
  <c r="S7989" i="29"/>
  <c r="T7989" i="29"/>
  <c r="J7989" i="29"/>
  <c r="U7989" i="29"/>
  <c r="S4546" i="29"/>
  <c r="T4546" i="29"/>
  <c r="J4546" i="29"/>
  <c r="K4546" i="29"/>
  <c r="T3716" i="29"/>
  <c r="J3716" i="29"/>
  <c r="T6442" i="29"/>
  <c r="J6442" i="29"/>
  <c r="K6442" i="29"/>
  <c r="S6442" i="29"/>
  <c r="W1358" i="29"/>
  <c r="S7819" i="29"/>
  <c r="T7819" i="29"/>
  <c r="J7819" i="29"/>
  <c r="U7819" i="29"/>
  <c r="J175" i="29"/>
  <c r="W175" i="29"/>
  <c r="S6086" i="29"/>
  <c r="T6086" i="29"/>
  <c r="J6086" i="29"/>
  <c r="K6086" i="29"/>
  <c r="T6097" i="29"/>
  <c r="J6097" i="29"/>
  <c r="K6097" i="29"/>
  <c r="S6097" i="29"/>
  <c r="S6115" i="29"/>
  <c r="T6115" i="29"/>
  <c r="J6115" i="29"/>
  <c r="S6456" i="29"/>
  <c r="T6456" i="29"/>
  <c r="J6456" i="29"/>
  <c r="K6456" i="29"/>
  <c r="S1774" i="29"/>
  <c r="T1774" i="29"/>
  <c r="S7863" i="29"/>
  <c r="T7863" i="29"/>
  <c r="J7863" i="29"/>
  <c r="S6385" i="29"/>
  <c r="W1860" i="29"/>
  <c r="S600" i="29"/>
  <c r="T1919" i="29"/>
  <c r="J1919" i="29"/>
  <c r="T1691" i="29"/>
  <c r="J1691" i="29"/>
  <c r="S5814" i="29"/>
  <c r="T5814" i="29"/>
  <c r="J5814" i="29"/>
  <c r="T5866" i="29"/>
  <c r="J5866" i="29"/>
  <c r="K5866" i="29"/>
  <c r="S5866" i="29"/>
  <c r="T5993" i="29"/>
  <c r="J5993" i="29"/>
  <c r="U5993" i="29"/>
  <c r="S5993" i="29"/>
  <c r="T6005" i="29"/>
  <c r="J6005" i="29"/>
  <c r="K6005" i="29"/>
  <c r="S6005" i="29"/>
  <c r="T6286" i="29"/>
  <c r="S6286" i="29"/>
  <c r="T6429" i="29"/>
  <c r="J6429" i="29"/>
  <c r="K6429" i="29"/>
  <c r="S6429" i="29"/>
  <c r="T6457" i="29"/>
  <c r="J6457" i="29"/>
  <c r="K6457" i="29"/>
  <c r="S6457" i="29"/>
  <c r="S6472" i="29"/>
  <c r="T6472" i="29"/>
  <c r="J6472" i="29"/>
  <c r="T6563" i="29"/>
  <c r="J6563" i="29"/>
  <c r="S6563" i="29"/>
  <c r="S5015" i="29"/>
  <c r="T5015" i="29"/>
  <c r="J5015" i="29"/>
  <c r="J4467" i="29"/>
  <c r="S2266" i="29"/>
  <c r="T2266" i="29"/>
  <c r="S2054" i="29"/>
  <c r="T2054" i="29"/>
  <c r="T5753" i="29"/>
  <c r="J5753" i="29"/>
  <c r="S5753" i="29"/>
  <c r="S5759" i="29"/>
  <c r="T5759" i="29"/>
  <c r="J5759" i="29"/>
  <c r="K5759" i="29"/>
  <c r="T5775" i="29"/>
  <c r="J5775" i="29"/>
  <c r="S5775" i="29"/>
  <c r="T6720" i="29"/>
  <c r="J6720" i="29"/>
  <c r="S6720" i="29"/>
  <c r="S7014" i="29"/>
  <c r="T7014" i="29"/>
  <c r="J7014" i="29"/>
  <c r="S4969" i="29"/>
  <c r="T4969" i="29"/>
  <c r="J4969" i="29"/>
  <c r="T7805" i="29"/>
  <c r="J7805" i="29"/>
  <c r="S7805" i="29"/>
  <c r="T6487" i="29"/>
  <c r="J6487" i="29"/>
  <c r="K6487" i="29"/>
  <c r="S6487" i="29"/>
  <c r="W2097" i="29"/>
  <c r="J2954" i="29"/>
  <c r="K2954" i="29"/>
  <c r="T2157" i="29"/>
  <c r="J2157" i="29"/>
  <c r="K2157" i="29"/>
  <c r="S6353" i="29"/>
  <c r="T533" i="29"/>
  <c r="W533" i="29"/>
  <c r="T1275" i="29"/>
  <c r="W1275" i="29"/>
  <c r="U1275" i="29"/>
  <c r="T778" i="29"/>
  <c r="T2032" i="29"/>
  <c r="J2032" i="29"/>
  <c r="K2032" i="29"/>
  <c r="S2138" i="29"/>
  <c r="S3370" i="29"/>
  <c r="T3370" i="29"/>
  <c r="W3370" i="29"/>
  <c r="V3324" i="29"/>
  <c r="S3324" i="29"/>
  <c r="S3087" i="29"/>
  <c r="T3087" i="29"/>
  <c r="S2997" i="29"/>
  <c r="T2997" i="29"/>
  <c r="J2997" i="29"/>
  <c r="S2867" i="29"/>
  <c r="T2867" i="29"/>
  <c r="S2832" i="29"/>
  <c r="T2832" i="29"/>
  <c r="W2832" i="29"/>
  <c r="U2832" i="29"/>
  <c r="T2703" i="29"/>
  <c r="S2703" i="29"/>
  <c r="S2662" i="29"/>
  <c r="T2662" i="29"/>
  <c r="J2662" i="29"/>
  <c r="K2662" i="29"/>
  <c r="S2640" i="29"/>
  <c r="T2640" i="29"/>
  <c r="J2640" i="29"/>
  <c r="K2640" i="29"/>
  <c r="S2598" i="29"/>
  <c r="T2598" i="29"/>
  <c r="S2420" i="29"/>
  <c r="T2420" i="29"/>
  <c r="W2420" i="29"/>
  <c r="J2360" i="29"/>
  <c r="K2360" i="29"/>
  <c r="W2360" i="29"/>
  <c r="W2248" i="29"/>
  <c r="T1511" i="29"/>
  <c r="J1511" i="29"/>
  <c r="S1511" i="29"/>
  <c r="T439" i="29"/>
  <c r="W439" i="29"/>
  <c r="S439" i="29"/>
  <c r="T321" i="29"/>
  <c r="W321" i="29"/>
  <c r="S321" i="29"/>
  <c r="T6094" i="29"/>
  <c r="J6094" i="29"/>
  <c r="K6094" i="29"/>
  <c r="S6094" i="29"/>
  <c r="S6177" i="29"/>
  <c r="T6177" i="29"/>
  <c r="J6177" i="29"/>
  <c r="S6408" i="29"/>
  <c r="T6408" i="29"/>
  <c r="J6408" i="29"/>
  <c r="S289" i="29"/>
  <c r="J4884" i="29"/>
  <c r="J5121" i="29"/>
  <c r="W3110" i="29"/>
  <c r="J3461" i="29"/>
  <c r="S2007" i="29"/>
  <c r="T337" i="29"/>
  <c r="W337" i="29"/>
  <c r="T1895" i="29"/>
  <c r="T5029" i="29"/>
  <c r="S5029" i="29"/>
  <c r="T3854" i="29"/>
  <c r="J3854" i="29"/>
  <c r="S3854" i="29"/>
  <c r="T3819" i="29"/>
  <c r="S3819" i="29"/>
  <c r="T3772" i="29"/>
  <c r="J3772" i="29"/>
  <c r="S3772" i="29"/>
  <c r="S3683" i="29"/>
  <c r="T3683" i="29"/>
  <c r="T3601" i="29"/>
  <c r="J3601" i="29"/>
  <c r="S3601" i="29"/>
  <c r="S3585" i="29"/>
  <c r="T3585" i="29"/>
  <c r="W3585" i="29"/>
  <c r="T3541" i="29"/>
  <c r="J3541" i="29"/>
  <c r="U3541" i="29"/>
  <c r="S3541" i="29"/>
  <c r="S3497" i="29"/>
  <c r="T3497" i="29"/>
  <c r="J3497" i="29"/>
  <c r="S3396" i="29"/>
  <c r="T3396" i="29"/>
  <c r="J3396" i="29"/>
  <c r="T3373" i="29"/>
  <c r="S3373" i="29"/>
  <c r="S3355" i="29"/>
  <c r="T3355" i="29"/>
  <c r="S3289" i="29"/>
  <c r="T3289" i="29"/>
  <c r="J3289" i="29"/>
  <c r="T3248" i="29"/>
  <c r="W3248" i="29"/>
  <c r="S3248" i="29"/>
  <c r="T6437" i="29"/>
  <c r="J6437" i="29"/>
  <c r="K6437" i="29"/>
  <c r="S6437" i="29"/>
  <c r="T2260" i="29"/>
  <c r="S2260" i="29"/>
  <c r="J2055" i="29"/>
  <c r="W2055" i="29"/>
  <c r="J1771" i="29"/>
  <c r="K1771" i="29"/>
  <c r="W1771" i="29"/>
  <c r="W2921" i="29"/>
  <c r="J5352" i="29"/>
  <c r="S1101" i="29"/>
  <c r="S635" i="29"/>
  <c r="J1288" i="29"/>
  <c r="J3663" i="29"/>
  <c r="K3663" i="29"/>
  <c r="J4242" i="29"/>
  <c r="K4242" i="29"/>
  <c r="J932" i="29"/>
  <c r="S6258" i="29"/>
  <c r="S1613" i="29"/>
  <c r="T6732" i="29"/>
  <c r="J6732" i="29"/>
  <c r="K6732" i="29"/>
  <c r="S6732" i="29"/>
  <c r="T4521" i="29"/>
  <c r="J4521" i="29"/>
  <c r="K4521" i="29"/>
  <c r="S4521" i="29"/>
  <c r="T7908" i="29"/>
  <c r="J7908" i="29"/>
  <c r="K7908" i="29"/>
  <c r="S7908" i="29"/>
  <c r="T1922" i="29"/>
  <c r="J1922" i="29"/>
  <c r="S1922" i="29"/>
  <c r="S1728" i="29"/>
  <c r="T1728" i="29"/>
  <c r="W1728" i="29"/>
  <c r="S1594" i="29"/>
  <c r="T1594" i="29"/>
  <c r="S2082" i="29"/>
  <c r="T2082" i="29"/>
  <c r="T7919" i="29"/>
  <c r="J7919" i="29"/>
  <c r="S7919" i="29"/>
  <c r="W3324" i="29"/>
  <c r="T2048" i="29"/>
  <c r="J5200" i="29"/>
  <c r="S712" i="29"/>
  <c r="T3090" i="29"/>
  <c r="S3090" i="29"/>
  <c r="S3013" i="29"/>
  <c r="T3013" i="29"/>
  <c r="J3013" i="29"/>
  <c r="K2871" i="29"/>
  <c r="T2804" i="29"/>
  <c r="S2804" i="29"/>
  <c r="T2700" i="29"/>
  <c r="J2700" i="29"/>
  <c r="K2700" i="29"/>
  <c r="S2700" i="29"/>
  <c r="K2685" i="29"/>
  <c r="S2631" i="29"/>
  <c r="T2631" i="29"/>
  <c r="J2631" i="29"/>
  <c r="T2462" i="29"/>
  <c r="J2462" i="29"/>
  <c r="S2462" i="29"/>
  <c r="T2166" i="29"/>
  <c r="S2166" i="29"/>
  <c r="T5798" i="29"/>
  <c r="J5798" i="29"/>
  <c r="K5798" i="29"/>
  <c r="S5798" i="29"/>
  <c r="S5802" i="29"/>
  <c r="T5802" i="29"/>
  <c r="J5802" i="29"/>
  <c r="K5802" i="29"/>
  <c r="T5806" i="29"/>
  <c r="J5806" i="29"/>
  <c r="S5806" i="29"/>
  <c r="S5869" i="29"/>
  <c r="T5869" i="29"/>
  <c r="J5869" i="29"/>
  <c r="K5869" i="29"/>
  <c r="T6035" i="29"/>
  <c r="J6035" i="29"/>
  <c r="K6035" i="29"/>
  <c r="S6035" i="29"/>
  <c r="T6055" i="29"/>
  <c r="J6055" i="29"/>
  <c r="K6055" i="29"/>
  <c r="S6055" i="29"/>
  <c r="T6475" i="29"/>
  <c r="J6475" i="29"/>
  <c r="U6475" i="29"/>
  <c r="S6475" i="29"/>
  <c r="S3118" i="29"/>
  <c r="T3118" i="29"/>
  <c r="J3118" i="29"/>
  <c r="K3118" i="29"/>
  <c r="T3080" i="29"/>
  <c r="J3080" i="29"/>
  <c r="S3080" i="29"/>
  <c r="T3022" i="29"/>
  <c r="J3022" i="29"/>
  <c r="S3022" i="29"/>
  <c r="S2879" i="29"/>
  <c r="T2879" i="29"/>
  <c r="W2879" i="29"/>
  <c r="T2665" i="29"/>
  <c r="J2665" i="29"/>
  <c r="S2665" i="29"/>
  <c r="T2172" i="29"/>
  <c r="S2172" i="29"/>
  <c r="W2091" i="29"/>
  <c r="J2091" i="29"/>
  <c r="K2091" i="29"/>
  <c r="T5628" i="29"/>
  <c r="J5628" i="29"/>
  <c r="S5628" i="29"/>
  <c r="T5671" i="29"/>
  <c r="J5671" i="29"/>
  <c r="S5671" i="29"/>
  <c r="T5742" i="29"/>
  <c r="J5742" i="29"/>
  <c r="K5742" i="29"/>
  <c r="S5742" i="29"/>
  <c r="T5772" i="29"/>
  <c r="J5772" i="29"/>
  <c r="S5772" i="29"/>
  <c r="S5792" i="29"/>
  <c r="T5792" i="29"/>
  <c r="J5792" i="29"/>
  <c r="T4723" i="29"/>
  <c r="J4723" i="29"/>
  <c r="K4723" i="29"/>
  <c r="S4723" i="29"/>
  <c r="T4489" i="29"/>
  <c r="S4489" i="29"/>
  <c r="S4254" i="29"/>
  <c r="T4254" i="29"/>
  <c r="J4254" i="29"/>
  <c r="T4067" i="29"/>
  <c r="S4067" i="29"/>
  <c r="S3879" i="29"/>
  <c r="T3879" i="29"/>
  <c r="J3879" i="29"/>
  <c r="S3307" i="29"/>
  <c r="T3307" i="29"/>
  <c r="S3225" i="29"/>
  <c r="T3225" i="29"/>
  <c r="S3121" i="29"/>
  <c r="T3121" i="29"/>
  <c r="J3121" i="29"/>
  <c r="U3121" i="29"/>
  <c r="S2911" i="29"/>
  <c r="T2911" i="29"/>
  <c r="T2741" i="29"/>
  <c r="S2741" i="29"/>
  <c r="T2712" i="29"/>
  <c r="J2712" i="29"/>
  <c r="K2712" i="29"/>
  <c r="S2712" i="29"/>
  <c r="S2668" i="29"/>
  <c r="T2668" i="29"/>
  <c r="W2668" i="29"/>
  <c r="S2468" i="29"/>
  <c r="T2468" i="29"/>
  <c r="W2468" i="29"/>
  <c r="T2109" i="29"/>
  <c r="W2109" i="29"/>
  <c r="S2109" i="29"/>
  <c r="T4813" i="29"/>
  <c r="S3559" i="29"/>
  <c r="T5044" i="29"/>
  <c r="J5044" i="29"/>
  <c r="K5044" i="29"/>
  <c r="S4868" i="29"/>
  <c r="T4868" i="29"/>
  <c r="J4868" i="29"/>
  <c r="S4593" i="29"/>
  <c r="T4593" i="29"/>
  <c r="J4593" i="29"/>
  <c r="T4473" i="29"/>
  <c r="J4473" i="29"/>
  <c r="S4473" i="29"/>
  <c r="S4390" i="29"/>
  <c r="T4390" i="29"/>
  <c r="W4390" i="29"/>
  <c r="S4352" i="29"/>
  <c r="T4352" i="29"/>
  <c r="J4352" i="29"/>
  <c r="W4105" i="29"/>
  <c r="T4070" i="29"/>
  <c r="S4070" i="29"/>
  <c r="S4049" i="29"/>
  <c r="T4049" i="29"/>
  <c r="J4049" i="29"/>
  <c r="W3991" i="29"/>
  <c r="S3885" i="29"/>
  <c r="T3885" i="29"/>
  <c r="J3885" i="29"/>
  <c r="T3841" i="29"/>
  <c r="J3841" i="29"/>
  <c r="U3841" i="29"/>
  <c r="S3841" i="29"/>
  <c r="S3816" i="29"/>
  <c r="T3816" i="29"/>
  <c r="T3575" i="29"/>
  <c r="J3575" i="29"/>
  <c r="S3575" i="29"/>
  <c r="S3437" i="29"/>
  <c r="T3437" i="29"/>
  <c r="J3437" i="29"/>
  <c r="S3342" i="29"/>
  <c r="T3342" i="29"/>
  <c r="J3342" i="29"/>
  <c r="U3342" i="29"/>
  <c r="S3095" i="29"/>
  <c r="T3095" i="29"/>
  <c r="J3044" i="29"/>
  <c r="J3034" i="29"/>
  <c r="T3031" i="29"/>
  <c r="S3031" i="29"/>
  <c r="S2914" i="29"/>
  <c r="T2914" i="29"/>
  <c r="J2914" i="29"/>
  <c r="K2914" i="29"/>
  <c r="S2696" i="29"/>
  <c r="T2696" i="29"/>
  <c r="J2696" i="29"/>
  <c r="K2696" i="29"/>
  <c r="T5448" i="29"/>
  <c r="S5448" i="29"/>
  <c r="S5381" i="29"/>
  <c r="T5381" i="29"/>
  <c r="J5381" i="29"/>
  <c r="T5447" i="29"/>
  <c r="J5447" i="29"/>
  <c r="K5447" i="29"/>
  <c r="S5447" i="29"/>
  <c r="T5125" i="29"/>
  <c r="J5125" i="29"/>
  <c r="K5125" i="29"/>
  <c r="S5125" i="29"/>
  <c r="T5133" i="29"/>
  <c r="J5133" i="29"/>
  <c r="K5133" i="29"/>
  <c r="S5133" i="29"/>
  <c r="T5554" i="29"/>
  <c r="J5554" i="29"/>
  <c r="K5554" i="29"/>
  <c r="S5554" i="29"/>
  <c r="T5613" i="29"/>
  <c r="J5613" i="29"/>
  <c r="S5613" i="29"/>
  <c r="S5618" i="29"/>
  <c r="T5618" i="29"/>
  <c r="J5618" i="29"/>
  <c r="S5641" i="29"/>
  <c r="T5641" i="29"/>
  <c r="J5641" i="29"/>
  <c r="K5641" i="29"/>
  <c r="T5658" i="29"/>
  <c r="J5658" i="29"/>
  <c r="S5658" i="29"/>
  <c r="T5697" i="29"/>
  <c r="J5697" i="29"/>
  <c r="K5697" i="29"/>
  <c r="S5697" i="29"/>
  <c r="S5705" i="29"/>
  <c r="T5705" i="29"/>
  <c r="J5705" i="29"/>
  <c r="S5709" i="29"/>
  <c r="T5709" i="29"/>
  <c r="J5709" i="29"/>
  <c r="T6092" i="29"/>
  <c r="J6092" i="29"/>
  <c r="K6092" i="29"/>
  <c r="S6092" i="29"/>
  <c r="T6105" i="29"/>
  <c r="J6105" i="29"/>
  <c r="S6105" i="29"/>
  <c r="T6135" i="29"/>
  <c r="J6135" i="29"/>
  <c r="S6135" i="29"/>
  <c r="T4612" i="29"/>
  <c r="J4612" i="29"/>
  <c r="S2684" i="29"/>
  <c r="S3134" i="29"/>
  <c r="T3054" i="29"/>
  <c r="J3054" i="29"/>
  <c r="T4380" i="29"/>
  <c r="S5239" i="29"/>
  <c r="T5239" i="29"/>
  <c r="T5293" i="29"/>
  <c r="J5293" i="29"/>
  <c r="K5293" i="29"/>
  <c r="S5293" i="29"/>
  <c r="S5328" i="29"/>
  <c r="T5328" i="29"/>
  <c r="J5328" i="29"/>
  <c r="K5328" i="29"/>
  <c r="T5294" i="29"/>
  <c r="J5294" i="29"/>
  <c r="S5294" i="29"/>
  <c r="S5445" i="29"/>
  <c r="T5445" i="29"/>
  <c r="J5445" i="29"/>
  <c r="T5429" i="29"/>
  <c r="J5429" i="29"/>
  <c r="K5429" i="29"/>
  <c r="S5429" i="29"/>
  <c r="T5413" i="29"/>
  <c r="W5413" i="29"/>
  <c r="S5413" i="29"/>
  <c r="S5380" i="29"/>
  <c r="T5380" i="29"/>
  <c r="T5127" i="29"/>
  <c r="J5127" i="29"/>
  <c r="K5127" i="29"/>
  <c r="S5127" i="29"/>
  <c r="S5520" i="29"/>
  <c r="T5520" i="29"/>
  <c r="S5603" i="29"/>
  <c r="T5603" i="29"/>
  <c r="J5603" i="29"/>
  <c r="T2924" i="29"/>
  <c r="J2924" i="29"/>
  <c r="T4597" i="29"/>
  <c r="J4597" i="29"/>
  <c r="T4787" i="29"/>
  <c r="J4787" i="29"/>
  <c r="K4787" i="29"/>
  <c r="S4787" i="29"/>
  <c r="S4647" i="29"/>
  <c r="T4647" i="29"/>
  <c r="S4622" i="29"/>
  <c r="T4622" i="29"/>
  <c r="W4622" i="29"/>
  <c r="S4583" i="29"/>
  <c r="T4583" i="29"/>
  <c r="W4583" i="29"/>
  <c r="T4187" i="29"/>
  <c r="J4187" i="29"/>
  <c r="K4187" i="29"/>
  <c r="S4187" i="29"/>
  <c r="S3300" i="29"/>
  <c r="T3300" i="29"/>
  <c r="S3101" i="29"/>
  <c r="T3101" i="29"/>
  <c r="S3086" i="29"/>
  <c r="T3086" i="29"/>
  <c r="J3086" i="29"/>
  <c r="K3086" i="29"/>
  <c r="J2813" i="29"/>
  <c r="K2813" i="29"/>
  <c r="S2705" i="29"/>
  <c r="T2705" i="29"/>
  <c r="J2583" i="29"/>
  <c r="K2583" i="29"/>
  <c r="T911" i="29"/>
  <c r="W911" i="29"/>
  <c r="S911" i="29"/>
  <c r="T858" i="29"/>
  <c r="S858" i="29"/>
  <c r="T814" i="29"/>
  <c r="S814" i="29"/>
  <c r="S592" i="29"/>
  <c r="T592" i="29"/>
  <c r="W592" i="29"/>
  <c r="U592" i="29"/>
  <c r="S316" i="29"/>
  <c r="T316" i="29"/>
  <c r="W316" i="29"/>
  <c r="J244" i="29"/>
  <c r="W244" i="29"/>
  <c r="J225" i="29"/>
  <c r="W225" i="29"/>
  <c r="J184" i="29"/>
  <c r="K184" i="29"/>
  <c r="W184" i="29"/>
  <c r="T5223" i="29"/>
  <c r="J5223" i="29"/>
  <c r="S5223" i="29"/>
  <c r="S5280" i="29"/>
  <c r="T5280" i="29"/>
  <c r="T5365" i="29"/>
  <c r="S5365" i="29"/>
  <c r="T4349" i="29"/>
  <c r="J4349" i="29"/>
  <c r="S2445" i="29"/>
  <c r="T4561" i="29"/>
  <c r="J4561" i="29"/>
  <c r="S3083" i="29"/>
  <c r="S5031" i="29"/>
  <c r="T5031" i="29"/>
  <c r="T4963" i="29"/>
  <c r="J4963" i="29"/>
  <c r="S4963" i="29"/>
  <c r="T4768" i="29"/>
  <c r="J4768" i="29"/>
  <c r="S4768" i="29"/>
  <c r="S4485" i="29"/>
  <c r="T4485" i="29"/>
  <c r="J4485" i="29"/>
  <c r="S4133" i="29"/>
  <c r="T4133" i="29"/>
  <c r="J4133" i="29"/>
  <c r="K4133" i="29"/>
  <c r="S4060" i="29"/>
  <c r="S3790" i="29"/>
  <c r="T3790" i="29"/>
  <c r="J3790" i="29"/>
  <c r="T3656" i="29"/>
  <c r="S3656" i="29"/>
  <c r="S3555" i="29"/>
  <c r="T3555" i="29"/>
  <c r="J3555" i="29"/>
  <c r="T3395" i="29"/>
  <c r="J3395" i="29"/>
  <c r="S3395" i="29"/>
  <c r="T3372" i="29"/>
  <c r="S3372" i="29"/>
  <c r="S3329" i="29"/>
  <c r="T3329" i="29"/>
  <c r="T3133" i="29"/>
  <c r="W3133" i="29"/>
  <c r="S3133" i="29"/>
  <c r="K149" i="29"/>
  <c r="S4590" i="29"/>
  <c r="S4635" i="29"/>
  <c r="S4631" i="29"/>
  <c r="T4631" i="29"/>
  <c r="T3748" i="29"/>
  <c r="S3748" i="29"/>
  <c r="S3635" i="29"/>
  <c r="T3635" i="29"/>
  <c r="J3635" i="29"/>
  <c r="K3635" i="29"/>
  <c r="T3587" i="29"/>
  <c r="J3587" i="29"/>
  <c r="S3587" i="29"/>
  <c r="T3543" i="29"/>
  <c r="J3543" i="29"/>
  <c r="S3543" i="29"/>
  <c r="T3464" i="29"/>
  <c r="S3464" i="29"/>
  <c r="S3375" i="29"/>
  <c r="T3375" i="29"/>
  <c r="S3015" i="29"/>
  <c r="T3015" i="29"/>
  <c r="J3015" i="29"/>
  <c r="J5651" i="29"/>
  <c r="K5651" i="29"/>
  <c r="T4073" i="29"/>
  <c r="S4073" i="29"/>
  <c r="S3919" i="29"/>
  <c r="T3919" i="29"/>
  <c r="J3919" i="29"/>
  <c r="K3919" i="29"/>
  <c r="S3900" i="29"/>
  <c r="S3092" i="29"/>
  <c r="T3047" i="29"/>
  <c r="S3047" i="29"/>
  <c r="S2400" i="29"/>
  <c r="T2400" i="29"/>
  <c r="W2400" i="29"/>
  <c r="W2213" i="29"/>
  <c r="T1875" i="29"/>
  <c r="J1875" i="29"/>
  <c r="S1875" i="29"/>
  <c r="T5647" i="29"/>
  <c r="J5647" i="29"/>
  <c r="K5647" i="29"/>
  <c r="S5647" i="29"/>
  <c r="S5661" i="29"/>
  <c r="T5661" i="29"/>
  <c r="J5661" i="29"/>
  <c r="T5769" i="29"/>
  <c r="J5769" i="29"/>
  <c r="K5769" i="29"/>
  <c r="S5769" i="29"/>
  <c r="T5834" i="29"/>
  <c r="J5834" i="29"/>
  <c r="S5834" i="29"/>
  <c r="S5850" i="29"/>
  <c r="T5850" i="29"/>
  <c r="W5850" i="29"/>
  <c r="S914" i="29"/>
  <c r="T914" i="29"/>
  <c r="W914" i="29"/>
  <c r="S886" i="29"/>
  <c r="J783" i="29"/>
  <c r="W783" i="29"/>
  <c r="S5505" i="29"/>
  <c r="T5505" i="29"/>
  <c r="J5505" i="29"/>
  <c r="T5476" i="29"/>
  <c r="J5476" i="29"/>
  <c r="K5476" i="29"/>
  <c r="S5476" i="29"/>
  <c r="T5548" i="29"/>
  <c r="J5548" i="29"/>
  <c r="K5548" i="29"/>
  <c r="S5548" i="29"/>
  <c r="S5743" i="29"/>
  <c r="T5743" i="29"/>
  <c r="J5743" i="29"/>
  <c r="K5743" i="29"/>
  <c r="T5776" i="29"/>
  <c r="S5776" i="29"/>
  <c r="T7195" i="29"/>
  <c r="J7195" i="29"/>
  <c r="K7195" i="29"/>
  <c r="S7195" i="29"/>
  <c r="S4322" i="29"/>
  <c r="T4322" i="29"/>
  <c r="W4322" i="29"/>
  <c r="S4212" i="29"/>
  <c r="T4212" i="29"/>
  <c r="J4212" i="29"/>
  <c r="K4212" i="29"/>
  <c r="S4082" i="29"/>
  <c r="T4082" i="29"/>
  <c r="J4082" i="29"/>
  <c r="S3997" i="29"/>
  <c r="T3997" i="29"/>
  <c r="J3997" i="29"/>
  <c r="K3997" i="29"/>
  <c r="T3953" i="29"/>
  <c r="J3953" i="29"/>
  <c r="S3953" i="29"/>
  <c r="S3644" i="29"/>
  <c r="T3644" i="29"/>
  <c r="J3644" i="29"/>
  <c r="S3561" i="29"/>
  <c r="T3561" i="29"/>
  <c r="W3561" i="29"/>
  <c r="S2368" i="29"/>
  <c r="T2368" i="29"/>
  <c r="W2368" i="29"/>
  <c r="T5110" i="29"/>
  <c r="S5110" i="29"/>
  <c r="S5247" i="29"/>
  <c r="T5247" i="29"/>
  <c r="S5315" i="29"/>
  <c r="T5315" i="29"/>
  <c r="J5315" i="29"/>
  <c r="T5298" i="29"/>
  <c r="J5298" i="29"/>
  <c r="S5332" i="29"/>
  <c r="T5332" i="29"/>
  <c r="J5332" i="29"/>
  <c r="K5332" i="29"/>
  <c r="S5443" i="29"/>
  <c r="T5443" i="29"/>
  <c r="J5443" i="29"/>
  <c r="S5427" i="29"/>
  <c r="T5427" i="29"/>
  <c r="J5427" i="29"/>
  <c r="K5427" i="29"/>
  <c r="T5378" i="29"/>
  <c r="S5378" i="29"/>
  <c r="T5518" i="29"/>
  <c r="J5518" i="29"/>
  <c r="S5518" i="29"/>
  <c r="S5461" i="29"/>
  <c r="T5461" i="29"/>
  <c r="J5461" i="29"/>
  <c r="T5545" i="29"/>
  <c r="J5545" i="29"/>
  <c r="S5545" i="29"/>
  <c r="T5672" i="29"/>
  <c r="J5672" i="29"/>
  <c r="S5672" i="29"/>
  <c r="S5675" i="29"/>
  <c r="T5675" i="29"/>
  <c r="J5675" i="29"/>
  <c r="S5689" i="29"/>
  <c r="T5689" i="29"/>
  <c r="J5689" i="29"/>
  <c r="T7252" i="29"/>
  <c r="J7252" i="29"/>
  <c r="S7252" i="29"/>
  <c r="S7204" i="29"/>
  <c r="T7204" i="29"/>
  <c r="J7204" i="29"/>
  <c r="S7484" i="29"/>
  <c r="T7484" i="29"/>
  <c r="J2569" i="29"/>
  <c r="K2569" i="29"/>
  <c r="T2976" i="29"/>
  <c r="W2976" i="29"/>
  <c r="S2976" i="29"/>
  <c r="T2609" i="29"/>
  <c r="J2609" i="29"/>
  <c r="S2609" i="29"/>
  <c r="K1647" i="29"/>
  <c r="T1564" i="29"/>
  <c r="S1564" i="29"/>
  <c r="W24" i="29"/>
  <c r="W16" i="29"/>
  <c r="S5250" i="29"/>
  <c r="T5250" i="29"/>
  <c r="J5250" i="29"/>
  <c r="T5329" i="29"/>
  <c r="J5329" i="29"/>
  <c r="K5329" i="29"/>
  <c r="S5329" i="29"/>
  <c r="S5410" i="29"/>
  <c r="T5410" i="29"/>
  <c r="S5393" i="29"/>
  <c r="T5393" i="29"/>
  <c r="J5393" i="29"/>
  <c r="T5136" i="29"/>
  <c r="J5136" i="29"/>
  <c r="K5136" i="29"/>
  <c r="S5136" i="29"/>
  <c r="S5517" i="29"/>
  <c r="T5517" i="29"/>
  <c r="S5503" i="29"/>
  <c r="T5503" i="29"/>
  <c r="J5503" i="29"/>
  <c r="U5503" i="29"/>
  <c r="S4338" i="29"/>
  <c r="T4338" i="29"/>
  <c r="J4338" i="29"/>
  <c r="W1374" i="29"/>
  <c r="J1353" i="29"/>
  <c r="J144" i="29"/>
  <c r="K144" i="29"/>
  <c r="W144" i="29"/>
  <c r="S4076" i="29"/>
  <c r="W2067" i="29"/>
  <c r="S1983" i="29"/>
  <c r="K1981" i="29"/>
  <c r="S1938" i="29"/>
  <c r="T1938" i="29"/>
  <c r="J1938" i="29"/>
  <c r="T1817" i="29"/>
  <c r="S1817" i="29"/>
  <c r="J1418" i="29"/>
  <c r="K377" i="29"/>
  <c r="S6830" i="29"/>
  <c r="T6830" i="29"/>
  <c r="J6830" i="29"/>
  <c r="K6830" i="29"/>
  <c r="T7164" i="29"/>
  <c r="J7164" i="29"/>
  <c r="S7164" i="29"/>
  <c r="J7189" i="29"/>
  <c r="K7189" i="29"/>
  <c r="S5799" i="29"/>
  <c r="T766" i="29"/>
  <c r="W766" i="29"/>
  <c r="S766" i="29"/>
  <c r="S1055" i="29"/>
  <c r="K1012" i="29"/>
  <c r="K671" i="29"/>
  <c r="K465" i="29"/>
  <c r="K446" i="29"/>
  <c r="K443" i="29"/>
  <c r="W67" i="29"/>
  <c r="W59" i="29"/>
  <c r="W53" i="29"/>
  <c r="K45" i="29"/>
  <c r="D80" i="30"/>
  <c r="J35" i="29"/>
  <c r="W29" i="29"/>
  <c r="W18" i="29"/>
  <c r="U18" i="29"/>
  <c r="T5243" i="29"/>
  <c r="J5243" i="29"/>
  <c r="S5243" i="29"/>
  <c r="S5296" i="29"/>
  <c r="T5296" i="29"/>
  <c r="J5296" i="29"/>
  <c r="T5425" i="29"/>
  <c r="W5425" i="29"/>
  <c r="S5425" i="29"/>
  <c r="T5607" i="29"/>
  <c r="J5607" i="29"/>
  <c r="S5607" i="29"/>
  <c r="S5755" i="29"/>
  <c r="T5755" i="29"/>
  <c r="J5755" i="29"/>
  <c r="K5755" i="29"/>
  <c r="S6020" i="29"/>
  <c r="T6020" i="29"/>
  <c r="J6020" i="29"/>
  <c r="K6020" i="29"/>
  <c r="T6053" i="29"/>
  <c r="J6053" i="29"/>
  <c r="K6053" i="29"/>
  <c r="S6053" i="29"/>
  <c r="T6469" i="29"/>
  <c r="J6469" i="29"/>
  <c r="S6469" i="29"/>
  <c r="T6488" i="29"/>
  <c r="J6488" i="29"/>
  <c r="S6488" i="29"/>
  <c r="S7656" i="29"/>
  <c r="T7656" i="29"/>
  <c r="J7861" i="29"/>
  <c r="S5151" i="29"/>
  <c r="T5151" i="29"/>
  <c r="J5151" i="29"/>
  <c r="U5151" i="29"/>
  <c r="T5164" i="29"/>
  <c r="J5164" i="29"/>
  <c r="K5164" i="29"/>
  <c r="S5164" i="29"/>
  <c r="S5209" i="29"/>
  <c r="T5209" i="29"/>
  <c r="W5209" i="29"/>
  <c r="T5366" i="29"/>
  <c r="J5366" i="29"/>
  <c r="S5366" i="29"/>
  <c r="S5309" i="29"/>
  <c r="T5309" i="29"/>
  <c r="J5309" i="29"/>
  <c r="K5309" i="29"/>
  <c r="T5414" i="29"/>
  <c r="T5408" i="29"/>
  <c r="S5408" i="29"/>
  <c r="S6854" i="29"/>
  <c r="T6854" i="29"/>
  <c r="J6854" i="29"/>
  <c r="K6854" i="29"/>
  <c r="S7586" i="29"/>
  <c r="J4870" i="29"/>
  <c r="J4104" i="29"/>
  <c r="K4104" i="29"/>
  <c r="J2416" i="29"/>
  <c r="K2416" i="29"/>
  <c r="S1017" i="29"/>
  <c r="T1017" i="29"/>
  <c r="W1017" i="29"/>
  <c r="U1017" i="29"/>
  <c r="S853" i="29"/>
  <c r="T853" i="29"/>
  <c r="W853" i="29"/>
  <c r="S420" i="29"/>
  <c r="T420" i="29"/>
  <c r="W420" i="29"/>
  <c r="U420" i="29"/>
  <c r="W124" i="29"/>
  <c r="U124" i="29"/>
  <c r="S5552" i="29"/>
  <c r="T5552" i="29"/>
  <c r="J5552" i="29"/>
  <c r="J5995" i="29"/>
  <c r="S6075" i="29"/>
  <c r="S6142" i="29"/>
  <c r="T6142" i="29"/>
  <c r="J6142" i="29"/>
  <c r="S6615" i="29"/>
  <c r="T6615" i="29"/>
  <c r="J6615" i="29"/>
  <c r="K6615" i="29"/>
  <c r="T7146" i="29"/>
  <c r="J7146" i="29"/>
  <c r="K7146" i="29"/>
  <c r="S7146" i="29"/>
  <c r="T7769" i="29"/>
  <c r="J7769" i="29"/>
  <c r="K7769" i="29"/>
  <c r="T7772" i="29"/>
  <c r="J7772" i="29"/>
  <c r="S5723" i="29"/>
  <c r="T5723" i="29"/>
  <c r="J5723" i="29"/>
  <c r="U5723" i="29"/>
  <c r="T5897" i="29"/>
  <c r="S5897" i="29"/>
  <c r="S3145" i="29"/>
  <c r="T3145" i="29"/>
  <c r="J3145" i="29"/>
  <c r="K1700" i="29"/>
  <c r="K1666" i="29"/>
  <c r="T1659" i="29"/>
  <c r="W1659" i="29"/>
  <c r="U1659" i="29"/>
  <c r="T1389" i="29"/>
  <c r="J1389" i="29"/>
  <c r="K1389" i="29"/>
  <c r="S1287" i="29"/>
  <c r="K897" i="29"/>
  <c r="K750" i="29"/>
  <c r="T641" i="29"/>
  <c r="W641" i="29"/>
  <c r="U641" i="29"/>
  <c r="K172" i="29"/>
  <c r="S5353" i="29"/>
  <c r="T5527" i="29"/>
  <c r="J5527" i="29"/>
  <c r="S5527" i="29"/>
  <c r="S5471" i="29"/>
  <c r="T5471" i="29"/>
  <c r="J5471" i="29"/>
  <c r="K5471" i="29"/>
  <c r="T5456" i="29"/>
  <c r="J5456" i="29"/>
  <c r="K5456" i="29"/>
  <c r="S5456" i="29"/>
  <c r="T5546" i="29"/>
  <c r="J5546" i="29"/>
  <c r="S5546" i="29"/>
  <c r="T5832" i="29"/>
  <c r="J5832" i="29"/>
  <c r="S5832" i="29"/>
  <c r="S5894" i="29"/>
  <c r="T5894" i="29"/>
  <c r="T5967" i="29"/>
  <c r="J5967" i="29"/>
  <c r="S5967" i="29"/>
  <c r="S6008" i="29"/>
  <c r="T6008" i="29"/>
  <c r="J6008" i="29"/>
  <c r="K6008" i="29"/>
  <c r="T6093" i="29"/>
  <c r="J6093" i="29"/>
  <c r="K6093" i="29"/>
  <c r="S6093" i="29"/>
  <c r="T6164" i="29"/>
  <c r="J6164" i="29"/>
  <c r="K6164" i="29"/>
  <c r="S6164" i="29"/>
  <c r="T6473" i="29"/>
  <c r="J6473" i="29"/>
  <c r="U6473" i="29"/>
  <c r="S6473" i="29"/>
  <c r="S6851" i="29"/>
  <c r="S7008" i="29"/>
  <c r="T7391" i="29"/>
  <c r="J7391" i="29"/>
  <c r="K7391" i="29"/>
  <c r="S7391" i="29"/>
  <c r="T7548" i="29"/>
  <c r="J7548" i="29"/>
  <c r="K7548" i="29"/>
  <c r="T7810" i="29"/>
  <c r="J7810" i="29"/>
  <c r="K7810" i="29"/>
  <c r="S7810" i="29"/>
  <c r="S7882" i="29"/>
  <c r="W791" i="29"/>
  <c r="S1259" i="29"/>
  <c r="T1259" i="29"/>
  <c r="W1259" i="29"/>
  <c r="U1259" i="29"/>
  <c r="T1079" i="29"/>
  <c r="W1079" i="29"/>
  <c r="S1079" i="29"/>
  <c r="S846" i="29"/>
  <c r="T846" i="29"/>
  <c r="W846" i="29"/>
  <c r="T403" i="29"/>
  <c r="W403" i="29"/>
  <c r="U403" i="29"/>
  <c r="S403" i="29"/>
  <c r="T285" i="29"/>
  <c r="S285" i="29"/>
  <c r="S5244" i="29"/>
  <c r="T5244" i="29"/>
  <c r="J5244" i="29"/>
  <c r="T5364" i="29"/>
  <c r="J5364" i="29"/>
  <c r="S5364" i="29"/>
  <c r="T5420" i="29"/>
  <c r="W5420" i="29"/>
  <c r="S5420" i="29"/>
  <c r="S5455" i="29"/>
  <c r="T5455" i="29"/>
  <c r="J5455" i="29"/>
  <c r="K5455" i="29"/>
  <c r="S6054" i="29"/>
  <c r="T6054" i="29"/>
  <c r="J6054" i="29"/>
  <c r="K6054" i="29"/>
  <c r="S6155" i="29"/>
  <c r="T6155" i="29"/>
  <c r="J6155" i="29"/>
  <c r="K6155" i="29"/>
  <c r="S7580" i="29"/>
  <c r="T7580" i="29"/>
  <c r="J7580" i="29"/>
  <c r="U7580" i="29"/>
  <c r="S5224" i="29"/>
  <c r="J4280" i="29"/>
  <c r="S2142" i="29"/>
  <c r="T2142" i="29"/>
  <c r="K1752" i="29"/>
  <c r="T1262" i="29"/>
  <c r="J1262" i="29"/>
  <c r="T288" i="29"/>
  <c r="W288" i="29"/>
  <c r="S288" i="29"/>
  <c r="S5808" i="29"/>
  <c r="T5808" i="29"/>
  <c r="J5808" i="29"/>
  <c r="K5808" i="29"/>
  <c r="T5999" i="29"/>
  <c r="J5999" i="29"/>
  <c r="K5999" i="29"/>
  <c r="S5999" i="29"/>
  <c r="T6813" i="29"/>
  <c r="J6813" i="29"/>
  <c r="S6813" i="29"/>
  <c r="T7536" i="29"/>
  <c r="J7536" i="29"/>
  <c r="K7536" i="29"/>
  <c r="S7536" i="29"/>
  <c r="J1978" i="29"/>
  <c r="U1978" i="29"/>
  <c r="T1323" i="29"/>
  <c r="S1323" i="29"/>
  <c r="S1022" i="29"/>
  <c r="T1022" i="29"/>
  <c r="J1022" i="29"/>
  <c r="W526" i="29"/>
  <c r="U526" i="29"/>
  <c r="S5809" i="29"/>
  <c r="T5809" i="29"/>
  <c r="J5809" i="29"/>
  <c r="K5809" i="29"/>
  <c r="S6895" i="29"/>
  <c r="T6895" i="29"/>
  <c r="J6895" i="29"/>
  <c r="K6895" i="29"/>
  <c r="T7305" i="29"/>
  <c r="J7305" i="29"/>
  <c r="K7305" i="29"/>
  <c r="T7368" i="29"/>
  <c r="J7368" i="29"/>
  <c r="K7368" i="29"/>
  <c r="S7368" i="29"/>
  <c r="J3974" i="29"/>
  <c r="K2998" i="29"/>
  <c r="K2536" i="29"/>
  <c r="W2108" i="29"/>
  <c r="S2058" i="29"/>
  <c r="T2058" i="29"/>
  <c r="K1984" i="29"/>
  <c r="J1939" i="29"/>
  <c r="K1803" i="29"/>
  <c r="J1132" i="29"/>
  <c r="K1132" i="29"/>
  <c r="S1063" i="29"/>
  <c r="W1025" i="29"/>
  <c r="T5815" i="29"/>
  <c r="J5815" i="29"/>
  <c r="K5815" i="29"/>
  <c r="S5815" i="29"/>
  <c r="S6673" i="29"/>
  <c r="S7043" i="29"/>
  <c r="T7043" i="29"/>
  <c r="J7043" i="29"/>
  <c r="T8096" i="29"/>
  <c r="J8096" i="29"/>
  <c r="K8096" i="29"/>
  <c r="S8096" i="29"/>
  <c r="T8031" i="29"/>
  <c r="J8031" i="29"/>
  <c r="K8031" i="29"/>
  <c r="T7906" i="29"/>
  <c r="J7906" i="29"/>
  <c r="K7906" i="29"/>
  <c r="S8076" i="29"/>
  <c r="T6377" i="29"/>
  <c r="J6377" i="29"/>
  <c r="J7864" i="29"/>
  <c r="K7864" i="29"/>
  <c r="S8085" i="29"/>
  <c r="S8083" i="29"/>
  <c r="J7102" i="29"/>
  <c r="K7102" i="29"/>
  <c r="J1825" i="29"/>
  <c r="T6091" i="29"/>
  <c r="J6091" i="29"/>
  <c r="K6091" i="29"/>
  <c r="J4956" i="29"/>
  <c r="S4935" i="29"/>
  <c r="J2803" i="29"/>
  <c r="K2803" i="29"/>
  <c r="J2674" i="29"/>
  <c r="K2674" i="29"/>
  <c r="K1228" i="29"/>
  <c r="J1188" i="29"/>
  <c r="K651" i="29"/>
  <c r="K545" i="29"/>
  <c r="K499" i="29"/>
  <c r="K366" i="29"/>
  <c r="K247" i="29"/>
  <c r="K91" i="29"/>
  <c r="J6509" i="29"/>
  <c r="K6509" i="29"/>
  <c r="S7102" i="29"/>
  <c r="J7402" i="29"/>
  <c r="K7402" i="29"/>
  <c r="T8052" i="29"/>
  <c r="J8052" i="29"/>
  <c r="T8037" i="29"/>
  <c r="J8037" i="29"/>
  <c r="K8037" i="29"/>
  <c r="T4888" i="29"/>
  <c r="J4888" i="29"/>
  <c r="K4888" i="29"/>
  <c r="T3980" i="29"/>
  <c r="S3817" i="29"/>
  <c r="S2947" i="29"/>
  <c r="W2508" i="29"/>
  <c r="U2508" i="29"/>
  <c r="S7147" i="29"/>
  <c r="T7839" i="29"/>
  <c r="J7839" i="29"/>
  <c r="J7875" i="29"/>
  <c r="K7875" i="29"/>
  <c r="S5859" i="29"/>
  <c r="W2590" i="29"/>
  <c r="W2451" i="29"/>
  <c r="W1637" i="29"/>
  <c r="W73" i="29"/>
  <c r="W5418" i="29"/>
  <c r="S8086" i="29"/>
  <c r="T5726" i="29"/>
  <c r="J5726" i="29"/>
  <c r="K5726" i="29"/>
  <c r="K2470" i="29"/>
  <c r="W1660" i="29"/>
  <c r="S6844" i="29"/>
  <c r="S6940" i="29"/>
  <c r="J7197" i="29"/>
  <c r="T7297" i="29"/>
  <c r="J7297" i="29"/>
  <c r="K7297" i="29"/>
  <c r="S7438" i="29"/>
  <c r="J7534" i="29"/>
  <c r="K7534" i="29"/>
  <c r="T3734" i="29"/>
  <c r="T3220" i="29"/>
  <c r="K1900" i="29"/>
  <c r="K1879" i="29"/>
  <c r="W1764" i="29"/>
  <c r="J1414" i="29"/>
  <c r="K1099" i="29"/>
  <c r="K928" i="29"/>
  <c r="K895" i="29"/>
  <c r="K882" i="29"/>
  <c r="K742" i="29"/>
  <c r="K659" i="29"/>
  <c r="K303" i="29"/>
  <c r="K246" i="29"/>
  <c r="S7983" i="29"/>
  <c r="S8098" i="29"/>
  <c r="J1865" i="29"/>
  <c r="K1865" i="29"/>
  <c r="W1865" i="29"/>
  <c r="K212" i="29"/>
  <c r="S2380" i="29"/>
  <c r="T2380" i="29"/>
  <c r="W2380" i="29"/>
  <c r="U2380" i="29"/>
  <c r="T1494" i="29"/>
  <c r="J1494" i="29"/>
  <c r="S1500" i="29"/>
  <c r="S5027" i="29"/>
  <c r="T5027" i="29"/>
  <c r="T5008" i="29"/>
  <c r="J5008" i="29"/>
  <c r="S5008" i="29"/>
  <c r="J4758" i="29"/>
  <c r="K4758" i="29"/>
  <c r="W4758" i="29"/>
  <c r="S4751" i="29"/>
  <c r="T4751" i="29"/>
  <c r="T4675" i="29"/>
  <c r="J4675" i="29"/>
  <c r="K4675" i="29"/>
  <c r="S4675" i="29"/>
  <c r="T4602" i="29"/>
  <c r="J4602" i="29"/>
  <c r="S4602" i="29"/>
  <c r="T4579" i="29"/>
  <c r="S4579" i="29"/>
  <c r="T479" i="29"/>
  <c r="W479" i="29"/>
  <c r="S479" i="29"/>
  <c r="J322" i="29"/>
  <c r="T5117" i="29"/>
  <c r="W1595" i="29"/>
  <c r="J1595" i="29"/>
  <c r="S2531" i="29"/>
  <c r="S2708" i="29"/>
  <c r="T2708" i="29"/>
  <c r="J2708" i="29"/>
  <c r="K2708" i="29"/>
  <c r="S2683" i="29"/>
  <c r="T2683" i="29"/>
  <c r="J2683" i="29"/>
  <c r="T2642" i="29"/>
  <c r="S2642" i="29"/>
  <c r="J1286" i="29"/>
  <c r="W1286" i="29"/>
  <c r="J1277" i="29"/>
  <c r="W1277" i="29"/>
  <c r="T1221" i="29"/>
  <c r="W1221" i="29"/>
  <c r="S1221" i="29"/>
  <c r="S1212" i="29"/>
  <c r="T1212" i="29"/>
  <c r="W1212" i="29"/>
  <c r="U1212" i="29"/>
  <c r="S1203" i="29"/>
  <c r="T1203" i="29"/>
  <c r="J1203" i="29"/>
  <c r="J1191" i="29"/>
  <c r="K1191" i="29"/>
  <c r="W1191" i="29"/>
  <c r="S1164" i="29"/>
  <c r="T1164" i="29"/>
  <c r="S1155" i="29"/>
  <c r="T1155" i="29"/>
  <c r="S1128" i="29"/>
  <c r="T1128" i="29"/>
  <c r="J1128" i="29"/>
  <c r="S1013" i="29"/>
  <c r="T1013" i="29"/>
  <c r="W1013" i="29"/>
  <c r="U1013" i="29"/>
  <c r="T535" i="29"/>
  <c r="W535" i="29"/>
  <c r="S535" i="29"/>
  <c r="S520" i="29"/>
  <c r="T520" i="29"/>
  <c r="W520" i="29"/>
  <c r="U520" i="29"/>
  <c r="T517" i="29"/>
  <c r="W517" i="29"/>
  <c r="U517" i="29"/>
  <c r="S517" i="29"/>
  <c r="S508" i="29"/>
  <c r="T508" i="29"/>
  <c r="W508" i="29"/>
  <c r="U508" i="29"/>
  <c r="T2453" i="29"/>
  <c r="W2453" i="29"/>
  <c r="S2453" i="29"/>
  <c r="S1678" i="29"/>
  <c r="T1678" i="29"/>
  <c r="J1678" i="29"/>
  <c r="K1678" i="29"/>
  <c r="S1656" i="29"/>
  <c r="T1656" i="29"/>
  <c r="J1525" i="29"/>
  <c r="W1525" i="29"/>
  <c r="T1522" i="29"/>
  <c r="W1522" i="29"/>
  <c r="U1522" i="29"/>
  <c r="S1522" i="29"/>
  <c r="W1446" i="29"/>
  <c r="J1446" i="29"/>
  <c r="K1446" i="29"/>
  <c r="W1434" i="29"/>
  <c r="J1434" i="29"/>
  <c r="S1416" i="29"/>
  <c r="T1416" i="29"/>
  <c r="W1416" i="29"/>
  <c r="S5014" i="29"/>
  <c r="T5014" i="29"/>
  <c r="J5014" i="29"/>
  <c r="K5014" i="29"/>
  <c r="S4923" i="29"/>
  <c r="T4923" i="29"/>
  <c r="J4923" i="29"/>
  <c r="K4923" i="29"/>
  <c r="S4895" i="29"/>
  <c r="T4895" i="29"/>
  <c r="S4836" i="29"/>
  <c r="T4836" i="29"/>
  <c r="J4836" i="29"/>
  <c r="T4809" i="29"/>
  <c r="S4809" i="29"/>
  <c r="S4774" i="29"/>
  <c r="T4774" i="29"/>
  <c r="J4774" i="29"/>
  <c r="S4767" i="29"/>
  <c r="T4767" i="29"/>
  <c r="J4767" i="29"/>
  <c r="K4767" i="29"/>
  <c r="T3899" i="29"/>
  <c r="S3899" i="29"/>
  <c r="S2853" i="29"/>
  <c r="T2853" i="29"/>
  <c r="J2853" i="29"/>
  <c r="K2853" i="29"/>
  <c r="S2837" i="29"/>
  <c r="T2837" i="29"/>
  <c r="S2812" i="29"/>
  <c r="T2812" i="29"/>
  <c r="T2772" i="29"/>
  <c r="J2772" i="29"/>
  <c r="S2772" i="29"/>
  <c r="S2730" i="29"/>
  <c r="T2730" i="29"/>
  <c r="J2730" i="29"/>
  <c r="S361" i="29"/>
  <c r="T361" i="29"/>
  <c r="W361" i="29"/>
  <c r="U361" i="29"/>
  <c r="T5712" i="29"/>
  <c r="J5712" i="29"/>
  <c r="S5712" i="29"/>
  <c r="T5682" i="29"/>
  <c r="J5682" i="29"/>
  <c r="K5682" i="29"/>
  <c r="S5682" i="29"/>
  <c r="S2287" i="29"/>
  <c r="T2287" i="29"/>
  <c r="J2287" i="29"/>
  <c r="K2287" i="29"/>
  <c r="T1989" i="29"/>
  <c r="W1989" i="29"/>
  <c r="S1989" i="29"/>
  <c r="T5114" i="29"/>
  <c r="S5114" i="29"/>
  <c r="S5106" i="29"/>
  <c r="T5106" i="29"/>
  <c r="T5173" i="29"/>
  <c r="J5173" i="29"/>
  <c r="S5173" i="29"/>
  <c r="S6761" i="29"/>
  <c r="T6761" i="29"/>
  <c r="J6761" i="29"/>
  <c r="K6761" i="29"/>
  <c r="S1446" i="29"/>
  <c r="J4553" i="29"/>
  <c r="K4553" i="29"/>
  <c r="W4553" i="29"/>
  <c r="S2290" i="29"/>
  <c r="T2290" i="29"/>
  <c r="W1135" i="29"/>
  <c r="J1135" i="29"/>
  <c r="K1135" i="29"/>
  <c r="W5022" i="29"/>
  <c r="J5022" i="29"/>
  <c r="T401" i="29"/>
  <c r="W401" i="29"/>
  <c r="S401" i="29"/>
  <c r="S315" i="29"/>
  <c r="T315" i="29"/>
  <c r="W315" i="29"/>
  <c r="S1602" i="29"/>
  <c r="T1602" i="29"/>
  <c r="J1602" i="29"/>
  <c r="K1602" i="29"/>
  <c r="S2026" i="29"/>
  <c r="T2026" i="29"/>
  <c r="W2026" i="29"/>
  <c r="U2026" i="29"/>
  <c r="J2008" i="29"/>
  <c r="K2008" i="29"/>
  <c r="W2008" i="29"/>
  <c r="W1051" i="29"/>
  <c r="J1051" i="29"/>
  <c r="T1644" i="29"/>
  <c r="S1644" i="29"/>
  <c r="J1550" i="29"/>
  <c r="W1550" i="29"/>
  <c r="T2297" i="29"/>
  <c r="J2297" i="29"/>
  <c r="S2297" i="29"/>
  <c r="T5145" i="29"/>
  <c r="J5145" i="29"/>
  <c r="S5145" i="29"/>
  <c r="W2882" i="29"/>
  <c r="J2882" i="29"/>
  <c r="W2596" i="29"/>
  <c r="J2596" i="29"/>
  <c r="K2596" i="29"/>
  <c r="S5736" i="29"/>
  <c r="S331" i="29"/>
  <c r="T331" i="29"/>
  <c r="W331" i="29"/>
  <c r="J2257" i="29"/>
  <c r="K2257" i="29"/>
  <c r="W2257" i="29"/>
  <c r="J1648" i="29"/>
  <c r="J2611" i="29"/>
  <c r="K2611" i="29"/>
  <c r="W2611" i="29"/>
  <c r="S2563" i="29"/>
  <c r="T2563" i="29"/>
  <c r="J2563" i="29"/>
  <c r="K2563" i="29"/>
  <c r="W2314" i="29"/>
  <c r="U2314" i="29"/>
  <c r="S2205" i="29"/>
  <c r="T2205" i="29"/>
  <c r="W2205" i="29"/>
  <c r="T2186" i="29"/>
  <c r="J2186" i="29"/>
  <c r="K2186" i="29"/>
  <c r="S2186" i="29"/>
  <c r="T2167" i="29"/>
  <c r="W2167" i="29"/>
  <c r="U2167" i="29"/>
  <c r="S2167" i="29"/>
  <c r="S2164" i="29"/>
  <c r="T2164" i="29"/>
  <c r="T2040" i="29"/>
  <c r="W2040" i="29"/>
  <c r="U2040" i="29"/>
  <c r="S2040" i="29"/>
  <c r="S2033" i="29"/>
  <c r="T2033" i="29"/>
  <c r="J2033" i="29"/>
  <c r="W2014" i="29"/>
  <c r="S1975" i="29"/>
  <c r="T1975" i="29"/>
  <c r="J415" i="29"/>
  <c r="K415" i="29"/>
  <c r="W415" i="29"/>
  <c r="S5621" i="29"/>
  <c r="T5621" i="29"/>
  <c r="J5621" i="29"/>
  <c r="T7261" i="29"/>
  <c r="J7261" i="29"/>
  <c r="K7261" i="29"/>
  <c r="S7261" i="29"/>
  <c r="T1739" i="29"/>
  <c r="J1739" i="29"/>
  <c r="S3637" i="29"/>
  <c r="T3836" i="29"/>
  <c r="J3836" i="29"/>
  <c r="K3836" i="29"/>
  <c r="T2049" i="29"/>
  <c r="T3883" i="29"/>
  <c r="S5040" i="29"/>
  <c r="T5040" i="29"/>
  <c r="T5018" i="29"/>
  <c r="J5018" i="29"/>
  <c r="S5018" i="29"/>
  <c r="S4994" i="29"/>
  <c r="T4994" i="29"/>
  <c r="W4994" i="29"/>
  <c r="S4927" i="29"/>
  <c r="T4927" i="29"/>
  <c r="J4927" i="29"/>
  <c r="S4793" i="29"/>
  <c r="T4793" i="29"/>
  <c r="J4793" i="29"/>
  <c r="S4778" i="29"/>
  <c r="T4778" i="29"/>
  <c r="J4778" i="29"/>
  <c r="T4745" i="29"/>
  <c r="S4745" i="29"/>
  <c r="T4713" i="29"/>
  <c r="J4713" i="29"/>
  <c r="K4713" i="29"/>
  <c r="S4713" i="29"/>
  <c r="S4710" i="29"/>
  <c r="T4710" i="29"/>
  <c r="T4653" i="29"/>
  <c r="S4653" i="29"/>
  <c r="T4634" i="29"/>
  <c r="S4634" i="29"/>
  <c r="T4498" i="29"/>
  <c r="S4498" i="29"/>
  <c r="T4469" i="29"/>
  <c r="W4469" i="29"/>
  <c r="S4469" i="29"/>
  <c r="K365" i="29"/>
  <c r="J2308" i="29"/>
  <c r="S1605" i="29"/>
  <c r="T1605" i="29"/>
  <c r="J1605" i="29"/>
  <c r="K1605" i="29"/>
  <c r="S7448" i="29"/>
  <c r="T7448" i="29"/>
  <c r="J7448" i="29"/>
  <c r="W3127" i="29"/>
  <c r="S2686" i="29"/>
  <c r="S2992" i="29"/>
  <c r="S2314" i="29"/>
  <c r="S2629" i="29"/>
  <c r="S5043" i="29"/>
  <c r="T5043" i="29"/>
  <c r="T4781" i="29"/>
  <c r="J4781" i="29"/>
  <c r="K4781" i="29"/>
  <c r="S4781" i="29"/>
  <c r="S4428" i="29"/>
  <c r="T4428" i="29"/>
  <c r="J4428" i="29"/>
  <c r="J75" i="29"/>
  <c r="K75" i="29"/>
  <c r="W75" i="29"/>
  <c r="S5180" i="29"/>
  <c r="T5180" i="29"/>
  <c r="S6608" i="29"/>
  <c r="T6608" i="29"/>
  <c r="J6608" i="29"/>
  <c r="K6608" i="29"/>
  <c r="T318" i="29"/>
  <c r="W318" i="29"/>
  <c r="T2534" i="29"/>
  <c r="J2534" i="29"/>
  <c r="S2534" i="29"/>
  <c r="S2336" i="29"/>
  <c r="T2336" i="29"/>
  <c r="T2333" i="29"/>
  <c r="S2333" i="29"/>
  <c r="S2154" i="29"/>
  <c r="T2154" i="29"/>
  <c r="J2154" i="29"/>
  <c r="K2154" i="29"/>
  <c r="T2148" i="29"/>
  <c r="J2148" i="29"/>
  <c r="K2148" i="29"/>
  <c r="S2148" i="29"/>
  <c r="T567" i="29"/>
  <c r="W567" i="29"/>
  <c r="S567" i="29"/>
  <c r="T548" i="29"/>
  <c r="W548" i="29"/>
  <c r="S548" i="29"/>
  <c r="K539" i="29"/>
  <c r="S502" i="29"/>
  <c r="T502" i="29"/>
  <c r="W502" i="29"/>
  <c r="S499" i="29"/>
  <c r="T499" i="29"/>
  <c r="W499" i="29"/>
  <c r="U499" i="29"/>
  <c r="K487" i="29"/>
  <c r="J61" i="29"/>
  <c r="W61" i="29"/>
  <c r="T6502" i="29"/>
  <c r="J6502" i="29"/>
  <c r="S6502" i="29"/>
  <c r="T6423" i="29"/>
  <c r="J6423" i="29"/>
  <c r="S6423" i="29"/>
  <c r="S6589" i="29"/>
  <c r="T6589" i="29"/>
  <c r="J6589" i="29"/>
  <c r="T6896" i="29"/>
  <c r="J6896" i="29"/>
  <c r="K6896" i="29"/>
  <c r="S6896" i="29"/>
  <c r="S7370" i="29"/>
  <c r="T7370" i="29"/>
  <c r="S2667" i="29"/>
  <c r="T2667" i="29"/>
  <c r="W2667" i="29"/>
  <c r="S2645" i="29"/>
  <c r="T2645" i="29"/>
  <c r="T3949" i="29"/>
  <c r="J3949" i="29"/>
  <c r="S3949" i="29"/>
  <c r="S3811" i="29"/>
  <c r="T3811" i="29"/>
  <c r="J3811" i="29"/>
  <c r="S3792" i="29"/>
  <c r="S3786" i="29"/>
  <c r="T3786" i="29"/>
  <c r="W3786" i="29"/>
  <c r="U3786" i="29"/>
  <c r="T3744" i="29"/>
  <c r="S3744" i="29"/>
  <c r="T3615" i="29"/>
  <c r="S3615" i="29"/>
  <c r="S3514" i="29"/>
  <c r="T3514" i="29"/>
  <c r="J3514" i="29"/>
  <c r="U3514" i="29"/>
  <c r="T2913" i="29"/>
  <c r="J2913" i="29"/>
  <c r="S2913" i="29"/>
  <c r="S2840" i="29"/>
  <c r="T2840" i="29"/>
  <c r="S2815" i="29"/>
  <c r="T2815" i="29"/>
  <c r="J2815" i="29"/>
  <c r="S2796" i="29"/>
  <c r="T2796" i="29"/>
  <c r="W1409" i="29"/>
  <c r="T701" i="29"/>
  <c r="W701" i="29"/>
  <c r="U701" i="29"/>
  <c r="S701" i="29"/>
  <c r="S675" i="29"/>
  <c r="T675" i="29"/>
  <c r="W675" i="29"/>
  <c r="S5803" i="29"/>
  <c r="T5803" i="29"/>
  <c r="J5803" i="29"/>
  <c r="K5803" i="29"/>
  <c r="S5807" i="29"/>
  <c r="T5807" i="29"/>
  <c r="J5807" i="29"/>
  <c r="K5807" i="29"/>
  <c r="S5840" i="29"/>
  <c r="T5840" i="29"/>
  <c r="J5840" i="29"/>
  <c r="K5840" i="29"/>
  <c r="T5847" i="29"/>
  <c r="J5847" i="29"/>
  <c r="S5847" i="29"/>
  <c r="S5895" i="29"/>
  <c r="T5895" i="29"/>
  <c r="J5895" i="29"/>
  <c r="K5895" i="29"/>
  <c r="T5983" i="29"/>
  <c r="S5983" i="29"/>
  <c r="T6433" i="29"/>
  <c r="J6433" i="29"/>
  <c r="K6433" i="29"/>
  <c r="S6433" i="29"/>
  <c r="W5077" i="29"/>
  <c r="D79" i="30"/>
  <c r="J36" i="29"/>
  <c r="J5655" i="29"/>
  <c r="T2263" i="29"/>
  <c r="S4138" i="29"/>
  <c r="T4138" i="29"/>
  <c r="W4138" i="29"/>
  <c r="T4078" i="29"/>
  <c r="J4078" i="29"/>
  <c r="K4078" i="29"/>
  <c r="S4078" i="29"/>
  <c r="T4012" i="29"/>
  <c r="J4012" i="29"/>
  <c r="S4012" i="29"/>
  <c r="S3986" i="29"/>
  <c r="T3986" i="29"/>
  <c r="S3795" i="29"/>
  <c r="T3795" i="29"/>
  <c r="W3792" i="29"/>
  <c r="J3792" i="29"/>
  <c r="K3792" i="29"/>
  <c r="S3658" i="29"/>
  <c r="T3658" i="29"/>
  <c r="J3658" i="29"/>
  <c r="S3640" i="29"/>
  <c r="T3640" i="29"/>
  <c r="J3640" i="29"/>
  <c r="T3634" i="29"/>
  <c r="S3634" i="29"/>
  <c r="V3634" i="29"/>
  <c r="S3586" i="29"/>
  <c r="T3586" i="29"/>
  <c r="J3586" i="29"/>
  <c r="K3586" i="29"/>
  <c r="T3523" i="29"/>
  <c r="J3523" i="29"/>
  <c r="U3523" i="29"/>
  <c r="S3523" i="29"/>
  <c r="S2717" i="29"/>
  <c r="T2717" i="29"/>
  <c r="T2657" i="29"/>
  <c r="J2657" i="29"/>
  <c r="S2657" i="29"/>
  <c r="T2317" i="29"/>
  <c r="W2317" i="29"/>
  <c r="W2199" i="29"/>
  <c r="S4378" i="29"/>
  <c r="T4378" i="29"/>
  <c r="J4378" i="29"/>
  <c r="T4277" i="29"/>
  <c r="J4277" i="29"/>
  <c r="K4277" i="29"/>
  <c r="S4277" i="29"/>
  <c r="T4245" i="29"/>
  <c r="W4245" i="29"/>
  <c r="S4245" i="29"/>
  <c r="S3917" i="29"/>
  <c r="T3917" i="29"/>
  <c r="J3917" i="29"/>
  <c r="K3917" i="29"/>
  <c r="S3910" i="29"/>
  <c r="T3910" i="29"/>
  <c r="T2956" i="29"/>
  <c r="S2956" i="29"/>
  <c r="T2938" i="29"/>
  <c r="W2938" i="29"/>
  <c r="U2938" i="29"/>
  <c r="S2938" i="29"/>
  <c r="T2846" i="29"/>
  <c r="J2846" i="29"/>
  <c r="S2846" i="29"/>
  <c r="S2739" i="29"/>
  <c r="T2739" i="29"/>
  <c r="J2739" i="29"/>
  <c r="S2720" i="29"/>
  <c r="T2720" i="29"/>
  <c r="J2196" i="29"/>
  <c r="K2196" i="29"/>
  <c r="T3855" i="29"/>
  <c r="J3855" i="29"/>
  <c r="W374" i="29"/>
  <c r="U374" i="29"/>
  <c r="T461" i="29"/>
  <c r="W461" i="29"/>
  <c r="U461" i="29"/>
  <c r="T451" i="29"/>
  <c r="W451" i="29"/>
  <c r="T367" i="29"/>
  <c r="W367" i="29"/>
  <c r="U367" i="29"/>
  <c r="D22" i="30"/>
  <c r="T344" i="29"/>
  <c r="W344" i="29"/>
  <c r="U344" i="29"/>
  <c r="T3776" i="29"/>
  <c r="J3776" i="29"/>
  <c r="W411" i="29"/>
  <c r="T3817" i="29"/>
  <c r="S364" i="29"/>
  <c r="S3773" i="29"/>
  <c r="W2803" i="29"/>
  <c r="T480" i="29"/>
  <c r="W480" i="29"/>
  <c r="U480" i="29"/>
  <c r="D70" i="30"/>
  <c r="J1780" i="29"/>
  <c r="S3826" i="29"/>
  <c r="S5586" i="29"/>
  <c r="W45" i="29"/>
  <c r="U45" i="29"/>
  <c r="J2246" i="29"/>
  <c r="K2246" i="29"/>
  <c r="S2014" i="29"/>
  <c r="T1653" i="29"/>
  <c r="W1653" i="29"/>
  <c r="U1653" i="29"/>
  <c r="T2799" i="29"/>
  <c r="S2655" i="29"/>
  <c r="T2655" i="29"/>
  <c r="S2208" i="29"/>
  <c r="S2036" i="29"/>
  <c r="T2036" i="29"/>
  <c r="J2036" i="29"/>
  <c r="K2036" i="29"/>
  <c r="T1929" i="29"/>
  <c r="W1929" i="29"/>
  <c r="U1929" i="29"/>
  <c r="S1929" i="29"/>
  <c r="T5202" i="29"/>
  <c r="S5202" i="29"/>
  <c r="T7162" i="29"/>
  <c r="J7162" i="29"/>
  <c r="K7162" i="29"/>
  <c r="S7162" i="29"/>
  <c r="S7171" i="29"/>
  <c r="T7171" i="29"/>
  <c r="T7424" i="29"/>
  <c r="J7424" i="29"/>
  <c r="K7424" i="29"/>
  <c r="S7424" i="29"/>
  <c r="S7447" i="29"/>
  <c r="T7447" i="29"/>
  <c r="J7447" i="29"/>
  <c r="J4957" i="29"/>
  <c r="K4957" i="29"/>
  <c r="T4935" i="29"/>
  <c r="K2243" i="29"/>
  <c r="D53" i="30"/>
  <c r="R4628" i="29"/>
  <c r="S4628" i="29"/>
  <c r="D55" i="30"/>
  <c r="D75" i="30"/>
  <c r="J19" i="29"/>
  <c r="D2" i="30"/>
  <c r="D15" i="30"/>
  <c r="J15" i="29"/>
  <c r="S5087" i="29"/>
  <c r="T5087" i="29"/>
  <c r="T5103" i="29"/>
  <c r="J5103" i="29"/>
  <c r="S5103" i="29"/>
  <c r="S5158" i="29"/>
  <c r="T5158" i="29"/>
  <c r="J5158" i="29"/>
  <c r="K5158" i="29"/>
  <c r="T5199" i="29"/>
  <c r="S5199" i="29"/>
  <c r="T2859" i="29"/>
  <c r="W2859" i="29"/>
  <c r="S2859" i="29"/>
  <c r="S2824" i="29"/>
  <c r="T2824" i="29"/>
  <c r="J2824" i="29"/>
  <c r="K2824" i="29"/>
  <c r="T2695" i="29"/>
  <c r="J2695" i="29"/>
  <c r="K2695" i="29"/>
  <c r="S2695" i="29"/>
  <c r="S1280" i="29"/>
  <c r="T1280" i="29"/>
  <c r="W1280" i="29"/>
  <c r="U1280" i="29"/>
  <c r="W1231" i="29"/>
  <c r="J1231" i="29"/>
  <c r="S1215" i="29"/>
  <c r="T1215" i="29"/>
  <c r="K631" i="29"/>
  <c r="J182" i="29"/>
  <c r="K182" i="29"/>
  <c r="W182" i="29"/>
  <c r="T5873" i="29"/>
  <c r="J5873" i="29"/>
  <c r="K5873" i="29"/>
  <c r="S5873" i="29"/>
  <c r="T5877" i="29"/>
  <c r="J5877" i="29"/>
  <c r="S5877" i="29"/>
  <c r="T5920" i="29"/>
  <c r="J5920" i="29"/>
  <c r="K5920" i="29"/>
  <c r="S5920" i="29"/>
  <c r="T7175" i="29"/>
  <c r="J7175" i="29"/>
  <c r="K7175" i="29"/>
  <c r="S7175" i="29"/>
  <c r="J5148" i="29"/>
  <c r="S3163" i="29"/>
  <c r="T3163" i="29"/>
  <c r="S3065" i="29"/>
  <c r="T3065" i="29"/>
  <c r="J3065" i="29"/>
  <c r="S2906" i="29"/>
  <c r="T2906" i="29"/>
  <c r="J2594" i="29"/>
  <c r="T650" i="29"/>
  <c r="W650" i="29"/>
  <c r="U650" i="29"/>
  <c r="J637" i="29"/>
  <c r="T5779" i="29"/>
  <c r="J5779" i="29"/>
  <c r="S5779" i="29"/>
  <c r="S5837" i="29"/>
  <c r="T5837" i="29"/>
  <c r="J5837" i="29"/>
  <c r="S4223" i="29"/>
  <c r="T4223" i="29"/>
  <c r="J4223" i="29"/>
  <c r="K4223" i="29"/>
  <c r="S4152" i="29"/>
  <c r="T4152" i="29"/>
  <c r="T3851" i="29"/>
  <c r="J3851" i="29"/>
  <c r="S3851" i="29"/>
  <c r="S3709" i="29"/>
  <c r="T3709" i="29"/>
  <c r="J3709" i="29"/>
  <c r="T3255" i="29"/>
  <c r="W3255" i="29"/>
  <c r="U3255" i="29"/>
  <c r="S3160" i="29"/>
  <c r="S3138" i="29"/>
  <c r="T3138" i="29"/>
  <c r="S3122" i="29"/>
  <c r="T3122" i="29"/>
  <c r="J2916" i="29"/>
  <c r="K2916" i="29"/>
  <c r="S6492" i="29"/>
  <c r="T6492" i="29"/>
  <c r="J6492" i="29"/>
  <c r="T6503" i="29"/>
  <c r="J6503" i="29"/>
  <c r="K6503" i="29"/>
  <c r="S6503" i="29"/>
  <c r="W4735" i="29"/>
  <c r="S1751" i="29"/>
  <c r="W1094" i="29"/>
  <c r="U1094" i="29"/>
  <c r="T4238" i="29"/>
  <c r="W4238" i="29"/>
  <c r="S4238" i="29"/>
  <c r="S4115" i="29"/>
  <c r="T4115" i="29"/>
  <c r="J4115" i="29"/>
  <c r="K4115" i="29"/>
  <c r="S4090" i="29"/>
  <c r="T4090" i="29"/>
  <c r="W4090" i="29"/>
  <c r="S3061" i="29"/>
  <c r="T3061" i="29"/>
  <c r="T1337" i="29"/>
  <c r="S1337" i="29"/>
  <c r="W723" i="29"/>
  <c r="T5867" i="29"/>
  <c r="J5867" i="29"/>
  <c r="K5867" i="29"/>
  <c r="S5867" i="29"/>
  <c r="S5924" i="29"/>
  <c r="T5924" i="29"/>
  <c r="J5924" i="29"/>
  <c r="T2671" i="29"/>
  <c r="J2671" i="29"/>
  <c r="K2671" i="29"/>
  <c r="S2089" i="29"/>
  <c r="S5139" i="29"/>
  <c r="S4416" i="29"/>
  <c r="T4416" i="29"/>
  <c r="J4416" i="29"/>
  <c r="K4416" i="29"/>
  <c r="S4267" i="29"/>
  <c r="T4267" i="29"/>
  <c r="J4267" i="29"/>
  <c r="T3327" i="29"/>
  <c r="S3327" i="29"/>
  <c r="S3204" i="29"/>
  <c r="T3204" i="29"/>
  <c r="J3204" i="29"/>
  <c r="T5715" i="29"/>
  <c r="J5715" i="29"/>
  <c r="S5715" i="29"/>
  <c r="T5684" i="29"/>
  <c r="J5684" i="29"/>
  <c r="K5684" i="29"/>
  <c r="S5684" i="29"/>
  <c r="T5767" i="29"/>
  <c r="J5767" i="29"/>
  <c r="S5767" i="29"/>
  <c r="S5851" i="29"/>
  <c r="T5851" i="29"/>
  <c r="J5851" i="29"/>
  <c r="K5851" i="29"/>
  <c r="T2718" i="29"/>
  <c r="T2737" i="29"/>
  <c r="W2737" i="29"/>
  <c r="J2822" i="29"/>
  <c r="K2822" i="29"/>
  <c r="T4960" i="29"/>
  <c r="J4960" i="29"/>
  <c r="S4960" i="29"/>
  <c r="S4676" i="29"/>
  <c r="T4676" i="29"/>
  <c r="W4676" i="29"/>
  <c r="T4644" i="29"/>
  <c r="J4644" i="29"/>
  <c r="S4644" i="29"/>
  <c r="T4454" i="29"/>
  <c r="J4454" i="29"/>
  <c r="S4454" i="29"/>
  <c r="T3462" i="29"/>
  <c r="S3462" i="29"/>
  <c r="S2018" i="29"/>
  <c r="T2018" i="29"/>
  <c r="J879" i="29"/>
  <c r="W879" i="29"/>
  <c r="S5273" i="29"/>
  <c r="T5273" i="29"/>
  <c r="T5276" i="29"/>
  <c r="S5276" i="29"/>
  <c r="S5363" i="29"/>
  <c r="T5363" i="29"/>
  <c r="S5338" i="29"/>
  <c r="T5338" i="29"/>
  <c r="J5338" i="29"/>
  <c r="K5338" i="29"/>
  <c r="W5341" i="29"/>
  <c r="J5341" i="29"/>
  <c r="T5369" i="29"/>
  <c r="W5369" i="29"/>
  <c r="U5369" i="29"/>
  <c r="S5369" i="29"/>
  <c r="T5434" i="29"/>
  <c r="J5434" i="29"/>
  <c r="S5434" i="29"/>
  <c r="T5696" i="29"/>
  <c r="J5696" i="29"/>
  <c r="K5696" i="29"/>
  <c r="S5696" i="29"/>
  <c r="T5700" i="29"/>
  <c r="J5700" i="29"/>
  <c r="K5700" i="29"/>
  <c r="S5700" i="29"/>
  <c r="T5780" i="29"/>
  <c r="J5780" i="29"/>
  <c r="S5780" i="29"/>
  <c r="T5804" i="29"/>
  <c r="J5804" i="29"/>
  <c r="S5804" i="29"/>
  <c r="J1690" i="29"/>
  <c r="W3593" i="29"/>
  <c r="U3593" i="29"/>
  <c r="J2067" i="29"/>
  <c r="J2825" i="29"/>
  <c r="K2825" i="29"/>
  <c r="J2234" i="29"/>
  <c r="K2234" i="29"/>
  <c r="T2127" i="29"/>
  <c r="W2127" i="29"/>
  <c r="S2127" i="29"/>
  <c r="J1523" i="29"/>
  <c r="J1498" i="29"/>
  <c r="W1498" i="29"/>
  <c r="T1437" i="29"/>
  <c r="W1437" i="29"/>
  <c r="U1437" i="29"/>
  <c r="T1425" i="29"/>
  <c r="S1425" i="29"/>
  <c r="T5252" i="29"/>
  <c r="J5252" i="29"/>
  <c r="S5252" i="29"/>
  <c r="W1418" i="29"/>
  <c r="T5219" i="29"/>
  <c r="J5219" i="29"/>
  <c r="T2982" i="29"/>
  <c r="S2117" i="29"/>
  <c r="S4441" i="29"/>
  <c r="T4441" i="29"/>
  <c r="J4441" i="29"/>
  <c r="J4140" i="29"/>
  <c r="U4140" i="29"/>
  <c r="K2520" i="29"/>
  <c r="T2513" i="29"/>
  <c r="J2513" i="29"/>
  <c r="K2513" i="29"/>
  <c r="S2513" i="29"/>
  <c r="S5179" i="29"/>
  <c r="T5179" i="29"/>
  <c r="S5602" i="29"/>
  <c r="T5602" i="29"/>
  <c r="J5602" i="29"/>
  <c r="W4638" i="29"/>
  <c r="W2288" i="29"/>
  <c r="W2243" i="29"/>
  <c r="U2243" i="29"/>
  <c r="S5971" i="29"/>
  <c r="T5971" i="29"/>
  <c r="J5971" i="29"/>
  <c r="K5971" i="29"/>
  <c r="T7159" i="29"/>
  <c r="J7159" i="29"/>
  <c r="K7159" i="29"/>
  <c r="S7159" i="29"/>
  <c r="J4716" i="29"/>
  <c r="K4716" i="29"/>
  <c r="J4131" i="29"/>
  <c r="W2677" i="29"/>
  <c r="J2136" i="29"/>
  <c r="U2136" i="29"/>
  <c r="W2090" i="29"/>
  <c r="K2065" i="29"/>
  <c r="W1542" i="29"/>
  <c r="K1475" i="29"/>
  <c r="S1196" i="29"/>
  <c r="K587" i="29"/>
  <c r="K536" i="29"/>
  <c r="T5304" i="29"/>
  <c r="J5304" i="29"/>
  <c r="S5304" i="29"/>
  <c r="S6762" i="29"/>
  <c r="T6762" i="29"/>
  <c r="J6762" i="29"/>
  <c r="K6762" i="29"/>
  <c r="S6907" i="29"/>
  <c r="T6907" i="29"/>
  <c r="W6907" i="29"/>
  <c r="T7156" i="29"/>
  <c r="J7156" i="29"/>
  <c r="K7156" i="29"/>
  <c r="S7156" i="29"/>
  <c r="J6483" i="29"/>
  <c r="K1504" i="29"/>
  <c r="S754" i="29"/>
  <c r="T754" i="29"/>
  <c r="T691" i="29"/>
  <c r="W691" i="29"/>
  <c r="U691" i="29"/>
  <c r="K644" i="29"/>
  <c r="T5609" i="29"/>
  <c r="J5609" i="29"/>
  <c r="S5609" i="29"/>
  <c r="J5704" i="29"/>
  <c r="J5708" i="29"/>
  <c r="S5740" i="29"/>
  <c r="T5740" i="29"/>
  <c r="J5740" i="29"/>
  <c r="K5740" i="29"/>
  <c r="S7051" i="29"/>
  <c r="T7051" i="29"/>
  <c r="J7051" i="29"/>
  <c r="T7757" i="29"/>
  <c r="J7757" i="29"/>
  <c r="S7757" i="29"/>
  <c r="S7798" i="29"/>
  <c r="T7798" i="29"/>
  <c r="J7798" i="29"/>
  <c r="K7798" i="29"/>
  <c r="T6787" i="29"/>
  <c r="J6787" i="29"/>
  <c r="S6787" i="29"/>
  <c r="T7019" i="29"/>
  <c r="J7019" i="29"/>
  <c r="K7019" i="29"/>
  <c r="S7019" i="29"/>
  <c r="T7127" i="29"/>
  <c r="J7127" i="29"/>
  <c r="K7127" i="29"/>
  <c r="S7127" i="29"/>
  <c r="S7779" i="29"/>
  <c r="T7779" i="29"/>
  <c r="J7779" i="29"/>
  <c r="K7779" i="29"/>
  <c r="J1763" i="29"/>
  <c r="W1723" i="29"/>
  <c r="W1681" i="29"/>
  <c r="W1638" i="29"/>
  <c r="J1621" i="29"/>
  <c r="K969" i="29"/>
  <c r="K940" i="29"/>
  <c r="K925" i="29"/>
  <c r="T797" i="29"/>
  <c r="W797" i="29"/>
  <c r="U797" i="29"/>
  <c r="T794" i="29"/>
  <c r="W794" i="29"/>
  <c r="K767" i="29"/>
  <c r="T716" i="29"/>
  <c r="W716" i="29"/>
  <c r="U716" i="29"/>
  <c r="S713" i="29"/>
  <c r="K704" i="29"/>
  <c r="K691" i="29"/>
  <c r="W166" i="29"/>
  <c r="U166" i="29"/>
  <c r="S6802" i="29"/>
  <c r="T6802" i="29"/>
  <c r="J6802" i="29"/>
  <c r="K6802" i="29"/>
  <c r="T7016" i="29"/>
  <c r="J7016" i="29"/>
  <c r="U7016" i="29"/>
  <c r="S7016" i="29"/>
  <c r="S7776" i="29"/>
  <c r="T7776" i="29"/>
  <c r="J7776" i="29"/>
  <c r="K7776" i="29"/>
  <c r="S7920" i="29"/>
  <c r="T7920" i="29"/>
  <c r="J7920" i="29"/>
  <c r="S7889" i="29"/>
  <c r="T7889" i="29"/>
  <c r="J7889" i="29"/>
  <c r="K7889" i="29"/>
  <c r="S3452" i="29"/>
  <c r="K1877" i="29"/>
  <c r="K1833" i="29"/>
  <c r="J1794" i="29"/>
  <c r="K1794" i="29"/>
  <c r="T5551" i="29"/>
  <c r="J5551" i="29"/>
  <c r="U5551" i="29"/>
  <c r="S5551" i="29"/>
  <c r="T6707" i="29"/>
  <c r="J6707" i="29"/>
  <c r="K6707" i="29"/>
  <c r="S6701" i="29"/>
  <c r="T7530" i="29"/>
  <c r="J7530" i="29"/>
  <c r="K7530" i="29"/>
  <c r="S7530" i="29"/>
  <c r="S7483" i="29"/>
  <c r="S7888" i="29"/>
  <c r="T7888" i="29"/>
  <c r="J7888" i="29"/>
  <c r="J2960" i="29"/>
  <c r="S3398" i="29"/>
  <c r="S6467" i="29"/>
  <c r="J3399" i="29"/>
  <c r="U3399" i="29"/>
  <c r="K1641" i="29"/>
  <c r="J1544" i="29"/>
  <c r="K1186" i="29"/>
  <c r="K1071" i="29"/>
  <c r="K1065" i="29"/>
  <c r="K996" i="29"/>
  <c r="T5129" i="29"/>
  <c r="J5129" i="29"/>
  <c r="S5129" i="29"/>
  <c r="S5625" i="29"/>
  <c r="T5625" i="29"/>
  <c r="J5625" i="29"/>
  <c r="K5625" i="29"/>
  <c r="S8015" i="29"/>
  <c r="T8015" i="29"/>
  <c r="J3672" i="29"/>
  <c r="U3672" i="29"/>
  <c r="W512" i="29"/>
  <c r="S3659" i="29"/>
  <c r="T3659" i="29"/>
  <c r="T3650" i="29"/>
  <c r="T2428" i="29"/>
  <c r="W2428" i="29"/>
  <c r="S1561" i="29"/>
  <c r="T1561" i="29"/>
  <c r="J1561" i="29"/>
  <c r="K1561" i="29"/>
  <c r="K1074" i="29"/>
  <c r="K760" i="29"/>
  <c r="S5373" i="29"/>
  <c r="T5373" i="29"/>
  <c r="W5373" i="29"/>
  <c r="T5588" i="29"/>
  <c r="J5588" i="29"/>
  <c r="K5588" i="29"/>
  <c r="T7030" i="29"/>
  <c r="J7030" i="29"/>
  <c r="S7030" i="29"/>
  <c r="W1805" i="29"/>
  <c r="W377" i="29"/>
  <c r="U377" i="29"/>
  <c r="S338" i="29"/>
  <c r="T338" i="29"/>
  <c r="W176" i="29"/>
  <c r="U176" i="29"/>
  <c r="T5368" i="29"/>
  <c r="J5368" i="29"/>
  <c r="U5368" i="29"/>
  <c r="S5368" i="29"/>
  <c r="S5959" i="29"/>
  <c r="T5959" i="29"/>
  <c r="W5959" i="29"/>
  <c r="T6167" i="29"/>
  <c r="J6167" i="29"/>
  <c r="K6167" i="29"/>
  <c r="S6167" i="29"/>
  <c r="S6915" i="29"/>
  <c r="T6915" i="29"/>
  <c r="J6915" i="29"/>
  <c r="K6915" i="29"/>
  <c r="T6934" i="29"/>
  <c r="J6934" i="29"/>
  <c r="K6934" i="29"/>
  <c r="S6934" i="29"/>
  <c r="T7322" i="29"/>
  <c r="J7322" i="29"/>
  <c r="K7322" i="29"/>
  <c r="S7322" i="29"/>
  <c r="S2532" i="29"/>
  <c r="S1973" i="29"/>
  <c r="T1973" i="29"/>
  <c r="W1973" i="29"/>
  <c r="K1107" i="29"/>
  <c r="S1070" i="29"/>
  <c r="S1067" i="29"/>
  <c r="S1038" i="29"/>
  <c r="T1004" i="29"/>
  <c r="W1004" i="29"/>
  <c r="U1004" i="29"/>
  <c r="T995" i="29"/>
  <c r="W995" i="29"/>
  <c r="U995" i="29"/>
  <c r="S5538" i="29"/>
  <c r="T5538" i="29"/>
  <c r="T5614" i="29"/>
  <c r="J5614" i="29"/>
  <c r="K5614" i="29"/>
  <c r="S5614" i="29"/>
  <c r="J6701" i="29"/>
  <c r="T6737" i="29"/>
  <c r="J6737" i="29"/>
  <c r="S6737" i="29"/>
  <c r="T7352" i="29"/>
  <c r="J7352" i="29"/>
  <c r="K7352" i="29"/>
  <c r="S7352" i="29"/>
  <c r="S7454" i="29"/>
  <c r="T7454" i="29"/>
  <c r="S7510" i="29"/>
  <c r="T7510" i="29"/>
  <c r="J7510" i="29"/>
  <c r="S7947" i="29"/>
  <c r="T7947" i="29"/>
  <c r="T4939" i="29"/>
  <c r="T2347" i="29"/>
  <c r="J2347" i="29"/>
  <c r="S2347" i="29"/>
  <c r="K2022" i="29"/>
  <c r="T1292" i="29"/>
  <c r="W1292" i="29"/>
  <c r="U1292" i="29"/>
  <c r="W1110" i="29"/>
  <c r="K1085" i="29"/>
  <c r="K349" i="29"/>
  <c r="T312" i="29"/>
  <c r="S312" i="29"/>
  <c r="S5367" i="29"/>
  <c r="T5367" i="29"/>
  <c r="S6018" i="29"/>
  <c r="T6018" i="29"/>
  <c r="J6018" i="29"/>
  <c r="K6018" i="29"/>
  <c r="S7449" i="29"/>
  <c r="T7449" i="29"/>
  <c r="T8071" i="29"/>
  <c r="J8071" i="29"/>
  <c r="K8071" i="29"/>
  <c r="K281" i="29"/>
  <c r="K124" i="29"/>
  <c r="K72" i="29"/>
  <c r="W21" i="29"/>
  <c r="J6831" i="29"/>
  <c r="K6831" i="29"/>
  <c r="J7902" i="29"/>
  <c r="J7960" i="29"/>
  <c r="K7960" i="29"/>
  <c r="T8084" i="29"/>
  <c r="J8084" i="29"/>
  <c r="K8084" i="29"/>
  <c r="K467" i="29"/>
  <c r="W120" i="29"/>
  <c r="W39" i="29"/>
  <c r="D76" i="30"/>
  <c r="J37" i="29"/>
  <c r="K37" i="29"/>
  <c r="S8097" i="29"/>
  <c r="T8026" i="29"/>
  <c r="J8026" i="29"/>
  <c r="K8026" i="29"/>
  <c r="S3520" i="29"/>
  <c r="K3490" i="29"/>
  <c r="S2946" i="29"/>
  <c r="K2686" i="29"/>
  <c r="J2421" i="29"/>
  <c r="K2421" i="29"/>
  <c r="T2316" i="29"/>
  <c r="W2316" i="29"/>
  <c r="U2316" i="29"/>
  <c r="K2281" i="29"/>
  <c r="J2195" i="29"/>
  <c r="S1905" i="29"/>
  <c r="J1899" i="29"/>
  <c r="K1899" i="29"/>
  <c r="W1897" i="29"/>
  <c r="S1807" i="29"/>
  <c r="K1474" i="29"/>
  <c r="J1452" i="29"/>
  <c r="K1452" i="29"/>
  <c r="W1449" i="29"/>
  <c r="S1346" i="29"/>
  <c r="K971" i="29"/>
  <c r="K961" i="29"/>
  <c r="K900" i="29"/>
  <c r="K834" i="29"/>
  <c r="T750" i="29"/>
  <c r="W750" i="29"/>
  <c r="U750" i="29"/>
  <c r="T690" i="29"/>
  <c r="W690" i="29"/>
  <c r="U690" i="29"/>
  <c r="K662" i="29"/>
  <c r="S649" i="29"/>
  <c r="K636" i="29"/>
  <c r="K554" i="29"/>
  <c r="K538" i="29"/>
  <c r="K508" i="29"/>
  <c r="W492" i="29"/>
  <c r="U492" i="29"/>
  <c r="K476" i="29"/>
  <c r="K389" i="29"/>
  <c r="K383" i="29"/>
  <c r="K361" i="29"/>
  <c r="K293" i="29"/>
  <c r="W254" i="29"/>
  <c r="W251" i="29"/>
  <c r="U251" i="29"/>
  <c r="W248" i="29"/>
  <c r="W243" i="29"/>
  <c r="J5224" i="29"/>
  <c r="K5224" i="29"/>
  <c r="J5240" i="29"/>
  <c r="T7065" i="29"/>
  <c r="J7065" i="29"/>
  <c r="K7065" i="29"/>
  <c r="W1112" i="29"/>
  <c r="J6573" i="29"/>
  <c r="K6573" i="29"/>
  <c r="J6536" i="29"/>
  <c r="K6536" i="29"/>
  <c r="T6592" i="29"/>
  <c r="T6624" i="29"/>
  <c r="J6624" i="29"/>
  <c r="T6751" i="29"/>
  <c r="J6942" i="29"/>
  <c r="K6942" i="29"/>
  <c r="S7066" i="29"/>
  <c r="J4438" i="29"/>
  <c r="S3451" i="29"/>
  <c r="K2692" i="29"/>
  <c r="J2603" i="29"/>
  <c r="K2603" i="29"/>
  <c r="W2278" i="29"/>
  <c r="K2076" i="29"/>
  <c r="S1834" i="29"/>
  <c r="K1695" i="29"/>
  <c r="J1555" i="29"/>
  <c r="W1518" i="29"/>
  <c r="U1518" i="29"/>
  <c r="K1503" i="29"/>
  <c r="W1497" i="29"/>
  <c r="K1087" i="29"/>
  <c r="T1066" i="29"/>
  <c r="W1066" i="29"/>
  <c r="U1066" i="29"/>
  <c r="K967" i="29"/>
  <c r="T868" i="29"/>
  <c r="W868" i="29"/>
  <c r="U868" i="29"/>
  <c r="K840" i="29"/>
  <c r="K787" i="29"/>
  <c r="W781" i="29"/>
  <c r="K759" i="29"/>
  <c r="W738" i="29"/>
  <c r="W635" i="29"/>
  <c r="U635" i="29"/>
  <c r="K489" i="29"/>
  <c r="K370" i="29"/>
  <c r="K270" i="29"/>
  <c r="K178" i="29"/>
  <c r="J6520" i="29"/>
  <c r="K6520" i="29"/>
  <c r="J6660" i="29"/>
  <c r="K6660" i="29"/>
  <c r="W6673" i="29"/>
  <c r="T6914" i="29"/>
  <c r="J6914" i="29"/>
  <c r="K6914" i="29"/>
  <c r="J6985" i="29"/>
  <c r="K6985" i="29"/>
  <c r="T7743" i="29"/>
  <c r="J7743" i="29"/>
  <c r="K7743" i="29"/>
  <c r="S7878" i="29"/>
  <c r="J8013" i="29"/>
  <c r="K8013" i="29"/>
  <c r="J8064" i="29"/>
  <c r="K8064" i="29"/>
  <c r="T8051" i="29"/>
  <c r="J8051" i="29"/>
  <c r="K3757" i="29"/>
  <c r="J1488" i="29"/>
  <c r="T1381" i="29"/>
  <c r="T1366" i="29"/>
  <c r="K49" i="29"/>
  <c r="J5308" i="29"/>
  <c r="J6484" i="29"/>
  <c r="K6484" i="29"/>
  <c r="J6508" i="29"/>
  <c r="K6508" i="29"/>
  <c r="S6573" i="29"/>
  <c r="S5026" i="29"/>
  <c r="S4760" i="29"/>
  <c r="K3621" i="29"/>
  <c r="K3338" i="29"/>
  <c r="S3161" i="29"/>
  <c r="S2688" i="29"/>
  <c r="K2378" i="29"/>
  <c r="K2151" i="29"/>
  <c r="K2026" i="29"/>
  <c r="K1929" i="29"/>
  <c r="K1834" i="29"/>
  <c r="K1582" i="29"/>
  <c r="J1524" i="29"/>
  <c r="J1461" i="29"/>
  <c r="S1436" i="29"/>
  <c r="S1195" i="29"/>
  <c r="K986" i="29"/>
  <c r="K896" i="29"/>
  <c r="T836" i="29"/>
  <c r="W836" i="29"/>
  <c r="K715" i="29"/>
  <c r="W667" i="29"/>
  <c r="K588" i="29"/>
  <c r="K513" i="29"/>
  <c r="T5597" i="29"/>
  <c r="J5597" i="29"/>
  <c r="K5597" i="29"/>
  <c r="J6056" i="29"/>
  <c r="K6056" i="29"/>
  <c r="T7493" i="29"/>
  <c r="J7493" i="29"/>
  <c r="K7493" i="29"/>
  <c r="T7756" i="29"/>
  <c r="J7756" i="29"/>
  <c r="K7756" i="29"/>
  <c r="S7793" i="29"/>
  <c r="S7924" i="29"/>
  <c r="T8062" i="29"/>
  <c r="J8062" i="29"/>
  <c r="J4294" i="29"/>
  <c r="K718" i="29"/>
  <c r="K661" i="29"/>
  <c r="K635" i="29"/>
  <c r="K619" i="29"/>
  <c r="K537" i="29"/>
  <c r="K435" i="29"/>
  <c r="K394" i="29"/>
  <c r="K388" i="29"/>
  <c r="K330" i="29"/>
  <c r="K240" i="29"/>
  <c r="T7509" i="29"/>
  <c r="J7509" i="29"/>
  <c r="K7509" i="29"/>
  <c r="J4802" i="29"/>
  <c r="U4802" i="29"/>
  <c r="J4792" i="29"/>
  <c r="J4565" i="29"/>
  <c r="K4565" i="29"/>
  <c r="J4536" i="29"/>
  <c r="K4536" i="29"/>
  <c r="W3739" i="29"/>
  <c r="J3476" i="29"/>
  <c r="K3476" i="29"/>
  <c r="W2614" i="29"/>
  <c r="U2614" i="29"/>
  <c r="J2564" i="29"/>
  <c r="K2564" i="29"/>
  <c r="W2401" i="29"/>
  <c r="T2315" i="29"/>
  <c r="W2315" i="29"/>
  <c r="U2315" i="29"/>
  <c r="S2078" i="29"/>
  <c r="S1904" i="29"/>
  <c r="K1858" i="29"/>
  <c r="S1752" i="29"/>
  <c r="J1670" i="29"/>
  <c r="W1634" i="29"/>
  <c r="K1622" i="29"/>
  <c r="T1505" i="29"/>
  <c r="W1505" i="29"/>
  <c r="U1505" i="29"/>
  <c r="W1372" i="29"/>
  <c r="W151" i="29"/>
  <c r="W83" i="29"/>
  <c r="T5326" i="29"/>
  <c r="J6940" i="29"/>
  <c r="K6940" i="29"/>
  <c r="T7333" i="29"/>
  <c r="J7333" i="29"/>
  <c r="K7333" i="29"/>
  <c r="S7375" i="29"/>
  <c r="J7793" i="29"/>
  <c r="K7793" i="29"/>
  <c r="J7938" i="29"/>
  <c r="K7938" i="29"/>
  <c r="J4955" i="29"/>
  <c r="J2920" i="29"/>
  <c r="S2270" i="29"/>
  <c r="J2203" i="29"/>
  <c r="S2022" i="29"/>
  <c r="W1706" i="29"/>
  <c r="W1587" i="29"/>
  <c r="U1587" i="29"/>
  <c r="W1293" i="29"/>
  <c r="U1293" i="29"/>
  <c r="W1074" i="29"/>
  <c r="U1074" i="29"/>
  <c r="T925" i="29"/>
  <c r="W925" i="29"/>
  <c r="U925" i="29"/>
  <c r="S867" i="29"/>
  <c r="W164" i="29"/>
  <c r="U164" i="29"/>
  <c r="W143" i="29"/>
  <c r="W113" i="29"/>
  <c r="J5586" i="29"/>
  <c r="K5586" i="29"/>
  <c r="J6124" i="29"/>
  <c r="T7334" i="29"/>
  <c r="J7334" i="29"/>
  <c r="J7309" i="29"/>
  <c r="T7747" i="29"/>
  <c r="J7747" i="29"/>
  <c r="J5007" i="29"/>
  <c r="W4779" i="29"/>
  <c r="J2622" i="29"/>
  <c r="K2622" i="29"/>
  <c r="K2475" i="29"/>
  <c r="K2340" i="29"/>
  <c r="W1721" i="29"/>
  <c r="U1721" i="29"/>
  <c r="K1171" i="29"/>
  <c r="K761" i="29"/>
  <c r="T717" i="29"/>
  <c r="W717" i="29"/>
  <c r="U717" i="29"/>
  <c r="K676" i="29"/>
  <c r="K159" i="29"/>
  <c r="S6647" i="29"/>
  <c r="T7349" i="29"/>
  <c r="J7349" i="29"/>
  <c r="K7349" i="29"/>
  <c r="J7356" i="29"/>
  <c r="K7356" i="29"/>
  <c r="T8059" i="29"/>
  <c r="J8059" i="29"/>
  <c r="K8059" i="29"/>
  <c r="S1584" i="29"/>
  <c r="S1697" i="29"/>
  <c r="T1186" i="29"/>
  <c r="W1186" i="29"/>
  <c r="U1186" i="29"/>
  <c r="S836" i="29"/>
  <c r="S1066" i="29"/>
  <c r="K141" i="29"/>
  <c r="T1904" i="29"/>
  <c r="W1904" i="29"/>
  <c r="U1904" i="29"/>
  <c r="S1743" i="29"/>
  <c r="T2022" i="29"/>
  <c r="W2022" i="29"/>
  <c r="U2022" i="29"/>
  <c r="S868" i="29"/>
  <c r="T1195" i="29"/>
  <c r="W1195" i="29"/>
  <c r="U1195" i="29"/>
  <c r="S2023" i="29"/>
  <c r="T1436" i="29"/>
  <c r="W1436" i="29"/>
  <c r="U1436" i="29"/>
  <c r="S689" i="29"/>
  <c r="S1366" i="29"/>
  <c r="T1114" i="29"/>
  <c r="W1114" i="29"/>
  <c r="U1114" i="29"/>
  <c r="T2144" i="29"/>
  <c r="W2144" i="29"/>
  <c r="U2144" i="29"/>
  <c r="S693" i="29"/>
  <c r="T886" i="29"/>
  <c r="W886" i="29"/>
  <c r="T2208" i="29"/>
  <c r="W2208" i="29"/>
  <c r="U2208" i="29"/>
  <c r="S641" i="29"/>
  <c r="T1063" i="29"/>
  <c r="J1063" i="29"/>
  <c r="T971" i="29"/>
  <c r="W971" i="29"/>
  <c r="U971" i="29"/>
  <c r="K927" i="29"/>
  <c r="S718" i="29"/>
  <c r="S1003" i="29"/>
  <c r="T1038" i="29"/>
  <c r="W1038" i="29"/>
  <c r="T1070" i="29"/>
  <c r="W1070" i="29"/>
  <c r="U1070" i="29"/>
  <c r="S1381" i="29"/>
  <c r="S995" i="29"/>
  <c r="T2078" i="29"/>
  <c r="W2078" i="29"/>
  <c r="U2078" i="29"/>
  <c r="S650" i="29"/>
  <c r="S691" i="29"/>
  <c r="S997" i="29"/>
  <c r="S970" i="29"/>
  <c r="S1115" i="29"/>
  <c r="T713" i="29"/>
  <c r="W713" i="29"/>
  <c r="S1004" i="29"/>
  <c r="K2071" i="29"/>
  <c r="K1721" i="29"/>
  <c r="K1113" i="29"/>
  <c r="K621" i="29"/>
  <c r="T751" i="29"/>
  <c r="W751" i="29"/>
  <c r="U751" i="29"/>
  <c r="T1067" i="29"/>
  <c r="W1067" i="29"/>
  <c r="U1067" i="29"/>
  <c r="S1504" i="29"/>
  <c r="T962" i="29"/>
  <c r="W962" i="29"/>
  <c r="U962" i="29"/>
  <c r="U145" i="29"/>
  <c r="T1044" i="29"/>
  <c r="W1044" i="29"/>
  <c r="U1044" i="29"/>
  <c r="S716" i="29"/>
  <c r="T1091" i="29"/>
  <c r="S797" i="29"/>
  <c r="K126" i="29"/>
  <c r="T1352" i="29"/>
  <c r="W1352" i="29"/>
  <c r="U1352" i="29"/>
  <c r="S1352" i="29"/>
  <c r="K526" i="29"/>
  <c r="K592" i="29"/>
  <c r="K395" i="29"/>
  <c r="K386" i="29"/>
  <c r="K7" i="29"/>
  <c r="K497" i="29"/>
  <c r="K307" i="29"/>
  <c r="T1346" i="29"/>
  <c r="W1346" i="29"/>
  <c r="U1346" i="29"/>
  <c r="S869" i="29"/>
  <c r="T1583" i="29"/>
  <c r="W1583" i="29"/>
  <c r="U1583" i="29"/>
  <c r="K2938" i="29"/>
  <c r="S690" i="29"/>
  <c r="K3499" i="29"/>
  <c r="K1522" i="29"/>
  <c r="K454" i="29"/>
  <c r="K344" i="29"/>
  <c r="K697" i="29"/>
  <c r="T1905" i="29"/>
  <c r="W1905" i="29"/>
  <c r="U1905" i="29"/>
  <c r="S709" i="29"/>
  <c r="K690" i="29"/>
  <c r="K1393" i="29"/>
  <c r="K517" i="29"/>
  <c r="S1113" i="29"/>
  <c r="K1115" i="29"/>
  <c r="T649" i="29"/>
  <c r="W649" i="29"/>
  <c r="U649" i="29"/>
  <c r="S763" i="29"/>
  <c r="T1753" i="29"/>
  <c r="W1753" i="29"/>
  <c r="U1753" i="29"/>
  <c r="T1752" i="29"/>
  <c r="W1752" i="29"/>
  <c r="U1752" i="29"/>
  <c r="K1467" i="29"/>
  <c r="T651" i="29"/>
  <c r="W651" i="29"/>
  <c r="U651" i="29"/>
  <c r="K2145" i="29"/>
  <c r="S750" i="29"/>
  <c r="K1588" i="29"/>
  <c r="K1402" i="29"/>
  <c r="S1292" i="29"/>
  <c r="S1475" i="29"/>
  <c r="S2958" i="29"/>
  <c r="T2120" i="29"/>
  <c r="J2120" i="29"/>
  <c r="S2120" i="29"/>
  <c r="S3713" i="29"/>
  <c r="T3713" i="29"/>
  <c r="J3713" i="29"/>
  <c r="T2903" i="29"/>
  <c r="J2903" i="29"/>
  <c r="S2903" i="29"/>
  <c r="T2865" i="29"/>
  <c r="J2865" i="29"/>
  <c r="S2865" i="29"/>
  <c r="J3512" i="29"/>
  <c r="W3512" i="29"/>
  <c r="S3483" i="29"/>
  <c r="T3483" i="29"/>
  <c r="J3483" i="29"/>
  <c r="S3385" i="29"/>
  <c r="T3385" i="29"/>
  <c r="J3385" i="29"/>
  <c r="T3378" i="29"/>
  <c r="S3378" i="29"/>
  <c r="T3366" i="29"/>
  <c r="S3366" i="29"/>
  <c r="T3335" i="29"/>
  <c r="J3335" i="29"/>
  <c r="K3335" i="29"/>
  <c r="S3335" i="29"/>
  <c r="T3303" i="29"/>
  <c r="S3303" i="29"/>
  <c r="S3294" i="29"/>
  <c r="T3294" i="29"/>
  <c r="T3288" i="29"/>
  <c r="W3288" i="29"/>
  <c r="S3288" i="29"/>
  <c r="T3244" i="29"/>
  <c r="J3244" i="29"/>
  <c r="S3244" i="29"/>
  <c r="S3234" i="29"/>
  <c r="T3234" i="29"/>
  <c r="T3219" i="29"/>
  <c r="S3219" i="29"/>
  <c r="S3159" i="29"/>
  <c r="T3159" i="29"/>
  <c r="J3159" i="29"/>
  <c r="T3156" i="29"/>
  <c r="S3156" i="29"/>
  <c r="S3140" i="29"/>
  <c r="T3140" i="29"/>
  <c r="J3140" i="29"/>
  <c r="U3140" i="29"/>
  <c r="S3124" i="29"/>
  <c r="T3124" i="29"/>
  <c r="S3006" i="29"/>
  <c r="T3006" i="29"/>
  <c r="J3006" i="29"/>
  <c r="T3003" i="29"/>
  <c r="J3003" i="29"/>
  <c r="S3003" i="29"/>
  <c r="W2958" i="29"/>
  <c r="J2958" i="29"/>
  <c r="S2943" i="29"/>
  <c r="T2943" i="29"/>
  <c r="J2943" i="29"/>
  <c r="T2940" i="29"/>
  <c r="J2940" i="29"/>
  <c r="U2940" i="29"/>
  <c r="S2940" i="29"/>
  <c r="S2632" i="29"/>
  <c r="T2632" i="29"/>
  <c r="J2632" i="29"/>
  <c r="T2612" i="29"/>
  <c r="W2612" i="29"/>
  <c r="U2612" i="29"/>
  <c r="S2612" i="29"/>
  <c r="S2606" i="29"/>
  <c r="T2606" i="29"/>
  <c r="T2553" i="29"/>
  <c r="W2553" i="29"/>
  <c r="U2553" i="29"/>
  <c r="S2553" i="29"/>
  <c r="S1890" i="29"/>
  <c r="T1890" i="29"/>
  <c r="J1890" i="29"/>
  <c r="S1443" i="29"/>
  <c r="T495" i="29"/>
  <c r="W495" i="29"/>
  <c r="S495" i="29"/>
  <c r="J439" i="29"/>
  <c r="J436" i="29"/>
  <c r="T432" i="29"/>
  <c r="W432" i="29"/>
  <c r="S432" i="29"/>
  <c r="T414" i="29"/>
  <c r="S414" i="29"/>
  <c r="T376" i="29"/>
  <c r="W376" i="29"/>
  <c r="U376" i="29"/>
  <c r="S376" i="29"/>
  <c r="S373" i="29"/>
  <c r="T373" i="29"/>
  <c r="W373" i="29"/>
  <c r="J233" i="29"/>
  <c r="W233" i="29"/>
  <c r="S7860" i="29"/>
  <c r="J2090" i="29"/>
  <c r="T2070" i="29"/>
  <c r="W2070" i="29"/>
  <c r="S2070" i="29"/>
  <c r="J5076" i="29"/>
  <c r="K5076" i="29"/>
  <c r="J5107" i="29"/>
  <c r="K5107" i="29"/>
  <c r="W5107" i="29"/>
  <c r="S4625" i="29"/>
  <c r="T4625" i="29"/>
  <c r="J4625" i="29"/>
  <c r="S4557" i="29"/>
  <c r="T4557" i="29"/>
  <c r="J4557" i="29"/>
  <c r="K4557" i="29"/>
  <c r="T1714" i="29"/>
  <c r="J1714" i="29"/>
  <c r="S5011" i="29"/>
  <c r="T5011" i="29"/>
  <c r="J5011" i="29"/>
  <c r="K5011" i="29"/>
  <c r="S4764" i="29"/>
  <c r="T4764" i="29"/>
  <c r="J4764" i="29"/>
  <c r="T1565" i="29"/>
  <c r="S4990" i="29"/>
  <c r="T4990" i="29"/>
  <c r="J4990" i="29"/>
  <c r="T4965" i="29"/>
  <c r="J4965" i="29"/>
  <c r="S4965" i="29"/>
  <c r="W4582" i="29"/>
  <c r="J4582" i="29"/>
  <c r="T4478" i="29"/>
  <c r="S4478" i="29"/>
  <c r="S4431" i="29"/>
  <c r="T4431" i="29"/>
  <c r="J4431" i="29"/>
  <c r="T3696" i="29"/>
  <c r="J3696" i="29"/>
  <c r="S3696" i="29"/>
  <c r="S3473" i="29"/>
  <c r="T3473" i="29"/>
  <c r="J3473" i="29"/>
  <c r="K3473" i="29"/>
  <c r="T3457" i="29"/>
  <c r="S3457" i="29"/>
  <c r="S3272" i="29"/>
  <c r="T3272" i="29"/>
  <c r="J3272" i="29"/>
  <c r="K3272" i="29"/>
  <c r="S3209" i="29"/>
  <c r="T3209" i="29"/>
  <c r="J3209" i="29"/>
  <c r="K3209" i="29"/>
  <c r="T3199" i="29"/>
  <c r="S3199" i="29"/>
  <c r="S3196" i="29"/>
  <c r="T3196" i="29"/>
  <c r="T3114" i="29"/>
  <c r="J3114" i="29"/>
  <c r="K3114" i="29"/>
  <c r="S3114" i="29"/>
  <c r="T2685" i="29"/>
  <c r="W2685" i="29"/>
  <c r="U2685" i="29"/>
  <c r="S2685" i="29"/>
  <c r="S1571" i="29"/>
  <c r="T2005" i="29"/>
  <c r="S2005" i="29"/>
  <c r="T1729" i="29"/>
  <c r="S1729" i="29"/>
  <c r="T1726" i="29"/>
  <c r="J1726" i="29"/>
  <c r="K1726" i="29"/>
  <c r="S1726" i="29"/>
  <c r="T4435" i="29"/>
  <c r="J4435" i="29"/>
  <c r="S4435" i="29"/>
  <c r="S3970" i="29"/>
  <c r="T3970" i="29"/>
  <c r="J3970" i="29"/>
  <c r="S2827" i="29"/>
  <c r="T2827" i="29"/>
  <c r="J2827" i="29"/>
  <c r="S2784" i="29"/>
  <c r="T2784" i="29"/>
  <c r="T2585" i="29"/>
  <c r="W2585" i="29"/>
  <c r="S2585" i="29"/>
  <c r="J1876" i="29"/>
  <c r="T5061" i="29"/>
  <c r="J5061" i="29"/>
  <c r="S5061" i="29"/>
  <c r="T4819" i="29"/>
  <c r="S4819" i="29"/>
  <c r="W3016" i="29"/>
  <c r="S4678" i="29"/>
  <c r="T4678" i="29"/>
  <c r="S4569" i="29"/>
  <c r="T4569" i="29"/>
  <c r="S4530" i="29"/>
  <c r="T4530" i="29"/>
  <c r="S4481" i="29"/>
  <c r="T4481" i="29"/>
  <c r="T4456" i="29"/>
  <c r="S4456" i="29"/>
  <c r="T4418" i="29"/>
  <c r="J4418" i="29"/>
  <c r="K4418" i="29"/>
  <c r="S4418" i="29"/>
  <c r="S3693" i="29"/>
  <c r="T3693" i="29"/>
  <c r="J3680" i="29"/>
  <c r="K3680" i="29"/>
  <c r="W3680" i="29"/>
  <c r="S3677" i="29"/>
  <c r="T3677" i="29"/>
  <c r="J3677" i="29"/>
  <c r="S3654" i="29"/>
  <c r="T3654" i="29"/>
  <c r="S3630" i="29"/>
  <c r="T3630" i="29"/>
  <c r="J3630" i="29"/>
  <c r="K3630" i="29"/>
  <c r="T3624" i="29"/>
  <c r="J3624" i="29"/>
  <c r="S3624" i="29"/>
  <c r="S3560" i="29"/>
  <c r="T3560" i="29"/>
  <c r="S3551" i="29"/>
  <c r="T3551" i="29"/>
  <c r="S3545" i="29"/>
  <c r="T3545" i="29"/>
  <c r="J3545" i="29"/>
  <c r="S3526" i="29"/>
  <c r="T3526" i="29"/>
  <c r="W3526" i="29"/>
  <c r="S3495" i="29"/>
  <c r="T3495" i="29"/>
  <c r="J3495" i="29"/>
  <c r="K3495" i="29"/>
  <c r="S3341" i="29"/>
  <c r="T3341" i="29"/>
  <c r="T3319" i="29"/>
  <c r="J3319" i="29"/>
  <c r="S3319" i="29"/>
  <c r="T3275" i="29"/>
  <c r="J3275" i="29"/>
  <c r="S3275" i="29"/>
  <c r="S3250" i="29"/>
  <c r="T3250" i="29"/>
  <c r="J3250" i="29"/>
  <c r="S3224" i="29"/>
  <c r="T3224" i="29"/>
  <c r="J3224" i="29"/>
  <c r="T3146" i="29"/>
  <c r="S3146" i="29"/>
  <c r="T3130" i="29"/>
  <c r="J3130" i="29"/>
  <c r="K3130" i="29"/>
  <c r="S3130" i="29"/>
  <c r="T3012" i="29"/>
  <c r="J3012" i="29"/>
  <c r="S3012" i="29"/>
  <c r="S2666" i="29"/>
  <c r="T2666" i="29"/>
  <c r="J2666" i="29"/>
  <c r="S2163" i="29"/>
  <c r="T2163" i="29"/>
  <c r="S1552" i="29"/>
  <c r="T1552" i="29"/>
  <c r="J1552" i="29"/>
  <c r="T1549" i="29"/>
  <c r="J1549" i="29"/>
  <c r="S1549" i="29"/>
  <c r="T1527" i="29"/>
  <c r="S1527" i="29"/>
  <c r="T1515" i="29"/>
  <c r="S1515" i="29"/>
  <c r="S1482" i="29"/>
  <c r="T1482" i="29"/>
  <c r="W1482" i="29"/>
  <c r="U1482" i="29"/>
  <c r="W1428" i="29"/>
  <c r="J1428" i="29"/>
  <c r="S833" i="29"/>
  <c r="T833" i="29"/>
  <c r="J799" i="29"/>
  <c r="K799" i="29"/>
  <c r="W799" i="29"/>
  <c r="T771" i="29"/>
  <c r="S771" i="29"/>
  <c r="T731" i="29"/>
  <c r="S731" i="29"/>
  <c r="S553" i="29"/>
  <c r="T553" i="29"/>
  <c r="W553" i="29"/>
  <c r="S438" i="29"/>
  <c r="T438" i="29"/>
  <c r="W438" i="29"/>
  <c r="U438" i="29"/>
  <c r="T435" i="29"/>
  <c r="W435" i="29"/>
  <c r="U435" i="29"/>
  <c r="S435" i="29"/>
  <c r="S330" i="29"/>
  <c r="T330" i="29"/>
  <c r="W330" i="29"/>
  <c r="U330" i="29"/>
  <c r="T314" i="29"/>
  <c r="W314" i="29"/>
  <c r="S314" i="29"/>
  <c r="S292" i="29"/>
  <c r="T292" i="29"/>
  <c r="W292" i="29"/>
  <c r="T4682" i="29"/>
  <c r="W4682" i="29"/>
  <c r="J1976" i="29"/>
  <c r="T4472" i="29"/>
  <c r="J4472" i="29"/>
  <c r="S3573" i="29"/>
  <c r="S1518" i="29"/>
  <c r="T4540" i="29"/>
  <c r="S4540" i="29"/>
  <c r="S4422" i="29"/>
  <c r="T4422" i="29"/>
  <c r="J4422" i="29"/>
  <c r="S2991" i="29"/>
  <c r="T2991" i="29"/>
  <c r="J2991" i="29"/>
  <c r="S2934" i="29"/>
  <c r="T2934" i="29"/>
  <c r="J2934" i="29"/>
  <c r="K2934" i="29"/>
  <c r="S2830" i="29"/>
  <c r="T2830" i="29"/>
  <c r="J2830" i="29"/>
  <c r="T2714" i="29"/>
  <c r="W2714" i="29"/>
  <c r="S2714" i="29"/>
  <c r="T7198" i="29"/>
  <c r="J7198" i="29"/>
  <c r="U7198" i="29"/>
  <c r="S7198" i="29"/>
  <c r="T7812" i="29"/>
  <c r="J7812" i="29"/>
  <c r="K7812" i="29"/>
  <c r="S7812" i="29"/>
  <c r="T4599" i="29"/>
  <c r="J4599" i="29"/>
  <c r="S4599" i="29"/>
  <c r="S7861" i="29"/>
  <c r="J2972" i="29"/>
  <c r="S3583" i="29"/>
  <c r="K211" i="29"/>
  <c r="K222" i="29"/>
  <c r="S2102" i="29"/>
  <c r="T2102" i="29"/>
  <c r="T2046" i="29"/>
  <c r="J2046" i="29"/>
  <c r="S2046" i="29"/>
  <c r="S2027" i="29"/>
  <c r="T2027" i="29"/>
  <c r="W2027" i="29"/>
  <c r="T3681" i="29"/>
  <c r="J3681" i="29"/>
  <c r="S3681" i="29"/>
  <c r="S2568" i="29"/>
  <c r="T2568" i="29"/>
  <c r="W2568" i="29"/>
  <c r="W1930" i="29"/>
  <c r="J1930" i="29"/>
  <c r="K1930" i="29"/>
  <c r="S4666" i="29"/>
  <c r="T4666" i="29"/>
  <c r="W4666" i="29"/>
  <c r="T4650" i="29"/>
  <c r="J4650" i="29"/>
  <c r="S4650" i="29"/>
  <c r="T4463" i="29"/>
  <c r="J4463" i="29"/>
  <c r="K4463" i="29"/>
  <c r="S4463" i="29"/>
  <c r="T2952" i="29"/>
  <c r="S2952" i="29"/>
  <c r="S2805" i="29"/>
  <c r="T2805" i="29"/>
  <c r="T2793" i="29"/>
  <c r="S2793" i="29"/>
  <c r="S2787" i="29"/>
  <c r="T2787" i="29"/>
  <c r="J2787" i="29"/>
  <c r="T2765" i="29"/>
  <c r="J2765" i="29"/>
  <c r="S2765" i="29"/>
  <c r="S2749" i="29"/>
  <c r="T2749" i="29"/>
  <c r="J2749" i="29"/>
  <c r="T4447" i="29"/>
  <c r="J4447" i="29"/>
  <c r="K4447" i="29"/>
  <c r="S4447" i="29"/>
  <c r="S4412" i="29"/>
  <c r="T4412" i="29"/>
  <c r="J4412" i="29"/>
  <c r="K4412" i="29"/>
  <c r="W3583" i="29"/>
  <c r="J3583" i="29"/>
  <c r="K3583" i="29"/>
  <c r="S3655" i="29"/>
  <c r="T3655" i="29"/>
  <c r="W3815" i="29"/>
  <c r="S3539" i="29"/>
  <c r="T3539" i="29"/>
  <c r="T3426" i="29"/>
  <c r="J3426" i="29"/>
  <c r="T2975" i="29"/>
  <c r="W2975" i="29"/>
  <c r="U2975" i="29"/>
  <c r="W4241" i="29"/>
  <c r="J4241" i="29"/>
  <c r="S4870" i="29"/>
  <c r="S3734" i="29"/>
  <c r="J1009" i="29"/>
  <c r="K1009" i="29"/>
  <c r="W1009" i="29"/>
  <c r="T1717" i="29"/>
  <c r="S1708" i="29"/>
  <c r="T1708" i="29"/>
  <c r="S1647" i="29"/>
  <c r="T1647" i="29"/>
  <c r="W1647" i="29"/>
  <c r="U1647" i="29"/>
  <c r="T1629" i="29"/>
  <c r="J1629" i="29"/>
  <c r="S1629" i="29"/>
  <c r="T3652" i="29"/>
  <c r="S3652" i="29"/>
  <c r="T2544" i="29"/>
  <c r="S2544" i="29"/>
  <c r="T4707" i="29"/>
  <c r="J4707" i="29"/>
  <c r="K4707" i="29"/>
  <c r="S4707" i="29"/>
  <c r="T4511" i="29"/>
  <c r="J4511" i="29"/>
  <c r="S4511" i="29"/>
  <c r="T2965" i="29"/>
  <c r="J2965" i="29"/>
  <c r="S2965" i="29"/>
  <c r="S2949" i="29"/>
  <c r="T2949" i="29"/>
  <c r="J2949" i="29"/>
  <c r="S2547" i="29"/>
  <c r="T2547" i="29"/>
  <c r="W2547" i="29"/>
  <c r="S1869" i="29"/>
  <c r="T1869" i="29"/>
  <c r="J1869" i="29"/>
  <c r="J1832" i="29"/>
  <c r="K1832" i="29"/>
  <c r="S4889" i="29"/>
  <c r="T4889" i="29"/>
  <c r="J4889" i="29"/>
  <c r="S4576" i="29"/>
  <c r="T4576" i="29"/>
  <c r="S3442" i="29"/>
  <c r="S4582" i="29"/>
  <c r="S492" i="29"/>
  <c r="S1574" i="29"/>
  <c r="T1574" i="29"/>
  <c r="S1568" i="29"/>
  <c r="T1568" i="29"/>
  <c r="W1568" i="29"/>
  <c r="S7971" i="29"/>
  <c r="T7971" i="29"/>
  <c r="J7971" i="29"/>
  <c r="T7998" i="29"/>
  <c r="J7998" i="29"/>
  <c r="S7998" i="29"/>
  <c r="T1796" i="29"/>
  <c r="W1796" i="29"/>
  <c r="S1796" i="29"/>
  <c r="W1784" i="29"/>
  <c r="J1784" i="29"/>
  <c r="T1705" i="29"/>
  <c r="J1705" i="29"/>
  <c r="S1705" i="29"/>
  <c r="T7887" i="29"/>
  <c r="J7887" i="29"/>
  <c r="K7887" i="29"/>
  <c r="S7887" i="29"/>
  <c r="T3678" i="29"/>
  <c r="J3678" i="29"/>
  <c r="U3678" i="29"/>
  <c r="S3678" i="29"/>
  <c r="T2896" i="29"/>
  <c r="S2896" i="29"/>
  <c r="T2538" i="29"/>
  <c r="J2538" i="29"/>
  <c r="S2538" i="29"/>
  <c r="S2086" i="29"/>
  <c r="T2086" i="29"/>
  <c r="S2073" i="29"/>
  <c r="T2073" i="29"/>
  <c r="J2073" i="29"/>
  <c r="S4460" i="29"/>
  <c r="T4460" i="29"/>
  <c r="J4460" i="29"/>
  <c r="K4460" i="29"/>
  <c r="S7055" i="29"/>
  <c r="T7055" i="29"/>
  <c r="J7055" i="29"/>
  <c r="T2083" i="29"/>
  <c r="T4886" i="29"/>
  <c r="J4886" i="29"/>
  <c r="K4886" i="29"/>
  <c r="S4886" i="29"/>
  <c r="S4725" i="29"/>
  <c r="T4725" i="29"/>
  <c r="S4563" i="29"/>
  <c r="T4563" i="29"/>
  <c r="S4491" i="29"/>
  <c r="T4491" i="29"/>
  <c r="T4425" i="29"/>
  <c r="S4425" i="29"/>
  <c r="S3554" i="29"/>
  <c r="T3554" i="29"/>
  <c r="S4716" i="29"/>
  <c r="J2000" i="29"/>
  <c r="W2000" i="29"/>
  <c r="J7856" i="29"/>
  <c r="T4621" i="29"/>
  <c r="J4621" i="29"/>
  <c r="W299" i="29"/>
  <c r="J3480" i="29"/>
  <c r="W2603" i="29"/>
  <c r="K560" i="29"/>
  <c r="T4409" i="29"/>
  <c r="J4409" i="29"/>
  <c r="S4409" i="29"/>
  <c r="S4399" i="29"/>
  <c r="T4399" i="29"/>
  <c r="T4232" i="29"/>
  <c r="J4232" i="29"/>
  <c r="S4232" i="29"/>
  <c r="T4197" i="29"/>
  <c r="J4197" i="29"/>
  <c r="S4197" i="29"/>
  <c r="T4164" i="29"/>
  <c r="S4164" i="29"/>
  <c r="S4121" i="29"/>
  <c r="T4121" i="29"/>
  <c r="J4121" i="29"/>
  <c r="T4099" i="29"/>
  <c r="S4099" i="29"/>
  <c r="T2198" i="29"/>
  <c r="W2198" i="29"/>
  <c r="S2198" i="29"/>
  <c r="S2126" i="29"/>
  <c r="T2126" i="29"/>
  <c r="W2126" i="29"/>
  <c r="T1887" i="29"/>
  <c r="J1887" i="29"/>
  <c r="S1887" i="29"/>
  <c r="T4405" i="29"/>
  <c r="S4405" i="29"/>
  <c r="T4364" i="29"/>
  <c r="J4364" i="29"/>
  <c r="S4364" i="29"/>
  <c r="S4348" i="29"/>
  <c r="T4348" i="29"/>
  <c r="J4348" i="29"/>
  <c r="T4319" i="29"/>
  <c r="S4319" i="29"/>
  <c r="S4263" i="29"/>
  <c r="T4263" i="29"/>
  <c r="S4130" i="29"/>
  <c r="T4130" i="29"/>
  <c r="S4389" i="29"/>
  <c r="T5023" i="29"/>
  <c r="S5023" i="29"/>
  <c r="S3778" i="29"/>
  <c r="T3778" i="29"/>
  <c r="J3778" i="29"/>
  <c r="S3756" i="29"/>
  <c r="T3756" i="29"/>
  <c r="W3756" i="29"/>
  <c r="U3756" i="29"/>
  <c r="S3702" i="29"/>
  <c r="T3702" i="29"/>
  <c r="J3702" i="29"/>
  <c r="T3642" i="29"/>
  <c r="J3642" i="29"/>
  <c r="K3642" i="29"/>
  <c r="S3642" i="29"/>
  <c r="S3639" i="29"/>
  <c r="T3639" i="29"/>
  <c r="J3639" i="29"/>
  <c r="S3800" i="29"/>
  <c r="T3800" i="29"/>
  <c r="J3800" i="29"/>
  <c r="S5001" i="29"/>
  <c r="S4798" i="29"/>
  <c r="T4798" i="29"/>
  <c r="J4798" i="29"/>
  <c r="S4690" i="29"/>
  <c r="T4690" i="29"/>
  <c r="S4674" i="29"/>
  <c r="T4674" i="29"/>
  <c r="S4658" i="29"/>
  <c r="T4658" i="29"/>
  <c r="J4658" i="29"/>
  <c r="K4658" i="29"/>
  <c r="S4500" i="29"/>
  <c r="T4500" i="29"/>
  <c r="T4493" i="29"/>
  <c r="J4493" i="29"/>
  <c r="S4493" i="29"/>
  <c r="T4474" i="29"/>
  <c r="J4474" i="29"/>
  <c r="S4474" i="29"/>
  <c r="S3937" i="29"/>
  <c r="T3937" i="29"/>
  <c r="J3937" i="29"/>
  <c r="V3937" i="29"/>
  <c r="S3872" i="29"/>
  <c r="T3872" i="29"/>
  <c r="J3872" i="29"/>
  <c r="K3872" i="29"/>
  <c r="V3850" i="29"/>
  <c r="T3850" i="29"/>
  <c r="S1773" i="29"/>
  <c r="T1773" i="29"/>
  <c r="T4964" i="29"/>
  <c r="J4964" i="29"/>
  <c r="S4964" i="29"/>
  <c r="S4677" i="29"/>
  <c r="T4677" i="29"/>
  <c r="W4627" i="29"/>
  <c r="J4627" i="29"/>
  <c r="K4627" i="29"/>
  <c r="S4581" i="29"/>
  <c r="T4581" i="29"/>
  <c r="J4413" i="29"/>
  <c r="T5019" i="29"/>
  <c r="S5019" i="29"/>
  <c r="J3131" i="29"/>
  <c r="T4023" i="29"/>
  <c r="J4023" i="29"/>
  <c r="T5064" i="29"/>
  <c r="J5064" i="29"/>
  <c r="S5064" i="29"/>
  <c r="T5084" i="29"/>
  <c r="S5084" i="29"/>
  <c r="T5558" i="29"/>
  <c r="S5558" i="29"/>
  <c r="S5943" i="29"/>
  <c r="T5943" i="29"/>
  <c r="J5943" i="29"/>
  <c r="S5997" i="29"/>
  <c r="T5997" i="29"/>
  <c r="J5997" i="29"/>
  <c r="T6076" i="29"/>
  <c r="J6076" i="29"/>
  <c r="K6076" i="29"/>
  <c r="S6076" i="29"/>
  <c r="T3824" i="29"/>
  <c r="S2682" i="29"/>
  <c r="T2682" i="29"/>
  <c r="J2682" i="29"/>
  <c r="K2179" i="29"/>
  <c r="T2151" i="29"/>
  <c r="W2151" i="29"/>
  <c r="U2151" i="29"/>
  <c r="S2151" i="29"/>
  <c r="T2141" i="29"/>
  <c r="J2141" i="29"/>
  <c r="S2141" i="29"/>
  <c r="T2135" i="29"/>
  <c r="J2135" i="29"/>
  <c r="S2135" i="29"/>
  <c r="T4173" i="29"/>
  <c r="J4173" i="29"/>
  <c r="S4173" i="29"/>
  <c r="S4035" i="29"/>
  <c r="T4035" i="29"/>
  <c r="J4035" i="29"/>
  <c r="J3810" i="29"/>
  <c r="S3746" i="29"/>
  <c r="T3746" i="29"/>
  <c r="W2195" i="29"/>
  <c r="T1072" i="29"/>
  <c r="W1072" i="29"/>
  <c r="U1072" i="29"/>
  <c r="S1072" i="29"/>
  <c r="T1053" i="29"/>
  <c r="S1053" i="29"/>
  <c r="S3908" i="29"/>
  <c r="T3908" i="29"/>
  <c r="S905" i="29"/>
  <c r="T905" i="29"/>
  <c r="T855" i="29"/>
  <c r="W855" i="29"/>
  <c r="U855" i="29"/>
  <c r="S855" i="29"/>
  <c r="T1651" i="29"/>
  <c r="W1651" i="29"/>
  <c r="S1651" i="29"/>
  <c r="S3965" i="29"/>
  <c r="T1645" i="29"/>
  <c r="T4337" i="29"/>
  <c r="J4337" i="29"/>
  <c r="S4337" i="29"/>
  <c r="S4311" i="29"/>
  <c r="T4311" i="29"/>
  <c r="W4311" i="29"/>
  <c r="S1587" i="29"/>
  <c r="S1569" i="29"/>
  <c r="T1569" i="29"/>
  <c r="W1569" i="29"/>
  <c r="U1569" i="29"/>
  <c r="K3134" i="29"/>
  <c r="T5874" i="29"/>
  <c r="J5874" i="29"/>
  <c r="K5874" i="29"/>
  <c r="S2950" i="29"/>
  <c r="T2950" i="29"/>
  <c r="T2932" i="29"/>
  <c r="J2932" i="29"/>
  <c r="S2932" i="29"/>
  <c r="T1733" i="29"/>
  <c r="S1733" i="29"/>
  <c r="S1609" i="29"/>
  <c r="T1609" i="29"/>
  <c r="W1622" i="29"/>
  <c r="U1622" i="29"/>
  <c r="S3280" i="29"/>
  <c r="T3280" i="29"/>
  <c r="J3280" i="29"/>
  <c r="S3261" i="29"/>
  <c r="T3261" i="29"/>
  <c r="J3261" i="29"/>
  <c r="S3214" i="29"/>
  <c r="T3214" i="29"/>
  <c r="S2492" i="29"/>
  <c r="T2492" i="29"/>
  <c r="J146" i="29"/>
  <c r="W146" i="29"/>
  <c r="V2995" i="29"/>
  <c r="T2995" i="29"/>
  <c r="T2979" i="29"/>
  <c r="J2979" i="29"/>
  <c r="S2979" i="29"/>
  <c r="T1888" i="29"/>
  <c r="S1888" i="29"/>
  <c r="S1808" i="29"/>
  <c r="T1808" i="29"/>
  <c r="T4149" i="29"/>
  <c r="S4149" i="29"/>
  <c r="T4093" i="29"/>
  <c r="J4093" i="29"/>
  <c r="S4093" i="29"/>
  <c r="S4043" i="29"/>
  <c r="T4043" i="29"/>
  <c r="W4043" i="29"/>
  <c r="K2167" i="29"/>
  <c r="S2123" i="29"/>
  <c r="T2123" i="29"/>
  <c r="W1851" i="29"/>
  <c r="S1748" i="29"/>
  <c r="T1748" i="29"/>
  <c r="J1748" i="29"/>
  <c r="K1748" i="29"/>
  <c r="J1543" i="29"/>
  <c r="S6929" i="29"/>
  <c r="T6929" i="29"/>
  <c r="J6929" i="29"/>
  <c r="K6929" i="29"/>
  <c r="T7389" i="29"/>
  <c r="J7389" i="29"/>
  <c r="S7389" i="29"/>
  <c r="S7678" i="29"/>
  <c r="T7678" i="29"/>
  <c r="J7678" i="29"/>
  <c r="T7964" i="29"/>
  <c r="J7964" i="29"/>
  <c r="K7964" i="29"/>
  <c r="S7964" i="29"/>
  <c r="T7976" i="29"/>
  <c r="J7976" i="29"/>
  <c r="K7976" i="29"/>
  <c r="S7976" i="29"/>
  <c r="T1684" i="29"/>
  <c r="J1684" i="29"/>
  <c r="S1684" i="29"/>
  <c r="T6923" i="29"/>
  <c r="J6923" i="29"/>
  <c r="K6923" i="29"/>
  <c r="S6923" i="29"/>
  <c r="S4869" i="29"/>
  <c r="T4869" i="29"/>
  <c r="J4869" i="29"/>
  <c r="T3000" i="29"/>
  <c r="J3000" i="29"/>
  <c r="S3000" i="29"/>
  <c r="S2526" i="29"/>
  <c r="T2526" i="29"/>
  <c r="T2464" i="29"/>
  <c r="S2464" i="29"/>
  <c r="T2160" i="29"/>
  <c r="S2160" i="29"/>
  <c r="S2132" i="29"/>
  <c r="T2132" i="29"/>
  <c r="J2132" i="29"/>
  <c r="T5261" i="29"/>
  <c r="S5261" i="29"/>
  <c r="S5295" i="29"/>
  <c r="T5295" i="29"/>
  <c r="J5295" i="29"/>
  <c r="S5481" i="29"/>
  <c r="T5481" i="29"/>
  <c r="J5481" i="29"/>
  <c r="K5481" i="29"/>
  <c r="T5659" i="29"/>
  <c r="J5659" i="29"/>
  <c r="S5659" i="29"/>
  <c r="T6165" i="29"/>
  <c r="J6165" i="29"/>
  <c r="K6165" i="29"/>
  <c r="S6165" i="29"/>
  <c r="T6435" i="29"/>
  <c r="J6435" i="29"/>
  <c r="K6435" i="29"/>
  <c r="S6435" i="29"/>
  <c r="T6443" i="29"/>
  <c r="J6443" i="29"/>
  <c r="K6443" i="29"/>
  <c r="S6443" i="29"/>
  <c r="S6464" i="29"/>
  <c r="T6464" i="29"/>
  <c r="J6464" i="29"/>
  <c r="T6471" i="29"/>
  <c r="J6471" i="29"/>
  <c r="S6471" i="29"/>
  <c r="T6490" i="29"/>
  <c r="J6490" i="29"/>
  <c r="K6490" i="29"/>
  <c r="S6490" i="29"/>
  <c r="T6493" i="29"/>
  <c r="J6493" i="29"/>
  <c r="S6493" i="29"/>
  <c r="T6460" i="29"/>
  <c r="J6460" i="29"/>
  <c r="S6460" i="29"/>
  <c r="T6468" i="29"/>
  <c r="J6468" i="29"/>
  <c r="S6468" i="29"/>
  <c r="S2416" i="29"/>
  <c r="T2403" i="29"/>
  <c r="W2403" i="29"/>
  <c r="S2403" i="29"/>
  <c r="T2309" i="29"/>
  <c r="J2309" i="29"/>
  <c r="K2256" i="29"/>
  <c r="K2242" i="29"/>
  <c r="T2029" i="29"/>
  <c r="J2029" i="29"/>
  <c r="T1822" i="29"/>
  <c r="S1822" i="29"/>
  <c r="T1234" i="29"/>
  <c r="S1234" i="29"/>
  <c r="S910" i="29"/>
  <c r="T910" i="29"/>
  <c r="W910" i="29"/>
  <c r="U910" i="29"/>
  <c r="S907" i="29"/>
  <c r="T907" i="29"/>
  <c r="S599" i="29"/>
  <c r="T599" i="29"/>
  <c r="W599" i="29"/>
  <c r="S5101" i="29"/>
  <c r="T5101" i="29"/>
  <c r="J5101" i="29"/>
  <c r="K5101" i="29"/>
  <c r="S5238" i="29"/>
  <c r="T5238" i="29"/>
  <c r="J5238" i="29"/>
  <c r="S6481" i="29"/>
  <c r="T6481" i="29"/>
  <c r="S6515" i="29"/>
  <c r="T6515" i="29"/>
  <c r="J6515" i="29"/>
  <c r="K6515" i="29"/>
  <c r="K2207" i="29"/>
  <c r="S493" i="29"/>
  <c r="T493" i="29"/>
  <c r="W493" i="29"/>
  <c r="U493" i="29"/>
  <c r="J409" i="29"/>
  <c r="W409" i="29"/>
  <c r="T5060" i="29"/>
  <c r="J5060" i="29"/>
  <c r="S5060" i="29"/>
  <c r="S5372" i="29"/>
  <c r="T5372" i="29"/>
  <c r="S6555" i="29"/>
  <c r="T6555" i="29"/>
  <c r="J6555" i="29"/>
  <c r="S6540" i="29"/>
  <c r="T6540" i="29"/>
  <c r="J6540" i="29"/>
  <c r="K6540" i="29"/>
  <c r="S6954" i="29"/>
  <c r="S7015" i="29"/>
  <c r="T7015" i="29"/>
  <c r="J7015" i="29"/>
  <c r="S7148" i="29"/>
  <c r="T7148" i="29"/>
  <c r="J7148" i="29"/>
  <c r="T7911" i="29"/>
  <c r="J7911" i="29"/>
  <c r="S7911" i="29"/>
  <c r="S7895" i="29"/>
  <c r="T7895" i="29"/>
  <c r="T7978" i="29"/>
  <c r="J7978" i="29"/>
  <c r="S7978" i="29"/>
  <c r="T3940" i="29"/>
  <c r="T3721" i="29"/>
  <c r="J3721" i="29"/>
  <c r="S3721" i="29"/>
  <c r="T3645" i="29"/>
  <c r="J3645" i="29"/>
  <c r="K3645" i="29"/>
  <c r="S3645" i="29"/>
  <c r="S3063" i="29"/>
  <c r="T3063" i="29"/>
  <c r="S2650" i="29"/>
  <c r="T2650" i="29"/>
  <c r="J2650" i="29"/>
  <c r="J2625" i="29"/>
  <c r="K2625" i="29"/>
  <c r="T2599" i="29"/>
  <c r="W2588" i="29"/>
  <c r="K2508" i="29"/>
  <c r="W2447" i="29"/>
  <c r="W2437" i="29"/>
  <c r="U2437" i="29"/>
  <c r="S2376" i="29"/>
  <c r="J2320" i="29"/>
  <c r="K2283" i="29"/>
  <c r="W2169" i="29"/>
  <c r="J2169" i="29"/>
  <c r="S2125" i="29"/>
  <c r="T2125" i="29"/>
  <c r="W2125" i="29"/>
  <c r="U2125" i="29"/>
  <c r="K1259" i="29"/>
  <c r="S745" i="29"/>
  <c r="T745" i="29"/>
  <c r="W745" i="29"/>
  <c r="S5056" i="29"/>
  <c r="T5056" i="29"/>
  <c r="J5056" i="29"/>
  <c r="K5056" i="29"/>
  <c r="T2792" i="29"/>
  <c r="S2792" i="29"/>
  <c r="J2480" i="29"/>
  <c r="S1252" i="29"/>
  <c r="T1252" i="29"/>
  <c r="S1035" i="29"/>
  <c r="T1035" i="29"/>
  <c r="T5356" i="29"/>
  <c r="S5356" i="29"/>
  <c r="T5409" i="29"/>
  <c r="S5409" i="29"/>
  <c r="T5557" i="29"/>
  <c r="S5557" i="29"/>
  <c r="T3914" i="29"/>
  <c r="T3724" i="29"/>
  <c r="J3719" i="29"/>
  <c r="W2629" i="29"/>
  <c r="S4887" i="29"/>
  <c r="T4887" i="29"/>
  <c r="S4834" i="29"/>
  <c r="S4330" i="29"/>
  <c r="T4330" i="29"/>
  <c r="T4233" i="29"/>
  <c r="T4056" i="29"/>
  <c r="S2851" i="29"/>
  <c r="T2851" i="29"/>
  <c r="S2100" i="29"/>
  <c r="T2100" i="29"/>
  <c r="S942" i="29"/>
  <c r="T942" i="29"/>
  <c r="W942" i="29"/>
  <c r="T656" i="29"/>
  <c r="W656" i="29"/>
  <c r="S656" i="29"/>
  <c r="T5225" i="29"/>
  <c r="J5225" i="29"/>
  <c r="S5225" i="29"/>
  <c r="S5475" i="29"/>
  <c r="T5475" i="29"/>
  <c r="J5475" i="29"/>
  <c r="K5475" i="29"/>
  <c r="S5462" i="29"/>
  <c r="T5462" i="29"/>
  <c r="J5462" i="29"/>
  <c r="S6163" i="29"/>
  <c r="T6163" i="29"/>
  <c r="J6163" i="29"/>
  <c r="K6163" i="29"/>
  <c r="J6075" i="29"/>
  <c r="K6075" i="29"/>
  <c r="S6484" i="29"/>
  <c r="J4834" i="29"/>
  <c r="K4834" i="29"/>
  <c r="S4749" i="29"/>
  <c r="T4749" i="29"/>
  <c r="S3961" i="29"/>
  <c r="T3961" i="29"/>
  <c r="W3961" i="29"/>
  <c r="S3733" i="29"/>
  <c r="T3733" i="29"/>
  <c r="T3714" i="29"/>
  <c r="S3714" i="29"/>
  <c r="S3485" i="29"/>
  <c r="T3485" i="29"/>
  <c r="J3485" i="29"/>
  <c r="S2348" i="29"/>
  <c r="T2348" i="29"/>
  <c r="S5128" i="29"/>
  <c r="T5128" i="29"/>
  <c r="W5128" i="29"/>
  <c r="S6021" i="29"/>
  <c r="T6021" i="29"/>
  <c r="J6021" i="29"/>
  <c r="K6021" i="29"/>
  <c r="S6060" i="29"/>
  <c r="T6060" i="29"/>
  <c r="J6060" i="29"/>
  <c r="K6060" i="29"/>
  <c r="T6730" i="29"/>
  <c r="S6730" i="29"/>
  <c r="J2931" i="29"/>
  <c r="J4539" i="29"/>
  <c r="K4539" i="29"/>
  <c r="S3896" i="29"/>
  <c r="T3161" i="29"/>
  <c r="S2209" i="29"/>
  <c r="S2863" i="29"/>
  <c r="T2863" i="29"/>
  <c r="J924" i="29"/>
  <c r="K421" i="29"/>
  <c r="K398" i="29"/>
  <c r="T5070" i="29"/>
  <c r="J5070" i="29"/>
  <c r="S5070" i="29"/>
  <c r="T6607" i="29"/>
  <c r="J6607" i="29"/>
  <c r="S6607" i="29"/>
  <c r="T6665" i="29"/>
  <c r="J6665" i="29"/>
  <c r="K6665" i="29"/>
  <c r="T6779" i="29"/>
  <c r="J6779" i="29"/>
  <c r="K6779" i="29"/>
  <c r="S6779" i="29"/>
  <c r="S6841" i="29"/>
  <c r="T6841" i="29"/>
  <c r="J6841" i="29"/>
  <c r="K6841" i="29"/>
  <c r="S6825" i="29"/>
  <c r="T6967" i="29"/>
  <c r="J6967" i="29"/>
  <c r="K6967" i="29"/>
  <c r="S6967" i="29"/>
  <c r="S6984" i="29"/>
  <c r="T6984" i="29"/>
  <c r="J6984" i="29"/>
  <c r="K6984" i="29"/>
  <c r="S7973" i="29"/>
  <c r="T7973" i="29"/>
  <c r="J7973" i="29"/>
  <c r="S7898" i="29"/>
  <c r="T7898" i="29"/>
  <c r="J7898" i="29"/>
  <c r="S7154" i="29"/>
  <c r="T7154" i="29"/>
  <c r="J7154" i="29"/>
  <c r="U7154" i="29"/>
  <c r="T7380" i="29"/>
  <c r="J7380" i="29"/>
  <c r="K7380" i="29"/>
  <c r="S7380" i="29"/>
  <c r="T7765" i="29"/>
  <c r="S7765" i="29"/>
  <c r="T7768" i="29"/>
  <c r="J7768" i="29"/>
  <c r="S7768" i="29"/>
  <c r="S4952" i="29"/>
  <c r="T4952" i="29"/>
  <c r="J4952" i="29"/>
  <c r="K4952" i="29"/>
  <c r="T4937" i="29"/>
  <c r="J4937" i="29"/>
  <c r="J4518" i="29"/>
  <c r="J4429" i="29"/>
  <c r="K4258" i="29"/>
  <c r="T4096" i="29"/>
  <c r="J4096" i="29"/>
  <c r="K4096" i="29"/>
  <c r="S4096" i="29"/>
  <c r="S3223" i="29"/>
  <c r="J2926" i="29"/>
  <c r="W2876" i="29"/>
  <c r="K2315" i="29"/>
  <c r="K784" i="29"/>
  <c r="T632" i="29"/>
  <c r="W632" i="29"/>
  <c r="S632" i="29"/>
  <c r="T534" i="29"/>
  <c r="W534" i="29"/>
  <c r="U534" i="29"/>
  <c r="S534" i="29"/>
  <c r="T6126" i="29"/>
  <c r="J6126" i="29"/>
  <c r="K6126" i="29"/>
  <c r="S6126" i="29"/>
  <c r="S6612" i="29"/>
  <c r="T6612" i="29"/>
  <c r="J6612" i="29"/>
  <c r="K6612" i="29"/>
  <c r="T6703" i="29"/>
  <c r="J6703" i="29"/>
  <c r="S6703" i="29"/>
  <c r="S7475" i="29"/>
  <c r="T7475" i="29"/>
  <c r="W1500" i="29"/>
  <c r="U1500" i="29"/>
  <c r="J4554" i="29"/>
  <c r="K4554" i="29"/>
  <c r="J4515" i="29"/>
  <c r="T3622" i="29"/>
  <c r="J3622" i="29"/>
  <c r="S3622" i="29"/>
  <c r="S2643" i="29"/>
  <c r="T2643" i="29"/>
  <c r="T2251" i="29"/>
  <c r="S2251" i="29"/>
  <c r="T5354" i="29"/>
  <c r="S5354" i="29"/>
  <c r="S5555" i="29"/>
  <c r="T5555" i="29"/>
  <c r="J5555" i="29"/>
  <c r="U5555" i="29"/>
  <c r="S5845" i="29"/>
  <c r="T5845" i="29"/>
  <c r="J5845" i="29"/>
  <c r="S7012" i="29"/>
  <c r="T7012" i="29"/>
  <c r="J7012" i="29"/>
  <c r="T1120" i="29"/>
  <c r="W1120" i="29"/>
  <c r="S1120" i="29"/>
  <c r="J1120" i="29"/>
  <c r="K1120" i="29"/>
  <c r="T861" i="29"/>
  <c r="S861" i="29"/>
  <c r="T5271" i="29"/>
  <c r="S5271" i="29"/>
  <c r="T5592" i="29"/>
  <c r="J5592" i="29"/>
  <c r="K5592" i="29"/>
  <c r="S5592" i="29"/>
  <c r="S5774" i="29"/>
  <c r="T5774" i="29"/>
  <c r="J5774" i="29"/>
  <c r="T6594" i="29"/>
  <c r="J6594" i="29"/>
  <c r="K6594" i="29"/>
  <c r="S6594" i="29"/>
  <c r="J4777" i="29"/>
  <c r="K4777" i="29"/>
  <c r="J4698" i="29"/>
  <c r="K4698" i="29"/>
  <c r="W3389" i="29"/>
  <c r="J1628" i="29"/>
  <c r="W1567" i="29"/>
  <c r="S1503" i="29"/>
  <c r="T1503" i="29"/>
  <c r="W1503" i="29"/>
  <c r="U1503" i="29"/>
  <c r="W1420" i="29"/>
  <c r="J1180" i="29"/>
  <c r="T5725" i="29"/>
  <c r="J5725" i="29"/>
  <c r="S5725" i="29"/>
  <c r="T5729" i="29"/>
  <c r="J5729" i="29"/>
  <c r="K5729" i="29"/>
  <c r="S5729" i="29"/>
  <c r="S6440" i="29"/>
  <c r="T6440" i="29"/>
  <c r="J6440" i="29"/>
  <c r="K6440" i="29"/>
  <c r="T6463" i="29"/>
  <c r="J6463" i="29"/>
  <c r="K6463" i="29"/>
  <c r="S6463" i="29"/>
  <c r="S7410" i="29"/>
  <c r="T7410" i="29"/>
  <c r="J7410" i="29"/>
  <c r="K7410" i="29"/>
  <c r="S4518" i="29"/>
  <c r="K2617" i="29"/>
  <c r="T4611" i="29"/>
  <c r="J4611" i="29"/>
  <c r="S4611" i="29"/>
  <c r="S4437" i="29"/>
  <c r="T4437" i="29"/>
  <c r="J4437" i="29"/>
  <c r="K4437" i="29"/>
  <c r="S4297" i="29"/>
  <c r="T4297" i="29"/>
  <c r="T2856" i="29"/>
  <c r="J2856" i="29"/>
  <c r="K2856" i="29"/>
  <c r="S2856" i="29"/>
  <c r="K1114" i="29"/>
  <c r="T5383" i="29"/>
  <c r="J5383" i="29"/>
  <c r="S5383" i="29"/>
  <c r="S6690" i="29"/>
  <c r="T6690" i="29"/>
  <c r="J6690" i="29"/>
  <c r="K6690" i="29"/>
  <c r="T6706" i="29"/>
  <c r="J6706" i="29"/>
  <c r="U6706" i="29"/>
  <c r="S6706" i="29"/>
  <c r="S7029" i="29"/>
  <c r="T7029" i="29"/>
  <c r="J7029" i="29"/>
  <c r="S7116" i="29"/>
  <c r="T7116" i="29"/>
  <c r="J7116" i="29"/>
  <c r="K7116" i="29"/>
  <c r="T7285" i="29"/>
  <c r="J7285" i="29"/>
  <c r="K7285" i="29"/>
  <c r="S7285" i="29"/>
  <c r="S4908" i="29"/>
  <c r="T5016" i="29"/>
  <c r="J2872" i="29"/>
  <c r="T4936" i="29"/>
  <c r="J4936" i="29"/>
  <c r="J3414" i="29"/>
  <c r="S2442" i="29"/>
  <c r="T2442" i="29"/>
  <c r="J2442" i="29"/>
  <c r="K2442" i="29"/>
  <c r="J2321" i="29"/>
  <c r="S2192" i="29"/>
  <c r="T2192" i="29"/>
  <c r="J2192" i="29"/>
  <c r="K1371" i="29"/>
  <c r="K1335" i="29"/>
  <c r="K1292" i="29"/>
  <c r="K1201" i="29"/>
  <c r="T6349" i="29"/>
  <c r="J6349" i="29"/>
  <c r="K6349" i="29"/>
  <c r="S6349" i="29"/>
  <c r="S6450" i="29"/>
  <c r="T6450" i="29"/>
  <c r="J6450" i="29"/>
  <c r="K6450" i="29"/>
  <c r="S6685" i="29"/>
  <c r="T6685" i="29"/>
  <c r="J6685" i="29"/>
  <c r="K6685" i="29"/>
  <c r="S7109" i="29"/>
  <c r="T7109" i="29"/>
  <c r="J7109" i="29"/>
  <c r="K7109" i="29"/>
  <c r="S7328" i="29"/>
  <c r="T7328" i="29"/>
  <c r="J7328" i="29"/>
  <c r="K7328" i="29"/>
  <c r="S7623" i="29"/>
  <c r="T7623" i="29"/>
  <c r="J7623" i="29"/>
  <c r="K7623" i="29"/>
  <c r="T7746" i="29"/>
  <c r="J7746" i="29"/>
  <c r="K7746" i="29"/>
  <c r="S7746" i="29"/>
  <c r="J7799" i="29"/>
  <c r="K7799" i="29"/>
  <c r="J4578" i="29"/>
  <c r="K4578" i="29"/>
  <c r="K2519" i="29"/>
  <c r="W2510" i="29"/>
  <c r="U2510" i="29"/>
  <c r="W2507" i="29"/>
  <c r="J2273" i="29"/>
  <c r="K2273" i="29"/>
  <c r="W1745" i="29"/>
  <c r="W521" i="29"/>
  <c r="K519" i="29"/>
  <c r="T5652" i="29"/>
  <c r="J5652" i="29"/>
  <c r="K5652" i="29"/>
  <c r="S5652" i="29"/>
  <c r="S6681" i="29"/>
  <c r="T6681" i="29"/>
  <c r="T7126" i="29"/>
  <c r="J7126" i="29"/>
  <c r="K7126" i="29"/>
  <c r="S7126" i="29"/>
  <c r="S7150" i="29"/>
  <c r="T7150" i="29"/>
  <c r="J7150" i="29"/>
  <c r="T7247" i="29"/>
  <c r="J7247" i="29"/>
  <c r="K7247" i="29"/>
  <c r="S7247" i="29"/>
  <c r="S7239" i="29"/>
  <c r="T7239" i="29"/>
  <c r="J7239" i="29"/>
  <c r="K7239" i="29"/>
  <c r="T7231" i="29"/>
  <c r="J7231" i="29"/>
  <c r="K7231" i="29"/>
  <c r="S7231" i="29"/>
  <c r="T7223" i="29"/>
  <c r="J7223" i="29"/>
  <c r="S7223" i="29"/>
  <c r="T7207" i="29"/>
  <c r="J7207" i="29"/>
  <c r="S7207" i="29"/>
  <c r="S7488" i="29"/>
  <c r="T7488" i="29"/>
  <c r="J7488" i="29"/>
  <c r="T7653" i="29"/>
  <c r="J7653" i="29"/>
  <c r="S7653" i="29"/>
  <c r="S7692" i="29"/>
  <c r="T7692" i="29"/>
  <c r="J7692" i="29"/>
  <c r="T7881" i="29"/>
  <c r="J7881" i="29"/>
  <c r="K7881" i="29"/>
  <c r="S7881" i="29"/>
  <c r="W4280" i="29"/>
  <c r="W4844" i="29"/>
  <c r="U4844" i="29"/>
  <c r="J4260" i="29"/>
  <c r="K4260" i="29"/>
  <c r="T3450" i="29"/>
  <c r="K3124" i="29"/>
  <c r="J3083" i="29"/>
  <c r="K3083" i="29"/>
  <c r="S2636" i="29"/>
  <c r="T5583" i="29"/>
  <c r="J5583" i="29"/>
  <c r="K5583" i="29"/>
  <c r="S5800" i="29"/>
  <c r="S6551" i="29"/>
  <c r="T6551" i="29"/>
  <c r="J6551" i="29"/>
  <c r="J6696" i="29"/>
  <c r="K6696" i="29"/>
  <c r="S6738" i="29"/>
  <c r="T6738" i="29"/>
  <c r="J6738" i="29"/>
  <c r="K6738" i="29"/>
  <c r="T6848" i="29"/>
  <c r="J6848" i="29"/>
  <c r="S6848" i="29"/>
  <c r="T6832" i="29"/>
  <c r="J6832" i="29"/>
  <c r="K6832" i="29"/>
  <c r="S6832" i="29"/>
  <c r="S7081" i="29"/>
  <c r="T7081" i="29"/>
  <c r="J7081" i="29"/>
  <c r="K7081" i="29"/>
  <c r="T7254" i="29"/>
  <c r="J7254" i="29"/>
  <c r="K7254" i="29"/>
  <c r="S7254" i="29"/>
  <c r="T7246" i="29"/>
  <c r="J7246" i="29"/>
  <c r="K7246" i="29"/>
  <c r="S7246" i="29"/>
  <c r="T7501" i="29"/>
  <c r="J7501" i="29"/>
  <c r="K7501" i="29"/>
  <c r="S7501" i="29"/>
  <c r="T7584" i="29"/>
  <c r="J7584" i="29"/>
  <c r="S7584" i="29"/>
  <c r="T7866" i="29"/>
  <c r="J7866" i="29"/>
  <c r="K7866" i="29"/>
  <c r="S7866" i="29"/>
  <c r="S6575" i="29"/>
  <c r="T6575" i="29"/>
  <c r="J6575" i="29"/>
  <c r="K6575" i="29"/>
  <c r="T6621" i="29"/>
  <c r="J6621" i="29"/>
  <c r="K6621" i="29"/>
  <c r="S6621" i="29"/>
  <c r="T7683" i="29"/>
  <c r="J7683" i="29"/>
  <c r="K7683" i="29"/>
  <c r="S7683" i="29"/>
  <c r="W4664" i="29"/>
  <c r="T3757" i="29"/>
  <c r="W3757" i="29"/>
  <c r="U3757" i="29"/>
  <c r="J3600" i="29"/>
  <c r="U3600" i="29"/>
  <c r="J3507" i="29"/>
  <c r="U3507" i="29"/>
  <c r="W1812" i="29"/>
  <c r="W665" i="29"/>
  <c r="S6564" i="29"/>
  <c r="S6559" i="29"/>
  <c r="T6559" i="29"/>
  <c r="J6559" i="29"/>
  <c r="T6606" i="29"/>
  <c r="J6606" i="29"/>
  <c r="K6606" i="29"/>
  <c r="S6755" i="29"/>
  <c r="T6755" i="29"/>
  <c r="J6755" i="29"/>
  <c r="K6755" i="29"/>
  <c r="T7791" i="29"/>
  <c r="J7791" i="29"/>
  <c r="K7791" i="29"/>
  <c r="S7791" i="29"/>
  <c r="S7923" i="29"/>
  <c r="T7923" i="29"/>
  <c r="J7923" i="29"/>
  <c r="K7923" i="29"/>
  <c r="J4683" i="29"/>
  <c r="K4683" i="29"/>
  <c r="J4544" i="29"/>
  <c r="T4369" i="29"/>
  <c r="S4369" i="29"/>
  <c r="J4299" i="29"/>
  <c r="K3594" i="29"/>
  <c r="W3559" i="29"/>
  <c r="J3503" i="29"/>
  <c r="U3503" i="29"/>
  <c r="S3399" i="29"/>
  <c r="J1429" i="29"/>
  <c r="W753" i="29"/>
  <c r="K751" i="29"/>
  <c r="K602" i="29"/>
  <c r="K561" i="29"/>
  <c r="K405" i="29"/>
  <c r="S6660" i="29"/>
  <c r="T6625" i="29"/>
  <c r="J6625" i="29"/>
  <c r="S6658" i="29"/>
  <c r="S6970" i="29"/>
  <c r="T6970" i="29"/>
  <c r="J6970" i="29"/>
  <c r="K6970" i="29"/>
  <c r="T7036" i="29"/>
  <c r="J7036" i="29"/>
  <c r="S7036" i="29"/>
  <c r="S7182" i="29"/>
  <c r="T7182" i="29"/>
  <c r="J7182" i="29"/>
  <c r="K7182" i="29"/>
  <c r="T7624" i="29"/>
  <c r="J7624" i="29"/>
  <c r="K7624" i="29"/>
  <c r="S7624" i="29"/>
  <c r="T7803" i="29"/>
  <c r="J7803" i="29"/>
  <c r="S7803" i="29"/>
  <c r="T7937" i="29"/>
  <c r="J7937" i="29"/>
  <c r="K7937" i="29"/>
  <c r="S7937" i="29"/>
  <c r="S4375" i="29"/>
  <c r="T4375" i="29"/>
  <c r="K3625" i="29"/>
  <c r="W1426" i="29"/>
  <c r="W1332" i="29"/>
  <c r="J1265" i="29"/>
  <c r="K1265" i="29"/>
  <c r="W203" i="29"/>
  <c r="U203" i="29"/>
  <c r="T6547" i="29"/>
  <c r="J6547" i="29"/>
  <c r="S6547" i="29"/>
  <c r="S6828" i="29"/>
  <c r="T6828" i="29"/>
  <c r="J6828" i="29"/>
  <c r="K6828" i="29"/>
  <c r="S6998" i="29"/>
  <c r="T6998" i="29"/>
  <c r="J6998" i="29"/>
  <c r="K6998" i="29"/>
  <c r="S7847" i="29"/>
  <c r="T7847" i="29"/>
  <c r="J7847" i="29"/>
  <c r="T8070" i="29"/>
  <c r="J8070" i="29"/>
  <c r="S8070" i="29"/>
  <c r="T8057" i="29"/>
  <c r="J8057" i="29"/>
  <c r="S8057" i="29"/>
  <c r="S7253" i="29"/>
  <c r="T7253" i="29"/>
  <c r="J7253" i="29"/>
  <c r="T7400" i="29"/>
  <c r="J7400" i="29"/>
  <c r="K7400" i="29"/>
  <c r="S7400" i="29"/>
  <c r="S7491" i="29"/>
  <c r="T7491" i="29"/>
  <c r="J7491" i="29"/>
  <c r="U7491" i="29"/>
  <c r="S7693" i="29"/>
  <c r="T7693" i="29"/>
  <c r="J7693" i="29"/>
  <c r="T7950" i="29"/>
  <c r="S7950" i="29"/>
  <c r="S7490" i="29"/>
  <c r="T7490" i="29"/>
  <c r="J7490" i="29"/>
  <c r="J7759" i="29"/>
  <c r="K7759" i="29"/>
  <c r="T7988" i="29"/>
  <c r="J7988" i="29"/>
  <c r="K7988" i="29"/>
  <c r="S7988" i="29"/>
  <c r="K1482" i="29"/>
  <c r="K1370" i="29"/>
  <c r="J1367" i="29"/>
  <c r="K1162" i="29"/>
  <c r="U200" i="29"/>
  <c r="S6537" i="29"/>
  <c r="T6537" i="29"/>
  <c r="J6537" i="29"/>
  <c r="K6537" i="29"/>
  <c r="T6613" i="29"/>
  <c r="J6613" i="29"/>
  <c r="S6613" i="29"/>
  <c r="T7034" i="29"/>
  <c r="J7034" i="29"/>
  <c r="K7034" i="29"/>
  <c r="S7100" i="29"/>
  <c r="T7106" i="29"/>
  <c r="J7106" i="29"/>
  <c r="K7106" i="29"/>
  <c r="T7179" i="29"/>
  <c r="J7179" i="29"/>
  <c r="K7179" i="29"/>
  <c r="S7172" i="29"/>
  <c r="T7172" i="29"/>
  <c r="J7172" i="29"/>
  <c r="T7212" i="29"/>
  <c r="J7212" i="29"/>
  <c r="S7212" i="29"/>
  <c r="J7466" i="29"/>
  <c r="S7489" i="29"/>
  <c r="S7477" i="29"/>
  <c r="T7781" i="29"/>
  <c r="J7781" i="29"/>
  <c r="S7875" i="29"/>
  <c r="T8010" i="29"/>
  <c r="J8010" i="29"/>
  <c r="K8010" i="29"/>
  <c r="S8013" i="29"/>
  <c r="W817" i="29"/>
  <c r="S6784" i="29"/>
  <c r="T6784" i="29"/>
  <c r="J6784" i="29"/>
  <c r="S7415" i="29"/>
  <c r="T7415" i="29"/>
  <c r="J7415" i="29"/>
  <c r="K7415" i="29"/>
  <c r="J7445" i="29"/>
  <c r="K7445" i="29"/>
  <c r="T7685" i="29"/>
  <c r="J7685" i="29"/>
  <c r="K7685" i="29"/>
  <c r="S7685" i="29"/>
  <c r="J7882" i="29"/>
  <c r="K7882" i="29"/>
  <c r="K3806" i="29"/>
  <c r="J3470" i="29"/>
  <c r="K3470" i="29"/>
  <c r="T3451" i="29"/>
  <c r="W3451" i="29"/>
  <c r="K3349" i="29"/>
  <c r="T3292" i="29"/>
  <c r="J2621" i="29"/>
  <c r="K2621" i="29"/>
  <c r="J2584" i="29"/>
  <c r="K2584" i="29"/>
  <c r="W2567" i="29"/>
  <c r="W2319" i="29"/>
  <c r="W2137" i="29"/>
  <c r="J2095" i="29"/>
  <c r="K2095" i="29"/>
  <c r="J1967" i="29"/>
  <c r="K1967" i="29"/>
  <c r="K1756" i="29"/>
  <c r="K1753" i="29"/>
  <c r="W1554" i="29"/>
  <c r="S1045" i="29"/>
  <c r="J807" i="29"/>
  <c r="T761" i="29"/>
  <c r="W761" i="29"/>
  <c r="U761" i="29"/>
  <c r="W188" i="29"/>
  <c r="U188" i="29"/>
  <c r="W186" i="29"/>
  <c r="J5868" i="29"/>
  <c r="K5868" i="29"/>
  <c r="S6815" i="29"/>
  <c r="T7004" i="29"/>
  <c r="J7004" i="29"/>
  <c r="K7004" i="29"/>
  <c r="S7004" i="29"/>
  <c r="S7598" i="29"/>
  <c r="S7918" i="29"/>
  <c r="T7918" i="29"/>
  <c r="J7918" i="29"/>
  <c r="K7918" i="29"/>
  <c r="K2746" i="29"/>
  <c r="J2654" i="29"/>
  <c r="J2626" i="29"/>
  <c r="J2324" i="29"/>
  <c r="K2324" i="29"/>
  <c r="W1964" i="29"/>
  <c r="W919" i="29"/>
  <c r="C162" i="6"/>
  <c r="K393" i="29"/>
  <c r="K350" i="29"/>
  <c r="K347" i="29"/>
  <c r="T7062" i="29"/>
  <c r="J7062" i="29"/>
  <c r="K7062" i="29"/>
  <c r="S7062" i="29"/>
  <c r="S7068" i="29"/>
  <c r="S7392" i="29"/>
  <c r="S7515" i="29"/>
  <c r="S7487" i="29"/>
  <c r="S7850" i="29"/>
  <c r="T7850" i="29"/>
  <c r="J7850" i="29"/>
  <c r="K7850" i="29"/>
  <c r="S7930" i="29"/>
  <c r="W1345" i="29"/>
  <c r="J1223" i="29"/>
  <c r="K1223" i="29"/>
  <c r="K1067" i="29"/>
  <c r="K1017" i="29"/>
  <c r="W8" i="29"/>
  <c r="T6709" i="29"/>
  <c r="J6709" i="29"/>
  <c r="T6712" i="29"/>
  <c r="J6712" i="29"/>
  <c r="T6713" i="29"/>
  <c r="J6713" i="29"/>
  <c r="J6890" i="29"/>
  <c r="K6890" i="29"/>
  <c r="J6875" i="29"/>
  <c r="K6875" i="29"/>
  <c r="T6846" i="29"/>
  <c r="J6846" i="29"/>
  <c r="S6846" i="29"/>
  <c r="J7360" i="29"/>
  <c r="K7360" i="29"/>
  <c r="J7420" i="29"/>
  <c r="K7420" i="29"/>
  <c r="J7487" i="29"/>
  <c r="K7487" i="29"/>
  <c r="S7657" i="29"/>
  <c r="T7657" i="29"/>
  <c r="T7704" i="29"/>
  <c r="J7704" i="29"/>
  <c r="U7704" i="29"/>
  <c r="S7915" i="29"/>
  <c r="T7915" i="29"/>
  <c r="J7915" i="29"/>
  <c r="T7972" i="29"/>
  <c r="J7972" i="29"/>
  <c r="S7972" i="29"/>
  <c r="K4516" i="29"/>
  <c r="J4363" i="29"/>
  <c r="J4360" i="29"/>
  <c r="K4360" i="29"/>
  <c r="K3758" i="29"/>
  <c r="K3595" i="29"/>
  <c r="S3020" i="29"/>
  <c r="J2580" i="29"/>
  <c r="K2580" i="29"/>
  <c r="J2233" i="29"/>
  <c r="K2233" i="29"/>
  <c r="K2190" i="29"/>
  <c r="W2150" i="29"/>
  <c r="K1884" i="29"/>
  <c r="K1859" i="29"/>
  <c r="K1392" i="29"/>
  <c r="T1287" i="29"/>
  <c r="J1202" i="29"/>
  <c r="K534" i="29"/>
  <c r="K430" i="29"/>
  <c r="K368" i="29"/>
  <c r="S6800" i="29"/>
  <c r="T6893" i="29"/>
  <c r="J6893" i="29"/>
  <c r="K6893" i="29"/>
  <c r="J7005" i="29"/>
  <c r="K7005" i="29"/>
  <c r="S7032" i="29"/>
  <c r="T7032" i="29"/>
  <c r="J7032" i="29"/>
  <c r="U7032" i="29"/>
  <c r="T7479" i="29"/>
  <c r="T7472" i="29"/>
  <c r="S7472" i="29"/>
  <c r="S7661" i="29"/>
  <c r="S7658" i="29"/>
  <c r="T7658" i="29"/>
  <c r="S7817" i="29"/>
  <c r="T7817" i="29"/>
  <c r="J7817" i="29"/>
  <c r="K7817" i="29"/>
  <c r="S8011" i="29"/>
  <c r="T8011" i="29"/>
  <c r="J8011" i="29"/>
  <c r="K8011" i="29"/>
  <c r="T8044" i="29"/>
  <c r="J8044" i="29"/>
  <c r="K8044" i="29"/>
  <c r="W1689" i="29"/>
  <c r="W1479" i="29"/>
  <c r="W1328" i="29"/>
  <c r="K867" i="29"/>
  <c r="W611" i="29"/>
  <c r="U611" i="29"/>
  <c r="W601" i="29"/>
  <c r="K558" i="29"/>
  <c r="W545" i="29"/>
  <c r="U545" i="29"/>
  <c r="K475" i="29"/>
  <c r="W94" i="29"/>
  <c r="J6253" i="29"/>
  <c r="K6253" i="29"/>
  <c r="J6397" i="29"/>
  <c r="K6397" i="29"/>
  <c r="T7277" i="29"/>
  <c r="J7277" i="29"/>
  <c r="K7277" i="29"/>
  <c r="J7441" i="29"/>
  <c r="K7441" i="29"/>
  <c r="T8030" i="29"/>
  <c r="J8030" i="29"/>
  <c r="K8030" i="29"/>
  <c r="J6777" i="29"/>
  <c r="K6777" i="29"/>
  <c r="J6820" i="29"/>
  <c r="K6820" i="29"/>
  <c r="T6805" i="29"/>
  <c r="J6805" i="29"/>
  <c r="S6790" i="29"/>
  <c r="J6855" i="29"/>
  <c r="K6855" i="29"/>
  <c r="S6872" i="29"/>
  <c r="S6845" i="29"/>
  <c r="S6831" i="29"/>
  <c r="T6900" i="29"/>
  <c r="J6900" i="29"/>
  <c r="T6999" i="29"/>
  <c r="J6999" i="29"/>
  <c r="K6999" i="29"/>
  <c r="S7023" i="29"/>
  <c r="S7069" i="29"/>
  <c r="S7197" i="29"/>
  <c r="S7401" i="29"/>
  <c r="S7471" i="29"/>
  <c r="T7871" i="29"/>
  <c r="J7871" i="29"/>
  <c r="K7871" i="29"/>
  <c r="J7824" i="29"/>
  <c r="K7824" i="29"/>
  <c r="S7824" i="29"/>
  <c r="S7786" i="29"/>
  <c r="S7892" i="29"/>
  <c r="J7418" i="29"/>
  <c r="K7418" i="29"/>
  <c r="W1258" i="29"/>
  <c r="T1196" i="29"/>
  <c r="W1196" i="29"/>
  <c r="U1196" i="29"/>
  <c r="W1156" i="29"/>
  <c r="W1126" i="29"/>
  <c r="W780" i="29"/>
  <c r="J6704" i="29"/>
  <c r="K6704" i="29"/>
  <c r="J7483" i="29"/>
  <c r="J1562" i="29"/>
  <c r="K1276" i="29"/>
  <c r="J1230" i="29"/>
  <c r="K1230" i="29"/>
  <c r="J991" i="29"/>
  <c r="W929" i="29"/>
  <c r="U929" i="29"/>
  <c r="W918" i="29"/>
  <c r="W406" i="29"/>
  <c r="U406" i="29"/>
  <c r="K260" i="29"/>
  <c r="K157" i="29"/>
  <c r="T6534" i="29"/>
  <c r="J6534" i="29"/>
  <c r="K6534" i="29"/>
  <c r="T6605" i="29"/>
  <c r="J6605" i="29"/>
  <c r="K6605" i="29"/>
  <c r="T6620" i="29"/>
  <c r="J6620" i="29"/>
  <c r="K6620" i="29"/>
  <c r="S7075" i="29"/>
  <c r="J7489" i="29"/>
  <c r="K7489" i="29"/>
  <c r="J7505" i="29"/>
  <c r="J7457" i="29"/>
  <c r="K7457" i="29"/>
  <c r="T7691" i="29"/>
  <c r="J7691" i="29"/>
  <c r="K7691" i="29"/>
  <c r="J7796" i="29"/>
  <c r="K7796" i="29"/>
  <c r="K296" i="29"/>
  <c r="W125" i="29"/>
  <c r="U125" i="29"/>
  <c r="W114" i="29"/>
  <c r="J6557" i="29"/>
  <c r="T7396" i="29"/>
  <c r="J7396" i="29"/>
  <c r="T2189" i="29"/>
  <c r="S2189" i="29"/>
  <c r="S2179" i="29"/>
  <c r="T2179" i="29"/>
  <c r="W2179" i="29"/>
  <c r="U2179" i="29"/>
  <c r="T2176" i="29"/>
  <c r="S2176" i="29"/>
  <c r="S2173" i="29"/>
  <c r="T2173" i="29"/>
  <c r="S2145" i="29"/>
  <c r="T2145" i="29"/>
  <c r="W2145" i="29"/>
  <c r="U2145" i="29"/>
  <c r="T1247" i="29"/>
  <c r="W1247" i="29"/>
  <c r="S1247" i="29"/>
  <c r="T1205" i="29"/>
  <c r="S1205" i="29"/>
  <c r="K3482" i="29"/>
  <c r="S3475" i="29"/>
  <c r="T3475" i="29"/>
  <c r="J3475" i="29"/>
  <c r="K3475" i="29"/>
  <c r="S3465" i="29"/>
  <c r="T3465" i="29"/>
  <c r="J3465" i="29"/>
  <c r="S3500" i="29"/>
  <c r="T3500" i="29"/>
  <c r="J3500" i="29"/>
  <c r="U3500" i="29"/>
  <c r="S2419" i="29"/>
  <c r="T2419" i="29"/>
  <c r="J2419" i="29"/>
  <c r="S2289" i="29"/>
  <c r="T2289" i="29"/>
  <c r="W2289" i="29"/>
  <c r="S2286" i="29"/>
  <c r="T2286" i="29"/>
  <c r="W2286" i="29"/>
  <c r="T565" i="29"/>
  <c r="W565" i="29"/>
  <c r="U565" i="29"/>
  <c r="S565" i="29"/>
  <c r="T537" i="29"/>
  <c r="W537" i="29"/>
  <c r="U537" i="29"/>
  <c r="S537" i="29"/>
  <c r="S528" i="29"/>
  <c r="T528" i="29"/>
  <c r="W528" i="29"/>
  <c r="U528" i="29"/>
  <c r="S513" i="29"/>
  <c r="T513" i="29"/>
  <c r="W513" i="29"/>
  <c r="U513" i="29"/>
  <c r="J473" i="29"/>
  <c r="K473" i="29"/>
  <c r="W473" i="29"/>
  <c r="T448" i="29"/>
  <c r="S448" i="29"/>
  <c r="T387" i="29"/>
  <c r="W387" i="29"/>
  <c r="U387" i="29"/>
  <c r="S387" i="29"/>
  <c r="K369" i="29"/>
  <c r="T5042" i="29"/>
  <c r="J5042" i="29"/>
  <c r="S5042" i="29"/>
  <c r="S5039" i="29"/>
  <c r="T5039" i="29"/>
  <c r="J5039" i="29"/>
  <c r="K5039" i="29"/>
  <c r="S4830" i="29"/>
  <c r="T4830" i="29"/>
  <c r="J4830" i="29"/>
  <c r="S4808" i="29"/>
  <c r="T4808" i="29"/>
  <c r="S4773" i="29"/>
  <c r="T4773" i="29"/>
  <c r="J4773" i="29"/>
  <c r="S4753" i="29"/>
  <c r="T4753" i="29"/>
  <c r="T4730" i="29"/>
  <c r="J4730" i="29"/>
  <c r="S4730" i="29"/>
  <c r="T4549" i="29"/>
  <c r="W4549" i="29"/>
  <c r="S4549" i="29"/>
  <c r="T4527" i="29"/>
  <c r="S4527" i="29"/>
  <c r="T4504" i="29"/>
  <c r="S4504" i="29"/>
  <c r="S4475" i="29"/>
  <c r="T4475" i="29"/>
  <c r="S4453" i="29"/>
  <c r="T4453" i="29"/>
  <c r="T3794" i="29"/>
  <c r="S3794" i="29"/>
  <c r="S3537" i="29"/>
  <c r="T3537" i="29"/>
  <c r="J3537" i="29"/>
  <c r="S3534" i="29"/>
  <c r="T3534" i="29"/>
  <c r="J3534" i="29"/>
  <c r="K3534" i="29"/>
  <c r="T2406" i="29"/>
  <c r="S2406" i="29"/>
  <c r="T2366" i="29"/>
  <c r="J2366" i="29"/>
  <c r="S2366" i="29"/>
  <c r="T2363" i="29"/>
  <c r="J2363" i="29"/>
  <c r="K2363" i="29"/>
  <c r="S2363" i="29"/>
  <c r="S2359" i="29"/>
  <c r="T2359" i="29"/>
  <c r="J2359" i="29"/>
  <c r="S2299" i="29"/>
  <c r="T2299" i="29"/>
  <c r="J2299" i="29"/>
  <c r="S2277" i="29"/>
  <c r="T2277" i="29"/>
  <c r="J2277" i="29"/>
  <c r="S2225" i="29"/>
  <c r="T2225" i="29"/>
  <c r="T1329" i="29"/>
  <c r="W1329" i="29"/>
  <c r="S1329" i="29"/>
  <c r="T1326" i="29"/>
  <c r="W1326" i="29"/>
  <c r="S1326" i="29"/>
  <c r="J2430" i="29"/>
  <c r="K2430" i="29"/>
  <c r="W2430" i="29"/>
  <c r="S5045" i="29"/>
  <c r="S4896" i="29"/>
  <c r="T4896" i="29"/>
  <c r="S4877" i="29"/>
  <c r="T4877" i="29"/>
  <c r="S4850" i="29"/>
  <c r="T4850" i="29"/>
  <c r="S4791" i="29"/>
  <c r="T4791" i="29"/>
  <c r="J4791" i="29"/>
  <c r="K4791" i="29"/>
  <c r="S4756" i="29"/>
  <c r="T4756" i="29"/>
  <c r="S4733" i="29"/>
  <c r="T4733" i="29"/>
  <c r="S4059" i="29"/>
  <c r="T4059" i="29"/>
  <c r="V4047" i="29"/>
  <c r="S4047" i="29"/>
  <c r="T4047" i="29"/>
  <c r="S4031" i="29"/>
  <c r="T4031" i="29"/>
  <c r="J4031" i="29"/>
  <c r="T4006" i="29"/>
  <c r="J4006" i="29"/>
  <c r="K4006" i="29"/>
  <c r="S4006" i="29"/>
  <c r="T3847" i="29"/>
  <c r="W3847" i="29"/>
  <c r="S3847" i="29"/>
  <c r="T3834" i="29"/>
  <c r="S3834" i="29"/>
  <c r="S2458" i="29"/>
  <c r="T2458" i="29"/>
  <c r="J2458" i="29"/>
  <c r="W2432" i="29"/>
  <c r="S2393" i="29"/>
  <c r="T2393" i="29"/>
  <c r="J2393" i="29"/>
  <c r="K2393" i="29"/>
  <c r="S2369" i="29"/>
  <c r="T2369" i="29"/>
  <c r="W2369" i="29"/>
  <c r="S2355" i="29"/>
  <c r="T2355" i="29"/>
  <c r="J2355" i="29"/>
  <c r="S2331" i="29"/>
  <c r="T2331" i="29"/>
  <c r="T2325" i="29"/>
  <c r="J2325" i="29"/>
  <c r="S2325" i="29"/>
  <c r="S2303" i="29"/>
  <c r="T2303" i="29"/>
  <c r="W2303" i="29"/>
  <c r="S2274" i="29"/>
  <c r="T2274" i="29"/>
  <c r="T2249" i="29"/>
  <c r="S2249" i="29"/>
  <c r="S2235" i="29"/>
  <c r="T2235" i="29"/>
  <c r="S2231" i="29"/>
  <c r="T2231" i="29"/>
  <c r="S2228" i="29"/>
  <c r="T2228" i="29"/>
  <c r="T1742" i="29"/>
  <c r="W1742" i="29"/>
  <c r="U1742" i="29"/>
  <c r="S1742" i="29"/>
  <c r="W1480" i="29"/>
  <c r="J1480" i="29"/>
  <c r="S1474" i="29"/>
  <c r="T1474" i="29"/>
  <c r="W1474" i="29"/>
  <c r="U1474" i="29"/>
  <c r="S1411" i="29"/>
  <c r="T1411" i="29"/>
  <c r="W1411" i="29"/>
  <c r="U1411" i="29"/>
  <c r="T1350" i="29"/>
  <c r="W1350" i="29"/>
  <c r="S1350" i="29"/>
  <c r="S1338" i="29"/>
  <c r="T1338" i="29"/>
  <c r="W1338" i="29"/>
  <c r="U1338" i="29"/>
  <c r="T7363" i="29"/>
  <c r="J7363" i="29"/>
  <c r="K7363" i="29"/>
  <c r="S7363" i="29"/>
  <c r="T7777" i="29"/>
  <c r="J7777" i="29"/>
  <c r="K7777" i="29"/>
  <c r="S7777" i="29"/>
  <c r="J4779" i="29"/>
  <c r="T1320" i="29"/>
  <c r="J1320" i="29"/>
  <c r="K1320" i="29"/>
  <c r="S4984" i="29"/>
  <c r="T4984" i="29"/>
  <c r="J4984" i="29"/>
  <c r="K4984" i="29"/>
  <c r="S4944" i="29"/>
  <c r="T4944" i="29"/>
  <c r="T4880" i="29"/>
  <c r="S4880" i="29"/>
  <c r="S4864" i="29"/>
  <c r="T4864" i="29"/>
  <c r="J4864" i="29"/>
  <c r="K4844" i="29"/>
  <c r="T4533" i="29"/>
  <c r="S4533" i="29"/>
  <c r="T4484" i="29"/>
  <c r="S4484" i="29"/>
  <c r="S4462" i="29"/>
  <c r="T4462" i="29"/>
  <c r="S2463" i="29"/>
  <c r="T2463" i="29"/>
  <c r="J2463" i="29"/>
  <c r="T2454" i="29"/>
  <c r="W2454" i="29"/>
  <c r="U2454" i="29"/>
  <c r="S2454" i="29"/>
  <c r="T2425" i="29"/>
  <c r="S2425" i="29"/>
  <c r="S2389" i="29"/>
  <c r="T2389" i="29"/>
  <c r="J2389" i="29"/>
  <c r="T2358" i="29"/>
  <c r="J2358" i="29"/>
  <c r="K2358" i="29"/>
  <c r="S2358" i="29"/>
  <c r="K2318" i="29"/>
  <c r="S2261" i="29"/>
  <c r="T2261" i="29"/>
  <c r="W2258" i="29"/>
  <c r="J2258" i="29"/>
  <c r="S2255" i="29"/>
  <c r="T2255" i="29"/>
  <c r="S2252" i="29"/>
  <c r="T2252" i="29"/>
  <c r="W2252" i="29"/>
  <c r="T2238" i="29"/>
  <c r="J2238" i="29"/>
  <c r="K2238" i="29"/>
  <c r="S2238" i="29"/>
  <c r="S2215" i="29"/>
  <c r="T2215" i="29"/>
  <c r="W2215" i="29"/>
  <c r="T2212" i="29"/>
  <c r="S2212" i="29"/>
  <c r="T329" i="29"/>
  <c r="W329" i="29"/>
  <c r="U329" i="29"/>
  <c r="S329" i="29"/>
  <c r="S5313" i="29"/>
  <c r="T5313" i="29"/>
  <c r="J5313" i="29"/>
  <c r="J5319" i="29"/>
  <c r="W5319" i="29"/>
  <c r="T5330" i="29"/>
  <c r="J5330" i="29"/>
  <c r="K5330" i="29"/>
  <c r="S5330" i="29"/>
  <c r="S5345" i="29"/>
  <c r="T5345" i="29"/>
  <c r="J5345" i="29"/>
  <c r="T7463" i="29"/>
  <c r="J7463" i="29"/>
  <c r="K7463" i="29"/>
  <c r="S7463" i="29"/>
  <c r="S7914" i="29"/>
  <c r="T7914" i="29"/>
  <c r="J7914" i="29"/>
  <c r="K7914" i="29"/>
  <c r="S7899" i="29"/>
  <c r="T7899" i="29"/>
  <c r="J7899" i="29"/>
  <c r="K7899" i="29"/>
  <c r="T7959" i="29"/>
  <c r="J7959" i="29"/>
  <c r="K7959" i="29"/>
  <c r="S7959" i="29"/>
  <c r="T7970" i="29"/>
  <c r="J7970" i="29"/>
  <c r="K7970" i="29"/>
  <c r="S7970" i="29"/>
  <c r="J2531" i="29"/>
  <c r="T4962" i="29"/>
  <c r="J4962" i="29"/>
  <c r="S4962" i="29"/>
  <c r="T4947" i="29"/>
  <c r="S4947" i="29"/>
  <c r="S4867" i="29"/>
  <c r="T4867" i="29"/>
  <c r="T4846" i="29"/>
  <c r="J4846" i="29"/>
  <c r="S4846" i="29"/>
  <c r="S4820" i="29"/>
  <c r="T4820" i="29"/>
  <c r="T4794" i="29"/>
  <c r="J4794" i="29"/>
  <c r="K4794" i="29"/>
  <c r="S4794" i="29"/>
  <c r="T4651" i="29"/>
  <c r="S4651" i="29"/>
  <c r="J4572" i="29"/>
  <c r="W4572" i="29"/>
  <c r="S4562" i="29"/>
  <c r="T4562" i="29"/>
  <c r="J4562" i="29"/>
  <c r="K4562" i="29"/>
  <c r="S2516" i="29"/>
  <c r="T2516" i="29"/>
  <c r="J2516" i="29"/>
  <c r="S2491" i="29"/>
  <c r="T2491" i="29"/>
  <c r="W2491" i="29"/>
  <c r="T2473" i="29"/>
  <c r="J2473" i="29"/>
  <c r="K2473" i="29"/>
  <c r="S2473" i="29"/>
  <c r="S2466" i="29"/>
  <c r="T2466" i="29"/>
  <c r="J2466" i="29"/>
  <c r="S2431" i="29"/>
  <c r="T2431" i="29"/>
  <c r="T2396" i="29"/>
  <c r="J2396" i="29"/>
  <c r="S2396" i="29"/>
  <c r="W2280" i="29"/>
  <c r="J2244" i="29"/>
  <c r="S2241" i="29"/>
  <c r="T2241" i="29"/>
  <c r="J2241" i="29"/>
  <c r="S3503" i="29"/>
  <c r="S545" i="29"/>
  <c r="S3531" i="29"/>
  <c r="T3531" i="29"/>
  <c r="T454" i="29"/>
  <c r="W454" i="29"/>
  <c r="U454" i="29"/>
  <c r="S454" i="29"/>
  <c r="K2510" i="29"/>
  <c r="T2482" i="29"/>
  <c r="J2482" i="29"/>
  <c r="S2482" i="29"/>
  <c r="T5349" i="29"/>
  <c r="S5349" i="29"/>
  <c r="J2447" i="29"/>
  <c r="W2161" i="29"/>
  <c r="T6202" i="29"/>
  <c r="J6202" i="29"/>
  <c r="W2210" i="29"/>
  <c r="S3766" i="29"/>
  <c r="T2479" i="29"/>
  <c r="S2479" i="29"/>
  <c r="J4350" i="29"/>
  <c r="W4350" i="29"/>
  <c r="S4959" i="29"/>
  <c r="S540" i="29"/>
  <c r="T540" i="29"/>
  <c r="W540" i="29"/>
  <c r="S8079" i="29"/>
  <c r="T8079" i="29"/>
  <c r="J8079" i="29"/>
  <c r="K8079" i="29"/>
  <c r="J2435" i="29"/>
  <c r="W2525" i="29"/>
  <c r="S2512" i="29"/>
  <c r="T2512" i="29"/>
  <c r="J2512" i="29"/>
  <c r="S2500" i="29"/>
  <c r="T2500" i="29"/>
  <c r="T2472" i="29"/>
  <c r="S2472" i="29"/>
  <c r="K2454" i="29"/>
  <c r="W2418" i="29"/>
  <c r="J2418" i="29"/>
  <c r="W2412" i="29"/>
  <c r="J2412" i="29"/>
  <c r="T642" i="29"/>
  <c r="W642" i="29"/>
  <c r="U642" i="29"/>
  <c r="S642" i="29"/>
  <c r="S623" i="29"/>
  <c r="T623" i="29"/>
  <c r="W623" i="29"/>
  <c r="U623" i="29"/>
  <c r="K611" i="29"/>
  <c r="T595" i="29"/>
  <c r="S595" i="29"/>
  <c r="S583" i="29"/>
  <c r="T583" i="29"/>
  <c r="W583" i="29"/>
  <c r="U583" i="29"/>
  <c r="S515" i="29"/>
  <c r="T515" i="29"/>
  <c r="W515" i="29"/>
  <c r="T506" i="29"/>
  <c r="W506" i="29"/>
  <c r="U506" i="29"/>
  <c r="S506" i="29"/>
  <c r="S468" i="29"/>
  <c r="T468" i="29"/>
  <c r="S459" i="29"/>
  <c r="T459" i="29"/>
  <c r="W459" i="29"/>
  <c r="T456" i="29"/>
  <c r="W456" i="29"/>
  <c r="S456" i="29"/>
  <c r="T453" i="29"/>
  <c r="W453" i="29"/>
  <c r="U453" i="29"/>
  <c r="S453" i="29"/>
  <c r="S389" i="29"/>
  <c r="T389" i="29"/>
  <c r="W389" i="29"/>
  <c r="U389" i="29"/>
  <c r="S5321" i="29"/>
  <c r="T5321" i="29"/>
  <c r="J5321" i="29"/>
  <c r="T5344" i="29"/>
  <c r="S5344" i="29"/>
  <c r="S6289" i="29"/>
  <c r="T6289" i="29"/>
  <c r="J6289" i="29"/>
  <c r="U6289" i="29"/>
  <c r="S6261" i="29"/>
  <c r="T6261" i="29"/>
  <c r="S6326" i="29"/>
  <c r="T6326" i="29"/>
  <c r="T6346" i="29"/>
  <c r="J6346" i="29"/>
  <c r="K6346" i="29"/>
  <c r="S6346" i="29"/>
  <c r="S6351" i="29"/>
  <c r="T6351" i="29"/>
  <c r="J6351" i="29"/>
  <c r="K6351" i="29"/>
  <c r="S6356" i="29"/>
  <c r="T6356" i="29"/>
  <c r="J6356" i="29"/>
  <c r="K6356" i="29"/>
  <c r="T6362" i="29"/>
  <c r="J6362" i="29"/>
  <c r="S6362" i="29"/>
  <c r="S6432" i="29"/>
  <c r="T6432" i="29"/>
  <c r="S6652" i="29"/>
  <c r="T6652" i="29"/>
  <c r="J6652" i="29"/>
  <c r="U6652" i="29"/>
  <c r="S7251" i="29"/>
  <c r="T7251" i="29"/>
  <c r="J7251" i="29"/>
  <c r="S7243" i="29"/>
  <c r="T7243" i="29"/>
  <c r="J7243" i="29"/>
  <c r="K7243" i="29"/>
  <c r="T7235" i="29"/>
  <c r="J7235" i="29"/>
  <c r="K7235" i="29"/>
  <c r="S7235" i="29"/>
  <c r="S7211" i="29"/>
  <c r="T7211" i="29"/>
  <c r="J7211" i="29"/>
  <c r="T7203" i="29"/>
  <c r="J7203" i="29"/>
  <c r="K7203" i="29"/>
  <c r="S7203" i="29"/>
  <c r="S7589" i="29"/>
  <c r="T7802" i="29"/>
  <c r="J7802" i="29"/>
  <c r="S7802" i="29"/>
  <c r="S7925" i="29"/>
  <c r="T7925" i="29"/>
  <c r="J7925" i="29"/>
  <c r="S8092" i="29"/>
  <c r="T8092" i="29"/>
  <c r="J8092" i="29"/>
  <c r="K8092" i="29"/>
  <c r="W3028" i="29"/>
  <c r="J3028" i="29"/>
  <c r="K3028" i="29"/>
  <c r="K102" i="29"/>
  <c r="W5094" i="29"/>
  <c r="J5094" i="29"/>
  <c r="T423" i="29"/>
  <c r="W423" i="29"/>
  <c r="U423" i="29"/>
  <c r="T3030" i="29"/>
  <c r="J3030" i="29"/>
  <c r="S3030" i="29"/>
  <c r="T3021" i="29"/>
  <c r="S3021" i="29"/>
  <c r="S3005" i="29"/>
  <c r="T3005" i="29"/>
  <c r="T2999" i="29"/>
  <c r="J2999" i="29"/>
  <c r="S2999" i="29"/>
  <c r="T2974" i="29"/>
  <c r="J2974" i="29"/>
  <c r="S2974" i="29"/>
  <c r="S2961" i="29"/>
  <c r="T2961" i="29"/>
  <c r="J2961" i="29"/>
  <c r="T2909" i="29"/>
  <c r="W2909" i="29"/>
  <c r="U2909" i="29"/>
  <c r="S2909" i="29"/>
  <c r="S2874" i="29"/>
  <c r="T2874" i="29"/>
  <c r="S2561" i="29"/>
  <c r="T2561" i="29"/>
  <c r="J2543" i="29"/>
  <c r="W2543" i="29"/>
  <c r="T2476" i="29"/>
  <c r="S2476" i="29"/>
  <c r="W646" i="29"/>
  <c r="J646" i="29"/>
  <c r="S598" i="29"/>
  <c r="T598" i="29"/>
  <c r="W598" i="29"/>
  <c r="J555" i="29"/>
  <c r="J533" i="29"/>
  <c r="S417" i="29"/>
  <c r="T417" i="29"/>
  <c r="W417" i="29"/>
  <c r="U417" i="29"/>
  <c r="T407" i="29"/>
  <c r="W407" i="29"/>
  <c r="S407" i="29"/>
  <c r="T404" i="29"/>
  <c r="W404" i="29"/>
  <c r="U404" i="29"/>
  <c r="S404" i="29"/>
  <c r="T5259" i="29"/>
  <c r="S5259" i="29"/>
  <c r="T5316" i="29"/>
  <c r="J5316" i="29"/>
  <c r="S5316" i="29"/>
  <c r="T6189" i="29"/>
  <c r="J6189" i="29"/>
  <c r="K6189" i="29"/>
  <c r="S6189" i="29"/>
  <c r="T6305" i="29"/>
  <c r="J6305" i="29"/>
  <c r="S6305" i="29"/>
  <c r="T6274" i="29"/>
  <c r="J6274" i="29"/>
  <c r="K6274" i="29"/>
  <c r="S6274" i="29"/>
  <c r="T6380" i="29"/>
  <c r="J6380" i="29"/>
  <c r="S6380" i="29"/>
  <c r="S6387" i="29"/>
  <c r="T6387" i="29"/>
  <c r="J6387" i="29"/>
  <c r="T6390" i="29"/>
  <c r="J6390" i="29"/>
  <c r="K6390" i="29"/>
  <c r="S6390" i="29"/>
  <c r="T6393" i="29"/>
  <c r="J6393" i="29"/>
  <c r="K6393" i="29"/>
  <c r="S6393" i="29"/>
  <c r="W4578" i="29"/>
  <c r="K1928" i="29"/>
  <c r="T6374" i="29"/>
  <c r="J6374" i="29"/>
  <c r="J2517" i="29"/>
  <c r="K2517" i="29"/>
  <c r="W2517" i="29"/>
  <c r="T3791" i="29"/>
  <c r="J3791" i="29"/>
  <c r="J2424" i="29"/>
  <c r="W2424" i="29"/>
  <c r="S2441" i="29"/>
  <c r="T2441" i="29"/>
  <c r="J2441" i="29"/>
  <c r="S2283" i="29"/>
  <c r="T2283" i="29"/>
  <c r="W2283" i="29"/>
  <c r="U2283" i="29"/>
  <c r="T2268" i="29"/>
  <c r="W2268" i="29"/>
  <c r="S2268" i="29"/>
  <c r="S2222" i="29"/>
  <c r="T2222" i="29"/>
  <c r="J2222" i="29"/>
  <c r="K550" i="29"/>
  <c r="S482" i="29"/>
  <c r="T482" i="29"/>
  <c r="W482" i="29"/>
  <c r="U482" i="29"/>
  <c r="T2485" i="29"/>
  <c r="W2485" i="29"/>
  <c r="S2485" i="29"/>
  <c r="S6288" i="29"/>
  <c r="T6288" i="29"/>
  <c r="J6288" i="29"/>
  <c r="T4494" i="29"/>
  <c r="J4494" i="29"/>
  <c r="T6275" i="29"/>
  <c r="J6275" i="29"/>
  <c r="K6275" i="29"/>
  <c r="T4930" i="29"/>
  <c r="J4930" i="29"/>
  <c r="K4930" i="29"/>
  <c r="K874" i="29"/>
  <c r="W1183" i="29"/>
  <c r="J1183" i="29"/>
  <c r="W2395" i="29"/>
  <c r="J2395" i="29"/>
  <c r="S7281" i="29"/>
  <c r="T7281" i="29"/>
  <c r="J7281" i="29"/>
  <c r="K7281" i="29"/>
  <c r="S7858" i="29"/>
  <c r="T7858" i="29"/>
  <c r="J7858" i="29"/>
  <c r="K7858" i="29"/>
  <c r="T7801" i="29"/>
  <c r="J7801" i="29"/>
  <c r="K7801" i="29"/>
  <c r="S7801" i="29"/>
  <c r="W2104" i="29"/>
  <c r="V3698" i="29"/>
  <c r="T3698" i="29"/>
  <c r="J3698" i="29"/>
  <c r="T3676" i="29"/>
  <c r="J3676" i="29"/>
  <c r="S3676" i="29"/>
  <c r="S3511" i="29"/>
  <c r="T3511" i="29"/>
  <c r="J3511" i="29"/>
  <c r="U3511" i="29"/>
  <c r="S3489" i="29"/>
  <c r="T3489" i="29"/>
  <c r="W3489" i="29"/>
  <c r="S2610" i="29"/>
  <c r="T2610" i="29"/>
  <c r="W2610" i="29"/>
  <c r="S2607" i="29"/>
  <c r="T2607" i="29"/>
  <c r="S2518" i="29"/>
  <c r="T2518" i="29"/>
  <c r="W2518" i="29"/>
  <c r="U2518" i="29"/>
  <c r="S629" i="29"/>
  <c r="T629" i="29"/>
  <c r="W629" i="29"/>
  <c r="T4914" i="29"/>
  <c r="S4914" i="29"/>
  <c r="S4901" i="29"/>
  <c r="T4901" i="29"/>
  <c r="J4901" i="29"/>
  <c r="U4901" i="29"/>
  <c r="S4284" i="29"/>
  <c r="T4284" i="29"/>
  <c r="W4284" i="29"/>
  <c r="S4246" i="29"/>
  <c r="T4243" i="29"/>
  <c r="S4243" i="29"/>
  <c r="T4234" i="29"/>
  <c r="T4228" i="29"/>
  <c r="J4228" i="29"/>
  <c r="K4228" i="29"/>
  <c r="S4228" i="29"/>
  <c r="S4209" i="29"/>
  <c r="T4209" i="29"/>
  <c r="T3717" i="29"/>
  <c r="S3717" i="29"/>
  <c r="T3679" i="29"/>
  <c r="S3679" i="29"/>
  <c r="S3194" i="29"/>
  <c r="T3194" i="29"/>
  <c r="J3194" i="29"/>
  <c r="T2648" i="29"/>
  <c r="J2648" i="29"/>
  <c r="S2648" i="29"/>
  <c r="T4659" i="29"/>
  <c r="J4659" i="29"/>
  <c r="S4659" i="29"/>
  <c r="T4643" i="29"/>
  <c r="S4643" i="29"/>
  <c r="T4640" i="29"/>
  <c r="J4640" i="29"/>
  <c r="S4640" i="29"/>
  <c r="S4615" i="29"/>
  <c r="T4615" i="29"/>
  <c r="J4615" i="29"/>
  <c r="S4596" i="29"/>
  <c r="T4596" i="29"/>
  <c r="J4596" i="29"/>
  <c r="K4596" i="29"/>
  <c r="S4586" i="29"/>
  <c r="T4586" i="29"/>
  <c r="J4586" i="29"/>
  <c r="K4586" i="29"/>
  <c r="S4495" i="29"/>
  <c r="T4495" i="29"/>
  <c r="T4397" i="29"/>
  <c r="S4397" i="29"/>
  <c r="T4372" i="29"/>
  <c r="W4372" i="29"/>
  <c r="S4372" i="29"/>
  <c r="S4347" i="29"/>
  <c r="T4347" i="29"/>
  <c r="J4347" i="29"/>
  <c r="S4318" i="29"/>
  <c r="T4318" i="29"/>
  <c r="J4252" i="29"/>
  <c r="W4252" i="29"/>
  <c r="T4231" i="29"/>
  <c r="J4231" i="29"/>
  <c r="S4231" i="29"/>
  <c r="S3951" i="29"/>
  <c r="T3951" i="29"/>
  <c r="J3951" i="29"/>
  <c r="S3945" i="29"/>
  <c r="T3945" i="29"/>
  <c r="J3945" i="29"/>
  <c r="T3839" i="29"/>
  <c r="J3839" i="29"/>
  <c r="S3839" i="29"/>
  <c r="S3829" i="29"/>
  <c r="T3829" i="29"/>
  <c r="S3276" i="29"/>
  <c r="T3276" i="29"/>
  <c r="J3276" i="29"/>
  <c r="T3273" i="29"/>
  <c r="S3273" i="29"/>
  <c r="J5335" i="29"/>
  <c r="K5335" i="29"/>
  <c r="T4982" i="29"/>
  <c r="J4982" i="29"/>
  <c r="S4982" i="29"/>
  <c r="S4757" i="29"/>
  <c r="T4757" i="29"/>
  <c r="W4757" i="29"/>
  <c r="S4662" i="29"/>
  <c r="T4662" i="29"/>
  <c r="J4662" i="29"/>
  <c r="K4662" i="29"/>
  <c r="S4646" i="29"/>
  <c r="T4646" i="29"/>
  <c r="J4646" i="29"/>
  <c r="W4515" i="29"/>
  <c r="S4457" i="29"/>
  <c r="T4457" i="29"/>
  <c r="S4426" i="29"/>
  <c r="T4426" i="29"/>
  <c r="J4426" i="29"/>
  <c r="K4426" i="29"/>
  <c r="T4400" i="29"/>
  <c r="S4400" i="29"/>
  <c r="S4366" i="29"/>
  <c r="T4366" i="29"/>
  <c r="J4366" i="29"/>
  <c r="S4066" i="29"/>
  <c r="T4066" i="29"/>
  <c r="S4045" i="29"/>
  <c r="T4045" i="29"/>
  <c r="J4045" i="29"/>
  <c r="S3954" i="29"/>
  <c r="T3954" i="29"/>
  <c r="S3257" i="29"/>
  <c r="T3257" i="29"/>
  <c r="J3257" i="29"/>
  <c r="U3257" i="29"/>
  <c r="S3238" i="29"/>
  <c r="T3238" i="29"/>
  <c r="T2704" i="29"/>
  <c r="W2704" i="29"/>
  <c r="S2704" i="29"/>
  <c r="S2673" i="29"/>
  <c r="T2673" i="29"/>
  <c r="W2673" i="29"/>
  <c r="K786" i="29"/>
  <c r="J3559" i="29"/>
  <c r="S4737" i="29"/>
  <c r="T4737" i="29"/>
  <c r="T4681" i="29"/>
  <c r="S4681" i="29"/>
  <c r="T4387" i="29"/>
  <c r="J4387" i="29"/>
  <c r="K4387" i="29"/>
  <c r="S4387" i="29"/>
  <c r="J4357" i="29"/>
  <c r="K4357" i="29"/>
  <c r="T4126" i="29"/>
  <c r="J4126" i="29"/>
  <c r="S4126" i="29"/>
  <c r="T4051" i="29"/>
  <c r="J4051" i="29"/>
  <c r="S4051" i="29"/>
  <c r="T3665" i="29"/>
  <c r="J3665" i="29"/>
  <c r="S3665" i="29"/>
  <c r="S2829" i="29"/>
  <c r="T2829" i="29"/>
  <c r="S2826" i="29"/>
  <c r="T2826" i="29"/>
  <c r="J2826" i="29"/>
  <c r="T2786" i="29"/>
  <c r="S2786" i="29"/>
  <c r="S2783" i="29"/>
  <c r="T2783" i="29"/>
  <c r="T2764" i="29"/>
  <c r="J2764" i="29"/>
  <c r="S2764" i="29"/>
  <c r="S2735" i="29"/>
  <c r="T2735" i="29"/>
  <c r="T2710" i="29"/>
  <c r="W2710" i="29"/>
  <c r="U2710" i="29"/>
  <c r="S2710" i="29"/>
  <c r="S3394" i="29"/>
  <c r="T3394" i="29"/>
  <c r="J3394" i="29"/>
  <c r="S3285" i="29"/>
  <c r="T3285" i="29"/>
  <c r="S3266" i="29"/>
  <c r="T3266" i="29"/>
  <c r="S2891" i="29"/>
  <c r="T2891" i="29"/>
  <c r="S2835" i="29"/>
  <c r="T2835" i="29"/>
  <c r="J2835" i="29"/>
  <c r="K2410" i="29"/>
  <c r="S5024" i="29"/>
  <c r="T5024" i="29"/>
  <c r="T3456" i="29"/>
  <c r="S3456" i="29"/>
  <c r="T3438" i="29"/>
  <c r="J3438" i="29"/>
  <c r="U3438" i="29"/>
  <c r="S3438" i="29"/>
  <c r="S3422" i="29"/>
  <c r="T3422" i="29"/>
  <c r="J3422" i="29"/>
  <c r="W2095" i="29"/>
  <c r="S1967" i="29"/>
  <c r="S5021" i="29"/>
  <c r="T5021" i="29"/>
  <c r="S4763" i="29"/>
  <c r="T4763" i="29"/>
  <c r="J4763" i="29"/>
  <c r="S4684" i="29"/>
  <c r="T4684" i="29"/>
  <c r="T4444" i="29"/>
  <c r="S4444" i="29"/>
  <c r="S4054" i="29"/>
  <c r="T4054" i="29"/>
  <c r="J4054" i="29"/>
  <c r="T2801" i="29"/>
  <c r="S2801" i="29"/>
  <c r="S2795" i="29"/>
  <c r="T2692" i="29"/>
  <c r="W2692" i="29"/>
  <c r="U2692" i="29"/>
  <c r="S2689" i="29"/>
  <c r="T2689" i="29"/>
  <c r="J2689" i="29"/>
  <c r="K2437" i="29"/>
  <c r="T2345" i="29"/>
  <c r="S2345" i="29"/>
  <c r="T6810" i="29"/>
  <c r="J6810" i="29"/>
  <c r="S6810" i="29"/>
  <c r="S7371" i="29"/>
  <c r="T7371" i="29"/>
  <c r="J7371" i="29"/>
  <c r="K7371" i="29"/>
  <c r="S7941" i="29"/>
  <c r="T7941" i="29"/>
  <c r="T7927" i="29"/>
  <c r="J7927" i="29"/>
  <c r="S7927" i="29"/>
  <c r="S4128" i="29"/>
  <c r="T4128" i="29"/>
  <c r="J4128" i="29"/>
  <c r="T4084" i="29"/>
  <c r="S4084" i="29"/>
  <c r="S3749" i="29"/>
  <c r="T3749" i="29"/>
  <c r="S3728" i="29"/>
  <c r="T3728" i="29"/>
  <c r="T2147" i="29"/>
  <c r="S2147" i="29"/>
  <c r="K1584" i="29"/>
  <c r="S900" i="29"/>
  <c r="T900" i="29"/>
  <c r="W900" i="29"/>
  <c r="U900" i="29"/>
  <c r="S5789" i="29"/>
  <c r="T5789" i="29"/>
  <c r="J5789" i="29"/>
  <c r="K5789" i="29"/>
  <c r="S5811" i="29"/>
  <c r="T5811" i="29"/>
  <c r="J5811" i="29"/>
  <c r="T5833" i="29"/>
  <c r="J5833" i="29"/>
  <c r="S5833" i="29"/>
  <c r="T5938" i="29"/>
  <c r="J5938" i="29"/>
  <c r="S5938" i="29"/>
  <c r="T5998" i="29"/>
  <c r="J5998" i="29"/>
  <c r="S5998" i="29"/>
  <c r="S6156" i="29"/>
  <c r="T6156" i="29"/>
  <c r="J6156" i="29"/>
  <c r="S6159" i="29"/>
  <c r="T6159" i="29"/>
  <c r="J6159" i="29"/>
  <c r="K6159" i="29"/>
  <c r="W547" i="29"/>
  <c r="T679" i="29"/>
  <c r="W679" i="29"/>
  <c r="S4686" i="29"/>
  <c r="T4686" i="29"/>
  <c r="J4686" i="29"/>
  <c r="S4523" i="29"/>
  <c r="T4523" i="29"/>
  <c r="J4523" i="29"/>
  <c r="K4523" i="29"/>
  <c r="K1653" i="29"/>
  <c r="S847" i="29"/>
  <c r="T847" i="29"/>
  <c r="T844" i="29"/>
  <c r="S844" i="29"/>
  <c r="T5786" i="29"/>
  <c r="J5786" i="29"/>
  <c r="K5786" i="29"/>
  <c r="S5786" i="29"/>
  <c r="T5830" i="29"/>
  <c r="J5830" i="29"/>
  <c r="S5830" i="29"/>
  <c r="T6153" i="29"/>
  <c r="J6153" i="29"/>
  <c r="K6153" i="29"/>
  <c r="S6153" i="29"/>
  <c r="J4013" i="29"/>
  <c r="J6294" i="29"/>
  <c r="S1767" i="29"/>
  <c r="T1767" i="29"/>
  <c r="S1145" i="29"/>
  <c r="S5391" i="29"/>
  <c r="T5391" i="29"/>
  <c r="S5479" i="29"/>
  <c r="T5479" i="29"/>
  <c r="J5479" i="29"/>
  <c r="K5479" i="29"/>
  <c r="S5540" i="29"/>
  <c r="T5540" i="29"/>
  <c r="T5542" i="29"/>
  <c r="S5542" i="29"/>
  <c r="S5559" i="29"/>
  <c r="T5559" i="29"/>
  <c r="W4300" i="29"/>
  <c r="W3488" i="29"/>
  <c r="U3488" i="29"/>
  <c r="T4168" i="29"/>
  <c r="T305" i="29"/>
  <c r="W305" i="29"/>
  <c r="S305" i="29"/>
  <c r="T302" i="29"/>
  <c r="W302" i="29"/>
  <c r="U302" i="29"/>
  <c r="S302" i="29"/>
  <c r="K290" i="29"/>
  <c r="S283" i="29"/>
  <c r="T283" i="29"/>
  <c r="J5431" i="29"/>
  <c r="K5431" i="29"/>
  <c r="T3379" i="29"/>
  <c r="W3379" i="29"/>
  <c r="S3379" i="29"/>
  <c r="W2242" i="29"/>
  <c r="U2242" i="29"/>
  <c r="T2216" i="29"/>
  <c r="J2216" i="29"/>
  <c r="S2216" i="29"/>
  <c r="K2208" i="29"/>
  <c r="J2119" i="29"/>
  <c r="T5988" i="29"/>
  <c r="J5988" i="29"/>
  <c r="T2373" i="29"/>
  <c r="S2373" i="29"/>
  <c r="W2318" i="29"/>
  <c r="U2318" i="29"/>
  <c r="T2295" i="29"/>
  <c r="S2295" i="29"/>
  <c r="J4325" i="29"/>
  <c r="S4827" i="29"/>
  <c r="T4827" i="29"/>
  <c r="J4827" i="29"/>
  <c r="T4450" i="29"/>
  <c r="S4450" i="29"/>
  <c r="T3732" i="29"/>
  <c r="S3732" i="29"/>
  <c r="S3700" i="29"/>
  <c r="T3700" i="29"/>
  <c r="J3700" i="29"/>
  <c r="S3697" i="29"/>
  <c r="T3697" i="29"/>
  <c r="J3697" i="29"/>
  <c r="S3172" i="29"/>
  <c r="T3172" i="29"/>
  <c r="S3157" i="29"/>
  <c r="T3157" i="29"/>
  <c r="W3157" i="29"/>
  <c r="T3093" i="29"/>
  <c r="S3093" i="29"/>
  <c r="W2416" i="29"/>
  <c r="S5154" i="29"/>
  <c r="T5154" i="29"/>
  <c r="J5154" i="29"/>
  <c r="S5232" i="29"/>
  <c r="T5232" i="29"/>
  <c r="J5232" i="29"/>
  <c r="T5246" i="29"/>
  <c r="S5246" i="29"/>
  <c r="T6004" i="29"/>
  <c r="J6004" i="29"/>
  <c r="K6004" i="29"/>
  <c r="S6004" i="29"/>
  <c r="T6007" i="29"/>
  <c r="S6007" i="29"/>
  <c r="T6168" i="29"/>
  <c r="J6168" i="29"/>
  <c r="K6168" i="29"/>
  <c r="S6168" i="29"/>
  <c r="S6425" i="29"/>
  <c r="T6425" i="29"/>
  <c r="T6428" i="29"/>
  <c r="J6428" i="29"/>
  <c r="K6428" i="29"/>
  <c r="S6428" i="29"/>
  <c r="T6444" i="29"/>
  <c r="J6444" i="29"/>
  <c r="K6444" i="29"/>
  <c r="S6444" i="29"/>
  <c r="S7940" i="29"/>
  <c r="T7940" i="29"/>
  <c r="S7926" i="29"/>
  <c r="T7926" i="29"/>
  <c r="J7926" i="29"/>
  <c r="K7926" i="29"/>
  <c r="T4892" i="29"/>
  <c r="J4892" i="29"/>
  <c r="S4892" i="29"/>
  <c r="T4632" i="29"/>
  <c r="J4632" i="29"/>
  <c r="S4632" i="29"/>
  <c r="J4194" i="29"/>
  <c r="J3606" i="29"/>
  <c r="K3606" i="29"/>
  <c r="T3540" i="29"/>
  <c r="S3540" i="29"/>
  <c r="T3478" i="29"/>
  <c r="J3478" i="29"/>
  <c r="S3478" i="29"/>
  <c r="S3459" i="29"/>
  <c r="T3459" i="29"/>
  <c r="K796" i="29"/>
  <c r="S762" i="29"/>
  <c r="T762" i="29"/>
  <c r="W762" i="29"/>
  <c r="U762" i="29"/>
  <c r="S568" i="29"/>
  <c r="T568" i="29"/>
  <c r="W568" i="29"/>
  <c r="J321" i="29"/>
  <c r="T4940" i="29"/>
  <c r="S4940" i="29"/>
  <c r="S4932" i="29"/>
  <c r="T4932" i="29"/>
  <c r="S3946" i="29"/>
  <c r="T3946" i="29"/>
  <c r="J3946" i="29"/>
  <c r="S3927" i="29"/>
  <c r="T3927" i="29"/>
  <c r="J3927" i="29"/>
  <c r="T3862" i="29"/>
  <c r="S3862" i="29"/>
  <c r="T3705" i="29"/>
  <c r="J3705" i="29"/>
  <c r="K3705" i="29"/>
  <c r="S3705" i="29"/>
  <c r="S3493" i="29"/>
  <c r="T3493" i="29"/>
  <c r="T3481" i="29"/>
  <c r="J3481" i="29"/>
  <c r="S3481" i="29"/>
  <c r="T3406" i="29"/>
  <c r="S3406" i="29"/>
  <c r="T5601" i="29"/>
  <c r="J5601" i="29"/>
  <c r="S5601" i="29"/>
  <c r="S5741" i="29"/>
  <c r="T5741" i="29"/>
  <c r="J5741" i="29"/>
  <c r="K5741" i="29"/>
  <c r="T5678" i="29"/>
  <c r="J5678" i="29"/>
  <c r="S5678" i="29"/>
  <c r="T4989" i="29"/>
  <c r="J4989" i="29"/>
  <c r="S4600" i="29"/>
  <c r="T4600" i="29"/>
  <c r="J4600" i="29"/>
  <c r="T3955" i="29"/>
  <c r="J3955" i="29"/>
  <c r="S3955" i="29"/>
  <c r="S2006" i="29"/>
  <c r="T2006" i="29"/>
  <c r="S377" i="29"/>
  <c r="S353" i="29"/>
  <c r="T353" i="29"/>
  <c r="W353" i="29"/>
  <c r="T336" i="29"/>
  <c r="W336" i="29"/>
  <c r="S336" i="29"/>
  <c r="T298" i="29"/>
  <c r="W298" i="29"/>
  <c r="U298" i="29"/>
  <c r="S298" i="29"/>
  <c r="S4961" i="29"/>
  <c r="T4961" i="29"/>
  <c r="J4961" i="29"/>
  <c r="J4442" i="29"/>
  <c r="S4174" i="29"/>
  <c r="T4174" i="29"/>
  <c r="J4174" i="29"/>
  <c r="J4024" i="29"/>
  <c r="S4008" i="29"/>
  <c r="T4008" i="29"/>
  <c r="J4008" i="29"/>
  <c r="K4008" i="29"/>
  <c r="S3982" i="29"/>
  <c r="T3982" i="29"/>
  <c r="T3599" i="29"/>
  <c r="J3599" i="29"/>
  <c r="S3599" i="29"/>
  <c r="S881" i="29"/>
  <c r="T881" i="29"/>
  <c r="W881" i="29"/>
  <c r="U881" i="29"/>
  <c r="T614" i="29"/>
  <c r="W614" i="29"/>
  <c r="S614" i="29"/>
  <c r="W390" i="29"/>
  <c r="W384" i="29"/>
  <c r="T356" i="29"/>
  <c r="W356" i="29"/>
  <c r="S356" i="29"/>
  <c r="T5432" i="29"/>
  <c r="W5432" i="29"/>
  <c r="S5432" i="29"/>
  <c r="T4786" i="29"/>
  <c r="J4786" i="29"/>
  <c r="S4786" i="29"/>
  <c r="S4312" i="29"/>
  <c r="T4312" i="29"/>
  <c r="S4237" i="29"/>
  <c r="S4177" i="29"/>
  <c r="T4177" i="29"/>
  <c r="S3666" i="29"/>
  <c r="T3666" i="29"/>
  <c r="J3666" i="29"/>
  <c r="K2144" i="29"/>
  <c r="S2110" i="29"/>
  <c r="T2110" i="29"/>
  <c r="J1521" i="29"/>
  <c r="W1521" i="29"/>
  <c r="K1518" i="29"/>
  <c r="S1508" i="29"/>
  <c r="T1508" i="29"/>
  <c r="J1508" i="29"/>
  <c r="T875" i="29"/>
  <c r="W875" i="29"/>
  <c r="U875" i="29"/>
  <c r="S875" i="29"/>
  <c r="K649" i="29"/>
  <c r="T527" i="29"/>
  <c r="W527" i="29"/>
  <c r="S527" i="29"/>
  <c r="J418" i="29"/>
  <c r="K418" i="29"/>
  <c r="T398" i="29"/>
  <c r="W398" i="29"/>
  <c r="U398" i="29"/>
  <c r="S398" i="29"/>
  <c r="T326" i="29"/>
  <c r="W326" i="29"/>
  <c r="U326" i="29"/>
  <c r="S326" i="29"/>
  <c r="T5435" i="29"/>
  <c r="J5435" i="29"/>
  <c r="S5435" i="29"/>
  <c r="S5422" i="29"/>
  <c r="T5422" i="29"/>
  <c r="T6116" i="29"/>
  <c r="J6116" i="29"/>
  <c r="S6116" i="29"/>
  <c r="S6640" i="29"/>
  <c r="T6640" i="29"/>
  <c r="J6640" i="29"/>
  <c r="T6659" i="29"/>
  <c r="J6659" i="29"/>
  <c r="S6659" i="29"/>
  <c r="T7242" i="29"/>
  <c r="J7242" i="29"/>
  <c r="K7242" i="29"/>
  <c r="S7242" i="29"/>
  <c r="T7226" i="29"/>
  <c r="J7226" i="29"/>
  <c r="S7226" i="29"/>
  <c r="S7218" i="29"/>
  <c r="T7218" i="29"/>
  <c r="J7218" i="29"/>
  <c r="T7698" i="29"/>
  <c r="J7698" i="29"/>
  <c r="S7698" i="29"/>
  <c r="S8077" i="29"/>
  <c r="T8077" i="29"/>
  <c r="J8077" i="29"/>
  <c r="K8077" i="29"/>
  <c r="T6128" i="29"/>
  <c r="J6128" i="29"/>
  <c r="J3609" i="29"/>
  <c r="T1158" i="29"/>
  <c r="S1158" i="29"/>
  <c r="J1129" i="29"/>
  <c r="S973" i="29"/>
  <c r="T973" i="29"/>
  <c r="T5642" i="29"/>
  <c r="J5642" i="29"/>
  <c r="K5642" i="29"/>
  <c r="S5642" i="29"/>
  <c r="S5693" i="29"/>
  <c r="T5693" i="29"/>
  <c r="S5761" i="29"/>
  <c r="T5761" i="29"/>
  <c r="T5796" i="29"/>
  <c r="J5796" i="29"/>
  <c r="S5796" i="29"/>
  <c r="T1220" i="29"/>
  <c r="J1220" i="29"/>
  <c r="S5308" i="29"/>
  <c r="S5433" i="29"/>
  <c r="S5636" i="29"/>
  <c r="T5636" i="29"/>
  <c r="T6069" i="29"/>
  <c r="J6069" i="29"/>
  <c r="K6069" i="29"/>
  <c r="S6069" i="29"/>
  <c r="T6169" i="29"/>
  <c r="J6169" i="29"/>
  <c r="K6169" i="29"/>
  <c r="S6169" i="29"/>
  <c r="T6494" i="29"/>
  <c r="J6494" i="29"/>
  <c r="U6494" i="29"/>
  <c r="S6494" i="29"/>
  <c r="T6498" i="29"/>
  <c r="J6498" i="29"/>
  <c r="S6498" i="29"/>
  <c r="T5182" i="29"/>
  <c r="W5182" i="29"/>
  <c r="U5182" i="29"/>
  <c r="T4459" i="29"/>
  <c r="S3729" i="29"/>
  <c r="T3729" i="29"/>
  <c r="K1435" i="29"/>
  <c r="T1335" i="29"/>
  <c r="W1335" i="29"/>
  <c r="U1335" i="29"/>
  <c r="S1335" i="29"/>
  <c r="S5355" i="29"/>
  <c r="T5355" i="29"/>
  <c r="J5355" i="29"/>
  <c r="W5433" i="29"/>
  <c r="S5626" i="29"/>
  <c r="T5626" i="29"/>
  <c r="J5626" i="29"/>
  <c r="T6157" i="29"/>
  <c r="J6157" i="29"/>
  <c r="K6157" i="29"/>
  <c r="S6157" i="29"/>
  <c r="T6466" i="29"/>
  <c r="J6466" i="29"/>
  <c r="S6466" i="29"/>
  <c r="S6975" i="29"/>
  <c r="T6975" i="29"/>
  <c r="J6975" i="29"/>
  <c r="K6975" i="29"/>
  <c r="J4648" i="29"/>
  <c r="J5001" i="29"/>
  <c r="K5001" i="29"/>
  <c r="T5407" i="29"/>
  <c r="T5701" i="29"/>
  <c r="J5701" i="29"/>
  <c r="K5701" i="29"/>
  <c r="S4056" i="29"/>
  <c r="S5385" i="29"/>
  <c r="T5385" i="29"/>
  <c r="J5385" i="29"/>
  <c r="J3354" i="29"/>
  <c r="S5770" i="29"/>
  <c r="J5404" i="29"/>
  <c r="K5404" i="29"/>
  <c r="S4802" i="29"/>
  <c r="S4792" i="29"/>
  <c r="T4771" i="29"/>
  <c r="S4771" i="29"/>
  <c r="K2831" i="29"/>
  <c r="K1468" i="29"/>
  <c r="T5580" i="29"/>
  <c r="J5580" i="29"/>
  <c r="S5580" i="29"/>
  <c r="S6144" i="29"/>
  <c r="T3245" i="29"/>
  <c r="J3245" i="29"/>
  <c r="S3245" i="29"/>
  <c r="T3027" i="29"/>
  <c r="S3027" i="29"/>
  <c r="K271" i="29"/>
  <c r="T7279" i="29"/>
  <c r="J7279" i="29"/>
  <c r="S7279" i="29"/>
  <c r="S7825" i="29"/>
  <c r="T7825" i="29"/>
  <c r="J7825" i="29"/>
  <c r="K1904" i="29"/>
  <c r="W1886" i="29"/>
  <c r="S1608" i="29"/>
  <c r="T1608" i="29"/>
  <c r="W1608" i="29"/>
  <c r="J1596" i="29"/>
  <c r="S1542" i="29"/>
  <c r="T1529" i="29"/>
  <c r="S931" i="29"/>
  <c r="T931" i="29"/>
  <c r="S6801" i="29"/>
  <c r="T6801" i="29"/>
  <c r="J6801" i="29"/>
  <c r="K6801" i="29"/>
  <c r="T7257" i="29"/>
  <c r="S7257" i="29"/>
  <c r="T7209" i="29"/>
  <c r="J7209" i="29"/>
  <c r="K7209" i="29"/>
  <c r="S7209" i="29"/>
  <c r="T3904" i="29"/>
  <c r="J3904" i="29"/>
  <c r="K3904" i="29"/>
  <c r="J3890" i="29"/>
  <c r="K3505" i="29"/>
  <c r="S1577" i="29"/>
  <c r="T1577" i="29"/>
  <c r="J1577" i="29"/>
  <c r="T1194" i="29"/>
  <c r="W1194" i="29"/>
  <c r="S1194" i="29"/>
  <c r="T7048" i="29"/>
  <c r="J7048" i="29"/>
  <c r="S2691" i="29"/>
  <c r="T2691" i="29"/>
  <c r="W2691" i="29"/>
  <c r="U2691" i="29"/>
  <c r="S1667" i="29"/>
  <c r="T1667" i="29"/>
  <c r="J1667" i="29"/>
  <c r="W1452" i="29"/>
  <c r="W169" i="29"/>
  <c r="W154" i="29"/>
  <c r="S6799" i="29"/>
  <c r="T6799" i="29"/>
  <c r="J6799" i="29"/>
  <c r="K6799" i="29"/>
  <c r="T7115" i="29"/>
  <c r="J7115" i="29"/>
  <c r="S7115" i="29"/>
  <c r="J3522" i="29"/>
  <c r="U3522" i="29"/>
  <c r="T6783" i="29"/>
  <c r="J6783" i="29"/>
  <c r="K6783" i="29"/>
  <c r="S6783" i="29"/>
  <c r="T613" i="29"/>
  <c r="W613" i="29"/>
  <c r="S4937" i="29"/>
  <c r="T4482" i="29"/>
  <c r="T4448" i="29"/>
  <c r="J4448" i="29"/>
  <c r="J2623" i="29"/>
  <c r="W2025" i="29"/>
  <c r="K827" i="29"/>
  <c r="K815" i="29"/>
  <c r="D162" i="6"/>
  <c r="W757" i="29"/>
  <c r="J1111" i="29"/>
  <c r="J4575" i="29"/>
  <c r="K4575" i="29"/>
  <c r="K4534" i="29"/>
  <c r="J3603" i="29"/>
  <c r="T2946" i="29"/>
  <c r="K2691" i="29"/>
  <c r="W2044" i="29"/>
  <c r="J2031" i="29"/>
  <c r="K2031" i="29"/>
  <c r="K2010" i="29"/>
  <c r="W2004" i="29"/>
  <c r="J1580" i="29"/>
  <c r="K1123" i="29"/>
  <c r="S6519" i="29"/>
  <c r="T6519" i="29"/>
  <c r="J6519" i="29"/>
  <c r="K6519" i="29"/>
  <c r="T6781" i="29"/>
  <c r="J6781" i="29"/>
  <c r="S6781" i="29"/>
  <c r="T6754" i="29"/>
  <c r="J6754" i="29"/>
  <c r="K6754" i="29"/>
  <c r="S6754" i="29"/>
  <c r="S7111" i="29"/>
  <c r="S3125" i="29"/>
  <c r="K1769" i="29"/>
  <c r="K1473" i="29"/>
  <c r="K1033" i="29"/>
  <c r="S6553" i="29"/>
  <c r="S6571" i="29"/>
  <c r="T6571" i="29"/>
  <c r="J6571" i="29"/>
  <c r="K6571" i="29"/>
  <c r="T6586" i="29"/>
  <c r="J6586" i="29"/>
  <c r="K6586" i="29"/>
  <c r="S6586" i="29"/>
  <c r="J6609" i="29"/>
  <c r="K6609" i="29"/>
  <c r="T6643" i="29"/>
  <c r="J6643" i="29"/>
  <c r="S6643" i="29"/>
  <c r="T6734" i="29"/>
  <c r="J6734" i="29"/>
  <c r="S6734" i="29"/>
  <c r="T6902" i="29"/>
  <c r="T7712" i="29"/>
  <c r="S7712" i="29"/>
  <c r="T7716" i="29"/>
  <c r="J7716" i="29"/>
  <c r="S7716" i="29"/>
  <c r="T7949" i="29"/>
  <c r="S7949" i="29"/>
  <c r="S6533" i="29"/>
  <c r="T6533" i="29"/>
  <c r="J6533" i="29"/>
  <c r="K6533" i="29"/>
  <c r="S6861" i="29"/>
  <c r="T6861" i="29"/>
  <c r="J6861" i="29"/>
  <c r="T7853" i="29"/>
  <c r="J7853" i="29"/>
  <c r="K7853" i="29"/>
  <c r="S7853" i="29"/>
  <c r="T8088" i="29"/>
  <c r="J8088" i="29"/>
  <c r="S8088" i="29"/>
  <c r="S3848" i="29"/>
  <c r="J3762" i="29"/>
  <c r="S2381" i="29"/>
  <c r="J2327" i="29"/>
  <c r="K2327" i="29"/>
  <c r="K444" i="29"/>
  <c r="S6549" i="29"/>
  <c r="T7867" i="29"/>
  <c r="J7867" i="29"/>
  <c r="K7867" i="29"/>
  <c r="S7867" i="29"/>
  <c r="S4939" i="29"/>
  <c r="W4554" i="29"/>
  <c r="J4362" i="29"/>
  <c r="K4362" i="29"/>
  <c r="J3210" i="29"/>
  <c r="U3210" i="29"/>
  <c r="K2909" i="29"/>
  <c r="K1911" i="29"/>
  <c r="W5093" i="29"/>
  <c r="S6858" i="29"/>
  <c r="S6889" i="29"/>
  <c r="T6889" i="29"/>
  <c r="J6889" i="29"/>
  <c r="K6889" i="29"/>
  <c r="S7052" i="29"/>
  <c r="T7052" i="29"/>
  <c r="S7593" i="29"/>
  <c r="T7593" i="29"/>
  <c r="J7593" i="29"/>
  <c r="T7618" i="29"/>
  <c r="J7618" i="29"/>
  <c r="K7618" i="29"/>
  <c r="S7618" i="29"/>
  <c r="J3509" i="29"/>
  <c r="J2711" i="29"/>
  <c r="T7002" i="29"/>
  <c r="J7002" i="29"/>
  <c r="K7002" i="29"/>
  <c r="S7002" i="29"/>
  <c r="S7027" i="29"/>
  <c r="T7027" i="29"/>
  <c r="J7027" i="29"/>
  <c r="K7027" i="29"/>
  <c r="T7152" i="29"/>
  <c r="J7152" i="29"/>
  <c r="S7152" i="29"/>
  <c r="S7330" i="29"/>
  <c r="T7330" i="29"/>
  <c r="J7330" i="29"/>
  <c r="S7316" i="29"/>
  <c r="T7316" i="29"/>
  <c r="J7316" i="29"/>
  <c r="U7316" i="29"/>
  <c r="T5026" i="29"/>
  <c r="W2042" i="29"/>
  <c r="T2023" i="29"/>
  <c r="W2023" i="29"/>
  <c r="U2023" i="29"/>
  <c r="J1838" i="29"/>
  <c r="S1245" i="29"/>
  <c r="T1245" i="29"/>
  <c r="W1245" i="29"/>
  <c r="K1124" i="29"/>
  <c r="K1070" i="29"/>
  <c r="T6512" i="29"/>
  <c r="S6512" i="29"/>
  <c r="S6518" i="29"/>
  <c r="T6518" i="29"/>
  <c r="J6518" i="29"/>
  <c r="K6518" i="29"/>
  <c r="S6602" i="29"/>
  <c r="T6602" i="29"/>
  <c r="J6602" i="29"/>
  <c r="K6602" i="29"/>
  <c r="T6644" i="29"/>
  <c r="J6644" i="29"/>
  <c r="K6644" i="29"/>
  <c r="S6644" i="29"/>
  <c r="S6987" i="29"/>
  <c r="T6987" i="29"/>
  <c r="J6987" i="29"/>
  <c r="U6987" i="29"/>
  <c r="S7587" i="29"/>
  <c r="T7587" i="29"/>
  <c r="J7587" i="29"/>
  <c r="S7610" i="29"/>
  <c r="T7610" i="29"/>
  <c r="J7610" i="29"/>
  <c r="W4114" i="29"/>
  <c r="K3801" i="29"/>
  <c r="J3773" i="29"/>
  <c r="K3773" i="29"/>
  <c r="T3092" i="29"/>
  <c r="S2908" i="29"/>
  <c r="K2637" i="29"/>
  <c r="K2316" i="29"/>
  <c r="W1081" i="29"/>
  <c r="S8055" i="29"/>
  <c r="T8055" i="29"/>
  <c r="J8055" i="29"/>
  <c r="T6650" i="29"/>
  <c r="J6650" i="29"/>
  <c r="K6650" i="29"/>
  <c r="S6650" i="29"/>
  <c r="S6653" i="29"/>
  <c r="T6653" i="29"/>
  <c r="J6653" i="29"/>
  <c r="J6956" i="29"/>
  <c r="K6956" i="29"/>
  <c r="T7026" i="29"/>
  <c r="J7026" i="29"/>
  <c r="K7026" i="29"/>
  <c r="S7026" i="29"/>
  <c r="T7460" i="29"/>
  <c r="J7460" i="29"/>
  <c r="K7460" i="29"/>
  <c r="S7460" i="29"/>
  <c r="W2923" i="29"/>
  <c r="J2910" i="29"/>
  <c r="J2620" i="29"/>
  <c r="J2532" i="29"/>
  <c r="K2532" i="29"/>
  <c r="K2399" i="29"/>
  <c r="T2330" i="29"/>
  <c r="W2330" i="29"/>
  <c r="U2330" i="29"/>
  <c r="J2201" i="29"/>
  <c r="K2201" i="29"/>
  <c r="W2056" i="29"/>
  <c r="W1963" i="29"/>
  <c r="J1466" i="29"/>
  <c r="K1275" i="29"/>
  <c r="K1269" i="29"/>
  <c r="J1217" i="29"/>
  <c r="J1148" i="29"/>
  <c r="W119" i="29"/>
  <c r="J5190" i="29"/>
  <c r="T6593" i="29"/>
  <c r="J6593" i="29"/>
  <c r="K6593" i="29"/>
  <c r="S6593" i="29"/>
  <c r="T6627" i="29"/>
  <c r="J6627" i="29"/>
  <c r="K6627" i="29"/>
  <c r="S6627" i="29"/>
  <c r="T6959" i="29"/>
  <c r="J6959" i="29"/>
  <c r="K6959" i="29"/>
  <c r="S6959" i="29"/>
  <c r="S6995" i="29"/>
  <c r="T6995" i="29"/>
  <c r="J6995" i="29"/>
  <c r="K6995" i="29"/>
  <c r="S7193" i="29"/>
  <c r="T7193" i="29"/>
  <c r="J7193" i="29"/>
  <c r="K7193" i="29"/>
  <c r="S7280" i="29"/>
  <c r="T7280" i="29"/>
  <c r="J7280" i="29"/>
  <c r="K7280" i="29"/>
  <c r="T7740" i="29"/>
  <c r="J7740" i="29"/>
  <c r="K7740" i="29"/>
  <c r="S7740" i="29"/>
  <c r="T1834" i="29"/>
  <c r="W1834" i="29"/>
  <c r="U1834" i="29"/>
  <c r="J1573" i="29"/>
  <c r="J990" i="29"/>
  <c r="S6638" i="29"/>
  <c r="T6638" i="29"/>
  <c r="J6638" i="29"/>
  <c r="K6638" i="29"/>
  <c r="T6728" i="29"/>
  <c r="J6728" i="29"/>
  <c r="K6728" i="29"/>
  <c r="S6728" i="29"/>
  <c r="S7158" i="29"/>
  <c r="T7158" i="29"/>
  <c r="J7158" i="29"/>
  <c r="T7176" i="29"/>
  <c r="J7176" i="29"/>
  <c r="K7176" i="29"/>
  <c r="S7176" i="29"/>
  <c r="T7187" i="29"/>
  <c r="J7187" i="29"/>
  <c r="T7190" i="29"/>
  <c r="J7190" i="29"/>
  <c r="K7190" i="29"/>
  <c r="T7306" i="29"/>
  <c r="J7306" i="29"/>
  <c r="S7306" i="29"/>
  <c r="S7293" i="29"/>
  <c r="T7293" i="29"/>
  <c r="J7293" i="29"/>
  <c r="K7293" i="29"/>
  <c r="S7364" i="29"/>
  <c r="T7364" i="29"/>
  <c r="J7364" i="29"/>
  <c r="K7364" i="29"/>
  <c r="T7376" i="29"/>
  <c r="J7376" i="29"/>
  <c r="K7376" i="29"/>
  <c r="S7376" i="29"/>
  <c r="T7383" i="29"/>
  <c r="J7383" i="29"/>
  <c r="U7383" i="29"/>
  <c r="S7981" i="29"/>
  <c r="T7981" i="29"/>
  <c r="J7981" i="29"/>
  <c r="T8103" i="29"/>
  <c r="J8103" i="29"/>
  <c r="S8103" i="29"/>
  <c r="J2270" i="29"/>
  <c r="T6521" i="29"/>
  <c r="J6521" i="29"/>
  <c r="K6521" i="29"/>
  <c r="S6521" i="29"/>
  <c r="S6616" i="29"/>
  <c r="T6616" i="29"/>
  <c r="J6616" i="29"/>
  <c r="K6616" i="29"/>
  <c r="T6711" i="29"/>
  <c r="J6711" i="29"/>
  <c r="K6711" i="29"/>
  <c r="S6711" i="29"/>
  <c r="T6935" i="29"/>
  <c r="J6935" i="29"/>
  <c r="K6935" i="29"/>
  <c r="S6935" i="29"/>
  <c r="T7139" i="29"/>
  <c r="J7139" i="29"/>
  <c r="K7139" i="29"/>
  <c r="S7139" i="29"/>
  <c r="T7155" i="29"/>
  <c r="J7155" i="29"/>
  <c r="K7155" i="29"/>
  <c r="S7155" i="29"/>
  <c r="S7474" i="29"/>
  <c r="T7474" i="29"/>
  <c r="S7694" i="29"/>
  <c r="T7694" i="29"/>
  <c r="J7694" i="29"/>
  <c r="T7711" i="29"/>
  <c r="S7711" i="29"/>
  <c r="J3361" i="29"/>
  <c r="J2254" i="29"/>
  <c r="W1882" i="29"/>
  <c r="W1879" i="29"/>
  <c r="U1879" i="29"/>
  <c r="T1807" i="29"/>
  <c r="W1701" i="29"/>
  <c r="U1701" i="29"/>
  <c r="J1322" i="29"/>
  <c r="W1021" i="29"/>
  <c r="K1013" i="29"/>
  <c r="K1004" i="29"/>
  <c r="W767" i="29"/>
  <c r="U767" i="29"/>
  <c r="W724" i="29"/>
  <c r="W227" i="29"/>
  <c r="W209" i="29"/>
  <c r="U209" i="29"/>
  <c r="D21" i="30"/>
  <c r="J1918" i="29"/>
  <c r="T6721" i="29"/>
  <c r="J6721" i="29"/>
  <c r="K6721" i="29"/>
  <c r="S6879" i="29"/>
  <c r="S6932" i="29"/>
  <c r="T6932" i="29"/>
  <c r="J6932" i="29"/>
  <c r="K6932" i="29"/>
  <c r="J7008" i="29"/>
  <c r="J7111" i="29"/>
  <c r="S7084" i="29"/>
  <c r="T7084" i="29"/>
  <c r="J7084" i="29"/>
  <c r="K7084" i="29"/>
  <c r="T7263" i="29"/>
  <c r="J7263" i="29"/>
  <c r="K7263" i="29"/>
  <c r="S7319" i="29"/>
  <c r="T7319" i="29"/>
  <c r="J7319" i="29"/>
  <c r="K7319" i="29"/>
  <c r="S7426" i="29"/>
  <c r="T7426" i="29"/>
  <c r="J7426" i="29"/>
  <c r="K7426" i="29"/>
  <c r="T7605" i="29"/>
  <c r="J7605" i="29"/>
  <c r="S7605" i="29"/>
  <c r="T7672" i="29"/>
  <c r="J7672" i="29"/>
  <c r="S7672" i="29"/>
  <c r="T7816" i="29"/>
  <c r="S7816" i="29"/>
  <c r="S7916" i="29"/>
  <c r="T7916" i="29"/>
  <c r="J7916" i="29"/>
  <c r="J3411" i="29"/>
  <c r="W3112" i="29"/>
  <c r="U3112" i="29"/>
  <c r="W2326" i="29"/>
  <c r="J2310" i="29"/>
  <c r="J1716" i="29"/>
  <c r="J1627" i="29"/>
  <c r="W1169" i="29"/>
  <c r="J1147" i="29"/>
  <c r="K946" i="29"/>
  <c r="W796" i="29"/>
  <c r="U796" i="29"/>
  <c r="W746" i="29"/>
  <c r="K618" i="29"/>
  <c r="W108" i="29"/>
  <c r="T5927" i="29"/>
  <c r="J5927" i="29"/>
  <c r="J6553" i="29"/>
  <c r="T6684" i="29"/>
  <c r="J6684" i="29"/>
  <c r="K6684" i="29"/>
  <c r="S6684" i="29"/>
  <c r="T6689" i="29"/>
  <c r="J6689" i="29"/>
  <c r="K6689" i="29"/>
  <c r="S6704" i="29"/>
  <c r="T7304" i="29"/>
  <c r="J7304" i="29"/>
  <c r="K7304" i="29"/>
  <c r="S7304" i="29"/>
  <c r="J7422" i="29"/>
  <c r="K7422" i="29"/>
  <c r="T7845" i="29"/>
  <c r="J7845" i="29"/>
  <c r="S7845" i="29"/>
  <c r="S7815" i="29"/>
  <c r="T7815" i="29"/>
  <c r="J7815" i="29"/>
  <c r="K7815" i="29"/>
  <c r="S7874" i="29"/>
  <c r="T7874" i="29"/>
  <c r="J7874" i="29"/>
  <c r="K7874" i="29"/>
  <c r="S8089" i="29"/>
  <c r="W3233" i="29"/>
  <c r="W2470" i="29"/>
  <c r="U2470" i="29"/>
  <c r="W1036" i="29"/>
  <c r="W224" i="29"/>
  <c r="U224" i="29"/>
  <c r="S6863" i="29"/>
  <c r="T6863" i="29"/>
  <c r="J6863" i="29"/>
  <c r="K6863" i="29"/>
  <c r="S7303" i="29"/>
  <c r="T7303" i="29"/>
  <c r="J7303" i="29"/>
  <c r="T7289" i="29"/>
  <c r="J7289" i="29"/>
  <c r="K7289" i="29"/>
  <c r="S7289" i="29"/>
  <c r="T7440" i="29"/>
  <c r="J7440" i="29"/>
  <c r="K7440" i="29"/>
  <c r="S7440" i="29"/>
  <c r="T7498" i="29"/>
  <c r="J7498" i="29"/>
  <c r="S7497" i="29"/>
  <c r="T7497" i="29"/>
  <c r="J7497" i="29"/>
  <c r="K7497" i="29"/>
  <c r="S7963" i="29"/>
  <c r="T7963" i="29"/>
  <c r="J7963" i="29"/>
  <c r="K7963" i="29"/>
  <c r="T7966" i="29"/>
  <c r="J7966" i="29"/>
  <c r="K7966" i="29"/>
  <c r="S7966" i="29"/>
  <c r="T7995" i="29"/>
  <c r="J7995" i="29"/>
  <c r="K7995" i="29"/>
  <c r="S7995" i="29"/>
  <c r="T8043" i="29"/>
  <c r="J8043" i="29"/>
  <c r="K8043" i="29"/>
  <c r="T8041" i="29"/>
  <c r="J8041" i="29"/>
  <c r="K8041" i="29"/>
  <c r="J7680" i="29"/>
  <c r="K7680" i="29"/>
  <c r="J7900" i="29"/>
  <c r="S8038" i="29"/>
  <c r="T8038" i="29"/>
  <c r="J8038" i="29"/>
  <c r="K8038" i="29"/>
  <c r="J6384" i="29"/>
  <c r="U6384" i="29"/>
  <c r="T6591" i="29"/>
  <c r="J6591" i="29"/>
  <c r="S6591" i="29"/>
  <c r="J6663" i="29"/>
  <c r="K6663" i="29"/>
  <c r="S6740" i="29"/>
  <c r="T6740" i="29"/>
  <c r="J6740" i="29"/>
  <c r="T7072" i="29"/>
  <c r="J7072" i="29"/>
  <c r="K7072" i="29"/>
  <c r="S7072" i="29"/>
  <c r="T7143" i="29"/>
  <c r="J7143" i="29"/>
  <c r="K7143" i="29"/>
  <c r="S7143" i="29"/>
  <c r="J7373" i="29"/>
  <c r="K7373" i="29"/>
  <c r="S7527" i="29"/>
  <c r="T7527" i="29"/>
  <c r="J7527" i="29"/>
  <c r="S7496" i="29"/>
  <c r="T7496" i="29"/>
  <c r="J7496" i="29"/>
  <c r="K7496" i="29"/>
  <c r="S7741" i="29"/>
  <c r="T7741" i="29"/>
  <c r="J7741" i="29"/>
  <c r="K7741" i="29"/>
  <c r="S7797" i="29"/>
  <c r="T7797" i="29"/>
  <c r="J7797" i="29"/>
  <c r="K7797" i="29"/>
  <c r="T6567" i="29"/>
  <c r="J6567" i="29"/>
  <c r="S6567" i="29"/>
  <c r="J6558" i="29"/>
  <c r="S6700" i="29"/>
  <c r="S6765" i="29"/>
  <c r="T6765" i="29"/>
  <c r="J6765" i="29"/>
  <c r="K6765" i="29"/>
  <c r="S7425" i="29"/>
  <c r="T7425" i="29"/>
  <c r="J7425" i="29"/>
  <c r="K7425" i="29"/>
  <c r="J5735" i="29"/>
  <c r="K5735" i="29"/>
  <c r="J5800" i="29"/>
  <c r="K5800" i="29"/>
  <c r="T6645" i="29"/>
  <c r="J6645" i="29"/>
  <c r="K6645" i="29"/>
  <c r="S6778" i="29"/>
  <c r="T6778" i="29"/>
  <c r="J6778" i="29"/>
  <c r="K6778" i="29"/>
  <c r="S6764" i="29"/>
  <c r="T6764" i="29"/>
  <c r="J6764" i="29"/>
  <c r="K6764" i="29"/>
  <c r="J6844" i="29"/>
  <c r="K6844" i="29"/>
  <c r="T6909" i="29"/>
  <c r="J6909" i="29"/>
  <c r="K6909" i="29"/>
  <c r="T6927" i="29"/>
  <c r="J6927" i="29"/>
  <c r="K6927" i="29"/>
  <c r="S6927" i="29"/>
  <c r="T7078" i="29"/>
  <c r="J7078" i="29"/>
  <c r="K7078" i="29"/>
  <c r="T7089" i="29"/>
  <c r="J7089" i="29"/>
  <c r="S7089" i="29"/>
  <c r="S7145" i="29"/>
  <c r="T7145" i="29"/>
  <c r="J7145" i="29"/>
  <c r="K7145" i="29"/>
  <c r="S7301" i="29"/>
  <c r="T7301" i="29"/>
  <c r="J7301" i="29"/>
  <c r="K7301" i="29"/>
  <c r="T7592" i="29"/>
  <c r="J7592" i="29"/>
  <c r="K7592" i="29"/>
  <c r="S7592" i="29"/>
  <c r="S7677" i="29"/>
  <c r="J8097" i="29"/>
  <c r="K8097" i="29"/>
  <c r="W1163" i="29"/>
  <c r="U1163" i="29"/>
  <c r="J6426" i="29"/>
  <c r="K6426" i="29"/>
  <c r="S6632" i="29"/>
  <c r="T7020" i="29"/>
  <c r="J7020" i="29"/>
  <c r="K7020" i="29"/>
  <c r="S7020" i="29"/>
  <c r="S7144" i="29"/>
  <c r="S7244" i="29"/>
  <c r="T7332" i="29"/>
  <c r="J7332" i="29"/>
  <c r="K7332" i="29"/>
  <c r="S7445" i="29"/>
  <c r="S7420" i="29"/>
  <c r="T7429" i="29"/>
  <c r="J7429" i="29"/>
  <c r="S7432" i="29"/>
  <c r="T7432" i="29"/>
  <c r="J7432" i="29"/>
  <c r="K7432" i="29"/>
  <c r="J7574" i="29"/>
  <c r="U7574" i="29"/>
  <c r="T7654" i="29"/>
  <c r="S7680" i="29"/>
  <c r="J7794" i="29"/>
  <c r="K7794" i="29"/>
  <c r="S7834" i="29"/>
  <c r="T7834" i="29"/>
  <c r="J7834" i="29"/>
  <c r="S7960" i="29"/>
  <c r="J7892" i="29"/>
  <c r="K7892" i="29"/>
  <c r="T7955" i="29"/>
  <c r="J7955" i="29"/>
  <c r="K7955" i="29"/>
  <c r="S7955" i="29"/>
  <c r="J6310" i="29"/>
  <c r="K6310" i="29"/>
  <c r="T6578" i="29"/>
  <c r="J6578" i="29"/>
  <c r="S6596" i="29"/>
  <c r="T6596" i="29"/>
  <c r="J6596" i="29"/>
  <c r="K6596" i="29"/>
  <c r="S6733" i="29"/>
  <c r="T6733" i="29"/>
  <c r="J6733" i="29"/>
  <c r="T6803" i="29"/>
  <c r="J6803" i="29"/>
  <c r="K6803" i="29"/>
  <c r="J6774" i="29"/>
  <c r="K6774" i="29"/>
  <c r="S6829" i="29"/>
  <c r="S6918" i="29"/>
  <c r="T6918" i="29"/>
  <c r="J6918" i="29"/>
  <c r="K6918" i="29"/>
  <c r="T6969" i="29"/>
  <c r="J6969" i="29"/>
  <c r="K6969" i="29"/>
  <c r="S6969" i="29"/>
  <c r="S7040" i="29"/>
  <c r="T7053" i="29"/>
  <c r="J7053" i="29"/>
  <c r="T7066" i="29"/>
  <c r="J7066" i="29"/>
  <c r="K7066" i="29"/>
  <c r="S7067" i="29"/>
  <c r="T7095" i="29"/>
  <c r="J7095" i="29"/>
  <c r="K7095" i="29"/>
  <c r="S7092" i="29"/>
  <c r="T7092" i="29"/>
  <c r="J7092" i="29"/>
  <c r="T7079" i="29"/>
  <c r="J7079" i="29"/>
  <c r="K7079" i="29"/>
  <c r="T7268" i="29"/>
  <c r="S7268" i="29"/>
  <c r="S7341" i="29"/>
  <c r="T7341" i="29"/>
  <c r="J7341" i="29"/>
  <c r="K7341" i="29"/>
  <c r="S7325" i="29"/>
  <c r="T7325" i="29"/>
  <c r="J7325" i="29"/>
  <c r="K7325" i="29"/>
  <c r="S7402" i="29"/>
  <c r="S7421" i="29"/>
  <c r="S7393" i="29"/>
  <c r="T7393" i="29"/>
  <c r="J7393" i="29"/>
  <c r="T7525" i="29"/>
  <c r="J7525" i="29"/>
  <c r="K7525" i="29"/>
  <c r="T7508" i="29"/>
  <c r="J7508" i="29"/>
  <c r="K7508" i="29"/>
  <c r="S7508" i="29"/>
  <c r="S7655" i="29"/>
  <c r="S7848" i="29"/>
  <c r="T7848" i="29"/>
  <c r="J7848" i="29"/>
  <c r="J7948" i="29"/>
  <c r="K762" i="29"/>
  <c r="J5482" i="29"/>
  <c r="K5482" i="29"/>
  <c r="T6598" i="29"/>
  <c r="J6598" i="29"/>
  <c r="K6598" i="29"/>
  <c r="S6598" i="29"/>
  <c r="J6658" i="29"/>
  <c r="S6695" i="29"/>
  <c r="T6719" i="29"/>
  <c r="J6719" i="29"/>
  <c r="K6719" i="29"/>
  <c r="S6719" i="29"/>
  <c r="T6726" i="29"/>
  <c r="J6726" i="29"/>
  <c r="K6726" i="29"/>
  <c r="S6726" i="29"/>
  <c r="K6822" i="29"/>
  <c r="S6868" i="29"/>
  <c r="T6868" i="29"/>
  <c r="J6868" i="29"/>
  <c r="S7236" i="29"/>
  <c r="T7311" i="29"/>
  <c r="J7311" i="29"/>
  <c r="K7311" i="29"/>
  <c r="S7311" i="29"/>
  <c r="S7386" i="29"/>
  <c r="T7386" i="29"/>
  <c r="J7386" i="29"/>
  <c r="S7684" i="29"/>
  <c r="T7742" i="29"/>
  <c r="J7742" i="29"/>
  <c r="S7742" i="29"/>
  <c r="T7751" i="29"/>
  <c r="J7751" i="29"/>
  <c r="K7751" i="29"/>
  <c r="T7754" i="29"/>
  <c r="J7754" i="29"/>
  <c r="S7754" i="29"/>
  <c r="S7890" i="29"/>
  <c r="S7944" i="29"/>
  <c r="S7931" i="29"/>
  <c r="T7931" i="29"/>
  <c r="J7931" i="29"/>
  <c r="K7931" i="29"/>
  <c r="S7980" i="29"/>
  <c r="T5351" i="29"/>
  <c r="J5351" i="29"/>
  <c r="J6317" i="29"/>
  <c r="S6511" i="29"/>
  <c r="T6511" i="29"/>
  <c r="J6511" i="29"/>
  <c r="U6511" i="29"/>
  <c r="T6857" i="29"/>
  <c r="J6857" i="29"/>
  <c r="K6857" i="29"/>
  <c r="J6867" i="29"/>
  <c r="S6990" i="29"/>
  <c r="T6990" i="29"/>
  <c r="J6990" i="29"/>
  <c r="K6990" i="29"/>
  <c r="S7153" i="29"/>
  <c r="S7228" i="29"/>
  <c r="T7228" i="29"/>
  <c r="J7228" i="29"/>
  <c r="S7435" i="29"/>
  <c r="J7544" i="29"/>
  <c r="K7544" i="29"/>
  <c r="T7745" i="29"/>
  <c r="J7745" i="29"/>
  <c r="K7745" i="29"/>
  <c r="S7745" i="29"/>
  <c r="T7809" i="29"/>
  <c r="J7809" i="29"/>
  <c r="K7809" i="29"/>
  <c r="J8021" i="29"/>
  <c r="K8021" i="29"/>
  <c r="W1264" i="29"/>
  <c r="K483" i="29"/>
  <c r="W167" i="29"/>
  <c r="U167" i="29"/>
  <c r="S6955" i="29"/>
  <c r="T6955" i="29"/>
  <c r="J6955" i="29"/>
  <c r="K6955" i="29"/>
  <c r="T7444" i="29"/>
  <c r="S7444" i="29"/>
  <c r="S7607" i="29"/>
  <c r="T7607" i="29"/>
  <c r="J7607" i="29"/>
  <c r="K7607" i="29"/>
  <c r="S7763" i="29"/>
  <c r="T7877" i="29"/>
  <c r="J7877" i="29"/>
  <c r="K7877" i="29"/>
  <c r="S7877" i="29"/>
  <c r="S6637" i="29"/>
  <c r="W6647" i="29"/>
  <c r="J6887" i="29"/>
  <c r="K6887" i="29"/>
  <c r="J7040" i="29"/>
  <c r="K7040" i="29"/>
  <c r="J7144" i="29"/>
  <c r="K7144" i="29"/>
  <c r="J7551" i="29"/>
  <c r="K7551" i="29"/>
  <c r="J8085" i="29"/>
  <c r="K8085" i="29"/>
  <c r="J6513" i="29"/>
  <c r="J7031" i="29"/>
  <c r="T7137" i="29"/>
  <c r="J7137" i="29"/>
  <c r="K7137" i="29"/>
  <c r="T7192" i="29"/>
  <c r="J7192" i="29"/>
  <c r="K7192" i="29"/>
  <c r="S7309" i="29"/>
  <c r="T7404" i="29"/>
  <c r="J7404" i="29"/>
  <c r="K7404" i="29"/>
  <c r="J7438" i="29"/>
  <c r="K7438" i="29"/>
  <c r="S7480" i="29"/>
  <c r="T7594" i="29"/>
  <c r="J7594" i="29"/>
  <c r="K7594" i="29"/>
  <c r="S7783" i="29"/>
  <c r="S7799" i="29"/>
  <c r="S7788" i="29"/>
  <c r="S8014" i="29"/>
  <c r="J6966" i="29"/>
  <c r="K6966" i="29"/>
  <c r="J7676" i="29"/>
  <c r="K7676" i="29"/>
  <c r="J6045" i="29"/>
  <c r="J6355" i="29"/>
  <c r="K6355" i="29"/>
  <c r="J6635" i="29"/>
  <c r="K6635" i="29"/>
  <c r="J6800" i="29"/>
  <c r="K6800" i="29"/>
  <c r="J6850" i="29"/>
  <c r="K6850" i="29"/>
  <c r="S6966" i="29"/>
  <c r="T7003" i="29"/>
  <c r="J7003" i="29"/>
  <c r="K7003" i="29"/>
  <c r="J7107" i="29"/>
  <c r="K7107" i="29"/>
  <c r="J7117" i="29"/>
  <c r="S7608" i="29"/>
  <c r="S7437" i="29"/>
  <c r="J7586" i="29"/>
  <c r="J8076" i="29"/>
  <c r="K8076" i="29"/>
  <c r="J6845" i="29"/>
  <c r="K6845" i="29"/>
  <c r="J7023" i="29"/>
  <c r="K7023" i="29"/>
  <c r="T7068" i="29"/>
  <c r="J7068" i="29"/>
  <c r="K7068" i="29"/>
  <c r="S7136" i="29"/>
  <c r="J7401" i="29"/>
  <c r="K7401" i="29"/>
  <c r="J7486" i="29"/>
  <c r="J7513" i="29"/>
  <c r="S7551" i="29"/>
  <c r="J7573" i="29"/>
  <c r="U7573" i="29"/>
  <c r="J7930" i="29"/>
  <c r="K7930" i="29"/>
  <c r="S4113" i="29"/>
  <c r="T4113" i="29"/>
  <c r="T3865" i="29"/>
  <c r="J3865" i="29"/>
  <c r="S3865" i="29"/>
  <c r="T3821" i="29"/>
  <c r="W3821" i="29"/>
  <c r="S3821" i="29"/>
  <c r="V3797" i="29"/>
  <c r="T3797" i="29"/>
  <c r="S3797" i="29"/>
  <c r="S3782" i="29"/>
  <c r="T3782" i="29"/>
  <c r="J3782" i="29"/>
  <c r="T3649" i="29"/>
  <c r="S3649" i="29"/>
  <c r="T3646" i="29"/>
  <c r="J3646" i="29"/>
  <c r="S3646" i="29"/>
  <c r="T3433" i="29"/>
  <c r="W3433" i="29"/>
  <c r="S3433" i="29"/>
  <c r="T3417" i="29"/>
  <c r="W3417" i="29"/>
  <c r="U3417" i="29"/>
  <c r="S3417" i="29"/>
  <c r="S3358" i="29"/>
  <c r="T3358" i="29"/>
  <c r="J3358" i="29"/>
  <c r="U3358" i="29"/>
  <c r="S3337" i="29"/>
  <c r="T3337" i="29"/>
  <c r="W3337" i="29"/>
  <c r="T2411" i="29"/>
  <c r="J2411" i="29"/>
  <c r="S2411" i="29"/>
  <c r="S2407" i="29"/>
  <c r="T2407" i="29"/>
  <c r="J2407" i="29"/>
  <c r="S2350" i="29"/>
  <c r="T2350" i="29"/>
  <c r="S2335" i="29"/>
  <c r="T2335" i="29"/>
  <c r="W1927" i="29"/>
  <c r="J1927" i="29"/>
  <c r="W1404" i="29"/>
  <c r="J1404" i="29"/>
  <c r="T1401" i="29"/>
  <c r="W1401" i="29"/>
  <c r="S1401" i="29"/>
  <c r="J1376" i="29"/>
  <c r="K1376" i="29"/>
  <c r="W1376" i="29"/>
  <c r="J1278" i="29"/>
  <c r="W1278" i="29"/>
  <c r="T6254" i="29"/>
  <c r="J6254" i="29"/>
  <c r="W813" i="29"/>
  <c r="J813" i="29"/>
  <c r="K795" i="29"/>
  <c r="S4282" i="29"/>
  <c r="T4282" i="29"/>
  <c r="S4179" i="29"/>
  <c r="T4179" i="29"/>
  <c r="W4179" i="29"/>
  <c r="S4132" i="29"/>
  <c r="T4132" i="29"/>
  <c r="T1311" i="29"/>
  <c r="S1311" i="29"/>
  <c r="S1260" i="29"/>
  <c r="T1260" i="29"/>
  <c r="J1019" i="29"/>
  <c r="K1019" i="29"/>
  <c r="W1019" i="29"/>
  <c r="J941" i="29"/>
  <c r="W3100" i="29"/>
  <c r="J3100" i="29"/>
  <c r="T6795" i="29"/>
  <c r="J6795" i="29"/>
  <c r="K6795" i="29"/>
  <c r="S6795" i="29"/>
  <c r="J2929" i="29"/>
  <c r="K2929" i="29"/>
  <c r="W2929" i="29"/>
  <c r="S4107" i="29"/>
  <c r="T4107" i="29"/>
  <c r="J4107" i="29"/>
  <c r="K4107" i="29"/>
  <c r="T4033" i="29"/>
  <c r="S4033" i="29"/>
  <c r="S3607" i="29"/>
  <c r="T3607" i="29"/>
  <c r="J3607" i="29"/>
  <c r="T3262" i="29"/>
  <c r="W3262" i="29"/>
  <c r="S3262" i="29"/>
  <c r="K2330" i="29"/>
  <c r="T2224" i="29"/>
  <c r="J2224" i="29"/>
  <c r="S2224" i="29"/>
  <c r="J1245" i="29"/>
  <c r="J1233" i="29"/>
  <c r="W1233" i="29"/>
  <c r="S1227" i="29"/>
  <c r="T1227" i="29"/>
  <c r="J1016" i="29"/>
  <c r="K1016" i="29"/>
  <c r="W1016" i="29"/>
  <c r="T992" i="29"/>
  <c r="W992" i="29"/>
  <c r="S992" i="29"/>
  <c r="T965" i="29"/>
  <c r="S965" i="29"/>
  <c r="K162" i="29"/>
  <c r="S5185" i="29"/>
  <c r="T5185" i="29"/>
  <c r="J5185" i="29"/>
  <c r="U5185" i="29"/>
  <c r="T5211" i="29"/>
  <c r="J5211" i="29"/>
  <c r="S5211" i="29"/>
  <c r="T5681" i="29"/>
  <c r="J5681" i="29"/>
  <c r="K5681" i="29"/>
  <c r="S5681" i="29"/>
  <c r="S5758" i="29"/>
  <c r="T5758" i="29"/>
  <c r="J5758" i="29"/>
  <c r="S6191" i="29"/>
  <c r="T6191" i="29"/>
  <c r="S6281" i="29"/>
  <c r="T6281" i="29"/>
  <c r="J6281" i="29"/>
  <c r="T6269" i="29"/>
  <c r="J6269" i="29"/>
  <c r="S6269" i="29"/>
  <c r="T6482" i="29"/>
  <c r="J6482" i="29"/>
  <c r="S6482" i="29"/>
  <c r="W4689" i="29"/>
  <c r="J4689" i="29"/>
  <c r="T3597" i="29"/>
  <c r="W3597" i="29"/>
  <c r="U3597" i="29"/>
  <c r="S3597" i="29"/>
  <c r="J2341" i="29"/>
  <c r="W2341" i="29"/>
  <c r="T838" i="29"/>
  <c r="W838" i="29"/>
  <c r="S838" i="29"/>
  <c r="W3301" i="29"/>
  <c r="W1325" i="29"/>
  <c r="K498" i="29"/>
  <c r="T4883" i="29"/>
  <c r="S4883" i="29"/>
  <c r="T2344" i="29"/>
  <c r="K343" i="29"/>
  <c r="T7073" i="29"/>
  <c r="J7073" i="29"/>
  <c r="S7073" i="29"/>
  <c r="S7086" i="29"/>
  <c r="T7086" i="29"/>
  <c r="J7086" i="29"/>
  <c r="K7086" i="29"/>
  <c r="J3498" i="29"/>
  <c r="W3498" i="29"/>
  <c r="T823" i="29"/>
  <c r="S6874" i="29"/>
  <c r="T6874" i="29"/>
  <c r="J6874" i="29"/>
  <c r="K6874" i="29"/>
  <c r="S4101" i="29"/>
  <c r="W4206" i="29"/>
  <c r="J4206" i="29"/>
  <c r="S4104" i="29"/>
  <c r="K1096" i="29"/>
  <c r="S3259" i="29"/>
  <c r="T3259" i="29"/>
  <c r="J3259" i="29"/>
  <c r="T3190" i="29"/>
  <c r="J3190" i="29"/>
  <c r="S3190" i="29"/>
  <c r="W2414" i="29"/>
  <c r="J2414" i="29"/>
  <c r="J1314" i="29"/>
  <c r="K1314" i="29"/>
  <c r="W1314" i="29"/>
  <c r="S1257" i="29"/>
  <c r="T1257" i="29"/>
  <c r="W1257" i="29"/>
  <c r="U1257" i="29"/>
  <c r="W90" i="29"/>
  <c r="J90" i="29"/>
  <c r="T2356" i="29"/>
  <c r="J2356" i="29"/>
  <c r="S6310" i="29"/>
  <c r="J4590" i="29"/>
  <c r="W4590" i="29"/>
  <c r="T4116" i="29"/>
  <c r="J4116" i="29"/>
  <c r="S4116" i="29"/>
  <c r="S4042" i="29"/>
  <c r="T4042" i="29"/>
  <c r="J4042" i="29"/>
  <c r="T3907" i="29"/>
  <c r="S3907" i="29"/>
  <c r="S2281" i="29"/>
  <c r="T2281" i="29"/>
  <c r="W2281" i="29"/>
  <c r="U2281" i="29"/>
  <c r="J1289" i="29"/>
  <c r="W1289" i="29"/>
  <c r="J1284" i="29"/>
  <c r="W1284" i="29"/>
  <c r="W1281" i="29"/>
  <c r="T835" i="29"/>
  <c r="W835" i="29"/>
  <c r="S835" i="29"/>
  <c r="S5617" i="29"/>
  <c r="T5617" i="29"/>
  <c r="J5617" i="29"/>
  <c r="T7828" i="29"/>
  <c r="J7828" i="29"/>
  <c r="S7828" i="29"/>
  <c r="T2378" i="29"/>
  <c r="W2378" i="29"/>
  <c r="U2378" i="29"/>
  <c r="T3256" i="29"/>
  <c r="S4247" i="29"/>
  <c r="T4247" i="29"/>
  <c r="S4244" i="29"/>
  <c r="T4244" i="29"/>
  <c r="T4188" i="29"/>
  <c r="J4188" i="29"/>
  <c r="S4188" i="29"/>
  <c r="S4175" i="29"/>
  <c r="T4175" i="29"/>
  <c r="J4175" i="29"/>
  <c r="T4119" i="29"/>
  <c r="W4119" i="29"/>
  <c r="S4119" i="29"/>
  <c r="K729" i="29"/>
  <c r="K206" i="29"/>
  <c r="K374" i="29"/>
  <c r="J5193" i="29"/>
  <c r="K5193" i="29"/>
  <c r="W5193" i="29"/>
  <c r="J1791" i="29"/>
  <c r="W1791" i="29"/>
  <c r="S3389" i="29"/>
  <c r="J1797" i="29"/>
  <c r="W1797" i="29"/>
  <c r="K194" i="29"/>
  <c r="T3625" i="29"/>
  <c r="W3625" i="29"/>
  <c r="U3625" i="29"/>
  <c r="S3625" i="29"/>
  <c r="S3613" i="29"/>
  <c r="T3613" i="29"/>
  <c r="J3613" i="29"/>
  <c r="S2417" i="29"/>
  <c r="T2417" i="29"/>
  <c r="S2384" i="29"/>
  <c r="T2384" i="29"/>
  <c r="J2384" i="29"/>
  <c r="T2374" i="29"/>
  <c r="W2374" i="29"/>
  <c r="S2374" i="29"/>
  <c r="S2371" i="29"/>
  <c r="T2371" i="29"/>
  <c r="J2371" i="29"/>
  <c r="K2371" i="29"/>
  <c r="S5198" i="29"/>
  <c r="T5198" i="29"/>
  <c r="J4300" i="29"/>
  <c r="T4226" i="29"/>
  <c r="W4226" i="29"/>
  <c r="S4226" i="29"/>
  <c r="S4207" i="29"/>
  <c r="T4207" i="29"/>
  <c r="J4207" i="29"/>
  <c r="T4165" i="29"/>
  <c r="S4165" i="29"/>
  <c r="T7492" i="29"/>
  <c r="J7492" i="29"/>
  <c r="K7492" i="29"/>
  <c r="S7492" i="29"/>
  <c r="T2429" i="29"/>
  <c r="W1380" i="29"/>
  <c r="J1380" i="29"/>
  <c r="W2089" i="29"/>
  <c r="J2089" i="29"/>
  <c r="T7891" i="29"/>
  <c r="S7891" i="29"/>
  <c r="T3253" i="29"/>
  <c r="J3253" i="29"/>
  <c r="U3253" i="29"/>
  <c r="S3253" i="29"/>
  <c r="T2227" i="29"/>
  <c r="S2227" i="29"/>
  <c r="J938" i="29"/>
  <c r="K938" i="29"/>
  <c r="S705" i="29"/>
  <c r="T705" i="29"/>
  <c r="W705" i="29"/>
  <c r="U705" i="29"/>
  <c r="J77" i="29"/>
  <c r="W77" i="29"/>
  <c r="S5195" i="29"/>
  <c r="T5195" i="29"/>
  <c r="S5218" i="29"/>
  <c r="T5218" i="29"/>
  <c r="J5218" i="29"/>
  <c r="T6333" i="29"/>
  <c r="S6333" i="29"/>
  <c r="S6352" i="29"/>
  <c r="T6352" i="29"/>
  <c r="J6352" i="29"/>
  <c r="S6371" i="29"/>
  <c r="T6371" i="29"/>
  <c r="J6371" i="29"/>
  <c r="K825" i="29"/>
  <c r="W3896" i="29"/>
  <c r="J3896" i="29"/>
  <c r="S3827" i="29"/>
  <c r="T3827" i="29"/>
  <c r="S3818" i="29"/>
  <c r="T3818" i="29"/>
  <c r="S3806" i="29"/>
  <c r="T3806" i="29"/>
  <c r="W3806" i="29"/>
  <c r="U3806" i="29"/>
  <c r="S3594" i="29"/>
  <c r="T3594" i="29"/>
  <c r="W3594" i="29"/>
  <c r="U3594" i="29"/>
  <c r="S3519" i="29"/>
  <c r="T3519" i="29"/>
  <c r="W3519" i="29"/>
  <c r="U3519" i="29"/>
  <c r="T3504" i="29"/>
  <c r="J3504" i="29"/>
  <c r="U3504" i="29"/>
  <c r="S3504" i="29"/>
  <c r="T2455" i="29"/>
  <c r="W2455" i="29"/>
  <c r="S2455" i="29"/>
  <c r="T2448" i="29"/>
  <c r="J2448" i="29"/>
  <c r="S2448" i="29"/>
  <c r="S2426" i="29"/>
  <c r="T2426" i="29"/>
  <c r="W1636" i="29"/>
  <c r="J1636" i="29"/>
  <c r="T1274" i="29"/>
  <c r="W1274" i="29"/>
  <c r="S1274" i="29"/>
  <c r="J1274" i="29"/>
  <c r="K1274" i="29"/>
  <c r="T1122" i="29"/>
  <c r="W1122" i="29"/>
  <c r="S1122" i="29"/>
  <c r="T4229" i="29"/>
  <c r="J4229" i="29"/>
  <c r="S4229" i="29"/>
  <c r="S3470" i="29"/>
  <c r="S3522" i="29"/>
  <c r="S4172" i="29"/>
  <c r="T4172" i="29"/>
  <c r="J4172" i="29"/>
  <c r="S4162" i="29"/>
  <c r="T4162" i="29"/>
  <c r="T4147" i="29"/>
  <c r="S4147" i="29"/>
  <c r="S4144" i="29"/>
  <c r="T4144" i="29"/>
  <c r="S4057" i="29"/>
  <c r="T4057" i="29"/>
  <c r="T4039" i="29"/>
  <c r="J4039" i="29"/>
  <c r="S4039" i="29"/>
  <c r="S3988" i="29"/>
  <c r="T3988" i="29"/>
  <c r="S3979" i="29"/>
  <c r="T3979" i="29"/>
  <c r="S3973" i="29"/>
  <c r="T3973" i="29"/>
  <c r="J3973" i="29"/>
  <c r="S3967" i="29"/>
  <c r="T3967" i="29"/>
  <c r="W3967" i="29"/>
  <c r="S3871" i="29"/>
  <c r="T3871" i="29"/>
  <c r="J3871" i="29"/>
  <c r="T3735" i="29"/>
  <c r="S3735" i="29"/>
  <c r="T3726" i="29"/>
  <c r="J3726" i="29"/>
  <c r="S3726" i="29"/>
  <c r="S3723" i="29"/>
  <c r="T3723" i="29"/>
  <c r="S3711" i="29"/>
  <c r="T3711" i="29"/>
  <c r="J3711" i="29"/>
  <c r="S3501" i="29"/>
  <c r="T3501" i="29"/>
  <c r="J3501" i="29"/>
  <c r="K188" i="29"/>
  <c r="K125" i="29"/>
  <c r="J1766" i="29"/>
  <c r="K1766" i="29"/>
  <c r="W1766" i="29"/>
  <c r="K461" i="29"/>
  <c r="J1037" i="29"/>
  <c r="W1037" i="29"/>
  <c r="K402" i="29"/>
  <c r="W2608" i="29"/>
  <c r="J2608" i="29"/>
  <c r="W830" i="29"/>
  <c r="J830" i="29"/>
  <c r="S4112" i="29"/>
  <c r="T4112" i="29"/>
  <c r="S3926" i="29"/>
  <c r="T3926" i="29"/>
  <c r="S3923" i="29"/>
  <c r="T3923" i="29"/>
  <c r="J3923" i="29"/>
  <c r="T3901" i="29"/>
  <c r="S3901" i="29"/>
  <c r="T3895" i="29"/>
  <c r="S3895" i="29"/>
  <c r="S3892" i="29"/>
  <c r="T3892" i="29"/>
  <c r="S3651" i="29"/>
  <c r="T3651" i="29"/>
  <c r="S3636" i="29"/>
  <c r="T3636" i="29"/>
  <c r="J3636" i="29"/>
  <c r="T3627" i="29"/>
  <c r="W3627" i="29"/>
  <c r="U3627" i="29"/>
  <c r="S3627" i="29"/>
  <c r="S3584" i="29"/>
  <c r="T3584" i="29"/>
  <c r="J3584" i="29"/>
  <c r="K3584" i="29"/>
  <c r="T3581" i="29"/>
  <c r="J3581" i="29"/>
  <c r="S3581" i="29"/>
  <c r="S3136" i="29"/>
  <c r="T3136" i="29"/>
  <c r="J3136" i="29"/>
  <c r="K3136" i="29"/>
  <c r="T2889" i="29"/>
  <c r="S2889" i="29"/>
  <c r="T2558" i="29"/>
  <c r="J2558" i="29"/>
  <c r="S2558" i="29"/>
  <c r="T2555" i="29"/>
  <c r="J2555" i="29"/>
  <c r="S2555" i="29"/>
  <c r="J2455" i="29"/>
  <c r="S2413" i="29"/>
  <c r="T2413" i="29"/>
  <c r="W1655" i="29"/>
  <c r="J1655" i="29"/>
  <c r="W1406" i="29"/>
  <c r="J1406" i="29"/>
  <c r="S1360" i="29"/>
  <c r="T1360" i="29"/>
  <c r="W1360" i="29"/>
  <c r="U1360" i="29"/>
  <c r="W1357" i="29"/>
  <c r="J1357" i="29"/>
  <c r="S1351" i="29"/>
  <c r="T1351" i="29"/>
  <c r="J1351" i="29"/>
  <c r="S1319" i="29"/>
  <c r="T1319" i="29"/>
  <c r="W1319" i="29"/>
  <c r="S1313" i="29"/>
  <c r="T1313" i="29"/>
  <c r="W1313" i="29"/>
  <c r="S1310" i="29"/>
  <c r="T1310" i="29"/>
  <c r="S4814" i="29"/>
  <c r="T4814" i="29"/>
  <c r="S4811" i="29"/>
  <c r="T4811" i="29"/>
  <c r="S4744" i="29"/>
  <c r="T4744" i="29"/>
  <c r="S4688" i="29"/>
  <c r="T4688" i="29"/>
  <c r="T4278" i="29"/>
  <c r="S4278" i="29"/>
  <c r="S4860" i="29"/>
  <c r="T4860" i="29"/>
  <c r="J4860" i="29"/>
  <c r="T2600" i="29"/>
  <c r="S2600" i="29"/>
  <c r="S2572" i="29"/>
  <c r="T2572" i="29"/>
  <c r="J2572" i="29"/>
  <c r="T2503" i="29"/>
  <c r="S2503" i="29"/>
  <c r="J2497" i="29"/>
  <c r="W2497" i="29"/>
  <c r="J987" i="29"/>
  <c r="K987" i="29"/>
  <c r="J909" i="29"/>
  <c r="W909" i="29"/>
  <c r="S866" i="29"/>
  <c r="T866" i="29"/>
  <c r="W866" i="29"/>
  <c r="J132" i="29"/>
  <c r="W132" i="29"/>
  <c r="S5160" i="29"/>
  <c r="T5160" i="29"/>
  <c r="J5160" i="29"/>
  <c r="T5168" i="29"/>
  <c r="S5168" i="29"/>
  <c r="T5882" i="29"/>
  <c r="J5882" i="29"/>
  <c r="S5882" i="29"/>
  <c r="T899" i="29"/>
  <c r="J899" i="29"/>
  <c r="U899" i="29"/>
  <c r="W1265" i="29"/>
  <c r="T860" i="29"/>
  <c r="J4076" i="29"/>
  <c r="S832" i="29"/>
  <c r="S4272" i="29"/>
  <c r="T4272" i="29"/>
  <c r="J4272" i="29"/>
  <c r="S4266" i="29"/>
  <c r="T4266" i="29"/>
  <c r="J4266" i="29"/>
  <c r="K4266" i="29"/>
  <c r="S4253" i="29"/>
  <c r="T4253" i="29"/>
  <c r="S4122" i="29"/>
  <c r="T4122" i="29"/>
  <c r="S4029" i="29"/>
  <c r="T4029" i="29"/>
  <c r="J4029" i="29"/>
  <c r="K4029" i="29"/>
  <c r="T2474" i="29"/>
  <c r="J2474" i="29"/>
  <c r="S2474" i="29"/>
  <c r="T7388" i="29"/>
  <c r="J7388" i="29"/>
  <c r="U7388" i="29"/>
  <c r="S7388" i="29"/>
  <c r="S7524" i="29"/>
  <c r="T7524" i="29"/>
  <c r="J7524" i="29"/>
  <c r="T4801" i="29"/>
  <c r="J4801" i="29"/>
  <c r="S4801" i="29"/>
  <c r="S4788" i="29"/>
  <c r="T4788" i="29"/>
  <c r="J4788" i="29"/>
  <c r="S4783" i="29"/>
  <c r="T4783" i="29"/>
  <c r="T4403" i="29"/>
  <c r="S4403" i="29"/>
  <c r="S3740" i="29"/>
  <c r="T3740" i="29"/>
  <c r="S3688" i="29"/>
  <c r="T3688" i="29"/>
  <c r="J3688" i="29"/>
  <c r="J1920" i="29"/>
  <c r="K1920" i="29"/>
  <c r="S1845" i="29"/>
  <c r="T1845" i="29"/>
  <c r="J1845" i="29"/>
  <c r="S1833" i="29"/>
  <c r="T1833" i="29"/>
  <c r="W1833" i="29"/>
  <c r="U1833" i="29"/>
  <c r="T1496" i="29"/>
  <c r="S1496" i="29"/>
  <c r="J1412" i="29"/>
  <c r="J1348" i="29"/>
  <c r="W1348" i="29"/>
  <c r="S1201" i="29"/>
  <c r="T1201" i="29"/>
  <c r="W1201" i="29"/>
  <c r="U1201" i="29"/>
  <c r="J3492" i="29"/>
  <c r="S4928" i="29"/>
  <c r="T4928" i="29"/>
  <c r="J4928" i="29"/>
  <c r="S4302" i="29"/>
  <c r="T4302" i="29"/>
  <c r="S4003" i="29"/>
  <c r="T4003" i="29"/>
  <c r="J4003" i="29"/>
  <c r="S3909" i="29"/>
  <c r="T3909" i="29"/>
  <c r="T3903" i="29"/>
  <c r="S3903" i="29"/>
  <c r="T3768" i="29"/>
  <c r="S3768" i="29"/>
  <c r="S5312" i="29"/>
  <c r="T5312" i="29"/>
  <c r="J5312" i="29"/>
  <c r="T1244" i="29"/>
  <c r="W1244" i="29"/>
  <c r="U1244" i="29"/>
  <c r="S4931" i="29"/>
  <c r="T4931" i="29"/>
  <c r="J4931" i="29"/>
  <c r="S4624" i="29"/>
  <c r="T4624" i="29"/>
  <c r="T4605" i="29"/>
  <c r="S4605" i="29"/>
  <c r="T4522" i="29"/>
  <c r="J4522" i="29"/>
  <c r="S4522" i="29"/>
  <c r="S4383" i="29"/>
  <c r="T4383" i="29"/>
  <c r="T3941" i="29"/>
  <c r="S3771" i="29"/>
  <c r="T3771" i="29"/>
  <c r="J3771" i="29"/>
  <c r="T4817" i="29"/>
  <c r="T5858" i="29"/>
  <c r="T5035" i="29"/>
  <c r="S5035" i="29"/>
  <c r="T1045" i="29"/>
  <c r="J1045" i="29"/>
  <c r="S5868" i="29"/>
  <c r="S4975" i="29"/>
  <c r="S4578" i="29"/>
  <c r="T4761" i="29"/>
  <c r="J4761" i="29"/>
  <c r="T4005" i="29"/>
  <c r="J4005" i="29"/>
  <c r="K4005" i="29"/>
  <c r="W1322" i="29"/>
  <c r="T4833" i="29"/>
  <c r="J4833" i="29"/>
  <c r="S4833" i="29"/>
  <c r="S4776" i="29"/>
  <c r="T4776" i="29"/>
  <c r="J4776" i="29"/>
  <c r="J4760" i="29"/>
  <c r="K4760" i="29"/>
  <c r="T4290" i="29"/>
  <c r="J4290" i="29"/>
  <c r="S4290" i="29"/>
  <c r="S4203" i="29"/>
  <c r="T4203" i="29"/>
  <c r="T4184" i="29"/>
  <c r="V4184" i="29"/>
  <c r="S4184" i="29"/>
  <c r="T4068" i="29"/>
  <c r="S4068" i="29"/>
  <c r="S3820" i="29"/>
  <c r="T3820" i="29"/>
  <c r="S3339" i="29"/>
  <c r="T3339" i="29"/>
  <c r="J3339" i="29"/>
  <c r="S3314" i="29"/>
  <c r="T3314" i="29"/>
  <c r="J3314" i="29"/>
  <c r="S3142" i="29"/>
  <c r="T3142" i="29"/>
  <c r="J3142" i="29"/>
  <c r="S3073" i="29"/>
  <c r="T3073" i="29"/>
  <c r="J3073" i="29"/>
  <c r="S2861" i="29"/>
  <c r="T2861" i="29"/>
  <c r="W2861" i="29"/>
  <c r="J2507" i="29"/>
  <c r="S7256" i="29"/>
  <c r="T7256" i="29"/>
  <c r="J7256" i="29"/>
  <c r="K7256" i="29"/>
  <c r="S7249" i="29"/>
  <c r="T7249" i="29"/>
  <c r="J7249" i="29"/>
  <c r="S7241" i="29"/>
  <c r="T7241" i="29"/>
  <c r="J7241" i="29"/>
  <c r="K7241" i="29"/>
  <c r="T7233" i="29"/>
  <c r="J7233" i="29"/>
  <c r="K7233" i="29"/>
  <c r="S7233" i="29"/>
  <c r="T7225" i="29"/>
  <c r="J7225" i="29"/>
  <c r="K7225" i="29"/>
  <c r="S7225" i="29"/>
  <c r="S7201" i="29"/>
  <c r="T7201" i="29"/>
  <c r="J7201" i="29"/>
  <c r="K7201" i="29"/>
  <c r="S7326" i="29"/>
  <c r="T7326" i="29"/>
  <c r="J7326" i="29"/>
  <c r="K7326" i="29"/>
  <c r="S7854" i="29"/>
  <c r="T7854" i="29"/>
  <c r="J7854" i="29"/>
  <c r="K7854" i="29"/>
  <c r="S7842" i="29"/>
  <c r="T7842" i="29"/>
  <c r="J7842" i="29"/>
  <c r="K7842" i="29"/>
  <c r="T5264" i="29"/>
  <c r="J5264" i="29"/>
  <c r="K5264" i="29"/>
  <c r="S5264" i="29"/>
  <c r="S5484" i="29"/>
  <c r="T5484" i="29"/>
  <c r="J5484" i="29"/>
  <c r="K5484" i="29"/>
  <c r="T5716" i="29"/>
  <c r="J5716" i="29"/>
  <c r="S5716" i="29"/>
  <c r="S5720" i="29"/>
  <c r="T5720" i="29"/>
  <c r="T6133" i="29"/>
  <c r="J6133" i="29"/>
  <c r="S6133" i="29"/>
  <c r="S7538" i="29"/>
  <c r="T7538" i="29"/>
  <c r="J7538" i="29"/>
  <c r="K7538" i="29"/>
  <c r="S4978" i="29"/>
  <c r="T4978" i="29"/>
  <c r="J4978" i="29"/>
  <c r="T4434" i="29"/>
  <c r="J4434" i="29"/>
  <c r="S4434" i="29"/>
  <c r="T4402" i="29"/>
  <c r="W4402" i="29"/>
  <c r="S4402" i="29"/>
  <c r="S516" i="29"/>
  <c r="T516" i="29"/>
  <c r="W516" i="29"/>
  <c r="T5299" i="29"/>
  <c r="J5299" i="29"/>
  <c r="S5299" i="29"/>
  <c r="S5508" i="29"/>
  <c r="T5508" i="29"/>
  <c r="J5508" i="29"/>
  <c r="S5457" i="29"/>
  <c r="T5457" i="29"/>
  <c r="J5457" i="29"/>
  <c r="T6580" i="29"/>
  <c r="J6580" i="29"/>
  <c r="S6580" i="29"/>
  <c r="T7414" i="29"/>
  <c r="J7414" i="29"/>
  <c r="K7414" i="29"/>
  <c r="S7414" i="29"/>
  <c r="S4916" i="29"/>
  <c r="T4916" i="29"/>
  <c r="T1588" i="29"/>
  <c r="W1588" i="29"/>
  <c r="U1588" i="29"/>
  <c r="S1588" i="29"/>
  <c r="S558" i="29"/>
  <c r="T558" i="29"/>
  <c r="W558" i="29"/>
  <c r="U558" i="29"/>
  <c r="S6824" i="29"/>
  <c r="T6824" i="29"/>
  <c r="J6824" i="29"/>
  <c r="S6988" i="29"/>
  <c r="T6988" i="29"/>
  <c r="J6988" i="29"/>
  <c r="K6988" i="29"/>
  <c r="J4795" i="29"/>
  <c r="S4996" i="29"/>
  <c r="J4948" i="29"/>
  <c r="K4948" i="29"/>
  <c r="J4340" i="29"/>
  <c r="W4340" i="29"/>
  <c r="T2077" i="29"/>
  <c r="W2077" i="29"/>
  <c r="S2077" i="29"/>
  <c r="S2050" i="29"/>
  <c r="T2050" i="29"/>
  <c r="S1699" i="29"/>
  <c r="T1699" i="29"/>
  <c r="S1696" i="29"/>
  <c r="T1696" i="29"/>
  <c r="W1696" i="29"/>
  <c r="U1696" i="29"/>
  <c r="J616" i="29"/>
  <c r="T539" i="29"/>
  <c r="W539" i="29"/>
  <c r="U539" i="29"/>
  <c r="S539" i="29"/>
  <c r="T5325" i="29"/>
  <c r="J5325" i="29"/>
  <c r="S5325" i="29"/>
  <c r="T5357" i="29"/>
  <c r="S5357" i="29"/>
  <c r="W4480" i="29"/>
  <c r="J4480" i="29"/>
  <c r="T4427" i="29"/>
  <c r="J4427" i="29"/>
  <c r="S4427" i="29"/>
  <c r="T3088" i="29"/>
  <c r="S3088" i="29"/>
  <c r="T3024" i="29"/>
  <c r="S3024" i="29"/>
  <c r="T2907" i="29"/>
  <c r="S2907" i="29"/>
  <c r="S2357" i="29"/>
  <c r="T2357" i="29"/>
  <c r="J2357" i="29"/>
  <c r="T2298" i="29"/>
  <c r="J2298" i="29"/>
  <c r="S2298" i="29"/>
  <c r="S2267" i="29"/>
  <c r="T2267" i="29"/>
  <c r="S1936" i="29"/>
  <c r="T1936" i="29"/>
  <c r="S6757" i="29"/>
  <c r="T6757" i="29"/>
  <c r="J6757" i="29"/>
  <c r="K6757" i="29"/>
  <c r="T4738" i="29"/>
  <c r="S4738" i="29"/>
  <c r="J4729" i="29"/>
  <c r="S4693" i="29"/>
  <c r="T4693" i="29"/>
  <c r="J4693" i="29"/>
  <c r="K4693" i="29"/>
  <c r="S4556" i="29"/>
  <c r="T4556" i="29"/>
  <c r="J4556" i="29"/>
  <c r="J4543" i="29"/>
  <c r="S4211" i="29"/>
  <c r="T4211" i="29"/>
  <c r="T4195" i="29"/>
  <c r="J4195" i="29"/>
  <c r="K4195" i="29"/>
  <c r="S4195" i="29"/>
  <c r="T3278" i="29"/>
  <c r="S3278" i="29"/>
  <c r="T3177" i="29"/>
  <c r="J3177" i="29"/>
  <c r="S3177" i="29"/>
  <c r="T3162" i="29"/>
  <c r="J3162" i="29"/>
  <c r="S3162" i="29"/>
  <c r="T2101" i="29"/>
  <c r="S2101" i="29"/>
  <c r="J2077" i="29"/>
  <c r="J1672" i="29"/>
  <c r="K1672" i="29"/>
  <c r="S912" i="29"/>
  <c r="T912" i="29"/>
  <c r="W912" i="29"/>
  <c r="U912" i="29"/>
  <c r="T808" i="29"/>
  <c r="J808" i="29"/>
  <c r="S808" i="29"/>
  <c r="T740" i="29"/>
  <c r="W740" i="29"/>
  <c r="U740" i="29"/>
  <c r="S740" i="29"/>
  <c r="T5207" i="29"/>
  <c r="S5207" i="29"/>
  <c r="S6770" i="29"/>
  <c r="T6770" i="29"/>
  <c r="J6770" i="29"/>
  <c r="K6770" i="29"/>
  <c r="S7785" i="29"/>
  <c r="T7785" i="29"/>
  <c r="J7785" i="29"/>
  <c r="T7992" i="29"/>
  <c r="J7992" i="29"/>
  <c r="K7992" i="29"/>
  <c r="S7992" i="29"/>
  <c r="S8006" i="29"/>
  <c r="T8006" i="29"/>
  <c r="J8006" i="29"/>
  <c r="S1790" i="29"/>
  <c r="T1790" i="29"/>
  <c r="W1790" i="29"/>
  <c r="S5262" i="29"/>
  <c r="T5262" i="29"/>
  <c r="J5262" i="29"/>
  <c r="T5275" i="29"/>
  <c r="S5275" i="29"/>
  <c r="S5306" i="29"/>
  <c r="T5306" i="29"/>
  <c r="J5306" i="29"/>
  <c r="S7869" i="29"/>
  <c r="T7869" i="29"/>
  <c r="J7869" i="29"/>
  <c r="S7843" i="29"/>
  <c r="T7843" i="29"/>
  <c r="J7843" i="29"/>
  <c r="U7843" i="29"/>
  <c r="T8065" i="29"/>
  <c r="J8065" i="29"/>
  <c r="K8065" i="29"/>
  <c r="S8065" i="29"/>
  <c r="K4257" i="29"/>
  <c r="T4219" i="29"/>
  <c r="J4219" i="29"/>
  <c r="S4219" i="29"/>
  <c r="S2460" i="29"/>
  <c r="T2460" i="29"/>
  <c r="J2460" i="29"/>
  <c r="S6771" i="29"/>
  <c r="T6771" i="29"/>
  <c r="J6771" i="29"/>
  <c r="K6771" i="29"/>
  <c r="S7366" i="29"/>
  <c r="T7366" i="29"/>
  <c r="J7366" i="29"/>
  <c r="K7366" i="29"/>
  <c r="S7521" i="29"/>
  <c r="T7521" i="29"/>
  <c r="J7521" i="29"/>
  <c r="K7521" i="29"/>
  <c r="T7688" i="29"/>
  <c r="J7688" i="29"/>
  <c r="K7688" i="29"/>
  <c r="S7688" i="29"/>
  <c r="K5750" i="29"/>
  <c r="S4620" i="29"/>
  <c r="T4620" i="29"/>
  <c r="J4620" i="29"/>
  <c r="K4620" i="29"/>
  <c r="S4386" i="29"/>
  <c r="T4386" i="29"/>
  <c r="J4386" i="29"/>
  <c r="K4386" i="29"/>
  <c r="T4118" i="29"/>
  <c r="S4118" i="29"/>
  <c r="J2581" i="29"/>
  <c r="T2370" i="29"/>
  <c r="J2370" i="29"/>
  <c r="S2370" i="29"/>
  <c r="T5192" i="29"/>
  <c r="S5192" i="29"/>
  <c r="T5896" i="29"/>
  <c r="S5896" i="29"/>
  <c r="T6809" i="29"/>
  <c r="J6809" i="29"/>
  <c r="K6809" i="29"/>
  <c r="S6809" i="29"/>
  <c r="T4748" i="29"/>
  <c r="S4748" i="29"/>
  <c r="T4654" i="29"/>
  <c r="S1901" i="29"/>
  <c r="T1901" i="29"/>
  <c r="J1901" i="29"/>
  <c r="T1383" i="29"/>
  <c r="S1383" i="29"/>
  <c r="J893" i="29"/>
  <c r="T514" i="29"/>
  <c r="W514" i="29"/>
  <c r="U514" i="29"/>
  <c r="S514" i="29"/>
  <c r="J4907" i="29"/>
  <c r="T4719" i="29"/>
  <c r="J4719" i="29"/>
  <c r="K4719" i="29"/>
  <c r="S4719" i="29"/>
  <c r="S4696" i="29"/>
  <c r="T4696" i="29"/>
  <c r="J4696" i="29"/>
  <c r="K4696" i="29"/>
  <c r="S3742" i="29"/>
  <c r="T3742" i="29"/>
  <c r="T3706" i="29"/>
  <c r="S3706" i="29"/>
  <c r="S3135" i="29"/>
  <c r="T3135" i="29"/>
  <c r="J3135" i="29"/>
  <c r="K3135" i="29"/>
  <c r="S556" i="29"/>
  <c r="T556" i="29"/>
  <c r="W556" i="29"/>
  <c r="U556" i="29"/>
  <c r="S3310" i="29"/>
  <c r="T3310" i="29"/>
  <c r="T1473" i="29"/>
  <c r="W1473" i="29"/>
  <c r="U1473" i="29"/>
  <c r="S1473" i="29"/>
  <c r="J920" i="29"/>
  <c r="W920" i="29"/>
  <c r="S626" i="29"/>
  <c r="T626" i="29"/>
  <c r="W626" i="29"/>
  <c r="U626" i="29"/>
  <c r="T5686" i="29"/>
  <c r="J5686" i="29"/>
  <c r="K5686" i="29"/>
  <c r="S5686" i="29"/>
  <c r="T6486" i="29"/>
  <c r="J6486" i="29"/>
  <c r="S6486" i="29"/>
  <c r="T6729" i="29"/>
  <c r="J6729" i="29"/>
  <c r="S6729" i="29"/>
  <c r="T6731" i="29"/>
  <c r="S6731" i="29"/>
  <c r="S4293" i="29"/>
  <c r="T4857" i="29"/>
  <c r="J4857" i="29"/>
  <c r="S4857" i="29"/>
  <c r="T4780" i="29"/>
  <c r="J4780" i="29"/>
  <c r="S4780" i="29"/>
  <c r="K2635" i="29"/>
  <c r="S1966" i="29"/>
  <c r="T1966" i="29"/>
  <c r="J1966" i="29"/>
  <c r="S1547" i="29"/>
  <c r="T1547" i="29"/>
  <c r="S2762" i="29"/>
  <c r="S2656" i="29"/>
  <c r="T2656" i="29"/>
  <c r="W2490" i="29"/>
  <c r="J2490" i="29"/>
  <c r="S1467" i="29"/>
  <c r="T1467" i="29"/>
  <c r="W1467" i="29"/>
  <c r="U1467" i="29"/>
  <c r="D38" i="30"/>
  <c r="D9" i="30"/>
  <c r="D6" i="30"/>
  <c r="S5124" i="29"/>
  <c r="T5124" i="29"/>
  <c r="S5152" i="29"/>
  <c r="T5152" i="29"/>
  <c r="S5523" i="29"/>
  <c r="T5523" i="29"/>
  <c r="S5460" i="29"/>
  <c r="T5460" i="29"/>
  <c r="J5460" i="29"/>
  <c r="S6579" i="29"/>
  <c r="T6579" i="29"/>
  <c r="J6579" i="29"/>
  <c r="K6579" i="29"/>
  <c r="T6821" i="29"/>
  <c r="J6821" i="29"/>
  <c r="K6821" i="29"/>
  <c r="S6821" i="29"/>
  <c r="S6807" i="29"/>
  <c r="T6807" i="29"/>
  <c r="J6807" i="29"/>
  <c r="S6794" i="29"/>
  <c r="T6768" i="29"/>
  <c r="J6768" i="29"/>
  <c r="K6768" i="29"/>
  <c r="S6756" i="29"/>
  <c r="T6756" i="29"/>
  <c r="T7841" i="29"/>
  <c r="J7841" i="29"/>
  <c r="S7841" i="29"/>
  <c r="T7827" i="29"/>
  <c r="J7827" i="29"/>
  <c r="K7827" i="29"/>
  <c r="S7827" i="29"/>
  <c r="S6806" i="29"/>
  <c r="T6806" i="29"/>
  <c r="J6806" i="29"/>
  <c r="T7050" i="29"/>
  <c r="J7050" i="29"/>
  <c r="S7050" i="29"/>
  <c r="J7357" i="29"/>
  <c r="K7357" i="29"/>
  <c r="W1769" i="29"/>
  <c r="U1769" i="29"/>
  <c r="T3046" i="29"/>
  <c r="J3046" i="29"/>
  <c r="K3046" i="29"/>
  <c r="T4570" i="29"/>
  <c r="W4570" i="29"/>
  <c r="S4570" i="29"/>
  <c r="K3350" i="29"/>
  <c r="T3128" i="29"/>
  <c r="S3075" i="29"/>
  <c r="T3075" i="29"/>
  <c r="J2551" i="29"/>
  <c r="T1553" i="29"/>
  <c r="S1553" i="29"/>
  <c r="T425" i="29"/>
  <c r="W425" i="29"/>
  <c r="U425" i="29"/>
  <c r="S425" i="29"/>
  <c r="T5176" i="29"/>
  <c r="S5176" i="29"/>
  <c r="S5201" i="29"/>
  <c r="T5201" i="29"/>
  <c r="S5442" i="29"/>
  <c r="T5442" i="29"/>
  <c r="J5442" i="29"/>
  <c r="S5483" i="29"/>
  <c r="T5483" i="29"/>
  <c r="J5483" i="29"/>
  <c r="T5470" i="29"/>
  <c r="S5470" i="29"/>
  <c r="T6050" i="29"/>
  <c r="J6050" i="29"/>
  <c r="S6050" i="29"/>
  <c r="T6059" i="29"/>
  <c r="J6059" i="29"/>
  <c r="S6059" i="29"/>
  <c r="S6068" i="29"/>
  <c r="T6068" i="29"/>
  <c r="J6068" i="29"/>
  <c r="S6530" i="29"/>
  <c r="T6530" i="29"/>
  <c r="J6530" i="29"/>
  <c r="K6530" i="29"/>
  <c r="T6743" i="29"/>
  <c r="J6743" i="29"/>
  <c r="S6743" i="29"/>
  <c r="S6819" i="29"/>
  <c r="T6819" i="29"/>
  <c r="J6819" i="29"/>
  <c r="K6819" i="29"/>
  <c r="S6780" i="29"/>
  <c r="T6780" i="29"/>
  <c r="J6780" i="29"/>
  <c r="K6780" i="29"/>
  <c r="S6767" i="29"/>
  <c r="T6767" i="29"/>
  <c r="J6767" i="29"/>
  <c r="K6767" i="29"/>
  <c r="T2306" i="29"/>
  <c r="J2306" i="29"/>
  <c r="S2306" i="29"/>
  <c r="S1758" i="29"/>
  <c r="T1758" i="29"/>
  <c r="W1758" i="29"/>
  <c r="T5214" i="29"/>
  <c r="J5214" i="29"/>
  <c r="K5214" i="29"/>
  <c r="S5214" i="29"/>
  <c r="T5334" i="29"/>
  <c r="J5334" i="29"/>
  <c r="K5334" i="29"/>
  <c r="S5334" i="29"/>
  <c r="T5532" i="29"/>
  <c r="S5532" i="29"/>
  <c r="S6566" i="29"/>
  <c r="T6566" i="29"/>
  <c r="J6566" i="29"/>
  <c r="K6566" i="29"/>
  <c r="S6664" i="29"/>
  <c r="T6664" i="29"/>
  <c r="J6664" i="29"/>
  <c r="K6664" i="29"/>
  <c r="T6946" i="29"/>
  <c r="J6946" i="29"/>
  <c r="K6946" i="29"/>
  <c r="S6946" i="29"/>
  <c r="S3268" i="29"/>
  <c r="T3268" i="29"/>
  <c r="J3268" i="29"/>
  <c r="K1837" i="29"/>
  <c r="S1725" i="29"/>
  <c r="T1725" i="29"/>
  <c r="J1725" i="29"/>
  <c r="K1725" i="29"/>
  <c r="T1692" i="29"/>
  <c r="J1692" i="29"/>
  <c r="S1692" i="29"/>
  <c r="J1422" i="29"/>
  <c r="W1422" i="29"/>
  <c r="T741" i="29"/>
  <c r="W741" i="29"/>
  <c r="S741" i="29"/>
  <c r="J204" i="29"/>
  <c r="W204" i="29"/>
  <c r="T5870" i="29"/>
  <c r="J5870" i="29"/>
  <c r="S5870" i="29"/>
  <c r="S7071" i="29"/>
  <c r="T7071" i="29"/>
  <c r="J7071" i="29"/>
  <c r="K7071" i="29"/>
  <c r="W2445" i="29"/>
  <c r="S1879" i="29"/>
  <c r="T3290" i="29"/>
  <c r="J3290" i="29"/>
  <c r="W4298" i="29"/>
  <c r="T4291" i="29"/>
  <c r="J4291" i="29"/>
  <c r="S4114" i="29"/>
  <c r="S3621" i="29"/>
  <c r="T3621" i="29"/>
  <c r="W3621" i="29"/>
  <c r="U3621" i="29"/>
  <c r="T2893" i="29"/>
  <c r="S2893" i="29"/>
  <c r="J1857" i="29"/>
  <c r="W1857" i="29"/>
  <c r="T580" i="29"/>
  <c r="W580" i="29"/>
  <c r="U580" i="29"/>
  <c r="S580" i="29"/>
  <c r="K556" i="29"/>
  <c r="T5650" i="29"/>
  <c r="J5650" i="29"/>
  <c r="K5650" i="29"/>
  <c r="S5650" i="29"/>
  <c r="S6012" i="29"/>
  <c r="T6012" i="29"/>
  <c r="J6012" i="29"/>
  <c r="S6089" i="29"/>
  <c r="T6089" i="29"/>
  <c r="J6089" i="29"/>
  <c r="S6134" i="29"/>
  <c r="T6134" i="29"/>
  <c r="J6134" i="29"/>
  <c r="K6134" i="29"/>
  <c r="T6617" i="29"/>
  <c r="J6617" i="29"/>
  <c r="K6617" i="29"/>
  <c r="S6617" i="29"/>
  <c r="S3525" i="29"/>
  <c r="S2649" i="29"/>
  <c r="S4642" i="29"/>
  <c r="T4642" i="29"/>
  <c r="S4150" i="29"/>
  <c r="T4123" i="29"/>
  <c r="J4123" i="29"/>
  <c r="S4123" i="29"/>
  <c r="T4058" i="29"/>
  <c r="S4058" i="29"/>
  <c r="K3150" i="29"/>
  <c r="K660" i="29"/>
  <c r="S5596" i="29"/>
  <c r="T5596" i="29"/>
  <c r="J5596" i="29"/>
  <c r="T1463" i="29"/>
  <c r="W1463" i="29"/>
  <c r="S3361" i="29"/>
  <c r="J2590" i="29"/>
  <c r="S2925" i="29"/>
  <c r="J4759" i="29"/>
  <c r="J4105" i="29"/>
  <c r="T3745" i="29"/>
  <c r="S3745" i="29"/>
  <c r="S3546" i="29"/>
  <c r="T3546" i="29"/>
  <c r="J3546" i="29"/>
  <c r="T3283" i="29"/>
  <c r="J3283" i="29"/>
  <c r="S3283" i="29"/>
  <c r="T3258" i="29"/>
  <c r="J3258" i="29"/>
  <c r="S3258" i="29"/>
  <c r="J3227" i="29"/>
  <c r="S3109" i="29"/>
  <c r="T3109" i="29"/>
  <c r="J3109" i="29"/>
  <c r="K3109" i="29"/>
  <c r="T3039" i="29"/>
  <c r="J3039" i="29"/>
  <c r="K3039" i="29"/>
  <c r="S3039" i="29"/>
  <c r="S2664" i="29"/>
  <c r="T2664" i="29"/>
  <c r="J2664" i="29"/>
  <c r="S2264" i="29"/>
  <c r="T2264" i="29"/>
  <c r="W2107" i="29"/>
  <c r="S1097" i="29"/>
  <c r="T1097" i="29"/>
  <c r="J1097" i="29"/>
  <c r="K1097" i="29"/>
  <c r="S427" i="29"/>
  <c r="T427" i="29"/>
  <c r="W427" i="29"/>
  <c r="S5567" i="29"/>
  <c r="T5567" i="29"/>
  <c r="T5577" i="29"/>
  <c r="S5577" i="29"/>
  <c r="T6953" i="29"/>
  <c r="J6953" i="29"/>
  <c r="S6953" i="29"/>
  <c r="S4938" i="29"/>
  <c r="J3026" i="29"/>
  <c r="T2520" i="29"/>
  <c r="W2520" i="29"/>
  <c r="U2520" i="29"/>
  <c r="K2314" i="29"/>
  <c r="S5073" i="29"/>
  <c r="T5073" i="29"/>
  <c r="J5073" i="29"/>
  <c r="S5962" i="29"/>
  <c r="T5962" i="29"/>
  <c r="J5962" i="29"/>
  <c r="S6561" i="29"/>
  <c r="T6561" i="29"/>
  <c r="J6561" i="29"/>
  <c r="T6546" i="29"/>
  <c r="J6546" i="29"/>
  <c r="S6546" i="29"/>
  <c r="T6656" i="29"/>
  <c r="J6656" i="29"/>
  <c r="K6656" i="29"/>
  <c r="S6656" i="29"/>
  <c r="S6744" i="29"/>
  <c r="T6744" i="29"/>
  <c r="J6744" i="29"/>
  <c r="S7140" i="29"/>
  <c r="T7140" i="29"/>
  <c r="J7140" i="29"/>
  <c r="K7140" i="29"/>
  <c r="T7533" i="29"/>
  <c r="J7533" i="29"/>
  <c r="K7533" i="29"/>
  <c r="S7533" i="29"/>
  <c r="T1702" i="29"/>
  <c r="J2582" i="29"/>
  <c r="J507" i="29"/>
  <c r="S5839" i="29"/>
  <c r="T5839" i="29"/>
  <c r="J5839" i="29"/>
  <c r="T3520" i="29"/>
  <c r="W3520" i="29"/>
  <c r="U3520" i="29"/>
  <c r="S3505" i="29"/>
  <c r="T3505" i="29"/>
  <c r="W3505" i="29"/>
  <c r="U3505" i="29"/>
  <c r="S3123" i="29"/>
  <c r="T3123" i="29"/>
  <c r="W3123" i="29"/>
  <c r="T2688" i="29"/>
  <c r="W2688" i="29"/>
  <c r="U2688" i="29"/>
  <c r="J2649" i="29"/>
  <c r="J1483" i="29"/>
  <c r="T1118" i="29"/>
  <c r="S1118" i="29"/>
  <c r="T1077" i="29"/>
  <c r="S1077" i="29"/>
  <c r="S6524" i="29"/>
  <c r="T6524" i="29"/>
  <c r="J6524" i="29"/>
  <c r="K6524" i="29"/>
  <c r="T7194" i="29"/>
  <c r="J7194" i="29"/>
  <c r="K7194" i="29"/>
  <c r="T1819" i="29"/>
  <c r="W1819" i="29"/>
  <c r="S2262" i="29"/>
  <c r="T2262" i="29"/>
  <c r="T6836" i="29"/>
  <c r="J6836" i="29"/>
  <c r="K6836" i="29"/>
  <c r="S6836" i="29"/>
  <c r="S7123" i="29"/>
  <c r="T7123" i="29"/>
  <c r="J7123" i="29"/>
  <c r="K7123" i="29"/>
  <c r="J1620" i="29"/>
  <c r="W1617" i="29"/>
  <c r="T475" i="29"/>
  <c r="W475" i="29"/>
  <c r="U475" i="29"/>
  <c r="S475" i="29"/>
  <c r="S5419" i="29"/>
  <c r="T5419" i="29"/>
  <c r="S5390" i="29"/>
  <c r="T5390" i="29"/>
  <c r="S6888" i="29"/>
  <c r="T6888" i="29"/>
  <c r="J6888" i="29"/>
  <c r="T6860" i="29"/>
  <c r="J6860" i="29"/>
  <c r="U6860" i="29"/>
  <c r="S6860" i="29"/>
  <c r="S6978" i="29"/>
  <c r="T6978" i="29"/>
  <c r="J6978" i="29"/>
  <c r="T7660" i="29"/>
  <c r="J7660" i="29"/>
  <c r="U7660" i="29"/>
  <c r="S7660" i="29"/>
  <c r="S7703" i="29"/>
  <c r="T7703" i="29"/>
  <c r="S7826" i="29"/>
  <c r="T7826" i="29"/>
  <c r="J7826" i="29"/>
  <c r="K7826" i="29"/>
  <c r="T7813" i="29"/>
  <c r="J7813" i="29"/>
  <c r="S7813" i="29"/>
  <c r="J4721" i="29"/>
  <c r="K4721" i="29"/>
  <c r="J4718" i="29"/>
  <c r="J4466" i="29"/>
  <c r="J4268" i="29"/>
  <c r="T2881" i="29"/>
  <c r="J2881" i="29"/>
  <c r="K2881" i="29"/>
  <c r="T2693" i="29"/>
  <c r="W2693" i="29"/>
  <c r="U2693" i="29"/>
  <c r="K869" i="29"/>
  <c r="W138" i="29"/>
  <c r="U138" i="29"/>
  <c r="W133" i="29"/>
  <c r="K4970" i="29"/>
  <c r="J4293" i="29"/>
  <c r="J3897" i="29"/>
  <c r="K3897" i="29"/>
  <c r="S3757" i="29"/>
  <c r="S3450" i="29"/>
  <c r="W1854" i="29"/>
  <c r="S6853" i="29"/>
  <c r="T6853" i="29"/>
  <c r="J6853" i="29"/>
  <c r="K6853" i="29"/>
  <c r="S7045" i="29"/>
  <c r="T7045" i="29"/>
  <c r="J7045" i="29"/>
  <c r="K7045" i="29"/>
  <c r="T7060" i="29"/>
  <c r="S7060" i="29"/>
  <c r="J4858" i="29"/>
  <c r="K1014" i="29"/>
  <c r="T6692" i="29"/>
  <c r="J6692" i="29"/>
  <c r="K6692" i="29"/>
  <c r="S6692" i="29"/>
  <c r="T6697" i="29"/>
  <c r="J6697" i="29"/>
  <c r="K6697" i="29"/>
  <c r="S6697" i="29"/>
  <c r="S6866" i="29"/>
  <c r="T6866" i="29"/>
  <c r="J6866" i="29"/>
  <c r="K6866" i="29"/>
  <c r="S7007" i="29"/>
  <c r="T7007" i="29"/>
  <c r="J7007" i="29"/>
  <c r="S7397" i="29"/>
  <c r="T7397" i="29"/>
  <c r="J7397" i="29"/>
  <c r="K7397" i="29"/>
  <c r="T7446" i="29"/>
  <c r="J7446" i="29"/>
  <c r="S7446" i="29"/>
  <c r="S7430" i="29"/>
  <c r="T7430" i="29"/>
  <c r="J7430" i="29"/>
  <c r="K7430" i="29"/>
  <c r="S7738" i="29"/>
  <c r="T7738" i="29"/>
  <c r="W7738" i="29"/>
  <c r="T6839" i="29"/>
  <c r="J6839" i="29"/>
  <c r="K6839" i="29"/>
  <c r="S6839" i="29"/>
  <c r="T7577" i="29"/>
  <c r="J7577" i="29"/>
  <c r="S7577" i="29"/>
  <c r="S7664" i="29"/>
  <c r="T7664" i="29"/>
  <c r="J7664" i="29"/>
  <c r="K7664" i="29"/>
  <c r="T7934" i="29"/>
  <c r="J7934" i="29"/>
  <c r="K7934" i="29"/>
  <c r="S7934" i="29"/>
  <c r="S7883" i="29"/>
  <c r="T7883" i="29"/>
  <c r="J7883" i="29"/>
  <c r="K7883" i="29"/>
  <c r="J3032" i="29"/>
  <c r="J2247" i="29"/>
  <c r="K2247" i="29"/>
  <c r="J2245" i="29"/>
  <c r="T6552" i="29"/>
  <c r="J6552" i="29"/>
  <c r="S6552" i="29"/>
  <c r="S6749" i="29"/>
  <c r="T6749" i="29"/>
  <c r="S6891" i="29"/>
  <c r="T6891" i="29"/>
  <c r="J6891" i="29"/>
  <c r="S6972" i="29"/>
  <c r="T6972" i="29"/>
  <c r="T7001" i="29"/>
  <c r="J7001" i="29"/>
  <c r="K7001" i="29"/>
  <c r="S7001" i="29"/>
  <c r="T7042" i="29"/>
  <c r="J7042" i="29"/>
  <c r="K7042" i="29"/>
  <c r="S7042" i="29"/>
  <c r="S7248" i="29"/>
  <c r="T7248" i="29"/>
  <c r="J7248" i="29"/>
  <c r="S7240" i="29"/>
  <c r="T7240" i="29"/>
  <c r="J7240" i="29"/>
  <c r="K7240" i="29"/>
  <c r="T7232" i="29"/>
  <c r="J7232" i="29"/>
  <c r="K7232" i="29"/>
  <c r="S7232" i="29"/>
  <c r="S7224" i="29"/>
  <c r="T7224" i="29"/>
  <c r="J7224" i="29"/>
  <c r="K7224" i="29"/>
  <c r="T7216" i="29"/>
  <c r="J7216" i="29"/>
  <c r="S7216" i="29"/>
  <c r="S7200" i="29"/>
  <c r="T7200" i="29"/>
  <c r="J7200" i="29"/>
  <c r="T7550" i="29"/>
  <c r="J7550" i="29"/>
  <c r="S7550" i="29"/>
  <c r="S7775" i="29"/>
  <c r="T7775" i="29"/>
  <c r="J7775" i="29"/>
  <c r="J4517" i="29"/>
  <c r="J4304" i="29"/>
  <c r="J3774" i="29"/>
  <c r="S6538" i="29"/>
  <c r="T6538" i="29"/>
  <c r="J6538" i="29"/>
  <c r="K6538" i="29"/>
  <c r="S6862" i="29"/>
  <c r="T6862" i="29"/>
  <c r="J6862" i="29"/>
  <c r="T6826" i="29"/>
  <c r="J6826" i="29"/>
  <c r="K6826" i="29"/>
  <c r="S6826" i="29"/>
  <c r="S6977" i="29"/>
  <c r="T6977" i="29"/>
  <c r="J6977" i="29"/>
  <c r="T7262" i="29"/>
  <c r="J7262" i="29"/>
  <c r="K7262" i="29"/>
  <c r="S7262" i="29"/>
  <c r="T7310" i="29"/>
  <c r="J7310" i="29"/>
  <c r="S7310" i="29"/>
  <c r="T7572" i="29"/>
  <c r="J7572" i="29"/>
  <c r="K7572" i="29"/>
  <c r="S7572" i="29"/>
  <c r="T6601" i="29"/>
  <c r="J6601" i="29"/>
  <c r="S6601" i="29"/>
  <c r="J6794" i="29"/>
  <c r="S6818" i="29"/>
  <c r="T6818" i="29"/>
  <c r="J6818" i="29"/>
  <c r="K6818" i="29"/>
  <c r="S6887" i="29"/>
  <c r="S6875" i="29"/>
  <c r="S7104" i="29"/>
  <c r="T7104" i="29"/>
  <c r="J7104" i="29"/>
  <c r="T7406" i="29"/>
  <c r="J7406" i="29"/>
  <c r="K7406" i="29"/>
  <c r="S7520" i="29"/>
  <c r="T7520" i="29"/>
  <c r="J7520" i="29"/>
  <c r="S7545" i="29"/>
  <c r="T7545" i="29"/>
  <c r="S7750" i="29"/>
  <c r="T7750" i="29"/>
  <c r="J7750" i="29"/>
  <c r="K7750" i="29"/>
  <c r="W150" i="29"/>
  <c r="J6143" i="29"/>
  <c r="S6849" i="29"/>
  <c r="T6849" i="29"/>
  <c r="J6849" i="29"/>
  <c r="K6849" i="29"/>
  <c r="T7131" i="29"/>
  <c r="J7131" i="29"/>
  <c r="K7131" i="29"/>
  <c r="S7131" i="29"/>
  <c r="T7411" i="29"/>
  <c r="J7411" i="29"/>
  <c r="K7411" i="29"/>
  <c r="S7411" i="29"/>
  <c r="S7519" i="29"/>
  <c r="T7519" i="29"/>
  <c r="J7519" i="29"/>
  <c r="S7468" i="29"/>
  <c r="T7468" i="29"/>
  <c r="T7997" i="29"/>
  <c r="J7997" i="29"/>
  <c r="K7997" i="29"/>
  <c r="S7997" i="29"/>
  <c r="T8063" i="29"/>
  <c r="J8063" i="29"/>
  <c r="S8063" i="29"/>
  <c r="T7957" i="29"/>
  <c r="J7957" i="29"/>
  <c r="K7957" i="29"/>
  <c r="S7957" i="29"/>
  <c r="T8008" i="29"/>
  <c r="J8008" i="29"/>
  <c r="S8008" i="29"/>
  <c r="J2618" i="29"/>
  <c r="K2618" i="29"/>
  <c r="W2112" i="29"/>
  <c r="K1757" i="29"/>
  <c r="K1500" i="29"/>
  <c r="J1165" i="29"/>
  <c r="W523" i="29"/>
  <c r="W180" i="29"/>
  <c r="U180" i="29"/>
  <c r="S6560" i="29"/>
  <c r="T6560" i="29"/>
  <c r="J6560" i="29"/>
  <c r="T6565" i="29"/>
  <c r="J6565" i="29"/>
  <c r="K6565" i="29"/>
  <c r="T6539" i="29"/>
  <c r="J6539" i="29"/>
  <c r="K6539" i="29"/>
  <c r="S6539" i="29"/>
  <c r="S6609" i="29"/>
  <c r="S6885" i="29"/>
  <c r="T6885" i="29"/>
  <c r="J6885" i="29"/>
  <c r="J6950" i="29"/>
  <c r="K6950" i="29"/>
  <c r="T6968" i="29"/>
  <c r="J6968" i="29"/>
  <c r="S6992" i="29"/>
  <c r="T7099" i="29"/>
  <c r="J7099" i="29"/>
  <c r="K7099" i="29"/>
  <c r="S7099" i="29"/>
  <c r="T7174" i="29"/>
  <c r="J7174" i="29"/>
  <c r="K7174" i="29"/>
  <c r="S7174" i="29"/>
  <c r="T7185" i="29"/>
  <c r="J7185" i="29"/>
  <c r="T7517" i="29"/>
  <c r="J7517" i="29"/>
  <c r="S7517" i="29"/>
  <c r="T7849" i="29"/>
  <c r="J7849" i="29"/>
  <c r="K7849" i="29"/>
  <c r="S7849" i="29"/>
  <c r="S7835" i="29"/>
  <c r="T7835" i="29"/>
  <c r="J7835" i="29"/>
  <c r="T7787" i="29"/>
  <c r="J7787" i="29"/>
  <c r="K7787" i="29"/>
  <c r="S7787" i="29"/>
  <c r="S7990" i="29"/>
  <c r="T7990" i="29"/>
  <c r="J7990" i="29"/>
  <c r="S8004" i="29"/>
  <c r="T8004" i="29"/>
  <c r="J8004" i="29"/>
  <c r="K8004" i="29"/>
  <c r="T6636" i="29"/>
  <c r="J6636" i="29"/>
  <c r="S6636" i="29"/>
  <c r="S6847" i="29"/>
  <c r="T6847" i="29"/>
  <c r="J6847" i="29"/>
  <c r="K6847" i="29"/>
  <c r="T7108" i="29"/>
  <c r="J7108" i="29"/>
  <c r="K7108" i="29"/>
  <c r="S7108" i="29"/>
  <c r="T7739" i="29"/>
  <c r="J7739" i="29"/>
  <c r="K7739" i="29"/>
  <c r="S7739" i="29"/>
  <c r="J3348" i="29"/>
  <c r="J2722" i="29"/>
  <c r="K2722" i="29"/>
  <c r="J1364" i="29"/>
  <c r="K1339" i="29"/>
  <c r="W1176" i="29"/>
  <c r="W748" i="29"/>
  <c r="W531" i="29"/>
  <c r="K404" i="29"/>
  <c r="S6619" i="29"/>
  <c r="T6619" i="29"/>
  <c r="J6619" i="29"/>
  <c r="K6619" i="29"/>
  <c r="T6937" i="29"/>
  <c r="J6937" i="29"/>
  <c r="S6937" i="29"/>
  <c r="T7059" i="29"/>
  <c r="J7059" i="29"/>
  <c r="K7059" i="29"/>
  <c r="S7059" i="29"/>
  <c r="T7105" i="29"/>
  <c r="J7105" i="29"/>
  <c r="S7105" i="29"/>
  <c r="T7135" i="29"/>
  <c r="J7135" i="29"/>
  <c r="K7135" i="29"/>
  <c r="S7135" i="29"/>
  <c r="T7282" i="29"/>
  <c r="J7282" i="29"/>
  <c r="K7282" i="29"/>
  <c r="S7282" i="29"/>
  <c r="T7709" i="29"/>
  <c r="J7709" i="29"/>
  <c r="S7709" i="29"/>
  <c r="T7713" i="29"/>
  <c r="S7713" i="29"/>
  <c r="T7884" i="29"/>
  <c r="J7884" i="29"/>
  <c r="K7884" i="29"/>
  <c r="S7884" i="29"/>
  <c r="J6040" i="29"/>
  <c r="T6725" i="29"/>
  <c r="J6725" i="29"/>
  <c r="K6725" i="29"/>
  <c r="S6725" i="29"/>
  <c r="S7320" i="29"/>
  <c r="T7320" i="29"/>
  <c r="J7320" i="29"/>
  <c r="K7320" i="29"/>
  <c r="T7696" i="29"/>
  <c r="J7696" i="29"/>
  <c r="S7696" i="29"/>
  <c r="S7894" i="29"/>
  <c r="T7894" i="29"/>
  <c r="J7894" i="29"/>
  <c r="K7894" i="29"/>
  <c r="J2588" i="29"/>
  <c r="J2566" i="29"/>
  <c r="S6544" i="29"/>
  <c r="S6686" i="29"/>
  <c r="T6686" i="29"/>
  <c r="J6686" i="29"/>
  <c r="K6686" i="29"/>
  <c r="T6735" i="29"/>
  <c r="J6735" i="29"/>
  <c r="S6735" i="29"/>
  <c r="T6964" i="29"/>
  <c r="J6964" i="29"/>
  <c r="S6964" i="29"/>
  <c r="S6982" i="29"/>
  <c r="S7365" i="29"/>
  <c r="T7365" i="29"/>
  <c r="J7365" i="29"/>
  <c r="K7365" i="29"/>
  <c r="T7377" i="29"/>
  <c r="J7377" i="29"/>
  <c r="K7377" i="29"/>
  <c r="S7377" i="29"/>
  <c r="S7528" i="29"/>
  <c r="T7528" i="29"/>
  <c r="J7528" i="29"/>
  <c r="T7646" i="29"/>
  <c r="S7646" i="29"/>
  <c r="T7649" i="29"/>
  <c r="J7649" i="29"/>
  <c r="K7649" i="29"/>
  <c r="T7778" i="29"/>
  <c r="J7778" i="29"/>
  <c r="J4344" i="29"/>
  <c r="K4344" i="29"/>
  <c r="W4279" i="29"/>
  <c r="U4279" i="29"/>
  <c r="S4236" i="29"/>
  <c r="J4190" i="29"/>
  <c r="K4190" i="29"/>
  <c r="J2861" i="29"/>
  <c r="W421" i="29"/>
  <c r="U421" i="29"/>
  <c r="W215" i="29"/>
  <c r="S6562" i="29"/>
  <c r="T6562" i="29"/>
  <c r="J6562" i="29"/>
  <c r="S6587" i="29"/>
  <c r="T6587" i="29"/>
  <c r="J6587" i="29"/>
  <c r="K6587" i="29"/>
  <c r="J6544" i="29"/>
  <c r="K6544" i="29"/>
  <c r="S6682" i="29"/>
  <c r="T6682" i="29"/>
  <c r="J6682" i="29"/>
  <c r="K6682" i="29"/>
  <c r="T6837" i="29"/>
  <c r="J6837" i="29"/>
  <c r="K6837" i="29"/>
  <c r="S6956" i="29"/>
  <c r="T7041" i="29"/>
  <c r="J7041" i="29"/>
  <c r="S7041" i="29"/>
  <c r="T7250" i="29"/>
  <c r="J7250" i="29"/>
  <c r="K7250" i="29"/>
  <c r="S7250" i="29"/>
  <c r="T7234" i="29"/>
  <c r="J7234" i="29"/>
  <c r="K7234" i="29"/>
  <c r="S7234" i="29"/>
  <c r="S7210" i="29"/>
  <c r="T7210" i="29"/>
  <c r="J7210" i="29"/>
  <c r="S7202" i="29"/>
  <c r="T7202" i="29"/>
  <c r="J7202" i="29"/>
  <c r="S7362" i="29"/>
  <c r="T7362" i="29"/>
  <c r="J7362" i="29"/>
  <c r="T7443" i="29"/>
  <c r="J7443" i="29"/>
  <c r="S7443" i="29"/>
  <c r="T7427" i="29"/>
  <c r="J7427" i="29"/>
  <c r="U7427" i="29"/>
  <c r="S7427" i="29"/>
  <c r="S8002" i="29"/>
  <c r="T8002" i="29"/>
  <c r="J8002" i="29"/>
  <c r="S8042" i="29"/>
  <c r="T8042" i="29"/>
  <c r="J8042" i="29"/>
  <c r="K8042" i="29"/>
  <c r="T7082" i="29"/>
  <c r="J7082" i="29"/>
  <c r="K7082" i="29"/>
  <c r="S7082" i="29"/>
  <c r="S7278" i="29"/>
  <c r="T7278" i="29"/>
  <c r="S7456" i="29"/>
  <c r="T7456" i="29"/>
  <c r="J7456" i="29"/>
  <c r="K7456" i="29"/>
  <c r="S7465" i="29"/>
  <c r="T7465" i="29"/>
  <c r="J7465" i="29"/>
  <c r="T7689" i="29"/>
  <c r="J7689" i="29"/>
  <c r="K7689" i="29"/>
  <c r="S7689" i="29"/>
  <c r="S7700" i="29"/>
  <c r="T7700" i="29"/>
  <c r="J7700" i="29"/>
  <c r="K7700" i="29"/>
  <c r="T8040" i="29"/>
  <c r="J8040" i="29"/>
  <c r="K8040" i="29"/>
  <c r="S7958" i="29"/>
  <c r="T7958" i="29"/>
  <c r="J7958" i="29"/>
  <c r="K7958" i="29"/>
  <c r="S8102" i="29"/>
  <c r="T8102" i="29"/>
  <c r="J8102" i="29"/>
  <c r="T8075" i="29"/>
  <c r="J8075" i="29"/>
  <c r="K8075" i="29"/>
  <c r="S8075" i="29"/>
  <c r="T8050" i="29"/>
  <c r="J8050" i="29"/>
  <c r="K8050" i="29"/>
  <c r="S8050" i="29"/>
  <c r="K1060" i="29"/>
  <c r="W945" i="29"/>
  <c r="W829" i="29"/>
  <c r="W222" i="29"/>
  <c r="U222" i="29"/>
  <c r="J6639" i="29"/>
  <c r="S6680" i="29"/>
  <c r="T6680" i="29"/>
  <c r="J6680" i="29"/>
  <c r="K6680" i="29"/>
  <c r="T6683" i="29"/>
  <c r="J6683" i="29"/>
  <c r="S6683" i="29"/>
  <c r="J6688" i="29"/>
  <c r="K6688" i="29"/>
  <c r="T6789" i="29"/>
  <c r="J6789" i="29"/>
  <c r="K6789" i="29"/>
  <c r="S6789" i="29"/>
  <c r="S6903" i="29"/>
  <c r="T6903" i="29"/>
  <c r="J6903" i="29"/>
  <c r="T6924" i="29"/>
  <c r="J6924" i="29"/>
  <c r="K6924" i="29"/>
  <c r="S6924" i="29"/>
  <c r="S7151" i="29"/>
  <c r="T7151" i="29"/>
  <c r="J7151" i="29"/>
  <c r="U7151" i="29"/>
  <c r="S7345" i="29"/>
  <c r="T7345" i="29"/>
  <c r="J7345" i="29"/>
  <c r="K7345" i="29"/>
  <c r="S7679" i="29"/>
  <c r="T7679" i="29"/>
  <c r="J7679" i="29"/>
  <c r="K7679" i="29"/>
  <c r="T7686" i="29"/>
  <c r="J7686" i="29"/>
  <c r="K7686" i="29"/>
  <c r="S7686" i="29"/>
  <c r="T7697" i="29"/>
  <c r="J7697" i="29"/>
  <c r="K7697" i="29"/>
  <c r="S7697" i="29"/>
  <c r="S7943" i="29"/>
  <c r="T7943" i="29"/>
  <c r="J7943" i="29"/>
  <c r="K7943" i="29"/>
  <c r="T7953" i="29"/>
  <c r="J7953" i="29"/>
  <c r="K7953" i="29"/>
  <c r="S7953" i="29"/>
  <c r="T7987" i="29"/>
  <c r="J7987" i="29"/>
  <c r="S7987" i="29"/>
  <c r="T8007" i="29"/>
  <c r="J8007" i="29"/>
  <c r="S8007" i="29"/>
  <c r="J8083" i="29"/>
  <c r="T8101" i="29"/>
  <c r="J8101" i="29"/>
  <c r="K8101" i="29"/>
  <c r="S8101" i="29"/>
  <c r="K3785" i="29"/>
  <c r="T3641" i="29"/>
  <c r="J3641" i="29"/>
  <c r="W3113" i="29"/>
  <c r="W2681" i="29"/>
  <c r="U2681" i="29"/>
  <c r="W2569" i="29"/>
  <c r="W2202" i="29"/>
  <c r="T1877" i="29"/>
  <c r="W1877" i="29"/>
  <c r="U1877" i="29"/>
  <c r="K1103" i="29"/>
  <c r="K217" i="29"/>
  <c r="T6633" i="29"/>
  <c r="J6633" i="29"/>
  <c r="K6633" i="29"/>
  <c r="T6677" i="29"/>
  <c r="J6677" i="29"/>
  <c r="K6677" i="29"/>
  <c r="S6677" i="29"/>
  <c r="T6693" i="29"/>
  <c r="J6693" i="29"/>
  <c r="K6693" i="29"/>
  <c r="J6708" i="29"/>
  <c r="K6708" i="29"/>
  <c r="J6931" i="29"/>
  <c r="K6931" i="29"/>
  <c r="S6961" i="29"/>
  <c r="T6961" i="29"/>
  <c r="J6961" i="29"/>
  <c r="S7005" i="29"/>
  <c r="T7061" i="29"/>
  <c r="J7061" i="29"/>
  <c r="K7061" i="29"/>
  <c r="S7061" i="29"/>
  <c r="S7064" i="29"/>
  <c r="J7168" i="29"/>
  <c r="K7168" i="29"/>
  <c r="T7186" i="29"/>
  <c r="J7186" i="29"/>
  <c r="K7186" i="29"/>
  <c r="T7191" i="29"/>
  <c r="J7191" i="29"/>
  <c r="S7476" i="29"/>
  <c r="T7476" i="29"/>
  <c r="S7571" i="29"/>
  <c r="S7540" i="29"/>
  <c r="T7540" i="29"/>
  <c r="J7540" i="29"/>
  <c r="K7540" i="29"/>
  <c r="S7647" i="29"/>
  <c r="T7647" i="29"/>
  <c r="J7647" i="29"/>
  <c r="K7647" i="29"/>
  <c r="S7707" i="29"/>
  <c r="T7707" i="29"/>
  <c r="S7752" i="29"/>
  <c r="T7838" i="29"/>
  <c r="J7838" i="29"/>
  <c r="S7865" i="29"/>
  <c r="T7865" i="29"/>
  <c r="J7865" i="29"/>
  <c r="S7811" i="29"/>
  <c r="T7811" i="29"/>
  <c r="J7811" i="29"/>
  <c r="K7811" i="29"/>
  <c r="T8087" i="29"/>
  <c r="J8087" i="29"/>
  <c r="T8009" i="29"/>
  <c r="J8009" i="29"/>
  <c r="K8009" i="29"/>
  <c r="S8009" i="29"/>
  <c r="J3137" i="29"/>
  <c r="K2693" i="29"/>
  <c r="J2117" i="29"/>
  <c r="W1898" i="29"/>
  <c r="W1099" i="29"/>
  <c r="U1099" i="29"/>
  <c r="K239" i="29"/>
  <c r="S6708" i="29"/>
  <c r="S6674" i="29"/>
  <c r="T6674" i="29"/>
  <c r="J6674" i="29"/>
  <c r="K6674" i="29"/>
  <c r="S6797" i="29"/>
  <c r="S6931" i="29"/>
  <c r="S6942" i="29"/>
  <c r="S6980" i="29"/>
  <c r="T6980" i="29"/>
  <c r="J6980" i="29"/>
  <c r="K6980" i="29"/>
  <c r="S7031" i="29"/>
  <c r="T7093" i="29"/>
  <c r="J7093" i="29"/>
  <c r="S7183" i="29"/>
  <c r="T7183" i="29"/>
  <c r="J7183" i="29"/>
  <c r="K7183" i="29"/>
  <c r="T7259" i="29"/>
  <c r="J7259" i="29"/>
  <c r="K7259" i="29"/>
  <c r="S7259" i="29"/>
  <c r="T7313" i="29"/>
  <c r="J7313" i="29"/>
  <c r="S7313" i="29"/>
  <c r="J7435" i="29"/>
  <c r="K7435" i="29"/>
  <c r="J7514" i="29"/>
  <c r="T7576" i="29"/>
  <c r="J7576" i="29"/>
  <c r="K7576" i="29"/>
  <c r="S7576" i="29"/>
  <c r="T7601" i="29"/>
  <c r="J7601" i="29"/>
  <c r="K7601" i="29"/>
  <c r="S7601" i="29"/>
  <c r="T7609" i="29"/>
  <c r="J7609" i="29"/>
  <c r="S7609" i="29"/>
  <c r="T7670" i="29"/>
  <c r="J7670" i="29"/>
  <c r="U7670" i="29"/>
  <c r="S7670" i="29"/>
  <c r="J7814" i="29"/>
  <c r="K7814" i="29"/>
  <c r="J7788" i="29"/>
  <c r="K7788" i="29"/>
  <c r="T7905" i="29"/>
  <c r="J7905" i="29"/>
  <c r="K7905" i="29"/>
  <c r="S7905" i="29"/>
  <c r="K1280" i="29"/>
  <c r="S277" i="29"/>
  <c r="T6811" i="29"/>
  <c r="J6811" i="29"/>
  <c r="K6811" i="29"/>
  <c r="S6811" i="29"/>
  <c r="S6786" i="29"/>
  <c r="T6786" i="29"/>
  <c r="J6786" i="29"/>
  <c r="U6786" i="29"/>
  <c r="S6865" i="29"/>
  <c r="T6865" i="29"/>
  <c r="J6865" i="29"/>
  <c r="K6865" i="29"/>
  <c r="T7044" i="29"/>
  <c r="J7044" i="29"/>
  <c r="S7044" i="29"/>
  <c r="T7096" i="29"/>
  <c r="J7096" i="29"/>
  <c r="S7096" i="29"/>
  <c r="S7141" i="29"/>
  <c r="T7141" i="29"/>
  <c r="J7141" i="29"/>
  <c r="K7141" i="29"/>
  <c r="T7462" i="29"/>
  <c r="J7462" i="29"/>
  <c r="K7462" i="29"/>
  <c r="S7462" i="29"/>
  <c r="S7485" i="29"/>
  <c r="T7485" i="29"/>
  <c r="S7473" i="29"/>
  <c r="T7473" i="29"/>
  <c r="T7617" i="29"/>
  <c r="J7617" i="29"/>
  <c r="K7617" i="29"/>
  <c r="S7617" i="29"/>
  <c r="S7690" i="29"/>
  <c r="T7690" i="29"/>
  <c r="J7690" i="29"/>
  <c r="K7690" i="29"/>
  <c r="T7749" i="29"/>
  <c r="J7749" i="29"/>
  <c r="S7749" i="29"/>
  <c r="T7755" i="29"/>
  <c r="J7755" i="29"/>
  <c r="K7755" i="29"/>
  <c r="S7755" i="29"/>
  <c r="T7903" i="29"/>
  <c r="J7903" i="29"/>
  <c r="K7903" i="29"/>
  <c r="T7879" i="29"/>
  <c r="J7879" i="29"/>
  <c r="K7879" i="29"/>
  <c r="S7879" i="29"/>
  <c r="W792" i="29"/>
  <c r="W277" i="29"/>
  <c r="U277" i="29"/>
  <c r="W110" i="29"/>
  <c r="U110" i="29"/>
  <c r="S6603" i="29"/>
  <c r="T6603" i="29"/>
  <c r="J6603" i="29"/>
  <c r="K6603" i="29"/>
  <c r="S6694" i="29"/>
  <c r="T6694" i="29"/>
  <c r="J6694" i="29"/>
  <c r="K6694" i="29"/>
  <c r="S6699" i="29"/>
  <c r="T6699" i="29"/>
  <c r="J6699" i="29"/>
  <c r="K6699" i="29"/>
  <c r="S6772" i="29"/>
  <c r="T6772" i="29"/>
  <c r="J6772" i="29"/>
  <c r="K6772" i="29"/>
  <c r="T6910" i="29"/>
  <c r="J6910" i="29"/>
  <c r="K6910" i="29"/>
  <c r="S6910" i="29"/>
  <c r="T7142" i="29"/>
  <c r="J7142" i="29"/>
  <c r="K7142" i="29"/>
  <c r="S7142" i="29"/>
  <c r="J7390" i="29"/>
  <c r="T7590" i="29"/>
  <c r="J7590" i="29"/>
  <c r="S7590" i="29"/>
  <c r="T7595" i="29"/>
  <c r="J7595" i="29"/>
  <c r="K7595" i="29"/>
  <c r="S7595" i="29"/>
  <c r="S7687" i="29"/>
  <c r="T7687" i="29"/>
  <c r="J7687" i="29"/>
  <c r="K7687" i="29"/>
  <c r="S7939" i="29"/>
  <c r="T7939" i="29"/>
  <c r="J7939" i="29"/>
  <c r="J7878" i="29"/>
  <c r="K7878" i="29"/>
  <c r="J3964" i="29"/>
  <c r="K3964" i="29"/>
  <c r="T3368" i="29"/>
  <c r="J3071" i="29"/>
  <c r="K1735" i="29"/>
  <c r="W1243" i="29"/>
  <c r="K445" i="29"/>
  <c r="W410" i="29"/>
  <c r="W170" i="29"/>
  <c r="W131" i="29"/>
  <c r="W5397" i="29"/>
  <c r="T6526" i="29"/>
  <c r="J6526" i="29"/>
  <c r="S6526" i="29"/>
  <c r="S6688" i="29"/>
  <c r="T6678" i="29"/>
  <c r="J6678" i="29"/>
  <c r="K6678" i="29"/>
  <c r="S6678" i="29"/>
  <c r="T6898" i="29"/>
  <c r="J6898" i="29"/>
  <c r="K6898" i="29"/>
  <c r="S6898" i="29"/>
  <c r="T6922" i="29"/>
  <c r="J6922" i="29"/>
  <c r="K6922" i="29"/>
  <c r="S6919" i="29"/>
  <c r="T6919" i="29"/>
  <c r="J6919" i="29"/>
  <c r="J7013" i="29"/>
  <c r="K7013" i="29"/>
  <c r="T7069" i="29"/>
  <c r="J7069" i="29"/>
  <c r="K7069" i="29"/>
  <c r="T7339" i="29"/>
  <c r="J7339" i="29"/>
  <c r="S7339" i="29"/>
  <c r="S7300" i="29"/>
  <c r="T7300" i="29"/>
  <c r="J7300" i="29"/>
  <c r="K7300" i="29"/>
  <c r="S7409" i="29"/>
  <c r="T7409" i="29"/>
  <c r="J7409" i="29"/>
  <c r="K7409" i="29"/>
  <c r="S7833" i="29"/>
  <c r="T7833" i="29"/>
  <c r="J7833" i="29"/>
  <c r="T8100" i="29"/>
  <c r="J8100" i="29"/>
  <c r="S8100" i="29"/>
  <c r="S8073" i="29"/>
  <c r="T8073" i="29"/>
  <c r="J8073" i="29"/>
  <c r="K8073" i="29"/>
  <c r="J6395" i="29"/>
  <c r="T6548" i="29"/>
  <c r="J6548" i="29"/>
  <c r="T6723" i="29"/>
  <c r="J6723" i="29"/>
  <c r="T6745" i="29"/>
  <c r="J6829" i="29"/>
  <c r="K6829" i="29"/>
  <c r="T6926" i="29"/>
  <c r="J6926" i="29"/>
  <c r="K6926" i="29"/>
  <c r="S6916" i="29"/>
  <c r="T6916" i="29"/>
  <c r="J6916" i="29"/>
  <c r="K6916" i="29"/>
  <c r="J6991" i="29"/>
  <c r="K6991" i="29"/>
  <c r="S7038" i="29"/>
  <c r="T7038" i="29"/>
  <c r="J7038" i="29"/>
  <c r="J7147" i="29"/>
  <c r="K7147" i="29"/>
  <c r="T7165" i="29"/>
  <c r="J7165" i="29"/>
  <c r="K7165" i="29"/>
  <c r="S7165" i="29"/>
  <c r="T7276" i="29"/>
  <c r="J7276" i="29"/>
  <c r="K7276" i="29"/>
  <c r="S7276" i="29"/>
  <c r="S7336" i="29"/>
  <c r="T7336" i="29"/>
  <c r="J7336" i="29"/>
  <c r="K7336" i="29"/>
  <c r="S7298" i="29"/>
  <c r="T7298" i="29"/>
  <c r="J7298" i="29"/>
  <c r="K7298" i="29"/>
  <c r="T7283" i="29"/>
  <c r="J7283" i="29"/>
  <c r="K7283" i="29"/>
  <c r="S7283" i="29"/>
  <c r="T7398" i="29"/>
  <c r="J7398" i="29"/>
  <c r="K7398" i="29"/>
  <c r="T7407" i="29"/>
  <c r="J7407" i="29"/>
  <c r="K7407" i="29"/>
  <c r="S7407" i="29"/>
  <c r="S7422" i="29"/>
  <c r="S7458" i="29"/>
  <c r="T7458" i="29"/>
  <c r="J7458" i="29"/>
  <c r="K7458" i="29"/>
  <c r="S7622" i="29"/>
  <c r="T7622" i="29"/>
  <c r="J7622" i="29"/>
  <c r="K7622" i="29"/>
  <c r="S7645" i="29"/>
  <c r="T7770" i="29"/>
  <c r="J7770" i="29"/>
  <c r="S7770" i="29"/>
  <c r="J7924" i="29"/>
  <c r="U7924" i="29"/>
  <c r="S7900" i="29"/>
  <c r="T8099" i="29"/>
  <c r="J8099" i="29"/>
  <c r="K8099" i="29"/>
  <c r="S8099" i="29"/>
  <c r="T8072" i="29"/>
  <c r="J8072" i="29"/>
  <c r="K8072" i="29"/>
  <c r="S8072" i="29"/>
  <c r="T8060" i="29"/>
  <c r="J8060" i="29"/>
  <c r="W81" i="29"/>
  <c r="U81" i="29"/>
  <c r="J5589" i="29"/>
  <c r="K5589" i="29"/>
  <c r="J6332" i="29"/>
  <c r="J6815" i="29"/>
  <c r="J6825" i="29"/>
  <c r="K6825" i="29"/>
  <c r="J6911" i="29"/>
  <c r="K6911" i="29"/>
  <c r="S6973" i="29"/>
  <c r="S7077" i="29"/>
  <c r="T7077" i="29"/>
  <c r="J7077" i="29"/>
  <c r="K7077" i="29"/>
  <c r="T7294" i="29"/>
  <c r="J7294" i="29"/>
  <c r="K7294" i="29"/>
  <c r="S7308" i="29"/>
  <c r="T7308" i="29"/>
  <c r="J7308" i="29"/>
  <c r="K7308" i="29"/>
  <c r="S7379" i="29"/>
  <c r="T7379" i="29"/>
  <c r="J7379" i="29"/>
  <c r="T7395" i="29"/>
  <c r="J7395" i="29"/>
  <c r="K7395" i="29"/>
  <c r="S7395" i="29"/>
  <c r="S7511" i="29"/>
  <c r="T7511" i="29"/>
  <c r="J7511" i="29"/>
  <c r="K7511" i="29"/>
  <c r="T7581" i="29"/>
  <c r="J7581" i="29"/>
  <c r="K7581" i="29"/>
  <c r="S7581" i="29"/>
  <c r="T7603" i="29"/>
  <c r="J7603" i="29"/>
  <c r="K7603" i="29"/>
  <c r="S7603" i="29"/>
  <c r="J7677" i="29"/>
  <c r="T7695" i="29"/>
  <c r="J7695" i="29"/>
  <c r="S7695" i="29"/>
  <c r="S7935" i="29"/>
  <c r="T7935" i="29"/>
  <c r="J7935" i="29"/>
  <c r="K7935" i="29"/>
  <c r="T7985" i="29"/>
  <c r="J7985" i="29"/>
  <c r="K7985" i="29"/>
  <c r="S7985" i="29"/>
  <c r="J8098" i="29"/>
  <c r="K8098" i="29"/>
  <c r="S6535" i="29"/>
  <c r="T6535" i="29"/>
  <c r="J6535" i="29"/>
  <c r="K6535" i="29"/>
  <c r="W6982" i="29"/>
  <c r="J6982" i="29"/>
  <c r="S7057" i="29"/>
  <c r="T7057" i="29"/>
  <c r="J7057" i="29"/>
  <c r="K7057" i="29"/>
  <c r="T7419" i="29"/>
  <c r="J7419" i="29"/>
  <c r="S7419" i="29"/>
  <c r="S7442" i="29"/>
  <c r="T7442" i="29"/>
  <c r="J7442" i="29"/>
  <c r="K7442" i="29"/>
  <c r="T7651" i="29"/>
  <c r="S7651" i="29"/>
  <c r="T7708" i="29"/>
  <c r="S7708" i="29"/>
  <c r="S7773" i="29"/>
  <c r="T7773" i="29"/>
  <c r="J7773" i="29"/>
  <c r="S6750" i="29"/>
  <c r="T6750" i="29"/>
  <c r="S7549" i="29"/>
  <c r="T7549" i="29"/>
  <c r="J7549" i="29"/>
  <c r="K7549" i="29"/>
  <c r="J7579" i="29"/>
  <c r="K7579" i="29"/>
  <c r="J7589" i="29"/>
  <c r="K7589" i="29"/>
  <c r="S7616" i="29"/>
  <c r="T7616" i="29"/>
  <c r="J7616" i="29"/>
  <c r="K7616" i="29"/>
  <c r="T7761" i="29"/>
  <c r="J7761" i="29"/>
  <c r="K7761" i="29"/>
  <c r="S7761" i="29"/>
  <c r="S7818" i="29"/>
  <c r="T7818" i="29"/>
  <c r="J7818" i="29"/>
  <c r="K7818" i="29"/>
  <c r="S7806" i="29"/>
  <c r="T7806" i="29"/>
  <c r="J7806" i="29"/>
  <c r="S7873" i="29"/>
  <c r="T7873" i="29"/>
  <c r="J7873" i="29"/>
  <c r="K7873" i="29"/>
  <c r="S8033" i="29"/>
  <c r="T8033" i="29"/>
  <c r="J8033" i="29"/>
  <c r="K8033" i="29"/>
  <c r="W187" i="29"/>
  <c r="U187" i="29"/>
  <c r="W118" i="29"/>
  <c r="K116" i="29"/>
  <c r="K86" i="29"/>
  <c r="W20" i="29"/>
  <c r="S6570" i="29"/>
  <c r="T6570" i="29"/>
  <c r="J6570" i="29"/>
  <c r="K6570" i="29"/>
  <c r="J6531" i="29"/>
  <c r="K6531" i="29"/>
  <c r="T6628" i="29"/>
  <c r="J6628" i="29"/>
  <c r="S6628" i="29"/>
  <c r="S6667" i="29"/>
  <c r="T6667" i="29"/>
  <c r="J6667" i="29"/>
  <c r="K6667" i="29"/>
  <c r="T6724" i="29"/>
  <c r="J6724" i="29"/>
  <c r="K6724" i="29"/>
  <c r="S6724" i="29"/>
  <c r="J6869" i="29"/>
  <c r="K6869" i="29"/>
  <c r="S6951" i="29"/>
  <c r="J6992" i="29"/>
  <c r="K6992" i="29"/>
  <c r="T7067" i="29"/>
  <c r="J7067" i="29"/>
  <c r="K7067" i="29"/>
  <c r="T7265" i="29"/>
  <c r="J7265" i="29"/>
  <c r="K7265" i="29"/>
  <c r="S7265" i="29"/>
  <c r="S7227" i="29"/>
  <c r="T7227" i="29"/>
  <c r="J7227" i="29"/>
  <c r="K7227" i="29"/>
  <c r="T7758" i="29"/>
  <c r="J7758" i="29"/>
  <c r="U7758" i="29"/>
  <c r="S7758" i="29"/>
  <c r="T7876" i="29"/>
  <c r="J7876" i="29"/>
  <c r="K7876" i="29"/>
  <c r="J7980" i="29"/>
  <c r="K7980" i="29"/>
  <c r="J8014" i="29"/>
  <c r="K8014" i="29"/>
  <c r="T8029" i="29"/>
  <c r="J8029" i="29"/>
  <c r="K8029" i="29"/>
  <c r="S8029" i="29"/>
  <c r="T8027" i="29"/>
  <c r="J8027" i="29"/>
  <c r="K8027" i="29"/>
  <c r="J6599" i="29"/>
  <c r="K6599" i="29"/>
  <c r="J6790" i="29"/>
  <c r="T7021" i="29"/>
  <c r="W7021" i="29"/>
  <c r="S7021" i="29"/>
  <c r="S7083" i="29"/>
  <c r="T7083" i="29"/>
  <c r="J7083" i="29"/>
  <c r="K7083" i="29"/>
  <c r="T7149" i="29"/>
  <c r="J7149" i="29"/>
  <c r="K7149" i="29"/>
  <c r="S7149" i="29"/>
  <c r="T7344" i="29"/>
  <c r="W7344" i="29"/>
  <c r="S7344" i="29"/>
  <c r="J7375" i="29"/>
  <c r="K7375" i="29"/>
  <c r="T7416" i="29"/>
  <c r="J7416" i="29"/>
  <c r="S7416" i="29"/>
  <c r="S7760" i="29"/>
  <c r="T7760" i="29"/>
  <c r="J7760" i="29"/>
  <c r="K7760" i="29"/>
  <c r="J7890" i="29"/>
  <c r="K7890" i="29"/>
  <c r="T7921" i="29"/>
  <c r="J7921" i="29"/>
  <c r="S7921" i="29"/>
  <c r="T7954" i="29"/>
  <c r="J7954" i="29"/>
  <c r="K7954" i="29"/>
  <c r="S7954" i="29"/>
  <c r="T6583" i="29"/>
  <c r="J6583" i="29"/>
  <c r="J6549" i="29"/>
  <c r="K6549" i="29"/>
  <c r="T6676" i="29"/>
  <c r="W6676" i="29"/>
  <c r="J6695" i="29"/>
  <c r="K6695" i="29"/>
  <c r="J6700" i="29"/>
  <c r="K6700" i="29"/>
  <c r="J7124" i="29"/>
  <c r="K7124" i="29"/>
  <c r="J7167" i="29"/>
  <c r="K7167" i="29"/>
  <c r="T7273" i="29"/>
  <c r="J7273" i="29"/>
  <c r="K7273" i="29"/>
  <c r="S7273" i="29"/>
  <c r="S7615" i="29"/>
  <c r="T7615" i="29"/>
  <c r="J7615" i="29"/>
  <c r="K7615" i="29"/>
  <c r="J7661" i="29"/>
  <c r="U7661" i="29"/>
  <c r="S7682" i="29"/>
  <c r="T7682" i="29"/>
  <c r="J7682" i="29"/>
  <c r="K7682" i="29"/>
  <c r="S7886" i="29"/>
  <c r="T7886" i="29"/>
  <c r="J7886" i="29"/>
  <c r="K7886" i="29"/>
  <c r="S7650" i="29"/>
  <c r="T7650" i="29"/>
  <c r="T7667" i="29"/>
  <c r="J7667" i="29"/>
  <c r="K7667" i="29"/>
  <c r="S7667" i="29"/>
  <c r="J7752" i="29"/>
  <c r="S7846" i="29"/>
  <c r="T7846" i="29"/>
  <c r="J7846" i="29"/>
  <c r="K7846" i="29"/>
  <c r="S7832" i="29"/>
  <c r="T7832" i="29"/>
  <c r="J7832" i="29"/>
  <c r="T7982" i="29"/>
  <c r="J7982" i="29"/>
  <c r="K7982" i="29"/>
  <c r="S7982" i="29"/>
  <c r="T8005" i="29"/>
  <c r="J8005" i="29"/>
  <c r="K8005" i="29"/>
  <c r="S8005" i="29"/>
  <c r="T8012" i="29"/>
  <c r="J8012" i="29"/>
  <c r="K8012" i="29"/>
  <c r="S8012" i="29"/>
  <c r="J8086" i="29"/>
  <c r="S8032" i="29"/>
  <c r="T8032" i="29"/>
  <c r="J8032" i="29"/>
  <c r="K8032" i="29"/>
  <c r="J6870" i="29"/>
  <c r="K6870" i="29"/>
  <c r="S6944" i="29"/>
  <c r="S7160" i="29"/>
  <c r="T7160" i="29"/>
  <c r="J7160" i="29"/>
  <c r="K7160" i="29"/>
  <c r="T7181" i="29"/>
  <c r="J7181" i="29"/>
  <c r="K7181" i="29"/>
  <c r="S7181" i="29"/>
  <c r="T7292" i="29"/>
  <c r="J7292" i="29"/>
  <c r="S7354" i="29"/>
  <c r="T7354" i="29"/>
  <c r="J7354" i="29"/>
  <c r="K7354" i="29"/>
  <c r="S7408" i="29"/>
  <c r="T7408" i="29"/>
  <c r="J7408" i="29"/>
  <c r="K7408" i="29"/>
  <c r="T7522" i="29"/>
  <c r="J7522" i="29"/>
  <c r="S7522" i="29"/>
  <c r="T7710" i="29"/>
  <c r="J7710" i="29"/>
  <c r="K7710" i="29"/>
  <c r="T7830" i="29"/>
  <c r="J7830" i="29"/>
  <c r="K7830" i="29"/>
  <c r="S7830" i="29"/>
  <c r="J7983" i="29"/>
  <c r="J7274" i="29"/>
  <c r="K7274" i="29"/>
  <c r="S7317" i="29"/>
  <c r="T7317" i="29"/>
  <c r="J7317" i="29"/>
  <c r="J7669" i="29"/>
  <c r="K7669" i="29"/>
  <c r="J7984" i="29"/>
  <c r="K7984" i="29"/>
  <c r="J6944" i="29"/>
  <c r="T7433" i="29"/>
  <c r="J7433" i="29"/>
  <c r="K7433" i="29"/>
  <c r="S7433" i="29"/>
  <c r="S7529" i="29"/>
  <c r="T7529" i="29"/>
  <c r="J7529" i="29"/>
  <c r="K7529" i="29"/>
  <c r="J7515" i="29"/>
  <c r="K7515" i="29"/>
  <c r="S7499" i="29"/>
  <c r="T7499" i="29"/>
  <c r="S7753" i="29"/>
  <c r="T7753" i="29"/>
  <c r="J7753" i="29"/>
  <c r="U7753" i="29"/>
  <c r="T7929" i="29"/>
  <c r="J7929" i="29"/>
  <c r="K7929" i="29"/>
  <c r="S7929" i="29"/>
  <c r="J7302" i="29"/>
  <c r="S7486" i="29"/>
  <c r="T7575" i="29"/>
  <c r="J7575" i="29"/>
  <c r="K7575" i="29"/>
  <c r="J7244" i="29"/>
  <c r="K7244" i="29"/>
  <c r="J7790" i="29"/>
  <c r="K7790" i="29"/>
  <c r="W3529" i="29"/>
  <c r="J3529" i="29"/>
  <c r="S3368" i="29"/>
  <c r="T2852" i="29"/>
  <c r="J2852" i="29"/>
  <c r="S3611" i="29"/>
  <c r="T3611" i="29"/>
  <c r="J3611" i="29"/>
  <c r="T3631" i="29"/>
  <c r="J3631" i="29"/>
  <c r="S3631" i="29"/>
  <c r="S3617" i="29"/>
  <c r="T3617" i="29"/>
  <c r="J3617" i="29"/>
  <c r="K3617" i="29"/>
  <c r="J2093" i="29"/>
  <c r="W2087" i="29"/>
  <c r="J2087" i="29"/>
  <c r="S2057" i="29"/>
  <c r="T2057" i="29"/>
  <c r="W2057" i="29"/>
  <c r="U2057" i="29"/>
  <c r="W2011" i="29"/>
  <c r="J2011" i="29"/>
  <c r="W1937" i="29"/>
  <c r="K2209" i="29"/>
  <c r="K482" i="29"/>
  <c r="T2071" i="29"/>
  <c r="W2071" i="29"/>
  <c r="U2071" i="29"/>
  <c r="S2071" i="29"/>
  <c r="T4097" i="29"/>
  <c r="W4097" i="29"/>
  <c r="S4097" i="29"/>
  <c r="W2096" i="29"/>
  <c r="J2096" i="29"/>
  <c r="T2020" i="29"/>
  <c r="S2020" i="29"/>
  <c r="W3430" i="29"/>
  <c r="J3430" i="29"/>
  <c r="T4598" i="29"/>
  <c r="J4598" i="29"/>
  <c r="T4025" i="29"/>
  <c r="J4025" i="29"/>
  <c r="S4025" i="29"/>
  <c r="S3614" i="29"/>
  <c r="T3614" i="29"/>
  <c r="J3614" i="29"/>
  <c r="T3371" i="29"/>
  <c r="S3371" i="29"/>
  <c r="T2809" i="29"/>
  <c r="S2809" i="29"/>
  <c r="S2782" i="29"/>
  <c r="T2782" i="29"/>
  <c r="T1988" i="29"/>
  <c r="J1988" i="29"/>
  <c r="S1988" i="29"/>
  <c r="W1983" i="29"/>
  <c r="T4196" i="29"/>
  <c r="J4196" i="29"/>
  <c r="S4196" i="29"/>
  <c r="T4091" i="29"/>
  <c r="J4091" i="29"/>
  <c r="S4091" i="29"/>
  <c r="T4085" i="29"/>
  <c r="S4085" i="29"/>
  <c r="T2794" i="29"/>
  <c r="S2794" i="29"/>
  <c r="S4088" i="29"/>
  <c r="T4088" i="29"/>
  <c r="S2214" i="29"/>
  <c r="T2214" i="29"/>
  <c r="S4691" i="29"/>
  <c r="T4691" i="29"/>
  <c r="J4691" i="29"/>
  <c r="S4669" i="29"/>
  <c r="T4669" i="29"/>
  <c r="J4669" i="29"/>
  <c r="T4607" i="29"/>
  <c r="S4607" i="29"/>
  <c r="S2236" i="29"/>
  <c r="T2236" i="29"/>
  <c r="T2229" i="29"/>
  <c r="J2229" i="29"/>
  <c r="S2229" i="29"/>
  <c r="S2226" i="29"/>
  <c r="T2226" i="29"/>
  <c r="W2226" i="29"/>
  <c r="U2226" i="29"/>
  <c r="T5421" i="29"/>
  <c r="S5421" i="29"/>
  <c r="S5265" i="29"/>
  <c r="T5265" i="29"/>
  <c r="J5265" i="29"/>
  <c r="S5510" i="29"/>
  <c r="T5510" i="29"/>
  <c r="J5510" i="29"/>
  <c r="S5486" i="29"/>
  <c r="T5486" i="29"/>
  <c r="J5486" i="29"/>
  <c r="K5486" i="29"/>
  <c r="T5581" i="29"/>
  <c r="J5581" i="29"/>
  <c r="S5581" i="29"/>
  <c r="W472" i="29"/>
  <c r="J472" i="29"/>
  <c r="T4825" i="29"/>
  <c r="J4825" i="29"/>
  <c r="S4825" i="29"/>
  <c r="T4816" i="29"/>
  <c r="S4816" i="29"/>
  <c r="S4810" i="29"/>
  <c r="T4810" i="29"/>
  <c r="S4715" i="29"/>
  <c r="T4715" i="29"/>
  <c r="J4715" i="29"/>
  <c r="T4706" i="29"/>
  <c r="J4706" i="29"/>
  <c r="S4706" i="29"/>
  <c r="S4703" i="29"/>
  <c r="T4703" i="29"/>
  <c r="J4703" i="29"/>
  <c r="S4695" i="29"/>
  <c r="T4695" i="29"/>
  <c r="J4695" i="29"/>
  <c r="T2329" i="29"/>
  <c r="W2329" i="29"/>
  <c r="U2329" i="29"/>
  <c r="S2329" i="29"/>
  <c r="T2302" i="29"/>
  <c r="W2302" i="29"/>
  <c r="S2302" i="29"/>
  <c r="T2282" i="29"/>
  <c r="W2282" i="29"/>
  <c r="S2282" i="29"/>
  <c r="S2239" i="29"/>
  <c r="T2239" i="29"/>
  <c r="T2013" i="29"/>
  <c r="S2013" i="29"/>
  <c r="K929" i="29"/>
  <c r="K89" i="29"/>
  <c r="K6" i="29"/>
  <c r="S5234" i="29"/>
  <c r="T5234" i="29"/>
  <c r="J5234" i="29"/>
  <c r="T5283" i="29"/>
  <c r="S5283" i="29"/>
  <c r="T5333" i="29"/>
  <c r="J5333" i="29"/>
  <c r="S5333" i="29"/>
  <c r="T5578" i="29"/>
  <c r="S5578" i="29"/>
  <c r="S6522" i="29"/>
  <c r="T6522" i="29"/>
  <c r="J6522" i="29"/>
  <c r="K6522" i="29"/>
  <c r="T6833" i="29"/>
  <c r="J6833" i="29"/>
  <c r="S6833" i="29"/>
  <c r="T7600" i="29"/>
  <c r="J7600" i="29"/>
  <c r="S7600" i="29"/>
  <c r="T6430" i="29"/>
  <c r="J6430" i="29"/>
  <c r="S6430" i="29"/>
  <c r="T6691" i="29"/>
  <c r="J6691" i="29"/>
  <c r="S6691" i="29"/>
  <c r="K2226" i="29"/>
  <c r="K47" i="29"/>
  <c r="T2220" i="29"/>
  <c r="S2220" i="29"/>
  <c r="S8049" i="29"/>
  <c r="T8049" i="29"/>
  <c r="W2789" i="29"/>
  <c r="J2789" i="29"/>
  <c r="S7018" i="29"/>
  <c r="T7018" i="29"/>
  <c r="J7018" i="29"/>
  <c r="K7018" i="29"/>
  <c r="K617" i="29"/>
  <c r="W5086" i="29"/>
  <c r="J5086" i="29"/>
  <c r="K48" i="29"/>
  <c r="W3099" i="29"/>
  <c r="S3239" i="29"/>
  <c r="T3239" i="29"/>
  <c r="J3239" i="29"/>
  <c r="T6345" i="29"/>
  <c r="J6345" i="29"/>
  <c r="S6345" i="29"/>
  <c r="J1993" i="29"/>
  <c r="W1993" i="29"/>
  <c r="J4735" i="29"/>
  <c r="W1101" i="29"/>
  <c r="S4718" i="29"/>
  <c r="J2966" i="29"/>
  <c r="W2966" i="29"/>
  <c r="J5109" i="29"/>
  <c r="W5109" i="29"/>
  <c r="K3393" i="29"/>
  <c r="W4946" i="29"/>
  <c r="J4946" i="29"/>
  <c r="W2105" i="29"/>
  <c r="J2250" i="29"/>
  <c r="W2250" i="29"/>
  <c r="T6400" i="29"/>
  <c r="J6400" i="29"/>
  <c r="S6400" i="29"/>
  <c r="J364" i="29"/>
  <c r="T8048" i="29"/>
  <c r="J8048" i="29"/>
  <c r="K8048" i="29"/>
  <c r="S8048" i="29"/>
  <c r="T5904" i="29"/>
  <c r="J5904" i="29"/>
  <c r="S5904" i="29"/>
  <c r="S6981" i="29"/>
  <c r="T6981" i="29"/>
  <c r="J6981" i="29"/>
  <c r="K6981" i="29"/>
  <c r="J2857" i="29"/>
  <c r="J4310" i="29"/>
  <c r="K752" i="29"/>
  <c r="S8061" i="29"/>
  <c r="T8061" i="29"/>
  <c r="J8061" i="29"/>
  <c r="K8061" i="29"/>
  <c r="S4721" i="29"/>
  <c r="T2349" i="29"/>
  <c r="S2349" i="29"/>
  <c r="J2338" i="29"/>
  <c r="W2338" i="29"/>
  <c r="S2279" i="29"/>
  <c r="T2279" i="29"/>
  <c r="W2279" i="29"/>
  <c r="S6623" i="29"/>
  <c r="T6623" i="29"/>
  <c r="J6623" i="29"/>
  <c r="T5017" i="29"/>
  <c r="J5017" i="29"/>
  <c r="K2615" i="29"/>
  <c r="S2552" i="29"/>
  <c r="T2552" i="29"/>
  <c r="W2552" i="29"/>
  <c r="U2552" i="29"/>
  <c r="T2549" i="29"/>
  <c r="J2549" i="29"/>
  <c r="S2549" i="29"/>
  <c r="W1050" i="29"/>
  <c r="J1050" i="29"/>
  <c r="S4806" i="29"/>
  <c r="T4806" i="29"/>
  <c r="W4806" i="29"/>
  <c r="T4796" i="29"/>
  <c r="J4796" i="29"/>
  <c r="S4796" i="29"/>
  <c r="T2575" i="29"/>
  <c r="W2575" i="29"/>
  <c r="S2575" i="29"/>
  <c r="T2519" i="29"/>
  <c r="W2519" i="29"/>
  <c r="U2519" i="29"/>
  <c r="S2519" i="29"/>
  <c r="T3302" i="29"/>
  <c r="W1136" i="29"/>
  <c r="J1136" i="29"/>
  <c r="S4918" i="29"/>
  <c r="T4918" i="29"/>
  <c r="S4262" i="29"/>
  <c r="T4262" i="29"/>
  <c r="W4655" i="29"/>
  <c r="J4655" i="29"/>
  <c r="T4933" i="29"/>
  <c r="S4933" i="29"/>
  <c r="S4873" i="29"/>
  <c r="T4873" i="29"/>
  <c r="T4526" i="29"/>
  <c r="S4526" i="29"/>
  <c r="S4370" i="29"/>
  <c r="T4370" i="29"/>
  <c r="W4367" i="29"/>
  <c r="J4367" i="29"/>
  <c r="S4355" i="29"/>
  <c r="T4355" i="29"/>
  <c r="T4342" i="29"/>
  <c r="J4342" i="29"/>
  <c r="S4342" i="29"/>
  <c r="T4326" i="29"/>
  <c r="S4326" i="29"/>
  <c r="J4284" i="29"/>
  <c r="T4265" i="29"/>
  <c r="J4265" i="29"/>
  <c r="S4265" i="29"/>
  <c r="J3125" i="29"/>
  <c r="T2892" i="29"/>
  <c r="S2892" i="29"/>
  <c r="W2883" i="29"/>
  <c r="T2877" i="29"/>
  <c r="S2877" i="29"/>
  <c r="S4876" i="29"/>
  <c r="T4876" i="29"/>
  <c r="T4213" i="29"/>
  <c r="S4213" i="29"/>
  <c r="S4210" i="29"/>
  <c r="T4210" i="29"/>
  <c r="J3195" i="29"/>
  <c r="U3185" i="29"/>
  <c r="K3185" i="29"/>
  <c r="S3182" i="29"/>
  <c r="T3182" i="29"/>
  <c r="J3182" i="29"/>
  <c r="S3179" i="29"/>
  <c r="T3179" i="29"/>
  <c r="J3179" i="29"/>
  <c r="S2391" i="29"/>
  <c r="T2391" i="29"/>
  <c r="J2391" i="29"/>
  <c r="S4225" i="29"/>
  <c r="T4225" i="29"/>
  <c r="S4222" i="29"/>
  <c r="T4222" i="29"/>
  <c r="J4222" i="29"/>
  <c r="S2530" i="29"/>
  <c r="T2530" i="29"/>
  <c r="S2524" i="29"/>
  <c r="T2524" i="29"/>
  <c r="W2524" i="29"/>
  <c r="S2521" i="29"/>
  <c r="T2521" i="29"/>
  <c r="W2521" i="29"/>
  <c r="U2521" i="29"/>
  <c r="T4941" i="29"/>
  <c r="K2681" i="29"/>
  <c r="J2545" i="29"/>
  <c r="W2545" i="29"/>
  <c r="W4948" i="29"/>
  <c r="W4541" i="29"/>
  <c r="J4541" i="29"/>
  <c r="S2761" i="29"/>
  <c r="T2761" i="29"/>
  <c r="W2332" i="29"/>
  <c r="J2332" i="29"/>
  <c r="K2329" i="29"/>
  <c r="S2293" i="29"/>
  <c r="T2293" i="29"/>
  <c r="J2293" i="29"/>
  <c r="J3489" i="29"/>
  <c r="S2828" i="29"/>
  <c r="T2828" i="29"/>
  <c r="J2828" i="29"/>
  <c r="T2797" i="29"/>
  <c r="S2797" i="29"/>
  <c r="S2745" i="29"/>
  <c r="T2745" i="29"/>
  <c r="J2745" i="29"/>
  <c r="J2420" i="29"/>
  <c r="J2334" i="29"/>
  <c r="W2334" i="29"/>
  <c r="T2313" i="29"/>
  <c r="S2313" i="29"/>
  <c r="T4595" i="29"/>
  <c r="J4595" i="29"/>
  <c r="S4595" i="29"/>
  <c r="T4094" i="29"/>
  <c r="J4094" i="29"/>
  <c r="S4094" i="29"/>
  <c r="S4007" i="29"/>
  <c r="T4007" i="29"/>
  <c r="J4007" i="29"/>
  <c r="K4007" i="29"/>
  <c r="S3605" i="29"/>
  <c r="T3605" i="29"/>
  <c r="J3605" i="29"/>
  <c r="S2855" i="29"/>
  <c r="T2855" i="29"/>
  <c r="J2855" i="29"/>
  <c r="T2849" i="29"/>
  <c r="J2849" i="29"/>
  <c r="S2849" i="29"/>
  <c r="S2819" i="29"/>
  <c r="T2819" i="29"/>
  <c r="J2819" i="29"/>
  <c r="S2770" i="29"/>
  <c r="T2770" i="29"/>
  <c r="S2751" i="29"/>
  <c r="T2751" i="29"/>
  <c r="J2751" i="29"/>
  <c r="T2732" i="29"/>
  <c r="S2732" i="29"/>
  <c r="T2602" i="29"/>
  <c r="S2602" i="29"/>
  <c r="T2456" i="29"/>
  <c r="W2456" i="29"/>
  <c r="U2456" i="29"/>
  <c r="S2456" i="29"/>
  <c r="S4828" i="29"/>
  <c r="T4828" i="29"/>
  <c r="J4828" i="29"/>
  <c r="S4807" i="29"/>
  <c r="T4807" i="29"/>
  <c r="T4685" i="29"/>
  <c r="S4685" i="29"/>
  <c r="S4623" i="29"/>
  <c r="T4623" i="29"/>
  <c r="J4623" i="29"/>
  <c r="K4623" i="29"/>
  <c r="S4601" i="29"/>
  <c r="T4601" i="29"/>
  <c r="T4103" i="29"/>
  <c r="S4103" i="29"/>
  <c r="T4100" i="29"/>
  <c r="S4100" i="29"/>
  <c r="S4040" i="29"/>
  <c r="T4040" i="29"/>
  <c r="J4040" i="29"/>
  <c r="S3981" i="29"/>
  <c r="T3981" i="29"/>
  <c r="S3692" i="29"/>
  <c r="T3692" i="29"/>
  <c r="S3387" i="29"/>
  <c r="T3387" i="29"/>
  <c r="J3387" i="29"/>
  <c r="S3377" i="29"/>
  <c r="T3377" i="29"/>
  <c r="T3317" i="29"/>
  <c r="S3317" i="29"/>
  <c r="T2381" i="29"/>
  <c r="W2381" i="29"/>
  <c r="U2381" i="29"/>
  <c r="J4985" i="29"/>
  <c r="S4852" i="29"/>
  <c r="T4852" i="29"/>
  <c r="J4629" i="29"/>
  <c r="S4377" i="29"/>
  <c r="T4377" i="29"/>
  <c r="J4377" i="29"/>
  <c r="S4368" i="29"/>
  <c r="T4368" i="29"/>
  <c r="J4368" i="29"/>
  <c r="K4368" i="29"/>
  <c r="T4343" i="29"/>
  <c r="J4343" i="29"/>
  <c r="S4343" i="29"/>
  <c r="S4327" i="29"/>
  <c r="T4327" i="29"/>
  <c r="J4389" i="29"/>
  <c r="W4389" i="29"/>
  <c r="T3783" i="29"/>
  <c r="W3783" i="29"/>
  <c r="U3783" i="29"/>
  <c r="S3783" i="29"/>
  <c r="S3695" i="29"/>
  <c r="T3695" i="29"/>
  <c r="J3695" i="29"/>
  <c r="J2127" i="29"/>
  <c r="K1094" i="29"/>
  <c r="S1071" i="29"/>
  <c r="T1071" i="29"/>
  <c r="W1071" i="29"/>
  <c r="U1071" i="29"/>
  <c r="J1054" i="29"/>
  <c r="J826" i="29"/>
  <c r="S793" i="29"/>
  <c r="T793" i="29"/>
  <c r="W793" i="29"/>
  <c r="U793" i="29"/>
  <c r="S551" i="29"/>
  <c r="T551" i="29"/>
  <c r="W551" i="29"/>
  <c r="S525" i="29"/>
  <c r="T525" i="29"/>
  <c r="W525" i="29"/>
  <c r="K520" i="29"/>
  <c r="S413" i="29"/>
  <c r="T413" i="29"/>
  <c r="W413" i="29"/>
  <c r="U413" i="29"/>
  <c r="J401" i="29"/>
  <c r="K387" i="29"/>
  <c r="K342" i="29"/>
  <c r="S332" i="29"/>
  <c r="T332" i="29"/>
  <c r="K232" i="29"/>
  <c r="S4451" i="29"/>
  <c r="T4451" i="29"/>
  <c r="S1871" i="29"/>
  <c r="T1871" i="29"/>
  <c r="J1871" i="29"/>
  <c r="S1598" i="29"/>
  <c r="T1598" i="29"/>
  <c r="J1598" i="29"/>
  <c r="K1088" i="29"/>
  <c r="J979" i="29"/>
  <c r="W979" i="29"/>
  <c r="J832" i="29"/>
  <c r="W832" i="29"/>
  <c r="J557" i="29"/>
  <c r="K447" i="29"/>
  <c r="J419" i="29"/>
  <c r="T351" i="29"/>
  <c r="W351" i="29"/>
  <c r="S351" i="29"/>
  <c r="T6499" i="29"/>
  <c r="S6499" i="29"/>
  <c r="S4433" i="29"/>
  <c r="T4433" i="29"/>
  <c r="T4250" i="29"/>
  <c r="T4235" i="29"/>
  <c r="S4235" i="29"/>
  <c r="S3380" i="29"/>
  <c r="S5002" i="29"/>
  <c r="T5002" i="29"/>
  <c r="T4829" i="29"/>
  <c r="J4829" i="29"/>
  <c r="S4829" i="29"/>
  <c r="S4826" i="29"/>
  <c r="T4826" i="29"/>
  <c r="J4826" i="29"/>
  <c r="T4507" i="29"/>
  <c r="J4507" i="29"/>
  <c r="S4507" i="29"/>
  <c r="T4192" i="29"/>
  <c r="J4192" i="29"/>
  <c r="S4192" i="29"/>
  <c r="T4176" i="29"/>
  <c r="J4176" i="29"/>
  <c r="S4176" i="29"/>
  <c r="T4087" i="29"/>
  <c r="S4087" i="29"/>
  <c r="S2986" i="29"/>
  <c r="T2986" i="29"/>
  <c r="W2986" i="29"/>
  <c r="U2986" i="29"/>
  <c r="T2890" i="29"/>
  <c r="S2890" i="29"/>
  <c r="S2604" i="29"/>
  <c r="T2604" i="29"/>
  <c r="J1903" i="29"/>
  <c r="W1903" i="29"/>
  <c r="S1182" i="29"/>
  <c r="T1182" i="29"/>
  <c r="S4592" i="29"/>
  <c r="T4592" i="29"/>
  <c r="T1908" i="29"/>
  <c r="W1908" i="29"/>
  <c r="S1908" i="29"/>
  <c r="S1894" i="29"/>
  <c r="T1894" i="29"/>
  <c r="D43" i="30"/>
  <c r="D18" i="30"/>
  <c r="J59" i="29"/>
  <c r="S5348" i="29"/>
  <c r="T5348" i="29"/>
  <c r="T5450" i="29"/>
  <c r="J5450" i="29"/>
  <c r="S5450" i="29"/>
  <c r="S6568" i="29"/>
  <c r="T6568" i="29"/>
  <c r="J6568" i="29"/>
  <c r="K6568" i="29"/>
  <c r="T4903" i="29"/>
  <c r="J4903" i="29"/>
  <c r="S4903" i="29"/>
  <c r="S4890" i="29"/>
  <c r="T4890" i="29"/>
  <c r="J4890" i="29"/>
  <c r="T4740" i="29"/>
  <c r="J4740" i="29"/>
  <c r="S4740" i="29"/>
  <c r="T3731" i="29"/>
  <c r="J3731" i="29"/>
  <c r="S3731" i="29"/>
  <c r="K2081" i="29"/>
  <c r="K2078" i="29"/>
  <c r="T1911" i="29"/>
  <c r="W1911" i="29"/>
  <c r="U1911" i="29"/>
  <c r="S1911" i="29"/>
  <c r="S1279" i="29"/>
  <c r="T1279" i="29"/>
  <c r="W1279" i="29"/>
  <c r="U1279" i="29"/>
  <c r="S4912" i="29"/>
  <c r="T4912" i="29"/>
  <c r="J4912" i="29"/>
  <c r="T4909" i="29"/>
  <c r="J4909" i="29"/>
  <c r="S4909" i="29"/>
  <c r="S4766" i="29"/>
  <c r="T4766" i="29"/>
  <c r="J4766" i="29"/>
  <c r="S4727" i="29"/>
  <c r="T4727" i="29"/>
  <c r="J4727" i="29"/>
  <c r="S4560" i="29"/>
  <c r="T4560" i="29"/>
  <c r="J4560" i="29"/>
  <c r="S3891" i="29"/>
  <c r="T3891" i="29"/>
  <c r="J3891" i="29"/>
  <c r="S3876" i="29"/>
  <c r="T3876" i="29"/>
  <c r="J3876" i="29"/>
  <c r="S2291" i="29"/>
  <c r="T2291" i="29"/>
  <c r="J2291" i="29"/>
  <c r="W1931" i="29"/>
  <c r="J1931" i="29"/>
  <c r="T4938" i="29"/>
  <c r="T4861" i="29"/>
  <c r="J4861" i="29"/>
  <c r="K4861" i="29"/>
  <c r="S4861" i="29"/>
  <c r="T4743" i="29"/>
  <c r="S4743" i="29"/>
  <c r="S3165" i="29"/>
  <c r="T3165" i="29"/>
  <c r="T2842" i="29"/>
  <c r="S2842" i="29"/>
  <c r="K2023" i="29"/>
  <c r="J1758" i="29"/>
  <c r="J1243" i="29"/>
  <c r="J1105" i="29"/>
  <c r="T594" i="29"/>
  <c r="W594" i="29"/>
  <c r="S594" i="29"/>
  <c r="T470" i="29"/>
  <c r="S470" i="29"/>
  <c r="T400" i="29"/>
  <c r="W400" i="29"/>
  <c r="U400" i="29"/>
  <c r="S400" i="29"/>
  <c r="T5932" i="29"/>
  <c r="J5932" i="29"/>
  <c r="S5932" i="29"/>
  <c r="T6024" i="29"/>
  <c r="J6024" i="29"/>
  <c r="S6024" i="29"/>
  <c r="T6073" i="29"/>
  <c r="J6073" i="29"/>
  <c r="S6073" i="29"/>
  <c r="S4917" i="29"/>
  <c r="T4917" i="29"/>
  <c r="T4746" i="29"/>
  <c r="S4746" i="29"/>
  <c r="S1269" i="29"/>
  <c r="T1269" i="29"/>
  <c r="W1269" i="29"/>
  <c r="U1269" i="29"/>
  <c r="T5090" i="29"/>
  <c r="S5090" i="29"/>
  <c r="S5914" i="29"/>
  <c r="T5914" i="29"/>
  <c r="J5914" i="29"/>
  <c r="S6576" i="29"/>
  <c r="T6576" i="29"/>
  <c r="J6576" i="29"/>
  <c r="T5012" i="29"/>
  <c r="J5012" i="29"/>
  <c r="S5012" i="29"/>
  <c r="S4995" i="29"/>
  <c r="T4995" i="29"/>
  <c r="S4765" i="29"/>
  <c r="T4765" i="29"/>
  <c r="J4765" i="29"/>
  <c r="T4249" i="29"/>
  <c r="S4249" i="29"/>
  <c r="S4216" i="29"/>
  <c r="T4216" i="29"/>
  <c r="J4216" i="29"/>
  <c r="S3846" i="29"/>
  <c r="T3846" i="29"/>
  <c r="J3846" i="29"/>
  <c r="S3576" i="29"/>
  <c r="T3576" i="29"/>
  <c r="J3576" i="29"/>
  <c r="S3542" i="29"/>
  <c r="T3542" i="29"/>
  <c r="J3542" i="29"/>
  <c r="S2601" i="29"/>
  <c r="T2601" i="29"/>
  <c r="J2488" i="29"/>
  <c r="W2488" i="29"/>
  <c r="T2312" i="29"/>
  <c r="J2312" i="29"/>
  <c r="S2312" i="29"/>
  <c r="T2076" i="29"/>
  <c r="W2076" i="29"/>
  <c r="U2076" i="29"/>
  <c r="S2076" i="29"/>
  <c r="T4818" i="29"/>
  <c r="S4818" i="29"/>
  <c r="S3915" i="29"/>
  <c r="T3915" i="29"/>
  <c r="S2595" i="29"/>
  <c r="T2595" i="29"/>
  <c r="T2541" i="29"/>
  <c r="J2541" i="29"/>
  <c r="S2541" i="29"/>
  <c r="J2494" i="29"/>
  <c r="W2494" i="29"/>
  <c r="J2403" i="29"/>
  <c r="T5162" i="29"/>
  <c r="J5162" i="29"/>
  <c r="S5162" i="29"/>
  <c r="T5343" i="29"/>
  <c r="S5343" i="29"/>
  <c r="S5514" i="29"/>
  <c r="T5514" i="29"/>
  <c r="J5514" i="29"/>
  <c r="T4609" i="29"/>
  <c r="J4609" i="29"/>
  <c r="S4609" i="29"/>
  <c r="T4505" i="29"/>
  <c r="J4505" i="29"/>
  <c r="K2744" i="29"/>
  <c r="T1590" i="29"/>
  <c r="S1590" i="29"/>
  <c r="S721" i="29"/>
  <c r="T721" i="29"/>
  <c r="W721" i="29"/>
  <c r="U721" i="29"/>
  <c r="T5053" i="29"/>
  <c r="J5053" i="29"/>
  <c r="S5053" i="29"/>
  <c r="S5513" i="29"/>
  <c r="T5513" i="29"/>
  <c r="J5513" i="29"/>
  <c r="S5584" i="29"/>
  <c r="T5584" i="29"/>
  <c r="J5584" i="29"/>
  <c r="T6137" i="29"/>
  <c r="J6137" i="29"/>
  <c r="S6137" i="29"/>
  <c r="S4524" i="29"/>
  <c r="T4524" i="29"/>
  <c r="J4524" i="29"/>
  <c r="S4464" i="29"/>
  <c r="T4464" i="29"/>
  <c r="J4464" i="29"/>
  <c r="S3985" i="29"/>
  <c r="T3985" i="29"/>
  <c r="T3952" i="29"/>
  <c r="J3952" i="29"/>
  <c r="S3952" i="29"/>
  <c r="T2715" i="29"/>
  <c r="J2715" i="29"/>
  <c r="S4575" i="29"/>
  <c r="S4200" i="29"/>
  <c r="T4061" i="29"/>
  <c r="W4061" i="29"/>
  <c r="S4061" i="29"/>
  <c r="S3110" i="29"/>
  <c r="V3110" i="29"/>
  <c r="J2272" i="29"/>
  <c r="K2227" i="29"/>
  <c r="T2052" i="29"/>
  <c r="W2052" i="29"/>
  <c r="U2052" i="29"/>
  <c r="S2052" i="29"/>
  <c r="T1502" i="29"/>
  <c r="W1502" i="29"/>
  <c r="U1502" i="29"/>
  <c r="S1502" i="29"/>
  <c r="J632" i="29"/>
  <c r="S4344" i="29"/>
  <c r="T4050" i="29"/>
  <c r="J4050" i="29"/>
  <c r="T4273" i="29"/>
  <c r="J4273" i="29"/>
  <c r="T4906" i="29"/>
  <c r="J4906" i="29"/>
  <c r="S4906" i="29"/>
  <c r="S4840" i="29"/>
  <c r="T4840" i="29"/>
  <c r="J4840" i="29"/>
  <c r="T4137" i="29"/>
  <c r="J4137" i="29"/>
  <c r="S4137" i="29"/>
  <c r="S4004" i="29"/>
  <c r="T4004" i="29"/>
  <c r="J4004" i="29"/>
  <c r="K4004" i="29"/>
  <c r="S3769" i="29"/>
  <c r="T3769" i="29"/>
  <c r="V3769" i="29"/>
  <c r="T3434" i="29"/>
  <c r="J3434" i="29"/>
  <c r="S3434" i="29"/>
  <c r="J2496" i="29"/>
  <c r="S2170" i="29"/>
  <c r="T2170" i="29"/>
  <c r="S1972" i="29"/>
  <c r="T1972" i="29"/>
  <c r="J1768" i="29"/>
  <c r="W1768" i="29"/>
  <c r="T4755" i="29"/>
  <c r="T3674" i="29"/>
  <c r="J3674" i="29"/>
  <c r="S4849" i="29"/>
  <c r="T4849" i="29"/>
  <c r="J4849" i="29"/>
  <c r="T3671" i="29"/>
  <c r="J3671" i="29"/>
  <c r="T3638" i="29"/>
  <c r="J3638" i="29"/>
  <c r="T2875" i="29"/>
  <c r="W2875" i="29"/>
  <c r="T5113" i="29"/>
  <c r="S5113" i="29"/>
  <c r="T5054" i="29"/>
  <c r="J5054" i="29"/>
  <c r="K5054" i="29"/>
  <c r="S5054" i="29"/>
  <c r="S5863" i="29"/>
  <c r="T5863" i="29"/>
  <c r="J5863" i="29"/>
  <c r="S4920" i="29"/>
  <c r="T4920" i="29"/>
  <c r="J4920" i="29"/>
  <c r="S660" i="29"/>
  <c r="T660" i="29"/>
  <c r="W660" i="29"/>
  <c r="U660" i="29"/>
  <c r="J333" i="29"/>
  <c r="D12" i="30"/>
  <c r="D71" i="30"/>
  <c r="J41" i="29"/>
  <c r="D32" i="30"/>
  <c r="T5068" i="29"/>
  <c r="J5068" i="29"/>
  <c r="S5068" i="29"/>
  <c r="S5653" i="29"/>
  <c r="T5653" i="29"/>
  <c r="J5653" i="29"/>
  <c r="T5773" i="29"/>
  <c r="J5773" i="29"/>
  <c r="S5773" i="29"/>
  <c r="S3686" i="29"/>
  <c r="S4687" i="29"/>
  <c r="T4687" i="29"/>
  <c r="J1194" i="29"/>
  <c r="T5292" i="29"/>
  <c r="J5292" i="29"/>
  <c r="S5292" i="29"/>
  <c r="W6851" i="29"/>
  <c r="J6851" i="29"/>
  <c r="S4185" i="29"/>
  <c r="T4185" i="29"/>
  <c r="J4185" i="29"/>
  <c r="S2207" i="29"/>
  <c r="T2207" i="29"/>
  <c r="W2207" i="29"/>
  <c r="U2207" i="29"/>
  <c r="J741" i="29"/>
  <c r="J241" i="29"/>
  <c r="W241" i="29"/>
  <c r="S6748" i="29"/>
  <c r="T6748" i="29"/>
  <c r="J6748" i="29"/>
  <c r="S4897" i="29"/>
  <c r="T4239" i="29"/>
  <c r="T3228" i="29"/>
  <c r="S3228" i="29"/>
  <c r="T2449" i="29"/>
  <c r="J2449" i="29"/>
  <c r="S2449" i="29"/>
  <c r="J1658" i="29"/>
  <c r="S1437" i="29"/>
  <c r="S3858" i="29"/>
  <c r="T3858" i="29"/>
  <c r="T5144" i="29"/>
  <c r="J5144" i="29"/>
  <c r="S5144" i="29"/>
  <c r="T6003" i="29"/>
  <c r="J6003" i="29"/>
  <c r="S6003" i="29"/>
  <c r="T6943" i="29"/>
  <c r="J6943" i="29"/>
  <c r="S6943" i="29"/>
  <c r="S6971" i="29"/>
  <c r="T6971" i="29"/>
  <c r="J6971" i="29"/>
  <c r="T6500" i="29"/>
  <c r="J6500" i="29"/>
  <c r="S6500" i="29"/>
  <c r="S6687" i="29"/>
  <c r="T6687" i="29"/>
  <c r="J6687" i="29"/>
  <c r="T873" i="29"/>
  <c r="S873" i="29"/>
  <c r="S541" i="29"/>
  <c r="T541" i="29"/>
  <c r="W541" i="29"/>
  <c r="U541" i="29"/>
  <c r="S6595" i="29"/>
  <c r="T6595" i="29"/>
  <c r="J6595" i="29"/>
  <c r="K6595" i="29"/>
  <c r="S6646" i="29"/>
  <c r="T6646" i="29"/>
  <c r="J6646" i="29"/>
  <c r="K6646" i="29"/>
  <c r="T6917" i="29"/>
  <c r="J6917" i="29"/>
  <c r="K6917" i="29"/>
  <c r="S6917" i="29"/>
  <c r="S6920" i="29"/>
  <c r="T6920" i="29"/>
  <c r="J6920" i="29"/>
  <c r="K6920" i="29"/>
  <c r="T7054" i="29"/>
  <c r="J7054" i="29"/>
  <c r="S7054" i="29"/>
  <c r="S7070" i="29"/>
  <c r="T7070" i="29"/>
  <c r="J7070" i="29"/>
  <c r="S1008" i="29"/>
  <c r="T1008" i="29"/>
  <c r="S5662" i="29"/>
  <c r="T5662" i="29"/>
  <c r="J5662" i="29"/>
  <c r="T6882" i="29"/>
  <c r="J6882" i="29"/>
  <c r="S6882" i="29"/>
  <c r="T6834" i="29"/>
  <c r="J6834" i="29"/>
  <c r="K6834" i="29"/>
  <c r="S6834" i="29"/>
  <c r="S6906" i="29"/>
  <c r="T6906" i="29"/>
  <c r="J6906" i="29"/>
  <c r="T6798" i="29"/>
  <c r="J6798" i="29"/>
  <c r="K6798" i="29"/>
  <c r="T6788" i="29"/>
  <c r="J6788" i="29"/>
  <c r="S6788" i="29"/>
  <c r="S6892" i="29"/>
  <c r="T6892" i="29"/>
  <c r="S8003" i="29"/>
  <c r="T8003" i="29"/>
  <c r="J8003" i="29"/>
  <c r="T5322" i="29"/>
  <c r="S5322" i="29"/>
  <c r="T5744" i="29"/>
  <c r="J5744" i="29"/>
  <c r="S5744" i="29"/>
  <c r="S5685" i="29"/>
  <c r="T5685" i="29"/>
  <c r="J5685" i="29"/>
  <c r="S6550" i="29"/>
  <c r="T6550" i="29"/>
  <c r="J6550" i="29"/>
  <c r="S6527" i="29"/>
  <c r="T6527" i="29"/>
  <c r="J6527" i="29"/>
  <c r="K6527" i="29"/>
  <c r="T6672" i="29"/>
  <c r="J6672" i="29"/>
  <c r="S6672" i="29"/>
  <c r="T6675" i="29"/>
  <c r="J6675" i="29"/>
  <c r="K6675" i="29"/>
  <c r="S6675" i="29"/>
  <c r="S6698" i="29"/>
  <c r="T6698" i="29"/>
  <c r="J6698" i="29"/>
  <c r="K6698" i="29"/>
  <c r="T6727" i="29"/>
  <c r="J6727" i="29"/>
  <c r="S6727" i="29"/>
  <c r="T6983" i="29"/>
  <c r="J6983" i="29"/>
  <c r="K6983" i="29"/>
  <c r="S6983" i="29"/>
  <c r="S6986" i="29"/>
  <c r="T6986" i="29"/>
  <c r="J6986" i="29"/>
  <c r="K6986" i="29"/>
  <c r="S883" i="29"/>
  <c r="T883" i="29"/>
  <c r="W883" i="29"/>
  <c r="U883" i="29"/>
  <c r="T490" i="29"/>
  <c r="W490" i="29"/>
  <c r="S490" i="29"/>
  <c r="S370" i="29"/>
  <c r="T370" i="29"/>
  <c r="W370" i="29"/>
  <c r="U370" i="29"/>
  <c r="T5256" i="29"/>
  <c r="S5256" i="29"/>
  <c r="S6820" i="29"/>
  <c r="S1883" i="29"/>
  <c r="T1883" i="29"/>
  <c r="W1883" i="29"/>
  <c r="T5690" i="29"/>
  <c r="J5690" i="29"/>
  <c r="S5690" i="29"/>
  <c r="T6584" i="29"/>
  <c r="J6584" i="29"/>
  <c r="S6584" i="29"/>
  <c r="T6808" i="29"/>
  <c r="S6808" i="29"/>
  <c r="S6773" i="29"/>
  <c r="T6773" i="29"/>
  <c r="J6773" i="29"/>
  <c r="K6773" i="29"/>
  <c r="S2360" i="29"/>
  <c r="S4240" i="29"/>
  <c r="T4240" i="29"/>
  <c r="K1995" i="29"/>
  <c r="S5415" i="29"/>
  <c r="T5415" i="29"/>
  <c r="S6037" i="29"/>
  <c r="T6037" i="29"/>
  <c r="J6037" i="29"/>
  <c r="T6585" i="29"/>
  <c r="J6585" i="29"/>
  <c r="K6585" i="29"/>
  <c r="S6585" i="29"/>
  <c r="S6796" i="29"/>
  <c r="T6796" i="29"/>
  <c r="J6796" i="29"/>
  <c r="K6796" i="29"/>
  <c r="S6878" i="29"/>
  <c r="T6878" i="29"/>
  <c r="J6878" i="29"/>
  <c r="K6878" i="29"/>
  <c r="T6842" i="29"/>
  <c r="J6842" i="29"/>
  <c r="S6842" i="29"/>
  <c r="T7134" i="29"/>
  <c r="J7134" i="29"/>
  <c r="K7134" i="29"/>
  <c r="S7134" i="29"/>
  <c r="T8036" i="29"/>
  <c r="J8036" i="29"/>
  <c r="S8036" i="29"/>
  <c r="S7025" i="29"/>
  <c r="T7025" i="29"/>
  <c r="J7025" i="29"/>
  <c r="K7025" i="29"/>
  <c r="S7245" i="29"/>
  <c r="T7245" i="29"/>
  <c r="J7245" i="29"/>
  <c r="K7245" i="29"/>
  <c r="T7237" i="29"/>
  <c r="J7237" i="29"/>
  <c r="S7237" i="29"/>
  <c r="S7229" i="29"/>
  <c r="T7229" i="29"/>
  <c r="J7229" i="29"/>
  <c r="S7221" i="29"/>
  <c r="T7221" i="29"/>
  <c r="J7221" i="29"/>
  <c r="T7213" i="29"/>
  <c r="J7213" i="29"/>
  <c r="S7213" i="29"/>
  <c r="S7205" i="29"/>
  <c r="T7205" i="29"/>
  <c r="J7205" i="29"/>
  <c r="S7455" i="29"/>
  <c r="T7455" i="29"/>
  <c r="J7455" i="29"/>
  <c r="K7455" i="29"/>
  <c r="S8035" i="29"/>
  <c r="T8035" i="29"/>
  <c r="J8035" i="29"/>
  <c r="K8035" i="29"/>
  <c r="S6581" i="29"/>
  <c r="T6581" i="29"/>
  <c r="J6581" i="29"/>
  <c r="T6759" i="29"/>
  <c r="J6759" i="29"/>
  <c r="K6759" i="29"/>
  <c r="S6759" i="29"/>
  <c r="T7417" i="29"/>
  <c r="J7417" i="29"/>
  <c r="S7417" i="29"/>
  <c r="T8045" i="29"/>
  <c r="J8045" i="29"/>
  <c r="K8045" i="29"/>
  <c r="S8045" i="29"/>
  <c r="T7452" i="29"/>
  <c r="J7452" i="29"/>
  <c r="K7452" i="29"/>
  <c r="S7452" i="29"/>
  <c r="S7436" i="29"/>
  <c r="T7436" i="29"/>
  <c r="J7436" i="29"/>
  <c r="K7436" i="29"/>
  <c r="T8094" i="29"/>
  <c r="J8094" i="29"/>
  <c r="K8094" i="29"/>
  <c r="S8094" i="29"/>
  <c r="S8069" i="29"/>
  <c r="T8069" i="29"/>
  <c r="J8069" i="29"/>
  <c r="K8069" i="29"/>
  <c r="S8058" i="29"/>
  <c r="T8058" i="29"/>
  <c r="J8058" i="29"/>
  <c r="K8058" i="29"/>
  <c r="S6782" i="29"/>
  <c r="T6782" i="29"/>
  <c r="J6782" i="29"/>
  <c r="T7369" i="29"/>
  <c r="J7369" i="29"/>
  <c r="K7369" i="29"/>
  <c r="S7369" i="29"/>
  <c r="T7378" i="29"/>
  <c r="S7378" i="29"/>
  <c r="S7387" i="29"/>
  <c r="T7387" i="29"/>
  <c r="J7387" i="29"/>
  <c r="S6614" i="29"/>
  <c r="T6614" i="29"/>
  <c r="J6614" i="29"/>
  <c r="K6614" i="29"/>
  <c r="S6792" i="29"/>
  <c r="T6792" i="29"/>
  <c r="J6792" i="29"/>
  <c r="T6947" i="29"/>
  <c r="J6947" i="29"/>
  <c r="S6947" i="29"/>
  <c r="S7358" i="29"/>
  <c r="T7358" i="29"/>
  <c r="J7358" i="29"/>
  <c r="T7897" i="29"/>
  <c r="J7897" i="29"/>
  <c r="K7897" i="29"/>
  <c r="S7897" i="29"/>
  <c r="T8090" i="29"/>
  <c r="J8090" i="29"/>
  <c r="S8090" i="29"/>
  <c r="S8078" i="29"/>
  <c r="T8078" i="29"/>
  <c r="J8078" i="29"/>
  <c r="S8066" i="29"/>
  <c r="T8066" i="29"/>
  <c r="J8066" i="29"/>
  <c r="T6610" i="29"/>
  <c r="J6610" i="29"/>
  <c r="K6610" i="29"/>
  <c r="T6626" i="29"/>
  <c r="J6626" i="29"/>
  <c r="S6629" i="29"/>
  <c r="T6629" i="29"/>
  <c r="J6629" i="29"/>
  <c r="S6938" i="29"/>
  <c r="T6938" i="29"/>
  <c r="J6938" i="29"/>
  <c r="S7180" i="29"/>
  <c r="T7180" i="29"/>
  <c r="J7180" i="29"/>
  <c r="K7180" i="29"/>
  <c r="T7296" i="29"/>
  <c r="J7296" i="29"/>
  <c r="K7296" i="29"/>
  <c r="S7296" i="29"/>
  <c r="T7405" i="29"/>
  <c r="J7405" i="29"/>
  <c r="K7405" i="29"/>
  <c r="S7405" i="29"/>
  <c r="T7715" i="29"/>
  <c r="S7715" i="29"/>
  <c r="T6642" i="29"/>
  <c r="J6642" i="29"/>
  <c r="S6642" i="29"/>
  <c r="S6928" i="29"/>
  <c r="T6928" i="29"/>
  <c r="J6928" i="29"/>
  <c r="K6928" i="29"/>
  <c r="T7329" i="29"/>
  <c r="J7329" i="29"/>
  <c r="S7329" i="29"/>
  <c r="S6600" i="29"/>
  <c r="T6600" i="29"/>
  <c r="J6600" i="29"/>
  <c r="K6600" i="29"/>
  <c r="S6717" i="29"/>
  <c r="T6717" i="29"/>
  <c r="J6717" i="29"/>
  <c r="T6905" i="29"/>
  <c r="J6905" i="29"/>
  <c r="K6905" i="29"/>
  <c r="S6905" i="29"/>
  <c r="T6908" i="29"/>
  <c r="J6908" i="29"/>
  <c r="K6908" i="29"/>
  <c r="S6908" i="29"/>
  <c r="T6994" i="29"/>
  <c r="J6994" i="29"/>
  <c r="K6994" i="29"/>
  <c r="S6994" i="29"/>
  <c r="S6517" i="29"/>
  <c r="T6517" i="29"/>
  <c r="J6517" i="29"/>
  <c r="K6517" i="29"/>
  <c r="T6611" i="29"/>
  <c r="J6611" i="29"/>
  <c r="K6611" i="29"/>
  <c r="S6611" i="29"/>
  <c r="T6760" i="29"/>
  <c r="S6760" i="29"/>
  <c r="T6843" i="29"/>
  <c r="J6843" i="29"/>
  <c r="S6843" i="29"/>
  <c r="T6904" i="29"/>
  <c r="J6904" i="29"/>
  <c r="K6904" i="29"/>
  <c r="T7090" i="29"/>
  <c r="J7090" i="29"/>
  <c r="S7090" i="29"/>
  <c r="T7121" i="29"/>
  <c r="J7121" i="29"/>
  <c r="S7121" i="29"/>
  <c r="T7315" i="29"/>
  <c r="J7315" i="29"/>
  <c r="K7315" i="29"/>
  <c r="S7315" i="29"/>
  <c r="S7384" i="29"/>
  <c r="T7384" i="29"/>
  <c r="J7384" i="29"/>
  <c r="T8095" i="29"/>
  <c r="J8095" i="29"/>
  <c r="K8095" i="29"/>
  <c r="S8095" i="29"/>
  <c r="T8046" i="29"/>
  <c r="J8046" i="29"/>
  <c r="K8046" i="29"/>
  <c r="S8046" i="29"/>
  <c r="T6572" i="29"/>
  <c r="J6572" i="29"/>
  <c r="K6572" i="29"/>
  <c r="S6572" i="29"/>
  <c r="J6569" i="29"/>
  <c r="K6569" i="29"/>
  <c r="T6630" i="29"/>
  <c r="J6630" i="29"/>
  <c r="S6630" i="29"/>
  <c r="T6877" i="29"/>
  <c r="J6877" i="29"/>
  <c r="K6877" i="29"/>
  <c r="S6877" i="29"/>
  <c r="T7063" i="29"/>
  <c r="J7063" i="29"/>
  <c r="K7063" i="29"/>
  <c r="S7063" i="29"/>
  <c r="T6529" i="29"/>
  <c r="J6529" i="29"/>
  <c r="S6529" i="29"/>
  <c r="T6661" i="29"/>
  <c r="J6661" i="29"/>
  <c r="S6864" i="29"/>
  <c r="S6941" i="29"/>
  <c r="T6941" i="29"/>
  <c r="J6941" i="29"/>
  <c r="T7264" i="29"/>
  <c r="J7264" i="29"/>
  <c r="K7264" i="29"/>
  <c r="S7264" i="29"/>
  <c r="S7338" i="29"/>
  <c r="T7338" i="29"/>
  <c r="J7338" i="29"/>
  <c r="S7324" i="29"/>
  <c r="T7324" i="29"/>
  <c r="J7324" i="29"/>
  <c r="K7324" i="29"/>
  <c r="S6569" i="29"/>
  <c r="S6639" i="29"/>
  <c r="S6671" i="29"/>
  <c r="T6671" i="29"/>
  <c r="T6739" i="29"/>
  <c r="J6739" i="29"/>
  <c r="S6739" i="29"/>
  <c r="T7006" i="29"/>
  <c r="J7006" i="29"/>
  <c r="S7006" i="29"/>
  <c r="S7058" i="29"/>
  <c r="T7058" i="29"/>
  <c r="J7058" i="29"/>
  <c r="T7118" i="29"/>
  <c r="J7118" i="29"/>
  <c r="S7118" i="29"/>
  <c r="S7464" i="29"/>
  <c r="T7464" i="29"/>
  <c r="J7464" i="29"/>
  <c r="T7541" i="29"/>
  <c r="J7541" i="29"/>
  <c r="K7541" i="29"/>
  <c r="S7541" i="29"/>
  <c r="S6827" i="29"/>
  <c r="T6827" i="29"/>
  <c r="J6827" i="29"/>
  <c r="K6827" i="29"/>
  <c r="T6901" i="29"/>
  <c r="S6901" i="29"/>
  <c r="S6525" i="29"/>
  <c r="T6525" i="29"/>
  <c r="J6525" i="29"/>
  <c r="K6525" i="29"/>
  <c r="S6582" i="29"/>
  <c r="T6582" i="29"/>
  <c r="T6542" i="29"/>
  <c r="J6542" i="29"/>
  <c r="K6542" i="29"/>
  <c r="S6542" i="29"/>
  <c r="T6662" i="29"/>
  <c r="J6662" i="29"/>
  <c r="K6662" i="29"/>
  <c r="S6859" i="29"/>
  <c r="T6859" i="29"/>
  <c r="J6859" i="29"/>
  <c r="T6913" i="29"/>
  <c r="S6913" i="29"/>
  <c r="J6925" i="29"/>
  <c r="S7113" i="29"/>
  <c r="T7113" i="29"/>
  <c r="J7113" i="29"/>
  <c r="T7166" i="29"/>
  <c r="J7166" i="29"/>
  <c r="K7166" i="29"/>
  <c r="S7166" i="29"/>
  <c r="T6543" i="29"/>
  <c r="J6543" i="29"/>
  <c r="K6543" i="29"/>
  <c r="S6543" i="29"/>
  <c r="S6618" i="29"/>
  <c r="T6618" i="29"/>
  <c r="J6618" i="29"/>
  <c r="K6618" i="29"/>
  <c r="J6632" i="29"/>
  <c r="S6710" i="29"/>
  <c r="T6710" i="29"/>
  <c r="J6710" i="29"/>
  <c r="S6714" i="29"/>
  <c r="T6714" i="29"/>
  <c r="J6714" i="29"/>
  <c r="T6996" i="29"/>
  <c r="J6996" i="29"/>
  <c r="S6996" i="29"/>
  <c r="T7028" i="29"/>
  <c r="J7028" i="29"/>
  <c r="S7028" i="29"/>
  <c r="S7049" i="29"/>
  <c r="T7049" i="29"/>
  <c r="J7049" i="29"/>
  <c r="S7132" i="29"/>
  <c r="T7132" i="29"/>
  <c r="J7132" i="29"/>
  <c r="S7266" i="29"/>
  <c r="T7255" i="29"/>
  <c r="J7255" i="29"/>
  <c r="S7255" i="29"/>
  <c r="T6666" i="29"/>
  <c r="J6666" i="29"/>
  <c r="K6666" i="29"/>
  <c r="S6666" i="29"/>
  <c r="T6776" i="29"/>
  <c r="J6776" i="29"/>
  <c r="K6776" i="29"/>
  <c r="S6776" i="29"/>
  <c r="T6894" i="29"/>
  <c r="J6894" i="29"/>
  <c r="S6894" i="29"/>
  <c r="S6883" i="29"/>
  <c r="T6883" i="29"/>
  <c r="J6883" i="29"/>
  <c r="K6883" i="29"/>
  <c r="T6835" i="29"/>
  <c r="J6835" i="29"/>
  <c r="K6835" i="29"/>
  <c r="S6835" i="29"/>
  <c r="T7163" i="29"/>
  <c r="J7163" i="29"/>
  <c r="S7163" i="29"/>
  <c r="T6554" i="29"/>
  <c r="J6554" i="29"/>
  <c r="K6554" i="29"/>
  <c r="S6554" i="29"/>
  <c r="S6817" i="29"/>
  <c r="T6817" i="29"/>
  <c r="J6817" i="29"/>
  <c r="S7022" i="29"/>
  <c r="T7022" i="29"/>
  <c r="J7022" i="29"/>
  <c r="K7022" i="29"/>
  <c r="T7173" i="29"/>
  <c r="J7173" i="29"/>
  <c r="K7173" i="29"/>
  <c r="S7173" i="29"/>
  <c r="T7353" i="29"/>
  <c r="J7353" i="29"/>
  <c r="K7353" i="29"/>
  <c r="S7353" i="29"/>
  <c r="S7340" i="29"/>
  <c r="T7340" i="29"/>
  <c r="J7340" i="29"/>
  <c r="S7314" i="29"/>
  <c r="T7314" i="29"/>
  <c r="J7314" i="29"/>
  <c r="S7394" i="29"/>
  <c r="T7394" i="29"/>
  <c r="J7394" i="29"/>
  <c r="K7394" i="29"/>
  <c r="T7450" i="29"/>
  <c r="J7450" i="29"/>
  <c r="S7450" i="29"/>
  <c r="T7434" i="29"/>
  <c r="J7434" i="29"/>
  <c r="S7434" i="29"/>
  <c r="S6514" i="29"/>
  <c r="T6514" i="29"/>
  <c r="W6514" i="29"/>
  <c r="T7037" i="29"/>
  <c r="J7037" i="29"/>
  <c r="K7037" i="29"/>
  <c r="S7037" i="29"/>
  <c r="S7133" i="29"/>
  <c r="T7133" i="29"/>
  <c r="J7133" i="29"/>
  <c r="K7133" i="29"/>
  <c r="J6564" i="29"/>
  <c r="T6649" i="29"/>
  <c r="J6649" i="29"/>
  <c r="K6649" i="29"/>
  <c r="S6649" i="29"/>
  <c r="T6715" i="29"/>
  <c r="J6715" i="29"/>
  <c r="K6715" i="29"/>
  <c r="S6715" i="29"/>
  <c r="J6864" i="29"/>
  <c r="K6864" i="29"/>
  <c r="T6876" i="29"/>
  <c r="J6876" i="29"/>
  <c r="S6876" i="29"/>
  <c r="T6852" i="29"/>
  <c r="S6852" i="29"/>
  <c r="T6989" i="29"/>
  <c r="J6989" i="29"/>
  <c r="S6989" i="29"/>
  <c r="S7157" i="29"/>
  <c r="T7157" i="29"/>
  <c r="J7157" i="29"/>
  <c r="S7350" i="29"/>
  <c r="T7350" i="29"/>
  <c r="S7337" i="29"/>
  <c r="T7337" i="29"/>
  <c r="J7337" i="29"/>
  <c r="K7337" i="29"/>
  <c r="S7671" i="29"/>
  <c r="T7671" i="29"/>
  <c r="J7671" i="29"/>
  <c r="K7671" i="29"/>
  <c r="S7705" i="29"/>
  <c r="T7705" i="29"/>
  <c r="J7705" i="29"/>
  <c r="K7705" i="29"/>
  <c r="S7821" i="29"/>
  <c r="T7821" i="29"/>
  <c r="J7821" i="29"/>
  <c r="S6513" i="29"/>
  <c r="S6741" i="29"/>
  <c r="T6741" i="29"/>
  <c r="J6741" i="29"/>
  <c r="S6812" i="29"/>
  <c r="T6812" i="29"/>
  <c r="J6812" i="29"/>
  <c r="K6812" i="29"/>
  <c r="T6791" i="29"/>
  <c r="J6791" i="29"/>
  <c r="T6769" i="29"/>
  <c r="J6769" i="29"/>
  <c r="S6769" i="29"/>
  <c r="S6758" i="29"/>
  <c r="T6758" i="29"/>
  <c r="J6758" i="29"/>
  <c r="K6758" i="29"/>
  <c r="J6858" i="29"/>
  <c r="W6858" i="29"/>
  <c r="W6887" i="29"/>
  <c r="S6886" i="29"/>
  <c r="T6886" i="29"/>
  <c r="J6886" i="29"/>
  <c r="T6958" i="29"/>
  <c r="J6958" i="29"/>
  <c r="K6958" i="29"/>
  <c r="T6974" i="29"/>
  <c r="J6974" i="29"/>
  <c r="K6974" i="29"/>
  <c r="S6974" i="29"/>
  <c r="S7348" i="29"/>
  <c r="T7348" i="29"/>
  <c r="J7348" i="29"/>
  <c r="S7287" i="29"/>
  <c r="T7287" i="29"/>
  <c r="J7287" i="29"/>
  <c r="J6647" i="29"/>
  <c r="T6679" i="29"/>
  <c r="J6679" i="29"/>
  <c r="K6679" i="29"/>
  <c r="S6679" i="29"/>
  <c r="T6933" i="29"/>
  <c r="J6933" i="29"/>
  <c r="K6933" i="29"/>
  <c r="S6933" i="29"/>
  <c r="T6936" i="29"/>
  <c r="J6936" i="29"/>
  <c r="S6936" i="29"/>
  <c r="S6952" i="29"/>
  <c r="T6952" i="29"/>
  <c r="J6952" i="29"/>
  <c r="J6973" i="29"/>
  <c r="S6993" i="29"/>
  <c r="T6993" i="29"/>
  <c r="J6993" i="29"/>
  <c r="K6993" i="29"/>
  <c r="S6516" i="29"/>
  <c r="T6516" i="29"/>
  <c r="T6631" i="29"/>
  <c r="J6631" i="29"/>
  <c r="K6631" i="29"/>
  <c r="S6631" i="29"/>
  <c r="T6873" i="29"/>
  <c r="J6873" i="29"/>
  <c r="S6873" i="29"/>
  <c r="S6840" i="29"/>
  <c r="T6840" i="29"/>
  <c r="J6840" i="29"/>
  <c r="K6840" i="29"/>
  <c r="T7506" i="29"/>
  <c r="J7506" i="29"/>
  <c r="S7506" i="29"/>
  <c r="T7652" i="29"/>
  <c r="J7652" i="29"/>
  <c r="K7652" i="29"/>
  <c r="S7652" i="29"/>
  <c r="S8028" i="29"/>
  <c r="T8028" i="29"/>
  <c r="J8028" i="29"/>
  <c r="S6870" i="29"/>
  <c r="S6985" i="29"/>
  <c r="J6979" i="29"/>
  <c r="W6979" i="29"/>
  <c r="T8023" i="29"/>
  <c r="J8023" i="29"/>
  <c r="S8023" i="29"/>
  <c r="S6648" i="29"/>
  <c r="T6648" i="29"/>
  <c r="J6648" i="29"/>
  <c r="K6648" i="29"/>
  <c r="S6718" i="29"/>
  <c r="T6718" i="29"/>
  <c r="J6718" i="29"/>
  <c r="S6816" i="29"/>
  <c r="T6816" i="29"/>
  <c r="J6816" i="29"/>
  <c r="S6881" i="29"/>
  <c r="T6881" i="29"/>
  <c r="J6881" i="29"/>
  <c r="S7094" i="29"/>
  <c r="T7094" i="29"/>
  <c r="J7094" i="29"/>
  <c r="K7094" i="29"/>
  <c r="T7177" i="29"/>
  <c r="J7177" i="29"/>
  <c r="K7177" i="29"/>
  <c r="S7177" i="29"/>
  <c r="S7347" i="29"/>
  <c r="T7347" i="29"/>
  <c r="J7347" i="29"/>
  <c r="S7335" i="29"/>
  <c r="T7335" i="29"/>
  <c r="J7335" i="29"/>
  <c r="K7335" i="29"/>
  <c r="S7820" i="29"/>
  <c r="T7820" i="29"/>
  <c r="J7820" i="29"/>
  <c r="S6663" i="29"/>
  <c r="T6705" i="29"/>
  <c r="J6705" i="29"/>
  <c r="K6705" i="29"/>
  <c r="S6753" i="29"/>
  <c r="T6753" i="29"/>
  <c r="J6753" i="29"/>
  <c r="S6912" i="29"/>
  <c r="T6912" i="29"/>
  <c r="J6912" i="29"/>
  <c r="K6912" i="29"/>
  <c r="T6948" i="29"/>
  <c r="J6948" i="29"/>
  <c r="S6948" i="29"/>
  <c r="T6960" i="29"/>
  <c r="J6960" i="29"/>
  <c r="S6960" i="29"/>
  <c r="S6979" i="29"/>
  <c r="S7046" i="29"/>
  <c r="T7046" i="29"/>
  <c r="J7046" i="29"/>
  <c r="S7346" i="29"/>
  <c r="T7346" i="29"/>
  <c r="J7346" i="29"/>
  <c r="S7321" i="29"/>
  <c r="T7321" i="29"/>
  <c r="J7321" i="29"/>
  <c r="K7321" i="29"/>
  <c r="S7514" i="29"/>
  <c r="J6634" i="29"/>
  <c r="K6634" i="29"/>
  <c r="S6654" i="29"/>
  <c r="S6774" i="29"/>
  <c r="T6752" i="29"/>
  <c r="S6890" i="29"/>
  <c r="T7103" i="29"/>
  <c r="J7103" i="29"/>
  <c r="K7103" i="29"/>
  <c r="S7103" i="29"/>
  <c r="T7064" i="29"/>
  <c r="J7064" i="29"/>
  <c r="K7064" i="29"/>
  <c r="T7122" i="29"/>
  <c r="J7122" i="29"/>
  <c r="K7122" i="29"/>
  <c r="S7122" i="29"/>
  <c r="S7274" i="29"/>
  <c r="S7526" i="29"/>
  <c r="T7526" i="29"/>
  <c r="J7526" i="29"/>
  <c r="T7744" i="29"/>
  <c r="J7744" i="29"/>
  <c r="S7844" i="29"/>
  <c r="T7844" i="29"/>
  <c r="J7844" i="29"/>
  <c r="S8001" i="29"/>
  <c r="T8001" i="29"/>
  <c r="J8001" i="29"/>
  <c r="T6541" i="29"/>
  <c r="J6541" i="29"/>
  <c r="S6541" i="29"/>
  <c r="S6746" i="29"/>
  <c r="T6746" i="29"/>
  <c r="J6746" i="29"/>
  <c r="J6797" i="29"/>
  <c r="K6797" i="29"/>
  <c r="T6814" i="29"/>
  <c r="J6814" i="29"/>
  <c r="S6814" i="29"/>
  <c r="T6804" i="29"/>
  <c r="J6804" i="29"/>
  <c r="S6804" i="29"/>
  <c r="S6867" i="29"/>
  <c r="T6930" i="29"/>
  <c r="J6930" i="29"/>
  <c r="K6930" i="29"/>
  <c r="S6930" i="29"/>
  <c r="T6945" i="29"/>
  <c r="J6945" i="29"/>
  <c r="S6945" i="29"/>
  <c r="T6957" i="29"/>
  <c r="S6957" i="29"/>
  <c r="S7117" i="29"/>
  <c r="S7065" i="29"/>
  <c r="S7125" i="29"/>
  <c r="T7125" i="29"/>
  <c r="J7125" i="29"/>
  <c r="K7125" i="29"/>
  <c r="J7153" i="29"/>
  <c r="S7238" i="29"/>
  <c r="T7238" i="29"/>
  <c r="J7238" i="29"/>
  <c r="T7230" i="29"/>
  <c r="J7230" i="29"/>
  <c r="S7230" i="29"/>
  <c r="S7222" i="29"/>
  <c r="T7222" i="29"/>
  <c r="J7222" i="29"/>
  <c r="K7222" i="29"/>
  <c r="T7214" i="29"/>
  <c r="J7214" i="29"/>
  <c r="S7214" i="29"/>
  <c r="S7206" i="29"/>
  <c r="T7206" i="29"/>
  <c r="J7206" i="29"/>
  <c r="K7206" i="29"/>
  <c r="T7855" i="29"/>
  <c r="J7855" i="29"/>
  <c r="S7855" i="29"/>
  <c r="T6532" i="29"/>
  <c r="J6532" i="29"/>
  <c r="K6532" i="29"/>
  <c r="S6532" i="29"/>
  <c r="S6657" i="29"/>
  <c r="T6657" i="29"/>
  <c r="T6793" i="29"/>
  <c r="J6793" i="29"/>
  <c r="K6793" i="29"/>
  <c r="S6793" i="29"/>
  <c r="T6838" i="29"/>
  <c r="J6838" i="29"/>
  <c r="K6838" i="29"/>
  <c r="S7582" i="29"/>
  <c r="T7582" i="29"/>
  <c r="J7582" i="29"/>
  <c r="T7604" i="29"/>
  <c r="J7604" i="29"/>
  <c r="S7604" i="29"/>
  <c r="S6897" i="29"/>
  <c r="T6897" i="29"/>
  <c r="J6897" i="29"/>
  <c r="J6954" i="29"/>
  <c r="T7039" i="29"/>
  <c r="J7039" i="29"/>
  <c r="S7039" i="29"/>
  <c r="T7269" i="29"/>
  <c r="J7269" i="29"/>
  <c r="S7269" i="29"/>
  <c r="T7361" i="29"/>
  <c r="J7361" i="29"/>
  <c r="K7361" i="29"/>
  <c r="S7361" i="29"/>
  <c r="T7439" i="29"/>
  <c r="J7439" i="29"/>
  <c r="S7439" i="29"/>
  <c r="S8016" i="29"/>
  <c r="T8016" i="29"/>
  <c r="J8016" i="29"/>
  <c r="K8016" i="29"/>
  <c r="J6673" i="29"/>
  <c r="S7260" i="29"/>
  <c r="T7260" i="29"/>
  <c r="J7260" i="29"/>
  <c r="T7412" i="29"/>
  <c r="J7412" i="29"/>
  <c r="K7412" i="29"/>
  <c r="S7412" i="29"/>
  <c r="S7461" i="29"/>
  <c r="T7461" i="29"/>
  <c r="J7461" i="29"/>
  <c r="K7461" i="29"/>
  <c r="T7597" i="29"/>
  <c r="J7597" i="29"/>
  <c r="S7597" i="29"/>
  <c r="S7936" i="29"/>
  <c r="T7936" i="29"/>
  <c r="J7936" i="29"/>
  <c r="T6785" i="29"/>
  <c r="J6785" i="29"/>
  <c r="K6785" i="29"/>
  <c r="S6785" i="29"/>
  <c r="T6997" i="29"/>
  <c r="J6997" i="29"/>
  <c r="K6997" i="29"/>
  <c r="S6997" i="29"/>
  <c r="S7017" i="29"/>
  <c r="T7017" i="29"/>
  <c r="J7017" i="29"/>
  <c r="T7098" i="29"/>
  <c r="J7098" i="29"/>
  <c r="S7098" i="29"/>
  <c r="T7130" i="29"/>
  <c r="J7130" i="29"/>
  <c r="K7130" i="29"/>
  <c r="S7130" i="29"/>
  <c r="S7382" i="29"/>
  <c r="T7382" i="29"/>
  <c r="J7382" i="29"/>
  <c r="S7583" i="29"/>
  <c r="T7583" i="29"/>
  <c r="J7583" i="29"/>
  <c r="K7583" i="29"/>
  <c r="J6654" i="29"/>
  <c r="S6777" i="29"/>
  <c r="J7114" i="29"/>
  <c r="T7080" i="29"/>
  <c r="J7080" i="29"/>
  <c r="S7080" i="29"/>
  <c r="S7184" i="29"/>
  <c r="T7184" i="29"/>
  <c r="J7184" i="29"/>
  <c r="K7184" i="29"/>
  <c r="T7258" i="29"/>
  <c r="J7258" i="29"/>
  <c r="K7258" i="29"/>
  <c r="S7258" i="29"/>
  <c r="S7351" i="29"/>
  <c r="T7351" i="29"/>
  <c r="J7351" i="29"/>
  <c r="S7288" i="29"/>
  <c r="T7288" i="29"/>
  <c r="J7288" i="29"/>
  <c r="K7288" i="29"/>
  <c r="T7507" i="29"/>
  <c r="J7507" i="29"/>
  <c r="K7507" i="29"/>
  <c r="S7507" i="29"/>
  <c r="T7091" i="29"/>
  <c r="J7091" i="29"/>
  <c r="S7091" i="29"/>
  <c r="T7128" i="29"/>
  <c r="S7128" i="29"/>
  <c r="T7188" i="29"/>
  <c r="S7188" i="29"/>
  <c r="S7208" i="29"/>
  <c r="T7208" i="29"/>
  <c r="J7208" i="29"/>
  <c r="S7331" i="29"/>
  <c r="T7331" i="29"/>
  <c r="J7331" i="29"/>
  <c r="T7504" i="29"/>
  <c r="J7504" i="29"/>
  <c r="S7504" i="29"/>
  <c r="T7994" i="29"/>
  <c r="J7994" i="29"/>
  <c r="K7994" i="29"/>
  <c r="S7994" i="29"/>
  <c r="S7418" i="29"/>
  <c r="S7459" i="29"/>
  <c r="T7459" i="29"/>
  <c r="J7459" i="29"/>
  <c r="K7459" i="29"/>
  <c r="S7579" i="29"/>
  <c r="T7591" i="29"/>
  <c r="J7591" i="29"/>
  <c r="T7599" i="29"/>
  <c r="J7599" i="29"/>
  <c r="K7599" i="29"/>
  <c r="T7602" i="29"/>
  <c r="J7602" i="29"/>
  <c r="T7606" i="29"/>
  <c r="J7606" i="29"/>
  <c r="S7606" i="29"/>
  <c r="S7085" i="29"/>
  <c r="T7085" i="29"/>
  <c r="J7085" i="29"/>
  <c r="K7085" i="29"/>
  <c r="W7189" i="29"/>
  <c r="S7342" i="29"/>
  <c r="T7342" i="29"/>
  <c r="S7307" i="29"/>
  <c r="T7307" i="29"/>
  <c r="J7307" i="29"/>
  <c r="S7284" i="29"/>
  <c r="T7284" i="29"/>
  <c r="J7284" i="29"/>
  <c r="S7428" i="29"/>
  <c r="T7428" i="29"/>
  <c r="J7428" i="29"/>
  <c r="T7502" i="29"/>
  <c r="J7502" i="29"/>
  <c r="S7502" i="29"/>
  <c r="T7619" i="29"/>
  <c r="J7619" i="29"/>
  <c r="S7619" i="29"/>
  <c r="T7267" i="29"/>
  <c r="S7267" i="29"/>
  <c r="T7318" i="29"/>
  <c r="J7318" i="29"/>
  <c r="S7318" i="29"/>
  <c r="T7481" i="29"/>
  <c r="S7481" i="29"/>
  <c r="S7620" i="29"/>
  <c r="T7620" i="29"/>
  <c r="J7620" i="29"/>
  <c r="K7620" i="29"/>
  <c r="S7767" i="29"/>
  <c r="T7767" i="29"/>
  <c r="J7767" i="29"/>
  <c r="K7767" i="29"/>
  <c r="T7074" i="29"/>
  <c r="J7074" i="29"/>
  <c r="K7074" i="29"/>
  <c r="S7074" i="29"/>
  <c r="T7327" i="29"/>
  <c r="J7327" i="29"/>
  <c r="S7327" i="29"/>
  <c r="T7374" i="29"/>
  <c r="J7374" i="29"/>
  <c r="K7374" i="29"/>
  <c r="S7374" i="29"/>
  <c r="T7503" i="29"/>
  <c r="J7503" i="29"/>
  <c r="S7503" i="29"/>
  <c r="S7588" i="29"/>
  <c r="T7588" i="29"/>
  <c r="J7588" i="29"/>
  <c r="T7674" i="29"/>
  <c r="J7674" i="29"/>
  <c r="S7674" i="29"/>
  <c r="T7991" i="29"/>
  <c r="J7991" i="29"/>
  <c r="K7991" i="29"/>
  <c r="S7991" i="29"/>
  <c r="S8093" i="29"/>
  <c r="T8093" i="29"/>
  <c r="J8093" i="29"/>
  <c r="K8093" i="29"/>
  <c r="S8068" i="29"/>
  <c r="T8068" i="29"/>
  <c r="J8068" i="29"/>
  <c r="K8068" i="29"/>
  <c r="T7129" i="29"/>
  <c r="J7129" i="29"/>
  <c r="T7178" i="29"/>
  <c r="J7178" i="29"/>
  <c r="S7178" i="29"/>
  <c r="T7295" i="29"/>
  <c r="J7295" i="29"/>
  <c r="K7295" i="29"/>
  <c r="S7295" i="29"/>
  <c r="T7399" i="29"/>
  <c r="J7399" i="29"/>
  <c r="K7399" i="29"/>
  <c r="S7399" i="29"/>
  <c r="S7356" i="29"/>
  <c r="T7804" i="29"/>
  <c r="J7804" i="29"/>
  <c r="S7804" i="29"/>
  <c r="S7956" i="29"/>
  <c r="T7956" i="29"/>
  <c r="J7956" i="29"/>
  <c r="K7956" i="29"/>
  <c r="T7967" i="29"/>
  <c r="J7967" i="29"/>
  <c r="K7967" i="29"/>
  <c r="S7967" i="29"/>
  <c r="T7101" i="29"/>
  <c r="J7101" i="29"/>
  <c r="S7357" i="29"/>
  <c r="S7513" i="29"/>
  <c r="T7470" i="29"/>
  <c r="S7470" i="29"/>
  <c r="S7771" i="29"/>
  <c r="T7771" i="29"/>
  <c r="J7771" i="29"/>
  <c r="S7836" i="29"/>
  <c r="T7836" i="29"/>
  <c r="J7836" i="29"/>
  <c r="K7836" i="29"/>
  <c r="T7792" i="29"/>
  <c r="J7792" i="29"/>
  <c r="S7792" i="29"/>
  <c r="J7944" i="29"/>
  <c r="T7087" i="29"/>
  <c r="J7087" i="29"/>
  <c r="K7087" i="29"/>
  <c r="S7087" i="29"/>
  <c r="T7138" i="29"/>
  <c r="J7138" i="29"/>
  <c r="S7138" i="29"/>
  <c r="S7272" i="29"/>
  <c r="T7272" i="29"/>
  <c r="J7272" i="29"/>
  <c r="T7413" i="29"/>
  <c r="J7413" i="29"/>
  <c r="T7372" i="29"/>
  <c r="J7372" i="29"/>
  <c r="S7523" i="29"/>
  <c r="T7546" i="29"/>
  <c r="J7546" i="29"/>
  <c r="K7546" i="29"/>
  <c r="S7546" i="29"/>
  <c r="J7645" i="29"/>
  <c r="S7663" i="29"/>
  <c r="T7663" i="29"/>
  <c r="J7663" i="29"/>
  <c r="K7663" i="29"/>
  <c r="T7673" i="29"/>
  <c r="J7673" i="29"/>
  <c r="S7673" i="29"/>
  <c r="S7782" i="29"/>
  <c r="T7782" i="29"/>
  <c r="J7782" i="29"/>
  <c r="S7928" i="29"/>
  <c r="T7928" i="29"/>
  <c r="J7928" i="29"/>
  <c r="K7928" i="29"/>
  <c r="S7880" i="29"/>
  <c r="T7880" i="29"/>
  <c r="J7880" i="29"/>
  <c r="T7088" i="29"/>
  <c r="J7088" i="29"/>
  <c r="S7088" i="29"/>
  <c r="T7270" i="29"/>
  <c r="J7270" i="29"/>
  <c r="S7270" i="29"/>
  <c r="T7512" i="29"/>
  <c r="J7512" i="29"/>
  <c r="S7512" i="29"/>
  <c r="J7571" i="29"/>
  <c r="S7917" i="29"/>
  <c r="T7917" i="29"/>
  <c r="J7917" i="29"/>
  <c r="K7917" i="29"/>
  <c r="T7291" i="29"/>
  <c r="J7291" i="29"/>
  <c r="K7291" i="29"/>
  <c r="T7343" i="29"/>
  <c r="J7343" i="29"/>
  <c r="K7343" i="29"/>
  <c r="S7343" i="29"/>
  <c r="S7290" i="29"/>
  <c r="T7290" i="29"/>
  <c r="J7290" i="29"/>
  <c r="K7290" i="29"/>
  <c r="S7441" i="29"/>
  <c r="S7390" i="29"/>
  <c r="J7421" i="29"/>
  <c r="T7535" i="29"/>
  <c r="J7535" i="29"/>
  <c r="S7535" i="29"/>
  <c r="T7478" i="29"/>
  <c r="S7478" i="29"/>
  <c r="S7539" i="29"/>
  <c r="T7539" i="29"/>
  <c r="S7574" i="29"/>
  <c r="S7822" i="29"/>
  <c r="T7822" i="29"/>
  <c r="J7822" i="29"/>
  <c r="S7945" i="29"/>
  <c r="T7945" i="29"/>
  <c r="J7945" i="29"/>
  <c r="K7945" i="29"/>
  <c r="T7531" i="29"/>
  <c r="J7531" i="29"/>
  <c r="S7531" i="29"/>
  <c r="S7666" i="29"/>
  <c r="T7666" i="29"/>
  <c r="J7666" i="29"/>
  <c r="T7675" i="29"/>
  <c r="J7675" i="29"/>
  <c r="K7675" i="29"/>
  <c r="S7675" i="29"/>
  <c r="T7681" i="29"/>
  <c r="J7681" i="29"/>
  <c r="S7681" i="29"/>
  <c r="T7518" i="29"/>
  <c r="J7518" i="29"/>
  <c r="S7518" i="29"/>
  <c r="T7868" i="29"/>
  <c r="J7868" i="29"/>
  <c r="S7868" i="29"/>
  <c r="S7831" i="29"/>
  <c r="T7831" i="29"/>
  <c r="J7831" i="29"/>
  <c r="S7969" i="29"/>
  <c r="T7969" i="29"/>
  <c r="J7969" i="29"/>
  <c r="S7359" i="29"/>
  <c r="T7359" i="29"/>
  <c r="J7359" i="29"/>
  <c r="K7359" i="29"/>
  <c r="S7516" i="29"/>
  <c r="T7516" i="29"/>
  <c r="J7516" i="29"/>
  <c r="K7516" i="29"/>
  <c r="S7505" i="29"/>
  <c r="S7494" i="29"/>
  <c r="S7621" i="29"/>
  <c r="T7621" i="29"/>
  <c r="J7621" i="29"/>
  <c r="K7621" i="29"/>
  <c r="T7942" i="29"/>
  <c r="S7942" i="29"/>
  <c r="S7901" i="29"/>
  <c r="T7901" i="29"/>
  <c r="J7901" i="29"/>
  <c r="W7357" i="29"/>
  <c r="S7648" i="29"/>
  <c r="T7648" i="29"/>
  <c r="J7648" i="29"/>
  <c r="K7648" i="29"/>
  <c r="S7764" i="29"/>
  <c r="T7764" i="29"/>
  <c r="J7764" i="29"/>
  <c r="K7764" i="29"/>
  <c r="T7975" i="29"/>
  <c r="J7975" i="29"/>
  <c r="K7975" i="29"/>
  <c r="S7975" i="29"/>
  <c r="T7403" i="29"/>
  <c r="J7403" i="29"/>
  <c r="S7403" i="29"/>
  <c r="T7381" i="29"/>
  <c r="J7381" i="29"/>
  <c r="S7381" i="29"/>
  <c r="J7437" i="29"/>
  <c r="T7808" i="29"/>
  <c r="S7808" i="29"/>
  <c r="S7829" i="29"/>
  <c r="T7829" i="29"/>
  <c r="J7829" i="29"/>
  <c r="S7946" i="29"/>
  <c r="T7946" i="29"/>
  <c r="S7896" i="29"/>
  <c r="T7896" i="29"/>
  <c r="J7896" i="29"/>
  <c r="K7896" i="29"/>
  <c r="T7578" i="29"/>
  <c r="J7578" i="29"/>
  <c r="S7578" i="29"/>
  <c r="J7706" i="29"/>
  <c r="T7762" i="29"/>
  <c r="J7762" i="29"/>
  <c r="S7762" i="29"/>
  <c r="S7840" i="29"/>
  <c r="T7840" i="29"/>
  <c r="J7840" i="29"/>
  <c r="S7500" i="29"/>
  <c r="T7500" i="29"/>
  <c r="J7500" i="29"/>
  <c r="K7500" i="29"/>
  <c r="S7467" i="29"/>
  <c r="J7684" i="29"/>
  <c r="K7684" i="29"/>
  <c r="T7933" i="29"/>
  <c r="J7933" i="29"/>
  <c r="S7933" i="29"/>
  <c r="S7904" i="29"/>
  <c r="T7904" i="29"/>
  <c r="J7904" i="29"/>
  <c r="T7885" i="29"/>
  <c r="J7885" i="29"/>
  <c r="K7885" i="29"/>
  <c r="S7885" i="29"/>
  <c r="T7543" i="29"/>
  <c r="J7543" i="29"/>
  <c r="K7543" i="29"/>
  <c r="S7573" i="29"/>
  <c r="T7699" i="29"/>
  <c r="J7699" i="29"/>
  <c r="K7699" i="29"/>
  <c r="S7699" i="29"/>
  <c r="T7702" i="29"/>
  <c r="J7702" i="29"/>
  <c r="S7702" i="29"/>
  <c r="J7763" i="29"/>
  <c r="K7763" i="29"/>
  <c r="T7986" i="29"/>
  <c r="J7986" i="29"/>
  <c r="S7986" i="29"/>
  <c r="S7482" i="29"/>
  <c r="S7466" i="29"/>
  <c r="T7662" i="29"/>
  <c r="J7662" i="29"/>
  <c r="S7662" i="29"/>
  <c r="T7665" i="29"/>
  <c r="J7665" i="29"/>
  <c r="K7665" i="29"/>
  <c r="T7668" i="29"/>
  <c r="J7668" i="29"/>
  <c r="T7912" i="29"/>
  <c r="J7912" i="29"/>
  <c r="S7912" i="29"/>
  <c r="S7974" i="29"/>
  <c r="T7974" i="29"/>
  <c r="S7977" i="29"/>
  <c r="T7977" i="29"/>
  <c r="J7977" i="29"/>
  <c r="K7977" i="29"/>
  <c r="T7800" i="29"/>
  <c r="J7800" i="29"/>
  <c r="K7800" i="29"/>
  <c r="S7800" i="29"/>
  <c r="S8104" i="29"/>
  <c r="T8056" i="29"/>
  <c r="J8056" i="29"/>
  <c r="S8056" i="29"/>
  <c r="T7789" i="29"/>
  <c r="J7789" i="29"/>
  <c r="K7789" i="29"/>
  <c r="S7789" i="29"/>
  <c r="S7893" i="29"/>
  <c r="T7893" i="29"/>
  <c r="S7979" i="29"/>
  <c r="T7979" i="29"/>
  <c r="J7979" i="29"/>
  <c r="T8091" i="29"/>
  <c r="J8091" i="29"/>
  <c r="S8091" i="29"/>
  <c r="J8047" i="29"/>
  <c r="K8047" i="29"/>
  <c r="S7837" i="29"/>
  <c r="S7796" i="29"/>
  <c r="S7872" i="29"/>
  <c r="T7872" i="29"/>
  <c r="J7872" i="29"/>
  <c r="S7952" i="29"/>
  <c r="T7952" i="29"/>
  <c r="J7952" i="29"/>
  <c r="S7701" i="29"/>
  <c r="T7701" i="29"/>
  <c r="J7701" i="29"/>
  <c r="K7701" i="29"/>
  <c r="S7909" i="29"/>
  <c r="T7909" i="29"/>
  <c r="J7909" i="29"/>
  <c r="S8064" i="29"/>
  <c r="J8017" i="29"/>
  <c r="K8017" i="29"/>
  <c r="S7759" i="29"/>
  <c r="S7864" i="29"/>
  <c r="S7790" i="29"/>
  <c r="T7910" i="29"/>
  <c r="J7910" i="29"/>
  <c r="S7902" i="29"/>
  <c r="T7961" i="29"/>
  <c r="J7961" i="29"/>
  <c r="J8034" i="29"/>
  <c r="K8034" i="29"/>
  <c r="T7748" i="29"/>
  <c r="J7748" i="29"/>
  <c r="S7748" i="29"/>
  <c r="S7814" i="29"/>
  <c r="T8039" i="29"/>
  <c r="J8039" i="29"/>
  <c r="S8039" i="29"/>
  <c r="E615" i="36"/>
  <c r="E612" i="36"/>
  <c r="E613" i="36"/>
  <c r="E616" i="36"/>
  <c r="E614" i="36"/>
  <c r="E1843" i="4"/>
  <c r="E492" i="9"/>
  <c r="E1845" i="4"/>
  <c r="E609" i="36"/>
  <c r="E610" i="36"/>
  <c r="E606" i="36"/>
  <c r="E1830" i="4"/>
  <c r="E490" i="9"/>
  <c r="E1832" i="4"/>
  <c r="E1825" i="4"/>
  <c r="E1827" i="4"/>
  <c r="E1829" i="4"/>
  <c r="E1823" i="4"/>
  <c r="E1831" i="4"/>
  <c r="E1824" i="4"/>
  <c r="E489" i="9"/>
  <c r="E607" i="36"/>
  <c r="E1826" i="4"/>
  <c r="E608" i="36"/>
  <c r="E605" i="36"/>
  <c r="F614" i="36"/>
  <c r="F616" i="36"/>
  <c r="E618" i="36"/>
  <c r="F612" i="36"/>
  <c r="F615" i="36"/>
  <c r="K8294" i="29"/>
  <c r="K8287" i="29"/>
  <c r="K8269" i="29"/>
  <c r="F613" i="36"/>
  <c r="K8276" i="29"/>
  <c r="U8304" i="29"/>
  <c r="D618" i="36"/>
  <c r="F1845" i="4"/>
  <c r="G1845" i="4"/>
  <c r="E494" i="9"/>
  <c r="F494" i="9"/>
  <c r="G492" i="9"/>
  <c r="G494" i="9"/>
  <c r="F492" i="9"/>
  <c r="G1843" i="4"/>
  <c r="E1846" i="4"/>
  <c r="F1846" i="4"/>
  <c r="K8289" i="29"/>
  <c r="K8288" i="29"/>
  <c r="K8286" i="29"/>
  <c r="F1843" i="4"/>
  <c r="U8294" i="29"/>
  <c r="K8304" i="29"/>
  <c r="U8300" i="29"/>
  <c r="W1336" i="29"/>
  <c r="U1336" i="29"/>
  <c r="G489" i="9"/>
  <c r="F489" i="9"/>
  <c r="G1829" i="4"/>
  <c r="F1829" i="4"/>
  <c r="K8258" i="29"/>
  <c r="F610" i="36"/>
  <c r="E611" i="36"/>
  <c r="F609" i="36"/>
  <c r="F608" i="36"/>
  <c r="F607" i="36"/>
  <c r="K8190" i="29"/>
  <c r="K8259" i="29"/>
  <c r="K8197" i="29"/>
  <c r="F605" i="36"/>
  <c r="K8208" i="29"/>
  <c r="F606" i="36"/>
  <c r="K8227" i="29"/>
  <c r="K8211" i="29"/>
  <c r="D337" i="10"/>
  <c r="F337" i="10"/>
  <c r="D611" i="36"/>
  <c r="G1830" i="4"/>
  <c r="K8246" i="29"/>
  <c r="F1830" i="4"/>
  <c r="K8252" i="29"/>
  <c r="D779" i="6"/>
  <c r="D776" i="6"/>
  <c r="F776" i="6"/>
  <c r="E491" i="9"/>
  <c r="G490" i="9"/>
  <c r="F490" i="9"/>
  <c r="D491" i="9"/>
  <c r="G1824" i="4"/>
  <c r="F1831" i="4"/>
  <c r="G1831" i="4"/>
  <c r="E1833" i="4"/>
  <c r="G1823" i="4"/>
  <c r="G1827" i="4"/>
  <c r="G1825" i="4"/>
  <c r="F1832" i="4"/>
  <c r="G1832" i="4"/>
  <c r="G1826" i="4"/>
  <c r="F1823" i="4"/>
  <c r="K8207" i="29"/>
  <c r="K8228" i="29"/>
  <c r="K8253" i="29"/>
  <c r="F1824" i="4"/>
  <c r="F1825" i="4"/>
  <c r="F1826" i="4"/>
  <c r="K8247" i="29"/>
  <c r="F1827" i="4"/>
  <c r="K8226" i="29"/>
  <c r="K8240" i="29"/>
  <c r="K8239" i="29"/>
  <c r="K8229" i="29"/>
  <c r="D1833" i="4"/>
  <c r="U8219" i="29"/>
  <c r="K8237" i="29"/>
  <c r="K8243" i="29"/>
  <c r="U8223" i="29"/>
  <c r="K8223" i="29"/>
  <c r="U8212" i="29"/>
  <c r="K8212" i="29"/>
  <c r="J952" i="29"/>
  <c r="U952" i="29"/>
  <c r="J8177" i="29"/>
  <c r="K8177" i="29"/>
  <c r="J8157" i="29"/>
  <c r="K8157" i="29"/>
  <c r="J8175" i="29"/>
  <c r="T1907" i="29"/>
  <c r="J1907" i="29"/>
  <c r="K1907" i="29"/>
  <c r="T1536" i="29"/>
  <c r="J1536" i="29"/>
  <c r="K1536" i="29"/>
  <c r="S688" i="29"/>
  <c r="S734" i="29"/>
  <c r="J734" i="29"/>
  <c r="K734" i="29"/>
  <c r="T1106" i="29"/>
  <c r="J1106" i="29"/>
  <c r="T2047" i="29"/>
  <c r="J2047" i="29"/>
  <c r="S2221" i="29"/>
  <c r="S2130" i="29"/>
  <c r="T735" i="29"/>
  <c r="W735" i="29"/>
  <c r="U735" i="29"/>
  <c r="W1571" i="29"/>
  <c r="U1571" i="29"/>
  <c r="W1378" i="29"/>
  <c r="U1378" i="29"/>
  <c r="S2985" i="29"/>
  <c r="T1746" i="29"/>
  <c r="J1746" i="29"/>
  <c r="K1746" i="29"/>
  <c r="S2028" i="29"/>
  <c r="T1730" i="29"/>
  <c r="J1730" i="29"/>
  <c r="K1730" i="29"/>
  <c r="S2352" i="29"/>
  <c r="J1398" i="29"/>
  <c r="K1398" i="29"/>
  <c r="S673" i="29"/>
  <c r="T1839" i="29"/>
  <c r="J1839" i="29"/>
  <c r="U1839" i="29"/>
  <c r="T3002" i="29"/>
  <c r="J3002" i="29"/>
  <c r="T1941" i="29"/>
  <c r="J1941" i="29"/>
  <c r="U1941" i="29"/>
  <c r="T2990" i="29"/>
  <c r="J2990" i="29"/>
  <c r="J1263" i="29"/>
  <c r="K1263" i="29"/>
  <c r="S1441" i="29"/>
  <c r="S1947" i="29"/>
  <c r="T695" i="29"/>
  <c r="W695" i="29"/>
  <c r="U695" i="29"/>
  <c r="W686" i="29"/>
  <c r="U686" i="29"/>
  <c r="T1847" i="29"/>
  <c r="J1847" i="29"/>
  <c r="U1847" i="29"/>
  <c r="W688" i="29"/>
  <c r="U688" i="29"/>
  <c r="T1892" i="29"/>
  <c r="J1892" i="29"/>
  <c r="U1892" i="29"/>
  <c r="T2984" i="29"/>
  <c r="J2984" i="29"/>
  <c r="K2984" i="29"/>
  <c r="T1442" i="29"/>
  <c r="J1442" i="29"/>
  <c r="T2307" i="29"/>
  <c r="J2307" i="29"/>
  <c r="K2307" i="29"/>
  <c r="T1263" i="29"/>
  <c r="W1263" i="29"/>
  <c r="S1848" i="29"/>
  <c r="T1410" i="29"/>
  <c r="W1410" i="29"/>
  <c r="S681" i="29"/>
  <c r="S848" i="29"/>
  <c r="S2383" i="29"/>
  <c r="T734" i="29"/>
  <c r="W734" i="29"/>
  <c r="T87" i="29"/>
  <c r="W87" i="29"/>
  <c r="U87" i="29"/>
  <c r="T2981" i="29"/>
  <c r="J2981" i="29"/>
  <c r="K2981" i="29"/>
  <c r="S3001" i="29"/>
  <c r="S1127" i="29"/>
  <c r="T2184" i="29"/>
  <c r="J2184" i="29"/>
  <c r="W1232" i="29"/>
  <c r="U1232" i="29"/>
  <c r="T72" i="29"/>
  <c r="W72" i="29"/>
  <c r="U72" i="29"/>
  <c r="W1355" i="29"/>
  <c r="U1355" i="29"/>
  <c r="J682" i="29"/>
  <c r="K682" i="29"/>
  <c r="T1603" i="29"/>
  <c r="J1603" i="29"/>
  <c r="T1534" i="29"/>
  <c r="J1534" i="29"/>
  <c r="K1534" i="29"/>
  <c r="U779" i="29"/>
  <c r="T1741" i="29"/>
  <c r="J1741" i="29"/>
  <c r="S582" i="29"/>
  <c r="S707" i="29"/>
  <c r="W707" i="29"/>
  <c r="J707" i="29"/>
  <c r="K707" i="29"/>
  <c r="S2223" i="29"/>
  <c r="W804" i="29"/>
  <c r="U804" i="29"/>
  <c r="T1891" i="29"/>
  <c r="J1891" i="29"/>
  <c r="U1891" i="29"/>
  <c r="J673" i="29"/>
  <c r="U673" i="29"/>
  <c r="J951" i="29"/>
  <c r="U951" i="29"/>
  <c r="S1631" i="29"/>
  <c r="T805" i="29"/>
  <c r="J805" i="29"/>
  <c r="E162" i="6"/>
  <c r="F162" i="6"/>
  <c r="T843" i="29"/>
  <c r="J2115" i="29"/>
  <c r="U2115" i="29"/>
  <c r="T1815" i="29"/>
  <c r="J1815" i="29"/>
  <c r="U1815" i="29"/>
  <c r="J775" i="29"/>
  <c r="T2980" i="29"/>
  <c r="J2980" i="29"/>
  <c r="T769" i="29"/>
  <c r="T638" i="29"/>
  <c r="W638" i="29"/>
  <c r="U638" i="29"/>
  <c r="S638" i="29"/>
  <c r="S1152" i="29"/>
  <c r="T2149" i="29"/>
  <c r="J2149" i="29"/>
  <c r="K2149" i="29"/>
  <c r="J722" i="29"/>
  <c r="U722" i="29"/>
  <c r="R1788" i="29"/>
  <c r="R1787" i="29"/>
  <c r="T1224" i="29"/>
  <c r="J1224" i="29"/>
  <c r="E92" i="10"/>
  <c r="W692" i="29"/>
  <c r="J692" i="29"/>
  <c r="K692" i="29"/>
  <c r="S1830" i="29"/>
  <c r="J1333" i="29"/>
  <c r="K1333" i="29"/>
  <c r="S692" i="29"/>
  <c r="U397" i="29"/>
  <c r="T1356" i="29"/>
  <c r="T953" i="29"/>
  <c r="J953" i="29"/>
  <c r="K953" i="29"/>
  <c r="W1309" i="29"/>
  <c r="U1309" i="29"/>
  <c r="T1537" i="29"/>
  <c r="J1537" i="29"/>
  <c r="K1537" i="29"/>
  <c r="T921" i="29"/>
  <c r="T1539" i="29"/>
  <c r="J1539" i="29"/>
  <c r="K1539" i="29"/>
  <c r="T775" i="29"/>
  <c r="W775" i="29"/>
  <c r="T1533" i="29"/>
  <c r="J1533" i="29"/>
  <c r="K1533" i="29"/>
  <c r="T1430" i="29"/>
  <c r="J1430" i="29"/>
  <c r="K1430" i="29"/>
  <c r="T1532" i="29"/>
  <c r="J1532" i="29"/>
  <c r="U1532" i="29"/>
  <c r="K8170" i="29"/>
  <c r="K8183" i="29"/>
  <c r="K8106" i="29"/>
  <c r="K8129" i="29"/>
  <c r="K8124" i="29"/>
  <c r="K8167" i="29"/>
  <c r="K8113" i="29"/>
  <c r="K8171" i="29"/>
  <c r="D604" i="36"/>
  <c r="G89" i="10"/>
  <c r="G94" i="10"/>
  <c r="G100" i="10"/>
  <c r="G104" i="10"/>
  <c r="D332" i="10"/>
  <c r="F332" i="10"/>
  <c r="D770" i="6"/>
  <c r="D767" i="6"/>
  <c r="D488" i="9"/>
  <c r="K8139" i="29"/>
  <c r="W5825" i="29"/>
  <c r="U5825" i="29"/>
  <c r="K8123" i="29"/>
  <c r="D1822" i="4"/>
  <c r="K1378" i="29"/>
  <c r="K8172" i="29"/>
  <c r="W1368" i="29"/>
  <c r="U1368" i="29"/>
  <c r="U4542" i="29"/>
  <c r="U4470" i="29"/>
  <c r="J5416" i="29"/>
  <c r="U5416" i="29"/>
  <c r="J3221" i="29"/>
  <c r="K3221" i="29"/>
  <c r="K8153" i="29"/>
  <c r="J1447" i="29"/>
  <c r="K1447" i="29"/>
  <c r="K8138" i="29"/>
  <c r="K8136" i="29"/>
  <c r="J3025" i="29"/>
  <c r="K3025" i="29"/>
  <c r="W1493" i="29"/>
  <c r="U1493" i="29"/>
  <c r="U2012" i="29"/>
  <c r="J6295" i="29"/>
  <c r="U6295" i="29"/>
  <c r="K3678" i="29"/>
  <c r="J6259" i="29"/>
  <c r="K6259" i="29"/>
  <c r="K8147" i="29"/>
  <c r="J3222" i="29"/>
  <c r="K3222" i="29"/>
  <c r="W1268" i="29"/>
  <c r="U1268" i="29"/>
  <c r="W1646" i="29"/>
  <c r="W4886" i="29"/>
  <c r="U4886" i="29"/>
  <c r="J3094" i="29"/>
  <c r="K3094" i="29"/>
  <c r="J2698" i="29"/>
  <c r="U2698" i="29"/>
  <c r="U2767" i="29"/>
  <c r="U5165" i="29"/>
  <c r="J5178" i="29"/>
  <c r="U5178" i="29"/>
  <c r="K8143" i="29"/>
  <c r="K8145" i="29"/>
  <c r="W706" i="29"/>
  <c r="U706" i="29"/>
  <c r="J5132" i="29"/>
  <c r="U5132" i="29"/>
  <c r="W2375" i="29"/>
  <c r="U2375" i="29"/>
  <c r="K1965" i="29"/>
  <c r="J4395" i="29"/>
  <c r="U4395" i="29"/>
  <c r="U6375" i="29"/>
  <c r="J3831" i="29"/>
  <c r="K3831" i="29"/>
  <c r="K6213" i="29"/>
  <c r="J5474" i="29"/>
  <c r="K5474" i="29"/>
  <c r="K6078" i="29"/>
  <c r="K1618" i="29"/>
  <c r="J5006" i="29"/>
  <c r="U5006" i="29"/>
  <c r="J2885" i="29"/>
  <c r="U2885" i="29"/>
  <c r="U6367" i="29"/>
  <c r="W3682" i="29"/>
  <c r="U3682" i="29"/>
  <c r="J1315" i="29"/>
  <c r="U1315" i="29"/>
  <c r="K6231" i="29"/>
  <c r="K6220" i="29"/>
  <c r="W5519" i="29"/>
  <c r="U5519" i="29"/>
  <c r="J1711" i="29"/>
  <c r="K1711" i="29"/>
  <c r="U3431" i="29"/>
  <c r="W3564" i="29"/>
  <c r="U3564" i="29"/>
  <c r="U161" i="29"/>
  <c r="K8152" i="29"/>
  <c r="W1823" i="29"/>
  <c r="U1823" i="29"/>
  <c r="W2505" i="29"/>
  <c r="U2505" i="29"/>
  <c r="K1530" i="29"/>
  <c r="W908" i="29"/>
  <c r="U908" i="29"/>
  <c r="W3452" i="29"/>
  <c r="U3452" i="29"/>
  <c r="J3206" i="29"/>
  <c r="U3206" i="29"/>
  <c r="J5522" i="29"/>
  <c r="K5522" i="29"/>
  <c r="U1878" i="29"/>
  <c r="W3197" i="29"/>
  <c r="U3197" i="29"/>
  <c r="K1141" i="29"/>
  <c r="W3976" i="29"/>
  <c r="U3976" i="29"/>
  <c r="W803" i="29"/>
  <c r="U803" i="29"/>
  <c r="J1737" i="29"/>
  <c r="W1379" i="29"/>
  <c r="U1379" i="29"/>
  <c r="W1010" i="29"/>
  <c r="U1010" i="29"/>
  <c r="U4246" i="29"/>
  <c r="J2808" i="29"/>
  <c r="K2808" i="29"/>
  <c r="J5092" i="29"/>
  <c r="U5092" i="29"/>
  <c r="J854" i="29"/>
  <c r="K854" i="29"/>
  <c r="W3345" i="29"/>
  <c r="U3345" i="29"/>
  <c r="J1248" i="29"/>
  <c r="K1248" i="29"/>
  <c r="J313" i="29"/>
  <c r="K313" i="29"/>
  <c r="U6221" i="29"/>
  <c r="U1444" i="29"/>
  <c r="J1662" i="29"/>
  <c r="K1662" i="29"/>
  <c r="J1342" i="29"/>
  <c r="K1342" i="29"/>
  <c r="W3939" i="29"/>
  <c r="U3939" i="29"/>
  <c r="W3699" i="29"/>
  <c r="U3699" i="29"/>
  <c r="K3753" i="29"/>
  <c r="J4626" i="29"/>
  <c r="U4626" i="29"/>
  <c r="W1161" i="29"/>
  <c r="U1161" i="29"/>
  <c r="U2159" i="29"/>
  <c r="W1934" i="29"/>
  <c r="U1934" i="29"/>
  <c r="J5289" i="29"/>
  <c r="U5289" i="29"/>
  <c r="J2265" i="29"/>
  <c r="K2265" i="29"/>
  <c r="W3388" i="29"/>
  <c r="U3388" i="29"/>
  <c r="J2493" i="29"/>
  <c r="K2493" i="29"/>
  <c r="J1167" i="29"/>
  <c r="K1167" i="29"/>
  <c r="W3913" i="29"/>
  <c r="U3913" i="29"/>
  <c r="W982" i="29"/>
  <c r="U982" i="29"/>
  <c r="W4321" i="29"/>
  <c r="U4321" i="29"/>
  <c r="J4064" i="29"/>
  <c r="K4064" i="29"/>
  <c r="W4531" i="29"/>
  <c r="U4531" i="29"/>
  <c r="W3029" i="29"/>
  <c r="U3029" i="29"/>
  <c r="K8133" i="29"/>
  <c r="K8130" i="29"/>
  <c r="J1880" i="29"/>
  <c r="K1880" i="29"/>
  <c r="W3091" i="29"/>
  <c r="U3091" i="29"/>
  <c r="J5524" i="29"/>
  <c r="U5524" i="29"/>
  <c r="U1237" i="29"/>
  <c r="K8125" i="29"/>
  <c r="U3989" i="29"/>
  <c r="J5417" i="29"/>
  <c r="U5417" i="29"/>
  <c r="W1450" i="29"/>
  <c r="U94" i="29"/>
  <c r="W3527" i="29"/>
  <c r="U3527" i="29"/>
  <c r="J1100" i="29"/>
  <c r="U1100" i="29"/>
  <c r="U1043" i="29"/>
  <c r="J3158" i="29"/>
  <c r="U3158" i="29"/>
  <c r="W6150" i="29"/>
  <c r="U6150" i="29"/>
  <c r="U1188" i="29"/>
  <c r="W5350" i="29"/>
  <c r="U5350" i="29"/>
  <c r="W3305" i="29"/>
  <c r="U3305" i="29"/>
  <c r="K3672" i="29"/>
  <c r="W1462" i="29"/>
  <c r="U1462" i="29"/>
  <c r="W3086" i="29"/>
  <c r="U3086" i="29"/>
  <c r="J983" i="29"/>
  <c r="K983" i="29"/>
  <c r="J2171" i="29"/>
  <c r="K2171" i="29"/>
  <c r="J4354" i="29"/>
  <c r="K4354" i="29"/>
  <c r="J3344" i="29"/>
  <c r="K3344" i="29"/>
  <c r="J2198" i="29"/>
  <c r="U2198" i="29"/>
  <c r="J3992" i="29"/>
  <c r="K3992" i="29"/>
  <c r="J2502" i="29"/>
  <c r="U2502" i="29"/>
  <c r="U3781" i="29"/>
  <c r="J976" i="29"/>
  <c r="W2721" i="29"/>
  <c r="U2721" i="29"/>
  <c r="W6185" i="29"/>
  <c r="U6185" i="29"/>
  <c r="J5768" i="29"/>
  <c r="K5768" i="29"/>
  <c r="W5667" i="29"/>
  <c r="U5667" i="29"/>
  <c r="U4114" i="29"/>
  <c r="U6369" i="29"/>
  <c r="K6369" i="29"/>
  <c r="K1316" i="29"/>
  <c r="U1661" i="29"/>
  <c r="K1643" i="29"/>
  <c r="J3847" i="29"/>
  <c r="K3847" i="29"/>
  <c r="K5926" i="29"/>
  <c r="U1654" i="29"/>
  <c r="W2927" i="29"/>
  <c r="U2927" i="29"/>
  <c r="U665" i="29"/>
  <c r="K4908" i="29"/>
  <c r="J1639" i="29"/>
  <c r="K1639" i="29"/>
  <c r="U1814" i="29"/>
  <c r="J3510" i="29"/>
  <c r="K3510" i="29"/>
  <c r="U1156" i="29"/>
  <c r="W4401" i="29"/>
  <c r="U4401" i="29"/>
  <c r="W5032" i="29"/>
  <c r="U5032" i="29"/>
  <c r="K1149" i="29"/>
  <c r="W5272" i="29"/>
  <c r="U5272" i="29"/>
  <c r="U2514" i="29"/>
  <c r="J4589" i="29"/>
  <c r="K4589" i="29"/>
  <c r="J3173" i="29"/>
  <c r="U3173" i="29"/>
  <c r="J1142" i="29"/>
  <c r="K1142" i="29"/>
  <c r="J3164" i="29"/>
  <c r="K3164" i="29"/>
  <c r="U5088" i="29"/>
  <c r="J2064" i="29"/>
  <c r="U1921" i="29"/>
  <c r="J2945" i="29"/>
  <c r="U2945" i="29"/>
  <c r="W2506" i="29"/>
  <c r="U2506" i="29"/>
  <c r="U3207" i="29"/>
  <c r="J3990" i="29"/>
  <c r="U3990" i="29"/>
  <c r="J4359" i="29"/>
  <c r="U4359" i="29"/>
  <c r="U2430" i="29"/>
  <c r="K1343" i="29"/>
  <c r="K8128" i="29"/>
  <c r="K3466" i="29"/>
  <c r="U3466" i="29"/>
  <c r="K4215" i="29"/>
  <c r="U4215" i="29"/>
  <c r="K6216" i="29"/>
  <c r="U6216" i="29"/>
  <c r="W2795" i="29"/>
  <c r="U2795" i="29"/>
  <c r="J687" i="29"/>
  <c r="K687" i="29"/>
  <c r="W5402" i="29"/>
  <c r="U5402" i="29"/>
  <c r="U5269" i="29"/>
  <c r="K2577" i="29"/>
  <c r="W1909" i="29"/>
  <c r="U1909" i="29"/>
  <c r="W5030" i="29"/>
  <c r="U5030" i="29"/>
  <c r="U5077" i="29"/>
  <c r="K3312" i="29"/>
  <c r="U4317" i="29"/>
  <c r="J597" i="29"/>
  <c r="K597" i="29"/>
  <c r="W2936" i="29"/>
  <c r="U2936" i="29"/>
  <c r="U576" i="29"/>
  <c r="W2088" i="29"/>
  <c r="W4585" i="29"/>
  <c r="U4585" i="29"/>
  <c r="J3552" i="29"/>
  <c r="K3552" i="29"/>
  <c r="U1545" i="29"/>
  <c r="U4665" i="29"/>
  <c r="K3427" i="29"/>
  <c r="U5669" i="29"/>
  <c r="J3271" i="29"/>
  <c r="U3271" i="29"/>
  <c r="U1083" i="29"/>
  <c r="J2397" i="29"/>
  <c r="U2397" i="29"/>
  <c r="J2498" i="29"/>
  <c r="K2498" i="29"/>
  <c r="K6577" i="29"/>
  <c r="W5036" i="29"/>
  <c r="U5036" i="29"/>
  <c r="J810" i="29"/>
  <c r="U810" i="29"/>
  <c r="W4752" i="29"/>
  <c r="U4752" i="29"/>
  <c r="W2009" i="29"/>
  <c r="U2009" i="29"/>
  <c r="K3975" i="29"/>
  <c r="J1011" i="29"/>
  <c r="U1011" i="29"/>
  <c r="W4071" i="29"/>
  <c r="U4071" i="29"/>
  <c r="W2947" i="29"/>
  <c r="U2947" i="29"/>
  <c r="U3826" i="29"/>
  <c r="J4156" i="29"/>
  <c r="U4156" i="29"/>
  <c r="W1499" i="29"/>
  <c r="W4314" i="29"/>
  <c r="U4314" i="29"/>
  <c r="K7392" i="29"/>
  <c r="U1384" i="29"/>
  <c r="U5394" i="29"/>
  <c r="J5362" i="29"/>
  <c r="U5362" i="29"/>
  <c r="K1514" i="29"/>
  <c r="U4041" i="29"/>
  <c r="J5175" i="29"/>
  <c r="K5175" i="29"/>
  <c r="U6236" i="29"/>
  <c r="J3793" i="29"/>
  <c r="K3793" i="29"/>
  <c r="J4248" i="29"/>
  <c r="K4248" i="29"/>
  <c r="K5075" i="29"/>
  <c r="W1552" i="29"/>
  <c r="U1552" i="29"/>
  <c r="J4942" i="29"/>
  <c r="K4942" i="29"/>
  <c r="U4742" i="29"/>
  <c r="W5115" i="29"/>
  <c r="U5115" i="29"/>
  <c r="J3376" i="29"/>
  <c r="K3376" i="29"/>
  <c r="W3296" i="29"/>
  <c r="U3296" i="29"/>
  <c r="J1487" i="29"/>
  <c r="K1487" i="29"/>
  <c r="J3447" i="29"/>
  <c r="U3447" i="29"/>
  <c r="W1389" i="29"/>
  <c r="U1389" i="29"/>
  <c r="K1179" i="29"/>
  <c r="W2099" i="29"/>
  <c r="U2099" i="29"/>
  <c r="J3166" i="29"/>
  <c r="K3166" i="29"/>
  <c r="W3662" i="29"/>
  <c r="U3662" i="29"/>
  <c r="W2880" i="29"/>
  <c r="U2880" i="29"/>
  <c r="J801" i="29"/>
  <c r="K801" i="29"/>
  <c r="K5062" i="29"/>
  <c r="W3230" i="29"/>
  <c r="U3230" i="29"/>
  <c r="W1862" i="29"/>
  <c r="U1862" i="29"/>
  <c r="W3004" i="29"/>
  <c r="U3004" i="29"/>
  <c r="W1932" i="29"/>
  <c r="U1932" i="29"/>
  <c r="J5028" i="29"/>
  <c r="K5028" i="29"/>
  <c r="W1134" i="29"/>
  <c r="U1134" i="29"/>
  <c r="J3023" i="29"/>
  <c r="K3023" i="29"/>
  <c r="W3168" i="29"/>
  <c r="U3168" i="29"/>
  <c r="W1486" i="29"/>
  <c r="U1486" i="29"/>
  <c r="W3912" i="29"/>
  <c r="U3912" i="29"/>
  <c r="K4613" i="29"/>
  <c r="J863" i="29"/>
  <c r="W4499" i="29"/>
  <c r="U4499" i="29"/>
  <c r="W2405" i="29"/>
  <c r="U2405" i="29"/>
  <c r="W2959" i="29"/>
  <c r="U2959" i="29"/>
  <c r="U2300" i="29"/>
  <c r="J4358" i="29"/>
  <c r="K4358" i="29"/>
  <c r="K6446" i="29"/>
  <c r="W1750" i="29"/>
  <c r="U1750" i="29"/>
  <c r="J2121" i="29"/>
  <c r="U2121" i="29"/>
  <c r="J4639" i="29"/>
  <c r="U4639" i="29"/>
  <c r="W3604" i="29"/>
  <c r="U3604" i="29"/>
  <c r="K5669" i="29"/>
  <c r="U1950" i="29"/>
  <c r="J5375" i="29"/>
  <c r="U5375" i="29"/>
  <c r="W768" i="29"/>
  <c r="U768" i="29"/>
  <c r="W956" i="29"/>
  <c r="U956" i="29"/>
  <c r="W5078" i="29"/>
  <c r="U5078" i="29"/>
  <c r="W4934" i="29"/>
  <c r="U4934" i="29"/>
  <c r="K4010" i="29"/>
  <c r="J3610" i="29"/>
  <c r="K3610" i="29"/>
  <c r="K6308" i="29"/>
  <c r="J3367" i="29"/>
  <c r="U3367" i="29"/>
  <c r="K3686" i="29"/>
  <c r="U5047" i="29"/>
  <c r="U6474" i="29"/>
  <c r="K5702" i="29"/>
  <c r="J2879" i="29"/>
  <c r="U2879" i="29"/>
  <c r="U2296" i="29"/>
  <c r="U3279" i="29"/>
  <c r="W1439" i="29"/>
  <c r="U1439" i="29"/>
  <c r="W5351" i="29"/>
  <c r="U5351" i="29"/>
  <c r="W2810" i="29"/>
  <c r="U2810" i="29"/>
  <c r="W4404" i="29"/>
  <c r="U4404" i="29"/>
  <c r="U3739" i="29"/>
  <c r="W5670" i="29"/>
  <c r="U5670" i="29"/>
  <c r="K5942" i="29"/>
  <c r="J2259" i="29"/>
  <c r="U2259" i="29"/>
  <c r="K908" i="29"/>
  <c r="J2953" i="29"/>
  <c r="K2953" i="29"/>
  <c r="K4802" i="29"/>
  <c r="W4661" i="29"/>
  <c r="U4661" i="29"/>
  <c r="W3828" i="29"/>
  <c r="U3828" i="29"/>
  <c r="U5089" i="29"/>
  <c r="W857" i="29"/>
  <c r="U857" i="29"/>
  <c r="W3563" i="29"/>
  <c r="U3563" i="29"/>
  <c r="W5033" i="29"/>
  <c r="U5033" i="29"/>
  <c r="U1239" i="29"/>
  <c r="J1253" i="29"/>
  <c r="U1253" i="29"/>
  <c r="W1298" i="29"/>
  <c r="U1298" i="29"/>
  <c r="K3435" i="29"/>
  <c r="W3453" i="29"/>
  <c r="U3453" i="29"/>
  <c r="J3379" i="29"/>
  <c r="U3379" i="29"/>
  <c r="J2098" i="29"/>
  <c r="K2098" i="29"/>
  <c r="K1868" i="29"/>
  <c r="J3832" i="29"/>
  <c r="K3832" i="29"/>
  <c r="U6258" i="29"/>
  <c r="U4449" i="29"/>
  <c r="J4053" i="29"/>
  <c r="K4053" i="29"/>
  <c r="W3906" i="29"/>
  <c r="U3906" i="29"/>
  <c r="W3616" i="29"/>
  <c r="U3616" i="29"/>
  <c r="W1853" i="29"/>
  <c r="U1853" i="29"/>
  <c r="W2337" i="29"/>
  <c r="U2337" i="29"/>
  <c r="J4191" i="29"/>
  <c r="K4191" i="29"/>
  <c r="J4038" i="29"/>
  <c r="U2007" i="29"/>
  <c r="K2377" i="29"/>
  <c r="J3306" i="29"/>
  <c r="U3306" i="29"/>
  <c r="K6302" i="29"/>
  <c r="U1449" i="29"/>
  <c r="J3454" i="29"/>
  <c r="K3454" i="29"/>
  <c r="U574" i="29"/>
  <c r="J523" i="29"/>
  <c r="U523" i="29"/>
  <c r="U1440" i="29"/>
  <c r="K1440" i="29"/>
  <c r="K1831" i="29"/>
  <c r="U1831" i="29"/>
  <c r="U2014" i="29"/>
  <c r="U1238" i="29"/>
  <c r="U2004" i="29"/>
  <c r="K1307" i="29"/>
  <c r="J4587" i="29"/>
  <c r="K4587" i="29"/>
  <c r="J300" i="29"/>
  <c r="U300" i="29"/>
  <c r="W950" i="29"/>
  <c r="U950" i="29"/>
  <c r="U1159" i="29"/>
  <c r="J1076" i="29"/>
  <c r="U1076" i="29"/>
  <c r="K5504" i="29"/>
  <c r="W3904" i="29"/>
  <c r="U3904" i="29"/>
  <c r="J4238" i="29"/>
  <c r="U4238" i="29"/>
  <c r="W4936" i="29"/>
  <c r="U4936" i="29"/>
  <c r="K4845" i="29"/>
  <c r="W3089" i="29"/>
  <c r="U3089" i="29"/>
  <c r="K2940" i="29"/>
  <c r="W2501" i="29"/>
  <c r="U2501" i="29"/>
  <c r="W471" i="29"/>
  <c r="U471" i="29"/>
  <c r="W3995" i="29"/>
  <c r="U3995" i="29"/>
  <c r="W5526" i="29"/>
  <c r="U5526" i="29"/>
  <c r="W2973" i="29"/>
  <c r="U2973" i="29"/>
  <c r="W3170" i="29"/>
  <c r="U3170" i="29"/>
  <c r="W3747" i="29"/>
  <c r="U3747" i="29"/>
  <c r="J6321" i="29"/>
  <c r="U6321" i="29"/>
  <c r="W3076" i="29"/>
  <c r="U3076" i="29"/>
  <c r="U1540" i="29"/>
  <c r="J3935" i="29"/>
  <c r="K3935" i="29"/>
  <c r="U160" i="29"/>
  <c r="J4423" i="29"/>
  <c r="K4423" i="29"/>
  <c r="U1777" i="29"/>
  <c r="J4488" i="29"/>
  <c r="K4488" i="29"/>
  <c r="J596" i="29"/>
  <c r="K596" i="29"/>
  <c r="J4490" i="29"/>
  <c r="K4490" i="29"/>
  <c r="W5025" i="29"/>
  <c r="U5025" i="29"/>
  <c r="U658" i="29"/>
  <c r="U1191" i="29"/>
  <c r="J2734" i="29"/>
  <c r="U2734" i="29"/>
  <c r="K1188" i="29"/>
  <c r="J5111" i="29"/>
  <c r="K5111" i="29"/>
  <c r="W1864" i="29"/>
  <c r="U1864" i="29"/>
  <c r="J4458" i="29"/>
  <c r="U4458" i="29"/>
  <c r="K3399" i="29"/>
  <c r="J3382" i="29"/>
  <c r="K3382" i="29"/>
  <c r="U1554" i="29"/>
  <c r="W3823" i="29"/>
  <c r="U3823" i="29"/>
  <c r="U2165" i="29"/>
  <c r="W3455" i="29"/>
  <c r="U3455" i="29"/>
  <c r="J4150" i="29"/>
  <c r="K4150" i="29"/>
  <c r="U5956" i="29"/>
  <c r="W2074" i="29"/>
  <c r="U2074" i="29"/>
  <c r="K2002" i="29"/>
  <c r="J4311" i="29"/>
  <c r="K4311" i="29"/>
  <c r="W6523" i="29"/>
  <c r="U6523" i="29"/>
  <c r="J2884" i="29"/>
  <c r="K2884" i="29"/>
  <c r="J1703" i="29"/>
  <c r="K1703" i="29"/>
  <c r="U1531" i="29"/>
  <c r="W3750" i="29"/>
  <c r="U3750" i="29"/>
  <c r="J1285" i="29"/>
  <c r="K1285" i="29"/>
  <c r="U8013" i="29"/>
  <c r="U1854" i="29"/>
  <c r="W856" i="29"/>
  <c r="U856" i="29"/>
  <c r="U5093" i="29"/>
  <c r="K3873" i="29"/>
  <c r="W2562" i="29"/>
  <c r="U2562" i="29"/>
  <c r="U3297" i="29"/>
  <c r="J5288" i="29"/>
  <c r="K5288" i="29"/>
  <c r="K1308" i="29"/>
  <c r="U4571" i="29"/>
  <c r="J4329" i="29"/>
  <c r="K4329" i="29"/>
  <c r="K6366" i="29"/>
  <c r="W4398" i="29"/>
  <c r="U4398" i="29"/>
  <c r="W2723" i="29"/>
  <c r="U2723" i="29"/>
  <c r="J1416" i="29"/>
  <c r="K1416" i="29"/>
  <c r="W424" i="29"/>
  <c r="K1399" i="29"/>
  <c r="K1675" i="29"/>
  <c r="U4668" i="29"/>
  <c r="W5005" i="29"/>
  <c r="U5005" i="29"/>
  <c r="K5389" i="29"/>
  <c r="W4580" i="29"/>
  <c r="U4580" i="29"/>
  <c r="U2094" i="29"/>
  <c r="K5045" i="29"/>
  <c r="W3030" i="29"/>
  <c r="U3030" i="29"/>
  <c r="J4455" i="29"/>
  <c r="K4455" i="29"/>
  <c r="W3231" i="29"/>
  <c r="U3231" i="29"/>
  <c r="K5165" i="29"/>
  <c r="J2351" i="29"/>
  <c r="K5787" i="29"/>
  <c r="U5787" i="29"/>
  <c r="K4720" i="29"/>
  <c r="U4720" i="29"/>
  <c r="K1870" i="29"/>
  <c r="U1870" i="29"/>
  <c r="K4503" i="29"/>
  <c r="U4503" i="29"/>
  <c r="K3848" i="29"/>
  <c r="K5277" i="29"/>
  <c r="K4853" i="29"/>
  <c r="W4604" i="29"/>
  <c r="U4604" i="29"/>
  <c r="J5373" i="29"/>
  <c r="K5373" i="29"/>
  <c r="W5465" i="29"/>
  <c r="U5465" i="29"/>
  <c r="U15" i="29"/>
  <c r="W1881" i="29"/>
  <c r="U1881" i="29"/>
  <c r="W2802" i="29"/>
  <c r="U2802" i="29"/>
  <c r="W1856" i="29"/>
  <c r="U1856" i="29"/>
  <c r="U5255" i="29"/>
  <c r="J4822" i="29"/>
  <c r="W5205" i="29"/>
  <c r="U5205" i="29"/>
  <c r="U6000" i="29"/>
  <c r="W2415" i="29"/>
  <c r="U2415" i="29"/>
  <c r="U5822" i="29"/>
  <c r="W4324" i="29"/>
  <c r="U4324" i="29"/>
  <c r="W4529" i="29"/>
  <c r="U4529" i="29"/>
  <c r="J1247" i="29"/>
  <c r="K1247" i="29"/>
  <c r="J2737" i="29"/>
  <c r="K2737" i="29"/>
  <c r="J4757" i="29"/>
  <c r="K4757" i="29"/>
  <c r="J770" i="29"/>
  <c r="K770" i="29"/>
  <c r="W1471" i="29"/>
  <c r="U1471" i="29"/>
  <c r="W1896" i="29"/>
  <c r="U1896" i="29"/>
  <c r="W1451" i="29"/>
  <c r="U1451" i="29"/>
  <c r="K5974" i="29"/>
  <c r="U1923" i="29"/>
  <c r="U1391" i="29"/>
  <c r="W3704" i="29"/>
  <c r="U3704" i="29"/>
  <c r="J3900" i="29"/>
  <c r="K3900" i="29"/>
  <c r="U1299" i="29"/>
  <c r="W5095" i="29"/>
  <c r="U5095" i="29"/>
  <c r="K3415" i="29"/>
  <c r="J2346" i="29"/>
  <c r="J3703" i="29"/>
  <c r="K3703" i="29"/>
  <c r="U1448" i="29"/>
  <c r="W5828" i="29"/>
  <c r="U5828" i="29"/>
  <c r="W1663" i="29"/>
  <c r="U1663" i="29"/>
  <c r="W5177" i="29"/>
  <c r="U5177" i="29"/>
  <c r="U3240" i="29"/>
  <c r="K6467" i="29"/>
  <c r="K3441" i="29"/>
  <c r="J4074" i="29"/>
  <c r="W3653" i="29"/>
  <c r="U3653" i="29"/>
  <c r="J3304" i="29"/>
  <c r="U3304" i="29"/>
  <c r="U3016" i="29"/>
  <c r="W2452" i="29"/>
  <c r="U2452" i="29"/>
  <c r="K1852" i="29"/>
  <c r="U4734" i="29"/>
  <c r="W6604" i="29"/>
  <c r="U6604" i="29"/>
  <c r="K3775" i="29"/>
  <c r="J1405" i="29"/>
  <c r="U1405" i="29"/>
  <c r="K4847" i="29"/>
  <c r="J2219" i="29"/>
  <c r="K2219" i="29"/>
  <c r="J3369" i="29"/>
  <c r="K3369" i="29"/>
  <c r="K3323" i="29"/>
  <c r="J845" i="29"/>
  <c r="J3647" i="29"/>
  <c r="K3647" i="29"/>
  <c r="W5527" i="29"/>
  <c r="U5527" i="29"/>
  <c r="W2019" i="29"/>
  <c r="U2019" i="29"/>
  <c r="J5038" i="29"/>
  <c r="K5038" i="29"/>
  <c r="U38" i="29"/>
  <c r="K6154" i="29"/>
  <c r="W5277" i="29"/>
  <c r="U5277" i="29"/>
  <c r="W3848" i="29"/>
  <c r="U3848" i="29"/>
  <c r="K7198" i="29"/>
  <c r="J4882" i="29"/>
  <c r="K4882" i="29"/>
  <c r="W1748" i="29"/>
  <c r="U1748" i="29"/>
  <c r="J5282" i="29"/>
  <c r="U5282" i="29"/>
  <c r="J2289" i="29"/>
  <c r="K2289" i="29"/>
  <c r="J2591" i="29"/>
  <c r="K2591" i="29"/>
  <c r="J2727" i="29"/>
  <c r="U5843" i="29"/>
  <c r="W5518" i="29"/>
  <c r="U5518" i="29"/>
  <c r="J5691" i="29"/>
  <c r="K5691" i="29"/>
  <c r="W1317" i="29"/>
  <c r="U1317" i="29"/>
  <c r="W6424" i="29"/>
  <c r="U6424" i="29"/>
  <c r="U1218" i="29"/>
  <c r="U1321" i="29"/>
  <c r="W4062" i="29"/>
  <c r="U4062" i="29"/>
  <c r="J5270" i="29"/>
  <c r="K5270" i="29"/>
  <c r="U228" i="29"/>
  <c r="U1933" i="29"/>
  <c r="J4747" i="29"/>
  <c r="K4747" i="29"/>
  <c r="U919" i="29"/>
  <c r="J1665" i="29"/>
  <c r="K1665" i="29"/>
  <c r="U3099" i="29"/>
  <c r="W7813" i="29"/>
  <c r="U7813" i="29"/>
  <c r="J4090" i="29"/>
  <c r="W3212" i="29"/>
  <c r="U3212" i="29"/>
  <c r="K5928" i="29"/>
  <c r="U6736" i="29"/>
  <c r="J3825" i="29"/>
  <c r="W4155" i="29"/>
  <c r="U4155" i="29"/>
  <c r="J3580" i="29"/>
  <c r="U3580" i="29"/>
  <c r="U1240" i="29"/>
  <c r="J4111" i="29"/>
  <c r="K4111" i="29"/>
  <c r="U1358" i="29"/>
  <c r="U5227" i="29"/>
  <c r="W1954" i="29"/>
  <c r="U1954" i="29"/>
  <c r="W5360" i="29"/>
  <c r="U5360" i="29"/>
  <c r="J2750" i="29"/>
  <c r="K2750" i="29"/>
  <c r="K4506" i="29"/>
  <c r="U2045" i="29"/>
  <c r="U1848" i="29"/>
  <c r="W2092" i="29"/>
  <c r="U2092" i="29"/>
  <c r="J5403" i="29"/>
  <c r="K5403" i="29"/>
  <c r="U2478" i="29"/>
  <c r="U3880" i="29"/>
  <c r="J3293" i="29"/>
  <c r="U3293" i="29"/>
  <c r="W7368" i="29"/>
  <c r="U7368" i="29"/>
  <c r="K2743" i="29"/>
  <c r="W5102" i="29"/>
  <c r="U5102" i="29"/>
  <c r="J4583" i="29"/>
  <c r="K4583" i="29"/>
  <c r="K1460" i="29"/>
  <c r="J4815" i="29"/>
  <c r="U4815" i="29"/>
  <c r="W4821" i="29"/>
  <c r="U4821" i="29"/>
  <c r="K3419" i="29"/>
  <c r="K1190" i="29"/>
  <c r="W3550" i="29"/>
  <c r="U3550" i="29"/>
  <c r="U1166" i="29"/>
  <c r="J1138" i="29"/>
  <c r="K1138" i="29"/>
  <c r="J5358" i="29"/>
  <c r="J680" i="29"/>
  <c r="W2038" i="29"/>
  <c r="U2038" i="29"/>
  <c r="U1453" i="29"/>
  <c r="J4205" i="29"/>
  <c r="K4205" i="29"/>
  <c r="K5269" i="29"/>
  <c r="U1143" i="29"/>
  <c r="W4586" i="29"/>
  <c r="U4586" i="29"/>
  <c r="W4422" i="29"/>
  <c r="U4422" i="29"/>
  <c r="U2028" i="29"/>
  <c r="W2046" i="29"/>
  <c r="U2046" i="29"/>
  <c r="U1101" i="29"/>
  <c r="W1922" i="29"/>
  <c r="U1922" i="29"/>
  <c r="J4153" i="29"/>
  <c r="K4153" i="29"/>
  <c r="W3955" i="29"/>
  <c r="U3955" i="29"/>
  <c r="W4032" i="29"/>
  <c r="U4032" i="29"/>
  <c r="U2412" i="29"/>
  <c r="U1634" i="29"/>
  <c r="J1185" i="29"/>
  <c r="K1185" i="29"/>
  <c r="W822" i="29"/>
  <c r="U822" i="29"/>
  <c r="W2728" i="29"/>
  <c r="U2728" i="29"/>
  <c r="W2908" i="29"/>
  <c r="U2908" i="29"/>
  <c r="U4201" i="29"/>
  <c r="U63" i="29"/>
  <c r="J5034" i="29"/>
  <c r="K5034" i="29"/>
  <c r="W5116" i="29"/>
  <c r="U5116" i="29"/>
  <c r="U2597" i="29"/>
  <c r="J1249" i="29"/>
  <c r="W2548" i="29"/>
  <c r="U1325" i="29"/>
  <c r="W2059" i="29"/>
  <c r="U2059" i="29"/>
  <c r="J501" i="29"/>
  <c r="U501" i="29"/>
  <c r="W4072" i="29"/>
  <c r="U4072" i="29"/>
  <c r="W3153" i="29"/>
  <c r="U3153" i="29"/>
  <c r="W2347" i="29"/>
  <c r="U2347" i="29"/>
  <c r="U1312" i="29"/>
  <c r="J3098" i="29"/>
  <c r="K3098" i="29"/>
  <c r="W4353" i="29"/>
  <c r="U4353" i="29"/>
  <c r="W2422" i="29"/>
  <c r="U2422" i="29"/>
  <c r="J2806" i="29"/>
  <c r="K2806" i="29"/>
  <c r="U5323" i="29"/>
  <c r="J2798" i="29"/>
  <c r="W3249" i="29"/>
  <c r="U3249" i="29"/>
  <c r="U6136" i="29"/>
  <c r="J1029" i="29"/>
  <c r="K4016" i="29"/>
  <c r="U1446" i="29"/>
  <c r="U3252" i="29"/>
  <c r="K1889" i="29"/>
  <c r="W1255" i="29"/>
  <c r="U1255" i="29"/>
  <c r="J3494" i="29"/>
  <c r="U3494" i="29"/>
  <c r="W977" i="29"/>
  <c r="U1805" i="29"/>
  <c r="J2317" i="29"/>
  <c r="U2317" i="29"/>
  <c r="U5615" i="29"/>
  <c r="W5118" i="29"/>
  <c r="U5118" i="29"/>
  <c r="K5724" i="29"/>
  <c r="W2499" i="29"/>
  <c r="U2499" i="29"/>
  <c r="F587" i="4"/>
  <c r="U148" i="29"/>
  <c r="J316" i="29"/>
  <c r="U316" i="29"/>
  <c r="J2210" i="29"/>
  <c r="J975" i="29"/>
  <c r="K975" i="29"/>
  <c r="J586" i="29"/>
  <c r="U586" i="29"/>
  <c r="J2639" i="29"/>
  <c r="U2639" i="29"/>
  <c r="J1811" i="29"/>
  <c r="J385" i="29"/>
  <c r="K385" i="29"/>
  <c r="J2158" i="29"/>
  <c r="K2158" i="29"/>
  <c r="J44" i="29"/>
  <c r="J1743" i="29"/>
  <c r="U1743" i="29"/>
  <c r="R1092" i="29"/>
  <c r="S1092" i="29"/>
  <c r="J1213" i="29"/>
  <c r="J516" i="29"/>
  <c r="U516" i="29"/>
  <c r="J736" i="29"/>
  <c r="K736" i="29"/>
  <c r="J1426" i="29"/>
  <c r="R1427" i="29"/>
  <c r="S1427" i="29"/>
  <c r="R1271" i="29"/>
  <c r="J152" i="29"/>
  <c r="R2294" i="29"/>
  <c r="T2294" i="29"/>
  <c r="J2294" i="29"/>
  <c r="K2294" i="29"/>
  <c r="J1949" i="29"/>
  <c r="K1949" i="29"/>
  <c r="R2206" i="29"/>
  <c r="J606" i="29"/>
  <c r="K606" i="29"/>
  <c r="J862" i="29"/>
  <c r="K862" i="29"/>
  <c r="R1949" i="29"/>
  <c r="S1949" i="29"/>
  <c r="J318" i="29"/>
  <c r="K318" i="29"/>
  <c r="R776" i="29"/>
  <c r="T776" i="29"/>
  <c r="W776" i="29"/>
  <c r="J1642" i="29"/>
  <c r="J577" i="29"/>
  <c r="K577" i="29"/>
  <c r="J1796" i="29"/>
  <c r="K1796" i="29"/>
  <c r="U257" i="29"/>
  <c r="J966" i="29"/>
  <c r="K966" i="29"/>
  <c r="J1559" i="29"/>
  <c r="J1177" i="29"/>
  <c r="R2158" i="29"/>
  <c r="S2158" i="29"/>
  <c r="J190" i="29"/>
  <c r="R1213" i="29"/>
  <c r="S1213" i="29"/>
  <c r="U938" i="29"/>
  <c r="J354" i="29"/>
  <c r="U354" i="29"/>
  <c r="J215" i="29"/>
  <c r="U215" i="29"/>
  <c r="J1898" i="29"/>
  <c r="K1898" i="29"/>
  <c r="J1144" i="29"/>
  <c r="K1144" i="29"/>
  <c r="R1023" i="29"/>
  <c r="S1023" i="29"/>
  <c r="R975" i="29"/>
  <c r="T975" i="29"/>
  <c r="W975" i="29"/>
  <c r="J657" i="29"/>
  <c r="J2537" i="29"/>
  <c r="J2039" i="29"/>
  <c r="J196" i="29"/>
  <c r="U196" i="29"/>
  <c r="J694" i="29"/>
  <c r="J20" i="29"/>
  <c r="U20" i="29"/>
  <c r="R1347" i="29"/>
  <c r="T1347" i="29"/>
  <c r="W1347" i="29"/>
  <c r="J2288" i="29"/>
  <c r="U2288" i="29"/>
  <c r="U865" i="29"/>
  <c r="R1306" i="29"/>
  <c r="T1306" i="29"/>
  <c r="W1306" i="29"/>
  <c r="J1092" i="29"/>
  <c r="R1872" i="29"/>
  <c r="S1872" i="29"/>
  <c r="R1144" i="29"/>
  <c r="T1144" i="29"/>
  <c r="W1144" i="29"/>
  <c r="J820" i="29"/>
  <c r="U820" i="29"/>
  <c r="R2118" i="29"/>
  <c r="R2053" i="29"/>
  <c r="T2053" i="29"/>
  <c r="W2053" i="29"/>
  <c r="J2432" i="29"/>
  <c r="U2432" i="29"/>
  <c r="J2673" i="29"/>
  <c r="K2673" i="29"/>
  <c r="R1491" i="29"/>
  <c r="J821" i="29"/>
  <c r="R862" i="29"/>
  <c r="S862" i="29"/>
  <c r="J1319" i="29"/>
  <c r="J429" i="29"/>
  <c r="K429" i="29"/>
  <c r="J918" i="29"/>
  <c r="U918" i="29"/>
  <c r="R1713" i="29"/>
  <c r="S1713" i="29"/>
  <c r="K63" i="29"/>
  <c r="J464" i="29"/>
  <c r="U464" i="29"/>
  <c r="J76" i="29"/>
  <c r="U76" i="29"/>
  <c r="R1974" i="29"/>
  <c r="S1974" i="29"/>
  <c r="J772" i="29"/>
  <c r="U772" i="29"/>
  <c r="J776" i="29"/>
  <c r="J1347" i="29"/>
  <c r="K1347" i="29"/>
  <c r="J1626" i="29"/>
  <c r="J1557" i="29"/>
  <c r="U1557" i="29"/>
  <c r="R2328" i="29"/>
  <c r="T2328" i="29"/>
  <c r="J2328" i="29"/>
  <c r="R2079" i="29"/>
  <c r="S2079" i="29"/>
  <c r="J1271" i="29"/>
  <c r="R1736" i="29"/>
  <c r="J2053" i="29"/>
  <c r="K2053" i="29"/>
  <c r="J69" i="29"/>
  <c r="K69" i="29"/>
  <c r="J311" i="29"/>
  <c r="J391" i="29"/>
  <c r="U391" i="29"/>
  <c r="R736" i="29"/>
  <c r="S736" i="29"/>
  <c r="J2218" i="29"/>
  <c r="K2218" i="29"/>
  <c r="J2150" i="29"/>
  <c r="U2150" i="29"/>
  <c r="J1736" i="29"/>
  <c r="J835" i="29"/>
  <c r="K835" i="29"/>
  <c r="R1657" i="29"/>
  <c r="S1657" i="29"/>
  <c r="J1261" i="29"/>
  <c r="K1261" i="29"/>
  <c r="J1809" i="29"/>
  <c r="J1657" i="29"/>
  <c r="K1657" i="29"/>
  <c r="J1491" i="29"/>
  <c r="K1491" i="29"/>
  <c r="J1962" i="29"/>
  <c r="U1962" i="29"/>
  <c r="J1023" i="29"/>
  <c r="R2039" i="29"/>
  <c r="T2039" i="29"/>
  <c r="W2039" i="29"/>
  <c r="J1306" i="29"/>
  <c r="K1306" i="29"/>
  <c r="R606" i="29"/>
  <c r="T606" i="29"/>
  <c r="W606" i="29"/>
  <c r="J353" i="29"/>
  <c r="K353" i="29"/>
  <c r="J714" i="29"/>
  <c r="U714" i="29"/>
  <c r="J39" i="29"/>
  <c r="K39" i="29"/>
  <c r="J917" i="29"/>
  <c r="R1809" i="29"/>
  <c r="T1809" i="29"/>
  <c r="W1809" i="29"/>
  <c r="J1872" i="29"/>
  <c r="K1872" i="29"/>
  <c r="J829" i="29"/>
  <c r="U829" i="29"/>
  <c r="R2402" i="29"/>
  <c r="S2402" i="29"/>
  <c r="J1427" i="29"/>
  <c r="J428" i="29"/>
  <c r="K428" i="29"/>
  <c r="J836" i="29"/>
  <c r="K836" i="29"/>
  <c r="J276" i="29"/>
  <c r="U276" i="29"/>
  <c r="J1974" i="29"/>
  <c r="J2056" i="29"/>
  <c r="K2056" i="29"/>
  <c r="K4465" i="29"/>
  <c r="U4465" i="29"/>
  <c r="U5251" i="29"/>
  <c r="K5251" i="29"/>
  <c r="J1761" i="29"/>
  <c r="K1761" i="29"/>
  <c r="W1761" i="29"/>
  <c r="W4373" i="29"/>
  <c r="U4373" i="29"/>
  <c r="J1773" i="29"/>
  <c r="W1773" i="29"/>
  <c r="U1283" i="29"/>
  <c r="K1283" i="29"/>
  <c r="U3390" i="29"/>
  <c r="K3390" i="29"/>
  <c r="U5100" i="29"/>
  <c r="K5100" i="29"/>
  <c r="U3057" i="29"/>
  <c r="K3057" i="29"/>
  <c r="W2678" i="29"/>
  <c r="U2678" i="29"/>
  <c r="J4479" i="29"/>
  <c r="K4479" i="29"/>
  <c r="W4479" i="29"/>
  <c r="W4313" i="29"/>
  <c r="J4313" i="29"/>
  <c r="K5925" i="29"/>
  <c r="K1382" i="29"/>
  <c r="J5167" i="29"/>
  <c r="W5167" i="29"/>
  <c r="J5245" i="29"/>
  <c r="J2724" i="29"/>
  <c r="K2724" i="29"/>
  <c r="W2724" i="29"/>
  <c r="W4663" i="29"/>
  <c r="J4663" i="29"/>
  <c r="W906" i="29"/>
  <c r="J906" i="29"/>
  <c r="K906" i="29"/>
  <c r="W3968" i="29"/>
  <c r="U3968" i="29"/>
  <c r="W6233" i="29"/>
  <c r="U6233" i="29"/>
  <c r="W3058" i="29"/>
  <c r="U3058" i="29"/>
  <c r="W3033" i="29"/>
  <c r="J3033" i="29"/>
  <c r="K5660" i="29"/>
  <c r="W4675" i="29"/>
  <c r="U4675" i="29"/>
  <c r="W4885" i="29"/>
  <c r="U4885" i="29"/>
  <c r="U5901" i="29"/>
  <c r="J3084" i="29"/>
  <c r="K3084" i="29"/>
  <c r="K2936" i="29"/>
  <c r="W1417" i="29"/>
  <c r="J1417" i="29"/>
  <c r="K1417" i="29"/>
  <c r="J5353" i="29"/>
  <c r="K5353" i="29"/>
  <c r="W5353" i="29"/>
  <c r="U5049" i="29"/>
  <c r="K5049" i="29"/>
  <c r="J2592" i="29"/>
  <c r="K2592" i="29"/>
  <c r="W2592" i="29"/>
  <c r="W3429" i="29"/>
  <c r="J3429" i="29"/>
  <c r="K3429" i="29"/>
  <c r="J5181" i="29"/>
  <c r="K5181" i="29"/>
  <c r="W5181" i="29"/>
  <c r="W5285" i="29"/>
  <c r="J5285" i="29"/>
  <c r="U4963" i="29"/>
  <c r="K4963" i="29"/>
  <c r="J5085" i="29"/>
  <c r="K5085" i="29"/>
  <c r="W5085" i="29"/>
  <c r="K2908" i="29"/>
  <c r="J5359" i="29"/>
  <c r="W5359" i="29"/>
  <c r="J3957" i="29"/>
  <c r="K3957" i="29"/>
  <c r="W3957" i="29"/>
  <c r="J3531" i="29"/>
  <c r="W3531" i="29"/>
  <c r="K5229" i="29"/>
  <c r="U5229" i="29"/>
  <c r="W2773" i="29"/>
  <c r="J2773" i="29"/>
  <c r="J4540" i="29"/>
  <c r="W4540" i="29"/>
  <c r="W6751" i="29"/>
  <c r="J6751" i="29"/>
  <c r="K6751" i="29"/>
  <c r="J1516" i="29"/>
  <c r="U1516" i="29"/>
  <c r="J4949" i="29"/>
  <c r="K4949" i="29"/>
  <c r="W4949" i="29"/>
  <c r="K5880" i="29"/>
  <c r="J4316" i="29"/>
  <c r="K4316" i="29"/>
  <c r="W4178" i="29"/>
  <c r="U4178" i="29"/>
  <c r="J4875" i="29"/>
  <c r="K4875" i="29"/>
  <c r="W4875" i="29"/>
  <c r="J4411" i="29"/>
  <c r="K4411" i="29"/>
  <c r="W4411" i="29"/>
  <c r="J901" i="29"/>
  <c r="W901" i="29"/>
  <c r="J3365" i="29"/>
  <c r="K3365" i="29"/>
  <c r="W3365" i="29"/>
  <c r="U3495" i="29"/>
  <c r="W2073" i="29"/>
  <c r="U2073" i="29"/>
  <c r="J414" i="29"/>
  <c r="W414" i="29"/>
  <c r="W1520" i="29"/>
  <c r="J1520" i="29"/>
  <c r="W5411" i="29"/>
  <c r="J5411" i="29"/>
  <c r="K5411" i="29"/>
  <c r="K5826" i="29"/>
  <c r="U5826" i="29"/>
  <c r="J2523" i="29"/>
  <c r="K2523" i="29"/>
  <c r="W2523" i="29"/>
  <c r="U4139" i="29"/>
  <c r="K4139" i="29"/>
  <c r="W4584" i="29"/>
  <c r="J4584" i="29"/>
  <c r="K4584" i="29"/>
  <c r="W4141" i="29"/>
  <c r="U4141" i="29"/>
  <c r="K6624" i="29"/>
  <c r="U6624" i="29"/>
  <c r="U17" i="29"/>
  <c r="K17" i="29"/>
  <c r="K156" i="29"/>
  <c r="U156" i="29"/>
  <c r="U7486" i="29"/>
  <c r="K7486" i="29"/>
  <c r="K6338" i="29"/>
  <c r="U6338" i="29"/>
  <c r="J3160" i="29"/>
  <c r="K3160" i="29"/>
  <c r="W3160" i="29"/>
  <c r="W5258" i="29"/>
  <c r="J5258" i="29"/>
  <c r="J4166" i="29"/>
  <c r="K4166" i="29"/>
  <c r="W4166" i="29"/>
  <c r="W6119" i="29"/>
  <c r="J6119" i="29"/>
  <c r="K1944" i="29"/>
  <c r="K2478" i="29"/>
  <c r="J3821" i="29"/>
  <c r="K3821" i="29"/>
  <c r="J831" i="29"/>
  <c r="K831" i="29"/>
  <c r="J933" i="29"/>
  <c r="K933" i="29"/>
  <c r="W933" i="29"/>
  <c r="J4392" i="29"/>
  <c r="K4392" i="29"/>
  <c r="W2777" i="29"/>
  <c r="J2777" i="29"/>
  <c r="K2777" i="29"/>
  <c r="W3267" i="29"/>
  <c r="J3267" i="29"/>
  <c r="J3894" i="29"/>
  <c r="W3894" i="29"/>
  <c r="K1297" i="29"/>
  <c r="U1297" i="29"/>
  <c r="W5698" i="29"/>
  <c r="J5698" i="29"/>
  <c r="U1581" i="29"/>
  <c r="K1581" i="29"/>
  <c r="W5379" i="29"/>
  <c r="J5379" i="29"/>
  <c r="K5379" i="29"/>
  <c r="W864" i="29"/>
  <c r="J864" i="29"/>
  <c r="U1632" i="29"/>
  <c r="K3933" i="29"/>
  <c r="U3933" i="29"/>
  <c r="J5108" i="29"/>
  <c r="K5108" i="29"/>
  <c r="W5108" i="29"/>
  <c r="J2811" i="29"/>
  <c r="W2811" i="29"/>
  <c r="J5668" i="29"/>
  <c r="W5668" i="29"/>
  <c r="U6293" i="29"/>
  <c r="K6293" i="29"/>
  <c r="W2084" i="29"/>
  <c r="J2084" i="29"/>
  <c r="K2084" i="29"/>
  <c r="K4140" i="29"/>
  <c r="W4154" i="29"/>
  <c r="J4154" i="29"/>
  <c r="W3738" i="29"/>
  <c r="J3738" i="29"/>
  <c r="K3738" i="29"/>
  <c r="U6322" i="29"/>
  <c r="K6322" i="29"/>
  <c r="W2867" i="29"/>
  <c r="J2867" i="29"/>
  <c r="K2867" i="29"/>
  <c r="W1798" i="29"/>
  <c r="U1798" i="29"/>
  <c r="W1824" i="29"/>
  <c r="J1824" i="29"/>
  <c r="W4328" i="29"/>
  <c r="J4328" i="29"/>
  <c r="J3460" i="29"/>
  <c r="U3460" i="29"/>
  <c r="K3384" i="29"/>
  <c r="U3384" i="29"/>
  <c r="W1207" i="29"/>
  <c r="J1207" i="29"/>
  <c r="K1207" i="29"/>
  <c r="W4315" i="29"/>
  <c r="J4315" i="29"/>
  <c r="K4315" i="29"/>
  <c r="J2173" i="29"/>
  <c r="W2173" i="29"/>
  <c r="U5550" i="29"/>
  <c r="U4242" i="29"/>
  <c r="K1816" i="29"/>
  <c r="J1369" i="29"/>
  <c r="U1369" i="29"/>
  <c r="J818" i="29"/>
  <c r="W2878" i="29"/>
  <c r="J2878" i="29"/>
  <c r="K2878" i="29"/>
  <c r="K5923" i="29"/>
  <c r="U5923" i="29"/>
  <c r="J4143" i="29"/>
  <c r="K4143" i="29"/>
  <c r="W4143" i="29"/>
  <c r="K1354" i="29"/>
  <c r="U1354" i="29"/>
  <c r="J2260" i="29"/>
  <c r="K2260" i="29"/>
  <c r="W2260" i="29"/>
  <c r="W4950" i="29"/>
  <c r="J4950" i="29"/>
  <c r="K4950" i="29"/>
  <c r="J1266" i="29"/>
  <c r="K1266" i="29"/>
  <c r="W1266" i="29"/>
  <c r="K1994" i="29"/>
  <c r="U1994" i="29"/>
  <c r="W5466" i="29"/>
  <c r="J5466" i="29"/>
  <c r="K5466" i="29"/>
  <c r="W2725" i="29"/>
  <c r="J2725" i="29"/>
  <c r="K2725" i="29"/>
  <c r="K2465" i="29"/>
  <c r="K1640" i="29"/>
  <c r="U1640" i="29"/>
  <c r="K2181" i="29"/>
  <c r="W3169" i="29"/>
  <c r="J3169" i="29"/>
  <c r="W4943" i="29"/>
  <c r="J4943" i="29"/>
  <c r="K4943" i="29"/>
  <c r="U2322" i="29"/>
  <c r="W4485" i="29"/>
  <c r="U4485" i="29"/>
  <c r="K1869" i="29"/>
  <c r="U1869" i="29"/>
  <c r="J7454" i="29"/>
  <c r="W7454" i="29"/>
  <c r="U3751" i="29"/>
  <c r="K5667" i="29"/>
  <c r="U2304" i="29"/>
  <c r="K2304" i="29"/>
  <c r="J3657" i="29"/>
  <c r="K3657" i="29"/>
  <c r="W3657" i="29"/>
  <c r="J2495" i="29"/>
  <c r="K2495" i="29"/>
  <c r="W2495" i="29"/>
  <c r="W4679" i="29"/>
  <c r="J4679" i="29"/>
  <c r="J2174" i="29"/>
  <c r="K2174" i="29"/>
  <c r="W2174" i="29"/>
  <c r="W2193" i="29"/>
  <c r="J2193" i="29"/>
  <c r="J4424" i="29"/>
  <c r="W4424" i="29"/>
  <c r="J1732" i="29"/>
  <c r="W1732" i="29"/>
  <c r="W3226" i="29"/>
  <c r="J3226" i="29"/>
  <c r="K5203" i="29"/>
  <c r="U5203" i="29"/>
  <c r="J3994" i="29"/>
  <c r="J3850" i="29"/>
  <c r="W3850" i="29"/>
  <c r="J4055" i="29"/>
  <c r="K4055" i="29"/>
  <c r="W4055" i="29"/>
  <c r="K1409" i="29"/>
  <c r="U1409" i="29"/>
  <c r="W1507" i="29"/>
  <c r="J1507" i="29"/>
  <c r="K1507" i="29"/>
  <c r="K3175" i="29"/>
  <c r="W1216" i="29"/>
  <c r="J1216" i="29"/>
  <c r="W4125" i="29"/>
  <c r="J4125" i="29"/>
  <c r="K4125" i="29"/>
  <c r="J2017" i="29"/>
  <c r="U54" i="29"/>
  <c r="J4951" i="29"/>
  <c r="J3561" i="29"/>
  <c r="J5565" i="29"/>
  <c r="K5565" i="29"/>
  <c r="W1762" i="29"/>
  <c r="J1762" i="29"/>
  <c r="K1762" i="29"/>
  <c r="U1579" i="29"/>
  <c r="K1579" i="29"/>
  <c r="J2593" i="29"/>
  <c r="K2593" i="29"/>
  <c r="W2593" i="29"/>
  <c r="U1374" i="29"/>
  <c r="K1374" i="29"/>
  <c r="W3660" i="29"/>
  <c r="U3660" i="29"/>
  <c r="W5196" i="29"/>
  <c r="J5196" i="29"/>
  <c r="K5196" i="29"/>
  <c r="J2888" i="29"/>
  <c r="K950" i="29"/>
  <c r="K4911" i="29"/>
  <c r="U4911" i="29"/>
  <c r="W1390" i="29"/>
  <c r="J1390" i="29"/>
  <c r="W4637" i="29"/>
  <c r="J4637" i="29"/>
  <c r="K4637" i="29"/>
  <c r="U3233" i="29"/>
  <c r="W2807" i="29"/>
  <c r="U2807" i="29"/>
  <c r="K2996" i="29"/>
  <c r="K3201" i="29"/>
  <c r="U3201" i="29"/>
  <c r="K1184" i="29"/>
  <c r="J802" i="29"/>
  <c r="W802" i="29"/>
  <c r="W3737" i="29"/>
  <c r="J3737" i="29"/>
  <c r="K3737" i="29"/>
  <c r="J5850" i="29"/>
  <c r="K5850" i="29"/>
  <c r="U2596" i="29"/>
  <c r="U1485" i="29"/>
  <c r="U2181" i="29"/>
  <c r="J4065" i="29"/>
  <c r="W4065" i="29"/>
  <c r="K5123" i="29"/>
  <c r="U5123" i="29"/>
  <c r="J6328" i="29"/>
  <c r="K6328" i="29"/>
  <c r="W6328" i="29"/>
  <c r="J4878" i="29"/>
  <c r="K4878" i="29"/>
  <c r="W4878" i="29"/>
  <c r="J5126" i="29"/>
  <c r="K5126" i="29"/>
  <c r="W5126" i="29"/>
  <c r="W3553" i="29"/>
  <c r="J3553" i="29"/>
  <c r="K3590" i="29"/>
  <c r="U3590" i="29"/>
  <c r="W4872" i="29"/>
  <c r="U4872" i="29"/>
  <c r="J2894" i="29"/>
  <c r="K2894" i="29"/>
  <c r="W4204" i="29"/>
  <c r="J4204" i="29"/>
  <c r="K4204" i="29"/>
  <c r="U1827" i="29"/>
  <c r="W2903" i="29"/>
  <c r="U2903" i="29"/>
  <c r="U2257" i="29"/>
  <c r="U5072" i="29"/>
  <c r="W1513" i="29"/>
  <c r="J1513" i="29"/>
  <c r="K1513" i="29"/>
  <c r="W5423" i="29"/>
  <c r="J5423" i="29"/>
  <c r="W6147" i="29"/>
  <c r="J6147" i="29"/>
  <c r="K3403" i="29"/>
  <c r="U2803" i="29"/>
  <c r="J5632" i="29"/>
  <c r="K5632" i="29"/>
  <c r="J5140" i="29"/>
  <c r="W5140" i="29"/>
  <c r="W4224" i="29"/>
  <c r="U4224" i="29"/>
  <c r="J685" i="29"/>
  <c r="W2964" i="29"/>
  <c r="J2964" i="29"/>
  <c r="J777" i="29"/>
  <c r="W777" i="29"/>
  <c r="U5254" i="29"/>
  <c r="K5254" i="29"/>
  <c r="W3102" i="29"/>
  <c r="J3102" i="29"/>
  <c r="K3102" i="29"/>
  <c r="J6323" i="29"/>
  <c r="K6323" i="29"/>
  <c r="J6405" i="29"/>
  <c r="W6405" i="29"/>
  <c r="K4667" i="29"/>
  <c r="U1764" i="29"/>
  <c r="K3570" i="29"/>
  <c r="U3437" i="29"/>
  <c r="K3437" i="29"/>
  <c r="W2598" i="29"/>
  <c r="J2598" i="29"/>
  <c r="J3830" i="29"/>
  <c r="U3860" i="29"/>
  <c r="K3860" i="29"/>
  <c r="U5919" i="29"/>
  <c r="K5919" i="29"/>
  <c r="K2404" i="29"/>
  <c r="U2404" i="29"/>
  <c r="W1902" i="29"/>
  <c r="J1902" i="29"/>
  <c r="W6002" i="29"/>
  <c r="U6002" i="29"/>
  <c r="U1265" i="29"/>
  <c r="W3159" i="29"/>
  <c r="U3159" i="29"/>
  <c r="W3326" i="29"/>
  <c r="U3326" i="29"/>
  <c r="J1610" i="29"/>
  <c r="K1610" i="29"/>
  <c r="W2800" i="29"/>
  <c r="U2800" i="29"/>
  <c r="U1353" i="29"/>
  <c r="K1353" i="29"/>
  <c r="W4146" i="29"/>
  <c r="U4146" i="29"/>
  <c r="W6436" i="29"/>
  <c r="J6436" i="29"/>
  <c r="K6436" i="29"/>
  <c r="J4394" i="29"/>
  <c r="K4394" i="29"/>
  <c r="W4394" i="29"/>
  <c r="J878" i="29"/>
  <c r="K878" i="29"/>
  <c r="W878" i="29"/>
  <c r="J702" i="29"/>
  <c r="K702" i="29"/>
  <c r="W702" i="29"/>
  <c r="U5386" i="29"/>
  <c r="K5386" i="29"/>
  <c r="U99" i="29"/>
  <c r="W4060" i="29"/>
  <c r="J4060" i="29"/>
  <c r="W3119" i="29"/>
  <c r="J3119" i="29"/>
  <c r="K3119" i="29"/>
  <c r="J3139" i="29"/>
  <c r="K3139" i="29"/>
  <c r="W3139" i="29"/>
  <c r="J4161" i="29"/>
  <c r="K4161" i="29"/>
  <c r="W4161" i="29"/>
  <c r="K1987" i="29"/>
  <c r="J2944" i="29"/>
  <c r="K2944" i="29"/>
  <c r="U120" i="29"/>
  <c r="U637" i="29"/>
  <c r="U1472" i="29"/>
  <c r="U1843" i="29"/>
  <c r="U139" i="29"/>
  <c r="J5396" i="29"/>
  <c r="W5695" i="29"/>
  <c r="J5695" i="29"/>
  <c r="W3598" i="29"/>
  <c r="J3598" i="29"/>
  <c r="J5638" i="29"/>
  <c r="K5638" i="29"/>
  <c r="W5638" i="29"/>
  <c r="U6139" i="29"/>
  <c r="K6139" i="29"/>
  <c r="U999" i="29"/>
  <c r="K999" i="29"/>
  <c r="K5770" i="29"/>
  <c r="U5770" i="29"/>
  <c r="K5464" i="29"/>
  <c r="U5464" i="29"/>
  <c r="U1040" i="29"/>
  <c r="U747" i="29"/>
  <c r="U177" i="29"/>
  <c r="J957" i="29"/>
  <c r="K957" i="29"/>
  <c r="U117" i="29"/>
  <c r="K6285" i="29"/>
  <c r="J5342" i="29"/>
  <c r="W5342" i="29"/>
  <c r="U5397" i="29"/>
  <c r="R1559" i="29"/>
  <c r="S1559" i="29"/>
  <c r="J169" i="29"/>
  <c r="U169" i="29"/>
  <c r="J1036" i="29"/>
  <c r="U1036" i="29"/>
  <c r="R694" i="29"/>
  <c r="T694" i="29"/>
  <c r="W694" i="29"/>
  <c r="J1146" i="29"/>
  <c r="U1146" i="29"/>
  <c r="U4638" i="29"/>
  <c r="U3965" i="29"/>
  <c r="K6364" i="29"/>
  <c r="U510" i="29"/>
  <c r="U5204" i="29"/>
  <c r="U2097" i="29"/>
  <c r="R821" i="29"/>
  <c r="T821" i="29"/>
  <c r="W821" i="29"/>
  <c r="J524" i="29"/>
  <c r="K524" i="29"/>
  <c r="J1122" i="29"/>
  <c r="U1122" i="29"/>
  <c r="R634" i="29"/>
  <c r="S634" i="29"/>
  <c r="R917" i="29"/>
  <c r="S917" i="29"/>
  <c r="J634" i="29"/>
  <c r="U1542" i="29"/>
  <c r="U3991" i="29"/>
  <c r="U4467" i="29"/>
  <c r="J5206" i="29"/>
  <c r="W5206" i="29"/>
  <c r="K2898" i="29"/>
  <c r="W1528" i="29"/>
  <c r="U1528" i="29"/>
  <c r="K1299" i="29"/>
  <c r="W3141" i="29"/>
  <c r="J3141" i="29"/>
  <c r="J2237" i="29"/>
  <c r="K2237" i="29"/>
  <c r="W2237" i="29"/>
  <c r="J4287" i="29"/>
  <c r="K4287" i="29"/>
  <c r="W4287" i="29"/>
  <c r="W2589" i="29"/>
  <c r="J2589" i="29"/>
  <c r="J317" i="29"/>
  <c r="W317" i="29"/>
  <c r="U4902" i="29"/>
  <c r="K4902" i="29"/>
  <c r="W3558" i="29"/>
  <c r="J3558" i="29"/>
  <c r="U3863" i="29"/>
  <c r="K3863" i="29"/>
  <c r="J2175" i="29"/>
  <c r="W2175" i="29"/>
  <c r="W4232" i="29"/>
  <c r="U4232" i="29"/>
  <c r="J3664" i="29"/>
  <c r="U3664" i="29"/>
  <c r="K1893" i="29"/>
  <c r="U1893" i="29"/>
  <c r="U1970" i="29"/>
  <c r="K1970" i="29"/>
  <c r="K807" i="29"/>
  <c r="U807" i="29"/>
  <c r="J3458" i="29"/>
  <c r="W3458" i="29"/>
  <c r="U5931" i="29"/>
  <c r="K5931" i="29"/>
  <c r="K1058" i="29"/>
  <c r="U1058" i="29"/>
  <c r="U2676" i="29"/>
  <c r="K2676" i="29"/>
  <c r="K4293" i="29"/>
  <c r="U4293" i="29"/>
  <c r="U5444" i="29"/>
  <c r="K5444" i="29"/>
  <c r="K4321" i="29"/>
  <c r="U226" i="29"/>
  <c r="K6214" i="29"/>
  <c r="U6214" i="29"/>
  <c r="K5191" i="29"/>
  <c r="U5191" i="29"/>
  <c r="W3743" i="29"/>
  <c r="J3743" i="29"/>
  <c r="K3743" i="29"/>
  <c r="K6720" i="29"/>
  <c r="U6720" i="29"/>
  <c r="K5263" i="29"/>
  <c r="K2757" i="29"/>
  <c r="U2757" i="29"/>
  <c r="U1826" i="29"/>
  <c r="K1826" i="29"/>
  <c r="W2390" i="29"/>
  <c r="U2390" i="29"/>
  <c r="K4429" i="29"/>
  <c r="U4429" i="29"/>
  <c r="J2731" i="29"/>
  <c r="W2731" i="29"/>
  <c r="J5128" i="29"/>
  <c r="K5128" i="29"/>
  <c r="W683" i="29"/>
  <c r="J683" i="29"/>
  <c r="J3070" i="29"/>
  <c r="U3070" i="29"/>
  <c r="J737" i="29"/>
  <c r="K737" i="29"/>
  <c r="J1062" i="29"/>
  <c r="K1062" i="29"/>
  <c r="J460" i="29"/>
  <c r="K460" i="29"/>
  <c r="J564" i="29"/>
  <c r="K564" i="29"/>
  <c r="J853" i="29"/>
  <c r="J2524" i="29"/>
  <c r="K2524" i="29"/>
  <c r="J2215" i="29"/>
  <c r="K2215" i="29"/>
  <c r="J230" i="29"/>
  <c r="U230" i="29"/>
  <c r="J2453" i="29"/>
  <c r="K2453" i="29"/>
  <c r="J1397" i="29"/>
  <c r="U1397" i="29"/>
  <c r="J3337" i="29"/>
  <c r="U3337" i="29"/>
  <c r="J2912" i="29"/>
  <c r="K2912" i="29"/>
  <c r="J600" i="29"/>
  <c r="K600" i="29"/>
  <c r="J478" i="29"/>
  <c r="U478" i="29"/>
  <c r="J1095" i="29"/>
  <c r="U1095" i="29"/>
  <c r="J2450" i="29"/>
  <c r="J289" i="29"/>
  <c r="K289" i="29"/>
  <c r="J2585" i="29"/>
  <c r="K2585" i="29"/>
  <c r="J2113" i="29"/>
  <c r="K2113" i="29"/>
  <c r="J1558" i="29"/>
  <c r="K1558" i="29"/>
  <c r="J2509" i="29"/>
  <c r="K2509" i="29"/>
  <c r="J3262" i="29"/>
  <c r="K3262" i="29"/>
  <c r="J1408" i="29"/>
  <c r="K1408" i="29"/>
  <c r="J1172" i="29"/>
  <c r="K1172" i="29"/>
  <c r="J1623" i="29"/>
  <c r="K1623" i="29"/>
  <c r="J1749" i="29"/>
  <c r="K1749" i="29"/>
  <c r="J1519" i="29"/>
  <c r="K1519" i="29"/>
  <c r="K5501" i="29"/>
  <c r="U5501" i="29"/>
  <c r="W3232" i="29"/>
  <c r="J3232" i="29"/>
  <c r="W3408" i="29"/>
  <c r="J3408" i="29"/>
  <c r="U6071" i="29"/>
  <c r="K6382" i="29"/>
  <c r="W6084" i="29"/>
  <c r="J6084" i="29"/>
  <c r="K6084" i="29"/>
  <c r="J3822" i="29"/>
  <c r="W3822" i="29"/>
  <c r="J4073" i="29"/>
  <c r="K4073" i="29"/>
  <c r="W4073" i="29"/>
  <c r="J3748" i="29"/>
  <c r="K3748" i="29"/>
  <c r="W3748" i="29"/>
  <c r="K1795" i="29"/>
  <c r="U1795" i="29"/>
  <c r="W3171" i="29"/>
  <c r="J3171" i="29"/>
  <c r="K3171" i="29"/>
  <c r="J4214" i="29"/>
  <c r="K4214" i="29"/>
  <c r="W4214" i="29"/>
  <c r="J1925" i="29"/>
  <c r="W1925" i="29"/>
  <c r="K4591" i="29"/>
  <c r="J5412" i="29"/>
  <c r="K5412" i="29"/>
  <c r="W5412" i="29"/>
  <c r="K6250" i="29"/>
  <c r="J4839" i="29"/>
  <c r="W4839" i="29"/>
  <c r="J1563" i="29"/>
  <c r="K1563" i="29"/>
  <c r="J3449" i="29"/>
  <c r="K3449" i="29"/>
  <c r="W3449" i="29"/>
  <c r="K1979" i="29"/>
  <c r="U1979" i="29"/>
  <c r="U3155" i="29"/>
  <c r="K3155" i="29"/>
  <c r="K5235" i="29"/>
  <c r="U5235" i="29"/>
  <c r="K2917" i="29"/>
  <c r="U2917" i="29"/>
  <c r="K6173" i="29"/>
  <c r="W4848" i="29"/>
  <c r="J4848" i="29"/>
  <c r="J3432" i="29"/>
  <c r="W3432" i="29"/>
  <c r="J4159" i="29"/>
  <c r="K4159" i="29"/>
  <c r="W4159" i="29"/>
  <c r="W1470" i="29"/>
  <c r="J1470" i="29"/>
  <c r="K1470" i="29"/>
  <c r="U1844" i="29"/>
  <c r="K1844" i="29"/>
  <c r="J3562" i="29"/>
  <c r="K3562" i="29"/>
  <c r="W3562" i="29"/>
  <c r="K1861" i="29"/>
  <c r="U1861" i="29"/>
  <c r="U1544" i="29"/>
  <c r="K1544" i="29"/>
  <c r="K1455" i="29"/>
  <c r="U1455" i="29"/>
  <c r="J3446" i="29"/>
  <c r="K3446" i="29"/>
  <c r="W3446" i="29"/>
  <c r="U5964" i="29"/>
  <c r="K5964" i="29"/>
  <c r="K6074" i="29"/>
  <c r="U6074" i="29"/>
  <c r="W1765" i="29"/>
  <c r="J1765" i="29"/>
  <c r="K1765" i="29"/>
  <c r="W3984" i="29"/>
  <c r="J3984" i="29"/>
  <c r="U7513" i="29"/>
  <c r="K7513" i="29"/>
  <c r="W5898" i="29"/>
  <c r="J5898" i="29"/>
  <c r="K4034" i="29"/>
  <c r="U1157" i="29"/>
  <c r="K1157" i="29"/>
  <c r="K982" i="29"/>
  <c r="U1492" i="29"/>
  <c r="K1492" i="29"/>
  <c r="K6238" i="29"/>
  <c r="K2085" i="29"/>
  <c r="U2085" i="29"/>
  <c r="J1863" i="29"/>
  <c r="J5413" i="29"/>
  <c r="K5413" i="29"/>
  <c r="U3120" i="29"/>
  <c r="K3120" i="29"/>
  <c r="J3018" i="29"/>
  <c r="K3018" i="29"/>
  <c r="W3018" i="29"/>
  <c r="U6079" i="29"/>
  <c r="U4376" i="29"/>
  <c r="K5317" i="29"/>
  <c r="U5317" i="29"/>
  <c r="K6211" i="29"/>
  <c r="U6865" i="29"/>
  <c r="W2419" i="29"/>
  <c r="U2419" i="29"/>
  <c r="W3555" i="29"/>
  <c r="U3555" i="29"/>
  <c r="K6247" i="29"/>
  <c r="J1478" i="29"/>
  <c r="K1478" i="29"/>
  <c r="J3097" i="29"/>
  <c r="U3097" i="29"/>
  <c r="J4711" i="29"/>
  <c r="K4711" i="29"/>
  <c r="W4879" i="29"/>
  <c r="U4879" i="29"/>
  <c r="W3167" i="29"/>
  <c r="U3167" i="29"/>
  <c r="J2062" i="29"/>
  <c r="U2062" i="29"/>
  <c r="W3019" i="29"/>
  <c r="U3019" i="29"/>
  <c r="K6378" i="29"/>
  <c r="J2760" i="29"/>
  <c r="K2760" i="29"/>
  <c r="W2729" i="29"/>
  <c r="U2729" i="29"/>
  <c r="U2876" i="29"/>
  <c r="J1145" i="29"/>
  <c r="U1145" i="29"/>
  <c r="W2956" i="29"/>
  <c r="J2956" i="29"/>
  <c r="K2956" i="29"/>
  <c r="W3857" i="29"/>
  <c r="U3857" i="29"/>
  <c r="K4992" i="29"/>
  <c r="J4160" i="29"/>
  <c r="W2066" i="29"/>
  <c r="J2066" i="29"/>
  <c r="K2066" i="29"/>
  <c r="J4823" i="29"/>
  <c r="K4823" i="29"/>
  <c r="W4823" i="29"/>
  <c r="U4135" i="29"/>
  <c r="K4135" i="29"/>
  <c r="U205" i="29"/>
  <c r="W1926" i="29"/>
  <c r="J1926" i="29"/>
  <c r="W6335" i="29"/>
  <c r="U6335" i="29"/>
  <c r="J2253" i="29"/>
  <c r="W2253" i="29"/>
  <c r="W3958" i="29"/>
  <c r="J3958" i="29"/>
  <c r="K5949" i="29"/>
  <c r="K5551" i="29"/>
  <c r="J4322" i="29"/>
  <c r="K4322" i="29"/>
  <c r="K3511" i="29"/>
  <c r="W2957" i="29"/>
  <c r="U2957" i="29"/>
  <c r="K4136" i="29"/>
  <c r="U4136" i="29"/>
  <c r="K5723" i="29"/>
  <c r="K3823" i="29"/>
  <c r="U2569" i="29"/>
  <c r="J4486" i="29"/>
  <c r="K4486" i="29"/>
  <c r="J5347" i="29"/>
  <c r="U5347" i="29"/>
  <c r="J2703" i="29"/>
  <c r="K2703" i="29"/>
  <c r="W2703" i="29"/>
  <c r="U5487" i="29"/>
  <c r="K5487" i="29"/>
  <c r="W4323" i="29"/>
  <c r="U4323" i="29"/>
  <c r="W3022" i="29"/>
  <c r="U3022" i="29"/>
  <c r="U5836" i="29"/>
  <c r="J6907" i="29"/>
  <c r="K6907" i="29"/>
  <c r="W4680" i="29"/>
  <c r="U4680" i="29"/>
  <c r="W2730" i="29"/>
  <c r="U2730" i="29"/>
  <c r="J5281" i="29"/>
  <c r="K5281" i="29"/>
  <c r="J1855" i="29"/>
  <c r="W1494" i="29"/>
  <c r="U1494" i="29"/>
  <c r="W4308" i="29"/>
  <c r="U4308" i="29"/>
  <c r="J981" i="29"/>
  <c r="K981" i="29"/>
  <c r="W3544" i="29"/>
  <c r="U3544" i="29"/>
  <c r="U6111" i="29"/>
  <c r="W4812" i="29"/>
  <c r="U4812" i="29"/>
  <c r="J1001" i="29"/>
  <c r="U1001" i="29"/>
  <c r="W5530" i="29"/>
  <c r="U5530" i="29"/>
  <c r="W5197" i="29"/>
  <c r="U5197" i="29"/>
  <c r="K2886" i="29"/>
  <c r="U2886" i="29"/>
  <c r="W4591" i="29"/>
  <c r="U4591" i="29"/>
  <c r="J5888" i="29"/>
  <c r="K6048" i="29"/>
  <c r="K6212" i="29"/>
  <c r="K3215" i="29"/>
  <c r="K226" i="29"/>
  <c r="K5900" i="29"/>
  <c r="W4937" i="29"/>
  <c r="U4937" i="29"/>
  <c r="W1433" i="29"/>
  <c r="U1433" i="29"/>
  <c r="U4339" i="29"/>
  <c r="W5516" i="29"/>
  <c r="U5516" i="29"/>
  <c r="W2804" i="29"/>
  <c r="J2804" i="29"/>
  <c r="K2804" i="29"/>
  <c r="U5844" i="29"/>
  <c r="W1985" i="29"/>
  <c r="J1985" i="29"/>
  <c r="J2860" i="29"/>
  <c r="W2860" i="29"/>
  <c r="K3383" i="29"/>
  <c r="U1078" i="29"/>
  <c r="J2887" i="29"/>
  <c r="K2887" i="29"/>
  <c r="K4200" i="29"/>
  <c r="K2097" i="29"/>
  <c r="W4320" i="29"/>
  <c r="U4320" i="29"/>
  <c r="U6138" i="29"/>
  <c r="W2030" i="29"/>
  <c r="J2030" i="29"/>
  <c r="W3661" i="29"/>
  <c r="U3661" i="29"/>
  <c r="J1102" i="29"/>
  <c r="U1560" i="29"/>
  <c r="U2445" i="29"/>
  <c r="U5309" i="29"/>
  <c r="J3451" i="29"/>
  <c r="K3451" i="29"/>
  <c r="J3585" i="29"/>
  <c r="U3585" i="29"/>
  <c r="J2428" i="29"/>
  <c r="U2428" i="29"/>
  <c r="U5842" i="29"/>
  <c r="J3877" i="29"/>
  <c r="U2918" i="29"/>
  <c r="W1301" i="29"/>
  <c r="U1301" i="29"/>
  <c r="W1619" i="29"/>
  <c r="U1619" i="29"/>
  <c r="J954" i="29"/>
  <c r="W954" i="29"/>
  <c r="K3660" i="29"/>
  <c r="K4617" i="29"/>
  <c r="K2168" i="29"/>
  <c r="U2168" i="29"/>
  <c r="K5137" i="29"/>
  <c r="U5137" i="29"/>
  <c r="J2951" i="29"/>
  <c r="W4208" i="29"/>
  <c r="J4208" i="29"/>
  <c r="W4477" i="29"/>
  <c r="J4477" i="29"/>
  <c r="U4770" i="29"/>
  <c r="K4770" i="29"/>
  <c r="U994" i="29"/>
  <c r="J993" i="29"/>
  <c r="W3549" i="29"/>
  <c r="U3549" i="29"/>
  <c r="K783" i="29"/>
  <c r="U783" i="29"/>
  <c r="W2016" i="29"/>
  <c r="J2016" i="29"/>
  <c r="J3213" i="29"/>
  <c r="K3213" i="29"/>
  <c r="W3213" i="29"/>
  <c r="W1551" i="29"/>
  <c r="U1551" i="29"/>
  <c r="U3324" i="29"/>
  <c r="U5929" i="29"/>
  <c r="W2423" i="29"/>
  <c r="U2423" i="29"/>
  <c r="W4331" i="29"/>
  <c r="U4331" i="29"/>
  <c r="W3691" i="29"/>
  <c r="J3691" i="29"/>
  <c r="K3691" i="29"/>
  <c r="U4789" i="29"/>
  <c r="W4236" i="29"/>
  <c r="J4236" i="29"/>
  <c r="K4236" i="29"/>
  <c r="K1575" i="29"/>
  <c r="K637" i="29"/>
  <c r="J5043" i="29"/>
  <c r="W5043" i="29"/>
  <c r="U4945" i="29"/>
  <c r="U5553" i="29"/>
  <c r="K5553" i="29"/>
  <c r="U2471" i="29"/>
  <c r="K6246" i="29"/>
  <c r="U6130" i="29"/>
  <c r="K6130" i="29"/>
  <c r="K3718" i="29"/>
  <c r="U3718" i="29"/>
  <c r="K7491" i="29"/>
  <c r="K5503" i="29"/>
  <c r="J3905" i="29"/>
  <c r="W1133" i="29"/>
  <c r="U1133" i="29"/>
  <c r="U3198" i="29"/>
  <c r="U2287" i="29"/>
  <c r="W4588" i="29"/>
  <c r="U4588" i="29"/>
  <c r="U2603" i="29"/>
  <c r="W2736" i="29"/>
  <c r="U2736" i="29"/>
  <c r="W1267" i="29"/>
  <c r="U1267" i="29"/>
  <c r="K3147" i="29"/>
  <c r="U1860" i="29"/>
  <c r="U2484" i="29"/>
  <c r="W2873" i="29"/>
  <c r="U2873" i="29"/>
  <c r="K3608" i="29"/>
  <c r="W1526" i="29"/>
  <c r="U1526" i="29"/>
  <c r="W3055" i="29"/>
  <c r="U3055" i="29"/>
  <c r="K1187" i="29"/>
  <c r="J2955" i="29"/>
  <c r="K2955" i="29"/>
  <c r="W2955" i="29"/>
  <c r="U3479" i="29"/>
  <c r="K3479" i="29"/>
  <c r="U3079" i="29"/>
  <c r="K6314" i="29"/>
  <c r="U6314" i="29"/>
  <c r="W2489" i="29"/>
  <c r="J2489" i="29"/>
  <c r="K2489" i="29"/>
  <c r="J5119" i="29"/>
  <c r="K5119" i="29"/>
  <c r="W5119" i="29"/>
  <c r="J3548" i="29"/>
  <c r="K3548" i="29"/>
  <c r="W3548" i="29"/>
  <c r="K120" i="29"/>
  <c r="W1548" i="29"/>
  <c r="J1548" i="29"/>
  <c r="K5161" i="29"/>
  <c r="J3401" i="29"/>
  <c r="U3401" i="29"/>
  <c r="J2003" i="29"/>
  <c r="U2003" i="29"/>
  <c r="K3404" i="29"/>
  <c r="U3404" i="29"/>
  <c r="J3842" i="29"/>
  <c r="U3842" i="29"/>
  <c r="K5197" i="29"/>
  <c r="K3843" i="29"/>
  <c r="W3977" i="29"/>
  <c r="J3977" i="29"/>
  <c r="K3977" i="29"/>
  <c r="K5489" i="29"/>
  <c r="K3386" i="29"/>
  <c r="R1477" i="29"/>
  <c r="J1906" i="29"/>
  <c r="K2922" i="29"/>
  <c r="W5891" i="29"/>
  <c r="J5891" i="29"/>
  <c r="J2754" i="29"/>
  <c r="U1930" i="29"/>
  <c r="J7542" i="29"/>
  <c r="K7542" i="29"/>
  <c r="J3556" i="29"/>
  <c r="K3556" i="29"/>
  <c r="J4129" i="29"/>
  <c r="W4157" i="29"/>
  <c r="U4157" i="29"/>
  <c r="K5841" i="29"/>
  <c r="J1160" i="29"/>
  <c r="U3898" i="29"/>
  <c r="U4333" i="29"/>
  <c r="U5515" i="29"/>
  <c r="K5515" i="29"/>
  <c r="U133" i="29"/>
  <c r="J3014" i="29"/>
  <c r="K3014" i="29"/>
  <c r="W3014" i="29"/>
  <c r="J4393" i="29"/>
  <c r="K4393" i="29"/>
  <c r="W4393" i="29"/>
  <c r="J1935" i="29"/>
  <c r="K1935" i="29"/>
  <c r="W1935" i="29"/>
  <c r="U7826" i="29"/>
  <c r="J3277" i="29"/>
  <c r="W6329" i="29"/>
  <c r="U6329" i="29"/>
  <c r="W1254" i="29"/>
  <c r="U1254" i="29"/>
  <c r="W1561" i="29"/>
  <c r="U1561" i="29"/>
  <c r="U3154" i="29"/>
  <c r="U1865" i="29"/>
  <c r="K2439" i="29"/>
  <c r="U2439" i="29"/>
  <c r="K5969" i="29"/>
  <c r="U2421" i="29"/>
  <c r="W4286" i="29"/>
  <c r="U4286" i="29"/>
  <c r="W2605" i="29"/>
  <c r="U2605" i="29"/>
  <c r="K6292" i="29"/>
  <c r="U1264" i="29"/>
  <c r="U4664" i="29"/>
  <c r="U2199" i="29"/>
  <c r="U2921" i="29"/>
  <c r="K38" i="29"/>
  <c r="K5745" i="29"/>
  <c r="K3715" i="29"/>
  <c r="U4578" i="29"/>
  <c r="U5318" i="29"/>
  <c r="U1273" i="29"/>
  <c r="U221" i="29"/>
  <c r="K4044" i="29"/>
  <c r="U5994" i="29"/>
  <c r="W5284" i="29"/>
  <c r="U5284" i="29"/>
  <c r="K3060" i="29"/>
  <c r="U2319" i="29"/>
  <c r="U5418" i="29"/>
  <c r="U1916" i="29"/>
  <c r="U2001" i="29"/>
  <c r="K6415" i="29"/>
  <c r="K2971" i="29"/>
  <c r="K3969" i="29"/>
  <c r="U3487" i="29"/>
  <c r="U4106" i="29"/>
  <c r="K4106" i="29"/>
  <c r="K5401" i="29"/>
  <c r="U5401" i="29"/>
  <c r="K201" i="29"/>
  <c r="U201" i="29"/>
  <c r="U2361" i="29"/>
  <c r="K2361" i="29"/>
  <c r="K7416" i="29"/>
  <c r="U7416" i="29"/>
  <c r="K1947" i="29"/>
  <c r="U1947" i="29"/>
  <c r="J315" i="29"/>
  <c r="K315" i="29"/>
  <c r="J299" i="29"/>
  <c r="K299" i="29"/>
  <c r="R1698" i="29"/>
  <c r="S1698" i="29"/>
  <c r="R2024" i="29"/>
  <c r="S2024" i="29"/>
  <c r="J1068" i="29"/>
  <c r="K1068" i="29"/>
  <c r="J998" i="29"/>
  <c r="K998" i="29"/>
  <c r="J719" i="29"/>
  <c r="K719" i="29"/>
  <c r="R1476" i="29"/>
  <c r="T1476" i="29"/>
  <c r="W1476" i="29"/>
  <c r="J598" i="29"/>
  <c r="U598" i="29"/>
  <c r="J8" i="29"/>
  <c r="U8" i="29"/>
  <c r="R1068" i="29"/>
  <c r="S1068" i="29"/>
  <c r="R972" i="29"/>
  <c r="R1116" i="29"/>
  <c r="T1116" i="29"/>
  <c r="W1116" i="29"/>
  <c r="R2152" i="29"/>
  <c r="T2152" i="29"/>
  <c r="W2152" i="29"/>
  <c r="J396" i="29"/>
  <c r="U396" i="29"/>
  <c r="J183" i="29"/>
  <c r="K183" i="29"/>
  <c r="J2024" i="29"/>
  <c r="K2024" i="29"/>
  <c r="R764" i="29"/>
  <c r="S764" i="29"/>
  <c r="R1197" i="29"/>
  <c r="T1197" i="29"/>
  <c r="W1197" i="29"/>
  <c r="J972" i="29"/>
  <c r="K972" i="29"/>
  <c r="U4410" i="29"/>
  <c r="K4410" i="29"/>
  <c r="J355" i="29"/>
  <c r="K355" i="29"/>
  <c r="J2042" i="29"/>
  <c r="K2042" i="29"/>
  <c r="J1332" i="29"/>
  <c r="K1332" i="29"/>
  <c r="J509" i="29"/>
  <c r="J871" i="29"/>
  <c r="K871" i="29"/>
  <c r="J766" i="29"/>
  <c r="U766" i="29"/>
  <c r="J553" i="29"/>
  <c r="K553" i="29"/>
  <c r="K3710" i="29"/>
  <c r="U3710" i="29"/>
  <c r="U848" i="29"/>
  <c r="K848" i="29"/>
  <c r="U6245" i="29"/>
  <c r="K6245" i="29"/>
  <c r="J1034" i="29"/>
  <c r="W1034" i="29"/>
  <c r="K5506" i="29"/>
  <c r="U5506" i="29"/>
  <c r="K5965" i="29"/>
  <c r="J151" i="29"/>
  <c r="K151" i="29"/>
  <c r="R647" i="29"/>
  <c r="S647" i="29"/>
  <c r="U2385" i="29"/>
  <c r="K2385" i="29"/>
  <c r="K3189" i="29"/>
  <c r="J358" i="29"/>
  <c r="K358" i="29"/>
  <c r="J2837" i="29"/>
  <c r="K2837" i="29"/>
  <c r="W2837" i="29"/>
  <c r="U6072" i="29"/>
  <c r="K6072" i="29"/>
  <c r="K174" i="29"/>
  <c r="U174" i="29"/>
  <c r="K4833" i="29"/>
  <c r="U4833" i="29"/>
  <c r="J314" i="29"/>
  <c r="K314" i="29"/>
  <c r="W1181" i="29"/>
  <c r="U1181" i="29"/>
  <c r="K1690" i="29"/>
  <c r="U1690" i="29"/>
  <c r="K3180" i="29"/>
  <c r="W1836" i="29"/>
  <c r="J1836" i="29"/>
  <c r="K1836" i="29"/>
  <c r="K1052" i="29"/>
  <c r="U1052" i="29"/>
  <c r="W2679" i="29"/>
  <c r="J2679" i="29"/>
  <c r="K2679" i="29"/>
  <c r="K1630" i="29"/>
  <c r="K6077" i="29"/>
  <c r="U6077" i="29"/>
  <c r="W7279" i="29"/>
  <c r="U7279" i="29"/>
  <c r="W5010" i="29"/>
  <c r="U5010" i="29"/>
  <c r="U2517" i="29"/>
  <c r="U4350" i="29"/>
  <c r="U6372" i="29"/>
  <c r="W3659" i="29"/>
  <c r="J3659" i="29"/>
  <c r="K1875" i="29"/>
  <c r="U1875" i="29"/>
  <c r="U3637" i="29"/>
  <c r="K3637" i="29"/>
  <c r="J5009" i="29"/>
  <c r="W5009" i="29"/>
  <c r="K1304" i="29"/>
  <c r="U1304" i="29"/>
  <c r="J515" i="29"/>
  <c r="K515" i="29"/>
  <c r="J384" i="29"/>
  <c r="K384" i="29"/>
  <c r="J758" i="29"/>
  <c r="K758" i="29"/>
  <c r="J791" i="29"/>
  <c r="K791" i="29"/>
  <c r="J599" i="29"/>
  <c r="K599" i="29"/>
  <c r="J427" i="29"/>
  <c r="K427" i="29"/>
  <c r="J171" i="29"/>
  <c r="K171" i="29"/>
  <c r="J573" i="29"/>
  <c r="U573" i="29"/>
  <c r="J503" i="29"/>
  <c r="U503" i="29"/>
  <c r="R648" i="29"/>
  <c r="T648" i="29"/>
  <c r="W648" i="29"/>
  <c r="J198" i="29"/>
  <c r="K198" i="29"/>
  <c r="J612" i="29"/>
  <c r="U612" i="29"/>
  <c r="J238" i="29"/>
  <c r="U238" i="29"/>
  <c r="J13" i="29"/>
  <c r="K13" i="29"/>
  <c r="J648" i="29"/>
  <c r="K648" i="29"/>
  <c r="W2140" i="29"/>
  <c r="J2140" i="29"/>
  <c r="K105" i="29"/>
  <c r="U105" i="29"/>
  <c r="U4610" i="29"/>
  <c r="K4610" i="29"/>
  <c r="K137" i="29"/>
  <c r="U137" i="29"/>
  <c r="J1835" i="29"/>
  <c r="K1835" i="29"/>
  <c r="K1684" i="29"/>
  <c r="U1684" i="29"/>
  <c r="R1005" i="29"/>
  <c r="S1005" i="29"/>
  <c r="J2110" i="29"/>
  <c r="K2110" i="29"/>
  <c r="W2110" i="29"/>
  <c r="W442" i="29"/>
  <c r="U442" i="29"/>
  <c r="J2152" i="29"/>
  <c r="K2152" i="29"/>
  <c r="J739" i="29"/>
  <c r="U739" i="29"/>
  <c r="J1567" i="29"/>
  <c r="U1567" i="29"/>
  <c r="J608" i="29"/>
  <c r="U608" i="29"/>
  <c r="J2485" i="29"/>
  <c r="K2485" i="29"/>
  <c r="J3428" i="29"/>
  <c r="K3428" i="29"/>
  <c r="J935" i="29"/>
  <c r="U935" i="29"/>
  <c r="J1258" i="29"/>
  <c r="U1258" i="29"/>
  <c r="J3248" i="29"/>
  <c r="K3248" i="29"/>
  <c r="J1192" i="29"/>
  <c r="U1192" i="29"/>
  <c r="J1026" i="29"/>
  <c r="K1026" i="29"/>
  <c r="W5380" i="29"/>
  <c r="J5380" i="29"/>
  <c r="K5380" i="29"/>
  <c r="K2354" i="29"/>
  <c r="K5233" i="29"/>
  <c r="U5233" i="29"/>
  <c r="R1246" i="29"/>
  <c r="T1246" i="29"/>
  <c r="W1246" i="29"/>
  <c r="W1252" i="29"/>
  <c r="J1252" i="29"/>
  <c r="K1252" i="29"/>
  <c r="U3110" i="29"/>
  <c r="K175" i="29"/>
  <c r="U175" i="29"/>
  <c r="J811" i="29"/>
  <c r="U4660" i="29"/>
  <c r="K4660" i="29"/>
  <c r="K84" i="29"/>
  <c r="W1251" i="29"/>
  <c r="J1251" i="29"/>
  <c r="K1251" i="29"/>
  <c r="U6305" i="29"/>
  <c r="K6305" i="29"/>
  <c r="U1961" i="29"/>
  <c r="K1961" i="29"/>
  <c r="K4276" i="29"/>
  <c r="U4276" i="29"/>
  <c r="J287" i="29"/>
  <c r="K287" i="29"/>
  <c r="J197" i="29"/>
  <c r="U197" i="29"/>
  <c r="J12" i="29"/>
  <c r="U12" i="29"/>
  <c r="J1079" i="29"/>
  <c r="K1079" i="29"/>
  <c r="J3978" i="29"/>
  <c r="K3978" i="29"/>
  <c r="W3978" i="29"/>
  <c r="U35" i="29"/>
  <c r="K35" i="29"/>
  <c r="W4169" i="29"/>
  <c r="J4169" i="29"/>
  <c r="K5785" i="29"/>
  <c r="J2343" i="29"/>
  <c r="K2343" i="29"/>
  <c r="W2343" i="29"/>
  <c r="K1992" i="29"/>
  <c r="U1992" i="29"/>
  <c r="J738" i="29"/>
  <c r="U738" i="29"/>
  <c r="J455" i="29"/>
  <c r="K455" i="29"/>
  <c r="U3811" i="29"/>
  <c r="K3811" i="29"/>
  <c r="K5556" i="29"/>
  <c r="U5556" i="29"/>
  <c r="J1341" i="29"/>
  <c r="K1341" i="29"/>
  <c r="J703" i="29"/>
  <c r="W703" i="29"/>
  <c r="K994" i="29"/>
  <c r="W3217" i="29"/>
  <c r="J3217" i="29"/>
  <c r="U5107" i="29"/>
  <c r="J5959" i="29"/>
  <c r="J1754" i="29"/>
  <c r="K1754" i="29"/>
  <c r="J237" i="29"/>
  <c r="U237" i="29"/>
  <c r="K1813" i="29"/>
  <c r="U1813" i="29"/>
  <c r="U3188" i="29"/>
  <c r="K3188" i="29"/>
  <c r="R870" i="29"/>
  <c r="S870" i="29"/>
  <c r="U5924" i="29"/>
  <c r="K5924" i="29"/>
  <c r="J5829" i="29"/>
  <c r="W5829" i="29"/>
  <c r="K163" i="29"/>
  <c r="U163" i="29"/>
  <c r="K1535" i="29"/>
  <c r="K1510" i="29"/>
  <c r="U7514" i="29"/>
  <c r="K7514" i="29"/>
  <c r="K8002" i="29"/>
  <c r="U8002" i="29"/>
  <c r="J914" i="29"/>
  <c r="K914" i="29"/>
  <c r="J4622" i="29"/>
  <c r="U4622" i="29"/>
  <c r="J1359" i="29"/>
  <c r="K1359" i="29"/>
  <c r="K3089" i="29"/>
  <c r="K6388" i="29"/>
  <c r="J2367" i="29"/>
  <c r="K2367" i="29"/>
  <c r="J1707" i="29"/>
  <c r="W1707" i="29"/>
  <c r="K923" i="29"/>
  <c r="U923" i="29"/>
  <c r="W842" i="29"/>
  <c r="J842" i="29"/>
  <c r="J1130" i="29"/>
  <c r="K1130" i="29"/>
  <c r="K1286" i="29"/>
  <c r="U1286" i="29"/>
  <c r="U5236" i="29"/>
  <c r="K5236" i="29"/>
  <c r="J5406" i="29"/>
  <c r="K5406" i="29"/>
  <c r="U3508" i="29"/>
  <c r="K3508" i="29"/>
  <c r="K544" i="29"/>
  <c r="W1363" i="29"/>
  <c r="J1363" i="29"/>
  <c r="K1363" i="29"/>
  <c r="J1073" i="29"/>
  <c r="K1073" i="29"/>
  <c r="J4883" i="29"/>
  <c r="K4883" i="29"/>
  <c r="W4883" i="29"/>
  <c r="W1565" i="29"/>
  <c r="J1565" i="29"/>
  <c r="K1565" i="29"/>
  <c r="J3294" i="29"/>
  <c r="W3294" i="29"/>
  <c r="U544" i="29"/>
  <c r="K2706" i="29"/>
  <c r="U2706" i="29"/>
  <c r="K3640" i="29"/>
  <c r="U3640" i="29"/>
  <c r="K4269" i="29"/>
  <c r="K3922" i="29"/>
  <c r="U3922" i="29"/>
  <c r="J764" i="29"/>
  <c r="K764" i="29"/>
  <c r="J3980" i="29"/>
  <c r="W3980" i="29"/>
  <c r="K3864" i="29"/>
  <c r="U3864" i="29"/>
  <c r="W4699" i="29"/>
  <c r="J4699" i="29"/>
  <c r="K4699" i="29"/>
  <c r="U3792" i="29"/>
  <c r="J2527" i="29"/>
  <c r="W2633" i="29"/>
  <c r="J2633" i="29"/>
  <c r="U130" i="29"/>
  <c r="U84" i="29"/>
  <c r="K5629" i="29"/>
  <c r="K5961" i="29"/>
  <c r="U5961" i="29"/>
  <c r="U4704" i="29"/>
  <c r="K4704" i="29"/>
  <c r="K6249" i="29"/>
  <c r="K3765" i="29"/>
  <c r="K2987" i="29"/>
  <c r="K6081" i="29"/>
  <c r="U6081" i="29"/>
  <c r="J1849" i="29"/>
  <c r="K1849" i="29"/>
  <c r="U173" i="29"/>
  <c r="K2546" i="29"/>
  <c r="U2546" i="29"/>
  <c r="W1624" i="29"/>
  <c r="J1624" i="29"/>
  <c r="K1624" i="29"/>
  <c r="U3423" i="29"/>
  <c r="K3423" i="29"/>
  <c r="U7779" i="29"/>
  <c r="U6867" i="29"/>
  <c r="K6867" i="29"/>
  <c r="U37" i="29"/>
  <c r="J5425" i="29"/>
  <c r="K5425" i="29"/>
  <c r="K1578" i="29"/>
  <c r="W5823" i="29"/>
  <c r="U5823" i="29"/>
  <c r="J1953" i="29"/>
  <c r="K1953" i="29"/>
  <c r="W1953" i="29"/>
  <c r="K2935" i="29"/>
  <c r="K4037" i="29"/>
  <c r="K4971" i="29"/>
  <c r="K228" i="29"/>
  <c r="U6252" i="29"/>
  <c r="K1458" i="29"/>
  <c r="U1458" i="29"/>
  <c r="U4731" i="29"/>
  <c r="K4731" i="29"/>
  <c r="U4535" i="29"/>
  <c r="J2841" i="29"/>
  <c r="K2841" i="29"/>
  <c r="W2841" i="29"/>
  <c r="K3072" i="29"/>
  <c r="W5008" i="29"/>
  <c r="U5008" i="29"/>
  <c r="W788" i="29"/>
  <c r="J788" i="29"/>
  <c r="K4286" i="29"/>
  <c r="U3866" i="29"/>
  <c r="K3866" i="29"/>
  <c r="W1272" i="29"/>
  <c r="J1272" i="29"/>
  <c r="K1272" i="29"/>
  <c r="U1572" i="29"/>
  <c r="K1572" i="29"/>
  <c r="K4224" i="29"/>
  <c r="K2571" i="29"/>
  <c r="W1821" i="29"/>
  <c r="J1821" i="29"/>
  <c r="K1821" i="29"/>
  <c r="U4762" i="29"/>
  <c r="K1830" i="29"/>
  <c r="W2054" i="29"/>
  <c r="J2054" i="29"/>
  <c r="W1098" i="29"/>
  <c r="J1098" i="29"/>
  <c r="K1098" i="29"/>
  <c r="J7171" i="29"/>
  <c r="K7171" i="29"/>
  <c r="W7171" i="29"/>
  <c r="U4145" i="29"/>
  <c r="J1250" i="29"/>
  <c r="R1586" i="29"/>
  <c r="S1586" i="29"/>
  <c r="J2284" i="29"/>
  <c r="K6135" i="29"/>
  <c r="U6135" i="29"/>
  <c r="K6313" i="29"/>
  <c r="J5120" i="29"/>
  <c r="K5120" i="29"/>
  <c r="K131" i="29"/>
  <c r="U131" i="29"/>
  <c r="U249" i="29"/>
  <c r="U2248" i="29"/>
  <c r="K6225" i="29"/>
  <c r="K6117" i="29"/>
  <c r="K2574" i="29"/>
  <c r="U2937" i="29"/>
  <c r="K4467" i="29"/>
  <c r="U5433" i="29"/>
  <c r="U144" i="29"/>
  <c r="K768" i="29"/>
  <c r="U3463" i="29"/>
  <c r="U225" i="29"/>
  <c r="W4031" i="29"/>
  <c r="U4031" i="29"/>
  <c r="U4365" i="29"/>
  <c r="U4554" i="29"/>
  <c r="U4280" i="29"/>
  <c r="J3056" i="29"/>
  <c r="U3056" i="29"/>
  <c r="U3299" i="29"/>
  <c r="U978" i="29"/>
  <c r="U2781" i="29"/>
  <c r="K4645" i="29"/>
  <c r="U1231" i="29"/>
  <c r="U728" i="29"/>
  <c r="U4014" i="29"/>
  <c r="K6217" i="29"/>
  <c r="U6217" i="29"/>
  <c r="K6416" i="29"/>
  <c r="K4991" i="29"/>
  <c r="U4991" i="29"/>
  <c r="K4926" i="29"/>
  <c r="U4926" i="29"/>
  <c r="J2231" i="29"/>
  <c r="W2231" i="29"/>
  <c r="W7765" i="29"/>
  <c r="J7765" i="29"/>
  <c r="K4401" i="29"/>
  <c r="K1128" i="29"/>
  <c r="U1128" i="29"/>
  <c r="U6235" i="29"/>
  <c r="K6235" i="29"/>
  <c r="J2124" i="29"/>
  <c r="W2124" i="29"/>
  <c r="J3993" i="29"/>
  <c r="W3993" i="29"/>
  <c r="U1990" i="29"/>
  <c r="K1990" i="29"/>
  <c r="W4158" i="29"/>
  <c r="J4158" i="29"/>
  <c r="K4158" i="29"/>
  <c r="K4030" i="29"/>
  <c r="K5139" i="29"/>
  <c r="W2342" i="29"/>
  <c r="J2342" i="29"/>
  <c r="W3856" i="29"/>
  <c r="J3856" i="29"/>
  <c r="K4915" i="29"/>
  <c r="U4915" i="29"/>
  <c r="W915" i="29"/>
  <c r="J915" i="29"/>
  <c r="K2487" i="29"/>
  <c r="J2504" i="29"/>
  <c r="W2504" i="29"/>
  <c r="J1775" i="29"/>
  <c r="K1775" i="29"/>
  <c r="W1775" i="29"/>
  <c r="W5824" i="29"/>
  <c r="J5824" i="29"/>
  <c r="W711" i="29"/>
  <c r="J711" i="29"/>
  <c r="J3712" i="29"/>
  <c r="W3712" i="29"/>
  <c r="U3886" i="29"/>
  <c r="K3886" i="29"/>
  <c r="J1193" i="29"/>
  <c r="U1193" i="29"/>
  <c r="K2965" i="29"/>
  <c r="U2965" i="29"/>
  <c r="K3879" i="29"/>
  <c r="U3879" i="29"/>
  <c r="J1415" i="29"/>
  <c r="W1415" i="29"/>
  <c r="U1841" i="29"/>
  <c r="K1841" i="29"/>
  <c r="U2535" i="29"/>
  <c r="K2535" i="29"/>
  <c r="W4391" i="29"/>
  <c r="J4391" i="29"/>
  <c r="W877" i="29"/>
  <c r="J877" i="29"/>
  <c r="W1664" i="29"/>
  <c r="J1664" i="29"/>
  <c r="K4837" i="29"/>
  <c r="U4837" i="29"/>
  <c r="K4296" i="29"/>
  <c r="U4296" i="29"/>
  <c r="U3629" i="29"/>
  <c r="K3629" i="29"/>
  <c r="J609" i="29"/>
  <c r="U609" i="29"/>
  <c r="U5987" i="29"/>
  <c r="U6140" i="29"/>
  <c r="K6140" i="29"/>
  <c r="U6219" i="29"/>
  <c r="K2900" i="29"/>
  <c r="J505" i="29"/>
  <c r="K505" i="29"/>
  <c r="J4245" i="29"/>
  <c r="K4245" i="29"/>
  <c r="W2717" i="29"/>
  <c r="J2717" i="29"/>
  <c r="K2717" i="29"/>
  <c r="J792" i="29"/>
  <c r="K792" i="29"/>
  <c r="W2295" i="29"/>
  <c r="J2295" i="29"/>
  <c r="K2295" i="29"/>
  <c r="U7774" i="29"/>
  <c r="K7774" i="29"/>
  <c r="J1983" i="29"/>
  <c r="U1983" i="29"/>
  <c r="U3790" i="29"/>
  <c r="K3790" i="29"/>
  <c r="W4067" i="29"/>
  <c r="J4067" i="29"/>
  <c r="J3819" i="29"/>
  <c r="K3819" i="29"/>
  <c r="W3819" i="29"/>
  <c r="J4399" i="29"/>
  <c r="K4399" i="29"/>
  <c r="W4399" i="29"/>
  <c r="W4456" i="29"/>
  <c r="J4456" i="29"/>
  <c r="K4456" i="29"/>
  <c r="U75" i="29"/>
  <c r="J709" i="29"/>
  <c r="K709" i="29"/>
  <c r="W5666" i="29"/>
  <c r="U5666" i="29"/>
  <c r="K3639" i="29"/>
  <c r="U3639" i="29"/>
  <c r="K4409" i="29"/>
  <c r="U4409" i="29"/>
  <c r="K1418" i="29"/>
  <c r="U1418" i="29"/>
  <c r="W2963" i="29"/>
  <c r="U2963" i="29"/>
  <c r="K4854" i="29"/>
  <c r="U4854" i="29"/>
  <c r="J1608" i="29"/>
  <c r="K1608" i="29"/>
  <c r="J1989" i="29"/>
  <c r="U1989" i="29"/>
  <c r="J502" i="29"/>
  <c r="U502" i="29"/>
  <c r="J1059" i="29"/>
  <c r="J1734" i="29"/>
  <c r="J1479" i="29"/>
  <c r="U1479" i="29"/>
  <c r="J647" i="29"/>
  <c r="K647" i="29"/>
  <c r="J992" i="29"/>
  <c r="J552" i="29"/>
  <c r="K552" i="29"/>
  <c r="J894" i="29"/>
  <c r="U894" i="29"/>
  <c r="J70" i="29"/>
  <c r="J27" i="29"/>
  <c r="J82" i="29"/>
  <c r="J134" i="29"/>
  <c r="K134" i="29"/>
  <c r="J1296" i="29"/>
  <c r="K1296" i="29"/>
  <c r="J1200" i="29"/>
  <c r="K1200" i="29"/>
  <c r="J336" i="29"/>
  <c r="K336" i="29"/>
  <c r="J1790" i="29"/>
  <c r="K1790" i="29"/>
  <c r="J2109" i="29"/>
  <c r="K2109" i="29"/>
  <c r="J2133" i="29"/>
  <c r="U2133" i="29"/>
  <c r="J150" i="29"/>
  <c r="K150" i="29"/>
  <c r="J357" i="29"/>
  <c r="K357" i="29"/>
  <c r="J1669" i="29"/>
  <c r="K1669" i="29"/>
  <c r="J614" i="29"/>
  <c r="K614" i="29"/>
  <c r="J122" i="29"/>
  <c r="U122" i="29"/>
  <c r="J1908" i="29"/>
  <c r="J790" i="29"/>
  <c r="J1401" i="29"/>
  <c r="K3527" i="29"/>
  <c r="J2142" i="29"/>
  <c r="W2142" i="29"/>
  <c r="K61" i="29"/>
  <c r="U61" i="29"/>
  <c r="U3882" i="29"/>
  <c r="K3882" i="29"/>
  <c r="J7895" i="29"/>
  <c r="W7895" i="29"/>
  <c r="W2645" i="29"/>
  <c r="J2645" i="29"/>
  <c r="J2336" i="29"/>
  <c r="K2336" i="29"/>
  <c r="W2336" i="29"/>
  <c r="K591" i="29"/>
  <c r="U591" i="29"/>
  <c r="U3708" i="29"/>
  <c r="K3708" i="29"/>
  <c r="U5387" i="29"/>
  <c r="K5387" i="29"/>
  <c r="K7210" i="29"/>
  <c r="U7210" i="29"/>
  <c r="K4027" i="29"/>
  <c r="U4027" i="29"/>
  <c r="J2368" i="29"/>
  <c r="K2368" i="29"/>
  <c r="U7251" i="29"/>
  <c r="K7251" i="29"/>
  <c r="J3899" i="29"/>
  <c r="K3899" i="29"/>
  <c r="W3899" i="29"/>
  <c r="W7370" i="29"/>
  <c r="J7370" i="29"/>
  <c r="K3633" i="29"/>
  <c r="K6385" i="29"/>
  <c r="U6385" i="29"/>
  <c r="K3685" i="29"/>
  <c r="U3685" i="29"/>
  <c r="J4674" i="29"/>
  <c r="K4674" i="29"/>
  <c r="W4674" i="29"/>
  <c r="W2178" i="29"/>
  <c r="U2178" i="29"/>
  <c r="K5298" i="29"/>
  <c r="U5298" i="29"/>
  <c r="W2443" i="29"/>
  <c r="J2443" i="29"/>
  <c r="K2443" i="29"/>
  <c r="K3632" i="29"/>
  <c r="U3632" i="29"/>
  <c r="U898" i="29"/>
  <c r="K898" i="29"/>
  <c r="J5079" i="29"/>
  <c r="K4953" i="29"/>
  <c r="U4953" i="29"/>
  <c r="K880" i="29"/>
  <c r="U880" i="29"/>
  <c r="J1635" i="29"/>
  <c r="K1635" i="29"/>
  <c r="W1635" i="29"/>
  <c r="U7669" i="29"/>
  <c r="U4758" i="29"/>
  <c r="K5311" i="29"/>
  <c r="W7907" i="29"/>
  <c r="J7907" i="29"/>
  <c r="K2983" i="29"/>
  <c r="U2983" i="29"/>
  <c r="J434" i="29"/>
  <c r="U434" i="29"/>
  <c r="J1489" i="29"/>
  <c r="J1686" i="29"/>
  <c r="K1686" i="29"/>
  <c r="J119" i="29"/>
  <c r="K119" i="29"/>
  <c r="J2112" i="29"/>
  <c r="K2112" i="29"/>
  <c r="J1688" i="29"/>
  <c r="K1688" i="29"/>
  <c r="J1683" i="29"/>
  <c r="J1075" i="29"/>
  <c r="K1075" i="29"/>
  <c r="J1801" i="29"/>
  <c r="K1801" i="29"/>
  <c r="J3849" i="29"/>
  <c r="W3849" i="29"/>
  <c r="K3356" i="29"/>
  <c r="U3356" i="29"/>
  <c r="K4011" i="29"/>
  <c r="U4011" i="29"/>
  <c r="K2195" i="29"/>
  <c r="U2195" i="29"/>
  <c r="J2333" i="29"/>
  <c r="W2333" i="29"/>
  <c r="J3063" i="29"/>
  <c r="W3063" i="29"/>
  <c r="W3795" i="29"/>
  <c r="J3795" i="29"/>
  <c r="W4887" i="29"/>
  <c r="J4887" i="29"/>
  <c r="K4887" i="29"/>
  <c r="J433" i="29"/>
  <c r="J2070" i="29"/>
  <c r="K2070" i="29"/>
  <c r="J185" i="29"/>
  <c r="K185" i="29"/>
  <c r="J1568" i="29"/>
  <c r="J252" i="29"/>
  <c r="J2704" i="29"/>
  <c r="U2704" i="29"/>
  <c r="J1651" i="29"/>
  <c r="U1651" i="29"/>
  <c r="J2576" i="29"/>
  <c r="J118" i="29"/>
  <c r="U118" i="29"/>
  <c r="J2303" i="29"/>
  <c r="U2303" i="29"/>
  <c r="J373" i="29"/>
  <c r="U373" i="29"/>
  <c r="J2668" i="29"/>
  <c r="K2668" i="29"/>
  <c r="J1883" i="29"/>
  <c r="K1883" i="29"/>
  <c r="J1728" i="29"/>
  <c r="K1728" i="29"/>
  <c r="J319" i="29"/>
  <c r="U319" i="29"/>
  <c r="J2138" i="29"/>
  <c r="U2138" i="29"/>
  <c r="J55" i="29"/>
  <c r="J1028" i="29"/>
  <c r="U1028" i="29"/>
  <c r="J2469" i="29"/>
  <c r="K2469" i="29"/>
  <c r="J916" i="29"/>
  <c r="K916" i="29"/>
  <c r="J828" i="29"/>
  <c r="J2438" i="29"/>
  <c r="K2438" i="29"/>
  <c r="J548" i="29"/>
  <c r="U548" i="29"/>
  <c r="J669" i="29"/>
  <c r="U669" i="29"/>
  <c r="J1915" i="29"/>
  <c r="J1403" i="29"/>
  <c r="J4653" i="29"/>
  <c r="W4653" i="29"/>
  <c r="J2290" i="29"/>
  <c r="W2290" i="29"/>
  <c r="U4199" i="29"/>
  <c r="K4199" i="29"/>
  <c r="U1592" i="29"/>
  <c r="U3400" i="29"/>
  <c r="K3400" i="29"/>
  <c r="K7014" i="29"/>
  <c r="U7014" i="29"/>
  <c r="U4428" i="29"/>
  <c r="K4428" i="29"/>
  <c r="J2762" i="29"/>
  <c r="W2762" i="29"/>
  <c r="W5208" i="29"/>
  <c r="J5208" i="29"/>
  <c r="K6127" i="29"/>
  <c r="U6127" i="29"/>
  <c r="J789" i="29"/>
  <c r="K789" i="29"/>
  <c r="W789" i="29"/>
  <c r="U903" i="29"/>
  <c r="K903" i="29"/>
  <c r="U5507" i="29"/>
  <c r="K5507" i="29"/>
  <c r="K207" i="29"/>
  <c r="U207" i="29"/>
  <c r="K4274" i="29"/>
  <c r="U5634" i="29"/>
  <c r="K5634" i="29"/>
  <c r="W468" i="29"/>
  <c r="J468" i="29"/>
  <c r="K468" i="29"/>
  <c r="U5788" i="29"/>
  <c r="K5788" i="29"/>
  <c r="J2720" i="29"/>
  <c r="K2720" i="29"/>
  <c r="W2720" i="29"/>
  <c r="J6949" i="29"/>
  <c r="W6949" i="29"/>
  <c r="J5327" i="29"/>
  <c r="K5327" i="29"/>
  <c r="W5327" i="29"/>
  <c r="K5656" i="29"/>
  <c r="W4251" i="29"/>
  <c r="J4251" i="29"/>
  <c r="K4251" i="29"/>
  <c r="K1219" i="29"/>
  <c r="U1219" i="29"/>
  <c r="J2719" i="29"/>
  <c r="W2719" i="29"/>
  <c r="U1846" i="29"/>
  <c r="K1846" i="29"/>
  <c r="K469" i="29"/>
  <c r="U469" i="29"/>
  <c r="K3412" i="29"/>
  <c r="U3412" i="29"/>
  <c r="W2529" i="29"/>
  <c r="J2529" i="29"/>
  <c r="K6424" i="29"/>
  <c r="J4528" i="29"/>
  <c r="K4528" i="29"/>
  <c r="W4528" i="29"/>
  <c r="K4335" i="29"/>
  <c r="J1819" i="29"/>
  <c r="K1819" i="29"/>
  <c r="J4118" i="29"/>
  <c r="K4118" i="29"/>
  <c r="W4118" i="29"/>
  <c r="W5023" i="29"/>
  <c r="J5023" i="29"/>
  <c r="K5023" i="29"/>
  <c r="U4561" i="29"/>
  <c r="K4561" i="29"/>
  <c r="K3246" i="29"/>
  <c r="U3246" i="29"/>
  <c r="W3486" i="29"/>
  <c r="U3486" i="29"/>
  <c r="W2177" i="29"/>
  <c r="J2177" i="29"/>
  <c r="J2486" i="29"/>
  <c r="K2486" i="29"/>
  <c r="K4443" i="29"/>
  <c r="K4580" i="29"/>
  <c r="W1215" i="29"/>
  <c r="J1215" i="29"/>
  <c r="K1215" i="29"/>
  <c r="U1576" i="29"/>
  <c r="K1576" i="29"/>
  <c r="K3885" i="29"/>
  <c r="U3885" i="29"/>
  <c r="K3410" i="29"/>
  <c r="U3410" i="29"/>
  <c r="U3284" i="29"/>
  <c r="K3284" i="29"/>
  <c r="K2858" i="29"/>
  <c r="U2858" i="29"/>
  <c r="K849" i="29"/>
  <c r="U849" i="29"/>
  <c r="K2405" i="29"/>
  <c r="U1423" i="29"/>
  <c r="K1423" i="29"/>
  <c r="K1509" i="29"/>
  <c r="U1509" i="29"/>
  <c r="U5014" i="29"/>
  <c r="W5355" i="29"/>
  <c r="U5355" i="29"/>
  <c r="J731" i="29"/>
  <c r="W731" i="29"/>
  <c r="J1425" i="29"/>
  <c r="K1425" i="29"/>
  <c r="W1425" i="29"/>
  <c r="U4797" i="29"/>
  <c r="K4797" i="29"/>
  <c r="U378" i="29"/>
  <c r="K378" i="29"/>
  <c r="J3425" i="29"/>
  <c r="W3425" i="29"/>
  <c r="W1668" i="29"/>
  <c r="J1668" i="29"/>
  <c r="U3804" i="29"/>
  <c r="K3804" i="29"/>
  <c r="W5671" i="29"/>
  <c r="U5671" i="29"/>
  <c r="J2982" i="29"/>
  <c r="K2982" i="29"/>
  <c r="W2982" i="29"/>
  <c r="K5458" i="29"/>
  <c r="U5458" i="29"/>
  <c r="K3934" i="29"/>
  <c r="U3934" i="29"/>
  <c r="J4657" i="29"/>
  <c r="K4657" i="29"/>
  <c r="W4657" i="29"/>
  <c r="U7918" i="29"/>
  <c r="J2335" i="29"/>
  <c r="W2335" i="29"/>
  <c r="K4925" i="29"/>
  <c r="U1525" i="29"/>
  <c r="K1525" i="29"/>
  <c r="J4751" i="29"/>
  <c r="K4751" i="29"/>
  <c r="W4751" i="29"/>
  <c r="K5159" i="29"/>
  <c r="U5159" i="29"/>
  <c r="U5112" i="29"/>
  <c r="U3396" i="29"/>
  <c r="K3396" i="29"/>
  <c r="U4968" i="29"/>
  <c r="K4968" i="29"/>
  <c r="K4146" i="29"/>
  <c r="K2738" i="29"/>
  <c r="J3229" i="29"/>
  <c r="K3229" i="29"/>
  <c r="W3229" i="29"/>
  <c r="K1772" i="29"/>
  <c r="U1772" i="29"/>
  <c r="K6239" i="29"/>
  <c r="U6178" i="29"/>
  <c r="W4457" i="29"/>
  <c r="J4457" i="29"/>
  <c r="K4457" i="29"/>
  <c r="J575" i="29"/>
  <c r="U575" i="29"/>
  <c r="J3729" i="29"/>
  <c r="W3729" i="29"/>
  <c r="U3515" i="29"/>
  <c r="U1763" i="29"/>
  <c r="K1763" i="29"/>
  <c r="K1523" i="29"/>
  <c r="U1523" i="29"/>
  <c r="J4152" i="29"/>
  <c r="K4152" i="29"/>
  <c r="W4152" i="29"/>
  <c r="U1454" i="29"/>
  <c r="K1454" i="29"/>
  <c r="U1942" i="29"/>
  <c r="K1942" i="29"/>
  <c r="K2035" i="29"/>
  <c r="J2895" i="29"/>
  <c r="K2895" i="29"/>
  <c r="W2895" i="29"/>
  <c r="U5324" i="29"/>
  <c r="K5324" i="29"/>
  <c r="K4782" i="29"/>
  <c r="U4782" i="29"/>
  <c r="K2180" i="29"/>
  <c r="U2180" i="29"/>
  <c r="K3007" i="29"/>
  <c r="U3007" i="29"/>
  <c r="K3331" i="29"/>
  <c r="J5936" i="29"/>
  <c r="W5936" i="29"/>
  <c r="R1585" i="29"/>
  <c r="S1585" i="29"/>
  <c r="U3642" i="29"/>
  <c r="J1585" i="29"/>
  <c r="K1585" i="29"/>
  <c r="W4487" i="29"/>
  <c r="U4487" i="29"/>
  <c r="U4515" i="29"/>
  <c r="J3364" i="29"/>
  <c r="K3364" i="29"/>
  <c r="K6475" i="29"/>
  <c r="J1197" i="29"/>
  <c r="K1197" i="29"/>
  <c r="J3389" i="29"/>
  <c r="U3389" i="29"/>
  <c r="J186" i="29"/>
  <c r="U186" i="29"/>
  <c r="J547" i="29"/>
  <c r="U547" i="29"/>
  <c r="J2069" i="29"/>
  <c r="U2069" i="29"/>
  <c r="J2667" i="29"/>
  <c r="K2667" i="29"/>
  <c r="J2137" i="29"/>
  <c r="K2137" i="29"/>
  <c r="J1818" i="29"/>
  <c r="U1818" i="29"/>
  <c r="J1779" i="29"/>
  <c r="U1779" i="29"/>
  <c r="J812" i="29"/>
  <c r="K812" i="29"/>
  <c r="J3123" i="29"/>
  <c r="U3123" i="29"/>
  <c r="U4218" i="29"/>
  <c r="K4218" i="29"/>
  <c r="K1300" i="29"/>
  <c r="U1300" i="29"/>
  <c r="W1924" i="29"/>
  <c r="J1924" i="29"/>
  <c r="W4384" i="29"/>
  <c r="J4384" i="29"/>
  <c r="K4384" i="29"/>
  <c r="W3020" i="29"/>
  <c r="J3020" i="29"/>
  <c r="W3448" i="29"/>
  <c r="J3448" i="29"/>
  <c r="K3448" i="29"/>
  <c r="U6085" i="29"/>
  <c r="K6085" i="29"/>
  <c r="J345" i="29"/>
  <c r="W345" i="29"/>
  <c r="U6940" i="29"/>
  <c r="R998" i="29"/>
  <c r="J3528" i="29"/>
  <c r="W5570" i="29"/>
  <c r="U5570" i="29"/>
  <c r="J2302" i="29"/>
  <c r="W3162" i="29"/>
  <c r="U3162" i="29"/>
  <c r="W3937" i="29"/>
  <c r="U3937" i="29"/>
  <c r="R1073" i="29"/>
  <c r="S1073" i="29"/>
  <c r="U3301" i="29"/>
  <c r="J4651" i="29"/>
  <c r="K4651" i="29"/>
  <c r="W4651" i="29"/>
  <c r="R719" i="29"/>
  <c r="T719" i="29"/>
  <c r="W719" i="29"/>
  <c r="J50" i="29"/>
  <c r="K50" i="29"/>
  <c r="W5280" i="29"/>
  <c r="J5280" i="29"/>
  <c r="J529" i="29"/>
  <c r="J71" i="29"/>
  <c r="J535" i="29"/>
  <c r="K535" i="29"/>
  <c r="J83" i="29"/>
  <c r="K83" i="29"/>
  <c r="J494" i="29"/>
  <c r="U494" i="29"/>
  <c r="J46" i="29"/>
  <c r="K46" i="29"/>
  <c r="J407" i="29"/>
  <c r="K407" i="29"/>
  <c r="J123" i="29"/>
  <c r="K123" i="29"/>
  <c r="J698" i="29"/>
  <c r="K698" i="29"/>
  <c r="J28" i="29"/>
  <c r="K28" i="29"/>
  <c r="J620" i="29"/>
  <c r="U620" i="29"/>
  <c r="J451" i="29"/>
  <c r="U451" i="29"/>
  <c r="J892" i="29"/>
  <c r="K892" i="29"/>
  <c r="J135" i="29"/>
  <c r="U135" i="29"/>
  <c r="J824" i="29"/>
  <c r="J629" i="29"/>
  <c r="J288" i="29"/>
  <c r="U4193" i="29"/>
  <c r="K4193" i="29"/>
  <c r="J3746" i="29"/>
  <c r="W3746" i="29"/>
  <c r="U1428" i="29"/>
  <c r="K1428" i="29"/>
  <c r="U322" i="29"/>
  <c r="K322" i="29"/>
  <c r="K1613" i="29"/>
  <c r="U1613" i="29"/>
  <c r="U2104" i="29"/>
  <c r="W6730" i="29"/>
  <c r="J6730" i="29"/>
  <c r="K6730" i="29"/>
  <c r="W974" i="29"/>
  <c r="J974" i="29"/>
  <c r="K974" i="29"/>
  <c r="W5279" i="29"/>
  <c r="J5279" i="29"/>
  <c r="W1139" i="29"/>
  <c r="J1139" i="29"/>
  <c r="U4471" i="29"/>
  <c r="K4471" i="29"/>
  <c r="J3103" i="29"/>
  <c r="W3103" i="29"/>
  <c r="K2836" i="29"/>
  <c r="K3507" i="29"/>
  <c r="U1464" i="29"/>
  <c r="J2427" i="29"/>
  <c r="K2427" i="29"/>
  <c r="W2427" i="29"/>
  <c r="W3096" i="29"/>
  <c r="J3096" i="29"/>
  <c r="J1189" i="29"/>
  <c r="U1189" i="29"/>
  <c r="R1438" i="29"/>
  <c r="T1438" i="29"/>
  <c r="W1438" i="29"/>
  <c r="K4182" i="29"/>
  <c r="W2058" i="29"/>
  <c r="J2058" i="29"/>
  <c r="J4631" i="29"/>
  <c r="W4631" i="29"/>
  <c r="K5187" i="29"/>
  <c r="K249" i="29"/>
  <c r="J1137" i="29"/>
  <c r="W1137" i="29"/>
  <c r="J432" i="29"/>
  <c r="U432" i="29"/>
  <c r="W5364" i="29"/>
  <c r="U5364" i="29"/>
  <c r="J1607" i="29"/>
  <c r="K1607" i="29"/>
  <c r="W4618" i="29"/>
  <c r="U4618" i="29"/>
  <c r="U1538" i="29"/>
  <c r="K1231" i="29"/>
  <c r="J3736" i="29"/>
  <c r="K3736" i="29"/>
  <c r="J2629" i="29"/>
  <c r="K2629" i="29"/>
  <c r="K4535" i="29"/>
  <c r="W4725" i="29"/>
  <c r="J4725" i="29"/>
  <c r="U140" i="29"/>
  <c r="W4871" i="29"/>
  <c r="U4871" i="29"/>
  <c r="K5022" i="29"/>
  <c r="U5022" i="29"/>
  <c r="W2176" i="29"/>
  <c r="J2176" i="29"/>
  <c r="K2176" i="29"/>
  <c r="U7309" i="29"/>
  <c r="K7309" i="29"/>
  <c r="U7357" i="29"/>
  <c r="J274" i="29"/>
  <c r="U274" i="29"/>
  <c r="W3615" i="29"/>
  <c r="J3615" i="29"/>
  <c r="K3615" i="29"/>
  <c r="J3095" i="29"/>
  <c r="K3095" i="29"/>
  <c r="W3095" i="29"/>
  <c r="U2091" i="29"/>
  <c r="U4217" i="29"/>
  <c r="K4217" i="29"/>
  <c r="K2977" i="29"/>
  <c r="J6681" i="29"/>
  <c r="W6681" i="29"/>
  <c r="J5528" i="29"/>
  <c r="J1495" i="29"/>
  <c r="K1495" i="29"/>
  <c r="W1495" i="29"/>
  <c r="J1246" i="29"/>
  <c r="J521" i="29"/>
  <c r="J559" i="29"/>
  <c r="R1506" i="29"/>
  <c r="J1005" i="29"/>
  <c r="K1005" i="29"/>
  <c r="J870" i="29"/>
  <c r="K870" i="29"/>
  <c r="J1438" i="29"/>
  <c r="K1438" i="29"/>
  <c r="J1476" i="29"/>
  <c r="K1476" i="29"/>
  <c r="J652" i="29"/>
  <c r="K652" i="29"/>
  <c r="R1395" i="29"/>
  <c r="S1395" i="29"/>
  <c r="J242" i="29"/>
  <c r="K242" i="29"/>
  <c r="J351" i="29"/>
  <c r="K351" i="29"/>
  <c r="R1835" i="29"/>
  <c r="J107" i="29"/>
  <c r="J1698" i="29"/>
  <c r="K1698" i="29"/>
  <c r="R1754" i="29"/>
  <c r="T1754" i="29"/>
  <c r="W1754" i="29"/>
  <c r="J1506" i="29"/>
  <c r="R652" i="29"/>
  <c r="J1116" i="29"/>
  <c r="K1116" i="29"/>
  <c r="J1395" i="29"/>
  <c r="K1395" i="29"/>
  <c r="J490" i="29"/>
  <c r="U490" i="29"/>
  <c r="W5377" i="29"/>
  <c r="J5377" i="29"/>
  <c r="K5377" i="29"/>
  <c r="W1432" i="29"/>
  <c r="J1432" i="29"/>
  <c r="K1432" i="29"/>
  <c r="W2780" i="29"/>
  <c r="U2780" i="29"/>
  <c r="U5940" i="29"/>
  <c r="K5940" i="29"/>
  <c r="W1776" i="29"/>
  <c r="J1776" i="29"/>
  <c r="K4098" i="29"/>
  <c r="K1517" i="29"/>
  <c r="U1517" i="29"/>
  <c r="U4300" i="29"/>
  <c r="J3214" i="29"/>
  <c r="W3214" i="29"/>
  <c r="J1747" i="29"/>
  <c r="K1747" i="29"/>
  <c r="K3754" i="29"/>
  <c r="U3754" i="29"/>
  <c r="U1318" i="29"/>
  <c r="K1318" i="29"/>
  <c r="U4018" i="29"/>
  <c r="K4018" i="29"/>
  <c r="J6052" i="29"/>
  <c r="W6052" i="29"/>
  <c r="W4483" i="29"/>
  <c r="J4483" i="29"/>
  <c r="J1882" i="29"/>
  <c r="K1882" i="29"/>
  <c r="W3224" i="29"/>
  <c r="U3224" i="29"/>
  <c r="J2575" i="29"/>
  <c r="K2575" i="29"/>
  <c r="R1341" i="29"/>
  <c r="T1341" i="29"/>
  <c r="W1341" i="29"/>
  <c r="K3121" i="29"/>
  <c r="U4966" i="29"/>
  <c r="K4966" i="29"/>
  <c r="W1808" i="29"/>
  <c r="J1808" i="29"/>
  <c r="K3261" i="29"/>
  <c r="U3261" i="29"/>
  <c r="U1009" i="29"/>
  <c r="W3560" i="29"/>
  <c r="J3560" i="29"/>
  <c r="K3560" i="29"/>
  <c r="J1652" i="29"/>
  <c r="J708" i="29"/>
  <c r="K708" i="29"/>
  <c r="K5847" i="29"/>
  <c r="U5847" i="29"/>
  <c r="W4498" i="29"/>
  <c r="J4498" i="29"/>
  <c r="K1550" i="29"/>
  <c r="U1550" i="29"/>
  <c r="U184" i="29"/>
  <c r="U2041" i="29"/>
  <c r="K2041" i="29"/>
  <c r="K902" i="29"/>
  <c r="U902" i="29"/>
  <c r="U4671" i="29"/>
  <c r="K4671" i="29"/>
  <c r="K5005" i="29"/>
  <c r="U78" i="29"/>
  <c r="W3675" i="29"/>
  <c r="J3675" i="29"/>
  <c r="K3675" i="29"/>
  <c r="U4975" i="29"/>
  <c r="K4975" i="29"/>
  <c r="U5155" i="29"/>
  <c r="K5155" i="29"/>
  <c r="J2948" i="29"/>
  <c r="K2948" i="29"/>
  <c r="W2948" i="29"/>
  <c r="K4548" i="29"/>
  <c r="U4548" i="29"/>
  <c r="K3126" i="29"/>
  <c r="J5531" i="29"/>
  <c r="W5531" i="29"/>
  <c r="K5599" i="29"/>
  <c r="U7747" i="29"/>
  <c r="K7747" i="29"/>
  <c r="K5142" i="29"/>
  <c r="U5142" i="29"/>
  <c r="K7823" i="29"/>
  <c r="U7823" i="29"/>
  <c r="J6327" i="29"/>
  <c r="K6327" i="29"/>
  <c r="W6327" i="29"/>
  <c r="U182" i="29"/>
  <c r="K5189" i="29"/>
  <c r="U5189" i="29"/>
  <c r="K3420" i="29"/>
  <c r="U3420" i="29"/>
  <c r="J1512" i="29"/>
  <c r="K1512" i="29"/>
  <c r="W1512" i="29"/>
  <c r="U3809" i="29"/>
  <c r="K3809" i="29"/>
  <c r="K5257" i="29"/>
  <c r="U5257" i="29"/>
  <c r="J4573" i="29"/>
  <c r="W4573" i="29"/>
  <c r="U4346" i="29"/>
  <c r="K4346" i="29"/>
  <c r="K2817" i="29"/>
  <c r="K4436" i="29"/>
  <c r="U1135" i="29"/>
  <c r="U168" i="29"/>
  <c r="K3932" i="29"/>
  <c r="J3223" i="29"/>
  <c r="W3223" i="29"/>
  <c r="K5146" i="29"/>
  <c r="K5805" i="29"/>
  <c r="J5692" i="29"/>
  <c r="W5692" i="29"/>
  <c r="U2644" i="29"/>
  <c r="U2008" i="29"/>
  <c r="U2444" i="29"/>
  <c r="U2416" i="29"/>
  <c r="U2095" i="29"/>
  <c r="U2954" i="29"/>
  <c r="J5166" i="29"/>
  <c r="K5948" i="29"/>
  <c r="K221" i="29"/>
  <c r="K6026" i="29"/>
  <c r="U4180" i="29"/>
  <c r="W1022" i="29"/>
  <c r="U1022" i="29"/>
  <c r="J1329" i="29"/>
  <c r="W3658" i="29"/>
  <c r="U3658" i="29"/>
  <c r="J2528" i="29"/>
  <c r="W3374" i="29"/>
  <c r="U3374" i="29"/>
  <c r="U1794" i="29"/>
  <c r="U415" i="29"/>
  <c r="U19" i="29"/>
  <c r="U1660" i="29"/>
  <c r="U1481" i="29"/>
  <c r="K1481" i="29"/>
  <c r="K3324" i="29"/>
  <c r="J2075" i="29"/>
  <c r="W2075" i="29"/>
  <c r="K2663" i="29"/>
  <c r="J2252" i="29"/>
  <c r="K2252" i="29"/>
  <c r="W4086" i="29"/>
  <c r="U4086" i="29"/>
  <c r="U5352" i="29"/>
  <c r="K4898" i="29"/>
  <c r="J4271" i="29"/>
  <c r="W4271" i="29"/>
  <c r="W5194" i="29"/>
  <c r="J5194" i="29"/>
  <c r="J5122" i="29"/>
  <c r="W5122" i="29"/>
  <c r="K2029" i="29"/>
  <c r="U2029" i="29"/>
  <c r="K3799" i="29"/>
  <c r="U1566" i="29"/>
  <c r="K1566" i="29"/>
  <c r="U5661" i="29"/>
  <c r="K5661" i="29"/>
  <c r="K6643" i="29"/>
  <c r="U6643" i="29"/>
  <c r="J2896" i="29"/>
  <c r="K2896" i="29"/>
  <c r="W2896" i="29"/>
  <c r="K2963" i="29"/>
  <c r="K2960" i="29"/>
  <c r="U2960" i="29"/>
  <c r="U1648" i="29"/>
  <c r="K1648" i="29"/>
  <c r="K6218" i="29"/>
  <c r="U1919" i="29"/>
  <c r="K1919" i="29"/>
  <c r="U6370" i="29"/>
  <c r="K6370" i="29"/>
  <c r="J4492" i="29"/>
  <c r="K4492" i="29"/>
  <c r="K5814" i="29"/>
  <c r="U4870" i="29"/>
  <c r="K4870" i="29"/>
  <c r="K1546" i="29"/>
  <c r="K3461" i="29"/>
  <c r="U3461" i="29"/>
  <c r="K1367" i="29"/>
  <c r="U1367" i="29"/>
  <c r="U2353" i="29"/>
  <c r="U5500" i="29"/>
  <c r="K5500" i="29"/>
  <c r="K4142" i="29"/>
  <c r="J1738" i="29"/>
  <c r="K1738" i="29"/>
  <c r="J798" i="29"/>
  <c r="J1173" i="29"/>
  <c r="J92" i="29"/>
  <c r="K92" i="29"/>
  <c r="J269" i="29"/>
  <c r="J841" i="29"/>
  <c r="J782" i="29"/>
  <c r="J627" i="29"/>
  <c r="J866" i="29"/>
  <c r="J603" i="29"/>
  <c r="J477" i="29"/>
  <c r="K477" i="29"/>
  <c r="J259" i="29"/>
  <c r="K259" i="29"/>
  <c r="J57" i="29"/>
  <c r="U57" i="29"/>
  <c r="J479" i="29"/>
  <c r="U479" i="29"/>
  <c r="J243" i="29"/>
  <c r="K243" i="29"/>
  <c r="J530" i="29"/>
  <c r="K530" i="29"/>
  <c r="J372" i="29"/>
  <c r="U372" i="29"/>
  <c r="J785" i="29"/>
  <c r="K785" i="29"/>
  <c r="J563" i="29"/>
  <c r="U563" i="29"/>
  <c r="J806" i="29"/>
  <c r="J930" i="29"/>
  <c r="J723" i="29"/>
  <c r="J189" i="29"/>
  <c r="J672" i="29"/>
  <c r="J449" i="29"/>
  <c r="J129" i="29"/>
  <c r="K129" i="29"/>
  <c r="J24" i="29"/>
  <c r="J624" i="29"/>
  <c r="K624" i="29"/>
  <c r="J283" i="29"/>
  <c r="K283" i="29"/>
  <c r="J295" i="29"/>
  <c r="K295" i="29"/>
  <c r="J231" i="29"/>
  <c r="U231" i="29"/>
  <c r="J726" i="29"/>
  <c r="U726" i="29"/>
  <c r="J567" i="29"/>
  <c r="U567" i="29"/>
  <c r="J236" i="29"/>
  <c r="K236" i="29"/>
  <c r="K1355" i="29"/>
  <c r="K2846" i="29"/>
  <c r="J2048" i="29"/>
  <c r="W2048" i="29"/>
  <c r="J746" i="29"/>
  <c r="J192" i="29"/>
  <c r="J568" i="29"/>
  <c r="U568" i="29"/>
  <c r="J1744" i="29"/>
  <c r="J1885" i="29"/>
  <c r="U1885" i="29"/>
  <c r="J2372" i="29"/>
  <c r="U2372" i="29"/>
  <c r="J1175" i="29"/>
  <c r="U1175" i="29"/>
  <c r="J466" i="29"/>
  <c r="U466" i="29"/>
  <c r="J1046" i="29"/>
  <c r="U1046" i="29"/>
  <c r="J1681" i="29"/>
  <c r="U1681" i="29"/>
  <c r="J2525" i="29"/>
  <c r="U2525" i="29"/>
  <c r="J1112" i="29"/>
  <c r="K1112" i="29"/>
  <c r="J1689" i="29"/>
  <c r="K1689" i="29"/>
  <c r="J1937" i="29"/>
  <c r="K1937" i="29"/>
  <c r="J1420" i="29"/>
  <c r="J390" i="29"/>
  <c r="J1331" i="29"/>
  <c r="J2451" i="29"/>
  <c r="J2280" i="29"/>
  <c r="K2280" i="29"/>
  <c r="J1637" i="29"/>
  <c r="K1637" i="29"/>
  <c r="J98" i="29"/>
  <c r="K98" i="29"/>
  <c r="J816" i="29"/>
  <c r="U816" i="29"/>
  <c r="J2106" i="29"/>
  <c r="K2106" i="29"/>
  <c r="J2714" i="29"/>
  <c r="U2714" i="29"/>
  <c r="J2586" i="29"/>
  <c r="U2586" i="29"/>
  <c r="J2061" i="29"/>
  <c r="K2061" i="29"/>
  <c r="J2211" i="29"/>
  <c r="J2481" i="29"/>
  <c r="K5320" i="29"/>
  <c r="U5320" i="29"/>
  <c r="U1945" i="29"/>
  <c r="K1945" i="29"/>
  <c r="K5930" i="29"/>
  <c r="U5930" i="29"/>
  <c r="K7016" i="29"/>
  <c r="J335" i="29"/>
  <c r="K4270" i="29"/>
  <c r="K3315" i="29"/>
  <c r="U3315" i="29"/>
  <c r="U7737" i="29"/>
  <c r="K5445" i="29"/>
  <c r="J60" i="29"/>
  <c r="J33" i="29"/>
  <c r="U33" i="29"/>
  <c r="J11" i="29"/>
  <c r="U11" i="29"/>
  <c r="J2799" i="29"/>
  <c r="W2799" i="29"/>
  <c r="K3068" i="29"/>
  <c r="K5628" i="29"/>
  <c r="W3225" i="29"/>
  <c r="J3225" i="29"/>
  <c r="U5835" i="29"/>
  <c r="K3208" i="29"/>
  <c r="K5099" i="29"/>
  <c r="J2103" i="29"/>
  <c r="W2103" i="29"/>
  <c r="K5278" i="29"/>
  <c r="U5278" i="29"/>
  <c r="K1303" i="29"/>
  <c r="U1303" i="29"/>
  <c r="U7913" i="29"/>
  <c r="U5920" i="29"/>
  <c r="K4127" i="29"/>
  <c r="J352" i="29"/>
  <c r="J1198" i="29"/>
  <c r="R1755" i="29"/>
  <c r="R2843" i="29"/>
  <c r="R4227" i="29"/>
  <c r="T4227" i="29"/>
  <c r="W4227" i="29"/>
  <c r="J1755" i="29"/>
  <c r="J456" i="29"/>
  <c r="J3521" i="29"/>
  <c r="K3521" i="29"/>
  <c r="R2382" i="29"/>
  <c r="T2382" i="29"/>
  <c r="W2382" i="29"/>
  <c r="J2634" i="29"/>
  <c r="R4501" i="29"/>
  <c r="T4501" i="29"/>
  <c r="J4501" i="29"/>
  <c r="J491" i="29"/>
  <c r="U491" i="29"/>
  <c r="R3521" i="29"/>
  <c r="R1906" i="29"/>
  <c r="R2457" i="29"/>
  <c r="J1396" i="29"/>
  <c r="J653" i="29"/>
  <c r="J2382" i="29"/>
  <c r="K2382" i="29"/>
  <c r="R3759" i="29"/>
  <c r="T3759" i="29"/>
  <c r="R4656" i="29"/>
  <c r="T4656" i="29"/>
  <c r="R1198" i="29"/>
  <c r="T1198" i="29"/>
  <c r="W1198" i="29"/>
  <c r="J522" i="29"/>
  <c r="J1069" i="29"/>
  <c r="J2905" i="29"/>
  <c r="K2905" i="29"/>
  <c r="J3491" i="29"/>
  <c r="R1006" i="29"/>
  <c r="T1006" i="29"/>
  <c r="W1006" i="29"/>
  <c r="R2690" i="29"/>
  <c r="S2690" i="29"/>
  <c r="R3694" i="29"/>
  <c r="T3694" i="29"/>
  <c r="R4356" i="29"/>
  <c r="S4356" i="29"/>
  <c r="J720" i="29"/>
  <c r="K720" i="29"/>
  <c r="R3942" i="29"/>
  <c r="S3942" i="29"/>
  <c r="J2690" i="29"/>
  <c r="K2690" i="29"/>
  <c r="J51" i="29"/>
  <c r="R2905" i="29"/>
  <c r="T2905" i="29"/>
  <c r="W2905" i="29"/>
  <c r="R3491" i="29"/>
  <c r="J9" i="29"/>
  <c r="K9" i="29"/>
  <c r="R2284" i="29"/>
  <c r="T2284" i="29"/>
  <c r="W2284" i="29"/>
  <c r="J1477" i="29"/>
  <c r="R1069" i="29"/>
  <c r="S1069" i="29"/>
  <c r="R3352" i="29"/>
  <c r="T3352" i="29"/>
  <c r="W3352" i="29"/>
  <c r="J2079" i="29"/>
  <c r="J108" i="29"/>
  <c r="U108" i="29"/>
  <c r="J2457" i="29"/>
  <c r="K5616" i="29"/>
  <c r="U5616" i="29"/>
  <c r="J1727" i="29"/>
  <c r="J1025" i="29"/>
  <c r="K1025" i="29"/>
  <c r="J1914" i="29"/>
  <c r="J1912" i="29"/>
  <c r="J640" i="29"/>
  <c r="J1759" i="29"/>
  <c r="J549" i="29"/>
  <c r="U549" i="29"/>
  <c r="J774" i="29"/>
  <c r="K774" i="29"/>
  <c r="J710" i="29"/>
  <c r="U710" i="29"/>
  <c r="J2072" i="29"/>
  <c r="K2072" i="29"/>
  <c r="J79" i="29"/>
  <c r="J1611" i="29"/>
  <c r="K1611" i="29"/>
  <c r="J1328" i="29"/>
  <c r="U1328" i="29"/>
  <c r="J1886" i="29"/>
  <c r="J1680" i="29"/>
  <c r="J1421" i="29"/>
  <c r="K1421" i="29"/>
  <c r="J32" i="29"/>
  <c r="K32" i="29"/>
  <c r="J781" i="29"/>
  <c r="U781" i="29"/>
  <c r="J1799" i="29"/>
  <c r="R655" i="29"/>
  <c r="J1851" i="29"/>
  <c r="K1851" i="29"/>
  <c r="R872" i="29"/>
  <c r="J2105" i="29"/>
  <c r="U2105" i="29"/>
  <c r="J1959" i="29"/>
  <c r="U1959" i="29"/>
  <c r="J1963" i="29"/>
  <c r="K1963" i="29"/>
  <c r="J334" i="29"/>
  <c r="J989" i="29"/>
  <c r="K989" i="29"/>
  <c r="J2044" i="29"/>
  <c r="K2044" i="29"/>
  <c r="J551" i="29"/>
  <c r="U551" i="29"/>
  <c r="J1126" i="29"/>
  <c r="K1126" i="29"/>
  <c r="J53" i="29"/>
  <c r="J1617" i="29"/>
  <c r="J628" i="29"/>
  <c r="J1047" i="29"/>
  <c r="K1047" i="29"/>
  <c r="J872" i="29"/>
  <c r="K872" i="29"/>
  <c r="J1176" i="29"/>
  <c r="K1176" i="29"/>
  <c r="J1722" i="29"/>
  <c r="U1722" i="29"/>
  <c r="J193" i="29"/>
  <c r="K193" i="29"/>
  <c r="J235" i="29"/>
  <c r="K235" i="29"/>
  <c r="J670" i="29"/>
  <c r="J2131" i="29"/>
  <c r="U2131" i="29"/>
  <c r="J1080" i="29"/>
  <c r="J253" i="29"/>
  <c r="K253" i="29"/>
  <c r="J1281" i="29"/>
  <c r="K1281" i="29"/>
  <c r="U4461" i="29"/>
  <c r="K4461" i="29"/>
  <c r="W4151" i="29"/>
  <c r="J4151" i="29"/>
  <c r="K4151" i="29"/>
  <c r="W4577" i="29"/>
  <c r="J4577" i="29"/>
  <c r="K4577" i="29"/>
  <c r="J3861" i="29"/>
  <c r="W3861" i="29"/>
  <c r="U6112" i="29"/>
  <c r="K6112" i="29"/>
  <c r="J4063" i="29"/>
  <c r="J4278" i="29"/>
  <c r="W4278" i="29"/>
  <c r="J4994" i="29"/>
  <c r="U1867" i="29"/>
  <c r="U3532" i="29"/>
  <c r="K3532" i="29"/>
  <c r="R4089" i="29"/>
  <c r="T4089" i="29"/>
  <c r="J4089" i="29"/>
  <c r="R3216" i="29"/>
  <c r="R1396" i="29"/>
  <c r="S1396" i="29"/>
  <c r="U4955" i="29"/>
  <c r="K4955" i="29"/>
  <c r="K2850" i="29"/>
  <c r="W3307" i="29"/>
  <c r="J3307" i="29"/>
  <c r="K1288" i="29"/>
  <c r="U1288" i="29"/>
  <c r="J5029" i="29"/>
  <c r="W5029" i="29"/>
  <c r="K7805" i="29"/>
  <c r="K103" i="29"/>
  <c r="U103" i="29"/>
  <c r="U4568" i="29"/>
  <c r="K4568" i="29"/>
  <c r="K3008" i="29"/>
  <c r="U3008" i="29"/>
  <c r="J645" i="29"/>
  <c r="J1018" i="29"/>
  <c r="U1018" i="29"/>
  <c r="J2051" i="29"/>
  <c r="K2051" i="29"/>
  <c r="J794" i="29"/>
  <c r="K794" i="29"/>
  <c r="J360" i="29"/>
  <c r="J80" i="29"/>
  <c r="K80" i="29"/>
  <c r="J1699" i="29"/>
  <c r="K1699" i="29"/>
  <c r="J2225" i="29"/>
  <c r="J223" i="29"/>
  <c r="J675" i="29"/>
  <c r="J911" i="29"/>
  <c r="U911" i="29"/>
  <c r="J2189" i="29"/>
  <c r="K2189" i="29"/>
  <c r="J1975" i="29"/>
  <c r="U1975" i="29"/>
  <c r="J850" i="29"/>
  <c r="U850" i="29"/>
  <c r="J838" i="29"/>
  <c r="K838" i="29"/>
  <c r="J143" i="29"/>
  <c r="U143" i="29"/>
  <c r="J2128" i="29"/>
  <c r="U2128" i="29"/>
  <c r="J34" i="29"/>
  <c r="J2080" i="29"/>
  <c r="K2080" i="29"/>
  <c r="W4476" i="29"/>
  <c r="J4476" i="29"/>
  <c r="K4476" i="29"/>
  <c r="J1057" i="29"/>
  <c r="W1057" i="29"/>
  <c r="U6404" i="29"/>
  <c r="K6404" i="29"/>
  <c r="U4163" i="29"/>
  <c r="J3741" i="29"/>
  <c r="K3741" i="29"/>
  <c r="W3741" i="29"/>
  <c r="K4371" i="29"/>
  <c r="W5268" i="29"/>
  <c r="J5268" i="29"/>
  <c r="J1324" i="29"/>
  <c r="K1324" i="29"/>
  <c r="W1324" i="29"/>
  <c r="K1140" i="29"/>
  <c r="U1140" i="29"/>
  <c r="K3017" i="29"/>
  <c r="J594" i="29"/>
  <c r="U594" i="29"/>
  <c r="J4396" i="29"/>
  <c r="U4396" i="29"/>
  <c r="R720" i="29"/>
  <c r="J1006" i="29"/>
  <c r="K6342" i="29"/>
  <c r="K5781" i="29"/>
  <c r="U6131" i="29"/>
  <c r="K6131" i="29"/>
  <c r="K19" i="29"/>
  <c r="J655" i="29"/>
  <c r="K655" i="29"/>
  <c r="R2634" i="29"/>
  <c r="S2634" i="29"/>
  <c r="J1586" i="29"/>
  <c r="J136" i="29"/>
  <c r="U5511" i="29"/>
  <c r="K5511" i="29"/>
  <c r="K4352" i="29"/>
  <c r="W2018" i="29"/>
  <c r="J2018" i="29"/>
  <c r="K2018" i="29"/>
  <c r="K4954" i="29"/>
  <c r="K3857" i="29"/>
  <c r="W5027" i="29"/>
  <c r="J5027" i="29"/>
  <c r="U7197" i="29"/>
  <c r="K7197" i="29"/>
  <c r="K5835" i="29"/>
  <c r="J5361" i="29"/>
  <c r="K5041" i="29"/>
  <c r="K2638" i="29"/>
  <c r="K5096" i="29"/>
  <c r="U5096" i="29"/>
  <c r="U2433" i="29"/>
  <c r="U3780" i="29"/>
  <c r="J1980" i="29"/>
  <c r="U1980" i="29"/>
  <c r="J2409" i="29"/>
  <c r="W3648" i="29"/>
  <c r="U3648" i="29"/>
  <c r="K4728" i="29"/>
  <c r="K4772" i="29"/>
  <c r="U2560" i="29"/>
  <c r="K6473" i="29"/>
  <c r="K225" i="29"/>
  <c r="W4564" i="29"/>
  <c r="U4564" i="29"/>
  <c r="J1708" i="29"/>
  <c r="K1708" i="29"/>
  <c r="W1708" i="29"/>
  <c r="J1812" i="29"/>
  <c r="U1812" i="29"/>
  <c r="J677" i="29"/>
  <c r="K677" i="29"/>
  <c r="R653" i="29"/>
  <c r="S653" i="29"/>
  <c r="J988" i="29"/>
  <c r="J3352" i="29"/>
  <c r="J846" i="29"/>
  <c r="K846" i="29"/>
  <c r="K4131" i="29"/>
  <c r="U4131" i="29"/>
  <c r="K371" i="29"/>
  <c r="U371" i="29"/>
  <c r="U4567" i="29"/>
  <c r="K4567" i="29"/>
  <c r="U7195" i="29"/>
  <c r="J5420" i="29"/>
  <c r="K5420" i="29"/>
  <c r="U5105" i="29"/>
  <c r="K5105" i="29"/>
  <c r="U1939" i="29"/>
  <c r="K1939" i="29"/>
  <c r="U2388" i="29"/>
  <c r="K2388" i="29"/>
  <c r="J2812" i="29"/>
  <c r="K2812" i="29"/>
  <c r="W2812" i="29"/>
  <c r="U6389" i="29"/>
  <c r="K6389" i="29"/>
  <c r="W958" i="29"/>
  <c r="J958" i="29"/>
  <c r="U233" i="29"/>
  <c r="K2240" i="29"/>
  <c r="K5200" i="29"/>
  <c r="U5200" i="29"/>
  <c r="K1948" i="29"/>
  <c r="U1948" i="29"/>
  <c r="K3716" i="29"/>
  <c r="U5714" i="29"/>
  <c r="K6113" i="29"/>
  <c r="K4574" i="29"/>
  <c r="K4750" i="29"/>
  <c r="U4750" i="29"/>
  <c r="J3983" i="29"/>
  <c r="W3983" i="29"/>
  <c r="U142" i="29"/>
  <c r="K142" i="29"/>
  <c r="J4351" i="29"/>
  <c r="U4351" i="29"/>
  <c r="U7902" i="29"/>
  <c r="K7902" i="29"/>
  <c r="K16" i="29"/>
  <c r="U16" i="29"/>
  <c r="W2311" i="29"/>
  <c r="J2311" i="29"/>
  <c r="K2311" i="29"/>
  <c r="K2624" i="29"/>
  <c r="U3380" i="29"/>
  <c r="K3380" i="29"/>
  <c r="J3291" i="29"/>
  <c r="W3291" i="29"/>
  <c r="W2733" i="29"/>
  <c r="J2733" i="29"/>
  <c r="K5883" i="29"/>
  <c r="W2015" i="29"/>
  <c r="J2015" i="29"/>
  <c r="W1290" i="29"/>
  <c r="J1290" i="29"/>
  <c r="J7128" i="29"/>
  <c r="K7128" i="29"/>
  <c r="W7128" i="29"/>
  <c r="U4101" i="29"/>
  <c r="U6944" i="29"/>
  <c r="K6944" i="29"/>
  <c r="J4469" i="29"/>
  <c r="U4469" i="29"/>
  <c r="K7212" i="29"/>
  <c r="U7212" i="29"/>
  <c r="J1366" i="29"/>
  <c r="W1366" i="29"/>
  <c r="K3962" i="29"/>
  <c r="U3962" i="29"/>
  <c r="U2594" i="29"/>
  <c r="K2594" i="29"/>
  <c r="K5753" i="29"/>
  <c r="U1000" i="29"/>
  <c r="K1000" i="29"/>
  <c r="J5521" i="29"/>
  <c r="W5521" i="29"/>
  <c r="U3442" i="29"/>
  <c r="K3442" i="29"/>
  <c r="W4874" i="29"/>
  <c r="J4874" i="29"/>
  <c r="K4874" i="29"/>
  <c r="K4532" i="29"/>
  <c r="U4532" i="29"/>
  <c r="W2034" i="29"/>
  <c r="J2034" i="29"/>
  <c r="K2034" i="29"/>
  <c r="U6376" i="29"/>
  <c r="K6376" i="29"/>
  <c r="K6237" i="29"/>
  <c r="U6237" i="29"/>
  <c r="W5424" i="29"/>
  <c r="J5424" i="29"/>
  <c r="K5424" i="29"/>
  <c r="K6505" i="29"/>
  <c r="J1381" i="29"/>
  <c r="W1381" i="29"/>
  <c r="K4960" i="29"/>
  <c r="J2906" i="29"/>
  <c r="K2906" i="29"/>
  <c r="W2906" i="29"/>
  <c r="J3247" i="29"/>
  <c r="K5121" i="29"/>
  <c r="U5121" i="29"/>
  <c r="K5" i="29"/>
  <c r="U5" i="29"/>
  <c r="U732" i="29"/>
  <c r="U1206" i="29"/>
  <c r="K1206" i="29"/>
  <c r="K2339" i="29"/>
  <c r="U2339" i="29"/>
  <c r="J4288" i="29"/>
  <c r="W4288" i="29"/>
  <c r="K4564" i="29"/>
  <c r="J4856" i="29"/>
  <c r="W800" i="29"/>
  <c r="U800" i="29"/>
  <c r="K3673" i="29"/>
  <c r="U879" i="29"/>
  <c r="K879" i="29"/>
  <c r="K4221" i="29"/>
  <c r="U2308" i="29"/>
  <c r="K2308" i="29"/>
  <c r="K2159" i="29"/>
  <c r="K5443" i="29"/>
  <c r="U5443" i="29"/>
  <c r="W1895" i="29"/>
  <c r="J1895" i="29"/>
  <c r="U2063" i="29"/>
  <c r="K3040" i="29"/>
  <c r="W4237" i="29"/>
  <c r="J4237" i="29"/>
  <c r="K4555" i="29"/>
  <c r="K3852" i="29"/>
  <c r="K3802" i="29"/>
  <c r="U2161" i="29"/>
  <c r="K7913" i="29"/>
  <c r="U6704" i="29"/>
  <c r="J749" i="29"/>
  <c r="J1782" i="29"/>
  <c r="W3295" i="29"/>
  <c r="U3295" i="29"/>
  <c r="J254" i="29"/>
  <c r="W2718" i="29"/>
  <c r="J2718" i="29"/>
  <c r="K6423" i="29"/>
  <c r="K2415" i="29"/>
  <c r="K5050" i="29"/>
  <c r="K5216" i="29"/>
  <c r="K127" i="29"/>
  <c r="K3274" i="29"/>
  <c r="K4608" i="29"/>
  <c r="J4066" i="29"/>
  <c r="W4066" i="29"/>
  <c r="W7539" i="29"/>
  <c r="J7539" i="29"/>
  <c r="K7539" i="29"/>
  <c r="K4582" i="29"/>
  <c r="U4582" i="29"/>
  <c r="U5756" i="29"/>
  <c r="K5756" i="29"/>
  <c r="K5143" i="29"/>
  <c r="U1109" i="29"/>
  <c r="U4794" i="29"/>
  <c r="K4155" i="29"/>
  <c r="K932" i="29"/>
  <c r="U932" i="29"/>
  <c r="U1168" i="29"/>
  <c r="U5388" i="29"/>
  <c r="K5388" i="29"/>
  <c r="J3740" i="29"/>
  <c r="W3740" i="29"/>
  <c r="K3841" i="29"/>
  <c r="K36" i="29"/>
  <c r="U36" i="29"/>
  <c r="W4813" i="29"/>
  <c r="J4813" i="29"/>
  <c r="W3936" i="29"/>
  <c r="J3936" i="29"/>
  <c r="U3242" i="29"/>
  <c r="K3242" i="29"/>
  <c r="U4092" i="29"/>
  <c r="K4092" i="29"/>
  <c r="K5991" i="29"/>
  <c r="J3298" i="29"/>
  <c r="W3298" i="29"/>
  <c r="W2442" i="29"/>
  <c r="U2442" i="29"/>
  <c r="J1310" i="29"/>
  <c r="K1310" i="29"/>
  <c r="W1310" i="29"/>
  <c r="K4181" i="29"/>
  <c r="U4181" i="29"/>
  <c r="K2665" i="29"/>
  <c r="U5706" i="29"/>
  <c r="K5993" i="29"/>
  <c r="K1413" i="29"/>
  <c r="U1413" i="29"/>
  <c r="U6058" i="29"/>
  <c r="K6058" i="29"/>
  <c r="K5151" i="29"/>
  <c r="K4884" i="29"/>
  <c r="U4884" i="29"/>
  <c r="K5013" i="29"/>
  <c r="K5260" i="29"/>
  <c r="J1570" i="29"/>
  <c r="J3216" i="29"/>
  <c r="J745" i="29"/>
  <c r="K745" i="29"/>
  <c r="J980" i="29"/>
  <c r="K980" i="29"/>
  <c r="U2611" i="29"/>
  <c r="W2373" i="29"/>
  <c r="J2373" i="29"/>
  <c r="K2373" i="29"/>
  <c r="J3370" i="29"/>
  <c r="K3370" i="29"/>
  <c r="W4440" i="29"/>
  <c r="U4440" i="29"/>
  <c r="J1996" i="29"/>
  <c r="K5704" i="29"/>
  <c r="U5704" i="29"/>
  <c r="J5202" i="29"/>
  <c r="K5202" i="29"/>
  <c r="W5202" i="29"/>
  <c r="J416" i="29"/>
  <c r="W4167" i="29"/>
  <c r="U4167" i="29"/>
  <c r="J4390" i="29"/>
  <c r="K4390" i="29"/>
  <c r="U7159" i="29"/>
  <c r="J1484" i="29"/>
  <c r="K6987" i="29"/>
  <c r="W5020" i="29"/>
  <c r="U5020" i="29"/>
  <c r="K4020" i="29"/>
  <c r="J4179" i="29"/>
  <c r="K5383" i="29"/>
  <c r="U5383" i="29"/>
  <c r="J31" i="29"/>
  <c r="U31" i="29"/>
  <c r="J255" i="29"/>
  <c r="U255" i="29"/>
  <c r="K3784" i="29"/>
  <c r="W3650" i="29"/>
  <c r="J3650" i="29"/>
  <c r="K2763" i="29"/>
  <c r="U5341" i="29"/>
  <c r="K5341" i="29"/>
  <c r="U2270" i="29"/>
  <c r="K2270" i="29"/>
  <c r="U1443" i="29"/>
  <c r="K1443" i="29"/>
  <c r="K6655" i="29"/>
  <c r="K1051" i="29"/>
  <c r="U1051" i="29"/>
  <c r="U5775" i="29"/>
  <c r="K5775" i="29"/>
  <c r="U5934" i="29"/>
  <c r="K5934" i="29"/>
  <c r="U6377" i="29"/>
  <c r="K6377" i="29"/>
  <c r="J4070" i="29"/>
  <c r="W4070" i="29"/>
  <c r="W2741" i="29"/>
  <c r="J2741" i="29"/>
  <c r="J1241" i="29"/>
  <c r="W1241" i="29"/>
  <c r="K1986" i="29"/>
  <c r="K3192" i="29"/>
  <c r="K4603" i="29"/>
  <c r="U4859" i="29"/>
  <c r="K4859" i="29"/>
  <c r="J4069" i="29"/>
  <c r="W4069" i="29"/>
  <c r="U1986" i="29"/>
  <c r="U7978" i="29"/>
  <c r="K7978" i="29"/>
  <c r="U2203" i="29"/>
  <c r="K2203" i="29"/>
  <c r="K5366" i="29"/>
  <c r="K4606" i="29"/>
  <c r="K1178" i="29"/>
  <c r="U3921" i="29"/>
  <c r="K3921" i="29"/>
  <c r="U3243" i="29"/>
  <c r="K3243" i="29"/>
  <c r="K6228" i="29"/>
  <c r="K3340" i="29"/>
  <c r="U3574" i="29"/>
  <c r="J5110" i="29"/>
  <c r="W5110" i="29"/>
  <c r="K5130" i="29"/>
  <c r="K6489" i="29"/>
  <c r="U6489" i="29"/>
  <c r="K3887" i="29"/>
  <c r="W3122" i="29"/>
  <c r="J3122" i="29"/>
  <c r="K1978" i="29"/>
  <c r="K5618" i="29"/>
  <c r="K3575" i="29"/>
  <c r="K7859" i="29"/>
  <c r="U3571" i="29"/>
  <c r="K3571" i="29"/>
  <c r="U6386" i="29"/>
  <c r="K6386" i="29"/>
  <c r="J3959" i="29"/>
  <c r="K3959" i="29"/>
  <c r="K5877" i="29"/>
  <c r="K3974" i="29"/>
  <c r="J3816" i="29"/>
  <c r="K3816" i="29"/>
  <c r="W3816" i="29"/>
  <c r="K5806" i="29"/>
  <c r="U4855" i="29"/>
  <c r="K4855" i="29"/>
  <c r="U1039" i="29"/>
  <c r="K1039" i="29"/>
  <c r="K3052" i="29"/>
  <c r="K5307" i="29"/>
  <c r="U5307" i="29"/>
  <c r="U4726" i="29"/>
  <c r="J5326" i="29"/>
  <c r="K5326" i="29"/>
  <c r="W5326" i="29"/>
  <c r="K5674" i="29"/>
  <c r="J4710" i="29"/>
  <c r="W4710" i="29"/>
  <c r="K4956" i="29"/>
  <c r="U4956" i="29"/>
  <c r="K2055" i="29"/>
  <c r="U2055" i="29"/>
  <c r="K4900" i="29"/>
  <c r="U4900" i="29"/>
  <c r="K5237" i="29"/>
  <c r="J959" i="29"/>
  <c r="K959" i="29"/>
  <c r="W959" i="29"/>
  <c r="W5765" i="29"/>
  <c r="J5765" i="29"/>
  <c r="K5272" i="29"/>
  <c r="K6105" i="29"/>
  <c r="K3391" i="29"/>
  <c r="U3391" i="29"/>
  <c r="J1118" i="29"/>
  <c r="U2899" i="29"/>
  <c r="U2726" i="29"/>
  <c r="U3274" i="29"/>
  <c r="W4164" i="29"/>
  <c r="J4164" i="29"/>
  <c r="K4164" i="29"/>
  <c r="J3061" i="29"/>
  <c r="W3061" i="29"/>
  <c r="K5156" i="29"/>
  <c r="U5156" i="29"/>
  <c r="J2025" i="29"/>
  <c r="U2025" i="29"/>
  <c r="W6257" i="29"/>
  <c r="U6257" i="29"/>
  <c r="U3945" i="29"/>
  <c r="K3945" i="29"/>
  <c r="K2967" i="29"/>
  <c r="K3443" i="29"/>
  <c r="U3443" i="29"/>
  <c r="J945" i="29"/>
  <c r="K945" i="29"/>
  <c r="J1372" i="29"/>
  <c r="K1372" i="29"/>
  <c r="J904" i="29"/>
  <c r="U904" i="29"/>
  <c r="J2202" i="29"/>
  <c r="U2202" i="29"/>
  <c r="U1524" i="29"/>
  <c r="K1524" i="29"/>
  <c r="W6592" i="29"/>
  <c r="J6592" i="29"/>
  <c r="K6592" i="29"/>
  <c r="K7920" i="29"/>
  <c r="U7920" i="29"/>
  <c r="W3462" i="29"/>
  <c r="J3462" i="29"/>
  <c r="K3462" i="29"/>
  <c r="K6813" i="29"/>
  <c r="K7924" i="29"/>
  <c r="J1027" i="29"/>
  <c r="U1027" i="29"/>
  <c r="J2843" i="29"/>
  <c r="K2843" i="29"/>
  <c r="K6511" i="29"/>
  <c r="K1810" i="29"/>
  <c r="U1810" i="29"/>
  <c r="K5754" i="29"/>
  <c r="U1452" i="29"/>
  <c r="W3987" i="29"/>
  <c r="U3987" i="29"/>
  <c r="K732" i="29"/>
  <c r="J886" i="29"/>
  <c r="J2213" i="29"/>
  <c r="W5409" i="29"/>
  <c r="J5409" i="29"/>
  <c r="K5409" i="29"/>
  <c r="U4078" i="29"/>
  <c r="J4148" i="29"/>
  <c r="W4546" i="29"/>
  <c r="U4546" i="29"/>
  <c r="U1020" i="29"/>
  <c r="W1262" i="29"/>
  <c r="U1262" i="29"/>
  <c r="U3813" i="29"/>
  <c r="K3813" i="29"/>
  <c r="K6701" i="29"/>
  <c r="W338" i="29"/>
  <c r="J338" i="29"/>
  <c r="K6177" i="29"/>
  <c r="J1388" i="29"/>
  <c r="W1388" i="29"/>
  <c r="K4241" i="29"/>
  <c r="U4241" i="29"/>
  <c r="W2606" i="29"/>
  <c r="J2606" i="29"/>
  <c r="K2606" i="29"/>
  <c r="U1899" i="29"/>
  <c r="K3563" i="29"/>
  <c r="K1709" i="29"/>
  <c r="K693" i="29"/>
  <c r="K3484" i="29"/>
  <c r="K6171" i="29"/>
  <c r="K2833" i="29"/>
  <c r="W1614" i="29"/>
  <c r="J1614" i="29"/>
  <c r="K3616" i="29"/>
  <c r="K6063" i="29"/>
  <c r="U6063" i="29"/>
  <c r="U2919" i="29"/>
  <c r="W3911" i="29"/>
  <c r="J3911" i="29"/>
  <c r="J3557" i="29"/>
  <c r="W3557" i="29"/>
  <c r="J5529" i="29"/>
  <c r="W5529" i="29"/>
  <c r="K6107" i="29"/>
  <c r="U7746" i="29"/>
  <c r="U7189" i="29"/>
  <c r="W693" i="29"/>
  <c r="U693" i="29"/>
  <c r="U2883" i="29"/>
  <c r="U2352" i="29"/>
  <c r="K2352" i="29"/>
  <c r="K7989" i="29"/>
  <c r="U4438" i="29"/>
  <c r="K4438" i="29"/>
  <c r="W754" i="29"/>
  <c r="J754" i="29"/>
  <c r="U4441" i="29"/>
  <c r="K4441" i="29"/>
  <c r="K3972" i="29"/>
  <c r="U5548" i="29"/>
  <c r="K4081" i="29"/>
  <c r="W3300" i="29"/>
  <c r="J3300" i="29"/>
  <c r="K5095" i="29"/>
  <c r="U3436" i="29"/>
  <c r="U3445" i="29"/>
  <c r="K3445" i="29"/>
  <c r="U258" i="29"/>
  <c r="K106" i="29"/>
  <c r="U106" i="29"/>
  <c r="K3353" i="29"/>
  <c r="U4341" i="29"/>
  <c r="K4341" i="29"/>
  <c r="U1901" i="29"/>
  <c r="K1901" i="29"/>
  <c r="U4556" i="29"/>
  <c r="K4556" i="29"/>
  <c r="U3953" i="29"/>
  <c r="U7152" i="29"/>
  <c r="K7152" i="29"/>
  <c r="U3028" i="29"/>
  <c r="U2292" i="29"/>
  <c r="K2292" i="29"/>
  <c r="U4981" i="29"/>
  <c r="K4981" i="29"/>
  <c r="J3303" i="29"/>
  <c r="K3303" i="29"/>
  <c r="W3303" i="29"/>
  <c r="K4790" i="29"/>
  <c r="U4790" i="29"/>
  <c r="U4183" i="29"/>
  <c r="K4183" i="29"/>
  <c r="K5315" i="29"/>
  <c r="U5315" i="29"/>
  <c r="W814" i="29"/>
  <c r="J814" i="29"/>
  <c r="K6172" i="29"/>
  <c r="K6496" i="29"/>
  <c r="K3569" i="29"/>
  <c r="K1616" i="29"/>
  <c r="K3690" i="29"/>
  <c r="U4973" i="29"/>
  <c r="K4973" i="29"/>
  <c r="W6579" i="29"/>
  <c r="U6579" i="29"/>
  <c r="U7034" i="29"/>
  <c r="J5037" i="29"/>
  <c r="K5037" i="29"/>
  <c r="U3321" i="29"/>
  <c r="J1556" i="29"/>
  <c r="K1556" i="29"/>
  <c r="K3953" i="29"/>
  <c r="K3183" i="29"/>
  <c r="U3085" i="29"/>
  <c r="U3815" i="29"/>
  <c r="K2807" i="29"/>
  <c r="K4378" i="29"/>
  <c r="K2683" i="29"/>
  <c r="J3220" i="29"/>
  <c r="K3220" i="29"/>
  <c r="W3220" i="29"/>
  <c r="W5894" i="29"/>
  <c r="J5894" i="29"/>
  <c r="K5894" i="29"/>
  <c r="K6027" i="29"/>
  <c r="K1873" i="29"/>
  <c r="U1445" i="29"/>
  <c r="K1445" i="29"/>
  <c r="K5213" i="29"/>
  <c r="K4295" i="29"/>
  <c r="U4295" i="29"/>
  <c r="W1030" i="29"/>
  <c r="J1030" i="29"/>
  <c r="K1030" i="29"/>
  <c r="K7778" i="29"/>
  <c r="U7778" i="29"/>
  <c r="U5103" i="29"/>
  <c r="K5103" i="29"/>
  <c r="U2036" i="29"/>
  <c r="U4553" i="29"/>
  <c r="U4619" i="29"/>
  <c r="K4619" i="29"/>
  <c r="U3779" i="29"/>
  <c r="K3779" i="29"/>
  <c r="U5231" i="29"/>
  <c r="K5231" i="29"/>
  <c r="U3265" i="29"/>
  <c r="K3265" i="29"/>
  <c r="K2557" i="29"/>
  <c r="K5560" i="29"/>
  <c r="U3421" i="29"/>
  <c r="K3421" i="29"/>
  <c r="U4967" i="29"/>
  <c r="K4967" i="29"/>
  <c r="K3956" i="29"/>
  <c r="W4673" i="29"/>
  <c r="J4673" i="29"/>
  <c r="K6287" i="29"/>
  <c r="W3878" i="29"/>
  <c r="U3878" i="29"/>
  <c r="K4252" i="29"/>
  <c r="U4252" i="29"/>
  <c r="K5352" i="29"/>
  <c r="J2643" i="29"/>
  <c r="K2643" i="29"/>
  <c r="W2643" i="29"/>
  <c r="U1543" i="29"/>
  <c r="K1543" i="29"/>
  <c r="J2369" i="29"/>
  <c r="U2369" i="29"/>
  <c r="J1982" i="29"/>
  <c r="U1982" i="29"/>
  <c r="J3059" i="29"/>
  <c r="K3059" i="29"/>
  <c r="J2613" i="29"/>
  <c r="U2613" i="29"/>
  <c r="J3582" i="29"/>
  <c r="J1497" i="29"/>
  <c r="J3318" i="29"/>
  <c r="K3318" i="29"/>
  <c r="J1086" i="29"/>
  <c r="J3152" i="29"/>
  <c r="U3152" i="29"/>
  <c r="J248" i="29"/>
  <c r="J56" i="29"/>
  <c r="K56" i="29"/>
  <c r="J2468" i="29"/>
  <c r="J2875" i="29"/>
  <c r="U2875" i="29"/>
  <c r="J375" i="29"/>
  <c r="U375" i="29"/>
  <c r="J320" i="29"/>
  <c r="J2859" i="29"/>
  <c r="U2859" i="29"/>
  <c r="J2928" i="29"/>
  <c r="K2652" i="29"/>
  <c r="J3683" i="29"/>
  <c r="K3683" i="29"/>
  <c r="W3683" i="29"/>
  <c r="W1971" i="29"/>
  <c r="J1971" i="29"/>
  <c r="U3602" i="29"/>
  <c r="K3602" i="29"/>
  <c r="J2279" i="29"/>
  <c r="J2205" i="29"/>
  <c r="U2205" i="29"/>
  <c r="J2976" i="29"/>
  <c r="K2976" i="29"/>
  <c r="J2126" i="29"/>
  <c r="K2126" i="29"/>
  <c r="K1670" i="29"/>
  <c r="K6483" i="29"/>
  <c r="K2059" i="29"/>
  <c r="K3851" i="29"/>
  <c r="K2785" i="29"/>
  <c r="W2164" i="29"/>
  <c r="J2164" i="29"/>
  <c r="K2164" i="29"/>
  <c r="U5726" i="29"/>
  <c r="U5995" i="29"/>
  <c r="K5995" i="29"/>
  <c r="K5672" i="29"/>
  <c r="K5607" i="29"/>
  <c r="K5945" i="29"/>
  <c r="K6114" i="29"/>
  <c r="K4497" i="29"/>
  <c r="K4230" i="29"/>
  <c r="U147" i="29"/>
  <c r="K147" i="29"/>
  <c r="K2587" i="29"/>
  <c r="K3116" i="29"/>
  <c r="U5976" i="29"/>
  <c r="K5976" i="29"/>
  <c r="K109" i="29"/>
  <c r="U109" i="29"/>
  <c r="U5972" i="29"/>
  <c r="K5459" i="29"/>
  <c r="U5459" i="29"/>
  <c r="K2675" i="29"/>
  <c r="U5303" i="29"/>
  <c r="K5303" i="29"/>
  <c r="K3814" i="29"/>
  <c r="U4298" i="29"/>
  <c r="J4676" i="29"/>
  <c r="K4676" i="29"/>
  <c r="U3583" i="29"/>
  <c r="K5992" i="29"/>
  <c r="K2630" i="29"/>
  <c r="J1326" i="29"/>
  <c r="J2111" i="29"/>
  <c r="J1084" i="29"/>
  <c r="U1084" i="29"/>
  <c r="J913" i="29"/>
  <c r="K913" i="29"/>
  <c r="J2398" i="29"/>
  <c r="J727" i="29"/>
  <c r="U727" i="29"/>
  <c r="J2616" i="29"/>
  <c r="K2616" i="29"/>
  <c r="J1256" i="29"/>
  <c r="K2815" i="29"/>
  <c r="K6502" i="29"/>
  <c r="K5509" i="29"/>
  <c r="K5748" i="29"/>
  <c r="W3656" i="29"/>
  <c r="J3656" i="29"/>
  <c r="U3663" i="29"/>
  <c r="J67" i="29"/>
  <c r="J323" i="29"/>
  <c r="K323" i="29"/>
  <c r="K1321" i="29"/>
  <c r="K6431" i="29"/>
  <c r="J5395" i="29"/>
  <c r="W5395" i="29"/>
  <c r="K6244" i="29"/>
  <c r="J4754" i="29"/>
  <c r="W4754" i="29"/>
  <c r="U1691" i="29"/>
  <c r="K1691" i="29"/>
  <c r="J1375" i="29"/>
  <c r="J2610" i="29"/>
  <c r="J773" i="29"/>
  <c r="K773" i="29"/>
  <c r="J1785" i="29"/>
  <c r="U1785" i="29"/>
  <c r="J14" i="29"/>
  <c r="J1719" i="29"/>
  <c r="J1998" i="29"/>
  <c r="J527" i="29"/>
  <c r="U527" i="29"/>
  <c r="J2060" i="29"/>
  <c r="K2060" i="29"/>
  <c r="J115" i="29"/>
  <c r="U115" i="29"/>
  <c r="J1913" i="29"/>
  <c r="U1913" i="29"/>
  <c r="J2680" i="29"/>
  <c r="K2680" i="29"/>
  <c r="J2305" i="29"/>
  <c r="J1291" i="29"/>
  <c r="K1291" i="29"/>
  <c r="J1685" i="29"/>
  <c r="J1344" i="29"/>
  <c r="J2068" i="29"/>
  <c r="K2068" i="29"/>
  <c r="J2400" i="29"/>
  <c r="K2400" i="29"/>
  <c r="J2374" i="29"/>
  <c r="U2374" i="29"/>
  <c r="J3405" i="29"/>
  <c r="U3405" i="29"/>
  <c r="J2547" i="29"/>
  <c r="J3133" i="29"/>
  <c r="J1706" i="29"/>
  <c r="J392" i="29"/>
  <c r="U392" i="29"/>
  <c r="K5492" i="29"/>
  <c r="J3902" i="29"/>
  <c r="K3902" i="29"/>
  <c r="W3902" i="29"/>
  <c r="K859" i="29"/>
  <c r="U859" i="29"/>
  <c r="U6379" i="29"/>
  <c r="K6379" i="29"/>
  <c r="J5209" i="29"/>
  <c r="J1221" i="29"/>
  <c r="U2277" i="29"/>
  <c r="K2277" i="29"/>
  <c r="U3288" i="29"/>
  <c r="J325" i="29"/>
  <c r="U325" i="29"/>
  <c r="J1917" i="29"/>
  <c r="K1917" i="29"/>
  <c r="J1463" i="29"/>
  <c r="J1154" i="29"/>
  <c r="K5952" i="29"/>
  <c r="K5368" i="29"/>
  <c r="K3565" i="29"/>
  <c r="K2136" i="29"/>
  <c r="K5219" i="29"/>
  <c r="K5252" i="29"/>
  <c r="W3986" i="29"/>
  <c r="J3986" i="29"/>
  <c r="W5106" i="29"/>
  <c r="J5106" i="29"/>
  <c r="K5106" i="29"/>
  <c r="J4579" i="29"/>
  <c r="K4579" i="29"/>
  <c r="W4579" i="29"/>
  <c r="U5546" i="29"/>
  <c r="K5546" i="29"/>
  <c r="K5603" i="29"/>
  <c r="U1089" i="29"/>
  <c r="K5622" i="29"/>
  <c r="U5314" i="29"/>
  <c r="K5314" i="29"/>
  <c r="J4732" i="29"/>
  <c r="W4732" i="29"/>
  <c r="U411" i="29"/>
  <c r="K411" i="29"/>
  <c r="U5193" i="29"/>
  <c r="K4259" i="29"/>
  <c r="K7861" i="29"/>
  <c r="K2285" i="29"/>
  <c r="U819" i="29"/>
  <c r="U3884" i="29"/>
  <c r="K3884" i="29"/>
  <c r="K5438" i="29"/>
  <c r="K3701" i="29"/>
  <c r="U1760" i="29"/>
  <c r="K1760" i="29"/>
  <c r="K3309" i="29"/>
  <c r="K2707" i="29"/>
  <c r="K6087" i="29"/>
  <c r="W581" i="29"/>
  <c r="J581" i="29"/>
  <c r="W934" i="29"/>
  <c r="J934" i="29"/>
  <c r="J4881" i="29"/>
  <c r="W4881" i="29"/>
  <c r="J5274" i="29"/>
  <c r="K5274" i="29"/>
  <c r="W5274" i="29"/>
  <c r="W2162" i="29"/>
  <c r="J2162" i="29"/>
  <c r="K2162" i="29"/>
  <c r="U3343" i="29"/>
  <c r="K5453" i="29"/>
  <c r="K3587" i="29"/>
  <c r="U244" i="29"/>
  <c r="U2360" i="29"/>
  <c r="W5438" i="29"/>
  <c r="U5438" i="29"/>
  <c r="K2766" i="29"/>
  <c r="U3881" i="29"/>
  <c r="K3881" i="29"/>
  <c r="K6194" i="29"/>
  <c r="J26" i="29"/>
  <c r="J114" i="29"/>
  <c r="K114" i="29"/>
  <c r="U2916" i="29"/>
  <c r="K15" i="29"/>
  <c r="K2844" i="29"/>
  <c r="K2747" i="29"/>
  <c r="K1739" i="29"/>
  <c r="K1881" i="29"/>
  <c r="U1595" i="29"/>
  <c r="K3045" i="29"/>
  <c r="K244" i="29"/>
  <c r="U3601" i="29"/>
  <c r="K3601" i="29"/>
  <c r="K6195" i="29"/>
  <c r="K5816" i="29"/>
  <c r="K155" i="29"/>
  <c r="U155" i="29"/>
  <c r="U3413" i="29"/>
  <c r="J3971" i="29"/>
  <c r="W3971" i="29"/>
  <c r="K4134" i="29"/>
  <c r="K5721" i="29"/>
  <c r="U6304" i="29"/>
  <c r="K6304" i="29"/>
  <c r="K5780" i="29"/>
  <c r="K6470" i="29"/>
  <c r="K4280" i="29"/>
  <c r="K5490" i="29"/>
  <c r="K5454" i="29"/>
  <c r="K3325" i="29"/>
  <c r="K6417" i="29"/>
  <c r="K5820" i="29"/>
  <c r="U780" i="29"/>
  <c r="U337" i="29"/>
  <c r="K5990" i="29"/>
  <c r="U3127" i="29"/>
  <c r="K3010" i="29"/>
  <c r="K2713" i="29"/>
  <c r="K3044" i="29"/>
  <c r="K1294" i="29"/>
  <c r="U839" i="29"/>
  <c r="K5499" i="29"/>
  <c r="K1615" i="29"/>
  <c r="J5525" i="29"/>
  <c r="W5525" i="29"/>
  <c r="W5572" i="29"/>
  <c r="J5572" i="29"/>
  <c r="K1555" i="29"/>
  <c r="K5148" i="29"/>
  <c r="K5655" i="29"/>
  <c r="U1771" i="29"/>
  <c r="K3517" i="29"/>
  <c r="K4866" i="29"/>
  <c r="K4891" i="29"/>
  <c r="U947" i="29"/>
  <c r="K3110" i="29"/>
  <c r="K4897" i="29"/>
  <c r="K6222" i="29"/>
  <c r="K5783" i="29"/>
  <c r="U43" i="29"/>
  <c r="K43" i="29"/>
  <c r="U5242" i="29"/>
  <c r="K5242" i="29"/>
  <c r="U5838" i="29"/>
  <c r="K5838" i="29"/>
  <c r="U4017" i="29"/>
  <c r="K4017" i="29"/>
  <c r="K4102" i="29"/>
  <c r="U4102" i="29"/>
  <c r="K4124" i="29"/>
  <c r="U4124" i="29"/>
  <c r="U5608" i="29"/>
  <c r="K5608" i="29"/>
  <c r="K3689" i="29"/>
  <c r="U3689" i="29"/>
  <c r="K5757" i="29"/>
  <c r="U5757" i="29"/>
  <c r="U3444" i="29"/>
  <c r="K3444" i="29"/>
  <c r="U6476" i="29"/>
  <c r="K6476" i="29"/>
  <c r="U5174" i="29"/>
  <c r="K5174" i="29"/>
  <c r="U5968" i="29"/>
  <c r="K5968" i="29"/>
  <c r="K5827" i="29"/>
  <c r="U5827" i="29"/>
  <c r="U5703" i="29"/>
  <c r="K5703" i="29"/>
  <c r="J1282" i="29"/>
  <c r="W1282" i="29"/>
  <c r="K1441" i="29"/>
  <c r="U1441" i="29"/>
  <c r="U5718" i="29"/>
  <c r="K5718" i="29"/>
  <c r="U2387" i="29"/>
  <c r="K2387" i="29"/>
  <c r="K4919" i="29"/>
  <c r="U4919" i="29"/>
  <c r="U3888" i="29"/>
  <c r="K3888" i="29"/>
  <c r="U3840" i="29"/>
  <c r="K3840" i="29"/>
  <c r="J1715" i="29"/>
  <c r="W1715" i="29"/>
  <c r="U1804" i="29"/>
  <c r="K1804" i="29"/>
  <c r="U3938" i="29"/>
  <c r="K3938" i="29"/>
  <c r="K3578" i="29"/>
  <c r="U3578" i="29"/>
  <c r="U1631" i="29"/>
  <c r="K1631" i="29"/>
  <c r="W2217" i="29"/>
  <c r="J2217" i="29"/>
  <c r="K3486" i="29"/>
  <c r="K3808" i="29"/>
  <c r="U3808" i="29"/>
  <c r="K5177" i="29"/>
  <c r="W5392" i="29"/>
  <c r="J5392" i="29"/>
  <c r="W1400" i="29"/>
  <c r="J1400" i="29"/>
  <c r="U3281" i="29"/>
  <c r="K3281" i="29"/>
  <c r="J5376" i="29"/>
  <c r="W5376" i="29"/>
  <c r="K5711" i="29"/>
  <c r="U5711" i="29"/>
  <c r="J5575" i="29"/>
  <c r="K5575" i="29"/>
  <c r="W5575" i="29"/>
  <c r="K3334" i="29"/>
  <c r="U3334" i="29"/>
  <c r="U3623" i="29"/>
  <c r="K3623" i="29"/>
  <c r="U4301" i="29"/>
  <c r="K4301" i="29"/>
  <c r="J1955" i="29"/>
  <c r="W1955" i="29"/>
  <c r="K3359" i="29"/>
  <c r="U3359" i="29"/>
  <c r="K4406" i="29"/>
  <c r="U4406" i="29"/>
  <c r="J3218" i="29"/>
  <c r="W3218" i="29"/>
  <c r="J5440" i="29"/>
  <c r="W5440" i="29"/>
  <c r="W1334" i="29"/>
  <c r="J1334" i="29"/>
  <c r="W3129" i="29"/>
  <c r="J3129" i="29"/>
  <c r="K3777" i="29"/>
  <c r="U3777" i="29"/>
  <c r="K5048" i="29"/>
  <c r="U5048" i="29"/>
  <c r="U5186" i="29"/>
  <c r="K5186" i="29"/>
  <c r="J5091" i="29"/>
  <c r="K5091" i="29"/>
  <c r="W5091" i="29"/>
  <c r="J5562" i="29"/>
  <c r="W5562" i="29"/>
  <c r="U4036" i="29"/>
  <c r="K4036" i="29"/>
  <c r="U3322" i="29"/>
  <c r="K3322" i="29"/>
  <c r="K2839" i="29"/>
  <c r="U2839" i="29"/>
  <c r="K1414" i="29"/>
  <c r="U1414" i="29"/>
  <c r="K1991" i="29"/>
  <c r="U1991" i="29"/>
  <c r="J3734" i="29"/>
  <c r="W3734" i="29"/>
  <c r="U5294" i="29"/>
  <c r="K5294" i="29"/>
  <c r="K5846" i="29"/>
  <c r="U5846" i="29"/>
  <c r="K5436" i="29"/>
  <c r="U5436" i="29"/>
  <c r="U5547" i="29"/>
  <c r="K5547" i="29"/>
  <c r="K1825" i="29"/>
  <c r="U1825" i="29"/>
  <c r="U6485" i="29"/>
  <c r="K6485" i="29"/>
  <c r="K1589" i="29"/>
  <c r="U1589" i="29"/>
  <c r="K1125" i="29"/>
  <c r="U1125" i="29"/>
  <c r="W1323" i="29"/>
  <c r="J1323" i="29"/>
  <c r="K5244" i="29"/>
  <c r="U5244" i="29"/>
  <c r="K5832" i="29"/>
  <c r="U5832" i="29"/>
  <c r="U1152" i="29"/>
  <c r="K1152" i="29"/>
  <c r="W5897" i="29"/>
  <c r="J5897" i="29"/>
  <c r="K5897" i="29"/>
  <c r="U5552" i="29"/>
  <c r="K5552" i="29"/>
  <c r="W5408" i="29"/>
  <c r="J5408" i="29"/>
  <c r="J5414" i="29"/>
  <c r="K5414" i="29"/>
  <c r="W5414" i="29"/>
  <c r="K5527" i="29"/>
  <c r="J1817" i="29"/>
  <c r="W1817" i="29"/>
  <c r="U1938" i="29"/>
  <c r="K1938" i="29"/>
  <c r="W5517" i="29"/>
  <c r="J5517" i="29"/>
  <c r="J5410" i="29"/>
  <c r="K5410" i="29"/>
  <c r="W5410" i="29"/>
  <c r="U5215" i="29"/>
  <c r="K5215" i="29"/>
  <c r="W1564" i="29"/>
  <c r="J1564" i="29"/>
  <c r="U5689" i="29"/>
  <c r="K5689" i="29"/>
  <c r="U5461" i="29"/>
  <c r="K5461" i="29"/>
  <c r="J5378" i="29"/>
  <c r="W5378" i="29"/>
  <c r="W5776" i="29"/>
  <c r="J5776" i="29"/>
  <c r="U5505" i="29"/>
  <c r="K5505" i="29"/>
  <c r="K5243" i="29"/>
  <c r="U5243" i="29"/>
  <c r="U5834" i="29"/>
  <c r="K5834" i="29"/>
  <c r="W3047" i="29"/>
  <c r="J3047" i="29"/>
  <c r="K3015" i="29"/>
  <c r="U3015" i="29"/>
  <c r="W3375" i="29"/>
  <c r="J3375" i="29"/>
  <c r="K1951" i="29"/>
  <c r="U1951" i="29"/>
  <c r="W3372" i="29"/>
  <c r="J3372" i="29"/>
  <c r="J5031" i="29"/>
  <c r="W5031" i="29"/>
  <c r="J5365" i="29"/>
  <c r="W5365" i="29"/>
  <c r="W858" i="29"/>
  <c r="J858" i="29"/>
  <c r="J2705" i="29"/>
  <c r="W2705" i="29"/>
  <c r="J3101" i="29"/>
  <c r="W3101" i="29"/>
  <c r="K1349" i="29"/>
  <c r="U1349" i="29"/>
  <c r="J5520" i="29"/>
  <c r="K5520" i="29"/>
  <c r="W5520" i="29"/>
  <c r="W5239" i="29"/>
  <c r="J5239" i="29"/>
  <c r="K5709" i="29"/>
  <c r="U5709" i="29"/>
  <c r="J3031" i="29"/>
  <c r="W3031" i="29"/>
  <c r="K3034" i="29"/>
  <c r="U3034" i="29"/>
  <c r="J2911" i="29"/>
  <c r="W2911" i="29"/>
  <c r="W4489" i="29"/>
  <c r="J4489" i="29"/>
  <c r="U5772" i="29"/>
  <c r="K5772" i="29"/>
  <c r="J2172" i="29"/>
  <c r="W2172" i="29"/>
  <c r="W2166" i="29"/>
  <c r="J2166" i="29"/>
  <c r="U3013" i="29"/>
  <c r="K3013" i="29"/>
  <c r="J3090" i="29"/>
  <c r="K3090" i="29"/>
  <c r="W3090" i="29"/>
  <c r="J2082" i="29"/>
  <c r="K2082" i="29"/>
  <c r="W2082" i="29"/>
  <c r="W1594" i="29"/>
  <c r="J1594" i="29"/>
  <c r="K1594" i="29"/>
  <c r="K3289" i="29"/>
  <c r="U3289" i="29"/>
  <c r="W3355" i="29"/>
  <c r="J3355" i="29"/>
  <c r="J3373" i="29"/>
  <c r="W3373" i="29"/>
  <c r="K3497" i="29"/>
  <c r="U3497" i="29"/>
  <c r="K1842" i="29"/>
  <c r="U1842" i="29"/>
  <c r="W778" i="29"/>
  <c r="J778" i="29"/>
  <c r="W2266" i="29"/>
  <c r="J2266" i="29"/>
  <c r="U6307" i="29"/>
  <c r="K6307" i="29"/>
  <c r="W1774" i="29"/>
  <c r="J1774" i="29"/>
  <c r="U6115" i="29"/>
  <c r="K6115" i="29"/>
  <c r="U6488" i="29"/>
  <c r="K6488" i="29"/>
  <c r="K6469" i="29"/>
  <c r="U6469" i="29"/>
  <c r="W984" i="29"/>
  <c r="J984" i="29"/>
  <c r="W1226" i="29"/>
  <c r="J1226" i="29"/>
  <c r="K5488" i="29"/>
  <c r="U5488" i="29"/>
  <c r="U5512" i="29"/>
  <c r="K5512" i="29"/>
  <c r="K5007" i="29"/>
  <c r="U5007" i="29"/>
  <c r="K2920" i="29"/>
  <c r="U2920" i="29"/>
  <c r="U5967" i="29"/>
  <c r="K5967" i="29"/>
  <c r="U1457" i="29"/>
  <c r="K1457" i="29"/>
  <c r="U4294" i="29"/>
  <c r="K4294" i="29"/>
  <c r="U1461" i="29"/>
  <c r="K1461" i="29"/>
  <c r="K5308" i="29"/>
  <c r="U5308" i="29"/>
  <c r="U1488" i="29"/>
  <c r="K1488" i="29"/>
  <c r="K5240" i="29"/>
  <c r="U5240" i="29"/>
  <c r="U5921" i="29"/>
  <c r="K5921" i="29"/>
  <c r="J5367" i="29"/>
  <c r="W5367" i="29"/>
  <c r="W312" i="29"/>
  <c r="J312" i="29"/>
  <c r="J4939" i="29"/>
  <c r="W4939" i="29"/>
  <c r="U4862" i="29"/>
  <c r="K4862" i="29"/>
  <c r="U1621" i="29"/>
  <c r="K1621" i="29"/>
  <c r="K5708" i="29"/>
  <c r="U5708" i="29"/>
  <c r="U4349" i="29"/>
  <c r="K4349" i="29"/>
  <c r="W5179" i="29"/>
  <c r="J5179" i="29"/>
  <c r="U5712" i="29"/>
  <c r="K5712" i="29"/>
  <c r="K1498" i="29"/>
  <c r="U1498" i="29"/>
  <c r="U2067" i="29"/>
  <c r="K2067" i="29"/>
  <c r="U5434" i="29"/>
  <c r="K5434" i="29"/>
  <c r="J5363" i="29"/>
  <c r="W5363" i="29"/>
  <c r="K5304" i="29"/>
  <c r="U5304" i="29"/>
  <c r="W5276" i="29"/>
  <c r="J5276" i="29"/>
  <c r="J5273" i="29"/>
  <c r="W5273" i="29"/>
  <c r="K5715" i="29"/>
  <c r="U5715" i="29"/>
  <c r="U4267" i="29"/>
  <c r="K4267" i="29"/>
  <c r="W1337" i="29"/>
  <c r="J1337" i="29"/>
  <c r="U3761" i="29"/>
  <c r="K3761" i="29"/>
  <c r="U6492" i="29"/>
  <c r="K6492" i="29"/>
  <c r="W3138" i="29"/>
  <c r="J3138" i="29"/>
  <c r="U3709" i="29"/>
  <c r="K3709" i="29"/>
  <c r="J3163" i="29"/>
  <c r="K3163" i="29"/>
  <c r="W3163" i="29"/>
  <c r="U3720" i="29"/>
  <c r="K3720" i="29"/>
  <c r="J5199" i="29"/>
  <c r="W5199" i="29"/>
  <c r="W4935" i="29"/>
  <c r="J4935" i="29"/>
  <c r="J3817" i="29"/>
  <c r="W3817" i="29"/>
  <c r="K3855" i="29"/>
  <c r="U3855" i="29"/>
  <c r="J3910" i="29"/>
  <c r="W3910" i="29"/>
  <c r="W3634" i="29"/>
  <c r="J3634" i="29"/>
  <c r="W2263" i="29"/>
  <c r="J2263" i="29"/>
  <c r="J5983" i="29"/>
  <c r="W5983" i="29"/>
  <c r="W681" i="29"/>
  <c r="J681" i="29"/>
  <c r="J2796" i="29"/>
  <c r="W2796" i="29"/>
  <c r="W2840" i="29"/>
  <c r="J2840" i="29"/>
  <c r="W3744" i="29"/>
  <c r="J3744" i="29"/>
  <c r="J5180" i="29"/>
  <c r="W5180" i="29"/>
  <c r="U4644" i="29"/>
  <c r="K4644" i="29"/>
  <c r="J4745" i="29"/>
  <c r="K4745" i="29"/>
  <c r="W4745" i="29"/>
  <c r="W5040" i="29"/>
  <c r="J5040" i="29"/>
  <c r="J3883" i="29"/>
  <c r="W3883" i="29"/>
  <c r="W2049" i="29"/>
  <c r="J2049" i="29"/>
  <c r="K2957" i="29"/>
  <c r="U2882" i="29"/>
  <c r="K2882" i="29"/>
  <c r="U5145" i="29"/>
  <c r="K5145" i="29"/>
  <c r="K2297" i="29"/>
  <c r="U2297" i="29"/>
  <c r="W1644" i="29"/>
  <c r="J1644" i="29"/>
  <c r="K1644" i="29"/>
  <c r="U5173" i="29"/>
  <c r="K5173" i="29"/>
  <c r="J5114" i="29"/>
  <c r="W5114" i="29"/>
  <c r="W4809" i="29"/>
  <c r="J4809" i="29"/>
  <c r="J4895" i="29"/>
  <c r="W4895" i="29"/>
  <c r="U1434" i="29"/>
  <c r="K1434" i="29"/>
  <c r="J1656" i="29"/>
  <c r="W1656" i="29"/>
  <c r="W1155" i="29"/>
  <c r="J1155" i="29"/>
  <c r="J1164" i="29"/>
  <c r="W1164" i="29"/>
  <c r="K1203" i="29"/>
  <c r="U1203" i="29"/>
  <c r="K1277" i="29"/>
  <c r="U1277" i="29"/>
  <c r="J5117" i="29"/>
  <c r="W5117" i="29"/>
  <c r="K2562" i="29"/>
  <c r="J713" i="29"/>
  <c r="J1350" i="29"/>
  <c r="W1063" i="29"/>
  <c r="U1063" i="29"/>
  <c r="J1038" i="29"/>
  <c r="U1038" i="29"/>
  <c r="U2326" i="29"/>
  <c r="U924" i="29"/>
  <c r="K21" i="29"/>
  <c r="U21" i="29"/>
  <c r="J1091" i="29"/>
  <c r="W1091" i="29"/>
  <c r="J1108" i="29"/>
  <c r="K1108" i="29"/>
  <c r="J656" i="29"/>
  <c r="K337" i="29"/>
  <c r="U409" i="29"/>
  <c r="U1876" i="29"/>
  <c r="K2923" i="29"/>
  <c r="U2923" i="29"/>
  <c r="T4628" i="29"/>
  <c r="K1262" i="29"/>
  <c r="K6713" i="29"/>
  <c r="U6713" i="29"/>
  <c r="K6709" i="29"/>
  <c r="U6709" i="29"/>
  <c r="W3749" i="29"/>
  <c r="J3749" i="29"/>
  <c r="K3749" i="29"/>
  <c r="W3914" i="29"/>
  <c r="J3914" i="29"/>
  <c r="U3810" i="29"/>
  <c r="K3810" i="29"/>
  <c r="K2772" i="29"/>
  <c r="U2772" i="29"/>
  <c r="W1717" i="29"/>
  <c r="J1717" i="29"/>
  <c r="W2952" i="29"/>
  <c r="J2952" i="29"/>
  <c r="K2830" i="29"/>
  <c r="K7661" i="29"/>
  <c r="J2792" i="29"/>
  <c r="K2792" i="29"/>
  <c r="W2792" i="29"/>
  <c r="W1733" i="29"/>
  <c r="J1733" i="29"/>
  <c r="J4099" i="29"/>
  <c r="K4099" i="29"/>
  <c r="W4099" i="29"/>
  <c r="W4625" i="29"/>
  <c r="U4625" i="29"/>
  <c r="U3630" i="29"/>
  <c r="U7393" i="29"/>
  <c r="K7393" i="29"/>
  <c r="J7816" i="29"/>
  <c r="K7816" i="29"/>
  <c r="W7816" i="29"/>
  <c r="K1322" i="29"/>
  <c r="U1322" i="29"/>
  <c r="W5391" i="29"/>
  <c r="J5391" i="29"/>
  <c r="K5104" i="29"/>
  <c r="U5104" i="29"/>
  <c r="J4233" i="29"/>
  <c r="K4233" i="29"/>
  <c r="W4233" i="29"/>
  <c r="U2434" i="29"/>
  <c r="K2434" i="29"/>
  <c r="K4798" i="29"/>
  <c r="U4798" i="29"/>
  <c r="K4493" i="29"/>
  <c r="U4493" i="29"/>
  <c r="W4319" i="29"/>
  <c r="J4319" i="29"/>
  <c r="K4319" i="29"/>
  <c r="J2249" i="29"/>
  <c r="W2249" i="29"/>
  <c r="J4297" i="29"/>
  <c r="W4297" i="29"/>
  <c r="K2309" i="29"/>
  <c r="U2309" i="29"/>
  <c r="K4093" i="29"/>
  <c r="U4093" i="29"/>
  <c r="U4077" i="29"/>
  <c r="K4077" i="29"/>
  <c r="K6288" i="29"/>
  <c r="U6288" i="29"/>
  <c r="U7207" i="29"/>
  <c r="K7207" i="29"/>
  <c r="K4518" i="29"/>
  <c r="U4518" i="29"/>
  <c r="J3733" i="29"/>
  <c r="K3733" i="29"/>
  <c r="W3733" i="29"/>
  <c r="U1766" i="29"/>
  <c r="U3930" i="29"/>
  <c r="J2286" i="29"/>
  <c r="K2286" i="29"/>
  <c r="K5602" i="29"/>
  <c r="K7584" i="29"/>
  <c r="U7584" i="29"/>
  <c r="U4893" i="29"/>
  <c r="K1596" i="29"/>
  <c r="U1596" i="29"/>
  <c r="K4793" i="29"/>
  <c r="W4253" i="29"/>
  <c r="J4253" i="29"/>
  <c r="K4253" i="29"/>
  <c r="K3628" i="29"/>
  <c r="U3628" i="29"/>
  <c r="J4482" i="29"/>
  <c r="K4482" i="29"/>
  <c r="W4482" i="29"/>
  <c r="J4425" i="29"/>
  <c r="K4425" i="29"/>
  <c r="W4425" i="29"/>
  <c r="J4491" i="29"/>
  <c r="K4491" i="29"/>
  <c r="W4491" i="29"/>
  <c r="W4530" i="29"/>
  <c r="J4530" i="29"/>
  <c r="K4763" i="29"/>
  <c r="U4763" i="29"/>
  <c r="K6290" i="29"/>
  <c r="K4413" i="29"/>
  <c r="K2657" i="29"/>
  <c r="J833" i="29"/>
  <c r="W833" i="29"/>
  <c r="U8059" i="29"/>
  <c r="K8062" i="29"/>
  <c r="U8062" i="29"/>
  <c r="U1129" i="29"/>
  <c r="K1129" i="29"/>
  <c r="W4330" i="29"/>
  <c r="J4330" i="29"/>
  <c r="K4330" i="29"/>
  <c r="K3251" i="29"/>
  <c r="U3251" i="29"/>
  <c r="K3844" i="29"/>
  <c r="K3392" i="29"/>
  <c r="U3392" i="29"/>
  <c r="K4618" i="29"/>
  <c r="K6716" i="29"/>
  <c r="U6716" i="29"/>
  <c r="K5725" i="29"/>
  <c r="U5725" i="29"/>
  <c r="K7448" i="29"/>
  <c r="K409" i="29"/>
  <c r="J3908" i="29"/>
  <c r="K3908" i="29"/>
  <c r="W3908" i="29"/>
  <c r="W4375" i="29"/>
  <c r="J4375" i="29"/>
  <c r="W3366" i="29"/>
  <c r="J3366" i="29"/>
  <c r="K3366" i="29"/>
  <c r="W3378" i="29"/>
  <c r="J3378" i="29"/>
  <c r="W3234" i="29"/>
  <c r="J3234" i="29"/>
  <c r="K3187" i="29"/>
  <c r="U3187" i="29"/>
  <c r="K735" i="29"/>
  <c r="U2395" i="29"/>
  <c r="K2395" i="29"/>
  <c r="U6060" i="29"/>
  <c r="U4447" i="29"/>
  <c r="K2499" i="29"/>
  <c r="K3003" i="29"/>
  <c r="U7679" i="29"/>
  <c r="U3931" i="29"/>
  <c r="J4372" i="29"/>
  <c r="K1024" i="29"/>
  <c r="U8051" i="29"/>
  <c r="K8051" i="29"/>
  <c r="K3354" i="29"/>
  <c r="U3354" i="29"/>
  <c r="J4666" i="29"/>
  <c r="K5767" i="29"/>
  <c r="U6784" i="29"/>
  <c r="K6784" i="29"/>
  <c r="W2949" i="29"/>
  <c r="U2949" i="29"/>
  <c r="K2192" i="29"/>
  <c r="K2926" i="29"/>
  <c r="U2926" i="29"/>
  <c r="U2000" i="29"/>
  <c r="K2000" i="29"/>
  <c r="U3680" i="29"/>
  <c r="W2466" i="29"/>
  <c r="U2466" i="29"/>
  <c r="W4475" i="29"/>
  <c r="J4475" i="29"/>
  <c r="U4463" i="29"/>
  <c r="K5518" i="29"/>
  <c r="U2324" i="29"/>
  <c r="U7172" i="29"/>
  <c r="K7172" i="29"/>
  <c r="K6547" i="29"/>
  <c r="U6547" i="29"/>
  <c r="W4690" i="29"/>
  <c r="J4690" i="29"/>
  <c r="J2086" i="29"/>
  <c r="W2086" i="29"/>
  <c r="K6939" i="29"/>
  <c r="W2881" i="29"/>
  <c r="U2881" i="29"/>
  <c r="U2358" i="29"/>
  <c r="W3272" i="29"/>
  <c r="U3272" i="29"/>
  <c r="K3012" i="29"/>
  <c r="W5349" i="29"/>
  <c r="J5349" i="29"/>
  <c r="K2626" i="29"/>
  <c r="U2321" i="29"/>
  <c r="K2321" i="29"/>
  <c r="K1571" i="29"/>
  <c r="J1515" i="29"/>
  <c r="W1515" i="29"/>
  <c r="W2005" i="29"/>
  <c r="J2005" i="29"/>
  <c r="K2005" i="29"/>
  <c r="U7509" i="29"/>
  <c r="U4907" i="29"/>
  <c r="K4907" i="29"/>
  <c r="K6343" i="29"/>
  <c r="U6343" i="29"/>
  <c r="J4771" i="29"/>
  <c r="W4771" i="29"/>
  <c r="K3282" i="29"/>
  <c r="K2654" i="29"/>
  <c r="J1702" i="29"/>
  <c r="W1702" i="29"/>
  <c r="U7585" i="29"/>
  <c r="K7151" i="29"/>
  <c r="K7574" i="29"/>
  <c r="K4439" i="29"/>
  <c r="U4439" i="29"/>
  <c r="J2464" i="29"/>
  <c r="W2464" i="29"/>
  <c r="W2123" i="29"/>
  <c r="J2123" i="29"/>
  <c r="K2538" i="29"/>
  <c r="W2102" i="29"/>
  <c r="J2102" i="29"/>
  <c r="K2102" i="29"/>
  <c r="W4533" i="29"/>
  <c r="J4533" i="29"/>
  <c r="K4533" i="29"/>
  <c r="K7466" i="29"/>
  <c r="K7032" i="29"/>
  <c r="K4110" i="29"/>
  <c r="J2491" i="29"/>
  <c r="U2491" i="29"/>
  <c r="U4303" i="29"/>
  <c r="K4303" i="29"/>
  <c r="K4821" i="29"/>
  <c r="J4682" i="29"/>
  <c r="U4682" i="29"/>
  <c r="K7505" i="29"/>
  <c r="U7505" i="29"/>
  <c r="J2526" i="29"/>
  <c r="K2526" i="29"/>
  <c r="W2526" i="29"/>
  <c r="J3655" i="29"/>
  <c r="W3655" i="29"/>
  <c r="W6261" i="29"/>
  <c r="J6261" i="29"/>
  <c r="K6261" i="29"/>
  <c r="K5381" i="29"/>
  <c r="U5381" i="29"/>
  <c r="K924" i="29"/>
  <c r="K4927" i="29"/>
  <c r="U4927" i="29"/>
  <c r="J6902" i="29"/>
  <c r="W6902" i="29"/>
  <c r="K4924" i="29"/>
  <c r="U3591" i="29"/>
  <c r="K3591" i="29"/>
  <c r="K4283" i="29"/>
  <c r="K1705" i="29"/>
  <c r="U1705" i="29"/>
  <c r="K4440" i="29"/>
  <c r="K3677" i="29"/>
  <c r="U3677" i="29"/>
  <c r="W4592" i="29"/>
  <c r="J4592" i="29"/>
  <c r="W7698" i="29"/>
  <c r="U7698" i="29"/>
  <c r="K7051" i="29"/>
  <c r="U7051" i="29"/>
  <c r="U3083" i="29"/>
  <c r="K2480" i="29"/>
  <c r="U2320" i="29"/>
  <c r="K2320" i="29"/>
  <c r="K5659" i="29"/>
  <c r="U5659" i="29"/>
  <c r="U4627" i="29"/>
  <c r="U1230" i="29"/>
  <c r="U1412" i="29"/>
  <c r="K5496" i="29"/>
  <c r="U1832" i="29"/>
  <c r="K3668" i="29"/>
  <c r="U533" i="29"/>
  <c r="U473" i="29"/>
  <c r="K6468" i="29"/>
  <c r="K1693" i="29"/>
  <c r="K4197" i="29"/>
  <c r="U4683" i="29"/>
  <c r="U1483" i="29"/>
  <c r="U799" i="29"/>
  <c r="K3713" i="29"/>
  <c r="K6044" i="29"/>
  <c r="K991" i="29"/>
  <c r="U991" i="29"/>
  <c r="K1562" i="29"/>
  <c r="U1562" i="29"/>
  <c r="K7483" i="29"/>
  <c r="K5933" i="29"/>
  <c r="U5779" i="29"/>
  <c r="K5779" i="29"/>
  <c r="U589" i="29"/>
  <c r="K589" i="29"/>
  <c r="U1202" i="29"/>
  <c r="K1202" i="29"/>
  <c r="W1287" i="29"/>
  <c r="J1287" i="29"/>
  <c r="U4363" i="29"/>
  <c r="K4363" i="29"/>
  <c r="K7972" i="29"/>
  <c r="K5935" i="29"/>
  <c r="U5935" i="29"/>
  <c r="U4256" i="29"/>
  <c r="K4256" i="29"/>
  <c r="U4502" i="29"/>
  <c r="K4502" i="29"/>
  <c r="K3049" i="29"/>
  <c r="W3292" i="29"/>
  <c r="J3292" i="29"/>
  <c r="K4108" i="29"/>
  <c r="U4108" i="29"/>
  <c r="U4929" i="29"/>
  <c r="K4929" i="29"/>
  <c r="K5545" i="29"/>
  <c r="U5545" i="29"/>
  <c r="K7863" i="29"/>
  <c r="K4173" i="29"/>
  <c r="K5537" i="29"/>
  <c r="U1429" i="29"/>
  <c r="K1429" i="29"/>
  <c r="K4299" i="29"/>
  <c r="U4299" i="29"/>
  <c r="W4369" i="29"/>
  <c r="J4369" i="29"/>
  <c r="K4544" i="29"/>
  <c r="U4544" i="29"/>
  <c r="K6104" i="29"/>
  <c r="U3854" i="29"/>
  <c r="K3854" i="29"/>
  <c r="K4452" i="29"/>
  <c r="U4452" i="29"/>
  <c r="U5004" i="29"/>
  <c r="K5004" i="29"/>
  <c r="K6472" i="29"/>
  <c r="U6472" i="29"/>
  <c r="J3450" i="29"/>
  <c r="W3450" i="29"/>
  <c r="K4364" i="29"/>
  <c r="K5679" i="29"/>
  <c r="U3414" i="29"/>
  <c r="K3414" i="29"/>
  <c r="K6447" i="29"/>
  <c r="U2872" i="29"/>
  <c r="K2872" i="29"/>
  <c r="K2758" i="29"/>
  <c r="W5016" i="29"/>
  <c r="J5016" i="29"/>
  <c r="K3760" i="29"/>
  <c r="U3760" i="29"/>
  <c r="K4285" i="29"/>
  <c r="K6504" i="29"/>
  <c r="U1180" i="29"/>
  <c r="K1180" i="29"/>
  <c r="K1628" i="29"/>
  <c r="U1628" i="29"/>
  <c r="K2534" i="29"/>
  <c r="U4964" i="29"/>
  <c r="K4964" i="29"/>
  <c r="K5918" i="29"/>
  <c r="W5271" i="29"/>
  <c r="J5271" i="29"/>
  <c r="W861" i="29"/>
  <c r="J861" i="29"/>
  <c r="U5845" i="29"/>
  <c r="K5845" i="29"/>
  <c r="K5555" i="29"/>
  <c r="W5354" i="29"/>
  <c r="J5354" i="29"/>
  <c r="J2251" i="29"/>
  <c r="K2251" i="29"/>
  <c r="W2251" i="29"/>
  <c r="K3622" i="29"/>
  <c r="K4515" i="29"/>
  <c r="K1591" i="29"/>
  <c r="U1591" i="29"/>
  <c r="U5070" i="29"/>
  <c r="K5070" i="29"/>
  <c r="W2863" i="29"/>
  <c r="J2863" i="29"/>
  <c r="W3161" i="29"/>
  <c r="J3161" i="29"/>
  <c r="K2931" i="29"/>
  <c r="U2931" i="29"/>
  <c r="W2348" i="29"/>
  <c r="J2348" i="29"/>
  <c r="J4749" i="29"/>
  <c r="W4749" i="29"/>
  <c r="K6028" i="29"/>
  <c r="K5462" i="29"/>
  <c r="J2100" i="29"/>
  <c r="W2100" i="29"/>
  <c r="W2851" i="29"/>
  <c r="J2851" i="29"/>
  <c r="W4056" i="29"/>
  <c r="J4056" i="29"/>
  <c r="U3719" i="29"/>
  <c r="K3719" i="29"/>
  <c r="W3724" i="29"/>
  <c r="J3724" i="29"/>
  <c r="K2816" i="29"/>
  <c r="J5557" i="29"/>
  <c r="K5557" i="29"/>
  <c r="W5557" i="29"/>
  <c r="W5356" i="29"/>
  <c r="J5356" i="29"/>
  <c r="K5356" i="29"/>
  <c r="W1035" i="29"/>
  <c r="J1035" i="29"/>
  <c r="K5150" i="29"/>
  <c r="U5150" i="29"/>
  <c r="K2169" i="29"/>
  <c r="U2169" i="29"/>
  <c r="W2599" i="29"/>
  <c r="J2599" i="29"/>
  <c r="K2650" i="29"/>
  <c r="U3721" i="29"/>
  <c r="K3721" i="29"/>
  <c r="W3940" i="29"/>
  <c r="J3940" i="29"/>
  <c r="K3940" i="29"/>
  <c r="K2814" i="29"/>
  <c r="J5372" i="29"/>
  <c r="W5372" i="29"/>
  <c r="J6481" i="29"/>
  <c r="W6481" i="29"/>
  <c r="U5238" i="29"/>
  <c r="K5238" i="29"/>
  <c r="W907" i="29"/>
  <c r="J907" i="29"/>
  <c r="W1234" i="29"/>
  <c r="J1234" i="29"/>
  <c r="J1822" i="29"/>
  <c r="W1822" i="29"/>
  <c r="K2609" i="29"/>
  <c r="K6460" i="29"/>
  <c r="K6493" i="29"/>
  <c r="U6493" i="29"/>
  <c r="K6471" i="29"/>
  <c r="U6471" i="29"/>
  <c r="K6464" i="29"/>
  <c r="J5261" i="29"/>
  <c r="W5261" i="29"/>
  <c r="J2160" i="29"/>
  <c r="W2160" i="29"/>
  <c r="K2204" i="29"/>
  <c r="U3000" i="29"/>
  <c r="K3000" i="29"/>
  <c r="K4869" i="29"/>
  <c r="U4869" i="29"/>
  <c r="K4597" i="29"/>
  <c r="K3644" i="29"/>
  <c r="U3644" i="29"/>
  <c r="W4149" i="29"/>
  <c r="J4149" i="29"/>
  <c r="K4432" i="29"/>
  <c r="U4432" i="29"/>
  <c r="J1888" i="29"/>
  <c r="W1888" i="29"/>
  <c r="K2979" i="29"/>
  <c r="W2995" i="29"/>
  <c r="J2995" i="29"/>
  <c r="K146" i="29"/>
  <c r="U146" i="29"/>
  <c r="J2492" i="29"/>
  <c r="K2492" i="29"/>
  <c r="W2492" i="29"/>
  <c r="U3280" i="29"/>
  <c r="K3280" i="29"/>
  <c r="K5954" i="29"/>
  <c r="W2950" i="29"/>
  <c r="J2950" i="29"/>
  <c r="K2548" i="29"/>
  <c r="U4337" i="29"/>
  <c r="K4337" i="29"/>
  <c r="U1829" i="29"/>
  <c r="K1829" i="29"/>
  <c r="J1645" i="29"/>
  <c r="W1645" i="29"/>
  <c r="K2756" i="29"/>
  <c r="W905" i="29"/>
  <c r="J905" i="29"/>
  <c r="W1053" i="29"/>
  <c r="J1053" i="29"/>
  <c r="U3807" i="29"/>
  <c r="K2135" i="29"/>
  <c r="K2141" i="29"/>
  <c r="K2682" i="29"/>
  <c r="K4254" i="29"/>
  <c r="J3824" i="29"/>
  <c r="W3824" i="29"/>
  <c r="K5997" i="29"/>
  <c r="K5943" i="29"/>
  <c r="K5671" i="29"/>
  <c r="J5558" i="29"/>
  <c r="W5558" i="29"/>
  <c r="K5064" i="29"/>
  <c r="K4023" i="29"/>
  <c r="U4023" i="29"/>
  <c r="W5019" i="29"/>
  <c r="J5019" i="29"/>
  <c r="K4537" i="29"/>
  <c r="J4581" i="29"/>
  <c r="K4581" i="29"/>
  <c r="W4581" i="29"/>
  <c r="W4677" i="29"/>
  <c r="J4677" i="29"/>
  <c r="W4500" i="29"/>
  <c r="J4500" i="29"/>
  <c r="K3800" i="29"/>
  <c r="J4130" i="29"/>
  <c r="W4130" i="29"/>
  <c r="J4263" i="29"/>
  <c r="W4263" i="29"/>
  <c r="U4336" i="29"/>
  <c r="K4336" i="29"/>
  <c r="U4348" i="29"/>
  <c r="K4348" i="29"/>
  <c r="J4405" i="29"/>
  <c r="W4405" i="29"/>
  <c r="U1887" i="29"/>
  <c r="K1887" i="29"/>
  <c r="U4121" i="29"/>
  <c r="K4121" i="29"/>
  <c r="K5015" i="29"/>
  <c r="U3480" i="29"/>
  <c r="K3480" i="29"/>
  <c r="U3496" i="29"/>
  <c r="K3496" i="29"/>
  <c r="K2178" i="29"/>
  <c r="K4621" i="29"/>
  <c r="U4621" i="29"/>
  <c r="K7856" i="29"/>
  <c r="J3554" i="29"/>
  <c r="W3554" i="29"/>
  <c r="J4563" i="29"/>
  <c r="W4563" i="29"/>
  <c r="W2083" i="29"/>
  <c r="J2083" i="29"/>
  <c r="K1784" i="29"/>
  <c r="U1784" i="29"/>
  <c r="W1574" i="29"/>
  <c r="J1574" i="29"/>
  <c r="J4576" i="29"/>
  <c r="W4576" i="29"/>
  <c r="U4889" i="29"/>
  <c r="K4889" i="29"/>
  <c r="W2544" i="29"/>
  <c r="J2544" i="29"/>
  <c r="W3652" i="29"/>
  <c r="J3652" i="29"/>
  <c r="U1629" i="29"/>
  <c r="K1629" i="29"/>
  <c r="W3539" i="29"/>
  <c r="J3539" i="29"/>
  <c r="K2749" i="29"/>
  <c r="K2787" i="29"/>
  <c r="J2793" i="29"/>
  <c r="W2793" i="29"/>
  <c r="W2805" i="29"/>
  <c r="J2805" i="29"/>
  <c r="K4525" i="29"/>
  <c r="U4525" i="29"/>
  <c r="K3681" i="29"/>
  <c r="U3681" i="29"/>
  <c r="K2972" i="29"/>
  <c r="K4599" i="29"/>
  <c r="U4599" i="29"/>
  <c r="U1976" i="29"/>
  <c r="K1976" i="29"/>
  <c r="W771" i="29"/>
  <c r="J771" i="29"/>
  <c r="J1527" i="29"/>
  <c r="W1527" i="29"/>
  <c r="K1549" i="29"/>
  <c r="U1549" i="29"/>
  <c r="W2163" i="29"/>
  <c r="J2163" i="29"/>
  <c r="K2666" i="29"/>
  <c r="U2666" i="29"/>
  <c r="J3146" i="29"/>
  <c r="W3146" i="29"/>
  <c r="K3545" i="29"/>
  <c r="W3551" i="29"/>
  <c r="J3551" i="29"/>
  <c r="K3624" i="29"/>
  <c r="U3624" i="29"/>
  <c r="W3654" i="29"/>
  <c r="J3654" i="29"/>
  <c r="W3693" i="29"/>
  <c r="J3693" i="29"/>
  <c r="W4481" i="29"/>
  <c r="J4481" i="29"/>
  <c r="J4569" i="29"/>
  <c r="W4569" i="29"/>
  <c r="W4678" i="29"/>
  <c r="J4678" i="29"/>
  <c r="W4819" i="29"/>
  <c r="J4819" i="29"/>
  <c r="K5061" i="29"/>
  <c r="U5061" i="29"/>
  <c r="K1876" i="29"/>
  <c r="J2784" i="29"/>
  <c r="W2784" i="29"/>
  <c r="K2827" i="29"/>
  <c r="K3970" i="29"/>
  <c r="K4435" i="29"/>
  <c r="J1729" i="29"/>
  <c r="W1729" i="29"/>
  <c r="W3196" i="29"/>
  <c r="J3196" i="29"/>
  <c r="W3199" i="29"/>
  <c r="J3199" i="29"/>
  <c r="J3457" i="29"/>
  <c r="W3457" i="29"/>
  <c r="U3696" i="29"/>
  <c r="K3696" i="29"/>
  <c r="K4431" i="29"/>
  <c r="W4478" i="29"/>
  <c r="J4478" i="29"/>
  <c r="K4965" i="29"/>
  <c r="U4965" i="29"/>
  <c r="U4990" i="29"/>
  <c r="K4990" i="29"/>
  <c r="U1714" i="29"/>
  <c r="K1714" i="29"/>
  <c r="K5018" i="29"/>
  <c r="U5018" i="29"/>
  <c r="U4547" i="29"/>
  <c r="K4547" i="29"/>
  <c r="K2090" i="29"/>
  <c r="U2090" i="29"/>
  <c r="K233" i="29"/>
  <c r="K436" i="29"/>
  <c r="U436" i="29"/>
  <c r="K439" i="29"/>
  <c r="U439" i="29"/>
  <c r="U1890" i="29"/>
  <c r="U2632" i="29"/>
  <c r="K2632" i="29"/>
  <c r="K2943" i="29"/>
  <c r="U2958" i="29"/>
  <c r="K2958" i="29"/>
  <c r="K3140" i="29"/>
  <c r="J3156" i="29"/>
  <c r="W3156" i="29"/>
  <c r="W3219" i="29"/>
  <c r="J3219" i="29"/>
  <c r="K3244" i="29"/>
  <c r="U3244" i="29"/>
  <c r="U3335" i="29"/>
  <c r="K3483" i="29"/>
  <c r="U3483" i="29"/>
  <c r="K3512" i="29"/>
  <c r="U3512" i="29"/>
  <c r="K2120" i="29"/>
  <c r="K8103" i="29"/>
  <c r="U7770" i="29"/>
  <c r="K7770" i="29"/>
  <c r="K7754" i="29"/>
  <c r="U7754" i="29"/>
  <c r="K3762" i="29"/>
  <c r="U3762" i="29"/>
  <c r="K3544" i="29"/>
  <c r="K3245" i="29"/>
  <c r="U3245" i="29"/>
  <c r="W4733" i="29"/>
  <c r="J4733" i="29"/>
  <c r="K6096" i="29"/>
  <c r="K5774" i="29"/>
  <c r="K4892" i="29"/>
  <c r="K2755" i="29"/>
  <c r="K5319" i="29"/>
  <c r="U5319" i="29"/>
  <c r="U2861" i="29"/>
  <c r="K2861" i="29"/>
  <c r="K2099" i="29"/>
  <c r="U5313" i="29"/>
  <c r="K5313" i="29"/>
  <c r="U4448" i="29"/>
  <c r="U2386" i="29"/>
  <c r="K2386" i="29"/>
  <c r="J3903" i="29"/>
  <c r="K3903" i="29"/>
  <c r="W3903" i="29"/>
  <c r="K4373" i="29"/>
  <c r="K1063" i="29"/>
  <c r="J4168" i="29"/>
  <c r="W4168" i="29"/>
  <c r="J1205" i="29"/>
  <c r="K1205" i="29"/>
  <c r="W1205" i="29"/>
  <c r="K1627" i="29"/>
  <c r="W5761" i="29"/>
  <c r="J5761" i="29"/>
  <c r="J3862" i="29"/>
  <c r="W3862" i="29"/>
  <c r="J6007" i="29"/>
  <c r="W6007" i="29"/>
  <c r="K4325" i="29"/>
  <c r="U4325" i="29"/>
  <c r="K2422" i="29"/>
  <c r="K7312" i="29"/>
  <c r="U7312" i="29"/>
  <c r="K3599" i="29"/>
  <c r="U3599" i="29"/>
  <c r="J4570" i="29"/>
  <c r="K4570" i="29"/>
  <c r="U1920" i="29"/>
  <c r="K6289" i="29"/>
  <c r="J1501" i="29"/>
  <c r="K1501" i="29"/>
  <c r="K6740" i="29"/>
  <c r="U8079" i="29"/>
  <c r="U1716" i="29"/>
  <c r="K1716" i="29"/>
  <c r="K2903" i="29"/>
  <c r="K7768" i="29"/>
  <c r="U7768" i="29"/>
  <c r="K5804" i="29"/>
  <c r="U3764" i="29"/>
  <c r="K3764" i="29"/>
  <c r="K3776" i="29"/>
  <c r="W4459" i="29"/>
  <c r="J4459" i="29"/>
  <c r="W5693" i="29"/>
  <c r="J5693" i="29"/>
  <c r="K4082" i="29"/>
  <c r="K4786" i="29"/>
  <c r="U5094" i="29"/>
  <c r="K5094" i="29"/>
  <c r="U7925" i="29"/>
  <c r="K7925" i="29"/>
  <c r="K4585" i="29"/>
  <c r="J712" i="29"/>
  <c r="K712" i="29"/>
  <c r="K7252" i="29"/>
  <c r="U7834" i="29"/>
  <c r="K7834" i="29"/>
  <c r="K2310" i="29"/>
  <c r="U2310" i="29"/>
  <c r="K2132" i="29"/>
  <c r="U2132" i="29"/>
  <c r="U3859" i="29"/>
  <c r="K3859" i="29"/>
  <c r="J7257" i="29"/>
  <c r="W7257" i="29"/>
  <c r="U3424" i="29"/>
  <c r="K3424" i="29"/>
  <c r="K5626" i="29"/>
  <c r="K7218" i="29"/>
  <c r="J3982" i="29"/>
  <c r="K3982" i="29"/>
  <c r="W3982" i="29"/>
  <c r="K6387" i="29"/>
  <c r="U646" i="29"/>
  <c r="J6432" i="29"/>
  <c r="W6432" i="29"/>
  <c r="U2418" i="29"/>
  <c r="K2418" i="29"/>
  <c r="U6889" i="29"/>
  <c r="U7310" i="29"/>
  <c r="K7310" i="29"/>
  <c r="J601" i="29"/>
  <c r="K601" i="29"/>
  <c r="J73" i="29"/>
  <c r="K7948" i="29"/>
  <c r="K7092" i="29"/>
  <c r="U7092" i="29"/>
  <c r="K3361" i="29"/>
  <c r="K4198" i="29"/>
  <c r="U4198" i="29"/>
  <c r="U1667" i="29"/>
  <c r="K1667" i="29"/>
  <c r="K3890" i="29"/>
  <c r="K3477" i="29"/>
  <c r="W5636" i="29"/>
  <c r="J5636" i="29"/>
  <c r="K6311" i="29"/>
  <c r="U6311" i="29"/>
  <c r="K4871" i="29"/>
  <c r="K2974" i="29"/>
  <c r="J5344" i="29"/>
  <c r="W5344" i="29"/>
  <c r="K2216" i="29"/>
  <c r="U2216" i="29"/>
  <c r="U7187" i="29"/>
  <c r="K7187" i="29"/>
  <c r="J3728" i="29"/>
  <c r="W3728" i="29"/>
  <c r="J4444" i="29"/>
  <c r="W4444" i="29"/>
  <c r="K4494" i="29"/>
  <c r="W4867" i="29"/>
  <c r="J4867" i="29"/>
  <c r="U6863" i="29"/>
  <c r="K7316" i="29"/>
  <c r="W4686" i="29"/>
  <c r="U4686" i="29"/>
  <c r="W3092" i="29"/>
  <c r="J3092" i="29"/>
  <c r="K6466" i="29"/>
  <c r="K6652" i="29"/>
  <c r="W4817" i="29"/>
  <c r="J4817" i="29"/>
  <c r="K4817" i="29"/>
  <c r="J1459" i="29"/>
  <c r="K3394" i="29"/>
  <c r="K646" i="29"/>
  <c r="J2479" i="29"/>
  <c r="W2479" i="29"/>
  <c r="K7573" i="29"/>
  <c r="U7201" i="29"/>
  <c r="K5185" i="29"/>
  <c r="U2077" i="29"/>
  <c r="K6494" i="29"/>
  <c r="J1021" i="29"/>
  <c r="K1021" i="29"/>
  <c r="U6846" i="29"/>
  <c r="K6846" i="29"/>
  <c r="U7900" i="29"/>
  <c r="K7900" i="29"/>
  <c r="U3893" i="29"/>
  <c r="K3893" i="29"/>
  <c r="K6166" i="29"/>
  <c r="K4231" i="29"/>
  <c r="U4231" i="29"/>
  <c r="W2476" i="29"/>
  <c r="J2476" i="29"/>
  <c r="K5321" i="29"/>
  <c r="U5321" i="29"/>
  <c r="W4047" i="29"/>
  <c r="J4047" i="29"/>
  <c r="K2711" i="29"/>
  <c r="K2241" i="29"/>
  <c r="U4593" i="29"/>
  <c r="K4593" i="29"/>
  <c r="U7419" i="29"/>
  <c r="K7419" i="29"/>
  <c r="U6591" i="29"/>
  <c r="J3829" i="29"/>
  <c r="W3829" i="29"/>
  <c r="K3572" i="29"/>
  <c r="U3572" i="29"/>
  <c r="K2424" i="29"/>
  <c r="U2424" i="29"/>
  <c r="J7650" i="29"/>
  <c r="W7650" i="29"/>
  <c r="K4388" i="29"/>
  <c r="U4388" i="29"/>
  <c r="K6513" i="29"/>
  <c r="U990" i="29"/>
  <c r="K990" i="29"/>
  <c r="K4764" i="29"/>
  <c r="U4764" i="29"/>
  <c r="U1573" i="29"/>
  <c r="K1573" i="29"/>
  <c r="U3609" i="29"/>
  <c r="K3609" i="29"/>
  <c r="K6202" i="29"/>
  <c r="U2396" i="29"/>
  <c r="K2396" i="29"/>
  <c r="K3763" i="29"/>
  <c r="U3763" i="29"/>
  <c r="J5422" i="29"/>
  <c r="W5422" i="29"/>
  <c r="K5678" i="29"/>
  <c r="J3459" i="29"/>
  <c r="W3459" i="29"/>
  <c r="U3394" i="29"/>
  <c r="J5407" i="29"/>
  <c r="W5407" i="29"/>
  <c r="U4035" i="29"/>
  <c r="K4035" i="29"/>
  <c r="K4572" i="29"/>
  <c r="U4572" i="29"/>
  <c r="W7362" i="29"/>
  <c r="U7362" i="29"/>
  <c r="K4051" i="29"/>
  <c r="U4051" i="29"/>
  <c r="K7303" i="29"/>
  <c r="J6425" i="29"/>
  <c r="W6425" i="29"/>
  <c r="U1466" i="29"/>
  <c r="K1466" i="29"/>
  <c r="U4512" i="29"/>
  <c r="K4512" i="29"/>
  <c r="K6156" i="29"/>
  <c r="K3559" i="29"/>
  <c r="U3559" i="29"/>
  <c r="K3791" i="29"/>
  <c r="U3791" i="29"/>
  <c r="K2258" i="29"/>
  <c r="U2258" i="29"/>
  <c r="U4846" i="29"/>
  <c r="K4846" i="29"/>
  <c r="K4281" i="29"/>
  <c r="U4281" i="29"/>
  <c r="U5830" i="29"/>
  <c r="K5830" i="29"/>
  <c r="K3727" i="29"/>
  <c r="W2261" i="29"/>
  <c r="J2261" i="29"/>
  <c r="J2345" i="29"/>
  <c r="K2345" i="29"/>
  <c r="W2345" i="29"/>
  <c r="U3973" i="29"/>
  <c r="K3973" i="29"/>
  <c r="J876" i="29"/>
  <c r="K876" i="29"/>
  <c r="K6553" i="29"/>
  <c r="U6553" i="29"/>
  <c r="W931" i="29"/>
  <c r="J931" i="29"/>
  <c r="K4015" i="29"/>
  <c r="U4015" i="29"/>
  <c r="J4400" i="29"/>
  <c r="K4400" i="29"/>
  <c r="W4400" i="29"/>
  <c r="J3679" i="29"/>
  <c r="W3679" i="29"/>
  <c r="K6380" i="29"/>
  <c r="K2999" i="29"/>
  <c r="K6362" i="29"/>
  <c r="K4308" i="29"/>
  <c r="W4877" i="29"/>
  <c r="J4877" i="29"/>
  <c r="W2406" i="29"/>
  <c r="J2406" i="29"/>
  <c r="J4504" i="29"/>
  <c r="W4504" i="29"/>
  <c r="K6729" i="29"/>
  <c r="W2224" i="29"/>
  <c r="U2224" i="29"/>
  <c r="U4054" i="29"/>
  <c r="W4615" i="29"/>
  <c r="U4615" i="29"/>
  <c r="K733" i="29"/>
  <c r="U733" i="29"/>
  <c r="J4737" i="29"/>
  <c r="W4737" i="29"/>
  <c r="U4426" i="29"/>
  <c r="J4914" i="29"/>
  <c r="W4914" i="29"/>
  <c r="K1494" i="29"/>
  <c r="K6365" i="29"/>
  <c r="U6365" i="29"/>
  <c r="K2543" i="29"/>
  <c r="U2543" i="29"/>
  <c r="K1480" i="29"/>
  <c r="U1480" i="29"/>
  <c r="J2274" i="29"/>
  <c r="W2274" i="29"/>
  <c r="K6317" i="29"/>
  <c r="K4347" i="29"/>
  <c r="W4643" i="29"/>
  <c r="J4643" i="29"/>
  <c r="K4126" i="29"/>
  <c r="J4087" i="29"/>
  <c r="K4087" i="29"/>
  <c r="W4087" i="29"/>
  <c r="U4989" i="29"/>
  <c r="K2927" i="29"/>
  <c r="J3377" i="29"/>
  <c r="W3377" i="29"/>
  <c r="U2608" i="29"/>
  <c r="K6116" i="29"/>
  <c r="U6116" i="29"/>
  <c r="K5796" i="29"/>
  <c r="J4312" i="29"/>
  <c r="W4312" i="29"/>
  <c r="J667" i="29"/>
  <c r="J309" i="29"/>
  <c r="K309" i="29"/>
  <c r="J1609" i="29"/>
  <c r="J926" i="29"/>
  <c r="U3319" i="29"/>
  <c r="K3319" i="29"/>
  <c r="U3725" i="29"/>
  <c r="K3725" i="29"/>
  <c r="K3778" i="29"/>
  <c r="U3778" i="29"/>
  <c r="U7716" i="29"/>
  <c r="K7716" i="29"/>
  <c r="J3172" i="29"/>
  <c r="W3172" i="29"/>
  <c r="J613" i="29"/>
  <c r="U613" i="29"/>
  <c r="U3235" i="29"/>
  <c r="J6657" i="29"/>
  <c r="K6657" i="29"/>
  <c r="W6657" i="29"/>
  <c r="K7704" i="29"/>
  <c r="K4448" i="29"/>
  <c r="K4054" i="29"/>
  <c r="K2810" i="29"/>
  <c r="K2412" i="29"/>
  <c r="K6142" i="29"/>
  <c r="U6142" i="29"/>
  <c r="U3426" i="29"/>
  <c r="K3426" i="29"/>
  <c r="W3456" i="29"/>
  <c r="J3456" i="29"/>
  <c r="W2735" i="29"/>
  <c r="J2735" i="29"/>
  <c r="K3665" i="29"/>
  <c r="W3238" i="29"/>
  <c r="J3238" i="29"/>
  <c r="W3273" i="29"/>
  <c r="J3273" i="29"/>
  <c r="W4318" i="29"/>
  <c r="J4318" i="29"/>
  <c r="J3717" i="29"/>
  <c r="W3717" i="29"/>
  <c r="K3295" i="29"/>
  <c r="K2729" i="29"/>
  <c r="J2561" i="29"/>
  <c r="W2561" i="29"/>
  <c r="W4059" i="29"/>
  <c r="J4059" i="29"/>
  <c r="K4059" i="29"/>
  <c r="W4896" i="29"/>
  <c r="J4896" i="29"/>
  <c r="J4527" i="29"/>
  <c r="W4527" i="29"/>
  <c r="U6880" i="29"/>
  <c r="W2425" i="29"/>
  <c r="J2425" i="29"/>
  <c r="K2425" i="29"/>
  <c r="W4244" i="29"/>
  <c r="J4244" i="29"/>
  <c r="K4244" i="29"/>
  <c r="W2783" i="29"/>
  <c r="J2783" i="29"/>
  <c r="K2783" i="29"/>
  <c r="K2222" i="29"/>
  <c r="U2222" i="29"/>
  <c r="U6959" i="29"/>
  <c r="K4961" i="29"/>
  <c r="U4961" i="29"/>
  <c r="J3093" i="29"/>
  <c r="W3093" i="29"/>
  <c r="K4650" i="29"/>
  <c r="K6591" i="29"/>
  <c r="W6729" i="29"/>
  <c r="U6729" i="29"/>
  <c r="K4989" i="29"/>
  <c r="K8088" i="29"/>
  <c r="K2447" i="29"/>
  <c r="U2447" i="29"/>
  <c r="K2949" i="29"/>
  <c r="W7545" i="29"/>
  <c r="J7545" i="29"/>
  <c r="J4605" i="29"/>
  <c r="K4605" i="29"/>
  <c r="W4605" i="29"/>
  <c r="U7678" i="29"/>
  <c r="K7678" i="29"/>
  <c r="K2254" i="29"/>
  <c r="U2254" i="29"/>
  <c r="K4079" i="29"/>
  <c r="U4079" i="29"/>
  <c r="K1508" i="29"/>
  <c r="U1508" i="29"/>
  <c r="K2961" i="29"/>
  <c r="U2961" i="29"/>
  <c r="W2431" i="29"/>
  <c r="J2431" i="29"/>
  <c r="K2431" i="29"/>
  <c r="W4808" i="29"/>
  <c r="J4808" i="29"/>
  <c r="U6887" i="29"/>
  <c r="K7672" i="29"/>
  <c r="U7672" i="29"/>
  <c r="K7154" i="29"/>
  <c r="U1633" i="29"/>
  <c r="K7031" i="29"/>
  <c r="U7031" i="29"/>
  <c r="W5026" i="29"/>
  <c r="J5026" i="29"/>
  <c r="K5026" i="29"/>
  <c r="W7052" i="29"/>
  <c r="J7052" i="29"/>
  <c r="J3157" i="29"/>
  <c r="U3157" i="29"/>
  <c r="U1580" i="29"/>
  <c r="K1580" i="29"/>
  <c r="J5024" i="29"/>
  <c r="W5024" i="29"/>
  <c r="K3276" i="29"/>
  <c r="U3276" i="29"/>
  <c r="K4640" i="29"/>
  <c r="U4640" i="29"/>
  <c r="W4209" i="29"/>
  <c r="J4209" i="29"/>
  <c r="K1183" i="29"/>
  <c r="U1183" i="29"/>
  <c r="U2299" i="29"/>
  <c r="K2299" i="29"/>
  <c r="K1254" i="29"/>
  <c r="K5927" i="29"/>
  <c r="K2623" i="29"/>
  <c r="K3264" i="29"/>
  <c r="U3264" i="29"/>
  <c r="K2119" i="29"/>
  <c r="J3954" i="29"/>
  <c r="W3954" i="29"/>
  <c r="U1511" i="29"/>
  <c r="K1511" i="29"/>
  <c r="K1521" i="29"/>
  <c r="K3478" i="29"/>
  <c r="K2516" i="29"/>
  <c r="U2516" i="29"/>
  <c r="J2472" i="29"/>
  <c r="W2472" i="29"/>
  <c r="U5384" i="29"/>
  <c r="K5384" i="29"/>
  <c r="U3286" i="29"/>
  <c r="J4932" i="29"/>
  <c r="W4932" i="29"/>
  <c r="K3700" i="29"/>
  <c r="U3700" i="29"/>
  <c r="J844" i="29"/>
  <c r="W844" i="29"/>
  <c r="K4472" i="29"/>
  <c r="U4472" i="29"/>
  <c r="K3839" i="29"/>
  <c r="K3698" i="29"/>
  <c r="K533" i="29"/>
  <c r="W2874" i="29"/>
  <c r="J2874" i="29"/>
  <c r="K4779" i="29"/>
  <c r="U4779" i="29"/>
  <c r="U2359" i="29"/>
  <c r="U7769" i="29"/>
  <c r="U6870" i="29"/>
  <c r="K6706" i="29"/>
  <c r="J6676" i="29"/>
  <c r="J5432" i="29"/>
  <c r="K5432" i="29"/>
  <c r="W3698" i="29"/>
  <c r="U3698" i="29"/>
  <c r="U616" i="29"/>
  <c r="U987" i="29"/>
  <c r="K3210" i="29"/>
  <c r="K6589" i="29"/>
  <c r="K7008" i="29"/>
  <c r="U6076" i="29"/>
  <c r="U4095" i="29"/>
  <c r="K4095" i="29"/>
  <c r="K5580" i="29"/>
  <c r="U5580" i="29"/>
  <c r="U4921" i="29"/>
  <c r="K4921" i="29"/>
  <c r="K5385" i="29"/>
  <c r="U5385" i="29"/>
  <c r="K4024" i="29"/>
  <c r="W2006" i="29"/>
  <c r="J2006" i="29"/>
  <c r="J3406" i="29"/>
  <c r="W3406" i="29"/>
  <c r="W3540" i="29"/>
  <c r="J3540" i="29"/>
  <c r="K5232" i="29"/>
  <c r="U5232" i="29"/>
  <c r="U3516" i="29"/>
  <c r="K3516" i="29"/>
  <c r="W847" i="29"/>
  <c r="J847" i="29"/>
  <c r="K5811" i="29"/>
  <c r="W4397" i="29"/>
  <c r="J4397" i="29"/>
  <c r="W4243" i="29"/>
  <c r="J4243" i="29"/>
  <c r="K4019" i="29"/>
  <c r="U4019" i="29"/>
  <c r="K3004" i="29"/>
  <c r="W4756" i="29"/>
  <c r="J4756" i="29"/>
  <c r="K6491" i="29"/>
  <c r="U6491" i="29"/>
  <c r="K4969" i="29"/>
  <c r="U4969" i="29"/>
  <c r="U4646" i="29"/>
  <c r="K4646" i="29"/>
  <c r="J595" i="29"/>
  <c r="W595" i="29"/>
  <c r="K7586" i="29"/>
  <c r="J3005" i="29"/>
  <c r="W3005" i="29"/>
  <c r="K7148" i="29"/>
  <c r="J5246" i="29"/>
  <c r="W5246" i="29"/>
  <c r="K5833" i="29"/>
  <c r="U5833" i="29"/>
  <c r="K426" i="29"/>
  <c r="U426" i="29"/>
  <c r="K3326" i="29"/>
  <c r="W2500" i="29"/>
  <c r="J2500" i="29"/>
  <c r="U2435" i="29"/>
  <c r="K2435" i="29"/>
  <c r="W4462" i="29"/>
  <c r="J4462" i="29"/>
  <c r="W2331" i="29"/>
  <c r="J2331" i="29"/>
  <c r="K4730" i="29"/>
  <c r="J7021" i="29"/>
  <c r="U7021" i="29"/>
  <c r="K5837" i="29"/>
  <c r="K7447" i="29"/>
  <c r="K6658" i="29"/>
  <c r="K7089" i="29"/>
  <c r="K6083" i="29"/>
  <c r="K1148" i="29"/>
  <c r="U1148" i="29"/>
  <c r="U3006" i="29"/>
  <c r="K3006" i="29"/>
  <c r="K5733" i="29"/>
  <c r="J973" i="29"/>
  <c r="W973" i="29"/>
  <c r="K4174" i="29"/>
  <c r="W1767" i="29"/>
  <c r="J1767" i="29"/>
  <c r="K4128" i="29"/>
  <c r="U4128" i="29"/>
  <c r="U3422" i="29"/>
  <c r="K3422" i="29"/>
  <c r="J2891" i="29"/>
  <c r="W2891" i="29"/>
  <c r="K4511" i="29"/>
  <c r="U4511" i="29"/>
  <c r="W4495" i="29"/>
  <c r="J4495" i="29"/>
  <c r="K2441" i="29"/>
  <c r="K6374" i="29"/>
  <c r="U6374" i="29"/>
  <c r="K555" i="29"/>
  <c r="U555" i="29"/>
  <c r="J3021" i="29"/>
  <c r="K3021" i="29"/>
  <c r="W3021" i="29"/>
  <c r="K2512" i="29"/>
  <c r="U2512" i="29"/>
  <c r="W4880" i="29"/>
  <c r="J4880" i="29"/>
  <c r="K1368" i="29"/>
  <c r="J2235" i="29"/>
  <c r="W2235" i="29"/>
  <c r="U2355" i="29"/>
  <c r="K2355" i="29"/>
  <c r="J3794" i="29"/>
  <c r="W3794" i="29"/>
  <c r="U5938" i="29"/>
  <c r="K5938" i="29"/>
  <c r="K2466" i="29"/>
  <c r="J2228" i="29"/>
  <c r="K2228" i="29"/>
  <c r="W2228" i="29"/>
  <c r="K3537" i="29"/>
  <c r="K5042" i="29"/>
  <c r="U4721" i="29"/>
  <c r="K7694" i="29"/>
  <c r="U5190" i="29"/>
  <c r="K5190" i="29"/>
  <c r="U2408" i="29"/>
  <c r="K7226" i="29"/>
  <c r="W4684" i="29"/>
  <c r="J4684" i="29"/>
  <c r="W2786" i="29"/>
  <c r="J2786" i="29"/>
  <c r="W4234" i="29"/>
  <c r="J4234" i="29"/>
  <c r="W2212" i="29"/>
  <c r="J2212" i="29"/>
  <c r="K4300" i="29"/>
  <c r="K7111" i="29"/>
  <c r="U3798" i="29"/>
  <c r="K3798" i="29"/>
  <c r="K6734" i="29"/>
  <c r="K2835" i="29"/>
  <c r="K7758" i="29"/>
  <c r="J7738" i="29"/>
  <c r="W1045" i="29"/>
  <c r="U1045" i="29"/>
  <c r="U6310" i="29"/>
  <c r="K6384" i="29"/>
  <c r="U1217" i="29"/>
  <c r="K1217" i="29"/>
  <c r="U1838" i="29"/>
  <c r="K1838" i="29"/>
  <c r="U5405" i="29"/>
  <c r="K5405" i="29"/>
  <c r="K5970" i="29"/>
  <c r="U5970" i="29"/>
  <c r="U3481" i="29"/>
  <c r="K3481" i="29"/>
  <c r="J4940" i="29"/>
  <c r="K4940" i="29"/>
  <c r="W4940" i="29"/>
  <c r="U4194" i="29"/>
  <c r="K4194" i="29"/>
  <c r="W3732" i="29"/>
  <c r="J3732" i="29"/>
  <c r="U6303" i="29"/>
  <c r="K6303" i="29"/>
  <c r="J5021" i="29"/>
  <c r="W5021" i="29"/>
  <c r="K2826" i="29"/>
  <c r="U3951" i="29"/>
  <c r="K3951" i="29"/>
  <c r="U5001" i="29"/>
  <c r="W6326" i="29"/>
  <c r="J6326" i="29"/>
  <c r="W4947" i="29"/>
  <c r="J4947" i="29"/>
  <c r="K5345" i="29"/>
  <c r="W4484" i="29"/>
  <c r="J4484" i="29"/>
  <c r="W4453" i="29"/>
  <c r="J4453" i="29"/>
  <c r="W4753" i="29"/>
  <c r="J4753" i="29"/>
  <c r="K3465" i="29"/>
  <c r="U3465" i="29"/>
  <c r="K442" i="29"/>
  <c r="K4864" i="29"/>
  <c r="K6128" i="29"/>
  <c r="U6128" i="29"/>
  <c r="K5601" i="29"/>
  <c r="K4659" i="29"/>
  <c r="U4659" i="29"/>
  <c r="K3676" i="29"/>
  <c r="U3676" i="29"/>
  <c r="K4350" i="29"/>
  <c r="K2325" i="29"/>
  <c r="U2325" i="29"/>
  <c r="K6045" i="29"/>
  <c r="U6045" i="29"/>
  <c r="U5675" i="29"/>
  <c r="K5675" i="29"/>
  <c r="J1529" i="29"/>
  <c r="W1529" i="29"/>
  <c r="K2689" i="29"/>
  <c r="J6514" i="29"/>
  <c r="U4948" i="29"/>
  <c r="K2359" i="29"/>
  <c r="K3504" i="29"/>
  <c r="K7117" i="29"/>
  <c r="J4549" i="29"/>
  <c r="U4549" i="29"/>
  <c r="K5778" i="29"/>
  <c r="U5778" i="29"/>
  <c r="K3254" i="29"/>
  <c r="U3254" i="29"/>
  <c r="U2327" i="29"/>
  <c r="U1111" i="29"/>
  <c r="K1111" i="29"/>
  <c r="W3027" i="29"/>
  <c r="J3027" i="29"/>
  <c r="U3722" i="29"/>
  <c r="K3722" i="29"/>
  <c r="U418" i="29"/>
  <c r="J3493" i="29"/>
  <c r="W3493" i="29"/>
  <c r="K2383" i="29"/>
  <c r="U2383" i="29"/>
  <c r="K6234" i="29"/>
  <c r="K2467" i="29"/>
  <c r="U6294" i="29"/>
  <c r="K6294" i="29"/>
  <c r="J3266" i="29"/>
  <c r="W3266" i="29"/>
  <c r="U4672" i="29"/>
  <c r="K4672" i="29"/>
  <c r="U2648" i="29"/>
  <c r="K2648" i="29"/>
  <c r="K3305" i="29"/>
  <c r="U3513" i="29"/>
  <c r="K3513" i="29"/>
  <c r="K5316" i="29"/>
  <c r="K2531" i="29"/>
  <c r="W8043" i="29"/>
  <c r="U8043" i="29"/>
  <c r="K3592" i="29"/>
  <c r="U3592" i="29"/>
  <c r="K2702" i="29"/>
  <c r="U2702" i="29"/>
  <c r="K2620" i="29"/>
  <c r="K3755" i="29"/>
  <c r="U3755" i="29"/>
  <c r="K3949" i="29"/>
  <c r="U4309" i="29"/>
  <c r="K4309" i="29"/>
  <c r="U2581" i="29"/>
  <c r="K1147" i="29"/>
  <c r="U1147" i="29"/>
  <c r="K8052" i="29"/>
  <c r="J2946" i="29"/>
  <c r="W2946" i="29"/>
  <c r="U4722" i="29"/>
  <c r="K6498" i="29"/>
  <c r="K6640" i="29"/>
  <c r="K4442" i="29"/>
  <c r="U4442" i="29"/>
  <c r="U4600" i="29"/>
  <c r="K4600" i="29"/>
  <c r="K4632" i="29"/>
  <c r="K4366" i="29"/>
  <c r="U4366" i="29"/>
  <c r="K5988" i="29"/>
  <c r="U5988" i="29"/>
  <c r="K1462" i="29"/>
  <c r="K4013" i="29"/>
  <c r="K3311" i="29"/>
  <c r="J2801" i="29"/>
  <c r="W2801" i="29"/>
  <c r="J2829" i="29"/>
  <c r="W2829" i="29"/>
  <c r="K4974" i="29"/>
  <c r="U4974" i="29"/>
  <c r="U4052" i="29"/>
  <c r="K4052" i="29"/>
  <c r="J2607" i="29"/>
  <c r="W2607" i="29"/>
  <c r="K3091" i="29"/>
  <c r="W4820" i="29"/>
  <c r="J4820" i="29"/>
  <c r="K4962" i="29"/>
  <c r="U4962" i="29"/>
  <c r="W4944" i="29"/>
  <c r="J4944" i="29"/>
  <c r="U3411" i="29"/>
  <c r="K3411" i="29"/>
  <c r="U5784" i="29"/>
  <c r="K5784" i="29"/>
  <c r="K3697" i="29"/>
  <c r="U4930" i="29"/>
  <c r="U3385" i="29"/>
  <c r="K3385" i="29"/>
  <c r="W6903" i="29"/>
  <c r="U6903" i="29"/>
  <c r="W4931" i="29"/>
  <c r="U4931" i="29"/>
  <c r="K7605" i="29"/>
  <c r="W1807" i="29"/>
  <c r="J1807" i="29"/>
  <c r="U4910" i="29"/>
  <c r="K4910" i="29"/>
  <c r="U4474" i="29"/>
  <c r="K4474" i="29"/>
  <c r="K2365" i="29"/>
  <c r="U3603" i="29"/>
  <c r="K3603" i="29"/>
  <c r="K1577" i="29"/>
  <c r="U1577" i="29"/>
  <c r="K3772" i="29"/>
  <c r="K2939" i="29"/>
  <c r="U2939" i="29"/>
  <c r="J1158" i="29"/>
  <c r="W1158" i="29"/>
  <c r="W4177" i="29"/>
  <c r="J4177" i="29"/>
  <c r="U321" i="29"/>
  <c r="K321" i="29"/>
  <c r="W5559" i="29"/>
  <c r="J5559" i="29"/>
  <c r="W4681" i="29"/>
  <c r="J4681" i="29"/>
  <c r="K4901" i="29"/>
  <c r="J5259" i="29"/>
  <c r="W5259" i="29"/>
  <c r="K2244" i="29"/>
  <c r="K3076" i="29"/>
  <c r="W2255" i="29"/>
  <c r="J2255" i="29"/>
  <c r="K2389" i="29"/>
  <c r="U2389" i="29"/>
  <c r="K2390" i="29"/>
  <c r="U5404" i="29"/>
  <c r="K8087" i="29"/>
  <c r="K7590" i="29"/>
  <c r="K6885" i="29"/>
  <c r="U6885" i="29"/>
  <c r="U8063" i="29"/>
  <c r="K8063" i="29"/>
  <c r="U7828" i="29"/>
  <c r="K7828" i="29"/>
  <c r="K3546" i="29"/>
  <c r="K3636" i="29"/>
  <c r="U6561" i="29"/>
  <c r="K6561" i="29"/>
  <c r="U7313" i="29"/>
  <c r="K7313" i="29"/>
  <c r="K7696" i="29"/>
  <c r="U7696" i="29"/>
  <c r="K6552" i="29"/>
  <c r="U6552" i="29"/>
  <c r="K6526" i="29"/>
  <c r="K7044" i="29"/>
  <c r="K6743" i="29"/>
  <c r="K7921" i="29"/>
  <c r="U7921" i="29"/>
  <c r="U6683" i="29"/>
  <c r="K6683" i="29"/>
  <c r="K6583" i="29"/>
  <c r="K6562" i="29"/>
  <c r="K7105" i="29"/>
  <c r="U7105" i="29"/>
  <c r="U7519" i="29"/>
  <c r="K7519" i="29"/>
  <c r="U4291" i="29"/>
  <c r="K4291" i="29"/>
  <c r="U2407" i="29"/>
  <c r="K2407" i="29"/>
  <c r="J3649" i="29"/>
  <c r="W3649" i="29"/>
  <c r="K3170" i="29"/>
  <c r="K1348" i="29"/>
  <c r="U1348" i="29"/>
  <c r="K3782" i="29"/>
  <c r="K6953" i="29"/>
  <c r="U6953" i="29"/>
  <c r="U4021" i="29"/>
  <c r="K4021" i="29"/>
  <c r="W7891" i="29"/>
  <c r="J7891" i="29"/>
  <c r="K7248" i="29"/>
  <c r="K6050" i="29"/>
  <c r="J1553" i="29"/>
  <c r="W1553" i="29"/>
  <c r="W1547" i="29"/>
  <c r="J1547" i="29"/>
  <c r="K5346" i="29"/>
  <c r="U5346" i="29"/>
  <c r="K2507" i="29"/>
  <c r="U2507" i="29"/>
  <c r="K4761" i="29"/>
  <c r="U4761" i="29"/>
  <c r="K4857" i="29"/>
  <c r="K3923" i="29"/>
  <c r="U3923" i="29"/>
  <c r="K6269" i="29"/>
  <c r="W965" i="29"/>
  <c r="J965" i="29"/>
  <c r="K4661" i="29"/>
  <c r="K7161" i="29"/>
  <c r="K899" i="29"/>
  <c r="U8005" i="29"/>
  <c r="K7677" i="29"/>
  <c r="K7215" i="29"/>
  <c r="U1874" i="29"/>
  <c r="K1874" i="29"/>
  <c r="U4602" i="29"/>
  <c r="K4602" i="29"/>
  <c r="K3472" i="29"/>
  <c r="K4290" i="29"/>
  <c r="U4290" i="29"/>
  <c r="U2866" i="29"/>
  <c r="K2866" i="29"/>
  <c r="K6012" i="29"/>
  <c r="J4748" i="29"/>
  <c r="W4748" i="29"/>
  <c r="K2357" i="29"/>
  <c r="U4795" i="29"/>
  <c r="K4795" i="29"/>
  <c r="W4184" i="29"/>
  <c r="J4184" i="29"/>
  <c r="W4383" i="29"/>
  <c r="J4383" i="29"/>
  <c r="K5312" i="29"/>
  <c r="U5312" i="29"/>
  <c r="W1496" i="29"/>
  <c r="J1496" i="29"/>
  <c r="K5882" i="29"/>
  <c r="W2413" i="29"/>
  <c r="J2413" i="29"/>
  <c r="K4175" i="29"/>
  <c r="U4175" i="29"/>
  <c r="W3907" i="29"/>
  <c r="J3907" i="29"/>
  <c r="K4752" i="29"/>
  <c r="K6281" i="29"/>
  <c r="U941" i="29"/>
  <c r="W4132" i="29"/>
  <c r="J4132" i="29"/>
  <c r="U1927" i="29"/>
  <c r="K1927" i="29"/>
  <c r="K1823" i="29"/>
  <c r="U4928" i="29"/>
  <c r="K4928" i="29"/>
  <c r="K8006" i="29"/>
  <c r="K1406" i="29"/>
  <c r="U1406" i="29"/>
  <c r="K3711" i="29"/>
  <c r="U3711" i="29"/>
  <c r="J3979" i="29"/>
  <c r="W3979" i="29"/>
  <c r="U3946" i="29"/>
  <c r="K3946" i="29"/>
  <c r="J2893" i="29"/>
  <c r="K2893" i="29"/>
  <c r="W2893" i="29"/>
  <c r="W4654" i="29"/>
  <c r="J4654" i="29"/>
  <c r="K7983" i="29"/>
  <c r="U7983" i="29"/>
  <c r="K6737" i="29"/>
  <c r="K1404" i="29"/>
  <c r="U1404" i="29"/>
  <c r="K1379" i="29"/>
  <c r="K813" i="29"/>
  <c r="U813" i="29"/>
  <c r="K7843" i="29"/>
  <c r="U7664" i="29"/>
  <c r="K6786" i="29"/>
  <c r="U8073" i="29"/>
  <c r="W1097" i="29"/>
  <c r="U1097" i="29"/>
  <c r="W3371" i="29"/>
  <c r="J3371" i="29"/>
  <c r="K7898" i="29"/>
  <c r="K5854" i="29"/>
  <c r="W6526" i="29"/>
  <c r="U6526" i="29"/>
  <c r="K8102" i="29"/>
  <c r="J7278" i="29"/>
  <c r="W7278" i="29"/>
  <c r="K6735" i="29"/>
  <c r="K6143" i="29"/>
  <c r="K7550" i="29"/>
  <c r="U7550" i="29"/>
  <c r="U4305" i="29"/>
  <c r="K4305" i="29"/>
  <c r="K3224" i="29"/>
  <c r="U1236" i="29"/>
  <c r="K1236" i="29"/>
  <c r="J4226" i="29"/>
  <c r="K4226" i="29"/>
  <c r="U5306" i="29"/>
  <c r="K5306" i="29"/>
  <c r="K3162" i="29"/>
  <c r="J4738" i="29"/>
  <c r="W4738" i="29"/>
  <c r="J2907" i="29"/>
  <c r="W2907" i="29"/>
  <c r="K5325" i="29"/>
  <c r="U5325" i="29"/>
  <c r="K4978" i="29"/>
  <c r="K2555" i="29"/>
  <c r="U2555" i="29"/>
  <c r="K2721" i="29"/>
  <c r="J4144" i="29"/>
  <c r="W4144" i="29"/>
  <c r="K1298" i="29"/>
  <c r="K4229" i="29"/>
  <c r="U1636" i="29"/>
  <c r="K1636" i="29"/>
  <c r="K2089" i="29"/>
  <c r="U2089" i="29"/>
  <c r="J2417" i="29"/>
  <c r="K2417" i="29"/>
  <c r="W2417" i="29"/>
  <c r="K4188" i="29"/>
  <c r="K4116" i="29"/>
  <c r="U5758" i="29"/>
  <c r="K5758" i="29"/>
  <c r="J1227" i="29"/>
  <c r="W1227" i="29"/>
  <c r="J1260" i="29"/>
  <c r="W1260" i="29"/>
  <c r="K4012" i="29"/>
  <c r="J4211" i="29"/>
  <c r="K4211" i="29"/>
  <c r="W4211" i="29"/>
  <c r="J860" i="29"/>
  <c r="W860" i="29"/>
  <c r="K2033" i="29"/>
  <c r="K5171" i="29"/>
  <c r="U7104" i="29"/>
  <c r="K7104" i="29"/>
  <c r="K3145" i="29"/>
  <c r="K2989" i="29"/>
  <c r="U4836" i="29"/>
  <c r="K4836" i="29"/>
  <c r="K5610" i="29"/>
  <c r="K4454" i="29"/>
  <c r="K3803" i="29"/>
  <c r="U3803" i="29"/>
  <c r="K3227" i="29"/>
  <c r="U3227" i="29"/>
  <c r="U5310" i="29"/>
  <c r="K5310" i="29"/>
  <c r="K2370" i="29"/>
  <c r="W3735" i="29"/>
  <c r="J3735" i="29"/>
  <c r="W5195" i="29"/>
  <c r="J5195" i="29"/>
  <c r="W823" i="29"/>
  <c r="J823" i="29"/>
  <c r="K3498" i="29"/>
  <c r="W4033" i="29"/>
  <c r="J4033" i="29"/>
  <c r="U7710" i="29"/>
  <c r="K7427" i="29"/>
  <c r="U7317" i="29"/>
  <c r="K7753" i="29"/>
  <c r="K7388" i="29"/>
  <c r="U7385" i="29"/>
  <c r="K7385" i="29"/>
  <c r="U7522" i="29"/>
  <c r="K7522" i="29"/>
  <c r="U4858" i="29"/>
  <c r="K4858" i="29"/>
  <c r="K4466" i="29"/>
  <c r="W7703" i="29"/>
  <c r="J7703" i="29"/>
  <c r="K7703" i="29"/>
  <c r="K2590" i="29"/>
  <c r="U2590" i="29"/>
  <c r="W3310" i="29"/>
  <c r="J3310" i="29"/>
  <c r="K5351" i="29"/>
  <c r="K3314" i="29"/>
  <c r="U3314" i="29"/>
  <c r="K1045" i="29"/>
  <c r="W4624" i="29"/>
  <c r="J4624" i="29"/>
  <c r="J3909" i="29"/>
  <c r="W3909" i="29"/>
  <c r="K3492" i="29"/>
  <c r="K3871" i="29"/>
  <c r="U4590" i="29"/>
  <c r="K4590" i="29"/>
  <c r="U1314" i="29"/>
  <c r="J2344" i="29"/>
  <c r="K2344" i="29"/>
  <c r="W2344" i="29"/>
  <c r="U4107" i="29"/>
  <c r="K4827" i="29"/>
  <c r="U4827" i="29"/>
  <c r="K4427" i="29"/>
  <c r="U4427" i="29"/>
  <c r="K3747" i="29"/>
  <c r="J4814" i="29"/>
  <c r="K4814" i="29"/>
  <c r="W4814" i="29"/>
  <c r="K2221" i="29"/>
  <c r="U204" i="29"/>
  <c r="K204" i="29"/>
  <c r="K3838" i="29"/>
  <c r="K4434" i="29"/>
  <c r="K3771" i="29"/>
  <c r="J3895" i="29"/>
  <c r="K3895" i="29"/>
  <c r="W3895" i="29"/>
  <c r="W2429" i="29"/>
  <c r="J2429" i="29"/>
  <c r="U7440" i="29"/>
  <c r="U6982" i="29"/>
  <c r="K6982" i="29"/>
  <c r="K6964" i="29"/>
  <c r="K4625" i="29"/>
  <c r="J6957" i="29"/>
  <c r="K6957" i="29"/>
  <c r="W6957" i="29"/>
  <c r="K6040" i="29"/>
  <c r="J4642" i="29"/>
  <c r="W4642" i="29"/>
  <c r="W3941" i="29"/>
  <c r="J3941" i="29"/>
  <c r="K3682" i="29"/>
  <c r="U2411" i="29"/>
  <c r="K2411" i="29"/>
  <c r="W7651" i="29"/>
  <c r="J7651" i="29"/>
  <c r="J2101" i="29"/>
  <c r="W2101" i="29"/>
  <c r="U6636" i="29"/>
  <c r="K6636" i="29"/>
  <c r="K4485" i="29"/>
  <c r="W5419" i="29"/>
  <c r="J5419" i="29"/>
  <c r="K4340" i="29"/>
  <c r="U4340" i="29"/>
  <c r="J5858" i="29"/>
  <c r="W5858" i="29"/>
  <c r="K4117" i="29"/>
  <c r="K5825" i="29"/>
  <c r="K7317" i="29"/>
  <c r="U3260" i="29"/>
  <c r="K3260" i="29"/>
  <c r="U4838" i="29"/>
  <c r="K4838" i="29"/>
  <c r="J2267" i="29"/>
  <c r="W2267" i="29"/>
  <c r="K7653" i="29"/>
  <c r="K1956" i="29"/>
  <c r="K8007" i="29"/>
  <c r="K7389" i="29"/>
  <c r="U7389" i="29"/>
  <c r="K2566" i="29"/>
  <c r="K4550" i="29"/>
  <c r="K3485" i="29"/>
  <c r="U3485" i="29"/>
  <c r="U3964" i="29"/>
  <c r="U1165" i="29"/>
  <c r="K1165" i="29"/>
  <c r="K6089" i="29"/>
  <c r="J4806" i="29"/>
  <c r="K4806" i="29"/>
  <c r="U6653" i="29"/>
  <c r="K6961" i="29"/>
  <c r="U3275" i="29"/>
  <c r="K7577" i="29"/>
  <c r="U7577" i="29"/>
  <c r="U7007" i="29"/>
  <c r="K7007" i="29"/>
  <c r="W7060" i="29"/>
  <c r="J7060" i="29"/>
  <c r="J5390" i="29"/>
  <c r="W5390" i="29"/>
  <c r="W1077" i="29"/>
  <c r="J1077" i="29"/>
  <c r="K5962" i="29"/>
  <c r="J5567" i="29"/>
  <c r="W5567" i="29"/>
  <c r="K4105" i="29"/>
  <c r="U4105" i="29"/>
  <c r="K3788" i="29"/>
  <c r="J5470" i="29"/>
  <c r="W5470" i="29"/>
  <c r="U7841" i="29"/>
  <c r="K7841" i="29"/>
  <c r="W5720" i="29"/>
  <c r="J5720" i="29"/>
  <c r="K3604" i="29"/>
  <c r="K7971" i="29"/>
  <c r="K7848" i="29"/>
  <c r="K4049" i="29"/>
  <c r="K1798" i="29"/>
  <c r="W6756" i="29"/>
  <c r="J6756" i="29"/>
  <c r="W5124" i="29"/>
  <c r="J5124" i="29"/>
  <c r="U4729" i="29"/>
  <c r="K4729" i="29"/>
  <c r="W5357" i="29"/>
  <c r="J5357" i="29"/>
  <c r="J6333" i="29"/>
  <c r="W6333" i="29"/>
  <c r="K2384" i="29"/>
  <c r="U2384" i="29"/>
  <c r="K7302" i="29"/>
  <c r="U7191" i="29"/>
  <c r="K7191" i="29"/>
  <c r="U6639" i="29"/>
  <c r="K6639" i="29"/>
  <c r="U1456" i="29"/>
  <c r="K1456" i="29"/>
  <c r="K4268" i="29"/>
  <c r="U1692" i="29"/>
  <c r="K1692" i="29"/>
  <c r="W4112" i="29"/>
  <c r="J4112" i="29"/>
  <c r="U4791" i="29"/>
  <c r="K7446" i="29"/>
  <c r="K6862" i="29"/>
  <c r="U6862" i="29"/>
  <c r="U6548" i="29"/>
  <c r="K6548" i="29"/>
  <c r="K6891" i="29"/>
  <c r="K4473" i="29"/>
  <c r="K3194" i="29"/>
  <c r="U3194" i="29"/>
  <c r="U1284" i="29"/>
  <c r="K1284" i="29"/>
  <c r="U2414" i="29"/>
  <c r="K2414" i="29"/>
  <c r="K2009" i="29"/>
  <c r="K4689" i="29"/>
  <c r="U4689" i="29"/>
  <c r="K6254" i="29"/>
  <c r="U7415" i="29"/>
  <c r="U7167" i="29"/>
  <c r="K6653" i="29"/>
  <c r="U6809" i="29"/>
  <c r="K2245" i="29"/>
  <c r="U4760" i="29"/>
  <c r="U6732" i="29"/>
  <c r="K7832" i="29"/>
  <c r="U7832" i="29"/>
  <c r="K7110" i="29"/>
  <c r="K6395" i="29"/>
  <c r="K7714" i="29"/>
  <c r="K7802" i="29"/>
  <c r="K7528" i="29"/>
  <c r="U7709" i="29"/>
  <c r="K7709" i="29"/>
  <c r="K2739" i="29"/>
  <c r="U4304" i="29"/>
  <c r="K4304" i="29"/>
  <c r="K5250" i="29"/>
  <c r="K2581" i="29"/>
  <c r="W5207" i="29"/>
  <c r="J5207" i="29"/>
  <c r="W3278" i="29"/>
  <c r="J3278" i="29"/>
  <c r="W3088" i="29"/>
  <c r="J3088" i="29"/>
  <c r="K616" i="29"/>
  <c r="K5457" i="29"/>
  <c r="K3339" i="29"/>
  <c r="K5030" i="29"/>
  <c r="K3167" i="29"/>
  <c r="J4162" i="29"/>
  <c r="W4162" i="29"/>
  <c r="W3827" i="29"/>
  <c r="J3827" i="29"/>
  <c r="U77" i="29"/>
  <c r="K77" i="29"/>
  <c r="K2582" i="29"/>
  <c r="U4123" i="29"/>
  <c r="K4123" i="29"/>
  <c r="K1268" i="29"/>
  <c r="K6118" i="29"/>
  <c r="U3241" i="29"/>
  <c r="K3241" i="29"/>
  <c r="U808" i="29"/>
  <c r="K808" i="29"/>
  <c r="K7825" i="29"/>
  <c r="U7825" i="29"/>
  <c r="K6805" i="29"/>
  <c r="K7888" i="29"/>
  <c r="U6059" i="29"/>
  <c r="K6059" i="29"/>
  <c r="K6486" i="29"/>
  <c r="U6486" i="29"/>
  <c r="W4403" i="29"/>
  <c r="J4403" i="29"/>
  <c r="J3745" i="29"/>
  <c r="K3745" i="29"/>
  <c r="W3745" i="29"/>
  <c r="U2306" i="29"/>
  <c r="K2306" i="29"/>
  <c r="U4620" i="29"/>
  <c r="K4167" i="29"/>
  <c r="K7775" i="29"/>
  <c r="J2262" i="29"/>
  <c r="W2262" i="29"/>
  <c r="U1422" i="29"/>
  <c r="K1422" i="29"/>
  <c r="J4203" i="29"/>
  <c r="W4203" i="29"/>
  <c r="K6860" i="29"/>
  <c r="K3275" i="29"/>
  <c r="K3643" i="29"/>
  <c r="U6625" i="29"/>
  <c r="K6625" i="29"/>
  <c r="K7987" i="29"/>
  <c r="U7987" i="29"/>
  <c r="U7029" i="29"/>
  <c r="K7029" i="29"/>
  <c r="K1364" i="29"/>
  <c r="U1364" i="29"/>
  <c r="K3666" i="29"/>
  <c r="K5483" i="29"/>
  <c r="K2699" i="29"/>
  <c r="K3073" i="29"/>
  <c r="W4057" i="29"/>
  <c r="J4057" i="29"/>
  <c r="K1791" i="29"/>
  <c r="U1791" i="29"/>
  <c r="K3968" i="29"/>
  <c r="K7660" i="29"/>
  <c r="K4768" i="29"/>
  <c r="U2455" i="29"/>
  <c r="K2455" i="29"/>
  <c r="K5218" i="29"/>
  <c r="J5198" i="29"/>
  <c r="K5198" i="29"/>
  <c r="W5198" i="29"/>
  <c r="K1133" i="29"/>
  <c r="U7223" i="29"/>
  <c r="K7223" i="29"/>
  <c r="K7202" i="29"/>
  <c r="U7202" i="29"/>
  <c r="K3115" i="29"/>
  <c r="K5402" i="29"/>
  <c r="K7580" i="29"/>
  <c r="K2117" i="29"/>
  <c r="U2117" i="29"/>
  <c r="K3036" i="29"/>
  <c r="U4982" i="29"/>
  <c r="K4982" i="29"/>
  <c r="W5201" i="29"/>
  <c r="J5201" i="29"/>
  <c r="W5275" i="29"/>
  <c r="J5275" i="29"/>
  <c r="J7344" i="29"/>
  <c r="U7344" i="29"/>
  <c r="W7054" i="29"/>
  <c r="U7054" i="29"/>
  <c r="U7155" i="29"/>
  <c r="U7108" i="29"/>
  <c r="J4061" i="29"/>
  <c r="U4061" i="29"/>
  <c r="K7249" i="29"/>
  <c r="K6815" i="29"/>
  <c r="U6392" i="29"/>
  <c r="K6392" i="29"/>
  <c r="U6810" i="29"/>
  <c r="K6810" i="29"/>
  <c r="W3368" i="29"/>
  <c r="J3368" i="29"/>
  <c r="K3368" i="29"/>
  <c r="K7429" i="29"/>
  <c r="K4045" i="29"/>
  <c r="K3181" i="29"/>
  <c r="U3181" i="29"/>
  <c r="K2490" i="29"/>
  <c r="U2490" i="29"/>
  <c r="W3706" i="29"/>
  <c r="J3706" i="29"/>
  <c r="J4402" i="29"/>
  <c r="U4402" i="29"/>
  <c r="J4811" i="29"/>
  <c r="W4811" i="29"/>
  <c r="W3892" i="29"/>
  <c r="J3892" i="29"/>
  <c r="K3159" i="29"/>
  <c r="K4499" i="29"/>
  <c r="K1797" i="29"/>
  <c r="U1797" i="29"/>
  <c r="J4247" i="29"/>
  <c r="W4247" i="29"/>
  <c r="U1289" i="29"/>
  <c r="K1289" i="29"/>
  <c r="U7981" i="29"/>
  <c r="K7981" i="29"/>
  <c r="U6315" i="29"/>
  <c r="K6315" i="29"/>
  <c r="K6790" i="29"/>
  <c r="K6794" i="29"/>
  <c r="U6794" i="29"/>
  <c r="U4835" i="29"/>
  <c r="K4835" i="29"/>
  <c r="K4788" i="29"/>
  <c r="K3536" i="29"/>
  <c r="K7383" i="29"/>
  <c r="K7386" i="29"/>
  <c r="U7386" i="29"/>
  <c r="K7806" i="29"/>
  <c r="K2664" i="29"/>
  <c r="K1676" i="29"/>
  <c r="J5523" i="29"/>
  <c r="W5523" i="29"/>
  <c r="K1412" i="29"/>
  <c r="U2341" i="29"/>
  <c r="K2341" i="29"/>
  <c r="K7211" i="29"/>
  <c r="K5129" i="29"/>
  <c r="K8100" i="29"/>
  <c r="U7390" i="29"/>
  <c r="K7390" i="29"/>
  <c r="U8060" i="29"/>
  <c r="K8060" i="29"/>
  <c r="U7919" i="29"/>
  <c r="K7919" i="29"/>
  <c r="U2551" i="29"/>
  <c r="K2551" i="29"/>
  <c r="K1966" i="29"/>
  <c r="U1966" i="29"/>
  <c r="K3670" i="29"/>
  <c r="K2497" i="29"/>
  <c r="U2497" i="29"/>
  <c r="J3926" i="29"/>
  <c r="W3926" i="29"/>
  <c r="U4042" i="29"/>
  <c r="K4042" i="29"/>
  <c r="K90" i="29"/>
  <c r="U90" i="29"/>
  <c r="K6002" i="29"/>
  <c r="K3613" i="29"/>
  <c r="U7682" i="29"/>
  <c r="K4759" i="29"/>
  <c r="U4759" i="29"/>
  <c r="K7845" i="29"/>
  <c r="U5073" i="29"/>
  <c r="K5073" i="29"/>
  <c r="K4522" i="29"/>
  <c r="K1845" i="29"/>
  <c r="U1845" i="29"/>
  <c r="U5160" i="29"/>
  <c r="K5160" i="29"/>
  <c r="J2503" i="29"/>
  <c r="W2503" i="29"/>
  <c r="W4688" i="29"/>
  <c r="J4688" i="29"/>
  <c r="K7670" i="29"/>
  <c r="K3658" i="29"/>
  <c r="K7048" i="29"/>
  <c r="K3333" i="29"/>
  <c r="K7838" i="29"/>
  <c r="U7838" i="29"/>
  <c r="U4292" i="29"/>
  <c r="K4292" i="29"/>
  <c r="W1936" i="29"/>
  <c r="J1936" i="29"/>
  <c r="U4776" i="29"/>
  <c r="K4776" i="29"/>
  <c r="K1862" i="29"/>
  <c r="K3699" i="29"/>
  <c r="U1233" i="29"/>
  <c r="K1233" i="29"/>
  <c r="J1311" i="29"/>
  <c r="W1311" i="29"/>
  <c r="U7854" i="29"/>
  <c r="K3253" i="29"/>
  <c r="K7742" i="29"/>
  <c r="K7115" i="29"/>
  <c r="K7379" i="29"/>
  <c r="U7379" i="29"/>
  <c r="K7803" i="29"/>
  <c r="K6373" i="29"/>
  <c r="K3641" i="29"/>
  <c r="U3641" i="29"/>
  <c r="U7520" i="29"/>
  <c r="K7520" i="29"/>
  <c r="U1828" i="29"/>
  <c r="K1828" i="29"/>
  <c r="U3177" i="29"/>
  <c r="K3177" i="29"/>
  <c r="K6977" i="29"/>
  <c r="K4517" i="29"/>
  <c r="U4517" i="29"/>
  <c r="U2275" i="29"/>
  <c r="U1857" i="29"/>
  <c r="K1857" i="29"/>
  <c r="K5870" i="29"/>
  <c r="U3268" i="29"/>
  <c r="K3268" i="29"/>
  <c r="K6068" i="29"/>
  <c r="W5176" i="29"/>
  <c r="J5176" i="29"/>
  <c r="U7050" i="29"/>
  <c r="K7050" i="29"/>
  <c r="K4775" i="29"/>
  <c r="K5508" i="29"/>
  <c r="W3820" i="29"/>
  <c r="J3820" i="29"/>
  <c r="U4076" i="29"/>
  <c r="K4076" i="29"/>
  <c r="U909" i="29"/>
  <c r="K909" i="29"/>
  <c r="K4860" i="29"/>
  <c r="U3402" i="29"/>
  <c r="W2889" i="29"/>
  <c r="J2889" i="29"/>
  <c r="K2889" i="29"/>
  <c r="K2608" i="29"/>
  <c r="K3937" i="29"/>
  <c r="U3501" i="29"/>
  <c r="K4172" i="29"/>
  <c r="U1380" i="29"/>
  <c r="K1380" i="29"/>
  <c r="U2356" i="29"/>
  <c r="K2356" i="29"/>
  <c r="K3190" i="29"/>
  <c r="U3190" i="29"/>
  <c r="U4206" i="29"/>
  <c r="K4206" i="29"/>
  <c r="K4422" i="29"/>
  <c r="K7253" i="29"/>
  <c r="K6332" i="29"/>
  <c r="K1127" i="29"/>
  <c r="U1127" i="29"/>
  <c r="K2588" i="29"/>
  <c r="U2588" i="29"/>
  <c r="U6560" i="29"/>
  <c r="K6560" i="29"/>
  <c r="U3348" i="29"/>
  <c r="K3348" i="29"/>
  <c r="K3774" i="29"/>
  <c r="U3774" i="29"/>
  <c r="U3032" i="29"/>
  <c r="K3032" i="29"/>
  <c r="K4641" i="29"/>
  <c r="U4641" i="29"/>
  <c r="U3865" i="29"/>
  <c r="K3865" i="29"/>
  <c r="J5577" i="29"/>
  <c r="W5577" i="29"/>
  <c r="K5596" i="29"/>
  <c r="K6806" i="29"/>
  <c r="U5460" i="29"/>
  <c r="K5460" i="29"/>
  <c r="J3742" i="29"/>
  <c r="W3742" i="29"/>
  <c r="K3105" i="29"/>
  <c r="K5262" i="29"/>
  <c r="J3024" i="29"/>
  <c r="W3024" i="29"/>
  <c r="J5035" i="29"/>
  <c r="W5035" i="29"/>
  <c r="U1655" i="29"/>
  <c r="K1655" i="29"/>
  <c r="K3581" i="29"/>
  <c r="W3901" i="29"/>
  <c r="J3901" i="29"/>
  <c r="U830" i="29"/>
  <c r="K830" i="29"/>
  <c r="K5355" i="29"/>
  <c r="J4147" i="29"/>
  <c r="W4147" i="29"/>
  <c r="W2426" i="29"/>
  <c r="J2426" i="29"/>
  <c r="J3818" i="29"/>
  <c r="W3818" i="29"/>
  <c r="W4165" i="29"/>
  <c r="J4165" i="29"/>
  <c r="K4686" i="29"/>
  <c r="W2357" i="29"/>
  <c r="U2357" i="29"/>
  <c r="U3498" i="29"/>
  <c r="J6191" i="29"/>
  <c r="W6191" i="29"/>
  <c r="U1016" i="29"/>
  <c r="U1019" i="29"/>
  <c r="W3797" i="29"/>
  <c r="J3797" i="29"/>
  <c r="K7043" i="29"/>
  <c r="U7915" i="29"/>
  <c r="K7915" i="29"/>
  <c r="K7939" i="29"/>
  <c r="U5989" i="29"/>
  <c r="U3440" i="29"/>
  <c r="K5163" i="29"/>
  <c r="U5163" i="29"/>
  <c r="K5998" i="29"/>
  <c r="K5658" i="29"/>
  <c r="U3538" i="29"/>
  <c r="K3538" i="29"/>
  <c r="K3928" i="29"/>
  <c r="K1483" i="29"/>
  <c r="K5839" i="29"/>
  <c r="U5839" i="29"/>
  <c r="K3258" i="29"/>
  <c r="U3258" i="29"/>
  <c r="K3290" i="29"/>
  <c r="U3290" i="29"/>
  <c r="W5532" i="29"/>
  <c r="J5532" i="29"/>
  <c r="K3853" i="29"/>
  <c r="U3853" i="29"/>
  <c r="U2997" i="29"/>
  <c r="K2997" i="29"/>
  <c r="K4778" i="29"/>
  <c r="J5896" i="29"/>
  <c r="W5896" i="29"/>
  <c r="K7869" i="29"/>
  <c r="U4543" i="29"/>
  <c r="K4543" i="29"/>
  <c r="K4480" i="29"/>
  <c r="U4480" i="29"/>
  <c r="W4916" i="29"/>
  <c r="J4916" i="29"/>
  <c r="K3702" i="29"/>
  <c r="K4931" i="29"/>
  <c r="K7524" i="29"/>
  <c r="K132" i="29"/>
  <c r="U132" i="29"/>
  <c r="K2572" i="29"/>
  <c r="J3723" i="29"/>
  <c r="W3723" i="29"/>
  <c r="J3988" i="29"/>
  <c r="W3988" i="29"/>
  <c r="K6371" i="29"/>
  <c r="U6371" i="29"/>
  <c r="K2730" i="29"/>
  <c r="K5617" i="29"/>
  <c r="K1918" i="29"/>
  <c r="U1918" i="29"/>
  <c r="U3259" i="29"/>
  <c r="K5211" i="29"/>
  <c r="U1245" i="29"/>
  <c r="K1245" i="29"/>
  <c r="K4615" i="29"/>
  <c r="K1278" i="29"/>
  <c r="U1278" i="29"/>
  <c r="K3828" i="29"/>
  <c r="U7581" i="29"/>
  <c r="K7819" i="29"/>
  <c r="K7033" i="29"/>
  <c r="U7033" i="29"/>
  <c r="K5624" i="29"/>
  <c r="K7609" i="29"/>
  <c r="K5609" i="29"/>
  <c r="U5609" i="29"/>
  <c r="W7646" i="29"/>
  <c r="J7646" i="29"/>
  <c r="K6937" i="29"/>
  <c r="K6408" i="29"/>
  <c r="K1740" i="29"/>
  <c r="K1620" i="29"/>
  <c r="U1620" i="29"/>
  <c r="K2649" i="29"/>
  <c r="U3026" i="29"/>
  <c r="K3026" i="29"/>
  <c r="K2991" i="29"/>
  <c r="K5442" i="29"/>
  <c r="W3075" i="29"/>
  <c r="J3075" i="29"/>
  <c r="J2043" i="29"/>
  <c r="J817" i="29"/>
  <c r="J1490" i="29"/>
  <c r="R2043" i="29"/>
  <c r="J1897" i="29"/>
  <c r="R1612" i="29"/>
  <c r="R944" i="29"/>
  <c r="R1490" i="29"/>
  <c r="J525" i="29"/>
  <c r="U525" i="29"/>
  <c r="J1960" i="29"/>
  <c r="R654" i="29"/>
  <c r="J153" i="29"/>
  <c r="J1208" i="29"/>
  <c r="J23" i="29"/>
  <c r="J654" i="29"/>
  <c r="J422" i="29"/>
  <c r="R1960" i="29"/>
  <c r="J305" i="29"/>
  <c r="J1802" i="29"/>
  <c r="J944" i="29"/>
  <c r="J459" i="29"/>
  <c r="R1373" i="29"/>
  <c r="J1612" i="29"/>
  <c r="R1802" i="29"/>
  <c r="U920" i="29"/>
  <c r="K920" i="29"/>
  <c r="U893" i="29"/>
  <c r="K893" i="29"/>
  <c r="U2298" i="29"/>
  <c r="K2298" i="29"/>
  <c r="U5299" i="29"/>
  <c r="K5299" i="29"/>
  <c r="K4272" i="29"/>
  <c r="U1351" i="29"/>
  <c r="K1351" i="29"/>
  <c r="K3913" i="29"/>
  <c r="J1373" i="29"/>
  <c r="W2350" i="29"/>
  <c r="J2350" i="29"/>
  <c r="K7780" i="29"/>
  <c r="K7488" i="29"/>
  <c r="K8086" i="29"/>
  <c r="U6723" i="29"/>
  <c r="K6723" i="29"/>
  <c r="K7833" i="29"/>
  <c r="K5621" i="29"/>
  <c r="K1232" i="29"/>
  <c r="K5287" i="29"/>
  <c r="K8083" i="29"/>
  <c r="U6551" i="29"/>
  <c r="K6551" i="29"/>
  <c r="K7610" i="29"/>
  <c r="K7185" i="29"/>
  <c r="K5393" i="29"/>
  <c r="U5393" i="29"/>
  <c r="K4718" i="29"/>
  <c r="W2264" i="29"/>
  <c r="J2264" i="29"/>
  <c r="W4058" i="29"/>
  <c r="J4058" i="29"/>
  <c r="J66" i="29"/>
  <c r="J566" i="29"/>
  <c r="J22" i="29"/>
  <c r="J3506" i="29"/>
  <c r="J495" i="29"/>
  <c r="J1330" i="29"/>
  <c r="J2845" i="29"/>
  <c r="J2027" i="29"/>
  <c r="J1720" i="29"/>
  <c r="J3193" i="29"/>
  <c r="J2677" i="29"/>
  <c r="J324" i="29"/>
  <c r="J639" i="29"/>
  <c r="J1465" i="29"/>
  <c r="J2268" i="29"/>
  <c r="J2915" i="29"/>
  <c r="J227" i="29"/>
  <c r="J2568" i="29"/>
  <c r="K5738" i="29"/>
  <c r="J5192" i="29"/>
  <c r="W5192" i="29"/>
  <c r="W2050" i="29"/>
  <c r="J2050" i="29"/>
  <c r="U4868" i="29"/>
  <c r="K4868" i="29"/>
  <c r="W4068" i="29"/>
  <c r="J4068" i="29"/>
  <c r="U2722" i="29"/>
  <c r="W4744" i="29"/>
  <c r="J4744" i="29"/>
  <c r="J3651" i="29"/>
  <c r="W3651" i="29"/>
  <c r="K6352" i="29"/>
  <c r="K3197" i="29"/>
  <c r="K3607" i="29"/>
  <c r="U3607" i="29"/>
  <c r="K6482" i="29"/>
  <c r="W7499" i="29"/>
  <c r="J7499" i="29"/>
  <c r="U7752" i="29"/>
  <c r="K7752" i="29"/>
  <c r="K6900" i="29"/>
  <c r="U6900" i="29"/>
  <c r="K7527" i="29"/>
  <c r="K3071" i="29"/>
  <c r="K6421" i="29"/>
  <c r="K3360" i="29"/>
  <c r="U5188" i="29"/>
  <c r="K5188" i="29"/>
  <c r="K3001" i="29"/>
  <c r="U507" i="29"/>
  <c r="K507" i="29"/>
  <c r="K3283" i="29"/>
  <c r="U3283" i="29"/>
  <c r="K4519" i="29"/>
  <c r="K3927" i="29"/>
  <c r="U5230" i="29"/>
  <c r="K5230" i="29"/>
  <c r="J3128" i="29"/>
  <c r="W3128" i="29"/>
  <c r="J1800" i="29"/>
  <c r="J1210" i="29"/>
  <c r="J2108" i="29"/>
  <c r="J2114" i="29"/>
  <c r="J679" i="29"/>
  <c r="J1082" i="29"/>
  <c r="J1638" i="29"/>
  <c r="J282" i="29"/>
  <c r="J1682" i="29"/>
  <c r="J2567" i="29"/>
  <c r="J64" i="29"/>
  <c r="J1169" i="29"/>
  <c r="J2401" i="29"/>
  <c r="J30" i="29"/>
  <c r="J757" i="29"/>
  <c r="J1110" i="29"/>
  <c r="J1362" i="29"/>
  <c r="J937" i="29"/>
  <c r="J356" i="29"/>
  <c r="J1386" i="29"/>
  <c r="J2709" i="29"/>
  <c r="J2278" i="29"/>
  <c r="J1999" i="29"/>
  <c r="J1625" i="29"/>
  <c r="J1345" i="29"/>
  <c r="J463" i="29"/>
  <c r="J605" i="29"/>
  <c r="J1383" i="29"/>
  <c r="W1383" i="29"/>
  <c r="K2077" i="29"/>
  <c r="K3924" i="29"/>
  <c r="U6133" i="29"/>
  <c r="K6133" i="29"/>
  <c r="J2600" i="29"/>
  <c r="W2600" i="29"/>
  <c r="K1357" i="29"/>
  <c r="U1357" i="29"/>
  <c r="K1037" i="29"/>
  <c r="K3726" i="29"/>
  <c r="U3726" i="29"/>
  <c r="K4039" i="29"/>
  <c r="U4039" i="29"/>
  <c r="K3896" i="29"/>
  <c r="U3896" i="29"/>
  <c r="K6150" i="29"/>
  <c r="K3019" i="29"/>
  <c r="U2929" i="29"/>
  <c r="U3100" i="29"/>
  <c r="K3100" i="29"/>
  <c r="K3646" i="29"/>
  <c r="J4113" i="29"/>
  <c r="W4113" i="29"/>
  <c r="K8039" i="29"/>
  <c r="J5090" i="29"/>
  <c r="W5090" i="29"/>
  <c r="K7531" i="29"/>
  <c r="U3239" i="29"/>
  <c r="K3239" i="29"/>
  <c r="J4810" i="29"/>
  <c r="W4810" i="29"/>
  <c r="U7847" i="29"/>
  <c r="K7847" i="29"/>
  <c r="K5773" i="29"/>
  <c r="U5773" i="29"/>
  <c r="K4765" i="29"/>
  <c r="U4765" i="29"/>
  <c r="K7340" i="29"/>
  <c r="K5102" i="29"/>
  <c r="K6833" i="29"/>
  <c r="K7101" i="29"/>
  <c r="U7093" i="29"/>
  <c r="K7093" i="29"/>
  <c r="W4687" i="29"/>
  <c r="J4687" i="29"/>
  <c r="J724" i="29"/>
  <c r="J1712" i="29"/>
  <c r="J1806" i="29"/>
  <c r="J1081" i="29"/>
  <c r="J1431" i="29"/>
  <c r="J1687" i="29"/>
  <c r="J1174" i="29"/>
  <c r="J1710" i="29"/>
  <c r="J462" i="29"/>
  <c r="J2269" i="29"/>
  <c r="J936" i="29"/>
  <c r="J154" i="29"/>
  <c r="J306" i="29"/>
  <c r="J4097" i="29"/>
  <c r="J29" i="29"/>
  <c r="J2107" i="29"/>
  <c r="J756" i="29"/>
  <c r="J1997" i="29"/>
  <c r="J4289" i="29"/>
  <c r="J52" i="29"/>
  <c r="J410" i="29"/>
  <c r="J331" i="29"/>
  <c r="J4043" i="29"/>
  <c r="J887" i="29"/>
  <c r="J1964" i="29"/>
  <c r="J1946" i="29"/>
  <c r="J3967" i="29"/>
  <c r="J3433" i="29"/>
  <c r="J512" i="29"/>
  <c r="J1313" i="29"/>
  <c r="J885" i="29"/>
  <c r="J10" i="29"/>
  <c r="J1745" i="29"/>
  <c r="J1593" i="29"/>
  <c r="J604" i="29"/>
  <c r="J1850" i="29"/>
  <c r="J111" i="29"/>
  <c r="J1121" i="29"/>
  <c r="J1209" i="29"/>
  <c r="J195" i="29"/>
  <c r="J4138" i="29"/>
  <c r="J1242" i="29"/>
  <c r="J3526" i="29"/>
  <c r="J3113" i="29"/>
  <c r="J1015" i="29"/>
  <c r="J170" i="29"/>
  <c r="J678" i="29"/>
  <c r="J543" i="29"/>
  <c r="J1840" i="29"/>
  <c r="J1387" i="29"/>
  <c r="J2436" i="29"/>
  <c r="J753" i="29"/>
  <c r="J1973" i="29"/>
  <c r="J3929" i="29"/>
  <c r="J1723" i="29"/>
  <c r="J540" i="29"/>
  <c r="J113" i="29"/>
  <c r="J531" i="29"/>
  <c r="J4119" i="29"/>
  <c r="K1552" i="29"/>
  <c r="K7091" i="29"/>
  <c r="K7164" i="29"/>
  <c r="K6744" i="29"/>
  <c r="K7347" i="29"/>
  <c r="U7347" i="29"/>
  <c r="K7121" i="29"/>
  <c r="K2272" i="29"/>
  <c r="K4920" i="29"/>
  <c r="U4920" i="29"/>
  <c r="K7916" i="29"/>
  <c r="U7916" i="29"/>
  <c r="K1871" i="29"/>
  <c r="U1871" i="29"/>
  <c r="K6919" i="29"/>
  <c r="K7506" i="29"/>
  <c r="K2494" i="29"/>
  <c r="U2494" i="29"/>
  <c r="K4766" i="29"/>
  <c r="K4176" i="29"/>
  <c r="W2602" i="29"/>
  <c r="J2602" i="29"/>
  <c r="K7307" i="29"/>
  <c r="U7307" i="29"/>
  <c r="K7270" i="29"/>
  <c r="K6626" i="29"/>
  <c r="K7792" i="29"/>
  <c r="U7504" i="29"/>
  <c r="K7504" i="29"/>
  <c r="K6816" i="29"/>
  <c r="K6710" i="29"/>
  <c r="U6710" i="29"/>
  <c r="J6582" i="29"/>
  <c r="W6582" i="29"/>
  <c r="K6037" i="29"/>
  <c r="J3961" i="29"/>
  <c r="U2852" i="29"/>
  <c r="K2852" i="29"/>
  <c r="K6948" i="29"/>
  <c r="U6948" i="29"/>
  <c r="K5234" i="29"/>
  <c r="U5234" i="29"/>
  <c r="U5510" i="29"/>
  <c r="K5510" i="29"/>
  <c r="K3430" i="29"/>
  <c r="U3430" i="29"/>
  <c r="K7910" i="29"/>
  <c r="K6954" i="29"/>
  <c r="U7518" i="29"/>
  <c r="K7518" i="29"/>
  <c r="K1136" i="29"/>
  <c r="U1136" i="29"/>
  <c r="K6936" i="29"/>
  <c r="K2819" i="29"/>
  <c r="K2337" i="29"/>
  <c r="U4342" i="29"/>
  <c r="K4342" i="29"/>
  <c r="U7512" i="29"/>
  <c r="K7512" i="29"/>
  <c r="K7269" i="29"/>
  <c r="K6971" i="29"/>
  <c r="K7602" i="29"/>
  <c r="K7017" i="29"/>
  <c r="K7054" i="29"/>
  <c r="K6792" i="29"/>
  <c r="K7229" i="29"/>
  <c r="K6947" i="29"/>
  <c r="J4873" i="29"/>
  <c r="W4873" i="29"/>
  <c r="K4937" i="29"/>
  <c r="U4735" i="29"/>
  <c r="K4735" i="29"/>
  <c r="K4706" i="29"/>
  <c r="K2223" i="29"/>
  <c r="K6613" i="29"/>
  <c r="K4216" i="29"/>
  <c r="U4216" i="29"/>
  <c r="K7238" i="29"/>
  <c r="K7464" i="29"/>
  <c r="U4524" i="29"/>
  <c r="K4524" i="29"/>
  <c r="J2236" i="29"/>
  <c r="W2236" i="29"/>
  <c r="K7129" i="29"/>
  <c r="U8056" i="29"/>
  <c r="K8056" i="29"/>
  <c r="U4780" i="29"/>
  <c r="K4780" i="29"/>
  <c r="W8039" i="29"/>
  <c r="U8039" i="29"/>
  <c r="K59" i="29"/>
  <c r="U59" i="29"/>
  <c r="J4103" i="29"/>
  <c r="W4103" i="29"/>
  <c r="J4876" i="29"/>
  <c r="W4876" i="29"/>
  <c r="W4355" i="29"/>
  <c r="J4355" i="29"/>
  <c r="K6500" i="29"/>
  <c r="U6781" i="29"/>
  <c r="K6781" i="29"/>
  <c r="K6739" i="29"/>
  <c r="U6941" i="29"/>
  <c r="K6941" i="29"/>
  <c r="U6782" i="29"/>
  <c r="K6782" i="29"/>
  <c r="K1105" i="29"/>
  <c r="K4186" i="29"/>
  <c r="K4903" i="29"/>
  <c r="K4829" i="29"/>
  <c r="J3981" i="29"/>
  <c r="W3981" i="29"/>
  <c r="K4828" i="29"/>
  <c r="K4595" i="29"/>
  <c r="K2828" i="29"/>
  <c r="U2828" i="29"/>
  <c r="U3195" i="29"/>
  <c r="K3195" i="29"/>
  <c r="K4310" i="29"/>
  <c r="U4310" i="29"/>
  <c r="U5109" i="29"/>
  <c r="K5109" i="29"/>
  <c r="J2013" i="29"/>
  <c r="W2013" i="29"/>
  <c r="K4715" i="29"/>
  <c r="U4091" i="29"/>
  <c r="K4091" i="29"/>
  <c r="J2782" i="29"/>
  <c r="W2782" i="29"/>
  <c r="K2093" i="29"/>
  <c r="U2093" i="29"/>
  <c r="K7952" i="29"/>
  <c r="K5162" i="29"/>
  <c r="U5162" i="29"/>
  <c r="J1590" i="29"/>
  <c r="W1590" i="29"/>
  <c r="K6824" i="29"/>
  <c r="K7820" i="29"/>
  <c r="K6817" i="29"/>
  <c r="K3671" i="29"/>
  <c r="K2338" i="29"/>
  <c r="U2338" i="29"/>
  <c r="K7880" i="29"/>
  <c r="K1931" i="29"/>
  <c r="U1931" i="29"/>
  <c r="K2855" i="29"/>
  <c r="U7839" i="29"/>
  <c r="K7839" i="29"/>
  <c r="K419" i="29"/>
  <c r="U419" i="29"/>
  <c r="K6882" i="29"/>
  <c r="U6137" i="29"/>
  <c r="K6137" i="29"/>
  <c r="K7327" i="29"/>
  <c r="K6894" i="29"/>
  <c r="U4505" i="29"/>
  <c r="K4505" i="29"/>
  <c r="J7974" i="29"/>
  <c r="W7974" i="29"/>
  <c r="K7681" i="29"/>
  <c r="K7666" i="29"/>
  <c r="U7666" i="29"/>
  <c r="K7049" i="29"/>
  <c r="U7510" i="29"/>
  <c r="K7510" i="29"/>
  <c r="U7381" i="29"/>
  <c r="K7381" i="29"/>
  <c r="K7831" i="29"/>
  <c r="U7831" i="29"/>
  <c r="U7339" i="29"/>
  <c r="K7339" i="29"/>
  <c r="K7080" i="29"/>
  <c r="U6718" i="29"/>
  <c r="K6718" i="29"/>
  <c r="W6852" i="29"/>
  <c r="J6852" i="29"/>
  <c r="K5217" i="29"/>
  <c r="K3846" i="29"/>
  <c r="U3846" i="29"/>
  <c r="K1243" i="29"/>
  <c r="U1243" i="29"/>
  <c r="U4560" i="29"/>
  <c r="K4560" i="29"/>
  <c r="W1182" i="29"/>
  <c r="J1182" i="29"/>
  <c r="J5002" i="29"/>
  <c r="W5002" i="29"/>
  <c r="U826" i="29"/>
  <c r="K826" i="29"/>
  <c r="K4389" i="29"/>
  <c r="U4389" i="29"/>
  <c r="U4988" i="29"/>
  <c r="K4988" i="29"/>
  <c r="K4863" i="29"/>
  <c r="U4863" i="29"/>
  <c r="K4922" i="29"/>
  <c r="U4922" i="29"/>
  <c r="K4796" i="29"/>
  <c r="K7331" i="29"/>
  <c r="K7030" i="29"/>
  <c r="J6913" i="29"/>
  <c r="W6913" i="29"/>
  <c r="K8090" i="29"/>
  <c r="J2170" i="29"/>
  <c r="W2170" i="29"/>
  <c r="K7153" i="29"/>
  <c r="K8078" i="29"/>
  <c r="K2312" i="29"/>
  <c r="U2312" i="29"/>
  <c r="K3688" i="29"/>
  <c r="U3250" i="29"/>
  <c r="K3250" i="29"/>
  <c r="W2530" i="29"/>
  <c r="J2530" i="29"/>
  <c r="K6529" i="29"/>
  <c r="K5584" i="29"/>
  <c r="K7578" i="29"/>
  <c r="U7578" i="29"/>
  <c r="K7421" i="29"/>
  <c r="U7330" i="29"/>
  <c r="K7330" i="29"/>
  <c r="K7287" i="29"/>
  <c r="K7698" i="29"/>
  <c r="K7986" i="29"/>
  <c r="U7986" i="29"/>
  <c r="K7904" i="29"/>
  <c r="K8023" i="29"/>
  <c r="K8070" i="29"/>
  <c r="U8070" i="29"/>
  <c r="K7088" i="29"/>
  <c r="K7260" i="29"/>
  <c r="K6628" i="29"/>
  <c r="U6628" i="29"/>
  <c r="K8028" i="29"/>
  <c r="U6556" i="29"/>
  <c r="K6556" i="29"/>
  <c r="K5685" i="29"/>
  <c r="J4818" i="29"/>
  <c r="W4818" i="29"/>
  <c r="U1758" i="29"/>
  <c r="K1758" i="29"/>
  <c r="W4743" i="29"/>
  <c r="J4743" i="29"/>
  <c r="U4040" i="29"/>
  <c r="K4040" i="29"/>
  <c r="K7927" i="29"/>
  <c r="K7782" i="29"/>
  <c r="K7912" i="29"/>
  <c r="K8001" i="29"/>
  <c r="K7272" i="29"/>
  <c r="U7334" i="29"/>
  <c r="K7334" i="29"/>
  <c r="K6897" i="29"/>
  <c r="K7855" i="29"/>
  <c r="K6804" i="29"/>
  <c r="U7744" i="29"/>
  <c r="K7744" i="29"/>
  <c r="K7015" i="29"/>
  <c r="K6876" i="29"/>
  <c r="K6564" i="29"/>
  <c r="K7434" i="29"/>
  <c r="K7163" i="29"/>
  <c r="U7163" i="29"/>
  <c r="U6714" i="29"/>
  <c r="K6714" i="29"/>
  <c r="K4207" i="29"/>
  <c r="U4207" i="29"/>
  <c r="K5653" i="29"/>
  <c r="K5863" i="29"/>
  <c r="U4849" i="29"/>
  <c r="K4849" i="29"/>
  <c r="U4906" i="29"/>
  <c r="K4906" i="29"/>
  <c r="K6073" i="29"/>
  <c r="U1220" i="29"/>
  <c r="K1220" i="29"/>
  <c r="K1598" i="29"/>
  <c r="K1054" i="29"/>
  <c r="U1054" i="29"/>
  <c r="J4210" i="29"/>
  <c r="W4210" i="29"/>
  <c r="K3661" i="29"/>
  <c r="K4323" i="29"/>
  <c r="K6400" i="29"/>
  <c r="U4946" i="29"/>
  <c r="K4946" i="29"/>
  <c r="K6345" i="29"/>
  <c r="K3022" i="29"/>
  <c r="K5333" i="29"/>
  <c r="J2239" i="29"/>
  <c r="W2239" i="29"/>
  <c r="K5581" i="29"/>
  <c r="U5581" i="29"/>
  <c r="W2214" i="29"/>
  <c r="J2214" i="29"/>
  <c r="K7781" i="29"/>
  <c r="K7872" i="29"/>
  <c r="K7901" i="29"/>
  <c r="K7868" i="29"/>
  <c r="K7673" i="29"/>
  <c r="U7673" i="29"/>
  <c r="U7503" i="29"/>
  <c r="K7503" i="29"/>
  <c r="U7098" i="29"/>
  <c r="K7098" i="29"/>
  <c r="K7597" i="29"/>
  <c r="K6563" i="29"/>
  <c r="K6632" i="29"/>
  <c r="K6788" i="29"/>
  <c r="U6788" i="29"/>
  <c r="W6808" i="29"/>
  <c r="J6808" i="29"/>
  <c r="K7969" i="29"/>
  <c r="U6748" i="29"/>
  <c r="K6748" i="29"/>
  <c r="U1194" i="29"/>
  <c r="K1194" i="29"/>
  <c r="K4273" i="29"/>
  <c r="U2403" i="29"/>
  <c r="K2403" i="29"/>
  <c r="K5450" i="29"/>
  <c r="U1235" i="29"/>
  <c r="K1235" i="29"/>
  <c r="U401" i="29"/>
  <c r="K401" i="29"/>
  <c r="J2892" i="29"/>
  <c r="W2892" i="29"/>
  <c r="J4326" i="29"/>
  <c r="W4326" i="29"/>
  <c r="W4933" i="29"/>
  <c r="J4933" i="29"/>
  <c r="K4936" i="29"/>
  <c r="K4196" i="29"/>
  <c r="K7911" i="29"/>
  <c r="U8057" i="29"/>
  <c r="K8057" i="29"/>
  <c r="U8055" i="29"/>
  <c r="K8055" i="29"/>
  <c r="K7933" i="29"/>
  <c r="K7403" i="29"/>
  <c r="U7804" i="29"/>
  <c r="K7804" i="29"/>
  <c r="K7073" i="29"/>
  <c r="U7465" i="29"/>
  <c r="K7465" i="29"/>
  <c r="K6654" i="29"/>
  <c r="U6654" i="29"/>
  <c r="K7038" i="29"/>
  <c r="K6873" i="29"/>
  <c r="K6814" i="29"/>
  <c r="K7006" i="29"/>
  <c r="U6952" i="29"/>
  <c r="K6952" i="29"/>
  <c r="U6858" i="29"/>
  <c r="K6858" i="29"/>
  <c r="K7450" i="29"/>
  <c r="K6659" i="29"/>
  <c r="K6672" i="29"/>
  <c r="K3674" i="29"/>
  <c r="U3674" i="29"/>
  <c r="K5705" i="29"/>
  <c r="U5705" i="29"/>
  <c r="K2496" i="29"/>
  <c r="U2496" i="29"/>
  <c r="K4050" i="29"/>
  <c r="U4050" i="29"/>
  <c r="K3148" i="29"/>
  <c r="W4100" i="29"/>
  <c r="J4100" i="29"/>
  <c r="K2849" i="29"/>
  <c r="K2334" i="29"/>
  <c r="U2334" i="29"/>
  <c r="K2293" i="29"/>
  <c r="U2293" i="29"/>
  <c r="K1161" i="29"/>
  <c r="K2250" i="29"/>
  <c r="U2250" i="29"/>
  <c r="W5283" i="29"/>
  <c r="J5283" i="29"/>
  <c r="K2229" i="29"/>
  <c r="W2809" i="29"/>
  <c r="J2809" i="29"/>
  <c r="K6996" i="29"/>
  <c r="K7205" i="29"/>
  <c r="U7205" i="29"/>
  <c r="K3434" i="29"/>
  <c r="U3434" i="29"/>
  <c r="K5932" i="29"/>
  <c r="U5932" i="29"/>
  <c r="K7502" i="29"/>
  <c r="U7502" i="29"/>
  <c r="J6752" i="29"/>
  <c r="W6752" i="29"/>
  <c r="K6546" i="29"/>
  <c r="K6843" i="29"/>
  <c r="K741" i="29"/>
  <c r="U741" i="29"/>
  <c r="U632" i="29"/>
  <c r="K632" i="29"/>
  <c r="U7979" i="29"/>
  <c r="K7979" i="29"/>
  <c r="K6604" i="29"/>
  <c r="K5690" i="29"/>
  <c r="K4724" i="29"/>
  <c r="U4724" i="29"/>
  <c r="U4909" i="29"/>
  <c r="K4909" i="29"/>
  <c r="W4250" i="29"/>
  <c r="J4250" i="29"/>
  <c r="K3453" i="29"/>
  <c r="K7944" i="29"/>
  <c r="U7053" i="29"/>
  <c r="K7053" i="29"/>
  <c r="K6881" i="29"/>
  <c r="K7384" i="29"/>
  <c r="U7384" i="29"/>
  <c r="W6760" i="29"/>
  <c r="J6760" i="29"/>
  <c r="K6642" i="29"/>
  <c r="U7213" i="29"/>
  <c r="K7213" i="29"/>
  <c r="J1008" i="29"/>
  <c r="W1008" i="29"/>
  <c r="U333" i="29"/>
  <c r="K333" i="29"/>
  <c r="K3952" i="29"/>
  <c r="U3952" i="29"/>
  <c r="U3184" i="29"/>
  <c r="K3184" i="29"/>
  <c r="K5012" i="29"/>
  <c r="K3876" i="29"/>
  <c r="K4912" i="29"/>
  <c r="U4912" i="29"/>
  <c r="U2474" i="29"/>
  <c r="K2474" i="29"/>
  <c r="U557" i="29"/>
  <c r="K557" i="29"/>
  <c r="K3695" i="29"/>
  <c r="U3695" i="29"/>
  <c r="K4377" i="29"/>
  <c r="K2092" i="29"/>
  <c r="J2220" i="29"/>
  <c r="W2220" i="29"/>
  <c r="K4825" i="29"/>
  <c r="K4324" i="29"/>
  <c r="K7865" i="29"/>
  <c r="K7439" i="29"/>
  <c r="K1940" i="29"/>
  <c r="U1940" i="29"/>
  <c r="U8008" i="29"/>
  <c r="K8008" i="29"/>
  <c r="U7668" i="29"/>
  <c r="K7668" i="29"/>
  <c r="K7208" i="29"/>
  <c r="U7208" i="29"/>
  <c r="J40" i="29"/>
  <c r="J310" i="29"/>
  <c r="W3317" i="29"/>
  <c r="J3317" i="29"/>
  <c r="K7844" i="29"/>
  <c r="K7604" i="29"/>
  <c r="K7255" i="29"/>
  <c r="K5792" i="29"/>
  <c r="K2155" i="29"/>
  <c r="U1903" i="29"/>
  <c r="K1903" i="29"/>
  <c r="K1934" i="29"/>
  <c r="K3631" i="29"/>
  <c r="U3631" i="29"/>
  <c r="K8080" i="29"/>
  <c r="U8080" i="29"/>
  <c r="K7318" i="29"/>
  <c r="K7495" i="29"/>
  <c r="K7443" i="29"/>
  <c r="K7178" i="29"/>
  <c r="W7188" i="29"/>
  <c r="J7188" i="29"/>
  <c r="U7114" i="29"/>
  <c r="K7114" i="29"/>
  <c r="K6968" i="29"/>
  <c r="K6703" i="29"/>
  <c r="K7346" i="29"/>
  <c r="K6578" i="29"/>
  <c r="U6578" i="29"/>
  <c r="U6791" i="29"/>
  <c r="K6791" i="29"/>
  <c r="K6717" i="29"/>
  <c r="K7221" i="29"/>
  <c r="W4240" i="29"/>
  <c r="J4240" i="29"/>
  <c r="K6003" i="29"/>
  <c r="K4185" i="29"/>
  <c r="K2185" i="29"/>
  <c r="K1768" i="29"/>
  <c r="U1768" i="29"/>
  <c r="U4284" i="29"/>
  <c r="K4284" i="29"/>
  <c r="U2789" i="29"/>
  <c r="K2789" i="29"/>
  <c r="K4695" i="29"/>
  <c r="K5078" i="29"/>
  <c r="U1988" i="29"/>
  <c r="K1988" i="29"/>
  <c r="K3614" i="29"/>
  <c r="K7909" i="29"/>
  <c r="U7909" i="29"/>
  <c r="K7158" i="29"/>
  <c r="U7158" i="29"/>
  <c r="K6746" i="29"/>
  <c r="K6623" i="29"/>
  <c r="J5113" i="29"/>
  <c r="W5113" i="29"/>
  <c r="U4559" i="29"/>
  <c r="K4559" i="29"/>
  <c r="J4995" i="29"/>
  <c r="W4995" i="29"/>
  <c r="U7702" i="29"/>
  <c r="K7702" i="29"/>
  <c r="K5662" i="29"/>
  <c r="U5662" i="29"/>
  <c r="K6943" i="29"/>
  <c r="U6943" i="29"/>
  <c r="K4830" i="29"/>
  <c r="U4830" i="29"/>
  <c r="K7428" i="29"/>
  <c r="U7428" i="29"/>
  <c r="K7351" i="29"/>
  <c r="K6888" i="29"/>
  <c r="U6888" i="29"/>
  <c r="K4609" i="29"/>
  <c r="U4609" i="29"/>
  <c r="U7748" i="29"/>
  <c r="K7748" i="29"/>
  <c r="K7535" i="29"/>
  <c r="K7306" i="29"/>
  <c r="U7306" i="29"/>
  <c r="K7372" i="29"/>
  <c r="K7674" i="29"/>
  <c r="U7674" i="29"/>
  <c r="K6842" i="29"/>
  <c r="K7055" i="29"/>
  <c r="U7055" i="29"/>
  <c r="K6965" i="29"/>
  <c r="U7338" i="29"/>
  <c r="K7338" i="29"/>
  <c r="K7387" i="29"/>
  <c r="K7070" i="29"/>
  <c r="U7070" i="29"/>
  <c r="K6903" i="29"/>
  <c r="K2902" i="29"/>
  <c r="U2902" i="29"/>
  <c r="K4541" i="29"/>
  <c r="U4541" i="29"/>
  <c r="K2549" i="29"/>
  <c r="U2857" i="29"/>
  <c r="K2857" i="29"/>
  <c r="U364" i="29"/>
  <c r="K364" i="29"/>
  <c r="K3555" i="29"/>
  <c r="K1780" i="29"/>
  <c r="U1780" i="29"/>
  <c r="K6691" i="29"/>
  <c r="W2794" i="29"/>
  <c r="J2794" i="29"/>
  <c r="J2020" i="29"/>
  <c r="W2020" i="29"/>
  <c r="K41" i="29"/>
  <c r="U41" i="29"/>
  <c r="W4755" i="29"/>
  <c r="J4755" i="29"/>
  <c r="K2715" i="29"/>
  <c r="K2541" i="29"/>
  <c r="K2488" i="29"/>
  <c r="U2488" i="29"/>
  <c r="W2842" i="29"/>
  <c r="J2842" i="29"/>
  <c r="K2332" i="29"/>
  <c r="U2332" i="29"/>
  <c r="K7822" i="29"/>
  <c r="U7822" i="29"/>
  <c r="U7771" i="29"/>
  <c r="K7771" i="29"/>
  <c r="K7314" i="29"/>
  <c r="U7314" i="29"/>
  <c r="K6938" i="29"/>
  <c r="W6672" i="29"/>
  <c r="U6672" i="29"/>
  <c r="K7132" i="29"/>
  <c r="W6901" i="29"/>
  <c r="J6901" i="29"/>
  <c r="W7260" i="29"/>
  <c r="U7260" i="29"/>
  <c r="K6906" i="29"/>
  <c r="W4941" i="29"/>
  <c r="J4941" i="29"/>
  <c r="W4526" i="29"/>
  <c r="J4526" i="29"/>
  <c r="K2419" i="29"/>
  <c r="K4072" i="29"/>
  <c r="K4703" i="29"/>
  <c r="K4691" i="29"/>
  <c r="U4691" i="29"/>
  <c r="K2096" i="29"/>
  <c r="U2096" i="29"/>
  <c r="J748" i="29"/>
  <c r="J68" i="29"/>
  <c r="K4343" i="29"/>
  <c r="K2366" i="29"/>
  <c r="U2545" i="29"/>
  <c r="K2545" i="29"/>
  <c r="U7840" i="29"/>
  <c r="K7840" i="29"/>
  <c r="K7382" i="29"/>
  <c r="U7382" i="29"/>
  <c r="K1658" i="29"/>
  <c r="U1658" i="29"/>
  <c r="U7348" i="29"/>
  <c r="K7348" i="29"/>
  <c r="K7058" i="29"/>
  <c r="U7662" i="29"/>
  <c r="K7662" i="29"/>
  <c r="K7437" i="29"/>
  <c r="U7437" i="29"/>
  <c r="K6978" i="29"/>
  <c r="U7230" i="29"/>
  <c r="K7230" i="29"/>
  <c r="K6960" i="29"/>
  <c r="U6733" i="29"/>
  <c r="K6733" i="29"/>
  <c r="K6629" i="29"/>
  <c r="U6629" i="29"/>
  <c r="U6581" i="29"/>
  <c r="K6581" i="29"/>
  <c r="J2797" i="29"/>
  <c r="W2797" i="29"/>
  <c r="K5036" i="29"/>
  <c r="K4232" i="29"/>
  <c r="K1922" i="29"/>
  <c r="K2723" i="29"/>
  <c r="K6430" i="29"/>
  <c r="W5578" i="29"/>
  <c r="J5578" i="29"/>
  <c r="J5421" i="29"/>
  <c r="W5421" i="29"/>
  <c r="K7785" i="29"/>
  <c r="K8091" i="29"/>
  <c r="K7835" i="29"/>
  <c r="K7216" i="29"/>
  <c r="K7413" i="29"/>
  <c r="K7813" i="29"/>
  <c r="K7396" i="29"/>
  <c r="K7284" i="29"/>
  <c r="U7284" i="29"/>
  <c r="K7012" i="29"/>
  <c r="K6861" i="29"/>
  <c r="K6979" i="29"/>
  <c r="U6979" i="29"/>
  <c r="K6848" i="29"/>
  <c r="K7821" i="29"/>
  <c r="U7821" i="29"/>
  <c r="K7157" i="29"/>
  <c r="U7157" i="29"/>
  <c r="K6580" i="29"/>
  <c r="U6580" i="29"/>
  <c r="U7113" i="29"/>
  <c r="K7113" i="29"/>
  <c r="K7292" i="29"/>
  <c r="K6607" i="29"/>
  <c r="K7358" i="29"/>
  <c r="K7417" i="29"/>
  <c r="U7417" i="29"/>
  <c r="K8036" i="29"/>
  <c r="J5415" i="29"/>
  <c r="W5415" i="29"/>
  <c r="K6584" i="29"/>
  <c r="U6550" i="29"/>
  <c r="K6550" i="29"/>
  <c r="K5848" i="29"/>
  <c r="W873" i="29"/>
  <c r="J873" i="29"/>
  <c r="U241" i="29"/>
  <c r="K241" i="29"/>
  <c r="K5068" i="29"/>
  <c r="K3395" i="29"/>
  <c r="U3395" i="29"/>
  <c r="J4249" i="29"/>
  <c r="W4249" i="29"/>
  <c r="K6024" i="29"/>
  <c r="W4938" i="29"/>
  <c r="J4938" i="29"/>
  <c r="J5348" i="29"/>
  <c r="W5348" i="29"/>
  <c r="W4327" i="29"/>
  <c r="J4327" i="29"/>
  <c r="K3142" i="29"/>
  <c r="W2313" i="29"/>
  <c r="J2313" i="29"/>
  <c r="K3489" i="29"/>
  <c r="U3489" i="29"/>
  <c r="J2877" i="29"/>
  <c r="W2877" i="29"/>
  <c r="K4655" i="29"/>
  <c r="U4655" i="29"/>
  <c r="K1954" i="29"/>
  <c r="K5904" i="29"/>
  <c r="K4531" i="29"/>
  <c r="K5570" i="29"/>
  <c r="K472" i="29"/>
  <c r="U472" i="29"/>
  <c r="K1439" i="29"/>
  <c r="K3153" i="29"/>
  <c r="K2073" i="29"/>
  <c r="K7757" i="29"/>
  <c r="K7990" i="29"/>
  <c r="K7749" i="29"/>
  <c r="U7749" i="29"/>
  <c r="K7829" i="29"/>
  <c r="U7829" i="29"/>
  <c r="U7571" i="29"/>
  <c r="K7571" i="29"/>
  <c r="U7096" i="29"/>
  <c r="K7096" i="29"/>
  <c r="U7228" i="29"/>
  <c r="K7228" i="29"/>
  <c r="J7342" i="29"/>
  <c r="W7342" i="29"/>
  <c r="K7041" i="29"/>
  <c r="K6868" i="29"/>
  <c r="U6868" i="29"/>
  <c r="K7526" i="29"/>
  <c r="W6753" i="29"/>
  <c r="U6753" i="29"/>
  <c r="W6516" i="29"/>
  <c r="J6516" i="29"/>
  <c r="K6769" i="29"/>
  <c r="K7028" i="29"/>
  <c r="K6925" i="29"/>
  <c r="J6671" i="29"/>
  <c r="W6671" i="29"/>
  <c r="U7036" i="29"/>
  <c r="K7036" i="29"/>
  <c r="U7090" i="29"/>
  <c r="K7090" i="29"/>
  <c r="K7329" i="29"/>
  <c r="W3769" i="29"/>
  <c r="J3769" i="29"/>
  <c r="U5513" i="29"/>
  <c r="K5513" i="29"/>
  <c r="W2595" i="29"/>
  <c r="J2595" i="29"/>
  <c r="W2601" i="29"/>
  <c r="J2601" i="29"/>
  <c r="J3165" i="29"/>
  <c r="W3165" i="29"/>
  <c r="K2291" i="29"/>
  <c r="U2291" i="29"/>
  <c r="K3731" i="29"/>
  <c r="J1894" i="29"/>
  <c r="W1894" i="29"/>
  <c r="K4192" i="29"/>
  <c r="J4235" i="29"/>
  <c r="W4235" i="29"/>
  <c r="W4451" i="29"/>
  <c r="J4451" i="29"/>
  <c r="U2127" i="29"/>
  <c r="K2127" i="29"/>
  <c r="W4601" i="29"/>
  <c r="J4601" i="29"/>
  <c r="K3605" i="29"/>
  <c r="J4213" i="29"/>
  <c r="W4213" i="29"/>
  <c r="K4934" i="29"/>
  <c r="K3912" i="29"/>
  <c r="K688" i="29"/>
  <c r="K1493" i="29"/>
  <c r="U4025" i="29"/>
  <c r="K4025" i="29"/>
  <c r="K1433" i="29"/>
  <c r="U2011" i="29"/>
  <c r="K2011" i="29"/>
  <c r="U7517" i="29"/>
  <c r="K7517" i="29"/>
  <c r="K7645" i="29"/>
  <c r="K7138" i="29"/>
  <c r="K7695" i="29"/>
  <c r="K7279" i="29"/>
  <c r="K7039" i="29"/>
  <c r="K7214" i="29"/>
  <c r="U7214" i="29"/>
  <c r="K6753" i="29"/>
  <c r="K6886" i="29"/>
  <c r="U6886" i="29"/>
  <c r="K6859" i="29"/>
  <c r="U6859" i="29"/>
  <c r="K6727" i="29"/>
  <c r="K5744" i="29"/>
  <c r="U4338" i="29"/>
  <c r="K4338" i="29"/>
  <c r="J1972" i="29"/>
  <c r="W1972" i="29"/>
  <c r="K5053" i="29"/>
  <c r="K5514" i="29"/>
  <c r="U5514" i="29"/>
  <c r="U3542" i="29"/>
  <c r="J4746" i="29"/>
  <c r="W4746" i="29"/>
  <c r="J470" i="29"/>
  <c r="W470" i="29"/>
  <c r="U3543" i="29"/>
  <c r="K3543" i="29"/>
  <c r="W2604" i="29"/>
  <c r="J2604" i="29"/>
  <c r="U4507" i="29"/>
  <c r="K4507" i="29"/>
  <c r="W2732" i="29"/>
  <c r="J2732" i="29"/>
  <c r="U2420" i="29"/>
  <c r="K2420" i="29"/>
  <c r="U4222" i="29"/>
  <c r="K4222" i="29"/>
  <c r="K3179" i="29"/>
  <c r="U3179" i="29"/>
  <c r="U3125" i="29"/>
  <c r="K3125" i="29"/>
  <c r="W3302" i="29"/>
  <c r="J3302" i="29"/>
  <c r="U5017" i="29"/>
  <c r="K5017" i="29"/>
  <c r="W2349" i="29"/>
  <c r="J2349" i="29"/>
  <c r="K2347" i="29"/>
  <c r="K3030" i="29"/>
  <c r="U2966" i="29"/>
  <c r="K2966" i="29"/>
  <c r="K1993" i="29"/>
  <c r="U1993" i="29"/>
  <c r="K7600" i="29"/>
  <c r="U7600" i="29"/>
  <c r="K3955" i="29"/>
  <c r="K2224" i="29"/>
  <c r="U7998" i="29"/>
  <c r="K7998" i="29"/>
  <c r="K7973" i="29"/>
  <c r="K7762" i="29"/>
  <c r="U7498" i="29"/>
  <c r="K7498" i="29"/>
  <c r="K7619" i="29"/>
  <c r="K7204" i="29"/>
  <c r="U7204" i="29"/>
  <c r="U6945" i="29"/>
  <c r="K6945" i="29"/>
  <c r="K6541" i="29"/>
  <c r="K6647" i="29"/>
  <c r="U6647" i="29"/>
  <c r="K6741" i="29"/>
  <c r="K6601" i="29"/>
  <c r="K8066" i="29"/>
  <c r="K7237" i="29"/>
  <c r="K6687" i="29"/>
  <c r="W3228" i="29"/>
  <c r="J3228" i="29"/>
  <c r="W3985" i="29"/>
  <c r="J3985" i="29"/>
  <c r="W3915" i="29"/>
  <c r="J3915" i="29"/>
  <c r="U6576" i="29"/>
  <c r="K6576" i="29"/>
  <c r="K3891" i="29"/>
  <c r="K4890" i="29"/>
  <c r="K4826" i="29"/>
  <c r="U4826" i="29"/>
  <c r="J4433" i="29"/>
  <c r="W4433" i="29"/>
  <c r="K832" i="29"/>
  <c r="U832" i="29"/>
  <c r="W332" i="29"/>
  <c r="J332" i="29"/>
  <c r="K4629" i="29"/>
  <c r="K3387" i="29"/>
  <c r="U3387" i="29"/>
  <c r="K2631" i="29"/>
  <c r="K2558" i="29"/>
  <c r="U4367" i="29"/>
  <c r="K4367" i="29"/>
  <c r="K1050" i="29"/>
  <c r="U1050" i="29"/>
  <c r="W8049" i="29"/>
  <c r="J8049" i="29"/>
  <c r="K3230" i="29"/>
  <c r="K5265" i="29"/>
  <c r="W4088" i="29"/>
  <c r="J4088" i="29"/>
  <c r="K4598" i="29"/>
  <c r="K2087" i="29"/>
  <c r="U2087" i="29"/>
  <c r="K7961" i="29"/>
  <c r="W7893" i="29"/>
  <c r="J7893" i="29"/>
  <c r="K7593" i="29"/>
  <c r="J7808" i="29"/>
  <c r="W7808" i="29"/>
  <c r="K7606" i="29"/>
  <c r="U7200" i="29"/>
  <c r="K7200" i="29"/>
  <c r="K6787" i="29"/>
  <c r="U6787" i="29"/>
  <c r="K6807" i="29"/>
  <c r="K7582" i="29"/>
  <c r="K7046" i="29"/>
  <c r="K6989" i="29"/>
  <c r="K7118" i="29"/>
  <c r="U6559" i="29"/>
  <c r="K6559" i="29"/>
  <c r="U6630" i="29"/>
  <c r="K6630" i="29"/>
  <c r="J5256" i="29"/>
  <c r="W5256" i="29"/>
  <c r="W5322" i="29"/>
  <c r="J5322" i="29"/>
  <c r="K4219" i="29"/>
  <c r="U4219" i="29"/>
  <c r="U6851" i="29"/>
  <c r="K6851" i="29"/>
  <c r="K2046" i="29"/>
  <c r="K4137" i="29"/>
  <c r="U4137" i="29"/>
  <c r="K3576" i="29"/>
  <c r="U3576" i="29"/>
  <c r="K4408" i="29"/>
  <c r="J4685" i="29"/>
  <c r="W4685" i="29"/>
  <c r="U2745" i="29"/>
  <c r="K2745" i="29"/>
  <c r="W2761" i="29"/>
  <c r="J2761" i="29"/>
  <c r="J4225" i="29"/>
  <c r="W4225" i="29"/>
  <c r="K3182" i="29"/>
  <c r="U3182" i="29"/>
  <c r="K4265" i="29"/>
  <c r="K5008" i="29"/>
  <c r="K5364" i="29"/>
  <c r="U5086" i="29"/>
  <c r="K5086" i="29"/>
  <c r="K4031" i="29"/>
  <c r="J4816" i="29"/>
  <c r="W4816" i="29"/>
  <c r="J4607" i="29"/>
  <c r="W4607" i="29"/>
  <c r="K3549" i="29"/>
  <c r="K3611" i="29"/>
  <c r="K7706" i="29"/>
  <c r="U7706" i="29"/>
  <c r="K7150" i="29"/>
  <c r="K7362" i="29"/>
  <c r="K7936" i="29"/>
  <c r="U6673" i="29"/>
  <c r="K6673" i="29"/>
  <c r="K6766" i="29"/>
  <c r="K6973" i="29"/>
  <c r="K6712" i="29"/>
  <c r="U6712" i="29"/>
  <c r="K6567" i="29"/>
  <c r="K6661" i="29"/>
  <c r="K8003" i="29"/>
  <c r="U8003" i="29"/>
  <c r="W3858" i="29"/>
  <c r="J3858" i="29"/>
  <c r="W4239" i="29"/>
  <c r="J4239" i="29"/>
  <c r="K2391" i="29"/>
  <c r="U3638" i="29"/>
  <c r="K3638" i="29"/>
  <c r="K4840" i="29"/>
  <c r="U4840" i="29"/>
  <c r="U4464" i="29"/>
  <c r="K4464" i="29"/>
  <c r="W5343" i="29"/>
  <c r="J5343" i="29"/>
  <c r="K5914" i="29"/>
  <c r="K4003" i="29"/>
  <c r="W2890" i="29"/>
  <c r="J2890" i="29"/>
  <c r="U979" i="29"/>
  <c r="K979" i="29"/>
  <c r="U3789" i="29"/>
  <c r="K3789" i="29"/>
  <c r="W3692" i="29"/>
  <c r="J3692" i="29"/>
  <c r="J4807" i="29"/>
  <c r="W4807" i="29"/>
  <c r="J2770" i="29"/>
  <c r="W2770" i="29"/>
  <c r="U4094" i="29"/>
  <c r="K4094" i="29"/>
  <c r="K2687" i="29"/>
  <c r="J4262" i="29"/>
  <c r="W4262" i="29"/>
  <c r="K1022" i="29"/>
  <c r="K5071" i="29"/>
  <c r="U5071" i="29"/>
  <c r="U4669" i="29"/>
  <c r="K4669" i="29"/>
  <c r="K3529" i="29"/>
  <c r="U3529" i="29"/>
  <c r="F618" i="36"/>
  <c r="G1846" i="4"/>
  <c r="K952" i="29"/>
  <c r="G491" i="9"/>
  <c r="F611" i="36"/>
  <c r="U682" i="29"/>
  <c r="F491" i="9"/>
  <c r="F1833" i="4"/>
  <c r="G1833" i="4"/>
  <c r="U734" i="29"/>
  <c r="U1398" i="29"/>
  <c r="U1536" i="29"/>
  <c r="K1839" i="29"/>
  <c r="K8175" i="29"/>
  <c r="U1263" i="29"/>
  <c r="U1907" i="29"/>
  <c r="K722" i="29"/>
  <c r="K1106" i="29"/>
  <c r="W1106" i="29"/>
  <c r="U1106" i="29"/>
  <c r="K951" i="29"/>
  <c r="J1410" i="29"/>
  <c r="K1224" i="29"/>
  <c r="W2047" i="29"/>
  <c r="U692" i="29"/>
  <c r="W2307" i="29"/>
  <c r="U2307" i="29"/>
  <c r="K673" i="29"/>
  <c r="K1892" i="29"/>
  <c r="K2115" i="29"/>
  <c r="U1333" i="29"/>
  <c r="U1442" i="29"/>
  <c r="K2990" i="29"/>
  <c r="K1941" i="29"/>
  <c r="K1442" i="29"/>
  <c r="K1847" i="29"/>
  <c r="K3002" i="29"/>
  <c r="U707" i="29"/>
  <c r="K1741" i="29"/>
  <c r="K1603" i="29"/>
  <c r="U1534" i="29"/>
  <c r="U1224" i="29"/>
  <c r="U775" i="29"/>
  <c r="K2184" i="29"/>
  <c r="K2980" i="29"/>
  <c r="K775" i="29"/>
  <c r="K1815" i="29"/>
  <c r="W953" i="29"/>
  <c r="U953" i="29"/>
  <c r="K1891" i="29"/>
  <c r="T1787" i="29"/>
  <c r="J1787" i="29"/>
  <c r="S1787" i="29"/>
  <c r="T1788" i="29"/>
  <c r="J1788" i="29"/>
  <c r="S1788" i="29"/>
  <c r="W769" i="29"/>
  <c r="J769" i="29"/>
  <c r="J843" i="29"/>
  <c r="W843" i="29"/>
  <c r="W1356" i="29"/>
  <c r="J1356" i="29"/>
  <c r="U1533" i="29"/>
  <c r="W921" i="29"/>
  <c r="J921" i="29"/>
  <c r="U1539" i="29"/>
  <c r="U1537" i="29"/>
  <c r="U1430" i="29"/>
  <c r="K1532" i="29"/>
  <c r="U5126" i="29"/>
  <c r="U3221" i="29"/>
  <c r="K5416" i="29"/>
  <c r="G106" i="10"/>
  <c r="G110" i="10"/>
  <c r="G113" i="10"/>
  <c r="G118" i="10"/>
  <c r="G121" i="10"/>
  <c r="G124" i="10"/>
  <c r="G127" i="10"/>
  <c r="G130" i="10"/>
  <c r="G134" i="10"/>
  <c r="G138" i="10"/>
  <c r="K6295" i="29"/>
  <c r="U7128" i="29"/>
  <c r="U3063" i="29"/>
  <c r="U7171" i="29"/>
  <c r="U5668" i="29"/>
  <c r="U5085" i="29"/>
  <c r="U1447" i="29"/>
  <c r="U3025" i="29"/>
  <c r="K2698" i="29"/>
  <c r="U2082" i="29"/>
  <c r="U2911" i="29"/>
  <c r="U3090" i="29"/>
  <c r="U4813" i="29"/>
  <c r="U2633" i="29"/>
  <c r="U3562" i="29"/>
  <c r="U6405" i="29"/>
  <c r="U2123" i="29"/>
  <c r="U1285" i="29"/>
  <c r="U1935" i="29"/>
  <c r="U5285" i="29"/>
  <c r="U4589" i="29"/>
  <c r="U2193" i="29"/>
  <c r="U5353" i="29"/>
  <c r="U3094" i="29"/>
  <c r="U833" i="29"/>
  <c r="U6259" i="29"/>
  <c r="U1926" i="29"/>
  <c r="U933" i="29"/>
  <c r="U5414" i="29"/>
  <c r="U5525" i="29"/>
  <c r="U3222" i="29"/>
  <c r="K4395" i="29"/>
  <c r="K4626" i="29"/>
  <c r="U1711" i="29"/>
  <c r="U4154" i="29"/>
  <c r="U5557" i="29"/>
  <c r="K3990" i="29"/>
  <c r="K2885" i="29"/>
  <c r="U313" i="29"/>
  <c r="U683" i="29"/>
  <c r="U3657" i="29"/>
  <c r="U3101" i="29"/>
  <c r="U2773" i="29"/>
  <c r="U5167" i="29"/>
  <c r="K5362" i="29"/>
  <c r="K5178" i="29"/>
  <c r="K3206" i="29"/>
  <c r="K1315" i="29"/>
  <c r="U5270" i="29"/>
  <c r="U3850" i="29"/>
  <c r="U3847" i="29"/>
  <c r="U3831" i="29"/>
  <c r="U1880" i="29"/>
  <c r="K4156" i="29"/>
  <c r="U3005" i="29"/>
  <c r="U4111" i="29"/>
  <c r="U4882" i="29"/>
  <c r="K5524" i="29"/>
  <c r="K5289" i="29"/>
  <c r="U5768" i="29"/>
  <c r="K1405" i="29"/>
  <c r="U1416" i="29"/>
  <c r="U3510" i="29"/>
  <c r="U5373" i="29"/>
  <c r="K5006" i="29"/>
  <c r="U2492" i="29"/>
  <c r="U4425" i="29"/>
  <c r="U4205" i="29"/>
  <c r="U5474" i="29"/>
  <c r="K5132" i="29"/>
  <c r="U3909" i="29"/>
  <c r="U2946" i="29"/>
  <c r="U1702" i="29"/>
  <c r="U5898" i="29"/>
  <c r="U2592" i="29"/>
  <c r="U2777" i="29"/>
  <c r="U3610" i="29"/>
  <c r="U2808" i="29"/>
  <c r="U5175" i="29"/>
  <c r="U4488" i="29"/>
  <c r="U3992" i="29"/>
  <c r="U5522" i="29"/>
  <c r="K2198" i="29"/>
  <c r="U3344" i="29"/>
  <c r="U1185" i="29"/>
  <c r="K1100" i="29"/>
  <c r="U4354" i="29"/>
  <c r="U5423" i="29"/>
  <c r="U3169" i="29"/>
  <c r="U3365" i="29"/>
  <c r="U1470" i="29"/>
  <c r="U2098" i="29"/>
  <c r="K2502" i="29"/>
  <c r="U4064" i="29"/>
  <c r="U2493" i="29"/>
  <c r="U1167" i="29"/>
  <c r="K4359" i="29"/>
  <c r="U770" i="29"/>
  <c r="U1248" i="29"/>
  <c r="U1662" i="29"/>
  <c r="K3271" i="29"/>
  <c r="U2171" i="29"/>
  <c r="U2265" i="29"/>
  <c r="U597" i="29"/>
  <c r="K4238" i="29"/>
  <c r="K2879" i="29"/>
  <c r="K1737" i="29"/>
  <c r="U3382" i="29"/>
  <c r="U854" i="29"/>
  <c r="U4214" i="29"/>
  <c r="K5092" i="29"/>
  <c r="U2731" i="29"/>
  <c r="K1011" i="29"/>
  <c r="K2064" i="29"/>
  <c r="U4583" i="29"/>
  <c r="K3173" i="29"/>
  <c r="U777" i="29"/>
  <c r="U2737" i="29"/>
  <c r="K2731" i="29"/>
  <c r="K3158" i="29"/>
  <c r="U3703" i="29"/>
  <c r="U4423" i="29"/>
  <c r="U2064" i="29"/>
  <c r="U2725" i="29"/>
  <c r="U3164" i="29"/>
  <c r="K2945" i="29"/>
  <c r="U4745" i="29"/>
  <c r="U4248" i="29"/>
  <c r="U4757" i="29"/>
  <c r="K5417" i="29"/>
  <c r="U4053" i="29"/>
  <c r="K4815" i="29"/>
  <c r="U1639" i="29"/>
  <c r="U2724" i="29"/>
  <c r="U2523" i="29"/>
  <c r="K3460" i="29"/>
  <c r="U1142" i="29"/>
  <c r="K2633" i="29"/>
  <c r="U4161" i="29"/>
  <c r="K810" i="29"/>
  <c r="U3552" i="29"/>
  <c r="U2427" i="29"/>
  <c r="U4067" i="29"/>
  <c r="U983" i="29"/>
  <c r="U3531" i="29"/>
  <c r="K976" i="29"/>
  <c r="K3447" i="29"/>
  <c r="U687" i="29"/>
  <c r="U4942" i="29"/>
  <c r="U3832" i="29"/>
  <c r="U3454" i="29"/>
  <c r="K777" i="29"/>
  <c r="K3585" i="29"/>
  <c r="K501" i="29"/>
  <c r="U4191" i="29"/>
  <c r="K6321" i="29"/>
  <c r="U788" i="29"/>
  <c r="U3376" i="29"/>
  <c r="U5891" i="29"/>
  <c r="U4663" i="29"/>
  <c r="U3166" i="29"/>
  <c r="U2956" i="29"/>
  <c r="U2953" i="29"/>
  <c r="U5466" i="29"/>
  <c r="U596" i="29"/>
  <c r="U2498" i="29"/>
  <c r="U2750" i="29"/>
  <c r="K5423" i="29"/>
  <c r="U3793" i="29"/>
  <c r="U2084" i="29"/>
  <c r="K4639" i="29"/>
  <c r="K1926" i="29"/>
  <c r="U1138" i="29"/>
  <c r="K2121" i="29"/>
  <c r="K2193" i="29"/>
  <c r="U2878" i="29"/>
  <c r="U3737" i="29"/>
  <c r="U3098" i="29"/>
  <c r="K5282" i="29"/>
  <c r="K2397" i="29"/>
  <c r="U3548" i="29"/>
  <c r="U801" i="29"/>
  <c r="U4329" i="29"/>
  <c r="U5181" i="29"/>
  <c r="U2253" i="29"/>
  <c r="U3023" i="29"/>
  <c r="U5379" i="29"/>
  <c r="U5411" i="29"/>
  <c r="K1076" i="29"/>
  <c r="K4682" i="29"/>
  <c r="U1487" i="29"/>
  <c r="U1717" i="29"/>
  <c r="U4657" i="29"/>
  <c r="U2336" i="29"/>
  <c r="U5412" i="29"/>
  <c r="U4287" i="29"/>
  <c r="U4060" i="29"/>
  <c r="U4143" i="29"/>
  <c r="U864" i="29"/>
  <c r="K2259" i="29"/>
  <c r="U2841" i="29"/>
  <c r="U3984" i="29"/>
  <c r="K3304" i="29"/>
  <c r="U2219" i="29"/>
  <c r="K5375" i="29"/>
  <c r="K5898" i="29"/>
  <c r="K3367" i="29"/>
  <c r="U981" i="29"/>
  <c r="K3494" i="29"/>
  <c r="U2806" i="29"/>
  <c r="U2860" i="29"/>
  <c r="U4411" i="29"/>
  <c r="U4153" i="29"/>
  <c r="U4392" i="29"/>
  <c r="U1207" i="29"/>
  <c r="U5029" i="29"/>
  <c r="U906" i="29"/>
  <c r="U1665" i="29"/>
  <c r="U5140" i="29"/>
  <c r="K300" i="29"/>
  <c r="U4038" i="29"/>
  <c r="K2253" i="29"/>
  <c r="K5140" i="29"/>
  <c r="U5038" i="29"/>
  <c r="U844" i="29"/>
  <c r="U4475" i="29"/>
  <c r="U3163" i="29"/>
  <c r="K4663" i="29"/>
  <c r="U2812" i="29"/>
  <c r="K1253" i="29"/>
  <c r="U702" i="29"/>
  <c r="U3553" i="29"/>
  <c r="U1390" i="29"/>
  <c r="U2174" i="29"/>
  <c r="U957" i="29"/>
  <c r="U4311" i="29"/>
  <c r="U5028" i="29"/>
  <c r="U4358" i="29"/>
  <c r="U4150" i="29"/>
  <c r="K3379" i="29"/>
  <c r="K3306" i="29"/>
  <c r="U5128" i="29"/>
  <c r="U5111" i="29"/>
  <c r="U5034" i="29"/>
  <c r="U878" i="29"/>
  <c r="K863" i="29"/>
  <c r="U3369" i="29"/>
  <c r="K2734" i="29"/>
  <c r="K4038" i="29"/>
  <c r="U5691" i="29"/>
  <c r="U6323" i="29"/>
  <c r="U4711" i="29"/>
  <c r="K5347" i="29"/>
  <c r="U863" i="29"/>
  <c r="U4747" i="29"/>
  <c r="U5520" i="29"/>
  <c r="U3220" i="29"/>
  <c r="U2142" i="29"/>
  <c r="U3935" i="29"/>
  <c r="U4490" i="29"/>
  <c r="U2495" i="29"/>
  <c r="U1266" i="29"/>
  <c r="U4313" i="29"/>
  <c r="K523" i="29"/>
  <c r="U2333" i="29"/>
  <c r="U4528" i="29"/>
  <c r="U5281" i="29"/>
  <c r="U3957" i="29"/>
  <c r="U2792" i="29"/>
  <c r="U5120" i="29"/>
  <c r="U1495" i="29"/>
  <c r="U2895" i="29"/>
  <c r="U7907" i="29"/>
  <c r="U3900" i="29"/>
  <c r="U1761" i="29"/>
  <c r="U5288" i="29"/>
  <c r="U954" i="29"/>
  <c r="U4393" i="29"/>
  <c r="U4316" i="29"/>
  <c r="U2173" i="29"/>
  <c r="U3894" i="29"/>
  <c r="U3895" i="29"/>
  <c r="U3971" i="29"/>
  <c r="U4710" i="29"/>
  <c r="U1241" i="29"/>
  <c r="U6147" i="29"/>
  <c r="K1046" i="29"/>
  <c r="U1176" i="29"/>
  <c r="T1713" i="29"/>
  <c r="W1713" i="29"/>
  <c r="U1713" i="29"/>
  <c r="U5523" i="29"/>
  <c r="U4125" i="29"/>
  <c r="U4587" i="29"/>
  <c r="U6730" i="29"/>
  <c r="U3821" i="29"/>
  <c r="K4458" i="29"/>
  <c r="U2884" i="29"/>
  <c r="U5196" i="29"/>
  <c r="U1703" i="29"/>
  <c r="U3647" i="29"/>
  <c r="U2351" i="29"/>
  <c r="K2351" i="29"/>
  <c r="U2591" i="29"/>
  <c r="U4455" i="29"/>
  <c r="U5208" i="29"/>
  <c r="K2333" i="29"/>
  <c r="U2417" i="29"/>
  <c r="U2345" i="29"/>
  <c r="U3598" i="29"/>
  <c r="K1520" i="29"/>
  <c r="U1520" i="29"/>
  <c r="K311" i="29"/>
  <c r="U311" i="29"/>
  <c r="K4372" i="29"/>
  <c r="U4372" i="29"/>
  <c r="U6676" i="29"/>
  <c r="K6676" i="29"/>
  <c r="K802" i="29"/>
  <c r="U802" i="29"/>
  <c r="K2210" i="29"/>
  <c r="U2210" i="29"/>
  <c r="K3980" i="29"/>
  <c r="U3980" i="29"/>
  <c r="U4679" i="29"/>
  <c r="K4679" i="29"/>
  <c r="K4328" i="29"/>
  <c r="U4328" i="29"/>
  <c r="S2206" i="29"/>
  <c r="T2206" i="29"/>
  <c r="W2206" i="29"/>
  <c r="K1029" i="29"/>
  <c r="U1029" i="29"/>
  <c r="U680" i="29"/>
  <c r="K680" i="29"/>
  <c r="K3580" i="29"/>
  <c r="K4951" i="29"/>
  <c r="U4951" i="29"/>
  <c r="K190" i="29"/>
  <c r="U190" i="29"/>
  <c r="K5358" i="29"/>
  <c r="U5358" i="29"/>
  <c r="K3825" i="29"/>
  <c r="U3825" i="29"/>
  <c r="K2017" i="29"/>
  <c r="U2017" i="29"/>
  <c r="K2798" i="29"/>
  <c r="U2798" i="29"/>
  <c r="K811" i="29"/>
  <c r="U811" i="29"/>
  <c r="K853" i="29"/>
  <c r="U853" i="29"/>
  <c r="K3293" i="29"/>
  <c r="K3103" i="29"/>
  <c r="U3103" i="29"/>
  <c r="K1369" i="29"/>
  <c r="U1215" i="29"/>
  <c r="U5009" i="29"/>
  <c r="K2346" i="29"/>
  <c r="U2346" i="29"/>
  <c r="K818" i="29"/>
  <c r="U818" i="29"/>
  <c r="K1914" i="29"/>
  <c r="U1914" i="29"/>
  <c r="K3994" i="29"/>
  <c r="U3994" i="29"/>
  <c r="K2645" i="29"/>
  <c r="U2645" i="29"/>
  <c r="U831" i="29"/>
  <c r="U4162" i="29"/>
  <c r="U3061" i="29"/>
  <c r="K4622" i="29"/>
  <c r="U3905" i="29"/>
  <c r="K3905" i="29"/>
  <c r="U3139" i="29"/>
  <c r="K3561" i="29"/>
  <c r="U3561" i="29"/>
  <c r="K1824" i="29"/>
  <c r="U1824" i="29"/>
  <c r="K34" i="29"/>
  <c r="U34" i="29"/>
  <c r="U1925" i="29"/>
  <c r="U3033" i="29"/>
  <c r="K3033" i="29"/>
  <c r="U5359" i="29"/>
  <c r="K5359" i="29"/>
  <c r="U1773" i="29"/>
  <c r="K1773" i="29"/>
  <c r="K3277" i="29"/>
  <c r="U3277" i="29"/>
  <c r="U4950" i="29"/>
  <c r="U2867" i="29"/>
  <c r="K4822" i="29"/>
  <c r="U4822" i="29"/>
  <c r="U3742" i="29"/>
  <c r="U3902" i="29"/>
  <c r="U5403" i="29"/>
  <c r="U3830" i="29"/>
  <c r="K3830" i="29"/>
  <c r="U2811" i="29"/>
  <c r="K4074" i="29"/>
  <c r="U4074" i="29"/>
  <c r="K3371" i="29"/>
  <c r="U3371" i="29"/>
  <c r="K4065" i="29"/>
  <c r="U4065" i="29"/>
  <c r="K845" i="29"/>
  <c r="U845" i="29"/>
  <c r="U4651" i="29"/>
  <c r="U2504" i="29"/>
  <c r="U2593" i="29"/>
  <c r="K2727" i="29"/>
  <c r="U2727" i="29"/>
  <c r="K4129" i="29"/>
  <c r="U4129" i="29"/>
  <c r="U3977" i="29"/>
  <c r="K2598" i="29"/>
  <c r="U2598" i="29"/>
  <c r="U4479" i="29"/>
  <c r="K2317" i="29"/>
  <c r="K1249" i="29"/>
  <c r="U1249" i="29"/>
  <c r="U4090" i="29"/>
  <c r="K4090" i="29"/>
  <c r="U3861" i="29"/>
  <c r="U4751" i="29"/>
  <c r="U4399" i="29"/>
  <c r="U2717" i="29"/>
  <c r="U4584" i="29"/>
  <c r="U1250" i="29"/>
  <c r="K1250" i="29"/>
  <c r="K1102" i="29"/>
  <c r="U1102" i="29"/>
  <c r="K1985" i="29"/>
  <c r="U1985" i="29"/>
  <c r="U3102" i="29"/>
  <c r="U901" i="29"/>
  <c r="U5829" i="29"/>
  <c r="U703" i="29"/>
  <c r="U2289" i="29"/>
  <c r="U4637" i="29"/>
  <c r="U1708" i="29"/>
  <c r="U1512" i="29"/>
  <c r="U4631" i="29"/>
  <c r="U4848" i="29"/>
  <c r="U4878" i="29"/>
  <c r="U1247" i="29"/>
  <c r="U530" i="29"/>
  <c r="K354" i="29"/>
  <c r="K2288" i="29"/>
  <c r="U2053" i="29"/>
  <c r="U975" i="29"/>
  <c r="U123" i="29"/>
  <c r="U1790" i="29"/>
  <c r="K396" i="29"/>
  <c r="S606" i="29"/>
  <c r="U2509" i="29"/>
  <c r="U3214" i="29"/>
  <c r="U4087" i="29"/>
  <c r="W2294" i="29"/>
  <c r="U2294" i="29"/>
  <c r="U1306" i="29"/>
  <c r="S1306" i="29"/>
  <c r="T1073" i="29"/>
  <c r="W1073" i="29"/>
  <c r="U1073" i="29"/>
  <c r="T1213" i="29"/>
  <c r="W1213" i="29"/>
  <c r="U1213" i="29"/>
  <c r="U1809" i="29"/>
  <c r="K391" i="29"/>
  <c r="T1585" i="29"/>
  <c r="W1585" i="29"/>
  <c r="U1585" i="29"/>
  <c r="U353" i="29"/>
  <c r="K215" i="29"/>
  <c r="U39" i="29"/>
  <c r="S1809" i="29"/>
  <c r="U1623" i="29"/>
  <c r="U1198" i="29"/>
  <c r="U564" i="29"/>
  <c r="K464" i="29"/>
  <c r="U2438" i="29"/>
  <c r="S2053" i="29"/>
  <c r="U69" i="29"/>
  <c r="S2294" i="29"/>
  <c r="K2875" i="29"/>
  <c r="K516" i="29"/>
  <c r="S975" i="29"/>
  <c r="U606" i="29"/>
  <c r="U1144" i="29"/>
  <c r="S2905" i="29"/>
  <c r="U1686" i="29"/>
  <c r="U358" i="29"/>
  <c r="K772" i="29"/>
  <c r="T1974" i="29"/>
  <c r="W1974" i="29"/>
  <c r="U1974" i="29"/>
  <c r="U56" i="29"/>
  <c r="S1144" i="29"/>
  <c r="S776" i="29"/>
  <c r="U1898" i="29"/>
  <c r="U385" i="29"/>
  <c r="K237" i="29"/>
  <c r="K829" i="29"/>
  <c r="U698" i="29"/>
  <c r="T736" i="29"/>
  <c r="W736" i="29"/>
  <c r="U736" i="29"/>
  <c r="T1023" i="29"/>
  <c r="W1023" i="29"/>
  <c r="U1023" i="29"/>
  <c r="T1427" i="29"/>
  <c r="W1427" i="29"/>
  <c r="U1427" i="29"/>
  <c r="U776" i="29"/>
  <c r="U791" i="29"/>
  <c r="K739" i="29"/>
  <c r="T1949" i="29"/>
  <c r="W1949" i="29"/>
  <c r="U1949" i="29"/>
  <c r="K490" i="29"/>
  <c r="U318" i="29"/>
  <c r="U2218" i="29"/>
  <c r="U1347" i="29"/>
  <c r="U183" i="29"/>
  <c r="T1872" i="29"/>
  <c r="W1872" i="29"/>
  <c r="U1872" i="29"/>
  <c r="K316" i="29"/>
  <c r="U152" i="29"/>
  <c r="K1177" i="29"/>
  <c r="K1559" i="29"/>
  <c r="S2039" i="29"/>
  <c r="K2039" i="29"/>
  <c r="U2039" i="29"/>
  <c r="U657" i="29"/>
  <c r="K657" i="29"/>
  <c r="T1657" i="29"/>
  <c r="W1657" i="29"/>
  <c r="U1657" i="29"/>
  <c r="K20" i="29"/>
  <c r="U758" i="29"/>
  <c r="U242" i="29"/>
  <c r="S2328" i="29"/>
  <c r="T2079" i="29"/>
  <c r="W2079" i="29"/>
  <c r="U2079" i="29"/>
  <c r="U1796" i="29"/>
  <c r="T2402" i="29"/>
  <c r="W2402" i="29"/>
  <c r="K1059" i="29"/>
  <c r="U1059" i="29"/>
  <c r="U2056" i="29"/>
  <c r="T2158" i="29"/>
  <c r="W2158" i="29"/>
  <c r="U2158" i="29"/>
  <c r="U1177" i="29"/>
  <c r="K2537" i="29"/>
  <c r="U2537" i="29"/>
  <c r="U1642" i="29"/>
  <c r="K1642" i="29"/>
  <c r="T1559" i="29"/>
  <c r="W1559" i="29"/>
  <c r="U1559" i="29"/>
  <c r="K152" i="29"/>
  <c r="U993" i="29"/>
  <c r="K993" i="29"/>
  <c r="S1736" i="29"/>
  <c r="T1736" i="29"/>
  <c r="W1736" i="29"/>
  <c r="U1736" i="29"/>
  <c r="K1319" i="29"/>
  <c r="U1319" i="29"/>
  <c r="S1271" i="29"/>
  <c r="T1271" i="29"/>
  <c r="W1271" i="29"/>
  <c r="U1271" i="29"/>
  <c r="U1568" i="29"/>
  <c r="K1568" i="29"/>
  <c r="T972" i="29"/>
  <c r="W972" i="29"/>
  <c r="U972" i="29"/>
  <c r="S972" i="29"/>
  <c r="K276" i="29"/>
  <c r="S1347" i="29"/>
  <c r="T1477" i="29"/>
  <c r="W1477" i="29"/>
  <c r="U1477" i="29"/>
  <c r="S1477" i="29"/>
  <c r="K821" i="29"/>
  <c r="U694" i="29"/>
  <c r="U428" i="29"/>
  <c r="T1491" i="29"/>
  <c r="W1491" i="29"/>
  <c r="U1491" i="29"/>
  <c r="S1491" i="29"/>
  <c r="S1835" i="29"/>
  <c r="T1835" i="29"/>
  <c r="W1835" i="29"/>
  <c r="U1835" i="29"/>
  <c r="K1809" i="29"/>
  <c r="K1557" i="29"/>
  <c r="K992" i="29"/>
  <c r="U992" i="29"/>
  <c r="K1626" i="29"/>
  <c r="U1626" i="29"/>
  <c r="K1213" i="29"/>
  <c r="S1341" i="29"/>
  <c r="K738" i="29"/>
  <c r="U577" i="29"/>
  <c r="U1426" i="29"/>
  <c r="T2118" i="29"/>
  <c r="J2118" i="29"/>
  <c r="S2118" i="29"/>
  <c r="K1743" i="29"/>
  <c r="U836" i="29"/>
  <c r="T1092" i="29"/>
  <c r="W1092" i="29"/>
  <c r="U1092" i="29"/>
  <c r="K1426" i="29"/>
  <c r="K11" i="29"/>
  <c r="K197" i="29"/>
  <c r="K1036" i="29"/>
  <c r="U835" i="29"/>
  <c r="K2468" i="29"/>
  <c r="U2468" i="29"/>
  <c r="K375" i="29"/>
  <c r="S1116" i="29"/>
  <c r="T862" i="29"/>
  <c r="W862" i="29"/>
  <c r="U862" i="29"/>
  <c r="U535" i="29"/>
  <c r="U821" i="29"/>
  <c r="U966" i="29"/>
  <c r="U2398" i="29"/>
  <c r="K2398" i="29"/>
  <c r="U44" i="29"/>
  <c r="U3262" i="29"/>
  <c r="U2215" i="29"/>
  <c r="K573" i="29"/>
  <c r="K1092" i="29"/>
  <c r="K2586" i="29"/>
  <c r="U1366" i="29"/>
  <c r="U289" i="29"/>
  <c r="K2639" i="29"/>
  <c r="K1193" i="29"/>
  <c r="K1736" i="29"/>
  <c r="U1811" i="29"/>
  <c r="K1989" i="29"/>
  <c r="K917" i="29"/>
  <c r="K44" i="29"/>
  <c r="U1558" i="29"/>
  <c r="K586" i="29"/>
  <c r="U913" i="29"/>
  <c r="K1811" i="29"/>
  <c r="U1608" i="29"/>
  <c r="S3759" i="29"/>
  <c r="K1974" i="29"/>
  <c r="K1427" i="29"/>
  <c r="K714" i="29"/>
  <c r="K1023" i="29"/>
  <c r="K1962" i="29"/>
  <c r="U1261" i="29"/>
  <c r="K2150" i="29"/>
  <c r="K1271" i="29"/>
  <c r="K776" i="29"/>
  <c r="K76" i="29"/>
  <c r="K918" i="29"/>
  <c r="U429" i="29"/>
  <c r="K2432" i="29"/>
  <c r="K820" i="29"/>
  <c r="K694" i="29"/>
  <c r="K196" i="29"/>
  <c r="U1808" i="29"/>
  <c r="K2964" i="29"/>
  <c r="U2964" i="29"/>
  <c r="K6119" i="29"/>
  <c r="U3556" i="29"/>
  <c r="K6405" i="29"/>
  <c r="T634" i="29"/>
  <c r="W634" i="29"/>
  <c r="U634" i="29"/>
  <c r="U2453" i="29"/>
  <c r="K1001" i="29"/>
  <c r="K4154" i="29"/>
  <c r="K3598" i="29"/>
  <c r="U3294" i="29"/>
  <c r="K3214" i="29"/>
  <c r="K1779" i="29"/>
  <c r="K2062" i="29"/>
  <c r="U4166" i="29"/>
  <c r="U1341" i="29"/>
  <c r="K2811" i="29"/>
  <c r="U3018" i="29"/>
  <c r="K4710" i="29"/>
  <c r="S2152" i="29"/>
  <c r="U3160" i="29"/>
  <c r="U336" i="29"/>
  <c r="T917" i="29"/>
  <c r="W917" i="29"/>
  <c r="U917" i="29"/>
  <c r="K478" i="29"/>
  <c r="U5565" i="29"/>
  <c r="U1762" i="29"/>
  <c r="U1953" i="29"/>
  <c r="K4396" i="29"/>
  <c r="K685" i="29"/>
  <c r="K2504" i="29"/>
  <c r="U6751" i="29"/>
  <c r="S648" i="29"/>
  <c r="U2260" i="29"/>
  <c r="U3659" i="29"/>
  <c r="K1122" i="29"/>
  <c r="K5245" i="29"/>
  <c r="U5245" i="29"/>
  <c r="U4315" i="29"/>
  <c r="U299" i="29"/>
  <c r="K122" i="29"/>
  <c r="U812" i="29"/>
  <c r="K1567" i="29"/>
  <c r="U1281" i="29"/>
  <c r="U1513" i="29"/>
  <c r="U4486" i="29"/>
  <c r="K5695" i="29"/>
  <c r="U427" i="29"/>
  <c r="K1925" i="29"/>
  <c r="U6436" i="29"/>
  <c r="K3553" i="29"/>
  <c r="K1390" i="29"/>
  <c r="U1130" i="29"/>
  <c r="K2128" i="29"/>
  <c r="K319" i="29"/>
  <c r="K57" i="29"/>
  <c r="K5208" i="29"/>
  <c r="U5695" i="29"/>
  <c r="U2629" i="29"/>
  <c r="U460" i="29"/>
  <c r="U600" i="29"/>
  <c r="U4875" i="29"/>
  <c r="U1747" i="29"/>
  <c r="K4313" i="29"/>
  <c r="U4204" i="29"/>
  <c r="U4943" i="29"/>
  <c r="U3171" i="29"/>
  <c r="K5698" i="29"/>
  <c r="U5698" i="29"/>
  <c r="K634" i="29"/>
  <c r="K1732" i="29"/>
  <c r="U1732" i="29"/>
  <c r="U3267" i="29"/>
  <c r="U3959" i="29"/>
  <c r="U2102" i="29"/>
  <c r="U1200" i="29"/>
  <c r="U4540" i="29"/>
  <c r="K4540" i="29"/>
  <c r="K2138" i="29"/>
  <c r="U5850" i="29"/>
  <c r="U171" i="29"/>
  <c r="U295" i="29"/>
  <c r="K864" i="29"/>
  <c r="K1028" i="29"/>
  <c r="K5029" i="29"/>
  <c r="S821" i="29"/>
  <c r="U3738" i="29"/>
  <c r="S1246" i="29"/>
  <c r="U4322" i="29"/>
  <c r="U3429" i="29"/>
  <c r="U414" i="29"/>
  <c r="U708" i="29"/>
  <c r="U3746" i="29"/>
  <c r="K3842" i="29"/>
  <c r="K143" i="29"/>
  <c r="K3894" i="29"/>
  <c r="K5891" i="29"/>
  <c r="K2428" i="29"/>
  <c r="K414" i="29"/>
  <c r="K2888" i="29"/>
  <c r="U2888" i="29"/>
  <c r="U351" i="29"/>
  <c r="U6084" i="29"/>
  <c r="U1849" i="29"/>
  <c r="K1818" i="29"/>
  <c r="U6328" i="29"/>
  <c r="U455" i="29"/>
  <c r="K6147" i="29"/>
  <c r="K3169" i="29"/>
  <c r="U1519" i="29"/>
  <c r="U2113" i="29"/>
  <c r="U2944" i="29"/>
  <c r="U6119" i="29"/>
  <c r="U3084" i="29"/>
  <c r="U5206" i="29"/>
  <c r="K5206" i="29"/>
  <c r="U5638" i="29"/>
  <c r="U1707" i="29"/>
  <c r="K1146" i="29"/>
  <c r="U1902" i="29"/>
  <c r="K1902" i="29"/>
  <c r="U1216" i="29"/>
  <c r="K1216" i="29"/>
  <c r="U4839" i="29"/>
  <c r="S2382" i="29"/>
  <c r="U3119" i="29"/>
  <c r="U2066" i="29"/>
  <c r="U685" i="29"/>
  <c r="K169" i="29"/>
  <c r="U5396" i="29"/>
  <c r="K5396" i="29"/>
  <c r="K4424" i="29"/>
  <c r="U4424" i="29"/>
  <c r="U5258" i="29"/>
  <c r="K5258" i="29"/>
  <c r="K2173" i="29"/>
  <c r="K7454" i="29"/>
  <c r="U2906" i="29"/>
  <c r="K1516" i="29"/>
  <c r="U524" i="29"/>
  <c r="K5285" i="29"/>
  <c r="U3743" i="29"/>
  <c r="U7454" i="29"/>
  <c r="K2773" i="29"/>
  <c r="U1507" i="29"/>
  <c r="U5632" i="29"/>
  <c r="K901" i="29"/>
  <c r="K3267" i="29"/>
  <c r="K4060" i="29"/>
  <c r="U1417" i="29"/>
  <c r="U1408" i="29"/>
  <c r="U731" i="29"/>
  <c r="U5342" i="29"/>
  <c r="K5342" i="29"/>
  <c r="U4245" i="29"/>
  <c r="K1189" i="29"/>
  <c r="U5108" i="29"/>
  <c r="S694" i="29"/>
  <c r="K3850" i="29"/>
  <c r="K3531" i="29"/>
  <c r="K5167" i="29"/>
  <c r="U4055" i="29"/>
  <c r="U5413" i="29"/>
  <c r="U3225" i="29"/>
  <c r="U4483" i="29"/>
  <c r="U5280" i="29"/>
  <c r="U3229" i="29"/>
  <c r="U3014" i="29"/>
  <c r="U5119" i="29"/>
  <c r="U4477" i="29"/>
  <c r="U4394" i="29"/>
  <c r="K3226" i="29"/>
  <c r="U3226" i="29"/>
  <c r="U2894" i="29"/>
  <c r="K5668" i="29"/>
  <c r="U4949" i="29"/>
  <c r="U3432" i="29"/>
  <c r="K3152" i="29"/>
  <c r="U2368" i="29"/>
  <c r="U2804" i="29"/>
  <c r="K1095" i="29"/>
  <c r="U2472" i="29"/>
  <c r="U3982" i="29"/>
  <c r="U3903" i="29"/>
  <c r="U2526" i="29"/>
  <c r="U2109" i="29"/>
  <c r="U98" i="29"/>
  <c r="U384" i="29"/>
  <c r="K766" i="29"/>
  <c r="U1172" i="29"/>
  <c r="U3683" i="29"/>
  <c r="U3303" i="29"/>
  <c r="K3877" i="29"/>
  <c r="U2367" i="29"/>
  <c r="U2176" i="29"/>
  <c r="U2720" i="29"/>
  <c r="U1635" i="29"/>
  <c r="U2016" i="29"/>
  <c r="K2016" i="29"/>
  <c r="U2237" i="29"/>
  <c r="K3141" i="29"/>
  <c r="U3141" i="29"/>
  <c r="T1069" i="29"/>
  <c r="W1069" i="29"/>
  <c r="U1069" i="29"/>
  <c r="U259" i="29"/>
  <c r="K3070" i="29"/>
  <c r="T1396" i="29"/>
  <c r="W1396" i="29"/>
  <c r="U1396" i="29"/>
  <c r="K3664" i="29"/>
  <c r="U2837" i="29"/>
  <c r="U4476" i="29"/>
  <c r="U2051" i="29"/>
  <c r="U2252" i="29"/>
  <c r="U7060" i="29"/>
  <c r="K3097" i="29"/>
  <c r="U2589" i="29"/>
  <c r="U599" i="29"/>
  <c r="U315" i="29"/>
  <c r="K4483" i="29"/>
  <c r="U2948" i="29"/>
  <c r="U3095" i="29"/>
  <c r="U3899" i="29"/>
  <c r="U1775" i="29"/>
  <c r="U4883" i="29"/>
  <c r="U2152" i="29"/>
  <c r="K3401" i="29"/>
  <c r="U2955" i="29"/>
  <c r="U1817" i="29"/>
  <c r="K3232" i="29"/>
  <c r="U3232" i="29"/>
  <c r="K2951" i="29"/>
  <c r="U2951" i="29"/>
  <c r="K4839" i="29"/>
  <c r="K3746" i="29"/>
  <c r="U3819" i="29"/>
  <c r="T2024" i="29"/>
  <c r="W2024" i="29"/>
  <c r="U2024" i="29"/>
  <c r="K3958" i="29"/>
  <c r="U3958" i="29"/>
  <c r="U4160" i="29"/>
  <c r="K4160" i="29"/>
  <c r="K2175" i="29"/>
  <c r="U2175" i="29"/>
  <c r="U1034" i="29"/>
  <c r="U1252" i="29"/>
  <c r="K935" i="29"/>
  <c r="T1586" i="29"/>
  <c r="W1586" i="29"/>
  <c r="U1586" i="29"/>
  <c r="U2469" i="29"/>
  <c r="U477" i="29"/>
  <c r="K1548" i="29"/>
  <c r="U1548" i="29"/>
  <c r="U2486" i="29"/>
  <c r="K612" i="29"/>
  <c r="T1698" i="29"/>
  <c r="W1698" i="29"/>
  <c r="U1698" i="29"/>
  <c r="U1821" i="29"/>
  <c r="U914" i="29"/>
  <c r="U553" i="29"/>
  <c r="K2754" i="29"/>
  <c r="K12" i="29"/>
  <c r="K1018" i="29"/>
  <c r="U2489" i="29"/>
  <c r="K1397" i="29"/>
  <c r="U1062" i="29"/>
  <c r="U5380" i="29"/>
  <c r="U1160" i="29"/>
  <c r="K1160" i="29"/>
  <c r="K2860" i="29"/>
  <c r="K1855" i="29"/>
  <c r="K2030" i="29"/>
  <c r="K2450" i="29"/>
  <c r="U3218" i="29"/>
  <c r="K4475" i="29"/>
  <c r="U1851" i="29"/>
  <c r="U4384" i="29"/>
  <c r="K4848" i="29"/>
  <c r="K683" i="29"/>
  <c r="K3558" i="29"/>
  <c r="U3558" i="29"/>
  <c r="U2754" i="29"/>
  <c r="U774" i="29"/>
  <c r="K1906" i="29"/>
  <c r="U235" i="29"/>
  <c r="U6327" i="29"/>
  <c r="T870" i="29"/>
  <c r="W870" i="29"/>
  <c r="U870" i="29"/>
  <c r="U2280" i="29"/>
  <c r="U3451" i="29"/>
  <c r="U5425" i="29"/>
  <c r="U3213" i="29"/>
  <c r="K2123" i="29"/>
  <c r="U1749" i="29"/>
  <c r="U1637" i="29"/>
  <c r="S719" i="29"/>
  <c r="U892" i="29"/>
  <c r="U5410" i="29"/>
  <c r="U5274" i="29"/>
  <c r="U4579" i="29"/>
  <c r="U1425" i="29"/>
  <c r="U4236" i="29"/>
  <c r="K2003" i="29"/>
  <c r="U1098" i="29"/>
  <c r="U5043" i="29"/>
  <c r="K954" i="29"/>
  <c r="U3449" i="29"/>
  <c r="U3458" i="29"/>
  <c r="K3458" i="29"/>
  <c r="U1863" i="29"/>
  <c r="K1863" i="29"/>
  <c r="U3748" i="29"/>
  <c r="U737" i="29"/>
  <c r="U7542" i="29"/>
  <c r="U6907" i="29"/>
  <c r="U2703" i="29"/>
  <c r="U3822" i="29"/>
  <c r="K3822" i="29"/>
  <c r="K230" i="29"/>
  <c r="K1479" i="29"/>
  <c r="U2295" i="29"/>
  <c r="U1836" i="29"/>
  <c r="U2887" i="29"/>
  <c r="U3021" i="29"/>
  <c r="U1565" i="29"/>
  <c r="U2030" i="29"/>
  <c r="U4492" i="29"/>
  <c r="U4297" i="29"/>
  <c r="K567" i="29"/>
  <c r="T1395" i="29"/>
  <c r="W1395" i="29"/>
  <c r="U1395" i="29"/>
  <c r="J4227" i="29"/>
  <c r="U4227" i="29"/>
  <c r="U2760" i="29"/>
  <c r="U5420" i="29"/>
  <c r="U4823" i="29"/>
  <c r="U2343" i="29"/>
  <c r="K5043" i="29"/>
  <c r="K5888" i="29"/>
  <c r="U5888" i="29"/>
  <c r="U4159" i="29"/>
  <c r="K3408" i="29"/>
  <c r="U3408" i="29"/>
  <c r="K4208" i="29"/>
  <c r="U4208" i="29"/>
  <c r="U1963" i="29"/>
  <c r="U3877" i="29"/>
  <c r="K3432" i="29"/>
  <c r="K3984" i="29"/>
  <c r="U2912" i="29"/>
  <c r="U1624" i="29"/>
  <c r="K4477" i="29"/>
  <c r="U2080" i="29"/>
  <c r="K2589" i="29"/>
  <c r="U193" i="29"/>
  <c r="U4158" i="29"/>
  <c r="U5037" i="29"/>
  <c r="K2069" i="29"/>
  <c r="U4073" i="29"/>
  <c r="K503" i="29"/>
  <c r="U150" i="29"/>
  <c r="K3337" i="29"/>
  <c r="K549" i="29"/>
  <c r="K1959" i="29"/>
  <c r="U2382" i="29"/>
  <c r="U3691" i="29"/>
  <c r="U1476" i="29"/>
  <c r="K1145" i="29"/>
  <c r="U3446" i="29"/>
  <c r="K317" i="29"/>
  <c r="U317" i="29"/>
  <c r="K2527" i="29"/>
  <c r="K2140" i="29"/>
  <c r="K5959" i="29"/>
  <c r="U4457" i="29"/>
  <c r="T1005" i="29"/>
  <c r="W1005" i="29"/>
  <c r="U1005" i="29"/>
  <c r="U1025" i="29"/>
  <c r="U648" i="29"/>
  <c r="U2668" i="29"/>
  <c r="U2042" i="29"/>
  <c r="U2373" i="29"/>
  <c r="K5829" i="29"/>
  <c r="K703" i="29"/>
  <c r="K1651" i="29"/>
  <c r="K432" i="29"/>
  <c r="K1975" i="29"/>
  <c r="U515" i="29"/>
  <c r="U134" i="29"/>
  <c r="U1112" i="29"/>
  <c r="U614" i="29"/>
  <c r="U2106" i="29"/>
  <c r="U552" i="29"/>
  <c r="K3056" i="29"/>
  <c r="U5959" i="29"/>
  <c r="U2679" i="29"/>
  <c r="K2025" i="29"/>
  <c r="U2072" i="29"/>
  <c r="U1801" i="29"/>
  <c r="K231" i="29"/>
  <c r="U13" i="29"/>
  <c r="K479" i="29"/>
  <c r="U1432" i="29"/>
  <c r="U287" i="29"/>
  <c r="T2634" i="29"/>
  <c r="W2634" i="29"/>
  <c r="U2634" i="29"/>
  <c r="S4089" i="29"/>
  <c r="U46" i="29"/>
  <c r="U1754" i="29"/>
  <c r="K1707" i="29"/>
  <c r="U4570" i="29"/>
  <c r="U3428" i="29"/>
  <c r="K238" i="29"/>
  <c r="K894" i="29"/>
  <c r="K2054" i="29"/>
  <c r="K5009" i="29"/>
  <c r="U2667" i="29"/>
  <c r="S3352" i="29"/>
  <c r="U355" i="29"/>
  <c r="K466" i="29"/>
  <c r="U323" i="29"/>
  <c r="U1030" i="29"/>
  <c r="K620" i="29"/>
  <c r="U357" i="29"/>
  <c r="U2054" i="29"/>
  <c r="U1272" i="29"/>
  <c r="U1332" i="29"/>
  <c r="T653" i="29"/>
  <c r="W653" i="29"/>
  <c r="U653" i="29"/>
  <c r="S1198" i="29"/>
  <c r="U3615" i="29"/>
  <c r="U2058" i="29"/>
  <c r="U789" i="29"/>
  <c r="U3978" i="29"/>
  <c r="K850" i="29"/>
  <c r="K1192" i="29"/>
  <c r="K2525" i="29"/>
  <c r="U1728" i="29"/>
  <c r="K911" i="29"/>
  <c r="U1026" i="29"/>
  <c r="S1476" i="29"/>
  <c r="T647" i="29"/>
  <c r="W647" i="29"/>
  <c r="U647" i="29"/>
  <c r="U314" i="29"/>
  <c r="U2527" i="29"/>
  <c r="U2443" i="29"/>
  <c r="U915" i="29"/>
  <c r="U1363" i="29"/>
  <c r="U838" i="29"/>
  <c r="U1296" i="29"/>
  <c r="U3862" i="29"/>
  <c r="U3217" i="29"/>
  <c r="U3248" i="29"/>
  <c r="U4771" i="29"/>
  <c r="K3217" i="29"/>
  <c r="K1982" i="29"/>
  <c r="U2982" i="29"/>
  <c r="U4699" i="29"/>
  <c r="U2464" i="29"/>
  <c r="U1047" i="29"/>
  <c r="U1607" i="29"/>
  <c r="U468" i="29"/>
  <c r="U5406" i="29"/>
  <c r="K781" i="29"/>
  <c r="T1068" i="29"/>
  <c r="W1068" i="29"/>
  <c r="U1068" i="29"/>
  <c r="U2284" i="29"/>
  <c r="U2485" i="29"/>
  <c r="U871" i="29"/>
  <c r="K8" i="29"/>
  <c r="K1258" i="29"/>
  <c r="K509" i="29"/>
  <c r="K1034" i="29"/>
  <c r="T764" i="29"/>
  <c r="W764" i="29"/>
  <c r="U764" i="29"/>
  <c r="U151" i="29"/>
  <c r="K494" i="29"/>
  <c r="U2189" i="29"/>
  <c r="U1438" i="29"/>
  <c r="K1983" i="29"/>
  <c r="K3294" i="29"/>
  <c r="U1883" i="29"/>
  <c r="U2643" i="29"/>
  <c r="K1027" i="29"/>
  <c r="K788" i="29"/>
  <c r="K608" i="29"/>
  <c r="U2070" i="29"/>
  <c r="U509" i="29"/>
  <c r="K598" i="29"/>
  <c r="U916" i="29"/>
  <c r="K2704" i="29"/>
  <c r="K4169" i="29"/>
  <c r="U5326" i="29"/>
  <c r="K2131" i="29"/>
  <c r="U3675" i="29"/>
  <c r="K1681" i="29"/>
  <c r="U1079" i="29"/>
  <c r="K2284" i="29"/>
  <c r="U83" i="29"/>
  <c r="U5377" i="29"/>
  <c r="U4887" i="29"/>
  <c r="K2047" i="29"/>
  <c r="K842" i="29"/>
  <c r="U842" i="29"/>
  <c r="U2110" i="29"/>
  <c r="K4351" i="29"/>
  <c r="K547" i="29"/>
  <c r="K563" i="29"/>
  <c r="U4278" i="29"/>
  <c r="U2137" i="29"/>
  <c r="U719" i="29"/>
  <c r="U198" i="29"/>
  <c r="K2464" i="29"/>
  <c r="U4169" i="29"/>
  <c r="U2044" i="29"/>
  <c r="S1197" i="29"/>
  <c r="U2231" i="29"/>
  <c r="K3659" i="29"/>
  <c r="U407" i="29"/>
  <c r="U1553" i="29"/>
  <c r="U2140" i="29"/>
  <c r="U771" i="29"/>
  <c r="U5391" i="29"/>
  <c r="K3405" i="29"/>
  <c r="U1251" i="29"/>
  <c r="U2905" i="29"/>
  <c r="K70" i="29"/>
  <c r="K790" i="29"/>
  <c r="K4653" i="29"/>
  <c r="U4653" i="29"/>
  <c r="K27" i="29"/>
  <c r="U27" i="29"/>
  <c r="U2124" i="29"/>
  <c r="K4067" i="29"/>
  <c r="T1506" i="29"/>
  <c r="W1506" i="29"/>
  <c r="U1506" i="29"/>
  <c r="S1506" i="29"/>
  <c r="U1137" i="29"/>
  <c r="K1137" i="29"/>
  <c r="K3389" i="29"/>
  <c r="U745" i="29"/>
  <c r="U2528" i="29"/>
  <c r="K2528" i="29"/>
  <c r="U288" i="29"/>
  <c r="K288" i="29"/>
  <c r="K3528" i="29"/>
  <c r="U3528" i="29"/>
  <c r="U1668" i="29"/>
  <c r="K1668" i="29"/>
  <c r="K2576" i="29"/>
  <c r="U2576" i="29"/>
  <c r="U1075" i="29"/>
  <c r="K2075" i="29"/>
  <c r="U2075" i="29"/>
  <c r="U3223" i="29"/>
  <c r="K3223" i="29"/>
  <c r="K1246" i="29"/>
  <c r="U4725" i="29"/>
  <c r="K4725" i="29"/>
  <c r="K1489" i="29"/>
  <c r="U1489" i="29"/>
  <c r="U1116" i="29"/>
  <c r="U2335" i="29"/>
  <c r="K2335" i="29"/>
  <c r="K3425" i="29"/>
  <c r="U3425" i="29"/>
  <c r="K828" i="29"/>
  <c r="U828" i="29"/>
  <c r="K252" i="29"/>
  <c r="U252" i="29"/>
  <c r="K33" i="29"/>
  <c r="U248" i="29"/>
  <c r="K248" i="29"/>
  <c r="K2799" i="29"/>
  <c r="U2799" i="29"/>
  <c r="K1744" i="29"/>
  <c r="U1744" i="29"/>
  <c r="K24" i="29"/>
  <c r="U24" i="29"/>
  <c r="U4118" i="29"/>
  <c r="U4152" i="29"/>
  <c r="K373" i="29"/>
  <c r="K2111" i="29"/>
  <c r="U2111" i="29"/>
  <c r="K603" i="29"/>
  <c r="U603" i="29"/>
  <c r="K1329" i="29"/>
  <c r="U1329" i="29"/>
  <c r="K1652" i="29"/>
  <c r="U1652" i="29"/>
  <c r="K1776" i="29"/>
  <c r="U1776" i="29"/>
  <c r="K107" i="29"/>
  <c r="U107" i="29"/>
  <c r="K5528" i="29"/>
  <c r="U5528" i="29"/>
  <c r="K451" i="29"/>
  <c r="U790" i="29"/>
  <c r="K3795" i="29"/>
  <c r="U3795" i="29"/>
  <c r="U7370" i="29"/>
  <c r="U1403" i="29"/>
  <c r="K1403" i="29"/>
  <c r="K3712" i="29"/>
  <c r="U3712" i="29"/>
  <c r="U1688" i="29"/>
  <c r="K4391" i="29"/>
  <c r="U4391" i="29"/>
  <c r="K1401" i="29"/>
  <c r="U1401" i="29"/>
  <c r="K1570" i="29"/>
  <c r="U1570" i="29"/>
  <c r="K5122" i="29"/>
  <c r="U5122" i="29"/>
  <c r="U71" i="29"/>
  <c r="K71" i="29"/>
  <c r="K6949" i="29"/>
  <c r="U6949" i="29"/>
  <c r="K3856" i="29"/>
  <c r="U3856" i="29"/>
  <c r="U559" i="29"/>
  <c r="K559" i="29"/>
  <c r="K529" i="29"/>
  <c r="U529" i="29"/>
  <c r="U1197" i="29"/>
  <c r="U824" i="29"/>
  <c r="K824" i="29"/>
  <c r="K186" i="29"/>
  <c r="K7370" i="29"/>
  <c r="K118" i="29"/>
  <c r="K2610" i="29"/>
  <c r="U2610" i="29"/>
  <c r="U640" i="29"/>
  <c r="K640" i="29"/>
  <c r="T2843" i="29"/>
  <c r="W2843" i="29"/>
  <c r="U2843" i="29"/>
  <c r="S2843" i="29"/>
  <c r="K60" i="29"/>
  <c r="U60" i="29"/>
  <c r="U974" i="29"/>
  <c r="U5091" i="29"/>
  <c r="K1375" i="29"/>
  <c r="U1375" i="29"/>
  <c r="U4577" i="29"/>
  <c r="S655" i="29"/>
  <c r="T655" i="29"/>
  <c r="W655" i="29"/>
  <c r="U655" i="29"/>
  <c r="U1912" i="29"/>
  <c r="K1912" i="29"/>
  <c r="S3491" i="29"/>
  <c r="T3491" i="29"/>
  <c r="W3491" i="29"/>
  <c r="U3491" i="29"/>
  <c r="J3759" i="29"/>
  <c r="K3759" i="29"/>
  <c r="W3759" i="29"/>
  <c r="S1755" i="29"/>
  <c r="T1755" i="29"/>
  <c r="W1755" i="29"/>
  <c r="U1755" i="29"/>
  <c r="K1996" i="29"/>
  <c r="U1996" i="29"/>
  <c r="K82" i="29"/>
  <c r="U82" i="29"/>
  <c r="K1118" i="29"/>
  <c r="U1118" i="29"/>
  <c r="K2741" i="29"/>
  <c r="U2741" i="29"/>
  <c r="K5166" i="29"/>
  <c r="U5166" i="29"/>
  <c r="K1908" i="29"/>
  <c r="U1908" i="29"/>
  <c r="U2112" i="29"/>
  <c r="K4498" i="29"/>
  <c r="U4498" i="29"/>
  <c r="U1669" i="29"/>
  <c r="U5209" i="29"/>
  <c r="K5209" i="29"/>
  <c r="K1799" i="29"/>
  <c r="U1799" i="29"/>
  <c r="K5349" i="29"/>
  <c r="U5349" i="29"/>
  <c r="K2529" i="29"/>
  <c r="U2529" i="29"/>
  <c r="U1683" i="29"/>
  <c r="K1683" i="29"/>
  <c r="K2124" i="29"/>
  <c r="U2302" i="29"/>
  <c r="K2302" i="29"/>
  <c r="K1924" i="29"/>
  <c r="K5194" i="29"/>
  <c r="U5194" i="29"/>
  <c r="K4179" i="29"/>
  <c r="U4179" i="29"/>
  <c r="T652" i="29"/>
  <c r="W652" i="29"/>
  <c r="U652" i="29"/>
  <c r="S652" i="29"/>
  <c r="K521" i="29"/>
  <c r="U521" i="29"/>
  <c r="K629" i="29"/>
  <c r="U629" i="29"/>
  <c r="S998" i="29"/>
  <c r="T998" i="29"/>
  <c r="W998" i="29"/>
  <c r="U998" i="29"/>
  <c r="K1506" i="29"/>
  <c r="K2303" i="29"/>
  <c r="U70" i="29"/>
  <c r="T872" i="29"/>
  <c r="W872" i="29"/>
  <c r="U872" i="29"/>
  <c r="S872" i="29"/>
  <c r="K1759" i="29"/>
  <c r="U1759" i="29"/>
  <c r="U1421" i="29"/>
  <c r="K1722" i="29"/>
  <c r="U5023" i="29"/>
  <c r="K5280" i="29"/>
  <c r="U6657" i="29"/>
  <c r="U4877" i="29"/>
  <c r="K4877" i="29"/>
  <c r="K3063" i="29"/>
  <c r="S4656" i="29"/>
  <c r="K1290" i="29"/>
  <c r="U1290" i="29"/>
  <c r="T3216" i="29"/>
  <c r="W3216" i="29"/>
  <c r="U3216" i="29"/>
  <c r="S3216" i="29"/>
  <c r="U1915" i="29"/>
  <c r="K1915" i="29"/>
  <c r="K5824" i="29"/>
  <c r="U5824" i="29"/>
  <c r="K4690" i="29"/>
  <c r="U4690" i="29"/>
  <c r="U1381" i="29"/>
  <c r="U2018" i="29"/>
  <c r="U7650" i="29"/>
  <c r="K4271" i="29"/>
  <c r="U4271" i="29"/>
  <c r="K4631" i="29"/>
  <c r="K711" i="29"/>
  <c r="U711" i="29"/>
  <c r="K4549" i="29"/>
  <c r="U3649" i="29"/>
  <c r="U4576" i="29"/>
  <c r="T3942" i="29"/>
  <c r="J3942" i="29"/>
  <c r="U4491" i="29"/>
  <c r="K1812" i="29"/>
  <c r="U4676" i="29"/>
  <c r="U4874" i="29"/>
  <c r="U4151" i="29"/>
  <c r="K2058" i="29"/>
  <c r="U4674" i="29"/>
  <c r="U2342" i="29"/>
  <c r="K2342" i="29"/>
  <c r="U6681" i="29"/>
  <c r="K6681" i="29"/>
  <c r="K3729" i="29"/>
  <c r="U3729" i="29"/>
  <c r="K2142" i="29"/>
  <c r="U1819" i="29"/>
  <c r="U4211" i="29"/>
  <c r="K1734" i="29"/>
  <c r="U2160" i="29"/>
  <c r="U4390" i="29"/>
  <c r="U2719" i="29"/>
  <c r="K2719" i="29"/>
  <c r="K2133" i="29"/>
  <c r="U945" i="29"/>
  <c r="U1126" i="29"/>
  <c r="S1438" i="29"/>
  <c r="U1734" i="29"/>
  <c r="U3364" i="29"/>
  <c r="K3096" i="29"/>
  <c r="U3096" i="29"/>
  <c r="K55" i="29"/>
  <c r="U55" i="29"/>
  <c r="K7907" i="29"/>
  <c r="U2575" i="29"/>
  <c r="U3448" i="29"/>
  <c r="U5409" i="29"/>
  <c r="U792" i="29"/>
  <c r="K4813" i="29"/>
  <c r="U1310" i="29"/>
  <c r="U7765" i="29"/>
  <c r="U3736" i="29"/>
  <c r="K1808" i="29"/>
  <c r="K3020" i="29"/>
  <c r="U3020" i="29"/>
  <c r="U1664" i="29"/>
  <c r="K1664" i="29"/>
  <c r="U1415" i="29"/>
  <c r="K1415" i="29"/>
  <c r="U185" i="29"/>
  <c r="U119" i="29"/>
  <c r="U3560" i="29"/>
  <c r="U4456" i="29"/>
  <c r="S1754" i="29"/>
  <c r="U7545" i="29"/>
  <c r="W4501" i="29"/>
  <c r="U4501" i="29"/>
  <c r="U4168" i="29"/>
  <c r="U4569" i="29"/>
  <c r="U4581" i="29"/>
  <c r="K135" i="29"/>
  <c r="U6592" i="29"/>
  <c r="K1139" i="29"/>
  <c r="U1139" i="29"/>
  <c r="K5936" i="29"/>
  <c r="U5936" i="29"/>
  <c r="U4251" i="29"/>
  <c r="U2290" i="29"/>
  <c r="U3849" i="29"/>
  <c r="K345" i="29"/>
  <c r="U345" i="29"/>
  <c r="K274" i="29"/>
  <c r="K3123" i="29"/>
  <c r="K2177" i="29"/>
  <c r="U2177" i="29"/>
  <c r="K5079" i="29"/>
  <c r="U5079" i="29"/>
  <c r="K7765" i="29"/>
  <c r="U1882" i="29"/>
  <c r="W4089" i="29"/>
  <c r="U4089" i="29"/>
  <c r="K575" i="29"/>
  <c r="U3462" i="29"/>
  <c r="U2086" i="29"/>
  <c r="K325" i="29"/>
  <c r="U5440" i="29"/>
  <c r="U5575" i="29"/>
  <c r="K5692" i="29"/>
  <c r="U5692" i="29"/>
  <c r="K5531" i="29"/>
  <c r="U5531" i="29"/>
  <c r="U6052" i="29"/>
  <c r="K731" i="29"/>
  <c r="K2290" i="29"/>
  <c r="K3849" i="29"/>
  <c r="U877" i="29"/>
  <c r="K877" i="29"/>
  <c r="U709" i="29"/>
  <c r="U50" i="29"/>
  <c r="K2859" i="29"/>
  <c r="U1246" i="29"/>
  <c r="K2231" i="29"/>
  <c r="U4400" i="29"/>
  <c r="U6425" i="29"/>
  <c r="U5372" i="29"/>
  <c r="U4375" i="29"/>
  <c r="U3908" i="29"/>
  <c r="U28" i="29"/>
  <c r="K502" i="29"/>
  <c r="U959" i="29"/>
  <c r="U3370" i="29"/>
  <c r="K4573" i="29"/>
  <c r="U4573" i="29"/>
  <c r="K6052" i="29"/>
  <c r="K5279" i="29"/>
  <c r="U5279" i="29"/>
  <c r="U5327" i="29"/>
  <c r="K2762" i="29"/>
  <c r="U2762" i="29"/>
  <c r="U7895" i="29"/>
  <c r="K7895" i="29"/>
  <c r="K3993" i="29"/>
  <c r="U3993" i="29"/>
  <c r="U628" i="29"/>
  <c r="K628" i="29"/>
  <c r="K653" i="29"/>
  <c r="K1727" i="29"/>
  <c r="U1727" i="29"/>
  <c r="K1971" i="29"/>
  <c r="U1971" i="29"/>
  <c r="U1086" i="29"/>
  <c r="K1086" i="29"/>
  <c r="U1344" i="29"/>
  <c r="K1344" i="29"/>
  <c r="K3656" i="29"/>
  <c r="U3656" i="29"/>
  <c r="U814" i="29"/>
  <c r="K814" i="29"/>
  <c r="U4809" i="29"/>
  <c r="K4809" i="29"/>
  <c r="K2840" i="29"/>
  <c r="U2840" i="29"/>
  <c r="K1685" i="29"/>
  <c r="U2164" i="29"/>
  <c r="K1497" i="29"/>
  <c r="U1497" i="29"/>
  <c r="K5367" i="29"/>
  <c r="U5367" i="29"/>
  <c r="K3101" i="29"/>
  <c r="K3734" i="29"/>
  <c r="U3734" i="29"/>
  <c r="U1291" i="29"/>
  <c r="K3582" i="29"/>
  <c r="U3582" i="29"/>
  <c r="U2451" i="29"/>
  <c r="K2451" i="29"/>
  <c r="K192" i="29"/>
  <c r="K449" i="29"/>
  <c r="U449" i="29"/>
  <c r="K866" i="29"/>
  <c r="K2049" i="29"/>
  <c r="K1564" i="29"/>
  <c r="U1564" i="29"/>
  <c r="K1400" i="29"/>
  <c r="K2305" i="29"/>
  <c r="U2305" i="29"/>
  <c r="K1331" i="29"/>
  <c r="U1331" i="29"/>
  <c r="K746" i="29"/>
  <c r="U746" i="29"/>
  <c r="K672" i="29"/>
  <c r="U672" i="29"/>
  <c r="U627" i="29"/>
  <c r="K627" i="29"/>
  <c r="U5114" i="29"/>
  <c r="K5114" i="29"/>
  <c r="K5273" i="29"/>
  <c r="U5273" i="29"/>
  <c r="K2705" i="29"/>
  <c r="U2705" i="29"/>
  <c r="K1955" i="29"/>
  <c r="U1955" i="29"/>
  <c r="K390" i="29"/>
  <c r="U390" i="29"/>
  <c r="U189" i="29"/>
  <c r="K189" i="29"/>
  <c r="K782" i="29"/>
  <c r="U782" i="29"/>
  <c r="K1006" i="29"/>
  <c r="U51" i="29"/>
  <c r="K51" i="29"/>
  <c r="K4666" i="29"/>
  <c r="U4666" i="29"/>
  <c r="K2733" i="29"/>
  <c r="U2733" i="29"/>
  <c r="K988" i="29"/>
  <c r="U988" i="29"/>
  <c r="K136" i="29"/>
  <c r="U136" i="29"/>
  <c r="U1685" i="29"/>
  <c r="U3740" i="29"/>
  <c r="K3740" i="29"/>
  <c r="K4069" i="29"/>
  <c r="U4069" i="29"/>
  <c r="U1484" i="29"/>
  <c r="K1484" i="29"/>
  <c r="K1782" i="29"/>
  <c r="U1782" i="29"/>
  <c r="K1895" i="29"/>
  <c r="U1895" i="29"/>
  <c r="T720" i="29"/>
  <c r="W720" i="29"/>
  <c r="U720" i="29"/>
  <c r="S720" i="29"/>
  <c r="K2409" i="29"/>
  <c r="U2409" i="29"/>
  <c r="K2225" i="29"/>
  <c r="U2225" i="29"/>
  <c r="U416" i="29"/>
  <c r="K416" i="29"/>
  <c r="U4856" i="29"/>
  <c r="K4856" i="29"/>
  <c r="K2213" i="29"/>
  <c r="U2213" i="29"/>
  <c r="U1006" i="29"/>
  <c r="K2911" i="29"/>
  <c r="K3971" i="29"/>
  <c r="U5179" i="29"/>
  <c r="K5179" i="29"/>
  <c r="K3047" i="29"/>
  <c r="U3047" i="29"/>
  <c r="U3318" i="29"/>
  <c r="U5361" i="29"/>
  <c r="K5361" i="29"/>
  <c r="K352" i="29"/>
  <c r="U352" i="29"/>
  <c r="K5117" i="29"/>
  <c r="U5117" i="29"/>
  <c r="U5572" i="29"/>
  <c r="K5572" i="29"/>
  <c r="K2796" i="29"/>
  <c r="U2796" i="29"/>
  <c r="K1420" i="29"/>
  <c r="U1420" i="29"/>
  <c r="K2048" i="29"/>
  <c r="K723" i="29"/>
  <c r="U723" i="29"/>
  <c r="K841" i="29"/>
  <c r="U841" i="29"/>
  <c r="U32" i="29"/>
  <c r="U3352" i="29"/>
  <c r="K3352" i="29"/>
  <c r="K675" i="29"/>
  <c r="U675" i="29"/>
  <c r="K1617" i="29"/>
  <c r="U1617" i="29"/>
  <c r="K1396" i="29"/>
  <c r="U192" i="29"/>
  <c r="U223" i="29"/>
  <c r="K223" i="29"/>
  <c r="U53" i="29"/>
  <c r="K53" i="29"/>
  <c r="U1680" i="29"/>
  <c r="K1680" i="29"/>
  <c r="T2457" i="29"/>
  <c r="W2457" i="29"/>
  <c r="U2457" i="29"/>
  <c r="S2457" i="29"/>
  <c r="U866" i="29"/>
  <c r="U3298" i="29"/>
  <c r="K3298" i="29"/>
  <c r="K4066" i="29"/>
  <c r="U4066" i="29"/>
  <c r="K4469" i="29"/>
  <c r="K1586" i="29"/>
  <c r="K4994" i="29"/>
  <c r="U4994" i="29"/>
  <c r="K1886" i="29"/>
  <c r="U1886" i="29"/>
  <c r="S1906" i="29"/>
  <c r="T1906" i="29"/>
  <c r="W1906" i="29"/>
  <c r="U1906" i="29"/>
  <c r="K254" i="29"/>
  <c r="U254" i="29"/>
  <c r="U5521" i="29"/>
  <c r="K5521" i="29"/>
  <c r="K3291" i="29"/>
  <c r="U3291" i="29"/>
  <c r="U2896" i="29"/>
  <c r="K4592" i="29"/>
  <c r="U4592" i="29"/>
  <c r="K886" i="29"/>
  <c r="U886" i="29"/>
  <c r="K5765" i="29"/>
  <c r="U5765" i="29"/>
  <c r="K6902" i="29"/>
  <c r="U6902" i="29"/>
  <c r="U3655" i="29"/>
  <c r="K3655" i="29"/>
  <c r="K754" i="29"/>
  <c r="U754" i="29"/>
  <c r="K5365" i="29"/>
  <c r="U5365" i="29"/>
  <c r="U5897" i="29"/>
  <c r="K1715" i="29"/>
  <c r="U1715" i="29"/>
  <c r="U2060" i="29"/>
  <c r="K4063" i="29"/>
  <c r="U4063" i="29"/>
  <c r="U2211" i="29"/>
  <c r="K798" i="29"/>
  <c r="U798" i="29"/>
  <c r="K1328" i="29"/>
  <c r="U1937" i="29"/>
  <c r="U1334" i="29"/>
  <c r="K1334" i="29"/>
  <c r="K527" i="29"/>
  <c r="K3061" i="29"/>
  <c r="K3491" i="29"/>
  <c r="U3366" i="29"/>
  <c r="U4482" i="29"/>
  <c r="U794" i="29"/>
  <c r="K904" i="29"/>
  <c r="U4881" i="29"/>
  <c r="K4881" i="29"/>
  <c r="U5106" i="29"/>
  <c r="K1706" i="29"/>
  <c r="U1706" i="29"/>
  <c r="K1998" i="29"/>
  <c r="K5395" i="29"/>
  <c r="U5395" i="29"/>
  <c r="U335" i="29"/>
  <c r="K335" i="29"/>
  <c r="U5202" i="29"/>
  <c r="K1980" i="29"/>
  <c r="K7545" i="29"/>
  <c r="K4278" i="29"/>
  <c r="U1738" i="29"/>
  <c r="K1154" i="29"/>
  <c r="U1154" i="29"/>
  <c r="K930" i="29"/>
  <c r="U3172" i="29"/>
  <c r="K1463" i="29"/>
  <c r="K3983" i="29"/>
  <c r="U3983" i="29"/>
  <c r="U3129" i="29"/>
  <c r="K3129" i="29"/>
  <c r="K115" i="29"/>
  <c r="K2202" i="29"/>
  <c r="T2690" i="29"/>
  <c r="W2690" i="29"/>
  <c r="U2690" i="29"/>
  <c r="U1164" i="29"/>
  <c r="K1164" i="29"/>
  <c r="K3122" i="29"/>
  <c r="U3122" i="29"/>
  <c r="K3247" i="29"/>
  <c r="U3247" i="29"/>
  <c r="U1256" i="29"/>
  <c r="U989" i="29"/>
  <c r="K3300" i="29"/>
  <c r="U3300" i="29"/>
  <c r="U3936" i="29"/>
  <c r="K3936" i="29"/>
  <c r="U3307" i="29"/>
  <c r="K2079" i="29"/>
  <c r="U4867" i="29"/>
  <c r="U670" i="29"/>
  <c r="U4605" i="29"/>
  <c r="U3816" i="29"/>
  <c r="U5424" i="29"/>
  <c r="U2172" i="29"/>
  <c r="K2172" i="29"/>
  <c r="K2547" i="29"/>
  <c r="K2205" i="29"/>
  <c r="U2547" i="29"/>
  <c r="K4935" i="29"/>
  <c r="U4935" i="29"/>
  <c r="K1221" i="29"/>
  <c r="K334" i="29"/>
  <c r="U320" i="29"/>
  <c r="U7539" i="29"/>
  <c r="U785" i="29"/>
  <c r="U2311" i="29"/>
  <c r="U236" i="29"/>
  <c r="K4375" i="29"/>
  <c r="U1080" i="29"/>
  <c r="U1372" i="29"/>
  <c r="S4501" i="29"/>
  <c r="K2634" i="29"/>
  <c r="U1611" i="29"/>
  <c r="S3694" i="29"/>
  <c r="U5180" i="29"/>
  <c r="K5180" i="29"/>
  <c r="K3910" i="29"/>
  <c r="U3910" i="29"/>
  <c r="U4939" i="29"/>
  <c r="K4939" i="29"/>
  <c r="K5378" i="29"/>
  <c r="U5378" i="29"/>
  <c r="K1817" i="29"/>
  <c r="K3218" i="29"/>
  <c r="K2374" i="29"/>
  <c r="U773" i="29"/>
  <c r="U67" i="29"/>
  <c r="K67" i="29"/>
  <c r="K4673" i="29"/>
  <c r="U4673" i="29"/>
  <c r="K4148" i="29"/>
  <c r="U4148" i="29"/>
  <c r="K4070" i="29"/>
  <c r="U4070" i="29"/>
  <c r="U2015" i="29"/>
  <c r="K2015" i="29"/>
  <c r="U9" i="29"/>
  <c r="K2103" i="29"/>
  <c r="U2103" i="29"/>
  <c r="K1885" i="29"/>
  <c r="U624" i="29"/>
  <c r="K858" i="29"/>
  <c r="U858" i="29"/>
  <c r="U2680" i="29"/>
  <c r="K958" i="29"/>
  <c r="U958" i="29"/>
  <c r="K551" i="29"/>
  <c r="T4356" i="29"/>
  <c r="K3883" i="29"/>
  <c r="U3883" i="29"/>
  <c r="K1282" i="29"/>
  <c r="U1282" i="29"/>
  <c r="K1913" i="29"/>
  <c r="U2606" i="29"/>
  <c r="K491" i="29"/>
  <c r="U806" i="29"/>
  <c r="U1689" i="29"/>
  <c r="K3650" i="29"/>
  <c r="U3650" i="29"/>
  <c r="U360" i="29"/>
  <c r="K360" i="29"/>
  <c r="K79" i="29"/>
  <c r="K2481" i="29"/>
  <c r="U2481" i="29"/>
  <c r="K1173" i="29"/>
  <c r="S1006" i="29"/>
  <c r="U80" i="29"/>
  <c r="K2613" i="29"/>
  <c r="K1226" i="29"/>
  <c r="U1226" i="29"/>
  <c r="K5239" i="29"/>
  <c r="U5239" i="29"/>
  <c r="U3372" i="29"/>
  <c r="K3372" i="29"/>
  <c r="K934" i="29"/>
  <c r="U934" i="29"/>
  <c r="U3133" i="29"/>
  <c r="U1719" i="29"/>
  <c r="U2976" i="29"/>
  <c r="U4164" i="29"/>
  <c r="K31" i="29"/>
  <c r="K645" i="29"/>
  <c r="U645" i="29"/>
  <c r="K1069" i="29"/>
  <c r="K456" i="29"/>
  <c r="K2714" i="29"/>
  <c r="K2105" i="29"/>
  <c r="K1614" i="29"/>
  <c r="U2425" i="29"/>
  <c r="U3940" i="29"/>
  <c r="K806" i="29"/>
  <c r="U2061" i="29"/>
  <c r="K1719" i="29"/>
  <c r="K5440" i="29"/>
  <c r="U14" i="29"/>
  <c r="U2034" i="29"/>
  <c r="K1477" i="29"/>
  <c r="K522" i="29"/>
  <c r="U522" i="29"/>
  <c r="K1755" i="29"/>
  <c r="K1175" i="29"/>
  <c r="U334" i="29"/>
  <c r="U92" i="29"/>
  <c r="U1998" i="29"/>
  <c r="U1917" i="29"/>
  <c r="K1337" i="29"/>
  <c r="U1337" i="29"/>
  <c r="U984" i="29"/>
  <c r="K984" i="29"/>
  <c r="K581" i="29"/>
  <c r="U581" i="29"/>
  <c r="U3986" i="29"/>
  <c r="K3986" i="29"/>
  <c r="K2279" i="29"/>
  <c r="K5529" i="29"/>
  <c r="U5529" i="29"/>
  <c r="K3861" i="29"/>
  <c r="K2372" i="29"/>
  <c r="K594" i="29"/>
  <c r="U1556" i="29"/>
  <c r="K710" i="29"/>
  <c r="U1699" i="29"/>
  <c r="K1080" i="29"/>
  <c r="K3225" i="29"/>
  <c r="S4227" i="29"/>
  <c r="K3133" i="29"/>
  <c r="U1173" i="29"/>
  <c r="U677" i="29"/>
  <c r="U1221" i="29"/>
  <c r="S2284" i="29"/>
  <c r="U243" i="29"/>
  <c r="K3744" i="29"/>
  <c r="U3744" i="29"/>
  <c r="U312" i="29"/>
  <c r="K312" i="29"/>
  <c r="U778" i="29"/>
  <c r="K778" i="29"/>
  <c r="U4489" i="29"/>
  <c r="K4489" i="29"/>
  <c r="K1323" i="29"/>
  <c r="U1323" i="29"/>
  <c r="U114" i="29"/>
  <c r="K4732" i="29"/>
  <c r="U4732" i="29"/>
  <c r="K1326" i="29"/>
  <c r="U1326" i="29"/>
  <c r="K3557" i="29"/>
  <c r="U3557" i="29"/>
  <c r="U1388" i="29"/>
  <c r="K1388" i="29"/>
  <c r="K1366" i="29"/>
  <c r="K681" i="29"/>
  <c r="U681" i="29"/>
  <c r="K1774" i="29"/>
  <c r="U1774" i="29"/>
  <c r="K5525" i="29"/>
  <c r="K4754" i="29"/>
  <c r="U4754" i="29"/>
  <c r="S3521" i="29"/>
  <c r="T3521" i="29"/>
  <c r="W3521" i="29"/>
  <c r="U3521" i="29"/>
  <c r="K269" i="29"/>
  <c r="U269" i="29"/>
  <c r="K338" i="29"/>
  <c r="U338" i="29"/>
  <c r="U1057" i="29"/>
  <c r="K1057" i="29"/>
  <c r="U4244" i="29"/>
  <c r="K3138" i="29"/>
  <c r="U3138" i="29"/>
  <c r="U980" i="29"/>
  <c r="K3817" i="29"/>
  <c r="U3817" i="29"/>
  <c r="K3031" i="29"/>
  <c r="U3031" i="29"/>
  <c r="K2369" i="29"/>
  <c r="U5110" i="29"/>
  <c r="K5110" i="29"/>
  <c r="K5027" i="29"/>
  <c r="U5027" i="29"/>
  <c r="K108" i="29"/>
  <c r="U1155" i="29"/>
  <c r="K1155" i="29"/>
  <c r="U2263" i="29"/>
  <c r="K2263" i="29"/>
  <c r="U2266" i="29"/>
  <c r="K2266" i="29"/>
  <c r="K2166" i="29"/>
  <c r="U2166" i="29"/>
  <c r="K5517" i="29"/>
  <c r="U5517" i="29"/>
  <c r="K392" i="29"/>
  <c r="K372" i="29"/>
  <c r="K1256" i="29"/>
  <c r="U253" i="29"/>
  <c r="U2928" i="29"/>
  <c r="K5363" i="29"/>
  <c r="U5363" i="29"/>
  <c r="K5031" i="29"/>
  <c r="U5031" i="29"/>
  <c r="U2126" i="29"/>
  <c r="K1241" i="29"/>
  <c r="K4288" i="29"/>
  <c r="U4288" i="29"/>
  <c r="K7650" i="29"/>
  <c r="K2928" i="29"/>
  <c r="U1614" i="29"/>
  <c r="K2457" i="29"/>
  <c r="U3059" i="29"/>
  <c r="K749" i="29"/>
  <c r="U4253" i="29"/>
  <c r="U2616" i="29"/>
  <c r="U3634" i="29"/>
  <c r="K3634" i="29"/>
  <c r="K3307" i="29"/>
  <c r="U2431" i="29"/>
  <c r="U4059" i="29"/>
  <c r="U749" i="29"/>
  <c r="U1463" i="29"/>
  <c r="K1656" i="29"/>
  <c r="U1656" i="29"/>
  <c r="K3216" i="29"/>
  <c r="K320" i="29"/>
  <c r="U5894" i="29"/>
  <c r="U930" i="29"/>
  <c r="U456" i="29"/>
  <c r="K2217" i="29"/>
  <c r="U2217" i="29"/>
  <c r="K1084" i="29"/>
  <c r="K1381" i="29"/>
  <c r="K5268" i="29"/>
  <c r="U5268" i="29"/>
  <c r="K726" i="29"/>
  <c r="U2893" i="29"/>
  <c r="U7816" i="29"/>
  <c r="K816" i="29"/>
  <c r="U79" i="29"/>
  <c r="K2211" i="29"/>
  <c r="K14" i="29"/>
  <c r="K255" i="29"/>
  <c r="K1785" i="29"/>
  <c r="U4895" i="29"/>
  <c r="K4895" i="29"/>
  <c r="U5199" i="29"/>
  <c r="K5199" i="29"/>
  <c r="K5376" i="29"/>
  <c r="U5376" i="29"/>
  <c r="K26" i="29"/>
  <c r="U26" i="29"/>
  <c r="U2068" i="29"/>
  <c r="U3911" i="29"/>
  <c r="K3911" i="29"/>
  <c r="U2718" i="29"/>
  <c r="K2718" i="29"/>
  <c r="U4237" i="29"/>
  <c r="K4237" i="29"/>
  <c r="U846" i="29"/>
  <c r="U3741" i="29"/>
  <c r="K1198" i="29"/>
  <c r="K568" i="29"/>
  <c r="U129" i="29"/>
  <c r="K5562" i="29"/>
  <c r="U5562" i="29"/>
  <c r="U5392" i="29"/>
  <c r="K5392" i="29"/>
  <c r="U3373" i="29"/>
  <c r="K3373" i="29"/>
  <c r="K3355" i="29"/>
  <c r="U3355" i="29"/>
  <c r="K3375" i="29"/>
  <c r="U3375" i="29"/>
  <c r="U5776" i="29"/>
  <c r="K5776" i="29"/>
  <c r="K5408" i="29"/>
  <c r="U5408" i="29"/>
  <c r="U5040" i="29"/>
  <c r="K5040" i="29"/>
  <c r="K5983" i="29"/>
  <c r="U5983" i="29"/>
  <c r="K5276" i="29"/>
  <c r="U5276" i="29"/>
  <c r="K713" i="29"/>
  <c r="U713" i="29"/>
  <c r="U309" i="29"/>
  <c r="U1501" i="29"/>
  <c r="U712" i="29"/>
  <c r="K1038" i="29"/>
  <c r="U1350" i="29"/>
  <c r="K1350" i="29"/>
  <c r="K1091" i="29"/>
  <c r="U1091" i="29"/>
  <c r="J3694" i="29"/>
  <c r="W3694" i="29"/>
  <c r="U656" i="29"/>
  <c r="K656" i="29"/>
  <c r="W2328" i="29"/>
  <c r="U2328" i="29"/>
  <c r="U876" i="29"/>
  <c r="J4656" i="29"/>
  <c r="W4656" i="29"/>
  <c r="U1108" i="29"/>
  <c r="J4628" i="29"/>
  <c r="W4628" i="29"/>
  <c r="K4569" i="29"/>
  <c r="K5261" i="29"/>
  <c r="U5261" i="29"/>
  <c r="U4312" i="29"/>
  <c r="K3457" i="29"/>
  <c r="U3457" i="29"/>
  <c r="U4149" i="29"/>
  <c r="K4149" i="29"/>
  <c r="K3234" i="29"/>
  <c r="U3234" i="29"/>
  <c r="K3824" i="29"/>
  <c r="U3824" i="29"/>
  <c r="K4677" i="29"/>
  <c r="U4677" i="29"/>
  <c r="K1574" i="29"/>
  <c r="U1574" i="29"/>
  <c r="K4530" i="29"/>
  <c r="U4530" i="29"/>
  <c r="U4330" i="29"/>
  <c r="U3199" i="29"/>
  <c r="K3378" i="29"/>
  <c r="U3378" i="29"/>
  <c r="K3196" i="29"/>
  <c r="U3196" i="29"/>
  <c r="U3654" i="29"/>
  <c r="K3654" i="29"/>
  <c r="K2544" i="29"/>
  <c r="U2544" i="29"/>
  <c r="K4263" i="29"/>
  <c r="U4263" i="29"/>
  <c r="K1053" i="29"/>
  <c r="U1053" i="29"/>
  <c r="U5356" i="29"/>
  <c r="U3733" i="29"/>
  <c r="K4563" i="29"/>
  <c r="U4563" i="29"/>
  <c r="U2249" i="29"/>
  <c r="U4233" i="29"/>
  <c r="K2599" i="29"/>
  <c r="U2599" i="29"/>
  <c r="K2805" i="29"/>
  <c r="U2805" i="29"/>
  <c r="K4130" i="29"/>
  <c r="U4130" i="29"/>
  <c r="U905" i="29"/>
  <c r="K905" i="29"/>
  <c r="U2348" i="29"/>
  <c r="K2348" i="29"/>
  <c r="K5354" i="29"/>
  <c r="U5354" i="29"/>
  <c r="K2086" i="29"/>
  <c r="K833" i="29"/>
  <c r="K2249" i="29"/>
  <c r="U1234" i="29"/>
  <c r="K1234" i="29"/>
  <c r="U3161" i="29"/>
  <c r="K3161" i="29"/>
  <c r="U861" i="29"/>
  <c r="K861" i="29"/>
  <c r="K4678" i="29"/>
  <c r="U4678" i="29"/>
  <c r="K5391" i="29"/>
  <c r="K3219" i="29"/>
  <c r="K2163" i="29"/>
  <c r="U2163" i="29"/>
  <c r="K2952" i="29"/>
  <c r="U4369" i="29"/>
  <c r="K4369" i="29"/>
  <c r="K1515" i="29"/>
  <c r="K4771" i="29"/>
  <c r="K1729" i="29"/>
  <c r="U1729" i="29"/>
  <c r="K3554" i="29"/>
  <c r="U3554" i="29"/>
  <c r="K3450" i="29"/>
  <c r="U3450" i="29"/>
  <c r="K1702" i="29"/>
  <c r="U3914" i="29"/>
  <c r="K3914" i="29"/>
  <c r="K4478" i="29"/>
  <c r="U4478" i="29"/>
  <c r="K2784" i="29"/>
  <c r="U2784" i="29"/>
  <c r="K3539" i="29"/>
  <c r="U3539" i="29"/>
  <c r="K4500" i="29"/>
  <c r="U4500" i="29"/>
  <c r="K1717" i="29"/>
  <c r="K1888" i="29"/>
  <c r="U1888" i="29"/>
  <c r="U4481" i="29"/>
  <c r="K4481" i="29"/>
  <c r="K2491" i="29"/>
  <c r="K3693" i="29"/>
  <c r="U3693" i="29"/>
  <c r="K7021" i="29"/>
  <c r="K3172" i="29"/>
  <c r="K7060" i="29"/>
  <c r="U6261" i="29"/>
  <c r="K3551" i="29"/>
  <c r="U3551" i="29"/>
  <c r="K4297" i="29"/>
  <c r="K4056" i="29"/>
  <c r="U4056" i="29"/>
  <c r="U4099" i="29"/>
  <c r="U6326" i="29"/>
  <c r="K2160" i="29"/>
  <c r="U2851" i="29"/>
  <c r="K2851" i="29"/>
  <c r="U4319" i="29"/>
  <c r="K1733" i="29"/>
  <c r="U1733" i="29"/>
  <c r="U2952" i="29"/>
  <c r="U3219" i="29"/>
  <c r="U3156" i="29"/>
  <c r="K3156" i="29"/>
  <c r="U3749" i="29"/>
  <c r="U4533" i="29"/>
  <c r="U5858" i="29"/>
  <c r="U3377" i="29"/>
  <c r="U2793" i="29"/>
  <c r="K2793" i="29"/>
  <c r="K4576" i="29"/>
  <c r="K1822" i="29"/>
  <c r="U1822" i="29"/>
  <c r="U2286" i="29"/>
  <c r="K3199" i="29"/>
  <c r="K4819" i="29"/>
  <c r="U4819" i="29"/>
  <c r="K3146" i="29"/>
  <c r="U3146" i="29"/>
  <c r="U1527" i="29"/>
  <c r="K1527" i="29"/>
  <c r="K771" i="29"/>
  <c r="K3652" i="29"/>
  <c r="U3652" i="29"/>
  <c r="U2083" i="29"/>
  <c r="K2083" i="29"/>
  <c r="K4405" i="29"/>
  <c r="U4405" i="29"/>
  <c r="K5019" i="29"/>
  <c r="U5019" i="29"/>
  <c r="K5558" i="29"/>
  <c r="U5558" i="29"/>
  <c r="U1645" i="29"/>
  <c r="K1645" i="29"/>
  <c r="K2950" i="29"/>
  <c r="U2950" i="29"/>
  <c r="U2995" i="29"/>
  <c r="K2995" i="29"/>
  <c r="U907" i="29"/>
  <c r="K907" i="29"/>
  <c r="U6481" i="29"/>
  <c r="K6481" i="29"/>
  <c r="K5372" i="29"/>
  <c r="U1035" i="29"/>
  <c r="K1035" i="29"/>
  <c r="K3724" i="29"/>
  <c r="U3724" i="29"/>
  <c r="K2100" i="29"/>
  <c r="U2100" i="29"/>
  <c r="K4749" i="29"/>
  <c r="U4749" i="29"/>
  <c r="U2863" i="29"/>
  <c r="K2863" i="29"/>
  <c r="U5271" i="29"/>
  <c r="K5271" i="29"/>
  <c r="U5016" i="29"/>
  <c r="K5016" i="29"/>
  <c r="K3292" i="29"/>
  <c r="U3292" i="29"/>
  <c r="K1287" i="29"/>
  <c r="U1287" i="29"/>
  <c r="K2829" i="29"/>
  <c r="U2829" i="29"/>
  <c r="K3273" i="29"/>
  <c r="U3273" i="29"/>
  <c r="K5422" i="29"/>
  <c r="U5422" i="29"/>
  <c r="U2479" i="29"/>
  <c r="K2479" i="29"/>
  <c r="U73" i="29"/>
  <c r="K3027" i="29"/>
  <c r="U3027" i="29"/>
  <c r="U2561" i="29"/>
  <c r="K2561" i="29"/>
  <c r="K3829" i="29"/>
  <c r="U3829" i="29"/>
  <c r="K5761" i="29"/>
  <c r="U5761" i="29"/>
  <c r="K3679" i="29"/>
  <c r="U3679" i="29"/>
  <c r="K4444" i="29"/>
  <c r="U4444" i="29"/>
  <c r="U6432" i="29"/>
  <c r="K6432" i="29"/>
  <c r="K1529" i="29"/>
  <c r="U1529" i="29"/>
  <c r="K4243" i="29"/>
  <c r="U4243" i="29"/>
  <c r="K1459" i="29"/>
  <c r="U1459" i="29"/>
  <c r="K4733" i="29"/>
  <c r="U4733" i="29"/>
  <c r="K2261" i="29"/>
  <c r="U2261" i="29"/>
  <c r="U2874" i="29"/>
  <c r="K2874" i="29"/>
  <c r="K1158" i="29"/>
  <c r="U1158" i="29"/>
  <c r="U5246" i="29"/>
  <c r="K5246" i="29"/>
  <c r="U3266" i="29"/>
  <c r="K3266" i="29"/>
  <c r="K973" i="29"/>
  <c r="U973" i="29"/>
  <c r="K3456" i="29"/>
  <c r="U3456" i="29"/>
  <c r="K73" i="29"/>
  <c r="U4047" i="29"/>
  <c r="U5559" i="29"/>
  <c r="K5559" i="29"/>
  <c r="U4484" i="29"/>
  <c r="K5407" i="29"/>
  <c r="U4459" i="29"/>
  <c r="K4459" i="29"/>
  <c r="U3745" i="29"/>
  <c r="K4944" i="29"/>
  <c r="U4944" i="29"/>
  <c r="U847" i="29"/>
  <c r="K847" i="29"/>
  <c r="K4312" i="29"/>
  <c r="K931" i="29"/>
  <c r="U931" i="29"/>
  <c r="K2801" i="29"/>
  <c r="U2801" i="29"/>
  <c r="K3406" i="29"/>
  <c r="U3406" i="29"/>
  <c r="K2255" i="29"/>
  <c r="U2255" i="29"/>
  <c r="U4753" i="29"/>
  <c r="K4753" i="29"/>
  <c r="U4495" i="29"/>
  <c r="K4495" i="29"/>
  <c r="K2006" i="29"/>
  <c r="U2006" i="29"/>
  <c r="K4061" i="29"/>
  <c r="K5021" i="29"/>
  <c r="U5021" i="29"/>
  <c r="K2472" i="29"/>
  <c r="K2946" i="29"/>
  <c r="U5026" i="29"/>
  <c r="U4737" i="29"/>
  <c r="K4737" i="29"/>
  <c r="U5432" i="29"/>
  <c r="K2607" i="29"/>
  <c r="U2607" i="29"/>
  <c r="K4947" i="29"/>
  <c r="U4947" i="29"/>
  <c r="K2212" i="29"/>
  <c r="U2212" i="29"/>
  <c r="K2500" i="29"/>
  <c r="U2500" i="29"/>
  <c r="U4808" i="29"/>
  <c r="K4808" i="29"/>
  <c r="U4643" i="29"/>
  <c r="K4643" i="29"/>
  <c r="K3092" i="29"/>
  <c r="U3092" i="29"/>
  <c r="K4501" i="29"/>
  <c r="K4047" i="29"/>
  <c r="K4484" i="29"/>
  <c r="K3794" i="29"/>
  <c r="U3794" i="29"/>
  <c r="U2406" i="29"/>
  <c r="K2406" i="29"/>
  <c r="U3732" i="29"/>
  <c r="K3732" i="29"/>
  <c r="U4209" i="29"/>
  <c r="K4209" i="29"/>
  <c r="U2344" i="29"/>
  <c r="U3723" i="29"/>
  <c r="K926" i="29"/>
  <c r="U4814" i="29"/>
  <c r="K1609" i="29"/>
  <c r="U5259" i="29"/>
  <c r="K5259" i="29"/>
  <c r="K7738" i="29"/>
  <c r="U7738" i="29"/>
  <c r="U2235" i="29"/>
  <c r="K2235" i="29"/>
  <c r="U4756" i="29"/>
  <c r="K4756" i="29"/>
  <c r="K844" i="29"/>
  <c r="K3093" i="29"/>
  <c r="U3093" i="29"/>
  <c r="U1205" i="29"/>
  <c r="K595" i="29"/>
  <c r="K3377" i="29"/>
  <c r="U7703" i="29"/>
  <c r="K4681" i="29"/>
  <c r="U4681" i="29"/>
  <c r="U2331" i="29"/>
  <c r="K4462" i="29"/>
  <c r="U4462" i="29"/>
  <c r="K3862" i="29"/>
  <c r="U926" i="29"/>
  <c r="U4817" i="29"/>
  <c r="U1609" i="29"/>
  <c r="K6326" i="29"/>
  <c r="U4940" i="29"/>
  <c r="U4234" i="29"/>
  <c r="K4234" i="29"/>
  <c r="U2228" i="29"/>
  <c r="K2891" i="29"/>
  <c r="U2891" i="29"/>
  <c r="K4527" i="29"/>
  <c r="U4527" i="29"/>
  <c r="K4453" i="29"/>
  <c r="U4453" i="29"/>
  <c r="K2735" i="29"/>
  <c r="U2735" i="29"/>
  <c r="K3728" i="29"/>
  <c r="U3728" i="29"/>
  <c r="K5636" i="29"/>
  <c r="U5636" i="29"/>
  <c r="K3238" i="29"/>
  <c r="K667" i="29"/>
  <c r="U667" i="29"/>
  <c r="K2274" i="29"/>
  <c r="U2274" i="29"/>
  <c r="K2476" i="29"/>
  <c r="U2476" i="29"/>
  <c r="K5693" i="29"/>
  <c r="U5693" i="29"/>
  <c r="U4226" i="29"/>
  <c r="U7052" i="29"/>
  <c r="U5192" i="29"/>
  <c r="K613" i="29"/>
  <c r="U4820" i="29"/>
  <c r="K4820" i="29"/>
  <c r="K4896" i="29"/>
  <c r="U3717" i="29"/>
  <c r="K3717" i="29"/>
  <c r="U3459" i="29"/>
  <c r="K3459" i="29"/>
  <c r="K6425" i="29"/>
  <c r="K4397" i="29"/>
  <c r="U4397" i="29"/>
  <c r="U4504" i="29"/>
  <c r="K4504" i="29"/>
  <c r="K7052" i="29"/>
  <c r="K6514" i="29"/>
  <c r="U2783" i="29"/>
  <c r="K3493" i="29"/>
  <c r="U3493" i="29"/>
  <c r="U2786" i="29"/>
  <c r="K2786" i="29"/>
  <c r="U4880" i="29"/>
  <c r="K4880" i="29"/>
  <c r="U4896" i="29"/>
  <c r="K4318" i="29"/>
  <c r="U4318" i="29"/>
  <c r="K5344" i="29"/>
  <c r="U5344" i="29"/>
  <c r="K4168" i="29"/>
  <c r="U4684" i="29"/>
  <c r="K4684" i="29"/>
  <c r="K1767" i="29"/>
  <c r="U1767" i="29"/>
  <c r="K3954" i="29"/>
  <c r="U3954" i="29"/>
  <c r="K3157" i="29"/>
  <c r="K4914" i="29"/>
  <c r="U4914" i="29"/>
  <c r="K2331" i="29"/>
  <c r="U3238" i="29"/>
  <c r="K3005" i="29"/>
  <c r="U6514" i="29"/>
  <c r="U1021" i="29"/>
  <c r="U601" i="29"/>
  <c r="K4177" i="29"/>
  <c r="U4177" i="29"/>
  <c r="U1807" i="29"/>
  <c r="K1807" i="29"/>
  <c r="U595" i="29"/>
  <c r="K3540" i="29"/>
  <c r="U3540" i="29"/>
  <c r="U4932" i="29"/>
  <c r="K4932" i="29"/>
  <c r="K5024" i="29"/>
  <c r="U5024" i="29"/>
  <c r="K4867" i="29"/>
  <c r="K7257" i="29"/>
  <c r="U7257" i="29"/>
  <c r="K6007" i="29"/>
  <c r="U6007" i="29"/>
  <c r="K2600" i="29"/>
  <c r="U2600" i="29"/>
  <c r="K937" i="29"/>
  <c r="U937" i="29"/>
  <c r="U1210" i="29"/>
  <c r="K1210" i="29"/>
  <c r="K5192" i="29"/>
  <c r="K1330" i="29"/>
  <c r="U1330" i="29"/>
  <c r="U1208" i="29"/>
  <c r="K1208" i="29"/>
  <c r="K3723" i="29"/>
  <c r="K3901" i="29"/>
  <c r="U3901" i="29"/>
  <c r="K3742" i="29"/>
  <c r="K5195" i="29"/>
  <c r="U5195" i="29"/>
  <c r="K860" i="29"/>
  <c r="U860" i="29"/>
  <c r="K1362" i="29"/>
  <c r="U1362" i="29"/>
  <c r="K1800" i="29"/>
  <c r="U1800" i="29"/>
  <c r="K495" i="29"/>
  <c r="U495" i="29"/>
  <c r="U2350" i="29"/>
  <c r="K2350" i="29"/>
  <c r="U153" i="29"/>
  <c r="K153" i="29"/>
  <c r="K3818" i="29"/>
  <c r="U3818" i="29"/>
  <c r="U1936" i="29"/>
  <c r="K1936" i="29"/>
  <c r="K3278" i="29"/>
  <c r="U3278" i="29"/>
  <c r="K3941" i="29"/>
  <c r="U3941" i="29"/>
  <c r="K2907" i="29"/>
  <c r="U2907" i="29"/>
  <c r="U1496" i="29"/>
  <c r="K1496" i="29"/>
  <c r="K1553" i="29"/>
  <c r="K3649" i="29"/>
  <c r="U1110" i="29"/>
  <c r="K1110" i="29"/>
  <c r="U3128" i="29"/>
  <c r="K3651" i="29"/>
  <c r="U3651" i="29"/>
  <c r="K3506" i="29"/>
  <c r="U3506" i="29"/>
  <c r="S654" i="29"/>
  <c r="T654" i="29"/>
  <c r="W654" i="29"/>
  <c r="U654" i="29"/>
  <c r="U2426" i="29"/>
  <c r="K2426" i="29"/>
  <c r="U1311" i="29"/>
  <c r="K1311" i="29"/>
  <c r="K4811" i="29"/>
  <c r="U4811" i="29"/>
  <c r="K3827" i="29"/>
  <c r="U3827" i="29"/>
  <c r="U2101" i="29"/>
  <c r="K2101" i="29"/>
  <c r="U4144" i="29"/>
  <c r="U7278" i="29"/>
  <c r="U2027" i="29"/>
  <c r="K2027" i="29"/>
  <c r="U22" i="29"/>
  <c r="K22" i="29"/>
  <c r="U1720" i="29"/>
  <c r="K1720" i="29"/>
  <c r="U5532" i="29"/>
  <c r="K5532" i="29"/>
  <c r="U3820" i="29"/>
  <c r="K3820" i="29"/>
  <c r="K2114" i="29"/>
  <c r="U2114" i="29"/>
  <c r="U2845" i="29"/>
  <c r="K2845" i="29"/>
  <c r="K6191" i="29"/>
  <c r="U6191" i="29"/>
  <c r="K757" i="29"/>
  <c r="U757" i="29"/>
  <c r="K5275" i="29"/>
  <c r="U5275" i="29"/>
  <c r="U4203" i="29"/>
  <c r="K4203" i="29"/>
  <c r="U4654" i="29"/>
  <c r="K4654" i="29"/>
  <c r="K566" i="29"/>
  <c r="U566" i="29"/>
  <c r="U4247" i="29"/>
  <c r="K4247" i="29"/>
  <c r="K2401" i="29"/>
  <c r="U2401" i="29"/>
  <c r="K66" i="29"/>
  <c r="U66" i="29"/>
  <c r="U5176" i="29"/>
  <c r="K5176" i="29"/>
  <c r="K4162" i="29"/>
  <c r="K3909" i="29"/>
  <c r="U4033" i="29"/>
  <c r="K4033" i="29"/>
  <c r="U4383" i="29"/>
  <c r="K4383" i="29"/>
  <c r="T944" i="29"/>
  <c r="W944" i="29"/>
  <c r="U944" i="29"/>
  <c r="S944" i="29"/>
  <c r="K3706" i="29"/>
  <c r="U3706" i="29"/>
  <c r="K64" i="29"/>
  <c r="U64" i="29"/>
  <c r="T1612" i="29"/>
  <c r="W1612" i="29"/>
  <c r="U1612" i="29"/>
  <c r="S1612" i="29"/>
  <c r="K5896" i="29"/>
  <c r="U5896" i="29"/>
  <c r="U463" i="29"/>
  <c r="K463" i="29"/>
  <c r="K2567" i="29"/>
  <c r="U2567" i="29"/>
  <c r="K1465" i="29"/>
  <c r="U1465" i="29"/>
  <c r="U2264" i="29"/>
  <c r="K2264" i="29"/>
  <c r="K459" i="29"/>
  <c r="U459" i="29"/>
  <c r="K1897" i="29"/>
  <c r="U1897" i="29"/>
  <c r="U3926" i="29"/>
  <c r="K3926" i="29"/>
  <c r="U4057" i="29"/>
  <c r="K2262" i="29"/>
  <c r="U2262" i="29"/>
  <c r="K1260" i="29"/>
  <c r="U2413" i="29"/>
  <c r="K2413" i="29"/>
  <c r="K679" i="29"/>
  <c r="U679" i="29"/>
  <c r="K422" i="29"/>
  <c r="U422" i="29"/>
  <c r="U6756" i="29"/>
  <c r="K6756" i="29"/>
  <c r="K654" i="29"/>
  <c r="U3310" i="29"/>
  <c r="K3310" i="29"/>
  <c r="K2108" i="29"/>
  <c r="U2108" i="29"/>
  <c r="K4748" i="29"/>
  <c r="U4748" i="29"/>
  <c r="U3368" i="29"/>
  <c r="K3128" i="29"/>
  <c r="U5567" i="29"/>
  <c r="K5567" i="29"/>
  <c r="U7651" i="29"/>
  <c r="K3907" i="29"/>
  <c r="U3907" i="29"/>
  <c r="U3735" i="29"/>
  <c r="K3735" i="29"/>
  <c r="K965" i="29"/>
  <c r="U965" i="29"/>
  <c r="K4057" i="29"/>
  <c r="K1345" i="29"/>
  <c r="U1345" i="29"/>
  <c r="K1682" i="29"/>
  <c r="U1682" i="29"/>
  <c r="K7499" i="29"/>
  <c r="U7499" i="29"/>
  <c r="K4068" i="29"/>
  <c r="U4068" i="29"/>
  <c r="U639" i="29"/>
  <c r="K639" i="29"/>
  <c r="K944" i="29"/>
  <c r="T2043" i="29"/>
  <c r="W2043" i="29"/>
  <c r="U2043" i="29"/>
  <c r="S2043" i="29"/>
  <c r="U2503" i="29"/>
  <c r="K2503" i="29"/>
  <c r="U5390" i="29"/>
  <c r="K5390" i="29"/>
  <c r="U4184" i="29"/>
  <c r="K4184" i="29"/>
  <c r="K2267" i="29"/>
  <c r="U2267" i="29"/>
  <c r="K356" i="29"/>
  <c r="U356" i="29"/>
  <c r="K4744" i="29"/>
  <c r="U4744" i="29"/>
  <c r="K5207" i="29"/>
  <c r="U5207" i="29"/>
  <c r="K7651" i="29"/>
  <c r="K4738" i="29"/>
  <c r="U4738" i="29"/>
  <c r="U2568" i="29"/>
  <c r="K2568" i="29"/>
  <c r="S1490" i="29"/>
  <c r="T1490" i="29"/>
  <c r="W1490" i="29"/>
  <c r="U1490" i="29"/>
  <c r="K4402" i="29"/>
  <c r="U1169" i="29"/>
  <c r="K1169" i="29"/>
  <c r="K1612" i="29"/>
  <c r="K5577" i="29"/>
  <c r="U5577" i="29"/>
  <c r="U4624" i="29"/>
  <c r="K4624" i="29"/>
  <c r="U4806" i="29"/>
  <c r="K1625" i="29"/>
  <c r="U1625" i="29"/>
  <c r="K282" i="29"/>
  <c r="U282" i="29"/>
  <c r="K324" i="29"/>
  <c r="U324" i="29"/>
  <c r="K1802" i="29"/>
  <c r="K1490" i="29"/>
  <c r="U3797" i="29"/>
  <c r="K3797" i="29"/>
  <c r="K5035" i="29"/>
  <c r="U5035" i="29"/>
  <c r="K5720" i="29"/>
  <c r="U5720" i="29"/>
  <c r="K823" i="29"/>
  <c r="U823" i="29"/>
  <c r="K1227" i="29"/>
  <c r="U1227" i="29"/>
  <c r="K4132" i="29"/>
  <c r="U4132" i="29"/>
  <c r="K2709" i="29"/>
  <c r="U2709" i="29"/>
  <c r="U3075" i="29"/>
  <c r="K3075" i="29"/>
  <c r="K4113" i="29"/>
  <c r="U4113" i="29"/>
  <c r="K5523" i="29"/>
  <c r="K23" i="29"/>
  <c r="U23" i="29"/>
  <c r="K4916" i="29"/>
  <c r="U4916" i="29"/>
  <c r="K1960" i="29"/>
  <c r="K4642" i="29"/>
  <c r="U4642" i="29"/>
  <c r="U227" i="29"/>
  <c r="K227" i="29"/>
  <c r="K2429" i="29"/>
  <c r="U2429" i="29"/>
  <c r="U2915" i="29"/>
  <c r="K2915" i="29"/>
  <c r="U2889" i="29"/>
  <c r="K605" i="29"/>
  <c r="U605" i="29"/>
  <c r="S1373" i="29"/>
  <c r="T1373" i="29"/>
  <c r="W1373" i="29"/>
  <c r="U1373" i="29"/>
  <c r="K4147" i="29"/>
  <c r="U4147" i="29"/>
  <c r="K5419" i="29"/>
  <c r="U5419" i="29"/>
  <c r="K7344" i="29"/>
  <c r="U1999" i="29"/>
  <c r="K1999" i="29"/>
  <c r="U1638" i="29"/>
  <c r="K1638" i="29"/>
  <c r="U2677" i="29"/>
  <c r="K2677" i="29"/>
  <c r="U305" i="29"/>
  <c r="K305" i="29"/>
  <c r="K817" i="29"/>
  <c r="U817" i="29"/>
  <c r="K7646" i="29"/>
  <c r="U7646" i="29"/>
  <c r="K4165" i="29"/>
  <c r="U4165" i="29"/>
  <c r="U5124" i="29"/>
  <c r="K5124" i="29"/>
  <c r="K2050" i="29"/>
  <c r="K1386" i="29"/>
  <c r="U1386" i="29"/>
  <c r="U3988" i="29"/>
  <c r="K3988" i="29"/>
  <c r="U1547" i="29"/>
  <c r="K1547" i="29"/>
  <c r="K3892" i="29"/>
  <c r="U3892" i="29"/>
  <c r="U3088" i="29"/>
  <c r="K3088" i="29"/>
  <c r="K5470" i="29"/>
  <c r="U5470" i="29"/>
  <c r="K1373" i="29"/>
  <c r="K4144" i="29"/>
  <c r="K7278" i="29"/>
  <c r="K30" i="29"/>
  <c r="U30" i="29"/>
  <c r="K525" i="29"/>
  <c r="K6333" i="29"/>
  <c r="U6333" i="29"/>
  <c r="K5858" i="29"/>
  <c r="S1802" i="29"/>
  <c r="T1802" i="29"/>
  <c r="W1802" i="29"/>
  <c r="U1802" i="29"/>
  <c r="U5201" i="29"/>
  <c r="K5201" i="29"/>
  <c r="U1383" i="29"/>
  <c r="K1383" i="29"/>
  <c r="K4058" i="29"/>
  <c r="U4058" i="29"/>
  <c r="K4688" i="29"/>
  <c r="U4688" i="29"/>
  <c r="K1077" i="29"/>
  <c r="U1077" i="29"/>
  <c r="U2268" i="29"/>
  <c r="K2268" i="29"/>
  <c r="K5357" i="29"/>
  <c r="U5357" i="29"/>
  <c r="U6957" i="29"/>
  <c r="U2278" i="29"/>
  <c r="K2278" i="29"/>
  <c r="U1082" i="29"/>
  <c r="K1082" i="29"/>
  <c r="K3193" i="29"/>
  <c r="U3193" i="29"/>
  <c r="S1960" i="29"/>
  <c r="T1960" i="29"/>
  <c r="W1960" i="29"/>
  <c r="U1960" i="29"/>
  <c r="K2043" i="29"/>
  <c r="U3024" i="29"/>
  <c r="K3024" i="29"/>
  <c r="U5198" i="29"/>
  <c r="U4403" i="29"/>
  <c r="K4403" i="29"/>
  <c r="K4112" i="29"/>
  <c r="U4112" i="29"/>
  <c r="U3979" i="29"/>
  <c r="K3979" i="29"/>
  <c r="U7891" i="29"/>
  <c r="K7891" i="29"/>
  <c r="K4262" i="29"/>
  <c r="U4262" i="29"/>
  <c r="K2770" i="29"/>
  <c r="U2770" i="29"/>
  <c r="K4807" i="29"/>
  <c r="U4807" i="29"/>
  <c r="U3692" i="29"/>
  <c r="K3692" i="29"/>
  <c r="K2890" i="29"/>
  <c r="U2890" i="29"/>
  <c r="U5343" i="29"/>
  <c r="K5343" i="29"/>
  <c r="K4239" i="29"/>
  <c r="U4239" i="29"/>
  <c r="K3858" i="29"/>
  <c r="U3858" i="29"/>
  <c r="K4607" i="29"/>
  <c r="U4607" i="29"/>
  <c r="K4816" i="29"/>
  <c r="U4816" i="29"/>
  <c r="U4225" i="29"/>
  <c r="K4225" i="29"/>
  <c r="U2761" i="29"/>
  <c r="K2761" i="29"/>
  <c r="K4685" i="29"/>
  <c r="U4685" i="29"/>
  <c r="K5322" i="29"/>
  <c r="U5322" i="29"/>
  <c r="K5256" i="29"/>
  <c r="U5256" i="29"/>
  <c r="U7808" i="29"/>
  <c r="K7808" i="29"/>
  <c r="K7893" i="29"/>
  <c r="U7893" i="29"/>
  <c r="U4088" i="29"/>
  <c r="K4088" i="29"/>
  <c r="U8049" i="29"/>
  <c r="K8049" i="29"/>
  <c r="U332" i="29"/>
  <c r="K332" i="29"/>
  <c r="K4433" i="29"/>
  <c r="U4433" i="29"/>
  <c r="K3915" i="29"/>
  <c r="U3915" i="29"/>
  <c r="K3985" i="29"/>
  <c r="U3985" i="29"/>
  <c r="K3228" i="29"/>
  <c r="U3228" i="29"/>
  <c r="K2349" i="29"/>
  <c r="U2349" i="29"/>
  <c r="U3302" i="29"/>
  <c r="K3302" i="29"/>
  <c r="K2732" i="29"/>
  <c r="U2732" i="29"/>
  <c r="K2604" i="29"/>
  <c r="U2604" i="29"/>
  <c r="K470" i="29"/>
  <c r="U470" i="29"/>
  <c r="U4746" i="29"/>
  <c r="K4746" i="29"/>
  <c r="K1972" i="29"/>
  <c r="U1972" i="29"/>
  <c r="K4213" i="29"/>
  <c r="U4213" i="29"/>
  <c r="K4601" i="29"/>
  <c r="U4601" i="29"/>
  <c r="K4451" i="29"/>
  <c r="U4451" i="29"/>
  <c r="K4235" i="29"/>
  <c r="U4235" i="29"/>
  <c r="U1894" i="29"/>
  <c r="K1894" i="29"/>
  <c r="K3165" i="29"/>
  <c r="U3165" i="29"/>
  <c r="U2601" i="29"/>
  <c r="K2601" i="29"/>
  <c r="U2595" i="29"/>
  <c r="K2595" i="29"/>
  <c r="K3769" i="29"/>
  <c r="U3769" i="29"/>
  <c r="U6671" i="29"/>
  <c r="K6671" i="29"/>
  <c r="U6516" i="29"/>
  <c r="K6516" i="29"/>
  <c r="U7342" i="29"/>
  <c r="K7342" i="29"/>
  <c r="K2877" i="29"/>
  <c r="U2877" i="29"/>
  <c r="K2313" i="29"/>
  <c r="U2313" i="29"/>
  <c r="K4327" i="29"/>
  <c r="U4327" i="29"/>
  <c r="U5348" i="29"/>
  <c r="K5348" i="29"/>
  <c r="K4938" i="29"/>
  <c r="U4938" i="29"/>
  <c r="U4249" i="29"/>
  <c r="K4249" i="29"/>
  <c r="K873" i="29"/>
  <c r="U873" i="29"/>
  <c r="U5415" i="29"/>
  <c r="K5415" i="29"/>
  <c r="K5421" i="29"/>
  <c r="U5421" i="29"/>
  <c r="K5578" i="29"/>
  <c r="U5578" i="29"/>
  <c r="K2797" i="29"/>
  <c r="U2797" i="29"/>
  <c r="U68" i="29"/>
  <c r="K68" i="29"/>
  <c r="K748" i="29"/>
  <c r="U748" i="29"/>
  <c r="K4526" i="29"/>
  <c r="U4526" i="29"/>
  <c r="U4941" i="29"/>
  <c r="K4941" i="29"/>
  <c r="K6901" i="29"/>
  <c r="U6901" i="29"/>
  <c r="U2842" i="29"/>
  <c r="K2842" i="29"/>
  <c r="U4755" i="29"/>
  <c r="K4755" i="29"/>
  <c r="K2020" i="29"/>
  <c r="U2020" i="29"/>
  <c r="K2794" i="29"/>
  <c r="U2794" i="29"/>
  <c r="U4995" i="29"/>
  <c r="K4995" i="29"/>
  <c r="U5113" i="29"/>
  <c r="K5113" i="29"/>
  <c r="U4240" i="29"/>
  <c r="K4240" i="29"/>
  <c r="U7188" i="29"/>
  <c r="K7188" i="29"/>
  <c r="U3317" i="29"/>
  <c r="K3317" i="29"/>
  <c r="K310" i="29"/>
  <c r="U310" i="29"/>
  <c r="U40" i="29"/>
  <c r="K40" i="29"/>
  <c r="K4089" i="29"/>
  <c r="K2220" i="29"/>
  <c r="U2220" i="29"/>
  <c r="K1008" i="29"/>
  <c r="U1008" i="29"/>
  <c r="K6760" i="29"/>
  <c r="U6760" i="29"/>
  <c r="K4250" i="29"/>
  <c r="U4250" i="29"/>
  <c r="K2328" i="29"/>
  <c r="U6752" i="29"/>
  <c r="K6752" i="29"/>
  <c r="U2809" i="29"/>
  <c r="K2809" i="29"/>
  <c r="K5283" i="29"/>
  <c r="U5283" i="29"/>
  <c r="K4100" i="29"/>
  <c r="U4100" i="29"/>
  <c r="U4933" i="29"/>
  <c r="K4933" i="29"/>
  <c r="K4326" i="29"/>
  <c r="U4326" i="29"/>
  <c r="K2892" i="29"/>
  <c r="U2892" i="29"/>
  <c r="U6808" i="29"/>
  <c r="K6808" i="29"/>
  <c r="U2214" i="29"/>
  <c r="K2214" i="29"/>
  <c r="K2239" i="29"/>
  <c r="U2239" i="29"/>
  <c r="K4210" i="29"/>
  <c r="U4210" i="29"/>
  <c r="U4743" i="29"/>
  <c r="K4743" i="29"/>
  <c r="U4818" i="29"/>
  <c r="K4818" i="29"/>
  <c r="U2530" i="29"/>
  <c r="K2530" i="29"/>
  <c r="K2170" i="29"/>
  <c r="U2170" i="29"/>
  <c r="K6913" i="29"/>
  <c r="U6913" i="29"/>
  <c r="K5002" i="29"/>
  <c r="U5002" i="29"/>
  <c r="K1182" i="29"/>
  <c r="U1182" i="29"/>
  <c r="U6852" i="29"/>
  <c r="K6852" i="29"/>
  <c r="U7974" i="29"/>
  <c r="K7974" i="29"/>
  <c r="U1590" i="29"/>
  <c r="K1590" i="29"/>
  <c r="K2782" i="29"/>
  <c r="U2782" i="29"/>
  <c r="K2013" i="29"/>
  <c r="U2013" i="29"/>
  <c r="K3981" i="29"/>
  <c r="U3981" i="29"/>
  <c r="K4355" i="29"/>
  <c r="U4355" i="29"/>
  <c r="K4876" i="29"/>
  <c r="U4876" i="29"/>
  <c r="U4103" i="29"/>
  <c r="K4103" i="29"/>
  <c r="K2236" i="29"/>
  <c r="U2236" i="29"/>
  <c r="K4873" i="29"/>
  <c r="U4873" i="29"/>
  <c r="U3961" i="29"/>
  <c r="K3961" i="29"/>
  <c r="K6582" i="29"/>
  <c r="U6582" i="29"/>
  <c r="U2602" i="29"/>
  <c r="K2602" i="29"/>
  <c r="K4119" i="29"/>
  <c r="U4119" i="29"/>
  <c r="K531" i="29"/>
  <c r="U531" i="29"/>
  <c r="K113" i="29"/>
  <c r="U113" i="29"/>
  <c r="U540" i="29"/>
  <c r="K540" i="29"/>
  <c r="K1723" i="29"/>
  <c r="U1723" i="29"/>
  <c r="K3929" i="29"/>
  <c r="U3929" i="29"/>
  <c r="K1973" i="29"/>
  <c r="U1973" i="29"/>
  <c r="K753" i="29"/>
  <c r="U753" i="29"/>
  <c r="U2436" i="29"/>
  <c r="K2436" i="29"/>
  <c r="U1387" i="29"/>
  <c r="K1387" i="29"/>
  <c r="U1840" i="29"/>
  <c r="K1840" i="29"/>
  <c r="U543" i="29"/>
  <c r="K543" i="29"/>
  <c r="K678" i="29"/>
  <c r="U678" i="29"/>
  <c r="U170" i="29"/>
  <c r="K170" i="29"/>
  <c r="U1015" i="29"/>
  <c r="K1015" i="29"/>
  <c r="U3113" i="29"/>
  <c r="K3113" i="29"/>
  <c r="K3526" i="29"/>
  <c r="U3526" i="29"/>
  <c r="U1242" i="29"/>
  <c r="K1242" i="29"/>
  <c r="K4138" i="29"/>
  <c r="U4138" i="29"/>
  <c r="K195" i="29"/>
  <c r="U195" i="29"/>
  <c r="K1209" i="29"/>
  <c r="U1209" i="29"/>
  <c r="K1121" i="29"/>
  <c r="U1121" i="29"/>
  <c r="K111" i="29"/>
  <c r="U111" i="29"/>
  <c r="U1850" i="29"/>
  <c r="K1850" i="29"/>
  <c r="U604" i="29"/>
  <c r="K604" i="29"/>
  <c r="U1593" i="29"/>
  <c r="K1593" i="29"/>
  <c r="K1745" i="29"/>
  <c r="U1745" i="29"/>
  <c r="U10" i="29"/>
  <c r="K10" i="29"/>
  <c r="U885" i="29"/>
  <c r="K885" i="29"/>
  <c r="K1313" i="29"/>
  <c r="U1313" i="29"/>
  <c r="U512" i="29"/>
  <c r="K512" i="29"/>
  <c r="K3433" i="29"/>
  <c r="U3433" i="29"/>
  <c r="K3967" i="29"/>
  <c r="U3967" i="29"/>
  <c r="K1946" i="29"/>
  <c r="U1946" i="29"/>
  <c r="K1964" i="29"/>
  <c r="U1964" i="29"/>
  <c r="U887" i="29"/>
  <c r="K887" i="29"/>
  <c r="U4043" i="29"/>
  <c r="K4043" i="29"/>
  <c r="K331" i="29"/>
  <c r="U331" i="29"/>
  <c r="U410" i="29"/>
  <c r="K410" i="29"/>
  <c r="U52" i="29"/>
  <c r="K52" i="29"/>
  <c r="K4289" i="29"/>
  <c r="U4289" i="29"/>
  <c r="K1997" i="29"/>
  <c r="U1997" i="29"/>
  <c r="K756" i="29"/>
  <c r="U756" i="29"/>
  <c r="K2107" i="29"/>
  <c r="U2107" i="29"/>
  <c r="U29" i="29"/>
  <c r="K29" i="29"/>
  <c r="U4097" i="29"/>
  <c r="K4097" i="29"/>
  <c r="K306" i="29"/>
  <c r="U306" i="29"/>
  <c r="K154" i="29"/>
  <c r="U154" i="29"/>
  <c r="K936" i="29"/>
  <c r="U936" i="29"/>
  <c r="K2269" i="29"/>
  <c r="U2269" i="29"/>
  <c r="U462" i="29"/>
  <c r="K462" i="29"/>
  <c r="K1710" i="29"/>
  <c r="U1710" i="29"/>
  <c r="K1174" i="29"/>
  <c r="U1174" i="29"/>
  <c r="U1687" i="29"/>
  <c r="K1687" i="29"/>
  <c r="K1431" i="29"/>
  <c r="U1431" i="29"/>
  <c r="U1081" i="29"/>
  <c r="K1081" i="29"/>
  <c r="U1806" i="29"/>
  <c r="K1806" i="29"/>
  <c r="K1712" i="29"/>
  <c r="U1712" i="29"/>
  <c r="U724" i="29"/>
  <c r="K724" i="29"/>
  <c r="K4687" i="29"/>
  <c r="U4687" i="29"/>
  <c r="K4810" i="29"/>
  <c r="U4810" i="29"/>
  <c r="U5090" i="29"/>
  <c r="K5090" i="29"/>
  <c r="C37" i="44"/>
  <c r="C119" i="6"/>
  <c r="E30" i="50"/>
  <c r="L14" i="48"/>
  <c r="H30" i="50"/>
  <c r="C1689" i="4"/>
  <c r="C1801" i="4"/>
  <c r="G14" i="50"/>
  <c r="C311" i="10"/>
  <c r="C1797" i="4"/>
  <c r="C230" i="6"/>
  <c r="C599" i="4"/>
  <c r="C694" i="6"/>
  <c r="I6" i="24"/>
  <c r="L12" i="50"/>
  <c r="C285" i="9"/>
  <c r="C500" i="6"/>
  <c r="C762" i="4"/>
  <c r="C1723" i="4"/>
  <c r="C1432" i="4"/>
  <c r="K16" i="50"/>
  <c r="C718" i="4"/>
  <c r="H10" i="24"/>
  <c r="C735" i="6"/>
  <c r="C466" i="36"/>
  <c r="D36" i="50"/>
  <c r="C497" i="36"/>
  <c r="E1814" i="4"/>
  <c r="C1376" i="4"/>
  <c r="C1159" i="4"/>
  <c r="C1786" i="4"/>
  <c r="C1495" i="4"/>
  <c r="G17" i="48"/>
  <c r="E5" i="51"/>
  <c r="I31" i="50"/>
  <c r="J26" i="24"/>
  <c r="C738" i="4"/>
  <c r="I13" i="51"/>
  <c r="C700" i="4"/>
  <c r="C80" i="10"/>
  <c r="E12" i="48"/>
  <c r="E1815" i="4"/>
  <c r="F8" i="51"/>
  <c r="E714" i="4"/>
  <c r="I6" i="48"/>
  <c r="C15" i="43"/>
  <c r="C473" i="9"/>
  <c r="C1268" i="4"/>
  <c r="C362" i="36"/>
  <c r="H16" i="50"/>
  <c r="C1126" i="4"/>
  <c r="C1140" i="4"/>
  <c r="I30" i="50"/>
  <c r="C1099" i="4"/>
  <c r="C316" i="36"/>
  <c r="C589" i="36"/>
  <c r="E762" i="6"/>
  <c r="C680" i="4"/>
  <c r="B27" i="48"/>
  <c r="C94" i="36"/>
  <c r="C1451" i="4"/>
  <c r="C1385" i="4"/>
  <c r="C256" i="10"/>
  <c r="C710" i="6"/>
  <c r="C204" i="9"/>
  <c r="D27" i="43"/>
  <c r="C221" i="6"/>
  <c r="K31" i="37"/>
  <c r="J10" i="51"/>
  <c r="K4" i="24"/>
  <c r="D36" i="44"/>
  <c r="H16" i="44"/>
  <c r="C137" i="10"/>
  <c r="H7" i="51"/>
  <c r="E314" i="10"/>
  <c r="C10" i="37"/>
  <c r="E542" i="36"/>
  <c r="M4" i="50"/>
  <c r="C390" i="36"/>
  <c r="E218" i="9"/>
  <c r="C1020" i="4"/>
  <c r="M10" i="50"/>
  <c r="C192" i="9"/>
  <c r="I8" i="50"/>
  <c r="C241" i="10"/>
  <c r="E601" i="36"/>
  <c r="C637" i="4"/>
  <c r="C1110" i="4"/>
  <c r="C737" i="4"/>
  <c r="E154" i="9"/>
  <c r="C1249" i="4"/>
  <c r="C769" i="4"/>
  <c r="C601" i="4"/>
  <c r="C416" i="6"/>
  <c r="C1038" i="4"/>
  <c r="C936" i="4"/>
  <c r="M10" i="51"/>
  <c r="C379" i="6"/>
  <c r="C1307" i="4"/>
  <c r="E220" i="10"/>
  <c r="C920" i="4"/>
  <c r="C820" i="4"/>
  <c r="C481" i="36"/>
  <c r="C446" i="9"/>
  <c r="F19" i="50"/>
  <c r="C411" i="6"/>
  <c r="F11" i="50"/>
  <c r="G7" i="37"/>
  <c r="L19" i="43"/>
  <c r="C119" i="36"/>
  <c r="C727" i="6"/>
  <c r="C139" i="36"/>
  <c r="K16" i="48"/>
  <c r="C742" i="6"/>
  <c r="K19" i="51"/>
  <c r="E465" i="6"/>
  <c r="E1090" i="4"/>
  <c r="C1336" i="4"/>
  <c r="C128" i="10"/>
  <c r="C332" i="36"/>
  <c r="C825" i="4"/>
  <c r="E1703" i="4"/>
  <c r="K17" i="43"/>
  <c r="C49" i="36"/>
  <c r="C1354" i="4"/>
  <c r="C831" i="4"/>
  <c r="C413" i="36"/>
  <c r="E17" i="48"/>
  <c r="C293" i="36"/>
  <c r="C687" i="4"/>
  <c r="C1615" i="4"/>
  <c r="C1062" i="4"/>
  <c r="K17" i="44"/>
  <c r="C1069" i="4"/>
  <c r="C1259" i="4"/>
  <c r="C128" i="9"/>
  <c r="E5" i="44"/>
  <c r="C1428" i="4"/>
  <c r="I8" i="51"/>
  <c r="E30" i="51"/>
  <c r="I16" i="51"/>
  <c r="C330" i="36"/>
  <c r="I14" i="48"/>
  <c r="J15" i="43"/>
  <c r="C1580" i="4"/>
  <c r="C469" i="9"/>
  <c r="C1583" i="4"/>
  <c r="M32" i="24"/>
  <c r="E230" i="10"/>
  <c r="C1543" i="4"/>
  <c r="C6" i="44"/>
  <c r="I11" i="50"/>
  <c r="F37" i="43"/>
  <c r="E1792" i="4"/>
  <c r="K31" i="51"/>
  <c r="E16" i="43"/>
  <c r="C12" i="43"/>
  <c r="E1550" i="4"/>
  <c r="I18" i="51"/>
  <c r="C1677" i="4"/>
  <c r="G4" i="43"/>
  <c r="M14" i="44"/>
  <c r="L11" i="51"/>
  <c r="C703" i="4"/>
  <c r="C1321" i="4"/>
  <c r="C117" i="6"/>
  <c r="C383" i="6"/>
  <c r="C1053" i="4"/>
  <c r="C1695" i="4"/>
  <c r="C237" i="9"/>
  <c r="C1526" i="4"/>
  <c r="C1095" i="4"/>
  <c r="H4" i="44"/>
  <c r="C429" i="36"/>
  <c r="C1218" i="4"/>
  <c r="G13" i="50"/>
  <c r="H15" i="51"/>
  <c r="C1135" i="4"/>
  <c r="G19" i="44"/>
  <c r="C584" i="36"/>
  <c r="C1366" i="4"/>
  <c r="C1123" i="4"/>
  <c r="C18" i="48"/>
  <c r="E1742" i="4"/>
  <c r="C1144" i="4"/>
  <c r="C1707" i="4"/>
  <c r="K6" i="37"/>
  <c r="C28" i="37"/>
  <c r="H16" i="43"/>
  <c r="C37" i="48"/>
  <c r="C193" i="36"/>
  <c r="C438" i="9"/>
  <c r="G7" i="24"/>
  <c r="K11" i="37"/>
  <c r="F19" i="44"/>
  <c r="C592" i="36"/>
  <c r="E737" i="6"/>
  <c r="C160" i="6"/>
  <c r="G27" i="43"/>
  <c r="K30" i="43"/>
  <c r="J11" i="51"/>
  <c r="I10" i="51"/>
  <c r="C1132" i="4"/>
  <c r="C448" i="9"/>
  <c r="C736" i="6"/>
  <c r="E599" i="36"/>
  <c r="J12" i="50"/>
  <c r="K7" i="44"/>
  <c r="C1746" i="4"/>
  <c r="C517" i="6"/>
  <c r="C430" i="36"/>
  <c r="C199" i="6"/>
  <c r="B11" i="44"/>
  <c r="D30" i="51"/>
  <c r="C511" i="6"/>
  <c r="B15" i="51"/>
  <c r="B16" i="50"/>
  <c r="C288" i="36"/>
  <c r="L19" i="51"/>
  <c r="C924" i="4"/>
  <c r="B9" i="43"/>
  <c r="C1504" i="4"/>
  <c r="L36" i="50"/>
  <c r="C276" i="9"/>
  <c r="C1288" i="4"/>
  <c r="J32" i="51"/>
  <c r="C540" i="36"/>
  <c r="E12" i="51"/>
  <c r="C534" i="36"/>
  <c r="C875" i="4"/>
  <c r="E141" i="6"/>
  <c r="E16" i="51"/>
  <c r="C16" i="48"/>
  <c r="J7" i="50"/>
  <c r="C1258" i="4"/>
  <c r="C510" i="36"/>
  <c r="L10" i="44"/>
  <c r="E503" i="6"/>
  <c r="I12" i="50"/>
  <c r="C1708" i="4"/>
  <c r="C1402" i="4"/>
  <c r="C1637" i="4"/>
  <c r="H6" i="24"/>
  <c r="C771" i="4"/>
  <c r="F13" i="51"/>
  <c r="C465" i="6"/>
  <c r="C14" i="48"/>
  <c r="C272" i="10"/>
  <c r="C1423" i="4"/>
  <c r="E4" i="37"/>
  <c r="C847" i="4"/>
  <c r="C606" i="6"/>
  <c r="H9" i="43"/>
  <c r="C470" i="36"/>
  <c r="C554" i="36"/>
  <c r="C101" i="10"/>
  <c r="D8" i="51"/>
  <c r="G10" i="51"/>
  <c r="F12" i="50"/>
  <c r="G4" i="37"/>
  <c r="J16" i="51"/>
  <c r="C1709" i="4"/>
  <c r="E8" i="43"/>
  <c r="D15" i="44"/>
  <c r="C480" i="36"/>
  <c r="I17" i="43"/>
  <c r="C204" i="6"/>
  <c r="C1598" i="4"/>
  <c r="G30" i="51"/>
  <c r="L10" i="51"/>
  <c r="C655" i="4"/>
  <c r="E17" i="51"/>
  <c r="C645" i="6"/>
  <c r="C583" i="36"/>
  <c r="E12" i="43"/>
  <c r="C792" i="4"/>
  <c r="C184" i="9"/>
  <c r="C1648" i="4"/>
  <c r="E661" i="4"/>
  <c r="L5" i="51"/>
  <c r="C524" i="36"/>
  <c r="C1668" i="4"/>
  <c r="E780" i="4"/>
  <c r="C1576" i="4"/>
  <c r="C286" i="9"/>
  <c r="B13" i="48"/>
  <c r="C1724" i="4"/>
  <c r="E735" i="6"/>
  <c r="C330" i="9"/>
  <c r="C1462" i="4"/>
  <c r="E11" i="37"/>
  <c r="C272" i="36"/>
  <c r="C604" i="6"/>
  <c r="C1111" i="4"/>
  <c r="C284" i="36"/>
  <c r="C131" i="6"/>
  <c r="E11" i="44"/>
  <c r="F12" i="51"/>
  <c r="C227" i="9"/>
  <c r="C297" i="9"/>
  <c r="C1429" i="4"/>
  <c r="H8" i="50"/>
  <c r="L6" i="43"/>
  <c r="C1645" i="4"/>
  <c r="C419" i="36"/>
  <c r="C95" i="36"/>
  <c r="C732" i="6"/>
  <c r="C310" i="6"/>
  <c r="H4" i="51"/>
  <c r="C613" i="6"/>
  <c r="C1384" i="4"/>
  <c r="C300" i="10"/>
  <c r="K7" i="43"/>
  <c r="F12" i="43"/>
  <c r="C31" i="50"/>
  <c r="B5" i="51"/>
  <c r="D16" i="48"/>
  <c r="C1185" i="4"/>
  <c r="C511" i="36"/>
  <c r="C657" i="6"/>
  <c r="C470" i="9"/>
  <c r="E36" i="50"/>
  <c r="F24" i="37"/>
  <c r="C938" i="4"/>
  <c r="C416" i="36"/>
  <c r="C4" i="51"/>
  <c r="C992" i="4"/>
  <c r="D14" i="44"/>
  <c r="C190" i="9"/>
  <c r="K9" i="24"/>
  <c r="K15" i="51"/>
  <c r="C101" i="36"/>
  <c r="C590" i="36"/>
  <c r="C1525" i="4"/>
  <c r="C1512" i="4"/>
  <c r="C409" i="36"/>
  <c r="C619" i="4"/>
  <c r="G19" i="48"/>
  <c r="C925" i="4"/>
  <c r="C183" i="36"/>
  <c r="F6" i="44"/>
  <c r="E6" i="51"/>
  <c r="H27" i="50"/>
  <c r="J15" i="24"/>
  <c r="C338" i="6"/>
  <c r="C215" i="6"/>
  <c r="D13" i="51"/>
  <c r="C5" i="43"/>
  <c r="D37" i="43"/>
  <c r="C344" i="36"/>
  <c r="C1743" i="4"/>
  <c r="L6" i="51"/>
  <c r="C413" i="9"/>
  <c r="M15" i="43"/>
  <c r="E536" i="36"/>
  <c r="C472" i="9"/>
  <c r="I37" i="50"/>
  <c r="C187" i="9"/>
  <c r="I17" i="44"/>
  <c r="C327" i="9"/>
  <c r="C91" i="10"/>
  <c r="C112" i="6"/>
  <c r="C733" i="4"/>
  <c r="C711" i="6"/>
  <c r="E671" i="6"/>
  <c r="E563" i="36"/>
  <c r="C549" i="36"/>
  <c r="D4" i="50"/>
  <c r="C581" i="6"/>
  <c r="C1054" i="4"/>
  <c r="J17" i="50"/>
  <c r="E217" i="10"/>
  <c r="K30" i="51"/>
  <c r="I14" i="51"/>
  <c r="B37" i="51"/>
  <c r="C1727" i="4"/>
  <c r="E545" i="36"/>
  <c r="M7" i="48"/>
  <c r="C1521" i="4"/>
  <c r="C728" i="6"/>
  <c r="G17" i="43"/>
  <c r="C68" i="36"/>
  <c r="C241" i="9"/>
  <c r="H14" i="50"/>
  <c r="C323" i="36"/>
  <c r="C665" i="6"/>
  <c r="E116" i="6"/>
  <c r="C1182" i="4"/>
  <c r="E19" i="43"/>
  <c r="J30" i="51"/>
  <c r="C1694" i="4"/>
  <c r="E741" i="6"/>
  <c r="E118" i="6"/>
  <c r="F13" i="37"/>
  <c r="E518" i="6"/>
  <c r="E204" i="10"/>
  <c r="C224" i="6"/>
  <c r="C1195" i="4"/>
  <c r="C424" i="9"/>
  <c r="C389" i="9"/>
  <c r="M12" i="43"/>
  <c r="E11" i="48"/>
  <c r="B13" i="44"/>
  <c r="C1098" i="4"/>
  <c r="E709" i="6"/>
  <c r="E34" i="37"/>
  <c r="C1141" i="4"/>
  <c r="L4" i="44"/>
  <c r="L11" i="48"/>
  <c r="C1075" i="4"/>
  <c r="E140" i="9"/>
  <c r="E198" i="9"/>
  <c r="G9" i="48"/>
  <c r="C1415" i="4"/>
  <c r="C1517" i="4"/>
  <c r="D6" i="44"/>
  <c r="C270" i="9"/>
  <c r="C1584" i="4"/>
  <c r="C1119" i="4"/>
  <c r="C122" i="6"/>
  <c r="C304" i="6"/>
  <c r="C416" i="9"/>
  <c r="C129" i="10"/>
  <c r="C522" i="36"/>
  <c r="C1771" i="4"/>
  <c r="C1313" i="4"/>
  <c r="C96" i="10"/>
  <c r="C501" i="6"/>
  <c r="H16" i="37"/>
  <c r="C1400" i="4"/>
  <c r="C506" i="6"/>
  <c r="C548" i="6"/>
  <c r="J12" i="43"/>
  <c r="K37" i="51"/>
  <c r="C254" i="36"/>
  <c r="E624" i="6"/>
  <c r="C1033" i="4"/>
  <c r="H13" i="51"/>
  <c r="C1764" i="4"/>
  <c r="F10" i="44"/>
  <c r="F18" i="44"/>
  <c r="C163" i="36"/>
  <c r="H17" i="48"/>
  <c r="E34" i="44"/>
  <c r="H10" i="43"/>
  <c r="E191" i="10"/>
  <c r="L7" i="50"/>
  <c r="C26" i="43"/>
  <c r="E144" i="9"/>
  <c r="F17" i="50"/>
  <c r="C329" i="6"/>
  <c r="J12" i="24"/>
  <c r="C622" i="4"/>
  <c r="C483" i="36"/>
  <c r="F15" i="50"/>
  <c r="C153" i="6"/>
  <c r="E21" i="36"/>
  <c r="L9" i="37"/>
  <c r="I17" i="50"/>
  <c r="C363" i="36"/>
  <c r="G8" i="48"/>
  <c r="C322" i="6"/>
  <c r="C148" i="6"/>
  <c r="E550" i="36"/>
  <c r="I10" i="44"/>
  <c r="B27" i="44"/>
  <c r="C636" i="6"/>
  <c r="D15" i="51"/>
  <c r="C704" i="4"/>
  <c r="E155" i="9"/>
  <c r="C27" i="51"/>
  <c r="C141" i="10"/>
  <c r="C545" i="36"/>
  <c r="C1359" i="4"/>
  <c r="C1803" i="4"/>
  <c r="C1048" i="4"/>
  <c r="C112" i="36"/>
  <c r="C294" i="9"/>
  <c r="L18" i="43"/>
  <c r="E1821" i="4"/>
  <c r="C465" i="36"/>
  <c r="C391" i="9"/>
  <c r="C1325" i="4"/>
  <c r="C459" i="36"/>
  <c r="C1413" i="4"/>
  <c r="C421" i="36"/>
  <c r="C1808" i="4"/>
  <c r="E13" i="51"/>
  <c r="C350" i="36"/>
  <c r="G19" i="51"/>
  <c r="I11" i="43"/>
  <c r="C1567" i="4"/>
  <c r="C594" i="36"/>
  <c r="C593" i="4"/>
  <c r="C191" i="10"/>
  <c r="B16" i="44"/>
  <c r="C356" i="36"/>
  <c r="E320" i="10"/>
  <c r="C85" i="36"/>
  <c r="C1641" i="4"/>
  <c r="C267" i="9"/>
  <c r="D14" i="43"/>
  <c r="L31" i="24"/>
  <c r="C696" i="4"/>
  <c r="M27" i="51"/>
  <c r="C41" i="36"/>
  <c r="C1368" i="4"/>
  <c r="E267" i="10"/>
  <c r="C1759" i="4"/>
  <c r="C1646" i="4"/>
  <c r="C1401" i="4"/>
  <c r="C1077" i="4"/>
  <c r="C1755" i="4"/>
  <c r="C1012" i="4"/>
  <c r="D7" i="48"/>
  <c r="C437" i="36"/>
  <c r="C1335" i="4"/>
  <c r="C1784" i="4"/>
  <c r="H10" i="44"/>
  <c r="C684" i="6"/>
  <c r="C944" i="4"/>
  <c r="F14" i="37"/>
  <c r="C437" i="6"/>
  <c r="C822" i="4"/>
  <c r="C512" i="36"/>
  <c r="C433" i="36"/>
  <c r="C1715" i="4"/>
  <c r="E15" i="44"/>
  <c r="G31" i="51"/>
  <c r="B14" i="48"/>
  <c r="C305" i="9"/>
  <c r="C399" i="36"/>
  <c r="L37" i="51"/>
  <c r="H4" i="43"/>
  <c r="F4" i="44"/>
  <c r="F30" i="43"/>
  <c r="C274" i="6"/>
  <c r="C851" i="4"/>
  <c r="C951" i="4"/>
  <c r="C427" i="9"/>
  <c r="C194" i="10"/>
  <c r="E805" i="4"/>
  <c r="F6" i="37"/>
  <c r="C1226" i="4"/>
  <c r="M11" i="50"/>
  <c r="L4" i="51"/>
  <c r="L5" i="24"/>
  <c r="B6" i="50"/>
  <c r="C1600" i="4"/>
  <c r="C280" i="9"/>
  <c r="C617" i="4"/>
  <c r="E302" i="9"/>
  <c r="C475" i="6"/>
  <c r="C1690" i="4"/>
  <c r="K5" i="51"/>
  <c r="J11" i="44"/>
  <c r="G31" i="48"/>
  <c r="B12" i="51"/>
  <c r="M15" i="48"/>
  <c r="C648" i="4"/>
  <c r="C338" i="36"/>
  <c r="C1655" i="4"/>
  <c r="C1691" i="4"/>
  <c r="C335" i="6"/>
  <c r="J7" i="37"/>
  <c r="C185" i="36"/>
  <c r="F19" i="51"/>
  <c r="C569" i="36"/>
  <c r="C1701" i="4"/>
  <c r="C1233" i="4"/>
  <c r="C1790" i="4"/>
  <c r="C1702" i="4"/>
  <c r="C1705" i="4"/>
  <c r="C128" i="36"/>
  <c r="H5" i="44"/>
  <c r="E924" i="4"/>
  <c r="C171" i="10"/>
  <c r="C908" i="4"/>
  <c r="C1362" i="4"/>
  <c r="I4" i="51"/>
  <c r="L10" i="50"/>
  <c r="C285" i="10"/>
  <c r="C428" i="36"/>
  <c r="C65" i="10"/>
  <c r="K8" i="37"/>
  <c r="H14" i="43"/>
  <c r="C393" i="36"/>
  <c r="C594" i="4"/>
  <c r="C154" i="36"/>
  <c r="F12" i="24"/>
  <c r="C518" i="36"/>
  <c r="G13" i="51"/>
  <c r="B14" i="51"/>
  <c r="C1739" i="4"/>
  <c r="C391" i="6"/>
  <c r="E5" i="50"/>
  <c r="K15" i="48"/>
  <c r="B11" i="48"/>
  <c r="H6" i="37"/>
  <c r="I4" i="44"/>
  <c r="C721" i="6"/>
  <c r="C1718" i="4"/>
  <c r="H13" i="50"/>
  <c r="C184" i="36"/>
  <c r="G6" i="37"/>
  <c r="C1242" i="4"/>
  <c r="L16" i="51"/>
  <c r="C160" i="9"/>
  <c r="C697" i="6"/>
  <c r="I11" i="24"/>
  <c r="C770" i="4"/>
  <c r="C478" i="36"/>
  <c r="C397" i="6"/>
  <c r="C1041" i="4"/>
  <c r="E69" i="36"/>
  <c r="C1712" i="4"/>
  <c r="C1682" i="4"/>
  <c r="M6" i="50"/>
  <c r="C141" i="36"/>
  <c r="H7" i="24"/>
  <c r="C17" i="43"/>
  <c r="C367" i="6"/>
  <c r="C461" i="6"/>
  <c r="C1166" i="4"/>
  <c r="C209" i="36"/>
  <c r="C148" i="9"/>
  <c r="C327" i="36"/>
  <c r="H17" i="43"/>
  <c r="C209" i="6"/>
  <c r="C152" i="36"/>
  <c r="H10" i="50"/>
  <c r="C1574" i="4"/>
  <c r="C133" i="10"/>
  <c r="E552" i="36"/>
  <c r="C1305" i="4"/>
  <c r="K19" i="50"/>
  <c r="C289" i="9"/>
  <c r="C1276" i="4"/>
  <c r="C370" i="6"/>
  <c r="E34" i="50"/>
  <c r="C767" i="4"/>
  <c r="C126" i="10"/>
  <c r="C236" i="36"/>
  <c r="C189" i="9"/>
  <c r="C16" i="37"/>
  <c r="C1086" i="4"/>
  <c r="C688" i="4"/>
  <c r="E37" i="50"/>
  <c r="E844" i="4"/>
  <c r="C309" i="6"/>
  <c r="D8" i="43"/>
  <c r="C156" i="36"/>
  <c r="C1341" i="4"/>
  <c r="C142" i="36"/>
  <c r="C1360" i="4"/>
  <c r="L5" i="48"/>
  <c r="J9" i="48"/>
  <c r="E30" i="44"/>
  <c r="J14" i="50"/>
  <c r="L18" i="50"/>
  <c r="E750" i="6"/>
  <c r="C166" i="36"/>
  <c r="C1168" i="4"/>
  <c r="J27" i="48"/>
  <c r="C561" i="6"/>
  <c r="C350" i="9"/>
  <c r="E262" i="10"/>
  <c r="C1522" i="4"/>
  <c r="C1128" i="4"/>
  <c r="E665" i="6"/>
  <c r="C361" i="9"/>
  <c r="F11" i="44"/>
  <c r="B19" i="51"/>
  <c r="I36" i="51"/>
  <c r="C1477" i="4"/>
  <c r="K17" i="50"/>
  <c r="C244" i="10"/>
  <c r="C1744" i="4"/>
  <c r="C1766" i="4"/>
  <c r="F7" i="37"/>
  <c r="G16" i="51"/>
  <c r="F14" i="43"/>
  <c r="D18" i="51"/>
  <c r="E135" i="6"/>
  <c r="C596" i="36"/>
  <c r="C574" i="36"/>
  <c r="H14" i="48"/>
  <c r="C1254" i="4"/>
  <c r="C422" i="9"/>
  <c r="C1692" i="4"/>
  <c r="E7" i="43"/>
  <c r="D25" i="51"/>
  <c r="F18" i="51"/>
  <c r="C483" i="9"/>
  <c r="C1720" i="4"/>
  <c r="C386" i="9"/>
  <c r="L14" i="37"/>
  <c r="F8" i="37"/>
  <c r="F16" i="51"/>
  <c r="C593" i="36"/>
  <c r="C1619" i="4"/>
  <c r="C271" i="36"/>
  <c r="C207" i="36"/>
  <c r="F11" i="37"/>
  <c r="G13" i="44"/>
  <c r="E1804" i="4"/>
  <c r="C1377" i="4"/>
  <c r="C154" i="6"/>
  <c r="C465" i="9"/>
  <c r="C874" i="4"/>
  <c r="C1773" i="4"/>
  <c r="C1726" i="4"/>
  <c r="G5" i="51"/>
  <c r="C1262" i="4"/>
  <c r="C198" i="36"/>
  <c r="J14" i="48"/>
  <c r="H32" i="48"/>
  <c r="C460" i="36"/>
  <c r="D30" i="44"/>
  <c r="C595" i="4"/>
  <c r="E632" i="6"/>
  <c r="C1564" i="4"/>
  <c r="G8" i="24"/>
  <c r="C190" i="10"/>
  <c r="C885" i="4"/>
  <c r="C134" i="6"/>
  <c r="E19" i="50"/>
  <c r="E222" i="10"/>
  <c r="K34" i="37"/>
  <c r="C75" i="36"/>
  <c r="C136" i="9"/>
  <c r="H7" i="50"/>
  <c r="D6" i="37"/>
  <c r="C7" i="36"/>
  <c r="C996" i="4"/>
  <c r="C1214" i="4"/>
  <c r="C1032" i="4"/>
  <c r="C58" i="10"/>
  <c r="C270" i="6"/>
  <c r="C1309" i="4"/>
  <c r="E367" i="36"/>
  <c r="G15" i="37"/>
  <c r="C60" i="10"/>
  <c r="C1311" i="4"/>
  <c r="C1783" i="4"/>
  <c r="E327" i="10"/>
  <c r="C1474" i="4"/>
  <c r="C1183" i="4"/>
  <c r="C254" i="9"/>
  <c r="C271" i="9"/>
  <c r="C300" i="36"/>
  <c r="C298" i="36"/>
  <c r="C476" i="36"/>
  <c r="F37" i="44"/>
  <c r="C1537" i="4"/>
  <c r="C1736" i="4"/>
  <c r="M14" i="24"/>
  <c r="C1805" i="4"/>
  <c r="C1776" i="4"/>
  <c r="D37" i="50"/>
  <c r="C144" i="9"/>
  <c r="D7" i="43"/>
  <c r="C1073" i="4"/>
  <c r="D6" i="43"/>
  <c r="B30" i="44"/>
  <c r="I5" i="50"/>
  <c r="G11" i="51"/>
  <c r="C1793" i="4"/>
  <c r="C537" i="36"/>
  <c r="C305" i="10"/>
  <c r="E160" i="6"/>
  <c r="E17" i="44"/>
  <c r="D15" i="43"/>
  <c r="K34" i="48"/>
  <c r="C228" i="36"/>
  <c r="E1030" i="4"/>
  <c r="B14" i="50"/>
  <c r="C319" i="9"/>
  <c r="G31" i="37"/>
  <c r="L27" i="50"/>
  <c r="C18" i="51"/>
  <c r="C325" i="9"/>
  <c r="C746" i="6"/>
  <c r="E5" i="48"/>
  <c r="C467" i="36"/>
  <c r="E194" i="10"/>
  <c r="C529" i="36"/>
  <c r="C339" i="36"/>
  <c r="C127" i="9"/>
  <c r="K6" i="44"/>
  <c r="E16" i="37"/>
  <c r="C588" i="4"/>
  <c r="C566" i="36"/>
  <c r="F27" i="51"/>
  <c r="E300" i="10"/>
  <c r="C639" i="6"/>
  <c r="C18" i="50"/>
  <c r="H36" i="44"/>
  <c r="C1241" i="4"/>
  <c r="E8" i="48"/>
  <c r="F11" i="51"/>
  <c r="C1590" i="4"/>
  <c r="C1529" i="4"/>
  <c r="C490" i="36"/>
  <c r="D19" i="51"/>
  <c r="C134" i="9"/>
  <c r="K12" i="51"/>
  <c r="C1436" i="4"/>
  <c r="C5" i="51"/>
  <c r="C485" i="36"/>
  <c r="I19" i="48"/>
  <c r="K17" i="48"/>
  <c r="C371" i="9"/>
  <c r="L14" i="50"/>
  <c r="C752" i="4"/>
  <c r="C277" i="9"/>
  <c r="C319" i="36"/>
  <c r="J5" i="51"/>
  <c r="H4" i="48"/>
  <c r="C1169" i="4"/>
  <c r="C1172" i="4"/>
  <c r="C308" i="36"/>
  <c r="D14" i="48"/>
  <c r="C757" i="6"/>
  <c r="C1779" i="4"/>
  <c r="C268" i="9"/>
  <c r="E297" i="9"/>
  <c r="B6" i="44"/>
  <c r="C748" i="4"/>
  <c r="C1044" i="4"/>
  <c r="C1683" i="4"/>
  <c r="I17" i="48"/>
  <c r="C10" i="43"/>
  <c r="J12" i="48"/>
  <c r="C1643" i="4"/>
  <c r="C327" i="10"/>
  <c r="G16" i="37"/>
  <c r="E600" i="36"/>
  <c r="C212" i="6"/>
  <c r="C1628" i="4"/>
  <c r="J15" i="44"/>
  <c r="F4" i="48"/>
  <c r="F8" i="44"/>
  <c r="J13" i="44"/>
  <c r="C921" i="4"/>
  <c r="C462" i="36"/>
  <c r="K4" i="37"/>
  <c r="B19" i="48"/>
  <c r="C264" i="9"/>
  <c r="E128" i="6"/>
  <c r="C1532" i="4"/>
  <c r="C832" i="4"/>
  <c r="C1650" i="4"/>
  <c r="C1636" i="4"/>
  <c r="H8" i="37"/>
  <c r="M11" i="44"/>
  <c r="C531" i="6"/>
  <c r="E577" i="6"/>
  <c r="D11" i="48"/>
  <c r="B7" i="48"/>
  <c r="C415" i="36"/>
  <c r="C1473" i="4"/>
  <c r="C212" i="10"/>
  <c r="C216" i="36"/>
  <c r="L13" i="50"/>
  <c r="C154" i="10"/>
  <c r="M5" i="50"/>
  <c r="E117" i="6"/>
  <c r="C288" i="6"/>
  <c r="C652" i="4"/>
  <c r="E1483" i="4"/>
  <c r="C217" i="6"/>
  <c r="C18" i="44"/>
  <c r="H10" i="37"/>
  <c r="C1200" i="4"/>
  <c r="C577" i="36"/>
  <c r="C1796" i="4"/>
  <c r="C572" i="36"/>
  <c r="C211" i="6"/>
  <c r="C1036" i="4"/>
  <c r="C365" i="6"/>
  <c r="J6" i="24"/>
  <c r="C606" i="4"/>
  <c r="E198" i="10"/>
  <c r="C378" i="6"/>
  <c r="C99" i="36"/>
  <c r="C518" i="6"/>
  <c r="G4" i="44"/>
  <c r="C399" i="9"/>
  <c r="E748" i="6"/>
  <c r="C479" i="9"/>
  <c r="C1361" i="4"/>
  <c r="B7" i="51"/>
  <c r="C57" i="36"/>
  <c r="C836" i="4"/>
  <c r="G4" i="24"/>
  <c r="D5" i="44"/>
  <c r="C1589" i="4"/>
  <c r="K16" i="51"/>
  <c r="C367" i="36"/>
  <c r="C312" i="9"/>
  <c r="E1812" i="4"/>
  <c r="C1661" i="4"/>
  <c r="C452" i="36"/>
  <c r="C712" i="6"/>
  <c r="C1248" i="4"/>
  <c r="C371" i="6"/>
  <c r="H4" i="50"/>
  <c r="C448" i="36"/>
  <c r="C1747" i="4"/>
  <c r="L27" i="51"/>
  <c r="G9" i="43"/>
  <c r="C708" i="6"/>
  <c r="C1235" i="4"/>
  <c r="C701" i="6"/>
  <c r="C164" i="9"/>
  <c r="C323" i="6"/>
  <c r="C1453" i="4"/>
  <c r="C283" i="9"/>
  <c r="D7" i="51"/>
  <c r="C797" i="4"/>
  <c r="E37" i="51"/>
  <c r="E721" i="6"/>
  <c r="J33" i="37"/>
  <c r="C466" i="6"/>
  <c r="C1372" i="4"/>
  <c r="G33" i="24"/>
  <c r="C123" i="6"/>
  <c r="B12" i="44"/>
  <c r="C314" i="10"/>
  <c r="C334" i="36"/>
  <c r="C1274" i="4"/>
  <c r="C794" i="4"/>
  <c r="I12" i="48"/>
  <c r="C918" i="4"/>
  <c r="I19" i="44"/>
  <c r="H31" i="37"/>
  <c r="M16" i="24"/>
  <c r="M12" i="51"/>
  <c r="C479" i="6"/>
  <c r="C785" i="4"/>
  <c r="C1390" i="4"/>
  <c r="C105" i="36"/>
  <c r="L30" i="51"/>
  <c r="C1229" i="4"/>
  <c r="J8" i="51"/>
  <c r="K11" i="51"/>
  <c r="J8" i="24"/>
  <c r="C508" i="6"/>
  <c r="C462" i="6"/>
  <c r="C16" i="44"/>
  <c r="C898" i="4"/>
  <c r="J15" i="48"/>
  <c r="E183" i="9"/>
  <c r="C751" i="6"/>
  <c r="C520" i="36"/>
  <c r="C1633" i="4"/>
  <c r="C377" i="36"/>
  <c r="C678" i="4"/>
  <c r="C340" i="6"/>
  <c r="C650" i="6"/>
  <c r="C291" i="10"/>
  <c r="C541" i="36"/>
  <c r="E259" i="10"/>
  <c r="M15" i="44"/>
  <c r="C745" i="6"/>
  <c r="C1299" i="4"/>
  <c r="F10" i="50"/>
  <c r="C1742" i="4"/>
  <c r="C227" i="36"/>
  <c r="E114" i="6"/>
  <c r="C878" i="4"/>
  <c r="B13" i="51"/>
  <c r="C348" i="36"/>
  <c r="K11" i="48"/>
  <c r="E8" i="50"/>
  <c r="M33" i="24"/>
  <c r="C439" i="6"/>
  <c r="C484" i="6"/>
  <c r="C167" i="10"/>
  <c r="C670" i="4"/>
  <c r="C1255" i="4"/>
  <c r="C111" i="6"/>
  <c r="H12" i="43"/>
  <c r="C279" i="6"/>
  <c r="C1479" i="4"/>
  <c r="C13" i="44"/>
  <c r="E171" i="10"/>
  <c r="D14" i="51"/>
  <c r="K36" i="44"/>
  <c r="C390" i="6"/>
  <c r="E9" i="43"/>
  <c r="C1617" i="4"/>
  <c r="C1610" i="4"/>
  <c r="C1113" i="4"/>
  <c r="F5" i="44"/>
  <c r="C25" i="36"/>
  <c r="C982" i="4"/>
  <c r="C436" i="6"/>
  <c r="J12" i="44"/>
  <c r="B15" i="50"/>
  <c r="C702" i="6"/>
  <c r="C516" i="36"/>
  <c r="E36" i="51"/>
  <c r="C271" i="10"/>
  <c r="C392" i="6"/>
  <c r="E117" i="10"/>
  <c r="C576" i="36"/>
  <c r="E654" i="4"/>
  <c r="C69" i="36"/>
  <c r="D11" i="51"/>
  <c r="C842" i="4"/>
  <c r="E466" i="6"/>
  <c r="C179" i="10"/>
  <c r="C1237" i="4"/>
  <c r="C784" i="4"/>
  <c r="C26" i="51"/>
  <c r="C67" i="36"/>
  <c r="J5" i="44"/>
  <c r="B6" i="43"/>
  <c r="C823" i="4"/>
  <c r="I5" i="43"/>
  <c r="E5" i="37"/>
  <c r="C1026" i="4"/>
  <c r="M7" i="50"/>
  <c r="H17" i="51"/>
  <c r="E10" i="51"/>
  <c r="C17" i="44"/>
  <c r="C1374" i="4"/>
  <c r="C1623" i="4"/>
  <c r="C263" i="36"/>
  <c r="C1753" i="4"/>
  <c r="G8" i="51"/>
  <c r="C1121" i="4"/>
  <c r="C1324" i="4"/>
  <c r="C396" i="36"/>
  <c r="E570" i="6"/>
  <c r="C13" i="50"/>
  <c r="E17" i="43"/>
  <c r="J37" i="51"/>
  <c r="C91" i="36"/>
  <c r="C36" i="48"/>
  <c r="E221" i="9"/>
  <c r="C542" i="36"/>
  <c r="C347" i="36"/>
  <c r="E736" i="6"/>
  <c r="C1573" i="4"/>
  <c r="C489" i="36"/>
  <c r="C1230" i="4"/>
  <c r="C1310" i="4"/>
  <c r="E131" i="9"/>
  <c r="C620" i="6"/>
  <c r="M16" i="44"/>
  <c r="C366" i="6"/>
  <c r="C930" i="4"/>
  <c r="B9" i="51"/>
  <c r="C1491" i="4"/>
  <c r="K8" i="51"/>
  <c r="C1741" i="4"/>
  <c r="E1813" i="4"/>
  <c r="F31" i="51"/>
  <c r="C824" i="4"/>
  <c r="I17" i="51"/>
  <c r="C642" i="4"/>
  <c r="I5" i="51"/>
  <c r="C718" i="6"/>
  <c r="C458" i="6"/>
  <c r="C807" i="4"/>
  <c r="C136" i="36"/>
  <c r="C597" i="6"/>
  <c r="C531" i="36"/>
  <c r="C55" i="36"/>
  <c r="K37" i="48"/>
  <c r="F7" i="51"/>
  <c r="M13" i="24"/>
  <c r="C381" i="36"/>
  <c r="J31" i="24"/>
  <c r="C550" i="36"/>
  <c r="E408" i="36"/>
  <c r="C1186" i="4"/>
  <c r="E779" i="4"/>
  <c r="C783" i="4"/>
  <c r="C1624" i="4"/>
  <c r="M32" i="51"/>
  <c r="C1160" i="4"/>
  <c r="C431" i="6"/>
  <c r="C357" i="36"/>
  <c r="C203" i="36"/>
  <c r="C568" i="6"/>
  <c r="D11" i="50"/>
  <c r="C291" i="9"/>
  <c r="D26" i="44"/>
  <c r="C736" i="4"/>
  <c r="E15" i="51"/>
  <c r="C288" i="10"/>
  <c r="C730" i="4"/>
  <c r="C815" i="4"/>
  <c r="C615" i="4"/>
  <c r="B14" i="44"/>
  <c r="C9" i="43"/>
  <c r="M11" i="51"/>
  <c r="C396" i="9"/>
  <c r="E13" i="48"/>
  <c r="C984" i="4"/>
  <c r="C304" i="36"/>
  <c r="C191" i="9"/>
  <c r="D4" i="51"/>
  <c r="C161" i="9"/>
  <c r="C798" i="4"/>
  <c r="K31" i="43"/>
  <c r="C998" i="4"/>
  <c r="D27" i="44"/>
  <c r="C1500" i="4"/>
  <c r="E1001" i="4"/>
  <c r="G8" i="37"/>
  <c r="C627" i="4"/>
  <c r="C34" i="37"/>
  <c r="C37" i="43"/>
  <c r="C737" i="6"/>
  <c r="C461" i="9"/>
  <c r="E16" i="44"/>
  <c r="C834" i="4"/>
  <c r="C245" i="9"/>
  <c r="C477" i="9"/>
  <c r="K10" i="48"/>
  <c r="C145" i="36"/>
  <c r="C58" i="36"/>
  <c r="K9" i="51"/>
  <c r="C760" i="6"/>
  <c r="C222" i="10"/>
  <c r="M8" i="50"/>
  <c r="L8" i="43"/>
  <c r="E1646" i="4"/>
  <c r="F27" i="44"/>
  <c r="C451" i="6"/>
  <c r="C396" i="6"/>
  <c r="C150" i="10"/>
  <c r="C1266" i="4"/>
  <c r="I6" i="50"/>
  <c r="C1660" i="4"/>
  <c r="C354" i="9"/>
  <c r="C1143" i="4"/>
  <c r="E191" i="9"/>
  <c r="C1389" i="4"/>
  <c r="L8" i="51"/>
  <c r="E19" i="48"/>
  <c r="I11" i="48"/>
  <c r="F37" i="51"/>
  <c r="C557" i="36"/>
  <c r="L17" i="51"/>
  <c r="C1059" i="4"/>
  <c r="J31" i="43"/>
  <c r="C428" i="6"/>
  <c r="F36" i="50"/>
  <c r="C376" i="6"/>
  <c r="C587" i="36"/>
  <c r="C149" i="6"/>
  <c r="C454" i="36"/>
  <c r="C1197" i="4"/>
  <c r="C914" i="4"/>
  <c r="E744" i="6"/>
  <c r="C1758" i="4"/>
  <c r="C1653" i="4"/>
  <c r="C247" i="10"/>
  <c r="C1435" i="4"/>
  <c r="J5" i="43"/>
  <c r="C1042" i="4"/>
  <c r="C143" i="36"/>
  <c r="G14" i="48"/>
  <c r="C13" i="51"/>
  <c r="L6" i="44"/>
  <c r="C1659" i="4"/>
  <c r="L12" i="44"/>
  <c r="E70" i="36"/>
  <c r="M30" i="43"/>
  <c r="C190" i="36"/>
  <c r="C161" i="36"/>
  <c r="C967" i="4"/>
  <c r="I7" i="50"/>
  <c r="C1748" i="4"/>
  <c r="C1122" i="4"/>
  <c r="C359" i="9"/>
  <c r="J10" i="48"/>
  <c r="J6" i="37"/>
  <c r="C1535" i="4"/>
  <c r="D4" i="43"/>
  <c r="C1238" i="4"/>
  <c r="C148" i="36"/>
  <c r="C13" i="37"/>
  <c r="M17" i="50"/>
  <c r="F27" i="48"/>
  <c r="C629" i="6"/>
  <c r="F5" i="48"/>
  <c r="C612" i="4"/>
  <c r="H19" i="51"/>
  <c r="C253" i="9"/>
  <c r="E25" i="44"/>
  <c r="F18" i="50"/>
  <c r="G12" i="24"/>
  <c r="C1199" i="4"/>
  <c r="D19" i="50"/>
  <c r="C1188" i="4"/>
  <c r="C303" i="36"/>
  <c r="C167" i="9"/>
  <c r="C1421" i="4"/>
  <c r="L14" i="44"/>
  <c r="C786" i="4"/>
  <c r="C389" i="36"/>
  <c r="C468" i="36"/>
  <c r="L5" i="50"/>
  <c r="C1236" i="4"/>
  <c r="C1469" i="4"/>
  <c r="D12" i="43"/>
  <c r="C1777" i="4"/>
  <c r="E178" i="36"/>
  <c r="G4" i="50"/>
  <c r="C656" i="4"/>
  <c r="E18" i="48"/>
  <c r="C1301" i="4"/>
  <c r="B6" i="48"/>
  <c r="C854" i="4"/>
  <c r="C791" i="4"/>
  <c r="C542" i="6"/>
  <c r="C493" i="36"/>
  <c r="C365" i="36"/>
  <c r="F8" i="43"/>
  <c r="M30" i="44"/>
  <c r="I16" i="43"/>
  <c r="C1208" i="4"/>
  <c r="E334" i="36"/>
  <c r="C971" i="4"/>
  <c r="C1298" i="4"/>
  <c r="E1681" i="4"/>
  <c r="C1674" i="4"/>
  <c r="C7" i="48"/>
  <c r="B5" i="37"/>
  <c r="J13" i="24"/>
  <c r="B37" i="50"/>
  <c r="H15" i="37"/>
  <c r="C619" i="6"/>
  <c r="E194" i="6"/>
  <c r="C1791" i="4"/>
  <c r="C1607" i="4"/>
  <c r="F15" i="24"/>
  <c r="C1430" i="4"/>
  <c r="C1593" i="4"/>
  <c r="C1439" i="4"/>
  <c r="C1386" i="4"/>
  <c r="C342" i="9"/>
  <c r="G11" i="48"/>
  <c r="C1754" i="4"/>
  <c r="C191" i="36"/>
  <c r="M27" i="50"/>
  <c r="L10" i="37"/>
  <c r="J11" i="48"/>
  <c r="E241" i="36"/>
  <c r="J18" i="43"/>
  <c r="C605" i="6"/>
  <c r="B18" i="51"/>
  <c r="G15" i="43"/>
  <c r="C222" i="9"/>
  <c r="E33" i="37"/>
  <c r="C560" i="36"/>
  <c r="C661" i="4"/>
  <c r="C553" i="36"/>
  <c r="C580" i="36"/>
  <c r="I30" i="48"/>
  <c r="C281" i="6"/>
  <c r="C90" i="36"/>
  <c r="C915" i="4"/>
  <c r="E719" i="4"/>
  <c r="C459" i="9"/>
  <c r="C10" i="51"/>
  <c r="C575" i="36"/>
  <c r="C1178" i="4"/>
  <c r="H37" i="43"/>
  <c r="C523" i="36"/>
  <c r="C691" i="6"/>
  <c r="C1669" i="4"/>
  <c r="C1498" i="4"/>
  <c r="K15" i="44"/>
  <c r="E717" i="4"/>
  <c r="L29" i="24"/>
  <c r="E14" i="43"/>
  <c r="C441" i="9"/>
  <c r="H14" i="37"/>
  <c r="E19" i="51"/>
  <c r="E9" i="51"/>
  <c r="K13" i="43"/>
  <c r="C117" i="10"/>
  <c r="C484" i="9"/>
  <c r="C803" i="4"/>
  <c r="C774" i="4"/>
  <c r="C344" i="6"/>
  <c r="C1055" i="4"/>
  <c r="C686" i="4"/>
  <c r="L7" i="44"/>
  <c r="C612" i="6"/>
  <c r="D9" i="50"/>
  <c r="C257" i="36"/>
  <c r="E53" i="10"/>
  <c r="C1565" i="4"/>
  <c r="K16" i="43"/>
  <c r="C223" i="6"/>
  <c r="C123" i="36"/>
  <c r="C667" i="4"/>
  <c r="C1663" i="4"/>
  <c r="C258" i="9"/>
  <c r="G33" i="37"/>
  <c r="L12" i="51"/>
  <c r="C806" i="4"/>
  <c r="C703" i="6"/>
  <c r="C1225" i="4"/>
  <c r="C169" i="36"/>
  <c r="C1654" i="4"/>
  <c r="I7" i="51"/>
  <c r="C324" i="10"/>
  <c r="E170" i="10"/>
  <c r="E193" i="36"/>
  <c r="C1631" i="4"/>
  <c r="F7" i="44"/>
  <c r="C964" i="4"/>
  <c r="C256" i="6"/>
  <c r="C171" i="36"/>
  <c r="C30" i="51"/>
  <c r="C43" i="36"/>
  <c r="E712" i="6"/>
  <c r="C183" i="6"/>
  <c r="C1523" i="4"/>
  <c r="D19" i="48"/>
  <c r="C1216" i="4"/>
  <c r="B10" i="43"/>
  <c r="K11" i="24"/>
  <c r="C263" i="9"/>
  <c r="F14" i="51"/>
  <c r="C962" i="4"/>
  <c r="C705" i="4"/>
  <c r="K18" i="44"/>
  <c r="J31" i="37"/>
  <c r="C1315" i="4"/>
  <c r="C1426" i="4"/>
  <c r="C754" i="6"/>
  <c r="C158" i="36"/>
  <c r="C427" i="6"/>
  <c r="C1458" i="4"/>
  <c r="C1087" i="4"/>
  <c r="E192" i="36"/>
  <c r="C659" i="6"/>
  <c r="C1613" i="4"/>
  <c r="C698" i="4"/>
  <c r="C510" i="6"/>
  <c r="C1562" i="4"/>
  <c r="C13" i="36"/>
  <c r="F33" i="37"/>
  <c r="C977" i="4"/>
  <c r="E746" i="6"/>
  <c r="L6" i="50"/>
  <c r="C1269" i="4"/>
  <c r="C261" i="36"/>
  <c r="C1165" i="4"/>
  <c r="C121" i="36"/>
  <c r="C285" i="36"/>
  <c r="L7" i="51"/>
  <c r="B14" i="43"/>
  <c r="F17" i="43"/>
  <c r="C681" i="4"/>
  <c r="C1250" i="4"/>
  <c r="G6" i="51"/>
  <c r="C394" i="36"/>
  <c r="E732" i="6"/>
  <c r="C150" i="6"/>
  <c r="J34" i="48"/>
  <c r="C1089" i="4"/>
  <c r="B12" i="50"/>
  <c r="E551" i="6"/>
  <c r="C158" i="10"/>
  <c r="H37" i="48"/>
  <c r="E148" i="6"/>
  <c r="K13" i="24"/>
  <c r="C1205" i="4"/>
  <c r="C1333" i="4"/>
  <c r="C317" i="10"/>
  <c r="C1597" i="4"/>
  <c r="C596" i="6"/>
  <c r="K6" i="48"/>
  <c r="C1210" i="4"/>
  <c r="C353" i="9"/>
  <c r="C1094" i="4"/>
  <c r="E763" i="6"/>
  <c r="L18" i="51"/>
  <c r="C582" i="36"/>
  <c r="C243" i="6"/>
  <c r="K33" i="24"/>
  <c r="C277" i="36"/>
  <c r="C499" i="36"/>
  <c r="C364" i="6"/>
  <c r="C252" i="9"/>
  <c r="K14" i="51"/>
  <c r="E1817" i="4"/>
  <c r="C1515" i="4"/>
  <c r="C469" i="36"/>
  <c r="M37" i="44"/>
  <c r="K5" i="48"/>
  <c r="C26" i="36"/>
  <c r="C1693" i="4"/>
  <c r="C442" i="36"/>
  <c r="C15" i="51"/>
  <c r="C151" i="36"/>
  <c r="C273" i="36"/>
  <c r="B30" i="48"/>
  <c r="C640" i="4"/>
  <c r="C182" i="9"/>
  <c r="C988" i="4"/>
  <c r="C1804" i="4"/>
  <c r="C384" i="36"/>
  <c r="D15" i="50"/>
  <c r="C1317" i="4"/>
  <c r="C5" i="44"/>
  <c r="C1697" i="4"/>
  <c r="C517" i="36"/>
  <c r="C1706" i="4"/>
  <c r="D10" i="44"/>
  <c r="C344" i="9"/>
  <c r="I19" i="51"/>
  <c r="C1647" i="4"/>
  <c r="C293" i="9"/>
  <c r="H7" i="37"/>
  <c r="C1470" i="4"/>
  <c r="C1807" i="4"/>
  <c r="E677" i="6"/>
  <c r="C382" i="9"/>
  <c r="L36" i="48"/>
  <c r="E603" i="36"/>
  <c r="C473" i="36"/>
  <c r="C204" i="36"/>
  <c r="C507" i="6"/>
  <c r="E1362" i="4"/>
  <c r="J32" i="24"/>
  <c r="J31" i="51"/>
  <c r="I15" i="50"/>
  <c r="K4" i="50"/>
  <c r="C876" i="4"/>
  <c r="C552" i="36"/>
  <c r="C677" i="6"/>
  <c r="C1699" i="4"/>
  <c r="C565" i="36"/>
  <c r="C157" i="9"/>
  <c r="C8" i="51"/>
  <c r="C750" i="4"/>
  <c r="E318" i="6"/>
  <c r="J7" i="51"/>
  <c r="C161" i="10"/>
  <c r="J9" i="37"/>
  <c r="E1820" i="4"/>
  <c r="C846" i="4"/>
  <c r="C33" i="36"/>
  <c r="M10" i="24"/>
  <c r="L12" i="48"/>
  <c r="E193" i="9"/>
  <c r="L17" i="50"/>
  <c r="C37" i="36"/>
  <c r="E659" i="6"/>
  <c r="C1137" i="4"/>
  <c r="I14" i="37"/>
  <c r="C597" i="4"/>
  <c r="C253" i="10"/>
  <c r="J37" i="50"/>
  <c r="C271" i="6"/>
  <c r="C244" i="6"/>
  <c r="E446" i="9"/>
  <c r="C1686" i="4"/>
  <c r="K37" i="43"/>
  <c r="C857" i="4"/>
  <c r="K19" i="48"/>
  <c r="C451" i="36"/>
  <c r="C1769" i="4"/>
  <c r="J17" i="44"/>
  <c r="C990" i="4"/>
  <c r="C334" i="6"/>
  <c r="C1175" i="4"/>
  <c r="L30" i="48"/>
  <c r="C1599" i="4"/>
  <c r="J16" i="48"/>
  <c r="C1478" i="4"/>
  <c r="C144" i="10"/>
  <c r="C628" i="4"/>
  <c r="M14" i="51"/>
  <c r="C229" i="10"/>
  <c r="M18" i="51"/>
  <c r="C1134" i="4"/>
  <c r="K34" i="50"/>
  <c r="H33" i="37"/>
  <c r="C246" i="36"/>
  <c r="C1588" i="4"/>
  <c r="C1640" i="4"/>
  <c r="C358" i="36"/>
  <c r="C721" i="4"/>
  <c r="C16" i="36"/>
  <c r="C1632" i="4"/>
  <c r="M5" i="24"/>
  <c r="C1730" i="4"/>
  <c r="C1572" i="4"/>
  <c r="C305" i="6"/>
  <c r="E1658" i="4"/>
  <c r="C1247" i="4"/>
  <c r="C488" i="36"/>
  <c r="C625" i="4"/>
  <c r="C1213" i="4"/>
  <c r="C266" i="10"/>
  <c r="C689" i="4"/>
  <c r="E13" i="50"/>
  <c r="C1546" i="4"/>
  <c r="L7" i="43"/>
  <c r="C862" i="4"/>
  <c r="M17" i="43"/>
  <c r="C268" i="6"/>
  <c r="C1448" i="4"/>
  <c r="E282" i="10"/>
  <c r="C214" i="36"/>
  <c r="K11" i="50"/>
  <c r="E12" i="50"/>
  <c r="C756" i="4"/>
  <c r="E14" i="51"/>
  <c r="C1014" i="4"/>
  <c r="M16" i="43"/>
  <c r="C226" i="9"/>
  <c r="C679" i="6"/>
  <c r="C690" i="4"/>
  <c r="H30" i="43"/>
  <c r="E16" i="48"/>
  <c r="K36" i="51"/>
  <c r="C178" i="10"/>
  <c r="H32" i="50"/>
  <c r="C1151" i="4"/>
  <c r="C8" i="50"/>
  <c r="C447" i="36"/>
  <c r="F5" i="51"/>
  <c r="C262" i="10"/>
  <c r="C197" i="10"/>
  <c r="M4" i="44"/>
  <c r="C889" i="4"/>
  <c r="H6" i="51"/>
  <c r="C492" i="36"/>
  <c r="C315" i="36"/>
  <c r="I14" i="44"/>
  <c r="C398" i="9"/>
  <c r="C759" i="6"/>
  <c r="C574" i="6"/>
  <c r="I19" i="43"/>
  <c r="C1051" i="4"/>
  <c r="H37" i="50"/>
  <c r="E197" i="10"/>
  <c r="C371" i="36"/>
  <c r="C222" i="36"/>
  <c r="C378" i="36"/>
  <c r="E1448" i="4"/>
  <c r="C1545" i="4"/>
  <c r="C1406" i="4"/>
  <c r="C1728" i="4"/>
  <c r="B6" i="51"/>
  <c r="C1399" i="4"/>
  <c r="E4" i="48"/>
  <c r="C158" i="9"/>
  <c r="G14" i="44"/>
  <c r="C659" i="4"/>
  <c r="C103" i="36"/>
  <c r="E80" i="36"/>
  <c r="C716" i="4"/>
  <c r="F9" i="51"/>
  <c r="C540" i="6"/>
  <c r="M16" i="50"/>
  <c r="C534" i="6"/>
  <c r="C1131" i="4"/>
  <c r="C436" i="36"/>
  <c r="C248" i="6"/>
  <c r="K29" i="24"/>
  <c r="M5" i="48"/>
  <c r="C308" i="10"/>
  <c r="C306" i="36"/>
  <c r="C722" i="4"/>
  <c r="G15" i="44"/>
  <c r="F6" i="51"/>
  <c r="C895" i="4"/>
  <c r="E510" i="6"/>
  <c r="F7" i="48"/>
  <c r="J16" i="50"/>
  <c r="C598" i="4"/>
  <c r="C14" i="50"/>
  <c r="C623" i="4"/>
  <c r="H31" i="43"/>
  <c r="C159" i="6"/>
  <c r="I28" i="37"/>
  <c r="C1129" i="4"/>
  <c r="C981" i="4"/>
  <c r="L12" i="37"/>
  <c r="C912" i="4"/>
  <c r="C132" i="10"/>
  <c r="C588" i="6"/>
  <c r="C536" i="36"/>
  <c r="E512" i="6"/>
  <c r="D18" i="50"/>
  <c r="J14" i="51"/>
  <c r="C242" i="36"/>
  <c r="C1561" i="4"/>
  <c r="C1344" i="4"/>
  <c r="C382" i="36"/>
  <c r="I8" i="43"/>
  <c r="C873" i="4"/>
  <c r="C292" i="6"/>
  <c r="C1635" i="4"/>
  <c r="M7" i="44"/>
  <c r="F16" i="37"/>
  <c r="C125" i="9"/>
  <c r="C15" i="37"/>
  <c r="C40" i="43"/>
  <c r="L37" i="48"/>
  <c r="M13" i="43"/>
  <c r="L15" i="24"/>
  <c r="B7" i="44"/>
  <c r="H11" i="43"/>
  <c r="E422" i="6"/>
  <c r="C12" i="44"/>
  <c r="C162" i="10"/>
  <c r="J8" i="48"/>
  <c r="C4" i="48"/>
  <c r="J10" i="37"/>
  <c r="C1106" i="4"/>
  <c r="C314" i="6"/>
  <c r="I7" i="24"/>
  <c r="J18" i="44"/>
  <c r="C276" i="36"/>
  <c r="C83" i="36"/>
  <c r="C1457" i="4"/>
  <c r="C1395" i="4"/>
  <c r="C1326" i="4"/>
  <c r="C300" i="9"/>
  <c r="C533" i="6"/>
  <c r="G37" i="51"/>
  <c r="C548" i="36"/>
  <c r="E1293" i="4"/>
  <c r="C899" i="4"/>
  <c r="C306" i="9"/>
  <c r="E201" i="9"/>
  <c r="C1782" i="4"/>
  <c r="C1043" i="4"/>
  <c r="C21" i="36"/>
  <c r="C313" i="6"/>
  <c r="G15" i="50"/>
  <c r="K14" i="44"/>
  <c r="E136" i="9"/>
  <c r="L8" i="50"/>
  <c r="C1066" i="4"/>
  <c r="E1449" i="4"/>
  <c r="C1612" i="4"/>
  <c r="K28" i="24"/>
  <c r="H4" i="37"/>
  <c r="M4" i="24"/>
  <c r="J30" i="44"/>
  <c r="C192" i="6"/>
  <c r="C850" i="4"/>
  <c r="C644" i="4"/>
  <c r="J37" i="48"/>
  <c r="G4" i="51"/>
  <c r="C138" i="36"/>
  <c r="I18" i="43"/>
  <c r="C1179" i="4"/>
  <c r="J4" i="51"/>
  <c r="C1806" i="4"/>
  <c r="C570" i="6"/>
  <c r="D5" i="48"/>
  <c r="C84" i="36"/>
  <c r="K15" i="50"/>
  <c r="C591" i="4"/>
  <c r="E544" i="36"/>
  <c r="C578" i="36"/>
  <c r="C230" i="10"/>
  <c r="C817" i="4"/>
  <c r="E9" i="44"/>
  <c r="L11" i="37"/>
  <c r="C1713" i="4"/>
  <c r="J8" i="43"/>
  <c r="C59" i="10"/>
  <c r="E13" i="44"/>
  <c r="G7" i="48"/>
  <c r="I9" i="48"/>
  <c r="E329" i="6"/>
  <c r="E1232" i="4"/>
  <c r="K35" i="43"/>
  <c r="L18" i="48"/>
  <c r="C1434" i="4"/>
  <c r="F6" i="48"/>
  <c r="E147" i="9"/>
  <c r="M4" i="37"/>
  <c r="E1095" i="4"/>
  <c r="E370" i="6"/>
  <c r="L6" i="24"/>
  <c r="C455" i="36"/>
  <c r="K15" i="37"/>
  <c r="C239" i="36"/>
  <c r="C33" i="37"/>
  <c r="E1150" i="4"/>
  <c r="E316" i="36"/>
  <c r="E1762" i="4"/>
  <c r="C133" i="9"/>
  <c r="F6" i="43"/>
  <c r="C727" i="4"/>
  <c r="C369" i="9"/>
  <c r="C245" i="10"/>
  <c r="E1649" i="4"/>
  <c r="M33" i="51"/>
  <c r="C143" i="9"/>
  <c r="F14" i="24"/>
  <c r="E149" i="6"/>
  <c r="D34" i="37"/>
  <c r="M13" i="44"/>
  <c r="L19" i="44"/>
  <c r="C422" i="36"/>
  <c r="C1446" i="4"/>
  <c r="I4" i="24"/>
  <c r="D37" i="51"/>
  <c r="E487" i="9"/>
  <c r="B4" i="44"/>
  <c r="C1511" i="4"/>
  <c r="E171" i="9"/>
  <c r="C1063" i="4"/>
  <c r="C1231" i="4"/>
  <c r="C1407" i="4"/>
  <c r="L4" i="24"/>
  <c r="C947" i="4"/>
  <c r="C799" i="4"/>
  <c r="C1328" i="4"/>
  <c r="C643" i="6"/>
  <c r="J6" i="44"/>
  <c r="J36" i="50"/>
  <c r="C682" i="4"/>
  <c r="C746" i="4"/>
  <c r="C564" i="6"/>
  <c r="C220" i="36"/>
  <c r="C324" i="36"/>
  <c r="C36" i="51"/>
  <c r="C1687" i="4"/>
  <c r="C84" i="10"/>
  <c r="L4" i="43"/>
  <c r="I14" i="50"/>
  <c r="J9" i="50"/>
  <c r="C539" i="36"/>
  <c r="C236" i="6"/>
  <c r="C270" i="36"/>
  <c r="E109" i="10"/>
  <c r="L5" i="37"/>
  <c r="J16" i="37"/>
  <c r="C1045" i="4"/>
  <c r="I13" i="43"/>
  <c r="G18" i="44"/>
  <c r="C307" i="9"/>
  <c r="C149" i="9"/>
  <c r="C753" i="6"/>
  <c r="C950" i="4"/>
  <c r="E495" i="6"/>
  <c r="C1348" i="4"/>
  <c r="C494" i="6"/>
  <c r="C195" i="9"/>
  <c r="C304" i="10"/>
  <c r="C1232" i="4"/>
  <c r="M13" i="37"/>
  <c r="D31" i="48"/>
  <c r="E4" i="50"/>
  <c r="C818" i="4"/>
  <c r="C168" i="36"/>
  <c r="E179" i="9"/>
  <c r="M18" i="48"/>
  <c r="C7" i="51"/>
  <c r="E205" i="10"/>
  <c r="C238" i="36"/>
  <c r="E863" i="4"/>
  <c r="E11" i="43"/>
  <c r="C146" i="36"/>
  <c r="C1265" i="4"/>
  <c r="F9" i="37"/>
  <c r="C395" i="9"/>
  <c r="C515" i="6"/>
  <c r="D17" i="51"/>
  <c r="C78" i="36"/>
  <c r="J15" i="37"/>
  <c r="I10" i="37"/>
  <c r="C1357" i="4"/>
  <c r="C1550" i="4"/>
  <c r="C11" i="50"/>
  <c r="C1622" i="4"/>
  <c r="C487" i="6"/>
  <c r="C235" i="9"/>
  <c r="C359" i="36"/>
  <c r="B33" i="37"/>
  <c r="C120" i="10"/>
  <c r="G17" i="44"/>
  <c r="C369" i="36"/>
  <c r="C363" i="9"/>
  <c r="C1482" i="4"/>
  <c r="E296" i="9"/>
  <c r="C368" i="36"/>
  <c r="M15" i="24"/>
  <c r="C923" i="4"/>
  <c r="F15" i="43"/>
  <c r="C201" i="6"/>
  <c r="L12" i="24"/>
  <c r="M12" i="24"/>
  <c r="C131" i="36"/>
  <c r="C1595" i="4"/>
  <c r="I15" i="48"/>
  <c r="C178" i="36"/>
  <c r="E1413" i="4"/>
  <c r="E516" i="36"/>
  <c r="E1061" i="4"/>
  <c r="C714" i="4"/>
  <c r="C742" i="4"/>
  <c r="M6" i="37"/>
  <c r="C664" i="4"/>
  <c r="I27" i="51"/>
  <c r="L27" i="48"/>
  <c r="E1520" i="4"/>
  <c r="C1340" i="4"/>
  <c r="C61" i="10"/>
  <c r="C507" i="36"/>
  <c r="F36" i="43"/>
  <c r="C999" i="4"/>
  <c r="E499" i="36"/>
  <c r="E421" i="36"/>
  <c r="M26" i="24"/>
  <c r="C205" i="10"/>
  <c r="C206" i="6"/>
  <c r="C8" i="43"/>
  <c r="C309" i="9"/>
  <c r="C255" i="36"/>
  <c r="E1197" i="4"/>
  <c r="E282" i="6"/>
  <c r="C220" i="9"/>
  <c r="M6" i="44"/>
  <c r="I18" i="48"/>
  <c r="C117" i="36"/>
  <c r="H19" i="50"/>
  <c r="C140" i="6"/>
  <c r="K8" i="44"/>
  <c r="M37" i="50"/>
  <c r="C1751" i="4"/>
  <c r="C444" i="9"/>
  <c r="C1147" i="4"/>
  <c r="C288" i="9"/>
  <c r="C1671" i="4"/>
  <c r="C322" i="9"/>
  <c r="C1142" i="4"/>
  <c r="C731" i="4"/>
  <c r="C125" i="36"/>
  <c r="C166" i="9"/>
  <c r="C928" i="4"/>
  <c r="C330" i="6"/>
  <c r="C351" i="9"/>
  <c r="C1346" i="4"/>
  <c r="C709" i="4"/>
  <c r="C404" i="36"/>
  <c r="C1704" i="4"/>
  <c r="C402" i="36"/>
  <c r="C1271" i="4"/>
  <c r="C449" i="9"/>
  <c r="C689" i="6"/>
  <c r="G18" i="50"/>
  <c r="M18" i="43"/>
  <c r="B30" i="51"/>
  <c r="C729" i="4"/>
  <c r="M9" i="44"/>
  <c r="C408" i="36"/>
  <c r="H31" i="24"/>
  <c r="J19" i="43"/>
  <c r="C1251" i="4"/>
  <c r="C135" i="9"/>
  <c r="C166" i="10"/>
  <c r="C940" i="4"/>
  <c r="M5" i="51"/>
  <c r="E184" i="9"/>
  <c r="C1112" i="4"/>
  <c r="J16" i="43"/>
  <c r="C871" i="4"/>
  <c r="J10" i="50"/>
  <c r="C199" i="9"/>
  <c r="H6" i="50"/>
  <c r="C126" i="36"/>
  <c r="C1440" i="4"/>
  <c r="K14" i="43"/>
  <c r="E163" i="9"/>
  <c r="C779" i="4"/>
  <c r="C634" i="4"/>
  <c r="C1586" i="4"/>
  <c r="E9" i="50"/>
  <c r="C1046" i="4"/>
  <c r="C1088" i="4"/>
  <c r="C1347" i="4"/>
  <c r="E691" i="4"/>
  <c r="C1592" i="4"/>
  <c r="C269" i="9"/>
  <c r="C279" i="9"/>
  <c r="C1369" i="4"/>
  <c r="C46" i="36"/>
  <c r="C152" i="9"/>
  <c r="C903" i="4"/>
  <c r="C287" i="9"/>
  <c r="C229" i="6"/>
  <c r="E7" i="44"/>
  <c r="F16" i="48"/>
  <c r="C12" i="36"/>
  <c r="D7" i="37"/>
  <c r="E37" i="43"/>
  <c r="J5" i="24"/>
  <c r="L16" i="48"/>
  <c r="E44" i="36"/>
  <c r="C1604" i="4"/>
  <c r="C32" i="37"/>
  <c r="F18" i="43"/>
  <c r="C133" i="36"/>
  <c r="C12" i="50"/>
  <c r="J10" i="43"/>
  <c r="H14" i="51"/>
  <c r="E15" i="48"/>
  <c r="M10" i="44"/>
  <c r="E172" i="9"/>
  <c r="C1011" i="4"/>
  <c r="L11" i="50"/>
  <c r="C1672" i="4"/>
  <c r="C12" i="51"/>
  <c r="G18" i="51"/>
  <c r="L15" i="44"/>
  <c r="L13" i="43"/>
  <c r="C66" i="36"/>
  <c r="H12" i="44"/>
  <c r="J4" i="44"/>
  <c r="C1591" i="4"/>
  <c r="C812" i="4"/>
  <c r="E996" i="4"/>
  <c r="L38" i="50"/>
  <c r="F32" i="24"/>
  <c r="C1334" i="4"/>
  <c r="D37" i="48"/>
  <c r="C1060" i="4"/>
  <c r="D9" i="48"/>
  <c r="I8" i="44"/>
  <c r="E222" i="36"/>
  <c r="E397" i="6"/>
  <c r="C1300" i="4"/>
  <c r="C356" i="6"/>
  <c r="L17" i="48"/>
  <c r="J7" i="48"/>
  <c r="K16" i="37"/>
  <c r="E1659" i="4"/>
  <c r="E1114" i="4"/>
  <c r="D16" i="44"/>
  <c r="C1108" i="4"/>
  <c r="C766" i="4"/>
  <c r="L8" i="24"/>
  <c r="C1596" i="4"/>
  <c r="C1025" i="4"/>
  <c r="E1573" i="4"/>
  <c r="H9" i="51"/>
  <c r="F30" i="44"/>
  <c r="B36" i="51"/>
  <c r="C1722" i="4"/>
  <c r="C262" i="36"/>
  <c r="C937" i="4"/>
  <c r="M16" i="48"/>
  <c r="C1716" i="4"/>
  <c r="C98" i="10"/>
  <c r="D31" i="37"/>
  <c r="K7" i="37"/>
  <c r="C1762" i="4"/>
  <c r="K9" i="44"/>
  <c r="C438" i="36"/>
  <c r="B15" i="48"/>
  <c r="J8" i="44"/>
  <c r="H27" i="51"/>
  <c r="C800" i="4"/>
  <c r="C1441" i="4"/>
  <c r="C57" i="10"/>
  <c r="C1603" i="4"/>
  <c r="C1002" i="4"/>
  <c r="I9" i="50"/>
  <c r="C279" i="36"/>
  <c r="H36" i="50"/>
  <c r="L10" i="43"/>
  <c r="C201" i="9"/>
  <c r="C1343" i="4"/>
  <c r="C282" i="10"/>
  <c r="C546" i="36"/>
  <c r="C904" i="4"/>
  <c r="K14" i="50"/>
  <c r="C168" i="6"/>
  <c r="G6" i="43"/>
  <c r="I11" i="51"/>
  <c r="C1202" i="4"/>
  <c r="I13" i="44"/>
  <c r="C431" i="9"/>
  <c r="C1676" i="4"/>
  <c r="L10" i="48"/>
  <c r="E10" i="43"/>
  <c r="C730" i="6"/>
  <c r="M7" i="37"/>
  <c r="C176" i="9"/>
  <c r="C913" i="4"/>
  <c r="E294" i="10"/>
  <c r="E6" i="48"/>
  <c r="C53" i="36"/>
  <c r="C347" i="9"/>
  <c r="I13" i="50"/>
  <c r="B31" i="43"/>
  <c r="C1638" i="4"/>
  <c r="C585" i="36"/>
  <c r="C949" i="4"/>
  <c r="C17" i="51"/>
  <c r="C709" i="6"/>
  <c r="B16" i="43"/>
  <c r="L15" i="51"/>
  <c r="F13" i="43"/>
  <c r="C70" i="36"/>
  <c r="C6" i="50"/>
  <c r="C393" i="9"/>
  <c r="C1534" i="4"/>
  <c r="L17" i="44"/>
  <c r="C6" i="43"/>
  <c r="B14" i="37"/>
  <c r="C112" i="10"/>
  <c r="C682" i="6"/>
  <c r="C828" i="4"/>
  <c r="I15" i="37"/>
  <c r="C1552" i="4"/>
  <c r="C275" i="10"/>
  <c r="C411" i="9"/>
  <c r="G7" i="44"/>
  <c r="C549" i="6"/>
  <c r="F16" i="43"/>
  <c r="L5" i="44"/>
  <c r="I6" i="43"/>
  <c r="H25" i="50"/>
  <c r="G7" i="50"/>
  <c r="C509" i="36"/>
  <c r="J6" i="51"/>
  <c r="D4" i="48"/>
  <c r="K14" i="37"/>
  <c r="C62" i="36"/>
  <c r="G4" i="48"/>
  <c r="C892" i="4"/>
  <c r="F15" i="37"/>
  <c r="C1575" i="4"/>
  <c r="E305" i="9"/>
  <c r="E342" i="9"/>
  <c r="E1143" i="4"/>
  <c r="J5" i="37"/>
  <c r="C16" i="51"/>
  <c r="C42" i="36"/>
  <c r="F5" i="37"/>
  <c r="C412" i="36"/>
  <c r="M9" i="50"/>
  <c r="E486" i="9"/>
  <c r="J4" i="24"/>
  <c r="C449" i="6"/>
  <c r="C15" i="36"/>
  <c r="C10" i="44"/>
  <c r="C194" i="6"/>
  <c r="E71" i="36"/>
  <c r="I5" i="44"/>
  <c r="C188" i="6"/>
  <c r="C475" i="36"/>
  <c r="C567" i="36"/>
  <c r="C275" i="36"/>
  <c r="C724" i="4"/>
  <c r="C1193" i="4"/>
  <c r="G15" i="24"/>
  <c r="C198" i="9"/>
  <c r="C353" i="6"/>
  <c r="B31" i="51"/>
  <c r="C36" i="50"/>
  <c r="C179" i="9"/>
  <c r="M30" i="51"/>
  <c r="K19" i="43"/>
  <c r="C265" i="10"/>
  <c r="E169" i="9"/>
  <c r="C373" i="36"/>
  <c r="C810" i="4"/>
  <c r="C861" i="4"/>
  <c r="C1030" i="4"/>
  <c r="C6" i="48"/>
  <c r="E150" i="10"/>
  <c r="E207" i="9"/>
  <c r="E10" i="44"/>
  <c r="C329" i="9"/>
  <c r="C1549" i="4"/>
  <c r="J4" i="37"/>
  <c r="C1392" i="4"/>
  <c r="H13" i="43"/>
  <c r="L6" i="37"/>
  <c r="C301" i="6"/>
  <c r="C11" i="44"/>
  <c r="C258" i="36"/>
  <c r="C445" i="9"/>
  <c r="G18" i="43"/>
  <c r="C745" i="4"/>
  <c r="C11" i="43"/>
  <c r="D10" i="51"/>
  <c r="C165" i="36"/>
  <c r="C79" i="10"/>
  <c r="D12" i="50"/>
  <c r="E143" i="6"/>
  <c r="C801" i="4"/>
  <c r="C205" i="36"/>
  <c r="I37" i="43"/>
  <c r="K7" i="50"/>
  <c r="I9" i="51"/>
  <c r="E758" i="4"/>
  <c r="C156" i="6"/>
  <c r="C322" i="36"/>
  <c r="C136" i="10"/>
  <c r="C15" i="48"/>
  <c r="C1487" i="4"/>
  <c r="D7" i="44"/>
  <c r="H12" i="24"/>
  <c r="C204" i="10"/>
  <c r="E17" i="50"/>
  <c r="C177" i="6"/>
  <c r="C148" i="10"/>
  <c r="D14" i="50"/>
  <c r="C1405" i="4"/>
  <c r="C719" i="4"/>
  <c r="C227" i="6"/>
  <c r="H5" i="24"/>
  <c r="C595" i="6"/>
  <c r="K9" i="50"/>
  <c r="C452" i="6"/>
  <c r="C196" i="6"/>
  <c r="C526" i="36"/>
  <c r="H37" i="51"/>
  <c r="C708" i="4"/>
  <c r="I15" i="24"/>
  <c r="C1794" i="4"/>
  <c r="C157" i="10"/>
  <c r="E234" i="10"/>
  <c r="C768" i="4"/>
  <c r="E31" i="51"/>
  <c r="C410" i="9"/>
  <c r="D16" i="37"/>
  <c r="E1374" i="4"/>
  <c r="E508" i="6"/>
  <c r="E1731" i="4"/>
  <c r="E270" i="10"/>
  <c r="L31" i="48"/>
  <c r="C232" i="9"/>
  <c r="C230" i="9"/>
  <c r="D36" i="51"/>
  <c r="E710" i="6"/>
  <c r="C321" i="10"/>
  <c r="C151" i="9"/>
  <c r="E559" i="36"/>
  <c r="E25" i="51"/>
  <c r="E308" i="36"/>
  <c r="E149" i="9"/>
  <c r="E950" i="4"/>
  <c r="E1588" i="4"/>
  <c r="M31" i="37"/>
  <c r="C135" i="36"/>
  <c r="D5" i="51"/>
  <c r="J8" i="37"/>
  <c r="C628" i="6"/>
  <c r="E10" i="37"/>
  <c r="E1676" i="4"/>
  <c r="C261" i="9"/>
  <c r="G12" i="43"/>
  <c r="E4" i="51"/>
  <c r="C303" i="6"/>
  <c r="G27" i="50"/>
  <c r="C1264" i="4"/>
  <c r="K30" i="50"/>
  <c r="J11" i="43"/>
  <c r="C60" i="36"/>
  <c r="E303" i="9"/>
  <c r="F37" i="48"/>
  <c r="C485" i="6"/>
  <c r="E705" i="4"/>
  <c r="C211" i="10"/>
  <c r="H18" i="48"/>
  <c r="C377" i="6"/>
  <c r="C699" i="4"/>
  <c r="K4" i="51"/>
  <c r="L10" i="24"/>
  <c r="C350" i="6"/>
  <c r="C464" i="9"/>
  <c r="C1100" i="4"/>
  <c r="C702" i="4"/>
  <c r="C933" i="4"/>
  <c r="C10" i="50"/>
  <c r="G5" i="44"/>
  <c r="C1438" i="4"/>
  <c r="C1253" i="4"/>
  <c r="I37" i="48"/>
  <c r="C98" i="36"/>
  <c r="C1350" i="4"/>
  <c r="C973" i="4"/>
  <c r="C932" i="4"/>
  <c r="C9" i="44"/>
  <c r="C1792" i="4"/>
  <c r="G12" i="44"/>
  <c r="C11" i="48"/>
  <c r="C75" i="10"/>
  <c r="C176" i="6"/>
  <c r="C1533" i="4"/>
  <c r="E831" i="4"/>
  <c r="E207" i="36"/>
  <c r="E257" i="6"/>
  <c r="C184" i="6"/>
  <c r="M36" i="51"/>
  <c r="C261" i="6"/>
  <c r="C354" i="36"/>
  <c r="C328" i="36"/>
  <c r="C233" i="36"/>
  <c r="C389" i="6"/>
  <c r="E142" i="9"/>
  <c r="C179" i="36"/>
  <c r="C189" i="6"/>
  <c r="C295" i="36"/>
  <c r="C826" i="4"/>
  <c r="C130" i="6"/>
  <c r="E111" i="6"/>
  <c r="B30" i="43"/>
  <c r="E172" i="6"/>
  <c r="C385" i="6"/>
  <c r="G10" i="50"/>
  <c r="C538" i="36"/>
  <c r="C710" i="4"/>
  <c r="C278" i="9"/>
  <c r="C654" i="4"/>
  <c r="C418" i="9"/>
  <c r="D16" i="50"/>
  <c r="C533" i="36"/>
  <c r="B11" i="51"/>
  <c r="E288" i="9"/>
  <c r="C31" i="37"/>
  <c r="C1003" i="4"/>
  <c r="C27" i="50"/>
  <c r="B7" i="37"/>
  <c r="H16" i="48"/>
  <c r="C819" i="4"/>
  <c r="B10" i="48"/>
  <c r="C208" i="10"/>
  <c r="C699" i="6"/>
  <c r="E136" i="6"/>
  <c r="E253" i="10"/>
  <c r="F4" i="37"/>
  <c r="C691" i="4"/>
  <c r="H15" i="50"/>
  <c r="C946" i="4"/>
  <c r="C739" i="4"/>
  <c r="C11" i="51"/>
  <c r="C685" i="6"/>
  <c r="E6" i="37"/>
  <c r="L18" i="44"/>
  <c r="K13" i="51"/>
  <c r="M19" i="43"/>
  <c r="E745" i="6"/>
  <c r="E250" i="10"/>
  <c r="B16" i="51"/>
  <c r="C435" i="36"/>
  <c r="K12" i="50"/>
  <c r="F11" i="43"/>
  <c r="D10" i="48"/>
  <c r="C200" i="6"/>
  <c r="E989" i="4"/>
  <c r="C280" i="6"/>
  <c r="C1750" i="4"/>
  <c r="C238" i="9"/>
  <c r="C448" i="6"/>
  <c r="C7" i="50"/>
  <c r="C835" i="4"/>
  <c r="C986" i="4"/>
  <c r="C1096" i="4"/>
  <c r="C295" i="9"/>
  <c r="C1409" i="4"/>
  <c r="C1714" i="4"/>
  <c r="F10" i="48"/>
  <c r="F19" i="48"/>
  <c r="C547" i="6"/>
  <c r="C417" i="6"/>
  <c r="D18" i="43"/>
  <c r="J13" i="51"/>
  <c r="C570" i="36"/>
  <c r="C641" i="4"/>
  <c r="C203" i="6"/>
  <c r="E134" i="6"/>
  <c r="E160" i="9"/>
  <c r="K9" i="48"/>
  <c r="E481" i="6"/>
  <c r="C360" i="36"/>
  <c r="E759" i="6"/>
  <c r="M31" i="51"/>
  <c r="C241" i="6"/>
  <c r="E14" i="37"/>
  <c r="C1587" i="4"/>
  <c r="F31" i="37"/>
  <c r="C1455" i="4"/>
  <c r="M31" i="24"/>
  <c r="C427" i="36"/>
  <c r="G16" i="44"/>
  <c r="D7" i="50"/>
  <c r="C351" i="6"/>
  <c r="B17" i="44"/>
  <c r="M10" i="37"/>
  <c r="L13" i="51"/>
  <c r="C669" i="4"/>
  <c r="C726" i="4"/>
  <c r="E703" i="4"/>
  <c r="C995" i="4"/>
  <c r="C1203" i="4"/>
  <c r="I13" i="48"/>
  <c r="E338" i="6"/>
  <c r="E1348" i="4"/>
  <c r="M19" i="51"/>
  <c r="C228" i="9"/>
  <c r="L11" i="43"/>
  <c r="C297" i="10"/>
  <c r="E598" i="36"/>
  <c r="C474" i="36"/>
  <c r="C683" i="4"/>
  <c r="C423" i="36"/>
  <c r="E37" i="48"/>
  <c r="C917" i="4"/>
  <c r="C37" i="51"/>
  <c r="C666" i="6"/>
  <c r="E288" i="10"/>
  <c r="M17" i="44"/>
  <c r="C1568" i="4"/>
  <c r="C1191" i="4"/>
  <c r="M12" i="50"/>
  <c r="D5" i="43"/>
  <c r="M19" i="50"/>
  <c r="C458" i="9"/>
  <c r="C717" i="6"/>
  <c r="K13" i="44"/>
  <c r="I10" i="43"/>
  <c r="C744" i="4"/>
  <c r="L8" i="48"/>
  <c r="C1547" i="4"/>
  <c r="C15" i="50"/>
  <c r="C1420" i="4"/>
  <c r="C1284" i="4"/>
  <c r="I8" i="37"/>
  <c r="C530" i="36"/>
  <c r="C7" i="43"/>
  <c r="C48" i="36"/>
  <c r="C130" i="36"/>
  <c r="B19" i="44"/>
  <c r="C243" i="36"/>
  <c r="C1480" i="4"/>
  <c r="C34" i="44"/>
  <c r="C70" i="10"/>
  <c r="C446" i="36"/>
  <c r="F7" i="43"/>
  <c r="C255" i="6"/>
  <c r="C575" i="6"/>
  <c r="C1081" i="4"/>
  <c r="C880" i="4"/>
  <c r="C1323" i="4"/>
  <c r="M11" i="48"/>
  <c r="K13" i="37"/>
  <c r="H6" i="43"/>
  <c r="M7" i="43"/>
  <c r="C384" i="6"/>
  <c r="C173" i="6"/>
  <c r="C1662" i="4"/>
  <c r="G37" i="44"/>
  <c r="C395" i="6"/>
  <c r="C544" i="36"/>
  <c r="K17" i="51"/>
  <c r="H15" i="24"/>
  <c r="C1150" i="4"/>
  <c r="C170" i="9"/>
  <c r="C256" i="36"/>
  <c r="E257" i="36"/>
  <c r="C515" i="36"/>
  <c r="C376" i="36"/>
  <c r="C1009" i="4"/>
  <c r="C604" i="4"/>
  <c r="H18" i="44"/>
  <c r="C1064" i="4"/>
  <c r="D13" i="43"/>
  <c r="C1459" i="4"/>
  <c r="F15" i="44"/>
  <c r="C1785" i="4"/>
  <c r="C263" i="6"/>
  <c r="C1304" i="4"/>
  <c r="C675" i="6"/>
  <c r="E317" i="10"/>
  <c r="C440" i="36"/>
  <c r="C645" i="4"/>
  <c r="C1711" i="4"/>
  <c r="C170" i="36"/>
  <c r="C1527" i="4"/>
  <c r="C210" i="6"/>
  <c r="C556" i="36"/>
  <c r="C613" i="4"/>
  <c r="K18" i="50"/>
  <c r="H10" i="51"/>
  <c r="D33" i="37"/>
  <c r="C14" i="44"/>
  <c r="C218" i="36"/>
  <c r="C814" i="4"/>
  <c r="C1281" i="4"/>
  <c r="H37" i="44"/>
  <c r="C808" i="4"/>
  <c r="H8" i="44"/>
  <c r="C336" i="9"/>
  <c r="H13" i="48"/>
  <c r="M15" i="50"/>
  <c r="C442" i="6"/>
  <c r="C595" i="36"/>
  <c r="J7" i="43"/>
  <c r="C311" i="9"/>
  <c r="E37" i="44"/>
  <c r="C911" i="4"/>
  <c r="C1084" i="4"/>
  <c r="C1339" i="4"/>
  <c r="C777" i="4"/>
  <c r="C776" i="4"/>
  <c r="C1079" i="4"/>
  <c r="D13" i="37"/>
  <c r="C125" i="10"/>
  <c r="C893" i="4"/>
  <c r="M32" i="50"/>
  <c r="C624" i="4"/>
  <c r="E363" i="9"/>
  <c r="C1481" i="4"/>
  <c r="C471" i="36"/>
  <c r="C425" i="9"/>
  <c r="D30" i="43"/>
  <c r="B8" i="48"/>
  <c r="J17" i="51"/>
  <c r="C1155" i="4"/>
  <c r="D11" i="43"/>
  <c r="F17" i="51"/>
  <c r="I4" i="43"/>
  <c r="J10" i="44"/>
  <c r="C87" i="10"/>
  <c r="C153" i="10"/>
  <c r="C1152" i="4"/>
  <c r="C843" i="4"/>
  <c r="C147" i="9"/>
  <c r="B15" i="37"/>
  <c r="C217" i="36"/>
  <c r="C740" i="4"/>
  <c r="B17" i="43"/>
  <c r="C1380" i="4"/>
  <c r="C1292" i="4"/>
  <c r="H15" i="43"/>
  <c r="C1666" i="4"/>
  <c r="C340" i="36"/>
  <c r="C219" i="9"/>
  <c r="D5" i="37"/>
  <c r="C12" i="48"/>
  <c r="E231" i="10"/>
  <c r="C1071" i="4"/>
  <c r="M12" i="48"/>
  <c r="C259" i="10"/>
  <c r="G10" i="48"/>
  <c r="K10" i="44"/>
  <c r="C6" i="51"/>
  <c r="C1507" i="4"/>
  <c r="C315" i="6"/>
  <c r="G8" i="44"/>
  <c r="C225" i="36"/>
  <c r="B37" i="48"/>
  <c r="B12" i="48"/>
  <c r="C1618" i="4"/>
  <c r="C626" i="4"/>
  <c r="C948" i="4"/>
  <c r="K36" i="50"/>
  <c r="E211" i="10"/>
  <c r="C132" i="6"/>
  <c r="C1184" i="4"/>
  <c r="B4" i="48"/>
  <c r="B10" i="44"/>
  <c r="K27" i="50"/>
  <c r="C351" i="36"/>
  <c r="C388" i="36"/>
  <c r="C1005" i="4"/>
  <c r="C205" i="9"/>
  <c r="C16" i="43"/>
  <c r="C255" i="9"/>
  <c r="C614" i="4"/>
  <c r="C1120" i="4"/>
  <c r="C216" i="6"/>
  <c r="C29" i="36"/>
  <c r="J4" i="43"/>
  <c r="C711" i="4"/>
  <c r="E984" i="4"/>
  <c r="I34" i="50"/>
  <c r="J28" i="50"/>
  <c r="C185" i="6"/>
  <c r="C246" i="10"/>
  <c r="C811" i="4"/>
  <c r="F8" i="24"/>
  <c r="B7" i="50"/>
  <c r="E1512" i="4"/>
  <c r="C1411" i="4"/>
  <c r="C1611" i="4"/>
  <c r="C110" i="36"/>
  <c r="C978" i="4"/>
  <c r="I9" i="44"/>
  <c r="E458" i="9"/>
  <c r="G35" i="51"/>
  <c r="E1806" i="4"/>
  <c r="E560" i="36"/>
  <c r="C1471" i="4"/>
  <c r="C527" i="36"/>
  <c r="H11" i="51"/>
  <c r="C443" i="36"/>
  <c r="E1691" i="4"/>
  <c r="E699" i="6"/>
  <c r="G10" i="43"/>
  <c r="B8" i="37"/>
  <c r="C1145" i="4"/>
  <c r="F4" i="24"/>
  <c r="C185" i="9"/>
  <c r="E549" i="6"/>
  <c r="G7" i="43"/>
  <c r="K5" i="44"/>
  <c r="C414" i="9"/>
  <c r="K12" i="44"/>
  <c r="G15" i="51"/>
  <c r="B19" i="43"/>
  <c r="D12" i="37"/>
  <c r="G14" i="51"/>
  <c r="C181" i="36"/>
  <c r="E272" i="10"/>
  <c r="C501" i="36"/>
  <c r="G11" i="44"/>
  <c r="F10" i="51"/>
  <c r="C109" i="10"/>
  <c r="M9" i="24"/>
  <c r="E15" i="50"/>
  <c r="C839" i="4"/>
  <c r="L31" i="37"/>
  <c r="C935" i="4"/>
  <c r="C1050" i="4"/>
  <c r="C64" i="36"/>
  <c r="C383" i="36"/>
  <c r="C143" i="6"/>
  <c r="C19" i="36"/>
  <c r="H27" i="44"/>
  <c r="C887" i="4"/>
  <c r="J27" i="51"/>
  <c r="C456" i="9"/>
  <c r="C1209" i="4"/>
  <c r="F8" i="48"/>
  <c r="K12" i="24"/>
  <c r="M19" i="44"/>
  <c r="J11" i="37"/>
  <c r="C258" i="6"/>
  <c r="F15" i="48"/>
  <c r="C127" i="36"/>
  <c r="C335" i="36"/>
  <c r="B26" i="37"/>
  <c r="C312" i="36"/>
  <c r="C1240" i="4"/>
  <c r="H18" i="51"/>
  <c r="E12" i="44"/>
  <c r="M13" i="48"/>
  <c r="C405" i="36"/>
  <c r="C1345" i="4"/>
  <c r="C1358" i="4"/>
  <c r="M7" i="24"/>
  <c r="C1102" i="4"/>
  <c r="C743" i="4"/>
  <c r="E1251" i="4"/>
  <c r="C250" i="10"/>
  <c r="I9" i="37"/>
  <c r="C328" i="10"/>
  <c r="M6" i="51"/>
  <c r="J13" i="37"/>
  <c r="C76" i="10"/>
  <c r="L37" i="44"/>
  <c r="L30" i="43"/>
  <c r="J11" i="24"/>
  <c r="C970" i="4"/>
  <c r="E143" i="9"/>
  <c r="C173" i="9"/>
  <c r="E167" i="9"/>
  <c r="M13" i="50"/>
  <c r="C503" i="36"/>
  <c r="L28" i="24"/>
  <c r="C248" i="9"/>
  <c r="L9" i="50"/>
  <c r="C73" i="36"/>
  <c r="C1492" i="4"/>
  <c r="C498" i="6"/>
  <c r="C193" i="9"/>
  <c r="C166" i="6"/>
  <c r="C401" i="36"/>
  <c r="C693" i="6"/>
  <c r="C1601" i="4"/>
  <c r="C283" i="36"/>
  <c r="C642" i="6"/>
  <c r="L19" i="48"/>
  <c r="K5" i="24"/>
  <c r="C1267" i="4"/>
  <c r="C358" i="6"/>
  <c r="G17" i="51"/>
  <c r="C636" i="4"/>
  <c r="E273" i="36"/>
  <c r="C289" i="36"/>
  <c r="G16" i="50"/>
  <c r="D6" i="51"/>
  <c r="C1331" i="4"/>
  <c r="C352" i="6"/>
  <c r="D6" i="50"/>
  <c r="E279" i="9"/>
  <c r="C555" i="6"/>
  <c r="C1021" i="4"/>
  <c r="E31" i="50"/>
  <c r="C314" i="36"/>
  <c r="H8" i="51"/>
  <c r="C4" i="44"/>
  <c r="C406" i="36"/>
  <c r="I6" i="44"/>
  <c r="C498" i="36"/>
  <c r="C426" i="36"/>
  <c r="C223" i="9"/>
  <c r="J37" i="43"/>
  <c r="B11" i="43"/>
  <c r="H12" i="37"/>
  <c r="L7" i="24"/>
  <c r="C1414" i="4"/>
  <c r="E157" i="9"/>
  <c r="C106" i="36"/>
  <c r="J14" i="43"/>
  <c r="C1029" i="4"/>
  <c r="C474" i="6"/>
  <c r="C838" i="4"/>
  <c r="C172" i="36"/>
  <c r="C523" i="6"/>
  <c r="G37" i="50"/>
  <c r="E241" i="10"/>
  <c r="C499" i="6"/>
  <c r="C108" i="10"/>
  <c r="K10" i="51"/>
  <c r="C896" i="4"/>
  <c r="C662" i="4"/>
  <c r="C411" i="36"/>
  <c r="K4" i="48"/>
  <c r="K10" i="24"/>
  <c r="C220" i="10"/>
  <c r="C231" i="10"/>
  <c r="C1581" i="4"/>
  <c r="L14" i="43"/>
  <c r="C1394" i="4"/>
  <c r="B17" i="48"/>
  <c r="C234" i="10"/>
  <c r="C140" i="9"/>
  <c r="C1302" i="4"/>
  <c r="B12" i="37"/>
  <c r="C701" i="4"/>
  <c r="C496" i="36"/>
  <c r="C837" i="4"/>
  <c r="C171" i="6"/>
  <c r="E1532" i="4"/>
  <c r="L16" i="50"/>
  <c r="C1700" i="4"/>
  <c r="I10" i="24"/>
  <c r="C425" i="36"/>
  <c r="E212" i="9"/>
  <c r="C1418" i="4"/>
  <c r="G13" i="43"/>
  <c r="C1493" i="4"/>
  <c r="F28" i="37"/>
  <c r="H17" i="50"/>
  <c r="C1780" i="4"/>
  <c r="E657" i="6"/>
  <c r="L16" i="24"/>
  <c r="C235" i="10"/>
  <c r="C321" i="9"/>
  <c r="C249" i="6"/>
  <c r="C159" i="9"/>
  <c r="E391" i="9"/>
  <c r="E592" i="6"/>
  <c r="E1124" i="4"/>
  <c r="G35" i="48"/>
  <c r="C205" i="6"/>
  <c r="C1239" i="4"/>
  <c r="D17" i="50"/>
  <c r="C349" i="6"/>
  <c r="E714" i="6"/>
  <c r="L7" i="48"/>
  <c r="E1316" i="4"/>
  <c r="C1642" i="4"/>
  <c r="C1212" i="4"/>
  <c r="I15" i="44"/>
  <c r="C260" i="9"/>
  <c r="C38" i="36"/>
  <c r="L35" i="44"/>
  <c r="E1059" i="4"/>
  <c r="E1131" i="4"/>
  <c r="K6" i="51"/>
  <c r="C131" i="9"/>
  <c r="C81" i="36"/>
  <c r="C675" i="4"/>
  <c r="C35" i="36"/>
  <c r="E396" i="6"/>
  <c r="E423" i="36"/>
  <c r="B9" i="44"/>
  <c r="C242" i="9"/>
  <c r="C1176" i="4"/>
  <c r="C1027" i="4"/>
  <c r="K12" i="48"/>
  <c r="E1700" i="4"/>
  <c r="C1524" i="4"/>
  <c r="E244" i="10"/>
  <c r="M4" i="48"/>
  <c r="D19" i="44"/>
  <c r="M14" i="43"/>
  <c r="K9" i="43"/>
  <c r="E14" i="44"/>
  <c r="C160" i="36"/>
  <c r="C250" i="9"/>
  <c r="C407" i="36"/>
  <c r="C987" i="4"/>
  <c r="D6" i="48"/>
  <c r="C1465" i="4"/>
  <c r="M37" i="51"/>
  <c r="D27" i="50"/>
  <c r="C438" i="6"/>
  <c r="C1074" i="4"/>
  <c r="C957" i="4"/>
  <c r="E161" i="9"/>
  <c r="C1388" i="4"/>
  <c r="F13" i="48"/>
  <c r="C492" i="6"/>
  <c r="C193" i="6"/>
  <c r="C1356" i="4"/>
  <c r="C287" i="6"/>
  <c r="C241" i="36"/>
  <c r="G18" i="48"/>
  <c r="C154" i="9"/>
  <c r="B37" i="43"/>
  <c r="E748" i="4"/>
  <c r="D5" i="50"/>
  <c r="E185" i="9"/>
  <c r="E271" i="10"/>
  <c r="C213" i="36"/>
  <c r="C1061" i="4"/>
  <c r="F15" i="51"/>
  <c r="H18" i="50"/>
  <c r="E32" i="50"/>
  <c r="C216" i="9"/>
  <c r="B8" i="43"/>
  <c r="D8" i="44"/>
  <c r="C901" i="4"/>
  <c r="L9" i="43"/>
  <c r="C853" i="4"/>
  <c r="C560" i="6"/>
  <c r="C1734" i="4"/>
  <c r="E873" i="4"/>
  <c r="C1215" i="4"/>
  <c r="C298" i="6"/>
  <c r="C635" i="4"/>
  <c r="C573" i="6"/>
  <c r="C1049" i="4"/>
  <c r="G9" i="50"/>
  <c r="J5" i="50"/>
  <c r="E31" i="48"/>
  <c r="C972" i="4"/>
  <c r="C939" i="4"/>
  <c r="K30" i="48"/>
  <c r="E6" i="50"/>
  <c r="C1393" i="4"/>
  <c r="C763" i="4"/>
  <c r="M13" i="51"/>
  <c r="C2" i="36"/>
  <c r="C14" i="37"/>
  <c r="E202" i="9"/>
  <c r="E139" i="9"/>
  <c r="C318" i="36"/>
  <c r="F14" i="48"/>
  <c r="C26" i="44"/>
  <c r="M12" i="44"/>
  <c r="F8" i="50"/>
  <c r="C436" i="9"/>
  <c r="C92" i="10"/>
  <c r="E10" i="50"/>
  <c r="D11" i="44"/>
  <c r="C829" i="4"/>
  <c r="C596" i="4"/>
  <c r="L16" i="43"/>
  <c r="C164" i="36"/>
  <c r="M14" i="37"/>
  <c r="M8" i="51"/>
  <c r="J30" i="48"/>
  <c r="C1365" i="4"/>
  <c r="C335" i="9"/>
  <c r="C1558" i="4"/>
  <c r="C1795" i="4"/>
  <c r="C69" i="10"/>
  <c r="J6" i="48"/>
  <c r="C126" i="9"/>
  <c r="I11" i="37"/>
  <c r="F14" i="44"/>
  <c r="C426" i="6"/>
  <c r="C428" i="9"/>
  <c r="C1371" i="4"/>
  <c r="M37" i="43"/>
  <c r="E8" i="51"/>
  <c r="M6" i="48"/>
  <c r="C217" i="10"/>
  <c r="C547" i="36"/>
  <c r="E231" i="9"/>
  <c r="C102" i="10"/>
  <c r="K11" i="44"/>
  <c r="C289" i="6"/>
  <c r="C208" i="9"/>
  <c r="C1770" i="4"/>
  <c r="K16" i="44"/>
  <c r="E772" i="4"/>
  <c r="M9" i="48"/>
  <c r="C458" i="36"/>
  <c r="C186" i="36"/>
  <c r="F10" i="24"/>
  <c r="C1424" i="4"/>
  <c r="C1681" i="4"/>
  <c r="M30" i="50"/>
  <c r="C1490" i="4"/>
  <c r="I12" i="24"/>
  <c r="C201" i="10"/>
  <c r="C782" i="4"/>
  <c r="C591" i="36"/>
  <c r="C830" i="4"/>
  <c r="E15" i="43"/>
  <c r="C671" i="4"/>
  <c r="C1260" i="4"/>
  <c r="C1252" i="4"/>
  <c r="C725" i="4"/>
  <c r="E517" i="6"/>
  <c r="C665" i="4"/>
  <c r="C751" i="4"/>
  <c r="K10" i="43"/>
  <c r="B12" i="43"/>
  <c r="C1171" i="4"/>
  <c r="E211" i="6"/>
  <c r="E38" i="50"/>
  <c r="E76" i="36"/>
  <c r="C1483" i="4"/>
  <c r="C513" i="36"/>
  <c r="E237" i="9"/>
  <c r="C233" i="9"/>
  <c r="C213" i="9"/>
  <c r="E1427" i="4"/>
  <c r="J38" i="50"/>
  <c r="C844" i="4"/>
  <c r="B9" i="50"/>
  <c r="C131" i="10"/>
  <c r="H11" i="48"/>
  <c r="B34" i="37"/>
  <c r="E1638" i="4"/>
  <c r="E1510" i="4"/>
  <c r="H33" i="51"/>
  <c r="J12" i="51"/>
  <c r="C1117" i="4"/>
  <c r="D18" i="48"/>
  <c r="C1800" i="4"/>
  <c r="C262" i="9"/>
  <c r="E344" i="9"/>
  <c r="E380" i="9"/>
  <c r="C109" i="36"/>
  <c r="C841" i="4"/>
  <c r="C471" i="6"/>
  <c r="C4" i="37"/>
  <c r="C1540" i="4"/>
  <c r="C206" i="36"/>
  <c r="C331" i="9"/>
  <c r="F30" i="51"/>
  <c r="G8" i="50"/>
  <c r="C1422" i="4"/>
  <c r="H12" i="50"/>
  <c r="M10" i="43"/>
  <c r="C1107" i="4"/>
  <c r="C959" i="4"/>
  <c r="C132" i="36"/>
  <c r="F5" i="43"/>
  <c r="H10" i="48"/>
  <c r="C1207" i="4"/>
  <c r="C1410" i="4"/>
  <c r="C219" i="36"/>
  <c r="C1763" i="4"/>
  <c r="I40" i="43"/>
  <c r="C183" i="9"/>
  <c r="C532" i="36"/>
  <c r="M29" i="24"/>
  <c r="C414" i="36"/>
  <c r="C1544" i="4"/>
  <c r="E1400" i="4"/>
  <c r="E1369" i="4"/>
  <c r="F30" i="50"/>
  <c r="L6" i="48"/>
  <c r="C337" i="36"/>
  <c r="J14" i="37"/>
  <c r="C314" i="9"/>
  <c r="G36" i="48"/>
  <c r="K26" i="48"/>
  <c r="E491" i="36"/>
  <c r="H15" i="44"/>
  <c r="E10" i="48"/>
  <c r="E13" i="43"/>
  <c r="E392" i="36"/>
  <c r="C1295" i="4"/>
  <c r="M6" i="24"/>
  <c r="D9" i="51"/>
  <c r="C248" i="36"/>
  <c r="F37" i="50"/>
  <c r="L16" i="44"/>
  <c r="C177" i="36"/>
  <c r="E580" i="6"/>
  <c r="E238" i="10"/>
  <c r="I31" i="51"/>
  <c r="C211" i="9"/>
  <c r="K5" i="50"/>
  <c r="C607" i="4"/>
  <c r="C39" i="36"/>
  <c r="E263" i="9"/>
  <c r="E1467" i="4"/>
  <c r="D30" i="48"/>
  <c r="C290" i="6"/>
  <c r="C109" i="6"/>
  <c r="C264" i="36"/>
  <c r="M4" i="43"/>
  <c r="K39" i="50"/>
  <c r="E1315" i="4"/>
  <c r="C432" i="6"/>
  <c r="H31" i="50"/>
  <c r="C754" i="4"/>
  <c r="C147" i="36"/>
  <c r="C375" i="36"/>
  <c r="C1136" i="4"/>
  <c r="J9" i="43"/>
  <c r="B9" i="37"/>
  <c r="E109" i="6"/>
  <c r="E417" i="6"/>
  <c r="C26" i="50"/>
  <c r="B13" i="37"/>
  <c r="J13" i="48"/>
  <c r="E147" i="6"/>
  <c r="F6" i="24"/>
  <c r="C872" i="4"/>
  <c r="E140" i="6"/>
  <c r="J6" i="50"/>
  <c r="C1557" i="4"/>
  <c r="L37" i="50"/>
  <c r="C1227" i="4"/>
  <c r="C848" i="4"/>
  <c r="C1651" i="4"/>
  <c r="C653" i="4"/>
  <c r="B5" i="44"/>
  <c r="H9" i="44"/>
  <c r="C592" i="4"/>
  <c r="C325" i="6"/>
  <c r="I14" i="43"/>
  <c r="L13" i="44"/>
  <c r="J14" i="44"/>
  <c r="C1449" i="4"/>
  <c r="E643" i="6"/>
  <c r="E594" i="36"/>
  <c r="C197" i="36"/>
  <c r="C855" i="4"/>
  <c r="E404" i="6"/>
  <c r="G9" i="37"/>
  <c r="C633" i="4"/>
  <c r="E122" i="6"/>
  <c r="E492" i="36"/>
  <c r="E1543" i="4"/>
  <c r="J592" i="4"/>
  <c r="C269" i="6"/>
  <c r="C211" i="36"/>
  <c r="E415" i="36"/>
  <c r="C7" i="44"/>
  <c r="C268" i="36"/>
  <c r="L13" i="48"/>
  <c r="C503" i="6"/>
  <c r="J34" i="37"/>
  <c r="C602" i="4"/>
  <c r="H9" i="50"/>
  <c r="E348" i="6"/>
  <c r="E131" i="10"/>
  <c r="C116" i="10"/>
  <c r="C1118" i="4"/>
  <c r="C1578" i="4"/>
  <c r="C30" i="48"/>
  <c r="C418" i="6"/>
  <c r="E1591" i="4"/>
  <c r="C1494" i="4"/>
  <c r="C7" i="37"/>
  <c r="C778" i="4"/>
  <c r="I5" i="48"/>
  <c r="E345" i="9"/>
  <c r="C1289" i="4"/>
  <c r="M39" i="50"/>
  <c r="H31" i="51"/>
  <c r="C453" i="36"/>
  <c r="E6" i="43"/>
  <c r="G12" i="48"/>
  <c r="C773" i="4"/>
  <c r="C302" i="6"/>
  <c r="C1278" i="4"/>
  <c r="C56" i="10"/>
  <c r="I31" i="37"/>
  <c r="E562" i="6"/>
  <c r="E166" i="10"/>
  <c r="E1570" i="4"/>
  <c r="F16" i="50"/>
  <c r="G13" i="48"/>
  <c r="C188" i="36"/>
  <c r="C439" i="36"/>
  <c r="B10" i="51"/>
  <c r="C1338" i="4"/>
  <c r="L13" i="24"/>
  <c r="E1039" i="4"/>
  <c r="E299" i="36"/>
  <c r="D12" i="48"/>
  <c r="C757" i="4"/>
  <c r="C240" i="6"/>
  <c r="M25" i="44"/>
  <c r="J9" i="44"/>
  <c r="C469" i="6"/>
  <c r="B10" i="37"/>
  <c r="C744" i="6"/>
  <c r="D37" i="44"/>
  <c r="J27" i="50"/>
  <c r="C170" i="10"/>
  <c r="E235" i="9"/>
  <c r="C340" i="9"/>
  <c r="I30" i="43"/>
  <c r="D8" i="48"/>
  <c r="C31" i="48"/>
  <c r="E1099" i="4"/>
  <c r="C1749" i="4"/>
  <c r="M34" i="37"/>
  <c r="C141" i="6"/>
  <c r="G16" i="48"/>
  <c r="C943" i="4"/>
  <c r="E360" i="9"/>
  <c r="E1511" i="4"/>
  <c r="E1547" i="4"/>
  <c r="C181" i="9"/>
  <c r="E540" i="6"/>
  <c r="E477" i="9"/>
  <c r="F36" i="44"/>
  <c r="E430" i="9"/>
  <c r="E1685" i="4"/>
  <c r="E1645" i="4"/>
  <c r="E757" i="6"/>
  <c r="E139" i="6"/>
  <c r="E452" i="36"/>
  <c r="E334" i="6"/>
  <c r="E106" i="36"/>
  <c r="E1643" i="4"/>
  <c r="C34" i="51"/>
  <c r="E560" i="6"/>
  <c r="G26" i="24"/>
  <c r="E30" i="48"/>
  <c r="E31" i="44"/>
  <c r="E1773" i="4"/>
  <c r="M26" i="44"/>
  <c r="E216" i="10"/>
  <c r="M33" i="50"/>
  <c r="I36" i="48"/>
  <c r="C579" i="36"/>
  <c r="C316" i="6"/>
  <c r="K14" i="24"/>
  <c r="H19" i="43"/>
  <c r="C468" i="9"/>
  <c r="C985" i="4"/>
  <c r="J7" i="44"/>
  <c r="H19" i="48"/>
  <c r="E178" i="10"/>
  <c r="C282" i="9"/>
  <c r="C434" i="36"/>
  <c r="L8" i="37"/>
  <c r="C1513" i="4"/>
  <c r="C377" i="9"/>
  <c r="C1531" i="4"/>
  <c r="J4" i="48"/>
  <c r="C1696" i="4"/>
  <c r="D31" i="50"/>
  <c r="C795" i="4"/>
  <c r="C14" i="43"/>
  <c r="C382" i="6"/>
  <c r="E685" i="6"/>
  <c r="E438" i="36"/>
  <c r="C1068" i="4"/>
  <c r="D13" i="50"/>
  <c r="E112" i="6"/>
  <c r="L9" i="48"/>
  <c r="C741" i="6"/>
  <c r="C524" i="6"/>
  <c r="E1311" i="4"/>
  <c r="E393" i="9"/>
  <c r="C226" i="36"/>
  <c r="C145" i="6"/>
  <c r="B5" i="50"/>
  <c r="E605" i="6"/>
  <c r="C1256" i="4"/>
  <c r="C337" i="9"/>
  <c r="C1314" i="4"/>
  <c r="C30" i="44"/>
  <c r="H8" i="43"/>
  <c r="C1760" i="4"/>
  <c r="C210" i="9"/>
  <c r="E1583" i="4"/>
  <c r="E385" i="36"/>
  <c r="H6" i="48"/>
  <c r="C789" i="4"/>
  <c r="G11" i="50"/>
  <c r="F7" i="24"/>
  <c r="C182" i="10"/>
  <c r="E43" i="36"/>
  <c r="C8" i="44"/>
  <c r="C374" i="9"/>
  <c r="C332" i="9"/>
  <c r="C758" i="4"/>
  <c r="F30" i="48"/>
  <c r="C1450" i="4"/>
  <c r="E321" i="9"/>
  <c r="E202" i="6"/>
  <c r="C621" i="6"/>
  <c r="M5" i="37"/>
  <c r="C114" i="6"/>
  <c r="E5" i="43"/>
  <c r="J27" i="43"/>
  <c r="C281" i="10"/>
  <c r="I6" i="37"/>
  <c r="C294" i="10"/>
  <c r="E445" i="6"/>
  <c r="E248" i="9"/>
  <c r="E1379" i="4"/>
  <c r="C123" i="10"/>
  <c r="C162" i="36"/>
  <c r="C401" i="6"/>
  <c r="C1579" i="4"/>
  <c r="B36" i="43"/>
  <c r="E226" i="10"/>
  <c r="C1157" i="4"/>
  <c r="I32" i="51"/>
  <c r="E465" i="36"/>
  <c r="E617" i="4"/>
  <c r="C866" i="4"/>
  <c r="C380" i="9"/>
  <c r="G30" i="50"/>
  <c r="C267" i="10"/>
  <c r="K5" i="43"/>
  <c r="C19" i="44"/>
  <c r="E16" i="50"/>
  <c r="C934" i="4"/>
  <c r="E409" i="36"/>
  <c r="E105" i="36"/>
  <c r="C541" i="6"/>
  <c r="F9" i="50"/>
  <c r="H12" i="51"/>
  <c r="C906" i="4"/>
  <c r="E588" i="6"/>
  <c r="E189" i="6"/>
  <c r="B8" i="44"/>
  <c r="I5" i="37"/>
  <c r="L9" i="51"/>
  <c r="C240" i="9"/>
  <c r="C444" i="36"/>
  <c r="J28" i="51"/>
  <c r="J35" i="50"/>
  <c r="C1732" i="4"/>
  <c r="C1499" i="4"/>
  <c r="C963" i="4"/>
  <c r="F31" i="43"/>
  <c r="E8" i="37"/>
  <c r="C1725" i="4"/>
  <c r="C307" i="36"/>
  <c r="C1139" i="4"/>
  <c r="C685" i="4"/>
  <c r="M8" i="43"/>
  <c r="E602" i="36"/>
  <c r="C1484" i="4"/>
  <c r="E222" i="9"/>
  <c r="C372" i="6"/>
  <c r="C849" i="4"/>
  <c r="C463" i="6"/>
  <c r="C218" i="6"/>
  <c r="C907" i="4"/>
  <c r="E15" i="37"/>
  <c r="H6" i="44"/>
  <c r="C274" i="9"/>
  <c r="E256" i="6"/>
  <c r="C378" i="9"/>
  <c r="C781" i="4"/>
  <c r="C186" i="10"/>
  <c r="E335" i="6"/>
  <c r="C178" i="6"/>
  <c r="C686" i="6"/>
  <c r="C882" i="4"/>
  <c r="E91" i="36"/>
  <c r="E382" i="9"/>
  <c r="H13" i="44"/>
  <c r="C96" i="36"/>
  <c r="C897" i="4"/>
  <c r="E1033" i="4"/>
  <c r="C958" i="4"/>
  <c r="J16" i="44"/>
  <c r="C618" i="4"/>
  <c r="C1468" i="4"/>
  <c r="C420" i="9"/>
  <c r="C234" i="9"/>
  <c r="K12" i="37"/>
  <c r="E1429" i="4"/>
  <c r="E27" i="50"/>
  <c r="C433" i="9"/>
  <c r="C1148" i="4"/>
  <c r="C1608" i="4"/>
  <c r="C161" i="6"/>
  <c r="C362" i="6"/>
  <c r="E590" i="36"/>
  <c r="I12" i="37"/>
  <c r="K25" i="44"/>
  <c r="C259" i="36"/>
  <c r="C373" i="6"/>
  <c r="J19" i="44"/>
  <c r="C147" i="6"/>
  <c r="E1208" i="4"/>
  <c r="E1079" i="4"/>
  <c r="C1563" i="4"/>
  <c r="D16" i="43"/>
  <c r="E8" i="44"/>
  <c r="E12" i="37"/>
  <c r="C562" i="36"/>
  <c r="C409" i="6"/>
  <c r="G5" i="50"/>
  <c r="M12" i="37"/>
  <c r="E1630" i="4"/>
  <c r="E260" i="9"/>
  <c r="E1513" i="4"/>
  <c r="C1312" i="4"/>
  <c r="C1290" i="4"/>
  <c r="C11" i="37"/>
  <c r="H19" i="44"/>
  <c r="C324" i="6"/>
  <c r="C916" i="4"/>
  <c r="C1101" i="4"/>
  <c r="C32" i="48"/>
  <c r="E473" i="36"/>
  <c r="C254" i="6"/>
  <c r="C413" i="6"/>
  <c r="I18" i="44"/>
  <c r="C105" i="10"/>
  <c r="K13" i="50"/>
  <c r="C1174" i="4"/>
  <c r="C400" i="36"/>
  <c r="C1364" i="4"/>
  <c r="G10" i="37"/>
  <c r="H31" i="44"/>
  <c r="C432" i="36"/>
  <c r="C302" i="9"/>
  <c r="F9" i="48"/>
  <c r="C1756" i="4"/>
  <c r="C325" i="36"/>
  <c r="E1695" i="4"/>
  <c r="E465" i="9"/>
  <c r="C403" i="6"/>
  <c r="C136" i="6"/>
  <c r="C126" i="6"/>
  <c r="K7" i="51"/>
  <c r="M9" i="51"/>
  <c r="E1740" i="4"/>
  <c r="E1465" i="4"/>
  <c r="E1533" i="4"/>
  <c r="C658" i="4"/>
  <c r="E1600" i="4"/>
  <c r="E1708" i="4"/>
  <c r="E1140" i="4"/>
  <c r="H28" i="50"/>
  <c r="E607" i="4"/>
  <c r="E1509" i="4"/>
  <c r="E1590" i="4"/>
  <c r="E377" i="9"/>
  <c r="E441" i="9"/>
  <c r="E1093" i="4"/>
  <c r="M28" i="44"/>
  <c r="E274" i="6"/>
  <c r="E1350" i="4"/>
  <c r="E446" i="36"/>
  <c r="E510" i="36"/>
  <c r="E381" i="36"/>
  <c r="E1335" i="4"/>
  <c r="E1469" i="4"/>
  <c r="E1321" i="4"/>
  <c r="C29" i="48"/>
  <c r="E264" i="6"/>
  <c r="H26" i="44"/>
  <c r="E362" i="36"/>
  <c r="C202" i="6"/>
  <c r="C23" i="36"/>
  <c r="C6" i="37"/>
  <c r="M18" i="50"/>
  <c r="K27" i="51"/>
  <c r="C5" i="37"/>
  <c r="C741" i="4"/>
  <c r="C1194" i="4"/>
  <c r="C650" i="4"/>
  <c r="E18" i="51"/>
  <c r="C1620" i="4"/>
  <c r="C291" i="36"/>
  <c r="H5" i="51"/>
  <c r="C994" i="4"/>
  <c r="C793" i="4"/>
  <c r="E178" i="6"/>
  <c r="C592" i="6"/>
  <c r="G5" i="24"/>
  <c r="E291" i="10"/>
  <c r="C142" i="9"/>
  <c r="F9" i="43"/>
  <c r="M35" i="50"/>
  <c r="C852" i="4"/>
  <c r="C1115" i="4"/>
  <c r="C387" i="9"/>
  <c r="G35" i="50"/>
  <c r="C221" i="9"/>
  <c r="C677" i="4"/>
  <c r="G31" i="50"/>
  <c r="E575" i="36"/>
  <c r="E176" i="9"/>
  <c r="F25" i="48"/>
  <c r="C232" i="36"/>
  <c r="E555" i="6"/>
  <c r="E1526" i="4"/>
  <c r="C1010" i="4"/>
  <c r="G30" i="44"/>
  <c r="K8" i="43"/>
  <c r="C367" i="9"/>
  <c r="C1740" i="4"/>
  <c r="K15" i="43"/>
  <c r="C1772" i="4"/>
  <c r="E373" i="6"/>
  <c r="E1749" i="4"/>
  <c r="H7" i="48"/>
  <c r="K5" i="37"/>
  <c r="E7" i="51"/>
  <c r="J11" i="50"/>
  <c r="C221" i="10"/>
  <c r="E770" i="4"/>
  <c r="D4" i="44"/>
  <c r="C975" i="4"/>
  <c r="C390" i="9"/>
  <c r="C27" i="36"/>
  <c r="E278" i="10"/>
  <c r="M34" i="43"/>
  <c r="E162" i="10"/>
  <c r="E330" i="9"/>
  <c r="E135" i="9"/>
  <c r="C678" i="6"/>
  <c r="C506" i="36"/>
  <c r="G13" i="37"/>
  <c r="B26" i="50"/>
  <c r="C412" i="6"/>
  <c r="C759" i="4"/>
  <c r="C1016" i="4"/>
  <c r="E442" i="36"/>
  <c r="E1542" i="4"/>
  <c r="E1802" i="4"/>
  <c r="C345" i="6"/>
  <c r="B13" i="43"/>
  <c r="C1729" i="4"/>
  <c r="C1506" i="4"/>
  <c r="G5" i="48"/>
  <c r="C12" i="37"/>
  <c r="C51" i="10"/>
  <c r="E1692" i="4"/>
  <c r="E500" i="36"/>
  <c r="J19" i="50"/>
  <c r="C10" i="48"/>
  <c r="D8" i="50"/>
  <c r="E13" i="37"/>
  <c r="C233" i="6"/>
  <c r="K18" i="51"/>
  <c r="C177" i="9"/>
  <c r="C253" i="6"/>
  <c r="C551" i="6"/>
  <c r="E1625" i="4"/>
  <c r="C1461" i="4"/>
  <c r="F19" i="43"/>
  <c r="C406" i="9"/>
  <c r="C750" i="6"/>
  <c r="C969" i="4"/>
  <c r="E147" i="36"/>
  <c r="F39" i="50"/>
  <c r="C303" i="9"/>
  <c r="C214" i="9"/>
  <c r="C530" i="6"/>
  <c r="C230" i="36"/>
  <c r="G5" i="37"/>
  <c r="E1587" i="4"/>
  <c r="E1565" i="4"/>
  <c r="E480" i="36"/>
  <c r="L33" i="24"/>
  <c r="E1160" i="4"/>
  <c r="E1204" i="4"/>
  <c r="E1717" i="4"/>
  <c r="E123" i="6"/>
  <c r="E1506" i="4"/>
  <c r="L32" i="24"/>
  <c r="D26" i="50"/>
  <c r="E1220" i="4"/>
  <c r="E1355" i="4"/>
  <c r="H32" i="24"/>
  <c r="E419" i="36"/>
  <c r="E456" i="36"/>
  <c r="E181" i="6"/>
  <c r="E1666" i="4"/>
  <c r="E27" i="51"/>
  <c r="E1549" i="4"/>
  <c r="E329" i="36"/>
  <c r="E1044" i="4"/>
  <c r="M5" i="44"/>
  <c r="E321" i="10"/>
  <c r="J8" i="50"/>
  <c r="C1752" i="4"/>
  <c r="E471" i="6"/>
  <c r="C88" i="10"/>
  <c r="C555" i="36"/>
  <c r="I35" i="50"/>
  <c r="C840" i="4"/>
  <c r="C346" i="36"/>
  <c r="C568" i="36"/>
  <c r="C124" i="6"/>
  <c r="C363" i="6"/>
  <c r="C980" i="4"/>
  <c r="C299" i="9"/>
  <c r="E609" i="6"/>
  <c r="F34" i="37"/>
  <c r="J18" i="50"/>
  <c r="C476" i="6"/>
  <c r="M9" i="37"/>
  <c r="I14" i="24"/>
  <c r="D31" i="44"/>
  <c r="C883" i="4"/>
  <c r="G31" i="43"/>
  <c r="H7" i="44"/>
  <c r="E1446" i="4"/>
  <c r="C224" i="36"/>
  <c r="C145" i="10"/>
  <c r="C1080" i="4"/>
  <c r="E484" i="6"/>
  <c r="C361" i="36"/>
  <c r="K15" i="24"/>
  <c r="C252" i="36"/>
  <c r="J29" i="50"/>
  <c r="E421" i="6"/>
  <c r="C1486" i="4"/>
  <c r="I28" i="24"/>
  <c r="C286" i="6"/>
  <c r="C1416" i="4"/>
  <c r="E157" i="10"/>
  <c r="C19" i="50"/>
  <c r="C306" i="6"/>
  <c r="E286" i="36"/>
  <c r="E1358" i="4"/>
  <c r="C345" i="9"/>
  <c r="C262" i="6"/>
  <c r="E333" i="9"/>
  <c r="C1206" i="4"/>
  <c r="C80" i="36"/>
  <c r="C960" i="4"/>
  <c r="C1551" i="4"/>
  <c r="C753" i="4"/>
  <c r="F5" i="24"/>
  <c r="E239" i="9"/>
  <c r="E28" i="37"/>
  <c r="C365" i="9"/>
  <c r="C726" i="6"/>
  <c r="G12" i="37"/>
  <c r="D13" i="48"/>
  <c r="C144" i="6"/>
  <c r="C787" i="4"/>
  <c r="C272" i="9"/>
  <c r="C257" i="9"/>
  <c r="C1039" i="4"/>
  <c r="C235" i="36"/>
  <c r="K6" i="43"/>
  <c r="G9" i="44"/>
  <c r="D8" i="37"/>
  <c r="H5" i="48"/>
  <c r="C587" i="6"/>
  <c r="E324" i="36"/>
  <c r="C519" i="36"/>
  <c r="J19" i="51"/>
  <c r="C317" i="9"/>
  <c r="E1633" i="4"/>
  <c r="C456" i="6"/>
  <c r="F18" i="48"/>
  <c r="F27" i="43"/>
  <c r="E1257" i="4"/>
  <c r="E51" i="10"/>
  <c r="G6" i="48"/>
  <c r="K19" i="44"/>
  <c r="E1107" i="4"/>
  <c r="E1654" i="4"/>
  <c r="C4" i="50"/>
  <c r="C1124" i="4"/>
  <c r="C418" i="36"/>
  <c r="C290" i="36"/>
  <c r="I16" i="48"/>
  <c r="C240" i="36"/>
  <c r="C462" i="9"/>
  <c r="D35" i="50"/>
  <c r="E1491" i="4"/>
  <c r="E506" i="6"/>
  <c r="C1114" i="4"/>
  <c r="C99" i="10"/>
  <c r="C366" i="36"/>
  <c r="C561" i="36"/>
  <c r="E598" i="6"/>
  <c r="C1162" i="4"/>
  <c r="L34" i="37"/>
  <c r="C1158" i="4"/>
  <c r="C491" i="6"/>
  <c r="C1781" i="4"/>
  <c r="C420" i="36"/>
  <c r="C1245" i="4"/>
  <c r="C1355" i="4"/>
  <c r="C1789" i="4"/>
  <c r="C267" i="36"/>
  <c r="E484" i="36"/>
  <c r="C1391" i="4"/>
  <c r="E18" i="43"/>
  <c r="C1630" i="4"/>
  <c r="C1327" i="4"/>
  <c r="E120" i="10"/>
  <c r="C1472" i="4"/>
  <c r="C353" i="36"/>
  <c r="J15" i="50"/>
  <c r="C1520" i="4"/>
  <c r="D9" i="44"/>
  <c r="C1556" i="4"/>
  <c r="C45" i="36"/>
  <c r="C772" i="4"/>
  <c r="E613" i="4"/>
  <c r="C1322" i="4"/>
  <c r="C244" i="36"/>
  <c r="C9" i="50"/>
  <c r="B29" i="50"/>
  <c r="C401" i="9"/>
  <c r="L37" i="43"/>
  <c r="C1065" i="4"/>
  <c r="E479" i="6"/>
  <c r="C644" i="6"/>
  <c r="C868" i="4"/>
  <c r="C328" i="6"/>
  <c r="E597" i="6"/>
  <c r="C196" i="36"/>
  <c r="C1427" i="4"/>
  <c r="E11" i="51"/>
  <c r="C1554" i="4"/>
  <c r="C76" i="36"/>
  <c r="C1437" i="4"/>
  <c r="K6" i="50"/>
  <c r="C475" i="9"/>
  <c r="E1572" i="4"/>
  <c r="E217" i="6"/>
  <c r="K14" i="48"/>
  <c r="E45" i="36"/>
  <c r="K18" i="48"/>
  <c r="C17" i="48"/>
  <c r="B15" i="43"/>
  <c r="E331" i="9"/>
  <c r="G6" i="50"/>
  <c r="C707" i="4"/>
  <c r="E739" i="6"/>
  <c r="C19" i="48"/>
  <c r="C444" i="6"/>
  <c r="E1111" i="4"/>
  <c r="G34" i="51"/>
  <c r="I39" i="50"/>
  <c r="G37" i="48"/>
  <c r="L16" i="37"/>
  <c r="C231" i="36"/>
  <c r="I16" i="44"/>
  <c r="C116" i="6"/>
  <c r="C282" i="6"/>
  <c r="C376" i="9"/>
  <c r="C863" i="4"/>
  <c r="E621" i="6"/>
  <c r="J35" i="44"/>
  <c r="L7" i="37"/>
  <c r="C603" i="4"/>
  <c r="C280" i="36"/>
  <c r="C1192" i="4"/>
  <c r="K8" i="48"/>
  <c r="C71" i="36"/>
  <c r="E86" i="36"/>
  <c r="C165" i="6"/>
  <c r="L32" i="50"/>
  <c r="E889" i="4"/>
  <c r="C1397" i="4"/>
  <c r="B18" i="44"/>
  <c r="C491" i="36"/>
  <c r="C1156" i="4"/>
  <c r="L15" i="37"/>
  <c r="C1130" i="4"/>
  <c r="G15" i="48"/>
  <c r="I37" i="51"/>
  <c r="E527" i="36"/>
  <c r="E580" i="36"/>
  <c r="C360" i="9"/>
  <c r="F10" i="37"/>
  <c r="C942" i="4"/>
  <c r="C392" i="36"/>
  <c r="C461" i="36"/>
  <c r="E1739" i="4"/>
  <c r="E518" i="36"/>
  <c r="C629" i="4"/>
  <c r="C1024" i="4"/>
  <c r="H30" i="44"/>
  <c r="C215" i="10"/>
  <c r="C1373" i="4"/>
  <c r="F31" i="44"/>
  <c r="E444" i="9"/>
  <c r="L29" i="51"/>
  <c r="B31" i="37"/>
  <c r="E18" i="36"/>
  <c r="E503" i="36"/>
  <c r="E317" i="9"/>
  <c r="E1780" i="4"/>
  <c r="E991" i="4"/>
  <c r="E1723" i="4"/>
  <c r="E242" i="6"/>
  <c r="E1424" i="4"/>
  <c r="I38" i="50"/>
  <c r="E1227" i="4"/>
  <c r="E1113" i="4"/>
  <c r="E411" i="6"/>
  <c r="E534" i="6"/>
  <c r="E1339" i="4"/>
  <c r="E297" i="6"/>
  <c r="C247" i="36"/>
  <c r="C1154" i="4"/>
  <c r="C296" i="9"/>
  <c r="C627" i="6"/>
  <c r="E9" i="37"/>
  <c r="C224" i="9"/>
  <c r="M7" i="51"/>
  <c r="C445" i="6"/>
  <c r="C1606" i="4"/>
  <c r="C1383" i="4"/>
  <c r="C734" i="4"/>
  <c r="C879" i="4"/>
  <c r="C739" i="6"/>
  <c r="G8" i="43"/>
  <c r="C1146" i="4"/>
  <c r="C1217" i="4"/>
  <c r="K8" i="24"/>
  <c r="C110" i="6"/>
  <c r="C5" i="36"/>
  <c r="C1382" i="4"/>
  <c r="L30" i="50"/>
  <c r="E703" i="6"/>
  <c r="B4" i="37"/>
  <c r="H33" i="24"/>
  <c r="I27" i="50"/>
  <c r="E294" i="6"/>
  <c r="J18" i="48"/>
  <c r="C1367" i="4"/>
  <c r="I27" i="48"/>
  <c r="I35" i="48"/>
  <c r="C456" i="36"/>
  <c r="C238" i="10"/>
  <c r="I16" i="50"/>
  <c r="L34" i="48"/>
  <c r="L14" i="51"/>
  <c r="C1417" i="4"/>
  <c r="C927" i="4"/>
  <c r="C954" i="4"/>
  <c r="E27" i="48"/>
  <c r="C859" i="4"/>
  <c r="C17" i="50"/>
  <c r="C796" i="4"/>
  <c r="E1265" i="4"/>
  <c r="E366" i="9"/>
  <c r="C121" i="6"/>
  <c r="C30" i="50"/>
  <c r="C294" i="6"/>
  <c r="C73" i="10"/>
  <c r="E752" i="4"/>
  <c r="E1014" i="4"/>
  <c r="F4" i="50"/>
  <c r="C1297" i="4"/>
  <c r="C1125" i="4"/>
  <c r="C1378" i="4"/>
  <c r="C1308" i="4"/>
  <c r="E306" i="9"/>
  <c r="I29" i="24"/>
  <c r="E1789" i="4"/>
  <c r="I4" i="37"/>
  <c r="C79" i="36"/>
  <c r="C293" i="6"/>
  <c r="C443" i="6"/>
  <c r="C1381" i="4"/>
  <c r="C297" i="36"/>
  <c r="E18" i="50"/>
  <c r="E626" i="4"/>
  <c r="E1439" i="4"/>
  <c r="E243" i="6"/>
  <c r="L15" i="43"/>
  <c r="B17" i="50"/>
  <c r="E110" i="6"/>
  <c r="F17" i="48"/>
  <c r="C481" i="9"/>
  <c r="H29" i="24"/>
  <c r="I10" i="48"/>
  <c r="J15" i="51"/>
  <c r="E1807" i="4"/>
  <c r="E1607" i="4"/>
  <c r="C122" i="36"/>
  <c r="C858" i="4"/>
  <c r="C1015" i="4"/>
  <c r="C976" i="4"/>
  <c r="C104" i="36"/>
  <c r="C1220" i="4"/>
  <c r="C250" i="36"/>
  <c r="L9" i="44"/>
  <c r="G17" i="50"/>
  <c r="C1319" i="4"/>
  <c r="C1658" i="4"/>
  <c r="C764" i="4"/>
  <c r="C195" i="6"/>
  <c r="E159" i="9"/>
  <c r="C1679" i="4"/>
  <c r="C910" i="4"/>
  <c r="C1731" i="4"/>
  <c r="C207" i="9"/>
  <c r="J4" i="50"/>
  <c r="E1473" i="4"/>
  <c r="C490" i="6"/>
  <c r="C955" i="4"/>
  <c r="C1788" i="4"/>
  <c r="C139" i="10"/>
  <c r="C16" i="50"/>
  <c r="H16" i="51"/>
  <c r="C997" i="4"/>
  <c r="E427" i="9"/>
  <c r="G11" i="43"/>
  <c r="C86" i="36"/>
  <c r="L13" i="37"/>
  <c r="H36" i="43"/>
  <c r="C697" i="4"/>
  <c r="C522" i="6"/>
  <c r="I34" i="37"/>
  <c r="D39" i="50"/>
  <c r="I16" i="37"/>
  <c r="E31" i="37"/>
  <c r="B9" i="48"/>
  <c r="M29" i="51"/>
  <c r="C19" i="51"/>
  <c r="C477" i="36"/>
  <c r="C966" i="4"/>
  <c r="E30" i="43"/>
  <c r="C1737" i="4"/>
  <c r="C452" i="9"/>
  <c r="J37" i="44"/>
  <c r="C1649" i="4"/>
  <c r="J31" i="44"/>
  <c r="E787" i="4"/>
  <c r="C867" i="4"/>
  <c r="I5" i="24"/>
  <c r="C1412" i="4"/>
  <c r="C663" i="4"/>
  <c r="C922" i="4"/>
  <c r="E1185" i="4"/>
  <c r="I12" i="43"/>
  <c r="G7" i="51"/>
  <c r="M36" i="50"/>
  <c r="F4" i="51"/>
  <c r="C178" i="9"/>
  <c r="E573" i="6"/>
  <c r="E204" i="6"/>
  <c r="E1751" i="4"/>
  <c r="I4" i="50"/>
  <c r="E238" i="9"/>
  <c r="K4" i="44"/>
  <c r="C1665" i="4"/>
  <c r="C407" i="9"/>
  <c r="C339" i="9"/>
  <c r="E285" i="10"/>
  <c r="H35" i="50"/>
  <c r="E533" i="6"/>
  <c r="F32" i="51"/>
  <c r="C146" i="10"/>
  <c r="E36" i="48"/>
  <c r="C1577" i="4"/>
  <c r="L9" i="24"/>
  <c r="C89" i="36"/>
  <c r="G19" i="43"/>
  <c r="C44" i="36"/>
  <c r="C195" i="36"/>
  <c r="M34" i="51"/>
  <c r="E1686" i="4"/>
  <c r="C1680" i="4"/>
  <c r="J18" i="51"/>
  <c r="C788" i="4"/>
  <c r="E265" i="10"/>
  <c r="F33" i="24"/>
  <c r="C1703" i="4"/>
  <c r="B6" i="37"/>
  <c r="C175" i="36"/>
  <c r="E1458" i="4"/>
  <c r="K12" i="43"/>
  <c r="B16" i="37"/>
  <c r="E144" i="6"/>
  <c r="C53" i="10"/>
  <c r="B11" i="50"/>
  <c r="I8" i="48"/>
  <c r="E424" i="9"/>
  <c r="E815" i="4"/>
  <c r="B4" i="43"/>
  <c r="F36" i="48"/>
  <c r="C275" i="6"/>
  <c r="H11" i="37"/>
  <c r="C660" i="4"/>
  <c r="E1182" i="4"/>
  <c r="E293" i="6"/>
  <c r="L4" i="48"/>
  <c r="E14" i="50"/>
  <c r="C484" i="36"/>
  <c r="C525" i="6"/>
  <c r="C30" i="43"/>
  <c r="C945" i="4"/>
  <c r="C589" i="6"/>
  <c r="C1028" i="4"/>
  <c r="G12" i="50"/>
  <c r="C512" i="6"/>
  <c r="C425" i="6"/>
  <c r="C167" i="6"/>
  <c r="C301" i="10"/>
  <c r="G11" i="24"/>
  <c r="L27" i="43"/>
  <c r="C953" i="4"/>
  <c r="C1602" i="4"/>
  <c r="G5" i="43"/>
  <c r="D12" i="44"/>
  <c r="C343" i="9"/>
  <c r="E307" i="9"/>
  <c r="E399" i="36"/>
  <c r="C97" i="10"/>
  <c r="C804" i="4"/>
  <c r="C1629" i="4"/>
  <c r="E1278" i="4"/>
  <c r="E230" i="9"/>
  <c r="C466" i="9"/>
  <c r="H9" i="24"/>
  <c r="E1805" i="4"/>
  <c r="G9" i="24"/>
  <c r="C1351" i="4"/>
  <c r="I9" i="43"/>
  <c r="E1087" i="4"/>
  <c r="C134" i="36"/>
  <c r="D15" i="48"/>
  <c r="B31" i="50"/>
  <c r="C234" i="36"/>
  <c r="C562" i="6"/>
  <c r="E158" i="9"/>
  <c r="B16" i="48"/>
  <c r="H13" i="37"/>
  <c r="E589" i="6"/>
  <c r="K26" i="50"/>
  <c r="I27" i="44"/>
  <c r="F12" i="44"/>
  <c r="C245" i="6"/>
  <c r="C749" i="4"/>
  <c r="E11" i="50"/>
  <c r="E214" i="36"/>
  <c r="L32" i="51"/>
  <c r="C9" i="51"/>
  <c r="C222" i="6"/>
  <c r="C598" i="6"/>
  <c r="C894" i="4"/>
  <c r="E234" i="6"/>
  <c r="E581" i="6"/>
  <c r="E627" i="6"/>
  <c r="E150" i="6"/>
  <c r="C402" i="9"/>
  <c r="C1539" i="4"/>
  <c r="C1634" i="4"/>
  <c r="M15" i="51"/>
  <c r="C1476" i="4"/>
  <c r="C1570" i="4"/>
  <c r="E234" i="36"/>
  <c r="J33" i="44"/>
  <c r="E1194" i="4"/>
  <c r="C1093" i="4"/>
  <c r="E401" i="36"/>
  <c r="C278" i="10"/>
  <c r="J30" i="43"/>
  <c r="E625" i="4"/>
  <c r="C388" i="6"/>
  <c r="L15" i="50"/>
  <c r="G14" i="43"/>
  <c r="H32" i="51"/>
  <c r="E343" i="6"/>
  <c r="D16" i="51"/>
  <c r="C666" i="4"/>
  <c r="K37" i="44"/>
  <c r="C1017" i="4"/>
  <c r="C1006" i="4"/>
  <c r="C684" i="4"/>
  <c r="L31" i="50"/>
  <c r="K30" i="44"/>
  <c r="E304" i="10"/>
  <c r="C74" i="36"/>
  <c r="C1037" i="4"/>
  <c r="C14" i="51"/>
  <c r="C1503" i="4"/>
  <c r="D4" i="37"/>
  <c r="M4" i="51"/>
  <c r="E1674" i="4"/>
  <c r="E500" i="6"/>
  <c r="C176" i="36"/>
  <c r="C1403" i="4"/>
  <c r="C435" i="6"/>
  <c r="C197" i="9"/>
  <c r="C172" i="10"/>
  <c r="K31" i="44"/>
  <c r="L35" i="51"/>
  <c r="E1426" i="4"/>
  <c r="E436" i="36"/>
  <c r="E383" i="6"/>
  <c r="E26" i="44"/>
  <c r="E1036" i="4"/>
  <c r="E374" i="9"/>
  <c r="E529" i="36"/>
  <c r="C646" i="4"/>
  <c r="C239" i="9"/>
  <c r="I31" i="43"/>
  <c r="C1809" i="4"/>
  <c r="C632" i="4"/>
  <c r="C391" i="36"/>
  <c r="L36" i="51"/>
  <c r="H8" i="48"/>
  <c r="C1717" i="4"/>
  <c r="C1609" i="4"/>
  <c r="C573" i="36"/>
  <c r="C1181" i="4"/>
  <c r="C114" i="36"/>
  <c r="E192" i="9"/>
  <c r="C18" i="43"/>
  <c r="C9" i="48"/>
  <c r="F4" i="43"/>
  <c r="C182" i="36"/>
  <c r="C421" i="6"/>
  <c r="C118" i="36"/>
  <c r="C714" i="6"/>
  <c r="C1332" i="4"/>
  <c r="E1545" i="4"/>
  <c r="C51" i="36"/>
  <c r="C52" i="10"/>
  <c r="C1303" i="4"/>
  <c r="E522" i="6"/>
  <c r="E242" i="9"/>
  <c r="C989" i="4"/>
  <c r="E168" i="6"/>
  <c r="E300" i="36"/>
  <c r="C639" i="4"/>
  <c r="C231" i="9"/>
  <c r="H25" i="43"/>
  <c r="E1165" i="4"/>
  <c r="I7" i="43"/>
  <c r="C163" i="9"/>
  <c r="E601" i="6"/>
  <c r="D26" i="51"/>
  <c r="C1167" i="4"/>
  <c r="J7" i="24"/>
  <c r="J9" i="51"/>
  <c r="C1189" i="4"/>
  <c r="E438" i="6"/>
  <c r="C140" i="36"/>
  <c r="E429" i="36"/>
  <c r="C1104" i="4"/>
  <c r="M10" i="48"/>
  <c r="C37" i="50"/>
  <c r="C983" i="4"/>
  <c r="K32" i="24"/>
  <c r="C1196" i="4"/>
  <c r="C1285" i="4"/>
  <c r="C398" i="6"/>
  <c r="I12" i="44"/>
  <c r="C974" i="4"/>
  <c r="E1100" i="4"/>
  <c r="E1803" i="4"/>
  <c r="E210" i="9"/>
  <c r="C128" i="6"/>
  <c r="H12" i="48"/>
  <c r="C215" i="9"/>
  <c r="C181" i="6"/>
  <c r="E511" i="6"/>
  <c r="I7" i="44"/>
  <c r="C590" i="4"/>
  <c r="E443" i="6"/>
  <c r="E456" i="6"/>
  <c r="E1123" i="4"/>
  <c r="C292" i="9"/>
  <c r="C1097" i="4"/>
  <c r="C408" i="6"/>
  <c r="C651" i="4"/>
  <c r="C226" i="10"/>
  <c r="D9" i="37"/>
  <c r="C1775" i="4"/>
  <c r="C735" i="4"/>
  <c r="E1292" i="4"/>
  <c r="E1575" i="4"/>
  <c r="C1019" i="4"/>
  <c r="C249" i="9"/>
  <c r="C821" i="4"/>
  <c r="C1467" i="4"/>
  <c r="C909" i="4"/>
  <c r="K9" i="37"/>
  <c r="C422" i="6"/>
  <c r="F12" i="48"/>
  <c r="E644" i="6"/>
  <c r="C1685" i="4"/>
  <c r="C9" i="37"/>
  <c r="C150" i="9"/>
  <c r="C813" i="4"/>
  <c r="I15" i="51"/>
  <c r="D9" i="43"/>
  <c r="C713" i="4"/>
  <c r="C139" i="9"/>
  <c r="I11" i="44"/>
  <c r="C1802" i="4"/>
  <c r="C1670" i="4"/>
  <c r="C1673" i="4"/>
  <c r="C291" i="6"/>
  <c r="C317" i="6"/>
  <c r="C1090" i="4"/>
  <c r="C1001" i="4"/>
  <c r="B28" i="37"/>
  <c r="B18" i="50"/>
  <c r="F12" i="37"/>
  <c r="C1320" i="4"/>
  <c r="G27" i="44"/>
  <c r="H14" i="24"/>
  <c r="C891" i="4"/>
  <c r="C495" i="6"/>
  <c r="I9" i="24"/>
  <c r="H34" i="43"/>
  <c r="I8" i="24"/>
  <c r="G12" i="51"/>
  <c r="G16" i="43"/>
  <c r="M9" i="43"/>
  <c r="C374" i="36"/>
  <c r="J36" i="51"/>
  <c r="L25" i="51"/>
  <c r="E35" i="50"/>
  <c r="C1164" i="4"/>
  <c r="C50" i="36"/>
  <c r="E878" i="4"/>
  <c r="E1536" i="4"/>
  <c r="E4" i="44"/>
  <c r="C1270" i="4"/>
  <c r="M33" i="37"/>
  <c r="E811" i="4"/>
  <c r="C1501" i="4"/>
  <c r="C1621" i="4"/>
  <c r="C630" i="4"/>
  <c r="I30" i="51"/>
  <c r="E350" i="6"/>
  <c r="C559" i="36"/>
  <c r="F14" i="50"/>
  <c r="C405" i="6"/>
  <c r="H5" i="50"/>
  <c r="H14" i="44"/>
  <c r="C902" i="4"/>
  <c r="E481" i="36"/>
  <c r="B18" i="43"/>
  <c r="C192" i="36"/>
  <c r="I26" i="37"/>
  <c r="I10" i="50"/>
  <c r="C611" i="4"/>
  <c r="E1052" i="4"/>
  <c r="E39" i="50"/>
  <c r="C504" i="36"/>
  <c r="C410" i="6"/>
  <c r="C1456" i="4"/>
  <c r="C265" i="6"/>
  <c r="C155" i="36"/>
  <c r="C1133" i="4"/>
  <c r="F17" i="44"/>
  <c r="I15" i="43"/>
  <c r="E512" i="36"/>
  <c r="E568" i="6"/>
  <c r="E403" i="6"/>
  <c r="C1614" i="4"/>
  <c r="C172" i="9"/>
  <c r="G19" i="50"/>
  <c r="C647" i="4"/>
  <c r="C1488" i="4"/>
  <c r="C1008" i="4"/>
  <c r="C1177" i="4"/>
  <c r="C1425" i="4"/>
  <c r="E1783" i="4"/>
  <c r="E1808" i="4"/>
  <c r="C1767" i="4"/>
  <c r="E262" i="9"/>
  <c r="C343" i="36"/>
  <c r="C1013" i="4"/>
  <c r="M8" i="44"/>
  <c r="L8" i="44"/>
  <c r="C1058" i="4"/>
  <c r="C202" i="36"/>
  <c r="B4" i="51"/>
  <c r="D40" i="43"/>
  <c r="L4" i="37"/>
  <c r="C694" i="4"/>
  <c r="C608" i="4"/>
  <c r="C302" i="36"/>
  <c r="C212" i="36"/>
  <c r="D14" i="37"/>
  <c r="B8" i="51"/>
  <c r="C610" i="4"/>
  <c r="C8" i="36"/>
  <c r="C723" i="6"/>
  <c r="C155" i="9"/>
  <c r="C589" i="4"/>
  <c r="G10" i="44"/>
  <c r="C142" i="10"/>
  <c r="C278" i="36"/>
  <c r="C487" i="36"/>
  <c r="C1180" i="4"/>
  <c r="C175" i="10"/>
  <c r="F13" i="50"/>
  <c r="C700" i="6"/>
  <c r="M39" i="51"/>
  <c r="C1163" i="4"/>
  <c r="L11" i="24"/>
  <c r="C482" i="36"/>
  <c r="C676" i="4"/>
  <c r="E201" i="10"/>
  <c r="E166" i="9"/>
  <c r="E452" i="9"/>
  <c r="J26" i="48"/>
  <c r="G30" i="43"/>
  <c r="B36" i="48"/>
  <c r="C269" i="36"/>
  <c r="E1456" i="4"/>
  <c r="C200" i="36"/>
  <c r="C1222" i="4"/>
  <c r="C1280" i="4"/>
  <c r="C1509" i="4"/>
  <c r="C1085" i="4"/>
  <c r="J13" i="43"/>
  <c r="C77" i="10"/>
  <c r="I18" i="50"/>
  <c r="E28" i="50"/>
  <c r="C359" i="6"/>
  <c r="C387" i="36"/>
  <c r="C1257" i="4"/>
  <c r="C249" i="36"/>
  <c r="C486" i="6"/>
  <c r="E1578" i="4"/>
  <c r="E1772" i="4"/>
  <c r="C113" i="6"/>
  <c r="C173" i="36"/>
  <c r="C342" i="36"/>
  <c r="C563" i="36"/>
  <c r="C500" i="36"/>
  <c r="E1715" i="4"/>
  <c r="E332" i="9"/>
  <c r="E266" i="10"/>
  <c r="C780" i="4"/>
  <c r="C212" i="9"/>
  <c r="C165" i="9"/>
  <c r="C1560" i="4"/>
  <c r="C1404" i="4"/>
  <c r="C403" i="9"/>
  <c r="C397" i="36"/>
  <c r="E894" i="4"/>
  <c r="E387" i="36"/>
  <c r="E639" i="4"/>
  <c r="E7" i="37"/>
  <c r="K31" i="24"/>
  <c r="J17" i="43"/>
  <c r="C1719" i="4"/>
  <c r="C135" i="6"/>
  <c r="C926" i="4"/>
  <c r="C565" i="6"/>
  <c r="E322" i="9"/>
  <c r="E212" i="10"/>
  <c r="C692" i="6"/>
  <c r="C692" i="4"/>
  <c r="C1442" i="4"/>
  <c r="K10" i="37"/>
  <c r="C18" i="36"/>
  <c r="H11" i="24"/>
  <c r="E616" i="6"/>
  <c r="M5" i="43"/>
  <c r="K13" i="48"/>
  <c r="E484" i="9"/>
  <c r="C605" i="4"/>
  <c r="J6" i="43"/>
  <c r="C318" i="9"/>
  <c r="E19" i="44"/>
  <c r="C1224" i="4"/>
  <c r="F32" i="50"/>
  <c r="E1604" i="4"/>
  <c r="C64" i="10"/>
  <c r="C693" i="4"/>
  <c r="M11" i="43"/>
  <c r="C250" i="6"/>
  <c r="C183" i="10"/>
  <c r="C36" i="43"/>
  <c r="E1346" i="4"/>
  <c r="C1519" i="4"/>
  <c r="C1466" i="4"/>
  <c r="C15" i="44"/>
  <c r="C8" i="37"/>
  <c r="E55" i="36"/>
  <c r="L11" i="44"/>
  <c r="H5" i="37"/>
  <c r="E1280" i="4"/>
  <c r="M17" i="48"/>
  <c r="C554" i="6"/>
  <c r="E1474" i="4"/>
  <c r="C257" i="6"/>
  <c r="D17" i="48"/>
  <c r="E1437" i="4"/>
  <c r="C1244" i="4"/>
  <c r="C284" i="9"/>
  <c r="B7" i="43"/>
  <c r="C884" i="4"/>
  <c r="C32" i="36"/>
  <c r="C455" i="6"/>
  <c r="E1758" i="4"/>
  <c r="C150" i="36"/>
  <c r="C1657" i="4"/>
  <c r="E1609" i="4"/>
  <c r="E1796" i="4"/>
  <c r="E1613" i="4"/>
  <c r="E304" i="36"/>
  <c r="E422" i="9"/>
  <c r="C34" i="50"/>
  <c r="E1304" i="4"/>
  <c r="E1671" i="4"/>
  <c r="E1101" i="4"/>
  <c r="E628" i="6"/>
  <c r="E1174" i="4"/>
  <c r="E233" i="6"/>
  <c r="G27" i="48"/>
  <c r="E1504" i="4"/>
  <c r="E874" i="4"/>
  <c r="H31" i="48"/>
  <c r="E1317" i="4"/>
  <c r="E436" i="9"/>
  <c r="E192" i="6"/>
  <c r="E1147" i="4"/>
  <c r="H35" i="48"/>
  <c r="C1287" i="4"/>
  <c r="E450" i="6"/>
  <c r="E1776" i="4"/>
  <c r="E1322" i="4"/>
  <c r="M29" i="50"/>
  <c r="E1636" i="4"/>
  <c r="E1442" i="4"/>
  <c r="E1380" i="4"/>
  <c r="E1207" i="4"/>
  <c r="E354" i="9"/>
  <c r="E389" i="6"/>
  <c r="E27" i="43"/>
  <c r="L31" i="44"/>
  <c r="E1086" i="4"/>
  <c r="E596" i="4"/>
  <c r="E1766" i="4"/>
  <c r="D27" i="48"/>
  <c r="E64" i="36"/>
  <c r="E216" i="9"/>
  <c r="E419" i="9"/>
  <c r="J14" i="24"/>
  <c r="E377" i="36"/>
  <c r="E1435" i="4"/>
  <c r="M27" i="43"/>
  <c r="E353" i="6"/>
  <c r="E272" i="36"/>
  <c r="E1222" i="4"/>
  <c r="E1714" i="4"/>
  <c r="E1422" i="4"/>
  <c r="E376" i="9"/>
  <c r="E1258" i="4"/>
  <c r="E249" i="36"/>
  <c r="E472" i="9"/>
  <c r="E399" i="9"/>
  <c r="E1502" i="4"/>
  <c r="E361" i="36"/>
  <c r="E1351" i="4"/>
  <c r="J34" i="51"/>
  <c r="C1052" i="4"/>
  <c r="E1680" i="4"/>
  <c r="E283" i="9"/>
  <c r="K36" i="48"/>
  <c r="E718" i="6"/>
  <c r="F32" i="44"/>
  <c r="E1403" i="4"/>
  <c r="E1239" i="4"/>
  <c r="E205" i="9"/>
  <c r="E1098" i="4"/>
  <c r="E485" i="36"/>
  <c r="D28" i="50"/>
  <c r="E322" i="6"/>
  <c r="E1136" i="4"/>
  <c r="E1270" i="4"/>
  <c r="E702" i="6"/>
  <c r="E1179" i="4"/>
  <c r="E990" i="4"/>
  <c r="E1066" i="4"/>
  <c r="E1104" i="4"/>
  <c r="E469" i="9"/>
  <c r="E839" i="4"/>
  <c r="E451" i="36"/>
  <c r="E1240" i="4"/>
  <c r="E1765" i="4"/>
  <c r="E432" i="6"/>
  <c r="K40" i="44"/>
  <c r="K38" i="43"/>
  <c r="E680" i="4"/>
  <c r="E1415" i="4"/>
  <c r="E245" i="9"/>
  <c r="E368" i="36"/>
  <c r="D25" i="48"/>
  <c r="E881" i="4"/>
  <c r="F28" i="51"/>
  <c r="F25" i="24"/>
  <c r="J25" i="43"/>
  <c r="E225" i="36"/>
  <c r="E278" i="36"/>
  <c r="C33" i="44"/>
  <c r="E1360" i="4"/>
  <c r="E189" i="36"/>
  <c r="C1536" i="4"/>
  <c r="C310" i="36"/>
  <c r="C1286" i="4"/>
  <c r="M38" i="51"/>
  <c r="C297" i="6"/>
  <c r="C1514" i="4"/>
  <c r="F25" i="44"/>
  <c r="E1553" i="4"/>
  <c r="C357" i="9"/>
  <c r="G6" i="44"/>
  <c r="G35" i="44"/>
  <c r="L28" i="37"/>
  <c r="C88" i="36"/>
  <c r="E1624" i="4"/>
  <c r="C221" i="36"/>
  <c r="C1352" i="4"/>
  <c r="C182" i="6"/>
  <c r="C343" i="6"/>
  <c r="C366" i="9"/>
  <c r="E127" i="9"/>
  <c r="E27" i="36"/>
  <c r="E165" i="9"/>
  <c r="F6" i="50"/>
  <c r="E90" i="36"/>
  <c r="E1301" i="4"/>
  <c r="E389" i="9"/>
  <c r="E1530" i="4"/>
  <c r="E249" i="6"/>
  <c r="E1534" i="4"/>
  <c r="E358" i="36"/>
  <c r="E645" i="6"/>
  <c r="E582" i="36"/>
  <c r="E1063" i="4"/>
  <c r="E410" i="9"/>
  <c r="E350" i="9"/>
  <c r="E1564" i="4"/>
  <c r="J26" i="51"/>
  <c r="E1045" i="4"/>
  <c r="E184" i="6"/>
  <c r="E1544" i="4"/>
  <c r="H34" i="37"/>
  <c r="E1314" i="4"/>
  <c r="C36" i="44"/>
  <c r="E556" i="36"/>
  <c r="E161" i="10"/>
  <c r="E1679" i="4"/>
  <c r="E650" i="6"/>
  <c r="J36" i="44"/>
  <c r="E1790" i="4"/>
  <c r="E263" i="6"/>
  <c r="F33" i="51"/>
  <c r="E1631" i="4"/>
  <c r="H35" i="51"/>
  <c r="E199" i="36"/>
  <c r="E1754" i="4"/>
  <c r="E1490" i="4"/>
  <c r="H34" i="51"/>
  <c r="E1383" i="4"/>
  <c r="L31" i="43"/>
  <c r="E142" i="10"/>
  <c r="E255" i="6"/>
  <c r="E340" i="9"/>
  <c r="E1312" i="4"/>
  <c r="E418" i="6"/>
  <c r="E553" i="36"/>
  <c r="E301" i="10"/>
  <c r="E726" i="6"/>
  <c r="E367" i="6"/>
  <c r="E1060" i="4"/>
  <c r="E482" i="36"/>
  <c r="B32" i="50"/>
  <c r="E286" i="6"/>
  <c r="E1661" i="4"/>
  <c r="E185" i="6"/>
  <c r="E388" i="6"/>
  <c r="E1329" i="4"/>
  <c r="E475" i="6"/>
  <c r="E213" i="36"/>
  <c r="D38" i="50"/>
  <c r="E481" i="9"/>
  <c r="E253" i="9"/>
  <c r="E1529" i="4"/>
  <c r="M16" i="51"/>
  <c r="G26" i="44"/>
  <c r="E1809" i="4"/>
  <c r="E125" i="9"/>
  <c r="F31" i="48"/>
  <c r="E1608" i="4"/>
  <c r="E336" i="9"/>
  <c r="E200" i="36"/>
  <c r="H34" i="50"/>
  <c r="H26" i="24"/>
  <c r="E1684" i="4"/>
  <c r="E281" i="6"/>
  <c r="E433" i="9"/>
  <c r="E1737" i="4"/>
  <c r="E1781" i="4"/>
  <c r="L35" i="50"/>
  <c r="C1103" i="4"/>
  <c r="E233" i="9"/>
  <c r="E396" i="36"/>
  <c r="I32" i="24"/>
  <c r="B29" i="51"/>
  <c r="E351" i="6"/>
  <c r="E436" i="6"/>
  <c r="E595" i="6"/>
  <c r="E252" i="9"/>
  <c r="E357" i="6"/>
  <c r="E1106" i="4"/>
  <c r="J28" i="43"/>
  <c r="E263" i="36"/>
  <c r="F26" i="43"/>
  <c r="G35" i="43"/>
  <c r="D29" i="50"/>
  <c r="E612" i="4"/>
  <c r="E347" i="36"/>
  <c r="E189" i="9"/>
  <c r="G39" i="51"/>
  <c r="E895" i="4"/>
  <c r="E1006" i="4"/>
  <c r="E267" i="36"/>
  <c r="E369" i="36"/>
  <c r="B38" i="48"/>
  <c r="E33" i="43"/>
  <c r="E223" i="9"/>
  <c r="E181" i="36"/>
  <c r="E1384" i="4"/>
  <c r="K27" i="48"/>
  <c r="D30" i="50"/>
  <c r="C1505" i="4"/>
  <c r="M28" i="51"/>
  <c r="C1542" i="4"/>
  <c r="K31" i="50"/>
  <c r="C1684" i="4"/>
  <c r="B34" i="44"/>
  <c r="K10" i="50"/>
  <c r="C251" i="36"/>
  <c r="E523" i="36"/>
  <c r="M28" i="37"/>
  <c r="C929" i="4"/>
  <c r="H15" i="48"/>
  <c r="C495" i="36"/>
  <c r="C864" i="4"/>
  <c r="C728" i="4"/>
  <c r="C888" i="4"/>
  <c r="B30" i="50"/>
  <c r="C961" i="4"/>
  <c r="E126" i="6"/>
  <c r="C638" i="4"/>
  <c r="C149" i="36"/>
  <c r="E554" i="6"/>
  <c r="E797" i="4"/>
  <c r="E1447" i="4"/>
  <c r="E1268" i="4"/>
  <c r="E1514" i="4"/>
  <c r="E371" i="36"/>
  <c r="E475" i="9"/>
  <c r="E439" i="36"/>
  <c r="E1305" i="4"/>
  <c r="E1279" i="4"/>
  <c r="C27" i="43"/>
  <c r="D33" i="50"/>
  <c r="E108" i="10"/>
  <c r="B40" i="51"/>
  <c r="E335" i="36"/>
  <c r="E1586" i="4"/>
  <c r="J34" i="44"/>
  <c r="E515" i="36"/>
  <c r="C34" i="48"/>
  <c r="E1402" i="4"/>
  <c r="E199" i="9"/>
  <c r="C348" i="6"/>
  <c r="E576" i="36"/>
  <c r="E1500" i="4"/>
  <c r="K31" i="48"/>
  <c r="E378" i="36"/>
  <c r="H34" i="44"/>
  <c r="E140" i="36"/>
  <c r="E171" i="6"/>
  <c r="E872" i="4"/>
  <c r="E640" i="4"/>
  <c r="E235" i="6"/>
  <c r="E1719" i="4"/>
  <c r="M35" i="51"/>
  <c r="E126" i="10"/>
  <c r="E602" i="4"/>
  <c r="E324" i="9"/>
  <c r="L36" i="44"/>
  <c r="B27" i="51"/>
  <c r="E686" i="6"/>
  <c r="E127" i="6"/>
  <c r="C455" i="9"/>
  <c r="E728" i="6"/>
  <c r="E1271" i="4"/>
  <c r="E356" i="6"/>
  <c r="E1364" i="4"/>
  <c r="E1068" i="4"/>
  <c r="C442" i="9"/>
  <c r="E1389" i="4"/>
  <c r="E1097" i="4"/>
  <c r="F26" i="50"/>
  <c r="E258" i="9"/>
  <c r="E166" i="36"/>
  <c r="H32" i="44"/>
  <c r="E228" i="36"/>
  <c r="E412" i="36"/>
  <c r="E901" i="4"/>
  <c r="E1382" i="4"/>
  <c r="E1252" i="4"/>
  <c r="C1555" i="4"/>
  <c r="E264" i="9"/>
  <c r="E1558" i="4"/>
  <c r="E572" i="36"/>
  <c r="K29" i="51"/>
  <c r="E115" i="36"/>
  <c r="E26" i="50"/>
  <c r="E1146" i="4"/>
  <c r="H29" i="48"/>
  <c r="K35" i="44"/>
  <c r="E247" i="10"/>
  <c r="E127" i="36"/>
  <c r="E1324" i="4"/>
  <c r="E272" i="9"/>
  <c r="E1561" i="4"/>
  <c r="E1064" i="4"/>
  <c r="C218" i="9"/>
  <c r="E1276" i="4"/>
  <c r="E85" i="36"/>
  <c r="E289" i="9"/>
  <c r="E339" i="6"/>
  <c r="E1259" i="4"/>
  <c r="E418" i="36"/>
  <c r="E519" i="36"/>
  <c r="E1755" i="4"/>
  <c r="E1738" i="4"/>
  <c r="E1132" i="4"/>
  <c r="E940" i="4"/>
  <c r="E1445" i="4"/>
  <c r="E641" i="4"/>
  <c r="E819" i="4"/>
  <c r="J25" i="37"/>
  <c r="E164" i="9"/>
  <c r="C761" i="4"/>
  <c r="E1184" i="4"/>
  <c r="E1612" i="4"/>
  <c r="E613" i="6"/>
  <c r="E261" i="6"/>
  <c r="C203" i="9"/>
  <c r="J36" i="43"/>
  <c r="E249" i="9"/>
  <c r="C755" i="4"/>
  <c r="E35" i="43"/>
  <c r="B19" i="50"/>
  <c r="C1296" i="4"/>
  <c r="M14" i="50"/>
  <c r="D17" i="44"/>
  <c r="C127" i="6"/>
  <c r="D10" i="37"/>
  <c r="C991" i="4"/>
  <c r="E723" i="6"/>
  <c r="E1735" i="4"/>
  <c r="C333" i="6"/>
  <c r="C525" i="36"/>
  <c r="F16" i="44"/>
  <c r="E208" i="9"/>
  <c r="B35" i="48"/>
  <c r="E391" i="6"/>
  <c r="J34" i="50"/>
  <c r="E1767" i="4"/>
  <c r="E280" i="6"/>
  <c r="C621" i="4"/>
  <c r="E410" i="6"/>
  <c r="E578" i="36"/>
  <c r="E1323" i="4"/>
  <c r="M36" i="44"/>
  <c r="D32" i="51"/>
  <c r="E548" i="6"/>
  <c r="E34" i="51"/>
  <c r="C1337" i="4"/>
  <c r="E376" i="6"/>
  <c r="M34" i="44"/>
  <c r="E1729" i="4"/>
  <c r="E524" i="6"/>
  <c r="E232" i="9"/>
  <c r="E814" i="4"/>
  <c r="E370" i="36"/>
  <c r="E384" i="6"/>
  <c r="E1763" i="4"/>
  <c r="J28" i="37"/>
  <c r="E36" i="44"/>
  <c r="J26" i="44"/>
  <c r="C1349" i="4"/>
  <c r="E1288" i="4"/>
  <c r="D34" i="50"/>
  <c r="F27" i="50"/>
  <c r="E684" i="6"/>
  <c r="E1291" i="4"/>
  <c r="E1152" i="4"/>
  <c r="E476" i="6"/>
  <c r="E1566" i="4"/>
  <c r="E329" i="9"/>
  <c r="E197" i="9"/>
  <c r="E344" i="6"/>
  <c r="E1021" i="4"/>
  <c r="E123" i="36"/>
  <c r="E694" i="6"/>
  <c r="E27" i="44"/>
  <c r="E258" i="6"/>
  <c r="B38" i="50"/>
  <c r="E371" i="9"/>
  <c r="E455" i="9"/>
  <c r="M8" i="48"/>
  <c r="F34" i="44"/>
  <c r="E309" i="9"/>
  <c r="E988" i="4"/>
  <c r="E513" i="36"/>
  <c r="E377" i="6"/>
  <c r="E542" i="6"/>
  <c r="E358" i="6"/>
  <c r="E537" i="36"/>
  <c r="E596" i="36"/>
  <c r="E145" i="10"/>
  <c r="E318" i="9"/>
  <c r="C1541" i="4"/>
  <c r="E427" i="6"/>
  <c r="E278" i="9"/>
  <c r="E1144" i="4"/>
  <c r="H35" i="44"/>
  <c r="I26" i="24"/>
  <c r="E330" i="36"/>
  <c r="E133" i="9"/>
  <c r="G26" i="50"/>
  <c r="E493" i="36"/>
  <c r="E1602" i="4"/>
  <c r="E287" i="6"/>
  <c r="E305" i="10"/>
  <c r="H36" i="48"/>
  <c r="E470" i="9"/>
  <c r="E619" i="6"/>
  <c r="I7" i="48"/>
  <c r="E1186" i="4"/>
  <c r="C28" i="48"/>
  <c r="E459" i="9"/>
  <c r="E1462" i="4"/>
  <c r="E293" i="9"/>
  <c r="F32" i="48"/>
  <c r="E1577" i="4"/>
  <c r="E1597" i="4"/>
  <c r="E828" i="4"/>
  <c r="I24" i="37"/>
  <c r="E239" i="6"/>
  <c r="E675" i="4"/>
  <c r="E217" i="36"/>
  <c r="E737" i="4"/>
  <c r="E23" i="37"/>
  <c r="K32" i="43"/>
  <c r="K23" i="37"/>
  <c r="C1644" i="4"/>
  <c r="C1667" i="4"/>
  <c r="F26" i="51"/>
  <c r="C31" i="44"/>
  <c r="C586" i="36"/>
  <c r="G14" i="37"/>
  <c r="E179" i="36"/>
  <c r="E1537" i="4"/>
  <c r="E6" i="44"/>
  <c r="B15" i="44"/>
  <c r="E422" i="36"/>
  <c r="C1083" i="4"/>
  <c r="E584" i="6"/>
  <c r="C155" i="6"/>
  <c r="M14" i="48"/>
  <c r="C13" i="48"/>
  <c r="C189" i="36"/>
  <c r="G34" i="37"/>
  <c r="C198" i="10"/>
  <c r="E311" i="10"/>
  <c r="C278" i="6"/>
  <c r="C881" i="4"/>
  <c r="C1530" i="4"/>
  <c r="E1112" i="4"/>
  <c r="E299" i="9"/>
  <c r="E1328" i="4"/>
  <c r="E224" i="6"/>
  <c r="E1503" i="4"/>
  <c r="B39" i="50"/>
  <c r="E275" i="10"/>
  <c r="E1219" i="4"/>
  <c r="E393" i="36"/>
  <c r="E474" i="36"/>
  <c r="E701" i="6"/>
  <c r="D10" i="43"/>
  <c r="E523" i="6"/>
  <c r="E210" i="6"/>
  <c r="C952" i="4"/>
  <c r="E1744" i="4"/>
  <c r="E426" i="6"/>
  <c r="E36" i="43"/>
  <c r="E196" i="6"/>
  <c r="E449" i="9"/>
  <c r="E345" i="6"/>
  <c r="C809" i="4"/>
  <c r="E268" i="6"/>
  <c r="M29" i="44"/>
  <c r="J32" i="50"/>
  <c r="E1499" i="4"/>
  <c r="F26" i="44"/>
  <c r="K27" i="43"/>
  <c r="E137" i="10"/>
  <c r="E548" i="36"/>
  <c r="C32" i="44"/>
  <c r="E149" i="36"/>
  <c r="E1231" i="4"/>
  <c r="C39" i="50"/>
  <c r="C108" i="36"/>
  <c r="E708" i="6"/>
  <c r="E158" i="10"/>
  <c r="E390" i="6"/>
  <c r="E479" i="9"/>
  <c r="E114" i="36"/>
  <c r="D34" i="44"/>
  <c r="E253" i="6"/>
  <c r="E1576" i="4"/>
  <c r="G40" i="43"/>
  <c r="I29" i="37"/>
  <c r="E963" i="4"/>
  <c r="E1477" i="4"/>
  <c r="B10" i="50"/>
  <c r="E1013" i="4"/>
  <c r="E486" i="6"/>
  <c r="E1683" i="4"/>
  <c r="E1412" i="4"/>
  <c r="H27" i="43"/>
  <c r="E221" i="36"/>
  <c r="E691" i="6"/>
  <c r="E380" i="36"/>
  <c r="E400" i="36"/>
  <c r="E784" i="4"/>
  <c r="E406" i="9"/>
  <c r="E435" i="9"/>
  <c r="F28" i="24"/>
  <c r="E356" i="36"/>
  <c r="E1795" i="4"/>
  <c r="E259" i="36"/>
  <c r="E258" i="36"/>
  <c r="E1689" i="4"/>
  <c r="E1088" i="4"/>
  <c r="E1488" i="4"/>
  <c r="E910" i="4"/>
  <c r="E270" i="6"/>
  <c r="E1025" i="4"/>
  <c r="E589" i="36"/>
  <c r="E1693" i="4"/>
  <c r="M32" i="44"/>
  <c r="B36" i="50"/>
  <c r="J10" i="24"/>
  <c r="C356" i="9"/>
  <c r="C27" i="48"/>
  <c r="E31" i="43"/>
  <c r="E18" i="44"/>
  <c r="K18" i="43"/>
  <c r="D17" i="43"/>
  <c r="E1443" i="4"/>
  <c r="E186" i="10"/>
  <c r="C202" i="9"/>
  <c r="C357" i="6"/>
  <c r="C1067" i="4"/>
  <c r="M6" i="43"/>
  <c r="C457" i="6"/>
  <c r="C324" i="9"/>
  <c r="C1056" i="4"/>
  <c r="C1626" i="4"/>
  <c r="C445" i="36"/>
  <c r="E14" i="48"/>
  <c r="B31" i="44"/>
  <c r="C321" i="6"/>
  <c r="H9" i="48"/>
  <c r="K8" i="50"/>
  <c r="E359" i="6"/>
  <c r="E1269" i="4"/>
  <c r="M40" i="43"/>
  <c r="E1394" i="4"/>
  <c r="M35" i="44"/>
  <c r="E1209" i="4"/>
  <c r="C404" i="6"/>
  <c r="E1682" i="4"/>
  <c r="E573" i="36"/>
  <c r="M38" i="50"/>
  <c r="E497" i="36"/>
  <c r="C22" i="36"/>
  <c r="E1584" i="4"/>
  <c r="L32" i="44"/>
  <c r="C404" i="9"/>
  <c r="E251" i="36"/>
  <c r="E1125" i="4"/>
  <c r="J29" i="44"/>
  <c r="E1569" i="4"/>
  <c r="E402" i="6"/>
  <c r="E1118" i="4"/>
  <c r="E208" i="10"/>
  <c r="K36" i="43"/>
  <c r="E483" i="9"/>
  <c r="I32" i="48"/>
  <c r="L33" i="51"/>
  <c r="G38" i="50"/>
  <c r="C1502" i="4"/>
  <c r="E504" i="36"/>
  <c r="E1657" i="4"/>
  <c r="E1048" i="4"/>
  <c r="C35" i="50"/>
  <c r="L33" i="50"/>
  <c r="E1459" i="4"/>
  <c r="C1566" i="4"/>
  <c r="E248" i="6"/>
  <c r="E965" i="4"/>
  <c r="E1525" i="4"/>
  <c r="G34" i="44"/>
  <c r="E1707" i="4"/>
  <c r="E315" i="9"/>
  <c r="E1263" i="4"/>
  <c r="I36" i="44"/>
  <c r="E1635" i="4"/>
  <c r="B27" i="50"/>
  <c r="E1300" i="4"/>
  <c r="E425" i="36"/>
  <c r="C1396" i="4"/>
  <c r="I33" i="50"/>
  <c r="E235" i="10"/>
  <c r="E298" i="6"/>
  <c r="L36" i="43"/>
  <c r="G29" i="50"/>
  <c r="E352" i="36"/>
  <c r="I33" i="44"/>
  <c r="B33" i="50"/>
  <c r="E1531" i="4"/>
  <c r="E1081" i="4"/>
  <c r="L26" i="44"/>
  <c r="B34" i="48"/>
  <c r="E1581" i="4"/>
  <c r="E596" i="6"/>
  <c r="E29" i="51"/>
  <c r="E211" i="9"/>
  <c r="E220" i="36"/>
  <c r="E1325" i="4"/>
  <c r="C1219" i="4"/>
  <c r="E269" i="9"/>
  <c r="E1768" i="4"/>
  <c r="G32" i="44"/>
  <c r="E1183" i="4"/>
  <c r="E521" i="6"/>
  <c r="E229" i="10"/>
  <c r="E1404" i="4"/>
  <c r="E1253" i="4"/>
  <c r="C1510" i="4"/>
  <c r="E26" i="51"/>
  <c r="G29" i="51"/>
  <c r="L32" i="43"/>
  <c r="E1764" i="4"/>
  <c r="K29" i="50"/>
  <c r="M36" i="43"/>
  <c r="E495" i="36"/>
  <c r="E541" i="36"/>
  <c r="E316" i="6"/>
  <c r="E32" i="36"/>
  <c r="I38" i="43"/>
  <c r="E647" i="4"/>
  <c r="G25" i="50"/>
  <c r="E39" i="48"/>
  <c r="F25" i="43"/>
  <c r="E727" i="4"/>
  <c r="E718" i="4"/>
  <c r="E200" i="6"/>
  <c r="E315" i="6"/>
  <c r="K24" i="24"/>
  <c r="E1366" i="4"/>
  <c r="E749" i="4"/>
  <c r="E609" i="4"/>
  <c r="E918" i="4"/>
  <c r="E1539" i="4"/>
  <c r="E517" i="36"/>
  <c r="H9" i="37"/>
  <c r="C286" i="36"/>
  <c r="C132" i="9"/>
  <c r="D15" i="37"/>
  <c r="M19" i="48"/>
  <c r="C1243" i="4"/>
  <c r="E1670" i="4"/>
  <c r="E1425" i="4"/>
  <c r="C19" i="43"/>
  <c r="C409" i="9"/>
  <c r="H13" i="24"/>
  <c r="C1447" i="4"/>
  <c r="C333" i="9"/>
  <c r="E7" i="48"/>
  <c r="C1109" i="4"/>
  <c r="C299" i="36"/>
  <c r="C385" i="36"/>
  <c r="H11" i="44"/>
  <c r="C1778" i="4"/>
  <c r="E221" i="10"/>
  <c r="C199" i="36"/>
  <c r="C189" i="10"/>
  <c r="E173" i="9"/>
  <c r="E501" i="36"/>
  <c r="E119" i="36"/>
  <c r="E128" i="36"/>
  <c r="E1546" i="4"/>
  <c r="E1585" i="4"/>
  <c r="H29" i="51"/>
  <c r="C715" i="4"/>
  <c r="E902" i="4"/>
  <c r="E363" i="6"/>
  <c r="E1687" i="4"/>
  <c r="E1728" i="4"/>
  <c r="B4" i="50"/>
  <c r="F29" i="50"/>
  <c r="E1760" i="4"/>
  <c r="C242" i="6"/>
  <c r="E1156" i="4"/>
  <c r="E1716" i="4"/>
  <c r="E407" i="9"/>
  <c r="E1134" i="4"/>
  <c r="I29" i="50"/>
  <c r="E583" i="36"/>
  <c r="G28" i="24"/>
  <c r="E1049" i="4"/>
  <c r="E1436" i="4"/>
  <c r="E859" i="4"/>
  <c r="E1289" i="4"/>
  <c r="E352" i="6"/>
  <c r="C244" i="9"/>
  <c r="E416" i="6"/>
  <c r="E606" i="6"/>
  <c r="E1656" i="4"/>
  <c r="E532" i="36"/>
  <c r="F28" i="50"/>
  <c r="E185" i="36"/>
  <c r="C264" i="6"/>
  <c r="E206" i="6"/>
  <c r="E462" i="36"/>
  <c r="E599" i="4"/>
  <c r="E363" i="36"/>
  <c r="E1393" i="4"/>
  <c r="G33" i="50"/>
  <c r="E1205" i="4"/>
  <c r="E955" i="4"/>
  <c r="E549" i="36"/>
  <c r="E1621" i="4"/>
  <c r="E1718" i="4"/>
  <c r="F35" i="51"/>
  <c r="L4" i="50"/>
  <c r="B35" i="50"/>
  <c r="E461" i="6"/>
  <c r="G32" i="51"/>
  <c r="J32" i="44"/>
  <c r="E344" i="36"/>
  <c r="D27" i="51"/>
  <c r="E154" i="10"/>
  <c r="E1759" i="4"/>
  <c r="E1285" i="4"/>
  <c r="E1677" i="4"/>
  <c r="E697" i="6"/>
  <c r="E474" i="6"/>
  <c r="E692" i="4"/>
  <c r="E448" i="9"/>
  <c r="E414" i="36"/>
  <c r="E1667" i="4"/>
  <c r="E464" i="9"/>
  <c r="H38" i="50"/>
  <c r="J5" i="48"/>
  <c r="E287" i="9"/>
  <c r="E348" i="36"/>
  <c r="E388" i="36"/>
  <c r="E276" i="9"/>
  <c r="L34" i="44"/>
  <c r="E308" i="10"/>
  <c r="E1478" i="4"/>
  <c r="F26" i="24"/>
  <c r="K4" i="43"/>
  <c r="E1464" i="4"/>
  <c r="E1177" i="4"/>
  <c r="E488" i="36"/>
  <c r="B29" i="37"/>
  <c r="E277" i="9"/>
  <c r="E1221" i="4"/>
  <c r="E256" i="10"/>
  <c r="E1452" i="4"/>
  <c r="E35" i="44"/>
  <c r="E384" i="9"/>
  <c r="C34" i="43"/>
  <c r="M33" i="43"/>
  <c r="E2" i="36"/>
  <c r="H26" i="43"/>
  <c r="G27" i="24"/>
  <c r="E1307" i="4"/>
  <c r="E601" i="4"/>
  <c r="E155" i="36"/>
  <c r="E250" i="6"/>
  <c r="E74" i="36"/>
  <c r="M40" i="50"/>
  <c r="K40" i="48"/>
  <c r="C1497" i="4"/>
  <c r="C449" i="36"/>
  <c r="C717" i="4"/>
  <c r="H5" i="43"/>
  <c r="C13" i="43"/>
  <c r="C282" i="36"/>
  <c r="C1489" i="4"/>
  <c r="E1517" i="4"/>
  <c r="C228" i="6"/>
  <c r="C1228" i="4"/>
  <c r="C296" i="36"/>
  <c r="L30" i="44"/>
  <c r="C1464" i="4"/>
  <c r="E557" i="36"/>
  <c r="E4" i="43"/>
  <c r="B11" i="37"/>
  <c r="L34" i="43"/>
  <c r="E324" i="10"/>
  <c r="C5" i="48"/>
  <c r="E1155" i="4"/>
  <c r="C1153" i="4"/>
  <c r="B17" i="51"/>
  <c r="L15" i="48"/>
  <c r="E213" i="9"/>
  <c r="E531" i="6"/>
  <c r="B34" i="51"/>
  <c r="E448" i="6"/>
  <c r="E1423" i="4"/>
  <c r="E337" i="9"/>
  <c r="H18" i="43"/>
  <c r="I36" i="43"/>
  <c r="L25" i="50"/>
  <c r="D28" i="51"/>
  <c r="K40" i="43"/>
  <c r="C157" i="36"/>
  <c r="E1629" i="4"/>
  <c r="E1151" i="4"/>
  <c r="I7" i="37"/>
  <c r="E1481" i="4"/>
  <c r="E477" i="36"/>
  <c r="G32" i="24"/>
  <c r="E1801" i="4"/>
  <c r="E443" i="36"/>
  <c r="E328" i="6"/>
  <c r="E639" i="6"/>
  <c r="G32" i="50"/>
  <c r="H26" i="48"/>
  <c r="G39" i="50"/>
  <c r="E350" i="36"/>
  <c r="E1648" i="4"/>
  <c r="C171" i="9"/>
  <c r="B13" i="50"/>
  <c r="C672" i="4"/>
  <c r="C1431" i="4"/>
  <c r="C430" i="9"/>
  <c r="C1275" i="4"/>
  <c r="C318" i="6"/>
  <c r="F13" i="44"/>
  <c r="E1202" i="4"/>
  <c r="E494" i="6"/>
  <c r="F9" i="24"/>
  <c r="C383" i="9"/>
  <c r="C402" i="6"/>
  <c r="C246" i="9"/>
  <c r="C1738" i="4"/>
  <c r="D13" i="44"/>
  <c r="C370" i="36"/>
  <c r="E1175" i="4"/>
  <c r="C1379" i="4"/>
  <c r="L17" i="43"/>
  <c r="E1466" i="4"/>
  <c r="H28" i="24"/>
  <c r="C320" i="36"/>
  <c r="C865" i="4"/>
  <c r="E229" i="6"/>
  <c r="E1336" i="4"/>
  <c r="E1779" i="4"/>
  <c r="E916" i="4"/>
  <c r="E145" i="6"/>
  <c r="E1788" i="4"/>
  <c r="C8" i="48"/>
  <c r="E203" i="6"/>
  <c r="L35" i="43"/>
  <c r="E364" i="6"/>
  <c r="E271" i="9"/>
  <c r="C329" i="36"/>
  <c r="E1334" i="4"/>
  <c r="E1421" i="4"/>
  <c r="E281" i="10"/>
  <c r="G36" i="51"/>
  <c r="E1606" i="4"/>
  <c r="B36" i="44"/>
  <c r="E1120" i="4"/>
  <c r="L26" i="50"/>
  <c r="I35" i="44"/>
  <c r="E437" i="36"/>
  <c r="D34" i="48"/>
  <c r="E851" i="4"/>
  <c r="D36" i="43"/>
  <c r="E1372" i="4"/>
  <c r="E1333" i="4"/>
  <c r="J30" i="50"/>
  <c r="E825" i="4"/>
  <c r="E271" i="6"/>
  <c r="E1747" i="4"/>
  <c r="I26" i="51"/>
  <c r="E570" i="36"/>
  <c r="E1070" i="4"/>
  <c r="C175" i="9"/>
  <c r="E1397" i="4"/>
  <c r="E409" i="6"/>
  <c r="F36" i="51"/>
  <c r="E471" i="36"/>
  <c r="E1712" i="4"/>
  <c r="E1377" i="4"/>
  <c r="E311" i="9"/>
  <c r="K32" i="50"/>
  <c r="E366" i="36"/>
  <c r="C40" i="51"/>
  <c r="E440" i="36"/>
  <c r="D36" i="48"/>
  <c r="F11" i="48"/>
  <c r="E386" i="9"/>
  <c r="E1468" i="4"/>
  <c r="C1263" i="4"/>
  <c r="I12" i="51"/>
  <c r="C265" i="36"/>
  <c r="G14" i="24"/>
  <c r="C435" i="9"/>
  <c r="C172" i="6"/>
  <c r="C886" i="4"/>
  <c r="G10" i="24"/>
  <c r="C1625" i="4"/>
  <c r="E136" i="36"/>
  <c r="E196" i="9"/>
  <c r="K6" i="24"/>
  <c r="E425" i="9"/>
  <c r="C333" i="36"/>
  <c r="C352" i="36"/>
  <c r="H8" i="24"/>
  <c r="E166" i="6"/>
  <c r="C673" i="4"/>
  <c r="C805" i="4"/>
  <c r="E398" i="9"/>
  <c r="C419" i="9"/>
  <c r="C34" i="36"/>
  <c r="C137" i="6"/>
  <c r="E35" i="48"/>
  <c r="E595" i="36"/>
  <c r="B26" i="51"/>
  <c r="E1019" i="4"/>
  <c r="E1028" i="4"/>
  <c r="E1651" i="4"/>
  <c r="E561" i="6"/>
  <c r="I33" i="51"/>
  <c r="B26" i="44"/>
  <c r="C1443" i="4"/>
  <c r="E312" i="9"/>
  <c r="C339" i="6"/>
  <c r="C384" i="9"/>
  <c r="C439" i="9"/>
  <c r="E1541" i="4"/>
  <c r="C71" i="10"/>
  <c r="C1678" i="4"/>
  <c r="C1445" i="4"/>
  <c r="E466" i="36"/>
  <c r="C10" i="36"/>
  <c r="C1585" i="4"/>
  <c r="E165" i="36"/>
  <c r="C1221" i="4"/>
  <c r="K28" i="37"/>
  <c r="C869" i="4"/>
  <c r="E1709" i="4"/>
  <c r="C270" i="10"/>
  <c r="I13" i="37"/>
  <c r="E1713" i="4"/>
  <c r="C1078" i="4"/>
  <c r="C1761" i="4"/>
  <c r="C139" i="6"/>
  <c r="E182" i="10"/>
  <c r="E425" i="6"/>
  <c r="E405" i="36"/>
  <c r="I35" i="43"/>
  <c r="E1507" i="4"/>
  <c r="E1672" i="4"/>
  <c r="E462" i="9"/>
  <c r="E1724" i="4"/>
  <c r="E361" i="9"/>
  <c r="E1722" i="4"/>
  <c r="E32" i="51"/>
  <c r="C505" i="36"/>
  <c r="E445" i="9"/>
  <c r="E401" i="6"/>
  <c r="C5" i="50"/>
  <c r="E1487" i="4"/>
  <c r="E402" i="9"/>
  <c r="J39" i="50"/>
  <c r="E1266" i="4"/>
  <c r="E1428" i="4"/>
  <c r="J26" i="50"/>
  <c r="E1071" i="4"/>
  <c r="E1243" i="4"/>
  <c r="E1368" i="4"/>
  <c r="E1748" i="4"/>
  <c r="E372" i="6"/>
  <c r="E394" i="36"/>
  <c r="C234" i="6"/>
  <c r="E642" i="6"/>
  <c r="E1619" i="4"/>
  <c r="E378" i="6"/>
  <c r="E301" i="6"/>
  <c r="E753" i="6"/>
  <c r="E186" i="36"/>
  <c r="E507" i="6"/>
  <c r="M28" i="50"/>
  <c r="E403" i="9"/>
  <c r="E876" i="4"/>
  <c r="E112" i="10"/>
  <c r="E1405" i="4"/>
  <c r="E1567" i="4"/>
  <c r="C31" i="51"/>
  <c r="E407" i="36"/>
  <c r="E437" i="6"/>
  <c r="E1668" i="4"/>
  <c r="E40" i="43"/>
  <c r="E279" i="36"/>
  <c r="E1420" i="4"/>
  <c r="E1233" i="4"/>
  <c r="E700" i="6"/>
  <c r="E1121" i="4"/>
  <c r="E1535" i="4"/>
  <c r="E468" i="9"/>
  <c r="K33" i="37"/>
  <c r="I36" i="50"/>
  <c r="E1196" i="4"/>
  <c r="C29" i="50"/>
  <c r="E183" i="10"/>
  <c r="E1320" i="4"/>
  <c r="E1778" i="4"/>
  <c r="L28" i="50"/>
  <c r="E568" i="36"/>
  <c r="E1115" i="4"/>
  <c r="E242" i="36"/>
  <c r="E1029" i="4"/>
  <c r="E1414" i="4"/>
  <c r="F5" i="50"/>
  <c r="E394" i="9"/>
  <c r="E1641" i="4"/>
  <c r="C113" i="36"/>
  <c r="M27" i="44"/>
  <c r="E1410" i="4"/>
  <c r="E285" i="9"/>
  <c r="E1552" i="4"/>
  <c r="E132" i="36"/>
  <c r="E291" i="6"/>
  <c r="E566" i="36"/>
  <c r="E133" i="10"/>
  <c r="J33" i="51"/>
  <c r="E449" i="6"/>
  <c r="B5" i="43"/>
  <c r="E153" i="10"/>
  <c r="E1761" i="4"/>
  <c r="D35" i="51"/>
  <c r="E177" i="36"/>
  <c r="F39" i="51"/>
  <c r="E667" i="4"/>
  <c r="E929" i="4"/>
  <c r="D39" i="44"/>
  <c r="B39" i="44"/>
  <c r="C25" i="37"/>
  <c r="E1417" i="4"/>
  <c r="L29" i="44"/>
  <c r="D24" i="37"/>
  <c r="E1492" i="4"/>
  <c r="M17" i="51"/>
  <c r="M11" i="24"/>
  <c r="J12" i="37"/>
  <c r="E1148" i="4"/>
  <c r="C54" i="36"/>
  <c r="E279" i="6"/>
  <c r="C1201" i="4"/>
  <c r="H11" i="50"/>
  <c r="C223" i="10"/>
  <c r="F35" i="50"/>
  <c r="C30" i="36"/>
  <c r="C723" i="4"/>
  <c r="E262" i="6"/>
  <c r="E131" i="6"/>
  <c r="C1516" i="4"/>
  <c r="C1040" i="4"/>
  <c r="E577" i="36"/>
  <c r="C450" i="6"/>
  <c r="C1092" i="4"/>
  <c r="E1615" i="4"/>
  <c r="C532" i="6"/>
  <c r="C93" i="36"/>
  <c r="C1031" i="4"/>
  <c r="E323" i="6"/>
  <c r="C283" i="6"/>
  <c r="K33" i="48"/>
  <c r="L26" i="24"/>
  <c r="E534" i="36"/>
  <c r="E246" i="10"/>
  <c r="G31" i="44"/>
  <c r="E1303" i="4"/>
  <c r="E1158" i="4"/>
  <c r="E1800" i="4"/>
  <c r="E1601" i="4"/>
  <c r="H4" i="24"/>
  <c r="E522" i="36"/>
  <c r="E1623" i="4"/>
  <c r="L34" i="51"/>
  <c r="E832" i="4"/>
  <c r="E404" i="36"/>
  <c r="E289" i="6"/>
  <c r="E412" i="6"/>
  <c r="E235" i="36"/>
  <c r="E466" i="9"/>
  <c r="E212" i="6"/>
  <c r="E310" i="6"/>
  <c r="E1460" i="4"/>
  <c r="E1352" i="4"/>
  <c r="E103" i="10"/>
  <c r="E1556" i="4"/>
  <c r="E1206" i="4"/>
  <c r="E426" i="36"/>
  <c r="E478" i="36"/>
  <c r="K35" i="50"/>
  <c r="E26" i="48"/>
  <c r="E325" i="36"/>
  <c r="E302" i="6"/>
  <c r="C620" i="4"/>
  <c r="E1726" i="4"/>
  <c r="E1593" i="4"/>
  <c r="F34" i="48"/>
  <c r="H40" i="43"/>
  <c r="E1521" i="4"/>
  <c r="E7" i="50"/>
  <c r="E447" i="36"/>
  <c r="E665" i="4"/>
  <c r="E1084" i="4"/>
  <c r="E428" i="9"/>
  <c r="E539" i="36"/>
  <c r="E1702" i="4"/>
  <c r="E866" i="4"/>
  <c r="E144" i="10"/>
  <c r="E133" i="36"/>
  <c r="E293" i="36"/>
  <c r="J35" i="48"/>
  <c r="E629" i="6"/>
  <c r="E1359" i="4"/>
  <c r="C1569" i="4"/>
  <c r="E1195" i="4"/>
  <c r="E413" i="9"/>
  <c r="E1069" i="4"/>
  <c r="B32" i="37"/>
  <c r="E396" i="9"/>
  <c r="E506" i="36"/>
  <c r="E461" i="36"/>
  <c r="E1644" i="4"/>
  <c r="E324" i="6"/>
  <c r="C28" i="50"/>
  <c r="E585" i="36"/>
  <c r="J31" i="50"/>
  <c r="B25" i="51"/>
  <c r="D26" i="48"/>
  <c r="E564" i="6"/>
  <c r="H26" i="51"/>
  <c r="E463" i="36"/>
  <c r="F34" i="50"/>
  <c r="F34" i="51"/>
  <c r="E431" i="9"/>
  <c r="E288" i="6"/>
  <c r="E382" i="6"/>
  <c r="E405" i="6"/>
  <c r="E148" i="10"/>
  <c r="F35" i="44"/>
  <c r="J13" i="50"/>
  <c r="E416" i="36"/>
  <c r="E1589" i="4"/>
  <c r="E469" i="36"/>
  <c r="E1273" i="4"/>
  <c r="C24" i="37"/>
  <c r="E1117" i="4"/>
  <c r="E1200" i="4"/>
  <c r="E880" i="4"/>
  <c r="E728" i="4"/>
  <c r="F35" i="43"/>
  <c r="E276" i="36"/>
  <c r="E1108" i="4"/>
  <c r="E735" i="4"/>
  <c r="C39" i="48"/>
  <c r="E676" i="4"/>
  <c r="E1089" i="4"/>
  <c r="E740" i="4"/>
  <c r="E1050" i="4"/>
  <c r="G30" i="37"/>
  <c r="E1782" i="4"/>
  <c r="C239" i="6"/>
  <c r="C1370" i="4"/>
  <c r="C1768" i="4"/>
  <c r="I30" i="44"/>
  <c r="E473" i="9"/>
  <c r="C25" i="51"/>
  <c r="C1070" i="4"/>
  <c r="C1273" i="4"/>
  <c r="C235" i="6"/>
  <c r="L27" i="44"/>
  <c r="J19" i="48"/>
  <c r="D11" i="37"/>
  <c r="C33" i="50"/>
  <c r="C580" i="6"/>
  <c r="H30" i="51"/>
  <c r="C1799" i="4"/>
  <c r="B35" i="44"/>
  <c r="E141" i="10"/>
  <c r="I37" i="44"/>
  <c r="E33" i="48"/>
  <c r="E9" i="48"/>
  <c r="H17" i="44"/>
  <c r="L19" i="50"/>
  <c r="E985" i="4"/>
  <c r="C1279" i="4"/>
  <c r="E177" i="6"/>
  <c r="J34" i="43"/>
  <c r="E333" i="6"/>
  <c r="E226" i="9"/>
  <c r="E1381" i="4"/>
  <c r="E357" i="9"/>
  <c r="E265" i="36"/>
  <c r="E1051" i="4"/>
  <c r="E1367" i="4"/>
  <c r="E1451" i="4"/>
  <c r="E1756" i="4"/>
  <c r="E1282" i="4"/>
  <c r="E444" i="6"/>
  <c r="E455" i="36"/>
  <c r="E1255" i="4"/>
  <c r="E442" i="6"/>
  <c r="E1540" i="4"/>
  <c r="E1598" i="4"/>
  <c r="C196" i="9"/>
  <c r="E687" i="4"/>
  <c r="E1752" i="4"/>
  <c r="E1133" i="4"/>
  <c r="E325" i="6"/>
  <c r="E1522" i="4"/>
  <c r="H39" i="50"/>
  <c r="E439" i="9"/>
  <c r="D31" i="51"/>
  <c r="I27" i="43"/>
  <c r="E533" i="36"/>
  <c r="E452" i="6"/>
  <c r="C28" i="51"/>
  <c r="E1753" i="4"/>
  <c r="E1777" i="4"/>
  <c r="E321" i="6"/>
  <c r="E290" i="6"/>
  <c r="E754" i="6"/>
  <c r="E292" i="9"/>
  <c r="E339" i="36"/>
  <c r="L5" i="43"/>
  <c r="E411" i="9"/>
  <c r="E547" i="6"/>
  <c r="E1470" i="4"/>
  <c r="E135" i="10"/>
  <c r="E1281" i="4"/>
  <c r="E727" i="6"/>
  <c r="E170" i="9"/>
  <c r="E385" i="6"/>
  <c r="E1727" i="4"/>
  <c r="E1791" i="4"/>
  <c r="E1376" i="4"/>
  <c r="E320" i="36"/>
  <c r="E498" i="36"/>
  <c r="C145" i="9"/>
  <c r="E1736" i="4"/>
  <c r="E642" i="4"/>
  <c r="L25" i="43"/>
  <c r="G6" i="24"/>
  <c r="I28" i="50"/>
  <c r="E314" i="9"/>
  <c r="E1663" i="4"/>
  <c r="E148" i="36"/>
  <c r="E1326" i="4"/>
  <c r="E1210" i="4"/>
  <c r="E458" i="36"/>
  <c r="E520" i="36"/>
  <c r="E1678" i="4"/>
  <c r="E1168" i="4"/>
  <c r="F9" i="44"/>
  <c r="K32" i="44"/>
  <c r="E373" i="9"/>
  <c r="E1622" i="4"/>
  <c r="K33" i="50"/>
  <c r="E1634" i="4"/>
  <c r="E1563" i="4"/>
  <c r="E1743" i="4"/>
  <c r="E175" i="10"/>
  <c r="E1000" i="4"/>
  <c r="E146" i="10"/>
  <c r="E52" i="10"/>
  <c r="K34" i="44"/>
  <c r="E100" i="36"/>
  <c r="E1157" i="4"/>
  <c r="C40" i="50"/>
  <c r="E592" i="4"/>
  <c r="E1455" i="4"/>
  <c r="G29" i="37"/>
  <c r="I23" i="37"/>
  <c r="E1008" i="4"/>
  <c r="K40" i="50"/>
  <c r="K32" i="51"/>
  <c r="E546" i="36"/>
  <c r="E75" i="36"/>
  <c r="E1595" i="4"/>
  <c r="K25" i="24"/>
  <c r="E1486" i="4"/>
  <c r="I40" i="50"/>
  <c r="B23" i="37"/>
  <c r="D23" i="37"/>
  <c r="C29" i="37"/>
  <c r="H27" i="37"/>
  <c r="L26" i="37"/>
  <c r="E1139" i="4"/>
  <c r="C649" i="4"/>
  <c r="C292" i="36"/>
  <c r="C311" i="36"/>
  <c r="J17" i="48"/>
  <c r="C348" i="9"/>
  <c r="C1452" i="4"/>
  <c r="E227" i="36"/>
  <c r="C100" i="36"/>
  <c r="C870" i="4"/>
  <c r="E379" i="6"/>
  <c r="C900" i="4"/>
  <c r="C1204" i="4"/>
  <c r="E105" i="10"/>
  <c r="C674" i="4"/>
  <c r="H7" i="43"/>
  <c r="C4" i="43"/>
  <c r="C521" i="6"/>
  <c r="C1329" i="4"/>
  <c r="C1765" i="4"/>
  <c r="E317" i="6"/>
  <c r="C210" i="36"/>
  <c r="C827" i="4"/>
  <c r="D29" i="44"/>
  <c r="E432" i="36"/>
  <c r="E398" i="6"/>
  <c r="E1438" i="4"/>
  <c r="E418" i="9"/>
  <c r="E300" i="9"/>
  <c r="E1632" i="4"/>
  <c r="G26" i="51"/>
  <c r="E525" i="6"/>
  <c r="J36" i="48"/>
  <c r="E1479" i="4"/>
  <c r="E132" i="9"/>
  <c r="E579" i="36"/>
  <c r="E765" i="4"/>
  <c r="B27" i="43"/>
  <c r="E462" i="6"/>
  <c r="E1704" i="4"/>
  <c r="E1386" i="4"/>
  <c r="E353" i="9"/>
  <c r="E711" i="6"/>
  <c r="H30" i="48"/>
  <c r="C394" i="9"/>
  <c r="E1254" i="4"/>
  <c r="E183" i="6"/>
  <c r="E1153" i="4"/>
  <c r="E562" i="36"/>
  <c r="E1786" i="4"/>
  <c r="E541" i="6"/>
  <c r="E456" i="9"/>
  <c r="E1660" i="4"/>
  <c r="E1785" i="4"/>
  <c r="E1617" i="4"/>
  <c r="I31" i="48"/>
  <c r="C27" i="44"/>
  <c r="E1076" i="4"/>
  <c r="E1775" i="4"/>
  <c r="E1241" i="4"/>
  <c r="F26" i="48"/>
  <c r="E547" i="36"/>
  <c r="E110" i="36"/>
  <c r="E275" i="6"/>
  <c r="L12" i="43"/>
  <c r="E1489" i="4"/>
  <c r="E304" i="6"/>
  <c r="E463" i="6"/>
  <c r="I26" i="44"/>
  <c r="G34" i="50"/>
  <c r="E1793" i="4"/>
  <c r="I34" i="51"/>
  <c r="E1167" i="4"/>
  <c r="E340" i="36"/>
  <c r="E1495" i="4"/>
  <c r="D32" i="50"/>
  <c r="E1562" i="4"/>
  <c r="E1450" i="4"/>
  <c r="C712" i="4"/>
  <c r="E1357" i="4"/>
  <c r="E1750" i="4"/>
  <c r="E397" i="36"/>
  <c r="G9" i="51"/>
  <c r="E414" i="9"/>
  <c r="E125" i="10"/>
  <c r="E1653" i="4"/>
  <c r="E215" i="10"/>
  <c r="E161" i="6"/>
  <c r="H36" i="51"/>
  <c r="E586" i="36"/>
  <c r="E124" i="6"/>
  <c r="E173" i="6"/>
  <c r="E1501" i="4"/>
  <c r="E1626" i="4"/>
  <c r="E1647" i="4"/>
  <c r="E569" i="36"/>
  <c r="E532" i="6"/>
  <c r="E1416" i="4"/>
  <c r="E530" i="36"/>
  <c r="E1610" i="4"/>
  <c r="E349" i="6"/>
  <c r="E1172" i="4"/>
  <c r="E1515" i="4"/>
  <c r="E957" i="4"/>
  <c r="L14" i="24"/>
  <c r="B34" i="50"/>
  <c r="E1392" i="4"/>
  <c r="E142" i="36"/>
  <c r="E1228" i="4"/>
  <c r="H33" i="44"/>
  <c r="E976" i="4"/>
  <c r="L40" i="48"/>
  <c r="E862" i="4"/>
  <c r="E29" i="48"/>
  <c r="I38" i="44"/>
  <c r="E712" i="4"/>
  <c r="E666" i="4"/>
  <c r="E1011" i="4"/>
  <c r="E10" i="36"/>
  <c r="E24" i="37"/>
  <c r="E826" i="4"/>
  <c r="E836" i="4"/>
  <c r="E37" i="36"/>
  <c r="K38" i="51"/>
  <c r="H30" i="37"/>
  <c r="G22" i="24"/>
  <c r="E288" i="36"/>
  <c r="E1310" i="4"/>
  <c r="C609" i="4"/>
  <c r="C481" i="6"/>
  <c r="E1734" i="4"/>
  <c r="C1282" i="4"/>
  <c r="E1217" i="4"/>
  <c r="E587" i="36"/>
  <c r="E457" i="6"/>
  <c r="E1299" i="4"/>
  <c r="E1705" i="4"/>
  <c r="L33" i="48"/>
  <c r="E575" i="6"/>
  <c r="G28" i="50"/>
  <c r="E195" i="6"/>
  <c r="E1345" i="4"/>
  <c r="E1554" i="4"/>
  <c r="E1784" i="4"/>
  <c r="E29" i="44"/>
  <c r="M26" i="51"/>
  <c r="E152" i="36"/>
  <c r="C216" i="10"/>
  <c r="E1769" i="4"/>
  <c r="E1568" i="4"/>
  <c r="E857" i="4"/>
  <c r="C1035" i="4"/>
  <c r="D35" i="44"/>
  <c r="E94" i="36"/>
  <c r="D38" i="48"/>
  <c r="E1042" i="4"/>
  <c r="G38" i="44"/>
  <c r="E629" i="4"/>
  <c r="C29" i="51"/>
  <c r="L22" i="37"/>
  <c r="H40" i="50"/>
  <c r="E813" i="4"/>
  <c r="E690" i="4"/>
  <c r="E755" i="4"/>
  <c r="E468" i="36"/>
  <c r="E34" i="43"/>
  <c r="F28" i="43"/>
  <c r="E1010" i="4"/>
  <c r="F40" i="50"/>
  <c r="E594" i="4"/>
  <c r="I33" i="37"/>
  <c r="E1406" i="4"/>
  <c r="E1356" i="4"/>
  <c r="C27" i="37"/>
  <c r="E593" i="4"/>
  <c r="B25" i="44"/>
  <c r="M26" i="37"/>
  <c r="E1016" i="4"/>
  <c r="K30" i="37"/>
  <c r="E653" i="4"/>
  <c r="E834" i="4"/>
  <c r="E215" i="6"/>
  <c r="E99" i="36"/>
  <c r="E270" i="36"/>
  <c r="E176" i="6"/>
  <c r="I25" i="51"/>
  <c r="E157" i="36"/>
  <c r="E1472" i="4"/>
  <c r="K33" i="51"/>
  <c r="B26" i="43"/>
  <c r="E624" i="4"/>
  <c r="H28" i="43"/>
  <c r="J30" i="37"/>
  <c r="E256" i="36"/>
  <c r="G34" i="48"/>
  <c r="I32" i="44"/>
  <c r="L38" i="43"/>
  <c r="E742" i="4"/>
  <c r="C35" i="43"/>
  <c r="D33" i="43"/>
  <c r="E980" i="4"/>
  <c r="E1476" i="4"/>
  <c r="E1696" i="4"/>
  <c r="E730" i="4"/>
  <c r="H29" i="50"/>
  <c r="E492" i="6"/>
  <c r="E122" i="36"/>
  <c r="E849" i="4"/>
  <c r="E175" i="36"/>
  <c r="E776" i="4"/>
  <c r="D38" i="43"/>
  <c r="L29" i="43"/>
  <c r="E977" i="4"/>
  <c r="J40" i="44"/>
  <c r="E277" i="36"/>
  <c r="M28" i="24"/>
  <c r="B33" i="43"/>
  <c r="D39" i="43"/>
  <c r="E767" i="4"/>
  <c r="E32" i="43"/>
  <c r="E290" i="36"/>
  <c r="E524" i="36"/>
  <c r="E804" i="4"/>
  <c r="E763" i="4"/>
  <c r="E135" i="36"/>
  <c r="E175" i="9"/>
  <c r="E1418" i="4"/>
  <c r="F38" i="48"/>
  <c r="B34" i="43"/>
  <c r="E505" i="36"/>
  <c r="I27" i="37"/>
  <c r="E182" i="9"/>
  <c r="E711" i="4"/>
  <c r="F33" i="43"/>
  <c r="M40" i="51"/>
  <c r="E636" i="4"/>
  <c r="E792" i="4"/>
  <c r="E315" i="36"/>
  <c r="K33" i="43"/>
  <c r="E160" i="36"/>
  <c r="E198" i="36"/>
  <c r="E193" i="6"/>
  <c r="E634" i="4"/>
  <c r="E42" i="36"/>
  <c r="E79" i="36"/>
  <c r="E842" i="4"/>
  <c r="I28" i="48"/>
  <c r="E1650" i="4"/>
  <c r="C40" i="48"/>
  <c r="E96" i="36"/>
  <c r="E803" i="4"/>
  <c r="E900" i="4"/>
  <c r="E892" i="4"/>
  <c r="E927" i="4"/>
  <c r="E319" i="36"/>
  <c r="E1385" i="4"/>
  <c r="L24" i="37"/>
  <c r="E435" i="36"/>
  <c r="E777" i="4"/>
  <c r="E1746" i="4"/>
  <c r="E125" i="36"/>
  <c r="E764" i="4"/>
  <c r="E130" i="36"/>
  <c r="D12" i="51"/>
  <c r="C398" i="36"/>
  <c r="C1293" i="4"/>
  <c r="C1316" i="4"/>
  <c r="G36" i="44"/>
  <c r="E330" i="6"/>
  <c r="E128" i="10"/>
  <c r="E904" i="4"/>
  <c r="E1191" i="4"/>
  <c r="G11" i="37"/>
  <c r="E409" i="9"/>
  <c r="K38" i="50"/>
  <c r="E392" i="6"/>
  <c r="E236" i="6"/>
  <c r="E540" i="36"/>
  <c r="E1169" i="4"/>
  <c r="L31" i="51"/>
  <c r="E274" i="9"/>
  <c r="E730" i="6"/>
  <c r="C169" i="9"/>
  <c r="E121" i="6"/>
  <c r="E373" i="36"/>
  <c r="H34" i="48"/>
  <c r="E81" i="36"/>
  <c r="E1170" i="4"/>
  <c r="E856" i="4"/>
  <c r="E183" i="36"/>
  <c r="B29" i="43"/>
  <c r="E948" i="4"/>
  <c r="L28" i="44"/>
  <c r="J29" i="37"/>
  <c r="C31" i="43"/>
  <c r="E1395" i="4"/>
  <c r="E1032" i="4"/>
  <c r="E188" i="6"/>
  <c r="K28" i="51"/>
  <c r="G23" i="24"/>
  <c r="E1102" i="4"/>
  <c r="E25" i="43"/>
  <c r="E686" i="4"/>
  <c r="E476" i="36"/>
  <c r="E22" i="37"/>
  <c r="G28" i="51"/>
  <c r="E708" i="4"/>
  <c r="E978" i="4"/>
  <c r="B39" i="48"/>
  <c r="E637" i="4"/>
  <c r="H39" i="43"/>
  <c r="E485" i="6"/>
  <c r="E606" i="4"/>
  <c r="E707" i="4"/>
  <c r="E48" i="36"/>
  <c r="E209" i="36"/>
  <c r="H29" i="44"/>
  <c r="E885" i="4"/>
  <c r="E697" i="4"/>
  <c r="E7" i="36"/>
  <c r="E1519" i="4"/>
  <c r="B28" i="51"/>
  <c r="E756" i="4"/>
  <c r="E798" i="4"/>
  <c r="L39" i="51"/>
  <c r="E954" i="4"/>
  <c r="E632" i="4"/>
  <c r="H29" i="37"/>
  <c r="E1094" i="4"/>
  <c r="E155" i="6"/>
  <c r="L29" i="50"/>
  <c r="B28" i="43"/>
  <c r="F38" i="43"/>
  <c r="E700" i="4"/>
  <c r="E434" i="36"/>
  <c r="E490" i="36"/>
  <c r="E244" i="6"/>
  <c r="E861" i="4"/>
  <c r="D28" i="37"/>
  <c r="E22" i="36"/>
  <c r="E49" i="36"/>
  <c r="E912" i="4"/>
  <c r="E920" i="4"/>
  <c r="E196" i="36"/>
  <c r="E232" i="36"/>
  <c r="E248" i="36"/>
  <c r="G25" i="37"/>
  <c r="E774" i="4"/>
  <c r="F26" i="37"/>
  <c r="J25" i="44"/>
  <c r="E382" i="36"/>
  <c r="E1213" i="4"/>
  <c r="E838" i="4"/>
  <c r="E867" i="4"/>
  <c r="E283" i="36"/>
  <c r="E1192" i="4"/>
  <c r="E154" i="36"/>
  <c r="J32" i="37"/>
  <c r="E1103" i="4"/>
  <c r="E152" i="9"/>
  <c r="K37" i="50"/>
  <c r="E354" i="36"/>
  <c r="C1076" i="4"/>
  <c r="E1277" i="4"/>
  <c r="C38" i="50"/>
  <c r="E416" i="9"/>
  <c r="M31" i="43"/>
  <c r="E339" i="9"/>
  <c r="E1130" i="4"/>
  <c r="C1656" i="4"/>
  <c r="L40" i="43"/>
  <c r="J40" i="43"/>
  <c r="E365" i="36"/>
  <c r="E402" i="36"/>
  <c r="E1181" i="4"/>
  <c r="M32" i="43"/>
  <c r="E271" i="36"/>
  <c r="E335" i="9"/>
  <c r="D10" i="50"/>
  <c r="I4" i="48"/>
  <c r="E1505" i="4"/>
  <c r="H26" i="50"/>
  <c r="E1603" i="4"/>
  <c r="E294" i="9"/>
  <c r="E1574" i="4"/>
  <c r="M23" i="24"/>
  <c r="G33" i="48"/>
  <c r="E19" i="36"/>
  <c r="H40" i="51"/>
  <c r="B25" i="43"/>
  <c r="E66" i="36"/>
  <c r="E307" i="36"/>
  <c r="E913" i="4"/>
  <c r="J40" i="50"/>
  <c r="E614" i="4"/>
  <c r="E745" i="4"/>
  <c r="J30" i="24"/>
  <c r="E351" i="9"/>
  <c r="L29" i="48"/>
  <c r="I27" i="24"/>
  <c r="B40" i="48"/>
  <c r="E262" i="36"/>
  <c r="E644" i="4"/>
  <c r="E741" i="4"/>
  <c r="E163" i="36"/>
  <c r="E203" i="36"/>
  <c r="E420" i="36"/>
  <c r="E584" i="36"/>
  <c r="I28" i="51"/>
  <c r="I22" i="24"/>
  <c r="E454" i="36"/>
  <c r="E1370" i="4"/>
  <c r="E167" i="6"/>
  <c r="E53" i="36"/>
  <c r="E29" i="43"/>
  <c r="E701" i="4"/>
  <c r="E796" i="4"/>
  <c r="E211" i="36"/>
  <c r="E188" i="36"/>
  <c r="H24" i="37"/>
  <c r="E789" i="4"/>
  <c r="E453" i="36"/>
  <c r="E953" i="4"/>
  <c r="E1002" i="4"/>
  <c r="E1031" i="4"/>
  <c r="H40" i="44"/>
  <c r="J28" i="24"/>
  <c r="H33" i="48"/>
  <c r="K33" i="44"/>
  <c r="G40" i="44"/>
  <c r="E925" i="4"/>
  <c r="E1401" i="4"/>
  <c r="E673" i="4"/>
  <c r="B28" i="44"/>
  <c r="E664" i="4"/>
  <c r="H23" i="37"/>
  <c r="E716" i="4"/>
  <c r="E917" i="4"/>
  <c r="E39" i="51"/>
  <c r="I40" i="48"/>
  <c r="E897" i="4"/>
  <c r="E1162" i="4"/>
  <c r="E467" i="36"/>
  <c r="E1295" i="4"/>
  <c r="I39" i="48"/>
  <c r="E822" i="4"/>
  <c r="E659" i="4"/>
  <c r="F39" i="43"/>
  <c r="G25" i="43"/>
  <c r="E322" i="36"/>
  <c r="I30" i="37"/>
  <c r="E195" i="9"/>
  <c r="E738" i="4"/>
  <c r="E746" i="4"/>
  <c r="F33" i="50"/>
  <c r="E39" i="43"/>
  <c r="E204" i="36"/>
  <c r="J27" i="24"/>
  <c r="E911" i="4"/>
  <c r="E650" i="4"/>
  <c r="E709" i="4"/>
  <c r="F33" i="48"/>
  <c r="E356" i="9"/>
  <c r="E837" i="4"/>
  <c r="E1665" i="4"/>
  <c r="E915" i="4"/>
  <c r="E694" i="4"/>
  <c r="L38" i="44"/>
  <c r="E1129" i="4"/>
  <c r="L28" i="43"/>
  <c r="E538" i="36"/>
  <c r="E227" i="9"/>
  <c r="D28" i="48"/>
  <c r="E868" i="4"/>
  <c r="E233" i="36"/>
  <c r="E605" i="4"/>
  <c r="E1005" i="4"/>
  <c r="K23" i="24"/>
  <c r="F23" i="37"/>
  <c r="E926" i="4"/>
  <c r="E490" i="6"/>
  <c r="B5" i="48"/>
  <c r="E348" i="9"/>
  <c r="C1170" i="4"/>
  <c r="E1725" i="4"/>
  <c r="G26" i="48"/>
  <c r="E156" i="36"/>
  <c r="I19" i="50"/>
  <c r="E1498" i="4"/>
  <c r="E243" i="36"/>
  <c r="M34" i="50"/>
  <c r="E975" i="4"/>
  <c r="E1218" i="4"/>
  <c r="E1461" i="4"/>
  <c r="E1250" i="4"/>
  <c r="I26" i="50"/>
  <c r="E172" i="10"/>
  <c r="E1302" i="4"/>
  <c r="E1110" i="4"/>
  <c r="K7" i="48"/>
  <c r="C856" i="4"/>
  <c r="E1771" i="4"/>
  <c r="E1694" i="4"/>
  <c r="E32" i="44"/>
  <c r="E997" i="4"/>
  <c r="E1797" i="4"/>
  <c r="E62" i="36"/>
  <c r="E1308" i="4"/>
  <c r="E1154" i="4"/>
  <c r="E971" i="4"/>
  <c r="J40" i="48"/>
  <c r="C38" i="51"/>
  <c r="E785" i="4"/>
  <c r="E966" i="4"/>
  <c r="C28" i="43"/>
  <c r="C33" i="48"/>
  <c r="D25" i="44"/>
  <c r="E261" i="9"/>
  <c r="G30" i="48"/>
  <c r="L28" i="51"/>
  <c r="E622" i="4"/>
  <c r="E1390" i="4"/>
  <c r="E261" i="36"/>
  <c r="E1284" i="4"/>
  <c r="E67" i="36"/>
  <c r="E58" i="36"/>
  <c r="E739" i="4"/>
  <c r="G40" i="51"/>
  <c r="E951" i="4"/>
  <c r="H38" i="48"/>
  <c r="K28" i="44"/>
  <c r="E773" i="4"/>
  <c r="C39" i="43"/>
  <c r="L23" i="24"/>
  <c r="E729" i="4"/>
  <c r="D39" i="48"/>
  <c r="H38" i="43"/>
  <c r="E184" i="36"/>
  <c r="F29" i="48"/>
  <c r="E724" i="4"/>
  <c r="J23" i="24"/>
  <c r="E689" i="4"/>
  <c r="G33" i="44"/>
  <c r="E715" i="4"/>
  <c r="E898" i="4"/>
  <c r="M29" i="43"/>
  <c r="E205" i="6"/>
  <c r="E736" i="4"/>
  <c r="E83" i="36"/>
  <c r="E610" i="4"/>
  <c r="C40" i="44"/>
  <c r="C965" i="4"/>
  <c r="C373" i="9"/>
  <c r="C103" i="10"/>
  <c r="E1579" i="4"/>
  <c r="E1523" i="4"/>
  <c r="E1027" i="4"/>
  <c r="E1341" i="4"/>
  <c r="E395" i="6"/>
  <c r="E1180" i="4"/>
  <c r="E362" i="6"/>
  <c r="E604" i="6"/>
  <c r="E282" i="9"/>
  <c r="E431" i="6"/>
  <c r="E455" i="6"/>
  <c r="M31" i="50"/>
  <c r="E1669" i="4"/>
  <c r="E33" i="50"/>
  <c r="B26" i="48"/>
  <c r="E530" i="6"/>
  <c r="G27" i="51"/>
  <c r="E295" i="9"/>
  <c r="L26" i="51"/>
  <c r="E1770" i="4"/>
  <c r="K35" i="48"/>
  <c r="E717" i="6"/>
  <c r="H23" i="24"/>
  <c r="J39" i="51"/>
  <c r="E799" i="4"/>
  <c r="H32" i="37"/>
  <c r="E574" i="36"/>
  <c r="E648" i="4"/>
  <c r="E1262" i="4"/>
  <c r="G39" i="43"/>
  <c r="E864" i="4"/>
  <c r="C39" i="51"/>
  <c r="E1055" i="4"/>
  <c r="I29" i="48"/>
  <c r="D33" i="48"/>
  <c r="E314" i="36"/>
  <c r="E195" i="36"/>
  <c r="M27" i="37"/>
  <c r="E843" i="4"/>
  <c r="E853" i="4"/>
  <c r="J35" i="51"/>
  <c r="E26" i="43"/>
  <c r="E88" i="36"/>
  <c r="E1058" i="4"/>
  <c r="E943" i="4"/>
  <c r="E54" i="36"/>
  <c r="E793" i="4"/>
  <c r="E808" i="4"/>
  <c r="E981" i="4"/>
  <c r="E32" i="37"/>
  <c r="L30" i="37"/>
  <c r="K34" i="51"/>
  <c r="E891" i="4"/>
  <c r="J24" i="37"/>
  <c r="I25" i="43"/>
  <c r="D33" i="51"/>
  <c r="E239" i="36"/>
  <c r="E1166" i="4"/>
  <c r="E678" i="4"/>
  <c r="E511" i="36"/>
  <c r="E333" i="36"/>
  <c r="J39" i="44"/>
  <c r="E224" i="36"/>
  <c r="E284" i="36"/>
  <c r="K39" i="48"/>
  <c r="E246" i="9"/>
  <c r="E835" i="4"/>
  <c r="I28" i="44"/>
  <c r="E865" i="4"/>
  <c r="E591" i="36"/>
  <c r="E1017" i="4"/>
  <c r="E907" i="4"/>
  <c r="E197" i="36"/>
  <c r="E161" i="36"/>
  <c r="K28" i="43"/>
  <c r="E244" i="9"/>
  <c r="H40" i="48"/>
  <c r="K25" i="51"/>
  <c r="F22" i="24"/>
  <c r="M39" i="43"/>
  <c r="E677" i="4"/>
  <c r="F25" i="50"/>
  <c r="E101" i="10"/>
  <c r="B29" i="44"/>
  <c r="E35" i="36"/>
  <c r="K27" i="24"/>
  <c r="D32" i="48"/>
  <c r="G28" i="48"/>
  <c r="E934" i="4"/>
  <c r="G25" i="51"/>
  <c r="E240" i="36"/>
  <c r="K40" i="51"/>
  <c r="E328" i="36"/>
  <c r="E303" i="36"/>
  <c r="L40" i="51"/>
  <c r="E942" i="4"/>
  <c r="H26" i="37"/>
  <c r="E257" i="9"/>
  <c r="E25" i="36"/>
  <c r="K24" i="37"/>
  <c r="K27" i="37"/>
  <c r="E104" i="36"/>
  <c r="E620" i="4"/>
  <c r="I40" i="44"/>
  <c r="G25" i="24"/>
  <c r="F25" i="51"/>
  <c r="K28" i="50"/>
  <c r="L25" i="24"/>
  <c r="E255" i="36"/>
  <c r="K38" i="48"/>
  <c r="C25" i="44"/>
  <c r="J31" i="48"/>
  <c r="F10" i="43"/>
  <c r="C1735" i="4"/>
  <c r="E1662" i="4"/>
  <c r="E1015" i="4"/>
  <c r="E265" i="6"/>
  <c r="E1732" i="4"/>
  <c r="E1078" i="4"/>
  <c r="E222" i="6"/>
  <c r="E448" i="36"/>
  <c r="E1340" i="4"/>
  <c r="E236" i="36"/>
  <c r="C115" i="36"/>
  <c r="E347" i="9"/>
  <c r="E143" i="36"/>
  <c r="L34" i="50"/>
  <c r="E1260" i="4"/>
  <c r="E340" i="6"/>
  <c r="E291" i="9"/>
  <c r="E413" i="6"/>
  <c r="I32" i="50"/>
  <c r="E1551" i="4"/>
  <c r="E179" i="10"/>
  <c r="E469" i="6"/>
  <c r="E228" i="9"/>
  <c r="K22" i="24"/>
  <c r="D33" i="44"/>
  <c r="E404" i="9"/>
  <c r="E275" i="36"/>
  <c r="K25" i="37"/>
  <c r="E670" i="4"/>
  <c r="E888" i="4"/>
  <c r="G24" i="24"/>
  <c r="E109" i="36"/>
  <c r="E1053" i="4"/>
  <c r="E1331" i="4"/>
  <c r="J38" i="48"/>
  <c r="E332" i="36"/>
  <c r="K25" i="43"/>
  <c r="E852" i="4"/>
  <c r="E108" i="36"/>
  <c r="E854" i="4"/>
  <c r="J38" i="43"/>
  <c r="E145" i="36"/>
  <c r="H24" i="24"/>
  <c r="E38" i="51"/>
  <c r="C39" i="44"/>
  <c r="E983" i="4"/>
  <c r="E1560" i="4"/>
  <c r="B33" i="48"/>
  <c r="D29" i="48"/>
  <c r="K39" i="43"/>
  <c r="E1637" i="4"/>
  <c r="E302" i="36"/>
  <c r="E230" i="36"/>
  <c r="E38" i="44"/>
  <c r="C22" i="37"/>
  <c r="E688" i="4"/>
  <c r="E681" i="4"/>
  <c r="G26" i="43"/>
  <c r="L39" i="43"/>
  <c r="E227" i="6"/>
  <c r="H39" i="44"/>
  <c r="E267" i="9"/>
  <c r="E1225" i="4"/>
  <c r="E1080" i="4"/>
  <c r="K29" i="44"/>
  <c r="F40" i="48"/>
  <c r="E57" i="36"/>
  <c r="E944" i="4"/>
  <c r="E158" i="36"/>
  <c r="E801" i="4"/>
  <c r="E651" i="4"/>
  <c r="E126" i="36"/>
  <c r="E1163" i="4"/>
  <c r="F33" i="44"/>
  <c r="J38" i="44"/>
  <c r="C33" i="51"/>
  <c r="E939" i="4"/>
  <c r="E291" i="36"/>
  <c r="C33" i="43"/>
  <c r="E608" i="4"/>
  <c r="K32" i="48"/>
  <c r="E247" i="36"/>
  <c r="E26" i="36"/>
  <c r="E112" i="36"/>
  <c r="D29" i="43"/>
  <c r="F29" i="51"/>
  <c r="E1040" i="4"/>
  <c r="E841" i="4"/>
  <c r="I23" i="24"/>
  <c r="F38" i="51"/>
  <c r="E1020" i="4"/>
  <c r="F40" i="43"/>
  <c r="E994" i="4"/>
  <c r="F32" i="37"/>
  <c r="E638" i="4"/>
  <c r="H38" i="51"/>
  <c r="E40" i="44"/>
  <c r="I39" i="43"/>
  <c r="E282" i="36"/>
  <c r="E1018" i="4"/>
  <c r="E15" i="36"/>
  <c r="B30" i="37"/>
  <c r="K34" i="43"/>
  <c r="I25" i="24"/>
  <c r="E38" i="48"/>
  <c r="F25" i="37"/>
  <c r="E1244" i="4"/>
  <c r="E298" i="36"/>
  <c r="M28" i="43"/>
  <c r="H38" i="44"/>
  <c r="E1238" i="4"/>
  <c r="M25" i="51"/>
  <c r="E487" i="6"/>
  <c r="E731" i="4"/>
  <c r="E1482" i="4"/>
  <c r="J40" i="51"/>
  <c r="E820" i="4"/>
  <c r="F27" i="24"/>
  <c r="G24" i="37"/>
  <c r="E879" i="4"/>
  <c r="E908" i="4"/>
  <c r="D26" i="43"/>
  <c r="E778" i="4"/>
  <c r="E1388" i="4"/>
  <c r="E1256" i="4"/>
  <c r="G36" i="50"/>
  <c r="L35" i="48"/>
  <c r="E366" i="6"/>
  <c r="C118" i="6"/>
  <c r="E459" i="36"/>
  <c r="E525" i="36"/>
  <c r="D19" i="43"/>
  <c r="C35" i="48"/>
  <c r="E286" i="9"/>
  <c r="E1493" i="4"/>
  <c r="E636" i="6"/>
  <c r="E1062" i="4"/>
  <c r="E461" i="9"/>
  <c r="I6" i="51"/>
  <c r="E1145" i="4"/>
  <c r="E433" i="36"/>
  <c r="E987" i="4"/>
  <c r="E875" i="4"/>
  <c r="E283" i="6"/>
  <c r="J32" i="48"/>
  <c r="E378" i="9"/>
  <c r="D34" i="51"/>
  <c r="E101" i="36"/>
  <c r="E972" i="4"/>
  <c r="E25" i="37"/>
  <c r="E598" i="4"/>
  <c r="E475" i="36"/>
  <c r="G26" i="37"/>
  <c r="E903" i="4"/>
  <c r="H28" i="37"/>
  <c r="E810" i="4"/>
  <c r="B32" i="48"/>
  <c r="E672" i="4"/>
  <c r="E821" i="4"/>
  <c r="C28" i="44"/>
  <c r="E1067" i="4"/>
  <c r="E855" i="4"/>
  <c r="H25" i="51"/>
  <c r="E669" i="4"/>
  <c r="E1248" i="4"/>
  <c r="B40" i="50"/>
  <c r="E734" i="4"/>
  <c r="I40" i="51"/>
  <c r="F32" i="43"/>
  <c r="E238" i="36"/>
  <c r="G29" i="43"/>
  <c r="E795" i="4"/>
  <c r="J29" i="24"/>
  <c r="E794" i="4"/>
  <c r="E28" i="44"/>
  <c r="C25" i="50"/>
  <c r="H39" i="51"/>
  <c r="F28" i="44"/>
  <c r="E710" i="4"/>
  <c r="E148" i="9"/>
  <c r="J26" i="43"/>
  <c r="E949" i="4"/>
  <c r="E312" i="36"/>
  <c r="E204" i="9"/>
  <c r="E1024" i="4"/>
  <c r="B8" i="50"/>
  <c r="C1000" i="4"/>
  <c r="E371" i="6"/>
  <c r="E1730" i="4"/>
  <c r="C26" i="48"/>
  <c r="E1056" i="4"/>
  <c r="E145" i="9"/>
  <c r="E1287" i="4"/>
  <c r="E428" i="6"/>
  <c r="M26" i="50"/>
  <c r="E1313" i="4"/>
  <c r="B35" i="51"/>
  <c r="E365" i="9"/>
  <c r="D25" i="50"/>
  <c r="C320" i="10"/>
  <c r="B31" i="48"/>
  <c r="E1799" i="4"/>
  <c r="E1706" i="4"/>
  <c r="G36" i="43"/>
  <c r="E470" i="36"/>
  <c r="E201" i="6"/>
  <c r="E269" i="36"/>
  <c r="E435" i="6"/>
  <c r="E507" i="36"/>
  <c r="E264" i="36"/>
  <c r="E655" i="4"/>
  <c r="E922" i="4"/>
  <c r="G22" i="37"/>
  <c r="K25" i="50"/>
  <c r="I25" i="48"/>
  <c r="L30" i="24"/>
  <c r="E699" i="4"/>
  <c r="E131" i="36"/>
  <c r="E38" i="43"/>
  <c r="E768" i="4"/>
  <c r="E203" i="9"/>
  <c r="F22" i="37"/>
  <c r="E241" i="9"/>
  <c r="E848" i="4"/>
  <c r="E376" i="36"/>
  <c r="E41" i="36"/>
  <c r="E999" i="4"/>
  <c r="E383" i="36"/>
  <c r="E199" i="6"/>
  <c r="E791" i="4"/>
  <c r="E255" i="9"/>
  <c r="M38" i="44"/>
  <c r="E809" i="4"/>
  <c r="G40" i="50"/>
  <c r="I22" i="37"/>
  <c r="K39" i="51"/>
  <c r="E757" i="4"/>
  <c r="E343" i="36"/>
  <c r="E961" i="4"/>
  <c r="J33" i="48"/>
  <c r="I30" i="24"/>
  <c r="B32" i="51"/>
  <c r="F40" i="51"/>
  <c r="M27" i="24"/>
  <c r="E1275" i="4"/>
  <c r="E830" i="4"/>
  <c r="L29" i="37"/>
  <c r="E761" i="4"/>
  <c r="E909" i="4"/>
  <c r="E1026" i="4"/>
  <c r="I29" i="51"/>
  <c r="E623" i="4"/>
  <c r="E1614" i="4"/>
  <c r="I39" i="51"/>
  <c r="G27" i="37"/>
  <c r="E1309" i="4"/>
  <c r="E289" i="36"/>
  <c r="D38" i="44"/>
  <c r="D28" i="44"/>
  <c r="G32" i="37"/>
  <c r="E181" i="9"/>
  <c r="E30" i="36"/>
  <c r="E1337" i="4"/>
  <c r="K35" i="51"/>
  <c r="I39" i="44"/>
  <c r="E63" i="36"/>
  <c r="E1274" i="4"/>
  <c r="E30" i="37"/>
  <c r="E1119" i="4"/>
  <c r="E28" i="48"/>
  <c r="E561" i="36"/>
  <c r="E128" i="9"/>
  <c r="M39" i="44"/>
  <c r="E33" i="44"/>
  <c r="E32" i="48"/>
  <c r="E1190" i="4"/>
  <c r="E771" i="4"/>
  <c r="E1249" i="4"/>
  <c r="E649" i="4"/>
  <c r="E590" i="4"/>
  <c r="E567" i="36"/>
  <c r="D29" i="37"/>
  <c r="E1092" i="4"/>
  <c r="E73" i="36"/>
  <c r="E812" i="4"/>
  <c r="E34" i="48"/>
  <c r="E216" i="6"/>
  <c r="E169" i="36"/>
  <c r="F29" i="44"/>
  <c r="E1083" i="4"/>
  <c r="E938" i="4"/>
  <c r="F24" i="24"/>
  <c r="E182" i="36"/>
  <c r="E38" i="36"/>
  <c r="L33" i="37"/>
  <c r="E338" i="36"/>
  <c r="E210" i="36"/>
  <c r="I26" i="43"/>
  <c r="E189" i="10"/>
  <c r="E353" i="36"/>
  <c r="C1018" i="4"/>
  <c r="E113" i="6"/>
  <c r="J35" i="43"/>
  <c r="E1229" i="4"/>
  <c r="I26" i="48"/>
  <c r="E1126" i="4"/>
  <c r="E129" i="10"/>
  <c r="E935" i="4"/>
  <c r="E1701" i="4"/>
  <c r="J27" i="44"/>
  <c r="E1697" i="4"/>
  <c r="E254" i="9"/>
  <c r="B18" i="48"/>
  <c r="E1075" i="4"/>
  <c r="E1431" i="4"/>
  <c r="F38" i="50"/>
  <c r="L39" i="50"/>
  <c r="E269" i="6"/>
  <c r="E351" i="36"/>
  <c r="E343" i="9"/>
  <c r="E1074" i="4"/>
  <c r="E1343" i="4"/>
  <c r="E401" i="9"/>
  <c r="D28" i="43"/>
  <c r="E658" i="4"/>
  <c r="E725" i="4"/>
  <c r="E498" i="6"/>
  <c r="E930" i="4"/>
  <c r="E311" i="36"/>
  <c r="G32" i="48"/>
  <c r="E684" i="4"/>
  <c r="E205" i="36"/>
  <c r="E1557" i="4"/>
  <c r="E202" i="36"/>
  <c r="L40" i="44"/>
  <c r="E1035" i="4"/>
  <c r="E959" i="4"/>
  <c r="E40" i="48"/>
  <c r="L39" i="44"/>
  <c r="E191" i="36"/>
  <c r="I25" i="37"/>
  <c r="E209" i="6"/>
  <c r="E1216" i="4"/>
  <c r="C29" i="44"/>
  <c r="E554" i="36"/>
  <c r="E389" i="36"/>
  <c r="B24" i="37"/>
  <c r="E870" i="4"/>
  <c r="E134" i="9"/>
  <c r="E555" i="36"/>
  <c r="E766" i="4"/>
  <c r="E847" i="4"/>
  <c r="H25" i="44"/>
  <c r="I34" i="43"/>
  <c r="E621" i="4"/>
  <c r="M32" i="37"/>
  <c r="E824" i="4"/>
  <c r="M25" i="50"/>
  <c r="E723" i="4"/>
  <c r="E34" i="36"/>
  <c r="E615" i="4"/>
  <c r="C30" i="37"/>
  <c r="E1628" i="4"/>
  <c r="J32" i="43"/>
  <c r="K38" i="44"/>
  <c r="E306" i="36"/>
  <c r="E483" i="36"/>
  <c r="E103" i="36"/>
  <c r="E698" i="4"/>
  <c r="M23" i="37"/>
  <c r="E1618" i="4"/>
  <c r="M25" i="24"/>
  <c r="E928" i="4"/>
  <c r="E693" i="6"/>
  <c r="E1290" i="4"/>
  <c r="C463" i="36"/>
  <c r="E411" i="36"/>
  <c r="E1171" i="4"/>
  <c r="B28" i="50"/>
  <c r="E1046" i="4"/>
  <c r="E173" i="36"/>
  <c r="E270" i="9"/>
  <c r="E1720" i="4"/>
  <c r="F35" i="48"/>
  <c r="E1471" i="4"/>
  <c r="E387" i="9"/>
  <c r="K27" i="44"/>
  <c r="C1190" i="4"/>
  <c r="E1245" i="4"/>
  <c r="E305" i="6"/>
  <c r="E487" i="36"/>
  <c r="E565" i="36"/>
  <c r="E167" i="10"/>
  <c r="J25" i="50"/>
  <c r="E574" i="6"/>
  <c r="E374" i="36"/>
  <c r="E1347" i="4"/>
  <c r="J25" i="51"/>
  <c r="G38" i="48"/>
  <c r="E29" i="36"/>
  <c r="E359" i="36"/>
  <c r="E212" i="36"/>
  <c r="I24" i="24"/>
  <c r="D32" i="37"/>
  <c r="E187" i="9"/>
  <c r="E1378" i="4"/>
  <c r="H28" i="44"/>
  <c r="E285" i="36"/>
  <c r="K30" i="24"/>
  <c r="D35" i="43"/>
  <c r="H30" i="24"/>
  <c r="I25" i="50"/>
  <c r="E696" i="4"/>
  <c r="E241" i="6"/>
  <c r="J29" i="51"/>
  <c r="E1286" i="4"/>
  <c r="E1371" i="4"/>
  <c r="F39" i="48"/>
  <c r="E733" i="4"/>
  <c r="E603" i="4"/>
  <c r="E226" i="36"/>
  <c r="E759" i="4"/>
  <c r="I34" i="44"/>
  <c r="E818" i="4"/>
  <c r="E744" i="4"/>
  <c r="E1440" i="4"/>
  <c r="E992" i="4"/>
  <c r="E27" i="37"/>
  <c r="E153" i="6"/>
  <c r="E753" i="4"/>
  <c r="B28" i="48"/>
  <c r="F27" i="37"/>
  <c r="E1741" i="4"/>
  <c r="F30" i="37"/>
  <c r="E823" i="4"/>
  <c r="L32" i="48"/>
  <c r="E337" i="36"/>
  <c r="E827" i="4"/>
  <c r="C25" i="43"/>
  <c r="I29" i="43"/>
  <c r="E974" i="4"/>
  <c r="E588" i="4"/>
  <c r="E721" i="4"/>
  <c r="E751" i="4"/>
  <c r="I38" i="48"/>
  <c r="E427" i="36"/>
  <c r="E33" i="36"/>
  <c r="E250" i="9"/>
  <c r="G28" i="37"/>
  <c r="E1199" i="4"/>
  <c r="E1411" i="4"/>
  <c r="E245" i="6"/>
  <c r="D32" i="43"/>
  <c r="H25" i="24"/>
  <c r="M25" i="43"/>
  <c r="I38" i="51"/>
  <c r="I29" i="44"/>
  <c r="E12" i="36"/>
  <c r="E1516" i="4"/>
  <c r="E413" i="36"/>
  <c r="E595" i="4"/>
  <c r="E840" i="4"/>
  <c r="E310" i="36"/>
  <c r="L27" i="37"/>
  <c r="E150" i="9"/>
  <c r="D40" i="44"/>
  <c r="E871" i="4"/>
  <c r="B40" i="44"/>
  <c r="K39" i="44"/>
  <c r="E176" i="36"/>
  <c r="K22" i="37"/>
  <c r="E254" i="36"/>
  <c r="E896" i="4"/>
  <c r="E645" i="4"/>
  <c r="M33" i="44"/>
  <c r="D30" i="37"/>
  <c r="L38" i="48"/>
  <c r="E1580" i="4"/>
  <c r="E390" i="36"/>
  <c r="E1230" i="4"/>
  <c r="G34" i="43"/>
  <c r="E406" i="36"/>
  <c r="E906" i="4"/>
  <c r="F39" i="44"/>
  <c r="G23" i="37"/>
  <c r="H32" i="43"/>
  <c r="F40" i="44"/>
  <c r="E628" i="4"/>
  <c r="K26" i="44"/>
  <c r="C59" i="36"/>
  <c r="E130" i="6"/>
  <c r="E325" i="9"/>
  <c r="E280" i="36"/>
  <c r="E1699" i="4"/>
  <c r="E303" i="6"/>
  <c r="E33" i="51"/>
  <c r="E28" i="51"/>
  <c r="E439" i="6"/>
  <c r="E692" i="6"/>
  <c r="E369" i="9"/>
  <c r="E137" i="6"/>
  <c r="I31" i="44"/>
  <c r="E170" i="36"/>
  <c r="E365" i="6"/>
  <c r="E1524" i="4"/>
  <c r="E228" i="6"/>
  <c r="E1690" i="4"/>
  <c r="E206" i="36"/>
  <c r="E309" i="6"/>
  <c r="E509" i="36"/>
  <c r="E391" i="36"/>
  <c r="E1599" i="4"/>
  <c r="E151" i="36"/>
  <c r="E28" i="43"/>
  <c r="E914" i="4"/>
  <c r="E121" i="36"/>
  <c r="E726" i="4"/>
  <c r="E39" i="44"/>
  <c r="E1399" i="4"/>
  <c r="E268" i="9"/>
  <c r="E220" i="9"/>
  <c r="B33" i="51"/>
  <c r="E178" i="9"/>
  <c r="G39" i="48"/>
  <c r="E254" i="6"/>
  <c r="L27" i="24"/>
  <c r="E1128" i="4"/>
  <c r="E531" i="36"/>
  <c r="E960" i="4"/>
  <c r="E164" i="36"/>
  <c r="E1043" i="4"/>
  <c r="E1396" i="4"/>
  <c r="J28" i="44"/>
  <c r="G38" i="51"/>
  <c r="E1041" i="4"/>
  <c r="E762" i="4"/>
  <c r="E280" i="9"/>
  <c r="D27" i="37"/>
  <c r="E501" i="6"/>
  <c r="E78" i="36"/>
  <c r="L39" i="48"/>
  <c r="E656" i="4"/>
  <c r="G28" i="44"/>
  <c r="E1819" i="4"/>
  <c r="F23" i="24"/>
  <c r="E1409" i="4"/>
  <c r="E1236" i="4"/>
  <c r="E1592" i="4"/>
  <c r="E219" i="36"/>
  <c r="E29" i="50"/>
  <c r="L26" i="43"/>
  <c r="E445" i="36"/>
  <c r="I33" i="48"/>
  <c r="E923" i="4"/>
  <c r="E132" i="6"/>
  <c r="E117" i="36"/>
  <c r="E662" i="4"/>
  <c r="D25" i="37"/>
  <c r="F29" i="43"/>
  <c r="E970" i="4"/>
  <c r="E40" i="51"/>
  <c r="E750" i="4"/>
  <c r="M22" i="24"/>
  <c r="E693" i="4"/>
  <c r="B39" i="43"/>
  <c r="E883" i="4"/>
  <c r="M38" i="43"/>
  <c r="E630" i="4"/>
  <c r="E1361" i="4"/>
  <c r="E674" i="4"/>
  <c r="E817" i="4"/>
  <c r="J29" i="48"/>
  <c r="B40" i="43"/>
  <c r="E1141" i="4"/>
  <c r="J23" i="37"/>
  <c r="C26" i="37"/>
  <c r="E171" i="36"/>
  <c r="D34" i="43"/>
  <c r="B38" i="43"/>
  <c r="E346" i="36"/>
  <c r="E98" i="36"/>
  <c r="E967" i="4"/>
  <c r="M29" i="37"/>
  <c r="E496" i="36"/>
  <c r="M26" i="43"/>
  <c r="E1224" i="4"/>
  <c r="E858" i="4"/>
  <c r="E460" i="36"/>
  <c r="E589" i="4"/>
  <c r="B32" i="44"/>
  <c r="E1073" i="4"/>
  <c r="E786" i="4"/>
  <c r="D29" i="51"/>
  <c r="E1003" i="4"/>
  <c r="H25" i="37"/>
  <c r="K29" i="48"/>
  <c r="E962" i="4"/>
  <c r="E1497" i="4"/>
  <c r="E499" i="6"/>
  <c r="E1811" i="4"/>
  <c r="E743" i="4"/>
  <c r="M18" i="44"/>
  <c r="I34" i="48"/>
  <c r="C748" i="6"/>
  <c r="E408" i="6"/>
  <c r="E292" i="36"/>
  <c r="E451" i="6"/>
  <c r="C35" i="51"/>
  <c r="E1555" i="4"/>
  <c r="E1620" i="4"/>
  <c r="E1391" i="4"/>
  <c r="C315" i="9"/>
  <c r="G33" i="51"/>
  <c r="E587" i="6"/>
  <c r="E252" i="36"/>
  <c r="E327" i="9"/>
  <c r="E383" i="9"/>
  <c r="E458" i="6"/>
  <c r="E1453" i="4"/>
  <c r="E250" i="36"/>
  <c r="D32" i="44"/>
  <c r="C32" i="51"/>
  <c r="E1267" i="4"/>
  <c r="E328" i="10"/>
  <c r="E969" i="4"/>
  <c r="E139" i="36"/>
  <c r="E168" i="36"/>
  <c r="L28" i="48"/>
  <c r="M30" i="24"/>
  <c r="F28" i="48"/>
  <c r="E869" i="4"/>
  <c r="E722" i="4"/>
  <c r="E1188" i="4"/>
  <c r="E150" i="36"/>
  <c r="D39" i="51"/>
  <c r="E611" i="4"/>
  <c r="J27" i="37"/>
  <c r="E428" i="36"/>
  <c r="L38" i="51"/>
  <c r="E1298" i="4"/>
  <c r="E1349" i="4"/>
  <c r="B33" i="44"/>
  <c r="E671" i="4"/>
  <c r="K29" i="43"/>
  <c r="E246" i="36"/>
  <c r="E806" i="4"/>
  <c r="E1096" i="4"/>
  <c r="E1441" i="4"/>
  <c r="E682" i="4"/>
  <c r="E652" i="4"/>
  <c r="L32" i="37"/>
  <c r="G39" i="44"/>
  <c r="G38" i="43"/>
  <c r="H22" i="24"/>
  <c r="I32" i="37"/>
  <c r="E118" i="36"/>
  <c r="E95" i="36"/>
  <c r="J29" i="43"/>
  <c r="E1189" i="4"/>
  <c r="E933" i="4"/>
  <c r="M30" i="37"/>
  <c r="F30" i="24"/>
  <c r="E89" i="36"/>
  <c r="C32" i="43"/>
  <c r="E216" i="36"/>
  <c r="B29" i="48"/>
  <c r="B25" i="50"/>
  <c r="E318" i="36"/>
  <c r="D22" i="37"/>
  <c r="D25" i="43"/>
  <c r="E884" i="4"/>
  <c r="E1354" i="4"/>
  <c r="C38" i="44"/>
  <c r="E886" i="4"/>
  <c r="B38" i="44"/>
  <c r="C380" i="36"/>
  <c r="K11" i="43"/>
  <c r="C115" i="10"/>
  <c r="C32" i="50"/>
  <c r="E1214" i="4"/>
  <c r="E1038" i="4"/>
  <c r="F31" i="50"/>
  <c r="E119" i="6"/>
  <c r="E964" i="4"/>
  <c r="E438" i="9"/>
  <c r="C1291" i="4"/>
  <c r="E612" i="6"/>
  <c r="E1480" i="4"/>
  <c r="E223" i="10"/>
  <c r="E1215" i="4"/>
  <c r="E367" i="9"/>
  <c r="D35" i="48"/>
  <c r="E1457" i="4"/>
  <c r="L26" i="48"/>
  <c r="E375" i="36"/>
  <c r="E230" i="6"/>
  <c r="E268" i="36"/>
  <c r="H29" i="43"/>
  <c r="E146" i="36"/>
  <c r="D38" i="51"/>
  <c r="D40" i="48"/>
  <c r="E182" i="6"/>
  <c r="E1226" i="4"/>
  <c r="E1109" i="4"/>
  <c r="E40" i="50"/>
  <c r="K25" i="48"/>
  <c r="E945" i="4"/>
  <c r="L24" i="24"/>
  <c r="E93" i="36"/>
  <c r="E893" i="4"/>
  <c r="M8" i="24"/>
  <c r="C135" i="10"/>
  <c r="C1460" i="4"/>
  <c r="E1527" i="4"/>
  <c r="E357" i="36"/>
  <c r="E68" i="36"/>
  <c r="E1327" i="4"/>
  <c r="E284" i="9"/>
  <c r="E1065" i="4"/>
  <c r="E449" i="36"/>
  <c r="M31" i="44"/>
  <c r="E126" i="9"/>
  <c r="E136" i="10"/>
  <c r="E593" i="36"/>
  <c r="E1794" i="4"/>
  <c r="B37" i="44"/>
  <c r="E1344" i="4"/>
  <c r="E1365" i="4"/>
  <c r="E1122" i="4"/>
  <c r="E1332" i="4"/>
  <c r="E1054" i="4"/>
  <c r="E1596" i="4"/>
  <c r="E1655" i="4"/>
  <c r="E278" i="6"/>
  <c r="E627" i="4"/>
  <c r="E1373" i="4"/>
  <c r="E177" i="9"/>
  <c r="E215" i="9"/>
  <c r="E597" i="4"/>
  <c r="E846" i="4"/>
  <c r="E702" i="4"/>
  <c r="H35" i="43"/>
  <c r="E190" i="36"/>
  <c r="E141" i="36"/>
  <c r="E1009" i="4"/>
  <c r="E660" i="4"/>
  <c r="E704" i="4"/>
  <c r="C38" i="48"/>
  <c r="G30" i="24"/>
  <c r="E788" i="4"/>
  <c r="D40" i="50"/>
  <c r="M25" i="37"/>
  <c r="E234" i="9"/>
  <c r="E395" i="9"/>
  <c r="F34" i="43"/>
  <c r="H28" i="51"/>
  <c r="B39" i="51"/>
  <c r="J22" i="37"/>
  <c r="B27" i="37"/>
  <c r="E618" i="4"/>
  <c r="J24" i="24"/>
  <c r="E683" i="4"/>
  <c r="E633" i="4"/>
  <c r="E1296" i="4"/>
  <c r="E646" i="4"/>
  <c r="E151" i="9"/>
  <c r="G29" i="48"/>
  <c r="E390" i="9"/>
  <c r="E713" i="4"/>
  <c r="E224" i="9"/>
  <c r="J26" i="37"/>
  <c r="K26" i="24"/>
  <c r="E998" i="4"/>
  <c r="E604" i="4"/>
  <c r="B32" i="43"/>
  <c r="E221" i="6"/>
  <c r="E1711" i="4"/>
  <c r="E932" i="4"/>
  <c r="E29" i="37"/>
  <c r="E113" i="36"/>
  <c r="M24" i="37"/>
  <c r="E754" i="4"/>
  <c r="C29" i="43"/>
  <c r="E1012" i="4"/>
  <c r="E1077" i="4"/>
  <c r="E297" i="36"/>
  <c r="J38" i="51"/>
  <c r="E25" i="50"/>
  <c r="L40" i="50"/>
  <c r="E313" i="6"/>
  <c r="E1432" i="4"/>
  <c r="E952" i="4"/>
  <c r="F7" i="50"/>
  <c r="C63" i="36"/>
  <c r="E244" i="36"/>
  <c r="E1193" i="4"/>
  <c r="E35" i="51"/>
  <c r="E50" i="36"/>
  <c r="H27" i="48"/>
  <c r="E420" i="9"/>
  <c r="E515" i="6"/>
  <c r="E1242" i="4"/>
  <c r="K26" i="51"/>
  <c r="E297" i="10"/>
  <c r="E245" i="10"/>
  <c r="E292" i="6"/>
  <c r="M35" i="43"/>
  <c r="E620" i="6"/>
  <c r="E1137" i="4"/>
  <c r="E1484" i="4"/>
  <c r="J33" i="50"/>
  <c r="E1135" i="4"/>
  <c r="G37" i="43"/>
  <c r="E1611" i="4"/>
  <c r="E359" i="9"/>
  <c r="E1203" i="4"/>
  <c r="G25" i="48"/>
  <c r="K32" i="37"/>
  <c r="E921" i="4"/>
  <c r="M24" i="24"/>
  <c r="E138" i="36"/>
  <c r="I25" i="44"/>
  <c r="J28" i="48"/>
  <c r="E1212" i="4"/>
  <c r="E850" i="4"/>
  <c r="E899" i="4"/>
  <c r="E882" i="4"/>
  <c r="E1673" i="4"/>
  <c r="L25" i="37"/>
  <c r="E947" i="4"/>
  <c r="E314" i="6"/>
  <c r="G28" i="43"/>
  <c r="G32" i="43"/>
  <c r="J39" i="48"/>
  <c r="E619" i="4"/>
  <c r="J39" i="43"/>
  <c r="E489" i="36"/>
  <c r="I33" i="43"/>
  <c r="E1247" i="4"/>
  <c r="E240" i="9"/>
  <c r="E982" i="4"/>
  <c r="E218" i="36"/>
  <c r="E936" i="4"/>
  <c r="E231" i="36"/>
  <c r="H22" i="37"/>
  <c r="C1553" i="4"/>
  <c r="J9" i="24"/>
  <c r="E526" i="36"/>
  <c r="E1494" i="4"/>
  <c r="C765" i="4"/>
  <c r="E1407" i="4"/>
  <c r="E384" i="36"/>
  <c r="E442" i="9"/>
  <c r="E132" i="10"/>
  <c r="E139" i="10"/>
  <c r="E1338" i="4"/>
  <c r="E1642" i="4"/>
  <c r="E162" i="36"/>
  <c r="E306" i="6"/>
  <c r="E1430" i="4"/>
  <c r="H33" i="50"/>
  <c r="E1159" i="4"/>
  <c r="E769" i="4"/>
  <c r="C35" i="44"/>
  <c r="E592" i="36"/>
  <c r="C1277" i="4"/>
  <c r="E430" i="36"/>
  <c r="D18" i="44"/>
  <c r="E223" i="6"/>
  <c r="E635" i="4"/>
  <c r="E887" i="4"/>
  <c r="E360" i="36"/>
  <c r="E323" i="36"/>
  <c r="E591" i="4"/>
  <c r="E319" i="9"/>
  <c r="L33" i="43"/>
  <c r="E5" i="36"/>
  <c r="L23" i="37"/>
  <c r="E958" i="4"/>
  <c r="E444" i="36"/>
  <c r="E295" i="36"/>
  <c r="L25" i="44"/>
  <c r="H39" i="48"/>
  <c r="E156" i="6"/>
  <c r="K26" i="43"/>
  <c r="E1235" i="4"/>
  <c r="E214" i="9"/>
  <c r="L22" i="24"/>
  <c r="E782" i="4"/>
  <c r="E398" i="36"/>
  <c r="K28" i="48"/>
  <c r="D40" i="51"/>
  <c r="D31" i="43"/>
  <c r="B25" i="37"/>
  <c r="L25" i="48"/>
  <c r="E807" i="4"/>
  <c r="E1085" i="4"/>
  <c r="E154" i="6"/>
  <c r="I35" i="51"/>
  <c r="E172" i="36"/>
  <c r="E134" i="36"/>
  <c r="E986" i="4"/>
  <c r="E327" i="36"/>
  <c r="I32" i="43"/>
  <c r="C23" i="37"/>
  <c r="E342" i="36"/>
  <c r="M40" i="44"/>
  <c r="G29" i="44"/>
  <c r="E685" i="4"/>
  <c r="E829" i="4"/>
  <c r="L33" i="44"/>
  <c r="J25" i="24"/>
  <c r="E1178" i="4"/>
  <c r="E84" i="36"/>
  <c r="E102" i="10"/>
  <c r="B38" i="51"/>
  <c r="I28" i="43"/>
  <c r="E663" i="4"/>
  <c r="J22" i="24"/>
  <c r="E1434" i="4"/>
  <c r="E296" i="36"/>
  <c r="E1319" i="4"/>
  <c r="E1142" i="4"/>
  <c r="H27" i="24"/>
  <c r="E1037" i="4"/>
  <c r="F38" i="44"/>
  <c r="E240" i="6"/>
  <c r="E781" i="4"/>
  <c r="G25" i="44"/>
  <c r="B22" i="37"/>
  <c r="E783" i="4"/>
  <c r="E491" i="6"/>
  <c r="E1640" i="4"/>
  <c r="E800" i="4"/>
  <c r="H28" i="48"/>
  <c r="C38" i="43"/>
  <c r="G40" i="48"/>
  <c r="E995" i="4"/>
  <c r="M22" i="37"/>
  <c r="E1297" i="4"/>
  <c r="E26" i="37"/>
  <c r="E1201" i="4"/>
  <c r="E937" i="4"/>
  <c r="E1164" i="4"/>
  <c r="B25" i="48"/>
  <c r="G33" i="43"/>
  <c r="E218" i="6"/>
  <c r="C25" i="48"/>
  <c r="B35" i="43"/>
  <c r="E165" i="6"/>
  <c r="H25" i="48"/>
  <c r="K29" i="37"/>
  <c r="K26" i="37"/>
  <c r="E1237" i="4"/>
  <c r="E59" i="36"/>
  <c r="E219" i="9"/>
  <c r="D26" i="37"/>
  <c r="E159" i="6"/>
  <c r="F29" i="37"/>
  <c r="E1176" i="4"/>
  <c r="E190" i="9"/>
  <c r="E25" i="48"/>
  <c r="M35" i="37"/>
  <c r="G995" i="4"/>
  <c r="G800" i="4"/>
  <c r="E1652" i="4"/>
  <c r="G1640" i="4"/>
  <c r="G783" i="4"/>
  <c r="B35" i="37"/>
  <c r="N22" i="37"/>
  <c r="G41" i="44"/>
  <c r="G781" i="4"/>
  <c r="G1037" i="4"/>
  <c r="G1142" i="4"/>
  <c r="E1330" i="4"/>
  <c r="G1319" i="4"/>
  <c r="E1444" i="4"/>
  <c r="G1434" i="4"/>
  <c r="G663" i="4"/>
  <c r="N38" i="51"/>
  <c r="G1178" i="4"/>
  <c r="G829" i="4"/>
  <c r="G685" i="4"/>
  <c r="E345" i="36"/>
  <c r="E331" i="36"/>
  <c r="G986" i="4"/>
  <c r="G1085" i="4"/>
  <c r="G807" i="4"/>
  <c r="L41" i="48"/>
  <c r="N25" i="37"/>
  <c r="G782" i="4"/>
  <c r="L34" i="24"/>
  <c r="G214" i="9"/>
  <c r="G1235" i="4"/>
  <c r="L41" i="44"/>
  <c r="E301" i="36"/>
  <c r="G958" i="4"/>
  <c r="E6" i="36"/>
  <c r="G319" i="9"/>
  <c r="G591" i="4"/>
  <c r="G887" i="4"/>
  <c r="G635" i="4"/>
  <c r="D1277" i="4"/>
  <c r="F1277" i="4"/>
  <c r="G769" i="4"/>
  <c r="G1159" i="4"/>
  <c r="G1430" i="4"/>
  <c r="G1642" i="4"/>
  <c r="G1338" i="4"/>
  <c r="E140" i="10"/>
  <c r="G442" i="9"/>
  <c r="G1407" i="4"/>
  <c r="D765" i="4"/>
  <c r="F765" i="4"/>
  <c r="G1494" i="4"/>
  <c r="D1553" i="4"/>
  <c r="F1553" i="4"/>
  <c r="H35" i="37"/>
  <c r="G936" i="4"/>
  <c r="G982" i="4"/>
  <c r="G240" i="9"/>
  <c r="G1247" i="4"/>
  <c r="E1261" i="4"/>
  <c r="G619" i="4"/>
  <c r="G947" i="4"/>
  <c r="G1673" i="4"/>
  <c r="G882" i="4"/>
  <c r="G899" i="4"/>
  <c r="G850" i="4"/>
  <c r="G1212" i="4"/>
  <c r="E1223" i="4"/>
  <c r="I41" i="44"/>
  <c r="E144" i="36"/>
  <c r="G921" i="4"/>
  <c r="G41" i="48"/>
  <c r="G1203" i="4"/>
  <c r="E362" i="9"/>
  <c r="K58" i="45"/>
  <c r="V8" i="45"/>
  <c r="G359" i="9"/>
  <c r="G1611" i="4"/>
  <c r="G1135" i="4"/>
  <c r="G1484" i="4"/>
  <c r="G1137" i="4"/>
  <c r="E298" i="10"/>
  <c r="G1242" i="4"/>
  <c r="E516" i="6"/>
  <c r="G420" i="9"/>
  <c r="H50" i="36"/>
  <c r="G1193" i="4"/>
  <c r="D63" i="36"/>
  <c r="F63" i="36"/>
  <c r="G952" i="4"/>
  <c r="G1432" i="4"/>
  <c r="E319" i="6"/>
  <c r="E41" i="50"/>
  <c r="G1077" i="4"/>
  <c r="G1012" i="4"/>
  <c r="G754" i="4"/>
  <c r="G932" i="4"/>
  <c r="E1721" i="4"/>
  <c r="G1711" i="4"/>
  <c r="E225" i="6"/>
  <c r="N32" i="43"/>
  <c r="G604" i="4"/>
  <c r="G998" i="4"/>
  <c r="G224" i="9"/>
  <c r="G713" i="4"/>
  <c r="G390" i="9"/>
  <c r="G151" i="9"/>
  <c r="G646" i="4"/>
  <c r="G1296" i="4"/>
  <c r="G633" i="4"/>
  <c r="G683" i="4"/>
  <c r="G618" i="4"/>
  <c r="N27" i="37"/>
  <c r="J35" i="37"/>
  <c r="N39" i="51"/>
  <c r="G395" i="9"/>
  <c r="G234" i="9"/>
  <c r="G788" i="4"/>
  <c r="G704" i="4"/>
  <c r="G660" i="4"/>
  <c r="G1009" i="4"/>
  <c r="G702" i="4"/>
  <c r="G846" i="4"/>
  <c r="E860" i="4"/>
  <c r="G597" i="4"/>
  <c r="G215" i="9"/>
  <c r="G177" i="9"/>
  <c r="G1373" i="4"/>
  <c r="G627" i="4"/>
  <c r="E284" i="6"/>
  <c r="G1655" i="4"/>
  <c r="G1596" i="4"/>
  <c r="G1054" i="4"/>
  <c r="G1332" i="4"/>
  <c r="G1122" i="4"/>
  <c r="G1365" i="4"/>
  <c r="G1344" i="4"/>
  <c r="N37" i="44"/>
  <c r="G1794" i="4"/>
  <c r="G126" i="9"/>
  <c r="G1065" i="4"/>
  <c r="G284" i="9"/>
  <c r="G1327" i="4"/>
  <c r="G1527" i="4"/>
  <c r="D1460" i="4"/>
  <c r="F1460" i="4"/>
  <c r="D135" i="10"/>
  <c r="C138" i="10"/>
  <c r="G893" i="4"/>
  <c r="E97" i="36"/>
  <c r="G945" i="4"/>
  <c r="K41" i="48"/>
  <c r="G1109" i="4"/>
  <c r="G1226" i="4"/>
  <c r="G1457" i="4"/>
  <c r="E54" i="45"/>
  <c r="O54" i="45"/>
  <c r="G367" i="9"/>
  <c r="G1215" i="4"/>
  <c r="G1480" i="4"/>
  <c r="E615" i="6"/>
  <c r="D1291" i="4"/>
  <c r="F1291" i="4"/>
  <c r="E440" i="9"/>
  <c r="G438" i="9"/>
  <c r="G964" i="4"/>
  <c r="G1038" i="4"/>
  <c r="G1214" i="4"/>
  <c r="C118" i="10"/>
  <c r="D115" i="10"/>
  <c r="D380" i="36"/>
  <c r="F380" i="36"/>
  <c r="C386" i="36"/>
  <c r="N38" i="44"/>
  <c r="G886" i="4"/>
  <c r="E1363" i="4"/>
  <c r="G1354" i="4"/>
  <c r="G884" i="4"/>
  <c r="D41" i="43"/>
  <c r="E321" i="36"/>
  <c r="B41" i="50"/>
  <c r="N25" i="50"/>
  <c r="N29" i="48"/>
  <c r="E223" i="36"/>
  <c r="N30" i="24"/>
  <c r="G933" i="4"/>
  <c r="G1189" i="4"/>
  <c r="H34" i="24"/>
  <c r="G652" i="4"/>
  <c r="G682" i="4"/>
  <c r="G1441" i="4"/>
  <c r="G1096" i="4"/>
  <c r="G806" i="4"/>
  <c r="E253" i="36"/>
  <c r="G671" i="4"/>
  <c r="N33" i="44"/>
  <c r="G1349" i="4"/>
  <c r="G1298" i="4"/>
  <c r="G611" i="4"/>
  <c r="G1188" i="4"/>
  <c r="E1198" i="4"/>
  <c r="G722" i="4"/>
  <c r="G869" i="4"/>
  <c r="E174" i="36"/>
  <c r="G969" i="4"/>
  <c r="G1267" i="4"/>
  <c r="G1453" i="4"/>
  <c r="G383" i="9"/>
  <c r="G327" i="9"/>
  <c r="G328" i="9"/>
  <c r="E328" i="9"/>
  <c r="D315" i="9"/>
  <c r="F315" i="9"/>
  <c r="G1391" i="4"/>
  <c r="G1620" i="4"/>
  <c r="G1555" i="4"/>
  <c r="E414" i="6"/>
  <c r="D748" i="6"/>
  <c r="G743" i="4"/>
  <c r="E1822" i="4"/>
  <c r="F1822" i="4"/>
  <c r="F1811" i="4"/>
  <c r="G1811" i="4"/>
  <c r="E1508" i="4"/>
  <c r="G1497" i="4"/>
  <c r="G962" i="4"/>
  <c r="G1003" i="4"/>
  <c r="G786" i="4"/>
  <c r="G1073" i="4"/>
  <c r="E1082" i="4"/>
  <c r="N32" i="44"/>
  <c r="G858" i="4"/>
  <c r="G1224" i="4"/>
  <c r="E1234" i="4"/>
  <c r="C57" i="45"/>
  <c r="G967" i="4"/>
  <c r="E102" i="36"/>
  <c r="E349" i="36"/>
  <c r="N38" i="43"/>
  <c r="G1141" i="4"/>
  <c r="N40" i="43"/>
  <c r="G817" i="4"/>
  <c r="E833" i="4"/>
  <c r="G674" i="4"/>
  <c r="G1361" i="4"/>
  <c r="G630" i="4"/>
  <c r="G883" i="4"/>
  <c r="N39" i="43"/>
  <c r="G693" i="4"/>
  <c r="M34" i="24"/>
  <c r="G750" i="4"/>
  <c r="G970" i="4"/>
  <c r="G662" i="4"/>
  <c r="E120" i="36"/>
  <c r="G923" i="4"/>
  <c r="G1592" i="4"/>
  <c r="G1236" i="4"/>
  <c r="G1409" i="4"/>
  <c r="E1419" i="4"/>
  <c r="N23" i="24"/>
  <c r="F1819" i="4"/>
  <c r="G1819" i="4"/>
  <c r="G656" i="4"/>
  <c r="E82" i="36"/>
  <c r="G280" i="9"/>
  <c r="G762" i="4"/>
  <c r="G1041" i="4"/>
  <c r="G1396" i="4"/>
  <c r="G1043" i="4"/>
  <c r="G960" i="4"/>
  <c r="G1128" i="4"/>
  <c r="E1138" i="4"/>
  <c r="G178" i="9"/>
  <c r="N33" i="51"/>
  <c r="G220" i="9"/>
  <c r="G268" i="9"/>
  <c r="I268" i="9"/>
  <c r="G1399" i="4"/>
  <c r="E1408" i="4"/>
  <c r="G726" i="4"/>
  <c r="E124" i="36"/>
  <c r="G914" i="4"/>
  <c r="G1599" i="4"/>
  <c r="E514" i="36"/>
  <c r="E311" i="6"/>
  <c r="G1690" i="4"/>
  <c r="G1524" i="4"/>
  <c r="E370" i="9"/>
  <c r="G369" i="9"/>
  <c r="G370" i="9"/>
  <c r="E1710" i="4"/>
  <c r="G1699" i="4"/>
  <c r="G325" i="9"/>
  <c r="E133" i="6"/>
  <c r="D59" i="36"/>
  <c r="G628" i="4"/>
  <c r="E919" i="4"/>
  <c r="G906" i="4"/>
  <c r="G1230" i="4"/>
  <c r="G1580" i="4"/>
  <c r="G645" i="4"/>
  <c r="G896" i="4"/>
  <c r="E260" i="36"/>
  <c r="N40" i="44"/>
  <c r="G871" i="4"/>
  <c r="G150" i="9"/>
  <c r="E313" i="36"/>
  <c r="G840" i="4"/>
  <c r="G595" i="4"/>
  <c r="G1516" i="4"/>
  <c r="M41" i="43"/>
  <c r="G1411" i="4"/>
  <c r="G1199" i="4"/>
  <c r="G250" i="9"/>
  <c r="G751" i="4"/>
  <c r="E732" i="4"/>
  <c r="G721" i="4"/>
  <c r="G588" i="4"/>
  <c r="E600" i="4"/>
  <c r="G974" i="4"/>
  <c r="C41" i="43"/>
  <c r="G827" i="4"/>
  <c r="E341" i="36"/>
  <c r="G823" i="4"/>
  <c r="G1741" i="4"/>
  <c r="N28" i="48"/>
  <c r="G753" i="4"/>
  <c r="E157" i="6"/>
  <c r="G992" i="4"/>
  <c r="G1440" i="4"/>
  <c r="G744" i="4"/>
  <c r="G818" i="4"/>
  <c r="G759" i="4"/>
  <c r="G603" i="4"/>
  <c r="E747" i="4"/>
  <c r="G733" i="4"/>
  <c r="G1371" i="4"/>
  <c r="G1286" i="4"/>
  <c r="E706" i="4"/>
  <c r="G696" i="4"/>
  <c r="I41" i="50"/>
  <c r="G1378" i="4"/>
  <c r="E188" i="9"/>
  <c r="G187" i="9"/>
  <c r="G188" i="9"/>
  <c r="J41" i="51"/>
  <c r="G1347" i="4"/>
  <c r="J41" i="50"/>
  <c r="E571" i="36"/>
  <c r="E494" i="36"/>
  <c r="G1245" i="4"/>
  <c r="D1190" i="4"/>
  <c r="F1190" i="4"/>
  <c r="G387" i="9"/>
  <c r="G1471" i="4"/>
  <c r="E56" i="45"/>
  <c r="O56" i="45"/>
  <c r="G1720" i="4"/>
  <c r="G270" i="9"/>
  <c r="G1046" i="4"/>
  <c r="N28" i="50"/>
  <c r="G1171" i="4"/>
  <c r="E417" i="36"/>
  <c r="D463" i="36"/>
  <c r="F463" i="36"/>
  <c r="G1290" i="4"/>
  <c r="G928" i="4"/>
  <c r="G1618" i="4"/>
  <c r="G698" i="4"/>
  <c r="E107" i="36"/>
  <c r="E309" i="36"/>
  <c r="E1639" i="4"/>
  <c r="G1628" i="4"/>
  <c r="G615" i="4"/>
  <c r="G723" i="4"/>
  <c r="M41" i="50"/>
  <c r="G824" i="4"/>
  <c r="G621" i="4"/>
  <c r="H41" i="44"/>
  <c r="G847" i="4"/>
  <c r="G766" i="4"/>
  <c r="G134" i="9"/>
  <c r="G870" i="4"/>
  <c r="N24" i="37"/>
  <c r="G1216" i="4"/>
  <c r="E213" i="6"/>
  <c r="G959" i="4"/>
  <c r="G1035" i="4"/>
  <c r="E1047" i="4"/>
  <c r="E208" i="36"/>
  <c r="G1557" i="4"/>
  <c r="G684" i="4"/>
  <c r="G930" i="4"/>
  <c r="E502" i="6"/>
  <c r="G725" i="4"/>
  <c r="G658" i="4"/>
  <c r="E668" i="4"/>
  <c r="G401" i="9"/>
  <c r="E405" i="9"/>
  <c r="G1343" i="4"/>
  <c r="E1353" i="4"/>
  <c r="G1074" i="4"/>
  <c r="G343" i="9"/>
  <c r="G1431" i="4"/>
  <c r="G1075" i="4"/>
  <c r="N18" i="48"/>
  <c r="G254" i="9"/>
  <c r="G1697" i="4"/>
  <c r="G1701" i="4"/>
  <c r="G935" i="4"/>
  <c r="G1126" i="4"/>
  <c r="G1229" i="4"/>
  <c r="D1018" i="4"/>
  <c r="F1018" i="4"/>
  <c r="E192" i="10"/>
  <c r="N24" i="24"/>
  <c r="G938" i="4"/>
  <c r="E1091" i="4"/>
  <c r="G1083" i="4"/>
  <c r="G812" i="4"/>
  <c r="E77" i="36"/>
  <c r="G1092" i="4"/>
  <c r="E1105" i="4"/>
  <c r="G590" i="4"/>
  <c r="G649" i="4"/>
  <c r="G1249" i="4"/>
  <c r="G771" i="4"/>
  <c r="G1190" i="4"/>
  <c r="G128" i="9"/>
  <c r="G1119" i="4"/>
  <c r="G1274" i="4"/>
  <c r="G1337" i="4"/>
  <c r="E186" i="9"/>
  <c r="G181" i="9"/>
  <c r="G1309" i="4"/>
  <c r="G1614" i="4"/>
  <c r="G623" i="4"/>
  <c r="G1026" i="4"/>
  <c r="G909" i="4"/>
  <c r="G761" i="4"/>
  <c r="E775" i="4"/>
  <c r="G830" i="4"/>
  <c r="G1275" i="4"/>
  <c r="N32" i="51"/>
  <c r="G961" i="4"/>
  <c r="G757" i="4"/>
  <c r="I35" i="37"/>
  <c r="G809" i="4"/>
  <c r="G255" i="9"/>
  <c r="G791" i="4"/>
  <c r="E802" i="4"/>
  <c r="E207" i="6"/>
  <c r="G999" i="4"/>
  <c r="G848" i="4"/>
  <c r="G241" i="9"/>
  <c r="G203" i="9"/>
  <c r="G768" i="4"/>
  <c r="G699" i="4"/>
  <c r="I41" i="48"/>
  <c r="K41" i="50"/>
  <c r="G35" i="37"/>
  <c r="G922" i="4"/>
  <c r="G655" i="4"/>
  <c r="E440" i="6"/>
  <c r="G1706" i="4"/>
  <c r="G1799" i="4"/>
  <c r="E1810" i="4"/>
  <c r="N31" i="48"/>
  <c r="D320" i="10"/>
  <c r="C322" i="10"/>
  <c r="D41" i="50"/>
  <c r="G365" i="9"/>
  <c r="E368" i="9"/>
  <c r="N35" i="51"/>
  <c r="G1313" i="4"/>
  <c r="G1287" i="4"/>
  <c r="G145" i="9"/>
  <c r="G1056" i="4"/>
  <c r="G1730" i="4"/>
  <c r="D1000" i="4"/>
  <c r="F1000" i="4"/>
  <c r="N8" i="50"/>
  <c r="G1024" i="4"/>
  <c r="E1034" i="4"/>
  <c r="G204" i="9"/>
  <c r="G949" i="4"/>
  <c r="G148" i="9"/>
  <c r="G710" i="4"/>
  <c r="C41" i="50"/>
  <c r="G794" i="4"/>
  <c r="G795" i="4"/>
  <c r="E245" i="36"/>
  <c r="G734" i="4"/>
  <c r="N40" i="50"/>
  <c r="G1248" i="4"/>
  <c r="E679" i="4"/>
  <c r="G669" i="4"/>
  <c r="H41" i="51"/>
  <c r="G855" i="4"/>
  <c r="G1067" i="4"/>
  <c r="G821" i="4"/>
  <c r="G672" i="4"/>
  <c r="N32" i="48"/>
  <c r="G810" i="4"/>
  <c r="G903" i="4"/>
  <c r="G598" i="4"/>
  <c r="G972" i="4"/>
  <c r="G378" i="9"/>
  <c r="G875" i="4"/>
  <c r="G987" i="4"/>
  <c r="G1145" i="4"/>
  <c r="G461" i="9"/>
  <c r="E463" i="9"/>
  <c r="G1062" i="4"/>
  <c r="E638" i="6"/>
  <c r="G1493" i="4"/>
  <c r="G286" i="9"/>
  <c r="E53" i="45"/>
  <c r="O53" i="45"/>
  <c r="D118" i="6"/>
  <c r="G1256" i="4"/>
  <c r="E1398" i="4"/>
  <c r="G1388" i="4"/>
  <c r="G778" i="4"/>
  <c r="G908" i="4"/>
  <c r="G879" i="4"/>
  <c r="N27" i="24"/>
  <c r="G820" i="4"/>
  <c r="G1482" i="4"/>
  <c r="G731" i="4"/>
  <c r="M41" i="51"/>
  <c r="G1238" i="4"/>
  <c r="G1244" i="4"/>
  <c r="M55" i="45"/>
  <c r="X8" i="45"/>
  <c r="N30" i="37"/>
  <c r="G1018" i="4"/>
  <c r="E287" i="36"/>
  <c r="G638" i="4"/>
  <c r="G994" i="4"/>
  <c r="E1007" i="4"/>
  <c r="G1020" i="4"/>
  <c r="G841" i="4"/>
  <c r="G1040" i="4"/>
  <c r="E116" i="36"/>
  <c r="G608" i="4"/>
  <c r="G939" i="4"/>
  <c r="G1163" i="4"/>
  <c r="G651" i="4"/>
  <c r="G801" i="4"/>
  <c r="G944" i="4"/>
  <c r="G1080" i="4"/>
  <c r="G1225" i="4"/>
  <c r="G267" i="9"/>
  <c r="E273" i="9"/>
  <c r="E231" i="6"/>
  <c r="G681" i="4"/>
  <c r="G688" i="4"/>
  <c r="C35" i="37"/>
  <c r="E237" i="36"/>
  <c r="E305" i="36"/>
  <c r="G1637" i="4"/>
  <c r="N33" i="48"/>
  <c r="E1571" i="4"/>
  <c r="G1560" i="4"/>
  <c r="G983" i="4"/>
  <c r="E153" i="36"/>
  <c r="G854" i="4"/>
  <c r="E111" i="36"/>
  <c r="G852" i="4"/>
  <c r="K41" i="43"/>
  <c r="E336" i="36"/>
  <c r="E1342" i="4"/>
  <c r="G1331" i="4"/>
  <c r="G1053" i="4"/>
  <c r="G888" i="4"/>
  <c r="G670" i="4"/>
  <c r="E281" i="36"/>
  <c r="G404" i="9"/>
  <c r="K34" i="24"/>
  <c r="G228" i="9"/>
  <c r="E470" i="6"/>
  <c r="G1551" i="4"/>
  <c r="G291" i="9"/>
  <c r="E298" i="9"/>
  <c r="G1260" i="4"/>
  <c r="G347" i="9"/>
  <c r="E349" i="9"/>
  <c r="D115" i="36"/>
  <c r="F115" i="36"/>
  <c r="G1340" i="4"/>
  <c r="G1078" i="4"/>
  <c r="G1732" i="4"/>
  <c r="G1015" i="4"/>
  <c r="G1662" i="4"/>
  <c r="D1735" i="4"/>
  <c r="F1735" i="4"/>
  <c r="C41" i="44"/>
  <c r="F41" i="51"/>
  <c r="G620" i="4"/>
  <c r="G257" i="9"/>
  <c r="E259" i="9"/>
  <c r="G942" i="4"/>
  <c r="G41" i="51"/>
  <c r="G934" i="4"/>
  <c r="N29" i="44"/>
  <c r="E104" i="10"/>
  <c r="F41" i="50"/>
  <c r="G677" i="4"/>
  <c r="N22" i="24"/>
  <c r="K41" i="51"/>
  <c r="E247" i="9"/>
  <c r="G244" i="9"/>
  <c r="G907" i="4"/>
  <c r="G1017" i="4"/>
  <c r="G865" i="4"/>
  <c r="G835" i="4"/>
  <c r="G246" i="9"/>
  <c r="E229" i="36"/>
  <c r="G678" i="4"/>
  <c r="G1166" i="4"/>
  <c r="I41" i="43"/>
  <c r="G891" i="4"/>
  <c r="E905" i="4"/>
  <c r="G981" i="4"/>
  <c r="G808" i="4"/>
  <c r="G793" i="4"/>
  <c r="G943" i="4"/>
  <c r="E1072" i="4"/>
  <c r="G1058" i="4"/>
  <c r="E92" i="36"/>
  <c r="G853" i="4"/>
  <c r="G843" i="4"/>
  <c r="E201" i="36"/>
  <c r="E317" i="36"/>
  <c r="G1055" i="4"/>
  <c r="G864" i="4"/>
  <c r="G1262" i="4"/>
  <c r="G648" i="4"/>
  <c r="G799" i="4"/>
  <c r="E722" i="6"/>
  <c r="G1770" i="4"/>
  <c r="G295" i="9"/>
  <c r="E535" i="6"/>
  <c r="E537" i="6"/>
  <c r="N26" i="48"/>
  <c r="G1669" i="4"/>
  <c r="E459" i="6"/>
  <c r="E433" i="6"/>
  <c r="G282" i="9"/>
  <c r="E290" i="9"/>
  <c r="E608" i="6"/>
  <c r="E368" i="6"/>
  <c r="G51" i="45"/>
  <c r="G1180" i="4"/>
  <c r="E399" i="6"/>
  <c r="G1341" i="4"/>
  <c r="G1027" i="4"/>
  <c r="G1523" i="4"/>
  <c r="G1579" i="4"/>
  <c r="D103" i="10"/>
  <c r="C375" i="9"/>
  <c r="D373" i="9"/>
  <c r="F373" i="9"/>
  <c r="D965" i="4"/>
  <c r="F965" i="4"/>
  <c r="G610" i="4"/>
  <c r="E87" i="36"/>
  <c r="G736" i="4"/>
  <c r="G898" i="4"/>
  <c r="G715" i="4"/>
  <c r="G689" i="4"/>
  <c r="G724" i="4"/>
  <c r="G729" i="4"/>
  <c r="G773" i="4"/>
  <c r="G951" i="4"/>
  <c r="G739" i="4"/>
  <c r="G1284" i="4"/>
  <c r="E1294" i="4"/>
  <c r="E266" i="36"/>
  <c r="G1390" i="4"/>
  <c r="G622" i="4"/>
  <c r="G261" i="9"/>
  <c r="D41" i="44"/>
  <c r="G966" i="4"/>
  <c r="G785" i="4"/>
  <c r="G971" i="4"/>
  <c r="G1154" i="4"/>
  <c r="G1308" i="4"/>
  <c r="E65" i="36"/>
  <c r="G1797" i="4"/>
  <c r="G997" i="4"/>
  <c r="G1694" i="4"/>
  <c r="G1771" i="4"/>
  <c r="D856" i="4"/>
  <c r="F856" i="4"/>
  <c r="G1110" i="4"/>
  <c r="G1302" i="4"/>
  <c r="G1250" i="4"/>
  <c r="G1461" i="4"/>
  <c r="G1218" i="4"/>
  <c r="G975" i="4"/>
  <c r="G1498" i="4"/>
  <c r="G1725" i="4"/>
  <c r="D1170" i="4"/>
  <c r="F1170" i="4"/>
  <c r="G348" i="9"/>
  <c r="N5" i="48"/>
  <c r="E493" i="6"/>
  <c r="G926" i="4"/>
  <c r="G1005" i="4"/>
  <c r="G605" i="4"/>
  <c r="G868" i="4"/>
  <c r="G227" i="9"/>
  <c r="G1129" i="4"/>
  <c r="G694" i="4"/>
  <c r="G915" i="4"/>
  <c r="E1675" i="4"/>
  <c r="G1665" i="4"/>
  <c r="G837" i="4"/>
  <c r="G356" i="9"/>
  <c r="E358" i="9"/>
  <c r="G709" i="4"/>
  <c r="G650" i="4"/>
  <c r="G911" i="4"/>
  <c r="G746" i="4"/>
  <c r="G738" i="4"/>
  <c r="E200" i="9"/>
  <c r="G195" i="9"/>
  <c r="E326" i="36"/>
  <c r="G659" i="4"/>
  <c r="G822" i="4"/>
  <c r="G1295" i="4"/>
  <c r="G1162" i="4"/>
  <c r="G897" i="4"/>
  <c r="G917" i="4"/>
  <c r="G716" i="4"/>
  <c r="G664" i="4"/>
  <c r="N28" i="44"/>
  <c r="G673" i="4"/>
  <c r="G1401" i="4"/>
  <c r="G925" i="4"/>
  <c r="G1031" i="4"/>
  <c r="G1002" i="4"/>
  <c r="G953" i="4"/>
  <c r="G789" i="4"/>
  <c r="E194" i="36"/>
  <c r="G796" i="4"/>
  <c r="G701" i="4"/>
  <c r="E56" i="36"/>
  <c r="G1370" i="4"/>
  <c r="G741" i="4"/>
  <c r="G644" i="4"/>
  <c r="E657" i="4"/>
  <c r="N40" i="48"/>
  <c r="G351" i="9"/>
  <c r="G745" i="4"/>
  <c r="G614" i="4"/>
  <c r="G913" i="4"/>
  <c r="E72" i="36"/>
  <c r="N25" i="43"/>
  <c r="G1574" i="4"/>
  <c r="G294" i="9"/>
  <c r="G1603" i="4"/>
  <c r="G1505" i="4"/>
  <c r="I20" i="48"/>
  <c r="G335" i="9"/>
  <c r="E338" i="9"/>
  <c r="K51" i="45"/>
  <c r="V7" i="45"/>
  <c r="G1181" i="4"/>
  <c r="E372" i="36"/>
  <c r="D1656" i="4"/>
  <c r="F1656" i="4"/>
  <c r="G1130" i="4"/>
  <c r="G339" i="9"/>
  <c r="E341" i="9"/>
  <c r="G416" i="9"/>
  <c r="G417" i="9"/>
  <c r="E417" i="9"/>
  <c r="G1277" i="4"/>
  <c r="D1076" i="4"/>
  <c r="F1076" i="4"/>
  <c r="G152" i="9"/>
  <c r="G1103" i="4"/>
  <c r="E159" i="36"/>
  <c r="G1192" i="4"/>
  <c r="G867" i="4"/>
  <c r="G838" i="4"/>
  <c r="G1213" i="4"/>
  <c r="J41" i="44"/>
  <c r="G774" i="4"/>
  <c r="E931" i="4"/>
  <c r="G920" i="4"/>
  <c r="G912" i="4"/>
  <c r="G861" i="4"/>
  <c r="E877" i="4"/>
  <c r="G700" i="4"/>
  <c r="N28" i="43"/>
  <c r="G1094" i="4"/>
  <c r="G632" i="4"/>
  <c r="E643" i="4"/>
  <c r="K265" i="24"/>
  <c r="G954" i="4"/>
  <c r="G798" i="4"/>
  <c r="G756" i="4"/>
  <c r="N28" i="51"/>
  <c r="E1528" i="4"/>
  <c r="G1519" i="4"/>
  <c r="G697" i="4"/>
  <c r="G885" i="4"/>
  <c r="E215" i="36"/>
  <c r="M51" i="45"/>
  <c r="X7" i="45"/>
  <c r="G707" i="4"/>
  <c r="E720" i="4"/>
  <c r="G606" i="4"/>
  <c r="G637" i="4"/>
  <c r="N39" i="48"/>
  <c r="G978" i="4"/>
  <c r="G708" i="4"/>
  <c r="G686" i="4"/>
  <c r="E41" i="43"/>
  <c r="G1102" i="4"/>
  <c r="E190" i="6"/>
  <c r="G1032" i="4"/>
  <c r="G1395" i="4"/>
  <c r="G948" i="4"/>
  <c r="N29" i="43"/>
  <c r="G856" i="4"/>
  <c r="G1170" i="4"/>
  <c r="E379" i="36"/>
  <c r="E125" i="6"/>
  <c r="S264" i="24"/>
  <c r="C174" i="9"/>
  <c r="D169" i="9"/>
  <c r="F169" i="9"/>
  <c r="G274" i="9"/>
  <c r="G275" i="9"/>
  <c r="E275" i="9"/>
  <c r="G1169" i="4"/>
  <c r="G409" i="9"/>
  <c r="E412" i="9"/>
  <c r="G1191" i="4"/>
  <c r="G904" i="4"/>
  <c r="E130" i="10"/>
  <c r="D1316" i="4"/>
  <c r="F1316" i="4"/>
  <c r="D1293" i="4"/>
  <c r="F1293" i="4"/>
  <c r="D398" i="36"/>
  <c r="F398" i="36"/>
  <c r="E137" i="36"/>
  <c r="G764" i="4"/>
  <c r="E129" i="36"/>
  <c r="E1757" i="4"/>
  <c r="G1746" i="4"/>
  <c r="G777" i="4"/>
  <c r="G1385" i="4"/>
  <c r="G927" i="4"/>
  <c r="G892" i="4"/>
  <c r="G900" i="4"/>
  <c r="E816" i="4"/>
  <c r="G803" i="4"/>
  <c r="G1650" i="4"/>
  <c r="G842" i="4"/>
  <c r="G634" i="4"/>
  <c r="E167" i="36"/>
  <c r="G792" i="4"/>
  <c r="G636" i="4"/>
  <c r="G711" i="4"/>
  <c r="G182" i="9"/>
  <c r="N34" i="43"/>
  <c r="G1418" i="4"/>
  <c r="G175" i="9"/>
  <c r="E180" i="9"/>
  <c r="G763" i="4"/>
  <c r="G804" i="4"/>
  <c r="G767" i="4"/>
  <c r="G977" i="4"/>
  <c r="E790" i="4"/>
  <c r="G776" i="4"/>
  <c r="E180" i="36"/>
  <c r="G849" i="4"/>
  <c r="G730" i="4"/>
  <c r="G1696" i="4"/>
  <c r="G1476" i="4"/>
  <c r="E1485" i="4"/>
  <c r="E993" i="4"/>
  <c r="G980" i="4"/>
  <c r="G742" i="4"/>
  <c r="G624" i="4"/>
  <c r="N26" i="43"/>
  <c r="G1472" i="4"/>
  <c r="I41" i="51"/>
  <c r="E179" i="6"/>
  <c r="G834" i="4"/>
  <c r="E845" i="4"/>
  <c r="G653" i="4"/>
  <c r="G1016" i="4"/>
  <c r="N25" i="44"/>
  <c r="B41" i="44"/>
  <c r="G593" i="4"/>
  <c r="G1356" i="4"/>
  <c r="G1406" i="4"/>
  <c r="G594" i="4"/>
  <c r="G1010" i="4"/>
  <c r="G755" i="4"/>
  <c r="G690" i="4"/>
  <c r="G813" i="4"/>
  <c r="L35" i="37"/>
  <c r="G629" i="4"/>
  <c r="G1042" i="4"/>
  <c r="C1047" i="4"/>
  <c r="D1035" i="4"/>
  <c r="F1035" i="4"/>
  <c r="G857" i="4"/>
  <c r="G1568" i="4"/>
  <c r="G1769" i="4"/>
  <c r="D216" i="10"/>
  <c r="G1784" i="4"/>
  <c r="G1554" i="4"/>
  <c r="G1345" i="4"/>
  <c r="G1705" i="4"/>
  <c r="G1299" i="4"/>
  <c r="G1217" i="4"/>
  <c r="D1282" i="4"/>
  <c r="F1282" i="4"/>
  <c r="G1734" i="4"/>
  <c r="E1745" i="4"/>
  <c r="D481" i="6"/>
  <c r="F481" i="6"/>
  <c r="D609" i="4"/>
  <c r="F609" i="4"/>
  <c r="G1310" i="4"/>
  <c r="E294" i="36"/>
  <c r="G836" i="4"/>
  <c r="G826" i="4"/>
  <c r="E11" i="36"/>
  <c r="G1011" i="4"/>
  <c r="G666" i="4"/>
  <c r="G712" i="4"/>
  <c r="G862" i="4"/>
  <c r="G976" i="4"/>
  <c r="G1228" i="4"/>
  <c r="G1392" i="4"/>
  <c r="N34" i="50"/>
  <c r="G957" i="4"/>
  <c r="E968" i="4"/>
  <c r="G1515" i="4"/>
  <c r="G1172" i="4"/>
  <c r="G1610" i="4"/>
  <c r="G1416" i="4"/>
  <c r="G1647" i="4"/>
  <c r="G1626" i="4"/>
  <c r="G1501" i="4"/>
  <c r="E218" i="10"/>
  <c r="G1653" i="4"/>
  <c r="E1664" i="4"/>
  <c r="E127" i="10"/>
  <c r="G414" i="9"/>
  <c r="G1750" i="4"/>
  <c r="G1357" i="4"/>
  <c r="D712" i="4"/>
  <c r="F712" i="4"/>
  <c r="G1450" i="4"/>
  <c r="G1562" i="4"/>
  <c r="G1495" i="4"/>
  <c r="G1167" i="4"/>
  <c r="G1793" i="4"/>
  <c r="G1489" i="4"/>
  <c r="G1241" i="4"/>
  <c r="G1775" i="4"/>
  <c r="E1787" i="4"/>
  <c r="G1076" i="4"/>
  <c r="G1617" i="4"/>
  <c r="E1627" i="4"/>
  <c r="G1785" i="4"/>
  <c r="G1660" i="4"/>
  <c r="G456" i="9"/>
  <c r="G1786" i="4"/>
  <c r="G1153" i="4"/>
  <c r="G1254" i="4"/>
  <c r="D394" i="9"/>
  <c r="F394" i="9"/>
  <c r="G353" i="9"/>
  <c r="E355" i="9"/>
  <c r="G1386" i="4"/>
  <c r="G1704" i="4"/>
  <c r="N27" i="43"/>
  <c r="G765" i="4"/>
  <c r="G132" i="9"/>
  <c r="G1479" i="4"/>
  <c r="G1632" i="4"/>
  <c r="G300" i="9"/>
  <c r="E421" i="9"/>
  <c r="G418" i="9"/>
  <c r="G1438" i="4"/>
  <c r="E441" i="36"/>
  <c r="D827" i="4"/>
  <c r="F827" i="4"/>
  <c r="D210" i="36"/>
  <c r="D1765" i="4"/>
  <c r="F1765" i="4"/>
  <c r="D1329" i="4"/>
  <c r="F1329" i="4"/>
  <c r="C526" i="6"/>
  <c r="C528" i="6"/>
  <c r="D521" i="6"/>
  <c r="F521" i="6"/>
  <c r="C20" i="43"/>
  <c r="D674" i="4"/>
  <c r="F674" i="4"/>
  <c r="E106" i="10"/>
  <c r="D1204" i="4"/>
  <c r="F1204" i="4"/>
  <c r="D900" i="4"/>
  <c r="F900" i="4"/>
  <c r="D870" i="4"/>
  <c r="F870" i="4"/>
  <c r="D100" i="36"/>
  <c r="F100" i="36"/>
  <c r="D1452" i="4"/>
  <c r="F1452" i="4"/>
  <c r="D348" i="9"/>
  <c r="F348" i="9"/>
  <c r="D311" i="36"/>
  <c r="F311" i="36"/>
  <c r="D292" i="36"/>
  <c r="F292" i="36"/>
  <c r="D649" i="4"/>
  <c r="F649" i="4"/>
  <c r="G1139" i="4"/>
  <c r="E1149" i="4"/>
  <c r="N23" i="37"/>
  <c r="G1486" i="4"/>
  <c r="E1496" i="4"/>
  <c r="E1605" i="4"/>
  <c r="G1595" i="4"/>
  <c r="G1008" i="4"/>
  <c r="E1023" i="4"/>
  <c r="E1463" i="4"/>
  <c r="G1455" i="4"/>
  <c r="G592" i="4"/>
  <c r="G1157" i="4"/>
  <c r="G1000" i="4"/>
  <c r="E176" i="10"/>
  <c r="G1743" i="4"/>
  <c r="G1563" i="4"/>
  <c r="G1634" i="4"/>
  <c r="G1622" i="4"/>
  <c r="E375" i="9"/>
  <c r="G373" i="9"/>
  <c r="G1168" i="4"/>
  <c r="G1678" i="4"/>
  <c r="E464" i="36"/>
  <c r="G1210" i="4"/>
  <c r="G1326" i="4"/>
  <c r="G1663" i="4"/>
  <c r="E316" i="9"/>
  <c r="G314" i="9"/>
  <c r="L41" i="43"/>
  <c r="G642" i="4"/>
  <c r="G1736" i="4"/>
  <c r="D145" i="9"/>
  <c r="F145" i="9"/>
  <c r="G1376" i="4"/>
  <c r="E1387" i="4"/>
  <c r="G1791" i="4"/>
  <c r="G1727" i="4"/>
  <c r="G1281" i="4"/>
  <c r="E138" i="10"/>
  <c r="G1470" i="4"/>
  <c r="E550" i="6"/>
  <c r="G411" i="9"/>
  <c r="G292" i="9"/>
  <c r="E326" i="6"/>
  <c r="G1777" i="4"/>
  <c r="G1753" i="4"/>
  <c r="G439" i="9"/>
  <c r="G1522" i="4"/>
  <c r="G1133" i="4"/>
  <c r="G1752" i="4"/>
  <c r="G687" i="4"/>
  <c r="D196" i="9"/>
  <c r="F196" i="9"/>
  <c r="G1598" i="4"/>
  <c r="G1540" i="4"/>
  <c r="E446" i="6"/>
  <c r="G1255" i="4"/>
  <c r="G1282" i="4"/>
  <c r="G1756" i="4"/>
  <c r="G1451" i="4"/>
  <c r="G1367" i="4"/>
  <c r="G1051" i="4"/>
  <c r="G357" i="9"/>
  <c r="G1381" i="4"/>
  <c r="G226" i="9"/>
  <c r="E229" i="9"/>
  <c r="E336" i="6"/>
  <c r="D1279" i="4"/>
  <c r="F1279" i="4"/>
  <c r="G985" i="4"/>
  <c r="E143" i="10"/>
  <c r="N35" i="44"/>
  <c r="D1799" i="4"/>
  <c r="F1799" i="4"/>
  <c r="C1810" i="4"/>
  <c r="C585" i="6"/>
  <c r="C583" i="6"/>
  <c r="D580" i="6"/>
  <c r="D235" i="6"/>
  <c r="F235" i="6"/>
  <c r="C1283" i="4"/>
  <c r="D1273" i="4"/>
  <c r="F1273" i="4"/>
  <c r="D1070" i="4"/>
  <c r="F1070" i="4"/>
  <c r="C41" i="51"/>
  <c r="G473" i="9"/>
  <c r="D1768" i="4"/>
  <c r="F1768" i="4"/>
  <c r="D1370" i="4"/>
  <c r="F1370" i="4"/>
  <c r="D239" i="6"/>
  <c r="F239" i="6"/>
  <c r="C246" i="6"/>
  <c r="G1782" i="4"/>
  <c r="G1050" i="4"/>
  <c r="G740" i="4"/>
  <c r="G1089" i="4"/>
  <c r="G676" i="4"/>
  <c r="G735" i="4"/>
  <c r="G1108" i="4"/>
  <c r="G728" i="4"/>
  <c r="G880" i="4"/>
  <c r="G1200" i="4"/>
  <c r="G1117" i="4"/>
  <c r="E1127" i="4"/>
  <c r="E1283" i="4"/>
  <c r="G1273" i="4"/>
  <c r="G1589" i="4"/>
  <c r="E149" i="10"/>
  <c r="E386" i="6"/>
  <c r="G431" i="9"/>
  <c r="N25" i="51"/>
  <c r="B41" i="51"/>
  <c r="G1644" i="4"/>
  <c r="G396" i="9"/>
  <c r="N32" i="37"/>
  <c r="G1069" i="4"/>
  <c r="E415" i="9"/>
  <c r="G413" i="9"/>
  <c r="G1195" i="4"/>
  <c r="D1569" i="4"/>
  <c r="F1569" i="4"/>
  <c r="G1359" i="4"/>
  <c r="E60" i="45"/>
  <c r="O60" i="45"/>
  <c r="E147" i="10"/>
  <c r="G866" i="4"/>
  <c r="G1702" i="4"/>
  <c r="G428" i="9"/>
  <c r="G1084" i="4"/>
  <c r="G665" i="4"/>
  <c r="G1521" i="4"/>
  <c r="G1593" i="4"/>
  <c r="G1726" i="4"/>
  <c r="D620" i="4"/>
  <c r="F620" i="4"/>
  <c r="G1206" i="4"/>
  <c r="G1556" i="4"/>
  <c r="G1352" i="4"/>
  <c r="G1460" i="4"/>
  <c r="G466" i="9"/>
  <c r="E410" i="36"/>
  <c r="G832" i="4"/>
  <c r="G1623" i="4"/>
  <c r="E528" i="36"/>
  <c r="H17" i="24"/>
  <c r="G1601" i="4"/>
  <c r="G1800" i="4"/>
  <c r="G1158" i="4"/>
  <c r="G1303" i="4"/>
  <c r="D283" i="6"/>
  <c r="F283" i="6"/>
  <c r="D1031" i="4"/>
  <c r="F1031" i="4"/>
  <c r="D93" i="36"/>
  <c r="F93" i="36"/>
  <c r="C97" i="36"/>
  <c r="D532" i="6"/>
  <c r="F532" i="6"/>
  <c r="G1615" i="4"/>
  <c r="C1105" i="4"/>
  <c r="D1092" i="4"/>
  <c r="F1092" i="4"/>
  <c r="D450" i="6"/>
  <c r="F450" i="6"/>
  <c r="D1040" i="4"/>
  <c r="F1040" i="4"/>
  <c r="D1516" i="4"/>
  <c r="F1516" i="4"/>
  <c r="D723" i="4"/>
  <c r="F723" i="4"/>
  <c r="D30" i="36"/>
  <c r="F30" i="36"/>
  <c r="D223" i="10"/>
  <c r="D1201" i="4"/>
  <c r="F1201" i="4"/>
  <c r="D54" i="36"/>
  <c r="F54" i="36"/>
  <c r="G1148" i="4"/>
  <c r="G1492" i="4"/>
  <c r="G1417" i="4"/>
  <c r="N39" i="44"/>
  <c r="G929" i="4"/>
  <c r="G667" i="4"/>
  <c r="G1761" i="4"/>
  <c r="E155" i="10"/>
  <c r="N5" i="43"/>
  <c r="G1552" i="4"/>
  <c r="G285" i="9"/>
  <c r="G1410" i="4"/>
  <c r="D113" i="36"/>
  <c r="F113" i="36"/>
  <c r="G1641" i="4"/>
  <c r="G394" i="9"/>
  <c r="G1414" i="4"/>
  <c r="G1029" i="4"/>
  <c r="G1115" i="4"/>
  <c r="G1778" i="4"/>
  <c r="G1320" i="4"/>
  <c r="G1196" i="4"/>
  <c r="E471" i="9"/>
  <c r="G468" i="9"/>
  <c r="G1535" i="4"/>
  <c r="G1121" i="4"/>
  <c r="G1233" i="4"/>
  <c r="G1420" i="4"/>
  <c r="E1433" i="4"/>
  <c r="G1668" i="4"/>
  <c r="G1567" i="4"/>
  <c r="G1405" i="4"/>
  <c r="E113" i="10"/>
  <c r="G876" i="4"/>
  <c r="G403" i="9"/>
  <c r="E758" i="6"/>
  <c r="E307" i="6"/>
  <c r="G1619" i="4"/>
  <c r="D234" i="6"/>
  <c r="F234" i="6"/>
  <c r="G1748" i="4"/>
  <c r="G1368" i="4"/>
  <c r="G1243" i="4"/>
  <c r="G1071" i="4"/>
  <c r="G1428" i="4"/>
  <c r="G1266" i="4"/>
  <c r="G402" i="9"/>
  <c r="G1487" i="4"/>
  <c r="E406" i="6"/>
  <c r="G445" i="9"/>
  <c r="D505" i="36"/>
  <c r="F505" i="36"/>
  <c r="G1722" i="4"/>
  <c r="E1733" i="4"/>
  <c r="G361" i="9"/>
  <c r="G1724" i="4"/>
  <c r="G462" i="9"/>
  <c r="G1672" i="4"/>
  <c r="G1507" i="4"/>
  <c r="E429" i="6"/>
  <c r="E184" i="10"/>
  <c r="I51" i="45"/>
  <c r="D139" i="6"/>
  <c r="F139" i="6"/>
  <c r="C142" i="6"/>
  <c r="D1761" i="4"/>
  <c r="F1761" i="4"/>
  <c r="D1078" i="4"/>
  <c r="F1078" i="4"/>
  <c r="G1713" i="4"/>
  <c r="D270" i="10"/>
  <c r="C273" i="10"/>
  <c r="G1709" i="4"/>
  <c r="D869" i="4"/>
  <c r="F869" i="4"/>
  <c r="D1221" i="4"/>
  <c r="F1221" i="4"/>
  <c r="D1585" i="4"/>
  <c r="F1585" i="4"/>
  <c r="D10" i="36"/>
  <c r="D11" i="36"/>
  <c r="C11" i="36"/>
  <c r="C1454" i="4"/>
  <c r="D1445" i="4"/>
  <c r="F1445" i="4"/>
  <c r="D1678" i="4"/>
  <c r="F1678" i="4"/>
  <c r="D71" i="10"/>
  <c r="G1541" i="4"/>
  <c r="D439" i="9"/>
  <c r="F439" i="9"/>
  <c r="D384" i="9"/>
  <c r="F384" i="9"/>
  <c r="D339" i="6"/>
  <c r="F339" i="6"/>
  <c r="G312" i="9"/>
  <c r="D1443" i="4"/>
  <c r="F1443" i="4"/>
  <c r="N26" i="44"/>
  <c r="G1651" i="4"/>
  <c r="G1028" i="4"/>
  <c r="G1019" i="4"/>
  <c r="N26" i="51"/>
  <c r="E55" i="45"/>
  <c r="D137" i="6"/>
  <c r="F137" i="6"/>
  <c r="D34" i="36"/>
  <c r="F34" i="36"/>
  <c r="D419" i="9"/>
  <c r="F419" i="9"/>
  <c r="G398" i="9"/>
  <c r="E400" i="9"/>
  <c r="D805" i="4"/>
  <c r="F805" i="4"/>
  <c r="D673" i="4"/>
  <c r="F673" i="4"/>
  <c r="D352" i="36"/>
  <c r="F352" i="36"/>
  <c r="D333" i="36"/>
  <c r="F333" i="36"/>
  <c r="G425" i="9"/>
  <c r="G196" i="9"/>
  <c r="D1625" i="4"/>
  <c r="F1625" i="4"/>
  <c r="D886" i="4"/>
  <c r="F886" i="4"/>
  <c r="D172" i="6"/>
  <c r="F172" i="6"/>
  <c r="C437" i="9"/>
  <c r="D435" i="9"/>
  <c r="F435" i="9"/>
  <c r="D265" i="36"/>
  <c r="F265" i="36"/>
  <c r="D1263" i="4"/>
  <c r="F1263" i="4"/>
  <c r="G1468" i="4"/>
  <c r="G386" i="9"/>
  <c r="E388" i="9"/>
  <c r="E313" i="9"/>
  <c r="G311" i="9"/>
  <c r="G1377" i="4"/>
  <c r="G1712" i="4"/>
  <c r="G1397" i="4"/>
  <c r="C180" i="9"/>
  <c r="D175" i="9"/>
  <c r="F175" i="9"/>
  <c r="G1070" i="4"/>
  <c r="G1747" i="4"/>
  <c r="G825" i="4"/>
  <c r="G1333" i="4"/>
  <c r="G1372" i="4"/>
  <c r="G851" i="4"/>
  <c r="G1120" i="4"/>
  <c r="N36" i="44"/>
  <c r="G1606" i="4"/>
  <c r="E1616" i="4"/>
  <c r="E283" i="10"/>
  <c r="G1421" i="4"/>
  <c r="G1334" i="4"/>
  <c r="D329" i="36"/>
  <c r="F329" i="36"/>
  <c r="G271" i="9"/>
  <c r="G1788" i="4"/>
  <c r="E1798" i="4"/>
  <c r="G916" i="4"/>
  <c r="G1779" i="4"/>
  <c r="G1336" i="4"/>
  <c r="D865" i="4"/>
  <c r="F865" i="4"/>
  <c r="D320" i="36"/>
  <c r="F320" i="36"/>
  <c r="G1466" i="4"/>
  <c r="D1379" i="4"/>
  <c r="F1379" i="4"/>
  <c r="G1175" i="4"/>
  <c r="D370" i="36"/>
  <c r="F370" i="36"/>
  <c r="D1738" i="4"/>
  <c r="F1738" i="4"/>
  <c r="D246" i="9"/>
  <c r="F246" i="9"/>
  <c r="D402" i="6"/>
  <c r="F402" i="6"/>
  <c r="D383" i="9"/>
  <c r="N9" i="24"/>
  <c r="G1202" i="4"/>
  <c r="D318" i="6"/>
  <c r="F318" i="6"/>
  <c r="D1275" i="4"/>
  <c r="F1275" i="4"/>
  <c r="C432" i="9"/>
  <c r="D430" i="9"/>
  <c r="F430" i="9"/>
  <c r="D1431" i="4"/>
  <c r="F1431" i="4"/>
  <c r="D672" i="4"/>
  <c r="F672" i="4"/>
  <c r="N13" i="50"/>
  <c r="D171" i="9"/>
  <c r="F171" i="9"/>
  <c r="G1648" i="4"/>
  <c r="E355" i="36"/>
  <c r="E331" i="6"/>
  <c r="G1801" i="4"/>
  <c r="G1481" i="4"/>
  <c r="G1151" i="4"/>
  <c r="G1629" i="4"/>
  <c r="D157" i="36"/>
  <c r="F157" i="36"/>
  <c r="L41" i="50"/>
  <c r="G337" i="9"/>
  <c r="G1423" i="4"/>
  <c r="E453" i="6"/>
  <c r="N34" i="51"/>
  <c r="G213" i="9"/>
  <c r="N17" i="51"/>
  <c r="D1153" i="4"/>
  <c r="F1153" i="4"/>
  <c r="G1155" i="4"/>
  <c r="E325" i="10"/>
  <c r="E20" i="43"/>
  <c r="C1475" i="4"/>
  <c r="D1464" i="4"/>
  <c r="F1464" i="4"/>
  <c r="D296" i="36"/>
  <c r="F296" i="36"/>
  <c r="D1228" i="4"/>
  <c r="F1228" i="4"/>
  <c r="D228" i="6"/>
  <c r="F228" i="6"/>
  <c r="G1517" i="4"/>
  <c r="D1489" i="4"/>
  <c r="F1489" i="4"/>
  <c r="D282" i="36"/>
  <c r="F282" i="36"/>
  <c r="C287" i="36"/>
  <c r="D717" i="4"/>
  <c r="F717" i="4"/>
  <c r="D449" i="36"/>
  <c r="F449" i="36"/>
  <c r="D1497" i="4"/>
  <c r="F1497" i="4"/>
  <c r="C1508" i="4"/>
  <c r="E616" i="4"/>
  <c r="K263" i="24"/>
  <c r="E1318" i="4"/>
  <c r="G1307" i="4"/>
  <c r="E4" i="36"/>
  <c r="G384" i="9"/>
  <c r="G1452" i="4"/>
  <c r="E257" i="10"/>
  <c r="G1221" i="4"/>
  <c r="G277" i="9"/>
  <c r="G1177" i="4"/>
  <c r="G1464" i="4"/>
  <c r="E1475" i="4"/>
  <c r="K20" i="43"/>
  <c r="N26" i="24"/>
  <c r="G1478" i="4"/>
  <c r="E309" i="10"/>
  <c r="G276" i="9"/>
  <c r="E281" i="9"/>
  <c r="G287" i="9"/>
  <c r="G464" i="9"/>
  <c r="E467" i="9"/>
  <c r="G1667" i="4"/>
  <c r="G448" i="9"/>
  <c r="E451" i="9"/>
  <c r="G692" i="4"/>
  <c r="E477" i="6"/>
  <c r="G1677" i="4"/>
  <c r="G1285" i="4"/>
  <c r="G1759" i="4"/>
  <c r="E464" i="6"/>
  <c r="N35" i="50"/>
  <c r="L20" i="50"/>
  <c r="G1718" i="4"/>
  <c r="G1621" i="4"/>
  <c r="G955" i="4"/>
  <c r="G1205" i="4"/>
  <c r="G1393" i="4"/>
  <c r="D264" i="6"/>
  <c r="F264" i="6"/>
  <c r="G1656" i="4"/>
  <c r="E419" i="6"/>
  <c r="C247" i="9"/>
  <c r="D244" i="9"/>
  <c r="F244" i="9"/>
  <c r="G1289" i="4"/>
  <c r="G859" i="4"/>
  <c r="G1436" i="4"/>
  <c r="G1049" i="4"/>
  <c r="G1134" i="4"/>
  <c r="G407" i="9"/>
  <c r="G1716" i="4"/>
  <c r="G1156" i="4"/>
  <c r="D242" i="6"/>
  <c r="F242" i="6"/>
  <c r="G1760" i="4"/>
  <c r="B20" i="50"/>
  <c r="N4" i="50"/>
  <c r="G1728" i="4"/>
  <c r="G1687" i="4"/>
  <c r="G902" i="4"/>
  <c r="D715" i="4"/>
  <c r="F715" i="4"/>
  <c r="G1585" i="4"/>
  <c r="G1546" i="4"/>
  <c r="G173" i="9"/>
  <c r="C192" i="10"/>
  <c r="D189" i="10"/>
  <c r="D199" i="36"/>
  <c r="F199" i="36"/>
  <c r="D1778" i="4"/>
  <c r="F1778" i="4"/>
  <c r="D385" i="36"/>
  <c r="F385" i="36"/>
  <c r="D299" i="36"/>
  <c r="F299" i="36"/>
  <c r="D1109" i="4"/>
  <c r="F1109" i="4"/>
  <c r="D333" i="9"/>
  <c r="F333" i="9"/>
  <c r="D1447" i="4"/>
  <c r="F1447" i="4"/>
  <c r="N13" i="24"/>
  <c r="D409" i="9"/>
  <c r="F409" i="9"/>
  <c r="C412" i="9"/>
  <c r="G1425" i="4"/>
  <c r="G1670" i="4"/>
  <c r="D1243" i="4"/>
  <c r="F1243" i="4"/>
  <c r="D132" i="9"/>
  <c r="F132" i="9"/>
  <c r="D286" i="36"/>
  <c r="F286" i="36"/>
  <c r="E1548" i="4"/>
  <c r="G1539" i="4"/>
  <c r="G918" i="4"/>
  <c r="G609" i="4"/>
  <c r="G749" i="4"/>
  <c r="G1366" i="4"/>
  <c r="G718" i="4"/>
  <c r="G727" i="4"/>
  <c r="F41" i="43"/>
  <c r="G41" i="50"/>
  <c r="G647" i="4"/>
  <c r="E36" i="36"/>
  <c r="E502" i="36"/>
  <c r="G1764" i="4"/>
  <c r="D1510" i="4"/>
  <c r="F1510" i="4"/>
  <c r="G1253" i="4"/>
  <c r="G1404" i="4"/>
  <c r="E232" i="10"/>
  <c r="E526" i="6"/>
  <c r="E528" i="6"/>
  <c r="G1183" i="4"/>
  <c r="G1768" i="4"/>
  <c r="G269" i="9"/>
  <c r="D1219" i="4"/>
  <c r="F1219" i="4"/>
  <c r="G1325" i="4"/>
  <c r="G211" i="9"/>
  <c r="G1581" i="4"/>
  <c r="N34" i="48"/>
  <c r="G1081" i="4"/>
  <c r="G1531" i="4"/>
  <c r="N33" i="50"/>
  <c r="D1396" i="4"/>
  <c r="F1396" i="4"/>
  <c r="E431" i="36"/>
  <c r="G1300" i="4"/>
  <c r="N27" i="50"/>
  <c r="G1635" i="4"/>
  <c r="G1263" i="4"/>
  <c r="G315" i="9"/>
  <c r="G1707" i="4"/>
  <c r="G1525" i="4"/>
  <c r="G965" i="4"/>
  <c r="E251" i="6"/>
  <c r="D1566" i="4"/>
  <c r="F1566" i="4"/>
  <c r="G1459" i="4"/>
  <c r="G1048" i="4"/>
  <c r="E1057" i="4"/>
  <c r="G1657" i="4"/>
  <c r="D1502" i="4"/>
  <c r="F1502" i="4"/>
  <c r="G483" i="9"/>
  <c r="E485" i="9"/>
  <c r="E209" i="10"/>
  <c r="G1118" i="4"/>
  <c r="G1569" i="4"/>
  <c r="G1125" i="4"/>
  <c r="D404" i="9"/>
  <c r="F404" i="9"/>
  <c r="G1584" i="4"/>
  <c r="D22" i="36"/>
  <c r="F22" i="36"/>
  <c r="G1682" i="4"/>
  <c r="D404" i="6"/>
  <c r="F404" i="6"/>
  <c r="G1209" i="4"/>
  <c r="G1394" i="4"/>
  <c r="G1269" i="4"/>
  <c r="D321" i="6"/>
  <c r="F321" i="6"/>
  <c r="C326" i="6"/>
  <c r="N31" i="44"/>
  <c r="D55" i="45"/>
  <c r="D445" i="36"/>
  <c r="F445" i="36"/>
  <c r="D1626" i="4"/>
  <c r="F1626" i="4"/>
  <c r="D1056" i="4"/>
  <c r="F1056" i="4"/>
  <c r="C326" i="9"/>
  <c r="D324" i="9"/>
  <c r="F324" i="9"/>
  <c r="D457" i="6"/>
  <c r="F457" i="6"/>
  <c r="D1067" i="4"/>
  <c r="F1067" i="4"/>
  <c r="D357" i="6"/>
  <c r="F357" i="6"/>
  <c r="D202" i="9"/>
  <c r="F202" i="9"/>
  <c r="E187" i="10"/>
  <c r="G1443" i="4"/>
  <c r="D356" i="9"/>
  <c r="F356" i="9"/>
  <c r="C358" i="9"/>
  <c r="N36" i="50"/>
  <c r="G1693" i="4"/>
  <c r="E597" i="36"/>
  <c r="G1025" i="4"/>
  <c r="G910" i="4"/>
  <c r="G1488" i="4"/>
  <c r="G1088" i="4"/>
  <c r="G1689" i="4"/>
  <c r="E1698" i="4"/>
  <c r="G1795" i="4"/>
  <c r="E364" i="36"/>
  <c r="N28" i="24"/>
  <c r="E437" i="9"/>
  <c r="G435" i="9"/>
  <c r="E408" i="9"/>
  <c r="G406" i="9"/>
  <c r="G784" i="4"/>
  <c r="E386" i="36"/>
  <c r="E695" i="6"/>
  <c r="G1412" i="4"/>
  <c r="G1683" i="4"/>
  <c r="G1013" i="4"/>
  <c r="N10" i="50"/>
  <c r="G1477" i="4"/>
  <c r="G963" i="4"/>
  <c r="G1576" i="4"/>
  <c r="E259" i="6"/>
  <c r="E480" i="9"/>
  <c r="G479" i="9"/>
  <c r="G480" i="9"/>
  <c r="E713" i="6"/>
  <c r="C111" i="36"/>
  <c r="D108" i="36"/>
  <c r="F108" i="36"/>
  <c r="G1231" i="4"/>
  <c r="G1499" i="4"/>
  <c r="E272" i="6"/>
  <c r="D809" i="4"/>
  <c r="F809" i="4"/>
  <c r="G449" i="9"/>
  <c r="G1744" i="4"/>
  <c r="D952" i="4"/>
  <c r="F952" i="4"/>
  <c r="G1219" i="4"/>
  <c r="E276" i="10"/>
  <c r="N39" i="50"/>
  <c r="G1503" i="4"/>
  <c r="G1328" i="4"/>
  <c r="G299" i="9"/>
  <c r="E301" i="9"/>
  <c r="G1112" i="4"/>
  <c r="D1530" i="4"/>
  <c r="F1530" i="4"/>
  <c r="D881" i="4"/>
  <c r="F881" i="4"/>
  <c r="D278" i="6"/>
  <c r="F278" i="6"/>
  <c r="C284" i="6"/>
  <c r="E312" i="10"/>
  <c r="D198" i="10"/>
  <c r="D189" i="36"/>
  <c r="F189" i="36"/>
  <c r="D155" i="6"/>
  <c r="F155" i="6"/>
  <c r="D1083" i="4"/>
  <c r="F1083" i="4"/>
  <c r="C1091" i="4"/>
  <c r="N15" i="44"/>
  <c r="G1537" i="4"/>
  <c r="D586" i="36"/>
  <c r="F586" i="36"/>
  <c r="D1667" i="4"/>
  <c r="F1667" i="4"/>
  <c r="D1644" i="4"/>
  <c r="F1644" i="4"/>
  <c r="G737" i="4"/>
  <c r="G675" i="4"/>
  <c r="E246" i="6"/>
  <c r="G828" i="4"/>
  <c r="G1597" i="4"/>
  <c r="G1577" i="4"/>
  <c r="G293" i="9"/>
  <c r="G1462" i="4"/>
  <c r="G459" i="9"/>
  <c r="G1186" i="4"/>
  <c r="E623" i="6"/>
  <c r="G470" i="9"/>
  <c r="G1602" i="4"/>
  <c r="G133" i="9"/>
  <c r="G1144" i="4"/>
  <c r="G278" i="9"/>
  <c r="D1541" i="4"/>
  <c r="F1541" i="4"/>
  <c r="G318" i="9"/>
  <c r="G988" i="4"/>
  <c r="E310" i="9"/>
  <c r="G309" i="9"/>
  <c r="G310" i="9"/>
  <c r="E457" i="9"/>
  <c r="G455" i="9"/>
  <c r="G371" i="9"/>
  <c r="G372" i="9"/>
  <c r="E372" i="9"/>
  <c r="N38" i="50"/>
  <c r="G1021" i="4"/>
  <c r="G197" i="9"/>
  <c r="E334" i="9"/>
  <c r="G329" i="9"/>
  <c r="G1566" i="4"/>
  <c r="G1152" i="4"/>
  <c r="G1291" i="4"/>
  <c r="E687" i="6"/>
  <c r="G1288" i="4"/>
  <c r="D1349" i="4"/>
  <c r="F1349" i="4"/>
  <c r="G1763" i="4"/>
  <c r="G814" i="4"/>
  <c r="G232" i="9"/>
  <c r="G1729" i="4"/>
  <c r="E380" i="6"/>
  <c r="D1337" i="4"/>
  <c r="F1337" i="4"/>
  <c r="G1323" i="4"/>
  <c r="D621" i="4"/>
  <c r="F621" i="4"/>
  <c r="G1767" i="4"/>
  <c r="E52" i="45"/>
  <c r="O52" i="45"/>
  <c r="N35" i="48"/>
  <c r="G208" i="9"/>
  <c r="D525" i="36"/>
  <c r="F525" i="36"/>
  <c r="D333" i="6"/>
  <c r="F333" i="6"/>
  <c r="C336" i="6"/>
  <c r="G1735" i="4"/>
  <c r="D991" i="4"/>
  <c r="F991" i="4"/>
  <c r="D127" i="6"/>
  <c r="F127" i="6"/>
  <c r="D1296" i="4"/>
  <c r="F1296" i="4"/>
  <c r="N19" i="50"/>
  <c r="D755" i="4"/>
  <c r="F755" i="4"/>
  <c r="G249" i="9"/>
  <c r="D203" i="9"/>
  <c r="F203" i="9"/>
  <c r="E266" i="6"/>
  <c r="G1612" i="4"/>
  <c r="G1184" i="4"/>
  <c r="D761" i="4"/>
  <c r="F761" i="4"/>
  <c r="C775" i="4"/>
  <c r="G164" i="9"/>
  <c r="G819" i="4"/>
  <c r="G641" i="4"/>
  <c r="E1454" i="4"/>
  <c r="G1445" i="4"/>
  <c r="G940" i="4"/>
  <c r="G1132" i="4"/>
  <c r="G1738" i="4"/>
  <c r="G1755" i="4"/>
  <c r="E424" i="36"/>
  <c r="G1259" i="4"/>
  <c r="G289" i="9"/>
  <c r="G1276" i="4"/>
  <c r="D218" i="9"/>
  <c r="F218" i="9"/>
  <c r="C225" i="9"/>
  <c r="G1064" i="4"/>
  <c r="G1561" i="4"/>
  <c r="G272" i="9"/>
  <c r="G1324" i="4"/>
  <c r="G1146" i="4"/>
  <c r="E581" i="36"/>
  <c r="G1558" i="4"/>
  <c r="G264" i="9"/>
  <c r="D1555" i="4"/>
  <c r="F1555" i="4"/>
  <c r="G1252" i="4"/>
  <c r="G1382" i="4"/>
  <c r="G901" i="4"/>
  <c r="G258" i="9"/>
  <c r="G1097" i="4"/>
  <c r="G1389" i="4"/>
  <c r="D442" i="9"/>
  <c r="F442" i="9"/>
  <c r="G1068" i="4"/>
  <c r="G1364" i="4"/>
  <c r="E1375" i="4"/>
  <c r="E360" i="6"/>
  <c r="G1271" i="4"/>
  <c r="D455" i="9"/>
  <c r="F455" i="9"/>
  <c r="C457" i="9"/>
  <c r="N27" i="51"/>
  <c r="G324" i="9"/>
  <c r="E326" i="9"/>
  <c r="G602" i="4"/>
  <c r="G1719" i="4"/>
  <c r="G640" i="4"/>
  <c r="G872" i="4"/>
  <c r="E174" i="6"/>
  <c r="G1500" i="4"/>
  <c r="D348" i="6"/>
  <c r="F348" i="6"/>
  <c r="C354" i="6"/>
  <c r="G199" i="9"/>
  <c r="G1402" i="4"/>
  <c r="E521" i="36"/>
  <c r="G1586" i="4"/>
  <c r="N40" i="51"/>
  <c r="E110" i="10"/>
  <c r="G1279" i="4"/>
  <c r="G1305" i="4"/>
  <c r="E476" i="9"/>
  <c r="G475" i="9"/>
  <c r="G476" i="9"/>
  <c r="G1514" i="4"/>
  <c r="G1268" i="4"/>
  <c r="G1447" i="4"/>
  <c r="G797" i="4"/>
  <c r="E556" i="6"/>
  <c r="D149" i="36"/>
  <c r="F149" i="36"/>
  <c r="D638" i="4"/>
  <c r="F638" i="4"/>
  <c r="E129" i="6"/>
  <c r="S254" i="37"/>
  <c r="D961" i="4"/>
  <c r="F961" i="4"/>
  <c r="N30" i="50"/>
  <c r="D888" i="4"/>
  <c r="F888" i="4"/>
  <c r="D728" i="4"/>
  <c r="F728" i="4"/>
  <c r="D864" i="4"/>
  <c r="F864" i="4"/>
  <c r="C502" i="36"/>
  <c r="D495" i="36"/>
  <c r="F495" i="36"/>
  <c r="D929" i="4"/>
  <c r="F929" i="4"/>
  <c r="D251" i="36"/>
  <c r="F251" i="36"/>
  <c r="N34" i="44"/>
  <c r="D1684" i="4"/>
  <c r="F1684" i="4"/>
  <c r="D1542" i="4"/>
  <c r="F1542" i="4"/>
  <c r="D1505" i="4"/>
  <c r="F1505" i="4"/>
  <c r="G1384" i="4"/>
  <c r="E187" i="36"/>
  <c r="G223" i="9"/>
  <c r="N38" i="48"/>
  <c r="E274" i="36"/>
  <c r="G1006" i="4"/>
  <c r="G895" i="4"/>
  <c r="G189" i="9"/>
  <c r="G612" i="4"/>
  <c r="G1106" i="4"/>
  <c r="E1116" i="4"/>
  <c r="G252" i="9"/>
  <c r="E256" i="9"/>
  <c r="N29" i="51"/>
  <c r="E403" i="36"/>
  <c r="G233" i="9"/>
  <c r="D1103" i="4"/>
  <c r="F1103" i="4"/>
  <c r="G1781" i="4"/>
  <c r="G1737" i="4"/>
  <c r="E434" i="9"/>
  <c r="G433" i="9"/>
  <c r="G434" i="9"/>
  <c r="G1684" i="4"/>
  <c r="G336" i="9"/>
  <c r="G1608" i="4"/>
  <c r="G125" i="9"/>
  <c r="E130" i="9"/>
  <c r="F29" i="24"/>
  <c r="G1809" i="4"/>
  <c r="G1529" i="4"/>
  <c r="E1538" i="4"/>
  <c r="G253" i="9"/>
  <c r="E482" i="9"/>
  <c r="G481" i="9"/>
  <c r="G482" i="9"/>
  <c r="G1329" i="4"/>
  <c r="E393" i="6"/>
  <c r="G1661" i="4"/>
  <c r="E295" i="6"/>
  <c r="N32" i="50"/>
  <c r="G1060" i="4"/>
  <c r="E731" i="6"/>
  <c r="G1312" i="4"/>
  <c r="G340" i="9"/>
  <c r="G1383" i="4"/>
  <c r="G1490" i="4"/>
  <c r="G1754" i="4"/>
  <c r="G1631" i="4"/>
  <c r="G1790" i="4"/>
  <c r="G1679" i="4"/>
  <c r="E163" i="10"/>
  <c r="G1314" i="4"/>
  <c r="G1544" i="4"/>
  <c r="G1045" i="4"/>
  <c r="G1564" i="4"/>
  <c r="G350" i="9"/>
  <c r="E352" i="9"/>
  <c r="G410" i="9"/>
  <c r="G1063" i="4"/>
  <c r="E588" i="36"/>
  <c r="G1534" i="4"/>
  <c r="G1530" i="4"/>
  <c r="G389" i="9"/>
  <c r="E392" i="9"/>
  <c r="G1301" i="4"/>
  <c r="G165" i="9"/>
  <c r="G127" i="9"/>
  <c r="D366" i="9"/>
  <c r="F366" i="9"/>
  <c r="C346" i="6"/>
  <c r="D343" i="6"/>
  <c r="F343" i="6"/>
  <c r="D182" i="6"/>
  <c r="F182" i="6"/>
  <c r="D1352" i="4"/>
  <c r="F1352" i="4"/>
  <c r="D221" i="36"/>
  <c r="F221" i="36"/>
  <c r="G1624" i="4"/>
  <c r="C92" i="36"/>
  <c r="D88" i="36"/>
  <c r="F88" i="36"/>
  <c r="D357" i="9"/>
  <c r="F357" i="9"/>
  <c r="G1553" i="4"/>
  <c r="F41" i="44"/>
  <c r="D1514" i="4"/>
  <c r="F1514" i="4"/>
  <c r="C299" i="6"/>
  <c r="D297" i="6"/>
  <c r="F297" i="6"/>
  <c r="D1286" i="4"/>
  <c r="F1286" i="4"/>
  <c r="C313" i="36"/>
  <c r="D310" i="36"/>
  <c r="D1536" i="4"/>
  <c r="F1536" i="4"/>
  <c r="G1360" i="4"/>
  <c r="N25" i="24"/>
  <c r="G881" i="4"/>
  <c r="D41" i="48"/>
  <c r="G245" i="9"/>
  <c r="G1415" i="4"/>
  <c r="E695" i="4"/>
  <c r="G680" i="4"/>
  <c r="G1765" i="4"/>
  <c r="G1240" i="4"/>
  <c r="E457" i="36"/>
  <c r="G839" i="4"/>
  <c r="G469" i="9"/>
  <c r="G471" i="9"/>
  <c r="G1104" i="4"/>
  <c r="G1066" i="4"/>
  <c r="G990" i="4"/>
  <c r="G1179" i="4"/>
  <c r="G1270" i="4"/>
  <c r="G1136" i="4"/>
  <c r="G1098" i="4"/>
  <c r="G205" i="9"/>
  <c r="G1239" i="4"/>
  <c r="G1403" i="4"/>
  <c r="G283" i="9"/>
  <c r="G1680" i="4"/>
  <c r="D1052" i="4"/>
  <c r="F1052" i="4"/>
  <c r="G1351" i="4"/>
  <c r="G1502" i="4"/>
  <c r="G399" i="9"/>
  <c r="E474" i="9"/>
  <c r="G472" i="9"/>
  <c r="G1258" i="4"/>
  <c r="G376" i="9"/>
  <c r="E379" i="9"/>
  <c r="G1422" i="4"/>
  <c r="G1714" i="4"/>
  <c r="G1222" i="4"/>
  <c r="G1435" i="4"/>
  <c r="G419" i="9"/>
  <c r="G216" i="9"/>
  <c r="G1766" i="4"/>
  <c r="G596" i="4"/>
  <c r="G1086" i="4"/>
  <c r="G354" i="9"/>
  <c r="G1207" i="4"/>
  <c r="G1380" i="4"/>
  <c r="G1442" i="4"/>
  <c r="G1636" i="4"/>
  <c r="G1322" i="4"/>
  <c r="G1776" i="4"/>
  <c r="D1287" i="4"/>
  <c r="F1287" i="4"/>
  <c r="E58" i="45"/>
  <c r="G1147" i="4"/>
  <c r="E197" i="6"/>
  <c r="G436" i="9"/>
  <c r="G1317" i="4"/>
  <c r="G874" i="4"/>
  <c r="G1504" i="4"/>
  <c r="E237" i="6"/>
  <c r="G1174" i="4"/>
  <c r="G1101" i="4"/>
  <c r="G1671" i="4"/>
  <c r="G1304" i="4"/>
  <c r="G422" i="9"/>
  <c r="G423" i="9"/>
  <c r="E423" i="9"/>
  <c r="G1613" i="4"/>
  <c r="G1796" i="4"/>
  <c r="G1609" i="4"/>
  <c r="D1657" i="4"/>
  <c r="F1657" i="4"/>
  <c r="D150" i="36"/>
  <c r="F150" i="36"/>
  <c r="E1774" i="4"/>
  <c r="G1758" i="4"/>
  <c r="D455" i="6"/>
  <c r="F455" i="6"/>
  <c r="C459" i="6"/>
  <c r="D32" i="36"/>
  <c r="C36" i="36"/>
  <c r="D884" i="4"/>
  <c r="F884" i="4"/>
  <c r="N7" i="43"/>
  <c r="D284" i="9"/>
  <c r="F284" i="9"/>
  <c r="D1244" i="4"/>
  <c r="F1244" i="4"/>
  <c r="G1437" i="4"/>
  <c r="L54" i="45"/>
  <c r="D257" i="6"/>
  <c r="F257" i="6"/>
  <c r="G1474" i="4"/>
  <c r="D554" i="6"/>
  <c r="F554" i="6"/>
  <c r="C558" i="6"/>
  <c r="C556" i="6"/>
  <c r="G1280" i="4"/>
  <c r="D1466" i="4"/>
  <c r="F1466" i="4"/>
  <c r="D1519" i="4"/>
  <c r="F1519" i="4"/>
  <c r="C1528" i="4"/>
  <c r="G1346" i="4"/>
  <c r="D183" i="10"/>
  <c r="D250" i="6"/>
  <c r="F250" i="6"/>
  <c r="D693" i="4"/>
  <c r="F693" i="4"/>
  <c r="C66" i="10"/>
  <c r="D64" i="10"/>
  <c r="E64" i="10"/>
  <c r="G1604" i="4"/>
  <c r="D1224" i="4"/>
  <c r="F1224" i="4"/>
  <c r="C1234" i="4"/>
  <c r="D318" i="9"/>
  <c r="F318" i="9"/>
  <c r="D605" i="4"/>
  <c r="F605" i="4"/>
  <c r="G484" i="9"/>
  <c r="D18" i="36"/>
  <c r="F18" i="36"/>
  <c r="C20" i="36"/>
  <c r="D1442" i="4"/>
  <c r="F1442" i="4"/>
  <c r="D692" i="4"/>
  <c r="F692" i="4"/>
  <c r="D692" i="6"/>
  <c r="G322" i="9"/>
  <c r="D565" i="6"/>
  <c r="D926" i="4"/>
  <c r="F926" i="4"/>
  <c r="D135" i="6"/>
  <c r="F135" i="6"/>
  <c r="D1719" i="4"/>
  <c r="F1719" i="4"/>
  <c r="G639" i="4"/>
  <c r="E395" i="36"/>
  <c r="G894" i="4"/>
  <c r="D397" i="36"/>
  <c r="F397" i="36"/>
  <c r="D403" i="9"/>
  <c r="F403" i="9"/>
  <c r="D1404" i="4"/>
  <c r="F1404" i="4"/>
  <c r="C1571" i="4"/>
  <c r="D1560" i="4"/>
  <c r="F1560" i="4"/>
  <c r="D165" i="9"/>
  <c r="F165" i="9"/>
  <c r="D212" i="9"/>
  <c r="F212" i="9"/>
  <c r="D780" i="4"/>
  <c r="F780" i="4"/>
  <c r="G332" i="9"/>
  <c r="G1715" i="4"/>
  <c r="D500" i="36"/>
  <c r="F500" i="36"/>
  <c r="D563" i="36"/>
  <c r="F563" i="36"/>
  <c r="C345" i="36"/>
  <c r="D342" i="36"/>
  <c r="F342" i="36"/>
  <c r="D173" i="36"/>
  <c r="F173" i="36"/>
  <c r="D113" i="6"/>
  <c r="F113" i="6"/>
  <c r="G1772" i="4"/>
  <c r="G1578" i="4"/>
  <c r="D486" i="6"/>
  <c r="F486" i="6"/>
  <c r="D249" i="36"/>
  <c r="F249" i="36"/>
  <c r="D1257" i="4"/>
  <c r="F1257" i="4"/>
  <c r="C395" i="36"/>
  <c r="D387" i="36"/>
  <c r="F387" i="36"/>
  <c r="D359" i="6"/>
  <c r="F359" i="6"/>
  <c r="D77" i="10"/>
  <c r="E77" i="10"/>
  <c r="D1085" i="4"/>
  <c r="F1085" i="4"/>
  <c r="D1509" i="4"/>
  <c r="F1509" i="4"/>
  <c r="C1518" i="4"/>
  <c r="D1280" i="4"/>
  <c r="F1280" i="4"/>
  <c r="D1222" i="4"/>
  <c r="F1222" i="4"/>
  <c r="D200" i="36"/>
  <c r="F200" i="36"/>
  <c r="G1456" i="4"/>
  <c r="D269" i="36"/>
  <c r="F269" i="36"/>
  <c r="N36" i="48"/>
  <c r="E454" i="9"/>
  <c r="G452" i="9"/>
  <c r="G454" i="9"/>
  <c r="G166" i="9"/>
  <c r="E202" i="10"/>
  <c r="D676" i="4"/>
  <c r="F676" i="4"/>
  <c r="D482" i="36"/>
  <c r="F482" i="36"/>
  <c r="D1163" i="4"/>
  <c r="F1163" i="4"/>
  <c r="D700" i="6"/>
  <c r="D175" i="10"/>
  <c r="D176" i="10"/>
  <c r="C176" i="10"/>
  <c r="D1180" i="4"/>
  <c r="F1180" i="4"/>
  <c r="D487" i="36"/>
  <c r="F487" i="36"/>
  <c r="C494" i="36"/>
  <c r="D278" i="36"/>
  <c r="F278" i="36"/>
  <c r="D142" i="10"/>
  <c r="D589" i="4"/>
  <c r="F589" i="4"/>
  <c r="D155" i="9"/>
  <c r="F155" i="9"/>
  <c r="D723" i="6"/>
  <c r="D8" i="36"/>
  <c r="D610" i="4"/>
  <c r="F610" i="4"/>
  <c r="N8" i="51"/>
  <c r="D212" i="36"/>
  <c r="F212" i="36"/>
  <c r="C305" i="36"/>
  <c r="D302" i="36"/>
  <c r="F302" i="36"/>
  <c r="D608" i="4"/>
  <c r="F608" i="4"/>
  <c r="D694" i="4"/>
  <c r="F694" i="4"/>
  <c r="L17" i="37"/>
  <c r="B20" i="51"/>
  <c r="N4" i="51"/>
  <c r="D202" i="36"/>
  <c r="F202" i="36"/>
  <c r="C208" i="36"/>
  <c r="D1058" i="4"/>
  <c r="F1058" i="4"/>
  <c r="C1072" i="4"/>
  <c r="D1013" i="4"/>
  <c r="F1013" i="4"/>
  <c r="D343" i="36"/>
  <c r="F343" i="36"/>
  <c r="G262" i="9"/>
  <c r="D1767" i="4"/>
  <c r="F1767" i="4"/>
  <c r="G1808" i="4"/>
  <c r="G1783" i="4"/>
  <c r="D1425" i="4"/>
  <c r="F1425" i="4"/>
  <c r="D1177" i="4"/>
  <c r="F1177" i="4"/>
  <c r="D1008" i="4"/>
  <c r="F1008" i="4"/>
  <c r="C1023" i="4"/>
  <c r="D1488" i="4"/>
  <c r="F1488" i="4"/>
  <c r="D647" i="4"/>
  <c r="F647" i="4"/>
  <c r="D172" i="9"/>
  <c r="F172" i="9"/>
  <c r="D1614" i="4"/>
  <c r="F1614" i="4"/>
  <c r="E569" i="6"/>
  <c r="D1133" i="4"/>
  <c r="F1133" i="4"/>
  <c r="D155" i="36"/>
  <c r="F155" i="36"/>
  <c r="D265" i="6"/>
  <c r="F265" i="6"/>
  <c r="D1456" i="4"/>
  <c r="F1456" i="4"/>
  <c r="D410" i="6"/>
  <c r="F410" i="6"/>
  <c r="D504" i="36"/>
  <c r="F504" i="36"/>
  <c r="G1052" i="4"/>
  <c r="D611" i="4"/>
  <c r="F611" i="4"/>
  <c r="D192" i="36"/>
  <c r="F192" i="36"/>
  <c r="N18" i="43"/>
  <c r="D902" i="4"/>
  <c r="F902" i="4"/>
  <c r="D405" i="6"/>
  <c r="C564" i="36"/>
  <c r="D559" i="36"/>
  <c r="F559" i="36"/>
  <c r="D630" i="4"/>
  <c r="F630" i="4"/>
  <c r="D1621" i="4"/>
  <c r="F1621" i="4"/>
  <c r="D1501" i="4"/>
  <c r="F1501" i="4"/>
  <c r="G811" i="4"/>
  <c r="D1270" i="4"/>
  <c r="F1270" i="4"/>
  <c r="E20" i="44"/>
  <c r="G1536" i="4"/>
  <c r="G878" i="4"/>
  <c r="E890" i="4"/>
  <c r="D50" i="36"/>
  <c r="F50" i="36"/>
  <c r="D1164" i="4"/>
  <c r="F1164" i="4"/>
  <c r="L41" i="51"/>
  <c r="D374" i="36"/>
  <c r="F374" i="36"/>
  <c r="D495" i="6"/>
  <c r="C905" i="4"/>
  <c r="D891" i="4"/>
  <c r="F891" i="4"/>
  <c r="D1320" i="4"/>
  <c r="F1320" i="4"/>
  <c r="N18" i="50"/>
  <c r="N28" i="37"/>
  <c r="D1001" i="4"/>
  <c r="F1001" i="4"/>
  <c r="D1090" i="4"/>
  <c r="F1090" i="4"/>
  <c r="D317" i="6"/>
  <c r="F317" i="6"/>
  <c r="D291" i="6"/>
  <c r="F291" i="6"/>
  <c r="D1673" i="4"/>
  <c r="F1673" i="4"/>
  <c r="D1670" i="4"/>
  <c r="F1670" i="4"/>
  <c r="D1802" i="4"/>
  <c r="F1802" i="4"/>
  <c r="D139" i="9"/>
  <c r="F139" i="9"/>
  <c r="C141" i="9"/>
  <c r="N253" i="37"/>
  <c r="D713" i="4"/>
  <c r="F713" i="4"/>
  <c r="D813" i="4"/>
  <c r="F813" i="4"/>
  <c r="D150" i="9"/>
  <c r="F150" i="9"/>
  <c r="D1685" i="4"/>
  <c r="F1685" i="4"/>
  <c r="D422" i="6"/>
  <c r="F422" i="6"/>
  <c r="D909" i="4"/>
  <c r="F909" i="4"/>
  <c r="D1467" i="4"/>
  <c r="F1467" i="4"/>
  <c r="D821" i="4"/>
  <c r="F821" i="4"/>
  <c r="D249" i="9"/>
  <c r="F249" i="9"/>
  <c r="D1019" i="4"/>
  <c r="F1019" i="4"/>
  <c r="G1575" i="4"/>
  <c r="G1292" i="4"/>
  <c r="D735" i="4"/>
  <c r="F735" i="4"/>
  <c r="D1775" i="4"/>
  <c r="F1775" i="4"/>
  <c r="C1787" i="4"/>
  <c r="D226" i="10"/>
  <c r="D227" i="10"/>
  <c r="C227" i="10"/>
  <c r="D651" i="4"/>
  <c r="F651" i="4"/>
  <c r="D408" i="6"/>
  <c r="F408" i="6"/>
  <c r="C414" i="6"/>
  <c r="D1097" i="4"/>
  <c r="F1097" i="4"/>
  <c r="D292" i="9"/>
  <c r="F292" i="9"/>
  <c r="G1123" i="4"/>
  <c r="D590" i="4"/>
  <c r="F590" i="4"/>
  <c r="D181" i="6"/>
  <c r="F181" i="6"/>
  <c r="C186" i="6"/>
  <c r="D215" i="9"/>
  <c r="F215" i="9"/>
  <c r="D128" i="6"/>
  <c r="F128" i="6"/>
  <c r="G210" i="9"/>
  <c r="E217" i="9"/>
  <c r="G1803" i="4"/>
  <c r="G1100" i="4"/>
  <c r="D974" i="4"/>
  <c r="F974" i="4"/>
  <c r="D398" i="6"/>
  <c r="F398" i="6"/>
  <c r="D1285" i="4"/>
  <c r="F1285" i="4"/>
  <c r="D1196" i="4"/>
  <c r="F1196" i="4"/>
  <c r="D983" i="4"/>
  <c r="F983" i="4"/>
  <c r="D1104" i="4"/>
  <c r="F1104" i="4"/>
  <c r="D140" i="36"/>
  <c r="F140" i="36"/>
  <c r="D1189" i="4"/>
  <c r="F1189" i="4"/>
  <c r="D1167" i="4"/>
  <c r="F1167" i="4"/>
  <c r="D163" i="9"/>
  <c r="F163" i="9"/>
  <c r="C168" i="9"/>
  <c r="G1165" i="4"/>
  <c r="D231" i="9"/>
  <c r="F231" i="9"/>
  <c r="D639" i="4"/>
  <c r="F639" i="4"/>
  <c r="D989" i="4"/>
  <c r="F989" i="4"/>
  <c r="G242" i="9"/>
  <c r="D1303" i="4"/>
  <c r="F1303" i="4"/>
  <c r="D52" i="10"/>
  <c r="F52" i="10"/>
  <c r="D51" i="36"/>
  <c r="F51" i="36"/>
  <c r="G1545" i="4"/>
  <c r="D1332" i="4"/>
  <c r="F1332" i="4"/>
  <c r="D714" i="6"/>
  <c r="D118" i="36"/>
  <c r="F118" i="36"/>
  <c r="D421" i="6"/>
  <c r="F421" i="6"/>
  <c r="C423" i="6"/>
  <c r="D182" i="36"/>
  <c r="F182" i="36"/>
  <c r="F20" i="43"/>
  <c r="G192" i="9"/>
  <c r="D114" i="36"/>
  <c r="F114" i="36"/>
  <c r="D1181" i="4"/>
  <c r="F1181" i="4"/>
  <c r="D573" i="36"/>
  <c r="F573" i="36"/>
  <c r="D1609" i="4"/>
  <c r="F1609" i="4"/>
  <c r="D1717" i="4"/>
  <c r="F1717" i="4"/>
  <c r="D391" i="36"/>
  <c r="F391" i="36"/>
  <c r="D632" i="4"/>
  <c r="F632" i="4"/>
  <c r="C643" i="4"/>
  <c r="J121" i="43"/>
  <c r="D1809" i="4"/>
  <c r="F1809" i="4"/>
  <c r="D239" i="9"/>
  <c r="F239" i="9"/>
  <c r="D646" i="4"/>
  <c r="F646" i="4"/>
  <c r="E535" i="36"/>
  <c r="G374" i="9"/>
  <c r="G1036" i="4"/>
  <c r="G1426" i="4"/>
  <c r="D172" i="10"/>
  <c r="D197" i="9"/>
  <c r="F197" i="9"/>
  <c r="C440" i="6"/>
  <c r="D435" i="6"/>
  <c r="F435" i="6"/>
  <c r="D1403" i="4"/>
  <c r="F1403" i="4"/>
  <c r="D176" i="36"/>
  <c r="F176" i="36"/>
  <c r="G1674" i="4"/>
  <c r="M20" i="51"/>
  <c r="D17" i="37"/>
  <c r="D1503" i="4"/>
  <c r="F1503" i="4"/>
  <c r="D1037" i="4"/>
  <c r="F1037" i="4"/>
  <c r="D74" i="36"/>
  <c r="F74" i="36"/>
  <c r="E306" i="10"/>
  <c r="D684" i="4"/>
  <c r="F684" i="4"/>
  <c r="D1006" i="4"/>
  <c r="F1006" i="4"/>
  <c r="D1017" i="4"/>
  <c r="F1017" i="4"/>
  <c r="D666" i="4"/>
  <c r="F666" i="4"/>
  <c r="E346" i="6"/>
  <c r="D388" i="6"/>
  <c r="F388" i="6"/>
  <c r="C393" i="6"/>
  <c r="G625" i="4"/>
  <c r="D278" i="10"/>
  <c r="D279" i="10"/>
  <c r="C279" i="10"/>
  <c r="D1093" i="4"/>
  <c r="F1093" i="4"/>
  <c r="G1194" i="4"/>
  <c r="D1570" i="4"/>
  <c r="F1570" i="4"/>
  <c r="D1476" i="4"/>
  <c r="F1476" i="4"/>
  <c r="C1485" i="4"/>
  <c r="D1634" i="4"/>
  <c r="F1634" i="4"/>
  <c r="C1548" i="4"/>
  <c r="D1539" i="4"/>
  <c r="F1539" i="4"/>
  <c r="D402" i="9"/>
  <c r="F402" i="9"/>
  <c r="E631" i="6"/>
  <c r="D894" i="4"/>
  <c r="F894" i="4"/>
  <c r="D598" i="6"/>
  <c r="D222" i="6"/>
  <c r="F222" i="6"/>
  <c r="D749" i="4"/>
  <c r="F749" i="4"/>
  <c r="D245" i="6"/>
  <c r="F245" i="6"/>
  <c r="N16" i="48"/>
  <c r="G158" i="9"/>
  <c r="D562" i="6"/>
  <c r="F562" i="6"/>
  <c r="D234" i="36"/>
  <c r="F234" i="36"/>
  <c r="N31" i="50"/>
  <c r="D134" i="36"/>
  <c r="F134" i="36"/>
  <c r="G1087" i="4"/>
  <c r="D1351" i="4"/>
  <c r="F1351" i="4"/>
  <c r="G1805" i="4"/>
  <c r="D466" i="9"/>
  <c r="F466" i="9"/>
  <c r="G230" i="9"/>
  <c r="E236" i="9"/>
  <c r="G1278" i="4"/>
  <c r="D1629" i="4"/>
  <c r="F1629" i="4"/>
  <c r="D804" i="4"/>
  <c r="F804" i="4"/>
  <c r="D97" i="10"/>
  <c r="G307" i="9"/>
  <c r="D343" i="9"/>
  <c r="F343" i="9"/>
  <c r="D1602" i="4"/>
  <c r="F1602" i="4"/>
  <c r="D953" i="4"/>
  <c r="F953" i="4"/>
  <c r="D301" i="10"/>
  <c r="D167" i="6"/>
  <c r="F167" i="6"/>
  <c r="D425" i="6"/>
  <c r="F425" i="6"/>
  <c r="C429" i="6"/>
  <c r="D512" i="6"/>
  <c r="F512" i="6"/>
  <c r="D1028" i="4"/>
  <c r="F1028" i="4"/>
  <c r="D589" i="6"/>
  <c r="D945" i="4"/>
  <c r="F945" i="4"/>
  <c r="D525" i="6"/>
  <c r="F525" i="6"/>
  <c r="D484" i="36"/>
  <c r="F484" i="36"/>
  <c r="L20" i="48"/>
  <c r="L42" i="48"/>
  <c r="G1182" i="4"/>
  <c r="D660" i="4"/>
  <c r="F660" i="4"/>
  <c r="D275" i="6"/>
  <c r="F275" i="6"/>
  <c r="N4" i="43"/>
  <c r="B20" i="43"/>
  <c r="G815" i="4"/>
  <c r="E426" i="9"/>
  <c r="G424" i="9"/>
  <c r="N11" i="50"/>
  <c r="D53" i="10"/>
  <c r="F53" i="10"/>
  <c r="G1458" i="4"/>
  <c r="C180" i="36"/>
  <c r="D175" i="36"/>
  <c r="F175" i="36"/>
  <c r="N6" i="37"/>
  <c r="D1703" i="4"/>
  <c r="F1703" i="4"/>
  <c r="E268" i="10"/>
  <c r="D788" i="4"/>
  <c r="F788" i="4"/>
  <c r="D1680" i="4"/>
  <c r="F1680" i="4"/>
  <c r="G1686" i="4"/>
  <c r="C201" i="36"/>
  <c r="D195" i="36"/>
  <c r="F195" i="36"/>
  <c r="D44" i="36"/>
  <c r="F44" i="36"/>
  <c r="D89" i="36"/>
  <c r="F89" i="36"/>
  <c r="D1577" i="4"/>
  <c r="F1577" i="4"/>
  <c r="D146" i="10"/>
  <c r="E286" i="10"/>
  <c r="C341" i="9"/>
  <c r="D339" i="9"/>
  <c r="F339" i="9"/>
  <c r="D407" i="9"/>
  <c r="F407" i="9"/>
  <c r="D1665" i="4"/>
  <c r="F1665" i="4"/>
  <c r="C1675" i="4"/>
  <c r="K20" i="44"/>
  <c r="G238" i="9"/>
  <c r="I20" i="50"/>
  <c r="G1751" i="4"/>
  <c r="E576" i="6"/>
  <c r="D178" i="9"/>
  <c r="F178" i="9"/>
  <c r="F20" i="51"/>
  <c r="G1185" i="4"/>
  <c r="D922" i="4"/>
  <c r="F922" i="4"/>
  <c r="D663" i="4"/>
  <c r="F663" i="4"/>
  <c r="D1412" i="4"/>
  <c r="F1412" i="4"/>
  <c r="D867" i="4"/>
  <c r="F867" i="4"/>
  <c r="G787" i="4"/>
  <c r="D1649" i="4"/>
  <c r="F1649" i="4"/>
  <c r="D452" i="9"/>
  <c r="D454" i="9"/>
  <c r="C454" i="9"/>
  <c r="D1737" i="4"/>
  <c r="F1737" i="4"/>
  <c r="D966" i="4"/>
  <c r="F966" i="4"/>
  <c r="D477" i="36"/>
  <c r="F477" i="36"/>
  <c r="N9" i="48"/>
  <c r="D522" i="6"/>
  <c r="F522" i="6"/>
  <c r="D697" i="4"/>
  <c r="F697" i="4"/>
  <c r="D86" i="36"/>
  <c r="F86" i="36"/>
  <c r="G427" i="9"/>
  <c r="E429" i="9"/>
  <c r="D997" i="4"/>
  <c r="F997" i="4"/>
  <c r="C140" i="10"/>
  <c r="D139" i="10"/>
  <c r="D140" i="10"/>
  <c r="C1798" i="4"/>
  <c r="D1788" i="4"/>
  <c r="F1788" i="4"/>
  <c r="D955" i="4"/>
  <c r="F955" i="4"/>
  <c r="C493" i="6"/>
  <c r="D490" i="6"/>
  <c r="F490" i="6"/>
  <c r="C496" i="6"/>
  <c r="G1473" i="4"/>
  <c r="J20" i="50"/>
  <c r="J42" i="50"/>
  <c r="C209" i="9"/>
  <c r="D207" i="9"/>
  <c r="F207" i="9"/>
  <c r="D1731" i="4"/>
  <c r="F1731" i="4"/>
  <c r="D910" i="4"/>
  <c r="F910" i="4"/>
  <c r="D1679" i="4"/>
  <c r="F1679" i="4"/>
  <c r="G159" i="9"/>
  <c r="D195" i="6"/>
  <c r="F195" i="6"/>
  <c r="D764" i="4"/>
  <c r="F764" i="4"/>
  <c r="D1658" i="4"/>
  <c r="F1658" i="4"/>
  <c r="C1330" i="4"/>
  <c r="D1319" i="4"/>
  <c r="F1319" i="4"/>
  <c r="D250" i="36"/>
  <c r="F250" i="36"/>
  <c r="D1220" i="4"/>
  <c r="F1220" i="4"/>
  <c r="D104" i="36"/>
  <c r="F104" i="36"/>
  <c r="D976" i="4"/>
  <c r="F976" i="4"/>
  <c r="D1015" i="4"/>
  <c r="F1015" i="4"/>
  <c r="D858" i="4"/>
  <c r="F858" i="4"/>
  <c r="D122" i="36"/>
  <c r="F122" i="36"/>
  <c r="G1607" i="4"/>
  <c r="G1807" i="4"/>
  <c r="D481" i="9"/>
  <c r="D482" i="9"/>
  <c r="C482" i="9"/>
  <c r="N17" i="50"/>
  <c r="G1439" i="4"/>
  <c r="G626" i="4"/>
  <c r="D297" i="36"/>
  <c r="F297" i="36"/>
  <c r="D1381" i="4"/>
  <c r="F1381" i="4"/>
  <c r="D443" i="6"/>
  <c r="F443" i="6"/>
  <c r="D293" i="6"/>
  <c r="F293" i="6"/>
  <c r="D79" i="36"/>
  <c r="F79" i="36"/>
  <c r="I17" i="37"/>
  <c r="G1789" i="4"/>
  <c r="G306" i="9"/>
  <c r="D1308" i="4"/>
  <c r="F1308" i="4"/>
  <c r="D1378" i="4"/>
  <c r="F1378" i="4"/>
  <c r="D1125" i="4"/>
  <c r="F1125" i="4"/>
  <c r="D1297" i="4"/>
  <c r="F1297" i="4"/>
  <c r="F20" i="50"/>
  <c r="G1014" i="4"/>
  <c r="G752" i="4"/>
  <c r="D73" i="10"/>
  <c r="D74" i="10"/>
  <c r="C74" i="10"/>
  <c r="D294" i="6"/>
  <c r="F294" i="6"/>
  <c r="C125" i="6"/>
  <c r="R120" i="43"/>
  <c r="D121" i="6"/>
  <c r="F121" i="6"/>
  <c r="G366" i="9"/>
  <c r="G1265" i="4"/>
  <c r="D796" i="4"/>
  <c r="F796" i="4"/>
  <c r="D859" i="4"/>
  <c r="F859" i="4"/>
  <c r="D954" i="4"/>
  <c r="F954" i="4"/>
  <c r="D927" i="4"/>
  <c r="F927" i="4"/>
  <c r="D1417" i="4"/>
  <c r="F1417" i="4"/>
  <c r="D238" i="10"/>
  <c r="D239" i="10"/>
  <c r="C239" i="10"/>
  <c r="D456" i="36"/>
  <c r="F456" i="36"/>
  <c r="E59" i="45"/>
  <c r="O59" i="45"/>
  <c r="D1367" i="4"/>
  <c r="F1367" i="4"/>
  <c r="B17" i="37"/>
  <c r="B36" i="37"/>
  <c r="N4" i="37"/>
  <c r="P22" i="37"/>
  <c r="D1382" i="4"/>
  <c r="F1382" i="4"/>
  <c r="D5" i="36"/>
  <c r="D6" i="36"/>
  <c r="F6" i="36"/>
  <c r="C6" i="36"/>
  <c r="D110" i="6"/>
  <c r="F110" i="6"/>
  <c r="D1217" i="4"/>
  <c r="F1217" i="4"/>
  <c r="D1146" i="4"/>
  <c r="F1146" i="4"/>
  <c r="D739" i="6"/>
  <c r="D879" i="4"/>
  <c r="F879" i="4"/>
  <c r="D734" i="4"/>
  <c r="F734" i="4"/>
  <c r="D1383" i="4"/>
  <c r="F1383" i="4"/>
  <c r="C1616" i="4"/>
  <c r="D1606" i="4"/>
  <c r="F1606" i="4"/>
  <c r="D445" i="6"/>
  <c r="F445" i="6"/>
  <c r="D224" i="9"/>
  <c r="F224" i="9"/>
  <c r="C631" i="6"/>
  <c r="D627" i="6"/>
  <c r="C633" i="6"/>
  <c r="D296" i="9"/>
  <c r="F296" i="9"/>
  <c r="D1154" i="4"/>
  <c r="F1154" i="4"/>
  <c r="D247" i="36"/>
  <c r="F247" i="36"/>
  <c r="E299" i="6"/>
  <c r="G1339" i="4"/>
  <c r="G1113" i="4"/>
  <c r="G1227" i="4"/>
  <c r="G1424" i="4"/>
  <c r="G1723" i="4"/>
  <c r="G991" i="4"/>
  <c r="G1780" i="4"/>
  <c r="G317" i="9"/>
  <c r="E320" i="9"/>
  <c r="E508" i="36"/>
  <c r="N31" i="37"/>
  <c r="G444" i="9"/>
  <c r="E447" i="9"/>
  <c r="D1373" i="4"/>
  <c r="F1373" i="4"/>
  <c r="C218" i="10"/>
  <c r="D215" i="10"/>
  <c r="D1024" i="4"/>
  <c r="F1024" i="4"/>
  <c r="C1034" i="4"/>
  <c r="D629" i="4"/>
  <c r="F629" i="4"/>
  <c r="G1739" i="4"/>
  <c r="D461" i="36"/>
  <c r="F461" i="36"/>
  <c r="D392" i="36"/>
  <c r="F392" i="36"/>
  <c r="D942" i="4"/>
  <c r="F942" i="4"/>
  <c r="C956" i="4"/>
  <c r="J144" i="43"/>
  <c r="D360" i="9"/>
  <c r="F360" i="9"/>
  <c r="D1130" i="4"/>
  <c r="F1130" i="4"/>
  <c r="D1156" i="4"/>
  <c r="F1156" i="4"/>
  <c r="D491" i="36"/>
  <c r="F491" i="36"/>
  <c r="N18" i="44"/>
  <c r="D1397" i="4"/>
  <c r="F1397" i="4"/>
  <c r="G889" i="4"/>
  <c r="D165" i="6"/>
  <c r="F165" i="6"/>
  <c r="C169" i="6"/>
  <c r="D71" i="36"/>
  <c r="D1192" i="4"/>
  <c r="F1192" i="4"/>
  <c r="D280" i="36"/>
  <c r="F280" i="36"/>
  <c r="D603" i="4"/>
  <c r="F603" i="4"/>
  <c r="D863" i="4"/>
  <c r="F863" i="4"/>
  <c r="D376" i="9"/>
  <c r="F376" i="9"/>
  <c r="C379" i="9"/>
  <c r="D282" i="6"/>
  <c r="D116" i="6"/>
  <c r="F116" i="6"/>
  <c r="C120" i="6"/>
  <c r="R252" i="37"/>
  <c r="D231" i="36"/>
  <c r="F231" i="36"/>
  <c r="G1111" i="4"/>
  <c r="D444" i="6"/>
  <c r="F444" i="6"/>
  <c r="D707" i="4"/>
  <c r="F707" i="4"/>
  <c r="C720" i="4"/>
  <c r="G331" i="9"/>
  <c r="N15" i="43"/>
  <c r="G1572" i="4"/>
  <c r="E1582" i="4"/>
  <c r="D475" i="9"/>
  <c r="D476" i="9"/>
  <c r="C476" i="9"/>
  <c r="D1437" i="4"/>
  <c r="F1437" i="4"/>
  <c r="D76" i="36"/>
  <c r="D1554" i="4"/>
  <c r="F1554" i="4"/>
  <c r="D1427" i="4"/>
  <c r="F1427" i="4"/>
  <c r="D196" i="36"/>
  <c r="F196" i="36"/>
  <c r="C331" i="6"/>
  <c r="D328" i="6"/>
  <c r="F328" i="6"/>
  <c r="D868" i="4"/>
  <c r="F868" i="4"/>
  <c r="D644" i="6"/>
  <c r="E480" i="6"/>
  <c r="E482" i="6"/>
  <c r="D1065" i="4"/>
  <c r="F1065" i="4"/>
  <c r="D401" i="9"/>
  <c r="F401" i="9"/>
  <c r="C405" i="9"/>
  <c r="N29" i="50"/>
  <c r="D244" i="36"/>
  <c r="F244" i="36"/>
  <c r="D1322" i="4"/>
  <c r="F1322" i="4"/>
  <c r="G613" i="4"/>
  <c r="D772" i="4"/>
  <c r="F772" i="4"/>
  <c r="D45" i="36"/>
  <c r="F45" i="36"/>
  <c r="D1556" i="4"/>
  <c r="F1556" i="4"/>
  <c r="D1520" i="4"/>
  <c r="F1520" i="4"/>
  <c r="D353" i="36"/>
  <c r="F353" i="36"/>
  <c r="D1472" i="4"/>
  <c r="F1472" i="4"/>
  <c r="E121" i="10"/>
  <c r="D1327" i="4"/>
  <c r="F1327" i="4"/>
  <c r="D1630" i="4"/>
  <c r="F1630" i="4"/>
  <c r="D1391" i="4"/>
  <c r="F1391" i="4"/>
  <c r="D267" i="36"/>
  <c r="F267" i="36"/>
  <c r="C274" i="36"/>
  <c r="D1789" i="4"/>
  <c r="F1789" i="4"/>
  <c r="D1355" i="4"/>
  <c r="F1355" i="4"/>
  <c r="D1245" i="4"/>
  <c r="F1245" i="4"/>
  <c r="D420" i="36"/>
  <c r="F420" i="36"/>
  <c r="D1781" i="4"/>
  <c r="F1781" i="4"/>
  <c r="D491" i="6"/>
  <c r="F491" i="6"/>
  <c r="D1158" i="4"/>
  <c r="F1158" i="4"/>
  <c r="D1162" i="4"/>
  <c r="F1162" i="4"/>
  <c r="C1173" i="4"/>
  <c r="D561" i="36"/>
  <c r="F561" i="36"/>
  <c r="D366" i="36"/>
  <c r="F366" i="36"/>
  <c r="D99" i="10"/>
  <c r="D1114" i="4"/>
  <c r="F1114" i="4"/>
  <c r="E509" i="6"/>
  <c r="G1491" i="4"/>
  <c r="D462" i="9"/>
  <c r="F462" i="9"/>
  <c r="D240" i="36"/>
  <c r="D290" i="36"/>
  <c r="F290" i="36"/>
  <c r="C424" i="36"/>
  <c r="D418" i="36"/>
  <c r="F418" i="36"/>
  <c r="D1124" i="4"/>
  <c r="F1124" i="4"/>
  <c r="C20" i="50"/>
  <c r="G1654" i="4"/>
  <c r="G1107" i="4"/>
  <c r="E54" i="10"/>
  <c r="W263" i="24"/>
  <c r="F51" i="10"/>
  <c r="G1257" i="4"/>
  <c r="D456" i="6"/>
  <c r="F456" i="6"/>
  <c r="G1633" i="4"/>
  <c r="C320" i="9"/>
  <c r="D317" i="9"/>
  <c r="F317" i="9"/>
  <c r="D519" i="36"/>
  <c r="F519" i="36"/>
  <c r="C593" i="6"/>
  <c r="D587" i="6"/>
  <c r="C591" i="6"/>
  <c r="D235" i="36"/>
  <c r="F235" i="36"/>
  <c r="D1039" i="4"/>
  <c r="F1039" i="4"/>
  <c r="C259" i="9"/>
  <c r="D257" i="9"/>
  <c r="F257" i="9"/>
  <c r="D272" i="9"/>
  <c r="F272" i="9"/>
  <c r="D787" i="4"/>
  <c r="F787" i="4"/>
  <c r="D144" i="6"/>
  <c r="F144" i="6"/>
  <c r="D726" i="6"/>
  <c r="C731" i="6"/>
  <c r="C734" i="6"/>
  <c r="D365" i="9"/>
  <c r="F365" i="9"/>
  <c r="C368" i="9"/>
  <c r="G239" i="9"/>
  <c r="N5" i="24"/>
  <c r="D753" i="4"/>
  <c r="F753" i="4"/>
  <c r="D1551" i="4"/>
  <c r="F1551" i="4"/>
  <c r="D960" i="4"/>
  <c r="F960" i="4"/>
  <c r="D80" i="36"/>
  <c r="F80" i="36"/>
  <c r="D1206" i="4"/>
  <c r="F1206" i="4"/>
  <c r="G333" i="9"/>
  <c r="D262" i="6"/>
  <c r="F262" i="6"/>
  <c r="D345" i="9"/>
  <c r="F345" i="9"/>
  <c r="G1358" i="4"/>
  <c r="D306" i="6"/>
  <c r="F306" i="6"/>
  <c r="E159" i="10"/>
  <c r="D1416" i="4"/>
  <c r="F1416" i="4"/>
  <c r="D286" i="6"/>
  <c r="F286" i="6"/>
  <c r="C295" i="6"/>
  <c r="C1496" i="4"/>
  <c r="D1486" i="4"/>
  <c r="F1486" i="4"/>
  <c r="E423" i="6"/>
  <c r="D252" i="36"/>
  <c r="F252" i="36"/>
  <c r="D361" i="36"/>
  <c r="F361" i="36"/>
  <c r="E488" i="6"/>
  <c r="D1080" i="4"/>
  <c r="F1080" i="4"/>
  <c r="D145" i="10"/>
  <c r="D224" i="36"/>
  <c r="F224" i="36"/>
  <c r="C229" i="36"/>
  <c r="G1446" i="4"/>
  <c r="D883" i="4"/>
  <c r="F883" i="4"/>
  <c r="D476" i="6"/>
  <c r="F476" i="6"/>
  <c r="D299" i="9"/>
  <c r="F299" i="9"/>
  <c r="C301" i="9"/>
  <c r="C993" i="4"/>
  <c r="D980" i="4"/>
  <c r="F980" i="4"/>
  <c r="D363" i="6"/>
  <c r="F363" i="6"/>
  <c r="D124" i="6"/>
  <c r="F124" i="6"/>
  <c r="D568" i="36"/>
  <c r="F568" i="36"/>
  <c r="C349" i="36"/>
  <c r="D346" i="36"/>
  <c r="F346" i="36"/>
  <c r="D840" i="4"/>
  <c r="F840" i="4"/>
  <c r="D555" i="36"/>
  <c r="F555" i="36"/>
  <c r="D88" i="10"/>
  <c r="D1752" i="4"/>
  <c r="F1752" i="4"/>
  <c r="G1044" i="4"/>
  <c r="G1549" i="4"/>
  <c r="E1559" i="4"/>
  <c r="G1666" i="4"/>
  <c r="E186" i="6"/>
  <c r="G1355" i="4"/>
  <c r="G1220" i="4"/>
  <c r="G1506" i="4"/>
  <c r="G1717" i="4"/>
  <c r="G1204" i="4"/>
  <c r="G1160" i="4"/>
  <c r="E486" i="36"/>
  <c r="G1565" i="4"/>
  <c r="G1587" i="4"/>
  <c r="C237" i="36"/>
  <c r="D230" i="36"/>
  <c r="F230" i="36"/>
  <c r="C535" i="6"/>
  <c r="C537" i="6"/>
  <c r="D530" i="6"/>
  <c r="F530" i="6"/>
  <c r="D214" i="9"/>
  <c r="F214" i="9"/>
  <c r="D303" i="9"/>
  <c r="F303" i="9"/>
  <c r="D969" i="4"/>
  <c r="F969" i="4"/>
  <c r="C979" i="4"/>
  <c r="D750" i="6"/>
  <c r="C408" i="9"/>
  <c r="D406" i="9"/>
  <c r="F406" i="9"/>
  <c r="D1461" i="4"/>
  <c r="F1461" i="4"/>
  <c r="G1625" i="4"/>
  <c r="D551" i="6"/>
  <c r="C259" i="6"/>
  <c r="D253" i="6"/>
  <c r="F253" i="6"/>
  <c r="D177" i="9"/>
  <c r="F177" i="9"/>
  <c r="C237" i="6"/>
  <c r="D233" i="6"/>
  <c r="F233" i="6"/>
  <c r="G1692" i="4"/>
  <c r="C54" i="10"/>
  <c r="D1506" i="4"/>
  <c r="F1506" i="4"/>
  <c r="D1729" i="4"/>
  <c r="F1729" i="4"/>
  <c r="N13" i="43"/>
  <c r="D345" i="6"/>
  <c r="F345" i="6"/>
  <c r="G1802" i="4"/>
  <c r="G1542" i="4"/>
  <c r="E450" i="36"/>
  <c r="D1016" i="4"/>
  <c r="F1016" i="4"/>
  <c r="D759" i="4"/>
  <c r="F759" i="4"/>
  <c r="D412" i="6"/>
  <c r="F412" i="6"/>
  <c r="N26" i="50"/>
  <c r="D506" i="36"/>
  <c r="F506" i="36"/>
  <c r="D678" i="6"/>
  <c r="G135" i="9"/>
  <c r="G330" i="9"/>
  <c r="E279" i="10"/>
  <c r="D27" i="36"/>
  <c r="F27" i="36"/>
  <c r="D390" i="9"/>
  <c r="F390" i="9"/>
  <c r="D975" i="4"/>
  <c r="F975" i="4"/>
  <c r="D20" i="44"/>
  <c r="G770" i="4"/>
  <c r="D221" i="10"/>
  <c r="G1749" i="4"/>
  <c r="D1772" i="4"/>
  <c r="F1772" i="4"/>
  <c r="D1740" i="4"/>
  <c r="F1740" i="4"/>
  <c r="D367" i="9"/>
  <c r="F367" i="9"/>
  <c r="D1010" i="4"/>
  <c r="F1010" i="4"/>
  <c r="G1526" i="4"/>
  <c r="D232" i="36"/>
  <c r="F232" i="36"/>
  <c r="F41" i="48"/>
  <c r="G176" i="9"/>
  <c r="D677" i="4"/>
  <c r="F677" i="4"/>
  <c r="D221" i="9"/>
  <c r="F221" i="9"/>
  <c r="D387" i="9"/>
  <c r="F387" i="9"/>
  <c r="D1115" i="4"/>
  <c r="F1115" i="4"/>
  <c r="D852" i="4"/>
  <c r="F852" i="4"/>
  <c r="C146" i="9"/>
  <c r="N121" i="43"/>
  <c r="D142" i="9"/>
  <c r="F142" i="9"/>
  <c r="E292" i="10"/>
  <c r="D592" i="6"/>
  <c r="D793" i="4"/>
  <c r="F793" i="4"/>
  <c r="D994" i="4"/>
  <c r="F994" i="4"/>
  <c r="C1007" i="4"/>
  <c r="D291" i="36"/>
  <c r="F291" i="36"/>
  <c r="D1620" i="4"/>
  <c r="F1620" i="4"/>
  <c r="D650" i="4"/>
  <c r="F650" i="4"/>
  <c r="D1194" i="4"/>
  <c r="F1194" i="4"/>
  <c r="D741" i="4"/>
  <c r="F741" i="4"/>
  <c r="D23" i="36"/>
  <c r="F23" i="36"/>
  <c r="D202" i="6"/>
  <c r="F202" i="6"/>
  <c r="G1321" i="4"/>
  <c r="G1469" i="4"/>
  <c r="G1335" i="4"/>
  <c r="G1350" i="4"/>
  <c r="E276" i="6"/>
  <c r="G1093" i="4"/>
  <c r="E443" i="9"/>
  <c r="G441" i="9"/>
  <c r="G377" i="9"/>
  <c r="G1590" i="4"/>
  <c r="G1509" i="4"/>
  <c r="E1518" i="4"/>
  <c r="G607" i="4"/>
  <c r="G1140" i="4"/>
  <c r="G1708" i="4"/>
  <c r="G1600" i="4"/>
  <c r="D658" i="4"/>
  <c r="F658" i="4"/>
  <c r="C668" i="4"/>
  <c r="G1533" i="4"/>
  <c r="G1465" i="4"/>
  <c r="G1740" i="4"/>
  <c r="C129" i="6"/>
  <c r="D126" i="6"/>
  <c r="F126" i="6"/>
  <c r="D136" i="6"/>
  <c r="F136" i="6"/>
  <c r="D403" i="6"/>
  <c r="F403" i="6"/>
  <c r="G465" i="9"/>
  <c r="G1695" i="4"/>
  <c r="D325" i="36"/>
  <c r="F325" i="36"/>
  <c r="D1756" i="4"/>
  <c r="F1756" i="4"/>
  <c r="C304" i="9"/>
  <c r="D302" i="9"/>
  <c r="F302" i="9"/>
  <c r="C441" i="36"/>
  <c r="D432" i="36"/>
  <c r="F432" i="36"/>
  <c r="D1364" i="4"/>
  <c r="F1364" i="4"/>
  <c r="C1375" i="4"/>
  <c r="D400" i="36"/>
  <c r="F400" i="36"/>
  <c r="C1187" i="4"/>
  <c r="D1174" i="4"/>
  <c r="F1174" i="4"/>
  <c r="C106" i="10"/>
  <c r="D105" i="10"/>
  <c r="D106" i="10"/>
  <c r="D413" i="6"/>
  <c r="F413" i="6"/>
  <c r="D254" i="6"/>
  <c r="F254" i="6"/>
  <c r="E479" i="36"/>
  <c r="D1101" i="4"/>
  <c r="F1101" i="4"/>
  <c r="D916" i="4"/>
  <c r="F916" i="4"/>
  <c r="D324" i="6"/>
  <c r="F324" i="6"/>
  <c r="D1290" i="4"/>
  <c r="F1290" i="4"/>
  <c r="D1312" i="4"/>
  <c r="F1312" i="4"/>
  <c r="G1513" i="4"/>
  <c r="G260" i="9"/>
  <c r="E265" i="9"/>
  <c r="G1630" i="4"/>
  <c r="D409" i="6"/>
  <c r="F409" i="6"/>
  <c r="D562" i="36"/>
  <c r="F562" i="36"/>
  <c r="D1563" i="4"/>
  <c r="F1563" i="4"/>
  <c r="G1079" i="4"/>
  <c r="G1208" i="4"/>
  <c r="D147" i="6"/>
  <c r="F147" i="6"/>
  <c r="C151" i="6"/>
  <c r="D373" i="6"/>
  <c r="F373" i="6"/>
  <c r="D259" i="36"/>
  <c r="F259" i="36"/>
  <c r="K41" i="44"/>
  <c r="C368" i="6"/>
  <c r="D362" i="6"/>
  <c r="F362" i="6"/>
  <c r="D161" i="6"/>
  <c r="F161" i="6"/>
  <c r="D1608" i="4"/>
  <c r="F1608" i="4"/>
  <c r="D1148" i="4"/>
  <c r="F1148" i="4"/>
  <c r="C434" i="9"/>
  <c r="D433" i="9"/>
  <c r="D434" i="9"/>
  <c r="G1429" i="4"/>
  <c r="D234" i="9"/>
  <c r="F234" i="9"/>
  <c r="D420" i="9"/>
  <c r="F420" i="9"/>
  <c r="D1468" i="4"/>
  <c r="F1468" i="4"/>
  <c r="D618" i="4"/>
  <c r="F618" i="4"/>
  <c r="D958" i="4"/>
  <c r="F958" i="4"/>
  <c r="G1033" i="4"/>
  <c r="D897" i="4"/>
  <c r="F897" i="4"/>
  <c r="D96" i="36"/>
  <c r="F96" i="36"/>
  <c r="G382" i="9"/>
  <c r="E385" i="9"/>
  <c r="D882" i="4"/>
  <c r="F882" i="4"/>
  <c r="D686" i="6"/>
  <c r="D178" i="6"/>
  <c r="F178" i="6"/>
  <c r="D186" i="10"/>
  <c r="D187" i="10"/>
  <c r="C187" i="10"/>
  <c r="D781" i="4"/>
  <c r="F781" i="4"/>
  <c r="D378" i="9"/>
  <c r="F378" i="9"/>
  <c r="D274" i="9"/>
  <c r="D275" i="9"/>
  <c r="C275" i="9"/>
  <c r="D907" i="4"/>
  <c r="F907" i="4"/>
  <c r="D218" i="6"/>
  <c r="F218" i="6"/>
  <c r="D463" i="6"/>
  <c r="F463" i="6"/>
  <c r="D849" i="4"/>
  <c r="F849" i="4"/>
  <c r="D372" i="6"/>
  <c r="G222" i="9"/>
  <c r="D1484" i="4"/>
  <c r="F1484" i="4"/>
  <c r="F602" i="36"/>
  <c r="D685" i="4"/>
  <c r="F685" i="4"/>
  <c r="D1139" i="4"/>
  <c r="F1139" i="4"/>
  <c r="C1149" i="4"/>
  <c r="D307" i="36"/>
  <c r="F307" i="36"/>
  <c r="D1725" i="4"/>
  <c r="F1725" i="4"/>
  <c r="D963" i="4"/>
  <c r="F963" i="4"/>
  <c r="D1499" i="4"/>
  <c r="F1499" i="4"/>
  <c r="D1732" i="4"/>
  <c r="F1732" i="4"/>
  <c r="D444" i="36"/>
  <c r="F444" i="36"/>
  <c r="D240" i="9"/>
  <c r="F240" i="9"/>
  <c r="N8" i="44"/>
  <c r="D906" i="4"/>
  <c r="F906" i="4"/>
  <c r="C919" i="4"/>
  <c r="D541" i="6"/>
  <c r="F541" i="6"/>
  <c r="H105" i="36"/>
  <c r="D934" i="4"/>
  <c r="F934" i="4"/>
  <c r="D267" i="10"/>
  <c r="C381" i="9"/>
  <c r="D380" i="9"/>
  <c r="D381" i="9"/>
  <c r="D866" i="4"/>
  <c r="F866" i="4"/>
  <c r="G617" i="4"/>
  <c r="E631" i="4"/>
  <c r="K264" i="24"/>
  <c r="E472" i="36"/>
  <c r="D1157" i="4"/>
  <c r="F1157" i="4"/>
  <c r="E227" i="10"/>
  <c r="N36" i="43"/>
  <c r="D1579" i="4"/>
  <c r="F1579" i="4"/>
  <c r="C406" i="6"/>
  <c r="D401" i="6"/>
  <c r="F401" i="6"/>
  <c r="D162" i="36"/>
  <c r="F162" i="36"/>
  <c r="D123" i="10"/>
  <c r="C124" i="10"/>
  <c r="G1379" i="4"/>
  <c r="G248" i="9"/>
  <c r="E251" i="9"/>
  <c r="C295" i="10"/>
  <c r="D294" i="10"/>
  <c r="D295" i="10"/>
  <c r="C283" i="10"/>
  <c r="D281" i="10"/>
  <c r="D114" i="6"/>
  <c r="F114" i="6"/>
  <c r="D621" i="6"/>
  <c r="G321" i="9"/>
  <c r="E323" i="9"/>
  <c r="D1450" i="4"/>
  <c r="F1450" i="4"/>
  <c r="D758" i="4"/>
  <c r="F758" i="4"/>
  <c r="D332" i="9"/>
  <c r="F332" i="9"/>
  <c r="D374" i="9"/>
  <c r="F374" i="9"/>
  <c r="C184" i="10"/>
  <c r="D182" i="10"/>
  <c r="N7" i="24"/>
  <c r="D789" i="4"/>
  <c r="F789" i="4"/>
  <c r="G1583" i="4"/>
  <c r="E1594" i="4"/>
  <c r="D210" i="9"/>
  <c r="F210" i="9"/>
  <c r="C217" i="9"/>
  <c r="D1760" i="4"/>
  <c r="F1760" i="4"/>
  <c r="D1314" i="4"/>
  <c r="F1314" i="4"/>
  <c r="D337" i="9"/>
  <c r="F337" i="9"/>
  <c r="D1256" i="4"/>
  <c r="F1256" i="4"/>
  <c r="N5" i="50"/>
  <c r="D145" i="6"/>
  <c r="F145" i="6"/>
  <c r="D226" i="36"/>
  <c r="F226" i="36"/>
  <c r="G393" i="9"/>
  <c r="E397" i="9"/>
  <c r="G1311" i="4"/>
  <c r="D524" i="6"/>
  <c r="F524" i="6"/>
  <c r="D741" i="6"/>
  <c r="D1068" i="4"/>
  <c r="F1068" i="4"/>
  <c r="D382" i="6"/>
  <c r="F382" i="6"/>
  <c r="C386" i="6"/>
  <c r="D795" i="4"/>
  <c r="F795" i="4"/>
  <c r="D1696" i="4"/>
  <c r="F1696" i="4"/>
  <c r="J20" i="48"/>
  <c r="D1531" i="4"/>
  <c r="F1531" i="4"/>
  <c r="D377" i="9"/>
  <c r="F377" i="9"/>
  <c r="D1513" i="4"/>
  <c r="F1513" i="4"/>
  <c r="D434" i="36"/>
  <c r="F434" i="36"/>
  <c r="D282" i="9"/>
  <c r="F282" i="9"/>
  <c r="C290" i="9"/>
  <c r="E180" i="10"/>
  <c r="D985" i="4"/>
  <c r="F985" i="4"/>
  <c r="D468" i="9"/>
  <c r="F468" i="9"/>
  <c r="C471" i="9"/>
  <c r="D316" i="6"/>
  <c r="F316" i="6"/>
  <c r="D579" i="36"/>
  <c r="F579" i="36"/>
  <c r="G1773" i="4"/>
  <c r="E563" i="6"/>
  <c r="G1643" i="4"/>
  <c r="E142" i="6"/>
  <c r="G1645" i="4"/>
  <c r="G1685" i="4"/>
  <c r="E432" i="9"/>
  <c r="G430" i="9"/>
  <c r="E478" i="9"/>
  <c r="G477" i="9"/>
  <c r="G478" i="9"/>
  <c r="E543" i="6"/>
  <c r="E545" i="6"/>
  <c r="D181" i="9"/>
  <c r="F181" i="9"/>
  <c r="C186" i="9"/>
  <c r="G1547" i="4"/>
  <c r="G1511" i="4"/>
  <c r="G360" i="9"/>
  <c r="D943" i="4"/>
  <c r="F943" i="4"/>
  <c r="D141" i="6"/>
  <c r="F141" i="6"/>
  <c r="D1749" i="4"/>
  <c r="F1749" i="4"/>
  <c r="G1099" i="4"/>
  <c r="D340" i="9"/>
  <c r="F340" i="9"/>
  <c r="G235" i="9"/>
  <c r="C173" i="10"/>
  <c r="D170" i="10"/>
  <c r="C749" i="6"/>
  <c r="D744" i="6"/>
  <c r="C752" i="6"/>
  <c r="N10" i="37"/>
  <c r="D469" i="6"/>
  <c r="D470" i="6"/>
  <c r="C470" i="6"/>
  <c r="C472" i="6"/>
  <c r="M41" i="44"/>
  <c r="D240" i="6"/>
  <c r="F240" i="6"/>
  <c r="D757" i="4"/>
  <c r="F757" i="4"/>
  <c r="G1039" i="4"/>
  <c r="D1338" i="4"/>
  <c r="F1338" i="4"/>
  <c r="N10" i="51"/>
  <c r="D439" i="36"/>
  <c r="F439" i="36"/>
  <c r="C194" i="36"/>
  <c r="D188" i="36"/>
  <c r="F188" i="36"/>
  <c r="G1570" i="4"/>
  <c r="E168" i="10"/>
  <c r="D56" i="10"/>
  <c r="E56" i="10"/>
  <c r="C63" i="10"/>
  <c r="D1278" i="4"/>
  <c r="F1278" i="4"/>
  <c r="D302" i="6"/>
  <c r="F302" i="6"/>
  <c r="D773" i="4"/>
  <c r="F773" i="4"/>
  <c r="D453" i="36"/>
  <c r="F453" i="36"/>
  <c r="D1289" i="4"/>
  <c r="F1289" i="4"/>
  <c r="G345" i="9"/>
  <c r="D778" i="4"/>
  <c r="F778" i="4"/>
  <c r="D1494" i="4"/>
  <c r="F1494" i="4"/>
  <c r="G1591" i="4"/>
  <c r="D418" i="6"/>
  <c r="F418" i="6"/>
  <c r="D1578" i="4"/>
  <c r="F1578" i="4"/>
  <c r="D1118" i="4"/>
  <c r="F1118" i="4"/>
  <c r="D116" i="10"/>
  <c r="E116" i="10"/>
  <c r="E118" i="10"/>
  <c r="E134" i="10"/>
  <c r="E354" i="6"/>
  <c r="D602" i="4"/>
  <c r="F602" i="4"/>
  <c r="D503" i="6"/>
  <c r="F503" i="6"/>
  <c r="D268" i="36"/>
  <c r="F268" i="36"/>
  <c r="D211" i="36"/>
  <c r="F211" i="36"/>
  <c r="D269" i="6"/>
  <c r="F269" i="6"/>
  <c r="G1543" i="4"/>
  <c r="D633" i="4"/>
  <c r="F633" i="4"/>
  <c r="D855" i="4"/>
  <c r="F855" i="4"/>
  <c r="D197" i="36"/>
  <c r="F197" i="36"/>
  <c r="E647" i="6"/>
  <c r="D1449" i="4"/>
  <c r="F1449" i="4"/>
  <c r="D325" i="6"/>
  <c r="F325" i="6"/>
  <c r="D592" i="4"/>
  <c r="F592" i="4"/>
  <c r="N5" i="44"/>
  <c r="D653" i="4"/>
  <c r="F653" i="4"/>
  <c r="D1651" i="4"/>
  <c r="F1651" i="4"/>
  <c r="D848" i="4"/>
  <c r="F848" i="4"/>
  <c r="D1227" i="4"/>
  <c r="F1227" i="4"/>
  <c r="D1557" i="4"/>
  <c r="F1557" i="4"/>
  <c r="D872" i="4"/>
  <c r="F872" i="4"/>
  <c r="N6" i="24"/>
  <c r="P24" i="24"/>
  <c r="E151" i="6"/>
  <c r="N13" i="37"/>
  <c r="E115" i="6"/>
  <c r="S118" i="43"/>
  <c r="N9" i="37"/>
  <c r="P27" i="37"/>
  <c r="D1136" i="4"/>
  <c r="F1136" i="4"/>
  <c r="D375" i="36"/>
  <c r="F375" i="36"/>
  <c r="D147" i="36"/>
  <c r="F147" i="36"/>
  <c r="D754" i="4"/>
  <c r="F754" i="4"/>
  <c r="D432" i="6"/>
  <c r="F432" i="6"/>
  <c r="G1315" i="4"/>
  <c r="M20" i="43"/>
  <c r="D264" i="36"/>
  <c r="F264" i="36"/>
  <c r="C115" i="6"/>
  <c r="R262" i="24"/>
  <c r="D109" i="6"/>
  <c r="F109" i="6"/>
  <c r="D290" i="6"/>
  <c r="F290" i="6"/>
  <c r="G1467" i="4"/>
  <c r="G263" i="9"/>
  <c r="D39" i="36"/>
  <c r="D607" i="4"/>
  <c r="F607" i="4"/>
  <c r="D211" i="9"/>
  <c r="F211" i="9"/>
  <c r="E239" i="10"/>
  <c r="D177" i="36"/>
  <c r="F177" i="36"/>
  <c r="D248" i="36"/>
  <c r="F248" i="36"/>
  <c r="C1306" i="4"/>
  <c r="D1295" i="4"/>
  <c r="F1295" i="4"/>
  <c r="D314" i="9"/>
  <c r="D316" i="9"/>
  <c r="F316" i="9"/>
  <c r="C316" i="9"/>
  <c r="D337" i="36"/>
  <c r="F337" i="36"/>
  <c r="C341" i="36"/>
  <c r="G1369" i="4"/>
  <c r="G1400" i="4"/>
  <c r="D1544" i="4"/>
  <c r="F1544" i="4"/>
  <c r="D414" i="36"/>
  <c r="F414" i="36"/>
  <c r="D532" i="36"/>
  <c r="F532" i="36"/>
  <c r="D183" i="9"/>
  <c r="F183" i="9"/>
  <c r="D1763" i="4"/>
  <c r="F1763" i="4"/>
  <c r="D219" i="36"/>
  <c r="F219" i="36"/>
  <c r="D1410" i="4"/>
  <c r="F1410" i="4"/>
  <c r="D1207" i="4"/>
  <c r="F1207" i="4"/>
  <c r="D132" i="36"/>
  <c r="F132" i="36"/>
  <c r="D959" i="4"/>
  <c r="F959" i="4"/>
  <c r="D1107" i="4"/>
  <c r="F1107" i="4"/>
  <c r="D1422" i="4"/>
  <c r="F1422" i="4"/>
  <c r="D331" i="9"/>
  <c r="F331" i="9"/>
  <c r="D206" i="36"/>
  <c r="F206" i="36"/>
  <c r="D1540" i="4"/>
  <c r="F1540" i="4"/>
  <c r="C17" i="37"/>
  <c r="C36" i="37"/>
  <c r="D471" i="6"/>
  <c r="D841" i="4"/>
  <c r="F841" i="4"/>
  <c r="D109" i="36"/>
  <c r="F109" i="36"/>
  <c r="E381" i="9"/>
  <c r="G380" i="9"/>
  <c r="G381" i="9"/>
  <c r="G344" i="9"/>
  <c r="D262" i="9"/>
  <c r="F262" i="9"/>
  <c r="D1800" i="4"/>
  <c r="F1800" i="4"/>
  <c r="D1117" i="4"/>
  <c r="F1117" i="4"/>
  <c r="C1127" i="4"/>
  <c r="G1510" i="4"/>
  <c r="G1638" i="4"/>
  <c r="N34" i="37"/>
  <c r="D131" i="10"/>
  <c r="C134" i="10"/>
  <c r="N9" i="50"/>
  <c r="D844" i="4"/>
  <c r="F844" i="4"/>
  <c r="G1427" i="4"/>
  <c r="D213" i="9"/>
  <c r="F213" i="9"/>
  <c r="D233" i="9"/>
  <c r="F233" i="9"/>
  <c r="G237" i="9"/>
  <c r="E243" i="9"/>
  <c r="D513" i="36"/>
  <c r="F513" i="36"/>
  <c r="D1483" i="4"/>
  <c r="F1483" i="4"/>
  <c r="D1171" i="4"/>
  <c r="F1171" i="4"/>
  <c r="N12" i="43"/>
  <c r="D751" i="4"/>
  <c r="F751" i="4"/>
  <c r="D665" i="4"/>
  <c r="F665" i="4"/>
  <c r="D725" i="4"/>
  <c r="F725" i="4"/>
  <c r="D1252" i="4"/>
  <c r="F1252" i="4"/>
  <c r="D1260" i="4"/>
  <c r="F1260" i="4"/>
  <c r="D671" i="4"/>
  <c r="F671" i="4"/>
  <c r="D830" i="4"/>
  <c r="F830" i="4"/>
  <c r="D591" i="36"/>
  <c r="F591" i="36"/>
  <c r="D782" i="4"/>
  <c r="F782" i="4"/>
  <c r="D201" i="10"/>
  <c r="D202" i="10"/>
  <c r="C202" i="10"/>
  <c r="D1490" i="4"/>
  <c r="F1490" i="4"/>
  <c r="D1681" i="4"/>
  <c r="F1681" i="4"/>
  <c r="D1424" i="4"/>
  <c r="F1424" i="4"/>
  <c r="N10" i="24"/>
  <c r="D186" i="36"/>
  <c r="F186" i="36"/>
  <c r="C464" i="36"/>
  <c r="D458" i="36"/>
  <c r="F458" i="36"/>
  <c r="G772" i="4"/>
  <c r="D1770" i="4"/>
  <c r="F1770" i="4"/>
  <c r="D208" i="9"/>
  <c r="F208" i="9"/>
  <c r="D289" i="6"/>
  <c r="F289" i="6"/>
  <c r="D102" i="10"/>
  <c r="G231" i="9"/>
  <c r="D547" i="36"/>
  <c r="F547" i="36"/>
  <c r="D217" i="10"/>
  <c r="D1371" i="4"/>
  <c r="F1371" i="4"/>
  <c r="D428" i="9"/>
  <c r="F428" i="9"/>
  <c r="D426" i="6"/>
  <c r="F426" i="6"/>
  <c r="D126" i="9"/>
  <c r="F126" i="9"/>
  <c r="C72" i="10"/>
  <c r="D69" i="10"/>
  <c r="E69" i="10"/>
  <c r="E72" i="10"/>
  <c r="D1795" i="4"/>
  <c r="F1795" i="4"/>
  <c r="D1558" i="4"/>
  <c r="F1558" i="4"/>
  <c r="D335" i="9"/>
  <c r="F335" i="9"/>
  <c r="C338" i="9"/>
  <c r="D1365" i="4"/>
  <c r="F1365" i="4"/>
  <c r="D164" i="36"/>
  <c r="F164" i="36"/>
  <c r="D596" i="4"/>
  <c r="F596" i="4"/>
  <c r="D829" i="4"/>
  <c r="F829" i="4"/>
  <c r="D92" i="10"/>
  <c r="D436" i="9"/>
  <c r="F436" i="9"/>
  <c r="D56" i="45"/>
  <c r="N56" i="45"/>
  <c r="C321" i="36"/>
  <c r="D318" i="36"/>
  <c r="F318" i="36"/>
  <c r="G139" i="9"/>
  <c r="E141" i="9"/>
  <c r="O264" i="24"/>
  <c r="G202" i="9"/>
  <c r="C4" i="36"/>
  <c r="D2" i="36"/>
  <c r="D4" i="36"/>
  <c r="D763" i="4"/>
  <c r="F763" i="4"/>
  <c r="D1393" i="4"/>
  <c r="F1393" i="4"/>
  <c r="D939" i="4"/>
  <c r="F939" i="4"/>
  <c r="D972" i="4"/>
  <c r="F972" i="4"/>
  <c r="D1049" i="4"/>
  <c r="F1049" i="4"/>
  <c r="C578" i="6"/>
  <c r="C576" i="6"/>
  <c r="D573" i="6"/>
  <c r="D635" i="4"/>
  <c r="F635" i="4"/>
  <c r="D298" i="6"/>
  <c r="F298" i="6"/>
  <c r="D1215" i="4"/>
  <c r="F1215" i="4"/>
  <c r="G873" i="4"/>
  <c r="D1734" i="4"/>
  <c r="F1734" i="4"/>
  <c r="C1745" i="4"/>
  <c r="D560" i="6"/>
  <c r="F560" i="6"/>
  <c r="C566" i="6"/>
  <c r="C563" i="6"/>
  <c r="D853" i="4"/>
  <c r="F853" i="4"/>
  <c r="D901" i="4"/>
  <c r="F901" i="4"/>
  <c r="N8" i="43"/>
  <c r="D216" i="9"/>
  <c r="F216" i="9"/>
  <c r="D1061" i="4"/>
  <c r="F1061" i="4"/>
  <c r="D213" i="36"/>
  <c r="F213" i="36"/>
  <c r="G185" i="9"/>
  <c r="G748" i="4"/>
  <c r="E760" i="4"/>
  <c r="N37" i="43"/>
  <c r="D154" i="9"/>
  <c r="F154" i="9"/>
  <c r="C156" i="9"/>
  <c r="D241" i="36"/>
  <c r="F241" i="36"/>
  <c r="D287" i="6"/>
  <c r="F287" i="6"/>
  <c r="D1356" i="4"/>
  <c r="F1356" i="4"/>
  <c r="D193" i="6"/>
  <c r="F193" i="6"/>
  <c r="D492" i="6"/>
  <c r="F492" i="6"/>
  <c r="D1388" i="4"/>
  <c r="F1388" i="4"/>
  <c r="C1398" i="4"/>
  <c r="G161" i="9"/>
  <c r="C968" i="4"/>
  <c r="J145" i="43"/>
  <c r="D957" i="4"/>
  <c r="F957" i="4"/>
  <c r="D1074" i="4"/>
  <c r="F1074" i="4"/>
  <c r="D438" i="6"/>
  <c r="F438" i="6"/>
  <c r="D1465" i="4"/>
  <c r="F1465" i="4"/>
  <c r="D987" i="4"/>
  <c r="F987" i="4"/>
  <c r="D407" i="36"/>
  <c r="F407" i="36"/>
  <c r="D250" i="9"/>
  <c r="F250" i="9"/>
  <c r="D160" i="36"/>
  <c r="F160" i="36"/>
  <c r="C167" i="36"/>
  <c r="M20" i="48"/>
  <c r="M42" i="48"/>
  <c r="E248" i="10"/>
  <c r="D1524" i="4"/>
  <c r="F1524" i="4"/>
  <c r="G1700" i="4"/>
  <c r="D1027" i="4"/>
  <c r="F1027" i="4"/>
  <c r="D1176" i="4"/>
  <c r="F1176" i="4"/>
  <c r="D242" i="9"/>
  <c r="F242" i="9"/>
  <c r="N9" i="44"/>
  <c r="D35" i="36"/>
  <c r="F35" i="36"/>
  <c r="D675" i="4"/>
  <c r="F675" i="4"/>
  <c r="D81" i="36"/>
  <c r="F81" i="36"/>
  <c r="C138" i="9"/>
  <c r="N252" i="37"/>
  <c r="D131" i="9"/>
  <c r="F131" i="9"/>
  <c r="G1131" i="4"/>
  <c r="G1059" i="4"/>
  <c r="D38" i="36"/>
  <c r="F38" i="36"/>
  <c r="D260" i="9"/>
  <c r="F260" i="9"/>
  <c r="C265" i="9"/>
  <c r="C1223" i="4"/>
  <c r="D1212" i="4"/>
  <c r="F1212" i="4"/>
  <c r="D1642" i="4"/>
  <c r="F1642" i="4"/>
  <c r="G1316" i="4"/>
  <c r="D349" i="6"/>
  <c r="F349" i="6"/>
  <c r="D1239" i="4"/>
  <c r="F1239" i="4"/>
  <c r="D205" i="6"/>
  <c r="F205" i="6"/>
  <c r="E57" i="45"/>
  <c r="G1124" i="4"/>
  <c r="G391" i="9"/>
  <c r="D159" i="9"/>
  <c r="F159" i="9"/>
  <c r="D249" i="6"/>
  <c r="F249" i="6"/>
  <c r="D321" i="9"/>
  <c r="F321" i="9"/>
  <c r="C323" i="9"/>
  <c r="D235" i="10"/>
  <c r="N16" i="24"/>
  <c r="D1780" i="4"/>
  <c r="F1780" i="4"/>
  <c r="D1493" i="4"/>
  <c r="F1493" i="4"/>
  <c r="D1418" i="4"/>
  <c r="F1418" i="4"/>
  <c r="G212" i="9"/>
  <c r="C431" i="36"/>
  <c r="D425" i="36"/>
  <c r="F425" i="36"/>
  <c r="D1700" i="4"/>
  <c r="F1700" i="4"/>
  <c r="G1532" i="4"/>
  <c r="D171" i="6"/>
  <c r="F171" i="6"/>
  <c r="C174" i="6"/>
  <c r="D837" i="4"/>
  <c r="F837" i="4"/>
  <c r="D496" i="36"/>
  <c r="F496" i="36"/>
  <c r="D701" i="4"/>
  <c r="F701" i="4"/>
  <c r="N12" i="37"/>
  <c r="D1302" i="4"/>
  <c r="F1302" i="4"/>
  <c r="D140" i="9"/>
  <c r="F140" i="9"/>
  <c r="C236" i="10"/>
  <c r="D234" i="10"/>
  <c r="N17" i="48"/>
  <c r="D1394" i="4"/>
  <c r="F1394" i="4"/>
  <c r="D1581" i="4"/>
  <c r="F1581" i="4"/>
  <c r="D231" i="10"/>
  <c r="D220" i="10"/>
  <c r="C224" i="10"/>
  <c r="K20" i="48"/>
  <c r="K42" i="48"/>
  <c r="C417" i="36"/>
  <c r="D411" i="36"/>
  <c r="F411" i="36"/>
  <c r="D662" i="4"/>
  <c r="F662" i="4"/>
  <c r="D896" i="4"/>
  <c r="F896" i="4"/>
  <c r="D108" i="10"/>
  <c r="C110" i="10"/>
  <c r="D499" i="6"/>
  <c r="F499" i="6"/>
  <c r="E242" i="10"/>
  <c r="D523" i="6"/>
  <c r="F523" i="6"/>
  <c r="D172" i="36"/>
  <c r="F172" i="36"/>
  <c r="D838" i="4"/>
  <c r="F838" i="4"/>
  <c r="C477" i="6"/>
  <c r="D474" i="6"/>
  <c r="F474" i="6"/>
  <c r="D1029" i="4"/>
  <c r="F1029" i="4"/>
  <c r="D106" i="36"/>
  <c r="F106" i="36"/>
  <c r="G157" i="9"/>
  <c r="E162" i="9"/>
  <c r="D1414" i="4"/>
  <c r="F1414" i="4"/>
  <c r="N11" i="43"/>
  <c r="D223" i="9"/>
  <c r="F223" i="9"/>
  <c r="D426" i="36"/>
  <c r="F426" i="36"/>
  <c r="D498" i="36"/>
  <c r="F498" i="36"/>
  <c r="D406" i="36"/>
  <c r="F406" i="36"/>
  <c r="C20" i="44"/>
  <c r="C317" i="36"/>
  <c r="D314" i="36"/>
  <c r="F314" i="36"/>
  <c r="D1021" i="4"/>
  <c r="F1021" i="4"/>
  <c r="D555" i="6"/>
  <c r="F555" i="6"/>
  <c r="G279" i="9"/>
  <c r="D352" i="6"/>
  <c r="F352" i="6"/>
  <c r="C1342" i="4"/>
  <c r="D1331" i="4"/>
  <c r="F1331" i="4"/>
  <c r="D289" i="36"/>
  <c r="F289" i="36"/>
  <c r="D636" i="4"/>
  <c r="F636" i="4"/>
  <c r="D358" i="6"/>
  <c r="F358" i="6"/>
  <c r="D1267" i="4"/>
  <c r="F1267" i="4"/>
  <c r="C651" i="6"/>
  <c r="D642" i="6"/>
  <c r="C647" i="6"/>
  <c r="D283" i="36"/>
  <c r="F283" i="36"/>
  <c r="D1601" i="4"/>
  <c r="F1601" i="4"/>
  <c r="D693" i="6"/>
  <c r="D401" i="36"/>
  <c r="F401" i="36"/>
  <c r="D166" i="6"/>
  <c r="F166" i="6"/>
  <c r="D193" i="9"/>
  <c r="F193" i="9"/>
  <c r="D498" i="6"/>
  <c r="F498" i="6"/>
  <c r="C502" i="6"/>
  <c r="C504" i="6"/>
  <c r="D1492" i="4"/>
  <c r="F1492" i="4"/>
  <c r="C77" i="36"/>
  <c r="D73" i="36"/>
  <c r="F73" i="36"/>
  <c r="D248" i="9"/>
  <c r="F248" i="9"/>
  <c r="C251" i="9"/>
  <c r="D503" i="36"/>
  <c r="F503" i="36"/>
  <c r="C508" i="36"/>
  <c r="G167" i="9"/>
  <c r="D173" i="9"/>
  <c r="F173" i="9"/>
  <c r="G143" i="9"/>
  <c r="D970" i="4"/>
  <c r="F970" i="4"/>
  <c r="D76" i="10"/>
  <c r="E76" i="10"/>
  <c r="D328" i="10"/>
  <c r="D250" i="10"/>
  <c r="D251" i="10"/>
  <c r="C251" i="10"/>
  <c r="G1251" i="4"/>
  <c r="D743" i="4"/>
  <c r="F743" i="4"/>
  <c r="D1102" i="4"/>
  <c r="F1102" i="4"/>
  <c r="D1358" i="4"/>
  <c r="F1358" i="4"/>
  <c r="D1345" i="4"/>
  <c r="F1345" i="4"/>
  <c r="D405" i="36"/>
  <c r="F405" i="36"/>
  <c r="D1240" i="4"/>
  <c r="F1240" i="4"/>
  <c r="D312" i="36"/>
  <c r="F312" i="36"/>
  <c r="D335" i="36"/>
  <c r="F335" i="36"/>
  <c r="D127" i="36"/>
  <c r="F127" i="36"/>
  <c r="D258" i="6"/>
  <c r="F258" i="6"/>
  <c r="D1209" i="4"/>
  <c r="F1209" i="4"/>
  <c r="D456" i="9"/>
  <c r="F456" i="9"/>
  <c r="D887" i="4"/>
  <c r="F887" i="4"/>
  <c r="D19" i="36"/>
  <c r="F19" i="36"/>
  <c r="D143" i="6"/>
  <c r="F143" i="6"/>
  <c r="C146" i="6"/>
  <c r="D383" i="36"/>
  <c r="F383" i="36"/>
  <c r="D64" i="36"/>
  <c r="F64" i="36"/>
  <c r="D1050" i="4"/>
  <c r="F1050" i="4"/>
  <c r="D935" i="4"/>
  <c r="F935" i="4"/>
  <c r="D839" i="4"/>
  <c r="F839" i="4"/>
  <c r="D109" i="10"/>
  <c r="D501" i="36"/>
  <c r="F501" i="36"/>
  <c r="C187" i="36"/>
  <c r="D181" i="36"/>
  <c r="F181" i="36"/>
  <c r="N19" i="43"/>
  <c r="D414" i="9"/>
  <c r="F414" i="9"/>
  <c r="D185" i="9"/>
  <c r="F185" i="9"/>
  <c r="N4" i="24"/>
  <c r="D1145" i="4"/>
  <c r="F1145" i="4"/>
  <c r="E704" i="6"/>
  <c r="G1691" i="4"/>
  <c r="D443" i="36"/>
  <c r="F443" i="36"/>
  <c r="D527" i="36"/>
  <c r="F527" i="36"/>
  <c r="D1471" i="4"/>
  <c r="F1471" i="4"/>
  <c r="G1806" i="4"/>
  <c r="G458" i="9"/>
  <c r="E460" i="9"/>
  <c r="D978" i="4"/>
  <c r="F978" i="4"/>
  <c r="D110" i="36"/>
  <c r="F110" i="36"/>
  <c r="D1611" i="4"/>
  <c r="F1611" i="4"/>
  <c r="D1411" i="4"/>
  <c r="F1411" i="4"/>
  <c r="G1512" i="4"/>
  <c r="N7" i="50"/>
  <c r="N8" i="24"/>
  <c r="D811" i="4"/>
  <c r="F811" i="4"/>
  <c r="D246" i="10"/>
  <c r="D185" i="6"/>
  <c r="F185" i="6"/>
  <c r="G984" i="4"/>
  <c r="D711" i="4"/>
  <c r="F711" i="4"/>
  <c r="J20" i="43"/>
  <c r="C31" i="36"/>
  <c r="D29" i="36"/>
  <c r="F29" i="36"/>
  <c r="D216" i="6"/>
  <c r="F216" i="6"/>
  <c r="D1120" i="4"/>
  <c r="F1120" i="4"/>
  <c r="D614" i="4"/>
  <c r="F614" i="4"/>
  <c r="D255" i="9"/>
  <c r="F255" i="9"/>
  <c r="D205" i="9"/>
  <c r="F205" i="9"/>
  <c r="D1005" i="4"/>
  <c r="F1005" i="4"/>
  <c r="D388" i="36"/>
  <c r="F388" i="36"/>
  <c r="D351" i="36"/>
  <c r="F351" i="36"/>
  <c r="N10" i="44"/>
  <c r="B20" i="48"/>
  <c r="N4" i="48"/>
  <c r="D1184" i="4"/>
  <c r="F1184" i="4"/>
  <c r="D132" i="6"/>
  <c r="F132" i="6"/>
  <c r="E213" i="10"/>
  <c r="D948" i="4"/>
  <c r="F948" i="4"/>
  <c r="D626" i="4"/>
  <c r="F626" i="4"/>
  <c r="D1618" i="4"/>
  <c r="F1618" i="4"/>
  <c r="N12" i="48"/>
  <c r="P33" i="48"/>
  <c r="N37" i="48"/>
  <c r="D225" i="36"/>
  <c r="F225" i="36"/>
  <c r="D315" i="6"/>
  <c r="F315" i="6"/>
  <c r="D1507" i="4"/>
  <c r="F1507" i="4"/>
  <c r="D259" i="10"/>
  <c r="D260" i="10"/>
  <c r="C260" i="10"/>
  <c r="D1071" i="4"/>
  <c r="F1071" i="4"/>
  <c r="D219" i="9"/>
  <c r="F219" i="9"/>
  <c r="D340" i="36"/>
  <c r="F340" i="36"/>
  <c r="D1666" i="4"/>
  <c r="F1666" i="4"/>
  <c r="D1292" i="4"/>
  <c r="F1292" i="4"/>
  <c r="D1380" i="4"/>
  <c r="F1380" i="4"/>
  <c r="N17" i="43"/>
  <c r="D740" i="4"/>
  <c r="F740" i="4"/>
  <c r="D217" i="36"/>
  <c r="F217" i="36"/>
  <c r="C153" i="9"/>
  <c r="D147" i="9"/>
  <c r="F147" i="9"/>
  <c r="D843" i="4"/>
  <c r="F843" i="4"/>
  <c r="D1152" i="4"/>
  <c r="F1152" i="4"/>
  <c r="C155" i="10"/>
  <c r="D153" i="10"/>
  <c r="D87" i="10"/>
  <c r="E87" i="10"/>
  <c r="E89" i="10"/>
  <c r="C89" i="10"/>
  <c r="I20" i="43"/>
  <c r="D1155" i="4"/>
  <c r="F1155" i="4"/>
  <c r="N8" i="48"/>
  <c r="D425" i="9"/>
  <c r="F425" i="9"/>
  <c r="D471" i="36"/>
  <c r="F471" i="36"/>
  <c r="D1481" i="4"/>
  <c r="F1481" i="4"/>
  <c r="G363" i="9"/>
  <c r="G364" i="9"/>
  <c r="E364" i="9"/>
  <c r="D624" i="4"/>
  <c r="F624" i="4"/>
  <c r="D893" i="4"/>
  <c r="F893" i="4"/>
  <c r="D125" i="10"/>
  <c r="C127" i="10"/>
  <c r="D1079" i="4"/>
  <c r="F1079" i="4"/>
  <c r="D776" i="4"/>
  <c r="F776" i="4"/>
  <c r="C790" i="4"/>
  <c r="D777" i="4"/>
  <c r="F777" i="4"/>
  <c r="D1339" i="4"/>
  <c r="F1339" i="4"/>
  <c r="D1084" i="4"/>
  <c r="F1084" i="4"/>
  <c r="D911" i="4"/>
  <c r="F911" i="4"/>
  <c r="C313" i="9"/>
  <c r="D311" i="9"/>
  <c r="F311" i="9"/>
  <c r="D595" i="36"/>
  <c r="F595" i="36"/>
  <c r="D442" i="6"/>
  <c r="F442" i="6"/>
  <c r="C446" i="6"/>
  <c r="D336" i="9"/>
  <c r="F336" i="9"/>
  <c r="D808" i="4"/>
  <c r="F808" i="4"/>
  <c r="D1281" i="4"/>
  <c r="F1281" i="4"/>
  <c r="D814" i="4"/>
  <c r="F814" i="4"/>
  <c r="D218" i="36"/>
  <c r="F218" i="36"/>
  <c r="D613" i="4"/>
  <c r="F613" i="4"/>
  <c r="D556" i="36"/>
  <c r="F556" i="36"/>
  <c r="D210" i="6"/>
  <c r="F210" i="6"/>
  <c r="D1527" i="4"/>
  <c r="F1527" i="4"/>
  <c r="D170" i="36"/>
  <c r="F170" i="36"/>
  <c r="C1721" i="4"/>
  <c r="D1711" i="4"/>
  <c r="F1711" i="4"/>
  <c r="D645" i="4"/>
  <c r="F645" i="4"/>
  <c r="D440" i="36"/>
  <c r="F440" i="36"/>
  <c r="E318" i="10"/>
  <c r="D675" i="6"/>
  <c r="D676" i="6"/>
  <c r="C676" i="6"/>
  <c r="D1304" i="4"/>
  <c r="F1304" i="4"/>
  <c r="D263" i="6"/>
  <c r="F263" i="6"/>
  <c r="D1785" i="4"/>
  <c r="F1785" i="4"/>
  <c r="D1459" i="4"/>
  <c r="F1459" i="4"/>
  <c r="D1064" i="4"/>
  <c r="F1064" i="4"/>
  <c r="D604" i="4"/>
  <c r="F604" i="4"/>
  <c r="D1009" i="4"/>
  <c r="F1009" i="4"/>
  <c r="D376" i="36"/>
  <c r="F376" i="36"/>
  <c r="D515" i="36"/>
  <c r="F515" i="36"/>
  <c r="C521" i="36"/>
  <c r="D256" i="36"/>
  <c r="F256" i="36"/>
  <c r="D170" i="9"/>
  <c r="F170" i="9"/>
  <c r="D1150" i="4"/>
  <c r="F1150" i="4"/>
  <c r="C1161" i="4"/>
  <c r="D544" i="36"/>
  <c r="F544" i="36"/>
  <c r="C551" i="36"/>
  <c r="C399" i="6"/>
  <c r="D395" i="6"/>
  <c r="F395" i="6"/>
  <c r="D1662" i="4"/>
  <c r="F1662" i="4"/>
  <c r="D173" i="6"/>
  <c r="F173" i="6"/>
  <c r="D384" i="6"/>
  <c r="F384" i="6"/>
  <c r="D1323" i="4"/>
  <c r="F1323" i="4"/>
  <c r="D880" i="4"/>
  <c r="F880" i="4"/>
  <c r="D1081" i="4"/>
  <c r="F1081" i="4"/>
  <c r="D575" i="6"/>
  <c r="F575" i="6"/>
  <c r="D255" i="6"/>
  <c r="F255" i="6"/>
  <c r="D446" i="36"/>
  <c r="F446" i="36"/>
  <c r="D70" i="10"/>
  <c r="D1480" i="4"/>
  <c r="F1480" i="4"/>
  <c r="D243" i="36"/>
  <c r="F243" i="36"/>
  <c r="N19" i="44"/>
  <c r="D130" i="36"/>
  <c r="F130" i="36"/>
  <c r="C137" i="36"/>
  <c r="D48" i="36"/>
  <c r="F48" i="36"/>
  <c r="C52" i="36"/>
  <c r="D530" i="36"/>
  <c r="F530" i="36"/>
  <c r="D1284" i="4"/>
  <c r="F1284" i="4"/>
  <c r="C1294" i="4"/>
  <c r="C1433" i="4"/>
  <c r="D1420" i="4"/>
  <c r="F1420" i="4"/>
  <c r="D1547" i="4"/>
  <c r="F1547" i="4"/>
  <c r="D744" i="4"/>
  <c r="F744" i="4"/>
  <c r="C725" i="6"/>
  <c r="C722" i="6"/>
  <c r="D717" i="6"/>
  <c r="D458" i="9"/>
  <c r="F458" i="9"/>
  <c r="C460" i="9"/>
  <c r="D1191" i="4"/>
  <c r="F1191" i="4"/>
  <c r="D1568" i="4"/>
  <c r="F1568" i="4"/>
  <c r="E289" i="10"/>
  <c r="D666" i="6"/>
  <c r="D917" i="4"/>
  <c r="F917" i="4"/>
  <c r="D423" i="36"/>
  <c r="F423" i="36"/>
  <c r="D683" i="4"/>
  <c r="F683" i="4"/>
  <c r="D474" i="36"/>
  <c r="F474" i="36"/>
  <c r="F598" i="36"/>
  <c r="E604" i="36"/>
  <c r="F604" i="36"/>
  <c r="D297" i="10"/>
  <c r="D298" i="10"/>
  <c r="C298" i="10"/>
  <c r="D228" i="9"/>
  <c r="F228" i="9"/>
  <c r="G1348" i="4"/>
  <c r="E341" i="6"/>
  <c r="D1203" i="4"/>
  <c r="F1203" i="4"/>
  <c r="D995" i="4"/>
  <c r="F995" i="4"/>
  <c r="G703" i="4"/>
  <c r="D726" i="4"/>
  <c r="F726" i="4"/>
  <c r="C679" i="4"/>
  <c r="D669" i="4"/>
  <c r="F669" i="4"/>
  <c r="N17" i="44"/>
  <c r="D351" i="6"/>
  <c r="F351" i="6"/>
  <c r="D427" i="36"/>
  <c r="F427" i="36"/>
  <c r="D1455" i="4"/>
  <c r="F1455" i="4"/>
  <c r="C1463" i="4"/>
  <c r="D1587" i="4"/>
  <c r="F1587" i="4"/>
  <c r="D241" i="6"/>
  <c r="F241" i="6"/>
  <c r="D360" i="36"/>
  <c r="F360" i="36"/>
  <c r="G160" i="9"/>
  <c r="E138" i="6"/>
  <c r="D203" i="6"/>
  <c r="F203" i="6"/>
  <c r="D641" i="4"/>
  <c r="F641" i="4"/>
  <c r="D570" i="36"/>
  <c r="F570" i="36"/>
  <c r="D417" i="6"/>
  <c r="F417" i="6"/>
  <c r="C550" i="6"/>
  <c r="D547" i="6"/>
  <c r="F547" i="6"/>
  <c r="C552" i="6"/>
  <c r="D1714" i="4"/>
  <c r="F1714" i="4"/>
  <c r="C1419" i="4"/>
  <c r="D1409" i="4"/>
  <c r="F1409" i="4"/>
  <c r="D295" i="9"/>
  <c r="F295" i="9"/>
  <c r="D1096" i="4"/>
  <c r="F1096" i="4"/>
  <c r="D986" i="4"/>
  <c r="F986" i="4"/>
  <c r="D835" i="4"/>
  <c r="F835" i="4"/>
  <c r="D448" i="6"/>
  <c r="F448" i="6"/>
  <c r="C453" i="6"/>
  <c r="D238" i="9"/>
  <c r="F238" i="9"/>
  <c r="D1750" i="4"/>
  <c r="F1750" i="4"/>
  <c r="D280" i="6"/>
  <c r="G989" i="4"/>
  <c r="D200" i="6"/>
  <c r="F200" i="6"/>
  <c r="D435" i="36"/>
  <c r="F435" i="36"/>
  <c r="N16" i="51"/>
  <c r="E251" i="10"/>
  <c r="D685" i="6"/>
  <c r="D739" i="4"/>
  <c r="F739" i="4"/>
  <c r="D946" i="4"/>
  <c r="D691" i="4"/>
  <c r="F691" i="4"/>
  <c r="F17" i="37"/>
  <c r="E254" i="10"/>
  <c r="C707" i="6"/>
  <c r="D699" i="6"/>
  <c r="C704" i="6"/>
  <c r="C209" i="10"/>
  <c r="D208" i="10"/>
  <c r="D209" i="10"/>
  <c r="N10" i="48"/>
  <c r="D819" i="4"/>
  <c r="F819" i="4"/>
  <c r="N7" i="37"/>
  <c r="P25" i="37"/>
  <c r="D1003" i="4"/>
  <c r="F1003" i="4"/>
  <c r="G288" i="9"/>
  <c r="N11" i="51"/>
  <c r="P32" i="51"/>
  <c r="D533" i="36"/>
  <c r="F533" i="36"/>
  <c r="D418" i="9"/>
  <c r="F418" i="9"/>
  <c r="C421" i="9"/>
  <c r="D654" i="4"/>
  <c r="F654" i="4"/>
  <c r="D278" i="9"/>
  <c r="F278" i="9"/>
  <c r="D710" i="4"/>
  <c r="F710" i="4"/>
  <c r="D538" i="36"/>
  <c r="F538" i="36"/>
  <c r="D385" i="6"/>
  <c r="F385" i="6"/>
  <c r="N30" i="43"/>
  <c r="D130" i="6"/>
  <c r="F130" i="6"/>
  <c r="C133" i="6"/>
  <c r="D826" i="4"/>
  <c r="F826" i="4"/>
  <c r="C301" i="36"/>
  <c r="D295" i="36"/>
  <c r="F295" i="36"/>
  <c r="D189" i="6"/>
  <c r="F189" i="6"/>
  <c r="D179" i="36"/>
  <c r="F179" i="36"/>
  <c r="G142" i="9"/>
  <c r="E146" i="9"/>
  <c r="O121" i="43"/>
  <c r="D389" i="6"/>
  <c r="F389" i="6"/>
  <c r="D233" i="36"/>
  <c r="F233" i="36"/>
  <c r="D328" i="36"/>
  <c r="F328" i="36"/>
  <c r="D354" i="36"/>
  <c r="F354" i="36"/>
  <c r="D261" i="6"/>
  <c r="F261" i="6"/>
  <c r="C266" i="6"/>
  <c r="D184" i="6"/>
  <c r="F184" i="6"/>
  <c r="G831" i="4"/>
  <c r="D1533" i="4"/>
  <c r="F1533" i="4"/>
  <c r="D176" i="6"/>
  <c r="F176" i="6"/>
  <c r="C179" i="6"/>
  <c r="C78" i="10"/>
  <c r="D75" i="10"/>
  <c r="E75" i="10"/>
  <c r="D1792" i="4"/>
  <c r="F1792" i="4"/>
  <c r="C941" i="4"/>
  <c r="J143" i="43"/>
  <c r="D932" i="4"/>
  <c r="F932" i="4"/>
  <c r="D973" i="4"/>
  <c r="D1350" i="4"/>
  <c r="F1350" i="4"/>
  <c r="D98" i="36"/>
  <c r="F98" i="36"/>
  <c r="C102" i="36"/>
  <c r="D1253" i="4"/>
  <c r="F1253" i="4"/>
  <c r="D1438" i="4"/>
  <c r="F1438" i="4"/>
  <c r="D933" i="4"/>
  <c r="F933" i="4"/>
  <c r="D702" i="4"/>
  <c r="F702" i="4"/>
  <c r="D1100" i="4"/>
  <c r="F1100" i="4"/>
  <c r="D464" i="9"/>
  <c r="F464" i="9"/>
  <c r="C467" i="9"/>
  <c r="D350" i="6"/>
  <c r="F350" i="6"/>
  <c r="K20" i="51"/>
  <c r="K42" i="51"/>
  <c r="D699" i="4"/>
  <c r="F699" i="4"/>
  <c r="D377" i="6"/>
  <c r="F377" i="6"/>
  <c r="D211" i="10"/>
  <c r="C213" i="10"/>
  <c r="G705" i="4"/>
  <c r="D485" i="6"/>
  <c r="F485" i="6"/>
  <c r="G303" i="9"/>
  <c r="D60" i="36"/>
  <c r="F60" i="36"/>
  <c r="D1264" i="4"/>
  <c r="D303" i="6"/>
  <c r="F303" i="6"/>
  <c r="E20" i="51"/>
  <c r="D261" i="9"/>
  <c r="F261" i="9"/>
  <c r="E1688" i="4"/>
  <c r="G1676" i="4"/>
  <c r="D628" i="6"/>
  <c r="D135" i="36"/>
  <c r="F135" i="36"/>
  <c r="G1588" i="4"/>
  <c r="G950" i="4"/>
  <c r="G149" i="9"/>
  <c r="E41" i="51"/>
  <c r="E564" i="36"/>
  <c r="D151" i="9"/>
  <c r="F151" i="9"/>
  <c r="D321" i="10"/>
  <c r="D322" i="10"/>
  <c r="D230" i="9"/>
  <c r="F230" i="9"/>
  <c r="C236" i="9"/>
  <c r="D232" i="9"/>
  <c r="F232" i="9"/>
  <c r="E273" i="10"/>
  <c r="G1731" i="4"/>
  <c r="G1374" i="4"/>
  <c r="D410" i="9"/>
  <c r="F410" i="9"/>
  <c r="D768" i="4"/>
  <c r="F768" i="4"/>
  <c r="E236" i="10"/>
  <c r="D157" i="10"/>
  <c r="C159" i="10"/>
  <c r="D1794" i="4"/>
  <c r="F1794" i="4"/>
  <c r="I33" i="24"/>
  <c r="I34" i="24"/>
  <c r="D708" i="4"/>
  <c r="F708" i="4"/>
  <c r="D526" i="36"/>
  <c r="F526" i="36"/>
  <c r="D196" i="6"/>
  <c r="F196" i="6"/>
  <c r="D452" i="6"/>
  <c r="F452" i="6"/>
  <c r="D595" i="6"/>
  <c r="C600" i="6"/>
  <c r="C602" i="6"/>
  <c r="C231" i="6"/>
  <c r="D227" i="6"/>
  <c r="F227" i="6"/>
  <c r="D719" i="4"/>
  <c r="F719" i="4"/>
  <c r="D1405" i="4"/>
  <c r="F1405" i="4"/>
  <c r="D148" i="10"/>
  <c r="D149" i="10"/>
  <c r="C149" i="10"/>
  <c r="D177" i="6"/>
  <c r="F177" i="6"/>
  <c r="D204" i="10"/>
  <c r="C206" i="10"/>
  <c r="D1487" i="4"/>
  <c r="F1487" i="4"/>
  <c r="D136" i="10"/>
  <c r="C326" i="36"/>
  <c r="D322" i="36"/>
  <c r="F322" i="36"/>
  <c r="D156" i="6"/>
  <c r="F156" i="6"/>
  <c r="G758" i="4"/>
  <c r="D205" i="36"/>
  <c r="F205" i="36"/>
  <c r="D801" i="4"/>
  <c r="F801" i="4"/>
  <c r="E146" i="6"/>
  <c r="D79" i="10"/>
  <c r="E79" i="10"/>
  <c r="C81" i="10"/>
  <c r="D165" i="36"/>
  <c r="F165" i="36"/>
  <c r="D745" i="4"/>
  <c r="F745" i="4"/>
  <c r="D445" i="9"/>
  <c r="F445" i="9"/>
  <c r="D258" i="36"/>
  <c r="F258" i="36"/>
  <c r="D301" i="6"/>
  <c r="F301" i="6"/>
  <c r="C307" i="6"/>
  <c r="D1392" i="4"/>
  <c r="F1392" i="4"/>
  <c r="J17" i="37"/>
  <c r="J36" i="37"/>
  <c r="C1559" i="4"/>
  <c r="D1549" i="4"/>
  <c r="F1549" i="4"/>
  <c r="C334" i="9"/>
  <c r="D329" i="9"/>
  <c r="F329" i="9"/>
  <c r="G207" i="9"/>
  <c r="E209" i="9"/>
  <c r="E151" i="10"/>
  <c r="D1030" i="4"/>
  <c r="F1030" i="4"/>
  <c r="D861" i="4"/>
  <c r="F861" i="4"/>
  <c r="C877" i="4"/>
  <c r="D810" i="4"/>
  <c r="F810" i="4"/>
  <c r="C379" i="36"/>
  <c r="D373" i="36"/>
  <c r="F373" i="36"/>
  <c r="G169" i="9"/>
  <c r="E174" i="9"/>
  <c r="C268" i="10"/>
  <c r="D265" i="10"/>
  <c r="D179" i="9"/>
  <c r="F179" i="9"/>
  <c r="N31" i="51"/>
  <c r="D353" i="6"/>
  <c r="F353" i="6"/>
  <c r="D198" i="9"/>
  <c r="F198" i="9"/>
  <c r="D1193" i="4"/>
  <c r="F1193" i="4"/>
  <c r="D724" i="4"/>
  <c r="F724" i="4"/>
  <c r="C281" i="36"/>
  <c r="D275" i="36"/>
  <c r="F275" i="36"/>
  <c r="D567" i="36"/>
  <c r="F567" i="36"/>
  <c r="D475" i="36"/>
  <c r="F475" i="36"/>
  <c r="C190" i="6"/>
  <c r="D188" i="6"/>
  <c r="F188" i="6"/>
  <c r="D194" i="6"/>
  <c r="F194" i="6"/>
  <c r="D15" i="36"/>
  <c r="C17" i="36"/>
  <c r="D449" i="6"/>
  <c r="F449" i="6"/>
  <c r="J17" i="24"/>
  <c r="E488" i="9"/>
  <c r="F488" i="9"/>
  <c r="G486" i="9"/>
  <c r="F486" i="9"/>
  <c r="D412" i="36"/>
  <c r="F412" i="36"/>
  <c r="D42" i="36"/>
  <c r="F42" i="36"/>
  <c r="G1143" i="4"/>
  <c r="G342" i="9"/>
  <c r="E346" i="9"/>
  <c r="E308" i="9"/>
  <c r="G305" i="9"/>
  <c r="D1575" i="4"/>
  <c r="F1575" i="4"/>
  <c r="D892" i="4"/>
  <c r="F892" i="4"/>
  <c r="G20" i="48"/>
  <c r="C65" i="36"/>
  <c r="D62" i="36"/>
  <c r="F62" i="36"/>
  <c r="D20" i="48"/>
  <c r="C514" i="36"/>
  <c r="D509" i="36"/>
  <c r="F509" i="36"/>
  <c r="H41" i="50"/>
  <c r="D549" i="6"/>
  <c r="F549" i="6"/>
  <c r="D411" i="9"/>
  <c r="F411" i="9"/>
  <c r="C276" i="10"/>
  <c r="D275" i="10"/>
  <c r="D276" i="10"/>
  <c r="D1552" i="4"/>
  <c r="F1552" i="4"/>
  <c r="D828" i="4"/>
  <c r="F828" i="4"/>
  <c r="D682" i="6"/>
  <c r="D112" i="10"/>
  <c r="D113" i="10"/>
  <c r="C113" i="10"/>
  <c r="N14" i="37"/>
  <c r="P32" i="37"/>
  <c r="D1534" i="4"/>
  <c r="F1534" i="4"/>
  <c r="D393" i="9"/>
  <c r="F393" i="9"/>
  <c r="C397" i="9"/>
  <c r="D70" i="36"/>
  <c r="N16" i="43"/>
  <c r="D709" i="6"/>
  <c r="D949" i="4"/>
  <c r="F949" i="4"/>
  <c r="D585" i="36"/>
  <c r="F585" i="36"/>
  <c r="D1638" i="4"/>
  <c r="F1638" i="4"/>
  <c r="N31" i="43"/>
  <c r="C349" i="9"/>
  <c r="D347" i="9"/>
  <c r="F347" i="9"/>
  <c r="C56" i="36"/>
  <c r="D53" i="36"/>
  <c r="F53" i="36"/>
  <c r="E295" i="10"/>
  <c r="D913" i="4"/>
  <c r="F913" i="4"/>
  <c r="D176" i="9"/>
  <c r="F176" i="9"/>
  <c r="D730" i="6"/>
  <c r="C1688" i="4"/>
  <c r="D1676" i="4"/>
  <c r="F1676" i="4"/>
  <c r="D431" i="9"/>
  <c r="F431" i="9"/>
  <c r="D1202" i="4"/>
  <c r="F1202" i="4"/>
  <c r="D168" i="6"/>
  <c r="F168" i="6"/>
  <c r="D904" i="4"/>
  <c r="F904" i="4"/>
  <c r="D546" i="36"/>
  <c r="F546" i="36"/>
  <c r="D282" i="10"/>
  <c r="D1343" i="4"/>
  <c r="F1343" i="4"/>
  <c r="C1353" i="4"/>
  <c r="C206" i="9"/>
  <c r="D201" i="9"/>
  <c r="F201" i="9"/>
  <c r="D279" i="36"/>
  <c r="F279" i="36"/>
  <c r="D1002" i="4"/>
  <c r="F1002" i="4"/>
  <c r="D1603" i="4"/>
  <c r="F1603" i="4"/>
  <c r="D57" i="10"/>
  <c r="E57" i="10"/>
  <c r="D1441" i="4"/>
  <c r="F1441" i="4"/>
  <c r="D800" i="4"/>
  <c r="F800" i="4"/>
  <c r="N15" i="48"/>
  <c r="D438" i="36"/>
  <c r="F438" i="36"/>
  <c r="D1762" i="4"/>
  <c r="F1762" i="4"/>
  <c r="D98" i="10"/>
  <c r="D1716" i="4"/>
  <c r="F1716" i="4"/>
  <c r="D937" i="4"/>
  <c r="F937" i="4"/>
  <c r="D262" i="36"/>
  <c r="F262" i="36"/>
  <c r="D1722" i="4"/>
  <c r="F1722" i="4"/>
  <c r="C1733" i="4"/>
  <c r="N36" i="51"/>
  <c r="G1573" i="4"/>
  <c r="D1025" i="4"/>
  <c r="F1025" i="4"/>
  <c r="D1596" i="4"/>
  <c r="F1596" i="4"/>
  <c r="D766" i="4"/>
  <c r="F766" i="4"/>
  <c r="D1108" i="4"/>
  <c r="F1108" i="4"/>
  <c r="G1114" i="4"/>
  <c r="G1659" i="4"/>
  <c r="C360" i="6"/>
  <c r="D356" i="6"/>
  <c r="F356" i="6"/>
  <c r="D1300" i="4"/>
  <c r="F1300" i="4"/>
  <c r="D1060" i="4"/>
  <c r="F1060" i="4"/>
  <c r="D1334" i="4"/>
  <c r="F1334" i="4"/>
  <c r="N32" i="24"/>
  <c r="G996" i="4"/>
  <c r="D812" i="4"/>
  <c r="F812" i="4"/>
  <c r="D1591" i="4"/>
  <c r="F1591" i="4"/>
  <c r="J20" i="44"/>
  <c r="D66" i="36"/>
  <c r="F66" i="36"/>
  <c r="C72" i="36"/>
  <c r="D1672" i="4"/>
  <c r="F1672" i="4"/>
  <c r="D1011" i="4"/>
  <c r="F1011" i="4"/>
  <c r="G172" i="9"/>
  <c r="D133" i="36"/>
  <c r="F133" i="36"/>
  <c r="D1604" i="4"/>
  <c r="F1604" i="4"/>
  <c r="C14" i="36"/>
  <c r="D12" i="36"/>
  <c r="F12" i="36"/>
  <c r="D229" i="6"/>
  <c r="F229" i="6"/>
  <c r="D287" i="9"/>
  <c r="F287" i="9"/>
  <c r="D903" i="4"/>
  <c r="F903" i="4"/>
  <c r="D152" i="9"/>
  <c r="F152" i="9"/>
  <c r="D46" i="36"/>
  <c r="F46" i="36"/>
  <c r="D1369" i="4"/>
  <c r="F1369" i="4"/>
  <c r="D279" i="9"/>
  <c r="F279" i="9"/>
  <c r="D269" i="9"/>
  <c r="F269" i="9"/>
  <c r="D1592" i="4"/>
  <c r="F1592" i="4"/>
  <c r="G691" i="4"/>
  <c r="D1347" i="4"/>
  <c r="F1347" i="4"/>
  <c r="D1088" i="4"/>
  <c r="F1088" i="4"/>
  <c r="D1046" i="4"/>
  <c r="F1046" i="4"/>
  <c r="D1586" i="4"/>
  <c r="F1586" i="4"/>
  <c r="D634" i="4"/>
  <c r="F634" i="4"/>
  <c r="D779" i="4"/>
  <c r="F779" i="4"/>
  <c r="G163" i="9"/>
  <c r="E168" i="9"/>
  <c r="D1440" i="4"/>
  <c r="F1440" i="4"/>
  <c r="D126" i="36"/>
  <c r="F126" i="36"/>
  <c r="D199" i="9"/>
  <c r="F199" i="9"/>
  <c r="D871" i="4"/>
  <c r="F871" i="4"/>
  <c r="D1112" i="4"/>
  <c r="F1112" i="4"/>
  <c r="G184" i="9"/>
  <c r="D940" i="4"/>
  <c r="F940" i="4"/>
  <c r="D166" i="10"/>
  <c r="C168" i="10"/>
  <c r="D135" i="9"/>
  <c r="F135" i="9"/>
  <c r="D1251" i="4"/>
  <c r="F1251" i="4"/>
  <c r="N31" i="24"/>
  <c r="D408" i="36"/>
  <c r="F408" i="36"/>
  <c r="D729" i="4"/>
  <c r="F729" i="4"/>
  <c r="N30" i="51"/>
  <c r="D689" i="6"/>
  <c r="D449" i="9"/>
  <c r="F449" i="9"/>
  <c r="D1271" i="4"/>
  <c r="F1271" i="4"/>
  <c r="D402" i="36"/>
  <c r="F402" i="36"/>
  <c r="D1704" i="4"/>
  <c r="F1704" i="4"/>
  <c r="C410" i="36"/>
  <c r="D404" i="36"/>
  <c r="F404" i="36"/>
  <c r="D709" i="4"/>
  <c r="F709" i="4"/>
  <c r="D1346" i="4"/>
  <c r="F1346" i="4"/>
  <c r="D351" i="9"/>
  <c r="F351" i="9"/>
  <c r="D330" i="6"/>
  <c r="F330" i="6"/>
  <c r="D928" i="4"/>
  <c r="F928" i="4"/>
  <c r="D166" i="9"/>
  <c r="F166" i="9"/>
  <c r="D125" i="36"/>
  <c r="F125" i="36"/>
  <c r="C129" i="36"/>
  <c r="D731" i="4"/>
  <c r="F731" i="4"/>
  <c r="D1142" i="4"/>
  <c r="F1142" i="4"/>
  <c r="D322" i="9"/>
  <c r="F322" i="9"/>
  <c r="D1671" i="4"/>
  <c r="F1671" i="4"/>
  <c r="D288" i="9"/>
  <c r="F288" i="9"/>
  <c r="D1147" i="4"/>
  <c r="F1147" i="4"/>
  <c r="C447" i="9"/>
  <c r="D444" i="9"/>
  <c r="F444" i="9"/>
  <c r="D1751" i="4"/>
  <c r="F1751" i="4"/>
  <c r="D140" i="6"/>
  <c r="F140" i="6"/>
  <c r="C120" i="36"/>
  <c r="D117" i="36"/>
  <c r="F117" i="36"/>
  <c r="D220" i="9"/>
  <c r="F220" i="9"/>
  <c r="G1197" i="4"/>
  <c r="D255" i="36"/>
  <c r="F255" i="36"/>
  <c r="C310" i="9"/>
  <c r="D309" i="9"/>
  <c r="F309" i="9"/>
  <c r="D206" i="6"/>
  <c r="F206" i="6"/>
  <c r="D205" i="10"/>
  <c r="D999" i="4"/>
  <c r="F999" i="4"/>
  <c r="D507" i="36"/>
  <c r="F507" i="36"/>
  <c r="D61" i="10"/>
  <c r="E61" i="10"/>
  <c r="D1340" i="4"/>
  <c r="F1340" i="4"/>
  <c r="G1520" i="4"/>
  <c r="D664" i="4"/>
  <c r="F664" i="4"/>
  <c r="D742" i="4"/>
  <c r="F742" i="4"/>
  <c r="D714" i="4"/>
  <c r="F714" i="4"/>
  <c r="G1061" i="4"/>
  <c r="G1413" i="4"/>
  <c r="D178" i="36"/>
  <c r="F178" i="36"/>
  <c r="C1605" i="4"/>
  <c r="D1595" i="4"/>
  <c r="F1595" i="4"/>
  <c r="D131" i="36"/>
  <c r="F131" i="36"/>
  <c r="D201" i="6"/>
  <c r="F201" i="6"/>
  <c r="D923" i="4"/>
  <c r="F923" i="4"/>
  <c r="D368" i="36"/>
  <c r="F368" i="36"/>
  <c r="G296" i="9"/>
  <c r="D1482" i="4"/>
  <c r="F1482" i="4"/>
  <c r="D363" i="9"/>
  <c r="D364" i="9"/>
  <c r="C364" i="9"/>
  <c r="D369" i="36"/>
  <c r="F369" i="36"/>
  <c r="C121" i="10"/>
  <c r="D120" i="10"/>
  <c r="D121" i="10"/>
  <c r="N33" i="37"/>
  <c r="D359" i="36"/>
  <c r="F359" i="36"/>
  <c r="D235" i="9"/>
  <c r="F235" i="9"/>
  <c r="D487" i="6"/>
  <c r="F487" i="6"/>
  <c r="D1622" i="4"/>
  <c r="F1622" i="4"/>
  <c r="D1550" i="4"/>
  <c r="F1550" i="4"/>
  <c r="D1357" i="4"/>
  <c r="F1357" i="4"/>
  <c r="C82" i="36"/>
  <c r="D78" i="36"/>
  <c r="F78" i="36"/>
  <c r="C519" i="6"/>
  <c r="D515" i="6"/>
  <c r="F515" i="6"/>
  <c r="C516" i="6"/>
  <c r="D395" i="9"/>
  <c r="F395" i="9"/>
  <c r="D1265" i="4"/>
  <c r="F1265" i="4"/>
  <c r="D146" i="36"/>
  <c r="F146" i="36"/>
  <c r="G863" i="4"/>
  <c r="C245" i="36"/>
  <c r="D238" i="36"/>
  <c r="F238" i="36"/>
  <c r="G179" i="9"/>
  <c r="C174" i="36"/>
  <c r="D168" i="36"/>
  <c r="F168" i="36"/>
  <c r="D818" i="4"/>
  <c r="F818" i="4"/>
  <c r="E20" i="50"/>
  <c r="E42" i="50"/>
  <c r="D1232" i="4"/>
  <c r="F1232" i="4"/>
  <c r="C306" i="10"/>
  <c r="D304" i="10"/>
  <c r="D195" i="9"/>
  <c r="F195" i="9"/>
  <c r="C200" i="9"/>
  <c r="D494" i="6"/>
  <c r="D1348" i="4"/>
  <c r="F1348" i="4"/>
  <c r="D950" i="4"/>
  <c r="F950" i="4"/>
  <c r="C761" i="6"/>
  <c r="C758" i="6"/>
  <c r="D753" i="6"/>
  <c r="D149" i="9"/>
  <c r="F149" i="9"/>
  <c r="D307" i="9"/>
  <c r="F307" i="9"/>
  <c r="D1045" i="4"/>
  <c r="F1045" i="4"/>
  <c r="D270" i="36"/>
  <c r="F270" i="36"/>
  <c r="D236" i="6"/>
  <c r="F236" i="6"/>
  <c r="D539" i="36"/>
  <c r="F539" i="36"/>
  <c r="L20" i="43"/>
  <c r="L42" i="43"/>
  <c r="D84" i="10"/>
  <c r="E84" i="10"/>
  <c r="E85" i="10"/>
  <c r="C85" i="10"/>
  <c r="D1687" i="4"/>
  <c r="F1687" i="4"/>
  <c r="D324" i="36"/>
  <c r="F324" i="36"/>
  <c r="D220" i="36"/>
  <c r="F220" i="36"/>
  <c r="D564" i="6"/>
  <c r="D746" i="4"/>
  <c r="F746" i="4"/>
  <c r="D682" i="4"/>
  <c r="F682" i="4"/>
  <c r="D643" i="6"/>
  <c r="D1328" i="4"/>
  <c r="F1328" i="4"/>
  <c r="D799" i="4"/>
  <c r="F799" i="4"/>
  <c r="D947" i="4"/>
  <c r="F947" i="4"/>
  <c r="L17" i="24"/>
  <c r="D1407" i="4"/>
  <c r="F1407" i="4"/>
  <c r="D1231" i="4"/>
  <c r="F1231" i="4"/>
  <c r="D1063" i="4"/>
  <c r="F1063" i="4"/>
  <c r="G171" i="9"/>
  <c r="D1511" i="4"/>
  <c r="F1511" i="4"/>
  <c r="N4" i="44"/>
  <c r="B20" i="44"/>
  <c r="G487" i="9"/>
  <c r="F487" i="9"/>
  <c r="I17" i="24"/>
  <c r="D1446" i="4"/>
  <c r="F1446" i="4"/>
  <c r="D422" i="36"/>
  <c r="F422" i="36"/>
  <c r="N14" i="24"/>
  <c r="D143" i="9"/>
  <c r="F143" i="9"/>
  <c r="G1649" i="4"/>
  <c r="D245" i="10"/>
  <c r="C370" i="9"/>
  <c r="D369" i="9"/>
  <c r="F369" i="9"/>
  <c r="D727" i="4"/>
  <c r="F727" i="4"/>
  <c r="D133" i="9"/>
  <c r="F133" i="9"/>
  <c r="G1762" i="4"/>
  <c r="G1150" i="4"/>
  <c r="E1161" i="4"/>
  <c r="C51" i="45"/>
  <c r="R7" i="45"/>
  <c r="D239" i="36"/>
  <c r="F239" i="36"/>
  <c r="D455" i="36"/>
  <c r="F455" i="36"/>
  <c r="E374" i="6"/>
  <c r="G1095" i="4"/>
  <c r="G147" i="9"/>
  <c r="E153" i="9"/>
  <c r="C1444" i="4"/>
  <c r="D1434" i="4"/>
  <c r="F1434" i="4"/>
  <c r="G1232" i="4"/>
  <c r="D59" i="10"/>
  <c r="E59" i="10"/>
  <c r="D1713" i="4"/>
  <c r="F1713" i="4"/>
  <c r="D817" i="4"/>
  <c r="F817" i="4"/>
  <c r="C833" i="4"/>
  <c r="D230" i="10"/>
  <c r="D578" i="36"/>
  <c r="F578" i="36"/>
  <c r="E551" i="36"/>
  <c r="D591" i="4"/>
  <c r="F591" i="4"/>
  <c r="D84" i="36"/>
  <c r="F84" i="36"/>
  <c r="D570" i="6"/>
  <c r="D1806" i="4"/>
  <c r="F1806" i="4"/>
  <c r="J20" i="51"/>
  <c r="J42" i="51"/>
  <c r="D1179" i="4"/>
  <c r="F1179" i="4"/>
  <c r="C144" i="36"/>
  <c r="D138" i="36"/>
  <c r="F138" i="36"/>
  <c r="G20" i="51"/>
  <c r="D644" i="4"/>
  <c r="F644" i="4"/>
  <c r="C657" i="4"/>
  <c r="D850" i="4"/>
  <c r="F850" i="4"/>
  <c r="C197" i="6"/>
  <c r="D192" i="6"/>
  <c r="F192" i="6"/>
  <c r="M17" i="24"/>
  <c r="M35" i="24"/>
  <c r="H17" i="37"/>
  <c r="H36" i="37"/>
  <c r="D1612" i="4"/>
  <c r="F1612" i="4"/>
  <c r="G1449" i="4"/>
  <c r="D1066" i="4"/>
  <c r="F1066" i="4"/>
  <c r="G136" i="9"/>
  <c r="D313" i="6"/>
  <c r="F313" i="6"/>
  <c r="C319" i="6"/>
  <c r="D21" i="36"/>
  <c r="F21" i="36"/>
  <c r="C24" i="36"/>
  <c r="D1043" i="4"/>
  <c r="F1043" i="4"/>
  <c r="D1782" i="4"/>
  <c r="F1782" i="4"/>
  <c r="G201" i="9"/>
  <c r="E206" i="9"/>
  <c r="D306" i="9"/>
  <c r="F306" i="9"/>
  <c r="D899" i="4"/>
  <c r="F899" i="4"/>
  <c r="G1293" i="4"/>
  <c r="D548" i="36"/>
  <c r="F548" i="36"/>
  <c r="D533" i="6"/>
  <c r="F533" i="6"/>
  <c r="D300" i="9"/>
  <c r="F300" i="9"/>
  <c r="D1326" i="4"/>
  <c r="F1326" i="4"/>
  <c r="D1395" i="4"/>
  <c r="F1395" i="4"/>
  <c r="D1457" i="4"/>
  <c r="F1457" i="4"/>
  <c r="D83" i="36"/>
  <c r="F83" i="36"/>
  <c r="C87" i="36"/>
  <c r="D276" i="36"/>
  <c r="F276" i="36"/>
  <c r="D314" i="6"/>
  <c r="F314" i="6"/>
  <c r="D1106" i="4"/>
  <c r="F1106" i="4"/>
  <c r="C1116" i="4"/>
  <c r="C20" i="48"/>
  <c r="D162" i="10"/>
  <c r="N7" i="44"/>
  <c r="C130" i="9"/>
  <c r="N262" i="24"/>
  <c r="D125" i="9"/>
  <c r="F125" i="9"/>
  <c r="D1635" i="4"/>
  <c r="F1635" i="4"/>
  <c r="D292" i="6"/>
  <c r="F292" i="6"/>
  <c r="D873" i="4"/>
  <c r="F873" i="4"/>
  <c r="D382" i="36"/>
  <c r="F382" i="36"/>
  <c r="D1344" i="4"/>
  <c r="F1344" i="4"/>
  <c r="D1561" i="4"/>
  <c r="F1561" i="4"/>
  <c r="D242" i="36"/>
  <c r="F242" i="36"/>
  <c r="D536" i="36"/>
  <c r="F536" i="36"/>
  <c r="C543" i="36"/>
  <c r="D588" i="6"/>
  <c r="D132" i="10"/>
  <c r="D912" i="4"/>
  <c r="F912" i="4"/>
  <c r="D981" i="4"/>
  <c r="F981" i="4"/>
  <c r="D1129" i="4"/>
  <c r="F1129" i="4"/>
  <c r="D159" i="6"/>
  <c r="F159" i="6"/>
  <c r="C163" i="6"/>
  <c r="D623" i="4"/>
  <c r="F623" i="4"/>
  <c r="D598" i="4"/>
  <c r="F598" i="4"/>
  <c r="D895" i="4"/>
  <c r="F895" i="4"/>
  <c r="D722" i="4"/>
  <c r="F722" i="4"/>
  <c r="C309" i="36"/>
  <c r="D306" i="36"/>
  <c r="F306" i="36"/>
  <c r="C309" i="10"/>
  <c r="D308" i="10"/>
  <c r="D309" i="10"/>
  <c r="C251" i="6"/>
  <c r="D248" i="6"/>
  <c r="F248" i="6"/>
  <c r="D436" i="36"/>
  <c r="F436" i="36"/>
  <c r="D1131" i="4"/>
  <c r="F1131" i="4"/>
  <c r="D534" i="6"/>
  <c r="F534" i="6"/>
  <c r="D540" i="6"/>
  <c r="F540" i="6"/>
  <c r="C543" i="6"/>
  <c r="C545" i="6"/>
  <c r="D716" i="4"/>
  <c r="F716" i="4"/>
  <c r="C107" i="36"/>
  <c r="D103" i="36"/>
  <c r="F103" i="36"/>
  <c r="D659" i="4"/>
  <c r="F659" i="4"/>
  <c r="D158" i="9"/>
  <c r="F158" i="9"/>
  <c r="E20" i="48"/>
  <c r="C1408" i="4"/>
  <c r="D1399" i="4"/>
  <c r="F1399" i="4"/>
  <c r="N6" i="51"/>
  <c r="D1728" i="4"/>
  <c r="F1728" i="4"/>
  <c r="D1406" i="4"/>
  <c r="F1406" i="4"/>
  <c r="D1545" i="4"/>
  <c r="F1545" i="4"/>
  <c r="G1448" i="4"/>
  <c r="D378" i="36"/>
  <c r="F378" i="36"/>
  <c r="D222" i="36"/>
  <c r="F222" i="36"/>
  <c r="D371" i="36"/>
  <c r="F371" i="36"/>
  <c r="E199" i="10"/>
  <c r="D1051" i="4"/>
  <c r="F1051" i="4"/>
  <c r="D574" i="6"/>
  <c r="D759" i="6"/>
  <c r="C400" i="9"/>
  <c r="D398" i="9"/>
  <c r="F398" i="9"/>
  <c r="D315" i="36"/>
  <c r="F315" i="36"/>
  <c r="D492" i="36"/>
  <c r="F492" i="36"/>
  <c r="D889" i="4"/>
  <c r="F889" i="4"/>
  <c r="M20" i="44"/>
  <c r="C199" i="10"/>
  <c r="D197" i="10"/>
  <c r="C263" i="10"/>
  <c r="D262" i="10"/>
  <c r="D263" i="10"/>
  <c r="D447" i="36"/>
  <c r="F447" i="36"/>
  <c r="D1151" i="4"/>
  <c r="F1151" i="4"/>
  <c r="D178" i="10"/>
  <c r="C180" i="10"/>
  <c r="D690" i="4"/>
  <c r="F690" i="4"/>
  <c r="D679" i="6"/>
  <c r="D226" i="9"/>
  <c r="F226" i="9"/>
  <c r="C229" i="9"/>
  <c r="D1014" i="4"/>
  <c r="F1014" i="4"/>
  <c r="D756" i="4"/>
  <c r="F756" i="4"/>
  <c r="D214" i="36"/>
  <c r="F214" i="36"/>
  <c r="D1448" i="4"/>
  <c r="F1448" i="4"/>
  <c r="D268" i="6"/>
  <c r="F268" i="6"/>
  <c r="C272" i="6"/>
  <c r="D862" i="4"/>
  <c r="F862" i="4"/>
  <c r="D1546" i="4"/>
  <c r="F1546" i="4"/>
  <c r="D689" i="4"/>
  <c r="F689" i="4"/>
  <c r="D266" i="10"/>
  <c r="D1213" i="4"/>
  <c r="F1213" i="4"/>
  <c r="D625" i="4"/>
  <c r="F625" i="4"/>
  <c r="D488" i="36"/>
  <c r="F488" i="36"/>
  <c r="D1247" i="4"/>
  <c r="F1247" i="4"/>
  <c r="C1261" i="4"/>
  <c r="G1658" i="4"/>
  <c r="D305" i="6"/>
  <c r="F305" i="6"/>
  <c r="C1582" i="4"/>
  <c r="D1572" i="4"/>
  <c r="F1572" i="4"/>
  <c r="D1730" i="4"/>
  <c r="F1730" i="4"/>
  <c r="D1632" i="4"/>
  <c r="F1632" i="4"/>
  <c r="D16" i="36"/>
  <c r="C732" i="4"/>
  <c r="D721" i="4"/>
  <c r="F721" i="4"/>
  <c r="D358" i="36"/>
  <c r="F358" i="36"/>
  <c r="C1652" i="4"/>
  <c r="D1640" i="4"/>
  <c r="F1640" i="4"/>
  <c r="D1588" i="4"/>
  <c r="F1588" i="4"/>
  <c r="C253" i="36"/>
  <c r="D246" i="36"/>
  <c r="F246" i="36"/>
  <c r="D1134" i="4"/>
  <c r="F1134" i="4"/>
  <c r="C232" i="10"/>
  <c r="D229" i="10"/>
  <c r="D628" i="4"/>
  <c r="F628" i="4"/>
  <c r="D144" i="10"/>
  <c r="C147" i="10"/>
  <c r="D1478" i="4"/>
  <c r="F1478" i="4"/>
  <c r="D1599" i="4"/>
  <c r="F1599" i="4"/>
  <c r="D1175" i="4"/>
  <c r="F1175" i="4"/>
  <c r="D334" i="6"/>
  <c r="F334" i="6"/>
  <c r="D990" i="4"/>
  <c r="F990" i="4"/>
  <c r="D1769" i="4"/>
  <c r="F1769" i="4"/>
  <c r="C457" i="36"/>
  <c r="D451" i="36"/>
  <c r="F451" i="36"/>
  <c r="D857" i="4"/>
  <c r="F857" i="4"/>
  <c r="D1686" i="4"/>
  <c r="F1686" i="4"/>
  <c r="G446" i="9"/>
  <c r="D244" i="6"/>
  <c r="F244" i="6"/>
  <c r="D271" i="6"/>
  <c r="F271" i="6"/>
  <c r="C254" i="10"/>
  <c r="D253" i="10"/>
  <c r="D254" i="10"/>
  <c r="D597" i="4"/>
  <c r="F597" i="4"/>
  <c r="D1137" i="4"/>
  <c r="F1137" i="4"/>
  <c r="C40" i="36"/>
  <c r="D37" i="36"/>
  <c r="F37" i="36"/>
  <c r="G193" i="9"/>
  <c r="D33" i="36"/>
  <c r="F33" i="36"/>
  <c r="D846" i="4"/>
  <c r="F846" i="4"/>
  <c r="C860" i="4"/>
  <c r="G1820" i="4"/>
  <c r="F1820" i="4"/>
  <c r="C163" i="10"/>
  <c r="D161" i="10"/>
  <c r="D750" i="4"/>
  <c r="F750" i="4"/>
  <c r="D157" i="9"/>
  <c r="F157" i="9"/>
  <c r="C162" i="9"/>
  <c r="C571" i="36"/>
  <c r="D565" i="36"/>
  <c r="F565" i="36"/>
  <c r="C1710" i="4"/>
  <c r="D1699" i="4"/>
  <c r="F1699" i="4"/>
  <c r="C680" i="6"/>
  <c r="D677" i="6"/>
  <c r="C683" i="6"/>
  <c r="C558" i="36"/>
  <c r="D552" i="36"/>
  <c r="F552" i="36"/>
  <c r="D876" i="4"/>
  <c r="F876" i="4"/>
  <c r="K20" i="50"/>
  <c r="K42" i="50"/>
  <c r="G1362" i="4"/>
  <c r="D507" i="6"/>
  <c r="F507" i="6"/>
  <c r="D204" i="36"/>
  <c r="F204" i="36"/>
  <c r="D473" i="36"/>
  <c r="F473" i="36"/>
  <c r="C479" i="36"/>
  <c r="F603" i="36"/>
  <c r="C385" i="9"/>
  <c r="D382" i="9"/>
  <c r="F382" i="9"/>
  <c r="D1807" i="4"/>
  <c r="F1807" i="4"/>
  <c r="D1470" i="4"/>
  <c r="F1470" i="4"/>
  <c r="D293" i="9"/>
  <c r="F293" i="9"/>
  <c r="D1647" i="4"/>
  <c r="F1647" i="4"/>
  <c r="D344" i="9"/>
  <c r="F344" i="9"/>
  <c r="D1706" i="4"/>
  <c r="F1706" i="4"/>
  <c r="D517" i="36"/>
  <c r="F517" i="36"/>
  <c r="D1697" i="4"/>
  <c r="F1697" i="4"/>
  <c r="D1317" i="4"/>
  <c r="F1317" i="4"/>
  <c r="D384" i="36"/>
  <c r="F384" i="36"/>
  <c r="D1804" i="4"/>
  <c r="F1804" i="4"/>
  <c r="D988" i="4"/>
  <c r="F988" i="4"/>
  <c r="D182" i="9"/>
  <c r="F182" i="9"/>
  <c r="D640" i="4"/>
  <c r="F640" i="4"/>
  <c r="N30" i="48"/>
  <c r="D273" i="36"/>
  <c r="F273" i="36"/>
  <c r="D151" i="36"/>
  <c r="F151" i="36"/>
  <c r="D442" i="36"/>
  <c r="F442" i="36"/>
  <c r="C450" i="36"/>
  <c r="D1693" i="4"/>
  <c r="F1693" i="4"/>
  <c r="D26" i="36"/>
  <c r="F26" i="36"/>
  <c r="D469" i="36"/>
  <c r="F469" i="36"/>
  <c r="D1515" i="4"/>
  <c r="F1515" i="4"/>
  <c r="G1817" i="4"/>
  <c r="F1817" i="4"/>
  <c r="C256" i="9"/>
  <c r="D252" i="9"/>
  <c r="F252" i="9"/>
  <c r="D364" i="6"/>
  <c r="D499" i="36"/>
  <c r="F499" i="36"/>
  <c r="D277" i="36"/>
  <c r="F277" i="36"/>
  <c r="D243" i="6"/>
  <c r="F243" i="6"/>
  <c r="C588" i="36"/>
  <c r="D582" i="36"/>
  <c r="F582" i="36"/>
  <c r="D1094" i="4"/>
  <c r="F1094" i="4"/>
  <c r="C355" i="9"/>
  <c r="D353" i="9"/>
  <c r="F353" i="9"/>
  <c r="D1210" i="4"/>
  <c r="F1210" i="4"/>
  <c r="D596" i="6"/>
  <c r="D1597" i="4"/>
  <c r="F1597" i="4"/>
  <c r="D317" i="10"/>
  <c r="D318" i="10"/>
  <c r="C318" i="10"/>
  <c r="D1333" i="4"/>
  <c r="F1333" i="4"/>
  <c r="D1205" i="4"/>
  <c r="F1205" i="4"/>
  <c r="D158" i="10"/>
  <c r="N12" i="50"/>
  <c r="P33" i="50"/>
  <c r="D1089" i="4"/>
  <c r="F1089" i="4"/>
  <c r="D150" i="6"/>
  <c r="F150" i="6"/>
  <c r="D394" i="36"/>
  <c r="F394" i="36"/>
  <c r="D1250" i="4"/>
  <c r="F1250" i="4"/>
  <c r="D681" i="4"/>
  <c r="F681" i="4"/>
  <c r="N14" i="43"/>
  <c r="D285" i="36"/>
  <c r="F285" i="36"/>
  <c r="D121" i="36"/>
  <c r="F121" i="36"/>
  <c r="C124" i="36"/>
  <c r="D1165" i="4"/>
  <c r="F1165" i="4"/>
  <c r="C266" i="36"/>
  <c r="D261" i="36"/>
  <c r="F261" i="36"/>
  <c r="D1269" i="4"/>
  <c r="F1269" i="4"/>
  <c r="D977" i="4"/>
  <c r="F977" i="4"/>
  <c r="D13" i="36"/>
  <c r="D14" i="36"/>
  <c r="D1562" i="4"/>
  <c r="F1562" i="4"/>
  <c r="D510" i="6"/>
  <c r="F510" i="6"/>
  <c r="D698" i="4"/>
  <c r="F698" i="4"/>
  <c r="D1613" i="4"/>
  <c r="F1613" i="4"/>
  <c r="D659" i="6"/>
  <c r="D661" i="6"/>
  <c r="F661" i="6"/>
  <c r="C661" i="6"/>
  <c r="C664" i="6"/>
  <c r="D1087" i="4"/>
  <c r="F1087" i="4"/>
  <c r="D1458" i="4"/>
  <c r="F1458" i="4"/>
  <c r="D427" i="6"/>
  <c r="F427" i="6"/>
  <c r="D158" i="36"/>
  <c r="F158" i="36"/>
  <c r="D754" i="6"/>
  <c r="D1426" i="4"/>
  <c r="F1426" i="4"/>
  <c r="D1315" i="4"/>
  <c r="F1315" i="4"/>
  <c r="D705" i="4"/>
  <c r="F705" i="4"/>
  <c r="D962" i="4"/>
  <c r="F962" i="4"/>
  <c r="D263" i="9"/>
  <c r="F263" i="9"/>
  <c r="N10" i="43"/>
  <c r="D1216" i="4"/>
  <c r="F1216" i="4"/>
  <c r="D1523" i="4"/>
  <c r="F1523" i="4"/>
  <c r="D183" i="6"/>
  <c r="F183" i="6"/>
  <c r="D43" i="36"/>
  <c r="F43" i="36"/>
  <c r="D171" i="36"/>
  <c r="F171" i="36"/>
  <c r="D256" i="6"/>
  <c r="F256" i="6"/>
  <c r="D964" i="4"/>
  <c r="F964" i="4"/>
  <c r="D1631" i="4"/>
  <c r="F1631" i="4"/>
  <c r="E173" i="10"/>
  <c r="C325" i="10"/>
  <c r="D324" i="10"/>
  <c r="D325" i="10"/>
  <c r="F325" i="10"/>
  <c r="D1654" i="4"/>
  <c r="F1654" i="4"/>
  <c r="D169" i="36"/>
  <c r="F169" i="36"/>
  <c r="D1225" i="4"/>
  <c r="F1225" i="4"/>
  <c r="D703" i="6"/>
  <c r="D806" i="4"/>
  <c r="F806" i="4"/>
  <c r="D258" i="9"/>
  <c r="F258" i="9"/>
  <c r="D1663" i="4"/>
  <c r="F1663" i="4"/>
  <c r="D667" i="4"/>
  <c r="F667" i="4"/>
  <c r="D123" i="36"/>
  <c r="F123" i="36"/>
  <c r="D223" i="6"/>
  <c r="F223" i="6"/>
  <c r="D1565" i="4"/>
  <c r="F1565" i="4"/>
  <c r="D257" i="36"/>
  <c r="F257" i="36"/>
  <c r="C615" i="6"/>
  <c r="D612" i="6"/>
  <c r="C617" i="6"/>
  <c r="D686" i="4"/>
  <c r="F686" i="4"/>
  <c r="D1055" i="4"/>
  <c r="F1055" i="4"/>
  <c r="D344" i="6"/>
  <c r="F344" i="6"/>
  <c r="D774" i="4"/>
  <c r="F774" i="4"/>
  <c r="D803" i="4"/>
  <c r="F803" i="4"/>
  <c r="C816" i="4"/>
  <c r="D484" i="9"/>
  <c r="F484" i="9"/>
  <c r="D117" i="10"/>
  <c r="C443" i="9"/>
  <c r="D441" i="9"/>
  <c r="G717" i="4"/>
  <c r="D1498" i="4"/>
  <c r="F1498" i="4"/>
  <c r="D1669" i="4"/>
  <c r="F1669" i="4"/>
  <c r="D691" i="6"/>
  <c r="C695" i="6"/>
  <c r="C698" i="6"/>
  <c r="D523" i="36"/>
  <c r="F523" i="36"/>
  <c r="D1178" i="4"/>
  <c r="F1178" i="4"/>
  <c r="D575" i="36"/>
  <c r="F575" i="36"/>
  <c r="D459" i="9"/>
  <c r="G719" i="4"/>
  <c r="D915" i="4"/>
  <c r="F915" i="4"/>
  <c r="D90" i="36"/>
  <c r="F90" i="36"/>
  <c r="D281" i="6"/>
  <c r="D580" i="36"/>
  <c r="F580" i="36"/>
  <c r="D553" i="36"/>
  <c r="F553" i="36"/>
  <c r="D661" i="4"/>
  <c r="F661" i="4"/>
  <c r="D560" i="36"/>
  <c r="F560" i="36"/>
  <c r="D222" i="9"/>
  <c r="F222" i="9"/>
  <c r="N18" i="51"/>
  <c r="D605" i="6"/>
  <c r="D191" i="36"/>
  <c r="D1754" i="4"/>
  <c r="F1754" i="4"/>
  <c r="D342" i="9"/>
  <c r="F342" i="9"/>
  <c r="C346" i="9"/>
  <c r="D1386" i="4"/>
  <c r="F1386" i="4"/>
  <c r="D1439" i="4"/>
  <c r="F1439" i="4"/>
  <c r="D1593" i="4"/>
  <c r="F1593" i="4"/>
  <c r="D1430" i="4"/>
  <c r="F1430" i="4"/>
  <c r="N15" i="24"/>
  <c r="D1607" i="4"/>
  <c r="F1607" i="4"/>
  <c r="D1791" i="4"/>
  <c r="F1791" i="4"/>
  <c r="C625" i="6"/>
  <c r="C623" i="6"/>
  <c r="D619" i="6"/>
  <c r="N37" i="50"/>
  <c r="N5" i="37"/>
  <c r="D1674" i="4"/>
  <c r="F1674" i="4"/>
  <c r="G1681" i="4"/>
  <c r="D1298" i="4"/>
  <c r="F1298" i="4"/>
  <c r="D971" i="4"/>
  <c r="F971" i="4"/>
  <c r="D1208" i="4"/>
  <c r="F1208" i="4"/>
  <c r="D365" i="36"/>
  <c r="F365" i="36"/>
  <c r="C372" i="36"/>
  <c r="D493" i="36"/>
  <c r="F493" i="36"/>
  <c r="D542" i="6"/>
  <c r="F542" i="6"/>
  <c r="D791" i="4"/>
  <c r="F791" i="4"/>
  <c r="C802" i="4"/>
  <c r="D854" i="4"/>
  <c r="F854" i="4"/>
  <c r="N6" i="48"/>
  <c r="D1301" i="4"/>
  <c r="F1301" i="4"/>
  <c r="D656" i="4"/>
  <c r="F656" i="4"/>
  <c r="G20" i="50"/>
  <c r="G42" i="50"/>
  <c r="D1777" i="4"/>
  <c r="F1777" i="4"/>
  <c r="D1469" i="4"/>
  <c r="F1469" i="4"/>
  <c r="D1236" i="4"/>
  <c r="F1236" i="4"/>
  <c r="D468" i="36"/>
  <c r="F468" i="36"/>
  <c r="D389" i="36"/>
  <c r="F389" i="36"/>
  <c r="D786" i="4"/>
  <c r="F786" i="4"/>
  <c r="D1421" i="4"/>
  <c r="F1421" i="4"/>
  <c r="D167" i="9"/>
  <c r="F167" i="9"/>
  <c r="D303" i="36"/>
  <c r="F303" i="36"/>
  <c r="D1188" i="4"/>
  <c r="F1188" i="4"/>
  <c r="C1198" i="4"/>
  <c r="D1199" i="4"/>
  <c r="F1199" i="4"/>
  <c r="C1211" i="4"/>
  <c r="E41" i="44"/>
  <c r="D253" i="9"/>
  <c r="F253" i="9"/>
  <c r="D612" i="4"/>
  <c r="F612" i="4"/>
  <c r="D629" i="6"/>
  <c r="D148" i="36"/>
  <c r="F148" i="36"/>
  <c r="D1238" i="4"/>
  <c r="F1238" i="4"/>
  <c r="D20" i="43"/>
  <c r="D42" i="43"/>
  <c r="D1535" i="4"/>
  <c r="F1535" i="4"/>
  <c r="C362" i="9"/>
  <c r="D359" i="9"/>
  <c r="F359" i="9"/>
  <c r="D1122" i="4"/>
  <c r="F1122" i="4"/>
  <c r="D1748" i="4"/>
  <c r="F1748" i="4"/>
  <c r="D967" i="4"/>
  <c r="F967" i="4"/>
  <c r="D161" i="36"/>
  <c r="F161" i="36"/>
  <c r="D190" i="36"/>
  <c r="F190" i="36"/>
  <c r="D1659" i="4"/>
  <c r="F1659" i="4"/>
  <c r="D57" i="45"/>
  <c r="N57" i="45"/>
  <c r="D143" i="36"/>
  <c r="F143" i="36"/>
  <c r="D1042" i="4"/>
  <c r="F1042" i="4"/>
  <c r="D1435" i="4"/>
  <c r="F1435" i="4"/>
  <c r="D247" i="10"/>
  <c r="D1653" i="4"/>
  <c r="F1653" i="4"/>
  <c r="C1664" i="4"/>
  <c r="D1758" i="4"/>
  <c r="F1758" i="4"/>
  <c r="C1774" i="4"/>
  <c r="E749" i="6"/>
  <c r="D914" i="4"/>
  <c r="F914" i="4"/>
  <c r="D1197" i="4"/>
  <c r="F1197" i="4"/>
  <c r="D454" i="36"/>
  <c r="F454" i="36"/>
  <c r="D149" i="6"/>
  <c r="F149" i="6"/>
  <c r="D587" i="36"/>
  <c r="F587" i="36"/>
  <c r="C380" i="6"/>
  <c r="D376" i="6"/>
  <c r="F376" i="6"/>
  <c r="D428" i="6"/>
  <c r="F428" i="6"/>
  <c r="D1059" i="4"/>
  <c r="F1059" i="4"/>
  <c r="D557" i="36"/>
  <c r="F557" i="36"/>
  <c r="D1389" i="4"/>
  <c r="F1389" i="4"/>
  <c r="G191" i="9"/>
  <c r="D1143" i="4"/>
  <c r="F1143" i="4"/>
  <c r="D354" i="9"/>
  <c r="F354" i="9"/>
  <c r="D1660" i="4"/>
  <c r="F1660" i="4"/>
  <c r="D1266" i="4"/>
  <c r="F1266" i="4"/>
  <c r="C151" i="10"/>
  <c r="D150" i="10"/>
  <c r="D151" i="10"/>
  <c r="D396" i="6"/>
  <c r="F396" i="6"/>
  <c r="D451" i="6"/>
  <c r="F451" i="6"/>
  <c r="G1646" i="4"/>
  <c r="D222" i="10"/>
  <c r="D760" i="6"/>
  <c r="D58" i="36"/>
  <c r="F58" i="36"/>
  <c r="C153" i="36"/>
  <c r="D145" i="36"/>
  <c r="F145" i="36"/>
  <c r="C478" i="9"/>
  <c r="D477" i="9"/>
  <c r="F477" i="9"/>
  <c r="D245" i="9"/>
  <c r="F245" i="9"/>
  <c r="D834" i="4"/>
  <c r="F834" i="4"/>
  <c r="C845" i="4"/>
  <c r="C463" i="9"/>
  <c r="D461" i="9"/>
  <c r="F461" i="9"/>
  <c r="D737" i="6"/>
  <c r="D627" i="4"/>
  <c r="F627" i="4"/>
  <c r="G1001" i="4"/>
  <c r="D1500" i="4"/>
  <c r="F1500" i="4"/>
  <c r="D998" i="4"/>
  <c r="F998" i="4"/>
  <c r="D798" i="4"/>
  <c r="F798" i="4"/>
  <c r="D161" i="9"/>
  <c r="F161" i="9"/>
  <c r="D20" i="51"/>
  <c r="D191" i="9"/>
  <c r="F191" i="9"/>
  <c r="D304" i="36"/>
  <c r="F304" i="36"/>
  <c r="D984" i="4"/>
  <c r="F984" i="4"/>
  <c r="D396" i="9"/>
  <c r="F396" i="9"/>
  <c r="N14" i="44"/>
  <c r="D615" i="4"/>
  <c r="F615" i="4"/>
  <c r="D815" i="4"/>
  <c r="F815" i="4"/>
  <c r="D730" i="4"/>
  <c r="F730" i="4"/>
  <c r="C289" i="10"/>
  <c r="D288" i="10"/>
  <c r="D289" i="10"/>
  <c r="D736" i="4"/>
  <c r="F736" i="4"/>
  <c r="D291" i="9"/>
  <c r="F291" i="9"/>
  <c r="C298" i="9"/>
  <c r="C569" i="6"/>
  <c r="C571" i="6"/>
  <c r="D568" i="6"/>
  <c r="D569" i="6"/>
  <c r="D203" i="36"/>
  <c r="F203" i="36"/>
  <c r="D357" i="36"/>
  <c r="F357" i="36"/>
  <c r="C433" i="6"/>
  <c r="D431" i="6"/>
  <c r="F431" i="6"/>
  <c r="D1160" i="4"/>
  <c r="F1160" i="4"/>
  <c r="D1624" i="4"/>
  <c r="F1624" i="4"/>
  <c r="D783" i="4"/>
  <c r="F783" i="4"/>
  <c r="G779" i="4"/>
  <c r="D1186" i="4"/>
  <c r="F1186" i="4"/>
  <c r="D550" i="36"/>
  <c r="F550" i="36"/>
  <c r="D381" i="36"/>
  <c r="F381" i="36"/>
  <c r="D55" i="36"/>
  <c r="F55" i="36"/>
  <c r="D531" i="36"/>
  <c r="F531" i="36"/>
  <c r="D597" i="6"/>
  <c r="D136" i="36"/>
  <c r="F136" i="36"/>
  <c r="D807" i="4"/>
  <c r="F807" i="4"/>
  <c r="D458" i="6"/>
  <c r="F458" i="6"/>
  <c r="D718" i="6"/>
  <c r="D642" i="4"/>
  <c r="F642" i="4"/>
  <c r="D824" i="4"/>
  <c r="F824" i="4"/>
  <c r="G1813" i="4"/>
  <c r="F1813" i="4"/>
  <c r="D1741" i="4"/>
  <c r="F1741" i="4"/>
  <c r="D1491" i="4"/>
  <c r="F1491" i="4"/>
  <c r="N9" i="51"/>
  <c r="D930" i="4"/>
  <c r="F930" i="4"/>
  <c r="D366" i="6"/>
  <c r="D620" i="6"/>
  <c r="G131" i="9"/>
  <c r="E138" i="9"/>
  <c r="G29" i="24"/>
  <c r="G34" i="24"/>
  <c r="D1310" i="4"/>
  <c r="F1310" i="4"/>
  <c r="D1230" i="4"/>
  <c r="F1230" i="4"/>
  <c r="D489" i="36"/>
  <c r="F489" i="36"/>
  <c r="D1573" i="4"/>
  <c r="F1573" i="4"/>
  <c r="D347" i="36"/>
  <c r="F347" i="36"/>
  <c r="D542" i="36"/>
  <c r="F542" i="36"/>
  <c r="G221" i="9"/>
  <c r="D91" i="36"/>
  <c r="F91" i="36"/>
  <c r="C403" i="36"/>
  <c r="D396" i="36"/>
  <c r="F396" i="36"/>
  <c r="D1324" i="4"/>
  <c r="F1324" i="4"/>
  <c r="D1121" i="4"/>
  <c r="F1121" i="4"/>
  <c r="D1753" i="4"/>
  <c r="F1753" i="4"/>
  <c r="D263" i="36"/>
  <c r="F263" i="36"/>
  <c r="D1623" i="4"/>
  <c r="F1623" i="4"/>
  <c r="D1374" i="4"/>
  <c r="F1374" i="4"/>
  <c r="D1026" i="4"/>
  <c r="F1026" i="4"/>
  <c r="D823" i="4"/>
  <c r="F823" i="4"/>
  <c r="N6" i="43"/>
  <c r="D67" i="36"/>
  <c r="F67" i="36"/>
  <c r="D784" i="4"/>
  <c r="F784" i="4"/>
  <c r="D1237" i="4"/>
  <c r="F1237" i="4"/>
  <c r="D179" i="10"/>
  <c r="D842" i="4"/>
  <c r="F842" i="4"/>
  <c r="D69" i="36"/>
  <c r="G654" i="4"/>
  <c r="D576" i="36"/>
  <c r="F576" i="36"/>
  <c r="D392" i="6"/>
  <c r="F392" i="6"/>
  <c r="D271" i="10"/>
  <c r="D516" i="36"/>
  <c r="F516" i="36"/>
  <c r="D702" i="6"/>
  <c r="N15" i="50"/>
  <c r="P36" i="50"/>
  <c r="D436" i="6"/>
  <c r="F436" i="6"/>
  <c r="D982" i="4"/>
  <c r="F982" i="4"/>
  <c r="C28" i="36"/>
  <c r="D25" i="36"/>
  <c r="F25" i="36"/>
  <c r="D1113" i="4"/>
  <c r="F1113" i="4"/>
  <c r="D1610" i="4"/>
  <c r="F1610" i="4"/>
  <c r="D1617" i="4"/>
  <c r="F1617" i="4"/>
  <c r="C1627" i="4"/>
  <c r="D390" i="6"/>
  <c r="F390" i="6"/>
  <c r="D1479" i="4"/>
  <c r="F1479" i="4"/>
  <c r="D279" i="6"/>
  <c r="D111" i="6"/>
  <c r="F111" i="6"/>
  <c r="D1255" i="4"/>
  <c r="F1255" i="4"/>
  <c r="D670" i="4"/>
  <c r="F670" i="4"/>
  <c r="D167" i="10"/>
  <c r="C488" i="6"/>
  <c r="D484" i="6"/>
  <c r="F484" i="6"/>
  <c r="D439" i="6"/>
  <c r="F439" i="6"/>
  <c r="D348" i="36"/>
  <c r="F348" i="36"/>
  <c r="N13" i="51"/>
  <c r="D878" i="4"/>
  <c r="F878" i="4"/>
  <c r="C890" i="4"/>
  <c r="D227" i="36"/>
  <c r="F227" i="36"/>
  <c r="D1742" i="4"/>
  <c r="F1742" i="4"/>
  <c r="D1299" i="4"/>
  <c r="F1299" i="4"/>
  <c r="D745" i="6"/>
  <c r="E260" i="10"/>
  <c r="D541" i="36"/>
  <c r="F541" i="36"/>
  <c r="C292" i="10"/>
  <c r="D291" i="10"/>
  <c r="D292" i="10"/>
  <c r="D650" i="6"/>
  <c r="D340" i="6"/>
  <c r="F340" i="6"/>
  <c r="D678" i="4"/>
  <c r="F678" i="4"/>
  <c r="D377" i="36"/>
  <c r="F377" i="36"/>
  <c r="D1633" i="4"/>
  <c r="F1633" i="4"/>
  <c r="D520" i="36"/>
  <c r="F520" i="36"/>
  <c r="D751" i="6"/>
  <c r="G183" i="9"/>
  <c r="D898" i="4"/>
  <c r="F898" i="4"/>
  <c r="D462" i="6"/>
  <c r="F462" i="6"/>
  <c r="D508" i="6"/>
  <c r="F508" i="6"/>
  <c r="D1229" i="4"/>
  <c r="F1229" i="4"/>
  <c r="D105" i="36"/>
  <c r="F105" i="36"/>
  <c r="D1390" i="4"/>
  <c r="F1390" i="4"/>
  <c r="D785" i="4"/>
  <c r="F785" i="4"/>
  <c r="C482" i="6"/>
  <c r="C480" i="6"/>
  <c r="D479" i="6"/>
  <c r="F479" i="6"/>
  <c r="D918" i="4"/>
  <c r="F918" i="4"/>
  <c r="D794" i="4"/>
  <c r="F794" i="4"/>
  <c r="D1274" i="4"/>
  <c r="F1274" i="4"/>
  <c r="D334" i="36"/>
  <c r="F334" i="36"/>
  <c r="C315" i="10"/>
  <c r="D314" i="10"/>
  <c r="D315" i="10"/>
  <c r="N12" i="44"/>
  <c r="D123" i="6"/>
  <c r="F123" i="6"/>
  <c r="D1372" i="4"/>
  <c r="F1372" i="4"/>
  <c r="D466" i="6"/>
  <c r="F466" i="6"/>
  <c r="D797" i="4"/>
  <c r="F797" i="4"/>
  <c r="D283" i="9"/>
  <c r="F283" i="9"/>
  <c r="D1453" i="4"/>
  <c r="F1453" i="4"/>
  <c r="D323" i="6"/>
  <c r="F323" i="6"/>
  <c r="D164" i="9"/>
  <c r="F164" i="9"/>
  <c r="D701" i="6"/>
  <c r="D1235" i="4"/>
  <c r="F1235" i="4"/>
  <c r="C1246" i="4"/>
  <c r="C716" i="6"/>
  <c r="C713" i="6"/>
  <c r="D708" i="6"/>
  <c r="D1747" i="4"/>
  <c r="F1747" i="4"/>
  <c r="D448" i="36"/>
  <c r="F448" i="36"/>
  <c r="H20" i="50"/>
  <c r="D371" i="6"/>
  <c r="F371" i="6"/>
  <c r="D1248" i="4"/>
  <c r="F1248" i="4"/>
  <c r="D712" i="6"/>
  <c r="D452" i="36"/>
  <c r="F452" i="36"/>
  <c r="D1661" i="4"/>
  <c r="F1661" i="4"/>
  <c r="G1812" i="4"/>
  <c r="F1812" i="4"/>
  <c r="D312" i="9"/>
  <c r="F312" i="9"/>
  <c r="D367" i="36"/>
  <c r="F367" i="36"/>
  <c r="D1589" i="4"/>
  <c r="F1589" i="4"/>
  <c r="G17" i="24"/>
  <c r="D836" i="4"/>
  <c r="F836" i="4"/>
  <c r="D57" i="36"/>
  <c r="F57" i="36"/>
  <c r="C61" i="36"/>
  <c r="N7" i="51"/>
  <c r="P28" i="51"/>
  <c r="D1361" i="4"/>
  <c r="F1361" i="4"/>
  <c r="C480" i="9"/>
  <c r="D479" i="9"/>
  <c r="D480" i="9"/>
  <c r="D399" i="9"/>
  <c r="F399" i="9"/>
  <c r="G20" i="44"/>
  <c r="G42" i="44"/>
  <c r="D518" i="6"/>
  <c r="F518" i="6"/>
  <c r="D99" i="36"/>
  <c r="F99" i="36"/>
  <c r="D378" i="6"/>
  <c r="F378" i="6"/>
  <c r="D606" i="4"/>
  <c r="F606" i="4"/>
  <c r="D365" i="6"/>
  <c r="F365" i="6"/>
  <c r="D1036" i="4"/>
  <c r="F1036" i="4"/>
  <c r="D211" i="6"/>
  <c r="F211" i="6"/>
  <c r="C581" i="36"/>
  <c r="D572" i="36"/>
  <c r="F572" i="36"/>
  <c r="D1796" i="4"/>
  <c r="F1796" i="4"/>
  <c r="D577" i="36"/>
  <c r="F577" i="36"/>
  <c r="D1200" i="4"/>
  <c r="F1200" i="4"/>
  <c r="D217" i="6"/>
  <c r="F217" i="6"/>
  <c r="G1483" i="4"/>
  <c r="D652" i="4"/>
  <c r="F652" i="4"/>
  <c r="D288" i="6"/>
  <c r="F288" i="6"/>
  <c r="D154" i="10"/>
  <c r="D216" i="36"/>
  <c r="F216" i="36"/>
  <c r="C223" i="36"/>
  <c r="D212" i="10"/>
  <c r="D1473" i="4"/>
  <c r="F1473" i="4"/>
  <c r="D415" i="36"/>
  <c r="F415" i="36"/>
  <c r="N7" i="48"/>
  <c r="P28" i="48"/>
  <c r="D531" i="6"/>
  <c r="F531" i="6"/>
  <c r="D1636" i="4"/>
  <c r="F1636" i="4"/>
  <c r="D1650" i="4"/>
  <c r="F1650" i="4"/>
  <c r="D832" i="4"/>
  <c r="F832" i="4"/>
  <c r="D1532" i="4"/>
  <c r="F1532" i="4"/>
  <c r="D264" i="9"/>
  <c r="F264" i="9"/>
  <c r="N19" i="48"/>
  <c r="P40" i="48"/>
  <c r="K17" i="37"/>
  <c r="D462" i="36"/>
  <c r="F462" i="36"/>
  <c r="D921" i="4"/>
  <c r="F921" i="4"/>
  <c r="F20" i="48"/>
  <c r="C1639" i="4"/>
  <c r="D1628" i="4"/>
  <c r="F1628" i="4"/>
  <c r="D212" i="6"/>
  <c r="F212" i="6"/>
  <c r="F600" i="36"/>
  <c r="C329" i="10"/>
  <c r="D327" i="10"/>
  <c r="D1643" i="4"/>
  <c r="F1643" i="4"/>
  <c r="D1683" i="4"/>
  <c r="F1683" i="4"/>
  <c r="D1044" i="4"/>
  <c r="F1044" i="4"/>
  <c r="D748" i="4"/>
  <c r="F748" i="4"/>
  <c r="C760" i="4"/>
  <c r="N6" i="44"/>
  <c r="G297" i="9"/>
  <c r="D268" i="9"/>
  <c r="F268" i="9"/>
  <c r="D1779" i="4"/>
  <c r="F1779" i="4"/>
  <c r="D757" i="6"/>
  <c r="D54" i="45"/>
  <c r="D308" i="36"/>
  <c r="F308" i="36"/>
  <c r="D1172" i="4"/>
  <c r="F1172" i="4"/>
  <c r="D1169" i="4"/>
  <c r="F1169" i="4"/>
  <c r="H20" i="48"/>
  <c r="D319" i="36"/>
  <c r="F319" i="36"/>
  <c r="D277" i="9"/>
  <c r="F277" i="9"/>
  <c r="D752" i="4"/>
  <c r="F752" i="4"/>
  <c r="C372" i="9"/>
  <c r="D371" i="9"/>
  <c r="D372" i="9"/>
  <c r="D485" i="36"/>
  <c r="F485" i="36"/>
  <c r="D1436" i="4"/>
  <c r="F1436" i="4"/>
  <c r="D134" i="9"/>
  <c r="F134" i="9"/>
  <c r="D490" i="36"/>
  <c r="F490" i="36"/>
  <c r="C1538" i="4"/>
  <c r="D1529" i="4"/>
  <c r="F1529" i="4"/>
  <c r="D1590" i="4"/>
  <c r="F1590" i="4"/>
  <c r="D1241" i="4"/>
  <c r="F1241" i="4"/>
  <c r="D639" i="6"/>
  <c r="E302" i="10"/>
  <c r="D566" i="36"/>
  <c r="F566" i="36"/>
  <c r="C600" i="4"/>
  <c r="D588" i="4"/>
  <c r="F588" i="4"/>
  <c r="D127" i="9"/>
  <c r="F127" i="9"/>
  <c r="D339" i="36"/>
  <c r="F339" i="36"/>
  <c r="D529" i="36"/>
  <c r="F529" i="36"/>
  <c r="C535" i="36"/>
  <c r="E195" i="10"/>
  <c r="D467" i="36"/>
  <c r="F467" i="36"/>
  <c r="D746" i="6"/>
  <c r="D325" i="9"/>
  <c r="F325" i="9"/>
  <c r="D319" i="9"/>
  <c r="F319" i="9"/>
  <c r="N14" i="50"/>
  <c r="G1030" i="4"/>
  <c r="D228" i="36"/>
  <c r="F228" i="36"/>
  <c r="D305" i="10"/>
  <c r="D537" i="36"/>
  <c r="F537" i="36"/>
  <c r="D1793" i="4"/>
  <c r="F1793" i="4"/>
  <c r="N30" i="44"/>
  <c r="C1082" i="4"/>
  <c r="D1073" i="4"/>
  <c r="F1073" i="4"/>
  <c r="D144" i="9"/>
  <c r="F144" i="9"/>
  <c r="D1776" i="4"/>
  <c r="F1776" i="4"/>
  <c r="D1805" i="4"/>
  <c r="F1805" i="4"/>
  <c r="D1736" i="4"/>
  <c r="F1736" i="4"/>
  <c r="D1537" i="4"/>
  <c r="F1537" i="4"/>
  <c r="D476" i="36"/>
  <c r="F476" i="36"/>
  <c r="D298" i="36"/>
  <c r="F298" i="36"/>
  <c r="D300" i="36"/>
  <c r="F300" i="36"/>
  <c r="D271" i="9"/>
  <c r="F271" i="9"/>
  <c r="D254" i="9"/>
  <c r="F254" i="9"/>
  <c r="D1183" i="4"/>
  <c r="F1183" i="4"/>
  <c r="D1474" i="4"/>
  <c r="F1474" i="4"/>
  <c r="E329" i="10"/>
  <c r="D1783" i="4"/>
  <c r="F1783" i="4"/>
  <c r="D1311" i="4"/>
  <c r="F1311" i="4"/>
  <c r="D60" i="10"/>
  <c r="E60" i="10"/>
  <c r="D1309" i="4"/>
  <c r="F1309" i="4"/>
  <c r="D270" i="6"/>
  <c r="F270" i="6"/>
  <c r="D58" i="10"/>
  <c r="E58" i="10"/>
  <c r="D1032" i="4"/>
  <c r="F1032" i="4"/>
  <c r="D1214" i="4"/>
  <c r="F1214" i="4"/>
  <c r="D996" i="4"/>
  <c r="F996" i="4"/>
  <c r="C9" i="36"/>
  <c r="D7" i="36"/>
  <c r="D136" i="9"/>
  <c r="F136" i="9"/>
  <c r="D75" i="36"/>
  <c r="F75" i="36"/>
  <c r="D134" i="6"/>
  <c r="F134" i="6"/>
  <c r="C138" i="6"/>
  <c r="D885" i="4"/>
  <c r="F885" i="4"/>
  <c r="D190" i="10"/>
  <c r="D1564" i="4"/>
  <c r="F1564" i="4"/>
  <c r="D595" i="4"/>
  <c r="F595" i="4"/>
  <c r="D460" i="36"/>
  <c r="F460" i="36"/>
  <c r="D60" i="45"/>
  <c r="N60" i="45"/>
  <c r="D198" i="36"/>
  <c r="F198" i="36"/>
  <c r="D1262" i="4"/>
  <c r="F1262" i="4"/>
  <c r="C1272" i="4"/>
  <c r="D1726" i="4"/>
  <c r="F1726" i="4"/>
  <c r="D1773" i="4"/>
  <c r="F1773" i="4"/>
  <c r="D874" i="4"/>
  <c r="F874" i="4"/>
  <c r="D465" i="9"/>
  <c r="D154" i="6"/>
  <c r="D1377" i="4"/>
  <c r="F1377" i="4"/>
  <c r="G1804" i="4"/>
  <c r="D207" i="36"/>
  <c r="F207" i="36"/>
  <c r="D271" i="36"/>
  <c r="F271" i="36"/>
  <c r="D1619" i="4"/>
  <c r="F1619" i="4"/>
  <c r="D593" i="36"/>
  <c r="F593" i="36"/>
  <c r="C388" i="9"/>
  <c r="D386" i="9"/>
  <c r="F386" i="9"/>
  <c r="D1720" i="4"/>
  <c r="F1720" i="4"/>
  <c r="D483" i="9"/>
  <c r="F483" i="9"/>
  <c r="C485" i="9"/>
  <c r="D41" i="51"/>
  <c r="D1692" i="4"/>
  <c r="F1692" i="4"/>
  <c r="C423" i="9"/>
  <c r="D422" i="9"/>
  <c r="D423" i="9"/>
  <c r="D1254" i="4"/>
  <c r="F1254" i="4"/>
  <c r="D58" i="45"/>
  <c r="D574" i="36"/>
  <c r="F574" i="36"/>
  <c r="D596" i="36"/>
  <c r="F596" i="36"/>
  <c r="D1766" i="4"/>
  <c r="F1766" i="4"/>
  <c r="D1744" i="4"/>
  <c r="F1744" i="4"/>
  <c r="D244" i="10"/>
  <c r="C248" i="10"/>
  <c r="D1477" i="4"/>
  <c r="F1477" i="4"/>
  <c r="N19" i="51"/>
  <c r="D361" i="9"/>
  <c r="F361" i="9"/>
  <c r="C1138" i="4"/>
  <c r="D1128" i="4"/>
  <c r="F1128" i="4"/>
  <c r="D1522" i="4"/>
  <c r="F1522" i="4"/>
  <c r="E263" i="10"/>
  <c r="D350" i="9"/>
  <c r="F350" i="9"/>
  <c r="C352" i="9"/>
  <c r="D561" i="6"/>
  <c r="F561" i="6"/>
  <c r="D1168" i="4"/>
  <c r="F1168" i="4"/>
  <c r="D166" i="36"/>
  <c r="F166" i="36"/>
  <c r="D1360" i="4"/>
  <c r="F1360" i="4"/>
  <c r="D142" i="36"/>
  <c r="F142" i="36"/>
  <c r="D1341" i="4"/>
  <c r="F1341" i="4"/>
  <c r="D156" i="36"/>
  <c r="F156" i="36"/>
  <c r="C311" i="6"/>
  <c r="D309" i="6"/>
  <c r="F309" i="6"/>
  <c r="G844" i="4"/>
  <c r="D688" i="4"/>
  <c r="F688" i="4"/>
  <c r="D1086" i="4"/>
  <c r="F1086" i="4"/>
  <c r="C194" i="9"/>
  <c r="D189" i="9"/>
  <c r="F189" i="9"/>
  <c r="D236" i="36"/>
  <c r="F236" i="36"/>
  <c r="D126" i="10"/>
  <c r="D767" i="4"/>
  <c r="F767" i="4"/>
  <c r="C374" i="6"/>
  <c r="D370" i="6"/>
  <c r="F370" i="6"/>
  <c r="D1276" i="4"/>
  <c r="F1276" i="4"/>
  <c r="D289" i="9"/>
  <c r="F289" i="9"/>
  <c r="D1305" i="4"/>
  <c r="F1305" i="4"/>
  <c r="E558" i="36"/>
  <c r="D133" i="10"/>
  <c r="D1574" i="4"/>
  <c r="F1574" i="4"/>
  <c r="D152" i="36"/>
  <c r="F152" i="36"/>
  <c r="C213" i="6"/>
  <c r="D209" i="6"/>
  <c r="F209" i="6"/>
  <c r="C331" i="36"/>
  <c r="D327" i="36"/>
  <c r="F327" i="36"/>
  <c r="D148" i="9"/>
  <c r="F148" i="9"/>
  <c r="C215" i="36"/>
  <c r="D209" i="36"/>
  <c r="F209" i="36"/>
  <c r="D1166" i="4"/>
  <c r="F1166" i="4"/>
  <c r="D461" i="6"/>
  <c r="F461" i="6"/>
  <c r="C464" i="6"/>
  <c r="C467" i="6"/>
  <c r="D367" i="6"/>
  <c r="F367" i="6"/>
  <c r="D141" i="36"/>
  <c r="F141" i="36"/>
  <c r="D1682" i="4"/>
  <c r="F1682" i="4"/>
  <c r="D1712" i="4"/>
  <c r="F1712" i="4"/>
  <c r="D1041" i="4"/>
  <c r="F1041" i="4"/>
  <c r="D397" i="6"/>
  <c r="F397" i="6"/>
  <c r="D478" i="36"/>
  <c r="F478" i="36"/>
  <c r="D770" i="4"/>
  <c r="F770" i="4"/>
  <c r="D697" i="6"/>
  <c r="D160" i="9"/>
  <c r="F160" i="9"/>
  <c r="D1242" i="4"/>
  <c r="F1242" i="4"/>
  <c r="D184" i="36"/>
  <c r="F184" i="36"/>
  <c r="D1718" i="4"/>
  <c r="F1718" i="4"/>
  <c r="D721" i="6"/>
  <c r="I20" i="44"/>
  <c r="I42" i="44"/>
  <c r="N11" i="48"/>
  <c r="P32" i="48"/>
  <c r="D391" i="6"/>
  <c r="F391" i="6"/>
  <c r="D1739" i="4"/>
  <c r="F1739" i="4"/>
  <c r="N14" i="51"/>
  <c r="D518" i="36"/>
  <c r="F518" i="36"/>
  <c r="N12" i="24"/>
  <c r="D154" i="36"/>
  <c r="F154" i="36"/>
  <c r="C159" i="36"/>
  <c r="D594" i="4"/>
  <c r="F594" i="4"/>
  <c r="D393" i="36"/>
  <c r="F393" i="36"/>
  <c r="D65" i="10"/>
  <c r="E65" i="10"/>
  <c r="E66" i="10"/>
  <c r="D428" i="36"/>
  <c r="F428" i="36"/>
  <c r="C286" i="10"/>
  <c r="D285" i="10"/>
  <c r="D286" i="10"/>
  <c r="F286" i="10"/>
  <c r="I20" i="51"/>
  <c r="I42" i="51"/>
  <c r="D1362" i="4"/>
  <c r="F1362" i="4"/>
  <c r="D908" i="4"/>
  <c r="F908" i="4"/>
  <c r="D171" i="10"/>
  <c r="G924" i="4"/>
  <c r="D128" i="36"/>
  <c r="F128" i="36"/>
  <c r="D1705" i="4"/>
  <c r="F1705" i="4"/>
  <c r="D1702" i="4"/>
  <c r="F1702" i="4"/>
  <c r="D1790" i="4"/>
  <c r="F1790" i="4"/>
  <c r="D1233" i="4"/>
  <c r="F1233" i="4"/>
  <c r="D1701" i="4"/>
  <c r="F1701" i="4"/>
  <c r="D569" i="36"/>
  <c r="F569" i="36"/>
  <c r="D185" i="36"/>
  <c r="F185" i="36"/>
  <c r="D335" i="6"/>
  <c r="F335" i="6"/>
  <c r="D1691" i="4"/>
  <c r="F1691" i="4"/>
  <c r="D1655" i="4"/>
  <c r="F1655" i="4"/>
  <c r="D338" i="36"/>
  <c r="F338" i="36"/>
  <c r="D648" i="4"/>
  <c r="F648" i="4"/>
  <c r="N12" i="51"/>
  <c r="P33" i="51"/>
  <c r="D1690" i="4"/>
  <c r="F1690" i="4"/>
  <c r="D475" i="6"/>
  <c r="F475" i="6"/>
  <c r="E304" i="9"/>
  <c r="G302" i="9"/>
  <c r="C631" i="4"/>
  <c r="J120" i="43"/>
  <c r="D617" i="4"/>
  <c r="F617" i="4"/>
  <c r="D280" i="9"/>
  <c r="F280" i="9"/>
  <c r="D1600" i="4"/>
  <c r="F1600" i="4"/>
  <c r="N6" i="50"/>
  <c r="L20" i="51"/>
  <c r="D1226" i="4"/>
  <c r="F1226" i="4"/>
  <c r="G805" i="4"/>
  <c r="C195" i="10"/>
  <c r="D194" i="10"/>
  <c r="D195" i="10"/>
  <c r="C429" i="9"/>
  <c r="D427" i="9"/>
  <c r="F427" i="9"/>
  <c r="D951" i="4"/>
  <c r="F951" i="4"/>
  <c r="D851" i="4"/>
  <c r="F851" i="4"/>
  <c r="C276" i="6"/>
  <c r="D274" i="6"/>
  <c r="F274" i="6"/>
  <c r="F20" i="44"/>
  <c r="H20" i="43"/>
  <c r="D399" i="36"/>
  <c r="F399" i="36"/>
  <c r="D305" i="9"/>
  <c r="F305" i="9"/>
  <c r="C308" i="9"/>
  <c r="D52" i="45"/>
  <c r="N52" i="45"/>
  <c r="N14" i="48"/>
  <c r="P35" i="48"/>
  <c r="D1715" i="4"/>
  <c r="F1715" i="4"/>
  <c r="D433" i="36"/>
  <c r="F433" i="36"/>
  <c r="D512" i="36"/>
  <c r="F512" i="36"/>
  <c r="D822" i="4"/>
  <c r="F822" i="4"/>
  <c r="D437" i="6"/>
  <c r="F437" i="6"/>
  <c r="D944" i="4"/>
  <c r="F944" i="4"/>
  <c r="D684" i="6"/>
  <c r="C690" i="6"/>
  <c r="C687" i="6"/>
  <c r="D1784" i="4"/>
  <c r="F1784" i="4"/>
  <c r="D1335" i="4"/>
  <c r="F1335" i="4"/>
  <c r="D437" i="36"/>
  <c r="F437" i="36"/>
  <c r="D1012" i="4"/>
  <c r="F1012" i="4"/>
  <c r="D1755" i="4"/>
  <c r="F1755" i="4"/>
  <c r="D1077" i="4"/>
  <c r="F1077" i="4"/>
  <c r="D1401" i="4"/>
  <c r="F1401" i="4"/>
  <c r="D1646" i="4"/>
  <c r="F1646" i="4"/>
  <c r="D1759" i="4"/>
  <c r="F1759" i="4"/>
  <c r="D1368" i="4"/>
  <c r="F1368" i="4"/>
  <c r="D41" i="36"/>
  <c r="F41" i="36"/>
  <c r="C47" i="36"/>
  <c r="D696" i="4"/>
  <c r="F696" i="4"/>
  <c r="C706" i="4"/>
  <c r="C273" i="9"/>
  <c r="D267" i="9"/>
  <c r="F267" i="9"/>
  <c r="D1641" i="4"/>
  <c r="F1641" i="4"/>
  <c r="D85" i="36"/>
  <c r="F85" i="36"/>
  <c r="E322" i="10"/>
  <c r="C364" i="36"/>
  <c r="D356" i="36"/>
  <c r="F356" i="36"/>
  <c r="N16" i="44"/>
  <c r="D191" i="10"/>
  <c r="D593" i="4"/>
  <c r="F593" i="4"/>
  <c r="D594" i="36"/>
  <c r="F594" i="36"/>
  <c r="D1567" i="4"/>
  <c r="F1567" i="4"/>
  <c r="C355" i="36"/>
  <c r="D350" i="36"/>
  <c r="F350" i="36"/>
  <c r="D1808" i="4"/>
  <c r="F1808" i="4"/>
  <c r="D421" i="36"/>
  <c r="F421" i="36"/>
  <c r="D1413" i="4"/>
  <c r="F1413" i="4"/>
  <c r="D459" i="36"/>
  <c r="F459" i="36"/>
  <c r="D1325" i="4"/>
  <c r="F1325" i="4"/>
  <c r="D391" i="9"/>
  <c r="F391" i="9"/>
  <c r="C472" i="36"/>
  <c r="D465" i="36"/>
  <c r="F465" i="36"/>
  <c r="G1821" i="4"/>
  <c r="F1821" i="4"/>
  <c r="D294" i="9"/>
  <c r="F294" i="9"/>
  <c r="C116" i="36"/>
  <c r="D112" i="36"/>
  <c r="F112" i="36"/>
  <c r="D1048" i="4"/>
  <c r="F1048" i="4"/>
  <c r="C1057" i="4"/>
  <c r="D1803" i="4"/>
  <c r="F1803" i="4"/>
  <c r="D1359" i="4"/>
  <c r="F1359" i="4"/>
  <c r="D545" i="36"/>
  <c r="F545" i="36"/>
  <c r="C143" i="10"/>
  <c r="D141" i="10"/>
  <c r="G155" i="9"/>
  <c r="D704" i="4"/>
  <c r="F704" i="4"/>
  <c r="D636" i="6"/>
  <c r="D638" i="6"/>
  <c r="C638" i="6"/>
  <c r="C640" i="6"/>
  <c r="N27" i="44"/>
  <c r="D148" i="6"/>
  <c r="F148" i="6"/>
  <c r="D322" i="6"/>
  <c r="F322" i="6"/>
  <c r="D363" i="36"/>
  <c r="F363" i="36"/>
  <c r="D153" i="6"/>
  <c r="F153" i="6"/>
  <c r="C157" i="6"/>
  <c r="D483" i="36"/>
  <c r="F483" i="36"/>
  <c r="D622" i="4"/>
  <c r="F622" i="4"/>
  <c r="D329" i="6"/>
  <c r="F329" i="6"/>
  <c r="G144" i="9"/>
  <c r="D163" i="36"/>
  <c r="F163" i="36"/>
  <c r="D1764" i="4"/>
  <c r="F1764" i="4"/>
  <c r="D1033" i="4"/>
  <c r="F1033" i="4"/>
  <c r="C260" i="36"/>
  <c r="D254" i="36"/>
  <c r="F254" i="36"/>
  <c r="D548" i="6"/>
  <c r="F548" i="6"/>
  <c r="C513" i="6"/>
  <c r="C509" i="6"/>
  <c r="D506" i="6"/>
  <c r="F506" i="6"/>
  <c r="D1400" i="4"/>
  <c r="F1400" i="4"/>
  <c r="D501" i="6"/>
  <c r="F501" i="6"/>
  <c r="D96" i="10"/>
  <c r="E96" i="10"/>
  <c r="E100" i="10"/>
  <c r="C100" i="10"/>
  <c r="D1313" i="4"/>
  <c r="F1313" i="4"/>
  <c r="D1771" i="4"/>
  <c r="F1771" i="4"/>
  <c r="D522" i="36"/>
  <c r="F522" i="36"/>
  <c r="C528" i="36"/>
  <c r="D129" i="10"/>
  <c r="D416" i="9"/>
  <c r="D417" i="9"/>
  <c r="C417" i="9"/>
  <c r="D304" i="6"/>
  <c r="F304" i="6"/>
  <c r="D122" i="6"/>
  <c r="F122" i="6"/>
  <c r="D1119" i="4"/>
  <c r="F1119" i="4"/>
  <c r="D1584" i="4"/>
  <c r="F1584" i="4"/>
  <c r="D270" i="9"/>
  <c r="F270" i="9"/>
  <c r="D1517" i="4"/>
  <c r="F1517" i="4"/>
  <c r="D1415" i="4"/>
  <c r="F1415" i="4"/>
  <c r="G198" i="9"/>
  <c r="G140" i="9"/>
  <c r="D1075" i="4"/>
  <c r="F1075" i="4"/>
  <c r="L20" i="44"/>
  <c r="L42" i="44"/>
  <c r="D1141" i="4"/>
  <c r="F1141" i="4"/>
  <c r="D1098" i="4"/>
  <c r="F1098" i="4"/>
  <c r="N13" i="44"/>
  <c r="C392" i="9"/>
  <c r="D389" i="9"/>
  <c r="F389" i="9"/>
  <c r="D424" i="9"/>
  <c r="F424" i="9"/>
  <c r="C426" i="9"/>
  <c r="D1195" i="4"/>
  <c r="F1195" i="4"/>
  <c r="D224" i="6"/>
  <c r="F224" i="6"/>
  <c r="E206" i="10"/>
  <c r="F118" i="6"/>
  <c r="D1694" i="4"/>
  <c r="F1694" i="4"/>
  <c r="D1182" i="4"/>
  <c r="F1182" i="4"/>
  <c r="E120" i="6"/>
  <c r="S119" i="43"/>
  <c r="C670" i="6"/>
  <c r="D665" i="6"/>
  <c r="C667" i="6"/>
  <c r="D323" i="36"/>
  <c r="F323" i="36"/>
  <c r="D241" i="9"/>
  <c r="F241" i="9"/>
  <c r="D68" i="36"/>
  <c r="F68" i="36"/>
  <c r="D728" i="6"/>
  <c r="D1521" i="4"/>
  <c r="F1521" i="4"/>
  <c r="D1727" i="4"/>
  <c r="F1727" i="4"/>
  <c r="N37" i="51"/>
  <c r="D1054" i="4"/>
  <c r="F1054" i="4"/>
  <c r="D581" i="6"/>
  <c r="D583" i="6"/>
  <c r="F583" i="6"/>
  <c r="D20" i="50"/>
  <c r="D42" i="50"/>
  <c r="D549" i="36"/>
  <c r="F549" i="36"/>
  <c r="D711" i="6"/>
  <c r="C747" i="4"/>
  <c r="D733" i="4"/>
  <c r="F733" i="4"/>
  <c r="D112" i="6"/>
  <c r="F112" i="6"/>
  <c r="C94" i="10"/>
  <c r="D91" i="10"/>
  <c r="E91" i="10"/>
  <c r="E94" i="10"/>
  <c r="C328" i="9"/>
  <c r="D327" i="9"/>
  <c r="D328" i="9"/>
  <c r="F328" i="9"/>
  <c r="C188" i="9"/>
  <c r="D187" i="9"/>
  <c r="D188" i="9"/>
  <c r="F188" i="9"/>
  <c r="D472" i="9"/>
  <c r="F472" i="9"/>
  <c r="C474" i="9"/>
  <c r="E543" i="36"/>
  <c r="C415" i="9"/>
  <c r="D413" i="9"/>
  <c r="F413" i="9"/>
  <c r="D1743" i="4"/>
  <c r="F1743" i="4"/>
  <c r="D344" i="36"/>
  <c r="F344" i="36"/>
  <c r="D215" i="6"/>
  <c r="F215" i="6"/>
  <c r="C219" i="6"/>
  <c r="C341" i="6"/>
  <c r="D338" i="6"/>
  <c r="F338" i="6"/>
  <c r="J33" i="24"/>
  <c r="J34" i="24"/>
  <c r="D183" i="36"/>
  <c r="F183" i="36"/>
  <c r="D925" i="4"/>
  <c r="F925" i="4"/>
  <c r="D619" i="4"/>
  <c r="F619" i="4"/>
  <c r="D409" i="36"/>
  <c r="F409" i="36"/>
  <c r="D1512" i="4"/>
  <c r="F1512" i="4"/>
  <c r="D1525" i="4"/>
  <c r="F1525" i="4"/>
  <c r="D590" i="36"/>
  <c r="F590" i="36"/>
  <c r="D101" i="36"/>
  <c r="F101" i="36"/>
  <c r="D190" i="9"/>
  <c r="D992" i="4"/>
  <c r="F992" i="4"/>
  <c r="C20" i="51"/>
  <c r="D416" i="36"/>
  <c r="F416" i="36"/>
  <c r="D938" i="4"/>
  <c r="F938" i="4"/>
  <c r="D470" i="9"/>
  <c r="F470" i="9"/>
  <c r="D657" i="6"/>
  <c r="D658" i="6"/>
  <c r="C658" i="6"/>
  <c r="D511" i="36"/>
  <c r="F511" i="36"/>
  <c r="D1185" i="4"/>
  <c r="F1185" i="4"/>
  <c r="N5" i="51"/>
  <c r="P26" i="51"/>
  <c r="D300" i="10"/>
  <c r="C302" i="10"/>
  <c r="D1384" i="4"/>
  <c r="F1384" i="4"/>
  <c r="D613" i="6"/>
  <c r="H20" i="51"/>
  <c r="H42" i="51"/>
  <c r="D310" i="6"/>
  <c r="F310" i="6"/>
  <c r="D732" i="6"/>
  <c r="D95" i="36"/>
  <c r="F95" i="36"/>
  <c r="D419" i="36"/>
  <c r="F419" i="36"/>
  <c r="D1645" i="4"/>
  <c r="F1645" i="4"/>
  <c r="D1429" i="4"/>
  <c r="F1429" i="4"/>
  <c r="D297" i="9"/>
  <c r="F297" i="9"/>
  <c r="D227" i="9"/>
  <c r="F227" i="9"/>
  <c r="D131" i="6"/>
  <c r="F131" i="6"/>
  <c r="D284" i="36"/>
  <c r="F284" i="36"/>
  <c r="D1111" i="4"/>
  <c r="F1111" i="4"/>
  <c r="D604" i="6"/>
  <c r="C610" i="6"/>
  <c r="C608" i="6"/>
  <c r="D272" i="36"/>
  <c r="F272" i="36"/>
  <c r="D1462" i="4"/>
  <c r="F1462" i="4"/>
  <c r="D330" i="9"/>
  <c r="F330" i="9"/>
  <c r="E740" i="6"/>
  <c r="D1724" i="4"/>
  <c r="F1724" i="4"/>
  <c r="N13" i="48"/>
  <c r="D286" i="9"/>
  <c r="F286" i="9"/>
  <c r="D1576" i="4"/>
  <c r="F1576" i="4"/>
  <c r="G780" i="4"/>
  <c r="D1668" i="4"/>
  <c r="F1668" i="4"/>
  <c r="D524" i="36"/>
  <c r="F524" i="36"/>
  <c r="G661" i="4"/>
  <c r="D1648" i="4"/>
  <c r="F1648" i="4"/>
  <c r="D184" i="9"/>
  <c r="F184" i="9"/>
  <c r="D792" i="4"/>
  <c r="F792" i="4"/>
  <c r="D583" i="36"/>
  <c r="F583" i="36"/>
  <c r="D645" i="6"/>
  <c r="D655" i="4"/>
  <c r="F655" i="4"/>
  <c r="D1598" i="4"/>
  <c r="F1598" i="4"/>
  <c r="D204" i="6"/>
  <c r="F204" i="6"/>
  <c r="C486" i="36"/>
  <c r="D480" i="36"/>
  <c r="F480" i="36"/>
  <c r="D1709" i="4"/>
  <c r="F1709" i="4"/>
  <c r="G17" i="37"/>
  <c r="G36" i="37"/>
  <c r="C104" i="10"/>
  <c r="D101" i="10"/>
  <c r="D554" i="36"/>
  <c r="F554" i="36"/>
  <c r="D470" i="36"/>
  <c r="F470" i="36"/>
  <c r="D606" i="6"/>
  <c r="D847" i="4"/>
  <c r="F847" i="4"/>
  <c r="E17" i="37"/>
  <c r="D1423" i="4"/>
  <c r="F1423" i="4"/>
  <c r="D272" i="10"/>
  <c r="D53" i="45"/>
  <c r="N53" i="45"/>
  <c r="D465" i="6"/>
  <c r="F465" i="6"/>
  <c r="D771" i="4"/>
  <c r="F771" i="4"/>
  <c r="D1637" i="4"/>
  <c r="F1637" i="4"/>
  <c r="D1402" i="4"/>
  <c r="F1402" i="4"/>
  <c r="D1708" i="4"/>
  <c r="F1708" i="4"/>
  <c r="D510" i="36"/>
  <c r="F510" i="36"/>
  <c r="D1258" i="4"/>
  <c r="F1258" i="4"/>
  <c r="D875" i="4"/>
  <c r="F875" i="4"/>
  <c r="D534" i="36"/>
  <c r="F534" i="36"/>
  <c r="D540" i="36"/>
  <c r="F540" i="36"/>
  <c r="D1288" i="4"/>
  <c r="F1288" i="4"/>
  <c r="D276" i="9"/>
  <c r="F276" i="9"/>
  <c r="C281" i="9"/>
  <c r="D1504" i="4"/>
  <c r="F1504" i="4"/>
  <c r="N9" i="43"/>
  <c r="D924" i="4"/>
  <c r="F924" i="4"/>
  <c r="D288" i="36"/>
  <c r="F288" i="36"/>
  <c r="C294" i="36"/>
  <c r="N16" i="50"/>
  <c r="N15" i="51"/>
  <c r="D511" i="6"/>
  <c r="N11" i="44"/>
  <c r="D199" i="6"/>
  <c r="F199" i="6"/>
  <c r="C207" i="6"/>
  <c r="D430" i="36"/>
  <c r="F430" i="36"/>
  <c r="D517" i="6"/>
  <c r="D1746" i="4"/>
  <c r="F1746" i="4"/>
  <c r="C1757" i="4"/>
  <c r="F599" i="36"/>
  <c r="D736" i="6"/>
  <c r="C451" i="9"/>
  <c r="D448" i="9"/>
  <c r="F448" i="9"/>
  <c r="D1132" i="4"/>
  <c r="F1132" i="4"/>
  <c r="D160" i="6"/>
  <c r="F160" i="6"/>
  <c r="D592" i="36"/>
  <c r="F592" i="36"/>
  <c r="D438" i="9"/>
  <c r="F438" i="9"/>
  <c r="C440" i="9"/>
  <c r="D193" i="36"/>
  <c r="F193" i="36"/>
  <c r="D1707" i="4"/>
  <c r="F1707" i="4"/>
  <c r="D1144" i="4"/>
  <c r="F1144" i="4"/>
  <c r="G1742" i="4"/>
  <c r="D1123" i="4"/>
  <c r="F1123" i="4"/>
  <c r="D1366" i="4"/>
  <c r="F1366" i="4"/>
  <c r="D584" i="36"/>
  <c r="F584" i="36"/>
  <c r="D1135" i="4"/>
  <c r="F1135" i="4"/>
  <c r="D1218" i="4"/>
  <c r="F1218" i="4"/>
  <c r="D429" i="36"/>
  <c r="F429" i="36"/>
  <c r="H20" i="44"/>
  <c r="H42" i="44"/>
  <c r="D1095" i="4"/>
  <c r="F1095" i="4"/>
  <c r="D1526" i="4"/>
  <c r="F1526" i="4"/>
  <c r="C243" i="9"/>
  <c r="D237" i="9"/>
  <c r="F237" i="9"/>
  <c r="D1695" i="4"/>
  <c r="F1695" i="4"/>
  <c r="D1053" i="4"/>
  <c r="F1053" i="4"/>
  <c r="D383" i="6"/>
  <c r="F383" i="6"/>
  <c r="D117" i="6"/>
  <c r="F117" i="6"/>
  <c r="D1321" i="4"/>
  <c r="F1321" i="4"/>
  <c r="D703" i="4"/>
  <c r="F703" i="4"/>
  <c r="G20" i="43"/>
  <c r="D1677" i="4"/>
  <c r="F1677" i="4"/>
  <c r="G1550" i="4"/>
  <c r="G1792" i="4"/>
  <c r="D1543" i="4"/>
  <c r="F1543" i="4"/>
  <c r="D1583" i="4"/>
  <c r="F1583" i="4"/>
  <c r="C1594" i="4"/>
  <c r="D469" i="9"/>
  <c r="D1580" i="4"/>
  <c r="F1580" i="4"/>
  <c r="D59" i="45"/>
  <c r="N59" i="45"/>
  <c r="D330" i="36"/>
  <c r="F330" i="36"/>
  <c r="D1428" i="4"/>
  <c r="F1428" i="4"/>
  <c r="D128" i="9"/>
  <c r="F128" i="9"/>
  <c r="D1259" i="4"/>
  <c r="F1259" i="4"/>
  <c r="D1069" i="4"/>
  <c r="F1069" i="4"/>
  <c r="D1062" i="4"/>
  <c r="F1062" i="4"/>
  <c r="D1615" i="4"/>
  <c r="F1615" i="4"/>
  <c r="D687" i="4"/>
  <c r="F687" i="4"/>
  <c r="D293" i="36"/>
  <c r="F293" i="36"/>
  <c r="L55" i="45"/>
  <c r="D413" i="36"/>
  <c r="F413" i="36"/>
  <c r="D831" i="4"/>
  <c r="F831" i="4"/>
  <c r="D1354" i="4"/>
  <c r="F1354" i="4"/>
  <c r="C1363" i="4"/>
  <c r="D49" i="36"/>
  <c r="F49" i="36"/>
  <c r="G1703" i="4"/>
  <c r="D825" i="4"/>
  <c r="F825" i="4"/>
  <c r="D332" i="36"/>
  <c r="F332" i="36"/>
  <c r="C336" i="36"/>
  <c r="D128" i="10"/>
  <c r="C130" i="10"/>
  <c r="D1336" i="4"/>
  <c r="F1336" i="4"/>
  <c r="G1090" i="4"/>
  <c r="D742" i="6"/>
  <c r="D139" i="36"/>
  <c r="F139" i="36"/>
  <c r="D727" i="6"/>
  <c r="D119" i="36"/>
  <c r="F119" i="36"/>
  <c r="D411" i="6"/>
  <c r="F411" i="6"/>
  <c r="D446" i="9"/>
  <c r="F446" i="9"/>
  <c r="D481" i="36"/>
  <c r="F481" i="36"/>
  <c r="D820" i="4"/>
  <c r="F820" i="4"/>
  <c r="C931" i="4"/>
  <c r="D920" i="4"/>
  <c r="F920" i="4"/>
  <c r="E224" i="10"/>
  <c r="D1307" i="4"/>
  <c r="F1307" i="4"/>
  <c r="C1318" i="4"/>
  <c r="D379" i="6"/>
  <c r="F379" i="6"/>
  <c r="D936" i="4"/>
  <c r="F936" i="4"/>
  <c r="D1038" i="4"/>
  <c r="F1038" i="4"/>
  <c r="D416" i="6"/>
  <c r="F416" i="6"/>
  <c r="C419" i="6"/>
  <c r="D601" i="4"/>
  <c r="F601" i="4"/>
  <c r="C616" i="4"/>
  <c r="J119" i="43"/>
  <c r="D769" i="4"/>
  <c r="F769" i="4"/>
  <c r="D1249" i="4"/>
  <c r="F1249" i="4"/>
  <c r="G154" i="9"/>
  <c r="E156" i="9"/>
  <c r="D737" i="4"/>
  <c r="F737" i="4"/>
  <c r="D1110" i="4"/>
  <c r="F1110" i="4"/>
  <c r="D637" i="4"/>
  <c r="F637" i="4"/>
  <c r="F601" i="36"/>
  <c r="D241" i="10"/>
  <c r="D242" i="10"/>
  <c r="C242" i="10"/>
  <c r="D192" i="9"/>
  <c r="F192" i="9"/>
  <c r="D1020" i="4"/>
  <c r="F1020" i="4"/>
  <c r="G218" i="9"/>
  <c r="D390" i="36"/>
  <c r="F390" i="36"/>
  <c r="M20" i="50"/>
  <c r="M42" i="50"/>
  <c r="E315" i="10"/>
  <c r="D137" i="10"/>
  <c r="K17" i="24"/>
  <c r="K35" i="24"/>
  <c r="C225" i="6"/>
  <c r="D221" i="6"/>
  <c r="F221" i="6"/>
  <c r="D204" i="9"/>
  <c r="F204" i="9"/>
  <c r="D710" i="6"/>
  <c r="C257" i="10"/>
  <c r="D256" i="10"/>
  <c r="D257" i="10"/>
  <c r="D1385" i="4"/>
  <c r="F1385" i="4"/>
  <c r="D1451" i="4"/>
  <c r="F1451" i="4"/>
  <c r="D94" i="36"/>
  <c r="F94" i="36"/>
  <c r="N27" i="48"/>
  <c r="C695" i="4"/>
  <c r="D680" i="4"/>
  <c r="F680" i="4"/>
  <c r="E767" i="6"/>
  <c r="F767" i="6"/>
  <c r="C597" i="36"/>
  <c r="D589" i="36"/>
  <c r="F589" i="36"/>
  <c r="D316" i="36"/>
  <c r="F316" i="36"/>
  <c r="D1099" i="4"/>
  <c r="F1099" i="4"/>
  <c r="D1140" i="4"/>
  <c r="F1140" i="4"/>
  <c r="D1126" i="4"/>
  <c r="F1126" i="4"/>
  <c r="D362" i="36"/>
  <c r="F362" i="36"/>
  <c r="D1268" i="4"/>
  <c r="F1268" i="4"/>
  <c r="D473" i="9"/>
  <c r="F473" i="9"/>
  <c r="G714" i="4"/>
  <c r="G1815" i="4"/>
  <c r="F1815" i="4"/>
  <c r="D80" i="10"/>
  <c r="E80" i="10"/>
  <c r="D700" i="4"/>
  <c r="F700" i="4"/>
  <c r="D738" i="4"/>
  <c r="F738" i="4"/>
  <c r="D1495" i="4"/>
  <c r="F1495" i="4"/>
  <c r="D1786" i="4"/>
  <c r="F1786" i="4"/>
  <c r="D1159" i="4"/>
  <c r="F1159" i="4"/>
  <c r="C1387" i="4"/>
  <c r="D1376" i="4"/>
  <c r="F1376" i="4"/>
  <c r="G1814" i="4"/>
  <c r="F1814" i="4"/>
  <c r="D497" i="36"/>
  <c r="F497" i="36"/>
  <c r="D466" i="36"/>
  <c r="F466" i="36"/>
  <c r="C740" i="6"/>
  <c r="C743" i="6"/>
  <c r="D735" i="6"/>
  <c r="D718" i="4"/>
  <c r="F718" i="4"/>
  <c r="D1432" i="4"/>
  <c r="F1432" i="4"/>
  <c r="D1723" i="4"/>
  <c r="F1723" i="4"/>
  <c r="D762" i="4"/>
  <c r="F762" i="4"/>
  <c r="D500" i="6"/>
  <c r="F500" i="6"/>
  <c r="D285" i="9"/>
  <c r="F285" i="9"/>
  <c r="D694" i="6"/>
  <c r="D599" i="4"/>
  <c r="F599" i="4"/>
  <c r="D230" i="6"/>
  <c r="F230" i="6"/>
  <c r="D1797" i="4"/>
  <c r="F1797" i="4"/>
  <c r="D311" i="10"/>
  <c r="D312" i="10"/>
  <c r="C312" i="10"/>
  <c r="D1801" i="4"/>
  <c r="F1801" i="4"/>
  <c r="D1689" i="4"/>
  <c r="F1689" i="4"/>
  <c r="C1698" i="4"/>
  <c r="D119" i="6"/>
  <c r="F119" i="6"/>
  <c r="P26" i="48"/>
  <c r="G474" i="9"/>
  <c r="J254" i="37"/>
  <c r="G463" i="9"/>
  <c r="E51" i="45"/>
  <c r="T7" i="45"/>
  <c r="J265" i="24"/>
  <c r="G440" i="9"/>
  <c r="G1463" i="4"/>
  <c r="S120" i="43"/>
  <c r="F10" i="36"/>
  <c r="G349" i="9"/>
  <c r="R253" i="37"/>
  <c r="H35" i="24"/>
  <c r="E73" i="10"/>
  <c r="E74" i="10"/>
  <c r="F74" i="10"/>
  <c r="G358" i="9"/>
  <c r="B42" i="50"/>
  <c r="F383" i="9"/>
  <c r="F433" i="9"/>
  <c r="F59" i="36"/>
  <c r="E61" i="36"/>
  <c r="U1410" i="29"/>
  <c r="K1410" i="29"/>
  <c r="E219" i="6"/>
  <c r="B41" i="43"/>
  <c r="N35" i="43"/>
  <c r="E35" i="37"/>
  <c r="E169" i="6"/>
  <c r="E163" i="6"/>
  <c r="N26" i="37"/>
  <c r="D35" i="37"/>
  <c r="D36" i="37"/>
  <c r="U1787" i="29"/>
  <c r="K1787" i="29"/>
  <c r="K1788" i="29"/>
  <c r="U1788" i="29"/>
  <c r="K843" i="29"/>
  <c r="U843" i="29"/>
  <c r="K769" i="29"/>
  <c r="U769" i="29"/>
  <c r="G190" i="9"/>
  <c r="E194" i="9"/>
  <c r="N29" i="37"/>
  <c r="F35" i="37"/>
  <c r="E225" i="9"/>
  <c r="G219" i="9"/>
  <c r="K35" i="37"/>
  <c r="K921" i="29"/>
  <c r="U921" i="29"/>
  <c r="K1356" i="29"/>
  <c r="U1356" i="29"/>
  <c r="G140" i="10"/>
  <c r="G143" i="10"/>
  <c r="G147" i="10"/>
  <c r="J2206" i="29"/>
  <c r="J2402" i="29"/>
  <c r="K2402" i="29"/>
  <c r="W2118" i="29"/>
  <c r="U2118" i="29"/>
  <c r="W3942" i="29"/>
  <c r="U3942" i="29"/>
  <c r="E1246" i="4"/>
  <c r="C58" i="45"/>
  <c r="O58" i="45"/>
  <c r="G1237" i="4"/>
  <c r="H41" i="48"/>
  <c r="K4227" i="29"/>
  <c r="E1187" i="4"/>
  <c r="G1176" i="4"/>
  <c r="C41" i="48"/>
  <c r="U3759" i="29"/>
  <c r="W4356" i="29"/>
  <c r="J4356" i="29"/>
  <c r="B41" i="48"/>
  <c r="G1164" i="4"/>
  <c r="E1173" i="4"/>
  <c r="G41" i="43"/>
  <c r="G937" i="4"/>
  <c r="E941" i="4"/>
  <c r="K143" i="43"/>
  <c r="U4628" i="29"/>
  <c r="K2118" i="29"/>
  <c r="K3694" i="29"/>
  <c r="U3694" i="29"/>
  <c r="E1306" i="4"/>
  <c r="G1297" i="4"/>
  <c r="K4628" i="29"/>
  <c r="U4656" i="29"/>
  <c r="K4656" i="29"/>
  <c r="E41" i="48"/>
  <c r="G1201" i="4"/>
  <c r="E1211" i="4"/>
  <c r="K3942" i="29"/>
  <c r="K145" i="43"/>
  <c r="P25" i="50"/>
  <c r="P39" i="48"/>
  <c r="K119" i="43"/>
  <c r="M15" i="37"/>
  <c r="E973" i="4"/>
  <c r="E946" i="4"/>
  <c r="J25" i="48"/>
  <c r="H33" i="43"/>
  <c r="E39" i="36"/>
  <c r="E1264" i="4"/>
  <c r="J33" i="43"/>
  <c r="M8" i="37"/>
  <c r="M11" i="37"/>
  <c r="M16" i="37"/>
  <c r="C42" i="51"/>
  <c r="G42" i="48"/>
  <c r="P35" i="51"/>
  <c r="P40" i="51"/>
  <c r="G326" i="9"/>
  <c r="L36" i="37"/>
  <c r="G355" i="9"/>
  <c r="P34" i="51"/>
  <c r="P23" i="37"/>
  <c r="B42" i="44"/>
  <c r="G1007" i="4"/>
  <c r="F417" i="9"/>
  <c r="F423" i="9"/>
  <c r="P40" i="50"/>
  <c r="G320" i="9"/>
  <c r="G313" i="9"/>
  <c r="G247" i="9"/>
  <c r="P25" i="51"/>
  <c r="G919" i="4"/>
  <c r="G229" i="9"/>
  <c r="G890" i="4"/>
  <c r="P30" i="37"/>
  <c r="G388" i="9"/>
  <c r="F113" i="10"/>
  <c r="F276" i="10"/>
  <c r="P39" i="51"/>
  <c r="F298" i="10"/>
  <c r="P29" i="48"/>
  <c r="K254" i="37"/>
  <c r="K121" i="43"/>
  <c r="F638" i="6"/>
  <c r="L35" i="24"/>
  <c r="K253" i="37"/>
  <c r="P34" i="48"/>
  <c r="D443" i="9"/>
  <c r="F443" i="9"/>
  <c r="I42" i="43"/>
  <c r="G362" i="9"/>
  <c r="F187" i="10"/>
  <c r="G368" i="9"/>
  <c r="P22" i="24"/>
  <c r="K120" i="43"/>
  <c r="G426" i="9"/>
  <c r="F469" i="6"/>
  <c r="G341" i="9"/>
  <c r="D199" i="10"/>
  <c r="F199" i="10"/>
  <c r="F42" i="50"/>
  <c r="F452" i="9"/>
  <c r="P23" i="24"/>
  <c r="F292" i="10"/>
  <c r="F380" i="9"/>
  <c r="C42" i="43"/>
  <c r="G1398" i="4"/>
  <c r="F140" i="10"/>
  <c r="G429" i="9"/>
  <c r="F454" i="9"/>
  <c r="G415" i="9"/>
  <c r="P39" i="50"/>
  <c r="O262" i="24"/>
  <c r="O251" i="37"/>
  <c r="R118" i="43"/>
  <c r="O118" i="43"/>
  <c r="D358" i="9"/>
  <c r="F358" i="9"/>
  <c r="C42" i="44"/>
  <c r="P38" i="50"/>
  <c r="G412" i="9"/>
  <c r="G338" i="9"/>
  <c r="G432" i="9"/>
  <c r="D155" i="10"/>
  <c r="F155" i="10"/>
  <c r="F106" i="10"/>
  <c r="P27" i="51"/>
  <c r="P29" i="50"/>
  <c r="D302" i="10"/>
  <c r="F302" i="10"/>
  <c r="P30" i="24"/>
  <c r="D143" i="10"/>
  <c r="F143" i="10"/>
  <c r="O55" i="45"/>
  <c r="G385" i="9"/>
  <c r="F279" i="10"/>
  <c r="F42" i="48"/>
  <c r="D457" i="9"/>
  <c r="F457" i="9"/>
  <c r="D408" i="9"/>
  <c r="F408" i="9"/>
  <c r="G141" i="9"/>
  <c r="F121" i="10"/>
  <c r="G1330" i="4"/>
  <c r="F42" i="51"/>
  <c r="D375" i="9"/>
  <c r="F375" i="9"/>
  <c r="B42" i="43"/>
  <c r="F275" i="9"/>
  <c r="F314" i="9"/>
  <c r="D42" i="48"/>
  <c r="D42" i="44"/>
  <c r="F569" i="6"/>
  <c r="P30" i="48"/>
  <c r="G443" i="9"/>
  <c r="P31" i="48"/>
  <c r="G1187" i="4"/>
  <c r="P34" i="50"/>
  <c r="D368" i="9"/>
  <c r="F368" i="9"/>
  <c r="F176" i="10"/>
  <c r="F274" i="9"/>
  <c r="F227" i="10"/>
  <c r="G467" i="9"/>
  <c r="G1419" i="4"/>
  <c r="P36" i="48"/>
  <c r="D156" i="9"/>
  <c r="F156" i="9"/>
  <c r="J35" i="24"/>
  <c r="D104" i="10"/>
  <c r="F104" i="10"/>
  <c r="G209" i="9"/>
  <c r="G281" i="9"/>
  <c r="D299" i="6"/>
  <c r="F299" i="6"/>
  <c r="W252" i="37"/>
  <c r="G323" i="9"/>
  <c r="D184" i="10"/>
  <c r="F184" i="10"/>
  <c r="G1571" i="4"/>
  <c r="E81" i="10"/>
  <c r="G460" i="9"/>
  <c r="B42" i="51"/>
  <c r="D304" i="9"/>
  <c r="F304" i="9"/>
  <c r="F372" i="9"/>
  <c r="G1198" i="4"/>
  <c r="D251" i="9"/>
  <c r="F251" i="9"/>
  <c r="F470" i="6"/>
  <c r="G180" i="9"/>
  <c r="D173" i="10"/>
  <c r="F173" i="10"/>
  <c r="G905" i="4"/>
  <c r="G1161" i="4"/>
  <c r="J42" i="44"/>
  <c r="D9" i="36"/>
  <c r="G1774" i="4"/>
  <c r="G668" i="4"/>
  <c r="G657" i="4"/>
  <c r="G42" i="51"/>
  <c r="G695" i="4"/>
  <c r="E42" i="43"/>
  <c r="D472" i="6"/>
  <c r="E42" i="44"/>
  <c r="F295" i="10"/>
  <c r="P28" i="24"/>
  <c r="F480" i="9"/>
  <c r="M42" i="44"/>
  <c r="D209" i="9"/>
  <c r="F209" i="9"/>
  <c r="D213" i="10"/>
  <c r="F213" i="10"/>
  <c r="P27" i="24"/>
  <c r="G308" i="9"/>
  <c r="G643" i="4"/>
  <c r="T8" i="45"/>
  <c r="F476" i="9"/>
  <c r="I35" i="24"/>
  <c r="O254" i="37"/>
  <c r="F363" i="9"/>
  <c r="O120" i="43"/>
  <c r="G251" i="9"/>
  <c r="F4" i="36"/>
  <c r="W8" i="45"/>
  <c r="P27" i="50"/>
  <c r="N54" i="45"/>
  <c r="D118" i="10"/>
  <c r="F118" i="10"/>
  <c r="P38" i="48"/>
  <c r="P30" i="50"/>
  <c r="D360" i="6"/>
  <c r="F360" i="6"/>
  <c r="D174" i="6"/>
  <c r="F174" i="6"/>
  <c r="D338" i="9"/>
  <c r="J51" i="45"/>
  <c r="U7" i="45"/>
  <c r="F312" i="10"/>
  <c r="D129" i="6"/>
  <c r="F129" i="6"/>
  <c r="O265" i="24"/>
  <c r="W119" i="43"/>
  <c r="F209" i="10"/>
  <c r="P25" i="24"/>
  <c r="D680" i="6"/>
  <c r="F680" i="6"/>
  <c r="P32" i="24"/>
  <c r="G631" i="4"/>
  <c r="G256" i="9"/>
  <c r="D482" i="6"/>
  <c r="F482" i="6"/>
  <c r="O263" i="24"/>
  <c r="D432" i="9"/>
  <c r="F432" i="9"/>
  <c r="D206" i="10"/>
  <c r="F206" i="10"/>
  <c r="F260" i="10"/>
  <c r="D591" i="6"/>
  <c r="F591" i="6"/>
  <c r="G346" i="9"/>
  <c r="F202" i="10"/>
  <c r="F381" i="9"/>
  <c r="F289" i="10"/>
  <c r="F422" i="9"/>
  <c r="G833" i="4"/>
  <c r="D174" i="9"/>
  <c r="F174" i="9"/>
  <c r="G1223" i="4"/>
  <c r="D82" i="36"/>
  <c r="F318" i="10"/>
  <c r="R251" i="37"/>
  <c r="D138" i="10"/>
  <c r="F138" i="10"/>
  <c r="O119" i="43"/>
  <c r="D28" i="36"/>
  <c r="G1675" i="4"/>
  <c r="D552" i="6"/>
  <c r="K42" i="44"/>
  <c r="D224" i="10"/>
  <c r="F224" i="10"/>
  <c r="D346" i="9"/>
  <c r="F346" i="9"/>
  <c r="D480" i="6"/>
  <c r="F480" i="6"/>
  <c r="O253" i="37"/>
  <c r="F242" i="10"/>
  <c r="D313" i="9"/>
  <c r="F313" i="9"/>
  <c r="N251" i="37"/>
  <c r="N118" i="43"/>
  <c r="O252" i="37"/>
  <c r="F315" i="10"/>
  <c r="D127" i="10"/>
  <c r="F127" i="10"/>
  <c r="D153" i="9"/>
  <c r="F153" i="9"/>
  <c r="D979" i="4"/>
  <c r="G993" i="4"/>
  <c r="G1034" i="4"/>
  <c r="G1363" i="4"/>
  <c r="G1116" i="4"/>
  <c r="L42" i="51"/>
  <c r="G168" i="9"/>
  <c r="D667" i="6"/>
  <c r="F667" i="6"/>
  <c r="G1318" i="4"/>
  <c r="F364" i="9"/>
  <c r="E42" i="48"/>
  <c r="D379" i="9"/>
  <c r="F379" i="9"/>
  <c r="N263" i="24"/>
  <c r="D352" i="9"/>
  <c r="F352" i="9"/>
  <c r="D146" i="6"/>
  <c r="F146" i="6"/>
  <c r="N119" i="43"/>
  <c r="G138" i="9"/>
  <c r="D341" i="9"/>
  <c r="F341" i="9"/>
  <c r="F434" i="9"/>
  <c r="G1454" i="4"/>
  <c r="G1408" i="4"/>
  <c r="G1138" i="4"/>
  <c r="G1475" i="4"/>
  <c r="D687" i="6"/>
  <c r="F687" i="6"/>
  <c r="D664" i="6"/>
  <c r="B42" i="48"/>
  <c r="D237" i="36"/>
  <c r="G1688" i="4"/>
  <c r="G392" i="9"/>
  <c r="G1757" i="4"/>
  <c r="G1518" i="4"/>
  <c r="G1283" i="4"/>
  <c r="G1616" i="4"/>
  <c r="P31" i="24"/>
  <c r="G451" i="9"/>
  <c r="G273" i="9"/>
  <c r="G1710" i="4"/>
  <c r="G732" i="4"/>
  <c r="G968" i="4"/>
  <c r="G243" i="9"/>
  <c r="F239" i="10"/>
  <c r="D85" i="10"/>
  <c r="F85" i="10"/>
  <c r="G35" i="24"/>
  <c r="D168" i="10"/>
  <c r="F168" i="10"/>
  <c r="D268" i="10"/>
  <c r="F268" i="10"/>
  <c r="D423" i="6"/>
  <c r="F423" i="6"/>
  <c r="G1559" i="4"/>
  <c r="P35" i="50"/>
  <c r="D301" i="9"/>
  <c r="F301" i="9"/>
  <c r="D421" i="9"/>
  <c r="F421" i="9"/>
  <c r="F481" i="9"/>
  <c r="D576" i="6"/>
  <c r="F576" i="6"/>
  <c r="G1485" i="4"/>
  <c r="F149" i="10"/>
  <c r="G1047" i="4"/>
  <c r="D459" i="6"/>
  <c r="F459" i="6"/>
  <c r="D493" i="6"/>
  <c r="F493" i="6"/>
  <c r="F257" i="10"/>
  <c r="D1283" i="4"/>
  <c r="F1283" i="4"/>
  <c r="N264" i="24"/>
  <c r="G200" i="9"/>
  <c r="G1072" i="4"/>
  <c r="F42" i="44"/>
  <c r="N120" i="43"/>
  <c r="G375" i="9"/>
  <c r="D65" i="36"/>
  <c r="G488" i="9"/>
  <c r="D294" i="36"/>
  <c r="F416" i="9"/>
  <c r="F263" i="10"/>
  <c r="D186" i="6"/>
  <c r="F186" i="6"/>
  <c r="G1105" i="4"/>
  <c r="P31" i="51"/>
  <c r="D323" i="9"/>
  <c r="F323" i="9"/>
  <c r="F327" i="9"/>
  <c r="D370" i="9"/>
  <c r="F370" i="9"/>
  <c r="D707" i="6"/>
  <c r="D968" i="4"/>
  <c r="F968" i="4"/>
  <c r="P36" i="51"/>
  <c r="G174" i="9"/>
  <c r="D623" i="6"/>
  <c r="F623" i="6"/>
  <c r="G720" i="4"/>
  <c r="F251" i="10"/>
  <c r="P26" i="50"/>
  <c r="G334" i="9"/>
  <c r="G1664" i="4"/>
  <c r="G1057" i="4"/>
  <c r="G217" i="9"/>
  <c r="G860" i="4"/>
  <c r="G1127" i="4"/>
  <c r="G1496" i="4"/>
  <c r="G1627" i="4"/>
  <c r="G616" i="4"/>
  <c r="G706" i="4"/>
  <c r="G1023" i="4"/>
  <c r="G931" i="4"/>
  <c r="G760" i="4"/>
  <c r="G405" i="9"/>
  <c r="G1294" i="4"/>
  <c r="G1444" i="4"/>
  <c r="D134" i="10"/>
  <c r="F134" i="10"/>
  <c r="G236" i="9"/>
  <c r="H42" i="50"/>
  <c r="D460" i="9"/>
  <c r="F460" i="9"/>
  <c r="G194" i="9"/>
  <c r="D571" i="6"/>
  <c r="E42" i="51"/>
  <c r="D125" i="6"/>
  <c r="F125" i="6"/>
  <c r="P31" i="50"/>
  <c r="D564" i="36"/>
  <c r="F564" i="36"/>
  <c r="D578" i="6"/>
  <c r="R263" i="24"/>
  <c r="F36" i="37"/>
  <c r="D385" i="9"/>
  <c r="F385" i="9"/>
  <c r="D1187" i="4"/>
  <c r="F1187" i="4"/>
  <c r="D643" i="4"/>
  <c r="F643" i="4"/>
  <c r="D406" i="6"/>
  <c r="F406" i="6"/>
  <c r="D180" i="36"/>
  <c r="P27" i="48"/>
  <c r="D610" i="6"/>
  <c r="D42" i="51"/>
  <c r="G153" i="9"/>
  <c r="D236" i="9"/>
  <c r="F236" i="9"/>
  <c r="D550" i="6"/>
  <c r="F550" i="6"/>
  <c r="D1272" i="4"/>
  <c r="D1398" i="4"/>
  <c r="F1398" i="4"/>
  <c r="J264" i="24"/>
  <c r="F7" i="36"/>
  <c r="D1198" i="4"/>
  <c r="F1198" i="4"/>
  <c r="D450" i="36"/>
  <c r="F450" i="36"/>
  <c r="D208" i="36"/>
  <c r="D97" i="36"/>
  <c r="D272" i="6"/>
  <c r="F272" i="6"/>
  <c r="R119" i="43"/>
  <c r="F459" i="9"/>
  <c r="G146" i="9"/>
  <c r="F254" i="10"/>
  <c r="N20" i="50"/>
  <c r="O8" i="50"/>
  <c r="D905" i="4"/>
  <c r="F905" i="4"/>
  <c r="R264" i="24"/>
  <c r="D690" i="6"/>
  <c r="G1211" i="4"/>
  <c r="D516" i="6"/>
  <c r="F516" i="6"/>
  <c r="D400" i="9"/>
  <c r="F400" i="9"/>
  <c r="D141" i="9"/>
  <c r="F141" i="9"/>
  <c r="D200" i="9"/>
  <c r="F200" i="9"/>
  <c r="D321" i="36"/>
  <c r="D437" i="9"/>
  <c r="F437" i="9"/>
  <c r="D190" i="6"/>
  <c r="F190" i="6"/>
  <c r="D142" i="6"/>
  <c r="F142" i="6"/>
  <c r="D346" i="6"/>
  <c r="F346" i="6"/>
  <c r="D593" i="6"/>
  <c r="D20" i="36"/>
  <c r="S253" i="37"/>
  <c r="G1246" i="4"/>
  <c r="D223" i="36"/>
  <c r="D386" i="36"/>
  <c r="D253" i="36"/>
  <c r="D111" i="36"/>
  <c r="D615" i="6"/>
  <c r="F615" i="6"/>
  <c r="G206" i="9"/>
  <c r="D446" i="6"/>
  <c r="F446" i="6"/>
  <c r="G1798" i="4"/>
  <c r="F568" i="6"/>
  <c r="D1375" i="4"/>
  <c r="F1375" i="4"/>
  <c r="D585" i="6"/>
  <c r="D563" i="6"/>
  <c r="F563" i="6"/>
  <c r="D558" i="6"/>
  <c r="D761" i="6"/>
  <c r="D625" i="6"/>
  <c r="G1652" i="4"/>
  <c r="D683" i="6"/>
  <c r="D306" i="10"/>
  <c r="F306" i="10"/>
  <c r="D1294" i="4"/>
  <c r="F1294" i="4"/>
  <c r="G457" i="9"/>
  <c r="D1745" i="4"/>
  <c r="F1745" i="4"/>
  <c r="P28" i="50"/>
  <c r="D129" i="36"/>
  <c r="D543" i="36"/>
  <c r="F543" i="36"/>
  <c r="D845" i="4"/>
  <c r="F845" i="4"/>
  <c r="D399" i="6"/>
  <c r="F399" i="6"/>
  <c r="D556" i="6"/>
  <c r="F556" i="6"/>
  <c r="D412" i="9"/>
  <c r="F412" i="9"/>
  <c r="D130" i="10"/>
  <c r="F130" i="10"/>
  <c r="E63" i="10"/>
  <c r="W254" i="37"/>
  <c r="D749" i="6"/>
  <c r="F749" i="6"/>
  <c r="G790" i="4"/>
  <c r="G1234" i="4"/>
  <c r="E78" i="10"/>
  <c r="G290" i="9"/>
  <c r="P26" i="24"/>
  <c r="D509" i="6"/>
  <c r="F509" i="6"/>
  <c r="D287" i="36"/>
  <c r="D281" i="36"/>
  <c r="D326" i="6"/>
  <c r="F326" i="6"/>
  <c r="D816" i="4"/>
  <c r="F816" i="4"/>
  <c r="D1091" i="4"/>
  <c r="F1091" i="4"/>
  <c r="D72" i="10"/>
  <c r="F72" i="10"/>
  <c r="D441" i="36"/>
  <c r="F441" i="36"/>
  <c r="D790" i="4"/>
  <c r="F790" i="4"/>
  <c r="D725" i="6"/>
  <c r="D81" i="10"/>
  <c r="D341" i="6"/>
  <c r="F341" i="6"/>
  <c r="D453" i="6"/>
  <c r="F453" i="6"/>
  <c r="D1363" i="4"/>
  <c r="F1363" i="4"/>
  <c r="D424" i="36"/>
  <c r="F424" i="36"/>
  <c r="N20" i="43"/>
  <c r="O11" i="43"/>
  <c r="D633" i="6"/>
  <c r="P28" i="37"/>
  <c r="D225" i="9"/>
  <c r="F225" i="9"/>
  <c r="D138" i="6"/>
  <c r="F138" i="6"/>
  <c r="D169" i="6"/>
  <c r="F169" i="6"/>
  <c r="D731" i="6"/>
  <c r="F731" i="6"/>
  <c r="D1463" i="4"/>
  <c r="F1463" i="4"/>
  <c r="D451" i="9"/>
  <c r="F451" i="9"/>
  <c r="D393" i="6"/>
  <c r="F393" i="6"/>
  <c r="D704" i="6"/>
  <c r="F704" i="6"/>
  <c r="C42" i="48"/>
  <c r="F441" i="9"/>
  <c r="D334" i="9"/>
  <c r="F334" i="9"/>
  <c r="D1605" i="4"/>
  <c r="F1605" i="4"/>
  <c r="D153" i="36"/>
  <c r="D336" i="6"/>
  <c r="F336" i="6"/>
  <c r="E36" i="37"/>
  <c r="D326" i="9"/>
  <c r="F326" i="9"/>
  <c r="D760" i="4"/>
  <c r="F760" i="4"/>
  <c r="D146" i="9"/>
  <c r="F146" i="9"/>
  <c r="D331" i="36"/>
  <c r="D740" i="6"/>
  <c r="F740" i="6"/>
  <c r="G1822" i="4"/>
  <c r="G298" i="9"/>
  <c r="F151" i="10"/>
  <c r="D283" i="10"/>
  <c r="F283" i="10"/>
  <c r="D159" i="10"/>
  <c r="F159" i="10"/>
  <c r="N41" i="51"/>
  <c r="O32" i="51"/>
  <c r="D232" i="10"/>
  <c r="F232" i="10"/>
  <c r="D40" i="36"/>
  <c r="G447" i="9"/>
  <c r="N20" i="44"/>
  <c r="O14" i="44"/>
  <c r="D331" i="6"/>
  <c r="F331" i="6"/>
  <c r="D1664" i="4"/>
  <c r="F1664" i="4"/>
  <c r="D159" i="36"/>
  <c r="D519" i="6"/>
  <c r="D670" i="6"/>
  <c r="D115" i="6"/>
  <c r="F115" i="6"/>
  <c r="F371" i="9"/>
  <c r="D24" i="36"/>
  <c r="F322" i="10"/>
  <c r="D713" i="6"/>
  <c r="F713" i="6"/>
  <c r="D248" i="10"/>
  <c r="F248" i="10"/>
  <c r="D477" i="6"/>
  <c r="F477" i="6"/>
  <c r="D124" i="36"/>
  <c r="N41" i="44"/>
  <c r="O25" i="44"/>
  <c r="D716" i="6"/>
  <c r="D163" i="10"/>
  <c r="F163" i="10"/>
  <c r="D734" i="6"/>
  <c r="G1639" i="4"/>
  <c r="H42" i="48"/>
  <c r="D479" i="36"/>
  <c r="F479" i="36"/>
  <c r="G42" i="43"/>
  <c r="D775" i="4"/>
  <c r="F775" i="4"/>
  <c r="D1538" i="4"/>
  <c r="F1538" i="4"/>
  <c r="D308" i="9"/>
  <c r="F308" i="9"/>
  <c r="D349" i="9"/>
  <c r="F349" i="9"/>
  <c r="D273" i="10"/>
  <c r="F273" i="10"/>
  <c r="D192" i="10"/>
  <c r="F192" i="10"/>
  <c r="D157" i="6"/>
  <c r="F157" i="6"/>
  <c r="D640" i="6"/>
  <c r="D600" i="6"/>
  <c r="F600" i="6"/>
  <c r="G1353" i="4"/>
  <c r="D608" i="6"/>
  <c r="F608" i="6"/>
  <c r="D276" i="6"/>
  <c r="F276" i="6"/>
  <c r="F11" i="36"/>
  <c r="D218" i="10"/>
  <c r="F218" i="10"/>
  <c r="G600" i="4"/>
  <c r="D732" i="4"/>
  <c r="F732" i="4"/>
  <c r="D1810" i="4"/>
  <c r="F1810" i="4"/>
  <c r="G1582" i="4"/>
  <c r="N20" i="51"/>
  <c r="O10" i="51"/>
  <c r="D36" i="36"/>
  <c r="G1091" i="4"/>
  <c r="G845" i="4"/>
  <c r="D243" i="9"/>
  <c r="F243" i="9"/>
  <c r="D89" i="10"/>
  <c r="F89" i="10"/>
  <c r="D329" i="10"/>
  <c r="F329" i="10"/>
  <c r="G679" i="4"/>
  <c r="D92" i="36"/>
  <c r="D311" i="6"/>
  <c r="F311" i="6"/>
  <c r="D752" i="6"/>
  <c r="D494" i="36"/>
  <c r="F494" i="36"/>
  <c r="F479" i="9"/>
  <c r="G156" i="9"/>
  <c r="F187" i="9"/>
  <c r="D167" i="36"/>
  <c r="D305" i="36"/>
  <c r="D706" i="4"/>
  <c r="F706" i="4"/>
  <c r="D802" i="4"/>
  <c r="F802" i="4"/>
  <c r="D307" i="6"/>
  <c r="F307" i="6"/>
  <c r="D259" i="6"/>
  <c r="F259" i="6"/>
  <c r="D63" i="10"/>
  <c r="D194" i="9"/>
  <c r="F194" i="9"/>
  <c r="N20" i="48"/>
  <c r="O9" i="48"/>
  <c r="D194" i="36"/>
  <c r="D758" i="6"/>
  <c r="F758" i="6"/>
  <c r="D566" i="6"/>
  <c r="D110" i="10"/>
  <c r="F110" i="10"/>
  <c r="D647" i="6"/>
  <c r="F647" i="6"/>
  <c r="D236" i="10"/>
  <c r="F236" i="10"/>
  <c r="G1538" i="4"/>
  <c r="G1342" i="4"/>
  <c r="G775" i="4"/>
  <c r="D245" i="36"/>
  <c r="G1733" i="4"/>
  <c r="G162" i="9"/>
  <c r="D147" i="10"/>
  <c r="F147" i="10"/>
  <c r="G877" i="4"/>
  <c r="D168" i="9"/>
  <c r="F168" i="9"/>
  <c r="D260" i="36"/>
  <c r="D463" i="9"/>
  <c r="F463" i="9"/>
  <c r="D426" i="9"/>
  <c r="F426" i="9"/>
  <c r="D180" i="9"/>
  <c r="F180" i="9"/>
  <c r="D392" i="9"/>
  <c r="F392" i="9"/>
  <c r="D281" i="9"/>
  <c r="F281" i="9"/>
  <c r="D1627" i="4"/>
  <c r="F1627" i="4"/>
  <c r="D320" i="9"/>
  <c r="F320" i="9"/>
  <c r="D341" i="36"/>
  <c r="D345" i="36"/>
  <c r="D1211" i="4"/>
  <c r="F1211" i="4"/>
  <c r="D259" i="9"/>
  <c r="F259" i="9"/>
  <c r="D941" i="4"/>
  <c r="F941" i="4"/>
  <c r="D440" i="9"/>
  <c r="F440" i="9"/>
  <c r="D478" i="9"/>
  <c r="F478" i="9"/>
  <c r="S262" i="24"/>
  <c r="F482" i="9"/>
  <c r="D215" i="36"/>
  <c r="L51" i="45"/>
  <c r="W7" i="45"/>
  <c r="G1082" i="4"/>
  <c r="D94" i="10"/>
  <c r="F94" i="10"/>
  <c r="D698" i="6"/>
  <c r="D180" i="10"/>
  <c r="F180" i="10"/>
  <c r="D496" i="6"/>
  <c r="G1528" i="4"/>
  <c r="G186" i="9"/>
  <c r="D17" i="36"/>
  <c r="G304" i="9"/>
  <c r="D722" i="6"/>
  <c r="F722" i="6"/>
  <c r="D571" i="36"/>
  <c r="F571" i="36"/>
  <c r="D1787" i="4"/>
  <c r="F1787" i="4"/>
  <c r="D207" i="6"/>
  <c r="F207" i="6"/>
  <c r="D457" i="36"/>
  <c r="F457" i="36"/>
  <c r="D78" i="10"/>
  <c r="D1342" i="4"/>
  <c r="F1342" i="4"/>
  <c r="G1787" i="4"/>
  <c r="D679" i="4"/>
  <c r="F679" i="4"/>
  <c r="D174" i="36"/>
  <c r="D301" i="36"/>
  <c r="D1082" i="4"/>
  <c r="F1082" i="4"/>
  <c r="D87" i="36"/>
  <c r="D433" i="6"/>
  <c r="F433" i="6"/>
  <c r="D52" i="36"/>
  <c r="D206" i="9"/>
  <c r="F206" i="9"/>
  <c r="D266" i="6"/>
  <c r="F266" i="6"/>
  <c r="G1594" i="4"/>
  <c r="G1375" i="4"/>
  <c r="D354" i="6"/>
  <c r="F354" i="6"/>
  <c r="G1810" i="4"/>
  <c r="G1433" i="4"/>
  <c r="G1387" i="4"/>
  <c r="G1721" i="4"/>
  <c r="G397" i="9"/>
  <c r="G816" i="4"/>
  <c r="D1072" i="4"/>
  <c r="F1072" i="4"/>
  <c r="D1757" i="4"/>
  <c r="F1757" i="4"/>
  <c r="D877" i="4"/>
  <c r="F877" i="4"/>
  <c r="D485" i="9"/>
  <c r="F485" i="9"/>
  <c r="F5" i="36"/>
  <c r="D1508" i="4"/>
  <c r="F1508" i="4"/>
  <c r="D956" i="4"/>
  <c r="D319" i="6"/>
  <c r="F319" i="6"/>
  <c r="D419" i="6"/>
  <c r="F419" i="6"/>
  <c r="P30" i="51"/>
  <c r="G1548" i="4"/>
  <c r="G408" i="9"/>
  <c r="F309" i="10"/>
  <c r="G747" i="4"/>
  <c r="D379" i="36"/>
  <c r="D1234" i="4"/>
  <c r="F1234" i="4"/>
  <c r="D1582" i="4"/>
  <c r="F1582" i="4"/>
  <c r="D102" i="36"/>
  <c r="D310" i="9"/>
  <c r="F310" i="9"/>
  <c r="D100" i="10"/>
  <c r="F100" i="10"/>
  <c r="S251" i="37"/>
  <c r="G1149" i="4"/>
  <c r="G1745" i="4"/>
  <c r="G1508" i="4"/>
  <c r="G1698" i="4"/>
  <c r="G485" i="9"/>
  <c r="G802" i="4"/>
  <c r="D1733" i="4"/>
  <c r="F1733" i="4"/>
  <c r="D890" i="4"/>
  <c r="F890" i="4"/>
  <c r="D558" i="36"/>
  <c r="F558" i="36"/>
  <c r="D833" i="4"/>
  <c r="F833" i="4"/>
  <c r="D1688" i="4"/>
  <c r="F1688" i="4"/>
  <c r="D47" i="36"/>
  <c r="D336" i="36"/>
  <c r="D313" i="36"/>
  <c r="G1605" i="4"/>
  <c r="G265" i="9"/>
  <c r="G1261" i="4"/>
  <c r="N16" i="37"/>
  <c r="P34" i="37"/>
  <c r="N11" i="37"/>
  <c r="P29" i="37"/>
  <c r="M17" i="37"/>
  <c r="M18" i="37"/>
  <c r="N8" i="37"/>
  <c r="P26" i="37"/>
  <c r="F39" i="36"/>
  <c r="N15" i="37"/>
  <c r="P33" i="37"/>
  <c r="D201" i="36"/>
  <c r="D1408" i="4"/>
  <c r="F1408" i="4"/>
  <c r="D1353" i="4"/>
  <c r="F1353" i="4"/>
  <c r="D602" i="6"/>
  <c r="D247" i="9"/>
  <c r="F247" i="9"/>
  <c r="K252" i="37"/>
  <c r="P29" i="51"/>
  <c r="D631" i="4"/>
  <c r="F631" i="4"/>
  <c r="D1571" i="4"/>
  <c r="F1571" i="4"/>
  <c r="D1444" i="4"/>
  <c r="F1444" i="4"/>
  <c r="D1173" i="4"/>
  <c r="F1173" i="4"/>
  <c r="D1485" i="4"/>
  <c r="F1485" i="4"/>
  <c r="F15" i="36"/>
  <c r="D860" i="4"/>
  <c r="F860" i="4"/>
  <c r="D502" i="36"/>
  <c r="F502" i="36"/>
  <c r="D535" i="36"/>
  <c r="F535" i="36"/>
  <c r="D349" i="36"/>
  <c r="D668" i="4"/>
  <c r="F668" i="4"/>
  <c r="D246" i="6"/>
  <c r="F246" i="6"/>
  <c r="D631" i="6"/>
  <c r="F631" i="6"/>
  <c r="J252" i="37"/>
  <c r="D429" i="9"/>
  <c r="F429" i="9"/>
  <c r="D31" i="36"/>
  <c r="N265" i="24"/>
  <c r="C42" i="50"/>
  <c r="D1528" i="4"/>
  <c r="F1528" i="4"/>
  <c r="D1710" i="4"/>
  <c r="F1710" i="4"/>
  <c r="I42" i="50"/>
  <c r="D447" i="9"/>
  <c r="F447" i="9"/>
  <c r="D355" i="36"/>
  <c r="D410" i="36"/>
  <c r="F410" i="36"/>
  <c r="D290" i="9"/>
  <c r="F290" i="9"/>
  <c r="D651" i="6"/>
  <c r="D471" i="9"/>
  <c r="F471" i="9"/>
  <c r="D743" i="6"/>
  <c r="D695" i="4"/>
  <c r="F695" i="4"/>
  <c r="D617" i="6"/>
  <c r="D504" i="6"/>
  <c r="D521" i="36"/>
  <c r="F521" i="36"/>
  <c r="D380" i="6"/>
  <c r="F380" i="6"/>
  <c r="D488" i="6"/>
  <c r="F488" i="6"/>
  <c r="D931" i="4"/>
  <c r="F931" i="4"/>
  <c r="D266" i="36"/>
  <c r="N55" i="45"/>
  <c r="N33" i="24"/>
  <c r="P33" i="24"/>
  <c r="N254" i="37"/>
  <c r="D355" i="9"/>
  <c r="F355" i="9"/>
  <c r="F240" i="36"/>
  <c r="D1698" i="4"/>
  <c r="F1698" i="4"/>
  <c r="D186" i="9"/>
  <c r="F186" i="9"/>
  <c r="G941" i="4"/>
  <c r="F190" i="9"/>
  <c r="D364" i="36"/>
  <c r="D225" i="6"/>
  <c r="F225" i="6"/>
  <c r="D551" i="36"/>
  <c r="F551" i="36"/>
  <c r="D61" i="36"/>
  <c r="D1047" i="4"/>
  <c r="F1047" i="4"/>
  <c r="D1138" i="4"/>
  <c r="F1138" i="4"/>
  <c r="D1023" i="4"/>
  <c r="F1023" i="4"/>
  <c r="D1518" i="4"/>
  <c r="F1518" i="4"/>
  <c r="D162" i="9"/>
  <c r="F162" i="9"/>
  <c r="D137" i="36"/>
  <c r="D993" i="4"/>
  <c r="F993" i="4"/>
  <c r="D403" i="36"/>
  <c r="F403" i="36"/>
  <c r="D219" i="6"/>
  <c r="F219" i="6"/>
  <c r="D415" i="9"/>
  <c r="F415" i="9"/>
  <c r="D695" i="6"/>
  <c r="F695" i="6"/>
  <c r="D514" i="36"/>
  <c r="F514" i="36"/>
  <c r="D229" i="9"/>
  <c r="F229" i="9"/>
  <c r="D388" i="9"/>
  <c r="F388" i="9"/>
  <c r="F2" i="36"/>
  <c r="E123" i="10"/>
  <c r="E124" i="10"/>
  <c r="D124" i="10"/>
  <c r="D486" i="36"/>
  <c r="F486" i="36"/>
  <c r="D919" i="4"/>
  <c r="F919" i="4"/>
  <c r="D431" i="36"/>
  <c r="F431" i="36"/>
  <c r="D395" i="36"/>
  <c r="F395" i="36"/>
  <c r="D414" i="6"/>
  <c r="F414" i="6"/>
  <c r="S8" i="45"/>
  <c r="D1433" i="4"/>
  <c r="F1433" i="4"/>
  <c r="F154" i="6"/>
  <c r="D1387" i="4"/>
  <c r="F1387" i="4"/>
  <c r="D72" i="36"/>
  <c r="D581" i="36"/>
  <c r="F581" i="36"/>
  <c r="D597" i="36"/>
  <c r="F597" i="36"/>
  <c r="D747" i="4"/>
  <c r="F747" i="4"/>
  <c r="D528" i="36"/>
  <c r="F528" i="36"/>
  <c r="D429" i="6"/>
  <c r="F429" i="6"/>
  <c r="D508" i="36"/>
  <c r="F508" i="36"/>
  <c r="D273" i="9"/>
  <c r="F273" i="9"/>
  <c r="D197" i="6"/>
  <c r="F197" i="6"/>
  <c r="D317" i="36"/>
  <c r="D309" i="36"/>
  <c r="G437" i="9"/>
  <c r="G400" i="9"/>
  <c r="G421" i="9"/>
  <c r="M42" i="51"/>
  <c r="V121" i="43"/>
  <c r="V265" i="24"/>
  <c r="V254" i="37"/>
  <c r="S121" i="43"/>
  <c r="S265" i="24"/>
  <c r="G1173" i="4"/>
  <c r="D1261" i="4"/>
  <c r="F1261" i="4"/>
  <c r="D1652" i="4"/>
  <c r="F1652" i="4"/>
  <c r="D138" i="9"/>
  <c r="F138" i="9"/>
  <c r="D54" i="10"/>
  <c r="F54" i="10"/>
  <c r="D600" i="4"/>
  <c r="F600" i="4"/>
  <c r="D256" i="9"/>
  <c r="F256" i="9"/>
  <c r="D274" i="36"/>
  <c r="D144" i="36"/>
  <c r="D1116" i="4"/>
  <c r="F1116" i="4"/>
  <c r="D720" i="4"/>
  <c r="F720" i="4"/>
  <c r="F191" i="36"/>
  <c r="D386" i="6"/>
  <c r="F386" i="6"/>
  <c r="D251" i="6"/>
  <c r="F251" i="6"/>
  <c r="D1419" i="4"/>
  <c r="F1419" i="4"/>
  <c r="D284" i="6"/>
  <c r="F284" i="6"/>
  <c r="D588" i="36"/>
  <c r="F588" i="36"/>
  <c r="D66" i="10"/>
  <c r="F66" i="10"/>
  <c r="S252" i="37"/>
  <c r="V119" i="43"/>
  <c r="V263" i="24"/>
  <c r="V252" i="37"/>
  <c r="G301" i="9"/>
  <c r="G259" i="9"/>
  <c r="G130" i="9"/>
  <c r="F210" i="36"/>
  <c r="M42" i="43"/>
  <c r="J263" i="24"/>
  <c r="D326" i="36"/>
  <c r="F32" i="36"/>
  <c r="P24" i="37"/>
  <c r="D417" i="36"/>
  <c r="F417" i="36"/>
  <c r="F195" i="10"/>
  <c r="D1559" i="4"/>
  <c r="F1559" i="4"/>
  <c r="D151" i="6"/>
  <c r="F151" i="6"/>
  <c r="G1306" i="4"/>
  <c r="D1454" i="4"/>
  <c r="F1454" i="4"/>
  <c r="D1639" i="4"/>
  <c r="F1639" i="4"/>
  <c r="D133" i="6"/>
  <c r="F133" i="6"/>
  <c r="D265" i="9"/>
  <c r="F265" i="9"/>
  <c r="K42" i="43"/>
  <c r="N41" i="50"/>
  <c r="O40" i="50"/>
  <c r="D1161" i="4"/>
  <c r="F1161" i="4"/>
  <c r="D513" i="6"/>
  <c r="D616" i="4"/>
  <c r="F616" i="4"/>
  <c r="D231" i="6"/>
  <c r="F231" i="6"/>
  <c r="D1721" i="4"/>
  <c r="F1721" i="4"/>
  <c r="D1616" i="4"/>
  <c r="F1616" i="4"/>
  <c r="D1127" i="4"/>
  <c r="F1127" i="4"/>
  <c r="D1318" i="4"/>
  <c r="F1318" i="4"/>
  <c r="D1306" i="4"/>
  <c r="F1306" i="4"/>
  <c r="D464" i="6"/>
  <c r="D467" i="6"/>
  <c r="D1675" i="4"/>
  <c r="F1675" i="4"/>
  <c r="D472" i="36"/>
  <c r="F472" i="36"/>
  <c r="D368" i="6"/>
  <c r="F368" i="6"/>
  <c r="D543" i="6"/>
  <c r="D545" i="6"/>
  <c r="D116" i="36"/>
  <c r="J253" i="37"/>
  <c r="D120" i="36"/>
  <c r="F42" i="43"/>
  <c r="D77" i="36"/>
  <c r="D1798" i="4"/>
  <c r="F1798" i="4"/>
  <c r="D1475" i="4"/>
  <c r="F1475" i="4"/>
  <c r="D1548" i="4"/>
  <c r="F1548" i="4"/>
  <c r="D372" i="36"/>
  <c r="D362" i="9"/>
  <c r="J58" i="45"/>
  <c r="U8" i="45"/>
  <c r="D179" i="6"/>
  <c r="F179" i="6"/>
  <c r="K36" i="37"/>
  <c r="D1246" i="4"/>
  <c r="B58" i="45"/>
  <c r="Q8" i="45"/>
  <c r="D1594" i="4"/>
  <c r="F1594" i="4"/>
  <c r="D187" i="36"/>
  <c r="D1223" i="4"/>
  <c r="F1223" i="4"/>
  <c r="D405" i="9"/>
  <c r="F405" i="9"/>
  <c r="G379" i="9"/>
  <c r="L42" i="50"/>
  <c r="G352" i="9"/>
  <c r="F310" i="36"/>
  <c r="D1007" i="4"/>
  <c r="F1007" i="4"/>
  <c r="D1774" i="4"/>
  <c r="F1774" i="4"/>
  <c r="D217" i="9"/>
  <c r="F217" i="9"/>
  <c r="D298" i="9"/>
  <c r="F298" i="9"/>
  <c r="D657" i="4"/>
  <c r="F657" i="4"/>
  <c r="D120" i="6"/>
  <c r="F120" i="6"/>
  <c r="D1496" i="4"/>
  <c r="F1496" i="4"/>
  <c r="D213" i="6"/>
  <c r="F213" i="6"/>
  <c r="D130" i="9"/>
  <c r="F11" i="24"/>
  <c r="N11" i="24"/>
  <c r="N17" i="24"/>
  <c r="O5" i="24"/>
  <c r="F475" i="9"/>
  <c r="G225" i="9"/>
  <c r="D1105" i="4"/>
  <c r="F1105" i="4"/>
  <c r="D535" i="6"/>
  <c r="D537" i="6"/>
  <c r="D295" i="6"/>
  <c r="F295" i="6"/>
  <c r="D1149" i="4"/>
  <c r="F1149" i="4"/>
  <c r="D163" i="6"/>
  <c r="F163" i="6"/>
  <c r="D502" i="6"/>
  <c r="F502" i="6"/>
  <c r="D1330" i="4"/>
  <c r="F1330" i="4"/>
  <c r="D440" i="6"/>
  <c r="F440" i="6"/>
  <c r="D107" i="36"/>
  <c r="D374" i="6"/>
  <c r="F374" i="6"/>
  <c r="D474" i="9"/>
  <c r="F474" i="9"/>
  <c r="S263" i="24"/>
  <c r="G316" i="9"/>
  <c r="I36" i="37"/>
  <c r="P38" i="51"/>
  <c r="D464" i="36"/>
  <c r="F464" i="36"/>
  <c r="D526" i="6"/>
  <c r="D528" i="6"/>
  <c r="D229" i="36"/>
  <c r="D467" i="9"/>
  <c r="F467" i="9"/>
  <c r="D397" i="9"/>
  <c r="F397" i="9"/>
  <c r="D1034" i="4"/>
  <c r="F1034" i="4"/>
  <c r="D56" i="36"/>
  <c r="D1057" i="4"/>
  <c r="F1057" i="4"/>
  <c r="D237" i="6"/>
  <c r="F237" i="6"/>
  <c r="R265" i="24"/>
  <c r="R254" i="37"/>
  <c r="R121" i="43"/>
  <c r="P32" i="50"/>
  <c r="I42" i="48"/>
  <c r="O51" i="45"/>
  <c r="Z7" i="45"/>
  <c r="N35" i="37"/>
  <c r="O29" i="37"/>
  <c r="G149" i="10"/>
  <c r="G151" i="10"/>
  <c r="H41" i="43"/>
  <c r="H42" i="43"/>
  <c r="E956" i="4"/>
  <c r="G946" i="4"/>
  <c r="G956" i="4"/>
  <c r="F946" i="4"/>
  <c r="K2206" i="29"/>
  <c r="U2206" i="29"/>
  <c r="U2402" i="29"/>
  <c r="E979" i="4"/>
  <c r="G973" i="4"/>
  <c r="G979" i="4"/>
  <c r="F973" i="4"/>
  <c r="J41" i="43"/>
  <c r="J42" i="43"/>
  <c r="N33" i="43"/>
  <c r="N41" i="43"/>
  <c r="O33" i="43"/>
  <c r="G1264" i="4"/>
  <c r="G1272" i="4"/>
  <c r="E1272" i="4"/>
  <c r="F1264" i="4"/>
  <c r="J41" i="48"/>
  <c r="J42" i="48"/>
  <c r="N25" i="48"/>
  <c r="N41" i="48"/>
  <c r="O28" i="48"/>
  <c r="F34" i="24"/>
  <c r="N29" i="24"/>
  <c r="K4356" i="29"/>
  <c r="U4356" i="29"/>
  <c r="O57" i="45"/>
  <c r="R8" i="45"/>
  <c r="Z8" i="45"/>
  <c r="F81" i="10"/>
  <c r="W265" i="24"/>
  <c r="O29" i="51"/>
  <c r="O40" i="44"/>
  <c r="O4" i="44"/>
  <c r="O39" i="51"/>
  <c r="F979" i="4"/>
  <c r="O31" i="51"/>
  <c r="O36" i="51"/>
  <c r="O35" i="51"/>
  <c r="O37" i="51"/>
  <c r="F78" i="10"/>
  <c r="O37" i="44"/>
  <c r="O36" i="44"/>
  <c r="O13" i="51"/>
  <c r="O33" i="51"/>
  <c r="O35" i="44"/>
  <c r="O32" i="44"/>
  <c r="O30" i="44"/>
  <c r="F338" i="9"/>
  <c r="O17" i="51"/>
  <c r="F1272" i="4"/>
  <c r="O6" i="51"/>
  <c r="O11" i="51"/>
  <c r="N51" i="45"/>
  <c r="Y7" i="45"/>
  <c r="O8" i="44"/>
  <c r="O30" i="51"/>
  <c r="O33" i="44"/>
  <c r="O40" i="51"/>
  <c r="O17" i="44"/>
  <c r="O18" i="44"/>
  <c r="O28" i="44"/>
  <c r="O10" i="44"/>
  <c r="O28" i="51"/>
  <c r="O9" i="51"/>
  <c r="O18" i="51"/>
  <c r="N42" i="51"/>
  <c r="O15" i="51"/>
  <c r="O19" i="44"/>
  <c r="O34" i="51"/>
  <c r="O26" i="51"/>
  <c r="O25" i="51"/>
  <c r="O7" i="51"/>
  <c r="O11" i="44"/>
  <c r="O27" i="51"/>
  <c r="O14" i="51"/>
  <c r="O13" i="43"/>
  <c r="O19" i="43"/>
  <c r="O18" i="43"/>
  <c r="O14" i="43"/>
  <c r="O12" i="44"/>
  <c r="O12" i="43"/>
  <c r="O15" i="50"/>
  <c r="O27" i="50"/>
  <c r="O17" i="50"/>
  <c r="O10" i="50"/>
  <c r="O5" i="50"/>
  <c r="O11" i="50"/>
  <c r="O9" i="50"/>
  <c r="O18" i="50"/>
  <c r="O16" i="51"/>
  <c r="O4" i="50"/>
  <c r="O7" i="50"/>
  <c r="O14" i="50"/>
  <c r="O15" i="43"/>
  <c r="O36" i="50"/>
  <c r="O13" i="50"/>
  <c r="O6" i="50"/>
  <c r="O16" i="50"/>
  <c r="O26" i="50"/>
  <c r="O19" i="50"/>
  <c r="O5" i="51"/>
  <c r="O12" i="50"/>
  <c r="O9" i="43"/>
  <c r="O38" i="51"/>
  <c r="O31" i="44"/>
  <c r="O15" i="44"/>
  <c r="O6" i="43"/>
  <c r="O5" i="44"/>
  <c r="O7" i="44"/>
  <c r="O9" i="44"/>
  <c r="O28" i="50"/>
  <c r="O13" i="44"/>
  <c r="O38" i="50"/>
  <c r="N42" i="44"/>
  <c r="O6" i="44"/>
  <c r="O34" i="50"/>
  <c r="O37" i="50"/>
  <c r="O16" i="44"/>
  <c r="F362" i="9"/>
  <c r="O4" i="51"/>
  <c r="O29" i="44"/>
  <c r="O27" i="44"/>
  <c r="O38" i="44"/>
  <c r="O33" i="50"/>
  <c r="O34" i="44"/>
  <c r="O12" i="51"/>
  <c r="O39" i="44"/>
  <c r="O30" i="50"/>
  <c r="O26" i="44"/>
  <c r="O19" i="51"/>
  <c r="F956" i="4"/>
  <c r="N42" i="50"/>
  <c r="F63" i="10"/>
  <c r="O32" i="50"/>
  <c r="O8" i="51"/>
  <c r="W121" i="43"/>
  <c r="F124" i="10"/>
  <c r="O12" i="24"/>
  <c r="O7" i="43"/>
  <c r="O8" i="43"/>
  <c r="O4" i="43"/>
  <c r="O17" i="43"/>
  <c r="O12" i="48"/>
  <c r="O16" i="43"/>
  <c r="O14" i="48"/>
  <c r="O10" i="43"/>
  <c r="O5" i="43"/>
  <c r="F130" i="9"/>
  <c r="O8" i="24"/>
  <c r="O4" i="24"/>
  <c r="O13" i="24"/>
  <c r="O11" i="24"/>
  <c r="F526" i="6"/>
  <c r="O29" i="50"/>
  <c r="O7" i="24"/>
  <c r="O17" i="24"/>
  <c r="O14" i="24"/>
  <c r="O35" i="50"/>
  <c r="F1246" i="4"/>
  <c r="O16" i="48"/>
  <c r="O5" i="48"/>
  <c r="O13" i="48"/>
  <c r="N17" i="37"/>
  <c r="O15" i="37"/>
  <c r="O10" i="48"/>
  <c r="M36" i="37"/>
  <c r="O7" i="48"/>
  <c r="O6" i="48"/>
  <c r="O4" i="48"/>
  <c r="O19" i="48"/>
  <c r="O15" i="48"/>
  <c r="O8" i="48"/>
  <c r="O11" i="48"/>
  <c r="O18" i="48"/>
  <c r="F464" i="6"/>
  <c r="O17" i="48"/>
  <c r="F535" i="6"/>
  <c r="O10" i="24"/>
  <c r="O6" i="24"/>
  <c r="O9" i="24"/>
  <c r="F543" i="6"/>
  <c r="O16" i="24"/>
  <c r="O39" i="50"/>
  <c r="O15" i="24"/>
  <c r="O31" i="50"/>
  <c r="O25" i="50"/>
  <c r="F17" i="24"/>
  <c r="F35" i="24"/>
  <c r="N58" i="45"/>
  <c r="Y8" i="45"/>
  <c r="O28" i="37"/>
  <c r="O31" i="37"/>
  <c r="O22" i="37"/>
  <c r="O26" i="37"/>
  <c r="O27" i="37"/>
  <c r="O30" i="37"/>
  <c r="O25" i="37"/>
  <c r="O33" i="37"/>
  <c r="O24" i="37"/>
  <c r="O23" i="37"/>
  <c r="O32" i="37"/>
  <c r="O34" i="37"/>
  <c r="G155" i="10"/>
  <c r="G159" i="10"/>
  <c r="G163" i="10"/>
  <c r="G168" i="10"/>
  <c r="G173" i="10"/>
  <c r="G176" i="10"/>
  <c r="G180" i="10"/>
  <c r="G184" i="10"/>
  <c r="G187" i="10"/>
  <c r="G192" i="10"/>
  <c r="K144" i="43"/>
  <c r="O28" i="43"/>
  <c r="O32" i="43"/>
  <c r="O39" i="43"/>
  <c r="O35" i="43"/>
  <c r="O26" i="43"/>
  <c r="O29" i="43"/>
  <c r="O30" i="43"/>
  <c r="O36" i="43"/>
  <c r="O27" i="43"/>
  <c r="O25" i="43"/>
  <c r="O37" i="43"/>
  <c r="O36" i="48"/>
  <c r="O30" i="48"/>
  <c r="O37" i="48"/>
  <c r="N42" i="43"/>
  <c r="O31" i="48"/>
  <c r="O34" i="43"/>
  <c r="O38" i="43"/>
  <c r="N42" i="48"/>
  <c r="O32" i="48"/>
  <c r="O38" i="48"/>
  <c r="O31" i="43"/>
  <c r="P25" i="48"/>
  <c r="O33" i="48"/>
  <c r="O40" i="48"/>
  <c r="O26" i="48"/>
  <c r="O40" i="43"/>
  <c r="O35" i="48"/>
  <c r="O25" i="48"/>
  <c r="O27" i="48"/>
  <c r="O39" i="48"/>
  <c r="N34" i="24"/>
  <c r="P29" i="24"/>
  <c r="O34" i="48"/>
  <c r="O29" i="48"/>
  <c r="O41" i="51"/>
  <c r="O20" i="50"/>
  <c r="O20" i="44"/>
  <c r="O20" i="51"/>
  <c r="O41" i="44"/>
  <c r="O20" i="43"/>
  <c r="O7" i="37"/>
  <c r="N36" i="37"/>
  <c r="O4" i="37"/>
  <c r="O9" i="37"/>
  <c r="O11" i="37"/>
  <c r="O8" i="37"/>
  <c r="O20" i="48"/>
  <c r="O16" i="37"/>
  <c r="O10" i="37"/>
  <c r="O14" i="37"/>
  <c r="O13" i="37"/>
  <c r="O17" i="37"/>
  <c r="O6" i="37"/>
  <c r="O12" i="37"/>
  <c r="O41" i="50"/>
  <c r="O5" i="37"/>
  <c r="O35" i="37"/>
  <c r="G195" i="10"/>
  <c r="G199" i="10"/>
  <c r="O41" i="43"/>
  <c r="O41" i="48"/>
  <c r="O25" i="24"/>
  <c r="N35" i="24"/>
  <c r="O31" i="24"/>
  <c r="O29" i="24"/>
  <c r="O32" i="24"/>
  <c r="O27" i="24"/>
  <c r="O33" i="24"/>
  <c r="O26" i="24"/>
  <c r="O23" i="24"/>
  <c r="O30" i="24"/>
  <c r="O24" i="24"/>
  <c r="O28" i="24"/>
  <c r="O22" i="24"/>
  <c r="G202" i="10"/>
  <c r="G206" i="10"/>
  <c r="O34" i="24"/>
  <c r="G209" i="10"/>
  <c r="G213" i="10"/>
  <c r="G218" i="10"/>
  <c r="G224" i="10"/>
  <c r="G227" i="10"/>
  <c r="G232" i="10"/>
  <c r="G236" i="10"/>
  <c r="G239" i="10"/>
  <c r="G242" i="10"/>
  <c r="G248" i="10"/>
  <c r="G251" i="10"/>
  <c r="G254" i="10"/>
  <c r="G257" i="10"/>
  <c r="G260" i="10"/>
  <c r="G263" i="10"/>
  <c r="G268" i="10"/>
  <c r="G273" i="10"/>
  <c r="G276" i="10"/>
  <c r="G279" i="10"/>
  <c r="G283" i="10"/>
  <c r="G286" i="10"/>
  <c r="G289" i="10"/>
  <c r="G292" i="10"/>
  <c r="G295" i="10"/>
  <c r="G298" i="10"/>
  <c r="G302" i="10"/>
  <c r="G306" i="10"/>
  <c r="G309" i="10"/>
  <c r="G312" i="10"/>
  <c r="G315" i="10"/>
  <c r="G318" i="10"/>
  <c r="G322" i="10"/>
  <c r="G325" i="10"/>
  <c r="G329" i="10"/>
  <c r="G332" i="10"/>
  <c r="G33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gty</author>
  </authors>
  <commentList>
    <comment ref="C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아그파</t>
        </r>
        <r>
          <rPr>
            <b/>
            <sz val="9"/>
            <color indexed="81"/>
            <rFont val="Tahoma"/>
            <family val="2"/>
          </rPr>
          <t xml:space="preserve"> CTP </t>
        </r>
        <r>
          <rPr>
            <b/>
            <sz val="9"/>
            <color indexed="81"/>
            <rFont val="돋움"/>
            <family val="3"/>
            <charset val="129"/>
          </rPr>
          <t>소개비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동진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아그파</t>
        </r>
        <r>
          <rPr>
            <b/>
            <sz val="9"/>
            <color indexed="81"/>
            <rFont val="Tahoma"/>
            <family val="2"/>
          </rPr>
          <t xml:space="preserve"> CTP </t>
        </r>
        <r>
          <rPr>
            <b/>
            <sz val="9"/>
            <color indexed="81"/>
            <rFont val="돋움"/>
            <family val="3"/>
            <charset val="129"/>
          </rPr>
          <t>소개비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동진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gty</author>
  </authors>
  <commentList>
    <comment ref="C9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아그파</t>
        </r>
        <r>
          <rPr>
            <b/>
            <sz val="9"/>
            <color indexed="81"/>
            <rFont val="Tahoma"/>
            <family val="2"/>
          </rPr>
          <t xml:space="preserve"> CTP </t>
        </r>
        <r>
          <rPr>
            <b/>
            <sz val="9"/>
            <color indexed="81"/>
            <rFont val="돋움"/>
            <family val="3"/>
            <charset val="129"/>
          </rPr>
          <t>소개비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동진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아그파</t>
        </r>
        <r>
          <rPr>
            <b/>
            <sz val="9"/>
            <color indexed="81"/>
            <rFont val="Tahoma"/>
            <family val="2"/>
          </rPr>
          <t xml:space="preserve"> CTP </t>
        </r>
        <r>
          <rPr>
            <b/>
            <sz val="9"/>
            <color indexed="81"/>
            <rFont val="돋움"/>
            <family val="3"/>
            <charset val="129"/>
          </rPr>
          <t>소개비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동진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gty</author>
  </authors>
  <commentList>
    <comment ref="E11" authorId="0" shapeId="0" xr:uid="{00000000-0006-0000-1400-000001000000}">
      <text>
        <r>
          <rPr>
            <sz val="9"/>
            <color indexed="81"/>
            <rFont val="돋움"/>
            <family val="3"/>
            <charset val="129"/>
          </rPr>
          <t>재능인쇄
습수정화장치</t>
        </r>
        <r>
          <rPr>
            <sz val="9"/>
            <color indexed="81"/>
            <rFont val="Tahoma"/>
            <family val="2"/>
          </rPr>
          <t xml:space="preserve"> 25,900,000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8" authorId="0" shapeId="0" xr:uid="{00000000-0006-0000-1400-000002000000}">
      <text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상현원색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매입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E28" authorId="0" shapeId="0" xr:uid="{00000000-0006-0000-1400-000003000000}">
      <text>
        <r>
          <rPr>
            <sz val="9"/>
            <color indexed="81"/>
            <rFont val="돋움"/>
            <family val="3"/>
            <charset val="129"/>
          </rPr>
          <t>재능인쇄
습수정화장치</t>
        </r>
        <r>
          <rPr>
            <sz val="9"/>
            <color indexed="81"/>
            <rFont val="Tahoma"/>
            <family val="2"/>
          </rPr>
          <t xml:space="preserve"> 25,900,000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<sst xmlns="http://schemas.openxmlformats.org/spreadsheetml/2006/main" count="58243" uniqueCount="4502">
  <si>
    <t>총합계</t>
  </si>
  <si>
    <t>CM %</t>
  </si>
  <si>
    <t>세흥인쇄</t>
  </si>
  <si>
    <t xml:space="preserve">Customer </t>
    <phoneticPr fontId="1" type="noConversion"/>
  </si>
  <si>
    <t>CM</t>
    <phoneticPr fontId="1" type="noConversion"/>
  </si>
  <si>
    <t>덕수산업</t>
  </si>
  <si>
    <t>Month</t>
  </si>
  <si>
    <t>맥스타</t>
  </si>
  <si>
    <t>대하팩키지</t>
  </si>
  <si>
    <t>동양인재</t>
  </si>
  <si>
    <t>Sales (VAT 포함)</t>
    <phoneticPr fontId="1" type="noConversion"/>
  </si>
  <si>
    <t>대일프린텍</t>
  </si>
  <si>
    <t>입금 내역</t>
    <phoneticPr fontId="1" type="noConversion"/>
  </si>
  <si>
    <t>입금일</t>
    <phoneticPr fontId="1" type="noConversion"/>
  </si>
  <si>
    <t>미래인텍</t>
  </si>
  <si>
    <t>교학사</t>
  </si>
  <si>
    <t>프린피아 
문발공장</t>
  </si>
  <si>
    <t>재능인쇄</t>
  </si>
  <si>
    <t>금강인쇄</t>
  </si>
  <si>
    <t>배원인쇄사</t>
  </si>
  <si>
    <t>팩컴 AAP</t>
  </si>
  <si>
    <t>송운사</t>
  </si>
  <si>
    <t>신흥피앤피</t>
  </si>
  <si>
    <t>Sales (VAT 제외)</t>
    <phoneticPr fontId="1" type="noConversion"/>
  </si>
  <si>
    <t>퍼시픽패키지</t>
  </si>
  <si>
    <t>국민피앤텍</t>
  </si>
  <si>
    <t>보문특수칼라</t>
  </si>
  <si>
    <t>천일</t>
  </si>
  <si>
    <t>세종씨앤피</t>
  </si>
  <si>
    <t>Sales</t>
    <phoneticPr fontId="1" type="noConversion"/>
  </si>
  <si>
    <t>Product</t>
  </si>
  <si>
    <t>TOTAL</t>
    <phoneticPr fontId="1" type="noConversion"/>
  </si>
  <si>
    <t>농도계</t>
  </si>
  <si>
    <t>Blanket</t>
  </si>
  <si>
    <t>Film</t>
  </si>
  <si>
    <t>Fount</t>
  </si>
  <si>
    <t>Others</t>
  </si>
  <si>
    <t>Roller</t>
  </si>
  <si>
    <t>Wash</t>
  </si>
  <si>
    <t>Technotrans</t>
  </si>
  <si>
    <t>GOSS</t>
  </si>
  <si>
    <t>Margin</t>
    <phoneticPr fontId="1" type="noConversion"/>
  </si>
  <si>
    <t>Margin Total</t>
    <phoneticPr fontId="1" type="noConversion"/>
  </si>
  <si>
    <t>마진 %</t>
    <phoneticPr fontId="1" type="noConversion"/>
  </si>
  <si>
    <t>Margin</t>
    <phoneticPr fontId="5" type="noConversion"/>
  </si>
  <si>
    <t>프린피아 
문발공장-임경영대리</t>
  </si>
  <si>
    <t>CTP</t>
  </si>
  <si>
    <t>한국하이델베르그</t>
  </si>
  <si>
    <t>프린피아 
주안
-임경영 대리</t>
  </si>
  <si>
    <t>동진씨앤피</t>
  </si>
  <si>
    <t>한국경제신문</t>
  </si>
  <si>
    <t>Portion</t>
    <phoneticPr fontId="5" type="noConversion"/>
  </si>
  <si>
    <t>삼화인쇄</t>
  </si>
  <si>
    <t xml:space="preserve">보진재 </t>
  </si>
  <si>
    <t>품목별</t>
    <phoneticPr fontId="8" type="noConversion"/>
  </si>
  <si>
    <t xml:space="preserve">Down Payment of M600 Cover for MBN  :  9,900,000 won </t>
  </si>
  <si>
    <t xml:space="preserve">2nd Payment of M600 Cover for MBN  :  11,680,900 won </t>
  </si>
  <si>
    <t>미래엔</t>
  </si>
  <si>
    <t xml:space="preserve">합계 : Sales </t>
  </si>
  <si>
    <t>합계 : CM</t>
  </si>
  <si>
    <t>서비스</t>
  </si>
  <si>
    <t>정광인쇄</t>
  </si>
  <si>
    <t>YTD 12 months</t>
    <phoneticPr fontId="8" type="noConversion"/>
  </si>
  <si>
    <t>신일디앤피</t>
  </si>
  <si>
    <t>부일인쇄 
(부산일보)</t>
  </si>
  <si>
    <t>부산일보</t>
  </si>
  <si>
    <t>조선일보사</t>
  </si>
  <si>
    <t>No</t>
    <phoneticPr fontId="1" type="noConversion"/>
  </si>
  <si>
    <t>Invoice No.</t>
    <phoneticPr fontId="1" type="noConversion"/>
  </si>
  <si>
    <t>Date</t>
    <phoneticPr fontId="1" type="noConversion"/>
  </si>
  <si>
    <t>Company</t>
    <phoneticPr fontId="1" type="noConversion"/>
  </si>
  <si>
    <t>Amount / SGD</t>
    <phoneticPr fontId="1" type="noConversion"/>
  </si>
  <si>
    <t>Amount / KRW</t>
    <phoneticPr fontId="1" type="noConversion"/>
  </si>
  <si>
    <t>ex. Rate</t>
    <phoneticPr fontId="1" type="noConversion"/>
  </si>
  <si>
    <t>Remarks</t>
    <phoneticPr fontId="1" type="noConversion"/>
  </si>
  <si>
    <t>GOSS</t>
    <phoneticPr fontId="1" type="noConversion"/>
  </si>
  <si>
    <t>Local purchase - Tool, Parts, Rent car : 1,046,364 won</t>
    <phoneticPr fontId="1" type="noConversion"/>
  </si>
  <si>
    <t>Local import handling cost of technotrans for MBN : 2,508,000 won - 하은</t>
    <phoneticPr fontId="1" type="noConversion"/>
  </si>
  <si>
    <t>Local purchase - Tool, Parts, Rent car : 1,149,827 won</t>
    <phoneticPr fontId="1" type="noConversion"/>
  </si>
  <si>
    <t>Roller recovering cost for MBN M600 ; 1,078,000 won</t>
    <phoneticPr fontId="1" type="noConversion"/>
  </si>
  <si>
    <t>1612051_R1</t>
    <phoneticPr fontId="1" type="noConversion"/>
  </si>
  <si>
    <t>MBN M600 Warranty Service charge - Revised</t>
    <phoneticPr fontId="1" type="noConversion"/>
  </si>
  <si>
    <t>1612271_R1</t>
    <phoneticPr fontId="1" type="noConversion"/>
  </si>
  <si>
    <t>MBN M600 Warranty Service charge</t>
    <phoneticPr fontId="1" type="noConversion"/>
  </si>
  <si>
    <t>MBN M600 Warranty _ Dampening System Modification</t>
    <phoneticPr fontId="1" type="noConversion"/>
  </si>
  <si>
    <t>Amount / USD</t>
    <phoneticPr fontId="1" type="noConversion"/>
  </si>
  <si>
    <t xml:space="preserve">2nd Commission for Sales of M600 to MBN </t>
    <phoneticPr fontId="1" type="noConversion"/>
  </si>
  <si>
    <t>MBN M600 Production Assistance charge _ 1st (총 USD15,350 / 2회 분할 청구)</t>
    <phoneticPr fontId="1" type="noConversion"/>
  </si>
  <si>
    <t>MBN M600 Production Assistance charge _ 2nd (총 USD15,350 / 2회 분할 청구)</t>
    <phoneticPr fontId="1" type="noConversion"/>
  </si>
  <si>
    <t>MBN M600 replacement of Heat exchanger pipe</t>
    <phoneticPr fontId="1" type="noConversion"/>
  </si>
  <si>
    <t>MBN M600 Service charge</t>
    <phoneticPr fontId="1" type="noConversion"/>
  </si>
  <si>
    <t>MBN M600 Warranty Parts_Blanket 16 EA</t>
    <phoneticPr fontId="1" type="noConversion"/>
  </si>
  <si>
    <t xml:space="preserve">Import expenses - MBN M600 Warranty Parts </t>
    <phoneticPr fontId="1" type="noConversion"/>
  </si>
  <si>
    <t>Amount / EURO</t>
    <phoneticPr fontId="1" type="noConversion"/>
  </si>
  <si>
    <t>Technotrans</t>
    <phoneticPr fontId="1" type="noConversion"/>
  </si>
  <si>
    <t xml:space="preserve">Hotel room charge for Mr.Leo Ampatua (Pacific Package - Humidifier installation) (5th ~ 19th April 2016) </t>
    <phoneticPr fontId="1" type="noConversion"/>
  </si>
  <si>
    <t>Warranty Service Charge of Humidifier RO system (delta.r 240)</t>
    <phoneticPr fontId="1" type="noConversion"/>
  </si>
  <si>
    <t>Warranty Service charge_Humidifier_Pacific package(Amore)_Water drop problem</t>
    <phoneticPr fontId="1" type="noConversion"/>
  </si>
  <si>
    <t>1703141-R1</t>
    <phoneticPr fontId="1" type="noConversion"/>
  </si>
  <si>
    <t xml:space="preserve">Lanxang </t>
    <phoneticPr fontId="1" type="noConversion"/>
  </si>
  <si>
    <t>라오스 Lanxang Media 인쇄재료 수출건 / 매경 소개 / 3회 분할 입금 조건</t>
    <phoneticPr fontId="1" type="noConversion"/>
  </si>
  <si>
    <t xml:space="preserve">유로텍 </t>
  </si>
  <si>
    <t>MBN M600 Warranty Service charge</t>
    <phoneticPr fontId="13" type="noConversion"/>
  </si>
  <si>
    <t>GOSS</t>
    <phoneticPr fontId="13" type="noConversion"/>
  </si>
  <si>
    <t>Ink</t>
    <phoneticPr fontId="12" type="noConversion"/>
  </si>
  <si>
    <t>Date</t>
    <phoneticPr fontId="17" type="noConversion"/>
  </si>
  <si>
    <t>ENGAGE 27 900X570MM WE</t>
  </si>
  <si>
    <t>Blanket(1050*840)</t>
    <phoneticPr fontId="16" type="noConversion"/>
  </si>
  <si>
    <t>Wash</t>
    <phoneticPr fontId="16" type="noConversion"/>
  </si>
  <si>
    <t>Blanket</t>
    <phoneticPr fontId="16" type="noConversion"/>
  </si>
  <si>
    <t>고무사카 회색</t>
    <phoneticPr fontId="16" type="noConversion"/>
  </si>
  <si>
    <t>고무사카 빨간색</t>
    <phoneticPr fontId="16" type="noConversion"/>
  </si>
  <si>
    <t>삼각판 코</t>
    <phoneticPr fontId="16" type="noConversion"/>
  </si>
  <si>
    <t>Goss</t>
  </si>
  <si>
    <t>스트리퍼</t>
    <phoneticPr fontId="16" type="noConversion"/>
  </si>
  <si>
    <t>샤프트 잠금장치</t>
    <phoneticPr fontId="16" type="noConversion"/>
  </si>
  <si>
    <t>로랜드 Blanket(1050*910)</t>
  </si>
  <si>
    <t>로랜드 Blanket(1050*910)</t>
    <phoneticPr fontId="16" type="noConversion"/>
  </si>
  <si>
    <t>미쯔비시 Blanket(1035*910)</t>
  </si>
  <si>
    <t>미쯔비시 Blanket(1035*910)</t>
    <phoneticPr fontId="16" type="noConversion"/>
  </si>
  <si>
    <t>Fount</t>
    <phoneticPr fontId="16" type="noConversion"/>
  </si>
  <si>
    <t>윤전용 실리콘</t>
    <phoneticPr fontId="16" type="noConversion"/>
  </si>
  <si>
    <t>필터백</t>
  </si>
  <si>
    <t>필터백</t>
    <phoneticPr fontId="16" type="noConversion"/>
  </si>
  <si>
    <t>아니록스 롤러</t>
    <phoneticPr fontId="16" type="noConversion"/>
  </si>
  <si>
    <t>재단목(Cutting Rubber)</t>
    <phoneticPr fontId="16" type="noConversion"/>
  </si>
  <si>
    <t>필름출력 현상기 롤라</t>
    <phoneticPr fontId="16" type="noConversion"/>
  </si>
  <si>
    <t>프리미어 잉크</t>
  </si>
  <si>
    <t>프리미어 잉크</t>
    <phoneticPr fontId="16" type="noConversion"/>
  </si>
  <si>
    <t>세정포-XL106</t>
    <phoneticPr fontId="16" type="noConversion"/>
  </si>
  <si>
    <t>XL106 Blanket(1077*885)</t>
    <phoneticPr fontId="16" type="noConversion"/>
  </si>
  <si>
    <t>UV wash(20L)</t>
  </si>
  <si>
    <t>UV wash(20L)</t>
    <phoneticPr fontId="16" type="noConversion"/>
  </si>
  <si>
    <t>Agfa Film(24inch)</t>
    <phoneticPr fontId="16" type="noConversion"/>
  </si>
  <si>
    <t>Agfa Film(28inch)</t>
    <phoneticPr fontId="16" type="noConversion"/>
  </si>
  <si>
    <t>Agfa Film(32inch)</t>
    <phoneticPr fontId="16" type="noConversion"/>
  </si>
  <si>
    <t>Blanket(990*725)</t>
  </si>
  <si>
    <t>윤전용 세척제(Web 504)</t>
    <phoneticPr fontId="16" type="noConversion"/>
  </si>
  <si>
    <t>매엽용 세척제(Wash 562)</t>
    <phoneticPr fontId="16" type="noConversion"/>
  </si>
  <si>
    <t>THR200(20L)</t>
    <phoneticPr fontId="16" type="noConversion"/>
  </si>
  <si>
    <t>CTP</t>
    <phoneticPr fontId="16" type="noConversion"/>
  </si>
  <si>
    <t>Film</t>
    <phoneticPr fontId="16" type="noConversion"/>
  </si>
  <si>
    <t>Others</t>
    <phoneticPr fontId="16" type="noConversion"/>
  </si>
  <si>
    <t>Roller</t>
    <phoneticPr fontId="16" type="noConversion"/>
  </si>
  <si>
    <t>Ink</t>
    <phoneticPr fontId="16" type="noConversion"/>
  </si>
  <si>
    <t>Agfa</t>
    <phoneticPr fontId="16" type="noConversion"/>
  </si>
  <si>
    <t>동양잉크</t>
  </si>
  <si>
    <t>동양잉크</t>
    <phoneticPr fontId="16" type="noConversion"/>
  </si>
  <si>
    <t>붸처코리아</t>
    <phoneticPr fontId="16" type="noConversion"/>
  </si>
  <si>
    <t>대우피앤시</t>
    <phoneticPr fontId="16" type="noConversion"/>
  </si>
  <si>
    <t>하이델베르그</t>
    <phoneticPr fontId="16" type="noConversion"/>
  </si>
  <si>
    <t>화성메이저</t>
    <phoneticPr fontId="16" type="noConversion"/>
  </si>
  <si>
    <t>대진PM</t>
  </si>
  <si>
    <t>대진PM</t>
    <phoneticPr fontId="16" type="noConversion"/>
  </si>
  <si>
    <t>매입</t>
    <phoneticPr fontId="1" type="noConversion"/>
  </si>
  <si>
    <t>Margin</t>
    <phoneticPr fontId="17" type="noConversion"/>
  </si>
  <si>
    <t>Qtt</t>
    <phoneticPr fontId="1" type="noConversion"/>
  </si>
  <si>
    <t>Price</t>
    <phoneticPr fontId="1" type="noConversion"/>
  </si>
  <si>
    <t>비고</t>
    <phoneticPr fontId="17" type="noConversion"/>
  </si>
  <si>
    <t>Order</t>
    <phoneticPr fontId="1" type="noConversion"/>
  </si>
  <si>
    <t>Item</t>
    <phoneticPr fontId="1" type="noConversion"/>
  </si>
  <si>
    <t>Purchasing Price</t>
    <phoneticPr fontId="1" type="noConversion"/>
  </si>
  <si>
    <t>Total Purchase</t>
    <phoneticPr fontId="1" type="noConversion"/>
  </si>
  <si>
    <t xml:space="preserve">공압콤푸레샤 종이필터 </t>
  </si>
  <si>
    <t>M-600B 윤전기 기술 서비스</t>
  </si>
  <si>
    <t>Service</t>
  </si>
  <si>
    <t>Fount 554</t>
  </si>
  <si>
    <t>Blanket(1060*860)</t>
  </si>
  <si>
    <t>Technotrans 알콜컨트롤</t>
  </si>
  <si>
    <t>Nozzle D 3.0 blue complete</t>
  </si>
  <si>
    <t>Type1</t>
    <phoneticPr fontId="16" type="noConversion"/>
  </si>
  <si>
    <t>Type2</t>
    <phoneticPr fontId="17" type="noConversion"/>
  </si>
  <si>
    <t>Consums</t>
  </si>
  <si>
    <t>Consums</t>
    <phoneticPr fontId="16" type="noConversion"/>
  </si>
  <si>
    <t>Date</t>
    <phoneticPr fontId="16" type="noConversion"/>
  </si>
  <si>
    <t>대우피앤시</t>
  </si>
  <si>
    <t>Type</t>
    <phoneticPr fontId="1" type="noConversion"/>
  </si>
  <si>
    <t>Buying Price</t>
    <phoneticPr fontId="1" type="noConversion"/>
  </si>
  <si>
    <t>Hiedelberg</t>
    <phoneticPr fontId="1" type="noConversion"/>
  </si>
  <si>
    <t>Others</t>
    <phoneticPr fontId="1" type="noConversion"/>
  </si>
  <si>
    <t>Wash</t>
    <phoneticPr fontId="1" type="noConversion"/>
  </si>
  <si>
    <t>Fount Web 551AF</t>
    <phoneticPr fontId="1" type="noConversion"/>
  </si>
  <si>
    <t>Fount</t>
    <phoneticPr fontId="1" type="noConversion"/>
  </si>
  <si>
    <t>Fount 511</t>
    <phoneticPr fontId="1" type="noConversion"/>
  </si>
  <si>
    <t>Blanket</t>
    <phoneticPr fontId="1" type="noConversion"/>
  </si>
  <si>
    <t>동양잉크</t>
    <phoneticPr fontId="1" type="noConversion"/>
  </si>
  <si>
    <t>프리미어(잉크)(100kg)</t>
    <phoneticPr fontId="1" type="noConversion"/>
  </si>
  <si>
    <t>Ink</t>
    <phoneticPr fontId="1" type="noConversion"/>
  </si>
  <si>
    <t>프리미어(잉크)(384kg)</t>
    <phoneticPr fontId="1" type="noConversion"/>
  </si>
  <si>
    <t>화성메이저</t>
    <phoneticPr fontId="1" type="noConversion"/>
  </si>
  <si>
    <t>대진PM</t>
    <phoneticPr fontId="1" type="noConversion"/>
  </si>
  <si>
    <t>붸처코리아</t>
    <phoneticPr fontId="1" type="noConversion"/>
  </si>
  <si>
    <t>대한교역</t>
    <phoneticPr fontId="1" type="noConversion"/>
  </si>
  <si>
    <t>Plunger Parts</t>
    <phoneticPr fontId="1" type="noConversion"/>
  </si>
  <si>
    <t>Agfa</t>
    <phoneticPr fontId="1" type="noConversion"/>
  </si>
  <si>
    <t>Film</t>
    <phoneticPr fontId="1" type="noConversion"/>
  </si>
  <si>
    <t>CTP</t>
    <phoneticPr fontId="1" type="noConversion"/>
  </si>
  <si>
    <t>THR200(20L)</t>
    <phoneticPr fontId="1" type="noConversion"/>
  </si>
  <si>
    <t>ENGAGE27 90*57</t>
    <phoneticPr fontId="1" type="noConversion"/>
  </si>
  <si>
    <t>CTP</t>
    <phoneticPr fontId="19" type="noConversion"/>
  </si>
  <si>
    <t>Blanket</t>
    <phoneticPr fontId="19" type="noConversion"/>
  </si>
  <si>
    <t>Bar블랑켓 730*710</t>
    <phoneticPr fontId="1" type="noConversion"/>
  </si>
  <si>
    <t>체인구리스(하이델)</t>
    <phoneticPr fontId="1" type="noConversion"/>
  </si>
  <si>
    <t>아니록스 롤러</t>
    <phoneticPr fontId="1" type="noConversion"/>
  </si>
  <si>
    <t>Roller</t>
    <phoneticPr fontId="1" type="noConversion"/>
  </si>
  <si>
    <t>필름출력 현상기 롤라</t>
    <phoneticPr fontId="1" type="noConversion"/>
  </si>
  <si>
    <t>Agfa Film(24inch)</t>
    <phoneticPr fontId="1" type="noConversion"/>
  </si>
  <si>
    <t>Agfa Film(28inch)</t>
    <phoneticPr fontId="1" type="noConversion"/>
  </si>
  <si>
    <t>Agfa Film(32inch)</t>
    <phoneticPr fontId="1" type="noConversion"/>
  </si>
  <si>
    <t>UV wash(20L)</t>
    <phoneticPr fontId="1" type="noConversion"/>
  </si>
  <si>
    <t>Blanket(1050*840)</t>
    <phoneticPr fontId="1" type="noConversion"/>
  </si>
  <si>
    <t>Blanket(1060*860)</t>
    <phoneticPr fontId="1" type="noConversion"/>
  </si>
  <si>
    <t>로랜드 Blanket(1050*910)</t>
    <phoneticPr fontId="1" type="noConversion"/>
  </si>
  <si>
    <t>미쯔비시 Blanket(1035*910)</t>
    <phoneticPr fontId="1" type="noConversion"/>
  </si>
  <si>
    <t>윤전용 실리콘</t>
    <phoneticPr fontId="1" type="noConversion"/>
  </si>
  <si>
    <t>매엽용 세척제(Wash 562)</t>
    <phoneticPr fontId="1" type="noConversion"/>
  </si>
  <si>
    <t>윤전용 세척제(Web 504)</t>
    <phoneticPr fontId="1" type="noConversion"/>
  </si>
  <si>
    <t>Fount 511</t>
    <phoneticPr fontId="16" type="noConversion"/>
  </si>
  <si>
    <t>Fount Web 551AF</t>
    <phoneticPr fontId="16" type="noConversion"/>
  </si>
  <si>
    <t>아스테이지(닥트호일 국전)</t>
    <phoneticPr fontId="1" type="noConversion"/>
  </si>
  <si>
    <t>세정포-XL106</t>
  </si>
  <si>
    <t>아스테이지(닥트호일 HD102)</t>
  </si>
  <si>
    <t>체인구리스(하이델)</t>
    <phoneticPr fontId="16" type="noConversion"/>
  </si>
  <si>
    <t>고무사카 회색</t>
    <phoneticPr fontId="1" type="noConversion"/>
  </si>
  <si>
    <t>고무사카 빨간색</t>
    <phoneticPr fontId="18" type="noConversion"/>
  </si>
  <si>
    <t>Sales(NonTax)</t>
    <phoneticPr fontId="1" type="noConversion"/>
  </si>
  <si>
    <t>Total Purchase       (Non Tax)</t>
    <phoneticPr fontId="1" type="noConversion"/>
  </si>
  <si>
    <t>Blanket(1060*860)</t>
    <phoneticPr fontId="16" type="noConversion"/>
  </si>
  <si>
    <t>Goss</t>
    <phoneticPr fontId="18" type="noConversion"/>
  </si>
  <si>
    <t>닥트호일(잉크호일)</t>
    <phoneticPr fontId="18" type="noConversion"/>
  </si>
  <si>
    <t>XL106 Blanket(1077*885)</t>
  </si>
  <si>
    <t>Blanket(990*725)</t>
    <phoneticPr fontId="16" type="noConversion"/>
  </si>
  <si>
    <t>도져 필터세트</t>
    <phoneticPr fontId="16" type="noConversion"/>
  </si>
  <si>
    <t>퍼시픽패키지</t>
    <phoneticPr fontId="18" type="noConversion"/>
  </si>
  <si>
    <t>아스테이지(국전)</t>
    <phoneticPr fontId="18" type="noConversion"/>
  </si>
  <si>
    <t>국전 사이즈</t>
    <phoneticPr fontId="18" type="noConversion"/>
  </si>
  <si>
    <t>아스테이지(국전)</t>
    <phoneticPr fontId="16" type="noConversion"/>
  </si>
  <si>
    <t>아스테이지(T-3절)</t>
    <phoneticPr fontId="1" type="noConversion"/>
  </si>
  <si>
    <t>Technotrans</t>
    <phoneticPr fontId="18" type="noConversion"/>
  </si>
  <si>
    <t>판매처</t>
    <phoneticPr fontId="1" type="noConversion"/>
  </si>
  <si>
    <t>비고</t>
    <phoneticPr fontId="1" type="noConversion"/>
  </si>
  <si>
    <t>동일제품 (국전사이즈)</t>
    <phoneticPr fontId="18" type="noConversion"/>
  </si>
  <si>
    <t>Jprinting</t>
    <phoneticPr fontId="16" type="noConversion"/>
  </si>
  <si>
    <t>Jprinting</t>
    <phoneticPr fontId="1" type="noConversion"/>
  </si>
  <si>
    <t>Zecher</t>
    <phoneticPr fontId="16" type="noConversion"/>
  </si>
  <si>
    <t>Zecher</t>
    <phoneticPr fontId="1" type="noConversion"/>
  </si>
  <si>
    <t>17.5.8 송금가격</t>
    <phoneticPr fontId="18" type="noConversion"/>
  </si>
  <si>
    <t>Others</t>
    <phoneticPr fontId="18" type="noConversion"/>
  </si>
  <si>
    <t>Date</t>
    <phoneticPr fontId="21" type="noConversion"/>
  </si>
  <si>
    <t>Price(KRW)</t>
    <phoneticPr fontId="1" type="noConversion"/>
  </si>
  <si>
    <t>재고여부</t>
    <phoneticPr fontId="1" type="noConversion"/>
  </si>
  <si>
    <t>Qtt</t>
    <phoneticPr fontId="21" type="noConversion"/>
  </si>
  <si>
    <t>Nozzle D 3.0 Blue Complete</t>
    <phoneticPr fontId="21" type="noConversion"/>
  </si>
  <si>
    <t>Technotrans</t>
    <phoneticPr fontId="21" type="noConversion"/>
  </si>
  <si>
    <t>케이피</t>
    <phoneticPr fontId="21" type="noConversion"/>
  </si>
  <si>
    <t>Num</t>
    <phoneticPr fontId="21" type="noConversion"/>
  </si>
  <si>
    <t>Quick Coupling, Straight, 9*8, H0 Senozzle Brass, Nicke Lplate</t>
    <phoneticPr fontId="21" type="noConversion"/>
  </si>
  <si>
    <t>비고</t>
    <phoneticPr fontId="21" type="noConversion"/>
  </si>
  <si>
    <t>Goss</t>
    <phoneticPr fontId="21" type="noConversion"/>
  </si>
  <si>
    <t>Rubber Cutting Stick</t>
    <phoneticPr fontId="21" type="noConversion"/>
  </si>
  <si>
    <t>I/O Terminal Program Controller</t>
    <phoneticPr fontId="21" type="noConversion"/>
  </si>
  <si>
    <t>Exchange Rate</t>
    <phoneticPr fontId="1" type="noConversion"/>
  </si>
  <si>
    <t>Ink Module Drive Board</t>
    <phoneticPr fontId="21" type="noConversion"/>
  </si>
  <si>
    <t>Brush, Head Stop</t>
    <phoneticPr fontId="21" type="noConversion"/>
  </si>
  <si>
    <t>Brake Lining</t>
    <phoneticPr fontId="21" type="noConversion"/>
  </si>
  <si>
    <t>Link, Chain - Special</t>
    <phoneticPr fontId="21" type="noConversion"/>
  </si>
  <si>
    <t>프린피아 주안</t>
    <phoneticPr fontId="21" type="noConversion"/>
  </si>
  <si>
    <t>프린피아 문발</t>
    <phoneticPr fontId="21" type="noConversion"/>
  </si>
  <si>
    <t>X</t>
    <phoneticPr fontId="21" type="noConversion"/>
  </si>
  <si>
    <t>Stopcock Blue kpl</t>
    <phoneticPr fontId="21" type="noConversion"/>
  </si>
  <si>
    <t>Tax</t>
    <phoneticPr fontId="21" type="noConversion"/>
  </si>
  <si>
    <t>Freight</t>
    <phoneticPr fontId="21" type="noConversion"/>
  </si>
  <si>
    <t>Pin, Folder</t>
    <phoneticPr fontId="21" type="noConversion"/>
  </si>
  <si>
    <t>Diaphragm Orange</t>
    <phoneticPr fontId="21" type="noConversion"/>
  </si>
  <si>
    <t>Blade Cut Off Knife</t>
    <phoneticPr fontId="21" type="noConversion"/>
  </si>
  <si>
    <t>Spark Plug</t>
    <phoneticPr fontId="21" type="noConversion"/>
  </si>
  <si>
    <t>매일경제</t>
    <phoneticPr fontId="21" type="noConversion"/>
  </si>
  <si>
    <t>윤전용 세척제(Web 504)</t>
  </si>
  <si>
    <t>시엠시엔지니어링</t>
    <phoneticPr fontId="18" type="noConversion"/>
  </si>
  <si>
    <t>Blanket(1050*840)bar</t>
    <phoneticPr fontId="18" type="noConversion"/>
  </si>
  <si>
    <t>코팅용 Blanket(1047*794)bar</t>
  </si>
  <si>
    <t>Service</t>
    <phoneticPr fontId="1" type="noConversion"/>
  </si>
  <si>
    <t>Consumable</t>
    <phoneticPr fontId="1" type="noConversion"/>
  </si>
  <si>
    <t>total</t>
    <phoneticPr fontId="1" type="noConversion"/>
  </si>
  <si>
    <t>CTP</t>
    <phoneticPr fontId="18" type="noConversion"/>
  </si>
  <si>
    <t>대하팩키지</t>
    <phoneticPr fontId="18" type="noConversion"/>
  </si>
  <si>
    <t>재능</t>
    <phoneticPr fontId="18" type="noConversion"/>
  </si>
  <si>
    <t>세흥</t>
    <phoneticPr fontId="18" type="noConversion"/>
  </si>
  <si>
    <t>5</t>
  </si>
  <si>
    <t>입금되었음</t>
    <phoneticPr fontId="1" type="noConversion"/>
  </si>
  <si>
    <t>.</t>
    <phoneticPr fontId="1" type="noConversion"/>
  </si>
  <si>
    <t>8/23 입금 136,890원</t>
    <phoneticPr fontId="1" type="noConversion"/>
  </si>
  <si>
    <t>7</t>
  </si>
  <si>
    <t>9/25 입금 459,750원</t>
    <phoneticPr fontId="1" type="noConversion"/>
  </si>
  <si>
    <t>정명인쇄</t>
  </si>
  <si>
    <t xml:space="preserve">10/26 입금 755,610원 </t>
    <phoneticPr fontId="1" type="noConversion"/>
  </si>
  <si>
    <t>일흥피앤피</t>
  </si>
  <si>
    <t>11월 22일</t>
    <phoneticPr fontId="1" type="noConversion"/>
  </si>
  <si>
    <t xml:space="preserve">11/22 732,630원 </t>
    <phoneticPr fontId="1" type="noConversion"/>
  </si>
  <si>
    <t>12월 30일</t>
    <phoneticPr fontId="1" type="noConversion"/>
  </si>
  <si>
    <t>부경인재</t>
  </si>
  <si>
    <t>이펙피앤피</t>
  </si>
  <si>
    <t>세영애드</t>
  </si>
  <si>
    <t>우정인쇄</t>
  </si>
  <si>
    <t>디자인부산</t>
  </si>
  <si>
    <t>태영정판</t>
  </si>
  <si>
    <t>한글그래픽스</t>
  </si>
  <si>
    <t>세영애드인</t>
  </si>
  <si>
    <t>2014. 5</t>
    <phoneticPr fontId="1" type="noConversion"/>
  </si>
  <si>
    <t>천재상사</t>
  </si>
  <si>
    <t>2014. 7</t>
    <phoneticPr fontId="1" type="noConversion"/>
  </si>
  <si>
    <t>상지사</t>
  </si>
  <si>
    <t>한국하이델베르그
(납품-동도씨앤피)</t>
  </si>
  <si>
    <t>페이퍼 
익스프레스
(덕수 보상)</t>
  </si>
  <si>
    <t>붸처코리아</t>
  </si>
  <si>
    <t>현대문예</t>
  </si>
  <si>
    <t>2014. 10</t>
    <phoneticPr fontId="1" type="noConversion"/>
  </si>
  <si>
    <t>경성산업사</t>
  </si>
  <si>
    <t>대한프린테크</t>
  </si>
  <si>
    <t>한글그라픽스</t>
  </si>
  <si>
    <t>동진프린트</t>
  </si>
  <si>
    <t>천재상사-문발</t>
  </si>
  <si>
    <t>아이피디</t>
  </si>
  <si>
    <t>상현원색</t>
  </si>
  <si>
    <t>에스엠 인터내셔날</t>
  </si>
  <si>
    <t>삼원인쇄</t>
  </si>
  <si>
    <t>전광인쇄정보</t>
  </si>
  <si>
    <t>삼보에이팩</t>
  </si>
  <si>
    <t>2015. 7</t>
    <phoneticPr fontId="1" type="noConversion"/>
  </si>
  <si>
    <t>세류페이퍼
(프린피아 종이보상)</t>
  </si>
  <si>
    <t>청산인쇄</t>
  </si>
  <si>
    <t>매일신문사</t>
  </si>
  <si>
    <t>토마텍</t>
  </si>
  <si>
    <t>에스피인터네셔널</t>
  </si>
  <si>
    <t>2015. 10</t>
    <phoneticPr fontId="1" type="noConversion"/>
  </si>
  <si>
    <t>직지미디어</t>
  </si>
  <si>
    <t>퍼시픽패키지-엄홍근 차장</t>
  </si>
  <si>
    <t>동양 I &amp; C</t>
  </si>
  <si>
    <t>크레너</t>
  </si>
  <si>
    <t>한국아그파 산업</t>
  </si>
  <si>
    <t>백산인쇄</t>
  </si>
  <si>
    <t>매일경제 (M-Print)</t>
  </si>
  <si>
    <t>금도피엠에프</t>
  </si>
  <si>
    <t>프린피아 
문발
-임경영 대리</t>
  </si>
  <si>
    <t>매일경제(MBN)</t>
  </si>
  <si>
    <t>화성메이져 
(대하팩키지)</t>
  </si>
  <si>
    <t>신안피피
(세흥인쇄)</t>
  </si>
  <si>
    <t>케이엠피 KMP</t>
  </si>
  <si>
    <t>퍼시픽패키지
종사업장 0번</t>
  </si>
  <si>
    <t>퍼시픽패키지-구매팀</t>
  </si>
  <si>
    <t>신창 
디지털프린텍</t>
  </si>
  <si>
    <t>한빛테크</t>
  </si>
  <si>
    <t xml:space="preserve">㈜에스제이씨성전 </t>
  </si>
  <si>
    <t>조일인쇄</t>
  </si>
  <si>
    <t>㈜ 대흥</t>
  </si>
  <si>
    <t>성원애드피아</t>
  </si>
  <si>
    <t>현진인쇄</t>
  </si>
  <si>
    <t>에스엠 인터내셔널</t>
  </si>
  <si>
    <t>시엠시</t>
  </si>
  <si>
    <t>프린피아 
파주-
임경영대리</t>
  </si>
  <si>
    <t>HnP(에치엔피)  (구, 학원사)</t>
  </si>
  <si>
    <t>란쌍미디어 Lanxang Media</t>
  </si>
  <si>
    <t>매일신문사(대구)</t>
  </si>
  <si>
    <t>아이앤피</t>
  </si>
  <si>
    <t>Portion</t>
    <phoneticPr fontId="1" type="noConversion"/>
  </si>
  <si>
    <t>부품부</t>
  </si>
  <si>
    <t>서비스</t>
    <phoneticPr fontId="1" type="noConversion"/>
  </si>
  <si>
    <t>품목별</t>
    <phoneticPr fontId="1" type="noConversion"/>
  </si>
  <si>
    <t>YTD 12 months</t>
    <phoneticPr fontId="1" type="noConversion"/>
  </si>
  <si>
    <r>
      <t xml:space="preserve">7/31 입금 </t>
    </r>
    <r>
      <rPr>
        <sz val="12"/>
        <color indexed="8"/>
        <rFont val="맑은 고딕"/>
        <family val="3"/>
        <charset val="129"/>
      </rPr>
      <t>57</t>
    </r>
    <r>
      <rPr>
        <sz val="12"/>
        <color indexed="8"/>
        <rFont val="맑은 고딕"/>
        <family val="3"/>
        <charset val="129"/>
      </rPr>
      <t>,</t>
    </r>
    <r>
      <rPr>
        <sz val="12"/>
        <color indexed="8"/>
        <rFont val="맑은 고딕"/>
        <family val="3"/>
        <charset val="129"/>
      </rPr>
      <t>708원</t>
    </r>
    <phoneticPr fontId="1" type="noConversion"/>
  </si>
  <si>
    <t xml:space="preserve">12/30 입금 890,550원 </t>
    <phoneticPr fontId="1" type="noConversion"/>
  </si>
  <si>
    <t xml:space="preserve">1/24 입금 1.194,900원 </t>
    <phoneticPr fontId="1" type="noConversion"/>
  </si>
  <si>
    <t>삼영특수(차인수)</t>
    <phoneticPr fontId="1" type="noConversion"/>
  </si>
  <si>
    <t>HKR Commission</t>
    <phoneticPr fontId="1" type="noConversion"/>
  </si>
  <si>
    <t>3/5 입금 1,177,804원</t>
    <phoneticPr fontId="1" type="noConversion"/>
  </si>
  <si>
    <t>4/1 입금 207,092원
469,412-60,000(주차료)
-202,320(연말정산)=207,092</t>
    <phoneticPr fontId="1" type="noConversion"/>
  </si>
  <si>
    <t>입금 확인요망</t>
    <phoneticPr fontId="1" type="noConversion"/>
  </si>
  <si>
    <t>2014. 1</t>
    <phoneticPr fontId="1" type="noConversion"/>
  </si>
  <si>
    <t>2014. 2</t>
    <phoneticPr fontId="1" type="noConversion"/>
  </si>
  <si>
    <t>* 5/12 입금 1,157,582원</t>
    <phoneticPr fontId="1" type="noConversion"/>
  </si>
  <si>
    <t>2014. 3</t>
    <phoneticPr fontId="1" type="noConversion"/>
  </si>
  <si>
    <t>2014. 4</t>
    <phoneticPr fontId="1" type="noConversion"/>
  </si>
  <si>
    <t>* 6/10 입금 1,848,587원</t>
    <phoneticPr fontId="1" type="noConversion"/>
  </si>
  <si>
    <t>*대하팩키지 8/14 통화, 현재잔액 2,420,000원(3월,5월)확인</t>
    <phoneticPr fontId="1" type="noConversion"/>
  </si>
  <si>
    <t>* 7/21 입금 491,481원</t>
    <phoneticPr fontId="1" type="noConversion"/>
  </si>
  <si>
    <t>2014. 6</t>
    <phoneticPr fontId="1" type="noConversion"/>
  </si>
  <si>
    <t>*농도계 commission 15%</t>
    <phoneticPr fontId="1" type="noConversion"/>
  </si>
  <si>
    <t>2014. 8</t>
    <phoneticPr fontId="1" type="noConversion"/>
  </si>
  <si>
    <t>2014. 9</t>
    <phoneticPr fontId="1" type="noConversion"/>
  </si>
  <si>
    <t>2014. 11</t>
    <phoneticPr fontId="1" type="noConversion"/>
  </si>
  <si>
    <t>2014. 12</t>
    <phoneticPr fontId="1" type="noConversion"/>
  </si>
  <si>
    <t>2015. 1</t>
    <phoneticPr fontId="1" type="noConversion"/>
  </si>
  <si>
    <t>2015. 2</t>
    <phoneticPr fontId="1" type="noConversion"/>
  </si>
  <si>
    <t>2015. 3</t>
    <phoneticPr fontId="1" type="noConversion"/>
  </si>
  <si>
    <t>대광지공
(배원 종이보상)</t>
    <phoneticPr fontId="1" type="noConversion"/>
  </si>
  <si>
    <t>2015. 4</t>
    <phoneticPr fontId="1" type="noConversion"/>
  </si>
  <si>
    <t>* commission 15%</t>
    <phoneticPr fontId="1" type="noConversion"/>
  </si>
  <si>
    <t>2015. 5</t>
    <phoneticPr fontId="1" type="noConversion"/>
  </si>
  <si>
    <t>2015. 6</t>
    <phoneticPr fontId="1" type="noConversion"/>
  </si>
  <si>
    <t>* commission 15%-농도계</t>
    <phoneticPr fontId="1" type="noConversion"/>
  </si>
  <si>
    <t>*중철기곰마</t>
    <phoneticPr fontId="1" type="noConversion"/>
  </si>
  <si>
    <t>*GOSS</t>
    <phoneticPr fontId="1" type="noConversion"/>
  </si>
  <si>
    <t>2015. 8</t>
    <phoneticPr fontId="1" type="noConversion"/>
  </si>
  <si>
    <t>2015. 9</t>
    <phoneticPr fontId="1" type="noConversion"/>
  </si>
  <si>
    <t>2015. 11</t>
    <phoneticPr fontId="1" type="noConversion"/>
  </si>
  <si>
    <t>2015. 12</t>
    <phoneticPr fontId="1" type="noConversion"/>
  </si>
  <si>
    <t>2016. 1</t>
    <phoneticPr fontId="1" type="noConversion"/>
  </si>
  <si>
    <t>2016. 2</t>
    <phoneticPr fontId="1" type="noConversion"/>
  </si>
  <si>
    <t>2016. 3</t>
    <phoneticPr fontId="1" type="noConversion"/>
  </si>
  <si>
    <t>2016. 4</t>
    <phoneticPr fontId="1" type="noConversion"/>
  </si>
  <si>
    <t>2016. 5</t>
    <phoneticPr fontId="1" type="noConversion"/>
  </si>
  <si>
    <t>퍼시픽패키지</t>
    <phoneticPr fontId="1" type="noConversion"/>
  </si>
  <si>
    <t>프린피아 
주안</t>
    <phoneticPr fontId="1" type="noConversion"/>
  </si>
  <si>
    <t>프린피아 
문발공장</t>
    <phoneticPr fontId="1" type="noConversion"/>
  </si>
  <si>
    <t>2016. 6</t>
    <phoneticPr fontId="1" type="noConversion"/>
  </si>
  <si>
    <t>CTP판</t>
    <phoneticPr fontId="1" type="noConversion"/>
  </si>
  <si>
    <t>롤라</t>
    <phoneticPr fontId="1" type="noConversion"/>
  </si>
  <si>
    <t>2016. 7</t>
    <phoneticPr fontId="1" type="noConversion"/>
  </si>
  <si>
    <t>2016. 8</t>
    <phoneticPr fontId="1" type="noConversion"/>
  </si>
  <si>
    <t>2016. 9</t>
    <phoneticPr fontId="1" type="noConversion"/>
  </si>
  <si>
    <t>매일경제(MBN)</t>
    <phoneticPr fontId="1" type="noConversion"/>
  </si>
  <si>
    <t>2016. 10</t>
    <phoneticPr fontId="1" type="noConversion"/>
  </si>
  <si>
    <t>매일경제</t>
    <phoneticPr fontId="1" type="noConversion"/>
  </si>
  <si>
    <t>GOSS 10/4 Invoice 발행 / 매일경제(MBN)</t>
    <phoneticPr fontId="1" type="noConversion"/>
  </si>
  <si>
    <t>2016. 11</t>
    <phoneticPr fontId="1" type="noConversion"/>
  </si>
  <si>
    <t>2016. 12</t>
    <phoneticPr fontId="1" type="noConversion"/>
  </si>
  <si>
    <t>퍼시픽패키지-구매팀</t>
    <phoneticPr fontId="1" type="noConversion"/>
  </si>
  <si>
    <t>2017. 1</t>
    <phoneticPr fontId="1" type="noConversion"/>
  </si>
  <si>
    <t>* Roller</t>
    <phoneticPr fontId="4" type="noConversion"/>
  </si>
  <si>
    <t>* CTP</t>
    <phoneticPr fontId="4" type="noConversion"/>
  </si>
  <si>
    <t>퍼시픽패키지</t>
    <phoneticPr fontId="4" type="noConversion"/>
  </si>
  <si>
    <t>프린피아 
문발</t>
    <phoneticPr fontId="4" type="noConversion"/>
  </si>
  <si>
    <t>* 정경호 사장 재고 매입건</t>
    <phoneticPr fontId="4" type="noConversion"/>
  </si>
  <si>
    <t>프린피아 
주안</t>
    <phoneticPr fontId="4" type="noConversion"/>
  </si>
  <si>
    <t>매일경제</t>
    <phoneticPr fontId="4" type="noConversion"/>
  </si>
  <si>
    <t>2017. 2</t>
    <phoneticPr fontId="1" type="noConversion"/>
  </si>
  <si>
    <t>프린피아 
문발공장</t>
    <phoneticPr fontId="4" type="noConversion"/>
  </si>
  <si>
    <t>매일경제(MBN)</t>
    <phoneticPr fontId="4" type="noConversion"/>
  </si>
  <si>
    <t>2017. 3</t>
    <phoneticPr fontId="1" type="noConversion"/>
  </si>
  <si>
    <t>세흥인쇄</t>
    <phoneticPr fontId="4" type="noConversion"/>
  </si>
  <si>
    <t>2017. 4</t>
    <phoneticPr fontId="1" type="noConversion"/>
  </si>
  <si>
    <t>매일경제(MBN)-본사</t>
    <phoneticPr fontId="1" type="noConversion"/>
  </si>
  <si>
    <t>세흥인쇄</t>
    <phoneticPr fontId="1" type="noConversion"/>
  </si>
  <si>
    <t>재능</t>
    <phoneticPr fontId="1" type="noConversion"/>
  </si>
  <si>
    <t>덕수</t>
    <phoneticPr fontId="1" type="noConversion"/>
  </si>
  <si>
    <t>프린피아 문발</t>
    <phoneticPr fontId="1" type="noConversion"/>
  </si>
  <si>
    <t>프린피아 주안</t>
    <phoneticPr fontId="1" type="noConversion"/>
  </si>
  <si>
    <t>배원인쇄사</t>
    <phoneticPr fontId="1" type="noConversion"/>
  </si>
  <si>
    <t>대일프린텍</t>
    <phoneticPr fontId="1" type="noConversion"/>
  </si>
  <si>
    <t>대하팩키지</t>
    <phoneticPr fontId="1" type="noConversion"/>
  </si>
  <si>
    <t>미래인텍</t>
    <phoneticPr fontId="1" type="noConversion"/>
  </si>
  <si>
    <t>동양인쇄재료</t>
    <phoneticPr fontId="1" type="noConversion"/>
  </si>
  <si>
    <t>2017. 5</t>
    <phoneticPr fontId="1" type="noConversion"/>
  </si>
  <si>
    <t>세흥인쇄</t>
    <phoneticPr fontId="11" type="noConversion"/>
  </si>
  <si>
    <t>금강인쇄</t>
    <phoneticPr fontId="11" type="noConversion"/>
  </si>
  <si>
    <t>덕수</t>
    <phoneticPr fontId="11" type="noConversion"/>
  </si>
  <si>
    <t>프린피아 문발</t>
    <phoneticPr fontId="11" type="noConversion"/>
  </si>
  <si>
    <t>프린피아 주안</t>
    <phoneticPr fontId="11" type="noConversion"/>
  </si>
  <si>
    <t>매일경제</t>
    <phoneticPr fontId="11" type="noConversion"/>
  </si>
  <si>
    <t>퍼시픽패키지</t>
    <phoneticPr fontId="11" type="noConversion"/>
  </si>
  <si>
    <t>대일프린텍</t>
    <phoneticPr fontId="11" type="noConversion"/>
  </si>
  <si>
    <t>동양인쇄재료상사</t>
    <phoneticPr fontId="11" type="noConversion"/>
  </si>
  <si>
    <t>2017. 6</t>
    <phoneticPr fontId="1" type="noConversion"/>
  </si>
  <si>
    <t>프린피아 문발</t>
    <phoneticPr fontId="4" type="noConversion"/>
  </si>
  <si>
    <t>대하팩키지</t>
    <phoneticPr fontId="4" type="noConversion"/>
  </si>
  <si>
    <t>동양인쇄재료상사</t>
    <phoneticPr fontId="4" type="noConversion"/>
  </si>
  <si>
    <t>보문특수칼라</t>
    <phoneticPr fontId="4" type="noConversion"/>
  </si>
  <si>
    <t>덕수</t>
    <phoneticPr fontId="4" type="noConversion"/>
  </si>
  <si>
    <t>맥스타</t>
    <phoneticPr fontId="4" type="noConversion"/>
  </si>
  <si>
    <t>* 박영용 이사</t>
    <phoneticPr fontId="1" type="noConversion"/>
  </si>
  <si>
    <t xml:space="preserve">* commission 15% </t>
    <phoneticPr fontId="1" type="noConversion"/>
  </si>
  <si>
    <t>습수정화장치</t>
    <phoneticPr fontId="1" type="noConversion"/>
  </si>
  <si>
    <t>* Commission 15% (습수정화장치)</t>
    <phoneticPr fontId="1" type="noConversion"/>
  </si>
  <si>
    <t xml:space="preserve">엔투비 (포스코) </t>
    <phoneticPr fontId="1" type="noConversion"/>
  </si>
  <si>
    <t>케이엠피</t>
    <phoneticPr fontId="1" type="noConversion"/>
  </si>
  <si>
    <t xml:space="preserve">케이엠피 </t>
    <phoneticPr fontId="1" type="noConversion"/>
  </si>
  <si>
    <t>행복나래 / 대륙제관</t>
    <phoneticPr fontId="1" type="noConversion"/>
  </si>
  <si>
    <t>퍼시픽패키지</t>
    <phoneticPr fontId="7" type="noConversion"/>
  </si>
  <si>
    <t>매일경제</t>
    <phoneticPr fontId="7" type="noConversion"/>
  </si>
  <si>
    <t xml:space="preserve">엔투비 </t>
    <phoneticPr fontId="7" type="noConversion"/>
  </si>
  <si>
    <t>* 가습기 계약금 30%</t>
    <phoneticPr fontId="7" type="noConversion"/>
  </si>
  <si>
    <t>매일경제(MBN)</t>
    <phoneticPr fontId="7" type="noConversion"/>
  </si>
  <si>
    <t>국민피앤텍</t>
    <phoneticPr fontId="14" type="noConversion"/>
  </si>
  <si>
    <t>* 가습기 중도금 50%</t>
    <phoneticPr fontId="7" type="noConversion"/>
  </si>
  <si>
    <t>프린피아 주안</t>
    <phoneticPr fontId="7" type="noConversion"/>
  </si>
  <si>
    <t>국민피앤텍</t>
    <phoneticPr fontId="7" type="noConversion"/>
  </si>
  <si>
    <t>송운사</t>
    <phoneticPr fontId="7" type="noConversion"/>
  </si>
  <si>
    <t>프린피아 
문발</t>
    <phoneticPr fontId="1" type="noConversion"/>
  </si>
  <si>
    <t xml:space="preserve">프린피아 
주안
</t>
    <phoneticPr fontId="1" type="noConversion"/>
  </si>
  <si>
    <t xml:space="preserve">매일경제(MBN) </t>
    <phoneticPr fontId="1" type="noConversion"/>
  </si>
  <si>
    <t>프린피아 
주안</t>
    <phoneticPr fontId="5" type="noConversion"/>
  </si>
  <si>
    <t>삼화인쇄</t>
    <phoneticPr fontId="14" type="noConversion"/>
  </si>
  <si>
    <t>교학사</t>
    <phoneticPr fontId="14" type="noConversion"/>
  </si>
  <si>
    <t>프린피아 주안</t>
    <phoneticPr fontId="14" type="noConversion"/>
  </si>
  <si>
    <t>프린피아 파주</t>
    <phoneticPr fontId="15" type="noConversion"/>
  </si>
  <si>
    <t>팩컴 AAP</t>
    <phoneticPr fontId="15" type="noConversion"/>
  </si>
  <si>
    <t>HnP</t>
    <phoneticPr fontId="15" type="noConversion"/>
  </si>
  <si>
    <t>프린피아 주안</t>
    <phoneticPr fontId="5" type="noConversion"/>
  </si>
  <si>
    <t>프린피아 문발</t>
    <phoneticPr fontId="5" type="noConversion"/>
  </si>
  <si>
    <t>HKR (재능인쇄 서비스 비용)</t>
    <phoneticPr fontId="1" type="noConversion"/>
  </si>
  <si>
    <t>* HKR 청구금액 for 재능인쇄 M600 서비스(이상훈 이사)</t>
    <phoneticPr fontId="1" type="noConversion"/>
  </si>
  <si>
    <t>* GOSS M600 연간 서비스계약 (총 5백만원, 4회 분할) 1회</t>
    <phoneticPr fontId="1" type="noConversion"/>
  </si>
  <si>
    <t>* M600 서비스 야간출장비 100,000원을 2회 분할 발행</t>
    <phoneticPr fontId="1" type="noConversion"/>
  </si>
  <si>
    <t>* GOSS M600 연간 서비스계약 (총 5백만원, 4회 분할) 2회</t>
    <phoneticPr fontId="1" type="noConversion"/>
  </si>
  <si>
    <t>* GOSS 본사 엔지니어 서비스 비용</t>
    <phoneticPr fontId="1" type="noConversion"/>
  </si>
  <si>
    <t>* GOSS M600 연간 서비스계약 (총 5백만원, 4회 분할) 3회</t>
    <phoneticPr fontId="1" type="noConversion"/>
  </si>
  <si>
    <t>* GOSS M600 연간 서비스계약 (총 5백만원, 4회 분할) 4회</t>
    <phoneticPr fontId="1" type="noConversion"/>
  </si>
  <si>
    <t>*GOSS M600 연간 서비스계약 (총 5백만원, 4회 분할) 1회</t>
    <phoneticPr fontId="8" type="noConversion"/>
  </si>
  <si>
    <t>프린피아 주안</t>
    <phoneticPr fontId="8" type="noConversion"/>
  </si>
  <si>
    <r>
      <t>1st installation charge of M600 for MBN</t>
    </r>
    <r>
      <rPr>
        <sz val="12"/>
        <color indexed="8"/>
        <rFont val="맑은 고딕"/>
        <family val="3"/>
        <charset val="129"/>
      </rPr>
      <t>  :  15,000,000 won</t>
    </r>
  </si>
  <si>
    <r>
      <t>2nd installation charge of M600 for MBN</t>
    </r>
    <r>
      <rPr>
        <sz val="12"/>
        <color indexed="8"/>
        <rFont val="맑은 고딕"/>
        <family val="3"/>
        <charset val="129"/>
      </rPr>
      <t>  :  15,000,000 won</t>
    </r>
  </si>
  <si>
    <r>
      <t>Local Purchase of M600 parts for MBN</t>
    </r>
    <r>
      <rPr>
        <sz val="12"/>
        <color indexed="8"/>
        <rFont val="맑은 고딕"/>
        <family val="3"/>
        <charset val="129"/>
      </rPr>
      <t>  :  3,125,100 won</t>
    </r>
  </si>
  <si>
    <r>
      <t>3rd installation charge of M600 for MBN</t>
    </r>
    <r>
      <rPr>
        <sz val="12"/>
        <color indexed="8"/>
        <rFont val="맑은 고딕"/>
        <family val="3"/>
        <charset val="129"/>
      </rPr>
      <t>  :  20,000,000 won</t>
    </r>
    <phoneticPr fontId="1" type="noConversion"/>
  </si>
  <si>
    <t>재능</t>
    <phoneticPr fontId="11" type="noConversion"/>
  </si>
  <si>
    <t>보광피앤피</t>
    <phoneticPr fontId="11" type="noConversion"/>
  </si>
  <si>
    <t>프린피아 주안</t>
    <phoneticPr fontId="4" type="noConversion"/>
  </si>
  <si>
    <t>미래인텍</t>
    <phoneticPr fontId="4" type="noConversion"/>
  </si>
  <si>
    <t>재능</t>
    <phoneticPr fontId="8" type="noConversion"/>
  </si>
  <si>
    <t>Water Form Roller-CD102용</t>
    <phoneticPr fontId="16" type="noConversion"/>
  </si>
  <si>
    <t>Water Pan Roller-CD102용</t>
    <phoneticPr fontId="16" type="noConversion"/>
  </si>
  <si>
    <t>삼화롤러스</t>
    <phoneticPr fontId="18" type="noConversion"/>
  </si>
  <si>
    <t>Blanket(770*700)bar</t>
    <phoneticPr fontId="18" type="noConversion"/>
  </si>
  <si>
    <t>신일디앤피</t>
    <phoneticPr fontId="18" type="noConversion"/>
  </si>
  <si>
    <t>금강인쇄</t>
    <phoneticPr fontId="4" type="noConversion"/>
  </si>
  <si>
    <t>ENGAGE 900X570 - 27RO</t>
    <phoneticPr fontId="18" type="noConversion"/>
  </si>
  <si>
    <t>재능(Ink &amp; CTP)</t>
    <phoneticPr fontId="4" type="noConversion"/>
  </si>
  <si>
    <t>재능(Roller)</t>
    <phoneticPr fontId="4" type="noConversion"/>
  </si>
  <si>
    <t>M600 윤전 세정포</t>
    <phoneticPr fontId="18" type="noConversion"/>
  </si>
  <si>
    <t>ADVERTISEMENT</t>
    <phoneticPr fontId="13" type="noConversion"/>
  </si>
  <si>
    <t>Fount 554</t>
    <phoneticPr fontId="18" type="noConversion"/>
  </si>
  <si>
    <t>Roller(WH.976718)</t>
    <phoneticPr fontId="21" type="noConversion"/>
  </si>
  <si>
    <t>UPP Diamphram Lockup Bar</t>
    <phoneticPr fontId="21" type="noConversion"/>
  </si>
  <si>
    <t xml:space="preserve"> </t>
  </si>
  <si>
    <t xml:space="preserve">   </t>
  </si>
  <si>
    <t>Stripper(T33985)</t>
    <phoneticPr fontId="21" type="noConversion"/>
  </si>
  <si>
    <t>Stripper(T33986)</t>
    <phoneticPr fontId="21" type="noConversion"/>
  </si>
  <si>
    <t>Stripper(T34124)</t>
    <phoneticPr fontId="21" type="noConversion"/>
  </si>
  <si>
    <t>Stripper(T34125)</t>
    <phoneticPr fontId="21" type="noConversion"/>
  </si>
  <si>
    <t>프리미어(적)</t>
    <phoneticPr fontId="18" type="noConversion"/>
  </si>
  <si>
    <t>프리미어(황)</t>
    <phoneticPr fontId="18" type="noConversion"/>
  </si>
  <si>
    <t>프리미어(청)</t>
    <phoneticPr fontId="18" type="noConversion"/>
  </si>
  <si>
    <t>프리미어(먹)</t>
    <phoneticPr fontId="18" type="noConversion"/>
  </si>
  <si>
    <t>kg</t>
    <phoneticPr fontId="18" type="noConversion"/>
  </si>
  <si>
    <t>데리바리 석션벨트</t>
    <phoneticPr fontId="18" type="noConversion"/>
  </si>
  <si>
    <t>매출</t>
    <phoneticPr fontId="1" type="noConversion"/>
  </si>
  <si>
    <t>덕수</t>
    <phoneticPr fontId="16" type="noConversion"/>
  </si>
  <si>
    <t>프린피아 주안</t>
    <phoneticPr fontId="16" type="noConversion"/>
  </si>
  <si>
    <t>국민피앤텍</t>
    <phoneticPr fontId="1" type="noConversion"/>
  </si>
  <si>
    <t>금강인쇄</t>
    <phoneticPr fontId="1" type="noConversion"/>
  </si>
  <si>
    <t>동양인쇄재료상사</t>
    <phoneticPr fontId="1" type="noConversion"/>
  </si>
  <si>
    <t>팩컴 AAP</t>
    <phoneticPr fontId="1" type="noConversion"/>
  </si>
  <si>
    <t>HnP</t>
    <phoneticPr fontId="1" type="noConversion"/>
  </si>
  <si>
    <t>프린피아 파주</t>
    <phoneticPr fontId="1" type="noConversion"/>
  </si>
  <si>
    <t>신한종합인쇄</t>
    <phoneticPr fontId="1" type="noConversion"/>
  </si>
  <si>
    <t>보광피앤피</t>
    <phoneticPr fontId="1" type="noConversion"/>
  </si>
  <si>
    <t>삼화인쇄</t>
    <phoneticPr fontId="1" type="noConversion"/>
  </si>
  <si>
    <t>신안테크</t>
    <phoneticPr fontId="1" type="noConversion"/>
  </si>
  <si>
    <t>교학사</t>
    <phoneticPr fontId="1" type="noConversion"/>
  </si>
  <si>
    <t>대하팩키지</t>
    <phoneticPr fontId="16" type="noConversion"/>
  </si>
  <si>
    <t>Blanket(1050*840)bar</t>
    <phoneticPr fontId="16" type="noConversion"/>
  </si>
  <si>
    <t>시엠시엔지니어링</t>
    <phoneticPr fontId="16" type="noConversion"/>
  </si>
  <si>
    <t>신흥피앤피</t>
    <phoneticPr fontId="16" type="noConversion"/>
  </si>
  <si>
    <t>신일디앤피</t>
    <phoneticPr fontId="16" type="noConversion"/>
  </si>
  <si>
    <t>아스테이지(T-3절)</t>
    <phoneticPr fontId="16" type="noConversion"/>
  </si>
  <si>
    <t>맥스타</t>
    <phoneticPr fontId="16" type="noConversion"/>
  </si>
  <si>
    <t>매일경제</t>
    <phoneticPr fontId="16" type="noConversion"/>
  </si>
  <si>
    <t>Plunger Parts</t>
    <phoneticPr fontId="16" type="noConversion"/>
  </si>
  <si>
    <t>보문특수칼라</t>
    <phoneticPr fontId="16" type="noConversion"/>
  </si>
  <si>
    <t>ENGAGE 900X570 - 27RO</t>
    <phoneticPr fontId="16" type="noConversion"/>
  </si>
  <si>
    <t>송운사</t>
    <phoneticPr fontId="16" type="noConversion"/>
  </si>
  <si>
    <t>Link, Chain - Special</t>
    <phoneticPr fontId="16" type="noConversion"/>
  </si>
  <si>
    <t>Brush, Head Stop</t>
    <phoneticPr fontId="16" type="noConversion"/>
  </si>
  <si>
    <t>Brake Lining</t>
    <phoneticPr fontId="16" type="noConversion"/>
  </si>
  <si>
    <t>케이피</t>
    <phoneticPr fontId="16" type="noConversion"/>
  </si>
  <si>
    <t>stopcock blue kpl</t>
    <phoneticPr fontId="16" type="noConversion"/>
  </si>
  <si>
    <t>재능</t>
    <phoneticPr fontId="16" type="noConversion"/>
  </si>
  <si>
    <t>M-600B 윤전기 기술 서비스</t>
    <phoneticPr fontId="16" type="noConversion"/>
  </si>
  <si>
    <t>Spark Plug</t>
    <phoneticPr fontId="16" type="noConversion"/>
  </si>
  <si>
    <t>서비스 계약(4회분할 중 2회차)</t>
    <phoneticPr fontId="16" type="noConversion"/>
  </si>
  <si>
    <t>M-600 서비스 비용</t>
    <phoneticPr fontId="16" type="noConversion"/>
  </si>
  <si>
    <t>Blanket(770*700)bar</t>
    <phoneticPr fontId="16" type="noConversion"/>
  </si>
  <si>
    <t>구리스 일반용</t>
    <phoneticPr fontId="16" type="noConversion"/>
  </si>
  <si>
    <t>습수정화장치(beta.f) 필터세트</t>
    <phoneticPr fontId="16" type="noConversion"/>
  </si>
  <si>
    <t>M600 윤전 세정포</t>
    <phoneticPr fontId="16" type="noConversion"/>
  </si>
  <si>
    <t>데리바리 석션벨트</t>
    <phoneticPr fontId="16" type="noConversion"/>
  </si>
  <si>
    <t>프리미어(적)</t>
    <phoneticPr fontId="16" type="noConversion"/>
  </si>
  <si>
    <t>프리미어(황)</t>
    <phoneticPr fontId="16" type="noConversion"/>
  </si>
  <si>
    <t>프리미어(청)</t>
    <phoneticPr fontId="16" type="noConversion"/>
  </si>
  <si>
    <t>신흥피앤피</t>
    <phoneticPr fontId="8" type="noConversion"/>
  </si>
  <si>
    <t>재능(Ink &amp; CTP)</t>
  </si>
  <si>
    <t>재능(Ink &amp; CTP)</t>
    <phoneticPr fontId="16" type="noConversion"/>
  </si>
  <si>
    <t>재능(Roller)</t>
    <phoneticPr fontId="16" type="noConversion"/>
  </si>
  <si>
    <t>케이피</t>
    <phoneticPr fontId="7" type="noConversion"/>
  </si>
  <si>
    <t>신한종합인쇄</t>
    <phoneticPr fontId="14" type="noConversion"/>
  </si>
  <si>
    <t>신안테크</t>
    <phoneticPr fontId="14" type="noConversion"/>
  </si>
  <si>
    <t>대진PM</t>
    <phoneticPr fontId="14" type="noConversion"/>
  </si>
  <si>
    <t>송운사 알콜컨트롤</t>
    <phoneticPr fontId="18" type="noConversion"/>
  </si>
  <si>
    <t>구리스 일반용</t>
    <phoneticPr fontId="18" type="noConversion"/>
  </si>
  <si>
    <t>Total Price(KRW)</t>
    <phoneticPr fontId="21" type="noConversion"/>
  </si>
  <si>
    <t>대한교역</t>
    <phoneticPr fontId="16" type="noConversion"/>
  </si>
  <si>
    <t>매일경제</t>
    <phoneticPr fontId="5" type="noConversion"/>
  </si>
  <si>
    <t>덕수</t>
    <phoneticPr fontId="7" type="noConversion"/>
  </si>
  <si>
    <t>Room Charge for Leo(퍼시픽패키지 가습기 공사)</t>
    <phoneticPr fontId="13" type="noConversion"/>
  </si>
  <si>
    <t>Service</t>
    <phoneticPr fontId="5" type="noConversion"/>
  </si>
  <si>
    <t>*GOSS M600 연간 서비스계약 (총 5백만원, 4회 분할) 2회</t>
    <phoneticPr fontId="8" type="noConversion"/>
  </si>
  <si>
    <t>Replaces Part Number 050-41743</t>
    <phoneticPr fontId="21" type="noConversion"/>
  </si>
  <si>
    <t>Nip Roll</t>
    <phoneticPr fontId="21" type="noConversion"/>
  </si>
  <si>
    <t>Insolating Strip(양면테이프)</t>
    <phoneticPr fontId="21" type="noConversion"/>
  </si>
  <si>
    <t>Insolating Strip(양면테이프)</t>
    <phoneticPr fontId="16" type="noConversion"/>
  </si>
  <si>
    <t>드라이어 점화 플러그</t>
    <phoneticPr fontId="16" type="noConversion"/>
  </si>
  <si>
    <t>재능</t>
    <phoneticPr fontId="5" type="noConversion"/>
  </si>
  <si>
    <t>재고(매입가 다름)</t>
    <phoneticPr fontId="16" type="noConversion"/>
  </si>
  <si>
    <t>삼화롤러스</t>
    <phoneticPr fontId="16" type="noConversion"/>
  </si>
  <si>
    <t>Margin   (check)</t>
    <phoneticPr fontId="17" type="noConversion"/>
  </si>
  <si>
    <t>5MX(1050*840)</t>
    <phoneticPr fontId="18" type="noConversion"/>
  </si>
  <si>
    <t>5MX(1050*840)</t>
    <phoneticPr fontId="16" type="noConversion"/>
  </si>
  <si>
    <t>프리미어(먹)</t>
    <phoneticPr fontId="16" type="noConversion"/>
  </si>
  <si>
    <t>IST EAST</t>
    <phoneticPr fontId="1" type="noConversion"/>
  </si>
  <si>
    <t>Amount / EUR</t>
    <phoneticPr fontId="1" type="noConversion"/>
  </si>
  <si>
    <t xml:space="preserve">Commission of Sales of Spareparts/Finetechweb </t>
    <phoneticPr fontId="13" type="noConversion"/>
  </si>
  <si>
    <t>대일프린텍</t>
    <phoneticPr fontId="16" type="noConversion"/>
  </si>
  <si>
    <t>하이델 CD 102 롤라 1유니트(12개) 이달중 삼화롤러에서 재능으로 납품 예정, 날짜 확정되면 명세서 보내야 함</t>
    <phoneticPr fontId="25" type="noConversion"/>
  </si>
  <si>
    <t>변동수량</t>
    <phoneticPr fontId="25" type="noConversion"/>
  </si>
  <si>
    <t>매일신문</t>
    <phoneticPr fontId="21" type="noConversion"/>
  </si>
  <si>
    <t>대구매일신문</t>
    <phoneticPr fontId="16" type="noConversion"/>
  </si>
  <si>
    <t>Ink Module Drive Board</t>
    <phoneticPr fontId="16" type="noConversion"/>
  </si>
  <si>
    <t>중고 잉크드라이브</t>
    <phoneticPr fontId="16" type="noConversion"/>
  </si>
  <si>
    <t>교학사</t>
    <phoneticPr fontId="16" type="noConversion"/>
  </si>
  <si>
    <t>SLT-COM 메인 모터 콘트롤 기판</t>
    <phoneticPr fontId="16" type="noConversion"/>
  </si>
  <si>
    <t>스플라이서 롤러</t>
    <phoneticPr fontId="16" type="noConversion"/>
  </si>
  <si>
    <t>* 가습기 잔금 20%</t>
    <phoneticPr fontId="7" type="noConversion"/>
  </si>
  <si>
    <t>배원인쇄사</t>
    <phoneticPr fontId="16" type="noConversion"/>
  </si>
  <si>
    <t>Pin, Folder</t>
    <phoneticPr fontId="16" type="noConversion"/>
  </si>
  <si>
    <t>Diaphragm Orange</t>
    <phoneticPr fontId="16" type="noConversion"/>
  </si>
  <si>
    <t>Cutting Rubber</t>
    <phoneticPr fontId="16" type="noConversion"/>
  </si>
  <si>
    <t>Blade rotative folder chopper</t>
    <phoneticPr fontId="16" type="noConversion"/>
  </si>
  <si>
    <t>Blade cut off knife</t>
    <phoneticPr fontId="16" type="noConversion"/>
  </si>
  <si>
    <t>Roll pinch</t>
    <phoneticPr fontId="16" type="noConversion"/>
  </si>
  <si>
    <t>Moteur Baumer(WM.5793784)</t>
    <phoneticPr fontId="16" type="noConversion"/>
  </si>
  <si>
    <t>Moteur Baumer(WM.5793785)</t>
    <phoneticPr fontId="16" type="noConversion"/>
  </si>
  <si>
    <t>프린피아 문발</t>
    <phoneticPr fontId="16" type="noConversion"/>
  </si>
  <si>
    <t>매일경제</t>
  </si>
  <si>
    <t>2017. 7</t>
    <phoneticPr fontId="1" type="noConversion"/>
  </si>
  <si>
    <t>대구매일신문</t>
    <phoneticPr fontId="5" type="noConversion"/>
  </si>
  <si>
    <t>하이델베르그</t>
    <phoneticPr fontId="5" type="noConversion"/>
  </si>
  <si>
    <t>ENGAGE - 1092*800</t>
    <phoneticPr fontId="18" type="noConversion"/>
  </si>
  <si>
    <t>ENGAGE - 1030*790</t>
    <phoneticPr fontId="18" type="noConversion"/>
  </si>
  <si>
    <t>아이앤피</t>
    <phoneticPr fontId="16" type="noConversion"/>
  </si>
  <si>
    <t>Agfa 정착액 G333C(20L)</t>
    <phoneticPr fontId="1" type="noConversion"/>
  </si>
  <si>
    <t>Agfa 현상액 G101C(10L)</t>
    <phoneticPr fontId="16" type="noConversion"/>
  </si>
  <si>
    <t>Agfa 정착액 G333C(20L)</t>
    <phoneticPr fontId="16" type="noConversion"/>
  </si>
  <si>
    <t>Agfa 현상액 G101C(10L)</t>
    <phoneticPr fontId="1" type="noConversion"/>
  </si>
  <si>
    <t>ENGAGE - 1092*800</t>
    <phoneticPr fontId="16" type="noConversion"/>
  </si>
  <si>
    <t>배원인쇄사</t>
    <phoneticPr fontId="4" type="noConversion"/>
  </si>
  <si>
    <t>전기판넬필터 SET</t>
    <phoneticPr fontId="16" type="noConversion"/>
  </si>
  <si>
    <t>데리바리 석션벨트</t>
  </si>
  <si>
    <t>CD102 롤러 세트</t>
    <phoneticPr fontId="16" type="noConversion"/>
  </si>
  <si>
    <t>Moteur Baumer(WM.5793784)</t>
  </si>
  <si>
    <t>스플라이서 롤러</t>
    <phoneticPr fontId="21" type="noConversion"/>
  </si>
  <si>
    <t>교학사</t>
    <phoneticPr fontId="21" type="noConversion"/>
  </si>
  <si>
    <t>Roller(Spiral Type)</t>
    <phoneticPr fontId="21" type="noConversion"/>
  </si>
  <si>
    <t>반송</t>
    <phoneticPr fontId="21" type="noConversion"/>
  </si>
  <si>
    <t>하이델베르그</t>
  </si>
  <si>
    <t>하이델베르그</t>
    <phoneticPr fontId="21" type="noConversion"/>
  </si>
  <si>
    <t>WP1006160</t>
  </si>
  <si>
    <t>Cutting Rubber</t>
    <phoneticPr fontId="21" type="noConversion"/>
  </si>
  <si>
    <t>Roll Pinch</t>
    <phoneticPr fontId="21" type="noConversion"/>
  </si>
  <si>
    <t>Nozzle 0.3mm</t>
  </si>
  <si>
    <t>최종가격 조정</t>
    <phoneticPr fontId="16" type="noConversion"/>
  </si>
  <si>
    <t>적힌 가격은 견적 가격총 납품가 3700만원   (부가세 제외)</t>
    <phoneticPr fontId="16" type="noConversion"/>
  </si>
  <si>
    <t>아이앤피</t>
    <phoneticPr fontId="4" type="noConversion"/>
  </si>
  <si>
    <t>Technotrans 펌프모터 교체 및 서비스</t>
  </si>
  <si>
    <t>블랑켓 9700A bar</t>
    <phoneticPr fontId="16" type="noConversion"/>
  </si>
  <si>
    <t>천일</t>
    <phoneticPr fontId="16" type="noConversion"/>
  </si>
  <si>
    <t>대일프린텍</t>
    <phoneticPr fontId="7" type="noConversion"/>
  </si>
  <si>
    <t>보문특수칼라</t>
    <phoneticPr fontId="7" type="noConversion"/>
  </si>
  <si>
    <t>대일프린텍</t>
    <phoneticPr fontId="4" type="noConversion"/>
  </si>
  <si>
    <t>천일</t>
    <phoneticPr fontId="4" type="noConversion"/>
  </si>
  <si>
    <t>피디티엔티</t>
    <phoneticPr fontId="16" type="noConversion"/>
  </si>
  <si>
    <t>송운사</t>
    <phoneticPr fontId="4" type="noConversion"/>
  </si>
  <si>
    <t>Pump</t>
    <phoneticPr fontId="21" type="noConversion"/>
  </si>
  <si>
    <t>Solenoid Valve</t>
    <phoneticPr fontId="21" type="noConversion"/>
  </si>
  <si>
    <t>Air Cylinder Mecman 1300</t>
    <phoneticPr fontId="21" type="noConversion"/>
  </si>
  <si>
    <t>WM.005801103</t>
    <phoneticPr fontId="21" type="noConversion"/>
  </si>
  <si>
    <t>WM.X73028</t>
    <phoneticPr fontId="21" type="noConversion"/>
  </si>
  <si>
    <t>Air Cylinder, Leibfried</t>
    <phoneticPr fontId="21" type="noConversion"/>
  </si>
  <si>
    <t>화인웹테크</t>
    <phoneticPr fontId="16" type="noConversion"/>
  </si>
  <si>
    <t>재고</t>
    <phoneticPr fontId="16" type="noConversion"/>
  </si>
  <si>
    <t>6월 매입건</t>
    <phoneticPr fontId="16" type="noConversion"/>
  </si>
  <si>
    <t>8월 이월</t>
    <phoneticPr fontId="16" type="noConversion"/>
  </si>
  <si>
    <t>세흥인쇄</t>
    <phoneticPr fontId="16" type="noConversion"/>
  </si>
  <si>
    <t>피니토 하이델 국전용 블랑켓</t>
    <phoneticPr fontId="16" type="noConversion"/>
  </si>
  <si>
    <t>윤전 블랑켓</t>
    <phoneticPr fontId="16" type="noConversion"/>
  </si>
  <si>
    <t>Pump</t>
    <phoneticPr fontId="16" type="noConversion"/>
  </si>
  <si>
    <t>Solenoid Valve</t>
    <phoneticPr fontId="16" type="noConversion"/>
  </si>
  <si>
    <t>Air Cylinder Mecman 1300</t>
  </si>
  <si>
    <t>Air Cylinder, Leibfried</t>
  </si>
  <si>
    <t>배전판 필터</t>
    <phoneticPr fontId="16" type="noConversion"/>
  </si>
  <si>
    <t>배전판 필터</t>
    <phoneticPr fontId="18" type="noConversion"/>
  </si>
  <si>
    <t>미래인텍</t>
    <phoneticPr fontId="11" type="noConversion"/>
  </si>
  <si>
    <t>서비스 계약(4회분할 중 3회차)</t>
    <phoneticPr fontId="16" type="noConversion"/>
  </si>
  <si>
    <t>Blanket(830*750)</t>
    <phoneticPr fontId="1" type="noConversion"/>
  </si>
  <si>
    <t>Blanket(730*710)</t>
    <phoneticPr fontId="1" type="noConversion"/>
  </si>
  <si>
    <t>배원</t>
    <phoneticPr fontId="18" type="noConversion"/>
  </si>
  <si>
    <t>핀, 레버</t>
    <phoneticPr fontId="16" type="noConversion"/>
  </si>
  <si>
    <t>핀, 레버</t>
    <phoneticPr fontId="21" type="noConversion"/>
  </si>
  <si>
    <t>실리콘</t>
    <phoneticPr fontId="16" type="noConversion"/>
  </si>
  <si>
    <t>롤러 오일</t>
    <phoneticPr fontId="16" type="noConversion"/>
  </si>
  <si>
    <t xml:space="preserve">8.2,8.4 재능 스플라이서 수리 서비스 건 </t>
    <phoneticPr fontId="25" type="noConversion"/>
  </si>
  <si>
    <t>2017. 8</t>
    <phoneticPr fontId="1" type="noConversion"/>
  </si>
  <si>
    <t>8.21 프린피아 주안 작업건 385만원 논의 후 발행 예정</t>
    <phoneticPr fontId="25" type="noConversion"/>
  </si>
  <si>
    <t>이사님 Mike 서비스 건 결재해야함</t>
    <phoneticPr fontId="25" type="noConversion"/>
  </si>
  <si>
    <t>Silicone 544</t>
  </si>
  <si>
    <t>S.C</t>
  </si>
  <si>
    <t>25L</t>
  </si>
  <si>
    <t>          91,000</t>
  </si>
  <si>
    <t>       182,000</t>
  </si>
  <si>
    <t>WASH WEB 504</t>
  </si>
  <si>
    <t>wash</t>
  </si>
  <si>
    <t>        115,000</t>
  </si>
  <si>
    <t>       575,000</t>
  </si>
  <si>
    <t>Wash 562</t>
  </si>
  <si>
    <t>          51,000</t>
  </si>
  <si>
    <t>       255,000</t>
  </si>
  <si>
    <t>5MX</t>
  </si>
  <si>
    <t>b</t>
  </si>
  <si>
    <t>          99,000</t>
  </si>
  <si>
    <t>       990,000</t>
  </si>
  <si>
    <t>Saphira 5000</t>
  </si>
  <si>
    <t>        160,000</t>
  </si>
  <si>
    <t>       800,000</t>
  </si>
  <si>
    <t>FOUNT Web 551AF</t>
  </si>
  <si>
    <t>fount</t>
  </si>
  <si>
    <t>25kg</t>
  </si>
  <si>
    <t>        112,500</t>
  </si>
  <si>
    <t>       562,500</t>
  </si>
  <si>
    <t>       364,000</t>
  </si>
  <si>
    <t>x</t>
  </si>
  <si>
    <t>          88,700</t>
  </si>
  <si>
    <t>     1,330,500</t>
  </si>
  <si>
    <t>                -</t>
  </si>
  <si>
    <t>       510,000</t>
  </si>
  <si>
    <t>       455,000</t>
  </si>
  <si>
    <t>          90,000</t>
  </si>
  <si>
    <t>     1,350,000</t>
  </si>
  <si>
    <t>Roller Oil</t>
  </si>
  <si>
    <t>삼원인쇄</t>
    <phoneticPr fontId="16" type="noConversion"/>
  </si>
  <si>
    <t>롤러 set</t>
    <phoneticPr fontId="16" type="noConversion"/>
  </si>
  <si>
    <t>삼화인쇄</t>
    <phoneticPr fontId="16" type="noConversion"/>
  </si>
  <si>
    <t>원가 300만원(중고)</t>
    <phoneticPr fontId="16" type="noConversion"/>
  </si>
  <si>
    <t>THD200(20L)</t>
    <phoneticPr fontId="16" type="noConversion"/>
  </si>
  <si>
    <t>RC795(20L)</t>
  </si>
  <si>
    <t>RC795(20L)</t>
    <phoneticPr fontId="16" type="noConversion"/>
  </si>
  <si>
    <t>ELITEPRO 30WEB(883*552)</t>
    <phoneticPr fontId="16" type="noConversion"/>
  </si>
  <si>
    <t>THD200(20L)</t>
    <phoneticPr fontId="18" type="noConversion"/>
  </si>
  <si>
    <t>ELITEPRO 30WEB(883*552)</t>
    <phoneticPr fontId="18" type="noConversion"/>
  </si>
  <si>
    <t>삼화인쇄, 프린피아</t>
    <phoneticPr fontId="18" type="noConversion"/>
  </si>
  <si>
    <t>가격 네고</t>
    <phoneticPr fontId="16" type="noConversion"/>
  </si>
  <si>
    <t>국민피앤텍</t>
    <phoneticPr fontId="4" type="noConversion"/>
  </si>
  <si>
    <t>삼화인쇄</t>
    <phoneticPr fontId="4" type="noConversion"/>
  </si>
  <si>
    <t>교학사</t>
    <phoneticPr fontId="5" type="noConversion"/>
  </si>
  <si>
    <t>화인웹테크</t>
    <phoneticPr fontId="7" type="noConversion"/>
  </si>
  <si>
    <t>삼원인쇄</t>
    <phoneticPr fontId="7" type="noConversion"/>
  </si>
  <si>
    <t>보진재</t>
    <phoneticPr fontId="16" type="noConversion"/>
  </si>
  <si>
    <t>퍼시픽패키지</t>
    <phoneticPr fontId="16" type="noConversion"/>
  </si>
  <si>
    <t>교학사</t>
    <phoneticPr fontId="8" type="noConversion"/>
  </si>
  <si>
    <t>프린피아 문발</t>
    <phoneticPr fontId="8" type="noConversion"/>
  </si>
  <si>
    <t>삼화인쇄</t>
    <phoneticPr fontId="8" type="noConversion"/>
  </si>
  <si>
    <t>보진재</t>
    <phoneticPr fontId="8" type="noConversion"/>
  </si>
  <si>
    <t>*GOSS M600 연간 서비스계약 (총 5백만원, 4회 분할) 3회</t>
    <phoneticPr fontId="8" type="noConversion"/>
  </si>
  <si>
    <t>삼화인쇄</t>
    <phoneticPr fontId="5" type="noConversion"/>
  </si>
  <si>
    <t>Margin (%)</t>
    <phoneticPr fontId="16" type="noConversion"/>
  </si>
  <si>
    <t>로랜드 전지 블랑켓(1460*1165)bar</t>
    <phoneticPr fontId="18" type="noConversion"/>
  </si>
  <si>
    <t>로랜드 전지 블랑켓(1460*1165)bar</t>
    <phoneticPr fontId="16" type="noConversion"/>
  </si>
  <si>
    <t>화인웹테크</t>
    <phoneticPr fontId="21" type="noConversion"/>
  </si>
  <si>
    <t>Temperature Sensor KTY 81-210</t>
  </si>
  <si>
    <t>Temperature Sensor KTY 81-210</t>
    <phoneticPr fontId="16" type="noConversion"/>
  </si>
  <si>
    <t>Alcocontrol Rel.04</t>
    <phoneticPr fontId="21" type="noConversion"/>
  </si>
  <si>
    <t>Flow Controller VK305 M1</t>
  </si>
  <si>
    <t>Flow Controller VK305 M1</t>
    <phoneticPr fontId="16" type="noConversion"/>
  </si>
  <si>
    <t>덕수</t>
    <phoneticPr fontId="18" type="noConversion"/>
  </si>
  <si>
    <t>윤전 블랑켓</t>
    <phoneticPr fontId="18" type="noConversion"/>
  </si>
  <si>
    <t>매일경제</t>
    <phoneticPr fontId="18" type="noConversion"/>
  </si>
  <si>
    <t>Saphira 5000</t>
    <phoneticPr fontId="18" type="noConversion"/>
  </si>
  <si>
    <t>Saphira 5000</t>
    <phoneticPr fontId="16" type="noConversion"/>
  </si>
  <si>
    <t>스프링블레이드(대)</t>
    <phoneticPr fontId="16" type="noConversion"/>
  </si>
  <si>
    <t>스프링블레이드(소)</t>
    <phoneticPr fontId="16" type="noConversion"/>
  </si>
  <si>
    <t>아끼야마 Blanket(1035*970)</t>
  </si>
  <si>
    <t>아끼야마 Blanket(1035*970)</t>
    <phoneticPr fontId="16" type="noConversion"/>
  </si>
  <si>
    <t>롤러 오일</t>
    <phoneticPr fontId="18" type="noConversion"/>
  </si>
  <si>
    <t>Asura Access</t>
    <phoneticPr fontId="16" type="noConversion"/>
  </si>
  <si>
    <t>`</t>
    <phoneticPr fontId="18" type="noConversion"/>
  </si>
  <si>
    <t>테스트용</t>
    <phoneticPr fontId="16" type="noConversion"/>
  </si>
  <si>
    <t>프린피아 문발</t>
    <phoneticPr fontId="18" type="noConversion"/>
  </si>
  <si>
    <t>M-600 자동판걸이 튜브 설치</t>
    <phoneticPr fontId="16" type="noConversion"/>
  </si>
  <si>
    <t>1박스 8개</t>
    <phoneticPr fontId="16" type="noConversion"/>
  </si>
  <si>
    <t>피니토 하이델 국전용 블랑켓</t>
    <phoneticPr fontId="18" type="noConversion"/>
  </si>
  <si>
    <t>정광인쇄</t>
    <phoneticPr fontId="16" type="noConversion"/>
  </si>
  <si>
    <t>Alcocontrol</t>
    <phoneticPr fontId="16" type="noConversion"/>
  </si>
  <si>
    <t>ASM 필터 0,2mm</t>
    <phoneticPr fontId="16" type="noConversion"/>
  </si>
  <si>
    <t>필터 하우징</t>
    <phoneticPr fontId="16" type="noConversion"/>
  </si>
  <si>
    <t>170821A</t>
    <phoneticPr fontId="1" type="noConversion"/>
  </si>
  <si>
    <t>170901A</t>
    <phoneticPr fontId="1" type="noConversion"/>
  </si>
  <si>
    <t>M-600 서비스</t>
    <phoneticPr fontId="16" type="noConversion"/>
  </si>
  <si>
    <t>세종씨앤피</t>
    <phoneticPr fontId="16" type="noConversion"/>
  </si>
  <si>
    <t>Fount 554</t>
    <phoneticPr fontId="16" type="noConversion"/>
  </si>
  <si>
    <t>미래인텍, 송운사,보문칼라팩, 팩컴</t>
    <phoneticPr fontId="18" type="noConversion"/>
  </si>
  <si>
    <t>독일제 롤라(하이델 국전용)</t>
    <phoneticPr fontId="16" type="noConversion"/>
  </si>
  <si>
    <t>매엽 원형 집진필터</t>
    <phoneticPr fontId="16" type="noConversion"/>
  </si>
  <si>
    <t>금강인쇄</t>
    <phoneticPr fontId="16" type="noConversion"/>
  </si>
  <si>
    <t>Alcocontrol 연결 부품 2종류</t>
    <phoneticPr fontId="16" type="noConversion"/>
  </si>
  <si>
    <t>가격조정됨</t>
    <phoneticPr fontId="16" type="noConversion"/>
  </si>
  <si>
    <t>브레이크 드럼 점검 및 수리</t>
    <phoneticPr fontId="16" type="noConversion"/>
  </si>
  <si>
    <t>Fan unit f.Glycol chiller</t>
    <phoneticPr fontId="21" type="noConversion"/>
  </si>
  <si>
    <t>ASM filter insert 0.2mm</t>
    <phoneticPr fontId="21" type="noConversion"/>
  </si>
  <si>
    <t>Filter housing FF06-1E</t>
    <phoneticPr fontId="21" type="noConversion"/>
  </si>
  <si>
    <t>KMP</t>
    <phoneticPr fontId="21" type="noConversion"/>
  </si>
  <si>
    <t>삼화인쇄</t>
    <phoneticPr fontId="21" type="noConversion"/>
  </si>
  <si>
    <t>퍼시픽패키지</t>
    <phoneticPr fontId="21" type="noConversion"/>
  </si>
  <si>
    <t>KMP</t>
    <phoneticPr fontId="16" type="noConversion"/>
  </si>
  <si>
    <t>잉크 파운틴 호일 및 노즐</t>
    <phoneticPr fontId="16" type="noConversion"/>
  </si>
  <si>
    <t>9월 이월</t>
    <phoneticPr fontId="16" type="noConversion"/>
  </si>
  <si>
    <t>OneVision</t>
    <phoneticPr fontId="16" type="noConversion"/>
  </si>
  <si>
    <t>SETEC</t>
    <phoneticPr fontId="16" type="noConversion"/>
  </si>
  <si>
    <t>8개(1박스) 재고</t>
    <phoneticPr fontId="16" type="noConversion"/>
  </si>
  <si>
    <t>독일제 정품 잉크호일 아스테이지</t>
    <phoneticPr fontId="16" type="noConversion"/>
  </si>
  <si>
    <t>10월 이월?</t>
    <phoneticPr fontId="16" type="noConversion"/>
  </si>
  <si>
    <t>tax에 각종 통관 비용 포함</t>
    <phoneticPr fontId="21" type="noConversion"/>
  </si>
  <si>
    <t>정광인쇄</t>
    <phoneticPr fontId="21" type="noConversion"/>
  </si>
  <si>
    <t>매엽 원형 집진필터</t>
    <phoneticPr fontId="18" type="noConversion"/>
  </si>
  <si>
    <t>웹 가이드 센서</t>
    <phoneticPr fontId="16" type="noConversion"/>
  </si>
  <si>
    <t>박영용 이사님 재고</t>
    <phoneticPr fontId="16" type="noConversion"/>
  </si>
  <si>
    <t>2017. 9</t>
    <phoneticPr fontId="1" type="noConversion"/>
  </si>
  <si>
    <t>팩컴 AAP</t>
    <phoneticPr fontId="4" type="noConversion"/>
  </si>
  <si>
    <t>재능</t>
    <phoneticPr fontId="4" type="noConversion"/>
  </si>
  <si>
    <t>삼화인쇄</t>
    <phoneticPr fontId="7" type="noConversion"/>
  </si>
  <si>
    <t>정광인쇄</t>
    <phoneticPr fontId="7" type="noConversion"/>
  </si>
  <si>
    <t>세종씨앤피</t>
    <phoneticPr fontId="7" type="noConversion"/>
  </si>
  <si>
    <t>KMP</t>
    <phoneticPr fontId="7" type="noConversion"/>
  </si>
  <si>
    <t>재능</t>
    <phoneticPr fontId="7" type="noConversion"/>
  </si>
  <si>
    <t>잉크 별색</t>
    <phoneticPr fontId="16" type="noConversion"/>
  </si>
  <si>
    <t>스프링블레이드(대)</t>
    <phoneticPr fontId="21" type="noConversion"/>
  </si>
  <si>
    <t>스프링블레이드(소)</t>
    <phoneticPr fontId="21" type="noConversion"/>
  </si>
  <si>
    <t>Float/rod bracket</t>
    <phoneticPr fontId="21" type="noConversion"/>
  </si>
  <si>
    <t>Float rod FK/VK 1000</t>
    <phoneticPr fontId="21" type="noConversion"/>
  </si>
  <si>
    <t>Float Ball D100</t>
    <phoneticPr fontId="21" type="noConversion"/>
  </si>
  <si>
    <t>ph미터</t>
    <phoneticPr fontId="16" type="noConversion"/>
  </si>
  <si>
    <t>서비스 계약(4회분할 중 4회차)</t>
    <phoneticPr fontId="16" type="noConversion"/>
  </si>
  <si>
    <t>연소 튜브</t>
    <phoneticPr fontId="16" type="noConversion"/>
  </si>
  <si>
    <t>점화 플러그</t>
    <phoneticPr fontId="16" type="noConversion"/>
  </si>
  <si>
    <t>프레임 로드</t>
    <phoneticPr fontId="16" type="noConversion"/>
  </si>
  <si>
    <t>가격조정</t>
    <phoneticPr fontId="16" type="noConversion"/>
  </si>
  <si>
    <t>*GOSS M600 연간 서비스계약 (총 5백만원, 4회 분할) 4회</t>
    <phoneticPr fontId="8" type="noConversion"/>
  </si>
  <si>
    <t>잉크키 보호 필름</t>
    <phoneticPr fontId="16" type="noConversion"/>
  </si>
  <si>
    <t>LTM1000 기판</t>
    <phoneticPr fontId="16" type="noConversion"/>
  </si>
  <si>
    <t>코팅용 블랑켓</t>
    <phoneticPr fontId="16" type="noConversion"/>
  </si>
  <si>
    <t>와우프레스</t>
    <phoneticPr fontId="16" type="noConversion"/>
  </si>
  <si>
    <t>롤러 크리너</t>
    <phoneticPr fontId="16" type="noConversion"/>
  </si>
  <si>
    <t>납품은 11.8</t>
    <phoneticPr fontId="16" type="noConversion"/>
  </si>
  <si>
    <t>O</t>
  </si>
  <si>
    <t>온도 센서</t>
    <phoneticPr fontId="21" type="noConversion"/>
  </si>
  <si>
    <t>잉크 파운틴 호일</t>
    <phoneticPr fontId="21" type="noConversion"/>
  </si>
  <si>
    <t>Screw</t>
    <phoneticPr fontId="21" type="noConversion"/>
  </si>
  <si>
    <t>Nut</t>
    <phoneticPr fontId="21" type="noConversion"/>
  </si>
  <si>
    <t>Washer</t>
    <phoneticPr fontId="21" type="noConversion"/>
  </si>
  <si>
    <t>점화 플러그</t>
    <phoneticPr fontId="21" type="noConversion"/>
  </si>
  <si>
    <t>프레임 로드</t>
    <phoneticPr fontId="21" type="noConversion"/>
  </si>
  <si>
    <t>Alimentation 9V/67A 600W</t>
    <phoneticPr fontId="21" type="noConversion"/>
  </si>
  <si>
    <t>US달러</t>
    <phoneticPr fontId="21" type="noConversion"/>
  </si>
  <si>
    <t>재능</t>
    <phoneticPr fontId="21" type="noConversion"/>
  </si>
  <si>
    <t>벨트</t>
    <phoneticPr fontId="21" type="noConversion"/>
  </si>
  <si>
    <t>재단목</t>
    <phoneticPr fontId="21" type="noConversion"/>
  </si>
  <si>
    <t>재단칼 러버</t>
    <phoneticPr fontId="21" type="noConversion"/>
  </si>
  <si>
    <t>횡미싱</t>
    <phoneticPr fontId="21" type="noConversion"/>
  </si>
  <si>
    <t>MYLAR-INK KEY PROTECTION</t>
    <phoneticPr fontId="21" type="noConversion"/>
  </si>
  <si>
    <t>CHEEKWOOD</t>
    <phoneticPr fontId="21" type="noConversion"/>
  </si>
  <si>
    <t>CROSS PERFORATION BLADE</t>
    <phoneticPr fontId="21" type="noConversion"/>
  </si>
  <si>
    <t>RUBBER</t>
    <phoneticPr fontId="21" type="noConversion"/>
  </si>
  <si>
    <t>TAPE</t>
    <phoneticPr fontId="21" type="noConversion"/>
  </si>
  <si>
    <t>스트리퍼(대)</t>
    <phoneticPr fontId="21" type="noConversion"/>
  </si>
  <si>
    <t>스트리퍼(소)</t>
    <phoneticPr fontId="21" type="noConversion"/>
  </si>
  <si>
    <t>스트리퍼(대)</t>
    <phoneticPr fontId="16" type="noConversion"/>
  </si>
  <si>
    <t>스트리퍼(소)</t>
    <phoneticPr fontId="16" type="noConversion"/>
  </si>
  <si>
    <t>벨트</t>
    <phoneticPr fontId="16" type="noConversion"/>
  </si>
  <si>
    <t>재단목</t>
    <phoneticPr fontId="16" type="noConversion"/>
  </si>
  <si>
    <t>재단칼 러버</t>
    <phoneticPr fontId="16" type="noConversion"/>
  </si>
  <si>
    <t>횡미싱</t>
    <phoneticPr fontId="16" type="noConversion"/>
  </si>
  <si>
    <t>벨트 접착제</t>
    <phoneticPr fontId="16" type="noConversion"/>
  </si>
  <si>
    <t>연소 튜브</t>
    <phoneticPr fontId="21" type="noConversion"/>
  </si>
  <si>
    <t>파이프(1)</t>
    <phoneticPr fontId="21" type="noConversion"/>
  </si>
  <si>
    <t>파이프(2)</t>
    <phoneticPr fontId="21" type="noConversion"/>
  </si>
  <si>
    <t>온도 센서</t>
    <phoneticPr fontId="16" type="noConversion"/>
  </si>
  <si>
    <t>파이프(1)</t>
    <phoneticPr fontId="16" type="noConversion"/>
  </si>
  <si>
    <t>파이프(2)</t>
    <phoneticPr fontId="16" type="noConversion"/>
  </si>
  <si>
    <t>잉크키 보호 필름</t>
    <phoneticPr fontId="21" type="noConversion"/>
  </si>
  <si>
    <t>ph미터</t>
    <phoneticPr fontId="21" type="noConversion"/>
  </si>
  <si>
    <t>ph-probe</t>
    <phoneticPr fontId="21" type="noConversion"/>
  </si>
  <si>
    <t>Fan unit f.Glycol chiller - Technotrans</t>
  </si>
  <si>
    <t>Technotrans Alpha.f 필터세트</t>
  </si>
  <si>
    <t>Technotrans Flot 외</t>
  </si>
  <si>
    <t>Technotrans Dosing piston</t>
  </si>
  <si>
    <t>1박스 4개</t>
    <phoneticPr fontId="16" type="noConversion"/>
  </si>
  <si>
    <t>1박스 재고</t>
    <phoneticPr fontId="16" type="noConversion"/>
  </si>
  <si>
    <t>성도 GL</t>
    <phoneticPr fontId="16" type="noConversion"/>
  </si>
  <si>
    <t>성도 GL</t>
    <phoneticPr fontId="18" type="noConversion"/>
  </si>
  <si>
    <t>롤러 크리너</t>
    <phoneticPr fontId="18" type="noConversion"/>
  </si>
  <si>
    <t>이사님 재고</t>
    <phoneticPr fontId="16" type="noConversion"/>
  </si>
  <si>
    <t>KLH 칠러</t>
    <phoneticPr fontId="13" type="noConversion"/>
  </si>
  <si>
    <t>Spare part kit flow sensor</t>
    <phoneticPr fontId="16" type="noConversion"/>
  </si>
  <si>
    <t>GLP 500(Lubricant)</t>
    <phoneticPr fontId="16" type="noConversion"/>
  </si>
  <si>
    <t>솔레노이드 밸브</t>
    <phoneticPr fontId="16" type="noConversion"/>
  </si>
  <si>
    <t>콤푸레샤 에어필터</t>
    <phoneticPr fontId="16" type="noConversion"/>
  </si>
  <si>
    <t>드라이어 정비 서비스</t>
    <phoneticPr fontId="16" type="noConversion"/>
  </si>
  <si>
    <t>필름 출력기 서비스 비용 외</t>
    <phoneticPr fontId="16" type="noConversion"/>
  </si>
  <si>
    <t>서비스 비용</t>
    <phoneticPr fontId="16" type="noConversion"/>
  </si>
  <si>
    <t>외국 엔지니어 체류 비용</t>
    <phoneticPr fontId="16" type="noConversion"/>
  </si>
  <si>
    <t>옴니콘 운영체제 업그레이드 계약금</t>
    <phoneticPr fontId="16" type="noConversion"/>
  </si>
  <si>
    <t>Ink Roller</t>
    <phoneticPr fontId="16" type="noConversion"/>
  </si>
  <si>
    <t>Ink Duct Roller</t>
    <phoneticPr fontId="16" type="noConversion"/>
  </si>
  <si>
    <t>고모리 롤러 세트</t>
    <phoneticPr fontId="16" type="noConversion"/>
  </si>
  <si>
    <t>에어 실린더</t>
    <phoneticPr fontId="16" type="noConversion"/>
  </si>
  <si>
    <t>AGFA 써멀 CTP</t>
    <phoneticPr fontId="16" type="noConversion"/>
  </si>
  <si>
    <t>필터-XL106</t>
    <phoneticPr fontId="16" type="noConversion"/>
  </si>
  <si>
    <t>지엔에스</t>
    <phoneticPr fontId="16" type="noConversion"/>
  </si>
  <si>
    <t>중고 CTP</t>
    <phoneticPr fontId="16" type="noConversion"/>
  </si>
  <si>
    <t>필터백</t>
    <phoneticPr fontId="21" type="noConversion"/>
  </si>
  <si>
    <t>Spare part kit flow sensor</t>
    <phoneticPr fontId="21" type="noConversion"/>
  </si>
  <si>
    <t>에어 실린더</t>
    <phoneticPr fontId="21" type="noConversion"/>
  </si>
  <si>
    <t>양면 테이프</t>
    <phoneticPr fontId="21" type="noConversion"/>
  </si>
  <si>
    <t>STUD</t>
    <phoneticPr fontId="21" type="noConversion"/>
  </si>
  <si>
    <t>파이프</t>
    <phoneticPr fontId="21" type="noConversion"/>
  </si>
  <si>
    <t>진영이앤지</t>
    <phoneticPr fontId="16" type="noConversion"/>
  </si>
  <si>
    <t>Technotrans Dosing piston</t>
    <phoneticPr fontId="21" type="noConversion"/>
  </si>
  <si>
    <t>와우프레스</t>
    <phoneticPr fontId="21" type="noConversion"/>
  </si>
  <si>
    <t>양면 테이프</t>
    <phoneticPr fontId="16" type="noConversion"/>
  </si>
  <si>
    <t>2017. 11</t>
    <phoneticPr fontId="1" type="noConversion"/>
  </si>
  <si>
    <t>2017. 10</t>
    <phoneticPr fontId="1" type="noConversion"/>
  </si>
  <si>
    <t>와우프레스</t>
    <phoneticPr fontId="7" type="noConversion"/>
  </si>
  <si>
    <t>세흥인쇄</t>
    <phoneticPr fontId="7" type="noConversion"/>
  </si>
  <si>
    <t>신안테크</t>
    <phoneticPr fontId="16" type="noConversion"/>
  </si>
  <si>
    <t>닥터호일 아스테이지(UV용)</t>
    <phoneticPr fontId="16" type="noConversion"/>
  </si>
  <si>
    <t>오리지날 프린팅</t>
    <phoneticPr fontId="16" type="noConversion"/>
  </si>
  <si>
    <t>농도계</t>
    <phoneticPr fontId="16" type="noConversion"/>
  </si>
  <si>
    <t>동도씨앤피</t>
    <phoneticPr fontId="16" type="noConversion"/>
  </si>
  <si>
    <t>X-rites</t>
    <phoneticPr fontId="16" type="noConversion"/>
  </si>
  <si>
    <t>담당자</t>
    <phoneticPr fontId="1" type="noConversion"/>
  </si>
  <si>
    <t>OneVision Asura</t>
    <phoneticPr fontId="26" type="noConversion"/>
  </si>
  <si>
    <t>판 절곡기</t>
    <phoneticPr fontId="26" type="noConversion"/>
  </si>
  <si>
    <t>잉크,판</t>
    <phoneticPr fontId="26" type="noConversion"/>
  </si>
  <si>
    <t>솔레노이드 밸브, CTP</t>
    <phoneticPr fontId="26" type="noConversion"/>
  </si>
  <si>
    <t>상하 핀맞춤 모터</t>
    <phoneticPr fontId="16" type="noConversion"/>
  </si>
  <si>
    <t>ENGAGE 30WEB(883*552)</t>
    <phoneticPr fontId="16" type="noConversion"/>
  </si>
  <si>
    <t>점보롤 세정포</t>
    <phoneticPr fontId="16" type="noConversion"/>
  </si>
  <si>
    <t>Ink Roller</t>
    <phoneticPr fontId="18" type="noConversion"/>
  </si>
  <si>
    <t>Ink Duct Roller</t>
    <phoneticPr fontId="18" type="noConversion"/>
  </si>
  <si>
    <t>닥터호일 아스테이지(UV용)</t>
  </si>
  <si>
    <t>Bar블랑켓 830*750</t>
  </si>
  <si>
    <t>Bar블랑켓 830*750</t>
    <phoneticPr fontId="1" type="noConversion"/>
  </si>
  <si>
    <t>대한교역</t>
    <phoneticPr fontId="18" type="noConversion"/>
  </si>
  <si>
    <t>점보롤 세정포</t>
    <phoneticPr fontId="18" type="noConversion"/>
  </si>
  <si>
    <t>파이프</t>
    <phoneticPr fontId="16" type="noConversion"/>
  </si>
  <si>
    <t>상하 핀맞춤 모터</t>
    <phoneticPr fontId="21" type="noConversion"/>
  </si>
  <si>
    <t>MOTOR, REGISTER</t>
    <phoneticPr fontId="21" type="noConversion"/>
  </si>
  <si>
    <t>Assembly Multicam Scanner</t>
    <phoneticPr fontId="21" type="noConversion"/>
  </si>
  <si>
    <t>Kit Multicam Camera Upgrade USB</t>
    <phoneticPr fontId="21" type="noConversion"/>
  </si>
  <si>
    <t>Assembly, Pcb, Sec, Stack Assy Winsys</t>
    <phoneticPr fontId="21" type="noConversion"/>
  </si>
  <si>
    <t>브러쉬 롤러</t>
    <phoneticPr fontId="16" type="noConversion"/>
  </si>
  <si>
    <t>마진 X</t>
    <phoneticPr fontId="16" type="noConversion"/>
  </si>
  <si>
    <t>Quick Coupling Water</t>
    <phoneticPr fontId="16" type="noConversion"/>
  </si>
  <si>
    <t>Quick Coupling Water</t>
    <phoneticPr fontId="21" type="noConversion"/>
  </si>
  <si>
    <t>송운사</t>
    <phoneticPr fontId="21" type="noConversion"/>
  </si>
  <si>
    <t>2017. 12</t>
    <phoneticPr fontId="1" type="noConversion"/>
  </si>
  <si>
    <t>신안테크</t>
    <phoneticPr fontId="4" type="noConversion"/>
  </si>
  <si>
    <t>지엔에스</t>
    <phoneticPr fontId="26" type="noConversion"/>
  </si>
  <si>
    <t>중고 CTP</t>
    <phoneticPr fontId="26" type="noConversion"/>
  </si>
  <si>
    <t>Tank FZT55 incl. insulation</t>
    <phoneticPr fontId="21" type="noConversion"/>
  </si>
  <si>
    <t>Tank FZT55 incl. insulation</t>
    <phoneticPr fontId="16" type="noConversion"/>
  </si>
  <si>
    <t>Spare Parts for mechanical floater ball</t>
    <phoneticPr fontId="21" type="noConversion"/>
  </si>
  <si>
    <t>Spare Parts for mechanical floater ball</t>
    <phoneticPr fontId="16" type="noConversion"/>
  </si>
  <si>
    <t>Temperature sensor KTY 10-6</t>
    <phoneticPr fontId="21" type="noConversion"/>
  </si>
  <si>
    <t>Temperature sensor KTY 10-6</t>
    <phoneticPr fontId="16" type="noConversion"/>
  </si>
  <si>
    <t>필터백</t>
    <phoneticPr fontId="18" type="noConversion"/>
  </si>
  <si>
    <t>습수정화장치(beta.f) 필터세트</t>
    <phoneticPr fontId="18" type="noConversion"/>
  </si>
  <si>
    <t>은성프린터스</t>
    <phoneticPr fontId="16" type="noConversion"/>
  </si>
  <si>
    <t>CTP 현상액</t>
    <phoneticPr fontId="16" type="noConversion"/>
  </si>
  <si>
    <t>Service</t>
    <phoneticPr fontId="16" type="noConversion"/>
  </si>
  <si>
    <t>Inking Motor Reducer Siemens</t>
    <phoneticPr fontId="21" type="noConversion"/>
  </si>
  <si>
    <t>Link, Chain</t>
    <phoneticPr fontId="21" type="noConversion"/>
  </si>
  <si>
    <t>계약시간 8시간 공제</t>
    <phoneticPr fontId="16" type="noConversion"/>
  </si>
  <si>
    <t>고무사카</t>
    <phoneticPr fontId="16" type="noConversion"/>
  </si>
  <si>
    <t>브러쉬, 헤드 스톱</t>
    <phoneticPr fontId="16" type="noConversion"/>
  </si>
  <si>
    <t>드라이어 압력 컨버터</t>
    <phoneticPr fontId="16" type="noConversion"/>
  </si>
  <si>
    <t>코팅용 Blanket(1047*794)bar</t>
    <phoneticPr fontId="18" type="noConversion"/>
  </si>
  <si>
    <t>코팅용 Blanket(1047*794)bar</t>
    <phoneticPr fontId="16" type="noConversion"/>
  </si>
  <si>
    <t>대명상사</t>
    <phoneticPr fontId="16" type="noConversion"/>
  </si>
  <si>
    <t>1월 이월(내부 매출만)</t>
    <phoneticPr fontId="16" type="noConversion"/>
  </si>
  <si>
    <t>프린피아 문발</t>
    <phoneticPr fontId="7" type="noConversion"/>
  </si>
  <si>
    <t>에스엠 인터내셔널</t>
    <phoneticPr fontId="7" type="noConversion"/>
  </si>
  <si>
    <t>에스엠 인터내셔널</t>
    <phoneticPr fontId="16" type="noConversion"/>
  </si>
  <si>
    <t>비고</t>
    <phoneticPr fontId="26" type="noConversion"/>
  </si>
  <si>
    <t>Others</t>
    <phoneticPr fontId="12" type="noConversion"/>
  </si>
  <si>
    <t>Machine</t>
    <phoneticPr fontId="16" type="noConversion"/>
  </si>
  <si>
    <t>Machine</t>
    <phoneticPr fontId="12" type="noConversion"/>
  </si>
  <si>
    <t>총합계(+VAT)</t>
    <phoneticPr fontId="12" type="noConversion"/>
  </si>
  <si>
    <t>Inking Motor Reducer Siemens</t>
    <phoneticPr fontId="16" type="noConversion"/>
  </si>
  <si>
    <t>Link, Chain</t>
    <phoneticPr fontId="16" type="noConversion"/>
  </si>
  <si>
    <t>Assembly, Multicam Scanner</t>
    <phoneticPr fontId="16" type="noConversion"/>
  </si>
  <si>
    <t>Upgrade Kit, USB</t>
    <phoneticPr fontId="16" type="noConversion"/>
  </si>
  <si>
    <t>필름 출력현상기 판넬부품</t>
    <phoneticPr fontId="16" type="noConversion"/>
  </si>
  <si>
    <t>CTP판(1030*790mm)</t>
    <phoneticPr fontId="16" type="noConversion"/>
  </si>
  <si>
    <t>Offset UV wash</t>
    <phoneticPr fontId="16" type="noConversion"/>
  </si>
  <si>
    <t>압력 스위치</t>
    <phoneticPr fontId="16" type="noConversion"/>
  </si>
  <si>
    <t>잉크키 모터</t>
    <phoneticPr fontId="16" type="noConversion"/>
  </si>
  <si>
    <t>계약시간 1시간 공제</t>
    <phoneticPr fontId="16" type="noConversion"/>
  </si>
  <si>
    <t>국민피앤텍</t>
    <phoneticPr fontId="16" type="noConversion"/>
  </si>
  <si>
    <t>Electronic CC 4.3</t>
    <phoneticPr fontId="16" type="noConversion"/>
  </si>
  <si>
    <t>Quadtech</t>
    <phoneticPr fontId="16" type="noConversion"/>
  </si>
  <si>
    <t>냉각기 컴프레셔</t>
    <phoneticPr fontId="16" type="noConversion"/>
  </si>
  <si>
    <t>대도산업 비용 600000</t>
    <phoneticPr fontId="16" type="noConversion"/>
  </si>
  <si>
    <t>다이아프램</t>
    <phoneticPr fontId="16" type="noConversion"/>
  </si>
  <si>
    <t>온도 센서(WH.942725)</t>
    <phoneticPr fontId="16" type="noConversion"/>
  </si>
  <si>
    <t>온도 센서(WH.916671)</t>
    <phoneticPr fontId="16" type="noConversion"/>
  </si>
  <si>
    <t>UV Lamp</t>
    <phoneticPr fontId="16" type="noConversion"/>
  </si>
  <si>
    <t>한국경제신문</t>
    <phoneticPr fontId="16" type="noConversion"/>
  </si>
  <si>
    <t>잉크 키 모터 24DVC</t>
    <phoneticPr fontId="16" type="noConversion"/>
  </si>
  <si>
    <t>CTP판(1030*790mm)</t>
  </si>
  <si>
    <t>CTP 현상액</t>
  </si>
  <si>
    <t>Offset UV wash</t>
  </si>
  <si>
    <t>Stipper 50 wide</t>
    <phoneticPr fontId="21" type="noConversion"/>
  </si>
  <si>
    <t>Stripper 30 wide</t>
    <phoneticPr fontId="21" type="noConversion"/>
  </si>
  <si>
    <t>Stripper 50 wide</t>
    <phoneticPr fontId="21" type="noConversion"/>
  </si>
  <si>
    <t>Pressure Dif. Converter</t>
    <phoneticPr fontId="21" type="noConversion"/>
  </si>
  <si>
    <t>Strip, Closed Cell Foam PVC</t>
    <phoneticPr fontId="21" type="noConversion"/>
  </si>
  <si>
    <t>테크노트란스 부품</t>
    <phoneticPr fontId="16" type="noConversion"/>
  </si>
  <si>
    <t>하이델 부품</t>
    <phoneticPr fontId="16" type="noConversion"/>
  </si>
  <si>
    <t>Sub-assembly pressure switch</t>
    <phoneticPr fontId="21" type="noConversion"/>
  </si>
  <si>
    <t>Filter catridge AKTIVKOHL TYP 108</t>
    <phoneticPr fontId="21" type="noConversion"/>
  </si>
  <si>
    <t>Electronic CC 4.3</t>
    <phoneticPr fontId="21" type="noConversion"/>
  </si>
  <si>
    <t>30만원 더 남음</t>
    <phoneticPr fontId="16" type="noConversion"/>
  </si>
  <si>
    <t>Technotrans Beta.f</t>
    <phoneticPr fontId="21" type="noConversion"/>
  </si>
  <si>
    <t>Spare filter set for Beta.f</t>
    <phoneticPr fontId="21" type="noConversion"/>
  </si>
  <si>
    <t>Spare filter set for alpha.f</t>
    <phoneticPr fontId="21" type="noConversion"/>
  </si>
  <si>
    <t>덕수</t>
    <phoneticPr fontId="21" type="noConversion"/>
  </si>
  <si>
    <t>2018. 1</t>
    <phoneticPr fontId="1" type="noConversion"/>
  </si>
  <si>
    <t>은성프린터스</t>
    <phoneticPr fontId="4" type="noConversion"/>
  </si>
  <si>
    <t>에스엠인터네셔널</t>
    <phoneticPr fontId="16" type="noConversion"/>
  </si>
  <si>
    <t>에스엠인터네셔널</t>
    <phoneticPr fontId="7" type="noConversion"/>
  </si>
  <si>
    <t>보진재</t>
    <phoneticPr fontId="5" type="noConversion"/>
  </si>
  <si>
    <t>테크노 트란스 부품 포함</t>
    <phoneticPr fontId="5" type="noConversion"/>
  </si>
  <si>
    <t>하이델 부품</t>
    <phoneticPr fontId="5" type="noConversion"/>
  </si>
  <si>
    <t>*서비스 시간 9시간 공제</t>
    <phoneticPr fontId="8" type="noConversion"/>
  </si>
  <si>
    <t>재능(CTP)</t>
    <phoneticPr fontId="16" type="noConversion"/>
  </si>
  <si>
    <t>재능(Ink)</t>
    <phoneticPr fontId="16" type="noConversion"/>
  </si>
  <si>
    <t>재능(Ink)</t>
    <phoneticPr fontId="4" type="noConversion"/>
  </si>
  <si>
    <t>재능(CTP)</t>
    <phoneticPr fontId="4" type="noConversion"/>
  </si>
  <si>
    <t>Total(+VAT)</t>
    <phoneticPr fontId="1" type="noConversion"/>
  </si>
  <si>
    <t>Total(+VAT)</t>
    <phoneticPr fontId="12" type="noConversion"/>
  </si>
  <si>
    <t>ENGAGE 30WEB(883*552)</t>
    <phoneticPr fontId="18" type="noConversion"/>
  </si>
  <si>
    <t>수입</t>
    <phoneticPr fontId="16" type="noConversion"/>
  </si>
  <si>
    <t>아스테이지(닥트호일)</t>
    <phoneticPr fontId="16" type="noConversion"/>
  </si>
  <si>
    <t>재능(CTP)</t>
  </si>
  <si>
    <t>재능(Ink)</t>
  </si>
  <si>
    <t>워시-업 블레이드</t>
    <phoneticPr fontId="16" type="noConversion"/>
  </si>
  <si>
    <t>에어 실린더(X73208)</t>
    <phoneticPr fontId="16" type="noConversion"/>
  </si>
  <si>
    <t>에어 실린더(00.580.2489)</t>
    <phoneticPr fontId="16" type="noConversion"/>
  </si>
  <si>
    <t>은성 CTP 폐판</t>
    <phoneticPr fontId="16" type="noConversion"/>
  </si>
  <si>
    <t>Quick Coupling alcohol</t>
    <phoneticPr fontId="16" type="noConversion"/>
  </si>
  <si>
    <t>Filter Catridge AKTIVKOHL TYP 108</t>
    <phoneticPr fontId="16" type="noConversion"/>
  </si>
  <si>
    <t>Nozzle fine filter, 20 micron</t>
    <phoneticPr fontId="16" type="noConversion"/>
  </si>
  <si>
    <t>O-ring seal NBR70, 7.00x1.50mm</t>
    <phoneticPr fontId="16" type="noConversion"/>
  </si>
  <si>
    <t>O-ring seal NBR70, 6.07x1.78mm</t>
    <phoneticPr fontId="16" type="noConversion"/>
  </si>
  <si>
    <t>TCS-210 CORE BRAKE CONTROL</t>
    <phoneticPr fontId="16" type="noConversion"/>
  </si>
  <si>
    <t>신문윤전기 부품(커미션)</t>
    <phoneticPr fontId="16" type="noConversion"/>
  </si>
  <si>
    <t>계약시간 4시간 공제</t>
    <phoneticPr fontId="16" type="noConversion"/>
  </si>
  <si>
    <t>계약시간 6시간 공제</t>
    <phoneticPr fontId="16" type="noConversion"/>
  </si>
  <si>
    <t>계약시간 10시간 사용</t>
    <phoneticPr fontId="16" type="noConversion"/>
  </si>
  <si>
    <t>롤러 브라켓</t>
    <phoneticPr fontId="16" type="noConversion"/>
  </si>
  <si>
    <t>스터드</t>
    <phoneticPr fontId="16" type="noConversion"/>
  </si>
  <si>
    <t>계산서 2월</t>
    <phoneticPr fontId="16" type="noConversion"/>
  </si>
  <si>
    <t>2통 재고(3/14 보유중)</t>
    <phoneticPr fontId="16" type="noConversion"/>
  </si>
  <si>
    <t>가격 변경</t>
    <phoneticPr fontId="16" type="noConversion"/>
  </si>
  <si>
    <t>파우더</t>
    <phoneticPr fontId="16" type="noConversion"/>
  </si>
  <si>
    <t>프린피아 파주</t>
    <phoneticPr fontId="16" type="noConversion"/>
  </si>
  <si>
    <t>잉크 키 모터</t>
    <phoneticPr fontId="21" type="noConversion"/>
  </si>
  <si>
    <t>보진재</t>
    <phoneticPr fontId="21" type="noConversion"/>
  </si>
  <si>
    <t>한국경제</t>
    <phoneticPr fontId="21" type="noConversion"/>
  </si>
  <si>
    <t>에어 실린더(X73208)</t>
  </si>
  <si>
    <t>스프링 블레이드 set</t>
    <phoneticPr fontId="16" type="noConversion"/>
  </si>
  <si>
    <t>스프링 블레이드</t>
    <phoneticPr fontId="21" type="noConversion"/>
  </si>
  <si>
    <t>스프링 레이드</t>
    <phoneticPr fontId="21" type="noConversion"/>
  </si>
  <si>
    <t>스프링블레이드 set</t>
    <phoneticPr fontId="21" type="noConversion"/>
  </si>
  <si>
    <t>삼화인쇄 2.8</t>
    <phoneticPr fontId="21" type="noConversion"/>
  </si>
  <si>
    <t>퍼시픽 1개 납품</t>
    <phoneticPr fontId="21" type="noConversion"/>
  </si>
  <si>
    <t>닙 롤러(M600)</t>
    <phoneticPr fontId="16" type="noConversion"/>
  </si>
  <si>
    <t>닙 롤러(고모리)</t>
    <phoneticPr fontId="16" type="noConversion"/>
  </si>
  <si>
    <t>Mtex</t>
    <phoneticPr fontId="16" type="noConversion"/>
  </si>
  <si>
    <t>엔화 환율 1001.24</t>
    <phoneticPr fontId="16" type="noConversion"/>
  </si>
  <si>
    <t>냉각기 컴프레셔</t>
    <phoneticPr fontId="21" type="noConversion"/>
  </si>
  <si>
    <t>2018. 2</t>
    <phoneticPr fontId="1" type="noConversion"/>
  </si>
  <si>
    <t>신일디앤피</t>
    <phoneticPr fontId="4" type="noConversion"/>
  </si>
  <si>
    <t>*서비스 시간 4시간 공제</t>
    <phoneticPr fontId="8" type="noConversion"/>
  </si>
  <si>
    <t>* 박영용 이사님 커미션</t>
    <phoneticPr fontId="7" type="noConversion"/>
  </si>
  <si>
    <t>* 재능 제외한 커미션</t>
    <phoneticPr fontId="7" type="noConversion"/>
  </si>
  <si>
    <t>QuadTech</t>
    <phoneticPr fontId="13" type="noConversion"/>
  </si>
  <si>
    <t>AL171118A</t>
    <phoneticPr fontId="13" type="noConversion"/>
  </si>
  <si>
    <t>우진캠 칼라트랙 청구</t>
    <phoneticPr fontId="13" type="noConversion"/>
  </si>
  <si>
    <t>Al20180201A</t>
    <phoneticPr fontId="28" type="noConversion"/>
  </si>
  <si>
    <t>Al20180201B</t>
    <phoneticPr fontId="28" type="noConversion"/>
  </si>
  <si>
    <t>Al20180201C</t>
    <phoneticPr fontId="28" type="noConversion"/>
  </si>
  <si>
    <t>ASPT CTP SYSTEM</t>
    <phoneticPr fontId="28" type="noConversion"/>
  </si>
  <si>
    <t>ASPT COOLING SYSTEM</t>
    <phoneticPr fontId="28" type="noConversion"/>
  </si>
  <si>
    <t>ASPT RIGGING COST</t>
    <phoneticPr fontId="28" type="noConversion"/>
  </si>
  <si>
    <t>Al20180202A</t>
    <phoneticPr fontId="28" type="noConversion"/>
  </si>
  <si>
    <t>COMMISSION FOR ASPT VPACK SALES</t>
    <phoneticPr fontId="28" type="noConversion"/>
  </si>
  <si>
    <t>가격 조정(이전가격 3090)</t>
    <phoneticPr fontId="16" type="noConversion"/>
  </si>
  <si>
    <t>한특 잉크(적)</t>
    <phoneticPr fontId="16" type="noConversion"/>
  </si>
  <si>
    <t>한특 잉크(황)</t>
    <phoneticPr fontId="16" type="noConversion"/>
  </si>
  <si>
    <t>한특 잉크(청)</t>
    <phoneticPr fontId="16" type="noConversion"/>
  </si>
  <si>
    <t>한특 잉크(먹)</t>
    <phoneticPr fontId="16" type="noConversion"/>
  </si>
  <si>
    <t>대한프린테크</t>
    <phoneticPr fontId="16" type="noConversion"/>
  </si>
  <si>
    <t>신한종합인쇄</t>
    <phoneticPr fontId="16" type="noConversion"/>
  </si>
  <si>
    <t>포텐시오미터</t>
    <phoneticPr fontId="16" type="noConversion"/>
  </si>
  <si>
    <t>Technotrans Beta.f</t>
  </si>
  <si>
    <t>M600&amp;고모리 롤러 Set</t>
    <phoneticPr fontId="16" type="noConversion"/>
  </si>
  <si>
    <t>Quick Coupling Water.</t>
    <phoneticPr fontId="16" type="noConversion"/>
  </si>
  <si>
    <t>구리스</t>
    <phoneticPr fontId="16" type="noConversion"/>
  </si>
  <si>
    <t>구리스 건</t>
    <phoneticPr fontId="16" type="noConversion"/>
  </si>
  <si>
    <t>코리아피앤피</t>
    <phoneticPr fontId="16" type="noConversion"/>
  </si>
  <si>
    <t>판넬 멀티캠</t>
    <phoneticPr fontId="16" type="noConversion"/>
  </si>
  <si>
    <t>Blanket(770*700)</t>
    <phoneticPr fontId="16" type="noConversion"/>
  </si>
  <si>
    <t>대형인쇄기계</t>
    <phoneticPr fontId="16" type="noConversion"/>
  </si>
  <si>
    <t>web16 아스테이지</t>
    <phoneticPr fontId="16" type="noConversion"/>
  </si>
  <si>
    <t>조선일보</t>
    <phoneticPr fontId="16" type="noConversion"/>
  </si>
  <si>
    <t>QuadTech PCB 기판</t>
    <phoneticPr fontId="16" type="noConversion"/>
  </si>
  <si>
    <t>Nozzle fine filter</t>
    <phoneticPr fontId="21" type="noConversion"/>
  </si>
  <si>
    <t>O-ring seal</t>
    <phoneticPr fontId="21" type="noConversion"/>
  </si>
  <si>
    <t>퍼시픽패키지 가습기 수리</t>
    <phoneticPr fontId="21" type="noConversion"/>
  </si>
  <si>
    <t>Panel Multicam</t>
    <phoneticPr fontId="21" type="noConversion"/>
  </si>
  <si>
    <t>코리아피앤피</t>
    <phoneticPr fontId="21" type="noConversion"/>
  </si>
  <si>
    <t>fluidos 1-5%</t>
    <phoneticPr fontId="21" type="noConversion"/>
  </si>
  <si>
    <t>ELITE PRO 30 1055X811</t>
    <phoneticPr fontId="18" type="noConversion"/>
  </si>
  <si>
    <t>코닥 AEM 900*570mm</t>
    <phoneticPr fontId="16" type="noConversion"/>
  </si>
  <si>
    <t>옴니콘 업그레이드 잔금</t>
    <phoneticPr fontId="16" type="noConversion"/>
  </si>
  <si>
    <t>미래테크마스타</t>
    <phoneticPr fontId="16" type="noConversion"/>
  </si>
  <si>
    <t>실리콘 에멀전</t>
    <phoneticPr fontId="16" type="noConversion"/>
  </si>
  <si>
    <t>3월에 1개 납품(세흥 계산서 미리끈음)</t>
    <phoneticPr fontId="16" type="noConversion"/>
  </si>
  <si>
    <t>4개 계산서 먼저 발행</t>
    <phoneticPr fontId="16" type="noConversion"/>
  </si>
  <si>
    <t>2월 계산서 추가 4개중 2개</t>
    <phoneticPr fontId="16" type="noConversion"/>
  </si>
  <si>
    <t>브레이크 라이닝</t>
    <phoneticPr fontId="16" type="noConversion"/>
  </si>
  <si>
    <t>아스테이지(M600)</t>
    <phoneticPr fontId="16" type="noConversion"/>
  </si>
  <si>
    <t>컷팅 러버</t>
    <phoneticPr fontId="16" type="noConversion"/>
  </si>
  <si>
    <t>하이델 코팅용 블랑켓</t>
    <phoneticPr fontId="16" type="noConversion"/>
  </si>
  <si>
    <t>무광 코팅 잉크</t>
    <phoneticPr fontId="16" type="noConversion"/>
  </si>
  <si>
    <t>가격 조정</t>
    <phoneticPr fontId="16" type="noConversion"/>
  </si>
  <si>
    <t>플러스휘더 낚시줄</t>
    <phoneticPr fontId="16" type="noConversion"/>
  </si>
  <si>
    <t>팩컴 AAP</t>
    <phoneticPr fontId="16" type="noConversion"/>
  </si>
  <si>
    <t>옴니콘 업그레이드 중도금</t>
    <phoneticPr fontId="16" type="noConversion"/>
  </si>
  <si>
    <t>롤러 브랑켓</t>
    <phoneticPr fontId="21" type="noConversion"/>
  </si>
  <si>
    <t>팩컴</t>
    <phoneticPr fontId="21" type="noConversion"/>
  </si>
  <si>
    <t>한국필름</t>
    <phoneticPr fontId="16" type="noConversion"/>
  </si>
  <si>
    <t>2018. 3</t>
    <phoneticPr fontId="1" type="noConversion"/>
  </si>
  <si>
    <t>프린피아 파주</t>
    <phoneticPr fontId="4" type="noConversion"/>
  </si>
  <si>
    <t>미래테크마스타</t>
    <phoneticPr fontId="7" type="noConversion"/>
  </si>
  <si>
    <t>대한프린테크</t>
    <phoneticPr fontId="7" type="noConversion"/>
  </si>
  <si>
    <t>코리아피앤피</t>
    <phoneticPr fontId="5" type="noConversion"/>
  </si>
  <si>
    <t>테크노 트란스 부품</t>
    <phoneticPr fontId="5" type="noConversion"/>
  </si>
  <si>
    <t>조선일보</t>
    <phoneticPr fontId="26" type="noConversion"/>
  </si>
  <si>
    <t>GS85296</t>
    <phoneticPr fontId="28" type="noConversion"/>
  </si>
  <si>
    <t>GOSS</t>
    <phoneticPr fontId="28" type="noConversion"/>
  </si>
  <si>
    <t>M600 중고기계 검사 및 테스트(영국) 엔지니어 비용(2분기 부가세 청구 반영 예정)</t>
    <phoneticPr fontId="28" type="noConversion"/>
  </si>
  <si>
    <t>재능 옴니콘 업그레이드 계약금</t>
    <phoneticPr fontId="21" type="noConversion"/>
  </si>
  <si>
    <t>재능 옴니콘 업그레이드 중도금</t>
    <phoneticPr fontId="21" type="noConversion"/>
  </si>
  <si>
    <t>재능 옴니콘 업그레이드 잔금</t>
    <phoneticPr fontId="21" type="noConversion"/>
  </si>
  <si>
    <t>옴니콘 업그레이드(계약금은 11월 report)</t>
    <phoneticPr fontId="5" type="noConversion"/>
  </si>
  <si>
    <t>* 습수정화 장치(3월 반영해서 커미션 계산해주세요)</t>
    <phoneticPr fontId="7" type="noConversion"/>
  </si>
  <si>
    <t>QuadTech 기판</t>
    <phoneticPr fontId="26" type="noConversion"/>
  </si>
  <si>
    <t>5MX 770*700</t>
    <phoneticPr fontId="16" type="noConversion"/>
  </si>
  <si>
    <t>스트리퍼(소)</t>
    <phoneticPr fontId="18" type="noConversion"/>
  </si>
  <si>
    <t>ASPT</t>
    <phoneticPr fontId="16" type="noConversion"/>
  </si>
  <si>
    <t>2월 9일에 1개 미리 계산(세흥)</t>
    <phoneticPr fontId="16" type="noConversion"/>
  </si>
  <si>
    <t>테크노 트란스 부품(송용일이사 작업비용 update 5/10)</t>
    <phoneticPr fontId="5" type="noConversion"/>
  </si>
  <si>
    <t>3월 계산서 발행됨</t>
    <phoneticPr fontId="16" type="noConversion"/>
  </si>
  <si>
    <t>브러쉬, 헤드 스톱</t>
    <phoneticPr fontId="21" type="noConversion"/>
  </si>
  <si>
    <t>커팅 러버</t>
    <phoneticPr fontId="21" type="noConversion"/>
  </si>
  <si>
    <t>브레이크 라이닝</t>
    <phoneticPr fontId="21" type="noConversion"/>
  </si>
  <si>
    <t>재고잇음(5/14)</t>
    <phoneticPr fontId="21" type="noConversion"/>
  </si>
  <si>
    <t>CTP 판(1030*790mm)</t>
    <phoneticPr fontId="16" type="noConversion"/>
  </si>
  <si>
    <t>CTP 판(1030*790mm)</t>
    <phoneticPr fontId="18" type="noConversion"/>
  </si>
  <si>
    <t>2018. 4</t>
    <phoneticPr fontId="1" type="noConversion"/>
  </si>
  <si>
    <t>보진재</t>
    <phoneticPr fontId="4" type="noConversion"/>
  </si>
  <si>
    <t>커미션 계산 보류, 폐판과 함께 계산</t>
    <phoneticPr fontId="16" type="noConversion"/>
  </si>
  <si>
    <t>재고판 소진 포함</t>
    <phoneticPr fontId="26" type="noConversion"/>
  </si>
  <si>
    <t>Al180327A</t>
    <phoneticPr fontId="28" type="noConversion"/>
  </si>
  <si>
    <t>OEM Commission of ASPT</t>
    <phoneticPr fontId="28" type="noConversion"/>
  </si>
  <si>
    <t>Al1804021</t>
    <phoneticPr fontId="28" type="noConversion"/>
  </si>
  <si>
    <t>Al1804022</t>
  </si>
  <si>
    <t>Al1804023</t>
  </si>
  <si>
    <t>Al1804024</t>
  </si>
  <si>
    <t>1st Installation labor cost</t>
    <phoneticPr fontId="28" type="noConversion"/>
  </si>
  <si>
    <t>Daily allowance included hotel Vpak for ASPT</t>
    <phoneticPr fontId="28" type="noConversion"/>
  </si>
  <si>
    <t>Hotel for Lai, Ray Yi Min</t>
    <phoneticPr fontId="28" type="noConversion"/>
  </si>
  <si>
    <t>Purchased installation tools &amp; materials</t>
    <phoneticPr fontId="28" type="noConversion"/>
  </si>
  <si>
    <t>Fabrication of part &amp; repaired the hydralic pump</t>
    <phoneticPr fontId="28" type="noConversion"/>
  </si>
  <si>
    <t>Al1804025</t>
    <phoneticPr fontId="28" type="noConversion"/>
  </si>
  <si>
    <t>Al1805081</t>
    <phoneticPr fontId="28" type="noConversion"/>
  </si>
  <si>
    <t>Al1805082</t>
  </si>
  <si>
    <t>Al1805083</t>
  </si>
  <si>
    <t>Al1805084</t>
  </si>
  <si>
    <t>Al1805085</t>
  </si>
  <si>
    <t>2rd Installation labor cost</t>
    <phoneticPr fontId="28" type="noConversion"/>
  </si>
  <si>
    <t>Daily allwoance included hotel Vpak for ASPT</t>
  </si>
  <si>
    <t>Labor cost for cable tray support Vpak</t>
    <phoneticPr fontId="28" type="noConversion"/>
  </si>
  <si>
    <t>In press piping work for air &amp; water</t>
  </si>
  <si>
    <t>GOSS 싱가폴</t>
    <phoneticPr fontId="1" type="noConversion"/>
  </si>
  <si>
    <t>롤러 Set</t>
    <phoneticPr fontId="16" type="noConversion"/>
  </si>
  <si>
    <t>솔레노이드 밸브(single)</t>
    <phoneticPr fontId="16" type="noConversion"/>
  </si>
  <si>
    <t>솔레노이드 밸브(double)</t>
    <phoneticPr fontId="16" type="noConversion"/>
  </si>
  <si>
    <t>체크 밸브</t>
    <phoneticPr fontId="16" type="noConversion"/>
  </si>
  <si>
    <t>O-ring 0024</t>
    <phoneticPr fontId="16" type="noConversion"/>
  </si>
  <si>
    <t>특별할인</t>
    <phoneticPr fontId="16" type="noConversion"/>
  </si>
  <si>
    <t>시엠시</t>
    <phoneticPr fontId="16" type="noConversion"/>
  </si>
  <si>
    <t>필름 출력 현상기 롤라</t>
    <phoneticPr fontId="16" type="noConversion"/>
  </si>
  <si>
    <t>페이퍼 홀더</t>
    <phoneticPr fontId="16" type="noConversion"/>
  </si>
  <si>
    <t>ESI 물품</t>
    <phoneticPr fontId="16" type="noConversion"/>
  </si>
  <si>
    <t>CTP 물품</t>
    <phoneticPr fontId="16" type="noConversion"/>
  </si>
  <si>
    <t>블랑켓</t>
    <phoneticPr fontId="16" type="noConversion"/>
  </si>
  <si>
    <t>소모품</t>
    <phoneticPr fontId="16" type="noConversion"/>
  </si>
  <si>
    <t>명세서 참조</t>
    <phoneticPr fontId="16" type="noConversion"/>
  </si>
  <si>
    <t>o</t>
    <phoneticPr fontId="16" type="noConversion"/>
  </si>
  <si>
    <t>인터덱 잭(IST UV Lamp)</t>
    <phoneticPr fontId="16" type="noConversion"/>
  </si>
  <si>
    <t>핀</t>
    <phoneticPr fontId="16" type="noConversion"/>
  </si>
  <si>
    <t>미래인텍</t>
    <phoneticPr fontId="16" type="noConversion"/>
  </si>
  <si>
    <t>1개는 대진PM</t>
    <phoneticPr fontId="16" type="noConversion"/>
  </si>
  <si>
    <t>4월 누락건 6월 발행</t>
    <phoneticPr fontId="16" type="noConversion"/>
  </si>
  <si>
    <t>독일제 고모리 롤라 31개</t>
    <phoneticPr fontId="16" type="noConversion"/>
  </si>
  <si>
    <t>독일제 아스테이지</t>
    <phoneticPr fontId="16" type="noConversion"/>
  </si>
  <si>
    <t>접지칼</t>
    <phoneticPr fontId="16" type="noConversion"/>
  </si>
  <si>
    <t>스트리퍼</t>
    <phoneticPr fontId="18" type="noConversion"/>
  </si>
  <si>
    <t>접지칼</t>
    <phoneticPr fontId="21" type="noConversion"/>
  </si>
  <si>
    <t>USD</t>
    <phoneticPr fontId="21" type="noConversion"/>
  </si>
  <si>
    <t>페이퍼 홀더</t>
    <phoneticPr fontId="21" type="noConversion"/>
  </si>
  <si>
    <t>6월 납품후 커미션 계산</t>
    <phoneticPr fontId="16" type="noConversion"/>
  </si>
  <si>
    <t>2018. 5</t>
    <phoneticPr fontId="1" type="noConversion"/>
  </si>
  <si>
    <t>정광인쇄</t>
    <phoneticPr fontId="4" type="noConversion"/>
  </si>
  <si>
    <t>아직 커미션 계산 X 6월이후</t>
    <phoneticPr fontId="4" type="noConversion"/>
  </si>
  <si>
    <t>덕수</t>
    <phoneticPr fontId="14" type="noConversion"/>
  </si>
  <si>
    <t>시엠시</t>
    <phoneticPr fontId="7" type="noConversion"/>
  </si>
  <si>
    <t>프린피아 주안</t>
    <phoneticPr fontId="15" type="noConversion"/>
  </si>
  <si>
    <t>한국경제신문</t>
    <phoneticPr fontId="26" type="noConversion"/>
  </si>
  <si>
    <t>고스 부품</t>
    <phoneticPr fontId="26" type="noConversion"/>
  </si>
  <si>
    <t>매일경제</t>
    <phoneticPr fontId="26" type="noConversion"/>
  </si>
  <si>
    <t>XL 롤러</t>
    <phoneticPr fontId="16" type="noConversion"/>
  </si>
  <si>
    <t>요비다시 롤러</t>
    <phoneticPr fontId="16" type="noConversion"/>
  </si>
  <si>
    <t>클레임</t>
    <phoneticPr fontId="16" type="noConversion"/>
  </si>
  <si>
    <t>하이델 정품 세정포</t>
    <phoneticPr fontId="16" type="noConversion"/>
  </si>
  <si>
    <t>15개 = 1박스</t>
    <phoneticPr fontId="16" type="noConversion"/>
  </si>
  <si>
    <t>M600 서비스 계약(2회차)</t>
    <phoneticPr fontId="16" type="noConversion"/>
  </si>
  <si>
    <t>AI1806191</t>
    <phoneticPr fontId="28" type="noConversion"/>
  </si>
  <si>
    <t>AI1806192</t>
    <phoneticPr fontId="28" type="noConversion"/>
  </si>
  <si>
    <t>ASPT 조립 비용</t>
    <phoneticPr fontId="28" type="noConversion"/>
  </si>
  <si>
    <t>베트남 부품</t>
    <phoneticPr fontId="16" type="noConversion"/>
  </si>
  <si>
    <t>아스테이지</t>
    <phoneticPr fontId="16" type="noConversion"/>
  </si>
  <si>
    <t>로라세척칼날</t>
    <phoneticPr fontId="16" type="noConversion"/>
  </si>
  <si>
    <t>비엠테크</t>
    <phoneticPr fontId="16" type="noConversion"/>
  </si>
  <si>
    <t>베트남 서비스</t>
    <phoneticPr fontId="16" type="noConversion"/>
  </si>
  <si>
    <t>블랑켓(770*710mm)</t>
    <phoneticPr fontId="16" type="noConversion"/>
  </si>
  <si>
    <t>BI0106189</t>
    <phoneticPr fontId="28" type="noConversion"/>
  </si>
  <si>
    <t>EXEL PRINTING</t>
    <phoneticPr fontId="28" type="noConversion"/>
  </si>
  <si>
    <t>매일경제 삼면재단기 판매</t>
    <phoneticPr fontId="28" type="noConversion"/>
  </si>
  <si>
    <t>웹 가이드 센서</t>
    <phoneticPr fontId="21" type="noConversion"/>
  </si>
  <si>
    <t>대우피엔시에서 7개 사서 납품(7개 반품)</t>
    <phoneticPr fontId="16" type="noConversion"/>
  </si>
  <si>
    <t>1박스 8개(3개는 재고)</t>
    <phoneticPr fontId="16" type="noConversion"/>
  </si>
  <si>
    <t>항공료</t>
    <phoneticPr fontId="16" type="noConversion"/>
  </si>
  <si>
    <t>지멘스 서비스 및 부품</t>
    <phoneticPr fontId="16" type="noConversion"/>
  </si>
  <si>
    <t>에이앤제이엔지니어링</t>
    <phoneticPr fontId="16" type="noConversion"/>
  </si>
  <si>
    <t>베트남 부품 세트</t>
    <phoneticPr fontId="21" type="noConversion"/>
  </si>
  <si>
    <t>SGD</t>
    <phoneticPr fontId="21" type="noConversion"/>
  </si>
  <si>
    <t>2018. 6</t>
    <phoneticPr fontId="1" type="noConversion"/>
  </si>
  <si>
    <t>지엔에스</t>
    <phoneticPr fontId="4" type="noConversion"/>
  </si>
  <si>
    <t>에스엠인터네셔널</t>
  </si>
  <si>
    <t>신안테크</t>
  </si>
  <si>
    <t>비엠테크</t>
  </si>
  <si>
    <t>베트남 부품</t>
    <phoneticPr fontId="5" type="noConversion"/>
  </si>
  <si>
    <t>하이델베르그</t>
    <phoneticPr fontId="8" type="noConversion"/>
  </si>
  <si>
    <t>베트남 서비스 건 항공료 제</t>
    <phoneticPr fontId="8" type="noConversion"/>
  </si>
  <si>
    <t>5월 누락분 추가</t>
    <phoneticPr fontId="5" type="noConversion"/>
  </si>
  <si>
    <t>프린피아 파주출판단지</t>
    <phoneticPr fontId="16" type="noConversion"/>
  </si>
  <si>
    <t>국민패키징</t>
    <phoneticPr fontId="16" type="noConversion"/>
  </si>
  <si>
    <t>수동세척액</t>
    <phoneticPr fontId="16" type="noConversion"/>
  </si>
  <si>
    <t>프리미어(황)</t>
  </si>
  <si>
    <t>프리미어(청)</t>
  </si>
  <si>
    <t>메가미 레듀사(1kg)</t>
    <phoneticPr fontId="16" type="noConversion"/>
  </si>
  <si>
    <t>닙 롤라(고모리)</t>
    <phoneticPr fontId="16" type="noConversion"/>
  </si>
  <si>
    <t>슬리트 칼집(고모리)</t>
    <phoneticPr fontId="16" type="noConversion"/>
  </si>
  <si>
    <t>ENGAGE 1030*790</t>
    <phoneticPr fontId="16" type="noConversion"/>
  </si>
  <si>
    <t>폐판(세흥)</t>
    <phoneticPr fontId="16" type="noConversion"/>
  </si>
  <si>
    <t>세흥 판과 연계 커미션계산</t>
    <phoneticPr fontId="16" type="noConversion"/>
  </si>
  <si>
    <t>잉크집 호일</t>
    <phoneticPr fontId="16" type="noConversion"/>
  </si>
  <si>
    <t>재단칼</t>
    <phoneticPr fontId="16" type="noConversion"/>
  </si>
  <si>
    <t>부일인쇄</t>
    <phoneticPr fontId="16" type="noConversion"/>
  </si>
  <si>
    <t>솔레노이드 코일</t>
    <phoneticPr fontId="16" type="noConversion"/>
  </si>
  <si>
    <t>8월에 1번더 발행(100개 판매후 2번나눔)</t>
    <phoneticPr fontId="16" type="noConversion"/>
  </si>
  <si>
    <t>테스트(무료로 받음)</t>
    <phoneticPr fontId="16" type="noConversion"/>
  </si>
  <si>
    <t>5월 누락건</t>
    <phoneticPr fontId="16" type="noConversion"/>
  </si>
  <si>
    <t>필름출력기 현상 롤러</t>
    <phoneticPr fontId="16" type="noConversion"/>
  </si>
  <si>
    <t>ENGAGE 968*636</t>
    <phoneticPr fontId="16" type="noConversion"/>
  </si>
  <si>
    <t>8월 가격</t>
    <phoneticPr fontId="16" type="noConversion"/>
  </si>
  <si>
    <t>7월 가격</t>
    <phoneticPr fontId="16" type="noConversion"/>
  </si>
  <si>
    <t>스트리퍼</t>
    <phoneticPr fontId="21" type="noConversion"/>
  </si>
  <si>
    <t>Solenoid Coil</t>
    <phoneticPr fontId="21" type="noConversion"/>
  </si>
  <si>
    <t>부일인쇄</t>
    <phoneticPr fontId="21" type="noConversion"/>
  </si>
  <si>
    <t>재단칼</t>
    <phoneticPr fontId="21" type="noConversion"/>
  </si>
  <si>
    <t>판 절곡기</t>
    <phoneticPr fontId="16" type="noConversion"/>
  </si>
  <si>
    <t>Beta.f 중도금</t>
    <phoneticPr fontId="16" type="noConversion"/>
  </si>
  <si>
    <t>7월까지 총합</t>
    <phoneticPr fontId="16" type="noConversion"/>
  </si>
  <si>
    <t>아트프린팅</t>
    <phoneticPr fontId="16" type="noConversion"/>
  </si>
  <si>
    <t>팽창변 외 부품</t>
    <phoneticPr fontId="16" type="noConversion"/>
  </si>
  <si>
    <t>CTP 판매 마이너스</t>
    <phoneticPr fontId="16" type="noConversion"/>
  </si>
  <si>
    <t>무료</t>
    <phoneticPr fontId="16" type="noConversion"/>
  </si>
  <si>
    <t>프린피아 파주출판단지</t>
    <phoneticPr fontId="21" type="noConversion"/>
  </si>
  <si>
    <t xml:space="preserve">에어 실린더 </t>
    <phoneticPr fontId="16" type="noConversion"/>
  </si>
  <si>
    <t>피엠엔태건</t>
    <phoneticPr fontId="16" type="noConversion"/>
  </si>
  <si>
    <t>CN212/18</t>
    <phoneticPr fontId="28" type="noConversion"/>
  </si>
  <si>
    <t>재능 M600 커미션</t>
    <phoneticPr fontId="28" type="noConversion"/>
  </si>
  <si>
    <t>2018. 7</t>
    <phoneticPr fontId="1" type="noConversion"/>
  </si>
  <si>
    <t>국민패키징</t>
    <phoneticPr fontId="4" type="noConversion"/>
  </si>
  <si>
    <t>프린피아 파주출판단지</t>
    <phoneticPr fontId="4" type="noConversion"/>
  </si>
  <si>
    <t>팽창변 외 부품</t>
    <phoneticPr fontId="21" type="noConversion"/>
  </si>
  <si>
    <t>아트프린팅</t>
    <phoneticPr fontId="21" type="noConversion"/>
  </si>
  <si>
    <t>프린피아 파주출판단지</t>
    <phoneticPr fontId="5" type="noConversion"/>
  </si>
  <si>
    <t>ASPT</t>
    <phoneticPr fontId="26" type="noConversion"/>
  </si>
  <si>
    <t>ASPT 소모품</t>
    <phoneticPr fontId="26" type="noConversion"/>
  </si>
  <si>
    <t>Beta.f 계약금</t>
    <phoneticPr fontId="16" type="noConversion"/>
  </si>
  <si>
    <t>프린피아 주안</t>
    <phoneticPr fontId="26" type="noConversion"/>
  </si>
  <si>
    <t>프린피아 주안1</t>
    <phoneticPr fontId="16" type="noConversion"/>
  </si>
  <si>
    <t>프린피아 주안2</t>
    <phoneticPr fontId="16" type="noConversion"/>
  </si>
  <si>
    <t>프린피아 주안1</t>
    <phoneticPr fontId="26" type="noConversion"/>
  </si>
  <si>
    <t>프린피아 주안2</t>
    <phoneticPr fontId="26" type="noConversion"/>
  </si>
  <si>
    <t>판절곡기</t>
    <phoneticPr fontId="26" type="noConversion"/>
  </si>
  <si>
    <t>Beta.f 중도금</t>
    <phoneticPr fontId="26" type="noConversion"/>
  </si>
  <si>
    <t>Beta.f 계약금</t>
    <phoneticPr fontId="26" type="noConversion"/>
  </si>
  <si>
    <t>Quadtech  /Other</t>
    <phoneticPr fontId="21" type="noConversion"/>
  </si>
  <si>
    <t>프린피아 주안 판절곡기</t>
    <phoneticPr fontId="21" type="noConversion"/>
  </si>
  <si>
    <t>Tarng Yun</t>
    <phoneticPr fontId="16" type="noConversion"/>
  </si>
  <si>
    <t>아트프린팅</t>
    <phoneticPr fontId="7" type="noConversion"/>
  </si>
  <si>
    <t>아트프린팅</t>
    <phoneticPr fontId="5" type="noConversion"/>
  </si>
  <si>
    <t>부일인쇄</t>
    <phoneticPr fontId="26" type="noConversion"/>
  </si>
  <si>
    <t>솔레노이드 코일</t>
    <phoneticPr fontId="26" type="noConversion"/>
  </si>
  <si>
    <t>Machine</t>
    <phoneticPr fontId="27" type="noConversion"/>
  </si>
  <si>
    <t>세흥 CTP 100만원 기계값 채우고 남는 커미션 계산했습니다.</t>
    <phoneticPr fontId="4" type="noConversion"/>
  </si>
  <si>
    <t>8월 이월/가격변경됨</t>
    <phoneticPr fontId="16" type="noConversion"/>
  </si>
  <si>
    <t>AI0108188</t>
    <phoneticPr fontId="28" type="noConversion"/>
  </si>
  <si>
    <t>ASPT 알원 비용</t>
    <phoneticPr fontId="28" type="noConversion"/>
  </si>
  <si>
    <t>AI1808071</t>
    <phoneticPr fontId="28" type="noConversion"/>
  </si>
  <si>
    <t>AI1808072</t>
    <phoneticPr fontId="28" type="noConversion"/>
  </si>
  <si>
    <t>AI1808271</t>
    <phoneticPr fontId="28" type="noConversion"/>
  </si>
  <si>
    <t>고스 싱가폴 9만불 남은 비용</t>
    <phoneticPr fontId="28" type="noConversion"/>
  </si>
  <si>
    <t>한빛테크</t>
    <phoneticPr fontId="16" type="noConversion"/>
  </si>
  <si>
    <t>알콜공급장치 기판</t>
    <phoneticPr fontId="16" type="noConversion"/>
  </si>
  <si>
    <t>현상기 롤러</t>
    <phoneticPr fontId="16" type="noConversion"/>
  </si>
  <si>
    <t>잉크 조색 소프트웨어</t>
    <phoneticPr fontId="16" type="noConversion"/>
  </si>
  <si>
    <t>9월 납품 예정(8/31 납품함)</t>
    <phoneticPr fontId="16" type="noConversion"/>
  </si>
  <si>
    <t>실린더 수리</t>
    <phoneticPr fontId="16" type="noConversion"/>
  </si>
  <si>
    <t>한얼엔지니어링</t>
    <phoneticPr fontId="16" type="noConversion"/>
  </si>
  <si>
    <t>드라이어 수리</t>
    <phoneticPr fontId="16" type="noConversion"/>
  </si>
  <si>
    <t>Beta.f 잔금</t>
    <phoneticPr fontId="16" type="noConversion"/>
  </si>
  <si>
    <t>롤라 세척제 4종류</t>
    <phoneticPr fontId="16" type="noConversion"/>
  </si>
  <si>
    <t>M600 윤전 블랑켓 995*742</t>
    <phoneticPr fontId="16" type="noConversion"/>
  </si>
  <si>
    <t>언더팩킹지 0.26mm</t>
    <phoneticPr fontId="16" type="noConversion"/>
  </si>
  <si>
    <t>ColorConsulting</t>
    <phoneticPr fontId="16" type="noConversion"/>
  </si>
  <si>
    <t>파워 서플라이</t>
    <phoneticPr fontId="21" type="noConversion"/>
  </si>
  <si>
    <t>드라이어 수리 및 부품</t>
    <phoneticPr fontId="16" type="noConversion"/>
  </si>
  <si>
    <t>2018. 8</t>
    <phoneticPr fontId="1" type="noConversion"/>
  </si>
  <si>
    <t>코리아피앤피</t>
    <phoneticPr fontId="7" type="noConversion"/>
  </si>
  <si>
    <t>드라이어 수리비</t>
    <phoneticPr fontId="8" type="noConversion"/>
  </si>
  <si>
    <t>M600 실린더 수리</t>
    <phoneticPr fontId="8" type="noConversion"/>
  </si>
  <si>
    <t>보문특수칼라</t>
    <phoneticPr fontId="26" type="noConversion"/>
  </si>
  <si>
    <t>AI0108189</t>
    <phoneticPr fontId="28" type="noConversion"/>
  </si>
  <si>
    <t>칠러, Vpak 개조 비용</t>
    <phoneticPr fontId="28" type="noConversion"/>
  </si>
  <si>
    <t>Asura Access 유지보수 서비스</t>
    <phoneticPr fontId="16" type="noConversion"/>
  </si>
  <si>
    <t>코끼리 물통</t>
    <phoneticPr fontId="16" type="noConversion"/>
  </si>
  <si>
    <t>중고 M600 롤라 피복(78개)</t>
    <phoneticPr fontId="16" type="noConversion"/>
  </si>
  <si>
    <t>고모리 윤전 롤라 피복(2개)</t>
    <phoneticPr fontId="16" type="noConversion"/>
  </si>
  <si>
    <t>ENGAGE 1055*811</t>
    <phoneticPr fontId="16" type="noConversion"/>
  </si>
  <si>
    <t>ENGAGE 900X571 - 27RO</t>
    <phoneticPr fontId="18" type="noConversion"/>
  </si>
  <si>
    <t>ENGAGE 967.5*645</t>
    <phoneticPr fontId="16" type="noConversion"/>
  </si>
  <si>
    <t>THR200(20L)보충액</t>
    <phoneticPr fontId="1" type="noConversion"/>
  </si>
  <si>
    <t>THD200(20L)현상액</t>
    <phoneticPr fontId="16" type="noConversion"/>
  </si>
  <si>
    <t>Flint 무알콜 윤전약물(Superaster)</t>
    <phoneticPr fontId="16" type="noConversion"/>
  </si>
  <si>
    <t>도란스 변압기</t>
    <phoneticPr fontId="16" type="noConversion"/>
  </si>
  <si>
    <t>아스테이지(윤전)</t>
    <phoneticPr fontId="16" type="noConversion"/>
  </si>
  <si>
    <t>UV 마끼도리칼</t>
    <phoneticPr fontId="16" type="noConversion"/>
  </si>
  <si>
    <t>자동 판걸이 튜브</t>
    <phoneticPr fontId="16" type="noConversion"/>
  </si>
  <si>
    <t>커미션 계산 보류, 폐판과 함께 계산/9월부터 가격변경</t>
    <phoneticPr fontId="16" type="noConversion"/>
  </si>
  <si>
    <t>9월부터 가격변경</t>
    <phoneticPr fontId="16" type="noConversion"/>
  </si>
  <si>
    <t>AI1809181</t>
    <phoneticPr fontId="28" type="noConversion"/>
  </si>
  <si>
    <t>AI1809182</t>
    <phoneticPr fontId="28" type="noConversion"/>
  </si>
  <si>
    <t>재능 조립 비용</t>
    <phoneticPr fontId="28" type="noConversion"/>
  </si>
  <si>
    <t>AI0506188</t>
    <phoneticPr fontId="28" type="noConversion"/>
  </si>
  <si>
    <t>AI180702A</t>
    <phoneticPr fontId="28" type="noConversion"/>
  </si>
  <si>
    <t>Vpak 커미션</t>
    <phoneticPr fontId="28" type="noConversion"/>
  </si>
  <si>
    <t>습수정화장치 Beta.f</t>
    <phoneticPr fontId="16" type="noConversion"/>
  </si>
  <si>
    <t>잉크 롤러 세척칼</t>
    <phoneticPr fontId="16" type="noConversion"/>
  </si>
  <si>
    <t>베어러 세척 솜</t>
    <phoneticPr fontId="16" type="noConversion"/>
  </si>
  <si>
    <t>워시업 블레이드</t>
    <phoneticPr fontId="16" type="noConversion"/>
  </si>
  <si>
    <t>alcocontrol</t>
    <phoneticPr fontId="16" type="noConversion"/>
  </si>
  <si>
    <t>잉크집 호일</t>
    <phoneticPr fontId="21" type="noConversion"/>
  </si>
  <si>
    <t>잉크 롤러 세척칼</t>
    <phoneticPr fontId="21" type="noConversion"/>
  </si>
  <si>
    <t>샘플 포함</t>
    <phoneticPr fontId="16" type="noConversion"/>
  </si>
  <si>
    <t>Onevision</t>
    <phoneticPr fontId="16" type="noConversion"/>
  </si>
  <si>
    <t>2018. 9</t>
    <phoneticPr fontId="1" type="noConversion"/>
  </si>
  <si>
    <t>Technotrans Beta.f 필터 set</t>
  </si>
  <si>
    <t>Technotrans 도져</t>
  </si>
  <si>
    <t>M600 탄 지멘스 수리 건(Goss)</t>
  </si>
  <si>
    <t>한빛테크</t>
    <phoneticPr fontId="7" type="noConversion"/>
  </si>
  <si>
    <t>프린피아 주안2</t>
    <phoneticPr fontId="7" type="noConversion"/>
  </si>
  <si>
    <t>재능</t>
    <phoneticPr fontId="26" type="noConversion"/>
  </si>
  <si>
    <t>OneVision 서비스 비용</t>
    <phoneticPr fontId="26" type="noConversion"/>
  </si>
  <si>
    <t>Technotrans Beta.f(3set)</t>
    <phoneticPr fontId="21" type="noConversion"/>
  </si>
  <si>
    <t>Technotrans Beta.f filter</t>
    <phoneticPr fontId="21" type="noConversion"/>
  </si>
  <si>
    <t>국민피앤텍, 프린피아 합산</t>
    <phoneticPr fontId="21" type="noConversion"/>
  </si>
  <si>
    <t>통관비, 기술자비, 기타비</t>
    <phoneticPr fontId="21" type="noConversion"/>
  </si>
  <si>
    <t>Beta.F 포함</t>
    <phoneticPr fontId="7" type="noConversion"/>
  </si>
  <si>
    <t>M600 서비스 계약(3회차)</t>
    <phoneticPr fontId="16" type="noConversion"/>
  </si>
  <si>
    <t>M600 서비스 계약(4회차)</t>
    <phoneticPr fontId="16" type="noConversion"/>
  </si>
  <si>
    <t>스트립퍼</t>
    <phoneticPr fontId="16" type="noConversion"/>
  </si>
  <si>
    <t>571 샘플, 11월 이월</t>
    <phoneticPr fontId="16" type="noConversion"/>
  </si>
  <si>
    <t>드라이어 점검</t>
    <phoneticPr fontId="16" type="noConversion"/>
  </si>
  <si>
    <t>컨트롤 밸브</t>
    <phoneticPr fontId="16" type="noConversion"/>
  </si>
  <si>
    <t>매엽기 소개비</t>
    <phoneticPr fontId="16" type="noConversion"/>
  </si>
  <si>
    <t>M-600 드라이어 수리비</t>
    <phoneticPr fontId="16" type="noConversion"/>
  </si>
  <si>
    <t>Goss</t>
    <phoneticPr fontId="16" type="noConversion"/>
  </si>
  <si>
    <t>Technotrans</t>
    <phoneticPr fontId="16" type="noConversion"/>
  </si>
  <si>
    <t>클러치 부품</t>
    <phoneticPr fontId="16" type="noConversion"/>
  </si>
  <si>
    <t>스플라이서 서비스 비용</t>
    <phoneticPr fontId="16" type="noConversion"/>
  </si>
  <si>
    <t>M-600 드라이어 서비스 비용</t>
    <phoneticPr fontId="16" type="noConversion"/>
  </si>
  <si>
    <t>농도계 수리 및 교정</t>
    <phoneticPr fontId="16" type="noConversion"/>
  </si>
  <si>
    <t>Measuring Head cpl</t>
    <phoneticPr fontId="16" type="noConversion"/>
  </si>
  <si>
    <t>조 블레이드</t>
    <phoneticPr fontId="16" type="noConversion"/>
  </si>
  <si>
    <t>박영용 이사님</t>
    <phoneticPr fontId="16" type="noConversion"/>
  </si>
  <si>
    <t>쵸퍼 접지칼</t>
    <phoneticPr fontId="16" type="noConversion"/>
  </si>
  <si>
    <t xml:space="preserve"> OKS340 체인구리스</t>
    <phoneticPr fontId="16" type="noConversion"/>
  </si>
  <si>
    <t>2018. 10</t>
    <phoneticPr fontId="1" type="noConversion"/>
  </si>
  <si>
    <t>Flint</t>
    <phoneticPr fontId="16" type="noConversion"/>
  </si>
  <si>
    <t>국제신문</t>
    <phoneticPr fontId="16" type="noConversion"/>
  </si>
  <si>
    <t>수착롤러 자동진동장치</t>
    <phoneticPr fontId="16" type="noConversion"/>
  </si>
  <si>
    <t>18,10</t>
  </si>
  <si>
    <t>18,10</t>
    <phoneticPr fontId="16" type="noConversion"/>
  </si>
  <si>
    <t>성도지엘</t>
    <phoneticPr fontId="16" type="noConversion"/>
  </si>
  <si>
    <t>고려에이스과학</t>
    <phoneticPr fontId="16" type="noConversion"/>
  </si>
  <si>
    <t>SuperRaster SF Conv Fount</t>
    <phoneticPr fontId="21" type="noConversion"/>
  </si>
  <si>
    <t>SuperRaster HSW Fount</t>
    <phoneticPr fontId="21" type="noConversion"/>
  </si>
  <si>
    <t>SuperRaster HFP Wash</t>
    <phoneticPr fontId="21" type="noConversion"/>
  </si>
  <si>
    <t>SuperRaster HS Web Silicone</t>
    <phoneticPr fontId="21" type="noConversion"/>
  </si>
  <si>
    <t>SuperRaster Dampening Cleaner</t>
    <phoneticPr fontId="21" type="noConversion"/>
  </si>
  <si>
    <t>SuperRasterPremiumDot 995*742</t>
    <phoneticPr fontId="21" type="noConversion"/>
  </si>
  <si>
    <t>PremiumDot 995*725</t>
    <phoneticPr fontId="21" type="noConversion"/>
  </si>
  <si>
    <t>IST Lamp</t>
    <phoneticPr fontId="21" type="noConversion"/>
  </si>
  <si>
    <t>Benford</t>
    <phoneticPr fontId="16" type="noConversion"/>
  </si>
  <si>
    <t>IST</t>
    <phoneticPr fontId="16" type="noConversion"/>
  </si>
  <si>
    <t>Water Crutch</t>
    <phoneticPr fontId="21" type="noConversion"/>
  </si>
  <si>
    <t>Ink Crutch</t>
    <phoneticPr fontId="21" type="noConversion"/>
  </si>
  <si>
    <t>Water Roller Gear</t>
    <phoneticPr fontId="21" type="noConversion"/>
  </si>
  <si>
    <t>Tape Signature transport</t>
    <phoneticPr fontId="21" type="noConversion"/>
  </si>
  <si>
    <t>Forwarding belt</t>
    <phoneticPr fontId="21" type="noConversion"/>
  </si>
  <si>
    <t>Belt per metre</t>
    <phoneticPr fontId="21" type="noConversion"/>
  </si>
  <si>
    <t>rubber, cutting</t>
    <phoneticPr fontId="21" type="noConversion"/>
  </si>
  <si>
    <t>Jaw blade</t>
    <phoneticPr fontId="21" type="noConversion"/>
  </si>
  <si>
    <t>재능 드라이어 키트</t>
    <phoneticPr fontId="21" type="noConversion"/>
  </si>
  <si>
    <t>마이크 서비스비용(2차)</t>
    <phoneticPr fontId="21" type="noConversion"/>
  </si>
  <si>
    <t>마이크 서비스비용(1차)</t>
    <phoneticPr fontId="21" type="noConversion"/>
  </si>
  <si>
    <t>마이크, 대형인쇄기계 포함</t>
    <phoneticPr fontId="16" type="noConversion"/>
  </si>
  <si>
    <t>마이크 프린피아 점검</t>
    <phoneticPr fontId="21" type="noConversion"/>
  </si>
  <si>
    <t>마이크 보진재 점검</t>
    <phoneticPr fontId="21" type="noConversion"/>
  </si>
  <si>
    <t>마이크 매일경제 점검</t>
    <phoneticPr fontId="21" type="noConversion"/>
  </si>
  <si>
    <t>마이크 프린피아 문발 점검</t>
    <phoneticPr fontId="21" type="noConversion"/>
  </si>
  <si>
    <t>마이크 프린피아 주안 점검</t>
    <phoneticPr fontId="21" type="noConversion"/>
  </si>
  <si>
    <t>자동 판걸이 튜브</t>
    <phoneticPr fontId="21" type="noConversion"/>
  </si>
  <si>
    <t>매일경제</t>
    <phoneticPr fontId="8" type="noConversion"/>
  </si>
  <si>
    <t>프린피아 파주출판단지</t>
    <phoneticPr fontId="8" type="noConversion"/>
  </si>
  <si>
    <t>클러치 부품</t>
    <phoneticPr fontId="26" type="noConversion"/>
  </si>
  <si>
    <t>하이델베르그</t>
    <phoneticPr fontId="26" type="noConversion"/>
  </si>
  <si>
    <t>매엽기 소개비</t>
    <phoneticPr fontId="26" type="noConversion"/>
  </si>
  <si>
    <t>재능 드라이어 수리 부품 + 서비스</t>
    <phoneticPr fontId="5" type="noConversion"/>
  </si>
  <si>
    <t>컨택터</t>
    <phoneticPr fontId="16" type="noConversion"/>
  </si>
  <si>
    <t>파워베이스</t>
    <phoneticPr fontId="16" type="noConversion"/>
  </si>
  <si>
    <t>국윤전 도색작업</t>
    <phoneticPr fontId="16" type="noConversion"/>
  </si>
  <si>
    <t>Engage 850*580</t>
    <phoneticPr fontId="16" type="noConversion"/>
  </si>
  <si>
    <t>Engage 850*770</t>
    <phoneticPr fontId="16" type="noConversion"/>
  </si>
  <si>
    <t>Engage 850*780</t>
    <phoneticPr fontId="16" type="noConversion"/>
  </si>
  <si>
    <t>리컷(특수경우)</t>
    <phoneticPr fontId="16" type="noConversion"/>
  </si>
  <si>
    <t>ENGAGE 27 850X760MM WE</t>
    <phoneticPr fontId="16" type="noConversion"/>
  </si>
  <si>
    <t>ENGAGE 27 1030X790</t>
    <phoneticPr fontId="16" type="noConversion"/>
  </si>
  <si>
    <t>ENGAGE 27 1030X770MM</t>
    <phoneticPr fontId="16" type="noConversion"/>
  </si>
  <si>
    <t>블랑켓 1050*845 bar</t>
    <phoneticPr fontId="16" type="noConversion"/>
  </si>
  <si>
    <t>TOP 잉크(적)</t>
    <phoneticPr fontId="16" type="noConversion"/>
  </si>
  <si>
    <t>TOP 잉크(청)</t>
    <phoneticPr fontId="16" type="noConversion"/>
  </si>
  <si>
    <t>TOP 잉크(먹)</t>
    <phoneticPr fontId="16" type="noConversion"/>
  </si>
  <si>
    <t>한특 특수면 잉크(황)</t>
    <phoneticPr fontId="16" type="noConversion"/>
  </si>
  <si>
    <t>종이 누름가이드</t>
    <phoneticPr fontId="16" type="noConversion"/>
  </si>
  <si>
    <t>Fluidos 1-5% int/ext EPDM,PP</t>
    <phoneticPr fontId="16" type="noConversion"/>
  </si>
  <si>
    <t>Sub-assembly pressure switch and O-ring</t>
    <phoneticPr fontId="16" type="noConversion"/>
  </si>
  <si>
    <t>ph-probe glass type</t>
    <phoneticPr fontId="16" type="noConversion"/>
  </si>
  <si>
    <t xml:space="preserve">Base housing 1R compl. </t>
    <phoneticPr fontId="16" type="noConversion"/>
  </si>
  <si>
    <t>adapter ph-probe + Valve Seal</t>
    <phoneticPr fontId="16" type="noConversion"/>
  </si>
  <si>
    <t>Agfa New Spring</t>
    <phoneticPr fontId="16" type="noConversion"/>
  </si>
  <si>
    <t>필터, 필터하우징</t>
    <phoneticPr fontId="16" type="noConversion"/>
  </si>
  <si>
    <t>아지노 칼</t>
    <phoneticPr fontId="16" type="noConversion"/>
  </si>
  <si>
    <t>18,12</t>
  </si>
  <si>
    <t>매엽용 습수정화장치 필터(Alpha)</t>
    <phoneticPr fontId="16" type="noConversion"/>
  </si>
  <si>
    <t>Water Form Roller 80mm</t>
    <phoneticPr fontId="16" type="noConversion"/>
  </si>
  <si>
    <t>Water Form Roller 92mm</t>
    <phoneticPr fontId="16" type="noConversion"/>
  </si>
  <si>
    <t>고모리 매엽 독일제 롤라 18개</t>
    <phoneticPr fontId="16" type="noConversion"/>
  </si>
  <si>
    <t>성원애드피아</t>
    <phoneticPr fontId="16" type="noConversion"/>
  </si>
  <si>
    <t>UV Lamp-BF572</t>
    <phoneticPr fontId="16" type="noConversion"/>
  </si>
  <si>
    <t>UV Lamp-BF567</t>
    <phoneticPr fontId="16" type="noConversion"/>
  </si>
  <si>
    <t>Water Crutch</t>
    <phoneticPr fontId="16" type="noConversion"/>
  </si>
  <si>
    <t>QuadTeck 자동 핀트 및 컷오프</t>
    <phoneticPr fontId="16" type="noConversion"/>
  </si>
  <si>
    <t>물모터 컨트롤러</t>
    <phoneticPr fontId="16" type="noConversion"/>
  </si>
  <si>
    <t>인피드 웹 가이드 수리</t>
    <phoneticPr fontId="16" type="noConversion"/>
  </si>
  <si>
    <t>삼각판 코 수리</t>
    <phoneticPr fontId="16" type="noConversion"/>
  </si>
  <si>
    <t>삼각판 블로워 수리</t>
    <phoneticPr fontId="16" type="noConversion"/>
  </si>
  <si>
    <t>캐비닛 솔레노이드 밸브</t>
    <phoneticPr fontId="16" type="noConversion"/>
  </si>
  <si>
    <t>도저</t>
    <phoneticPr fontId="16" type="noConversion"/>
  </si>
  <si>
    <t>소프트닝 노즐</t>
    <phoneticPr fontId="16" type="noConversion"/>
  </si>
  <si>
    <t>핀(바늘)</t>
    <phoneticPr fontId="16" type="noConversion"/>
  </si>
  <si>
    <t>판걸이튜브 교체 작업</t>
    <phoneticPr fontId="16" type="noConversion"/>
  </si>
  <si>
    <t>하이델 이상훈 이사</t>
    <phoneticPr fontId="16" type="noConversion"/>
  </si>
  <si>
    <t>150만원 상품권</t>
    <phoneticPr fontId="16" type="noConversion"/>
  </si>
  <si>
    <t>벨트(14mm,20mm,25mm)</t>
    <phoneticPr fontId="16" type="noConversion"/>
  </si>
  <si>
    <t>쇼바</t>
    <phoneticPr fontId="16" type="noConversion"/>
  </si>
  <si>
    <t>로타리 유니온</t>
    <phoneticPr fontId="16" type="noConversion"/>
  </si>
  <si>
    <t>Shock Absorber</t>
    <phoneticPr fontId="21" type="noConversion"/>
  </si>
  <si>
    <t>쇼바</t>
    <phoneticPr fontId="21" type="noConversion"/>
  </si>
  <si>
    <t>조 블레이드</t>
    <phoneticPr fontId="21" type="noConversion"/>
  </si>
  <si>
    <t>Brake Lining with screw</t>
    <phoneticPr fontId="21" type="noConversion"/>
  </si>
  <si>
    <t>Pressure Pin</t>
    <phoneticPr fontId="21" type="noConversion"/>
  </si>
  <si>
    <t>Blade, Chopper</t>
    <phoneticPr fontId="21" type="noConversion"/>
  </si>
  <si>
    <t>Raccord de rambarde</t>
    <phoneticPr fontId="21" type="noConversion"/>
  </si>
  <si>
    <t>Fitting, 90deg. Elbow/Metric</t>
    <phoneticPr fontId="21" type="noConversion"/>
  </si>
  <si>
    <t>Fitting, 90deg. Corner T-joint</t>
    <phoneticPr fontId="21" type="noConversion"/>
  </si>
  <si>
    <t>Stripper 50 wode</t>
    <phoneticPr fontId="21" type="noConversion"/>
  </si>
  <si>
    <t>Stripper</t>
    <phoneticPr fontId="21" type="noConversion"/>
  </si>
  <si>
    <t>Oscillation Roller</t>
    <phoneticPr fontId="21" type="noConversion"/>
  </si>
  <si>
    <t>Gear Drive</t>
    <phoneticPr fontId="21" type="noConversion"/>
  </si>
  <si>
    <t>Fitting, Corner Joint/Metric</t>
    <phoneticPr fontId="21" type="noConversion"/>
  </si>
  <si>
    <t>브러쉬, 헤드스톱</t>
    <phoneticPr fontId="21" type="noConversion"/>
  </si>
  <si>
    <t>핀, 바늘</t>
    <phoneticPr fontId="21" type="noConversion"/>
  </si>
  <si>
    <t>프린피아 출판단지</t>
    <phoneticPr fontId="21" type="noConversion"/>
  </si>
  <si>
    <t>쵸퍼, 접지칼</t>
    <phoneticPr fontId="21" type="noConversion"/>
  </si>
  <si>
    <t>핀</t>
    <phoneticPr fontId="21" type="noConversion"/>
  </si>
  <si>
    <t>난간</t>
    <phoneticPr fontId="21" type="noConversion"/>
  </si>
  <si>
    <t>국제신문</t>
    <phoneticPr fontId="21" type="noConversion"/>
  </si>
  <si>
    <t>마이크 방문</t>
    <phoneticPr fontId="16" type="noConversion"/>
  </si>
  <si>
    <t>이솝</t>
    <phoneticPr fontId="16" type="noConversion"/>
  </si>
  <si>
    <t>상우이엔씨</t>
    <phoneticPr fontId="16" type="noConversion"/>
  </si>
  <si>
    <t>SuperRaster Dampening Cleaner</t>
    <phoneticPr fontId="16" type="noConversion"/>
  </si>
  <si>
    <t>플린트 약물, 블랑켓                     첫물량이라 저렴</t>
    <phoneticPr fontId="21" type="noConversion"/>
  </si>
  <si>
    <t>12/18 6개나감 국민피앤텍 보문</t>
    <phoneticPr fontId="21" type="noConversion"/>
  </si>
  <si>
    <t>12/18 13개 나감 재능</t>
    <phoneticPr fontId="21" type="noConversion"/>
  </si>
  <si>
    <t>Fluidos 1-5%</t>
    <phoneticPr fontId="21" type="noConversion"/>
  </si>
  <si>
    <t>Control Valve</t>
    <phoneticPr fontId="21" type="noConversion"/>
  </si>
  <si>
    <t>Measurung Head</t>
    <phoneticPr fontId="21" type="noConversion"/>
  </si>
  <si>
    <t>ph-probe glass type</t>
    <phoneticPr fontId="21" type="noConversion"/>
  </si>
  <si>
    <t>adapter ph-probe</t>
    <phoneticPr fontId="21" type="noConversion"/>
  </si>
  <si>
    <t>Combicontrol 1 Valve Seal</t>
    <phoneticPr fontId="21" type="noConversion"/>
  </si>
  <si>
    <t>Base housing 1R compl</t>
    <phoneticPr fontId="21" type="noConversion"/>
  </si>
  <si>
    <t>퍼시픽패키지 11/29</t>
    <phoneticPr fontId="21" type="noConversion"/>
  </si>
  <si>
    <t>퍼시픽패키지 11/08</t>
    <phoneticPr fontId="21" type="noConversion"/>
  </si>
  <si>
    <t>아트프린팅 11/01</t>
    <phoneticPr fontId="21" type="noConversion"/>
  </si>
  <si>
    <t>박영용이사님</t>
    <phoneticPr fontId="21" type="noConversion"/>
  </si>
  <si>
    <t>재능 12/12</t>
    <phoneticPr fontId="21" type="noConversion"/>
  </si>
  <si>
    <t>Filter housing</t>
    <phoneticPr fontId="21" type="noConversion"/>
  </si>
  <si>
    <t>Inline Filter 200</t>
    <phoneticPr fontId="21" type="noConversion"/>
  </si>
  <si>
    <t>Circuit Breaker</t>
    <phoneticPr fontId="21" type="noConversion"/>
  </si>
  <si>
    <t>Maintenance Switch</t>
    <phoneticPr fontId="21" type="noConversion"/>
  </si>
  <si>
    <t>ASPT 11/12</t>
    <phoneticPr fontId="21" type="noConversion"/>
  </si>
  <si>
    <t>Spray Bar Controller</t>
    <phoneticPr fontId="21" type="noConversion"/>
  </si>
  <si>
    <t>한국경제 납품예정</t>
    <phoneticPr fontId="21" type="noConversion"/>
  </si>
  <si>
    <t>한성피앤아이</t>
    <phoneticPr fontId="16" type="noConversion"/>
  </si>
  <si>
    <t>도저 Fluidos 1-5%</t>
    <phoneticPr fontId="16" type="noConversion"/>
  </si>
  <si>
    <t>Pipework water inlet</t>
    <phoneticPr fontId="16" type="noConversion"/>
  </si>
  <si>
    <t>Pipe connection</t>
    <phoneticPr fontId="16" type="noConversion"/>
  </si>
  <si>
    <t>Quick coupling water</t>
    <phoneticPr fontId="16" type="noConversion"/>
  </si>
  <si>
    <t>Quick coupling alcohol</t>
    <phoneticPr fontId="16" type="noConversion"/>
  </si>
  <si>
    <t>2018. 11</t>
    <phoneticPr fontId="1" type="noConversion"/>
  </si>
  <si>
    <t>재능</t>
    <phoneticPr fontId="14" type="noConversion"/>
  </si>
  <si>
    <t>프린피아 파주출판단지</t>
    <phoneticPr fontId="15" type="noConversion"/>
  </si>
  <si>
    <t>프린피아 문발</t>
    <phoneticPr fontId="14" type="noConversion"/>
  </si>
  <si>
    <t>초록색 총 합산한게 총 마진(마이크 드라이어 방문)</t>
    <phoneticPr fontId="8" type="noConversion"/>
  </si>
  <si>
    <t>총 마진 : 226316</t>
    <phoneticPr fontId="8" type="noConversion"/>
  </si>
  <si>
    <t>국제신문</t>
    <phoneticPr fontId="26" type="noConversion"/>
  </si>
  <si>
    <t>GOSS 롤러</t>
    <phoneticPr fontId="26" type="noConversion"/>
  </si>
  <si>
    <t>한국경제</t>
    <phoneticPr fontId="16" type="noConversion"/>
  </si>
  <si>
    <t>유압전자변 부품 SET</t>
    <phoneticPr fontId="16" type="noConversion"/>
  </si>
  <si>
    <t>ENGAGE 967.5*631</t>
    <phoneticPr fontId="16" type="noConversion"/>
  </si>
  <si>
    <t>리컷</t>
    <phoneticPr fontId="16" type="noConversion"/>
  </si>
  <si>
    <t>리컷비용 장당 100</t>
    <phoneticPr fontId="16" type="noConversion"/>
  </si>
  <si>
    <t>특수잉크 납품 후 프리미어청1드럼, 한특잉크 적 30kg으로 매출 계산함                                매입 : 특수잉크 / 매출 : 프리미어, 한특잉크</t>
    <phoneticPr fontId="16" type="noConversion"/>
  </si>
  <si>
    <t>샘플</t>
    <phoneticPr fontId="16" type="noConversion"/>
  </si>
  <si>
    <t>20개 납품후 하이델 4개 가져옴</t>
    <phoneticPr fontId="16" type="noConversion"/>
  </si>
  <si>
    <t>2019,1</t>
    <phoneticPr fontId="16" type="noConversion"/>
  </si>
  <si>
    <t>19,1</t>
    <phoneticPr fontId="16" type="noConversion"/>
  </si>
  <si>
    <t>(석션헤드내) 폴리 벨트</t>
    <phoneticPr fontId="16" type="noConversion"/>
  </si>
  <si>
    <t>(휘다쪽) 구동 벨트 OS</t>
    <phoneticPr fontId="16" type="noConversion"/>
  </si>
  <si>
    <t>40파이 호스</t>
    <phoneticPr fontId="16" type="noConversion"/>
  </si>
  <si>
    <t>25파이 호스</t>
    <phoneticPr fontId="16" type="noConversion"/>
  </si>
  <si>
    <t>폐판수거(세흥인쇄)</t>
    <phoneticPr fontId="16" type="noConversion"/>
  </si>
  <si>
    <t>1050*840 블랑켓</t>
    <phoneticPr fontId="16" type="noConversion"/>
  </si>
  <si>
    <t>필름출력기 중고 롤라</t>
    <phoneticPr fontId="16" type="noConversion"/>
  </si>
  <si>
    <t>필름출력기 housing 부품</t>
    <phoneticPr fontId="16" type="noConversion"/>
  </si>
  <si>
    <t>국전 M600 판 절곡기</t>
    <phoneticPr fontId="16" type="noConversion"/>
  </si>
  <si>
    <t>18,12</t>
    <phoneticPr fontId="16" type="noConversion"/>
  </si>
  <si>
    <t>19,1</t>
  </si>
  <si>
    <t>GLP 500</t>
    <phoneticPr fontId="16" type="noConversion"/>
  </si>
  <si>
    <t>고열 구리스</t>
    <phoneticPr fontId="16" type="noConversion"/>
  </si>
  <si>
    <t>대형시스템</t>
    <phoneticPr fontId="16" type="noConversion"/>
  </si>
  <si>
    <t>아이엔에스</t>
    <phoneticPr fontId="16" type="noConversion"/>
  </si>
  <si>
    <t>필터백(소형)</t>
    <phoneticPr fontId="16" type="noConversion"/>
  </si>
  <si>
    <t>대도산업</t>
    <phoneticPr fontId="16" type="noConversion"/>
  </si>
  <si>
    <t>Goss(PLANATOL)</t>
    <phoneticPr fontId="16" type="noConversion"/>
  </si>
  <si>
    <t>Pipework water inlet</t>
    <phoneticPr fontId="21" type="noConversion"/>
  </si>
  <si>
    <t>quick coupling water</t>
    <phoneticPr fontId="21" type="noConversion"/>
  </si>
  <si>
    <t>quick coupling alcohol</t>
    <phoneticPr fontId="21" type="noConversion"/>
  </si>
  <si>
    <t>Pipe connection</t>
    <phoneticPr fontId="21" type="noConversion"/>
  </si>
  <si>
    <t>퍼시픽패키지 12/4</t>
    <phoneticPr fontId="21" type="noConversion"/>
  </si>
  <si>
    <t>퍼시픽 패키지 12/11</t>
    <phoneticPr fontId="21" type="noConversion"/>
  </si>
  <si>
    <t>한성피앤아이 12/18</t>
    <phoneticPr fontId="21" type="noConversion"/>
  </si>
  <si>
    <t>2018. 12</t>
    <phoneticPr fontId="1" type="noConversion"/>
  </si>
  <si>
    <t>한성피앤아이</t>
    <phoneticPr fontId="7" type="noConversion"/>
  </si>
  <si>
    <t>이동훈 이사와 판걸이튜브 교체작업(주말)</t>
    <phoneticPr fontId="8" type="noConversion"/>
  </si>
  <si>
    <t>한국경제</t>
    <phoneticPr fontId="26" type="noConversion"/>
  </si>
  <si>
    <t>Vpak 블랑켓, 플렉소, 아니록스 롤러</t>
    <phoneticPr fontId="16" type="noConversion"/>
  </si>
  <si>
    <t>Vpak 블랑켓, 플렉소 슬리브, 아니록스 롤러</t>
    <phoneticPr fontId="26" type="noConversion"/>
  </si>
  <si>
    <t>유압전자변 부품(납품전)</t>
    <phoneticPr fontId="26" type="noConversion"/>
  </si>
  <si>
    <t>클러치 부품(1개)</t>
    <phoneticPr fontId="26" type="noConversion"/>
  </si>
  <si>
    <t>4개는 하이델매입, 2개 사용불가(마진 적용)</t>
    <phoneticPr fontId="16" type="noConversion"/>
  </si>
  <si>
    <t>이엘코리아, 다음커미션 계산</t>
    <phoneticPr fontId="16" type="noConversion"/>
  </si>
  <si>
    <t>링크, 체인</t>
    <phoneticPr fontId="16" type="noConversion"/>
  </si>
  <si>
    <t>M600 롤러 세트</t>
    <phoneticPr fontId="16" type="noConversion"/>
  </si>
  <si>
    <t>Conductivity Probe</t>
    <phoneticPr fontId="16" type="noConversion"/>
  </si>
  <si>
    <t>2019,2</t>
    <phoneticPr fontId="16" type="noConversion"/>
  </si>
  <si>
    <t>19,2</t>
    <phoneticPr fontId="16" type="noConversion"/>
  </si>
  <si>
    <t>판걸이 튜브(상)</t>
    <phoneticPr fontId="16" type="noConversion"/>
  </si>
  <si>
    <t>판걸이 튜브(하)</t>
    <phoneticPr fontId="16" type="noConversion"/>
  </si>
  <si>
    <t>핀치 롤</t>
    <phoneticPr fontId="16" type="noConversion"/>
  </si>
  <si>
    <t>브러쉬 롤러 교체</t>
    <phoneticPr fontId="16" type="noConversion"/>
  </si>
  <si>
    <t>WATER CRUTCH, Water Roller Gear*2</t>
    <phoneticPr fontId="16" type="noConversion"/>
  </si>
  <si>
    <t>End Seal</t>
    <phoneticPr fontId="16" type="noConversion"/>
  </si>
  <si>
    <t>Plug in Module</t>
    <phoneticPr fontId="16" type="noConversion"/>
  </si>
  <si>
    <t>ENGAGE 968*631</t>
    <phoneticPr fontId="16" type="noConversion"/>
  </si>
  <si>
    <t>2019. 1</t>
    <phoneticPr fontId="1" type="noConversion"/>
  </si>
  <si>
    <t>아스테이지(CD74용)</t>
    <phoneticPr fontId="16" type="noConversion"/>
  </si>
  <si>
    <t>19,2</t>
  </si>
  <si>
    <t>성원애드피아</t>
    <phoneticPr fontId="4" type="noConversion"/>
  </si>
  <si>
    <t>2019,1</t>
    <phoneticPr fontId="7" type="noConversion"/>
  </si>
  <si>
    <t>2019,1</t>
    <phoneticPr fontId="26" type="noConversion"/>
  </si>
  <si>
    <t>판, 플렉소유니트 부품</t>
    <phoneticPr fontId="26" type="noConversion"/>
  </si>
  <si>
    <t>플렉소 유니트 부품은 돈 받음</t>
    <phoneticPr fontId="26" type="noConversion"/>
  </si>
  <si>
    <t>클러치 부품(1개), 물로라기어(2개)</t>
    <phoneticPr fontId="26" type="noConversion"/>
  </si>
  <si>
    <t>End Seal</t>
    <phoneticPr fontId="21" type="noConversion"/>
  </si>
  <si>
    <t>Harris&amp;Bruno</t>
    <phoneticPr fontId="16" type="noConversion"/>
  </si>
  <si>
    <t>Conductivity Probe</t>
    <phoneticPr fontId="21" type="noConversion"/>
  </si>
  <si>
    <t>퍼시픽패키지 1/9</t>
    <phoneticPr fontId="21" type="noConversion"/>
  </si>
  <si>
    <t>Plug in module</t>
    <phoneticPr fontId="21" type="noConversion"/>
  </si>
  <si>
    <t>퍼시픽패키지 1/15</t>
    <phoneticPr fontId="21" type="noConversion"/>
  </si>
  <si>
    <t>Link,chain</t>
    <phoneticPr fontId="21" type="noConversion"/>
  </si>
  <si>
    <t>Gear Metering Roller</t>
    <phoneticPr fontId="21" type="noConversion"/>
  </si>
  <si>
    <t>AUTOPLATE MEMBRANE UPPER</t>
    <phoneticPr fontId="21" type="noConversion"/>
  </si>
  <si>
    <t>AUTOPLATE MEMBRANE LOWER</t>
    <phoneticPr fontId="21" type="noConversion"/>
  </si>
  <si>
    <t>13SD Water Crutch</t>
    <phoneticPr fontId="21" type="noConversion"/>
  </si>
  <si>
    <t>프린피아</t>
    <phoneticPr fontId="21" type="noConversion"/>
  </si>
  <si>
    <t>Stripper(WM.X80850)</t>
    <phoneticPr fontId="21" type="noConversion"/>
  </si>
  <si>
    <t>하이델 이상훈 이사, 상품권</t>
    <phoneticPr fontId="16" type="noConversion"/>
  </si>
  <si>
    <t>상품권 100만</t>
    <phoneticPr fontId="16" type="noConversion"/>
  </si>
  <si>
    <t>비고</t>
    <phoneticPr fontId="4" type="noConversion"/>
  </si>
  <si>
    <t>UV 램프</t>
    <phoneticPr fontId="4" type="noConversion"/>
  </si>
  <si>
    <t>M600, 고모리 롤러</t>
    <phoneticPr fontId="4" type="noConversion"/>
  </si>
  <si>
    <t>판걸이 튜브</t>
    <phoneticPr fontId="5" type="noConversion"/>
  </si>
  <si>
    <t>드라이어 모터 수리</t>
    <phoneticPr fontId="16" type="noConversion"/>
  </si>
  <si>
    <t>토션 바</t>
    <phoneticPr fontId="16" type="noConversion"/>
  </si>
  <si>
    <t>잉크 밸브</t>
    <phoneticPr fontId="16" type="noConversion"/>
  </si>
  <si>
    <t>핸드레일 부품</t>
    <phoneticPr fontId="16" type="noConversion"/>
  </si>
  <si>
    <t>QuadTech RGS 스캐너 기판</t>
    <phoneticPr fontId="16" type="noConversion"/>
  </si>
  <si>
    <t>UV 램프 하이델 국전용</t>
    <phoneticPr fontId="16" type="noConversion"/>
  </si>
  <si>
    <t>필름출력기 부품</t>
    <phoneticPr fontId="16" type="noConversion"/>
  </si>
  <si>
    <t>Water Pan Roller 고모리 윤전용</t>
    <phoneticPr fontId="16" type="noConversion"/>
  </si>
  <si>
    <t>Water Form Roller 고모리 윤전용</t>
    <phoneticPr fontId="16" type="noConversion"/>
  </si>
  <si>
    <t>Water Pan Roller M600 윤전용</t>
    <phoneticPr fontId="16" type="noConversion"/>
  </si>
  <si>
    <t>Ink Form Roller  고모리 윤전용</t>
    <phoneticPr fontId="16" type="noConversion"/>
  </si>
  <si>
    <t>2019,3</t>
    <phoneticPr fontId="16" type="noConversion"/>
  </si>
  <si>
    <t>19,3</t>
    <phoneticPr fontId="16" type="noConversion"/>
  </si>
  <si>
    <t>더우린</t>
    <phoneticPr fontId="16" type="noConversion"/>
  </si>
  <si>
    <t>Eject PP comple</t>
    <phoneticPr fontId="16" type="noConversion"/>
  </si>
  <si>
    <t>Nozzle d3,5 PP zinc yellow</t>
    <phoneticPr fontId="16" type="noConversion"/>
  </si>
  <si>
    <t>신창디지털</t>
    <phoneticPr fontId="16" type="noConversion"/>
  </si>
  <si>
    <t>Nozzle D 3.0</t>
    <phoneticPr fontId="16" type="noConversion"/>
  </si>
  <si>
    <t>브러쉬 헤드 스톱</t>
    <phoneticPr fontId="16" type="noConversion"/>
  </si>
  <si>
    <t>베어링 하우징</t>
    <phoneticPr fontId="16" type="noConversion"/>
  </si>
  <si>
    <t>AI1810301</t>
  </si>
  <si>
    <t>외화 매출</t>
    <phoneticPr fontId="28" type="noConversion"/>
  </si>
  <si>
    <t>Description</t>
    <phoneticPr fontId="1" type="noConversion"/>
  </si>
  <si>
    <t>GOSS Singapore</t>
    <phoneticPr fontId="1" type="noConversion"/>
  </si>
  <si>
    <t>AI1811131</t>
    <phoneticPr fontId="28" type="noConversion"/>
  </si>
  <si>
    <t>ASPT 워런티, 작업 비용</t>
    <phoneticPr fontId="28" type="noConversion"/>
  </si>
  <si>
    <t>AI1811132</t>
    <phoneticPr fontId="28" type="noConversion"/>
  </si>
  <si>
    <t>ASPT Light Bar 통관 비용</t>
    <phoneticPr fontId="28" type="noConversion"/>
  </si>
  <si>
    <t>AI1811301</t>
    <phoneticPr fontId="28" type="noConversion"/>
  </si>
  <si>
    <t>ASPT ESI 크리오펌프 수리비용</t>
    <phoneticPr fontId="28" type="noConversion"/>
  </si>
  <si>
    <t>AI1811198A</t>
    <phoneticPr fontId="28" type="noConversion"/>
  </si>
  <si>
    <t>ASPT</t>
    <phoneticPr fontId="28" type="noConversion"/>
  </si>
  <si>
    <t>560mm, 750mm, 760mm 플렉소 슬리브</t>
    <phoneticPr fontId="28" type="noConversion"/>
  </si>
  <si>
    <t>AI181113A</t>
    <phoneticPr fontId="28" type="noConversion"/>
  </si>
  <si>
    <t>국민피앤피 Beta.F 인건비</t>
    <phoneticPr fontId="28" type="noConversion"/>
  </si>
  <si>
    <t>외화 매입</t>
    <phoneticPr fontId="28" type="noConversion"/>
  </si>
  <si>
    <t>AI1901081</t>
    <phoneticPr fontId="29" type="noConversion"/>
  </si>
  <si>
    <t>ManRolandGoss Singapore</t>
    <phoneticPr fontId="29" type="noConversion"/>
  </si>
  <si>
    <t>ASPT 워런티, 서비스 비용</t>
    <phoneticPr fontId="29" type="noConversion"/>
  </si>
  <si>
    <t>AI1902118</t>
    <phoneticPr fontId="29" type="noConversion"/>
  </si>
  <si>
    <t>Flint</t>
    <phoneticPr fontId="29" type="noConversion"/>
  </si>
  <si>
    <t>블랑켓 운송료</t>
    <phoneticPr fontId="29" type="noConversion"/>
  </si>
  <si>
    <t>Deposit</t>
    <phoneticPr fontId="29" type="noConversion"/>
  </si>
  <si>
    <t>AI1902119</t>
    <phoneticPr fontId="29" type="noConversion"/>
  </si>
  <si>
    <t>ASPT</t>
    <phoneticPr fontId="29" type="noConversion"/>
  </si>
  <si>
    <t>ASPT 플렉소 유니트 소모품</t>
    <phoneticPr fontId="29" type="noConversion"/>
  </si>
  <si>
    <t>AI1902121</t>
    <phoneticPr fontId="29" type="noConversion"/>
  </si>
  <si>
    <t>AI1902148</t>
    <phoneticPr fontId="29" type="noConversion"/>
  </si>
  <si>
    <t>ASPT 아니록스 롤러 재제판</t>
    <phoneticPr fontId="29" type="noConversion"/>
  </si>
  <si>
    <t>AI1902198</t>
    <phoneticPr fontId="29" type="noConversion"/>
  </si>
  <si>
    <t>HARRIS BRUNO</t>
    <phoneticPr fontId="29" type="noConversion"/>
  </si>
  <si>
    <t>추가 지급 분</t>
    <phoneticPr fontId="29" type="noConversion"/>
  </si>
  <si>
    <t>외화 청구</t>
    <phoneticPr fontId="28" type="noConversion"/>
  </si>
  <si>
    <t>Martin Automatic</t>
    <phoneticPr fontId="29" type="noConversion"/>
  </si>
  <si>
    <t>Martin Automatic Transducer</t>
    <phoneticPr fontId="29" type="noConversion"/>
  </si>
  <si>
    <t>Flint Group Day Printing</t>
    <phoneticPr fontId="29" type="noConversion"/>
  </si>
  <si>
    <t>SuperRaster 무알콜 약물</t>
    <phoneticPr fontId="29" type="noConversion"/>
  </si>
  <si>
    <t>Technotrans</t>
    <phoneticPr fontId="29" type="noConversion"/>
  </si>
  <si>
    <t>1월 매입</t>
    <phoneticPr fontId="29" type="noConversion"/>
  </si>
  <si>
    <t>OneVision</t>
    <phoneticPr fontId="29" type="noConversion"/>
  </si>
  <si>
    <t>재능 Asura 서비스 계약</t>
    <phoneticPr fontId="29" type="noConversion"/>
  </si>
  <si>
    <t>mteX</t>
    <phoneticPr fontId="29" type="noConversion"/>
  </si>
  <si>
    <t>UV 램프 샘플</t>
    <phoneticPr fontId="29" type="noConversion"/>
  </si>
  <si>
    <t>Benford</t>
    <phoneticPr fontId="29" type="noConversion"/>
  </si>
  <si>
    <t>덕수 UV 램프</t>
    <phoneticPr fontId="29" type="noConversion"/>
  </si>
  <si>
    <t>2월 매입</t>
    <phoneticPr fontId="29" type="noConversion"/>
  </si>
  <si>
    <t>청구분과 상계</t>
    <phoneticPr fontId="29" type="noConversion"/>
  </si>
  <si>
    <t>KBA용 솔레노이드 전자변 에어밸브</t>
    <phoneticPr fontId="16" type="noConversion"/>
  </si>
  <si>
    <t>UV 램프 - KBA(1145mm)</t>
    <phoneticPr fontId="16" type="noConversion"/>
  </si>
  <si>
    <t>UV 램프 - KBA(1130mm)</t>
    <phoneticPr fontId="16" type="noConversion"/>
  </si>
  <si>
    <t>UV 램프 - 하이델 XL106</t>
    <phoneticPr fontId="16" type="noConversion"/>
  </si>
  <si>
    <t>19,3</t>
  </si>
  <si>
    <t>Analog Output Module</t>
    <phoneticPr fontId="16" type="noConversion"/>
  </si>
  <si>
    <t>잉크 키 모터</t>
    <phoneticPr fontId="16" type="noConversion"/>
  </si>
  <si>
    <t>체인 링크</t>
    <phoneticPr fontId="16" type="noConversion"/>
  </si>
  <si>
    <t>판 클리너(12개)</t>
    <phoneticPr fontId="16" type="noConversion"/>
  </si>
  <si>
    <t>대형인쇄기계 11,12월 매입</t>
    <phoneticPr fontId="16" type="noConversion"/>
  </si>
  <si>
    <t>2019. 2</t>
    <phoneticPr fontId="1" type="noConversion"/>
  </si>
  <si>
    <t>신한종합인쇄</t>
    <phoneticPr fontId="4" type="noConversion"/>
  </si>
  <si>
    <t>2019,2</t>
    <phoneticPr fontId="7" type="noConversion"/>
  </si>
  <si>
    <t>더우린</t>
    <phoneticPr fontId="7" type="noConversion"/>
  </si>
  <si>
    <t>2019,2</t>
    <phoneticPr fontId="8" type="noConversion"/>
  </si>
  <si>
    <t>2019,2</t>
    <phoneticPr fontId="26" type="noConversion"/>
  </si>
  <si>
    <t>신창디지털</t>
    <phoneticPr fontId="26" type="noConversion"/>
  </si>
  <si>
    <t>Torsion Bar</t>
    <phoneticPr fontId="21" type="noConversion"/>
  </si>
  <si>
    <t>Roll, Pinch</t>
    <phoneticPr fontId="21" type="noConversion"/>
  </si>
  <si>
    <t>Bushing</t>
    <phoneticPr fontId="21" type="noConversion"/>
  </si>
  <si>
    <t>Ink Valve</t>
    <phoneticPr fontId="21" type="noConversion"/>
  </si>
  <si>
    <t>베어링 하우징</t>
    <phoneticPr fontId="21" type="noConversion"/>
  </si>
  <si>
    <t>Link Chain</t>
    <phoneticPr fontId="21" type="noConversion"/>
  </si>
  <si>
    <t>Interbus module</t>
    <phoneticPr fontId="21" type="noConversion"/>
  </si>
  <si>
    <t>STOPcock Red</t>
    <phoneticPr fontId="21" type="noConversion"/>
  </si>
  <si>
    <t>Filter Housing</t>
    <phoneticPr fontId="21" type="noConversion"/>
  </si>
  <si>
    <t>신창디지털</t>
    <phoneticPr fontId="21" type="noConversion"/>
  </si>
  <si>
    <t>EJECTOR PP COMPL.CC.E</t>
    <phoneticPr fontId="21" type="noConversion"/>
  </si>
  <si>
    <t>NOZZLE D3.5 PP ZINC YELLOW,CPL</t>
    <phoneticPr fontId="21" type="noConversion"/>
  </si>
  <si>
    <t>STOPCOCK RED KPL</t>
    <phoneticPr fontId="21" type="noConversion"/>
  </si>
  <si>
    <t>Nozzle D 3.0 blue complete</t>
    <phoneticPr fontId="21" type="noConversion"/>
  </si>
  <si>
    <t>더우린</t>
    <phoneticPr fontId="21" type="noConversion"/>
  </si>
  <si>
    <t>UV Lamp-BF571</t>
    <phoneticPr fontId="21" type="noConversion"/>
  </si>
  <si>
    <t>일본</t>
    <phoneticPr fontId="16" type="noConversion"/>
  </si>
  <si>
    <t>Beta.F 필터 set</t>
    <phoneticPr fontId="16" type="noConversion"/>
  </si>
  <si>
    <t>2019,4</t>
    <phoneticPr fontId="16" type="noConversion"/>
  </si>
  <si>
    <t>19,4</t>
    <phoneticPr fontId="16" type="noConversion"/>
  </si>
  <si>
    <t>아라니아 분홍</t>
    <phoneticPr fontId="16" type="noConversion"/>
  </si>
  <si>
    <t>한국경제신문</t>
    <phoneticPr fontId="1" type="noConversion"/>
  </si>
  <si>
    <t>잉크 키 모터 24DVC</t>
    <phoneticPr fontId="1" type="noConversion"/>
  </si>
  <si>
    <t>Goss</t>
    <phoneticPr fontId="1" type="noConversion"/>
  </si>
  <si>
    <t>겸용 블랑켓 1050*840</t>
    <phoneticPr fontId="16" type="noConversion"/>
  </si>
  <si>
    <t>UV 전용 블랑켓 1050*840</t>
    <phoneticPr fontId="16" type="noConversion"/>
  </si>
  <si>
    <t>불칸폴리오 블랑켓 1050*840</t>
    <phoneticPr fontId="16" type="noConversion"/>
  </si>
  <si>
    <t>알레스 서비스 비용</t>
    <phoneticPr fontId="16" type="noConversion"/>
  </si>
  <si>
    <t>Tan 서비스 비용</t>
    <phoneticPr fontId="16" type="noConversion"/>
  </si>
  <si>
    <t>가스 쇼바</t>
    <phoneticPr fontId="16" type="noConversion"/>
  </si>
  <si>
    <t>파워 서플라이</t>
    <phoneticPr fontId="16" type="noConversion"/>
  </si>
  <si>
    <t>폴더 기어</t>
    <phoneticPr fontId="16" type="noConversion"/>
  </si>
  <si>
    <t>칠 롤러</t>
    <phoneticPr fontId="16" type="noConversion"/>
  </si>
  <si>
    <t>3번 판 롤러</t>
    <phoneticPr fontId="16" type="noConversion"/>
  </si>
  <si>
    <t>플렉소 유니트 소모품</t>
    <phoneticPr fontId="16" type="noConversion"/>
  </si>
  <si>
    <t>엔드 씰 등등</t>
    <phoneticPr fontId="16" type="noConversion"/>
  </si>
  <si>
    <t>무료 제공</t>
    <phoneticPr fontId="16" type="noConversion"/>
  </si>
  <si>
    <t>CTP 베어링</t>
    <phoneticPr fontId="16" type="noConversion"/>
  </si>
  <si>
    <t>agfa</t>
    <phoneticPr fontId="16" type="noConversion"/>
  </si>
  <si>
    <t>독일제 정품 잉크호일 아스테이지</t>
  </si>
  <si>
    <t>로랜드 전지 블랑켓(1460*1165)bar</t>
  </si>
  <si>
    <t>고무사카 노란색</t>
    <phoneticPr fontId="16" type="noConversion"/>
  </si>
  <si>
    <t>샘플 무료 납품</t>
    <phoneticPr fontId="16" type="noConversion"/>
  </si>
  <si>
    <t>M600 서비스 계약(1회차)</t>
    <phoneticPr fontId="16" type="noConversion"/>
  </si>
  <si>
    <t>시엠시</t>
    <phoneticPr fontId="21" type="noConversion"/>
  </si>
  <si>
    <t>Solenoid Valve(Single)</t>
    <phoneticPr fontId="21" type="noConversion"/>
  </si>
  <si>
    <t>Solenoid Valve(Double)</t>
    <phoneticPr fontId="21" type="noConversion"/>
  </si>
  <si>
    <t>Modular Filter(Single)</t>
    <phoneticPr fontId="21" type="noConversion"/>
  </si>
  <si>
    <t>Modular Filter(Double)</t>
    <phoneticPr fontId="21" type="noConversion"/>
  </si>
  <si>
    <t>Oring</t>
    <phoneticPr fontId="21" type="noConversion"/>
  </si>
  <si>
    <t>Plug</t>
    <phoneticPr fontId="21" type="noConversion"/>
  </si>
  <si>
    <t>Filter</t>
    <phoneticPr fontId="21" type="noConversion"/>
  </si>
  <si>
    <t>Male Conecctor</t>
    <phoneticPr fontId="21" type="noConversion"/>
  </si>
  <si>
    <t>Male elbow</t>
    <phoneticPr fontId="21" type="noConversion"/>
  </si>
  <si>
    <t>plug 9051040</t>
    <phoneticPr fontId="21" type="noConversion"/>
  </si>
  <si>
    <t>Oring 0235</t>
    <phoneticPr fontId="21" type="noConversion"/>
  </si>
  <si>
    <t>Ink Fountain foile</t>
    <phoneticPr fontId="21" type="noConversion"/>
  </si>
  <si>
    <t>대흥피앤씨</t>
    <phoneticPr fontId="16" type="noConversion"/>
  </si>
  <si>
    <t>5개 무상</t>
    <phoneticPr fontId="16" type="noConversion"/>
  </si>
  <si>
    <t>UV Lamp-BF 575</t>
    <phoneticPr fontId="21" type="noConversion"/>
  </si>
  <si>
    <t>UV Lamp-BF 572</t>
    <phoneticPr fontId="21" type="noConversion"/>
  </si>
  <si>
    <t>웨스칼코리아</t>
    <phoneticPr fontId="16" type="noConversion"/>
  </si>
  <si>
    <t>Alles</t>
    <phoneticPr fontId="16" type="noConversion"/>
  </si>
  <si>
    <t>프레스텍</t>
    <phoneticPr fontId="16" type="noConversion"/>
  </si>
  <si>
    <t>2019. 3</t>
    <phoneticPr fontId="1" type="noConversion"/>
  </si>
  <si>
    <t>2019,3</t>
    <phoneticPr fontId="7" type="noConversion"/>
  </si>
  <si>
    <t>시엠시</t>
    <phoneticPr fontId="1" type="noConversion"/>
  </si>
  <si>
    <t>시엠시</t>
    <phoneticPr fontId="5" type="noConversion"/>
  </si>
  <si>
    <t>2019,3</t>
    <phoneticPr fontId="8" type="noConversion"/>
  </si>
  <si>
    <t>Tan 방문</t>
    <phoneticPr fontId="8" type="noConversion"/>
  </si>
  <si>
    <t>2019,3</t>
    <phoneticPr fontId="26" type="noConversion"/>
  </si>
  <si>
    <t>CTP 베어링</t>
    <phoneticPr fontId="26" type="noConversion"/>
  </si>
  <si>
    <t>플렉소 소모품</t>
    <phoneticPr fontId="26" type="noConversion"/>
  </si>
  <si>
    <t>돈 받음</t>
    <phoneticPr fontId="26" type="noConversion"/>
  </si>
  <si>
    <t>Chill Roller</t>
    <phoneticPr fontId="21" type="noConversion"/>
  </si>
  <si>
    <t>2019,5</t>
    <phoneticPr fontId="16" type="noConversion"/>
  </si>
  <si>
    <t>19,5</t>
    <phoneticPr fontId="16" type="noConversion"/>
  </si>
  <si>
    <t>아라니아 연청 304c</t>
    <phoneticPr fontId="16" type="noConversion"/>
  </si>
  <si>
    <t>아라니아 분홍(2) 1905c</t>
    <phoneticPr fontId="16" type="noConversion"/>
  </si>
  <si>
    <t>아라니아 분홍(3) 1775c</t>
    <phoneticPr fontId="16" type="noConversion"/>
  </si>
  <si>
    <t>아라니아 분홍(1) 190c</t>
    <phoneticPr fontId="16" type="noConversion"/>
  </si>
  <si>
    <t>Plunger TTA 155A-1040</t>
    <phoneticPr fontId="16" type="noConversion"/>
  </si>
  <si>
    <t>Plunger TTA 155A-1040-15</t>
    <phoneticPr fontId="16" type="noConversion"/>
  </si>
  <si>
    <t>하이델 CD102 롤러 set</t>
    <phoneticPr fontId="16" type="noConversion"/>
  </si>
  <si>
    <t>고모리 윤전 롤러</t>
    <phoneticPr fontId="16" type="noConversion"/>
  </si>
  <si>
    <t>M600 윤전 롤러</t>
    <phoneticPr fontId="16" type="noConversion"/>
  </si>
  <si>
    <t>냉각 팬 모터</t>
    <phoneticPr fontId="16" type="noConversion"/>
  </si>
  <si>
    <t>미터링 롤러</t>
    <phoneticPr fontId="16" type="noConversion"/>
  </si>
  <si>
    <t>Engage 850*720</t>
    <phoneticPr fontId="16" type="noConversion"/>
  </si>
  <si>
    <t>CTP 보충액</t>
    <phoneticPr fontId="16" type="noConversion"/>
  </si>
  <si>
    <t>미수금</t>
    <phoneticPr fontId="16" type="noConversion"/>
  </si>
  <si>
    <t>와우 택배비 96800</t>
    <phoneticPr fontId="16" type="noConversion"/>
  </si>
  <si>
    <t>스플라이서 수리</t>
    <phoneticPr fontId="16" type="noConversion"/>
  </si>
  <si>
    <t>SuperRaster AlcoReplace Fount</t>
    <phoneticPr fontId="21" type="noConversion"/>
  </si>
  <si>
    <t>SuperRaster AlcoReplace Fount</t>
    <phoneticPr fontId="16" type="noConversion"/>
  </si>
  <si>
    <t>M600 Tan 서비스 비용</t>
    <phoneticPr fontId="16" type="noConversion"/>
  </si>
  <si>
    <t>SC 자원</t>
    <phoneticPr fontId="16" type="noConversion"/>
  </si>
  <si>
    <t>건타입 스트립퍼</t>
    <phoneticPr fontId="16" type="noConversion"/>
  </si>
  <si>
    <t>우림PTS</t>
    <phoneticPr fontId="16" type="noConversion"/>
  </si>
  <si>
    <t>하이델</t>
    <phoneticPr fontId="16" type="noConversion"/>
  </si>
  <si>
    <t>19,5</t>
  </si>
  <si>
    <t>1개 무료제공</t>
    <phoneticPr fontId="16" type="noConversion"/>
  </si>
  <si>
    <t>Measuring Roller</t>
    <phoneticPr fontId="21" type="noConversion"/>
  </si>
  <si>
    <t>Motor, Positec N065</t>
    <phoneticPr fontId="21" type="noConversion"/>
  </si>
  <si>
    <t>Former Nose</t>
    <phoneticPr fontId="21" type="noConversion"/>
  </si>
  <si>
    <t>Encoder</t>
    <phoneticPr fontId="21" type="noConversion"/>
  </si>
  <si>
    <t>AI1904011</t>
    <phoneticPr fontId="29" type="noConversion"/>
  </si>
  <si>
    <t>AI1905021</t>
    <phoneticPr fontId="29" type="noConversion"/>
  </si>
  <si>
    <t>Baldwin</t>
    <phoneticPr fontId="29" type="noConversion"/>
  </si>
  <si>
    <t>3월 매입</t>
    <phoneticPr fontId="29" type="noConversion"/>
  </si>
  <si>
    <t>Plunger Assembly Complete</t>
    <phoneticPr fontId="21" type="noConversion"/>
  </si>
  <si>
    <t>Plunger Assembly</t>
    <phoneticPr fontId="21" type="noConversion"/>
  </si>
  <si>
    <t>잉크</t>
    <phoneticPr fontId="30" type="noConversion"/>
  </si>
  <si>
    <t>기타</t>
    <phoneticPr fontId="30" type="noConversion"/>
  </si>
  <si>
    <t>2019. 4</t>
    <phoneticPr fontId="1" type="noConversion"/>
  </si>
  <si>
    <t>SC 자원</t>
    <phoneticPr fontId="4" type="noConversion"/>
  </si>
  <si>
    <t>2019,4</t>
    <phoneticPr fontId="7" type="noConversion"/>
  </si>
  <si>
    <t>2019,4</t>
    <phoneticPr fontId="8" type="noConversion"/>
  </si>
  <si>
    <t>2019,4</t>
    <phoneticPr fontId="26" type="noConversion"/>
  </si>
  <si>
    <t>Technotrans 부품</t>
    <phoneticPr fontId="26" type="noConversion"/>
  </si>
  <si>
    <t>CTP 소모품</t>
    <phoneticPr fontId="26" type="noConversion"/>
  </si>
  <si>
    <t>돈 못받음</t>
    <phoneticPr fontId="26" type="noConversion"/>
  </si>
  <si>
    <t>브레이크 슈</t>
    <phoneticPr fontId="16" type="noConversion"/>
  </si>
  <si>
    <t>Lubricant 오일</t>
    <phoneticPr fontId="16" type="noConversion"/>
  </si>
  <si>
    <t>동영인쇄</t>
    <phoneticPr fontId="16" type="noConversion"/>
  </si>
  <si>
    <t>M600 Tan 서비스 자재 비용</t>
    <phoneticPr fontId="16" type="noConversion"/>
  </si>
  <si>
    <t>에어 실린더(107)</t>
    <phoneticPr fontId="16" type="noConversion"/>
  </si>
  <si>
    <t>에어 실린더(111)</t>
    <phoneticPr fontId="16" type="noConversion"/>
  </si>
  <si>
    <t>33985 33986</t>
    <phoneticPr fontId="16" type="noConversion"/>
  </si>
  <si>
    <t>2019,6</t>
    <phoneticPr fontId="16" type="noConversion"/>
  </si>
  <si>
    <t>19,6</t>
    <phoneticPr fontId="16" type="noConversion"/>
  </si>
  <si>
    <t>원래 1790000</t>
    <phoneticPr fontId="16" type="noConversion"/>
  </si>
  <si>
    <t>필터벡</t>
    <phoneticPr fontId="16" type="noConversion"/>
  </si>
  <si>
    <t>Cable, 25M</t>
    <phoneticPr fontId="21" type="noConversion"/>
  </si>
  <si>
    <t>Air cylinder</t>
    <phoneticPr fontId="21" type="noConversion"/>
  </si>
  <si>
    <t>850*620 Plate</t>
    <phoneticPr fontId="16" type="noConversion"/>
  </si>
  <si>
    <t>Air Valve</t>
    <phoneticPr fontId="21" type="noConversion"/>
  </si>
  <si>
    <t>Brake Shoe</t>
    <phoneticPr fontId="21" type="noConversion"/>
  </si>
  <si>
    <t>2019. 5</t>
    <phoneticPr fontId="1" type="noConversion"/>
  </si>
  <si>
    <t>2019,5</t>
    <phoneticPr fontId="7" type="noConversion"/>
  </si>
  <si>
    <t>동영인쇄</t>
    <phoneticPr fontId="5" type="noConversion"/>
  </si>
  <si>
    <t>2019,5</t>
    <phoneticPr fontId="8" type="noConversion"/>
  </si>
  <si>
    <t>2019,5</t>
    <phoneticPr fontId="26" type="noConversion"/>
  </si>
  <si>
    <t>CTP 판</t>
    <phoneticPr fontId="26" type="noConversion"/>
  </si>
  <si>
    <t>goss water crutch</t>
    <phoneticPr fontId="26" type="noConversion"/>
  </si>
  <si>
    <t>2019,1</t>
    <phoneticPr fontId="5" type="noConversion"/>
  </si>
  <si>
    <t>2019,2</t>
    <phoneticPr fontId="5" type="noConversion"/>
  </si>
  <si>
    <t>2019,3</t>
    <phoneticPr fontId="5" type="noConversion"/>
  </si>
  <si>
    <t>2019,4</t>
    <phoneticPr fontId="5" type="noConversion"/>
  </si>
  <si>
    <t>2019,5</t>
    <phoneticPr fontId="5" type="noConversion"/>
  </si>
  <si>
    <t>19,6</t>
  </si>
  <si>
    <t>매엽용 세척제(Wash 562)</t>
  </si>
  <si>
    <t>X</t>
  </si>
  <si>
    <t>Fount 511</t>
  </si>
  <si>
    <t>에어 실린더(00.580.3482)</t>
    <phoneticPr fontId="16" type="noConversion"/>
  </si>
  <si>
    <t>브러쉬</t>
    <phoneticPr fontId="16" type="noConversion"/>
  </si>
  <si>
    <t>에어 실린더(판걸이 카세트)</t>
    <phoneticPr fontId="16" type="noConversion"/>
  </si>
  <si>
    <t>2019,7</t>
    <phoneticPr fontId="16" type="noConversion"/>
  </si>
  <si>
    <t>19,7</t>
    <phoneticPr fontId="16" type="noConversion"/>
  </si>
  <si>
    <t>2019. 6</t>
    <phoneticPr fontId="1" type="noConversion"/>
  </si>
  <si>
    <t>Pecom 업그레이드</t>
    <phoneticPr fontId="16" type="noConversion"/>
  </si>
  <si>
    <t>INPUT MODULE</t>
    <phoneticPr fontId="16" type="noConversion"/>
  </si>
  <si>
    <t>OUTPUT MODULE</t>
    <phoneticPr fontId="16" type="noConversion"/>
  </si>
  <si>
    <t>잉크 롤러 세척 칼</t>
    <phoneticPr fontId="16" type="noConversion"/>
  </si>
  <si>
    <t>엔드 플레이트 솜</t>
    <phoneticPr fontId="16" type="noConversion"/>
  </si>
  <si>
    <t>잉크집 롤러 와이퍼</t>
    <phoneticPr fontId="16" type="noConversion"/>
  </si>
  <si>
    <t>고모리 윤전 롤러 6개</t>
    <phoneticPr fontId="16" type="noConversion"/>
  </si>
  <si>
    <t>M600 윤전 롤러 10개</t>
    <phoneticPr fontId="16" type="noConversion"/>
  </si>
  <si>
    <t>잉크 조색 소프트웨어 1set</t>
    <phoneticPr fontId="16" type="noConversion"/>
  </si>
  <si>
    <t>Air Cylinder Festo 6711</t>
    <phoneticPr fontId="21" type="noConversion"/>
  </si>
  <si>
    <t>Cylinder, Air</t>
    <phoneticPr fontId="21" type="noConversion"/>
  </si>
  <si>
    <t>Pneumatic Jack</t>
    <phoneticPr fontId="21" type="noConversion"/>
  </si>
  <si>
    <t>Blade, Inker Washup 33.5</t>
    <phoneticPr fontId="21" type="noConversion"/>
  </si>
  <si>
    <t>Wiper, Fountain Roll End</t>
    <phoneticPr fontId="21" type="noConversion"/>
  </si>
  <si>
    <t>Felt, Ink Fountain Cheek</t>
    <phoneticPr fontId="21" type="noConversion"/>
  </si>
  <si>
    <t>Ink FounTain Foil</t>
    <phoneticPr fontId="21" type="noConversion"/>
  </si>
  <si>
    <t>Paper Holder</t>
    <phoneticPr fontId="21" type="noConversion"/>
  </si>
  <si>
    <t>2017,11</t>
    <phoneticPr fontId="30" type="noConversion"/>
  </si>
  <si>
    <t>2017,12</t>
    <phoneticPr fontId="30" type="noConversion"/>
  </si>
  <si>
    <t>2018,1</t>
    <phoneticPr fontId="30" type="noConversion"/>
  </si>
  <si>
    <t>2018,2</t>
    <phoneticPr fontId="30" type="noConversion"/>
  </si>
  <si>
    <t>2018,3</t>
  </si>
  <si>
    <t>2018,4</t>
  </si>
  <si>
    <t>2018,5</t>
  </si>
  <si>
    <t>2018,6</t>
  </si>
  <si>
    <t>2018,7</t>
  </si>
  <si>
    <t>2018,8</t>
  </si>
  <si>
    <t>2018,9</t>
  </si>
  <si>
    <t>2018,10</t>
  </si>
  <si>
    <t>2018,11</t>
  </si>
  <si>
    <t>2018,12</t>
  </si>
  <si>
    <t>2019,1</t>
    <phoneticPr fontId="30" type="noConversion"/>
  </si>
  <si>
    <t>2019,2</t>
    <phoneticPr fontId="30" type="noConversion"/>
  </si>
  <si>
    <t>2019,3</t>
    <phoneticPr fontId="30" type="noConversion"/>
  </si>
  <si>
    <t>2019,4</t>
    <phoneticPr fontId="30" type="noConversion"/>
  </si>
  <si>
    <t>2019,5</t>
  </si>
  <si>
    <t>2019,6</t>
  </si>
  <si>
    <t>2019,7</t>
  </si>
  <si>
    <t>2019,8</t>
  </si>
  <si>
    <t>2019,9</t>
  </si>
  <si>
    <t>2019,10</t>
  </si>
  <si>
    <t>2019,11</t>
  </si>
  <si>
    <t>2019,12</t>
  </si>
  <si>
    <t>1월</t>
    <phoneticPr fontId="30" type="noConversion"/>
  </si>
  <si>
    <t>2월</t>
    <phoneticPr fontId="30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</si>
  <si>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</si>
  <si>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</si>
  <si>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</si>
  <si>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</si>
  <si>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</si>
  <si>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</si>
  <si>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</si>
  <si>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</si>
  <si>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</si>
  <si>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</si>
  <si>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Total</t>
    <phoneticPr fontId="1" type="noConversion"/>
  </si>
  <si>
    <t>AI1906121</t>
    <phoneticPr fontId="29" type="noConversion"/>
  </si>
  <si>
    <t>AI1906122</t>
    <phoneticPr fontId="29" type="noConversion"/>
  </si>
  <si>
    <t>AI1906123</t>
    <phoneticPr fontId="29" type="noConversion"/>
  </si>
  <si>
    <t>테크노트란스 모니터 비용</t>
    <phoneticPr fontId="29" type="noConversion"/>
  </si>
  <si>
    <t>미지급</t>
    <phoneticPr fontId="29" type="noConversion"/>
  </si>
  <si>
    <t>AI1907101</t>
    <phoneticPr fontId="29" type="noConversion"/>
  </si>
  <si>
    <t>PLC direct</t>
    <phoneticPr fontId="29" type="noConversion"/>
  </si>
  <si>
    <t>Colorconsulting</t>
    <phoneticPr fontId="29" type="noConversion"/>
  </si>
  <si>
    <t>5월 매입</t>
    <phoneticPr fontId="29" type="noConversion"/>
  </si>
  <si>
    <t>ASPT 부품</t>
    <phoneticPr fontId="29" type="noConversion"/>
  </si>
  <si>
    <t>IFS + 농도계</t>
    <phoneticPr fontId="29" type="noConversion"/>
  </si>
  <si>
    <t>i1Profiler</t>
    <phoneticPr fontId="29" type="noConversion"/>
  </si>
  <si>
    <t>IFS 데이터</t>
    <phoneticPr fontId="29" type="noConversion"/>
  </si>
  <si>
    <t>6월 매입</t>
    <phoneticPr fontId="29" type="noConversion"/>
  </si>
  <si>
    <t>UV 램프</t>
    <phoneticPr fontId="29" type="noConversion"/>
  </si>
  <si>
    <t>2019,6</t>
    <phoneticPr fontId="7" type="noConversion"/>
  </si>
  <si>
    <t>2019,6</t>
    <phoneticPr fontId="5" type="noConversion"/>
  </si>
  <si>
    <t>ASPT</t>
    <phoneticPr fontId="5" type="noConversion"/>
  </si>
  <si>
    <t>2019,6</t>
    <phoneticPr fontId="8" type="noConversion"/>
  </si>
  <si>
    <t>2019,6</t>
    <phoneticPr fontId="26" type="noConversion"/>
  </si>
  <si>
    <t>아니록스 롤러</t>
    <phoneticPr fontId="26" type="noConversion"/>
  </si>
  <si>
    <t>Pecom 업그레이드</t>
    <phoneticPr fontId="26" type="noConversion"/>
  </si>
  <si>
    <t>XL106 롤라 5유니트</t>
    <phoneticPr fontId="16" type="noConversion"/>
  </si>
  <si>
    <t>CD102 롤라 4유니트</t>
    <phoneticPr fontId="16" type="noConversion"/>
  </si>
  <si>
    <t>SM102 롤라 4유니트</t>
    <phoneticPr fontId="16" type="noConversion"/>
  </si>
  <si>
    <t>롤러크리너</t>
    <phoneticPr fontId="16" type="noConversion"/>
  </si>
  <si>
    <t>19,7</t>
  </si>
  <si>
    <t>국민피앤텍 IFS</t>
    <phoneticPr fontId="21" type="noConversion"/>
  </si>
  <si>
    <t>M600 서비스 비용- 알레스</t>
    <phoneticPr fontId="16" type="noConversion"/>
  </si>
  <si>
    <t>M600 서비스 비용 - Tan</t>
    <phoneticPr fontId="16" type="noConversion"/>
  </si>
  <si>
    <t>M600 서비스 비용</t>
    <phoneticPr fontId="16" type="noConversion"/>
  </si>
  <si>
    <t>접지부 형광등</t>
    <phoneticPr fontId="16" type="noConversion"/>
  </si>
  <si>
    <t>판넬 필터(set)</t>
    <phoneticPr fontId="16" type="noConversion"/>
  </si>
  <si>
    <t>beta.f 필터 set</t>
    <phoneticPr fontId="16" type="noConversion"/>
  </si>
  <si>
    <t>2019,8</t>
    <phoneticPr fontId="16" type="noConversion"/>
  </si>
  <si>
    <t>19,8</t>
    <phoneticPr fontId="16" type="noConversion"/>
  </si>
  <si>
    <t>아라니아 BTS 보라</t>
    <phoneticPr fontId="16" type="noConversion"/>
  </si>
  <si>
    <t>2019. 7</t>
    <phoneticPr fontId="1" type="noConversion"/>
  </si>
  <si>
    <t>2019,7</t>
    <phoneticPr fontId="5" type="noConversion"/>
  </si>
  <si>
    <t>2019,7</t>
    <phoneticPr fontId="8" type="noConversion"/>
  </si>
  <si>
    <t>2019,7</t>
    <phoneticPr fontId="26" type="noConversion"/>
  </si>
  <si>
    <t>(IFS+농도계)+데이터생성+잉크수출+선물+수입비용</t>
    <phoneticPr fontId="21" type="noConversion"/>
  </si>
  <si>
    <t>고문당인쇄</t>
    <phoneticPr fontId="16" type="noConversion"/>
  </si>
  <si>
    <t>THR200(20L)</t>
  </si>
  <si>
    <t>CTP 판(1030*790mm)</t>
  </si>
  <si>
    <t>High Pressure connection Valve block</t>
    <phoneticPr fontId="1" type="noConversion"/>
  </si>
  <si>
    <t>19,8</t>
  </si>
  <si>
    <t>Plug-in coupling complete 1/4</t>
    <phoneticPr fontId="1" type="noConversion"/>
  </si>
  <si>
    <t>High Pressure hose 1/4</t>
    <phoneticPr fontId="1" type="noConversion"/>
  </si>
  <si>
    <t>실리콘 에멀전</t>
    <phoneticPr fontId="1" type="noConversion"/>
  </si>
  <si>
    <t>Consums</t>
    <phoneticPr fontId="1" type="noConversion"/>
  </si>
  <si>
    <t>하이델베르그</t>
    <phoneticPr fontId="1" type="noConversion"/>
  </si>
  <si>
    <t>필터백</t>
    <phoneticPr fontId="1" type="noConversion"/>
  </si>
  <si>
    <t>적색 고무서커</t>
    <phoneticPr fontId="1" type="noConversion"/>
  </si>
  <si>
    <t>서커통(리프팅사커노즐)</t>
    <phoneticPr fontId="1" type="noConversion"/>
  </si>
  <si>
    <t>접착테이프</t>
    <phoneticPr fontId="1" type="noConversion"/>
  </si>
  <si>
    <t xml:space="preserve"> ASPT 워런티, 서비스 비용</t>
    <phoneticPr fontId="29" type="noConversion"/>
  </si>
  <si>
    <t>4~6월 매입</t>
    <phoneticPr fontId="29" type="noConversion"/>
  </si>
  <si>
    <t>웹뷰잉 카메라 엔지니어 비용</t>
    <phoneticPr fontId="29" type="noConversion"/>
  </si>
  <si>
    <t>AI3004198</t>
    <phoneticPr fontId="29" type="noConversion"/>
  </si>
  <si>
    <t>웹뷰잉 카메라 커미션</t>
    <phoneticPr fontId="29" type="noConversion"/>
  </si>
  <si>
    <t>AI1908211</t>
    <phoneticPr fontId="29" type="noConversion"/>
  </si>
  <si>
    <t>Plasteel(플렉소 챔버 블레이드)</t>
    <phoneticPr fontId="16" type="noConversion"/>
  </si>
  <si>
    <t>Durapoint</t>
    <phoneticPr fontId="16" type="noConversion"/>
  </si>
  <si>
    <t>Cust-1442-09(습식 엔드 씰)</t>
    <phoneticPr fontId="16" type="noConversion"/>
  </si>
  <si>
    <t>엔코더</t>
    <phoneticPr fontId="16" type="noConversion"/>
  </si>
  <si>
    <t>엔코더 케이블</t>
    <phoneticPr fontId="16" type="noConversion"/>
  </si>
  <si>
    <t>2019,9</t>
    <phoneticPr fontId="16" type="noConversion"/>
  </si>
  <si>
    <t>19,9</t>
    <phoneticPr fontId="16" type="noConversion"/>
  </si>
  <si>
    <t>시엠시로 계산서발행</t>
    <phoneticPr fontId="16" type="noConversion"/>
  </si>
  <si>
    <t>강판(set)</t>
    <phoneticPr fontId="1" type="noConversion"/>
  </si>
  <si>
    <t>매엽</t>
    <phoneticPr fontId="16" type="noConversion"/>
  </si>
  <si>
    <t>윤전 부품</t>
    <phoneticPr fontId="16" type="noConversion"/>
  </si>
  <si>
    <t xml:space="preserve">윤전 </t>
    <phoneticPr fontId="16" type="noConversion"/>
  </si>
  <si>
    <t>윤전</t>
    <phoneticPr fontId="16" type="noConversion"/>
  </si>
  <si>
    <t>매엽 부품</t>
    <phoneticPr fontId="16" type="noConversion"/>
  </si>
  <si>
    <t>중산기계</t>
    <phoneticPr fontId="16" type="noConversion"/>
  </si>
  <si>
    <t>접착테이프</t>
    <phoneticPr fontId="16" type="noConversion"/>
  </si>
  <si>
    <t>습수중간탱크 개조</t>
    <phoneticPr fontId="16" type="noConversion"/>
  </si>
  <si>
    <t>송용일이사</t>
    <phoneticPr fontId="16" type="noConversion"/>
  </si>
  <si>
    <t>Power Supply</t>
    <phoneticPr fontId="21" type="noConversion"/>
  </si>
  <si>
    <t>접착 테이프</t>
    <phoneticPr fontId="21" type="noConversion"/>
  </si>
  <si>
    <t>2019. 8</t>
    <phoneticPr fontId="1" type="noConversion"/>
  </si>
  <si>
    <t>2019,8</t>
    <phoneticPr fontId="7" type="noConversion"/>
  </si>
  <si>
    <t>고문당인쇄</t>
    <phoneticPr fontId="7" type="noConversion"/>
  </si>
  <si>
    <t>중산기계</t>
    <phoneticPr fontId="7" type="noConversion"/>
  </si>
  <si>
    <t>2019,8</t>
    <phoneticPr fontId="5" type="noConversion"/>
  </si>
  <si>
    <t>2019,8</t>
    <phoneticPr fontId="8" type="noConversion"/>
  </si>
  <si>
    <t>Tan 주안 서비스 건</t>
    <phoneticPr fontId="8" type="noConversion"/>
  </si>
  <si>
    <t>2019,8</t>
    <phoneticPr fontId="26" type="noConversion"/>
  </si>
  <si>
    <t>19,9</t>
  </si>
  <si>
    <t>Blanket(1050*840)</t>
  </si>
  <si>
    <t>서비스 비용(폴더 접지 칼 토션바 교체)</t>
    <phoneticPr fontId="16" type="noConversion"/>
  </si>
  <si>
    <t>7~8월 매입</t>
    <phoneticPr fontId="29" type="noConversion"/>
  </si>
  <si>
    <t>AI1909101</t>
    <phoneticPr fontId="29" type="noConversion"/>
  </si>
  <si>
    <t>KT&amp;G 칠러 수리비용</t>
    <phoneticPr fontId="29" type="noConversion"/>
  </si>
  <si>
    <t>CTP 고무액</t>
    <phoneticPr fontId="16" type="noConversion"/>
  </si>
  <si>
    <t>프린피아 본사</t>
    <phoneticPr fontId="16" type="noConversion"/>
  </si>
  <si>
    <t>Polyman 수리 건 - 본사 엔지니어</t>
    <phoneticPr fontId="16" type="noConversion"/>
  </si>
  <si>
    <t>상계 예정, 원가 200만원</t>
    <phoneticPr fontId="29" type="noConversion"/>
  </si>
  <si>
    <t>2019,10</t>
    <phoneticPr fontId="16" type="noConversion"/>
  </si>
  <si>
    <t>19,10</t>
    <phoneticPr fontId="16" type="noConversion"/>
  </si>
  <si>
    <t>GOSS 신문윤전 습식세정포</t>
    <phoneticPr fontId="16" type="noConversion"/>
  </si>
  <si>
    <t>Polyman 수리 건 - 알레스 서비스 비용</t>
    <phoneticPr fontId="16" type="noConversion"/>
  </si>
  <si>
    <t>근접 스위치</t>
    <phoneticPr fontId="16" type="noConversion"/>
  </si>
  <si>
    <t>릴레이</t>
    <phoneticPr fontId="16" type="noConversion"/>
  </si>
  <si>
    <t>10월 납품 예정</t>
    <phoneticPr fontId="16" type="noConversion"/>
  </si>
  <si>
    <t>Onevision 서비스 비용(1회차)</t>
    <phoneticPr fontId="16" type="noConversion"/>
  </si>
  <si>
    <t>아스테이지(국전)</t>
  </si>
  <si>
    <t>1050*840 블랑켓</t>
  </si>
  <si>
    <t>19,10</t>
  </si>
  <si>
    <t>2019. 9</t>
    <phoneticPr fontId="1" type="noConversion"/>
  </si>
  <si>
    <t>제이에스일렉트릭</t>
    <phoneticPr fontId="16" type="noConversion"/>
  </si>
  <si>
    <t>Diaphragm Black</t>
    <phoneticPr fontId="21" type="noConversion"/>
  </si>
  <si>
    <t>Martin</t>
    <phoneticPr fontId="16" type="noConversion"/>
  </si>
  <si>
    <t>2019,9</t>
    <phoneticPr fontId="7" type="noConversion"/>
  </si>
  <si>
    <t>2019,9</t>
    <phoneticPr fontId="5" type="noConversion"/>
  </si>
  <si>
    <t>프린피아 본사</t>
    <phoneticPr fontId="8" type="noConversion"/>
  </si>
  <si>
    <t>2019,9</t>
    <phoneticPr fontId="26" type="noConversion"/>
  </si>
  <si>
    <t>조색 소프트웨어 부장님 마진 10% =</t>
    <phoneticPr fontId="26" type="noConversion"/>
  </si>
  <si>
    <t>커미션 추가 지급(8월 누락)</t>
    <phoneticPr fontId="7" type="noConversion"/>
  </si>
  <si>
    <t>현진인쇄</t>
    <phoneticPr fontId="16" type="noConversion"/>
  </si>
  <si>
    <t>알콜공급장치 및 도져</t>
    <phoneticPr fontId="16" type="noConversion"/>
  </si>
  <si>
    <t>판걸이 튜브 교체 서비스</t>
    <phoneticPr fontId="16" type="noConversion"/>
  </si>
  <si>
    <t>서천인더스트리</t>
    <phoneticPr fontId="16" type="noConversion"/>
  </si>
  <si>
    <t>윤전용 아스테이지</t>
    <phoneticPr fontId="16" type="noConversion"/>
  </si>
  <si>
    <t>2019,11</t>
    <phoneticPr fontId="16" type="noConversion"/>
  </si>
  <si>
    <t>무료로받음, 배송비만 원가</t>
    <phoneticPr fontId="16" type="noConversion"/>
  </si>
  <si>
    <t>19,11</t>
    <phoneticPr fontId="16" type="noConversion"/>
  </si>
  <si>
    <t>스프링 블레이드(소)</t>
    <phoneticPr fontId="16" type="noConversion"/>
  </si>
  <si>
    <t>CB DRIVE UNIT LH(Obsoluted Part)</t>
    <phoneticPr fontId="16" type="noConversion"/>
  </si>
  <si>
    <t>2019,9</t>
    <phoneticPr fontId="8" type="noConversion"/>
  </si>
  <si>
    <t>2019,10</t>
    <phoneticPr fontId="8" type="noConversion"/>
  </si>
  <si>
    <t>문발 판걸이 튜브 설치</t>
    <phoneticPr fontId="8" type="noConversion"/>
  </si>
  <si>
    <t>본사 폴리만 외국인 서비스비용</t>
    <phoneticPr fontId="8" type="noConversion"/>
  </si>
  <si>
    <t>본사 폴리만 알레스 서비스비용(10월 커미션 반영 요망)</t>
    <phoneticPr fontId="8" type="noConversion"/>
  </si>
  <si>
    <t>12900유로(인건비)+960달러(CPU보드)</t>
    <phoneticPr fontId="16" type="noConversion"/>
  </si>
  <si>
    <t>베어링</t>
    <phoneticPr fontId="16" type="noConversion"/>
  </si>
  <si>
    <t>8월건 누락 발행</t>
    <phoneticPr fontId="16" type="noConversion"/>
  </si>
  <si>
    <t>에스엠 인터네셔날</t>
    <phoneticPr fontId="16" type="noConversion"/>
  </si>
  <si>
    <t>콘덴서</t>
    <phoneticPr fontId="16" type="noConversion"/>
  </si>
  <si>
    <t>온도센서</t>
    <phoneticPr fontId="16" type="noConversion"/>
  </si>
  <si>
    <t>19,11</t>
  </si>
  <si>
    <t>스페스</t>
    <phoneticPr fontId="16" type="noConversion"/>
  </si>
  <si>
    <t>스페스 비용</t>
    <phoneticPr fontId="16" type="noConversion"/>
  </si>
  <si>
    <t>2019. 10</t>
    <phoneticPr fontId="1" type="noConversion"/>
  </si>
  <si>
    <t>서천인더스트리</t>
    <phoneticPr fontId="4" type="noConversion"/>
  </si>
  <si>
    <t>2019,10</t>
    <phoneticPr fontId="5" type="noConversion"/>
  </si>
  <si>
    <t>현진인쇄</t>
    <phoneticPr fontId="7" type="noConversion"/>
  </si>
  <si>
    <t>에스엠 인터네셔날</t>
    <phoneticPr fontId="7" type="noConversion"/>
  </si>
  <si>
    <t>2019,10</t>
    <phoneticPr fontId="7" type="noConversion"/>
  </si>
  <si>
    <t>알콜공급장치, 도저</t>
    <phoneticPr fontId="7" type="noConversion"/>
  </si>
  <si>
    <t>2019,10</t>
    <phoneticPr fontId="26" type="noConversion"/>
  </si>
  <si>
    <t>드라이브 유니트 부품</t>
    <phoneticPr fontId="26" type="noConversion"/>
  </si>
  <si>
    <t>기어</t>
    <phoneticPr fontId="16" type="noConversion"/>
  </si>
  <si>
    <t>매엽용 습수정화장치 필터 세트 alpha.f</t>
    <phoneticPr fontId="16" type="noConversion"/>
  </si>
  <si>
    <t>판걸이 튜브</t>
    <phoneticPr fontId="16" type="noConversion"/>
  </si>
  <si>
    <t>주머니 필터백(소형)</t>
    <phoneticPr fontId="16" type="noConversion"/>
  </si>
  <si>
    <t>잉크집 아스테이지</t>
    <phoneticPr fontId="16" type="noConversion"/>
  </si>
  <si>
    <t>고무사카(빨간색)</t>
    <phoneticPr fontId="16" type="noConversion"/>
  </si>
  <si>
    <t>고무사카(돼지코)</t>
    <phoneticPr fontId="16" type="noConversion"/>
  </si>
  <si>
    <t>윤전 롤러 Set</t>
    <phoneticPr fontId="16" type="noConversion"/>
  </si>
  <si>
    <t>2019,12</t>
    <phoneticPr fontId="16" type="noConversion"/>
  </si>
  <si>
    <t>19,12</t>
    <phoneticPr fontId="16" type="noConversion"/>
  </si>
  <si>
    <t>인터버스 모듈</t>
    <phoneticPr fontId="16" type="noConversion"/>
  </si>
  <si>
    <t>에어실린더</t>
    <phoneticPr fontId="16" type="noConversion"/>
  </si>
  <si>
    <t>스프링 블레이드(대)</t>
    <phoneticPr fontId="16" type="noConversion"/>
  </si>
  <si>
    <t>DRIVE MOTOR</t>
    <phoneticPr fontId="16" type="noConversion"/>
  </si>
  <si>
    <t>ENCODER ROH</t>
    <phoneticPr fontId="16" type="noConversion"/>
  </si>
  <si>
    <t>11월 서비스비용(6시간)</t>
    <phoneticPr fontId="16" type="noConversion"/>
  </si>
  <si>
    <t>Air Cylinder(윤전 세정장치)</t>
    <phoneticPr fontId="16" type="noConversion"/>
  </si>
  <si>
    <t>Bacuup Pad(NBR) (Goss 신문윤전 세정장치)</t>
    <phoneticPr fontId="16" type="noConversion"/>
  </si>
  <si>
    <t>압력 트랜스미터</t>
    <phoneticPr fontId="16" type="noConversion"/>
  </si>
  <si>
    <t>판걸이 튜브 교체 서비스 비용</t>
    <phoneticPr fontId="16" type="noConversion"/>
  </si>
  <si>
    <t>멀티캠 VPB 기판</t>
    <phoneticPr fontId="16" type="noConversion"/>
  </si>
  <si>
    <t>Uv 램프 - 하이델베르그 국전용</t>
    <phoneticPr fontId="16" type="noConversion"/>
  </si>
  <si>
    <t>프린피아 파주북시티</t>
    <phoneticPr fontId="16" type="noConversion"/>
  </si>
  <si>
    <t>AI1912031</t>
    <phoneticPr fontId="29" type="noConversion"/>
  </si>
  <si>
    <t>ManrolandGoss</t>
    <phoneticPr fontId="29" type="noConversion"/>
  </si>
  <si>
    <t>ManrolandGoss Singapore</t>
    <phoneticPr fontId="29" type="noConversion"/>
  </si>
  <si>
    <t>ManrolandGoss USA</t>
    <phoneticPr fontId="29" type="noConversion"/>
  </si>
  <si>
    <t>KT&amp;G 테스트 비용</t>
    <phoneticPr fontId="29" type="noConversion"/>
  </si>
  <si>
    <t>외국 엔지니어 비용</t>
    <phoneticPr fontId="28" type="noConversion"/>
  </si>
  <si>
    <t>MGS190116</t>
    <phoneticPr fontId="29" type="noConversion"/>
  </si>
  <si>
    <t>MBN Tan 서비스 비용</t>
    <phoneticPr fontId="29" type="noConversion"/>
  </si>
  <si>
    <t>MGS190223</t>
    <phoneticPr fontId="29" type="noConversion"/>
  </si>
  <si>
    <t>재능 Mike 서비스 비용</t>
    <phoneticPr fontId="29" type="noConversion"/>
  </si>
  <si>
    <t>MGS190304</t>
    <phoneticPr fontId="29" type="noConversion"/>
  </si>
  <si>
    <t>프린피아 Tan 서비스 비용</t>
    <phoneticPr fontId="29" type="noConversion"/>
  </si>
  <si>
    <t>MGS190321</t>
    <phoneticPr fontId="29" type="noConversion"/>
  </si>
  <si>
    <t>재능 John 서비스 비용</t>
    <phoneticPr fontId="29" type="noConversion"/>
  </si>
  <si>
    <t>MGS190508</t>
    <phoneticPr fontId="29" type="noConversion"/>
  </si>
  <si>
    <t>재능 Tan 서비스 비용</t>
    <phoneticPr fontId="29" type="noConversion"/>
  </si>
  <si>
    <t>MGS190616</t>
    <phoneticPr fontId="29" type="noConversion"/>
  </si>
  <si>
    <t>MGS190618</t>
    <phoneticPr fontId="29" type="noConversion"/>
  </si>
  <si>
    <t>프린피아 본사 Ulrich 서비스 비용</t>
    <phoneticPr fontId="29" type="noConversion"/>
  </si>
  <si>
    <t>MGS190830</t>
    <phoneticPr fontId="29" type="noConversion"/>
  </si>
  <si>
    <t>slow down finger blue</t>
    <phoneticPr fontId="21" type="noConversion"/>
  </si>
  <si>
    <t>UV Lamp BF572</t>
    <phoneticPr fontId="21" type="noConversion"/>
  </si>
  <si>
    <t>성원</t>
    <phoneticPr fontId="21" type="noConversion"/>
  </si>
  <si>
    <t>Primarc</t>
    <phoneticPr fontId="16" type="noConversion"/>
  </si>
  <si>
    <t>Total(VAT x)</t>
    <phoneticPr fontId="12" type="noConversion"/>
  </si>
  <si>
    <t>Total(VAT x)</t>
    <phoneticPr fontId="1" type="noConversion"/>
  </si>
  <si>
    <t>프린피아 조한춘차장</t>
    <phoneticPr fontId="16" type="noConversion"/>
  </si>
  <si>
    <t>상품권 50</t>
    <phoneticPr fontId="16" type="noConversion"/>
  </si>
  <si>
    <t>UV lamp</t>
    <phoneticPr fontId="16" type="noConversion"/>
  </si>
  <si>
    <t>19,12</t>
  </si>
  <si>
    <t>스크린</t>
    <phoneticPr fontId="16" type="noConversion"/>
  </si>
  <si>
    <t>재능 판절곡기 서비스비용</t>
    <phoneticPr fontId="16" type="noConversion"/>
  </si>
  <si>
    <t>타코 커플링</t>
    <phoneticPr fontId="16" type="noConversion"/>
  </si>
  <si>
    <t>레귤레이터, 온도 입출력 아날로그</t>
    <phoneticPr fontId="16" type="noConversion"/>
  </si>
  <si>
    <t>커플링, 조인트 AA50</t>
    <phoneticPr fontId="16" type="noConversion"/>
  </si>
  <si>
    <t>스파크 플러그</t>
    <phoneticPr fontId="16" type="noConversion"/>
  </si>
  <si>
    <t>플레임 로드</t>
    <phoneticPr fontId="16" type="noConversion"/>
  </si>
  <si>
    <t>12월 납품</t>
    <phoneticPr fontId="16" type="noConversion"/>
  </si>
  <si>
    <t>magnetic valve</t>
    <phoneticPr fontId="21" type="noConversion"/>
  </si>
  <si>
    <t>압력 트랜스미터</t>
    <phoneticPr fontId="21" type="noConversion"/>
  </si>
  <si>
    <t>GABNET 보드</t>
    <phoneticPr fontId="16" type="noConversion"/>
  </si>
  <si>
    <t>FNC 엔터테인먼트</t>
    <phoneticPr fontId="16" type="noConversion"/>
  </si>
  <si>
    <t>Technotrans 도져</t>
    <phoneticPr fontId="16" type="noConversion"/>
  </si>
  <si>
    <t>Solenoid</t>
    <phoneticPr fontId="16" type="noConversion"/>
  </si>
  <si>
    <t>Sheet Metal Plate</t>
    <phoneticPr fontId="16" type="noConversion"/>
  </si>
  <si>
    <t>Plasteel 플렉소 나이프</t>
    <phoneticPr fontId="16" type="noConversion"/>
  </si>
  <si>
    <t>UV Lamp-BF576</t>
    <phoneticPr fontId="16" type="noConversion"/>
  </si>
  <si>
    <t>가습장치 필터</t>
    <phoneticPr fontId="16" type="noConversion"/>
  </si>
  <si>
    <t>판걸이 튜브(상부)</t>
    <phoneticPr fontId="16" type="noConversion"/>
  </si>
  <si>
    <t>판걸이 튜브(하부)</t>
    <phoneticPr fontId="16" type="noConversion"/>
  </si>
  <si>
    <t>폴더 접지 가이드</t>
    <phoneticPr fontId="16" type="noConversion"/>
  </si>
  <si>
    <t>스프레이 구리스</t>
    <phoneticPr fontId="16" type="noConversion"/>
  </si>
  <si>
    <t>타코 제네레이터, 터치 키 패드</t>
    <phoneticPr fontId="16" type="noConversion"/>
  </si>
  <si>
    <t>에어실린더 9개</t>
    <phoneticPr fontId="16" type="noConversion"/>
  </si>
  <si>
    <t>한우물엔지니어링</t>
    <phoneticPr fontId="16" type="noConversion"/>
  </si>
  <si>
    <t>테크노트란스 알콜스마트</t>
    <phoneticPr fontId="16" type="noConversion"/>
  </si>
  <si>
    <t>2020,1</t>
    <phoneticPr fontId="16" type="noConversion"/>
  </si>
  <si>
    <t>20,1</t>
    <phoneticPr fontId="16" type="noConversion"/>
  </si>
  <si>
    <t>20L로 변경</t>
    <phoneticPr fontId="16" type="noConversion"/>
  </si>
  <si>
    <t>판걸이 튜브 교체 서비스비용</t>
    <phoneticPr fontId="16" type="noConversion"/>
  </si>
  <si>
    <t>Engage 27 850*580mm Plate</t>
    <phoneticPr fontId="16" type="noConversion"/>
  </si>
  <si>
    <t>필름출력기 서비스비용</t>
    <phoneticPr fontId="16" type="noConversion"/>
  </si>
  <si>
    <t>Pressio 신문 포장기</t>
    <phoneticPr fontId="16" type="noConversion"/>
  </si>
  <si>
    <t>ENGAGE 1030*800</t>
    <phoneticPr fontId="16" type="noConversion"/>
  </si>
  <si>
    <t>도저 부품</t>
    <phoneticPr fontId="16" type="noConversion"/>
  </si>
  <si>
    <t>16채널 드라이브 보드</t>
    <phoneticPr fontId="16" type="noConversion"/>
  </si>
  <si>
    <t>매엽 / 누락건</t>
    <phoneticPr fontId="16" type="noConversion"/>
  </si>
  <si>
    <t>Pressio</t>
    <phoneticPr fontId="16" type="noConversion"/>
  </si>
  <si>
    <t>Harris Bruno</t>
    <phoneticPr fontId="16" type="noConversion"/>
  </si>
  <si>
    <t>반품</t>
    <phoneticPr fontId="16" type="noConversion"/>
  </si>
  <si>
    <t>UV lamp</t>
    <phoneticPr fontId="1" type="noConversion"/>
  </si>
  <si>
    <t>Machine</t>
    <phoneticPr fontId="1" type="noConversion"/>
  </si>
  <si>
    <t>CTP(IHK)</t>
    <phoneticPr fontId="30" type="noConversion"/>
  </si>
  <si>
    <t>Others(IHK)</t>
    <phoneticPr fontId="30" type="noConversion"/>
  </si>
  <si>
    <t>CTP(IHK)</t>
    <phoneticPr fontId="16" type="noConversion"/>
  </si>
  <si>
    <t>Others(IHK)</t>
    <phoneticPr fontId="16" type="noConversion"/>
  </si>
  <si>
    <t>FlameRod Thermjet</t>
    <phoneticPr fontId="21" type="noConversion"/>
  </si>
  <si>
    <t>Temp Measurement</t>
    <phoneticPr fontId="21" type="noConversion"/>
  </si>
  <si>
    <t>Temp Mesurement</t>
    <phoneticPr fontId="21" type="noConversion"/>
  </si>
  <si>
    <t>Regulator, temperature analog</t>
    <phoneticPr fontId="21" type="noConversion"/>
  </si>
  <si>
    <t>Coupling for tacho</t>
    <phoneticPr fontId="21" type="noConversion"/>
  </si>
  <si>
    <t>Air Cylinder</t>
    <phoneticPr fontId="21" type="noConversion"/>
  </si>
  <si>
    <t>Coupling, jount</t>
    <phoneticPr fontId="21" type="noConversion"/>
  </si>
  <si>
    <t>출판단지</t>
    <phoneticPr fontId="21" type="noConversion"/>
  </si>
  <si>
    <t>프린피아 주안, 문발</t>
    <phoneticPr fontId="21" type="noConversion"/>
  </si>
  <si>
    <t>삼화</t>
    <phoneticPr fontId="21" type="noConversion"/>
  </si>
  <si>
    <t>솔레노이드 밸브</t>
    <phoneticPr fontId="21" type="noConversion"/>
  </si>
  <si>
    <t>Solenoid</t>
    <phoneticPr fontId="21" type="noConversion"/>
  </si>
  <si>
    <t>Sheet metal plate</t>
    <phoneticPr fontId="21" type="noConversion"/>
  </si>
  <si>
    <t>Trupoint Orange Blade</t>
    <phoneticPr fontId="21" type="noConversion"/>
  </si>
  <si>
    <t>2019. 12</t>
    <phoneticPr fontId="1" type="noConversion"/>
  </si>
  <si>
    <t>프린피아 파주북시티</t>
    <phoneticPr fontId="4" type="noConversion"/>
  </si>
  <si>
    <t>2019,11</t>
    <phoneticPr fontId="1" type="noConversion"/>
  </si>
  <si>
    <t>송운사</t>
    <phoneticPr fontId="1" type="noConversion"/>
  </si>
  <si>
    <t>삼원인쇄</t>
    <phoneticPr fontId="1" type="noConversion"/>
  </si>
  <si>
    <t>주안 판걸이 튜브 설치</t>
    <phoneticPr fontId="1" type="noConversion"/>
  </si>
  <si>
    <t>2019,12</t>
    <phoneticPr fontId="1" type="noConversion"/>
  </si>
  <si>
    <t>프린피아 파주출판단지</t>
    <phoneticPr fontId="1" type="noConversion"/>
  </si>
  <si>
    <t>재능(Ink)</t>
    <phoneticPr fontId="1" type="noConversion"/>
  </si>
  <si>
    <t>재능(CTP)</t>
    <phoneticPr fontId="1" type="noConversion"/>
  </si>
  <si>
    <t>CTP 서비스, 부품, 본사 신문윤전기 세정장치부품</t>
    <phoneticPr fontId="1" type="noConversion"/>
  </si>
  <si>
    <t>Pressio 신문포장기</t>
    <phoneticPr fontId="1" type="noConversion"/>
  </si>
  <si>
    <t>재능(누락분)</t>
    <phoneticPr fontId="4" type="noConversion"/>
  </si>
  <si>
    <t>2,4,9,11월 재능 국전재료 커미션 누락</t>
    <phoneticPr fontId="4" type="noConversion"/>
  </si>
  <si>
    <t>2019. 11</t>
    <phoneticPr fontId="1" type="noConversion"/>
  </si>
  <si>
    <t>프린피아 파주북시티</t>
    <phoneticPr fontId="1" type="noConversion"/>
  </si>
  <si>
    <t>보문특수칼라</t>
    <phoneticPr fontId="1" type="noConversion"/>
  </si>
  <si>
    <t>천일</t>
    <phoneticPr fontId="1" type="noConversion"/>
  </si>
  <si>
    <t>FNC 엔터테인먼트</t>
    <phoneticPr fontId="7" type="noConversion"/>
  </si>
  <si>
    <t>한우물엔지니어링</t>
    <phoneticPr fontId="7" type="noConversion"/>
  </si>
  <si>
    <t>스크린</t>
    <phoneticPr fontId="8" type="noConversion"/>
  </si>
  <si>
    <t>CB DRIVE UNIT RH(New Part)</t>
    <phoneticPr fontId="16" type="noConversion"/>
  </si>
  <si>
    <t>컴프레셔</t>
    <phoneticPr fontId="16" type="noConversion"/>
  </si>
  <si>
    <t>스트리퍼(얇은)</t>
    <phoneticPr fontId="16" type="noConversion"/>
  </si>
  <si>
    <t>20,1</t>
  </si>
  <si>
    <t>판넬 필터 set</t>
    <phoneticPr fontId="16" type="noConversion"/>
  </si>
  <si>
    <t>CTP(Others)</t>
    <phoneticPr fontId="30" type="noConversion"/>
  </si>
  <si>
    <t>CTP(Others)</t>
    <phoneticPr fontId="16" type="noConversion"/>
  </si>
  <si>
    <t>2020,2</t>
    <phoneticPr fontId="16" type="noConversion"/>
  </si>
  <si>
    <t>20,2</t>
    <phoneticPr fontId="16" type="noConversion"/>
  </si>
  <si>
    <t>국제인쇄</t>
    <phoneticPr fontId="16" type="noConversion"/>
  </si>
  <si>
    <t>도져</t>
    <phoneticPr fontId="16" type="noConversion"/>
  </si>
  <si>
    <t>미래엔</t>
    <phoneticPr fontId="16" type="noConversion"/>
  </si>
  <si>
    <t>캠 팔로워</t>
    <phoneticPr fontId="16" type="noConversion"/>
  </si>
  <si>
    <t>아성종합인쇄</t>
    <phoneticPr fontId="16" type="noConversion"/>
  </si>
  <si>
    <t>Mark 드라이어 서비스비용</t>
    <phoneticPr fontId="16" type="noConversion"/>
  </si>
  <si>
    <t>CB DRIVE UNIT LH(New Part)</t>
    <phoneticPr fontId="16" type="noConversion"/>
  </si>
  <si>
    <t>M600 드라이어, 스플라이서 서비스비용</t>
    <phoneticPr fontId="16" type="noConversion"/>
  </si>
  <si>
    <t>Onevision 서비스 비용(2회차)</t>
    <phoneticPr fontId="16" type="noConversion"/>
  </si>
  <si>
    <t>35만원 와우 비용, 40만원 현진인쇄비용</t>
    <phoneticPr fontId="16" type="noConversion"/>
  </si>
  <si>
    <t>와우 택배비 122210, 20L</t>
    <phoneticPr fontId="16" type="noConversion"/>
  </si>
  <si>
    <t>스트리퍼(얇은)</t>
    <phoneticPr fontId="21" type="noConversion"/>
  </si>
  <si>
    <t>CB Drive Unit(LH)</t>
    <phoneticPr fontId="21" type="noConversion"/>
  </si>
  <si>
    <t>CB Drive Unit(RH)</t>
    <phoneticPr fontId="21" type="noConversion"/>
  </si>
  <si>
    <t>매경</t>
    <phoneticPr fontId="21" type="noConversion"/>
  </si>
  <si>
    <t>컴프레셔</t>
    <phoneticPr fontId="21" type="noConversion"/>
  </si>
  <si>
    <t>도져</t>
    <phoneticPr fontId="21" type="noConversion"/>
  </si>
  <si>
    <t>캠 팔로워</t>
    <phoneticPr fontId="21" type="noConversion"/>
  </si>
  <si>
    <t>2020,1</t>
    <phoneticPr fontId="1" type="noConversion"/>
  </si>
  <si>
    <t>국제인쇄</t>
    <phoneticPr fontId="1" type="noConversion"/>
  </si>
  <si>
    <t>와우, 현진인쇄 비용 75만원 반영</t>
    <phoneticPr fontId="7" type="noConversion"/>
  </si>
  <si>
    <t>아성종합인쇄</t>
    <phoneticPr fontId="1" type="noConversion"/>
  </si>
  <si>
    <t>테크노트란스 솔레노이드밸브</t>
    <phoneticPr fontId="5" type="noConversion"/>
  </si>
  <si>
    <t>팩컴 AAP</t>
    <phoneticPr fontId="8" type="noConversion"/>
  </si>
  <si>
    <t>Mark 드라이어 엔지니어 방문</t>
    <phoneticPr fontId="8" type="noConversion"/>
  </si>
  <si>
    <t>본사 Drive Unit, 재료</t>
    <phoneticPr fontId="26" type="noConversion"/>
  </si>
  <si>
    <t>미래엔</t>
    <phoneticPr fontId="26" type="noConversion"/>
  </si>
  <si>
    <t>캠 팔로워</t>
    <phoneticPr fontId="26" type="noConversion"/>
  </si>
  <si>
    <t>본사 세정포</t>
    <phoneticPr fontId="4" type="noConversion"/>
  </si>
  <si>
    <t>20,2</t>
  </si>
  <si>
    <t>국전 매엽용 아스테이지</t>
    <phoneticPr fontId="16" type="noConversion"/>
  </si>
  <si>
    <t>프린피아 출판단지</t>
    <phoneticPr fontId="16" type="noConversion"/>
  </si>
  <si>
    <t>Engage 850*680</t>
    <phoneticPr fontId="16" type="noConversion"/>
  </si>
  <si>
    <t>flaked adhesive tape</t>
    <phoneticPr fontId="16" type="noConversion"/>
  </si>
  <si>
    <t>스프링 링</t>
    <phoneticPr fontId="16" type="noConversion"/>
  </si>
  <si>
    <t>텐션 바, 미니갭 용</t>
    <phoneticPr fontId="16" type="noConversion"/>
  </si>
  <si>
    <t>니들 INA</t>
    <phoneticPr fontId="16" type="noConversion"/>
  </si>
  <si>
    <t>웜 기어</t>
    <phoneticPr fontId="16" type="noConversion"/>
  </si>
  <si>
    <t>실 운송비 145</t>
    <phoneticPr fontId="21" type="noConversion"/>
  </si>
  <si>
    <t>실 운송비 420</t>
    <phoneticPr fontId="21" type="noConversion"/>
  </si>
  <si>
    <t>185유로 마진 차감(1월 컴프레셔, 솔레노이드 운송비)</t>
    <phoneticPr fontId="16" type="noConversion"/>
  </si>
  <si>
    <t>물 센서</t>
    <phoneticPr fontId="16" type="noConversion"/>
  </si>
  <si>
    <t>스트립</t>
    <phoneticPr fontId="16" type="noConversion"/>
  </si>
  <si>
    <t>2020,3</t>
    <phoneticPr fontId="16" type="noConversion"/>
  </si>
  <si>
    <t>20,3</t>
    <phoneticPr fontId="16" type="noConversion"/>
  </si>
  <si>
    <t>M600용 아스테이지(잉크집 호일)</t>
    <phoneticPr fontId="16" type="noConversion"/>
  </si>
  <si>
    <t>특수 경우</t>
    <phoneticPr fontId="16" type="noConversion"/>
  </si>
  <si>
    <t>고모리 매엽롤러 상, 하부 set</t>
    <phoneticPr fontId="16" type="noConversion"/>
  </si>
  <si>
    <t>하이델 매엽롤러 set</t>
    <phoneticPr fontId="16" type="noConversion"/>
  </si>
  <si>
    <t>와우 택배비 113740, 20L</t>
    <phoneticPr fontId="16" type="noConversion"/>
  </si>
  <si>
    <t>2020,2</t>
    <phoneticPr fontId="1" type="noConversion"/>
  </si>
  <si>
    <t>스프링 링</t>
    <phoneticPr fontId="21" type="noConversion"/>
  </si>
  <si>
    <t>텐션 바</t>
    <phoneticPr fontId="21" type="noConversion"/>
  </si>
  <si>
    <t>웜 기어</t>
    <phoneticPr fontId="21" type="noConversion"/>
  </si>
  <si>
    <t>니들 INA</t>
    <phoneticPr fontId="21" type="noConversion"/>
  </si>
  <si>
    <t>715000 이상훈이사 출장비</t>
    <phoneticPr fontId="16" type="noConversion"/>
  </si>
  <si>
    <t>판걸이튜브 하부</t>
    <phoneticPr fontId="21" type="noConversion"/>
  </si>
  <si>
    <t>판걸이튜브 상부</t>
    <phoneticPr fontId="21" type="noConversion"/>
  </si>
  <si>
    <t>Planetary gear motor</t>
    <phoneticPr fontId="21" type="noConversion"/>
  </si>
  <si>
    <t>Blade, spring</t>
    <phoneticPr fontId="21" type="noConversion"/>
  </si>
  <si>
    <t>Interbus Module CNT-2</t>
    <phoneticPr fontId="21" type="noConversion"/>
  </si>
  <si>
    <t>3100000원 프린피아,재능 상품권 포함</t>
    <phoneticPr fontId="16" type="noConversion"/>
  </si>
  <si>
    <t>3000000 이상훈이사 비용</t>
    <phoneticPr fontId="16" type="noConversion"/>
  </si>
  <si>
    <t>반품처리된것 2개만 받아줌</t>
    <phoneticPr fontId="16" type="noConversion"/>
  </si>
  <si>
    <t>시엠시</t>
    <phoneticPr fontId="15" type="noConversion"/>
  </si>
  <si>
    <t>프린피아 출판단지</t>
    <phoneticPr fontId="5" type="noConversion"/>
  </si>
  <si>
    <t>20,3</t>
  </si>
  <si>
    <t>알콜공급장치</t>
    <phoneticPr fontId="16" type="noConversion"/>
  </si>
  <si>
    <t>써멀 측정기</t>
    <phoneticPr fontId="16" type="noConversion"/>
  </si>
  <si>
    <t>플렉소 End Seal</t>
    <phoneticPr fontId="16" type="noConversion"/>
  </si>
  <si>
    <t>John 방문 서비스 비용 1회차</t>
    <phoneticPr fontId="16" type="noConversion"/>
  </si>
  <si>
    <t>박영용 이사님 M600 이전 서비스 비용 50%</t>
    <phoneticPr fontId="16" type="noConversion"/>
  </si>
  <si>
    <t>ENKEL AUTO WEB POLY V BELT</t>
    <phoneticPr fontId="16" type="noConversion"/>
  </si>
  <si>
    <t>Voltage Relay</t>
    <phoneticPr fontId="16" type="noConversion"/>
  </si>
  <si>
    <t>Relay, Timing</t>
    <phoneticPr fontId="16" type="noConversion"/>
  </si>
  <si>
    <t>20,4</t>
    <phoneticPr fontId="16" type="noConversion"/>
  </si>
  <si>
    <t>매일경제 윤전부</t>
    <phoneticPr fontId="1" type="noConversion"/>
  </si>
  <si>
    <t>매일경제 매엽부</t>
    <phoneticPr fontId="1" type="noConversion"/>
  </si>
  <si>
    <t>매일경제 제판부</t>
    <phoneticPr fontId="16" type="noConversion"/>
  </si>
  <si>
    <t>UV Lamp-KBA</t>
    <phoneticPr fontId="16" type="noConversion"/>
  </si>
  <si>
    <t>2020,3</t>
    <phoneticPr fontId="1" type="noConversion"/>
  </si>
  <si>
    <t>매일경제 매엽부</t>
    <phoneticPr fontId="26" type="noConversion"/>
  </si>
  <si>
    <t>매일경제 윤전부</t>
    <phoneticPr fontId="26" type="noConversion"/>
  </si>
  <si>
    <t>매일경제 윤전부</t>
    <phoneticPr fontId="5" type="noConversion"/>
  </si>
  <si>
    <t>매일경제 윤전부</t>
    <phoneticPr fontId="8" type="noConversion"/>
  </si>
  <si>
    <t>매일경제 매엽부</t>
    <phoneticPr fontId="7" type="noConversion"/>
  </si>
  <si>
    <t>알콜공급장치</t>
    <phoneticPr fontId="21" type="noConversion"/>
  </si>
  <si>
    <t>박영용이사님</t>
    <phoneticPr fontId="16" type="noConversion"/>
  </si>
  <si>
    <t>파워서플라이</t>
    <phoneticPr fontId="21" type="noConversion"/>
  </si>
  <si>
    <t>볼테이지 릴레이</t>
    <phoneticPr fontId="21" type="noConversion"/>
  </si>
  <si>
    <t>릴레이, 타이밍</t>
    <phoneticPr fontId="21" type="noConversion"/>
  </si>
  <si>
    <t>박영용 이사님 프린피아 이전 작업 비용 50%, 마진 계산 아직 X</t>
    <phoneticPr fontId="1" type="noConversion"/>
  </si>
  <si>
    <t>Amazon</t>
    <phoneticPr fontId="16" type="noConversion"/>
  </si>
  <si>
    <t>벨트 폴리</t>
    <phoneticPr fontId="21" type="noConversion"/>
  </si>
  <si>
    <t>미래엔</t>
    <phoneticPr fontId="21" type="noConversion"/>
  </si>
  <si>
    <t>Onevision 서비스 비용(3회차)</t>
    <phoneticPr fontId="16" type="noConversion"/>
  </si>
  <si>
    <t>Onevision 서비스 비용</t>
    <phoneticPr fontId="26" type="noConversion"/>
  </si>
  <si>
    <t>John 서비스 비용 50%, 플렉소 엔드 씰</t>
    <phoneticPr fontId="26" type="noConversion"/>
  </si>
  <si>
    <t>폴리 벨트</t>
    <phoneticPr fontId="26" type="noConversion"/>
  </si>
  <si>
    <t>써멀 측정기(비접촉 온도계)</t>
    <phoneticPr fontId="26" type="noConversion"/>
  </si>
  <si>
    <t>유브이 램프</t>
    <phoneticPr fontId="16" type="noConversion"/>
  </si>
  <si>
    <t>비용 60만원</t>
    <phoneticPr fontId="16" type="noConversion"/>
  </si>
  <si>
    <t>폐판 수거</t>
    <phoneticPr fontId="16" type="noConversion"/>
  </si>
  <si>
    <t>M600 부품</t>
    <phoneticPr fontId="16" type="noConversion"/>
  </si>
  <si>
    <t>하이델베르그 CD102 IR램프</t>
    <phoneticPr fontId="16" type="noConversion"/>
  </si>
  <si>
    <t>CD74용 UV lamp</t>
    <phoneticPr fontId="16" type="noConversion"/>
  </si>
  <si>
    <t>Protect foil</t>
    <phoneticPr fontId="16" type="noConversion"/>
  </si>
  <si>
    <t>Felt, Ink Fountain</t>
    <phoneticPr fontId="16" type="noConversion"/>
  </si>
  <si>
    <t>20,4</t>
  </si>
  <si>
    <t>M600 오버홀 부품</t>
    <phoneticPr fontId="16" type="noConversion"/>
  </si>
  <si>
    <t>교학사 부품값에 포함 / 3,743,558원</t>
    <phoneticPr fontId="16" type="noConversion"/>
  </si>
  <si>
    <t>John 방문 서비스 비용 2회차</t>
    <phoneticPr fontId="16" type="noConversion"/>
  </si>
  <si>
    <t>와우 택배비 , 20L</t>
    <phoneticPr fontId="16" type="noConversion"/>
  </si>
  <si>
    <t>MICE MEDIA MODULE</t>
    <phoneticPr fontId="16" type="noConversion"/>
  </si>
  <si>
    <t>BRAKE LINING</t>
    <phoneticPr fontId="16" type="noConversion"/>
  </si>
  <si>
    <t>MICE MEDIA MODULE</t>
    <phoneticPr fontId="21" type="noConversion"/>
  </si>
  <si>
    <t>TUCHER BLADE</t>
    <phoneticPr fontId="21" type="noConversion"/>
  </si>
  <si>
    <t>폴더 고정 조</t>
    <phoneticPr fontId="21" type="noConversion"/>
  </si>
  <si>
    <t>FLAMEROD THERMJET</t>
    <phoneticPr fontId="21" type="noConversion"/>
  </si>
  <si>
    <t>TENSION BAR, MINI GAP BLKT CYLINDER</t>
    <phoneticPr fontId="21" type="noConversion"/>
  </si>
  <si>
    <t>BRAKE LINING</t>
    <phoneticPr fontId="21" type="noConversion"/>
  </si>
  <si>
    <t>2020,4</t>
    <phoneticPr fontId="16" type="noConversion"/>
  </si>
  <si>
    <t>2020,5</t>
    <phoneticPr fontId="16" type="noConversion"/>
  </si>
  <si>
    <t>20,5</t>
  </si>
  <si>
    <t>20,5</t>
    <phoneticPr fontId="16" type="noConversion"/>
  </si>
  <si>
    <t>고모리 ,M600 윤전 롤러 Set</t>
    <phoneticPr fontId="16" type="noConversion"/>
  </si>
  <si>
    <t>M600 윤전 롤러 Set</t>
    <phoneticPr fontId="16" type="noConversion"/>
  </si>
  <si>
    <t>압력 스프링</t>
    <phoneticPr fontId="16" type="noConversion"/>
  </si>
  <si>
    <t>벨트(25MM)</t>
    <phoneticPr fontId="16" type="noConversion"/>
  </si>
  <si>
    <t>접지 그리퍼</t>
    <phoneticPr fontId="16" type="noConversion"/>
  </si>
  <si>
    <t>폴더 접지 칼</t>
    <phoneticPr fontId="16" type="noConversion"/>
  </si>
  <si>
    <t>폴더 고정 조</t>
    <phoneticPr fontId="16" type="noConversion"/>
  </si>
  <si>
    <t>판걸이 실린더 안쪽</t>
    <phoneticPr fontId="16" type="noConversion"/>
  </si>
  <si>
    <t>판걸이 실린더 바깥쪽</t>
    <phoneticPr fontId="16" type="noConversion"/>
  </si>
  <si>
    <t>판통 접착 아스테이지</t>
    <phoneticPr fontId="16" type="noConversion"/>
  </si>
  <si>
    <t>M600 서비스비용 1회차</t>
    <phoneticPr fontId="16" type="noConversion"/>
  </si>
  <si>
    <t>Protective foil</t>
    <phoneticPr fontId="21" type="noConversion"/>
  </si>
  <si>
    <t>ASPT</t>
    <phoneticPr fontId="21" type="noConversion"/>
  </si>
  <si>
    <t>교학사 부품</t>
    <phoneticPr fontId="21" type="noConversion"/>
  </si>
  <si>
    <t>UV Lamp 7803374</t>
    <phoneticPr fontId="21" type="noConversion"/>
  </si>
  <si>
    <t>UV Lamp 7803375</t>
    <phoneticPr fontId="21" type="noConversion"/>
  </si>
  <si>
    <t>UV Lamp PM4063</t>
    <phoneticPr fontId="21" type="noConversion"/>
  </si>
  <si>
    <t>국제인쇄</t>
    <phoneticPr fontId="21" type="noConversion"/>
  </si>
  <si>
    <t>UV Lamp 7803918</t>
    <phoneticPr fontId="21" type="noConversion"/>
  </si>
  <si>
    <t>UV Lamp 7800300</t>
    <phoneticPr fontId="21" type="noConversion"/>
  </si>
  <si>
    <t>신일디앤피</t>
    <phoneticPr fontId="21" type="noConversion"/>
  </si>
  <si>
    <t>와우 반품</t>
    <phoneticPr fontId="21" type="noConversion"/>
  </si>
  <si>
    <t>Price(Total)</t>
    <phoneticPr fontId="21" type="noConversion"/>
  </si>
  <si>
    <t>2020,4</t>
    <phoneticPr fontId="1" type="noConversion"/>
  </si>
  <si>
    <t>국제인쇄</t>
    <phoneticPr fontId="4" type="noConversion"/>
  </si>
  <si>
    <t>M600 서비스계약 1회차</t>
    <phoneticPr fontId="8" type="noConversion"/>
  </si>
  <si>
    <t>John 서비스 비용 50%, CTP 약물</t>
    <phoneticPr fontId="26" type="noConversion"/>
  </si>
  <si>
    <t>M600 오버롤 부품</t>
    <phoneticPr fontId="5" type="noConversion"/>
  </si>
  <si>
    <t>Flamerod Thermjet</t>
    <phoneticPr fontId="16" type="noConversion"/>
  </si>
  <si>
    <t>블랑켓 텐션 바</t>
    <phoneticPr fontId="16" type="noConversion"/>
  </si>
  <si>
    <t>Seal, Replacement</t>
    <phoneticPr fontId="16" type="noConversion"/>
  </si>
  <si>
    <t>Rack</t>
    <phoneticPr fontId="16" type="noConversion"/>
  </si>
  <si>
    <t>동진씨앤피</t>
    <phoneticPr fontId="16" type="noConversion"/>
  </si>
  <si>
    <t>샤프트 잠금 장치</t>
    <phoneticPr fontId="16" type="noConversion"/>
  </si>
  <si>
    <t>잉크 파운틴 호일</t>
    <phoneticPr fontId="16" type="noConversion"/>
  </si>
  <si>
    <t>2020,6</t>
    <phoneticPr fontId="16" type="noConversion"/>
  </si>
  <si>
    <t>20,6</t>
  </si>
  <si>
    <t>20,6</t>
    <phoneticPr fontId="16" type="noConversion"/>
  </si>
  <si>
    <t>wire</t>
    <phoneticPr fontId="16" type="noConversion"/>
  </si>
  <si>
    <t>CTP 서비스비용</t>
    <phoneticPr fontId="16" type="noConversion"/>
  </si>
  <si>
    <t>Rack</t>
    <phoneticPr fontId="21" type="noConversion"/>
  </si>
  <si>
    <t>Seal, Replacement</t>
    <phoneticPr fontId="21" type="noConversion"/>
  </si>
  <si>
    <t>Ink fountain foil</t>
    <phoneticPr fontId="21" type="noConversion"/>
  </si>
  <si>
    <t>Locking Device Shaft</t>
    <phoneticPr fontId="21" type="noConversion"/>
  </si>
  <si>
    <t>UV Lamp 7804170</t>
    <phoneticPr fontId="21" type="noConversion"/>
  </si>
  <si>
    <t>동진씨앤피</t>
    <phoneticPr fontId="21" type="noConversion"/>
  </si>
  <si>
    <t>2020,5</t>
    <phoneticPr fontId="1" type="noConversion"/>
  </si>
  <si>
    <t>동진씨앤피</t>
    <phoneticPr fontId="4" type="noConversion"/>
  </si>
  <si>
    <t>코리아피앤피</t>
    <phoneticPr fontId="26" type="noConversion"/>
  </si>
  <si>
    <t>매일경제 제판부</t>
    <phoneticPr fontId="26" type="noConversion"/>
  </si>
  <si>
    <t>판재</t>
    <phoneticPr fontId="26" type="noConversion"/>
  </si>
  <si>
    <t>필터백</t>
    <phoneticPr fontId="26" type="noConversion"/>
  </si>
  <si>
    <t>6말 납품 드럼 1개 땡겨서 결재</t>
    <phoneticPr fontId="16" type="noConversion"/>
  </si>
  <si>
    <t>2020,7</t>
    <phoneticPr fontId="16" type="noConversion"/>
  </si>
  <si>
    <t>20,7</t>
    <phoneticPr fontId="16" type="noConversion"/>
  </si>
  <si>
    <t>가스 미터</t>
    <phoneticPr fontId="16" type="noConversion"/>
  </si>
  <si>
    <t>드라이어 도퍼 개폐 장치</t>
    <phoneticPr fontId="16" type="noConversion"/>
  </si>
  <si>
    <t>브러쉬 롤러 (블랑켓 세정)</t>
    <phoneticPr fontId="16" type="noConversion"/>
  </si>
  <si>
    <t>한특잉크</t>
    <phoneticPr fontId="16" type="noConversion"/>
  </si>
  <si>
    <t>ESI 부품, 플렉소 나이프</t>
    <phoneticPr fontId="16" type="noConversion"/>
  </si>
  <si>
    <t>Vpak 블랑켓, 플렉소 실린더</t>
    <phoneticPr fontId="16" type="noConversion"/>
  </si>
  <si>
    <t>스프링 블레이드</t>
    <phoneticPr fontId="16" type="noConversion"/>
  </si>
  <si>
    <t>M-600 서비스비용</t>
    <phoneticPr fontId="16" type="noConversion"/>
  </si>
  <si>
    <t>자동 판걸이 오버러닝 클러치</t>
    <phoneticPr fontId="16" type="noConversion"/>
  </si>
  <si>
    <t>M600 서비스비용 2회차</t>
    <phoneticPr fontId="16" type="noConversion"/>
  </si>
  <si>
    <t>Onevision 서비스 비용(4회차)</t>
    <phoneticPr fontId="16" type="noConversion"/>
  </si>
  <si>
    <t>2020,6</t>
    <phoneticPr fontId="1" type="noConversion"/>
  </si>
  <si>
    <t>커미션 166,000원 추가 = 세흥인쇄 매입가 오류</t>
    <phoneticPr fontId="4" type="noConversion"/>
  </si>
  <si>
    <t>와우프레스</t>
    <phoneticPr fontId="11" type="noConversion"/>
  </si>
  <si>
    <t>ESI</t>
    <phoneticPr fontId="16" type="noConversion"/>
  </si>
  <si>
    <t>FLint</t>
    <phoneticPr fontId="16" type="noConversion"/>
  </si>
  <si>
    <t>Honle(횐네)</t>
    <phoneticPr fontId="16" type="noConversion"/>
  </si>
  <si>
    <t>Pipe</t>
    <phoneticPr fontId="21" type="noConversion"/>
  </si>
  <si>
    <t>Hoisting Mechanism door</t>
    <phoneticPr fontId="21" type="noConversion"/>
  </si>
  <si>
    <t>Brake lining</t>
    <phoneticPr fontId="21" type="noConversion"/>
  </si>
  <si>
    <t>Gas Meter Flangeconn</t>
    <phoneticPr fontId="21" type="noConversion"/>
  </si>
  <si>
    <t>프린피아 북시티</t>
    <phoneticPr fontId="21" type="noConversion"/>
  </si>
  <si>
    <t>17개 원가 : 80만원</t>
    <phoneticPr fontId="16" type="noConversion"/>
  </si>
  <si>
    <t>Spring blade</t>
    <phoneticPr fontId="21" type="noConversion"/>
  </si>
  <si>
    <t>Spring blade_</t>
    <phoneticPr fontId="21" type="noConversion"/>
  </si>
  <si>
    <t>Rotary incoder Assy</t>
    <phoneticPr fontId="21" type="noConversion"/>
  </si>
  <si>
    <t>매경 본사</t>
    <phoneticPr fontId="21" type="noConversion"/>
  </si>
  <si>
    <t>20,7</t>
  </si>
  <si>
    <t>프린피아 파주북시티</t>
    <phoneticPr fontId="5" type="noConversion"/>
  </si>
  <si>
    <t>M600 서비스계약 2회차</t>
    <phoneticPr fontId="8" type="noConversion"/>
  </si>
  <si>
    <t>운송비 -19800원</t>
    <phoneticPr fontId="4" type="noConversion"/>
  </si>
  <si>
    <t>IR Lamp</t>
    <phoneticPr fontId="16" type="noConversion"/>
  </si>
  <si>
    <t>하이델 국전 Blanket(1050*840)</t>
    <phoneticPr fontId="16" type="noConversion"/>
  </si>
  <si>
    <t>료비 UV lamp</t>
    <phoneticPr fontId="16" type="noConversion"/>
  </si>
  <si>
    <t>케이엠피</t>
    <phoneticPr fontId="16" type="noConversion"/>
  </si>
  <si>
    <t>Fluidos 도져</t>
    <phoneticPr fontId="16" type="noConversion"/>
  </si>
  <si>
    <t>잔금계산</t>
    <phoneticPr fontId="16" type="noConversion"/>
  </si>
  <si>
    <t>164000 원래</t>
    <phoneticPr fontId="16" type="noConversion"/>
  </si>
  <si>
    <t>20,8</t>
    <phoneticPr fontId="16" type="noConversion"/>
  </si>
  <si>
    <t>2020,8</t>
    <phoneticPr fontId="16" type="noConversion"/>
  </si>
  <si>
    <t>고모리 윤전롤라 25개+베아링작업 4개</t>
    <phoneticPr fontId="16" type="noConversion"/>
  </si>
  <si>
    <t>오일 필터</t>
    <phoneticPr fontId="16" type="noConversion"/>
  </si>
  <si>
    <t>FPL</t>
    <phoneticPr fontId="16" type="noConversion"/>
  </si>
  <si>
    <t>GAS SPRING</t>
    <phoneticPr fontId="21" type="noConversion"/>
  </si>
  <si>
    <t>Tape, mQQ</t>
    <phoneticPr fontId="21" type="noConversion"/>
  </si>
  <si>
    <t>brake lining</t>
    <phoneticPr fontId="21" type="noConversion"/>
  </si>
  <si>
    <t>2020,7</t>
    <phoneticPr fontId="1" type="noConversion"/>
  </si>
  <si>
    <t>케이엠피</t>
    <phoneticPr fontId="7" type="noConversion"/>
  </si>
  <si>
    <t>운송료 -24200원 커미션</t>
    <phoneticPr fontId="4" type="noConversion"/>
  </si>
  <si>
    <t>3개사서 1개만 납품함</t>
    <phoneticPr fontId="16" type="noConversion"/>
  </si>
  <si>
    <t>3Way 트랜스듀서</t>
    <phoneticPr fontId="16" type="noConversion"/>
  </si>
  <si>
    <t>풀리 Bush</t>
    <phoneticPr fontId="16" type="noConversion"/>
  </si>
  <si>
    <t>스프링 블레이드-2</t>
    <phoneticPr fontId="16" type="noConversion"/>
  </si>
  <si>
    <t>스프링 블레이드-1</t>
    <phoneticPr fontId="16" type="noConversion"/>
  </si>
  <si>
    <t>로타리 엔코더</t>
    <phoneticPr fontId="16" type="noConversion"/>
  </si>
  <si>
    <t>Rotoman 인버터</t>
    <phoneticPr fontId="16" type="noConversion"/>
  </si>
  <si>
    <t>판걸이튜브 교체 서비스</t>
    <phoneticPr fontId="16" type="noConversion"/>
  </si>
  <si>
    <t>하이델 150 이상훈이사 100</t>
    <phoneticPr fontId="16" type="noConversion"/>
  </si>
  <si>
    <t>20,8</t>
  </si>
  <si>
    <t>20,9</t>
    <phoneticPr fontId="16" type="noConversion"/>
  </si>
  <si>
    <t>로랜드 부품 3건</t>
    <phoneticPr fontId="16" type="noConversion"/>
  </si>
  <si>
    <t>Ebay</t>
    <phoneticPr fontId="16" type="noConversion"/>
  </si>
  <si>
    <t>스프링 블레이드-1</t>
    <phoneticPr fontId="21" type="noConversion"/>
  </si>
  <si>
    <t>스프링 블레이드-2</t>
    <phoneticPr fontId="21" type="noConversion"/>
  </si>
  <si>
    <t>Perforating knife</t>
    <phoneticPr fontId="21" type="noConversion"/>
  </si>
  <si>
    <t>cut-off bar</t>
    <phoneticPr fontId="21" type="noConversion"/>
  </si>
  <si>
    <t>tucker blade</t>
    <phoneticPr fontId="21" type="noConversion"/>
  </si>
  <si>
    <t>주안-로토만부품</t>
    <phoneticPr fontId="21" type="noConversion"/>
  </si>
  <si>
    <t>Rotoman Inverter</t>
    <phoneticPr fontId="21" type="noConversion"/>
  </si>
  <si>
    <t>2020,8</t>
    <phoneticPr fontId="1" type="noConversion"/>
  </si>
  <si>
    <t>천일</t>
    <phoneticPr fontId="11" type="noConversion"/>
  </si>
  <si>
    <t>운송료 -39820원 커미션</t>
    <phoneticPr fontId="4" type="noConversion"/>
  </si>
  <si>
    <t>M600 서비스계약 3회차</t>
    <phoneticPr fontId="8" type="noConversion"/>
  </si>
  <si>
    <t>CTP(Others)</t>
  </si>
  <si>
    <t>스프링 블레이드 집 등 부품 5건</t>
    <phoneticPr fontId="16" type="noConversion"/>
  </si>
  <si>
    <t>D&amp;K</t>
    <phoneticPr fontId="16" type="noConversion"/>
  </si>
  <si>
    <t>Quadtech WVS</t>
    <phoneticPr fontId="16" type="noConversion"/>
  </si>
  <si>
    <t>Quadtech WVS 수리 기판(남양주)</t>
    <phoneticPr fontId="16" type="noConversion"/>
  </si>
  <si>
    <t>리프팅 서커 노즐</t>
    <phoneticPr fontId="16" type="noConversion"/>
  </si>
  <si>
    <t>고무사카(적색)</t>
    <phoneticPr fontId="16" type="noConversion"/>
  </si>
  <si>
    <t>매일경제 윤전부</t>
    <phoneticPr fontId="16" type="noConversion"/>
  </si>
  <si>
    <t>20,9</t>
  </si>
  <si>
    <t>Vpack WPC 입출력 모듈 박스</t>
    <phoneticPr fontId="16" type="noConversion"/>
  </si>
  <si>
    <t>XL106 롤라 44개 세트</t>
    <phoneticPr fontId="16" type="noConversion"/>
  </si>
  <si>
    <t>20,10</t>
    <phoneticPr fontId="16" type="noConversion"/>
  </si>
  <si>
    <t>매엽, 8월 누락건</t>
    <phoneticPr fontId="16" type="noConversion"/>
  </si>
  <si>
    <t>Baldwin</t>
    <phoneticPr fontId="16" type="noConversion"/>
  </si>
  <si>
    <t>이상훈이사 공동작업 150만</t>
    <phoneticPr fontId="16" type="noConversion"/>
  </si>
  <si>
    <t>이상훈 이사</t>
    <phoneticPr fontId="16" type="noConversion"/>
  </si>
  <si>
    <t>주안</t>
    <phoneticPr fontId="21" type="noConversion"/>
  </si>
  <si>
    <t>Blade Spring</t>
    <phoneticPr fontId="21" type="noConversion"/>
  </si>
  <si>
    <t>Needle Roller</t>
    <phoneticPr fontId="21" type="noConversion"/>
  </si>
  <si>
    <t>STIFFENER, FLAT SPRING - AUTOPLATE</t>
    <phoneticPr fontId="21" type="noConversion"/>
  </si>
  <si>
    <t>스크류</t>
    <phoneticPr fontId="21" type="noConversion"/>
  </si>
  <si>
    <t>와셔</t>
    <phoneticPr fontId="21" type="noConversion"/>
  </si>
  <si>
    <t>2020,9</t>
    <phoneticPr fontId="1" type="noConversion"/>
  </si>
  <si>
    <t>X-rite Exact + UV 램프 6개</t>
    <phoneticPr fontId="16" type="noConversion"/>
  </si>
  <si>
    <t>ColorConsulting, Primarc</t>
    <phoneticPr fontId="16" type="noConversion"/>
  </si>
  <si>
    <t>프린피아 파주북시티</t>
    <phoneticPr fontId="8" type="noConversion"/>
  </si>
  <si>
    <t>이상훈이사와 공동작업</t>
    <phoneticPr fontId="8" type="noConversion"/>
  </si>
  <si>
    <t>D&amp;K</t>
    <phoneticPr fontId="26" type="noConversion"/>
  </si>
  <si>
    <t>나우스 WVS장치, 모터</t>
    <phoneticPr fontId="26" type="noConversion"/>
  </si>
  <si>
    <t>2020,10</t>
    <phoneticPr fontId="16" type="noConversion"/>
  </si>
  <si>
    <t>CTP 현상기 필터</t>
    <phoneticPr fontId="16" type="noConversion"/>
  </si>
  <si>
    <t>접지 누름 가이드</t>
    <phoneticPr fontId="16" type="noConversion"/>
  </si>
  <si>
    <t>Rubber, cutting</t>
    <phoneticPr fontId="21" type="noConversion"/>
  </si>
  <si>
    <t>magnet brake-light-wire sensor</t>
    <phoneticPr fontId="21" type="noConversion"/>
  </si>
  <si>
    <t>proximity switch</t>
    <phoneticPr fontId="21" type="noConversion"/>
  </si>
  <si>
    <t>Stripper 50</t>
    <phoneticPr fontId="21" type="noConversion"/>
  </si>
  <si>
    <t>Stripper -50</t>
    <phoneticPr fontId="21" type="noConversion"/>
  </si>
  <si>
    <t>Magnet brake-light-wire sensore</t>
    <phoneticPr fontId="16" type="noConversion"/>
  </si>
  <si>
    <t>Proximity sensor</t>
    <phoneticPr fontId="16" type="noConversion"/>
  </si>
  <si>
    <t>20,10</t>
  </si>
  <si>
    <t>국일특수인쇄</t>
    <phoneticPr fontId="16" type="noConversion"/>
  </si>
  <si>
    <t>Baldwin UV 램프 T-3절용</t>
    <phoneticPr fontId="16" type="noConversion"/>
  </si>
  <si>
    <t>UV Lamp 하이델베르그 xl75용</t>
    <phoneticPr fontId="16" type="noConversion"/>
  </si>
  <si>
    <t>유성특수인쇄</t>
    <phoneticPr fontId="16" type="noConversion"/>
  </si>
  <si>
    <t>Sales Commission for CMC-620JU107</t>
    <phoneticPr fontId="16" type="noConversion"/>
  </si>
  <si>
    <t>링크체인</t>
    <phoneticPr fontId="16" type="noConversion"/>
  </si>
  <si>
    <t>스프레이구리스</t>
    <phoneticPr fontId="16" type="noConversion"/>
  </si>
  <si>
    <t>스트리퍼(X80850)</t>
    <phoneticPr fontId="16" type="noConversion"/>
  </si>
  <si>
    <t>CTP 폐판</t>
    <phoneticPr fontId="16" type="noConversion"/>
  </si>
  <si>
    <t>20,11</t>
    <phoneticPr fontId="16" type="noConversion"/>
  </si>
  <si>
    <t>매일경제 매엽부</t>
    <phoneticPr fontId="16" type="noConversion"/>
  </si>
  <si>
    <t>정제형 상무 서비스비용</t>
    <phoneticPr fontId="16" type="noConversion"/>
  </si>
  <si>
    <t>매엽용 롤라 19개 set</t>
    <phoneticPr fontId="16" type="noConversion"/>
  </si>
  <si>
    <t>9월 누락건 11월 계산서발행</t>
    <phoneticPr fontId="16" type="noConversion"/>
  </si>
  <si>
    <t>2020,11</t>
    <phoneticPr fontId="16" type="noConversion"/>
  </si>
  <si>
    <t>에스이케이</t>
    <phoneticPr fontId="16" type="noConversion"/>
  </si>
  <si>
    <t>주안, 삼화</t>
    <phoneticPr fontId="21" type="noConversion"/>
  </si>
  <si>
    <t>매경, 교학사</t>
    <phoneticPr fontId="21" type="noConversion"/>
  </si>
  <si>
    <t>Pressure Spring</t>
    <phoneticPr fontId="21" type="noConversion"/>
  </si>
  <si>
    <t>Distributor</t>
    <phoneticPr fontId="21" type="noConversion"/>
  </si>
  <si>
    <t>판넬 멀티캠</t>
    <phoneticPr fontId="21" type="noConversion"/>
  </si>
  <si>
    <t>국일인쇄</t>
    <phoneticPr fontId="21" type="noConversion"/>
  </si>
  <si>
    <t>유성특수인쇄</t>
    <phoneticPr fontId="21" type="noConversion"/>
  </si>
  <si>
    <t>파운드</t>
    <phoneticPr fontId="21" type="noConversion"/>
  </si>
  <si>
    <t>Primarc</t>
    <phoneticPr fontId="21" type="noConversion"/>
  </si>
  <si>
    <t>2020,10</t>
    <phoneticPr fontId="1" type="noConversion"/>
  </si>
  <si>
    <t>유성특수인쇄</t>
    <phoneticPr fontId="4" type="noConversion"/>
  </si>
  <si>
    <t>M600 서비스계약 4회차</t>
    <phoneticPr fontId="8" type="noConversion"/>
  </si>
  <si>
    <t>국일특수인쇄</t>
    <phoneticPr fontId="26" type="noConversion"/>
  </si>
  <si>
    <t>비엠테크</t>
    <phoneticPr fontId="26" type="noConversion"/>
  </si>
  <si>
    <t>Benford</t>
    <phoneticPr fontId="21" type="noConversion"/>
  </si>
  <si>
    <t>UV Lamp BF 575 덕수 전선타입 3개</t>
    <phoneticPr fontId="21" type="noConversion"/>
  </si>
  <si>
    <t>달러</t>
    <phoneticPr fontId="21" type="noConversion"/>
  </si>
  <si>
    <t>운송료 -24420원 커미션</t>
    <phoneticPr fontId="4" type="noConversion"/>
  </si>
  <si>
    <t>20,11</t>
  </si>
  <si>
    <t>집진기 필터</t>
    <phoneticPr fontId="16" type="noConversion"/>
  </si>
  <si>
    <t>CTP 서비스 비용</t>
    <phoneticPr fontId="16" type="noConversion"/>
  </si>
  <si>
    <t>Pressure Spring</t>
    <phoneticPr fontId="16" type="noConversion"/>
  </si>
  <si>
    <t>CTP 서비스비용, 부품</t>
    <phoneticPr fontId="16" type="noConversion"/>
  </si>
  <si>
    <t>도져 수리</t>
    <phoneticPr fontId="16" type="noConversion"/>
  </si>
  <si>
    <t>판걸이 클램프(대)</t>
    <phoneticPr fontId="16" type="noConversion"/>
  </si>
  <si>
    <t>판걸이 클램프(소)</t>
    <phoneticPr fontId="16" type="noConversion"/>
  </si>
  <si>
    <t>판걸이 클램프(대)-국전</t>
    <phoneticPr fontId="16" type="noConversion"/>
  </si>
  <si>
    <t>판걸이 클램프(소)-국전</t>
    <phoneticPr fontId="16" type="noConversion"/>
  </si>
  <si>
    <t>석션 디스크</t>
    <phoneticPr fontId="16" type="noConversion"/>
  </si>
  <si>
    <t>에어 실린더(WM.005801103)</t>
    <phoneticPr fontId="16" type="noConversion"/>
  </si>
  <si>
    <t>에어 실린더(WM.X73208)</t>
    <phoneticPr fontId="16" type="noConversion"/>
  </si>
  <si>
    <t>에어 실린더(WM.Z35554)</t>
    <phoneticPr fontId="16" type="noConversion"/>
  </si>
  <si>
    <t>습수 냉각기 온도 조절 밸브</t>
    <phoneticPr fontId="16" type="noConversion"/>
  </si>
  <si>
    <t>드라이어 사용자 패널</t>
    <phoneticPr fontId="16" type="noConversion"/>
  </si>
  <si>
    <t>ENGAGE 1092*800</t>
    <phoneticPr fontId="16" type="noConversion"/>
  </si>
  <si>
    <t>로토만 외국인 서비스 비용</t>
    <phoneticPr fontId="16" type="noConversion"/>
  </si>
  <si>
    <t>2020,12</t>
    <phoneticPr fontId="16" type="noConversion"/>
  </si>
  <si>
    <t>20,12</t>
    <phoneticPr fontId="16" type="noConversion"/>
  </si>
  <si>
    <t>2020,11</t>
    <phoneticPr fontId="1" type="noConversion"/>
  </si>
  <si>
    <t>Blade,Spring</t>
    <phoneticPr fontId="21" type="noConversion"/>
  </si>
  <si>
    <t>Spring Blade</t>
    <phoneticPr fontId="21" type="noConversion"/>
  </si>
  <si>
    <t>Disc, Suction</t>
    <phoneticPr fontId="21" type="noConversion"/>
  </si>
  <si>
    <t>Air cyliner WM005801103</t>
    <phoneticPr fontId="21" type="noConversion"/>
  </si>
  <si>
    <t>Air valve WM.X73208</t>
    <phoneticPr fontId="21" type="noConversion"/>
  </si>
  <si>
    <t>Air cylinder WM.Z35554</t>
    <phoneticPr fontId="21" type="noConversion"/>
  </si>
  <si>
    <t>스트리퍼 50 wide</t>
    <phoneticPr fontId="21" type="noConversion"/>
  </si>
  <si>
    <t>서비스비용 80만원 제</t>
    <phoneticPr fontId="16" type="noConversion"/>
  </si>
  <si>
    <t>신한종합인쇄 비용</t>
    <phoneticPr fontId="16" type="noConversion"/>
  </si>
  <si>
    <t>블랑켓 언더팩킹필름</t>
    <phoneticPr fontId="16" type="noConversion"/>
  </si>
  <si>
    <t>20,12</t>
  </si>
  <si>
    <t>동양인쇄재료상사</t>
    <phoneticPr fontId="16" type="noConversion"/>
  </si>
  <si>
    <t>빨간색 고무사카</t>
    <phoneticPr fontId="16" type="noConversion"/>
  </si>
  <si>
    <t>한겨레</t>
    <phoneticPr fontId="16" type="noConversion"/>
  </si>
  <si>
    <t>Technotrans 판형열교환기</t>
    <phoneticPr fontId="16" type="noConversion"/>
  </si>
  <si>
    <t>통신 케이블</t>
    <phoneticPr fontId="16" type="noConversion"/>
  </si>
  <si>
    <t>오일분배기 4개</t>
    <phoneticPr fontId="16" type="noConversion"/>
  </si>
  <si>
    <t>커플링, 조인트 AA50</t>
  </si>
  <si>
    <t>이상훈 이사 비용</t>
    <phoneticPr fontId="16" type="noConversion"/>
  </si>
  <si>
    <t>PLC 서비스 비용</t>
    <phoneticPr fontId="16" type="noConversion"/>
  </si>
  <si>
    <t>INK MODULE DRIVE BOARD</t>
    <phoneticPr fontId="16" type="noConversion"/>
  </si>
  <si>
    <t>DC Magnet</t>
    <phoneticPr fontId="16" type="noConversion"/>
  </si>
  <si>
    <t>Vulkollan Bar</t>
    <phoneticPr fontId="16" type="noConversion"/>
  </si>
  <si>
    <t>11월 누락</t>
    <phoneticPr fontId="16" type="noConversion"/>
  </si>
  <si>
    <t>주머니 필터백</t>
    <phoneticPr fontId="16" type="noConversion"/>
  </si>
  <si>
    <t>배지부 콤프 필터</t>
    <phoneticPr fontId="16" type="noConversion"/>
  </si>
  <si>
    <t>매엽용 롤라 12개</t>
    <phoneticPr fontId="16" type="noConversion"/>
  </si>
  <si>
    <t>자동 판걸이용 오버러닝 클러치</t>
    <phoneticPr fontId="16" type="noConversion"/>
  </si>
  <si>
    <t>WPC 카메라 이미지 헤드(리퍼비쉬)</t>
    <phoneticPr fontId="16" type="noConversion"/>
  </si>
  <si>
    <t>MP277 8인치 모니터</t>
    <phoneticPr fontId="16" type="noConversion"/>
  </si>
  <si>
    <t>CTP 약물</t>
    <phoneticPr fontId="16" type="noConversion"/>
  </si>
  <si>
    <t>습수정화장치 beta.f 필터 세트</t>
    <phoneticPr fontId="16" type="noConversion"/>
  </si>
  <si>
    <t>21,1</t>
    <phoneticPr fontId="16" type="noConversion"/>
  </si>
  <si>
    <t>나사선 박스</t>
    <phoneticPr fontId="16" type="noConversion"/>
  </si>
  <si>
    <t>2020,12</t>
    <phoneticPr fontId="1" type="noConversion"/>
  </si>
  <si>
    <t>2월 롤러 클레임 건 매입가에 포함</t>
    <phoneticPr fontId="16" type="noConversion"/>
  </si>
  <si>
    <t>EU Automation</t>
    <phoneticPr fontId="16" type="noConversion"/>
  </si>
  <si>
    <t>DC Magnet</t>
    <phoneticPr fontId="21" type="noConversion"/>
  </si>
  <si>
    <t>vulkollan bar</t>
    <phoneticPr fontId="21" type="noConversion"/>
  </si>
  <si>
    <t>Sales</t>
  </si>
  <si>
    <t>Margin</t>
  </si>
  <si>
    <t>Technotrans</t>
    <phoneticPr fontId="32" type="noConversion"/>
  </si>
  <si>
    <t>2017년 1월</t>
    <phoneticPr fontId="32" type="noConversion"/>
  </si>
  <si>
    <t>2017년 2월</t>
    <phoneticPr fontId="32" type="noConversion"/>
  </si>
  <si>
    <t>2017년 3월</t>
  </si>
  <si>
    <t>2017년 4월</t>
  </si>
  <si>
    <t>2017년 5월</t>
  </si>
  <si>
    <t>2017년 6월</t>
  </si>
  <si>
    <t>2017년 7월</t>
  </si>
  <si>
    <t>2017년 8월</t>
  </si>
  <si>
    <t>2017년 9월</t>
  </si>
  <si>
    <t>2017년 10월</t>
  </si>
  <si>
    <t>2017년 11월</t>
  </si>
  <si>
    <t>2017년 12월</t>
  </si>
  <si>
    <t>2018년 1월</t>
    <phoneticPr fontId="32" type="noConversion"/>
  </si>
  <si>
    <t>2018년 2월</t>
    <phoneticPr fontId="32" type="noConversion"/>
  </si>
  <si>
    <t>2018년 3월</t>
  </si>
  <si>
    <t>2018년 4월</t>
  </si>
  <si>
    <t>2018년 5월</t>
  </si>
  <si>
    <t>2018년 6월</t>
  </si>
  <si>
    <t>2018년 7월</t>
  </si>
  <si>
    <t>2018년 8월</t>
  </si>
  <si>
    <t>2018년 9월</t>
  </si>
  <si>
    <t>2018년 10월</t>
  </si>
  <si>
    <t>2018년 11월</t>
  </si>
  <si>
    <t>2018년 12월</t>
  </si>
  <si>
    <t>2019년 1월</t>
    <phoneticPr fontId="32" type="noConversion"/>
  </si>
  <si>
    <t>2019년 2월</t>
    <phoneticPr fontId="32" type="noConversion"/>
  </si>
  <si>
    <t>2019년 3월</t>
  </si>
  <si>
    <t>2019년 4월</t>
  </si>
  <si>
    <t>2019년 5월</t>
  </si>
  <si>
    <t>2019년 6월</t>
  </si>
  <si>
    <t>2019년 7월</t>
  </si>
  <si>
    <t>2019년 8월</t>
  </si>
  <si>
    <t>2019년 9월</t>
  </si>
  <si>
    <t>2019년 10월</t>
  </si>
  <si>
    <t>2019년 11월</t>
  </si>
  <si>
    <t>2019년 12월</t>
  </si>
  <si>
    <t>2020년 1월</t>
    <phoneticPr fontId="32" type="noConversion"/>
  </si>
  <si>
    <t>2020년 2월</t>
    <phoneticPr fontId="32" type="noConversion"/>
  </si>
  <si>
    <t>2021년 1월</t>
    <phoneticPr fontId="32" type="noConversion"/>
  </si>
  <si>
    <t>2021년 2월</t>
    <phoneticPr fontId="32" type="noConversion"/>
  </si>
  <si>
    <t>2020년 3월</t>
  </si>
  <si>
    <t>2020년 4월</t>
  </si>
  <si>
    <t>2020년 5월</t>
  </si>
  <si>
    <t>2020년 6월</t>
  </si>
  <si>
    <t>2020년 7월</t>
  </si>
  <si>
    <t>2020년 8월</t>
  </si>
  <si>
    <t>2020년 9월</t>
  </si>
  <si>
    <t>2020년 10월</t>
  </si>
  <si>
    <t>2020년 11월</t>
  </si>
  <si>
    <t>2020년 12월</t>
  </si>
  <si>
    <t>2021년 3월</t>
  </si>
  <si>
    <t>2021년 4월</t>
  </si>
  <si>
    <t>2021년 5월</t>
  </si>
  <si>
    <t>2021년 6월</t>
  </si>
  <si>
    <t>2021년 7월</t>
  </si>
  <si>
    <t>2021년 8월</t>
  </si>
  <si>
    <t>2021년 9월</t>
  </si>
  <si>
    <t>2021년 10월</t>
  </si>
  <si>
    <t>2021년 11월</t>
  </si>
  <si>
    <t>2021년 12월</t>
  </si>
  <si>
    <t>Consumable</t>
    <phoneticPr fontId="32" type="noConversion"/>
  </si>
  <si>
    <t>Total</t>
    <phoneticPr fontId="32" type="noConversion"/>
  </si>
  <si>
    <t>UV 램프 - 전선타입(Primarc)</t>
    <phoneticPr fontId="16" type="noConversion"/>
  </si>
  <si>
    <t>UV 램프 - 똑딱이타입(Honle)</t>
    <phoneticPr fontId="16" type="noConversion"/>
  </si>
  <si>
    <t>2017년</t>
    <phoneticPr fontId="32" type="noConversion"/>
  </si>
  <si>
    <t>2019년</t>
  </si>
  <si>
    <t>2020년</t>
  </si>
  <si>
    <t>2021년</t>
  </si>
  <si>
    <t>2018년</t>
    <phoneticPr fontId="32" type="noConversion"/>
  </si>
  <si>
    <t>2022년</t>
  </si>
  <si>
    <t>2023년</t>
  </si>
  <si>
    <t>Goss/Service</t>
    <phoneticPr fontId="32" type="noConversion"/>
  </si>
  <si>
    <t>Others</t>
    <phoneticPr fontId="32" type="noConversion"/>
  </si>
  <si>
    <t>연도별</t>
    <phoneticPr fontId="32" type="noConversion"/>
  </si>
  <si>
    <t>월별</t>
    <phoneticPr fontId="32" type="noConversion"/>
  </si>
  <si>
    <t>합계</t>
    <phoneticPr fontId="4" type="noConversion"/>
  </si>
  <si>
    <t>17,10</t>
    <phoneticPr fontId="4" type="noConversion"/>
  </si>
  <si>
    <t>17,11</t>
    <phoneticPr fontId="4" type="noConversion"/>
  </si>
  <si>
    <t>17,12</t>
    <phoneticPr fontId="4" type="noConversion"/>
  </si>
  <si>
    <t>19,9</t>
    <phoneticPr fontId="4" type="noConversion"/>
  </si>
  <si>
    <t>19,10</t>
    <phoneticPr fontId="4" type="noConversion"/>
  </si>
  <si>
    <t>19,11</t>
    <phoneticPr fontId="4" type="noConversion"/>
  </si>
  <si>
    <t>19,12</t>
    <phoneticPr fontId="4" type="noConversion"/>
  </si>
  <si>
    <t>17,1</t>
    <phoneticPr fontId="7" type="noConversion"/>
  </si>
  <si>
    <t>20,11</t>
    <phoneticPr fontId="7" type="noConversion"/>
  </si>
  <si>
    <t>2019,7</t>
    <phoneticPr fontId="7" type="noConversion"/>
  </si>
  <si>
    <t>17,1</t>
    <phoneticPr fontId="5" type="noConversion"/>
  </si>
  <si>
    <t>20,11</t>
    <phoneticPr fontId="5" type="noConversion"/>
  </si>
  <si>
    <t>20,11</t>
    <phoneticPr fontId="8" type="noConversion"/>
  </si>
  <si>
    <t>17,1</t>
    <phoneticPr fontId="8" type="noConversion"/>
  </si>
  <si>
    <t>,</t>
    <phoneticPr fontId="8" type="noConversion"/>
  </si>
  <si>
    <t>20,11</t>
    <phoneticPr fontId="26" type="noConversion"/>
  </si>
  <si>
    <t>17,7</t>
    <phoneticPr fontId="26" type="noConversion"/>
  </si>
  <si>
    <t>20,12</t>
    <phoneticPr fontId="7" type="noConversion"/>
  </si>
  <si>
    <t>한겨레</t>
    <phoneticPr fontId="7" type="noConversion"/>
  </si>
  <si>
    <t>20,12</t>
    <phoneticPr fontId="5" type="noConversion"/>
  </si>
  <si>
    <t>20,12</t>
    <phoneticPr fontId="8" type="noConversion"/>
  </si>
  <si>
    <t>20,12</t>
    <phoneticPr fontId="26" type="noConversion"/>
  </si>
  <si>
    <t>WPC 이미지 헤드, 모니터, CTP 약물</t>
    <phoneticPr fontId="26" type="noConversion"/>
  </si>
  <si>
    <t>잉크</t>
  </si>
  <si>
    <t>기타</t>
  </si>
  <si>
    <t>로토만 외국인 서비스 비용</t>
    <phoneticPr fontId="8" type="noConversion"/>
  </si>
  <si>
    <t>Rotoman 외국인 서비스 비용(계산편의위해 서비스로 이동)</t>
    <phoneticPr fontId="26" type="noConversion"/>
  </si>
  <si>
    <t>ASPT WPC 입출력 모듈 박스</t>
    <phoneticPr fontId="5" type="noConversion"/>
  </si>
  <si>
    <t>20,1</t>
    <phoneticPr fontId="5" type="noConversion"/>
  </si>
  <si>
    <t>goss</t>
    <phoneticPr fontId="32" type="noConversion"/>
  </si>
  <si>
    <t>service</t>
    <phoneticPr fontId="32" type="noConversion"/>
  </si>
  <si>
    <t>Evaporator(판형열교환기)</t>
    <phoneticPr fontId="21" type="noConversion"/>
  </si>
  <si>
    <t>Insulating mat</t>
    <phoneticPr fontId="21" type="noConversion"/>
  </si>
  <si>
    <t>780 판 100장 미리 보냄</t>
    <phoneticPr fontId="16" type="noConversion"/>
  </si>
  <si>
    <t>이 가격 6개남음</t>
    <phoneticPr fontId="16" type="noConversion"/>
  </si>
  <si>
    <t>UV Lamp PM4063 덕수</t>
    <phoneticPr fontId="21" type="noConversion"/>
  </si>
  <si>
    <t>이 가격 3개 남음</t>
    <phoneticPr fontId="16" type="noConversion"/>
  </si>
  <si>
    <t>2021,1</t>
    <phoneticPr fontId="16" type="noConversion"/>
  </si>
  <si>
    <t>스터드</t>
    <phoneticPr fontId="21" type="noConversion"/>
  </si>
  <si>
    <t>나사선 박스</t>
    <phoneticPr fontId="21" type="noConversion"/>
  </si>
  <si>
    <t>통신 케이블</t>
    <phoneticPr fontId="21" type="noConversion"/>
  </si>
  <si>
    <t>커플링, 조인트</t>
    <phoneticPr fontId="21" type="noConversion"/>
  </si>
  <si>
    <t>북시티</t>
    <phoneticPr fontId="21" type="noConversion"/>
  </si>
  <si>
    <t>Digi-Key</t>
    <phoneticPr fontId="16" type="noConversion"/>
  </si>
  <si>
    <t>고객</t>
    <phoneticPr fontId="33" type="noConversion"/>
  </si>
  <si>
    <t>제조사</t>
    <phoneticPr fontId="33" type="noConversion"/>
  </si>
  <si>
    <t>재고</t>
    <phoneticPr fontId="33" type="noConversion"/>
  </si>
  <si>
    <t>사용 기계</t>
    <phoneticPr fontId="33" type="noConversion"/>
  </si>
  <si>
    <t>제품명</t>
    <phoneticPr fontId="33" type="noConversion"/>
  </si>
  <si>
    <t>제품번호</t>
    <phoneticPr fontId="33" type="noConversion"/>
  </si>
  <si>
    <t>1차 입고 예정</t>
    <phoneticPr fontId="33" type="noConversion"/>
  </si>
  <si>
    <t>2차 입고 예정</t>
    <phoneticPr fontId="33" type="noConversion"/>
  </si>
  <si>
    <t>Uv 램프 - 하이델베르그 국전용</t>
  </si>
  <si>
    <t>UV Lamp-BF572</t>
  </si>
  <si>
    <t>신한종합인쇄</t>
  </si>
  <si>
    <t>UV 램프 하이델 국전용</t>
  </si>
  <si>
    <t>덕수</t>
  </si>
  <si>
    <t>국제인쇄</t>
  </si>
  <si>
    <t>UV Lamp-KBA</t>
  </si>
  <si>
    <t>CD74용 UV lamp</t>
  </si>
  <si>
    <t>UV Lamp</t>
  </si>
  <si>
    <t>와우프레스</t>
  </si>
  <si>
    <t>료비 UV lamp</t>
  </si>
  <si>
    <t>유성특수인쇄</t>
  </si>
  <si>
    <t>UV Lamp 하이델베르그 xl75용</t>
  </si>
  <si>
    <t>국일특수인쇄</t>
  </si>
  <si>
    <t>Baldwin UV 램프 T-3절용</t>
  </si>
  <si>
    <t>KBA</t>
    <phoneticPr fontId="33" type="noConversion"/>
  </si>
  <si>
    <t>하이델 국전</t>
    <phoneticPr fontId="33" type="noConversion"/>
  </si>
  <si>
    <t>하이델 CD74</t>
    <phoneticPr fontId="33" type="noConversion"/>
  </si>
  <si>
    <t>료비</t>
    <phoneticPr fontId="33" type="noConversion"/>
  </si>
  <si>
    <t>하이델 XL75</t>
    <phoneticPr fontId="33" type="noConversion"/>
  </si>
  <si>
    <t>KBA(1145mm)</t>
    <phoneticPr fontId="33" type="noConversion"/>
  </si>
  <si>
    <t>UV Lamp-BF576</t>
    <phoneticPr fontId="33" type="noConversion"/>
  </si>
  <si>
    <t>UV 램프 - KBA(1145mm) 전선타입</t>
    <phoneticPr fontId="33" type="noConversion"/>
  </si>
  <si>
    <t>UV 램프 - KBA(1145mm) 똑딱이타입</t>
    <phoneticPr fontId="33" type="noConversion"/>
  </si>
  <si>
    <t>Primarc</t>
    <phoneticPr fontId="33" type="noConversion"/>
  </si>
  <si>
    <t>Honle</t>
    <phoneticPr fontId="33" type="noConversion"/>
  </si>
  <si>
    <t>Benford</t>
    <phoneticPr fontId="33" type="noConversion"/>
  </si>
  <si>
    <t>PM4063</t>
    <phoneticPr fontId="33" type="noConversion"/>
  </si>
  <si>
    <t>21,1</t>
  </si>
  <si>
    <t>IR 램프</t>
    <phoneticPr fontId="16" type="noConversion"/>
  </si>
  <si>
    <t>판걸이 튜브 서비스 비용</t>
    <phoneticPr fontId="16" type="noConversion"/>
  </si>
  <si>
    <t>횐네</t>
    <phoneticPr fontId="21" type="noConversion"/>
  </si>
  <si>
    <t>료비 UV 램프</t>
    <phoneticPr fontId="21" type="noConversion"/>
  </si>
  <si>
    <t>와우</t>
    <phoneticPr fontId="21" type="noConversion"/>
  </si>
  <si>
    <t>21,2</t>
    <phoneticPr fontId="16" type="noConversion"/>
  </si>
  <si>
    <t>두성산업</t>
    <phoneticPr fontId="16" type="noConversion"/>
  </si>
  <si>
    <t>우일씨앤에스</t>
    <phoneticPr fontId="16" type="noConversion"/>
  </si>
  <si>
    <t>2021,1</t>
    <phoneticPr fontId="1" type="noConversion"/>
  </si>
  <si>
    <t>21,1</t>
    <phoneticPr fontId="5" type="noConversion"/>
  </si>
  <si>
    <t>21,1</t>
    <phoneticPr fontId="7" type="noConversion"/>
  </si>
  <si>
    <t>21,1</t>
    <phoneticPr fontId="8" type="noConversion"/>
  </si>
  <si>
    <t>두성산업</t>
    <phoneticPr fontId="26" type="noConversion"/>
  </si>
  <si>
    <t>엔코더</t>
    <phoneticPr fontId="26" type="noConversion"/>
  </si>
  <si>
    <t>2021,2</t>
    <phoneticPr fontId="16" type="noConversion"/>
  </si>
  <si>
    <t>21,2</t>
  </si>
  <si>
    <t>프린피아 윤전기 점검 보상건</t>
    <phoneticPr fontId="16" type="noConversion"/>
  </si>
  <si>
    <t>선일상사</t>
    <phoneticPr fontId="16" type="noConversion"/>
  </si>
  <si>
    <t>Valve block</t>
    <phoneticPr fontId="16" type="noConversion"/>
  </si>
  <si>
    <t>퍼시픽 들어가는 것</t>
    <phoneticPr fontId="16" type="noConversion"/>
  </si>
  <si>
    <t>Backplane Assy</t>
    <phoneticPr fontId="16" type="noConversion"/>
  </si>
  <si>
    <t>Oper Panel</t>
    <phoneticPr fontId="16" type="noConversion"/>
  </si>
  <si>
    <t>롤러 브라켓(D.S)</t>
    <phoneticPr fontId="16" type="noConversion"/>
  </si>
  <si>
    <t>롤러 브라켓(O.S)</t>
    <phoneticPr fontId="16" type="noConversion"/>
  </si>
  <si>
    <t>X-rite 농도계 수리 및 교정</t>
    <phoneticPr fontId="16" type="noConversion"/>
  </si>
  <si>
    <t>재단칼 받침</t>
    <phoneticPr fontId="16" type="noConversion"/>
  </si>
  <si>
    <t>스트립 폼</t>
    <phoneticPr fontId="16" type="noConversion"/>
  </si>
  <si>
    <t>동양아이앤피</t>
    <phoneticPr fontId="16" type="noConversion"/>
  </si>
  <si>
    <t>16채널 드라이버</t>
    <phoneticPr fontId="16" type="noConversion"/>
  </si>
  <si>
    <t>밸브 3개</t>
    <phoneticPr fontId="16" type="noConversion"/>
  </si>
  <si>
    <t>아스테이지 일반용</t>
    <phoneticPr fontId="16" type="noConversion"/>
  </si>
  <si>
    <t>아스테이지 UV용</t>
    <phoneticPr fontId="16" type="noConversion"/>
  </si>
  <si>
    <t>대우피앤씨</t>
    <phoneticPr fontId="16" type="noConversion"/>
  </si>
  <si>
    <t>신문윤전 기어 부품</t>
    <phoneticPr fontId="16" type="noConversion"/>
  </si>
  <si>
    <t>프린피아</t>
    <phoneticPr fontId="16" type="noConversion"/>
  </si>
  <si>
    <t>무림피앤피</t>
    <phoneticPr fontId="16" type="noConversion"/>
  </si>
  <si>
    <t>Gear 47t</t>
    <phoneticPr fontId="21" type="noConversion"/>
  </si>
  <si>
    <t>Gear 38t</t>
    <phoneticPr fontId="21" type="noConversion"/>
  </si>
  <si>
    <t>Gear 32t</t>
    <phoneticPr fontId="21" type="noConversion"/>
  </si>
  <si>
    <t>cut off bar Vulkollan</t>
    <phoneticPr fontId="21" type="noConversion"/>
  </si>
  <si>
    <t>perforating knife trapezoidal tooth</t>
    <phoneticPr fontId="21" type="noConversion"/>
  </si>
  <si>
    <t>tucker blade 173*52.5*0.5</t>
    <phoneticPr fontId="21" type="noConversion"/>
  </si>
  <si>
    <t>axle</t>
    <phoneticPr fontId="21" type="noConversion"/>
  </si>
  <si>
    <t xml:space="preserve">o-ring </t>
    <phoneticPr fontId="21" type="noConversion"/>
  </si>
  <si>
    <t>slide plate 3rd fold 698*355</t>
    <phoneticPr fontId="21" type="noConversion"/>
  </si>
  <si>
    <t>Actuator assembly c/w bracket</t>
    <phoneticPr fontId="21" type="noConversion"/>
  </si>
  <si>
    <t>1세트 570만 매입 730만 매출</t>
    <phoneticPr fontId="16" type="noConversion"/>
  </si>
  <si>
    <t>IST 리플렉터</t>
    <phoneticPr fontId="16" type="noConversion"/>
  </si>
  <si>
    <t>Valve</t>
    <phoneticPr fontId="21" type="noConversion"/>
  </si>
  <si>
    <t>Cheekwood</t>
    <phoneticPr fontId="21" type="noConversion"/>
  </si>
  <si>
    <t>Strip, Foam Rubber Vulkolan</t>
    <phoneticPr fontId="21" type="noConversion"/>
  </si>
  <si>
    <t>Gudgeon</t>
    <phoneticPr fontId="21" type="noConversion"/>
  </si>
  <si>
    <t>Roller Bracket O</t>
    <phoneticPr fontId="21" type="noConversion"/>
  </si>
  <si>
    <t>Roller Bracket D</t>
    <phoneticPr fontId="21" type="noConversion"/>
  </si>
  <si>
    <t>Stop</t>
    <phoneticPr fontId="21" type="noConversion"/>
  </si>
  <si>
    <t>HIGH pressure connection valve block</t>
    <phoneticPr fontId="21" type="noConversion"/>
  </si>
  <si>
    <t>디엔씨인터네셔널</t>
    <phoneticPr fontId="16" type="noConversion"/>
  </si>
  <si>
    <t>2021,2</t>
    <phoneticPr fontId="1" type="noConversion"/>
  </si>
  <si>
    <t>21,3</t>
    <phoneticPr fontId="16" type="noConversion"/>
  </si>
  <si>
    <t>동양아이앤피</t>
    <phoneticPr fontId="4" type="noConversion"/>
  </si>
  <si>
    <t>팩컴 AAP</t>
    <phoneticPr fontId="11" type="noConversion"/>
  </si>
  <si>
    <t>선일상사</t>
    <phoneticPr fontId="7" type="noConversion"/>
  </si>
  <si>
    <t>21,2</t>
    <phoneticPr fontId="7" type="noConversion"/>
  </si>
  <si>
    <t>21,2</t>
    <phoneticPr fontId="8" type="noConversion"/>
  </si>
  <si>
    <t>21,2</t>
    <phoneticPr fontId="5" type="noConversion"/>
  </si>
  <si>
    <t>무림피앤피</t>
    <phoneticPr fontId="8" type="noConversion"/>
  </si>
  <si>
    <t>프린피아</t>
    <phoneticPr fontId="8" type="noConversion"/>
  </si>
  <si>
    <t>로토만 오버홀 30% 계약금</t>
    <phoneticPr fontId="8" type="noConversion"/>
  </si>
  <si>
    <t>M600 용지 걸림으로 인한 수리 보상건</t>
    <phoneticPr fontId="8" type="noConversion"/>
  </si>
  <si>
    <t>판걸이 튜브 교체 서비스</t>
    <phoneticPr fontId="8" type="noConversion"/>
  </si>
  <si>
    <t>본사 신문윤전기 기어 부품</t>
    <phoneticPr fontId="26" type="noConversion"/>
  </si>
  <si>
    <t>21,1</t>
    <phoneticPr fontId="26" type="noConversion"/>
  </si>
  <si>
    <t>21,2</t>
    <phoneticPr fontId="26" type="noConversion"/>
  </si>
  <si>
    <t>2021,3</t>
    <phoneticPr fontId="16" type="noConversion"/>
  </si>
  <si>
    <t>PRimarc</t>
    <phoneticPr fontId="16" type="noConversion"/>
  </si>
  <si>
    <t>Primarc, 파운드</t>
    <phoneticPr fontId="21" type="noConversion"/>
  </si>
  <si>
    <t>쵸퍼 롤러 가공</t>
    <phoneticPr fontId="16" type="noConversion"/>
  </si>
  <si>
    <t>Actuator Assembly C/W bracket</t>
    <phoneticPr fontId="16" type="noConversion"/>
  </si>
  <si>
    <t>Slide Plate 3rd 2개</t>
    <phoneticPr fontId="16" type="noConversion"/>
  </si>
  <si>
    <t>드라이어 감리작업</t>
    <phoneticPr fontId="16" type="noConversion"/>
  </si>
  <si>
    <t>국윤전 CPU</t>
    <phoneticPr fontId="16" type="noConversion"/>
  </si>
  <si>
    <t>퓨즈</t>
    <phoneticPr fontId="16" type="noConversion"/>
  </si>
  <si>
    <t>파워 보드</t>
    <phoneticPr fontId="16" type="noConversion"/>
  </si>
  <si>
    <t>용달비</t>
    <phoneticPr fontId="16" type="noConversion"/>
  </si>
  <si>
    <t>21,3</t>
  </si>
  <si>
    <t>INK OCILLATION ROLLER</t>
    <phoneticPr fontId="16" type="noConversion"/>
  </si>
  <si>
    <t>2021,4</t>
    <phoneticPr fontId="16" type="noConversion"/>
  </si>
  <si>
    <t>21,4</t>
    <phoneticPr fontId="16" type="noConversion"/>
  </si>
  <si>
    <t>Cutoff bar Vulkollan 등 Rotoman 부품 4건</t>
    <phoneticPr fontId="16" type="noConversion"/>
  </si>
  <si>
    <t>ESI 부품 등</t>
    <phoneticPr fontId="16" type="noConversion"/>
  </si>
  <si>
    <t>압력스위치</t>
    <phoneticPr fontId="16" type="noConversion"/>
  </si>
  <si>
    <t>광 케이블 커넥터</t>
    <phoneticPr fontId="16" type="noConversion"/>
  </si>
  <si>
    <t>신광강판</t>
    <phoneticPr fontId="16" type="noConversion"/>
  </si>
  <si>
    <t>Ejector PP compl</t>
    <phoneticPr fontId="16" type="noConversion"/>
  </si>
  <si>
    <t>spare parts for mechanical floater ball</t>
    <phoneticPr fontId="16" type="noConversion"/>
  </si>
  <si>
    <t>technotrans beta.f 습수정화장치</t>
    <phoneticPr fontId="16" type="noConversion"/>
  </si>
  <si>
    <t>윤전 롤라 15개</t>
    <phoneticPr fontId="16" type="noConversion"/>
  </si>
  <si>
    <t>2021,3</t>
    <phoneticPr fontId="1" type="noConversion"/>
  </si>
  <si>
    <t>맥스타</t>
    <phoneticPr fontId="11" type="noConversion"/>
  </si>
  <si>
    <t>신광강판</t>
    <phoneticPr fontId="7" type="noConversion"/>
  </si>
  <si>
    <t>21,3</t>
    <phoneticPr fontId="7" type="noConversion"/>
  </si>
  <si>
    <t>21,3</t>
    <phoneticPr fontId="5" type="noConversion"/>
  </si>
  <si>
    <t>프린피아 파주북시티</t>
    <phoneticPr fontId="14" type="noConversion"/>
  </si>
  <si>
    <t>21,3</t>
    <phoneticPr fontId="8" type="noConversion"/>
  </si>
  <si>
    <t>드라이어 감리작업</t>
    <phoneticPr fontId="8" type="noConversion"/>
  </si>
  <si>
    <t>21,3</t>
    <phoneticPr fontId="26" type="noConversion"/>
  </si>
  <si>
    <t>한열사</t>
    <phoneticPr fontId="16" type="noConversion"/>
  </si>
  <si>
    <t>본사 신문윤전기 롤러 부품</t>
    <phoneticPr fontId="26" type="noConversion"/>
  </si>
  <si>
    <t>이송 가이드(대)</t>
    <phoneticPr fontId="16" type="noConversion"/>
  </si>
  <si>
    <t>이송 가이드(소)</t>
    <phoneticPr fontId="16" type="noConversion"/>
  </si>
  <si>
    <t>벨트 25mm</t>
    <phoneticPr fontId="16" type="noConversion"/>
  </si>
  <si>
    <t>벨트 14mm</t>
    <phoneticPr fontId="16" type="noConversion"/>
  </si>
  <si>
    <t>Beta.f 라 커미션 10프로로 조정했는데 지급 전 확인 부탁드려요</t>
    <phoneticPr fontId="7" type="noConversion"/>
  </si>
  <si>
    <t>ESI 부품, 알레스 및 아그파 서비스 비용, WPC 하드디스크, 약물 등</t>
    <phoneticPr fontId="26" type="noConversion"/>
  </si>
  <si>
    <t>21,4</t>
  </si>
  <si>
    <t>390만 틀림 2808000 맞음</t>
    <phoneticPr fontId="4" type="noConversion"/>
  </si>
  <si>
    <t>신안 48 대한교역 52</t>
    <phoneticPr fontId="16" type="noConversion"/>
  </si>
  <si>
    <t>Double acting pneumatic cylinder</t>
    <phoneticPr fontId="16" type="noConversion"/>
  </si>
  <si>
    <t>한국하이테크</t>
    <phoneticPr fontId="16" type="noConversion"/>
  </si>
  <si>
    <t>synchronous motor</t>
    <phoneticPr fontId="16" type="noConversion"/>
  </si>
  <si>
    <t>삼조인쇄</t>
    <phoneticPr fontId="16" type="noConversion"/>
  </si>
  <si>
    <t>독일제 측색기 Techkon Spectrodens</t>
    <phoneticPr fontId="16" type="noConversion"/>
  </si>
  <si>
    <t>Apogee 서버 PC 및 X-rite i1 iSis 측색장비</t>
    <phoneticPr fontId="16" type="noConversion"/>
  </si>
  <si>
    <t>아라니아 분홍 190c</t>
    <phoneticPr fontId="16" type="noConversion"/>
  </si>
  <si>
    <t>아라니아 진분홍 1905c</t>
    <phoneticPr fontId="16" type="noConversion"/>
  </si>
  <si>
    <t>2021,5</t>
    <phoneticPr fontId="16" type="noConversion"/>
  </si>
  <si>
    <t>21,5</t>
  </si>
  <si>
    <t>21,5</t>
    <phoneticPr fontId="16" type="noConversion"/>
  </si>
  <si>
    <t>휴닉스(테콘)</t>
    <phoneticPr fontId="16" type="noConversion"/>
  </si>
  <si>
    <t>HP, Colorconsulting</t>
    <phoneticPr fontId="16" type="noConversion"/>
  </si>
  <si>
    <t>Shock absorber</t>
    <phoneticPr fontId="21" type="noConversion"/>
  </si>
  <si>
    <t>gas spring</t>
    <phoneticPr fontId="21" type="noConversion"/>
  </si>
  <si>
    <t>tape</t>
    <phoneticPr fontId="21" type="noConversion"/>
  </si>
  <si>
    <t>stripper</t>
    <phoneticPr fontId="21" type="noConversion"/>
  </si>
  <si>
    <t>motor, register</t>
    <phoneticPr fontId="21" type="noConversion"/>
  </si>
  <si>
    <t>gear</t>
    <phoneticPr fontId="21" type="noConversion"/>
  </si>
  <si>
    <t>lamp</t>
    <phoneticPr fontId="21" type="noConversion"/>
  </si>
  <si>
    <t>2021,4</t>
    <phoneticPr fontId="1" type="noConversion"/>
  </si>
  <si>
    <t>삼조인쇄</t>
    <phoneticPr fontId="4" type="noConversion"/>
  </si>
  <si>
    <t>21,4</t>
    <phoneticPr fontId="7" type="noConversion"/>
  </si>
  <si>
    <t>21,4</t>
    <phoneticPr fontId="5" type="noConversion"/>
  </si>
  <si>
    <t>한국하이테크</t>
    <phoneticPr fontId="26" type="noConversion"/>
  </si>
  <si>
    <t>21,4</t>
    <phoneticPr fontId="26" type="noConversion"/>
  </si>
  <si>
    <t>M600 서비스 계약(1회차)</t>
    <phoneticPr fontId="8" type="noConversion"/>
  </si>
  <si>
    <t>Rotoman 오버홀 작업 선금</t>
    <phoneticPr fontId="8" type="noConversion"/>
  </si>
  <si>
    <t>21,4</t>
    <phoneticPr fontId="8" type="noConversion"/>
  </si>
  <si>
    <t>드라이어 IR 카메라</t>
    <phoneticPr fontId="16" type="noConversion"/>
  </si>
  <si>
    <t>드라이어 수리 감리 서비스 비용</t>
    <phoneticPr fontId="16" type="noConversion"/>
  </si>
  <si>
    <t>IST 수은등 UV lamp</t>
    <phoneticPr fontId="16" type="noConversion"/>
  </si>
  <si>
    <t>HYDRAULIC CYLINDER</t>
    <phoneticPr fontId="16" type="noConversion"/>
  </si>
  <si>
    <t>1077*885 하이델 bar 블랑켓</t>
    <phoneticPr fontId="16" type="noConversion"/>
  </si>
  <si>
    <t>Baldwin UV 램프 국전</t>
    <phoneticPr fontId="16" type="noConversion"/>
  </si>
  <si>
    <t>대림칼라</t>
    <phoneticPr fontId="16" type="noConversion"/>
  </si>
  <si>
    <t>습수정화장치</t>
    <phoneticPr fontId="16" type="noConversion"/>
  </si>
  <si>
    <t>21,6</t>
    <phoneticPr fontId="16" type="noConversion"/>
  </si>
  <si>
    <t>컨택터 LUCA32BL</t>
    <phoneticPr fontId="16" type="noConversion"/>
  </si>
  <si>
    <t>파워 베이스 LUB32</t>
    <phoneticPr fontId="16" type="noConversion"/>
  </si>
  <si>
    <t>마그네트 3RT2016</t>
    <phoneticPr fontId="16" type="noConversion"/>
  </si>
  <si>
    <t>드라이어 배기 팬 모터 대여 수리비(프린피아)</t>
    <phoneticPr fontId="16" type="noConversion"/>
  </si>
  <si>
    <t>synchronous motor RSM 36/8 F 9개</t>
    <phoneticPr fontId="16" type="noConversion"/>
  </si>
  <si>
    <t>진주일렉콤</t>
    <phoneticPr fontId="16" type="noConversion"/>
  </si>
  <si>
    <t>파워 베이스 LUB12</t>
    <phoneticPr fontId="16" type="noConversion"/>
  </si>
  <si>
    <t>케이와이시스템</t>
    <phoneticPr fontId="16" type="noConversion"/>
  </si>
  <si>
    <t>운반비 110000</t>
    <phoneticPr fontId="16" type="noConversion"/>
  </si>
  <si>
    <t>비용?</t>
    <phoneticPr fontId="16" type="noConversion"/>
  </si>
  <si>
    <t>Forwarding belt(이송가이드)</t>
    <phoneticPr fontId="21" type="noConversion"/>
  </si>
  <si>
    <t>자동판걸이 하부</t>
    <phoneticPr fontId="21" type="noConversion"/>
  </si>
  <si>
    <t>자동판걸이 상부</t>
    <phoneticPr fontId="21" type="noConversion"/>
  </si>
  <si>
    <t>토션 바</t>
    <phoneticPr fontId="21" type="noConversion"/>
  </si>
  <si>
    <t>Hydraulic cylinder</t>
    <phoneticPr fontId="21" type="noConversion"/>
  </si>
  <si>
    <t>synchronous motor</t>
    <phoneticPr fontId="21" type="noConversion"/>
  </si>
  <si>
    <t>2021,5</t>
    <phoneticPr fontId="1" type="noConversion"/>
  </si>
  <si>
    <t>KMP</t>
    <phoneticPr fontId="4" type="noConversion"/>
  </si>
  <si>
    <t>UV램프 + 리플렉터</t>
    <phoneticPr fontId="4" type="noConversion"/>
  </si>
  <si>
    <t>대림칼라</t>
    <phoneticPr fontId="7" type="noConversion"/>
  </si>
  <si>
    <t>Beta.f 라 커미션 10프로로 조정했는데 지급 전 확인 부탁드려요 / 선물대 비용 적용 X 있는지 모릅니다</t>
    <phoneticPr fontId="7" type="noConversion"/>
  </si>
  <si>
    <t>21,5</t>
    <phoneticPr fontId="7" type="noConversion"/>
  </si>
  <si>
    <t>21,5</t>
    <phoneticPr fontId="5" type="noConversion"/>
  </si>
  <si>
    <t>드라이어 수리 감리 서비스 비용</t>
    <phoneticPr fontId="8" type="noConversion"/>
  </si>
  <si>
    <t>21,5</t>
    <phoneticPr fontId="26" type="noConversion"/>
  </si>
  <si>
    <t>2021,6</t>
    <phoneticPr fontId="16" type="noConversion"/>
  </si>
  <si>
    <t>계산서 : 5/1 발행</t>
    <phoneticPr fontId="16" type="noConversion"/>
  </si>
  <si>
    <t>ESI 서비스 선금 50%</t>
  </si>
  <si>
    <t>플렉소 나이프</t>
  </si>
  <si>
    <t>Sun chemical 약물 3통 항공발주</t>
  </si>
  <si>
    <t>CTP 베어링</t>
  </si>
  <si>
    <t>ESI 부품 부가세 미지급 건</t>
    <phoneticPr fontId="16" type="noConversion"/>
  </si>
  <si>
    <t>정산 후 잔금</t>
    <phoneticPr fontId="16" type="noConversion"/>
  </si>
  <si>
    <t>윤전용 롤라 21개 set</t>
    <phoneticPr fontId="16" type="noConversion"/>
  </si>
  <si>
    <t>2021,7</t>
    <phoneticPr fontId="16" type="noConversion"/>
  </si>
  <si>
    <t>21,7</t>
    <phoneticPr fontId="16" type="noConversion"/>
  </si>
  <si>
    <t>매엽용 롤라 60개 set</t>
    <phoneticPr fontId="16" type="noConversion"/>
  </si>
  <si>
    <t>축</t>
    <phoneticPr fontId="16" type="noConversion"/>
  </si>
  <si>
    <t>잉크 키 콘트롤 보드</t>
    <phoneticPr fontId="16" type="noConversion"/>
  </si>
  <si>
    <t>Flockband adhesive tape</t>
    <phoneticPr fontId="16" type="noConversion"/>
  </si>
  <si>
    <t>메인모터 카본 브러쉬 12개</t>
    <phoneticPr fontId="16" type="noConversion"/>
  </si>
  <si>
    <t>1롤은 농도계 대여 비용</t>
    <phoneticPr fontId="16" type="noConversion"/>
  </si>
  <si>
    <t>3통은 농도계 대여 비용</t>
    <phoneticPr fontId="16" type="noConversion"/>
  </si>
  <si>
    <t>진원아이피에스</t>
    <phoneticPr fontId="16" type="noConversion"/>
  </si>
  <si>
    <t>메인모터 카본 브러쉬</t>
    <phoneticPr fontId="21" type="noConversion"/>
  </si>
  <si>
    <t>flaked adhesive tape</t>
    <phoneticPr fontId="21" type="noConversion"/>
  </si>
  <si>
    <t>Ink pickup roller - 매경</t>
    <phoneticPr fontId="21" type="noConversion"/>
  </si>
  <si>
    <t>Ink Pickup Roller</t>
    <phoneticPr fontId="16" type="noConversion"/>
  </si>
  <si>
    <t>아라니아 연분홍</t>
    <phoneticPr fontId="16" type="noConversion"/>
  </si>
  <si>
    <t>아라니아 핑크</t>
    <phoneticPr fontId="16" type="noConversion"/>
  </si>
  <si>
    <t>21,6</t>
  </si>
  <si>
    <t>합동메탈</t>
    <phoneticPr fontId="16" type="noConversion"/>
  </si>
  <si>
    <t>X-rite Exact 농도계 수리비용</t>
    <phoneticPr fontId="16" type="noConversion"/>
  </si>
  <si>
    <t>두경 M&amp;P</t>
    <phoneticPr fontId="16" type="noConversion"/>
  </si>
  <si>
    <t>X-rite eXact Basic 농도계 2대 수리비용</t>
    <phoneticPr fontId="16" type="noConversion"/>
  </si>
  <si>
    <t>1롤은 농도계 수리 비용</t>
    <phoneticPr fontId="16" type="noConversion"/>
  </si>
  <si>
    <t>M600 스플라이스 수리</t>
    <phoneticPr fontId="16" type="noConversion"/>
  </si>
  <si>
    <t>Wikoff</t>
    <phoneticPr fontId="16" type="noConversion"/>
  </si>
  <si>
    <t>디엔씨인터내셔널</t>
    <phoneticPr fontId="16" type="noConversion"/>
  </si>
  <si>
    <t>2021,6</t>
    <phoneticPr fontId="1" type="noConversion"/>
  </si>
  <si>
    <t>합동메탈</t>
    <phoneticPr fontId="4" type="noConversion"/>
  </si>
  <si>
    <t>21,6</t>
    <phoneticPr fontId="7" type="noConversion"/>
  </si>
  <si>
    <t>진원아이피에스</t>
    <phoneticPr fontId="7" type="noConversion"/>
  </si>
  <si>
    <t>ASPT</t>
    <phoneticPr fontId="1" type="noConversion"/>
  </si>
  <si>
    <t>ASPT</t>
    <phoneticPr fontId="8" type="noConversion"/>
  </si>
  <si>
    <t>M600 서비스 계약(2회차)</t>
    <phoneticPr fontId="8" type="noConversion"/>
  </si>
  <si>
    <t>ESI 수리비 선금</t>
    <phoneticPr fontId="8" type="noConversion"/>
  </si>
  <si>
    <t>21,6</t>
    <phoneticPr fontId="5" type="noConversion"/>
  </si>
  <si>
    <t>21,6</t>
    <phoneticPr fontId="26" type="noConversion"/>
  </si>
  <si>
    <t>Gear 47t</t>
    <phoneticPr fontId="16" type="noConversion"/>
  </si>
  <si>
    <t>21,7</t>
  </si>
  <si>
    <t>습식 엔드 씰</t>
    <phoneticPr fontId="16" type="noConversion"/>
  </si>
  <si>
    <t>UV 램프 - 전선타입(Honle)</t>
    <phoneticPr fontId="16" type="noConversion"/>
  </si>
  <si>
    <t>Agfa CTP 방문 서비스</t>
    <phoneticPr fontId="16" type="noConversion"/>
  </si>
  <si>
    <t>X-rite eXact Basic 기본농도계+배터리</t>
    <phoneticPr fontId="16" type="noConversion"/>
  </si>
  <si>
    <t>이름 = 축</t>
    <phoneticPr fontId="21" type="noConversion"/>
  </si>
  <si>
    <t>Harris Bruno Pre-soaked felt(플렉소 엔드씰)</t>
    <phoneticPr fontId="21" type="noConversion"/>
  </si>
  <si>
    <t>UV Lamp F1055HOZ(덕수 횐네 전선타입)</t>
    <phoneticPr fontId="21" type="noConversion"/>
  </si>
  <si>
    <t>이 가격 1개 남음</t>
    <phoneticPr fontId="16" type="noConversion"/>
  </si>
  <si>
    <t>2021,7</t>
    <phoneticPr fontId="1" type="noConversion"/>
  </si>
  <si>
    <t>두경 M&amp;P</t>
    <phoneticPr fontId="7" type="noConversion"/>
  </si>
  <si>
    <t>21,7</t>
    <phoneticPr fontId="7" type="noConversion"/>
  </si>
  <si>
    <t>21,7</t>
    <phoneticPr fontId="5" type="noConversion"/>
  </si>
  <si>
    <t>21,5</t>
    <phoneticPr fontId="8" type="noConversion"/>
  </si>
  <si>
    <t>21,6</t>
    <phoneticPr fontId="8" type="noConversion"/>
  </si>
  <si>
    <t>21,7</t>
    <phoneticPr fontId="8" type="noConversion"/>
  </si>
  <si>
    <t>21,7</t>
    <phoneticPr fontId="26" type="noConversion"/>
  </si>
  <si>
    <t>본사 기어 부품</t>
    <phoneticPr fontId="26" type="noConversion"/>
  </si>
  <si>
    <t>407,400 8월에 반영할 것</t>
    <phoneticPr fontId="4" type="noConversion"/>
  </si>
  <si>
    <t>91000으로 계산서 끊김</t>
    <phoneticPr fontId="16" type="noConversion"/>
  </si>
  <si>
    <t>79000으로 계산서 끊김</t>
    <phoneticPr fontId="16" type="noConversion"/>
  </si>
  <si>
    <t>86000으로 계산서 끊김</t>
    <phoneticPr fontId="16" type="noConversion"/>
  </si>
  <si>
    <t>2021,8</t>
    <phoneticPr fontId="16" type="noConversion"/>
  </si>
  <si>
    <t>21,8</t>
    <phoneticPr fontId="16" type="noConversion"/>
  </si>
  <si>
    <t>가스 누출 검출기</t>
    <phoneticPr fontId="16" type="noConversion"/>
  </si>
  <si>
    <t>컴프레셔 ZR72</t>
    <phoneticPr fontId="16" type="noConversion"/>
  </si>
  <si>
    <t>습수 냉각기 도져</t>
    <phoneticPr fontId="16" type="noConversion"/>
  </si>
  <si>
    <t>ESI 서비스 잔금 일부</t>
    <phoneticPr fontId="16" type="noConversion"/>
  </si>
  <si>
    <t>5,425,276 원 남음</t>
    <phoneticPr fontId="16" type="noConversion"/>
  </si>
  <si>
    <t>1통은 농도계 수리비용</t>
    <phoneticPr fontId="16" type="noConversion"/>
  </si>
  <si>
    <t>커미션 폐판과 함께 계산/21년 9월부터 가격변경</t>
    <phoneticPr fontId="16" type="noConversion"/>
  </si>
  <si>
    <t>20개 중 3개는 91000 17개는 79000</t>
    <phoneticPr fontId="16" type="noConversion"/>
  </si>
  <si>
    <t>택배비 110000</t>
    <phoneticPr fontId="16" type="noConversion"/>
  </si>
  <si>
    <t>포장수량 20-&gt;10 변경</t>
    <phoneticPr fontId="16" type="noConversion"/>
  </si>
  <si>
    <t>태양당</t>
    <phoneticPr fontId="16" type="noConversion"/>
  </si>
  <si>
    <t>X-rite 농도계 배터리 교체+충전 케이블</t>
    <phoneticPr fontId="16" type="noConversion"/>
  </si>
  <si>
    <t>UV Lamp 하이델베르그 CD74용</t>
    <phoneticPr fontId="16" type="noConversion"/>
  </si>
  <si>
    <t>보광피앤피</t>
    <phoneticPr fontId="16" type="noConversion"/>
  </si>
  <si>
    <t>UV Lamp IST 하이델인쇄기용</t>
    <phoneticPr fontId="16" type="noConversion"/>
  </si>
  <si>
    <t>UV Lamp IST 로랜드인쇄기용</t>
    <phoneticPr fontId="16" type="noConversion"/>
  </si>
  <si>
    <t>T-1080-NA-2-H</t>
    <phoneticPr fontId="16" type="noConversion"/>
  </si>
  <si>
    <t>T-770-K-2-H-50</t>
    <phoneticPr fontId="16" type="noConversion"/>
  </si>
  <si>
    <t>T-1050K-2-H</t>
    <phoneticPr fontId="16" type="noConversion"/>
  </si>
  <si>
    <t>료비 UV lamp 델리바리용</t>
    <phoneticPr fontId="16" type="noConversion"/>
  </si>
  <si>
    <t>료비 UV lamp 인터덱용</t>
    <phoneticPr fontId="16" type="noConversion"/>
  </si>
  <si>
    <t>056-24-240-TB1</t>
    <phoneticPr fontId="16" type="noConversion"/>
  </si>
  <si>
    <t>056-24-160-TB1</t>
    <phoneticPr fontId="16" type="noConversion"/>
  </si>
  <si>
    <t>21,8</t>
  </si>
  <si>
    <t>Rotoman 레지스터 시스템 선금 50%</t>
    <phoneticPr fontId="16" type="noConversion"/>
  </si>
  <si>
    <t>Agfa Apogee 제품 설치&amp;교육비</t>
    <phoneticPr fontId="16" type="noConversion"/>
  </si>
  <si>
    <t>21,9</t>
    <phoneticPr fontId="16" type="noConversion"/>
  </si>
  <si>
    <t>2021,9</t>
    <phoneticPr fontId="16" type="noConversion"/>
  </si>
  <si>
    <t>Radwell</t>
    <phoneticPr fontId="16" type="noConversion"/>
  </si>
  <si>
    <t>ENGAGE 27 WEB 850X780M</t>
    <phoneticPr fontId="16" type="noConversion"/>
  </si>
  <si>
    <t>Filter-dryer</t>
    <phoneticPr fontId="21" type="noConversion"/>
  </si>
  <si>
    <t>Air break</t>
    <phoneticPr fontId="21" type="noConversion"/>
  </si>
  <si>
    <t>Aux contact</t>
    <phoneticPr fontId="21" type="noConversion"/>
  </si>
  <si>
    <t>디엔씨인터네셔널,아마존</t>
    <phoneticPr fontId="16" type="noConversion"/>
  </si>
  <si>
    <t>2021,8</t>
    <phoneticPr fontId="1" type="noConversion"/>
  </si>
  <si>
    <t>태양당</t>
    <phoneticPr fontId="4" type="noConversion"/>
  </si>
  <si>
    <t>보광피앤피</t>
    <phoneticPr fontId="4" type="noConversion"/>
  </si>
  <si>
    <t>도져</t>
    <phoneticPr fontId="5" type="noConversion"/>
  </si>
  <si>
    <t>컴프레셔</t>
    <phoneticPr fontId="5" type="noConversion"/>
  </si>
  <si>
    <t>21,8</t>
    <phoneticPr fontId="5" type="noConversion"/>
  </si>
  <si>
    <t>21,8</t>
    <phoneticPr fontId="8" type="noConversion"/>
  </si>
  <si>
    <t>M600 서비스 계약(3회차)</t>
    <phoneticPr fontId="8" type="noConversion"/>
  </si>
  <si>
    <t>21,8</t>
    <phoneticPr fontId="26" type="noConversion"/>
  </si>
  <si>
    <t>레지스터 선금 50%</t>
    <phoneticPr fontId="26" type="noConversion"/>
  </si>
  <si>
    <t>판재+ESI 서비스비용 일부(아직 최종 정산 안됨)</t>
    <phoneticPr fontId="26" type="noConversion"/>
  </si>
  <si>
    <t>Apogee 설치 비용</t>
    <phoneticPr fontId="26" type="noConversion"/>
  </si>
  <si>
    <t>인피드 모터 컨트롤러 수리</t>
    <phoneticPr fontId="16" type="noConversion"/>
  </si>
  <si>
    <t>LENZE 드라이브 인버터</t>
    <phoneticPr fontId="16" type="noConversion"/>
  </si>
  <si>
    <t>Perforating knife</t>
    <phoneticPr fontId="16" type="noConversion"/>
  </si>
  <si>
    <t>Cutting knife</t>
    <phoneticPr fontId="16" type="noConversion"/>
  </si>
  <si>
    <t>Cut-off bar</t>
    <phoneticPr fontId="16" type="noConversion"/>
  </si>
  <si>
    <t>Formed vulkollan bar</t>
    <phoneticPr fontId="16" type="noConversion"/>
  </si>
  <si>
    <t>Slow-down finger blue</t>
    <phoneticPr fontId="16" type="noConversion"/>
  </si>
  <si>
    <t>Tucker blade(16.20423-0526)</t>
    <phoneticPr fontId="16" type="noConversion"/>
  </si>
  <si>
    <t>Tucker blade(16.31306-0017)</t>
    <phoneticPr fontId="16" type="noConversion"/>
  </si>
  <si>
    <t>Mice Switch(총 6구)</t>
    <phoneticPr fontId="16" type="noConversion"/>
  </si>
  <si>
    <t>Rotoman 스플라이서 점검 알레스 비용</t>
    <phoneticPr fontId="16" type="noConversion"/>
  </si>
  <si>
    <t>Rotoman 스플라이서 점검 공구대여비</t>
    <phoneticPr fontId="16" type="noConversion"/>
  </si>
  <si>
    <t>M-600 서비스 비용(핀맞춤장치 수리)</t>
    <phoneticPr fontId="16" type="noConversion"/>
  </si>
  <si>
    <t>세흥인쇄 폐판</t>
    <phoneticPr fontId="16" type="noConversion"/>
  </si>
  <si>
    <t>2021,10</t>
    <phoneticPr fontId="16" type="noConversion"/>
  </si>
  <si>
    <t>21,10</t>
    <phoneticPr fontId="16" type="noConversion"/>
  </si>
  <si>
    <t>ESI 서비스 잔금</t>
    <phoneticPr fontId="16" type="noConversion"/>
  </si>
  <si>
    <t>습수액</t>
    <phoneticPr fontId="16" type="noConversion"/>
  </si>
  <si>
    <t>21,9</t>
  </si>
  <si>
    <t>필름출력기 Discharge Unit</t>
    <phoneticPr fontId="16" type="noConversion"/>
  </si>
  <si>
    <t>필름출력기 Gear</t>
    <phoneticPr fontId="16" type="noConversion"/>
  </si>
  <si>
    <t>필름출력기 서비스비용(출장비 포함)</t>
    <phoneticPr fontId="16" type="noConversion"/>
  </si>
  <si>
    <t>1롤은 필름출력기 수리 비용</t>
    <phoneticPr fontId="16" type="noConversion"/>
  </si>
  <si>
    <t>Rotoman 스플라이서 점검 부품(잔금)</t>
    <phoneticPr fontId="16" type="noConversion"/>
  </si>
  <si>
    <t>싱크로나이즈드 모터</t>
    <phoneticPr fontId="21" type="noConversion"/>
  </si>
  <si>
    <t>터커 블레이드</t>
    <phoneticPr fontId="21" type="noConversion"/>
  </si>
  <si>
    <t>커팅 나이프</t>
    <phoneticPr fontId="21" type="noConversion"/>
  </si>
  <si>
    <t>컷 오프 바</t>
    <phoneticPr fontId="21" type="noConversion"/>
  </si>
  <si>
    <t>clutch</t>
    <phoneticPr fontId="21" type="noConversion"/>
  </si>
  <si>
    <t>MICE SWITCH 모듈</t>
    <phoneticPr fontId="21" type="noConversion"/>
  </si>
  <si>
    <t>MICE SWITCH 2구 허브</t>
    <phoneticPr fontId="21" type="noConversion"/>
  </si>
  <si>
    <t>2021,9</t>
    <phoneticPr fontId="1" type="noConversion"/>
  </si>
  <si>
    <t>21,9</t>
    <phoneticPr fontId="5" type="noConversion"/>
  </si>
  <si>
    <t>21,9</t>
    <phoneticPr fontId="8" type="noConversion"/>
  </si>
  <si>
    <t>외국엔지니어 드라이어 점검건 - 마진 따로 계산</t>
    <phoneticPr fontId="5" type="noConversion"/>
  </si>
  <si>
    <t>외국엔지니어 드라이어 점검건 부품 - 마진 따로 계산</t>
    <phoneticPr fontId="5" type="noConversion"/>
  </si>
  <si>
    <t>21,9</t>
    <phoneticPr fontId="26" type="noConversion"/>
  </si>
  <si>
    <t>습수액+ESI 서비스비용 최종(따로 정산) / 130만원은 습수액 마진</t>
    <phoneticPr fontId="26" type="noConversion"/>
  </si>
  <si>
    <t>21,10</t>
  </si>
  <si>
    <t>21,11</t>
    <phoneticPr fontId="16" type="noConversion"/>
  </si>
  <si>
    <t>CTP 수리 서비스 및 부품</t>
    <phoneticPr fontId="16" type="noConversion"/>
  </si>
  <si>
    <t>싱크로나이즈드 모터</t>
    <phoneticPr fontId="16" type="noConversion"/>
  </si>
  <si>
    <t>통신 모듈</t>
    <phoneticPr fontId="16" type="noConversion"/>
  </si>
  <si>
    <t>잉크덕트폼테이프</t>
    <phoneticPr fontId="16" type="noConversion"/>
  </si>
  <si>
    <t>수량 오차 메모</t>
    <phoneticPr fontId="16" type="noConversion"/>
  </si>
  <si>
    <t>민성피앤아이</t>
    <phoneticPr fontId="16" type="noConversion"/>
  </si>
  <si>
    <t>횐네 UV lamp 전선타입 하이델 국전용</t>
    <phoneticPr fontId="16" type="noConversion"/>
  </si>
  <si>
    <t>방탄 PT032적</t>
    <phoneticPr fontId="16" type="noConversion"/>
  </si>
  <si>
    <t>횐네 UV lamp 똑딱이 클립타입 - 1호기</t>
    <phoneticPr fontId="16" type="noConversion"/>
  </si>
  <si>
    <t>엠프린트 CTP 방문 서비스 비용</t>
    <phoneticPr fontId="16" type="noConversion"/>
  </si>
  <si>
    <t>O-ring 외 테크노트란스 부품</t>
    <phoneticPr fontId="16" type="noConversion"/>
  </si>
  <si>
    <t>프린피아 파주북시티</t>
    <phoneticPr fontId="21" type="noConversion"/>
  </si>
  <si>
    <t>에어실린더</t>
    <phoneticPr fontId="21" type="noConversion"/>
  </si>
  <si>
    <t>에이엔지니어링</t>
    <phoneticPr fontId="16" type="noConversion"/>
  </si>
  <si>
    <t>UV Lamp MPL NHG 16800 T1050K-2(민성피앤아이 횐네)</t>
    <phoneticPr fontId="21" type="noConversion"/>
  </si>
  <si>
    <t>민성피앤아이</t>
    <phoneticPr fontId="21" type="noConversion"/>
  </si>
  <si>
    <t>2021,11</t>
    <phoneticPr fontId="16" type="noConversion"/>
  </si>
  <si>
    <t>필름출력기 수리 비용 명목(매출만 발생)</t>
    <phoneticPr fontId="16" type="noConversion"/>
  </si>
  <si>
    <t>2021,10</t>
    <phoneticPr fontId="1" type="noConversion"/>
  </si>
  <si>
    <t>민성피앤아이</t>
    <phoneticPr fontId="4" type="noConversion"/>
  </si>
  <si>
    <t>21,10</t>
    <phoneticPr fontId="7" type="noConversion"/>
  </si>
  <si>
    <t>21,10</t>
    <phoneticPr fontId="5" type="noConversion"/>
  </si>
  <si>
    <t>21,10</t>
    <phoneticPr fontId="8" type="noConversion"/>
  </si>
  <si>
    <t>M600 서비스 계약(4회차)</t>
    <phoneticPr fontId="8" type="noConversion"/>
  </si>
  <si>
    <t>21,10</t>
    <phoneticPr fontId="26" type="noConversion"/>
  </si>
  <si>
    <t>폴더 CPU</t>
    <phoneticPr fontId="16" type="noConversion"/>
  </si>
  <si>
    <t>Rotoman 오버홀 부품 잔금</t>
    <phoneticPr fontId="16" type="noConversion"/>
  </si>
  <si>
    <t>Rotoman 외국인 서비스 비용</t>
    <phoneticPr fontId="16" type="noConversion"/>
  </si>
  <si>
    <t>Rotoman 알레스 서비스비용</t>
    <phoneticPr fontId="16" type="noConversion"/>
  </si>
  <si>
    <t>필름현상기 서비스비용 대체</t>
    <phoneticPr fontId="16" type="noConversion"/>
  </si>
  <si>
    <t>필름현상기 서비스 비용</t>
    <phoneticPr fontId="16" type="noConversion"/>
  </si>
  <si>
    <t>필름현상기 롤라</t>
    <phoneticPr fontId="16" type="noConversion"/>
  </si>
  <si>
    <t>34124 34125</t>
    <phoneticPr fontId="16" type="noConversion"/>
  </si>
  <si>
    <t>세척 밸브</t>
    <phoneticPr fontId="16" type="noConversion"/>
  </si>
  <si>
    <t>마름모 강판</t>
    <phoneticPr fontId="16" type="noConversion"/>
  </si>
  <si>
    <t>21,11</t>
  </si>
  <si>
    <t>휘다 싸이즈 레일 덮개</t>
    <phoneticPr fontId="16" type="noConversion"/>
  </si>
  <si>
    <t>UV wash offset UV</t>
    <phoneticPr fontId="16" type="noConversion"/>
  </si>
  <si>
    <t>고모리, M600 롤러 18개</t>
    <phoneticPr fontId="16" type="noConversion"/>
  </si>
  <si>
    <t>2021,12</t>
    <phoneticPr fontId="16" type="noConversion"/>
  </si>
  <si>
    <t>21,12</t>
    <phoneticPr fontId="16" type="noConversion"/>
  </si>
  <si>
    <t>Vpak 베어링</t>
    <phoneticPr fontId="16" type="noConversion"/>
  </si>
  <si>
    <t>Sun chemical 약물 1통 항공발주</t>
    <phoneticPr fontId="16" type="noConversion"/>
  </si>
  <si>
    <t>플렉소 나이프 3박스</t>
    <phoneticPr fontId="16" type="noConversion"/>
  </si>
  <si>
    <t>Rotoman 스플라이서 점검 부품(선금)</t>
    <phoneticPr fontId="16" type="noConversion"/>
  </si>
  <si>
    <t>Rotoman 오버홀 &lt;독일엔지니어 정비시 교체 필요 부품(총 76종)&gt; 선금(30%)</t>
    <phoneticPr fontId="16" type="noConversion"/>
  </si>
  <si>
    <t>Rotoman 오버홀 &lt;독일엔지니어 정비시 교체 필요 부품(총 76종)&gt; 잔금(70%)</t>
    <phoneticPr fontId="16" type="noConversion"/>
  </si>
  <si>
    <t>스트리퍼 33985</t>
    <phoneticPr fontId="21" type="noConversion"/>
  </si>
  <si>
    <t>11/15 주안 30개</t>
    <phoneticPr fontId="21" type="noConversion"/>
  </si>
  <si>
    <t>Vpak 베어링</t>
    <phoneticPr fontId="21" type="noConversion"/>
  </si>
  <si>
    <t>프린피아 북시티 190906,211129</t>
    <phoneticPr fontId="21" type="noConversion"/>
  </si>
  <si>
    <t>2021,11</t>
    <phoneticPr fontId="1" type="noConversion"/>
  </si>
  <si>
    <t>21,11</t>
    <phoneticPr fontId="7" type="noConversion"/>
  </si>
  <si>
    <t>21,11</t>
    <phoneticPr fontId="5" type="noConversion"/>
  </si>
  <si>
    <t>로토만 오버홀 부품 - 마진 따로 계산</t>
    <phoneticPr fontId="5" type="noConversion"/>
  </si>
  <si>
    <t>Rotoman 오버홀 서비스비용 - 마진 따로 계산</t>
    <phoneticPr fontId="8" type="noConversion"/>
  </si>
  <si>
    <t>21,11</t>
    <phoneticPr fontId="26" type="noConversion"/>
  </si>
  <si>
    <t>21,11</t>
    <phoneticPr fontId="8" type="noConversion"/>
  </si>
  <si>
    <t>UV Lamp BF567</t>
    <phoneticPr fontId="21" type="noConversion"/>
  </si>
  <si>
    <t>pr</t>
    <phoneticPr fontId="16" type="noConversion"/>
  </si>
  <si>
    <t>타임 릴레이</t>
    <phoneticPr fontId="16" type="noConversion"/>
  </si>
  <si>
    <t>M-600 롤러 세트</t>
    <phoneticPr fontId="16" type="noConversion"/>
  </si>
  <si>
    <t>추가 긴급 수리비용</t>
    <phoneticPr fontId="16" type="noConversion"/>
  </si>
  <si>
    <t>퀵 운송비용</t>
    <phoneticPr fontId="16" type="noConversion"/>
  </si>
  <si>
    <t>에어실린더(스플라이서 용)</t>
    <phoneticPr fontId="16" type="noConversion"/>
  </si>
  <si>
    <t>21,12</t>
  </si>
  <si>
    <t>CB DRIVE UNIT(포장실 결속기 부속 대체품)</t>
    <phoneticPr fontId="16" type="noConversion"/>
  </si>
  <si>
    <t>M-600 서비스(폴더 브레이크 수리)</t>
    <phoneticPr fontId="16" type="noConversion"/>
  </si>
  <si>
    <t>마진 처리</t>
    <phoneticPr fontId="16" type="noConversion"/>
  </si>
  <si>
    <t>P Bright RED U</t>
    <phoneticPr fontId="16" type="noConversion"/>
  </si>
  <si>
    <t>별색</t>
    <phoneticPr fontId="16" type="noConversion"/>
  </si>
  <si>
    <t>2022,1</t>
    <phoneticPr fontId="16" type="noConversion"/>
  </si>
  <si>
    <t>22,1</t>
    <phoneticPr fontId="16" type="noConversion"/>
  </si>
  <si>
    <t>품목별 Margin</t>
    <phoneticPr fontId="5" type="noConversion"/>
  </si>
  <si>
    <t>Rotoman 자동 레지스터 시스템 중도금</t>
    <phoneticPr fontId="16" type="noConversion"/>
  </si>
  <si>
    <t>2021,12</t>
    <phoneticPr fontId="1" type="noConversion"/>
  </si>
  <si>
    <t>21,12</t>
    <phoneticPr fontId="7" type="noConversion"/>
  </si>
  <si>
    <t>로토만 레지스터 중도금 포함</t>
    <phoneticPr fontId="5" type="noConversion"/>
  </si>
  <si>
    <t>21,12</t>
    <phoneticPr fontId="5" type="noConversion"/>
  </si>
  <si>
    <t>스프링 블레이드(WM.4M807508-2)</t>
    <phoneticPr fontId="16" type="noConversion"/>
  </si>
  <si>
    <t>스프링 블레이드(WM.4M807508-1)</t>
    <phoneticPr fontId="16" type="noConversion"/>
  </si>
  <si>
    <t>링크 체인</t>
    <phoneticPr fontId="16" type="noConversion"/>
  </si>
  <si>
    <t>Apogee 워크플로우 구독료</t>
    <phoneticPr fontId="16" type="noConversion"/>
  </si>
  <si>
    <t>매엽 롤라 피복 세트</t>
    <phoneticPr fontId="16" type="noConversion"/>
  </si>
  <si>
    <t>2022,2</t>
    <phoneticPr fontId="16" type="noConversion"/>
  </si>
  <si>
    <t>22,2</t>
    <phoneticPr fontId="16" type="noConversion"/>
  </si>
  <si>
    <t>인쇄기 파우더 필터</t>
    <phoneticPr fontId="16" type="noConversion"/>
  </si>
  <si>
    <t>인쇄기 필터 495*394*47</t>
  </si>
  <si>
    <t>인쇄기 필터 750*480*47</t>
  </si>
  <si>
    <t>닥터호일 아스테이지</t>
  </si>
  <si>
    <t>주머니 필터백 하이델 국전용</t>
  </si>
  <si>
    <t>주머니 필터백 로랜드 전지용</t>
  </si>
  <si>
    <t>2022,1</t>
    <phoneticPr fontId="1" type="noConversion"/>
  </si>
  <si>
    <t>링크 체인</t>
    <phoneticPr fontId="21" type="noConversion"/>
  </si>
  <si>
    <t>Autoplate membrane</t>
    <phoneticPr fontId="21" type="noConversion"/>
  </si>
  <si>
    <t>블레이드 스프링-1</t>
    <phoneticPr fontId="21" type="noConversion"/>
  </si>
  <si>
    <t>블레이드 스프링-2</t>
    <phoneticPr fontId="21" type="noConversion"/>
  </si>
  <si>
    <t>switch, proximity</t>
    <phoneticPr fontId="21" type="noConversion"/>
  </si>
  <si>
    <t>blade cup off knife</t>
    <phoneticPr fontId="21" type="noConversion"/>
  </si>
  <si>
    <t>motor</t>
    <phoneticPr fontId="21" type="noConversion"/>
  </si>
  <si>
    <t>tape, meter</t>
    <phoneticPr fontId="21" type="noConversion"/>
  </si>
  <si>
    <t>Rubber Cutting</t>
    <phoneticPr fontId="21" type="noConversion"/>
  </si>
  <si>
    <t>스트리퍼 34124</t>
    <phoneticPr fontId="21" type="noConversion"/>
  </si>
  <si>
    <t>스트리퍼 34125</t>
    <phoneticPr fontId="21" type="noConversion"/>
  </si>
  <si>
    <t>spindle motor</t>
    <phoneticPr fontId="21" type="noConversion"/>
  </si>
  <si>
    <t>재능인쇄</t>
    <phoneticPr fontId="16" type="noConversion"/>
  </si>
  <si>
    <t>에어실린더외</t>
    <phoneticPr fontId="16" type="noConversion"/>
  </si>
  <si>
    <t>아스테지</t>
    <phoneticPr fontId="16" type="noConversion"/>
  </si>
  <si>
    <t>astegi</t>
    <phoneticPr fontId="16" type="noConversion"/>
  </si>
  <si>
    <t>필터백/실리콘</t>
    <phoneticPr fontId="16" type="noConversion"/>
  </si>
  <si>
    <t>filter</t>
    <phoneticPr fontId="16" type="noConversion"/>
  </si>
  <si>
    <t>매엽세척액</t>
    <phoneticPr fontId="16" type="noConversion"/>
  </si>
  <si>
    <t>Agfa 현상액 G101C(10L)</t>
  </si>
  <si>
    <t>매엽용 세척제(Wash k11)</t>
    <phoneticPr fontId="16" type="noConversion"/>
  </si>
  <si>
    <t>닥터블레이드XL용</t>
    <phoneticPr fontId="16" type="noConversion"/>
  </si>
  <si>
    <t>통신케이블</t>
    <phoneticPr fontId="16" type="noConversion"/>
  </si>
  <si>
    <t>CPU 고장품반납</t>
    <phoneticPr fontId="16" type="noConversion"/>
  </si>
  <si>
    <t>실리콘 에멀전윤전</t>
    <phoneticPr fontId="1" type="noConversion"/>
  </si>
  <si>
    <t>M600 근접센스/칠롤</t>
    <phoneticPr fontId="1" type="noConversion"/>
  </si>
  <si>
    <t>22,2</t>
    <phoneticPr fontId="1" type="noConversion"/>
  </si>
  <si>
    <t>M600 잉크 레벨센스</t>
    <phoneticPr fontId="1" type="noConversion"/>
  </si>
  <si>
    <t>Sales(Tax)</t>
    <phoneticPr fontId="1" type="noConversion"/>
  </si>
  <si>
    <t>2022,2</t>
    <phoneticPr fontId="1" type="noConversion"/>
  </si>
  <si>
    <t>22,1</t>
    <phoneticPr fontId="7" type="noConversion"/>
  </si>
  <si>
    <t>22,2</t>
    <phoneticPr fontId="7" type="noConversion"/>
  </si>
  <si>
    <t>재능인쇄</t>
    <phoneticPr fontId="5" type="noConversion"/>
  </si>
  <si>
    <t>22,1</t>
    <phoneticPr fontId="5" type="noConversion"/>
  </si>
  <si>
    <t>22,2</t>
    <phoneticPr fontId="26" type="noConversion"/>
  </si>
  <si>
    <t>22,1</t>
    <phoneticPr fontId="26" type="noConversion"/>
  </si>
  <si>
    <t>Commission 
2%</t>
    <phoneticPr fontId="4" type="noConversion"/>
  </si>
  <si>
    <t>스프링 블레이드(WM.4M807508-1)</t>
    <phoneticPr fontId="1" type="noConversion"/>
  </si>
  <si>
    <t>프린피아 파주북시티</t>
  </si>
  <si>
    <t>점보롤 세정포</t>
  </si>
  <si>
    <t>대한교역</t>
  </si>
  <si>
    <t>o</t>
  </si>
  <si>
    <t>GOSS 신문윤전 습식세정포</t>
  </si>
  <si>
    <t>1077*885 하이델 bar 블랑켓</t>
  </si>
  <si>
    <t>Others(IHK)</t>
  </si>
  <si>
    <t>프린피아 주안</t>
  </si>
  <si>
    <t>실리콘 에멀전</t>
  </si>
  <si>
    <t>Agfa</t>
  </si>
  <si>
    <t>매엽용 세척제(Wash k11)</t>
  </si>
  <si>
    <t>택배비 110000</t>
  </si>
  <si>
    <t>CTP(IHK)</t>
  </si>
  <si>
    <t>커미션 폐판과 함께 계산/21년 9월부터 가격변경</t>
  </si>
  <si>
    <t>매엽</t>
  </si>
  <si>
    <t>20L로 변경</t>
  </si>
  <si>
    <t>파우더</t>
  </si>
  <si>
    <t>포장수량 20-&gt;10 변경</t>
  </si>
  <si>
    <t>재능</t>
  </si>
  <si>
    <t>M600 윤전 블랑켓 995*742</t>
  </si>
  <si>
    <t>Flint</t>
  </si>
  <si>
    <t>ENGAGE 1030*790</t>
  </si>
  <si>
    <t>ENGAGE 900X571 - 27RO</t>
  </si>
  <si>
    <t>ENGAGE 30WEB(883*552)</t>
  </si>
  <si>
    <t>ENGAGE 1030*800</t>
  </si>
  <si>
    <t>ENGAGE 1055*811</t>
  </si>
  <si>
    <t>ENGAGE 968*631</t>
  </si>
  <si>
    <t>ENGAGE 1092*800</t>
  </si>
  <si>
    <t>THR200(20L)보충액</t>
  </si>
  <si>
    <t>THD200(20L)현상액</t>
  </si>
  <si>
    <t>프리미어(먹)</t>
  </si>
  <si>
    <t>Ink</t>
  </si>
  <si>
    <t>프리미어(적)</t>
  </si>
  <si>
    <t>한특 잉크(적)</t>
  </si>
  <si>
    <t>한특잉크</t>
  </si>
  <si>
    <t>한특 잉크(황)</t>
  </si>
  <si>
    <t>한특 잉크(청)</t>
  </si>
  <si>
    <t>한특 잉크(먹)</t>
  </si>
  <si>
    <t>Apogee 워크플로우 구독료</t>
  </si>
  <si>
    <t>아스테이지(CD74용)</t>
  </si>
  <si>
    <t>수량 오차 메모</t>
  </si>
  <si>
    <t>2022,3</t>
    <phoneticPr fontId="16" type="noConversion"/>
  </si>
  <si>
    <t>매출</t>
    <phoneticPr fontId="16" type="noConversion"/>
  </si>
  <si>
    <t>22,3</t>
    <phoneticPr fontId="16" type="noConversion"/>
  </si>
  <si>
    <t>주머니필터백</t>
    <phoneticPr fontId="16" type="noConversion"/>
  </si>
  <si>
    <t>고무롤러유압실린더 DO51327-10</t>
    <phoneticPr fontId="16" type="noConversion"/>
  </si>
  <si>
    <t>집진기 원형필터</t>
    <phoneticPr fontId="16" type="noConversion"/>
  </si>
  <si>
    <t>대웅페이퍼</t>
    <phoneticPr fontId="16" type="noConversion"/>
  </si>
  <si>
    <t>습식엔드실</t>
    <phoneticPr fontId="16" type="noConversion"/>
  </si>
  <si>
    <t>에스알비프린팅</t>
    <phoneticPr fontId="16" type="noConversion"/>
  </si>
  <si>
    <t>Encorder</t>
    <phoneticPr fontId="16" type="noConversion"/>
  </si>
  <si>
    <t>에프엔씨디자인</t>
    <phoneticPr fontId="16" type="noConversion"/>
  </si>
  <si>
    <t>핫에어밸브외</t>
    <phoneticPr fontId="16" type="noConversion"/>
  </si>
  <si>
    <t>PLC</t>
    <phoneticPr fontId="16" type="noConversion"/>
  </si>
  <si>
    <t>M600커프링조인트</t>
    <phoneticPr fontId="16" type="noConversion"/>
  </si>
  <si>
    <t>2022,3</t>
    <phoneticPr fontId="1" type="noConversion"/>
  </si>
  <si>
    <t>대웅페이퍼</t>
    <phoneticPr fontId="4" type="noConversion"/>
  </si>
  <si>
    <t>에프엔씨디자인</t>
    <phoneticPr fontId="1" type="noConversion"/>
  </si>
  <si>
    <t>에스알비프린팅</t>
    <phoneticPr fontId="5" type="noConversion"/>
  </si>
  <si>
    <t>22,3</t>
    <phoneticPr fontId="7" type="noConversion"/>
  </si>
  <si>
    <t>22,2</t>
    <phoneticPr fontId="5" type="noConversion"/>
  </si>
  <si>
    <t>22,3</t>
    <phoneticPr fontId="5" type="noConversion"/>
  </si>
  <si>
    <t>22,3</t>
    <phoneticPr fontId="26" type="noConversion"/>
  </si>
  <si>
    <t>2022,4</t>
    <phoneticPr fontId="16" type="noConversion"/>
  </si>
  <si>
    <t>22,4</t>
    <phoneticPr fontId="16" type="noConversion"/>
  </si>
  <si>
    <t>CD74용 UV lamp 델리버리</t>
    <phoneticPr fontId="16" type="noConversion"/>
  </si>
  <si>
    <t>CD74용 UV lamp 인터덱</t>
    <phoneticPr fontId="16" type="noConversion"/>
  </si>
  <si>
    <t>매엽용 세척제 3월누락금액</t>
    <phoneticPr fontId="16" type="noConversion"/>
  </si>
  <si>
    <t>브랑케트세척장치 고무</t>
    <phoneticPr fontId="16" type="noConversion"/>
  </si>
  <si>
    <t>종이넘김벨트</t>
    <phoneticPr fontId="16" type="noConversion"/>
  </si>
  <si>
    <t>매엽 습수약물</t>
    <phoneticPr fontId="16" type="noConversion"/>
  </si>
  <si>
    <t>Water Form Roller 고모리2 윤전용</t>
    <phoneticPr fontId="16" type="noConversion"/>
  </si>
  <si>
    <t>Ink Form Roller  고모리2 윤전용</t>
    <phoneticPr fontId="16" type="noConversion"/>
  </si>
  <si>
    <t>Ink Roller  고모리2 윤전용</t>
    <phoneticPr fontId="16" type="noConversion"/>
  </si>
  <si>
    <t>Ink Ductor Roller  고모리2 윤전용</t>
    <phoneticPr fontId="16" type="noConversion"/>
  </si>
  <si>
    <t>Water Pan Roller 고모리2 윤전용</t>
    <phoneticPr fontId="16" type="noConversion"/>
  </si>
  <si>
    <t>매엽용롤러 17개</t>
    <phoneticPr fontId="16" type="noConversion"/>
  </si>
  <si>
    <t>M600 판걸이튜브</t>
    <phoneticPr fontId="16" type="noConversion"/>
  </si>
  <si>
    <t>M600 판걸이튜브 서비스비용</t>
    <phoneticPr fontId="16" type="noConversion"/>
  </si>
  <si>
    <t>서비스</t>
    <phoneticPr fontId="16" type="noConversion"/>
  </si>
  <si>
    <t>ENGAGE 900X571 - 27RO*</t>
    <phoneticPr fontId="16" type="noConversion"/>
  </si>
  <si>
    <t>ENGAGE 900X571 - 27RO</t>
    <phoneticPr fontId="16" type="noConversion"/>
  </si>
  <si>
    <t>ENGAGE 30WEB(883*552)*</t>
    <phoneticPr fontId="16" type="noConversion"/>
  </si>
  <si>
    <t>ENGAGE 1055*811*</t>
    <phoneticPr fontId="16" type="noConversion"/>
  </si>
  <si>
    <t>THR200(20L)보충액*</t>
    <phoneticPr fontId="16" type="noConversion"/>
  </si>
  <si>
    <t>***</t>
    <phoneticPr fontId="16" type="noConversion"/>
  </si>
  <si>
    <t>매엽용 세척제(Wash k11)누락분</t>
    <phoneticPr fontId="16" type="noConversion"/>
  </si>
  <si>
    <t>2022,4</t>
    <phoneticPr fontId="1" type="noConversion"/>
  </si>
  <si>
    <t>22,4</t>
    <phoneticPr fontId="7" type="noConversion"/>
  </si>
  <si>
    <t>2022,04</t>
    <phoneticPr fontId="1" type="noConversion"/>
  </si>
  <si>
    <t>22,4</t>
    <phoneticPr fontId="26" type="noConversion"/>
  </si>
  <si>
    <t>2022,5</t>
    <phoneticPr fontId="1" type="noConversion"/>
  </si>
  <si>
    <t>22,5</t>
    <phoneticPr fontId="1" type="noConversion"/>
  </si>
  <si>
    <t>판 클리너(12개)</t>
    <phoneticPr fontId="1" type="noConversion"/>
  </si>
  <si>
    <t>대우피앤시</t>
    <phoneticPr fontId="1" type="noConversion"/>
  </si>
  <si>
    <t>고무사카 빨간색</t>
    <phoneticPr fontId="1" type="noConversion"/>
  </si>
  <si>
    <t>Others(IHK)</t>
    <phoneticPr fontId="1" type="noConversion"/>
  </si>
  <si>
    <t>고무사카 노란색</t>
    <phoneticPr fontId="1" type="noConversion"/>
  </si>
  <si>
    <t>Blanket(990*725)</t>
    <phoneticPr fontId="1" type="noConversion"/>
  </si>
  <si>
    <t>주머니필터백</t>
    <phoneticPr fontId="1" type="noConversion"/>
  </si>
  <si>
    <t>수이버 카바쇼바</t>
    <phoneticPr fontId="1" type="noConversion"/>
  </si>
  <si>
    <t>판걸이용 클러치</t>
    <phoneticPr fontId="1" type="noConversion"/>
  </si>
  <si>
    <t xml:space="preserve">매일경제 </t>
    <phoneticPr fontId="1" type="noConversion"/>
  </si>
  <si>
    <t>윤전 블랑켓</t>
    <phoneticPr fontId="1" type="noConversion"/>
  </si>
  <si>
    <t xml:space="preserve">윤전 </t>
    <phoneticPr fontId="1" type="noConversion"/>
  </si>
  <si>
    <t>Saphira 5000</t>
    <phoneticPr fontId="1" type="noConversion"/>
  </si>
  <si>
    <t>윤전</t>
    <phoneticPr fontId="1" type="noConversion"/>
  </si>
  <si>
    <t>THR200(20L)보충액*</t>
    <phoneticPr fontId="1" type="noConversion"/>
  </si>
  <si>
    <t>필름출력기 서비스비용(출장비 포함)</t>
    <phoneticPr fontId="1" type="noConversion"/>
  </si>
  <si>
    <t>필름출력기 main board(Tanto 6120)</t>
    <phoneticPr fontId="1" type="noConversion"/>
  </si>
  <si>
    <t>UV wash offset UV</t>
    <phoneticPr fontId="1" type="noConversion"/>
  </si>
  <si>
    <t>ENGAGE 900X571 - 27RO</t>
    <phoneticPr fontId="1" type="noConversion"/>
  </si>
  <si>
    <t>ENGAGE 900X571 - 27RO*</t>
    <phoneticPr fontId="1" type="noConversion"/>
  </si>
  <si>
    <t>ENGAGE 30WEB(883*552)</t>
    <phoneticPr fontId="1" type="noConversion"/>
  </si>
  <si>
    <t>ENGAGE 30WEB(883*552)*</t>
    <phoneticPr fontId="1" type="noConversion"/>
  </si>
  <si>
    <t>ENGAGE 1055*811*</t>
    <phoneticPr fontId="1" type="noConversion"/>
  </si>
  <si>
    <t>CTP(Others)</t>
    <phoneticPr fontId="1" type="noConversion"/>
  </si>
  <si>
    <t>드라이어수리</t>
    <phoneticPr fontId="1" type="noConversion"/>
  </si>
  <si>
    <t>와우프레스</t>
    <phoneticPr fontId="1" type="noConversion"/>
  </si>
  <si>
    <t>Technotrans 도져</t>
    <phoneticPr fontId="1" type="noConversion"/>
  </si>
  <si>
    <t>코리아피앤피</t>
    <phoneticPr fontId="1" type="noConversion"/>
  </si>
  <si>
    <t>국일특수인쇄</t>
    <phoneticPr fontId="1" type="noConversion"/>
  </si>
  <si>
    <t>Baldwin UV 램프 국전</t>
    <phoneticPr fontId="1" type="noConversion"/>
  </si>
  <si>
    <t>Baldwin</t>
    <phoneticPr fontId="1" type="noConversion"/>
  </si>
  <si>
    <t>아스테이지(국전)</t>
    <phoneticPr fontId="1" type="noConversion"/>
  </si>
  <si>
    <t>Commission 
15%</t>
    <phoneticPr fontId="4" type="noConversion"/>
  </si>
  <si>
    <t>2022,05</t>
    <phoneticPr fontId="1" type="noConversion"/>
  </si>
  <si>
    <t>2022,6</t>
    <phoneticPr fontId="1" type="noConversion"/>
  </si>
  <si>
    <t>22,6</t>
    <phoneticPr fontId="1" type="noConversion"/>
  </si>
  <si>
    <t>대성옵셋인쇄</t>
    <phoneticPr fontId="1" type="noConversion"/>
  </si>
  <si>
    <t>아스테이지(국전)XL용</t>
    <phoneticPr fontId="1" type="noConversion"/>
  </si>
  <si>
    <t>세척장치 연결고리</t>
    <phoneticPr fontId="1" type="noConversion"/>
  </si>
  <si>
    <t xml:space="preserve">매엽/윤전용롤러 </t>
    <phoneticPr fontId="16" type="noConversion"/>
  </si>
  <si>
    <t>Fount  554</t>
    <phoneticPr fontId="1" type="noConversion"/>
  </si>
  <si>
    <t>M600 서비스 계약</t>
    <phoneticPr fontId="16" type="noConversion"/>
  </si>
  <si>
    <t>판재단비용</t>
    <phoneticPr fontId="16" type="noConversion"/>
  </si>
  <si>
    <t>CTP 서비스</t>
    <phoneticPr fontId="16" type="noConversion"/>
  </si>
  <si>
    <t>자동판걸이튜브</t>
    <phoneticPr fontId="1" type="noConversion"/>
  </si>
  <si>
    <t>대성옵셋인쇄</t>
    <phoneticPr fontId="4" type="noConversion"/>
  </si>
  <si>
    <t>2022,06</t>
    <phoneticPr fontId="1" type="noConversion"/>
  </si>
  <si>
    <t>2022,7</t>
    <phoneticPr fontId="1" type="noConversion"/>
  </si>
  <si>
    <t>22,7</t>
    <phoneticPr fontId="1" type="noConversion"/>
  </si>
  <si>
    <t>닥터호일 아스테이지</t>
    <phoneticPr fontId="1" type="noConversion"/>
  </si>
  <si>
    <t>팬톤칼라 북</t>
    <phoneticPr fontId="1" type="noConversion"/>
  </si>
  <si>
    <t>블랑켓-하이델베르그 국전용</t>
    <phoneticPr fontId="1" type="noConversion"/>
  </si>
  <si>
    <t>아그파 CTP 베어링</t>
    <phoneticPr fontId="16" type="noConversion"/>
  </si>
  <si>
    <t>습수정화장치 beta.f 필터 세트</t>
    <phoneticPr fontId="1" type="noConversion"/>
  </si>
  <si>
    <t>Ryobi UV Lamp 델리바리용</t>
    <phoneticPr fontId="1" type="noConversion"/>
  </si>
  <si>
    <t>Ryobi UV Lamp 인터덱용</t>
    <phoneticPr fontId="1" type="noConversion"/>
  </si>
  <si>
    <t>장력문제 서비스</t>
    <phoneticPr fontId="16" type="noConversion"/>
  </si>
  <si>
    <t>주안 로토만 IRC 설치 잔금</t>
    <phoneticPr fontId="16" type="noConversion"/>
  </si>
  <si>
    <t>대산인쇄공사</t>
    <phoneticPr fontId="16" type="noConversion"/>
  </si>
  <si>
    <t>로토만 점검 서비스(로랜드 기술자 3일)</t>
    <phoneticPr fontId="16" type="noConversion"/>
  </si>
  <si>
    <t>잉크모듈키판</t>
    <phoneticPr fontId="16" type="noConversion"/>
  </si>
  <si>
    <t>드라이어 서비스(6/28)</t>
    <phoneticPr fontId="16" type="noConversion"/>
  </si>
  <si>
    <t>6 월 Apogee워크프로우 사용료</t>
    <phoneticPr fontId="16" type="noConversion"/>
  </si>
  <si>
    <t>22,5</t>
    <phoneticPr fontId="7" type="noConversion"/>
  </si>
  <si>
    <t>22,6</t>
    <phoneticPr fontId="7" type="noConversion"/>
  </si>
  <si>
    <t>22,6</t>
    <phoneticPr fontId="5" type="noConversion"/>
  </si>
  <si>
    <t>22,7</t>
    <phoneticPr fontId="5" type="noConversion"/>
  </si>
  <si>
    <t>2022,07</t>
    <phoneticPr fontId="1" type="noConversion"/>
  </si>
  <si>
    <t>대산인쇄공사</t>
    <phoneticPr fontId="8" type="noConversion"/>
  </si>
  <si>
    <t>22,5</t>
    <phoneticPr fontId="26" type="noConversion"/>
  </si>
  <si>
    <t>22,6</t>
    <phoneticPr fontId="26" type="noConversion"/>
  </si>
  <si>
    <t>22,7</t>
    <phoneticPr fontId="26" type="noConversion"/>
  </si>
  <si>
    <t>료비 UV Lamp(와우프레스 델리바리)</t>
    <phoneticPr fontId="21" type="noConversion"/>
  </si>
  <si>
    <t>료비 UV Lamp(와우프레스 인터덱)</t>
    <phoneticPr fontId="21" type="noConversion"/>
  </si>
  <si>
    <t>2022,8</t>
    <phoneticPr fontId="1" type="noConversion"/>
  </si>
  <si>
    <t>22,8</t>
  </si>
  <si>
    <t>22,8</t>
    <phoneticPr fontId="1" type="noConversion"/>
  </si>
  <si>
    <t>Beta.f 필터 세트</t>
    <phoneticPr fontId="16" type="noConversion"/>
  </si>
  <si>
    <t>마이크로 스위치</t>
    <phoneticPr fontId="16" type="noConversion"/>
  </si>
  <si>
    <t>7 월 Apogee워크프로우 사용료</t>
    <phoneticPr fontId="16" type="noConversion"/>
  </si>
  <si>
    <t>댄서 롤러 서포트외</t>
    <phoneticPr fontId="1" type="noConversion"/>
  </si>
  <si>
    <t>22,7</t>
    <phoneticPr fontId="7" type="noConversion"/>
  </si>
  <si>
    <t>22,8</t>
    <phoneticPr fontId="7" type="noConversion"/>
  </si>
  <si>
    <t>22,8</t>
    <phoneticPr fontId="5" type="noConversion"/>
  </si>
  <si>
    <t>2022,08</t>
    <phoneticPr fontId="1" type="noConversion"/>
  </si>
  <si>
    <t>22,8</t>
    <phoneticPr fontId="26" type="noConversion"/>
  </si>
  <si>
    <t>ESI 닙롤러외, 플렉소나이프외</t>
    <phoneticPr fontId="1" type="noConversion"/>
  </si>
  <si>
    <t>Beta.f 필터세트</t>
    <phoneticPr fontId="7" type="noConversion"/>
  </si>
  <si>
    <t>2022,9</t>
    <phoneticPr fontId="1" type="noConversion"/>
  </si>
  <si>
    <t>22,9</t>
  </si>
  <si>
    <t>22,9</t>
    <phoneticPr fontId="1" type="noConversion"/>
  </si>
  <si>
    <t>UV Wash 576</t>
    <phoneticPr fontId="1" type="noConversion"/>
  </si>
  <si>
    <t>UV Lamp - KBA 전선타입</t>
    <phoneticPr fontId="16" type="noConversion"/>
  </si>
  <si>
    <t>UV Lamp - KBA 똑딱이타입</t>
    <phoneticPr fontId="16" type="noConversion"/>
  </si>
  <si>
    <t>델리바리 팬 - XL106용</t>
    <phoneticPr fontId="1" type="noConversion"/>
  </si>
  <si>
    <t>파일센터링 센서 - XL106용</t>
    <phoneticPr fontId="16" type="noConversion"/>
  </si>
  <si>
    <t>고모리 윤전 블랑켓 건식 세정포 - 국전용</t>
    <phoneticPr fontId="16" type="noConversion"/>
  </si>
  <si>
    <t>고모리 윤전 블랑켓 건식 세정포 - 4x6용</t>
    <phoneticPr fontId="16" type="noConversion"/>
  </si>
  <si>
    <t>CTP 방문 서비스</t>
    <phoneticPr fontId="16" type="noConversion"/>
  </si>
  <si>
    <t>LX+000MEC0184 베어링</t>
    <phoneticPr fontId="16" type="noConversion"/>
  </si>
  <si>
    <t>LX+000MEC0226 베어링</t>
    <phoneticPr fontId="16" type="noConversion"/>
  </si>
  <si>
    <t>LX+000RAC0276 O-ring</t>
    <phoneticPr fontId="16" type="noConversion"/>
  </si>
  <si>
    <t>LX+ Spacer</t>
    <phoneticPr fontId="16" type="noConversion"/>
  </si>
  <si>
    <t>LX+ Shaft</t>
    <phoneticPr fontId="16" type="noConversion"/>
  </si>
  <si>
    <t>22,9</t>
    <phoneticPr fontId="16" type="noConversion"/>
  </si>
  <si>
    <t>8 월 Apogee워크프로우 사용료</t>
    <phoneticPr fontId="16" type="noConversion"/>
  </si>
  <si>
    <t>독일 엔지니어 방문 서비스 비용 50% 선금</t>
    <phoneticPr fontId="16" type="noConversion"/>
  </si>
  <si>
    <t>신크로나이져 모터</t>
    <phoneticPr fontId="16" type="noConversion"/>
  </si>
  <si>
    <t>횐네</t>
    <phoneticPr fontId="16" type="noConversion"/>
  </si>
  <si>
    <t>22,9</t>
    <phoneticPr fontId="26" type="noConversion"/>
  </si>
  <si>
    <t>22,9</t>
    <phoneticPr fontId="7" type="noConversion"/>
  </si>
  <si>
    <t>고모리 윤전 블랑켓 건식 세정포 - 국전용</t>
    <phoneticPr fontId="21" type="noConversion"/>
  </si>
  <si>
    <t>2022,10</t>
    <phoneticPr fontId="1" type="noConversion"/>
  </si>
  <si>
    <t>22,10</t>
  </si>
  <si>
    <t>22,10</t>
    <phoneticPr fontId="1" type="noConversion"/>
  </si>
  <si>
    <t>상하 핀 맞춤 모터</t>
    <phoneticPr fontId="16" type="noConversion"/>
  </si>
  <si>
    <t>전자 통신 박스</t>
    <phoneticPr fontId="16" type="noConversion"/>
  </si>
  <si>
    <t>9 월 Apogee워크프로우 사용료</t>
    <phoneticPr fontId="16" type="noConversion"/>
  </si>
  <si>
    <t>엔드 플레이트 솜 및 VPN</t>
    <phoneticPr fontId="16" type="noConversion"/>
  </si>
  <si>
    <t>22,10</t>
    <phoneticPr fontId="7" type="noConversion"/>
  </si>
  <si>
    <t>성원애드피아</t>
    <phoneticPr fontId="7" type="noConversion"/>
  </si>
  <si>
    <t>Autoplate Membrane-630</t>
    <phoneticPr fontId="21" type="noConversion"/>
  </si>
  <si>
    <t>전기 박스</t>
    <phoneticPr fontId="21" type="noConversion"/>
  </si>
  <si>
    <t>잉크키 보호 필름 20pcs</t>
    <phoneticPr fontId="21" type="noConversion"/>
  </si>
  <si>
    <t>싱크로나이즈드 모터 케이블+플러그</t>
    <phoneticPr fontId="21" type="noConversion"/>
  </si>
  <si>
    <t>스프링 블레이드 대</t>
    <phoneticPr fontId="21" type="noConversion"/>
  </si>
  <si>
    <t>스프링 블레이드 소</t>
    <phoneticPr fontId="21" type="noConversion"/>
  </si>
  <si>
    <t>엔드 플레이트 솜</t>
    <phoneticPr fontId="21" type="noConversion"/>
  </si>
  <si>
    <t>프린피아 상부 판걸이 교체 서비스비용</t>
    <phoneticPr fontId="16" type="noConversion"/>
  </si>
  <si>
    <t>습수호킹롤러, 롤러 도금 재생</t>
    <phoneticPr fontId="1" type="noConversion"/>
  </si>
  <si>
    <t>대형인쇄기계</t>
    <phoneticPr fontId="1" type="noConversion"/>
  </si>
  <si>
    <t>WH.733825</t>
    <phoneticPr fontId="16" type="noConversion"/>
  </si>
  <si>
    <t>잉크 키 보호 필름</t>
    <phoneticPr fontId="16" type="noConversion"/>
  </si>
  <si>
    <t xml:space="preserve"> TSC 지원</t>
    <phoneticPr fontId="16" type="noConversion"/>
  </si>
  <si>
    <t>전압 릴레이</t>
    <phoneticPr fontId="21" type="noConversion"/>
  </si>
  <si>
    <t>릴레이, 타이밍, 멀티 레인지</t>
    <phoneticPr fontId="21" type="noConversion"/>
  </si>
  <si>
    <t>리미트 스위치</t>
    <phoneticPr fontId="21" type="noConversion"/>
  </si>
  <si>
    <t>잉크 모듈 보드</t>
    <phoneticPr fontId="21" type="noConversion"/>
  </si>
  <si>
    <t>매일경제 본사</t>
    <phoneticPr fontId="21" type="noConversion"/>
  </si>
  <si>
    <t>실린더 롤러 베어링</t>
    <phoneticPr fontId="21" type="noConversion"/>
  </si>
  <si>
    <t>앵굴러 콘택트 볼 베어링</t>
    <phoneticPr fontId="21" type="noConversion"/>
  </si>
  <si>
    <t>디스크 / 와셔</t>
    <phoneticPr fontId="21" type="noConversion"/>
  </si>
  <si>
    <t>컴프레셔 에어 실린더</t>
    <phoneticPr fontId="21" type="noConversion"/>
  </si>
  <si>
    <t>밸브</t>
    <phoneticPr fontId="21" type="noConversion"/>
  </si>
  <si>
    <t>다이어프램</t>
    <phoneticPr fontId="21" type="noConversion"/>
  </si>
  <si>
    <t>코니칼 압력 스프링</t>
    <phoneticPr fontId="21" type="noConversion"/>
  </si>
  <si>
    <t>댄서 프레임</t>
    <phoneticPr fontId="21" type="noConversion"/>
  </si>
  <si>
    <t>보조</t>
    <phoneticPr fontId="21" type="noConversion"/>
  </si>
  <si>
    <t>댄서 프레임 Fixed</t>
    <phoneticPr fontId="21" type="noConversion"/>
  </si>
  <si>
    <t>ICLA 모터 37.6KW</t>
    <phoneticPr fontId="21" type="noConversion"/>
  </si>
  <si>
    <t>slow-down finger blue</t>
    <phoneticPr fontId="21" type="noConversion"/>
  </si>
  <si>
    <t>perforating knife(칼)</t>
    <phoneticPr fontId="21" type="noConversion"/>
  </si>
  <si>
    <t>핀 스크류</t>
    <phoneticPr fontId="21" type="noConversion"/>
  </si>
  <si>
    <t>테이프 50M</t>
    <phoneticPr fontId="21" type="noConversion"/>
  </si>
  <si>
    <t>벨트(1M)</t>
    <phoneticPr fontId="21" type="noConversion"/>
  </si>
  <si>
    <t>블레이드 컷 오프 나이프</t>
    <phoneticPr fontId="21" type="noConversion"/>
  </si>
  <si>
    <t>앵글 인코더</t>
    <phoneticPr fontId="21" type="noConversion"/>
  </si>
  <si>
    <t>Thermo 센서</t>
    <phoneticPr fontId="21" type="noConversion"/>
  </si>
  <si>
    <t>롤러 폴리아미드</t>
    <phoneticPr fontId="21" type="noConversion"/>
  </si>
  <si>
    <t>하이드로울릭 실린더</t>
    <phoneticPr fontId="21" type="noConversion"/>
  </si>
  <si>
    <t>프린티드 서킷 CPU</t>
    <phoneticPr fontId="21" type="noConversion"/>
  </si>
  <si>
    <t>연결 케이블 및 플러그</t>
    <phoneticPr fontId="21" type="noConversion"/>
  </si>
  <si>
    <t>인버터 냉각 팬 모터</t>
    <phoneticPr fontId="16" type="noConversion"/>
  </si>
  <si>
    <t>드라이어 온도센서</t>
    <phoneticPr fontId="16" type="noConversion"/>
  </si>
  <si>
    <t>벨트(14MM)</t>
    <phoneticPr fontId="16" type="noConversion"/>
  </si>
  <si>
    <t>22,5</t>
    <phoneticPr fontId="16" type="noConversion"/>
  </si>
  <si>
    <t>자동판걸이튜브 서비스비용</t>
    <phoneticPr fontId="16" type="noConversion"/>
  </si>
  <si>
    <t>엔코더</t>
    <phoneticPr fontId="1" type="noConversion"/>
  </si>
  <si>
    <t>펄스 트랜스미터(엔코더)</t>
    <phoneticPr fontId="21" type="noConversion"/>
  </si>
  <si>
    <t>동경+대형+삼정</t>
    <phoneticPr fontId="16" type="noConversion"/>
  </si>
  <si>
    <t>동경, 대형인쇄기계, 삼정이앤씨</t>
    <phoneticPr fontId="16" type="noConversion"/>
  </si>
  <si>
    <t>좌우 핀맞춤 모터</t>
    <phoneticPr fontId="1" type="noConversion"/>
  </si>
  <si>
    <t>좌우 핀맞춤 모터</t>
    <phoneticPr fontId="21" type="noConversion"/>
  </si>
  <si>
    <t>서비스 비용(판걸이 튜브 교체)</t>
    <phoneticPr fontId="16" type="noConversion"/>
  </si>
  <si>
    <t>22,6</t>
    <phoneticPr fontId="16" type="noConversion"/>
  </si>
  <si>
    <t>Slow down finger blue</t>
    <phoneticPr fontId="16" type="noConversion"/>
  </si>
  <si>
    <t>Pin Screw</t>
    <phoneticPr fontId="16" type="noConversion"/>
  </si>
  <si>
    <t>Rotoman</t>
    <phoneticPr fontId="21" type="noConversion"/>
  </si>
  <si>
    <t>하이델, 이상훈이사</t>
    <phoneticPr fontId="16" type="noConversion"/>
  </si>
  <si>
    <t>4/30~5/9 판걸이교체</t>
    <phoneticPr fontId="16" type="noConversion"/>
  </si>
  <si>
    <t>이상훈 이사 2000000원 따로 지급</t>
    <phoneticPr fontId="16" type="noConversion"/>
  </si>
  <si>
    <t>Rotoman 드라이어 스플라이서 작업 계약금</t>
    <phoneticPr fontId="16" type="noConversion"/>
  </si>
  <si>
    <t>Rotoman 유니트 베아링 교체 작업 계약금</t>
    <phoneticPr fontId="16" type="noConversion"/>
  </si>
  <si>
    <t>Rotoman 유니트 베아링 교체 작업 잔금</t>
    <phoneticPr fontId="16" type="noConversion"/>
  </si>
  <si>
    <t>M600 잉크키 모터 업그레이드 잔금</t>
    <phoneticPr fontId="16" type="noConversion"/>
  </si>
  <si>
    <t>M600 잉크키 모터 업그레이드 계약금</t>
    <phoneticPr fontId="16" type="noConversion"/>
  </si>
  <si>
    <t>M600 자동 판 교환 시스템 업그레이드 계약금</t>
    <phoneticPr fontId="1" type="noConversion"/>
  </si>
  <si>
    <t>알레스 서비스 비용(IRC 작업)</t>
    <phoneticPr fontId="16" type="noConversion"/>
  </si>
  <si>
    <t>프린피아 유니트 실린더 베어링 부품</t>
    <phoneticPr fontId="21" type="noConversion"/>
  </si>
  <si>
    <t>프린피아 주안(계약)</t>
    <phoneticPr fontId="16" type="noConversion"/>
  </si>
  <si>
    <t>프린피아 파주북시티(계약)</t>
    <phoneticPr fontId="16" type="noConversion"/>
  </si>
  <si>
    <t>대산인쇄공사(계약)</t>
    <phoneticPr fontId="16" type="noConversion"/>
  </si>
  <si>
    <t>Rotoman 전기부품 및 정비작업 계약 선금</t>
    <phoneticPr fontId="16" type="noConversion"/>
  </si>
  <si>
    <t>프린피아 파주북시티(계약)</t>
    <phoneticPr fontId="1" type="noConversion"/>
  </si>
  <si>
    <t>프린피아 주안(계약)</t>
    <phoneticPr fontId="5" type="noConversion"/>
  </si>
  <si>
    <t>부품 매출/마진</t>
    <phoneticPr fontId="5" type="noConversion"/>
  </si>
  <si>
    <t>22,4 총 매출</t>
    <phoneticPr fontId="5" type="noConversion"/>
  </si>
  <si>
    <t>22,5 총 매출</t>
    <phoneticPr fontId="5" type="noConversion"/>
  </si>
  <si>
    <t>대산인쇄공사(계약)</t>
    <phoneticPr fontId="5" type="noConversion"/>
  </si>
  <si>
    <t>프린피아 주안(계약)</t>
    <phoneticPr fontId="1" type="noConversion"/>
  </si>
  <si>
    <t>22,9 총 매출</t>
    <phoneticPr fontId="5" type="noConversion"/>
  </si>
  <si>
    <t>Harris Bruno + ESI</t>
    <phoneticPr fontId="16" type="noConversion"/>
  </si>
  <si>
    <t>Harris Bruno,ESI</t>
    <phoneticPr fontId="1" type="noConversion"/>
  </si>
  <si>
    <t>유니트 베어링 교체 - 폴더 정비 추가작업</t>
    <phoneticPr fontId="16" type="noConversion"/>
  </si>
  <si>
    <t>22,10 총 매출</t>
    <phoneticPr fontId="5" type="noConversion"/>
  </si>
  <si>
    <t>2022,11</t>
    <phoneticPr fontId="1" type="noConversion"/>
  </si>
  <si>
    <t>22,11</t>
    <phoneticPr fontId="1" type="noConversion"/>
  </si>
  <si>
    <t>블랑켓 접착 패킹지</t>
    <phoneticPr fontId="16" type="noConversion"/>
  </si>
  <si>
    <t>3M 양면 테이프</t>
    <phoneticPr fontId="16" type="noConversion"/>
  </si>
  <si>
    <t>판롤라 실린더</t>
    <phoneticPr fontId="16" type="noConversion"/>
  </si>
  <si>
    <t>수정펜</t>
    <phoneticPr fontId="16" type="noConversion"/>
  </si>
  <si>
    <t>사각형 루페</t>
    <phoneticPr fontId="16" type="noConversion"/>
  </si>
  <si>
    <t>오리발</t>
    <phoneticPr fontId="16" type="noConversion"/>
  </si>
  <si>
    <t>급지부 사이드 호스</t>
    <phoneticPr fontId="16" type="noConversion"/>
  </si>
  <si>
    <t>배지부 필터</t>
    <phoneticPr fontId="16" type="noConversion"/>
  </si>
  <si>
    <t>전기 판넬 필터</t>
    <phoneticPr fontId="16" type="noConversion"/>
  </si>
  <si>
    <t>구동측 하리센서 케이블</t>
    <phoneticPr fontId="16" type="noConversion"/>
  </si>
  <si>
    <t>Kit Poppet Valves + Orings</t>
    <phoneticPr fontId="16" type="noConversion"/>
  </si>
  <si>
    <t>부품?</t>
    <phoneticPr fontId="16" type="noConversion"/>
  </si>
  <si>
    <t>필름현상기 롤라 중고</t>
    <phoneticPr fontId="16" type="noConversion"/>
  </si>
  <si>
    <t>필름현상기 부품 하우징</t>
    <phoneticPr fontId="16" type="noConversion"/>
  </si>
  <si>
    <t xml:space="preserve">   CTP부품 - Water Level Switch</t>
    <phoneticPr fontId="16" type="noConversion"/>
  </si>
  <si>
    <t xml:space="preserve">  CTP부품 - Replenish Bottle Probe</t>
    <phoneticPr fontId="16" type="noConversion"/>
  </si>
  <si>
    <t xml:space="preserve">   CTP부품 - Filter</t>
    <phoneticPr fontId="16" type="noConversion"/>
  </si>
  <si>
    <t xml:space="preserve"> UV Lamp, 2130259, (honle 정품)
 F_930HOZ 200W/mm D22,5
 Lg1005,5mm U1500HFC</t>
    <phoneticPr fontId="16" type="noConversion"/>
  </si>
  <si>
    <t>22,11</t>
  </si>
  <si>
    <t>자동 판교환 시스템 업그레이드 잔금</t>
    <phoneticPr fontId="1" type="noConversion"/>
  </si>
  <si>
    <t>1호기 스플라이서/드라이어 수리</t>
    <phoneticPr fontId="1" type="noConversion"/>
  </si>
  <si>
    <t>제작사 엔지니어 기계 점검</t>
    <phoneticPr fontId="1" type="noConversion"/>
  </si>
  <si>
    <t>11월분 Apogee 사용료</t>
    <phoneticPr fontId="1" type="noConversion"/>
  </si>
  <si>
    <t>스트리퍼</t>
    <phoneticPr fontId="1" type="noConversion"/>
  </si>
  <si>
    <t>포텐시오미터</t>
    <phoneticPr fontId="1" type="noConversion"/>
  </si>
  <si>
    <t>전압 릴레이</t>
    <phoneticPr fontId="1" type="noConversion"/>
  </si>
  <si>
    <t>타이밍 릴레이</t>
    <phoneticPr fontId="1" type="noConversion"/>
  </si>
  <si>
    <t>아스테이지</t>
    <phoneticPr fontId="1" type="noConversion"/>
  </si>
  <si>
    <t>M-600 잉크집 호일</t>
    <phoneticPr fontId="1" type="noConversion"/>
  </si>
  <si>
    <t>대한프린테크</t>
    <phoneticPr fontId="1" type="noConversion"/>
  </si>
  <si>
    <t>부품 매출/마진</t>
    <phoneticPr fontId="1" type="noConversion"/>
  </si>
  <si>
    <t>대산인쇄공사(계약)</t>
    <phoneticPr fontId="1" type="noConversion"/>
  </si>
  <si>
    <t>22,10</t>
    <phoneticPr fontId="26" type="noConversion"/>
  </si>
  <si>
    <t>2022,12</t>
    <phoneticPr fontId="1" type="noConversion"/>
  </si>
  <si>
    <t>22,12</t>
    <phoneticPr fontId="1" type="noConversion"/>
  </si>
  <si>
    <t>22,12</t>
    <phoneticPr fontId="16" type="noConversion"/>
  </si>
  <si>
    <t>22,12</t>
  </si>
  <si>
    <t>Rotoman 수리 작업 계약금</t>
    <phoneticPr fontId="16" type="noConversion"/>
  </si>
  <si>
    <t>비피앤피</t>
    <phoneticPr fontId="16" type="noConversion"/>
  </si>
  <si>
    <t>X-rite 농도계</t>
    <phoneticPr fontId="16" type="noConversion"/>
  </si>
  <si>
    <t>Technotrans 습수정화장치 필터세트</t>
    <phoneticPr fontId="16" type="noConversion"/>
  </si>
  <si>
    <t>고모리46윤전기 애프터버너 백금촉매교환</t>
    <phoneticPr fontId="16" type="noConversion"/>
  </si>
  <si>
    <t>자동 판 교환 업그레이드 개조작업 선금</t>
    <phoneticPr fontId="16" type="noConversion"/>
  </si>
  <si>
    <t>12월분 Apogee 사용료</t>
    <phoneticPr fontId="1" type="noConversion"/>
  </si>
  <si>
    <t>2023,1</t>
    <phoneticPr fontId="1" type="noConversion"/>
  </si>
  <si>
    <t>23,1</t>
    <phoneticPr fontId="1" type="noConversion"/>
  </si>
  <si>
    <t>디엔씨인터네셔날</t>
    <phoneticPr fontId="16" type="noConversion"/>
  </si>
  <si>
    <t>신정이엔씨</t>
    <phoneticPr fontId="1" type="noConversion"/>
  </si>
  <si>
    <t>링크, 체인</t>
    <phoneticPr fontId="21" type="noConversion"/>
  </si>
  <si>
    <t>에어 실린더, 록업</t>
    <phoneticPr fontId="21" type="noConversion"/>
  </si>
  <si>
    <t>비피앤피</t>
    <phoneticPr fontId="1" type="noConversion"/>
  </si>
  <si>
    <t>22,11 총 매출</t>
    <phoneticPr fontId="1" type="noConversion"/>
  </si>
  <si>
    <t>22,12 총 매출</t>
    <phoneticPr fontId="1" type="noConversion"/>
  </si>
  <si>
    <t>Rotoman 수리작업 계약금</t>
    <phoneticPr fontId="5" type="noConversion"/>
  </si>
  <si>
    <t>자동판걸이 업그레이드 계약금</t>
    <phoneticPr fontId="5" type="noConversion"/>
  </si>
  <si>
    <t>매일경제 매엽부</t>
    <phoneticPr fontId="4" type="noConversion"/>
  </si>
  <si>
    <t>매엽 롤러 세트</t>
    <phoneticPr fontId="16" type="noConversion"/>
  </si>
  <si>
    <t>유니트 드라이브 온도 센서</t>
    <phoneticPr fontId="16" type="noConversion"/>
  </si>
  <si>
    <t>윤전 롤러 세트</t>
    <phoneticPr fontId="16" type="noConversion"/>
  </si>
  <si>
    <t>잉크 레벨 센서</t>
    <phoneticPr fontId="16" type="noConversion"/>
  </si>
  <si>
    <t>잉크 전달 롤러 축</t>
    <phoneticPr fontId="16" type="noConversion"/>
  </si>
  <si>
    <t>잉크 전달 롤러 베어링</t>
    <phoneticPr fontId="16" type="noConversion"/>
  </si>
  <si>
    <t>신창디지털프린텍</t>
    <phoneticPr fontId="16" type="noConversion"/>
  </si>
  <si>
    <t>M-600 롤러 수리 서비스</t>
    <phoneticPr fontId="16" type="noConversion"/>
  </si>
  <si>
    <t>오일 분배기</t>
    <phoneticPr fontId="16" type="noConversion"/>
  </si>
  <si>
    <t>1월분 Apogee 사용료</t>
    <phoneticPr fontId="1" type="noConversion"/>
  </si>
  <si>
    <t>Saphira CTP 판 1030 x 790</t>
    <phoneticPr fontId="16" type="noConversion"/>
  </si>
  <si>
    <t>Saphira CTP 판 900 x 571</t>
    <phoneticPr fontId="1" type="noConversion"/>
  </si>
  <si>
    <t>Saphira CTP 판 883 x 552</t>
    <phoneticPr fontId="1" type="noConversion"/>
  </si>
  <si>
    <t>Saphira CTP 판 1030 x 800</t>
    <phoneticPr fontId="16" type="noConversion"/>
  </si>
  <si>
    <t>Saphira CTP 판 1055 x 811</t>
    <phoneticPr fontId="16" type="noConversion"/>
  </si>
  <si>
    <t>Saphira CTP 판 968 x 631</t>
    <phoneticPr fontId="16" type="noConversion"/>
  </si>
  <si>
    <t>사피라 현상액</t>
    <phoneticPr fontId="1" type="noConversion"/>
  </si>
  <si>
    <t>최초수입분</t>
    <phoneticPr fontId="16" type="noConversion"/>
  </si>
  <si>
    <t>닥터 블레이드 XL용</t>
    <phoneticPr fontId="16" type="noConversion"/>
  </si>
  <si>
    <t>예인미술</t>
    <phoneticPr fontId="16" type="noConversion"/>
  </si>
  <si>
    <t>23,1</t>
  </si>
  <si>
    <t>CTP 판 850*780 1250매</t>
    <phoneticPr fontId="16" type="noConversion"/>
  </si>
  <si>
    <t>폐판</t>
    <phoneticPr fontId="16" type="noConversion"/>
  </si>
  <si>
    <t>스페스</t>
    <phoneticPr fontId="1" type="noConversion"/>
  </si>
  <si>
    <t>오일 분배기</t>
    <phoneticPr fontId="21" type="noConversion"/>
  </si>
  <si>
    <t>2023-1-</t>
    <phoneticPr fontId="21" type="noConversion"/>
  </si>
  <si>
    <t>잉크 레벨 센서</t>
    <phoneticPr fontId="21" type="noConversion"/>
  </si>
  <si>
    <t>예인미술</t>
    <phoneticPr fontId="4" type="noConversion"/>
  </si>
  <si>
    <t>23,1 총 매출</t>
    <phoneticPr fontId="1" type="noConversion"/>
  </si>
  <si>
    <t>신창디지털프린텍</t>
    <phoneticPr fontId="26" type="noConversion"/>
  </si>
  <si>
    <t>23,1</t>
    <phoneticPr fontId="8" type="noConversion"/>
  </si>
  <si>
    <t>22,10</t>
    <phoneticPr fontId="8" type="noConversion"/>
  </si>
  <si>
    <t>2023,2</t>
    <phoneticPr fontId="1" type="noConversion"/>
  </si>
  <si>
    <t>23,2</t>
  </si>
  <si>
    <t>23,2</t>
    <phoneticPr fontId="1" type="noConversion"/>
  </si>
  <si>
    <t>Solenoid coil 외 부품</t>
    <phoneticPr fontId="16" type="noConversion"/>
  </si>
  <si>
    <t>Pressio 일제 신문포장기계 RV-9</t>
    <phoneticPr fontId="16" type="noConversion"/>
  </si>
  <si>
    <t>GOSS NEWSLINER 메인 클러치</t>
    <phoneticPr fontId="16" type="noConversion"/>
  </si>
  <si>
    <t>세척장치 고무</t>
    <phoneticPr fontId="16" type="noConversion"/>
  </si>
  <si>
    <t>2월부터 가격인상</t>
    <phoneticPr fontId="16" type="noConversion"/>
  </si>
  <si>
    <t>CTP 판 1030*790</t>
    <phoneticPr fontId="16" type="noConversion"/>
  </si>
  <si>
    <t>23,2</t>
    <phoneticPr fontId="16" type="noConversion"/>
  </si>
  <si>
    <t>ESI 수리 서비스비용</t>
    <phoneticPr fontId="16" type="noConversion"/>
  </si>
  <si>
    <t>Durapoint blade</t>
    <phoneticPr fontId="16" type="noConversion"/>
  </si>
  <si>
    <t>스플라이서 CPU</t>
    <phoneticPr fontId="16" type="noConversion"/>
  </si>
  <si>
    <t>솔레노이드 밸브 외 부품</t>
    <phoneticPr fontId="16" type="noConversion"/>
  </si>
  <si>
    <t>Pressio</t>
    <phoneticPr fontId="1" type="noConversion"/>
  </si>
  <si>
    <t>23,2 총 매출</t>
    <phoneticPr fontId="1" type="noConversion"/>
  </si>
  <si>
    <t>23,2</t>
    <phoneticPr fontId="8" type="noConversion"/>
  </si>
  <si>
    <t>물센서</t>
    <phoneticPr fontId="21" type="noConversion"/>
  </si>
  <si>
    <t>블레이드 나이프</t>
    <phoneticPr fontId="21" type="noConversion"/>
  </si>
  <si>
    <t>쇽 업죨버</t>
    <phoneticPr fontId="21" type="noConversion"/>
  </si>
  <si>
    <t>CPU 스플라이서</t>
    <phoneticPr fontId="21" type="noConversion"/>
  </si>
  <si>
    <t>2023,3</t>
    <phoneticPr fontId="1" type="noConversion"/>
  </si>
  <si>
    <t>23,3</t>
  </si>
  <si>
    <t>23,3</t>
    <phoneticPr fontId="1" type="noConversion"/>
  </si>
  <si>
    <t>23,3</t>
    <phoneticPr fontId="16" type="noConversion"/>
  </si>
  <si>
    <t>필름 현상기 부품, 부싱</t>
    <phoneticPr fontId="16" type="noConversion"/>
  </si>
  <si>
    <t>3월분 Apogee 사용료</t>
    <phoneticPr fontId="1" type="noConversion"/>
  </si>
  <si>
    <t>습식 엔드씰</t>
    <phoneticPr fontId="16" type="noConversion"/>
  </si>
  <si>
    <t>850*780 재단판 200장</t>
    <phoneticPr fontId="16" type="noConversion"/>
  </si>
  <si>
    <t>Flaked adhesive tape</t>
    <phoneticPr fontId="16" type="noConversion"/>
  </si>
  <si>
    <t>850*770 재단판 50장</t>
    <phoneticPr fontId="16" type="noConversion"/>
  </si>
  <si>
    <t>브레이크 디스크</t>
    <phoneticPr fontId="16" type="noConversion"/>
  </si>
  <si>
    <t>대흥</t>
    <phoneticPr fontId="16" type="noConversion"/>
  </si>
  <si>
    <t>그래픽스솔루션</t>
    <phoneticPr fontId="16" type="noConversion"/>
  </si>
  <si>
    <t>Harris Bruno</t>
    <phoneticPr fontId="1" type="noConversion"/>
  </si>
  <si>
    <t>브레이크 디스크</t>
    <phoneticPr fontId="21" type="noConversion"/>
  </si>
  <si>
    <t>flake adhesive tape</t>
    <phoneticPr fontId="21" type="noConversion"/>
  </si>
  <si>
    <t>23,3 총 매출</t>
    <phoneticPr fontId="1" type="noConversion"/>
  </si>
  <si>
    <t>2023,4</t>
    <phoneticPr fontId="1" type="noConversion"/>
  </si>
  <si>
    <t>23,4</t>
  </si>
  <si>
    <t>23,4</t>
    <phoneticPr fontId="1" type="noConversion"/>
  </si>
  <si>
    <t>X-rite Basic 농도계</t>
    <phoneticPr fontId="16" type="noConversion"/>
  </si>
  <si>
    <t>Cut off bar 15*15*60</t>
    <phoneticPr fontId="16" type="noConversion"/>
  </si>
  <si>
    <t>Vulkollan bar 300*16*8.7</t>
    <phoneticPr fontId="16" type="noConversion"/>
  </si>
  <si>
    <t>Pin screw L=24/31V smooth</t>
    <phoneticPr fontId="16" type="noConversion"/>
  </si>
  <si>
    <t>고무 롤러 유압 실린더</t>
    <phoneticPr fontId="16" type="noConversion"/>
  </si>
  <si>
    <t>현상기 물높이 센서</t>
    <phoneticPr fontId="16" type="noConversion"/>
  </si>
  <si>
    <t>M600 브랑켓트 언더패킹지</t>
    <phoneticPr fontId="16" type="noConversion"/>
  </si>
  <si>
    <t>고모리 수동 세척액</t>
    <phoneticPr fontId="16" type="noConversion"/>
  </si>
  <si>
    <t>수이보 세척액(습수액 클리너)</t>
    <phoneticPr fontId="16" type="noConversion"/>
  </si>
  <si>
    <t>압통 코팅제 - 퀵 프린트</t>
    <phoneticPr fontId="16" type="noConversion"/>
  </si>
  <si>
    <t>고모리 자동 세척액</t>
    <phoneticPr fontId="16" type="noConversion"/>
  </si>
  <si>
    <t>23,4</t>
    <phoneticPr fontId="16" type="noConversion"/>
  </si>
  <si>
    <t>4월분 Apogee 사용료</t>
    <phoneticPr fontId="1" type="noConversion"/>
  </si>
  <si>
    <t>Rotoman 수리 작업 잔금</t>
    <phoneticPr fontId="16" type="noConversion"/>
  </si>
  <si>
    <t>Rotoman 2차 수리 작업 계약금</t>
    <phoneticPr fontId="16" type="noConversion"/>
  </si>
  <si>
    <t>M600 윤전 롤러 세트</t>
    <phoneticPr fontId="16" type="noConversion"/>
  </si>
  <si>
    <t>전류 차단기</t>
    <phoneticPr fontId="16" type="noConversion"/>
  </si>
  <si>
    <t>스핀들 모터 엔코더</t>
    <phoneticPr fontId="16" type="noConversion"/>
  </si>
  <si>
    <t>스플라이서 모터 컨트롤 장치</t>
    <phoneticPr fontId="16" type="noConversion"/>
  </si>
  <si>
    <t>M-600 서비스 계약(1회차)</t>
    <phoneticPr fontId="16" type="noConversion"/>
  </si>
  <si>
    <t>블랑켓 - 고모리 용 (1040*920)</t>
    <phoneticPr fontId="16" type="noConversion"/>
  </si>
  <si>
    <t>고무롤러 유압 실린더</t>
    <phoneticPr fontId="21" type="noConversion"/>
  </si>
  <si>
    <t>cut off bar 15*15*600</t>
    <phoneticPr fontId="21" type="noConversion"/>
  </si>
  <si>
    <t>pin screw, L=24/31</t>
    <phoneticPr fontId="21" type="noConversion"/>
  </si>
  <si>
    <t>connecting cable with plugs</t>
    <phoneticPr fontId="21" type="noConversion"/>
  </si>
  <si>
    <t>Grease molydal 3790</t>
    <phoneticPr fontId="21" type="noConversion"/>
  </si>
  <si>
    <t>에프엔씨디자인</t>
    <phoneticPr fontId="4" type="noConversion"/>
  </si>
  <si>
    <t>23,4</t>
    <phoneticPr fontId="8" type="noConversion"/>
  </si>
  <si>
    <t>2023,5</t>
    <phoneticPr fontId="1" type="noConversion"/>
  </si>
  <si>
    <t>23,5</t>
    <phoneticPr fontId="1" type="noConversion"/>
  </si>
  <si>
    <t>제판실 베어링</t>
    <phoneticPr fontId="16" type="noConversion"/>
  </si>
  <si>
    <t>23,5</t>
    <phoneticPr fontId="16" type="noConversion"/>
  </si>
  <si>
    <t>5월분 Apogee 사용료</t>
    <phoneticPr fontId="1" type="noConversion"/>
  </si>
  <si>
    <t>23,5</t>
  </si>
  <si>
    <t>Rotoman 롤러 세트</t>
    <phoneticPr fontId="16" type="noConversion"/>
  </si>
  <si>
    <t>고모리 국전용 UV Lamp</t>
  </si>
  <si>
    <t>고모리 국전용 UV Lamp</t>
    <phoneticPr fontId="16" type="noConversion"/>
  </si>
  <si>
    <t>폴더 접지 방향 변경 작업 부품</t>
    <phoneticPr fontId="16" type="noConversion"/>
  </si>
  <si>
    <t>폴더 접지 방향 변경 개조작업 인건비</t>
    <phoneticPr fontId="16" type="noConversion"/>
  </si>
  <si>
    <t>경남신문</t>
    <phoneticPr fontId="16" type="noConversion"/>
  </si>
  <si>
    <t>잉크키 CPU Board</t>
    <phoneticPr fontId="16" type="noConversion"/>
  </si>
  <si>
    <t>마틴 언와인더 아이솔레이션 모터 수리비</t>
    <phoneticPr fontId="16" type="noConversion"/>
  </si>
  <si>
    <t>4월 계산서 발행건 수정</t>
    <phoneticPr fontId="16" type="noConversion"/>
  </si>
  <si>
    <t>필름 출력기 부품 - 기어</t>
    <phoneticPr fontId="16" type="noConversion"/>
  </si>
  <si>
    <t>팩컴 부품</t>
    <phoneticPr fontId="21" type="noConversion"/>
  </si>
  <si>
    <t>Sheet, Ink key protection</t>
    <phoneticPr fontId="21" type="noConversion"/>
  </si>
  <si>
    <t>CPU Board</t>
    <phoneticPr fontId="21" type="noConversion"/>
  </si>
  <si>
    <t xml:space="preserve">Festo Valve </t>
    <phoneticPr fontId="21" type="noConversion"/>
  </si>
  <si>
    <t>Festo type 03 IFB6-03</t>
    <phoneticPr fontId="21" type="noConversion"/>
  </si>
  <si>
    <t>Fest solenoid valve JMT</t>
    <phoneticPr fontId="21" type="noConversion"/>
  </si>
  <si>
    <t>Festo solenoid valve 159453</t>
    <phoneticPr fontId="21" type="noConversion"/>
  </si>
  <si>
    <t>택배비 포함(개당  12,705)</t>
    <phoneticPr fontId="16" type="noConversion"/>
  </si>
  <si>
    <t>예인미술</t>
    <phoneticPr fontId="21" type="noConversion"/>
  </si>
  <si>
    <t>대산인쇄공사</t>
    <phoneticPr fontId="4" type="noConversion"/>
  </si>
  <si>
    <t>23,4 총 매출</t>
    <phoneticPr fontId="1" type="noConversion"/>
  </si>
  <si>
    <t>23,5 총 매출</t>
    <phoneticPr fontId="1" type="noConversion"/>
  </si>
  <si>
    <t>23,5</t>
    <phoneticPr fontId="8" type="noConversion"/>
  </si>
  <si>
    <t>경남신문</t>
    <phoneticPr fontId="26" type="noConversion"/>
  </si>
  <si>
    <t>2023,6</t>
    <phoneticPr fontId="1" type="noConversion"/>
  </si>
  <si>
    <t>CTP 판 1030*790</t>
  </si>
  <si>
    <t>Agfa Film(24inch)</t>
  </si>
  <si>
    <t>Agfa Film(28inch)</t>
  </si>
  <si>
    <t>Agfa Film(32inch)</t>
  </si>
  <si>
    <t>Agfa 정착액 G333C(20L)</t>
  </si>
  <si>
    <t>챔버 닥터블레이드 - XL106용</t>
    <phoneticPr fontId="16" type="noConversion"/>
  </si>
  <si>
    <t>Technotrans beta.f 필터 세트</t>
    <phoneticPr fontId="16" type="noConversion"/>
  </si>
  <si>
    <t>Connector for union unit</t>
    <phoneticPr fontId="16" type="noConversion"/>
  </si>
  <si>
    <t>제판 서비스 + 부품</t>
    <phoneticPr fontId="16" type="noConversion"/>
  </si>
  <si>
    <t>DRIve motor 제판실 부품</t>
    <phoneticPr fontId="16" type="noConversion"/>
  </si>
  <si>
    <t>고무 사카</t>
    <phoneticPr fontId="16" type="noConversion"/>
  </si>
  <si>
    <t>23,6</t>
  </si>
  <si>
    <t>23,6</t>
    <phoneticPr fontId="1" type="noConversion"/>
  </si>
  <si>
    <t>23,6</t>
    <phoneticPr fontId="16" type="noConversion"/>
  </si>
  <si>
    <t>M-600 서비스 계약(2회차)</t>
    <phoneticPr fontId="16" type="noConversion"/>
  </si>
  <si>
    <t>사륙 윤전기 자동 판 교환 시스템 업그레이드</t>
    <phoneticPr fontId="16" type="noConversion"/>
  </si>
  <si>
    <t>자동 판 교환 시스템 업그레이드 작업 잔금 50%</t>
    <phoneticPr fontId="16" type="noConversion"/>
  </si>
  <si>
    <t>Vpak ESI 필라멘트 부품</t>
    <phoneticPr fontId="16" type="noConversion"/>
  </si>
  <si>
    <t>DC Solenoid with plug</t>
    <phoneticPr fontId="16" type="noConversion"/>
  </si>
  <si>
    <t>Sheet metal plate</t>
    <phoneticPr fontId="16" type="noConversion"/>
  </si>
  <si>
    <t>DR-Beta.f. 필터 브라운</t>
    <phoneticPr fontId="21" type="noConversion"/>
  </si>
  <si>
    <t>DR-Beta.f 필터 화이트</t>
    <phoneticPr fontId="21" type="noConversion"/>
  </si>
  <si>
    <t>filter bag single layer</t>
    <phoneticPr fontId="21" type="noConversion"/>
  </si>
  <si>
    <t>filter bag double layer</t>
    <phoneticPr fontId="21" type="noConversion"/>
  </si>
  <si>
    <t>대림칼라 3개 7/21 1개 잔여</t>
    <phoneticPr fontId="21" type="noConversion"/>
  </si>
  <si>
    <t>DC solenoid with plug</t>
    <phoneticPr fontId="21" type="noConversion"/>
  </si>
  <si>
    <t>sheet metal plate</t>
    <phoneticPr fontId="21" type="noConversion"/>
  </si>
  <si>
    <t>cutting knife</t>
    <phoneticPr fontId="21" type="noConversion"/>
  </si>
  <si>
    <t>재능(계약)</t>
    <phoneticPr fontId="16" type="noConversion"/>
  </si>
  <si>
    <t>재능(계약)</t>
    <phoneticPr fontId="5" type="noConversion"/>
  </si>
  <si>
    <t>23,6</t>
    <phoneticPr fontId="8" type="noConversion"/>
  </si>
  <si>
    <t>23,6 총 매출</t>
    <phoneticPr fontId="1" type="noConversion"/>
  </si>
  <si>
    <t>2023,7</t>
    <phoneticPr fontId="1" type="noConversion"/>
  </si>
  <si>
    <t>23,7</t>
  </si>
  <si>
    <t>23,7</t>
    <phoneticPr fontId="1" type="noConversion"/>
  </si>
  <si>
    <t>제판실 서비스비용</t>
    <phoneticPr fontId="16" type="noConversion"/>
  </si>
  <si>
    <t>약물 도저용 피스톤</t>
    <phoneticPr fontId="16" type="noConversion"/>
  </si>
  <si>
    <t>무료 - 종이 보상건</t>
    <phoneticPr fontId="16" type="noConversion"/>
  </si>
  <si>
    <t>에이원팩</t>
    <phoneticPr fontId="16" type="noConversion"/>
  </si>
  <si>
    <t>대웅피앤피</t>
    <phoneticPr fontId="16" type="noConversion"/>
  </si>
  <si>
    <t>블랑켓 - 하이델베르그 국전용 1050*840</t>
    <phoneticPr fontId="16" type="noConversion"/>
  </si>
  <si>
    <t>23,7</t>
    <phoneticPr fontId="16" type="noConversion"/>
  </si>
  <si>
    <t>별색 - P 801 C(한특)</t>
    <phoneticPr fontId="16" type="noConversion"/>
  </si>
  <si>
    <t>7월분 Apogee 사용료</t>
    <phoneticPr fontId="1" type="noConversion"/>
  </si>
  <si>
    <t>M600 자동 판걸이 업그레이드 잔금 50%</t>
    <phoneticPr fontId="16" type="noConversion"/>
  </si>
  <si>
    <t>대웅피앤피</t>
    <phoneticPr fontId="4" type="noConversion"/>
  </si>
  <si>
    <t>에이원팩</t>
    <phoneticPr fontId="7" type="noConversion"/>
  </si>
  <si>
    <t>프린피아 북시티</t>
    <phoneticPr fontId="16" type="noConversion"/>
  </si>
  <si>
    <t>M600 자동판걸이 서비스비용</t>
    <phoneticPr fontId="16" type="noConversion"/>
  </si>
  <si>
    <t>23,7</t>
    <phoneticPr fontId="8" type="noConversion"/>
  </si>
  <si>
    <t>23,7 총 매출</t>
    <phoneticPr fontId="1" type="noConversion"/>
  </si>
  <si>
    <t>2023,8</t>
    <phoneticPr fontId="1" type="noConversion"/>
  </si>
  <si>
    <t>23,8</t>
    <phoneticPr fontId="1" type="noConversion"/>
  </si>
  <si>
    <t>서천인더스트리</t>
    <phoneticPr fontId="1" type="noConversion"/>
  </si>
  <si>
    <t>폐판</t>
    <phoneticPr fontId="1" type="noConversion"/>
  </si>
  <si>
    <t>23,8</t>
  </si>
  <si>
    <t>CTP 판 1030*790</t>
    <phoneticPr fontId="1" type="noConversion"/>
  </si>
  <si>
    <t>CTP 현상액</t>
    <phoneticPr fontId="1" type="noConversion"/>
  </si>
  <si>
    <t>2월부터 가격인상</t>
    <phoneticPr fontId="1" type="noConversion"/>
  </si>
  <si>
    <t>고모리 윤전 블랑켓 건식 세정포 - 국전용</t>
    <phoneticPr fontId="1" type="noConversion"/>
  </si>
  <si>
    <t>고모리 윤전 블랑켓 건식 세정포 - 4x6용</t>
    <phoneticPr fontId="1" type="noConversion"/>
  </si>
  <si>
    <t>센서 테이프 - 흑색</t>
    <phoneticPr fontId="1" type="noConversion"/>
  </si>
  <si>
    <t>문구</t>
    <phoneticPr fontId="1" type="noConversion"/>
  </si>
  <si>
    <t>XL106 Blanket(1077*885)</t>
    <phoneticPr fontId="1" type="noConversion"/>
  </si>
  <si>
    <t>매엽</t>
    <phoneticPr fontId="1" type="noConversion"/>
  </si>
  <si>
    <t>세정포-XL106</t>
    <phoneticPr fontId="1" type="noConversion"/>
  </si>
  <si>
    <t>수이보 세척액(습수액 클리너)</t>
    <phoneticPr fontId="1" type="noConversion"/>
  </si>
  <si>
    <t>고모리 수동 세척액</t>
    <phoneticPr fontId="1" type="noConversion"/>
  </si>
  <si>
    <t>흡입 싸카통</t>
    <phoneticPr fontId="1" type="noConversion"/>
  </si>
  <si>
    <t>XL 집진기 필터</t>
    <phoneticPr fontId="1" type="noConversion"/>
  </si>
  <si>
    <t>Saphira CTP 판 1030 x 790</t>
    <phoneticPr fontId="1" type="noConversion"/>
  </si>
  <si>
    <t>최초수입분</t>
    <phoneticPr fontId="1" type="noConversion"/>
  </si>
  <si>
    <t>Saphira CTP 판 1030 x 800</t>
    <phoneticPr fontId="1" type="noConversion"/>
  </si>
  <si>
    <t>Saphira CTP 판 1055 x 811</t>
    <phoneticPr fontId="1" type="noConversion"/>
  </si>
  <si>
    <t>Saphira CTP 판 968 x 631</t>
    <phoneticPr fontId="1" type="noConversion"/>
  </si>
  <si>
    <t>별색 - PT 810C 형광등</t>
    <phoneticPr fontId="1" type="noConversion"/>
  </si>
  <si>
    <t>M-600 서비스 계약(3회차)</t>
    <phoneticPr fontId="1" type="noConversion"/>
  </si>
  <si>
    <t>23,8</t>
    <phoneticPr fontId="8" type="noConversion"/>
  </si>
  <si>
    <t>2023,9</t>
    <phoneticPr fontId="1" type="noConversion"/>
  </si>
  <si>
    <t>23,9</t>
  </si>
  <si>
    <t>23,9</t>
    <phoneticPr fontId="1" type="noConversion"/>
  </si>
  <si>
    <t>전기 판넬 필터 세트</t>
    <phoneticPr fontId="16" type="noConversion"/>
  </si>
  <si>
    <t>급지부 섹션 호스 10M</t>
    <phoneticPr fontId="16" type="noConversion"/>
  </si>
  <si>
    <t>전진 서커 속대(긴것)</t>
    <phoneticPr fontId="16" type="noConversion"/>
  </si>
  <si>
    <t>중간 서커 속대(짧은 것)</t>
    <phoneticPr fontId="16" type="noConversion"/>
  </si>
  <si>
    <t>고무장갑</t>
    <phoneticPr fontId="16" type="noConversion"/>
  </si>
  <si>
    <t>방화벽 장치</t>
    <phoneticPr fontId="16" type="noConversion"/>
  </si>
  <si>
    <t>9월분 Apogee 사용료</t>
    <phoneticPr fontId="1" type="noConversion"/>
  </si>
  <si>
    <t>서비스 비용(필름출력기)</t>
    <phoneticPr fontId="16" type="noConversion"/>
  </si>
  <si>
    <t>UV 램프 국전</t>
    <phoneticPr fontId="16" type="noConversion"/>
  </si>
  <si>
    <t>Spring Blade</t>
    <phoneticPr fontId="16" type="noConversion"/>
  </si>
  <si>
    <t>Tucker blade</t>
    <phoneticPr fontId="16" type="noConversion"/>
  </si>
  <si>
    <t>Vulkollan bar</t>
    <phoneticPr fontId="16" type="noConversion"/>
  </si>
  <si>
    <t>매엽 윤전 Roller set</t>
    <phoneticPr fontId="16" type="noConversion"/>
  </si>
  <si>
    <t>별색 - PT 801C</t>
    <phoneticPr fontId="1" type="noConversion"/>
  </si>
  <si>
    <t>2022년 1월</t>
    <phoneticPr fontId="32" type="noConversion"/>
  </si>
  <si>
    <t>2022년 2월</t>
    <phoneticPr fontId="32" type="noConversion"/>
  </si>
  <si>
    <t>2022년 3월</t>
  </si>
  <si>
    <t>2022년 4월</t>
  </si>
  <si>
    <t>2022년 5월</t>
  </si>
  <si>
    <t>2022년 6월</t>
  </si>
  <si>
    <t>2022년 7월</t>
  </si>
  <si>
    <t>2022년 8월</t>
  </si>
  <si>
    <t>2022년 9월</t>
  </si>
  <si>
    <t>2022년 10월</t>
  </si>
  <si>
    <t>2022년 11월</t>
  </si>
  <si>
    <t>2023년 1월</t>
    <phoneticPr fontId="32" type="noConversion"/>
  </si>
  <si>
    <t>2023년 2월</t>
  </si>
  <si>
    <t>2023년 3월</t>
  </si>
  <si>
    <t>2023년 4월</t>
  </si>
  <si>
    <t>2023년 5월</t>
  </si>
  <si>
    <t>2023년 6월</t>
  </si>
  <si>
    <t>2023년 7월</t>
  </si>
  <si>
    <t>2023년 8월</t>
  </si>
  <si>
    <t>2023년 9월</t>
  </si>
  <si>
    <t>2023년 10월</t>
  </si>
  <si>
    <t>2023년 11월</t>
  </si>
  <si>
    <t>2023년 12월</t>
  </si>
  <si>
    <t>2022년 12월</t>
    <phoneticPr fontId="32" type="noConversion"/>
  </si>
  <si>
    <t>이에스테크</t>
    <phoneticPr fontId="16" type="noConversion"/>
  </si>
  <si>
    <t>perforating knife</t>
    <phoneticPr fontId="21" type="noConversion"/>
  </si>
  <si>
    <t>EQUIPMENT FIREWALL(방화벽 모뎀)</t>
    <phoneticPr fontId="21" type="noConversion"/>
  </si>
  <si>
    <t>23,9 총 매출</t>
    <phoneticPr fontId="1" type="noConversion"/>
  </si>
  <si>
    <t>한특잉크</t>
    <phoneticPr fontId="1" type="noConversion"/>
  </si>
  <si>
    <t>2023,10</t>
    <phoneticPr fontId="1" type="noConversion"/>
  </si>
  <si>
    <t>23,10</t>
  </si>
  <si>
    <t>23,10</t>
    <phoneticPr fontId="1" type="noConversion"/>
  </si>
  <si>
    <t>23,10</t>
    <phoneticPr fontId="16" type="noConversion"/>
  </si>
  <si>
    <t>롤러 지분 칼슘 제거제</t>
    <phoneticPr fontId="16" type="noConversion"/>
  </si>
  <si>
    <t>15개 납품</t>
    <phoneticPr fontId="16" type="noConversion"/>
  </si>
  <si>
    <t>K-11 수량 조절해서 납품</t>
    <phoneticPr fontId="16" type="noConversion"/>
  </si>
  <si>
    <t>Saphira CTP 판 1030 x 790</t>
  </si>
  <si>
    <t>Saphira CTP 판 900 x 571</t>
  </si>
  <si>
    <t>Saphira CTP 판 883 x 552</t>
  </si>
  <si>
    <t>Saphira CTP 판 1030 x 800</t>
  </si>
  <si>
    <t>Saphira CTP 판 1055 x 811</t>
  </si>
  <si>
    <t>Saphira CTP 판 968 x 631</t>
  </si>
  <si>
    <t>사피라 현상액</t>
  </si>
  <si>
    <t>별색 - PT 801C</t>
  </si>
  <si>
    <t>윤전 블랑켓</t>
  </si>
  <si>
    <t>9월분 Apogee 사용료</t>
  </si>
  <si>
    <t>10월분 Apogee 사용료</t>
    <phoneticPr fontId="1" type="noConversion"/>
  </si>
  <si>
    <t>M-600 서비스 계약(4회차)</t>
    <phoneticPr fontId="1" type="noConversion"/>
  </si>
  <si>
    <t>M600 드라이어 열풍 팬 제작 및 조립</t>
    <phoneticPr fontId="16" type="noConversion"/>
  </si>
  <si>
    <t>850*680 CTP판</t>
    <phoneticPr fontId="16" type="noConversion"/>
  </si>
  <si>
    <t>판걸이 튜브 교체 인건비</t>
    <phoneticPr fontId="16" type="noConversion"/>
  </si>
  <si>
    <t>23,10 총 매출</t>
    <phoneticPr fontId="1" type="noConversion"/>
  </si>
  <si>
    <t>23,10</t>
    <phoneticPr fontId="8" type="noConversion"/>
  </si>
  <si>
    <t>1롤만 납품 + 그래픽스솔루션 방문서비스 35만</t>
    <phoneticPr fontId="16" type="noConversion"/>
  </si>
  <si>
    <t>2023,11</t>
    <phoneticPr fontId="1" type="noConversion"/>
  </si>
  <si>
    <t>23,11</t>
  </si>
  <si>
    <t>23,11</t>
    <phoneticPr fontId="1" type="noConversion"/>
  </si>
  <si>
    <t>아대 모터</t>
    <phoneticPr fontId="16" type="noConversion"/>
  </si>
  <si>
    <t>GOSS 신문윤전기 습수 크롬로라 스트로크 실린더</t>
    <phoneticPr fontId="16" type="noConversion"/>
  </si>
  <si>
    <t>metering piston 도져 부품</t>
    <phoneticPr fontId="16" type="noConversion"/>
  </si>
  <si>
    <t>접착 아스테이지 - 로랜드 전지용</t>
    <phoneticPr fontId="16" type="noConversion"/>
  </si>
  <si>
    <t>필름출력기 서비스, 부품</t>
    <phoneticPr fontId="16" type="noConversion"/>
  </si>
  <si>
    <t xml:space="preserve">	M600 판걸이 튜브 하부1개, 상부2개</t>
    <phoneticPr fontId="16" type="noConversion"/>
  </si>
  <si>
    <t>FLAMEROD(M600용)2개</t>
    <phoneticPr fontId="16" type="noConversion"/>
  </si>
  <si>
    <t>파워서플라이(M600용)</t>
    <phoneticPr fontId="16" type="noConversion"/>
  </si>
  <si>
    <t>Inductive sensor</t>
    <phoneticPr fontId="16" type="noConversion"/>
  </si>
  <si>
    <t>Flake adhesive tape</t>
    <phoneticPr fontId="16" type="noConversion"/>
  </si>
  <si>
    <t>Embedded controler</t>
    <phoneticPr fontId="16" type="noConversion"/>
  </si>
  <si>
    <t>M-600B 잉크 키 모터 업그레이드 계약금 30%</t>
    <phoneticPr fontId="16" type="noConversion"/>
  </si>
  <si>
    <t>자동 판 교환 시스템 업그레이드 부품 구매 계약금 30%</t>
    <phoneticPr fontId="16" type="noConversion"/>
  </si>
  <si>
    <t>드라이어 팬 제작(스페어)</t>
    <phoneticPr fontId="16" type="noConversion"/>
  </si>
  <si>
    <t>리프 스프링, 필라멘트 외</t>
    <phoneticPr fontId="16" type="noConversion"/>
  </si>
  <si>
    <t>호일 36“ PRD</t>
    <phoneticPr fontId="16" type="noConversion"/>
  </si>
  <si>
    <t>O-ring (v) 139x28.5 ID</t>
    <phoneticPr fontId="16" type="noConversion"/>
  </si>
  <si>
    <t>Spraybar sleeve assy</t>
    <phoneticPr fontId="16" type="noConversion"/>
  </si>
  <si>
    <t>Spray Hex Jam Nut</t>
    <phoneticPr fontId="16" type="noConversion"/>
  </si>
  <si>
    <t>Goss Japan</t>
    <phoneticPr fontId="16" type="noConversion"/>
  </si>
  <si>
    <t>프레임로드</t>
    <phoneticPr fontId="21" type="noConversion"/>
  </si>
  <si>
    <t>Inductive sensor</t>
    <phoneticPr fontId="21" type="noConversion"/>
  </si>
  <si>
    <t>1롤만 납품</t>
    <phoneticPr fontId="16" type="noConversion"/>
  </si>
  <si>
    <t>판걸이튜브, 잉크키모터 계약</t>
    <phoneticPr fontId="5" type="noConversion"/>
  </si>
  <si>
    <t>Customer</t>
  </si>
  <si>
    <t>국전 블랑켓 패킹지 0.22</t>
    <phoneticPr fontId="16" type="noConversion"/>
  </si>
  <si>
    <t>국전 블랑켓 패킹지 0.20</t>
    <phoneticPr fontId="16" type="noConversion"/>
  </si>
  <si>
    <t>물 수위 센서</t>
    <phoneticPr fontId="16" type="noConversion"/>
  </si>
  <si>
    <t>하이델 로라세척용 칼집</t>
    <phoneticPr fontId="16" type="noConversion"/>
  </si>
  <si>
    <t>스위버링 레버 DS</t>
    <phoneticPr fontId="16" type="noConversion"/>
  </si>
  <si>
    <t>스위버링 레버 OS</t>
    <phoneticPr fontId="16" type="noConversion"/>
  </si>
  <si>
    <t>슬라이딩 블록</t>
    <phoneticPr fontId="16" type="noConversion"/>
  </si>
  <si>
    <t>베어링 쉘</t>
    <phoneticPr fontId="16" type="noConversion"/>
  </si>
  <si>
    <t>스위버 집</t>
    <phoneticPr fontId="16" type="noConversion"/>
  </si>
  <si>
    <t>별색 - PT 810C 형광등</t>
  </si>
  <si>
    <t>최초수입분</t>
  </si>
  <si>
    <t xml:space="preserve">윤전 </t>
  </si>
  <si>
    <t>12월분 Apogee 사용료</t>
    <phoneticPr fontId="16" type="noConversion"/>
  </si>
  <si>
    <t>23,12</t>
  </si>
  <si>
    <t>23,12</t>
    <phoneticPr fontId="1" type="noConversion"/>
  </si>
  <si>
    <t>23,12</t>
    <phoneticPr fontId="16" type="noConversion"/>
  </si>
  <si>
    <t>2023,12</t>
    <phoneticPr fontId="1" type="noConversion"/>
  </si>
  <si>
    <t>무신인쇄기계</t>
    <phoneticPr fontId="16" type="noConversion"/>
  </si>
  <si>
    <t>synchronous motor RSM 36/8 F cable+plug</t>
    <phoneticPr fontId="16" type="noConversion"/>
  </si>
  <si>
    <t>항공운송비</t>
    <phoneticPr fontId="16" type="noConversion"/>
  </si>
  <si>
    <t>ESI 진공문제 점검(10/30-31)</t>
    <phoneticPr fontId="16" type="noConversion"/>
  </si>
  <si>
    <t>ESI 엔지니어 방문시 부품 DOSIKIT 외 7종</t>
    <phoneticPr fontId="16" type="noConversion"/>
  </si>
  <si>
    <t>ESI 엔지니어 방문 수리 비용</t>
    <phoneticPr fontId="16" type="noConversion"/>
  </si>
  <si>
    <t>브러쉬, 하드 스톱</t>
    <phoneticPr fontId="16" type="noConversion"/>
  </si>
  <si>
    <t>드라이어 온도 센서 (WH.942725)</t>
  </si>
  <si>
    <t>드라이어 온도 센서 (WH.942725)</t>
    <phoneticPr fontId="16" type="noConversion"/>
  </si>
  <si>
    <t>드라이어 온도 센서 (WH.942786)</t>
  </si>
  <si>
    <t>드라이어 온도 센서 (WH.942786)</t>
    <phoneticPr fontId="16" type="noConversion"/>
  </si>
  <si>
    <t>드라이어 온도 센서 (WH.916671)</t>
  </si>
  <si>
    <t>드라이어 온도 센서 (WH.916671)</t>
    <phoneticPr fontId="16" type="noConversion"/>
  </si>
  <si>
    <t>Honle</t>
    <phoneticPr fontId="16" type="noConversion"/>
  </si>
  <si>
    <t>Proximity sensor</t>
    <phoneticPr fontId="21" type="noConversion"/>
  </si>
  <si>
    <t>Festo pressure</t>
    <phoneticPr fontId="21" type="noConversion"/>
  </si>
  <si>
    <t>festo solenoid  valve</t>
    <phoneticPr fontId="21" type="noConversion"/>
  </si>
  <si>
    <t xml:space="preserve">actuator  </t>
    <phoneticPr fontId="21" type="noConversion"/>
  </si>
  <si>
    <t>대산</t>
    <phoneticPr fontId="21" type="noConversion"/>
  </si>
  <si>
    <t>매일경제 윤전</t>
    <phoneticPr fontId="21" type="noConversion"/>
  </si>
  <si>
    <t>싱크로나이즈 모터</t>
    <phoneticPr fontId="21" type="noConversion"/>
  </si>
  <si>
    <t>무신인쇄기계</t>
    <phoneticPr fontId="21" type="noConversion"/>
  </si>
  <si>
    <t>스트리퍼 T34124</t>
    <phoneticPr fontId="21" type="noConversion"/>
  </si>
  <si>
    <t>23,11 총 매출</t>
    <phoneticPr fontId="1" type="noConversion"/>
  </si>
  <si>
    <t>23,12 총 매출</t>
    <phoneticPr fontId="1" type="noConversion"/>
  </si>
  <si>
    <t>23,12</t>
    <phoneticPr fontId="8" type="noConversion"/>
  </si>
  <si>
    <t>무신인쇄기계</t>
    <phoneticPr fontId="26" type="noConversion"/>
  </si>
  <si>
    <t>2024,1</t>
    <phoneticPr fontId="1" type="noConversion"/>
  </si>
  <si>
    <t>24,1</t>
  </si>
  <si>
    <t>24,1</t>
    <phoneticPr fontId="1" type="noConversion"/>
  </si>
  <si>
    <t>가스 밸브 모터</t>
    <phoneticPr fontId="16" type="noConversion"/>
  </si>
  <si>
    <t>1월분 Apogee 사용료</t>
    <phoneticPr fontId="16" type="noConversion"/>
  </si>
  <si>
    <t>고무사카 빨간색</t>
  </si>
  <si>
    <t>필름출력기 , 현상기 부품</t>
    <phoneticPr fontId="16" type="noConversion"/>
  </si>
  <si>
    <t>Gudgeon</t>
    <phoneticPr fontId="16" type="noConversion"/>
  </si>
  <si>
    <t>Stud, adjusting</t>
    <phoneticPr fontId="16" type="noConversion"/>
  </si>
  <si>
    <t>Clamping collar</t>
    <phoneticPr fontId="16" type="noConversion"/>
  </si>
  <si>
    <t>Ring</t>
    <phoneticPr fontId="16" type="noConversion"/>
  </si>
  <si>
    <t>릴레이 K1153</t>
    <phoneticPr fontId="16" type="noConversion"/>
  </si>
  <si>
    <t>850*680 판재 100장</t>
    <phoneticPr fontId="16" type="noConversion"/>
  </si>
  <si>
    <t>엠프린트</t>
    <phoneticPr fontId="21" type="noConversion"/>
  </si>
  <si>
    <t>Relay K1153</t>
    <phoneticPr fontId="21" type="noConversion"/>
  </si>
  <si>
    <t>Stud, Adjusting</t>
    <phoneticPr fontId="21" type="noConversion"/>
  </si>
  <si>
    <t>Clamping Collar</t>
    <phoneticPr fontId="21" type="noConversion"/>
  </si>
  <si>
    <t>Ring</t>
    <phoneticPr fontId="21" type="noConversion"/>
  </si>
  <si>
    <t>O-ring R24</t>
    <phoneticPr fontId="21" type="noConversion"/>
  </si>
  <si>
    <t>타임 릴레이</t>
    <phoneticPr fontId="21" type="noConversion"/>
  </si>
  <si>
    <t>2024,1</t>
    <phoneticPr fontId="5" type="noConversion"/>
  </si>
  <si>
    <t>24,1 총 매출</t>
    <phoneticPr fontId="1" type="noConversion"/>
  </si>
  <si>
    <t>프린피아 북시티</t>
    <phoneticPr fontId="5" type="noConversion"/>
  </si>
  <si>
    <t>24,1</t>
    <phoneticPr fontId="8" type="noConversion"/>
  </si>
  <si>
    <t>2024,2</t>
    <phoneticPr fontId="1" type="noConversion"/>
  </si>
  <si>
    <t>24,2</t>
  </si>
  <si>
    <t>24,2</t>
    <phoneticPr fontId="1" type="noConversion"/>
  </si>
  <si>
    <t>삼각 강판</t>
    <phoneticPr fontId="16" type="noConversion"/>
  </si>
  <si>
    <t>순환 펌프</t>
    <phoneticPr fontId="16" type="noConversion"/>
  </si>
  <si>
    <t>2월분 Apogee 사용료</t>
    <phoneticPr fontId="16" type="noConversion"/>
  </si>
  <si>
    <t>Blanket(1077*885)</t>
    <phoneticPr fontId="16" type="noConversion"/>
  </si>
  <si>
    <t>블랑켓 1050*840 - Event</t>
    <phoneticPr fontId="16" type="noConversion"/>
  </si>
  <si>
    <t>블랑켓 1050*840 - Zenith</t>
    <phoneticPr fontId="16" type="noConversion"/>
  </si>
  <si>
    <t>IST UV Lamp 홀더</t>
    <phoneticPr fontId="16" type="noConversion"/>
  </si>
  <si>
    <t>윤전, 매엽 롤러 세트</t>
    <phoneticPr fontId="16" type="noConversion"/>
  </si>
  <si>
    <t>하리 조정 장치 축</t>
    <phoneticPr fontId="16" type="noConversion"/>
  </si>
  <si>
    <t>실제 납품 X 계산서만 발행</t>
    <phoneticPr fontId="16" type="noConversion"/>
  </si>
  <si>
    <t>브레이크 라이닝 Rotoman</t>
    <phoneticPr fontId="16" type="noConversion"/>
  </si>
  <si>
    <t>브레이크 라이닝 M600</t>
    <phoneticPr fontId="16" type="noConversion"/>
  </si>
  <si>
    <t>Photoelectric sensor</t>
    <phoneticPr fontId="16" type="noConversion"/>
  </si>
  <si>
    <t>Circuit board</t>
    <phoneticPr fontId="16" type="noConversion"/>
  </si>
  <si>
    <t>Interbus module</t>
    <phoneticPr fontId="16" type="noConversion"/>
  </si>
  <si>
    <t>케이엠피</t>
    <phoneticPr fontId="4" type="noConversion"/>
  </si>
  <si>
    <t>2024,2</t>
    <phoneticPr fontId="5" type="noConversion"/>
  </si>
  <si>
    <t>24,2 총 매출</t>
    <phoneticPr fontId="1" type="noConversion"/>
  </si>
  <si>
    <t>Stud, 하리 고정장치 축</t>
    <phoneticPr fontId="21" type="noConversion"/>
  </si>
  <si>
    <t>브레이크 라이닝 M600</t>
    <phoneticPr fontId="21" type="noConversion"/>
  </si>
  <si>
    <t>브레이크 라이닝 Rotoman</t>
    <phoneticPr fontId="21" type="noConversion"/>
  </si>
  <si>
    <t>photoeclectric sensor</t>
    <phoneticPr fontId="21" type="noConversion"/>
  </si>
  <si>
    <t>circuit board</t>
    <phoneticPr fontId="21" type="noConversion"/>
  </si>
  <si>
    <t>Interbus module CNT-2D</t>
    <phoneticPr fontId="21" type="noConversion"/>
  </si>
  <si>
    <t>Compressed air cylinder</t>
    <phoneticPr fontId="21" type="noConversion"/>
  </si>
  <si>
    <t>Interbus module AOT-1</t>
    <phoneticPr fontId="21" type="noConversion"/>
  </si>
  <si>
    <t>재고</t>
    <phoneticPr fontId="21" type="noConversion"/>
  </si>
  <si>
    <t>MGWS</t>
    <phoneticPr fontId="16" type="noConversion"/>
  </si>
  <si>
    <t>2024,3</t>
    <phoneticPr fontId="1" type="noConversion"/>
  </si>
  <si>
    <t>24,3</t>
  </si>
  <si>
    <t>24,3</t>
    <phoneticPr fontId="1" type="noConversion"/>
  </si>
  <si>
    <t>고모리 윤전 블랑켓 건식 세정포 - 4x6용</t>
  </si>
  <si>
    <t>고모리 윤전 블랑켓 건식 세정포 - 국전용</t>
  </si>
  <si>
    <t>국전 블랑켓 패킹지</t>
    <phoneticPr fontId="16" type="noConversion"/>
  </si>
  <si>
    <t>프린피아 디지털센터</t>
    <phoneticPr fontId="16" type="noConversion"/>
  </si>
  <si>
    <t>미쯔비시 윤전용 블랑켓 1155*910</t>
    <phoneticPr fontId="16" type="noConversion"/>
  </si>
  <si>
    <t>M600 Blanket(990*725)</t>
    <phoneticPr fontId="1" type="noConversion"/>
  </si>
  <si>
    <t>Molydal Grease 3790</t>
    <phoneticPr fontId="16" type="noConversion"/>
  </si>
  <si>
    <t>하이델베르그 filterStar compact</t>
    <phoneticPr fontId="16" type="noConversion"/>
  </si>
  <si>
    <t>Agfa 부품 Bearing Pept Roller</t>
    <phoneticPr fontId="16" type="noConversion"/>
  </si>
  <si>
    <t>프로텍티브 필름 - 언더호일</t>
    <phoneticPr fontId="16" type="noConversion"/>
  </si>
  <si>
    <t>플렉소 엔드씰</t>
    <phoneticPr fontId="16" type="noConversion"/>
  </si>
  <si>
    <t>스프팅</t>
    <phoneticPr fontId="16" type="noConversion"/>
  </si>
  <si>
    <t>칠롤 씰 키트</t>
    <phoneticPr fontId="16" type="noConversion"/>
  </si>
  <si>
    <t>프린피아 M600 이전 공사비</t>
    <phoneticPr fontId="16" type="noConversion"/>
  </si>
  <si>
    <t>24,3</t>
    <phoneticPr fontId="16" type="noConversion"/>
  </si>
  <si>
    <t>CTP 850*780 1200장</t>
    <phoneticPr fontId="16" type="noConversion"/>
  </si>
  <si>
    <t>스프링</t>
    <phoneticPr fontId="21" type="noConversion"/>
  </si>
  <si>
    <t>칠롤 씰 키트</t>
    <phoneticPr fontId="21" type="noConversion"/>
  </si>
  <si>
    <t>스트립, 폼 러버</t>
    <phoneticPr fontId="21" type="noConversion"/>
  </si>
  <si>
    <t>칰우드</t>
    <phoneticPr fontId="21" type="noConversion"/>
  </si>
  <si>
    <t>프린피아 디지털센터</t>
    <phoneticPr fontId="4" type="noConversion"/>
  </si>
  <si>
    <t>2024,3</t>
    <phoneticPr fontId="5" type="noConversion"/>
  </si>
  <si>
    <t>프린피아 디지털센터</t>
    <phoneticPr fontId="5" type="noConversion"/>
  </si>
  <si>
    <t>24,3 총 매출</t>
    <phoneticPr fontId="1" type="noConversion"/>
  </si>
  <si>
    <t>프린피아 M600 이전설치</t>
    <phoneticPr fontId="8" type="noConversion"/>
  </si>
  <si>
    <t>2024,4</t>
    <phoneticPr fontId="1" type="noConversion"/>
  </si>
  <si>
    <t>24,4</t>
  </si>
  <si>
    <t>24,4</t>
    <phoneticPr fontId="1" type="noConversion"/>
  </si>
  <si>
    <t>용지 가이드 강판</t>
    <phoneticPr fontId="16" type="noConversion"/>
  </si>
  <si>
    <t>24,4</t>
    <phoneticPr fontId="16" type="noConversion"/>
  </si>
  <si>
    <t>롤러 세트</t>
    <phoneticPr fontId="16" type="noConversion"/>
  </si>
  <si>
    <t>CTP 보충액 및 현상액</t>
    <phoneticPr fontId="16" type="noConversion"/>
  </si>
  <si>
    <t>화진피피에스</t>
    <phoneticPr fontId="16" type="noConversion"/>
  </si>
  <si>
    <t>블랑켓 CD102용</t>
    <phoneticPr fontId="16" type="noConversion"/>
  </si>
  <si>
    <t>재단칼 쿠션</t>
    <phoneticPr fontId="16" type="noConversion"/>
  </si>
  <si>
    <t>M-600 서비스계약 1회차분</t>
    <phoneticPr fontId="16" type="noConversion"/>
  </si>
  <si>
    <t>Other(IHK)</t>
    <phoneticPr fontId="16" type="noConversion"/>
  </si>
  <si>
    <t>화진피피에스</t>
    <phoneticPr fontId="11" type="noConversion"/>
  </si>
  <si>
    <t>2024,4</t>
    <phoneticPr fontId="5" type="noConversion"/>
  </si>
  <si>
    <t>24,4 총 매출</t>
    <phoneticPr fontId="1" type="noConversion"/>
  </si>
  <si>
    <t>2024,5</t>
    <phoneticPr fontId="1" type="noConversion"/>
  </si>
  <si>
    <t>24,5</t>
  </si>
  <si>
    <t>24,5</t>
    <phoneticPr fontId="1" type="noConversion"/>
  </si>
  <si>
    <t>24,5</t>
    <phoneticPr fontId="16" type="noConversion"/>
  </si>
  <si>
    <t>메인 모터 휠</t>
    <phoneticPr fontId="16" type="noConversion"/>
  </si>
  <si>
    <t>구와이 핀 모터</t>
    <phoneticPr fontId="16" type="noConversion"/>
  </si>
  <si>
    <t>급지부 벨트(샤프트)</t>
    <phoneticPr fontId="16" type="noConversion"/>
  </si>
  <si>
    <t>4*6 블랑켓 접착 패킹지</t>
    <phoneticPr fontId="16" type="noConversion"/>
  </si>
  <si>
    <t>고무사카 노란색 - 마닐라용</t>
    <phoneticPr fontId="1" type="noConversion"/>
  </si>
  <si>
    <t>잉크키모터업그레이드중도금+잔금</t>
    <phoneticPr fontId="16" type="noConversion"/>
  </si>
  <si>
    <t>가스 스프링(쇼바 대)</t>
    <phoneticPr fontId="16" type="noConversion"/>
  </si>
  <si>
    <t>가스 스프링 (쇼바)</t>
    <phoneticPr fontId="16" type="noConversion"/>
  </si>
  <si>
    <t>스트리퍼 (대)</t>
    <phoneticPr fontId="16" type="noConversion"/>
  </si>
  <si>
    <t>스트리퍼 (소)</t>
    <phoneticPr fontId="16" type="noConversion"/>
  </si>
  <si>
    <t>M600 콘티웹 엔지니어 Mark 서비스비용</t>
    <phoneticPr fontId="16" type="noConversion"/>
  </si>
  <si>
    <t>매엽 아스테이지</t>
    <phoneticPr fontId="16" type="noConversion"/>
  </si>
  <si>
    <t>수입(Rogotec)</t>
    <phoneticPr fontId="1" type="noConversion"/>
  </si>
  <si>
    <t>Gas Spring</t>
    <phoneticPr fontId="21" type="noConversion"/>
  </si>
  <si>
    <t>블랑켓 5월 할인</t>
    <phoneticPr fontId="16" type="noConversion"/>
  </si>
  <si>
    <t>2024,5</t>
    <phoneticPr fontId="5" type="noConversion"/>
  </si>
  <si>
    <t>잉크키 업그레이드 중도금 + 잔금</t>
    <phoneticPr fontId="5" type="noConversion"/>
  </si>
  <si>
    <t>24,3</t>
    <phoneticPr fontId="8" type="noConversion"/>
  </si>
  <si>
    <t>24,4</t>
    <phoneticPr fontId="8" type="noConversion"/>
  </si>
  <si>
    <t>24,5</t>
    <phoneticPr fontId="8" type="noConversion"/>
  </si>
  <si>
    <t>2024,6</t>
    <phoneticPr fontId="1" type="noConversion"/>
  </si>
  <si>
    <t>24,6</t>
  </si>
  <si>
    <t>24,6</t>
    <phoneticPr fontId="1" type="noConversion"/>
  </si>
  <si>
    <t>별색 - P 2370</t>
    <phoneticPr fontId="16" type="noConversion"/>
  </si>
  <si>
    <t>Technotrans 잉크 펌프 계약금 30%</t>
    <phoneticPr fontId="16" type="noConversion"/>
  </si>
  <si>
    <t>자동 판걸이 업그레이드</t>
    <phoneticPr fontId="16" type="noConversion"/>
  </si>
  <si>
    <t>IST 램프 홀더, 전선 포함</t>
    <phoneticPr fontId="16" type="noConversion"/>
  </si>
  <si>
    <t>M-600 서비스계약 2회차분</t>
    <phoneticPr fontId="16" type="noConversion"/>
  </si>
  <si>
    <t>자동 판 교환 시스템 중도금 + 잔금</t>
    <phoneticPr fontId="16" type="noConversion"/>
  </si>
  <si>
    <t>웹 가이드 센터 센서</t>
    <phoneticPr fontId="16" type="noConversion"/>
  </si>
  <si>
    <t>외국인 엔지니어 Mark 비용(드라이어 수리)</t>
    <phoneticPr fontId="16" type="noConversion"/>
  </si>
  <si>
    <t>에이에스피티</t>
    <phoneticPr fontId="16" type="noConversion"/>
  </si>
  <si>
    <t>CTP 상부 롤러</t>
    <phoneticPr fontId="16" type="noConversion"/>
  </si>
  <si>
    <t>자동 판걸이 튜브 (상부)</t>
    <phoneticPr fontId="16" type="noConversion"/>
  </si>
  <si>
    <t>브레이크 디스크 &amp; 링</t>
    <phoneticPr fontId="16" type="noConversion"/>
  </si>
  <si>
    <t>자동판걸이 업그레이드 서비스비용</t>
    <phoneticPr fontId="16" type="noConversion"/>
  </si>
  <si>
    <t>6월분 Apogee 사용료</t>
    <phoneticPr fontId="1" type="noConversion"/>
  </si>
  <si>
    <t>850*720 재단판 100장</t>
    <phoneticPr fontId="16" type="noConversion"/>
  </si>
  <si>
    <t>링</t>
    <phoneticPr fontId="21" type="noConversion"/>
  </si>
  <si>
    <t>자동 판걸이 튜브 상부</t>
    <phoneticPr fontId="21" type="noConversion"/>
  </si>
  <si>
    <t>24,5 총 매출</t>
    <phoneticPr fontId="1" type="noConversion"/>
  </si>
  <si>
    <t>2024,6</t>
    <phoneticPr fontId="5" type="noConversion"/>
  </si>
  <si>
    <t>팩컴 AAP</t>
    <phoneticPr fontId="5" type="noConversion"/>
  </si>
  <si>
    <t>프린피아 파주북시티(계약)</t>
    <phoneticPr fontId="5" type="noConversion"/>
  </si>
  <si>
    <t>자동 판 교환 시스템 중도금 + 잔금</t>
    <phoneticPr fontId="5" type="noConversion"/>
  </si>
  <si>
    <t>24,6 총 매출</t>
    <phoneticPr fontId="1" type="noConversion"/>
  </si>
  <si>
    <t>24,6</t>
    <phoneticPr fontId="8" type="noConversion"/>
  </si>
  <si>
    <t>에이에스피티</t>
    <phoneticPr fontId="26" type="noConversion"/>
  </si>
  <si>
    <t>2024,7</t>
    <phoneticPr fontId="1" type="noConversion"/>
  </si>
  <si>
    <t>24,7</t>
  </si>
  <si>
    <t>24,7</t>
    <phoneticPr fontId="1" type="noConversion"/>
  </si>
  <si>
    <t>24,7</t>
    <phoneticPr fontId="16" type="noConversion"/>
  </si>
  <si>
    <t>CTP 부품 베어링</t>
    <phoneticPr fontId="16" type="noConversion"/>
  </si>
  <si>
    <t>ESI 엔지니어 2차 작업분</t>
    <phoneticPr fontId="16" type="noConversion"/>
  </si>
  <si>
    <t>Vpak 블랑켓 5size</t>
    <phoneticPr fontId="16" type="noConversion"/>
  </si>
  <si>
    <t>Rotoman TSC 계약</t>
    <phoneticPr fontId="16" type="noConversion"/>
  </si>
  <si>
    <t>M600 판걸이튜브 교체 서비스</t>
    <phoneticPr fontId="16" type="noConversion"/>
  </si>
  <si>
    <t>UV lamp 데리바리용</t>
    <phoneticPr fontId="16" type="noConversion"/>
  </si>
  <si>
    <t>UV lamp 인터덱 용</t>
    <phoneticPr fontId="16" type="noConversion"/>
  </si>
  <si>
    <t>Rotoman 부품 및 엔지니어 인건비 계약금 30%</t>
    <phoneticPr fontId="16" type="noConversion"/>
  </si>
  <si>
    <t>윤전+매엽 롤러세트</t>
    <phoneticPr fontId="16" type="noConversion"/>
  </si>
  <si>
    <t>파워서플라이</t>
    <phoneticPr fontId="16" type="noConversion"/>
  </si>
  <si>
    <t>24,2</t>
    <phoneticPr fontId="16" type="noConversion"/>
  </si>
  <si>
    <t>대림칼라</t>
    <phoneticPr fontId="4" type="noConversion"/>
  </si>
  <si>
    <t>팩컴 AAP</t>
    <phoneticPr fontId="7" type="noConversion"/>
  </si>
  <si>
    <t>2024,7</t>
    <phoneticPr fontId="5" type="noConversion"/>
  </si>
  <si>
    <t>24,7 총 매출</t>
    <phoneticPr fontId="1" type="noConversion"/>
  </si>
  <si>
    <t>Rotoman 부품 및 엔지니어 인건비 계약금 30%</t>
    <phoneticPr fontId="5" type="noConversion"/>
  </si>
  <si>
    <t>Rotoman TSC 계약</t>
    <phoneticPr fontId="8" type="noConversion"/>
  </si>
  <si>
    <t>24,7</t>
    <phoneticPr fontId="8" type="noConversion"/>
  </si>
  <si>
    <t>2024,8</t>
    <phoneticPr fontId="1" type="noConversion"/>
  </si>
  <si>
    <t>잉크 롤러 실린더</t>
    <phoneticPr fontId="16" type="noConversion"/>
  </si>
  <si>
    <t>판넬 필터 SET</t>
    <phoneticPr fontId="16" type="noConversion"/>
  </si>
  <si>
    <t>크롬 롤러 베어링</t>
    <phoneticPr fontId="16" type="noConversion"/>
  </si>
  <si>
    <t>전진 싸카 스프링</t>
    <phoneticPr fontId="16" type="noConversion"/>
  </si>
  <si>
    <t>휘더 구동 벨트(중)</t>
    <phoneticPr fontId="16" type="noConversion"/>
  </si>
  <si>
    <t>휘더 구동 벨트(소)</t>
    <phoneticPr fontId="16" type="noConversion"/>
  </si>
  <si>
    <t>별색 - P 2370</t>
  </si>
  <si>
    <t>7월분 Apogee 사용료</t>
  </si>
  <si>
    <t>별색 - 프린피아 PT812C 형광적</t>
    <phoneticPr fontId="16" type="noConversion"/>
  </si>
  <si>
    <t>8월분 Apogee 사용료</t>
    <phoneticPr fontId="1" type="noConversion"/>
  </si>
  <si>
    <t>24,8</t>
  </si>
  <si>
    <t>24,8</t>
    <phoneticPr fontId="1" type="noConversion"/>
  </si>
  <si>
    <t>24,8</t>
    <phoneticPr fontId="16" type="noConversion"/>
  </si>
  <si>
    <t>서비스 비용(필름현상기)</t>
    <phoneticPr fontId="16" type="noConversion"/>
  </si>
  <si>
    <t>료비 UV Lamp</t>
    <phoneticPr fontId="16" type="noConversion"/>
  </si>
  <si>
    <t>8월 부품</t>
    <phoneticPr fontId="16" type="noConversion"/>
  </si>
  <si>
    <t>UV Lamp 료비 - 와우프레스</t>
    <phoneticPr fontId="21" type="noConversion"/>
  </si>
  <si>
    <t>8/8 5개 납품 재고 5개</t>
    <phoneticPr fontId="21" type="noConversion"/>
  </si>
  <si>
    <t>24,8</t>
    <phoneticPr fontId="7" type="noConversion"/>
  </si>
  <si>
    <t>2024,8</t>
    <phoneticPr fontId="5" type="noConversion"/>
  </si>
  <si>
    <t>24,8 총 매출</t>
    <phoneticPr fontId="1" type="noConversion"/>
  </si>
  <si>
    <t>24,8</t>
    <phoneticPr fontId="8" type="noConversion"/>
  </si>
  <si>
    <t>2024,9</t>
    <phoneticPr fontId="1" type="noConversion"/>
  </si>
  <si>
    <t>24,9</t>
  </si>
  <si>
    <t>24,9</t>
    <phoneticPr fontId="1" type="noConversion"/>
  </si>
  <si>
    <t>별색 - 프린피아 PT810C 형광등</t>
    <phoneticPr fontId="16" type="noConversion"/>
  </si>
  <si>
    <t>24,9</t>
    <phoneticPr fontId="16" type="noConversion"/>
  </si>
  <si>
    <t>출장비/CTP</t>
    <phoneticPr fontId="16" type="noConversion"/>
  </si>
  <si>
    <t>CTP 프로그램 설치비</t>
    <phoneticPr fontId="16" type="noConversion"/>
  </si>
  <si>
    <t>출장비/필름출력기</t>
    <phoneticPr fontId="16" type="noConversion"/>
  </si>
  <si>
    <t>소프트웨어 설치비/필름출력기</t>
    <phoneticPr fontId="16" type="noConversion"/>
  </si>
  <si>
    <t>Lucas chain oil</t>
    <phoneticPr fontId="16" type="noConversion"/>
  </si>
  <si>
    <r>
      <t>2024,</t>
    </r>
    <r>
      <rPr>
        <b/>
        <sz val="12"/>
        <color theme="1"/>
        <rFont val="Yu Gothic"/>
        <family val="3"/>
        <charset val="128"/>
      </rPr>
      <t>9</t>
    </r>
    <phoneticPr fontId="1" type="noConversion"/>
  </si>
  <si>
    <t>에스엠테크</t>
    <phoneticPr fontId="16" type="noConversion"/>
  </si>
  <si>
    <t>24,9</t>
    <phoneticPr fontId="7" type="noConversion"/>
  </si>
  <si>
    <t>2024,9</t>
    <phoneticPr fontId="5" type="noConversion"/>
  </si>
  <si>
    <t>24,9 총 매출</t>
    <phoneticPr fontId="1" type="noConversion"/>
  </si>
  <si>
    <t>2024,10</t>
    <phoneticPr fontId="1" type="noConversion"/>
  </si>
  <si>
    <t>24,10</t>
  </si>
  <si>
    <t>24,10</t>
    <phoneticPr fontId="1" type="noConversion"/>
  </si>
  <si>
    <t>도져 Technotrans</t>
    <phoneticPr fontId="16" type="noConversion"/>
  </si>
  <si>
    <t>Agfa CTP 서비스</t>
    <phoneticPr fontId="16" type="noConversion"/>
  </si>
  <si>
    <t>풀린키</t>
    <phoneticPr fontId="16" type="noConversion"/>
  </si>
  <si>
    <t>X-rite i1iSis A4</t>
    <phoneticPr fontId="16" type="noConversion"/>
  </si>
  <si>
    <t>별색 - 프린피아 PT-803</t>
    <phoneticPr fontId="16" type="noConversion"/>
  </si>
  <si>
    <t>배지부 형광등</t>
    <phoneticPr fontId="16" type="noConversion"/>
  </si>
  <si>
    <t>팬톤 칼라북</t>
    <phoneticPr fontId="16" type="noConversion"/>
  </si>
  <si>
    <t>주안 Rotoman 방문 점검 인건비 및 부품비 잔금 70%</t>
    <phoneticPr fontId="16" type="noConversion"/>
  </si>
  <si>
    <t xml:space="preserve">	주안 Rotoman 잉크 파운틴 롤러 교체 선금 30%</t>
    <phoneticPr fontId="16" type="noConversion"/>
  </si>
  <si>
    <t>주안 Rotoman 외국엔지니어 방문 점검 추가 인건비</t>
    <phoneticPr fontId="16" type="noConversion"/>
  </si>
  <si>
    <t>M600 서비스 비용 4회차</t>
    <phoneticPr fontId="16" type="noConversion"/>
  </si>
  <si>
    <t>풀린키</t>
    <phoneticPr fontId="4" type="noConversion"/>
  </si>
  <si>
    <t>24,10</t>
    <phoneticPr fontId="7" type="noConversion"/>
  </si>
  <si>
    <t>2024,10</t>
    <phoneticPr fontId="5" type="noConversion"/>
  </si>
  <si>
    <t>24,10 총 매출</t>
    <phoneticPr fontId="1" type="noConversion"/>
  </si>
  <si>
    <t xml:space="preserve">Rotoman 부품 및 엔지니어 인건비 잔금 70% a 및 추가시간비용 / 파운틴 롤러교체 선금 30% </t>
    <phoneticPr fontId="5" type="noConversion"/>
  </si>
  <si>
    <t>24,11</t>
  </si>
  <si>
    <t>24,11</t>
    <phoneticPr fontId="1" type="noConversion"/>
  </si>
  <si>
    <t>2024,11</t>
    <phoneticPr fontId="1" type="noConversion"/>
  </si>
  <si>
    <t>별색 - 프린피아 PT-803</t>
  </si>
  <si>
    <t>10월분 Apogee 사용료</t>
  </si>
  <si>
    <t>국전 블랑켓 패킹지</t>
  </si>
  <si>
    <t>별색 - 프린피아 PT-812</t>
    <phoneticPr fontId="16" type="noConversion"/>
  </si>
  <si>
    <t>ㅌ</t>
    <phoneticPr fontId="16" type="noConversion"/>
  </si>
  <si>
    <t>필름 현상액</t>
    <phoneticPr fontId="16" type="noConversion"/>
  </si>
  <si>
    <t>흰색 소형 주머니 필터백</t>
    <phoneticPr fontId="16" type="noConversion"/>
  </si>
  <si>
    <t>inner filter - technotrans</t>
    <phoneticPr fontId="16" type="noConversion"/>
  </si>
  <si>
    <t>TUV 블랑켓 하이델 XL용</t>
    <phoneticPr fontId="16" type="noConversion"/>
  </si>
  <si>
    <t>Saphira 건식 세정포 하이델 XL용</t>
    <phoneticPr fontId="16" type="noConversion"/>
  </si>
  <si>
    <t>5MX 블랑켓 XL용</t>
    <phoneticPr fontId="16" type="noConversion"/>
  </si>
  <si>
    <t xml:space="preserve">	주안 Rotoman 잉크 파운틴 롤러 교체 중도금 50%</t>
    <phoneticPr fontId="16" type="noConversion"/>
  </si>
  <si>
    <t>플렉소 나이프 Plasteel</t>
    <phoneticPr fontId="16" type="noConversion"/>
  </si>
  <si>
    <t>플렉소 나이프 Blade, DuraPoint</t>
    <phoneticPr fontId="16" type="noConversion"/>
  </si>
  <si>
    <t>실리콘 롤러, 실리콘 혼합 유리, 밀봉제</t>
    <phoneticPr fontId="16" type="noConversion"/>
  </si>
  <si>
    <t>서린기업</t>
    <phoneticPr fontId="16" type="noConversion"/>
  </si>
  <si>
    <t>24,12</t>
  </si>
  <si>
    <t>24,12</t>
    <phoneticPr fontId="1" type="noConversion"/>
  </si>
  <si>
    <t>2024,12</t>
    <phoneticPr fontId="1" type="noConversion"/>
  </si>
  <si>
    <t>고모리 브랑켓트 패킹지 0.18mm</t>
    <phoneticPr fontId="16" type="noConversion"/>
  </si>
  <si>
    <t>고모리 브랑켓트 패킹지 0.20mm</t>
    <phoneticPr fontId="16" type="noConversion"/>
  </si>
  <si>
    <t>M600 Lenze 드라이브 소프트웨어</t>
    <phoneticPr fontId="16" type="noConversion"/>
  </si>
  <si>
    <t>Mark Gennissen M600 점검 건</t>
    <phoneticPr fontId="16" type="noConversion"/>
  </si>
  <si>
    <t>M600 스플라이서 점검</t>
    <phoneticPr fontId="16" type="noConversion"/>
  </si>
  <si>
    <t>CTP 아포지 기술지원서비스</t>
    <phoneticPr fontId="16" type="noConversion"/>
  </si>
  <si>
    <t>소부기 출장비 및 기술료</t>
    <phoneticPr fontId="16" type="noConversion"/>
  </si>
  <si>
    <t>소부기 램프샷다모터</t>
    <phoneticPr fontId="16" type="noConversion"/>
  </si>
  <si>
    <t>소부기 램프트랜스</t>
    <phoneticPr fontId="16" type="noConversion"/>
  </si>
  <si>
    <t>인버터 팬 퓨즈</t>
    <phoneticPr fontId="16" type="noConversion"/>
  </si>
  <si>
    <t>인버터 팬 콘덴서</t>
    <phoneticPr fontId="16" type="noConversion"/>
  </si>
  <si>
    <t>드라이어 팬 제작</t>
    <phoneticPr fontId="16" type="noConversion"/>
  </si>
  <si>
    <t>m600 수리 서비스 인건비</t>
    <phoneticPr fontId="16" type="noConversion"/>
  </si>
  <si>
    <t>롤러 세트 납품건</t>
    <phoneticPr fontId="16" type="noConversion"/>
  </si>
  <si>
    <t xml:space="preserve"> m600 판걸이튜브 세트 계약금 30%</t>
    <phoneticPr fontId="16" type="noConversion"/>
  </si>
  <si>
    <t>한가람문구</t>
    <phoneticPr fontId="1" type="noConversion"/>
  </si>
  <si>
    <t>주흔엔지니어링</t>
    <phoneticPr fontId="16" type="noConversion"/>
  </si>
  <si>
    <t>프린피아 디지털센터</t>
    <phoneticPr fontId="1" type="noConversion"/>
  </si>
  <si>
    <t>합계</t>
    <phoneticPr fontId="1" type="noConversion"/>
  </si>
  <si>
    <t xml:space="preserve">	주안 Rotoman 잉크 파운틴 롤러 교체 중도금 50%</t>
    <phoneticPr fontId="1" type="noConversion"/>
  </si>
  <si>
    <t>24,11 총 매출</t>
    <phoneticPr fontId="1" type="noConversion"/>
  </si>
  <si>
    <t>24,12 총 매출</t>
    <phoneticPr fontId="1" type="noConversion"/>
  </si>
  <si>
    <t xml:space="preserve"> m600 판걸이튜브 세트 계약금 30%</t>
    <phoneticPr fontId="1" type="noConversion"/>
  </si>
  <si>
    <t>24,10</t>
    <phoneticPr fontId="8" type="noConversion"/>
  </si>
  <si>
    <t>24,12</t>
    <phoneticPr fontId="8" type="noConversion"/>
  </si>
  <si>
    <t>2025,1</t>
    <phoneticPr fontId="1" type="noConversion"/>
  </si>
  <si>
    <t>25,1</t>
  </si>
  <si>
    <t>25,1</t>
    <phoneticPr fontId="1" type="noConversion"/>
  </si>
  <si>
    <t>잉크폼 스트립</t>
    <phoneticPr fontId="16" type="noConversion"/>
  </si>
  <si>
    <t>흡입 싸카통</t>
    <phoneticPr fontId="16" type="noConversion"/>
  </si>
  <si>
    <t>4각1겹 강판</t>
    <phoneticPr fontId="16" type="noConversion"/>
  </si>
  <si>
    <t>별색 - H/S DIC 370</t>
    <phoneticPr fontId="16" type="noConversion"/>
  </si>
  <si>
    <t>Flockband H=3 B=130</t>
    <phoneticPr fontId="16" type="noConversion"/>
  </si>
  <si>
    <t xml:space="preserve">	잉크 파운틴 호일</t>
    <phoneticPr fontId="16" type="noConversion"/>
  </si>
  <si>
    <t>Agfa 현상보충액</t>
    <phoneticPr fontId="16" type="noConversion"/>
  </si>
  <si>
    <t>Engage 27 850*780mm 1250매</t>
    <phoneticPr fontId="16" type="noConversion"/>
  </si>
  <si>
    <t>주안공장 Rotoman 수리 및 Fountain 롤러 교체 서비스 잔금</t>
    <phoneticPr fontId="16" type="noConversion"/>
  </si>
  <si>
    <t>주안공장 Rotoman 공구 반출비용</t>
    <phoneticPr fontId="16" type="noConversion"/>
  </si>
  <si>
    <t>핫 에어 밸브 모터</t>
    <phoneticPr fontId="16" type="noConversion"/>
  </si>
  <si>
    <t>선진인쇄</t>
    <phoneticPr fontId="16" type="noConversion"/>
  </si>
  <si>
    <t>잉크집 보호필름</t>
    <phoneticPr fontId="16" type="noConversion"/>
  </si>
  <si>
    <t>25,1 총 매출</t>
    <phoneticPr fontId="1" type="noConversion"/>
  </si>
  <si>
    <t>선진인쇄</t>
    <phoneticPr fontId="5" type="noConversion"/>
  </si>
  <si>
    <t>주안공장 Rotoman 수리 및 Fountain 롤러 교체 서비스 잔금 + 공구반출비용</t>
    <phoneticPr fontId="1" type="noConversion"/>
  </si>
  <si>
    <t>25,2</t>
  </si>
  <si>
    <t>25,2</t>
    <phoneticPr fontId="1" type="noConversion"/>
  </si>
  <si>
    <t>2025,2</t>
    <phoneticPr fontId="1" type="noConversion"/>
  </si>
  <si>
    <t>별색 - 프린피아 PT-812</t>
  </si>
  <si>
    <t>별색 - H/S DIC 370</t>
  </si>
  <si>
    <t>12월분 Apogee 사용료</t>
  </si>
  <si>
    <t>별색 - PANTON 7466U</t>
    <phoneticPr fontId="16" type="noConversion"/>
  </si>
  <si>
    <t>IST 램프 델리바리 소켓타입</t>
    <phoneticPr fontId="16" type="noConversion"/>
  </si>
  <si>
    <t>IST 램프 인터덱 전선타입</t>
    <phoneticPr fontId="16" type="noConversion"/>
  </si>
  <si>
    <t>Agfa CTP 부품 5종</t>
    <phoneticPr fontId="16" type="noConversion"/>
  </si>
  <si>
    <t>Vpak 엔지니어 John 방문 점검 서비스</t>
    <phoneticPr fontId="16" type="noConversion"/>
  </si>
  <si>
    <t>신문윤전기용 Technotrans 잉크 펌프 잔금 70%</t>
    <phoneticPr fontId="16" type="noConversion"/>
  </si>
  <si>
    <t>SRB프린팅</t>
    <phoneticPr fontId="16" type="noConversion"/>
  </si>
  <si>
    <t>SLITER KNIFE</t>
    <phoneticPr fontId="16" type="noConversion"/>
  </si>
  <si>
    <t>Pneumatic</t>
    <phoneticPr fontId="16" type="noConversion"/>
  </si>
  <si>
    <t>Pin Contact</t>
    <phoneticPr fontId="16" type="noConversion"/>
  </si>
  <si>
    <t>Multi way Valve</t>
    <phoneticPr fontId="16" type="noConversion"/>
  </si>
  <si>
    <t>Formed Vulkollan bar</t>
    <phoneticPr fontId="16" type="noConversion"/>
  </si>
  <si>
    <t>Cut off blade</t>
    <phoneticPr fontId="16" type="noConversion"/>
  </si>
  <si>
    <t>Vulkollan bar 2583</t>
    <phoneticPr fontId="16" type="noConversion"/>
  </si>
  <si>
    <t>Vulkollan bar 1818</t>
    <phoneticPr fontId="16" type="noConversion"/>
  </si>
  <si>
    <t>Tucker blade 0526</t>
    <phoneticPr fontId="16" type="noConversion"/>
  </si>
  <si>
    <t>Turker blade 0017</t>
    <phoneticPr fontId="16" type="noConversion"/>
  </si>
  <si>
    <t>IST UV Lamp I-1080-NA-3-210</t>
    <phoneticPr fontId="16" type="noConversion"/>
  </si>
  <si>
    <t>SRB프린팅</t>
    <phoneticPr fontId="5" type="noConversion"/>
  </si>
  <si>
    <t>IST UV LAMP T-1030-K2H</t>
    <phoneticPr fontId="21" type="noConversion"/>
  </si>
  <si>
    <t>IST UV LAMP I-1080-NA-3-210</t>
    <phoneticPr fontId="21" type="noConversion"/>
  </si>
  <si>
    <t>IST UV LAMP T-1050-K2H</t>
    <phoneticPr fontId="21" type="noConversion"/>
  </si>
  <si>
    <t>IST UV LAMP I-770-NA-3-140</t>
    <phoneticPr fontId="21" type="noConversion"/>
  </si>
  <si>
    <t>IST UV LAMP I-1080-NA-2-H</t>
    <phoneticPr fontId="21" type="noConversion"/>
  </si>
  <si>
    <t>보광</t>
    <phoneticPr fontId="21" type="noConversion"/>
  </si>
  <si>
    <t>소켓타입</t>
    <phoneticPr fontId="21" type="noConversion"/>
  </si>
  <si>
    <t>인터덱 전선타입</t>
    <phoneticPr fontId="21" type="noConversion"/>
  </si>
  <si>
    <t>Tucker blade</t>
    <phoneticPr fontId="21" type="noConversion"/>
  </si>
  <si>
    <t xml:space="preserve">Foamed Vulkollan </t>
    <phoneticPr fontId="21" type="noConversion"/>
  </si>
  <si>
    <t>Cutting knife</t>
    <phoneticPr fontId="21" type="noConversion"/>
  </si>
  <si>
    <t>Pin contact *5</t>
    <phoneticPr fontId="21" type="noConversion"/>
  </si>
  <si>
    <t>2025,3</t>
    <phoneticPr fontId="1" type="noConversion"/>
  </si>
  <si>
    <t>압력 컨버터</t>
    <phoneticPr fontId="16" type="noConversion"/>
  </si>
  <si>
    <t>25,3</t>
  </si>
  <si>
    <t>25,3</t>
    <phoneticPr fontId="16" type="noConversion"/>
  </si>
  <si>
    <t>25,3</t>
    <phoneticPr fontId="1" type="noConversion"/>
  </si>
  <si>
    <t>커플링</t>
    <phoneticPr fontId="16" type="noConversion"/>
  </si>
  <si>
    <t>IST 정품 UV Lamp T-3절용</t>
    <phoneticPr fontId="16" type="noConversion"/>
  </si>
  <si>
    <t>주안 Rotoman 수리작업 계약금</t>
    <phoneticPr fontId="16" type="noConversion"/>
  </si>
  <si>
    <t>벨트(25mm)</t>
    <phoneticPr fontId="16" type="noConversion"/>
  </si>
  <si>
    <t>벨트(14mm)</t>
    <phoneticPr fontId="16" type="noConversion"/>
  </si>
  <si>
    <t>2025년</t>
    <phoneticPr fontId="21" type="noConversion"/>
  </si>
  <si>
    <t>UV Lamp F1055HOZ 200W(덕수 횐네 똑딱이타입)</t>
    <phoneticPr fontId="21" type="noConversion"/>
  </si>
  <si>
    <t>25,2 총 매출</t>
    <phoneticPr fontId="1" type="noConversion"/>
  </si>
  <si>
    <t>25,3 총 매출</t>
    <phoneticPr fontId="1" type="noConversion"/>
  </si>
  <si>
    <t>프린피아 북시티</t>
    <phoneticPr fontId="1" type="noConversion"/>
  </si>
  <si>
    <t>주안공장 Rotoman 수리작업 계약금</t>
    <phoneticPr fontId="5" type="noConversion"/>
  </si>
  <si>
    <t>2025,4</t>
    <phoneticPr fontId="1" type="noConversion"/>
  </si>
  <si>
    <t>25,4</t>
  </si>
  <si>
    <t>25,4</t>
    <phoneticPr fontId="1" type="noConversion"/>
  </si>
  <si>
    <t>25,4</t>
    <phoneticPr fontId="16" type="noConversion"/>
  </si>
  <si>
    <t>고문당</t>
    <phoneticPr fontId="16" type="noConversion"/>
  </si>
  <si>
    <t>닙 롤러</t>
    <phoneticPr fontId="16" type="noConversion"/>
  </si>
  <si>
    <t>16채널 드라이브보드</t>
    <phoneticPr fontId="16" type="noConversion"/>
  </si>
  <si>
    <t>고문당</t>
    <phoneticPr fontId="7" type="noConversion"/>
  </si>
  <si>
    <t>25,4 총 매출</t>
    <phoneticPr fontId="1" type="noConversion"/>
  </si>
  <si>
    <t>25,4</t>
    <phoneticPr fontId="8" type="noConversion"/>
  </si>
  <si>
    <t>2025,5</t>
    <phoneticPr fontId="1" type="noConversion"/>
  </si>
  <si>
    <t>25,5</t>
  </si>
  <si>
    <t>25,5</t>
    <phoneticPr fontId="1" type="noConversion"/>
  </si>
  <si>
    <t>댄서 모터 댐퍼</t>
    <phoneticPr fontId="16" type="noConversion"/>
  </si>
  <si>
    <t>챔버 닥터블레이드</t>
    <phoneticPr fontId="16" type="noConversion"/>
  </si>
  <si>
    <t>엘컴화인</t>
    <phoneticPr fontId="16" type="noConversion"/>
  </si>
  <si>
    <t>IST UV Lamp I-500-NA-1-60</t>
    <phoneticPr fontId="16" type="noConversion"/>
  </si>
  <si>
    <t>IST UV Lamp I-470-NA-1-60</t>
    <phoneticPr fontId="16" type="noConversion"/>
  </si>
  <si>
    <t>동우프린팅</t>
    <phoneticPr fontId="16" type="noConversion"/>
  </si>
  <si>
    <t>IST UV Lamp T-1080-NA-3-H</t>
    <phoneticPr fontId="16" type="noConversion"/>
  </si>
  <si>
    <t>IST UV Lamp T-770-K2H-50</t>
    <phoneticPr fontId="16" type="noConversion"/>
  </si>
  <si>
    <t>IST UV Lamp T-770-NA-2-H</t>
    <phoneticPr fontId="16" type="noConversion"/>
  </si>
  <si>
    <t>IST UV Lamp T-1080-NA-3-H-B</t>
    <phoneticPr fontId="16" type="noConversion"/>
  </si>
  <si>
    <t>Roller Polyamid</t>
    <phoneticPr fontId="16" type="noConversion"/>
  </si>
  <si>
    <t>디에스팩</t>
    <phoneticPr fontId="16" type="noConversion"/>
  </si>
  <si>
    <t>Rotor wheel for pump IDP 200</t>
    <phoneticPr fontId="16" type="noConversion"/>
  </si>
  <si>
    <t>Pump IDP 320-1_310</t>
    <phoneticPr fontId="16" type="noConversion"/>
  </si>
  <si>
    <t>고모리,m600 롤러세트</t>
    <phoneticPr fontId="16" type="noConversion"/>
  </si>
  <si>
    <t>대우피앤시 Saphira 220</t>
    <phoneticPr fontId="16" type="noConversion"/>
  </si>
  <si>
    <t>IST UV-lamp I-500-NA-1-60</t>
    <phoneticPr fontId="21" type="noConversion"/>
  </si>
  <si>
    <t>IST UV-lamp I-470-NA-2-80/0</t>
    <phoneticPr fontId="21" type="noConversion"/>
  </si>
  <si>
    <t>IST UV-lamp T-1080-NA-3-H</t>
    <phoneticPr fontId="21" type="noConversion"/>
  </si>
  <si>
    <t>IST UV-lamp T-1080-NA-3-H-B</t>
    <phoneticPr fontId="21" type="noConversion"/>
  </si>
  <si>
    <t>IST UV-lamp T-770-K2H-50</t>
    <phoneticPr fontId="21" type="noConversion"/>
  </si>
  <si>
    <t>IST UV-lamp T-770-NA-2-H</t>
    <phoneticPr fontId="21" type="noConversion"/>
  </si>
  <si>
    <t>엘컴화인</t>
    <phoneticPr fontId="21" type="noConversion"/>
  </si>
  <si>
    <t>신한종합</t>
    <phoneticPr fontId="21" type="noConversion"/>
  </si>
  <si>
    <t>신한종합/동우</t>
    <phoneticPr fontId="21" type="noConversion"/>
  </si>
  <si>
    <t>10065562 PUMP IDP 320-1 310 IE3 1.5KW</t>
    <phoneticPr fontId="21" type="noConversion"/>
  </si>
  <si>
    <t>10019108 ROTOR WHEEL FOR PUMP IDP 200</t>
    <phoneticPr fontId="21" type="noConversion"/>
  </si>
  <si>
    <t>엘컴화인</t>
    <phoneticPr fontId="4" type="noConversion"/>
  </si>
  <si>
    <t>동우프린팅</t>
    <phoneticPr fontId="4" type="noConversion"/>
  </si>
  <si>
    <t>25,5 총 매출</t>
    <phoneticPr fontId="1" type="noConversion"/>
  </si>
  <si>
    <t>디에스팩</t>
    <phoneticPr fontId="26" type="noConversion"/>
  </si>
  <si>
    <t>2025,6</t>
    <phoneticPr fontId="1" type="noConversion"/>
  </si>
  <si>
    <t>25,6</t>
  </si>
  <si>
    <t>25,6</t>
    <phoneticPr fontId="1" type="noConversion"/>
  </si>
  <si>
    <t>별색 - 프린피아 PT-810C 형광</t>
    <phoneticPr fontId="16" type="noConversion"/>
  </si>
  <si>
    <t>GOSS NEWSLINER PART7705101 INCH DRIVE (USED)</t>
    <phoneticPr fontId="16" type="noConversion"/>
  </si>
  <si>
    <t>GOSS NEWSLINER PARTINCH DRIVE 내부 클러치 (USED)</t>
    <phoneticPr fontId="16" type="noConversion"/>
  </si>
  <si>
    <t>소부기 진공기판 및 펌프모터 교체</t>
    <phoneticPr fontId="16" type="noConversion"/>
  </si>
  <si>
    <t>CTP 리컷 비용</t>
  </si>
  <si>
    <t>CTP 고무액</t>
  </si>
  <si>
    <t>플렉소 엔드 씰</t>
  </si>
  <si>
    <t>자동판교환시스템 업그레이드</t>
    <phoneticPr fontId="16" type="noConversion"/>
  </si>
  <si>
    <t>자동판걸이장치 잔금</t>
    <phoneticPr fontId="16" type="noConversion"/>
  </si>
  <si>
    <t>로토만 수리 잔금 70%</t>
    <phoneticPr fontId="16" type="noConversion"/>
  </si>
  <si>
    <t>스플라이서&amp;드라이어 점검(크리스티안)</t>
    <phoneticPr fontId="16" type="noConversion"/>
  </si>
  <si>
    <t>Colorman 신문윤전기 습수약물
Technova Aquafount</t>
    <phoneticPr fontId="16" type="noConversion"/>
  </si>
  <si>
    <t>Colorman 신문윤전기 세척액
Technova Artemas Wash</t>
    <phoneticPr fontId="16" type="noConversion"/>
  </si>
  <si>
    <t>Colorman 신문윤전기 경화제
Technova AquaTone</t>
    <phoneticPr fontId="16" type="noConversion"/>
  </si>
  <si>
    <t>Harris &amp; Bruno</t>
    <phoneticPr fontId="16" type="noConversion"/>
  </si>
  <si>
    <t>Technova</t>
    <phoneticPr fontId="16" type="noConversion"/>
  </si>
  <si>
    <t>자동판걸이 업그레이드</t>
    <phoneticPr fontId="5" type="noConversion"/>
  </si>
  <si>
    <t>로토만 수리 잔금</t>
    <phoneticPr fontId="5" type="noConversion"/>
  </si>
  <si>
    <t>자동판걸이장치 잔금</t>
    <phoneticPr fontId="5" type="noConversion"/>
  </si>
  <si>
    <t>25,6</t>
    <phoneticPr fontId="8" type="noConversion"/>
  </si>
  <si>
    <t>한국경제</t>
    <phoneticPr fontId="1" type="noConversion"/>
  </si>
  <si>
    <t>테크노바 항공건</t>
    <phoneticPr fontId="21" type="noConversion"/>
  </si>
  <si>
    <t>25,7</t>
  </si>
  <si>
    <t>25,7</t>
    <phoneticPr fontId="1" type="noConversion"/>
  </si>
  <si>
    <t>2025,7</t>
    <phoneticPr fontId="1" type="noConversion"/>
  </si>
  <si>
    <t>Day 블랑켓 Colorman</t>
    <phoneticPr fontId="16" type="noConversion"/>
  </si>
  <si>
    <t>AGFA CTP 부품 Bearing, Petp, Roller Lower</t>
    <phoneticPr fontId="16" type="noConversion"/>
  </si>
  <si>
    <t>소부기 셧터모터 트랜스 교체</t>
    <phoneticPr fontId="16" type="noConversion"/>
  </si>
  <si>
    <t>팩컴</t>
    <phoneticPr fontId="16" type="noConversion"/>
  </si>
  <si>
    <t>판걸이 장치 업그레이드 서비스</t>
    <phoneticPr fontId="16" type="noConversion"/>
  </si>
  <si>
    <t>25,6 총 매출</t>
    <phoneticPr fontId="1" type="noConversion"/>
  </si>
  <si>
    <t>팩컴</t>
    <phoneticPr fontId="1" type="noConversion"/>
  </si>
  <si>
    <t>25,7</t>
    <phoneticPr fontId="8" type="noConversion"/>
  </si>
  <si>
    <t>Day International</t>
    <phoneticPr fontId="16" type="noConversion"/>
  </si>
  <si>
    <t>2025,8</t>
    <phoneticPr fontId="1" type="noConversion"/>
  </si>
  <si>
    <t>25,8</t>
  </si>
  <si>
    <t>25,8</t>
    <phoneticPr fontId="1" type="noConversion"/>
  </si>
  <si>
    <t>인쇄기 필터 F1.010.214F</t>
    <phoneticPr fontId="16" type="noConversion"/>
  </si>
  <si>
    <t>IST 정품 UV Lamp 국전용</t>
    <phoneticPr fontId="16" type="noConversion"/>
  </si>
  <si>
    <t>Perforating Knife</t>
    <phoneticPr fontId="16" type="noConversion"/>
  </si>
  <si>
    <t>브러쉬(WM.X68143)</t>
    <phoneticPr fontId="16" type="noConversion"/>
  </si>
  <si>
    <t>Rubber sleeve</t>
    <phoneticPr fontId="16" type="noConversion"/>
  </si>
  <si>
    <t>M600 판걸이 업그레이드 서비스비용</t>
    <phoneticPr fontId="16" type="noConversion"/>
  </si>
  <si>
    <t>Former nose short(16.15530-0146)</t>
    <phoneticPr fontId="16" type="noConversion"/>
  </si>
  <si>
    <t>Nip roll(16.21773-0082)</t>
    <phoneticPr fontId="16" type="noConversion"/>
  </si>
  <si>
    <t>경남신문사</t>
    <phoneticPr fontId="16" type="noConversion"/>
  </si>
  <si>
    <t>Used board</t>
    <phoneticPr fontId="16" type="noConversion"/>
  </si>
  <si>
    <t>농도계 x-rite exact</t>
    <phoneticPr fontId="16" type="noConversion"/>
  </si>
  <si>
    <t>인버터 엔코더 카드</t>
    <phoneticPr fontId="16" type="noConversion"/>
  </si>
  <si>
    <t>M600 서비스 비용 3회차</t>
    <phoneticPr fontId="16" type="noConversion"/>
  </si>
  <si>
    <t>TUCKER BLADE 518X39.6X0.5</t>
    <phoneticPr fontId="21" type="noConversion"/>
  </si>
  <si>
    <t>PERFORATING KNIFE 520X25X1 TRA</t>
    <phoneticPr fontId="21" type="noConversion"/>
  </si>
  <si>
    <t>BRUSH 100X50X25.4</t>
    <phoneticPr fontId="21" type="noConversion"/>
  </si>
  <si>
    <t>TRICHTERNASE KURZ(GETHARTET)</t>
    <phoneticPr fontId="21" type="noConversion"/>
  </si>
  <si>
    <t xml:space="preserve"> ZUGROLLE D=125 B=25 90 SHORE</t>
    <phoneticPr fontId="21" type="noConversion"/>
  </si>
  <si>
    <t xml:space="preserve"> BRAKE LINING TYP RNAW, DLP 1.GENERATION</t>
    <phoneticPr fontId="21" type="noConversion"/>
  </si>
  <si>
    <t>Rubber sleeve</t>
    <phoneticPr fontId="21" type="noConversion"/>
  </si>
  <si>
    <t>25,7 총 매출</t>
    <phoneticPr fontId="1" type="noConversion"/>
  </si>
  <si>
    <t>25,8 총 매출</t>
    <phoneticPr fontId="1" type="noConversion"/>
  </si>
  <si>
    <t>25,8</t>
    <phoneticPr fontId="8" type="noConversion"/>
  </si>
  <si>
    <t>경남신문사</t>
    <phoneticPr fontId="26" type="noConversion"/>
  </si>
  <si>
    <t>2025,9</t>
    <phoneticPr fontId="1" type="noConversion"/>
  </si>
  <si>
    <t>25,9</t>
  </si>
  <si>
    <t>25,9</t>
    <phoneticPr fontId="1" type="noConversion"/>
  </si>
  <si>
    <t>고농도 습수약물 DM-220</t>
    <phoneticPr fontId="16" type="noConversion"/>
  </si>
  <si>
    <t>습수 약물</t>
    <phoneticPr fontId="16" type="noConversion"/>
  </si>
  <si>
    <t>필름 현상액(20L, 10L*2)</t>
    <phoneticPr fontId="16" type="noConversion"/>
  </si>
  <si>
    <t>필름 ECO3 28인치</t>
    <phoneticPr fontId="16" type="noConversion"/>
  </si>
  <si>
    <t>접지 바늘</t>
    <phoneticPr fontId="16" type="noConversion"/>
  </si>
  <si>
    <t>이송가이드</t>
    <phoneticPr fontId="16" type="noConversion"/>
  </si>
  <si>
    <t>브레이크라이닝</t>
    <phoneticPr fontId="16" type="noConversion"/>
  </si>
  <si>
    <t>25,9</t>
    <phoneticPr fontId="8" type="noConversion"/>
  </si>
  <si>
    <t>택배비 32175</t>
    <phoneticPr fontId="16" type="noConversion"/>
  </si>
  <si>
    <t>택배비 11500</t>
    <phoneticPr fontId="16" type="noConversion"/>
  </si>
  <si>
    <t>택배비</t>
    <phoneticPr fontId="17" type="noConversion"/>
  </si>
  <si>
    <t>Element</t>
    <phoneticPr fontId="16" type="noConversion"/>
  </si>
  <si>
    <t>Cutoff Bar</t>
    <phoneticPr fontId="21" type="noConversion"/>
  </si>
  <si>
    <t>2025,10</t>
    <phoneticPr fontId="1" type="noConversion"/>
  </si>
  <si>
    <t>25,10</t>
  </si>
  <si>
    <t>25,10</t>
    <phoneticPr fontId="1" type="noConversion"/>
  </si>
  <si>
    <t>파우다 필터</t>
    <phoneticPr fontId="16" type="noConversion"/>
  </si>
  <si>
    <t>소부기 춟장비 및 기술료</t>
    <phoneticPr fontId="16" type="noConversion"/>
  </si>
  <si>
    <t>소부기 개폐기 기판</t>
    <phoneticPr fontId="16" type="noConversion"/>
  </si>
  <si>
    <t>신광강판인쇄</t>
    <phoneticPr fontId="16" type="noConversion"/>
  </si>
  <si>
    <t>Colorman 신문윤전기 습수약물 드럼
Technova Aquafount</t>
    <phoneticPr fontId="16" type="noConversion"/>
  </si>
  <si>
    <t>전동 드럼 오일</t>
    <phoneticPr fontId="16" type="noConversion"/>
  </si>
  <si>
    <t>9/10-11 Vpak 방문 점검건</t>
    <phoneticPr fontId="16" type="noConversion"/>
  </si>
  <si>
    <t>8/12-14 ESI 방문 점검건</t>
    <phoneticPr fontId="16" type="noConversion"/>
  </si>
  <si>
    <t>M600 서비스계약 4회차분</t>
    <phoneticPr fontId="16" type="noConversion"/>
  </si>
  <si>
    <t>GENUBOX</t>
    <phoneticPr fontId="16" type="noConversion"/>
  </si>
  <si>
    <t>신광강판인쇄</t>
    <phoneticPr fontId="7" type="noConversion"/>
  </si>
  <si>
    <t>25,9 총 매출</t>
    <phoneticPr fontId="1" type="noConversion"/>
  </si>
  <si>
    <t>25,10 총 매출</t>
    <phoneticPr fontId="1" type="noConversion"/>
  </si>
  <si>
    <t>25,10</t>
    <phoneticPr fontId="8" type="noConversion"/>
  </si>
  <si>
    <t>10월 창고료 240000</t>
    <phoneticPr fontId="16" type="noConversion"/>
  </si>
  <si>
    <t>2025,11</t>
    <phoneticPr fontId="1" type="noConversion"/>
  </si>
  <si>
    <t>25,11</t>
  </si>
  <si>
    <t>25,11</t>
    <phoneticPr fontId="1" type="noConversion"/>
  </si>
  <si>
    <t>GOSS 윤전 블랑켓</t>
    <phoneticPr fontId="16" type="noConversion"/>
  </si>
  <si>
    <t>RE 롤러 세정 크림</t>
    <phoneticPr fontId="16" type="noConversion"/>
  </si>
  <si>
    <t>요비다시 실린더</t>
    <phoneticPr fontId="16" type="noConversion"/>
  </si>
  <si>
    <t>ECO3</t>
    <phoneticPr fontId="16" type="noConversion"/>
  </si>
  <si>
    <t>휠기어축제작</t>
    <phoneticPr fontId="16" type="noConversion"/>
  </si>
  <si>
    <t>25,11</t>
    <phoneticPr fontId="16" type="noConversion"/>
  </si>
  <si>
    <t>OThers</t>
    <phoneticPr fontId="16" type="noConversion"/>
  </si>
  <si>
    <t>와우프레스</t>
    <phoneticPr fontId="4" type="noConversion"/>
  </si>
  <si>
    <t>팩컴AAP</t>
    <phoneticPr fontId="4" type="noConversion"/>
  </si>
  <si>
    <t>팩컴AAP</t>
    <phoneticPr fontId="16" type="noConversion"/>
  </si>
  <si>
    <t>25,11 총 매출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</si>
</sst>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6" formatCode="&quot;₩&quot;#,##0_);[Red]\(&quot;₩&quot;#,##0\)"/>
    <numFmt numFmtId="176" formatCode="&quot;₩&quot;#,##0;[Red]\-&quot;₩&quot;#,##0"/>
    <numFmt numFmtId="177" formatCode="_-&quot;₩&quot;* #,##0_-;\-&quot;₩&quot;* #,##0_-;_-&quot;₩&quot;* &quot;-&quot;_-;_-@_-"/>
    <numFmt numFmtId="178" formatCode="_-* #,##0_-;\-* #,##0_-;_-* &quot;-&quot;_-;_-@_-"/>
    <numFmt numFmtId="179" formatCode="_-&quot;₩&quot;* #,##0.00_-;\-&quot;₩&quot;* #,##0.00_-;_-&quot;₩&quot;* &quot;-&quot;??_-;_-@_-"/>
    <numFmt numFmtId="180" formatCode="_-* #,##0.00_-;\-* #,##0.00_-;_-* &quot;-&quot;??_-;_-@_-"/>
    <numFmt numFmtId="181" formatCode="0_);[Red]\(0\)"/>
    <numFmt numFmtId="182" formatCode="_-* #,##0.00_-;\-* #,##0.00_-;_-* &quot;-&quot;_-;_-@_-"/>
    <numFmt numFmtId="183" formatCode="mm&quot;월&quot;\ dd&quot;일&quot;"/>
    <numFmt numFmtId="184" formatCode="0.000_ "/>
    <numFmt numFmtId="185" formatCode="0.0_ "/>
    <numFmt numFmtId="186" formatCode="#,##0_ "/>
    <numFmt numFmtId="187" formatCode="0.00_ "/>
    <numFmt numFmtId="188" formatCode="yyyy&quot;년&quot;\ m&quot;월&quot;;@"/>
    <numFmt numFmtId="189" formatCode="yyyy&quot;/&quot;m&quot;/&quot;d;@"/>
    <numFmt numFmtId="190" formatCode="[$SGD]\ #,##0.00"/>
    <numFmt numFmtId="191" formatCode="[$USD]\ #,##0.00"/>
    <numFmt numFmtId="192" formatCode="_-[$EUR]\ * #,##0.00_-;\-[$EUR]\ * #,##0.00_-;_-[$EUR]\ * &quot;-&quot;??_-;_-@_-"/>
    <numFmt numFmtId="193" formatCode="_-[$₩-412]* #,##0.00_-;\-[$₩-412]* #,##0.00_-;_-[$₩-412]* &quot;-&quot;??_-;_-@_-"/>
    <numFmt numFmtId="194" formatCode="_-[$₩-412]* #,##0.000_-;\-[$₩-412]* #,##0.000_-;_-[$₩-412]* &quot;-&quot;??_-;_-@_-"/>
    <numFmt numFmtId="195" formatCode="_-[$₩-412]* #,##0_-;\-[$₩-412]* #,##0_-;_-[$₩-412]* &quot;-&quot;??_-;_-@_-"/>
    <numFmt numFmtId="196" formatCode="0.00;_退"/>
    <numFmt numFmtId="197" formatCode="_-[$$-409]* #,##0.00_ ;_-[$$-409]* \-#,##0.00\ ;_-[$$-409]* &quot;-&quot;??_ ;_-@_ "/>
    <numFmt numFmtId="198" formatCode="_-[$€-2]\ * #,##0.00_-;\-[$€-2]\ * #,##0.00_-;_-[$€-2]\ * &quot;-&quot;??_-;_-@_-"/>
    <numFmt numFmtId="199" formatCode="0.0"/>
    <numFmt numFmtId="200" formatCode="&quot;₩&quot;#,##0.0_);[Red]\(&quot;₩&quot;#,##0.0\)"/>
    <numFmt numFmtId="201" formatCode="_-&quot;₩&quot;* #,##0_-;\-&quot;₩&quot;* #,##0_-;_-&quot;₩&quot;* &quot;-&quot;??_-;_-@_-"/>
    <numFmt numFmtId="202" formatCode="_-[$£-809]* #,##0.00_-;\-[$£-809]* #,##0.00_-;_-[$£-809]* &quot;-&quot;??_-;_-@_-"/>
    <numFmt numFmtId="203" formatCode="0.0%"/>
  </numFmts>
  <fonts count="9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1"/>
      <name val="Tahoma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1"/>
      <name val="돋움"/>
      <family val="3"/>
      <charset val="129"/>
    </font>
    <font>
      <sz val="12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Arial Unicode MS"/>
      <family val="3"/>
      <charset val="129"/>
    </font>
    <font>
      <b/>
      <sz val="13"/>
      <color theme="0"/>
      <name val="돋움"/>
      <family val="3"/>
      <charset val="129"/>
    </font>
    <font>
      <sz val="13"/>
      <color theme="0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b/>
      <sz val="13"/>
      <color theme="8" tint="-0.499984740745262"/>
      <name val="돋움"/>
      <family val="3"/>
      <charset val="129"/>
    </font>
    <font>
      <sz val="12"/>
      <color rgb="FF000000"/>
      <name val="ariel"/>
      <family val="2"/>
    </font>
    <font>
      <sz val="12"/>
      <color theme="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C00000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CC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  <font>
      <sz val="12"/>
      <color rgb="FF000000"/>
      <name val="Arial"/>
      <family val="2"/>
    </font>
    <font>
      <sz val="12"/>
      <color rgb="FF000000"/>
      <name val="Georgia"/>
      <family val="1"/>
    </font>
    <font>
      <sz val="12"/>
      <color rgb="FFFF0000"/>
      <name val="맑은 고딕"/>
      <family val="3"/>
      <charset val="129"/>
      <scheme val="minor"/>
    </font>
    <font>
      <sz val="12"/>
      <color theme="1"/>
      <name val="ariel"/>
      <family val="2"/>
    </font>
    <font>
      <b/>
      <sz val="12"/>
      <color theme="2"/>
      <name val="돋움"/>
      <family val="3"/>
      <charset val="129"/>
    </font>
    <font>
      <b/>
      <sz val="12"/>
      <color rgb="FF002060"/>
      <name val="맑은 고딕"/>
      <family val="3"/>
      <charset val="129"/>
      <scheme val="minor"/>
    </font>
    <font>
      <b/>
      <sz val="12"/>
      <color rgb="FF7030A0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2"/>
      <color rgb="FF7030A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11"/>
      <color rgb="FF3333CC"/>
      <name val="맑은 고딕"/>
      <family val="3"/>
      <charset val="129"/>
    </font>
    <font>
      <sz val="12"/>
      <color rgb="FF00206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color rgb="FF0070C0"/>
      <name val="맑은 고딕"/>
      <family val="3"/>
      <charset val="129"/>
      <scheme val="minor"/>
    </font>
    <font>
      <b/>
      <sz val="12"/>
      <color theme="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2"/>
      <color rgb="FFFF0000"/>
      <name val="ariel"/>
      <family val="2"/>
    </font>
    <font>
      <sz val="12"/>
      <color rgb="FF00B050"/>
      <name val="맑은 고딕"/>
      <family val="3"/>
      <charset val="129"/>
      <scheme val="minor"/>
    </font>
    <font>
      <sz val="12"/>
      <color rgb="FF00B050"/>
      <name val="ariel"/>
      <family val="2"/>
    </font>
    <font>
      <sz val="12"/>
      <color rgb="FF000066"/>
      <name val="맑은 고딕"/>
      <family val="3"/>
      <charset val="129"/>
      <scheme val="minor"/>
    </font>
    <font>
      <sz val="12"/>
      <color rgb="FF0000CC"/>
      <name val="맑은 고딕"/>
      <family val="3"/>
      <charset val="129"/>
      <scheme val="minor"/>
    </font>
    <font>
      <b/>
      <sz val="12"/>
      <color rgb="FF3333CC"/>
      <name val="맑은 고딕"/>
      <family val="3"/>
      <charset val="129"/>
      <scheme val="minor"/>
    </font>
    <font>
      <b/>
      <sz val="12"/>
      <color rgb="FF00B05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i/>
      <sz val="12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Yu Gothic"/>
      <family val="3"/>
      <charset val="128"/>
    </font>
    <font>
      <sz val="12"/>
      <color theme="1"/>
      <name val="Yu Gothic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7DD9E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 tint="-0.14999847407452621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AFF7A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0.79998168889431442"/>
      </top>
      <bottom style="thin">
        <color theme="4" tint="0.79995117038483843"/>
      </bottom>
      <diagonal/>
    </border>
    <border>
      <left/>
      <right/>
      <top style="thin">
        <color theme="4" tint="0.79995117038483843"/>
      </top>
      <bottom style="thin">
        <color theme="4" tint="0.79992065187536243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 style="double">
        <color theme="4" tint="-0.249977111117893"/>
      </left>
      <right/>
      <top style="thin">
        <color theme="4" tint="-0.249977111117893"/>
      </top>
      <bottom style="thin">
        <color theme="4" tint="0.59999389629810485"/>
      </bottom>
      <diagonal/>
    </border>
    <border>
      <left style="double">
        <color theme="4" tint="-0.249977111117893"/>
      </left>
      <right/>
      <top/>
      <bottom style="thin">
        <color theme="4" tint="0.79998168889431442"/>
      </bottom>
      <diagonal/>
    </border>
    <border>
      <left style="double">
        <color theme="4" tint="-0.249977111117893"/>
      </left>
      <right/>
      <top/>
      <bottom/>
      <diagonal/>
    </border>
    <border>
      <left style="double">
        <color theme="4" tint="-0.249977111117893"/>
      </left>
      <right/>
      <top style="double">
        <color theme="4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indexed="64"/>
      </right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79992065187536243"/>
      </top>
      <bottom style="double">
        <color theme="4" tint="-0.249977111117893"/>
      </bottom>
      <diagonal/>
    </border>
    <border>
      <left/>
      <right/>
      <top/>
      <bottom style="double">
        <color theme="3"/>
      </bottom>
      <diagonal/>
    </border>
    <border>
      <left/>
      <right/>
      <top/>
      <bottom style="thin">
        <color theme="4" tint="-0.249977111117893"/>
      </bottom>
      <diagonal/>
    </border>
    <border>
      <left/>
      <right/>
      <top style="thin">
        <color theme="4" tint="0.79998168889431442"/>
      </top>
      <bottom/>
      <diagonal/>
    </border>
    <border>
      <left style="thin">
        <color theme="2"/>
      </left>
      <right style="thin">
        <color theme="2"/>
      </right>
      <top/>
      <bottom style="thin">
        <color indexed="64"/>
      </bottom>
      <diagonal/>
    </border>
    <border>
      <left style="thin">
        <color theme="0"/>
      </left>
      <right style="thin">
        <color theme="2"/>
      </right>
      <top/>
      <bottom style="thin">
        <color indexed="64"/>
      </bottom>
      <diagonal/>
    </border>
    <border>
      <left style="thin">
        <color theme="2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2"/>
      </right>
      <top style="thin">
        <color indexed="64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indexed="64"/>
      </right>
      <top/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0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2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/>
      <bottom style="thin">
        <color theme="2"/>
      </bottom>
      <diagonal/>
    </border>
    <border>
      <left style="thin">
        <color indexed="64"/>
      </left>
      <right style="thin">
        <color theme="0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2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2"/>
      </top>
      <bottom/>
      <diagonal/>
    </border>
    <border>
      <left style="thin">
        <color theme="0"/>
      </left>
      <right style="thin">
        <color theme="0"/>
      </right>
      <top/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2"/>
      </top>
      <bottom/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0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theme="2"/>
      </left>
      <right style="thin">
        <color theme="0"/>
      </right>
      <top/>
      <bottom style="thin">
        <color theme="2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2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2"/>
      </right>
      <top style="thin">
        <color theme="0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2"/>
      </bottom>
      <diagonal/>
    </border>
    <border>
      <left/>
      <right style="thin">
        <color indexed="64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theme="2"/>
      </top>
      <bottom style="thin">
        <color indexed="64"/>
      </bottom>
      <diagonal/>
    </border>
    <border>
      <left/>
      <right style="thin">
        <color indexed="64"/>
      </right>
      <top style="thin">
        <color theme="2"/>
      </top>
      <bottom style="thin">
        <color theme="0"/>
      </bottom>
      <diagonal/>
    </border>
    <border>
      <left/>
      <right style="thin">
        <color indexed="64"/>
      </right>
      <top style="thin">
        <color theme="2"/>
      </top>
      <bottom/>
      <diagonal/>
    </border>
    <border>
      <left/>
      <right/>
      <top style="thin">
        <color theme="0"/>
      </top>
      <bottom style="thin">
        <color theme="1"/>
      </bottom>
      <diagonal/>
    </border>
    <border>
      <left style="thin">
        <color theme="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>
      <alignment vertical="center"/>
    </xf>
    <xf numFmtId="0" fontId="3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178" fontId="35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/>
    <xf numFmtId="0" fontId="35" fillId="0" borderId="0"/>
    <xf numFmtId="0" fontId="2" fillId="0" borderId="0"/>
    <xf numFmtId="0" fontId="2" fillId="0" borderId="0"/>
    <xf numFmtId="0" fontId="3" fillId="0" borderId="0">
      <alignment vertical="center"/>
    </xf>
    <xf numFmtId="178" fontId="35" fillId="0" borderId="0" applyFont="0" applyFill="0" applyBorder="0" applyAlignment="0" applyProtection="0">
      <alignment vertical="center"/>
    </xf>
  </cellStyleXfs>
  <cellXfs count="1271">
    <xf numFmtId="0" fontId="0" fillId="0" borderId="0" xfId="0">
      <alignment vertical="center"/>
    </xf>
    <xf numFmtId="0" fontId="0" fillId="0" borderId="39" xfId="0" applyBorder="1">
      <alignment vertical="center"/>
    </xf>
    <xf numFmtId="186" fontId="0" fillId="0" borderId="40" xfId="0" applyNumberFormat="1" applyBorder="1">
      <alignment vertical="center"/>
    </xf>
    <xf numFmtId="186" fontId="0" fillId="0" borderId="39" xfId="0" applyNumberFormat="1" applyBorder="1">
      <alignment vertical="center"/>
    </xf>
    <xf numFmtId="186" fontId="40" fillId="0" borderId="39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86" fontId="41" fillId="2" borderId="39" xfId="0" applyNumberFormat="1" applyFont="1" applyFill="1" applyBorder="1">
      <alignment vertical="center"/>
    </xf>
    <xf numFmtId="0" fontId="39" fillId="3" borderId="0" xfId="0" applyFont="1" applyFill="1">
      <alignment vertical="center"/>
    </xf>
    <xf numFmtId="0" fontId="39" fillId="3" borderId="39" xfId="0" applyFont="1" applyFill="1" applyBorder="1">
      <alignment vertical="center"/>
    </xf>
    <xf numFmtId="186" fontId="39" fillId="0" borderId="41" xfId="0" applyNumberFormat="1" applyFont="1" applyBorder="1">
      <alignment vertical="center"/>
    </xf>
    <xf numFmtId="186" fontId="41" fillId="0" borderId="40" xfId="0" applyNumberFormat="1" applyFont="1" applyBorder="1">
      <alignment vertical="center"/>
    </xf>
    <xf numFmtId="186" fontId="40" fillId="0" borderId="40" xfId="0" applyNumberFormat="1" applyFont="1" applyBorder="1">
      <alignment vertical="center"/>
    </xf>
    <xf numFmtId="0" fontId="42" fillId="0" borderId="0" xfId="0" applyFont="1">
      <alignment vertical="center"/>
    </xf>
    <xf numFmtId="0" fontId="38" fillId="4" borderId="42" xfId="0" applyFont="1" applyFill="1" applyBorder="1">
      <alignment vertical="center"/>
    </xf>
    <xf numFmtId="0" fontId="36" fillId="4" borderId="42" xfId="0" applyFont="1" applyFill="1" applyBorder="1">
      <alignment vertical="center"/>
    </xf>
    <xf numFmtId="0" fontId="36" fillId="4" borderId="39" xfId="0" applyFont="1" applyFill="1" applyBorder="1">
      <alignment vertical="center"/>
    </xf>
    <xf numFmtId="0" fontId="36" fillId="4" borderId="39" xfId="0" applyFont="1" applyFill="1" applyBorder="1" applyAlignment="1">
      <alignment horizontal="center" vertical="center"/>
    </xf>
    <xf numFmtId="186" fontId="0" fillId="0" borderId="0" xfId="0" applyNumberFormat="1">
      <alignment vertical="center"/>
    </xf>
    <xf numFmtId="0" fontId="39" fillId="0" borderId="41" xfId="0" applyFont="1" applyBorder="1">
      <alignment vertical="center"/>
    </xf>
    <xf numFmtId="0" fontId="41" fillId="0" borderId="0" xfId="0" applyFont="1">
      <alignment vertical="center"/>
    </xf>
    <xf numFmtId="186" fontId="37" fillId="2" borderId="39" xfId="0" applyNumberFormat="1" applyFont="1" applyFill="1" applyBorder="1">
      <alignment vertical="center"/>
    </xf>
    <xf numFmtId="0" fontId="39" fillId="0" borderId="0" xfId="0" applyFont="1">
      <alignment vertical="center"/>
    </xf>
    <xf numFmtId="9" fontId="39" fillId="0" borderId="0" xfId="2" applyFont="1" applyAlignment="1">
      <alignment horizontal="center" vertical="center"/>
    </xf>
    <xf numFmtId="186" fontId="0" fillId="3" borderId="39" xfId="0" applyNumberFormat="1" applyFill="1" applyBorder="1">
      <alignment vertical="center"/>
    </xf>
    <xf numFmtId="186" fontId="0" fillId="3" borderId="0" xfId="0" applyNumberFormat="1" applyFill="1">
      <alignment vertical="center"/>
    </xf>
    <xf numFmtId="186" fontId="39" fillId="3" borderId="41" xfId="0" applyNumberFormat="1" applyFont="1" applyFill="1" applyBorder="1">
      <alignment vertical="center"/>
    </xf>
    <xf numFmtId="9" fontId="39" fillId="3" borderId="0" xfId="2" applyFont="1" applyFill="1" applyAlignment="1">
      <alignment horizontal="center" vertical="center"/>
    </xf>
    <xf numFmtId="0" fontId="39" fillId="3" borderId="43" xfId="0" applyFont="1" applyFill="1" applyBorder="1">
      <alignment vertical="center"/>
    </xf>
    <xf numFmtId="186" fontId="41" fillId="0" borderId="39" xfId="0" applyNumberFormat="1" applyFont="1" applyBorder="1">
      <alignment vertical="center"/>
    </xf>
    <xf numFmtId="0" fontId="39" fillId="3" borderId="44" xfId="0" applyFont="1" applyFill="1" applyBorder="1">
      <alignment vertical="center"/>
    </xf>
    <xf numFmtId="9" fontId="35" fillId="0" borderId="0" xfId="2" applyFont="1" applyAlignment="1">
      <alignment horizontal="center" vertical="center"/>
    </xf>
    <xf numFmtId="0" fontId="36" fillId="4" borderId="45" xfId="0" applyFont="1" applyFill="1" applyBorder="1">
      <alignment vertical="center"/>
    </xf>
    <xf numFmtId="0" fontId="36" fillId="4" borderId="46" xfId="0" applyFont="1" applyFill="1" applyBorder="1">
      <alignment vertical="center"/>
    </xf>
    <xf numFmtId="0" fontId="36" fillId="4" borderId="47" xfId="0" applyFont="1" applyFill="1" applyBorder="1" applyAlignment="1">
      <alignment horizontal="center" vertical="center"/>
    </xf>
    <xf numFmtId="186" fontId="0" fillId="0" borderId="47" xfId="0" applyNumberFormat="1" applyBorder="1">
      <alignment vertical="center"/>
    </xf>
    <xf numFmtId="186" fontId="0" fillId="0" borderId="48" xfId="0" applyNumberFormat="1" applyBorder="1">
      <alignment vertical="center"/>
    </xf>
    <xf numFmtId="186" fontId="39" fillId="0" borderId="49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4" fontId="43" fillId="5" borderId="1" xfId="0" applyNumberFormat="1" applyFont="1" applyFill="1" applyBorder="1" applyAlignment="1">
      <alignment horizontal="center" vertical="center"/>
    </xf>
    <xf numFmtId="0" fontId="44" fillId="3" borderId="39" xfId="0" applyFont="1" applyFill="1" applyBorder="1">
      <alignment vertical="center"/>
    </xf>
    <xf numFmtId="186" fontId="41" fillId="3" borderId="39" xfId="0" applyNumberFormat="1" applyFont="1" applyFill="1" applyBorder="1">
      <alignment vertical="center"/>
    </xf>
    <xf numFmtId="9" fontId="41" fillId="0" borderId="0" xfId="2" applyFont="1" applyAlignment="1">
      <alignment horizontal="center" vertical="center"/>
    </xf>
    <xf numFmtId="186" fontId="41" fillId="0" borderId="0" xfId="0" applyNumberFormat="1" applyFont="1">
      <alignment vertical="center"/>
    </xf>
    <xf numFmtId="186" fontId="41" fillId="3" borderId="0" xfId="0" applyNumberFormat="1" applyFont="1" applyFill="1">
      <alignment vertical="center"/>
    </xf>
    <xf numFmtId="186" fontId="41" fillId="2" borderId="40" xfId="0" applyNumberFormat="1" applyFont="1" applyFill="1" applyBorder="1">
      <alignment vertical="center"/>
    </xf>
    <xf numFmtId="177" fontId="0" fillId="0" borderId="1" xfId="0" applyNumberFormat="1" applyBorder="1">
      <alignment vertical="center"/>
    </xf>
    <xf numFmtId="0" fontId="45" fillId="0" borderId="1" xfId="0" applyFont="1" applyBorder="1" applyAlignment="1">
      <alignment horizontal="left" vertical="center" wrapText="1"/>
    </xf>
    <xf numFmtId="187" fontId="45" fillId="0" borderId="1" xfId="0" applyNumberFormat="1" applyFont="1" applyBorder="1" applyAlignment="1">
      <alignment horizontal="left" vertical="center" wrapText="1"/>
    </xf>
    <xf numFmtId="177" fontId="45" fillId="0" borderId="1" xfId="0" applyNumberFormat="1" applyFont="1" applyBorder="1" applyAlignment="1">
      <alignment horizontal="left" vertical="center" wrapText="1"/>
    </xf>
    <xf numFmtId="177" fontId="46" fillId="0" borderId="1" xfId="0" applyNumberFormat="1" applyFont="1" applyBorder="1" applyAlignment="1">
      <alignment horizontal="justify" vertical="center" wrapText="1"/>
    </xf>
    <xf numFmtId="177" fontId="0" fillId="0" borderId="1" xfId="0" applyNumberForma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186" fontId="37" fillId="0" borderId="39" xfId="0" applyNumberFormat="1" applyFont="1" applyBorder="1">
      <alignment vertical="center"/>
    </xf>
    <xf numFmtId="177" fontId="47" fillId="6" borderId="50" xfId="0" applyNumberFormat="1" applyFont="1" applyFill="1" applyBorder="1" applyAlignment="1">
      <alignment horizontal="center" vertical="center"/>
    </xf>
    <xf numFmtId="9" fontId="47" fillId="6" borderId="51" xfId="0" applyNumberFormat="1" applyFont="1" applyFill="1" applyBorder="1" applyAlignment="1">
      <alignment horizontal="center" vertical="center"/>
    </xf>
    <xf numFmtId="177" fontId="47" fillId="6" borderId="52" xfId="0" applyNumberFormat="1" applyFont="1" applyFill="1" applyBorder="1" applyAlignment="1">
      <alignment horizontal="center" vertical="center"/>
    </xf>
    <xf numFmtId="9" fontId="47" fillId="6" borderId="52" xfId="0" applyNumberFormat="1" applyFont="1" applyFill="1" applyBorder="1" applyAlignment="1">
      <alignment horizontal="center" vertical="center"/>
    </xf>
    <xf numFmtId="177" fontId="47" fillId="6" borderId="53" xfId="0" applyNumberFormat="1" applyFont="1" applyFill="1" applyBorder="1" applyAlignment="1">
      <alignment horizontal="center" vertical="center"/>
    </xf>
    <xf numFmtId="9" fontId="47" fillId="6" borderId="54" xfId="0" applyNumberFormat="1" applyFont="1" applyFill="1" applyBorder="1" applyAlignment="1">
      <alignment horizontal="center" vertical="center"/>
    </xf>
    <xf numFmtId="177" fontId="47" fillId="6" borderId="55" xfId="0" applyNumberFormat="1" applyFont="1" applyFill="1" applyBorder="1" applyAlignment="1">
      <alignment horizontal="center" vertical="center"/>
    </xf>
    <xf numFmtId="177" fontId="47" fillId="6" borderId="56" xfId="0" applyNumberFormat="1" applyFont="1" applyFill="1" applyBorder="1" applyAlignment="1">
      <alignment horizontal="center" vertical="center"/>
    </xf>
    <xf numFmtId="177" fontId="47" fillId="6" borderId="57" xfId="0" applyNumberFormat="1" applyFont="1" applyFill="1" applyBorder="1" applyAlignment="1">
      <alignment horizontal="center" vertical="center"/>
    </xf>
    <xf numFmtId="9" fontId="47" fillId="6" borderId="57" xfId="0" applyNumberFormat="1" applyFont="1" applyFill="1" applyBorder="1" applyAlignment="1">
      <alignment horizontal="center" vertical="center"/>
    </xf>
    <xf numFmtId="9" fontId="47" fillId="6" borderId="50" xfId="0" applyNumberFormat="1" applyFont="1" applyFill="1" applyBorder="1" applyAlignment="1">
      <alignment horizontal="center" vertical="center"/>
    </xf>
    <xf numFmtId="177" fontId="47" fillId="6" borderId="58" xfId="0" applyNumberFormat="1" applyFont="1" applyFill="1" applyBorder="1" applyAlignment="1">
      <alignment horizontal="center" vertical="center"/>
    </xf>
    <xf numFmtId="9" fontId="47" fillId="6" borderId="59" xfId="0" applyNumberFormat="1" applyFont="1" applyFill="1" applyBorder="1" applyAlignment="1">
      <alignment horizontal="center" vertical="center"/>
    </xf>
    <xf numFmtId="9" fontId="47" fillId="6" borderId="53" xfId="0" applyNumberFormat="1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center" vertical="center" wrapText="1"/>
    </xf>
    <xf numFmtId="0" fontId="40" fillId="7" borderId="1" xfId="0" applyFont="1" applyFill="1" applyBorder="1" applyAlignment="1">
      <alignment horizontal="center" vertical="center" wrapText="1"/>
    </xf>
    <xf numFmtId="196" fontId="40" fillId="7" borderId="1" xfId="0" applyNumberFormat="1" applyFont="1" applyFill="1" applyBorder="1" applyAlignment="1">
      <alignment horizontal="center" vertical="center" wrapText="1"/>
    </xf>
    <xf numFmtId="0" fontId="47" fillId="3" borderId="50" xfId="0" applyFont="1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47" fillId="3" borderId="56" xfId="0" applyFont="1" applyFill="1" applyBorder="1" applyAlignment="1">
      <alignment horizontal="center" vertical="center"/>
    </xf>
    <xf numFmtId="0" fontId="0" fillId="8" borderId="50" xfId="0" applyFill="1" applyBorder="1" applyAlignment="1">
      <alignment horizontal="center" vertical="center"/>
    </xf>
    <xf numFmtId="0" fontId="47" fillId="8" borderId="50" xfId="0" applyFont="1" applyFill="1" applyBorder="1" applyAlignment="1">
      <alignment horizontal="center" vertical="center"/>
    </xf>
    <xf numFmtId="0" fontId="49" fillId="9" borderId="57" xfId="9" applyFont="1" applyFill="1" applyBorder="1" applyAlignment="1">
      <alignment horizontal="center" vertical="center" wrapText="1"/>
    </xf>
    <xf numFmtId="6" fontId="49" fillId="9" borderId="57" xfId="7" applyNumberFormat="1" applyFont="1" applyFill="1" applyBorder="1" applyAlignment="1">
      <alignment horizontal="center" vertical="center" wrapText="1"/>
    </xf>
    <xf numFmtId="0" fontId="36" fillId="9" borderId="57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center" vertical="center"/>
    </xf>
    <xf numFmtId="0" fontId="47" fillId="3" borderId="60" xfId="0" applyFont="1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47" fillId="3" borderId="61" xfId="0" applyFont="1" applyFill="1" applyBorder="1" applyAlignment="1">
      <alignment horizontal="center" vertical="center"/>
    </xf>
    <xf numFmtId="0" fontId="48" fillId="3" borderId="57" xfId="0" applyFont="1" applyFill="1" applyBorder="1" applyAlignment="1">
      <alignment horizontal="center" vertical="center"/>
    </xf>
    <xf numFmtId="0" fontId="47" fillId="3" borderId="57" xfId="0" applyFont="1" applyFill="1" applyBorder="1" applyAlignment="1">
      <alignment horizontal="center" vertical="center"/>
    </xf>
    <xf numFmtId="0" fontId="47" fillId="3" borderId="62" xfId="0" applyFont="1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48" fillId="3" borderId="63" xfId="0" applyFont="1" applyFill="1" applyBorder="1" applyAlignment="1">
      <alignment horizontal="center" vertical="center"/>
    </xf>
    <xf numFmtId="0" fontId="47" fillId="3" borderId="63" xfId="0" applyFont="1" applyFill="1" applyBorder="1" applyAlignment="1">
      <alignment horizontal="center" vertical="center"/>
    </xf>
    <xf numFmtId="0" fontId="47" fillId="3" borderId="64" xfId="0" applyFont="1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48" fillId="3" borderId="63" xfId="0" applyFont="1" applyFill="1" applyBorder="1" applyAlignment="1">
      <alignment horizontal="center" vertical="center" wrapText="1"/>
    </xf>
    <xf numFmtId="0" fontId="48" fillId="3" borderId="56" xfId="0" applyFont="1" applyFill="1" applyBorder="1" applyAlignment="1">
      <alignment horizontal="center" vertical="center" wrapText="1"/>
    </xf>
    <xf numFmtId="0" fontId="48" fillId="3" borderId="57" xfId="0" applyFont="1" applyFill="1" applyBorder="1" applyAlignment="1">
      <alignment horizontal="center" vertical="center" wrapText="1"/>
    </xf>
    <xf numFmtId="0" fontId="48" fillId="3" borderId="58" xfId="0" applyFont="1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47" fillId="3" borderId="51" xfId="0" applyFont="1" applyFill="1" applyBorder="1" applyAlignment="1">
      <alignment horizontal="center" vertical="center"/>
    </xf>
    <xf numFmtId="177" fontId="47" fillId="6" borderId="54" xfId="0" applyNumberFormat="1" applyFont="1" applyFill="1" applyBorder="1" applyAlignment="1">
      <alignment horizontal="center" vertical="center"/>
    </xf>
    <xf numFmtId="0" fontId="47" fillId="0" borderId="50" xfId="0" applyFont="1" applyBorder="1" applyAlignment="1">
      <alignment horizontal="center" vertical="center"/>
    </xf>
    <xf numFmtId="197" fontId="47" fillId="3" borderId="50" xfId="0" applyNumberFormat="1" applyFont="1" applyFill="1" applyBorder="1" applyAlignment="1">
      <alignment horizontal="center" vertical="center"/>
    </xf>
    <xf numFmtId="197" fontId="47" fillId="0" borderId="50" xfId="0" applyNumberFormat="1" applyFont="1" applyBorder="1" applyAlignment="1">
      <alignment horizontal="center" vertical="center"/>
    </xf>
    <xf numFmtId="198" fontId="47" fillId="3" borderId="50" xfId="0" applyNumberFormat="1" applyFont="1" applyFill="1" applyBorder="1" applyAlignment="1">
      <alignment horizontal="center" vertical="center"/>
    </xf>
    <xf numFmtId="177" fontId="47" fillId="3" borderId="50" xfId="0" applyNumberFormat="1" applyFont="1" applyFill="1" applyBorder="1" applyAlignment="1">
      <alignment horizontal="center" vertical="center"/>
    </xf>
    <xf numFmtId="0" fontId="47" fillId="3" borderId="65" xfId="0" applyFont="1" applyFill="1" applyBorder="1" applyAlignment="1">
      <alignment horizontal="center" vertical="center"/>
    </xf>
    <xf numFmtId="177" fontId="47" fillId="3" borderId="50" xfId="7" applyFont="1" applyFill="1" applyBorder="1" applyAlignment="1">
      <alignment horizontal="center" vertical="center"/>
    </xf>
    <xf numFmtId="177" fontId="47" fillId="0" borderId="50" xfId="7" applyFont="1" applyBorder="1" applyAlignment="1">
      <alignment horizontal="center" vertical="center"/>
    </xf>
    <xf numFmtId="187" fontId="47" fillId="3" borderId="50" xfId="0" applyNumberFormat="1" applyFont="1" applyFill="1" applyBorder="1" applyAlignment="1">
      <alignment horizontal="center" vertical="center"/>
    </xf>
    <xf numFmtId="177" fontId="47" fillId="6" borderId="63" xfId="0" applyNumberFormat="1" applyFont="1" applyFill="1" applyBorder="1" applyAlignment="1">
      <alignment horizontal="center" vertical="center"/>
    </xf>
    <xf numFmtId="177" fontId="47" fillId="6" borderId="0" xfId="0" applyNumberFormat="1" applyFont="1" applyFill="1" applyAlignment="1">
      <alignment horizontal="center" vertical="center"/>
    </xf>
    <xf numFmtId="9" fontId="47" fillId="6" borderId="0" xfId="0" applyNumberFormat="1" applyFont="1" applyFill="1" applyAlignment="1">
      <alignment horizontal="center" vertical="center"/>
    </xf>
    <xf numFmtId="197" fontId="47" fillId="3" borderId="56" xfId="0" applyNumberFormat="1" applyFont="1" applyFill="1" applyBorder="1" applyAlignment="1">
      <alignment horizontal="center" vertical="center"/>
    </xf>
    <xf numFmtId="177" fontId="47" fillId="3" borderId="56" xfId="7" applyFont="1" applyFill="1" applyBorder="1" applyAlignment="1">
      <alignment horizontal="center" vertical="center"/>
    </xf>
    <xf numFmtId="197" fontId="47" fillId="3" borderId="57" xfId="0" applyNumberFormat="1" applyFont="1" applyFill="1" applyBorder="1" applyAlignment="1">
      <alignment horizontal="center" vertical="center"/>
    </xf>
    <xf numFmtId="177" fontId="47" fillId="3" borderId="57" xfId="7" applyFont="1" applyFill="1" applyBorder="1" applyAlignment="1">
      <alignment horizontal="center" vertical="center"/>
    </xf>
    <xf numFmtId="197" fontId="47" fillId="3" borderId="56" xfId="7" applyNumberFormat="1" applyFont="1" applyFill="1" applyBorder="1" applyAlignment="1">
      <alignment horizontal="center" vertical="center"/>
    </xf>
    <xf numFmtId="187" fontId="47" fillId="3" borderId="56" xfId="0" applyNumberFormat="1" applyFont="1" applyFill="1" applyBorder="1" applyAlignment="1">
      <alignment horizontal="center" vertical="center"/>
    </xf>
    <xf numFmtId="197" fontId="47" fillId="3" borderId="63" xfId="0" applyNumberFormat="1" applyFont="1" applyFill="1" applyBorder="1" applyAlignment="1">
      <alignment horizontal="center" vertical="center"/>
    </xf>
    <xf numFmtId="177" fontId="47" fillId="3" borderId="63" xfId="7" applyFont="1" applyFill="1" applyBorder="1" applyAlignment="1">
      <alignment horizontal="center" vertical="center"/>
    </xf>
    <xf numFmtId="0" fontId="50" fillId="7" borderId="58" xfId="0" applyFont="1" applyFill="1" applyBorder="1" applyAlignment="1">
      <alignment horizontal="center" vertical="center"/>
    </xf>
    <xf numFmtId="197" fontId="49" fillId="7" borderId="58" xfId="7" applyNumberFormat="1" applyFont="1" applyFill="1" applyBorder="1" applyAlignment="1">
      <alignment horizontal="center" vertical="center" wrapText="1"/>
    </xf>
    <xf numFmtId="177" fontId="49" fillId="7" borderId="58" xfId="7" applyFont="1" applyFill="1" applyBorder="1" applyAlignment="1">
      <alignment horizontal="center" vertical="center" wrapText="1"/>
    </xf>
    <xf numFmtId="6" fontId="49" fillId="7" borderId="58" xfId="7" applyNumberFormat="1" applyFont="1" applyFill="1" applyBorder="1" applyAlignment="1">
      <alignment horizontal="center" vertical="center" wrapText="1"/>
    </xf>
    <xf numFmtId="0" fontId="49" fillId="9" borderId="57" xfId="9" applyFont="1" applyFill="1" applyBorder="1" applyAlignment="1">
      <alignment horizontal="center" vertical="center"/>
    </xf>
    <xf numFmtId="197" fontId="49" fillId="9" borderId="57" xfId="7" applyNumberFormat="1" applyFont="1" applyFill="1" applyBorder="1" applyAlignment="1">
      <alignment horizontal="center" vertical="center" wrapText="1"/>
    </xf>
    <xf numFmtId="177" fontId="49" fillId="9" borderId="57" xfId="7" applyFont="1" applyFill="1" applyBorder="1" applyAlignment="1">
      <alignment horizontal="center" vertical="center" wrapText="1"/>
    </xf>
    <xf numFmtId="177" fontId="51" fillId="9" borderId="57" xfId="7" applyFont="1" applyFill="1" applyBorder="1" applyAlignment="1">
      <alignment horizontal="center" vertical="center"/>
    </xf>
    <xf numFmtId="0" fontId="50" fillId="9" borderId="57" xfId="0" applyFont="1" applyFill="1" applyBorder="1" applyAlignment="1">
      <alignment horizontal="center" vertical="center"/>
    </xf>
    <xf numFmtId="187" fontId="47" fillId="3" borderId="57" xfId="0" applyNumberFormat="1" applyFont="1" applyFill="1" applyBorder="1" applyAlignment="1">
      <alignment horizontal="center" vertical="center"/>
    </xf>
    <xf numFmtId="198" fontId="47" fillId="3" borderId="56" xfId="0" applyNumberFormat="1" applyFont="1" applyFill="1" applyBorder="1" applyAlignment="1">
      <alignment horizontal="center" vertical="center"/>
    </xf>
    <xf numFmtId="198" fontId="47" fillId="3" borderId="57" xfId="0" applyNumberFormat="1" applyFont="1" applyFill="1" applyBorder="1" applyAlignment="1">
      <alignment horizontal="center" vertical="center"/>
    </xf>
    <xf numFmtId="0" fontId="51" fillId="9" borderId="66" xfId="0" applyFont="1" applyFill="1" applyBorder="1" applyAlignment="1">
      <alignment horizontal="center" vertical="center"/>
    </xf>
    <xf numFmtId="0" fontId="50" fillId="7" borderId="67" xfId="0" applyFont="1" applyFill="1" applyBorder="1" applyAlignment="1">
      <alignment horizontal="center" vertical="center"/>
    </xf>
    <xf numFmtId="0" fontId="47" fillId="3" borderId="68" xfId="0" applyFont="1" applyFill="1" applyBorder="1" applyAlignment="1">
      <alignment horizontal="center" vertical="center"/>
    </xf>
    <xf numFmtId="0" fontId="47" fillId="3" borderId="66" xfId="0" applyFont="1" applyFill="1" applyBorder="1" applyAlignment="1">
      <alignment horizontal="center" vertical="center"/>
    </xf>
    <xf numFmtId="0" fontId="47" fillId="3" borderId="69" xfId="0" applyFont="1" applyFill="1" applyBorder="1" applyAlignment="1">
      <alignment horizontal="center" vertical="center"/>
    </xf>
    <xf numFmtId="0" fontId="47" fillId="0" borderId="65" xfId="0" applyFont="1" applyBorder="1" applyAlignment="1">
      <alignment horizontal="center" vertical="center"/>
    </xf>
    <xf numFmtId="0" fontId="51" fillId="9" borderId="62" xfId="0" applyFont="1" applyFill="1" applyBorder="1" applyAlignment="1">
      <alignment horizontal="center" vertical="center"/>
    </xf>
    <xf numFmtId="0" fontId="52" fillId="7" borderId="70" xfId="9" applyFont="1" applyFill="1" applyBorder="1" applyAlignment="1">
      <alignment horizontal="center" vertical="center" wrapText="1"/>
    </xf>
    <xf numFmtId="0" fontId="47" fillId="0" borderId="61" xfId="0" applyFont="1" applyBorder="1" applyAlignment="1">
      <alignment horizontal="center" vertical="center"/>
    </xf>
    <xf numFmtId="0" fontId="47" fillId="3" borderId="71" xfId="0" applyFont="1" applyFill="1" applyBorder="1" applyAlignment="1">
      <alignment horizontal="center" vertical="center"/>
    </xf>
    <xf numFmtId="197" fontId="47" fillId="3" borderId="54" xfId="0" applyNumberFormat="1" applyFont="1" applyFill="1" applyBorder="1" applyAlignment="1">
      <alignment horizontal="center" vertical="center"/>
    </xf>
    <xf numFmtId="177" fontId="47" fillId="3" borderId="54" xfId="7" applyFont="1" applyFill="1" applyBorder="1" applyAlignment="1">
      <alignment horizontal="center" vertical="center"/>
    </xf>
    <xf numFmtId="0" fontId="50" fillId="7" borderId="70" xfId="0" applyFont="1" applyFill="1" applyBorder="1" applyAlignment="1">
      <alignment horizontal="center" vertical="center"/>
    </xf>
    <xf numFmtId="0" fontId="48" fillId="3" borderId="63" xfId="0" applyFont="1" applyFill="1" applyBorder="1" applyAlignment="1">
      <alignment horizontal="center" vertical="top"/>
    </xf>
    <xf numFmtId="0" fontId="48" fillId="3" borderId="54" xfId="0" applyFont="1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177" fontId="47" fillId="3" borderId="56" xfId="0" applyNumberFormat="1" applyFont="1" applyFill="1" applyBorder="1" applyAlignment="1">
      <alignment horizontal="center" vertical="center"/>
    </xf>
    <xf numFmtId="177" fontId="48" fillId="3" borderId="56" xfId="7" applyFont="1" applyFill="1" applyBorder="1" applyAlignment="1">
      <alignment horizontal="center" vertical="center"/>
    </xf>
    <xf numFmtId="177" fontId="48" fillId="3" borderId="50" xfId="7" applyFont="1" applyFill="1" applyBorder="1" applyAlignment="1">
      <alignment horizontal="center" vertical="center"/>
    </xf>
    <xf numFmtId="177" fontId="48" fillId="3" borderId="57" xfId="7" applyFont="1" applyFill="1" applyBorder="1" applyAlignment="1">
      <alignment horizontal="center" vertical="center"/>
    </xf>
    <xf numFmtId="177" fontId="48" fillId="3" borderId="63" xfId="7" applyFont="1" applyFill="1" applyBorder="1" applyAlignment="1">
      <alignment horizontal="center" vertical="center"/>
    </xf>
    <xf numFmtId="177" fontId="48" fillId="3" borderId="56" xfId="7" applyFont="1" applyFill="1" applyBorder="1" applyAlignment="1">
      <alignment horizontal="center" vertical="center" wrapText="1"/>
    </xf>
    <xf numFmtId="177" fontId="48" fillId="3" borderId="50" xfId="7" applyFont="1" applyFill="1" applyBorder="1" applyAlignment="1">
      <alignment horizontal="center" vertical="center" wrapText="1"/>
    </xf>
    <xf numFmtId="177" fontId="48" fillId="3" borderId="57" xfId="7" applyFont="1" applyFill="1" applyBorder="1" applyAlignment="1">
      <alignment horizontal="center" vertical="center" wrapText="1"/>
    </xf>
    <xf numFmtId="177" fontId="48" fillId="3" borderId="58" xfId="7" applyFont="1" applyFill="1" applyBorder="1" applyAlignment="1">
      <alignment horizontal="center" vertical="center"/>
    </xf>
    <xf numFmtId="177" fontId="35" fillId="8" borderId="50" xfId="7" applyFont="1" applyFill="1" applyBorder="1" applyAlignment="1">
      <alignment horizontal="center" vertical="center"/>
    </xf>
    <xf numFmtId="0" fontId="47" fillId="3" borderId="59" xfId="0" applyFont="1" applyFill="1" applyBorder="1" applyAlignment="1">
      <alignment horizontal="center" vertical="center"/>
    </xf>
    <xf numFmtId="177" fontId="47" fillId="3" borderId="59" xfId="7" applyFont="1" applyFill="1" applyBorder="1" applyAlignment="1">
      <alignment horizontal="center" vertical="center"/>
    </xf>
    <xf numFmtId="0" fontId="47" fillId="3" borderId="73" xfId="0" applyFont="1" applyFill="1" applyBorder="1" applyAlignment="1">
      <alignment horizontal="center" vertical="center"/>
    </xf>
    <xf numFmtId="177" fontId="53" fillId="3" borderId="56" xfId="7" applyFont="1" applyFill="1" applyBorder="1" applyAlignment="1">
      <alignment horizontal="center" vertical="center" wrapText="1"/>
    </xf>
    <xf numFmtId="177" fontId="53" fillId="3" borderId="68" xfId="7" applyFont="1" applyFill="1" applyBorder="1" applyAlignment="1">
      <alignment horizontal="center" vertical="center" wrapText="1"/>
    </xf>
    <xf numFmtId="0" fontId="47" fillId="3" borderId="74" xfId="0" applyFont="1" applyFill="1" applyBorder="1" applyAlignment="1">
      <alignment horizontal="center" vertical="center"/>
    </xf>
    <xf numFmtId="177" fontId="53" fillId="3" borderId="50" xfId="7" applyFont="1" applyFill="1" applyBorder="1" applyAlignment="1">
      <alignment horizontal="center" vertical="center" wrapText="1"/>
    </xf>
    <xf numFmtId="0" fontId="47" fillId="3" borderId="75" xfId="0" applyFont="1" applyFill="1" applyBorder="1" applyAlignment="1">
      <alignment horizontal="center" vertical="center"/>
    </xf>
    <xf numFmtId="177" fontId="53" fillId="3" borderId="65" xfId="7" applyFont="1" applyFill="1" applyBorder="1" applyAlignment="1">
      <alignment horizontal="center" vertical="center" wrapText="1"/>
    </xf>
    <xf numFmtId="0" fontId="47" fillId="3" borderId="76" xfId="0" applyFont="1" applyFill="1" applyBorder="1" applyAlignment="1">
      <alignment horizontal="center" vertical="center"/>
    </xf>
    <xf numFmtId="0" fontId="47" fillId="3" borderId="52" xfId="0" applyFont="1" applyFill="1" applyBorder="1" applyAlignment="1">
      <alignment horizontal="center" vertical="center"/>
    </xf>
    <xf numFmtId="0" fontId="47" fillId="3" borderId="77" xfId="0" applyFont="1" applyFill="1" applyBorder="1" applyAlignment="1">
      <alignment horizontal="center" vertical="center"/>
    </xf>
    <xf numFmtId="177" fontId="47" fillId="3" borderId="52" xfId="0" applyNumberFormat="1" applyFont="1" applyFill="1" applyBorder="1" applyAlignment="1">
      <alignment horizontal="center" vertical="center"/>
    </xf>
    <xf numFmtId="177" fontId="53" fillId="3" borderId="52" xfId="7" applyFont="1" applyFill="1" applyBorder="1" applyAlignment="1">
      <alignment horizontal="center" vertical="center" wrapText="1"/>
    </xf>
    <xf numFmtId="177" fontId="53" fillId="3" borderId="78" xfId="7" applyFont="1" applyFill="1" applyBorder="1" applyAlignment="1">
      <alignment horizontal="center" vertical="center" wrapText="1"/>
    </xf>
    <xf numFmtId="0" fontId="47" fillId="3" borderId="78" xfId="0" applyFont="1" applyFill="1" applyBorder="1" applyAlignment="1">
      <alignment horizontal="center" vertical="center"/>
    </xf>
    <xf numFmtId="0" fontId="47" fillId="3" borderId="53" xfId="0" applyFont="1" applyFill="1" applyBorder="1" applyAlignment="1">
      <alignment horizontal="center" vertical="center"/>
    </xf>
    <xf numFmtId="177" fontId="47" fillId="3" borderId="53" xfId="0" applyNumberFormat="1" applyFont="1" applyFill="1" applyBorder="1" applyAlignment="1">
      <alignment horizontal="center" vertical="center"/>
    </xf>
    <xf numFmtId="177" fontId="53" fillId="3" borderId="53" xfId="7" applyFont="1" applyFill="1" applyBorder="1" applyAlignment="1">
      <alignment horizontal="center" vertical="center" wrapText="1"/>
    </xf>
    <xf numFmtId="177" fontId="53" fillId="3" borderId="79" xfId="7" applyFont="1" applyFill="1" applyBorder="1" applyAlignment="1">
      <alignment horizontal="center" vertical="center" wrapText="1"/>
    </xf>
    <xf numFmtId="0" fontId="47" fillId="3" borderId="79" xfId="0" applyFont="1" applyFill="1" applyBorder="1" applyAlignment="1">
      <alignment horizontal="center" vertical="center"/>
    </xf>
    <xf numFmtId="0" fontId="47" fillId="3" borderId="55" xfId="0" applyFont="1" applyFill="1" applyBorder="1" applyAlignment="1">
      <alignment horizontal="center" vertical="center"/>
    </xf>
    <xf numFmtId="1" fontId="47" fillId="3" borderId="55" xfId="0" applyNumberFormat="1" applyFont="1" applyFill="1" applyBorder="1" applyAlignment="1">
      <alignment horizontal="center" vertical="center"/>
    </xf>
    <xf numFmtId="177" fontId="47" fillId="3" borderId="55" xfId="0" applyNumberFormat="1" applyFont="1" applyFill="1" applyBorder="1" applyAlignment="1">
      <alignment horizontal="center" vertical="center"/>
    </xf>
    <xf numFmtId="177" fontId="53" fillId="3" borderId="55" xfId="7" applyFont="1" applyFill="1" applyBorder="1" applyAlignment="1">
      <alignment horizontal="center" vertical="center" wrapText="1"/>
    </xf>
    <xf numFmtId="177" fontId="53" fillId="3" borderId="80" xfId="7" applyFont="1" applyFill="1" applyBorder="1" applyAlignment="1">
      <alignment horizontal="center" vertical="center" wrapText="1"/>
    </xf>
    <xf numFmtId="0" fontId="47" fillId="3" borderId="80" xfId="0" applyFont="1" applyFill="1" applyBorder="1" applyAlignment="1">
      <alignment horizontal="center" vertical="center"/>
    </xf>
    <xf numFmtId="0" fontId="47" fillId="3" borderId="81" xfId="0" applyFont="1" applyFill="1" applyBorder="1" applyAlignment="1">
      <alignment horizontal="center" vertical="center"/>
    </xf>
    <xf numFmtId="0" fontId="47" fillId="3" borderId="82" xfId="0" applyFont="1" applyFill="1" applyBorder="1" applyAlignment="1">
      <alignment horizontal="center" vertical="center"/>
    </xf>
    <xf numFmtId="0" fontId="47" fillId="3" borderId="83" xfId="0" applyFont="1" applyFill="1" applyBorder="1" applyAlignment="1">
      <alignment horizontal="center" vertical="center"/>
    </xf>
    <xf numFmtId="177" fontId="47" fillId="3" borderId="52" xfId="0" quotePrefix="1" applyNumberFormat="1" applyFont="1" applyFill="1" applyBorder="1" applyAlignment="1">
      <alignment horizontal="center" vertical="center"/>
    </xf>
    <xf numFmtId="0" fontId="54" fillId="3" borderId="80" xfId="0" applyFont="1" applyFill="1" applyBorder="1" applyAlignment="1">
      <alignment horizontal="center" vertical="center"/>
    </xf>
    <xf numFmtId="177" fontId="47" fillId="3" borderId="57" xfId="0" applyNumberFormat="1" applyFont="1" applyFill="1" applyBorder="1" applyAlignment="1">
      <alignment horizontal="center" vertical="center"/>
    </xf>
    <xf numFmtId="177" fontId="53" fillId="3" borderId="57" xfId="7" applyFont="1" applyFill="1" applyBorder="1" applyAlignment="1">
      <alignment horizontal="center" vertical="center" wrapText="1"/>
    </xf>
    <xf numFmtId="177" fontId="53" fillId="3" borderId="66" xfId="7" applyFont="1" applyFill="1" applyBorder="1" applyAlignment="1">
      <alignment horizontal="center" vertical="center" wrapText="1"/>
    </xf>
    <xf numFmtId="0" fontId="47" fillId="3" borderId="84" xfId="0" applyFont="1" applyFill="1" applyBorder="1" applyAlignment="1">
      <alignment horizontal="center" vertical="center"/>
    </xf>
    <xf numFmtId="177" fontId="47" fillId="3" borderId="84" xfId="0" applyNumberFormat="1" applyFont="1" applyFill="1" applyBorder="1" applyAlignment="1">
      <alignment horizontal="center" vertical="center"/>
    </xf>
    <xf numFmtId="0" fontId="47" fillId="3" borderId="85" xfId="0" applyFont="1" applyFill="1" applyBorder="1" applyAlignment="1">
      <alignment horizontal="center" vertical="center"/>
    </xf>
    <xf numFmtId="0" fontId="47" fillId="3" borderId="86" xfId="0" applyFont="1" applyFill="1" applyBorder="1" applyAlignment="1">
      <alignment horizontal="center" vertical="center"/>
    </xf>
    <xf numFmtId="0" fontId="47" fillId="3" borderId="87" xfId="0" applyFont="1" applyFill="1" applyBorder="1" applyAlignment="1">
      <alignment horizontal="center" vertical="center"/>
    </xf>
    <xf numFmtId="177" fontId="47" fillId="3" borderId="87" xfId="0" applyNumberFormat="1" applyFont="1" applyFill="1" applyBorder="1" applyAlignment="1">
      <alignment horizontal="center" vertical="center"/>
    </xf>
    <xf numFmtId="177" fontId="47" fillId="3" borderId="58" xfId="0" applyNumberFormat="1" applyFont="1" applyFill="1" applyBorder="1" applyAlignment="1">
      <alignment horizontal="center" vertical="center"/>
    </xf>
    <xf numFmtId="0" fontId="47" fillId="3" borderId="88" xfId="0" applyFont="1" applyFill="1" applyBorder="1" applyAlignment="1">
      <alignment horizontal="center" vertical="center"/>
    </xf>
    <xf numFmtId="0" fontId="47" fillId="3" borderId="89" xfId="0" applyFont="1" applyFill="1" applyBorder="1" applyAlignment="1">
      <alignment horizontal="center" vertical="center"/>
    </xf>
    <xf numFmtId="0" fontId="47" fillId="3" borderId="90" xfId="0" applyFont="1" applyFill="1" applyBorder="1" applyAlignment="1">
      <alignment horizontal="center" vertical="center"/>
    </xf>
    <xf numFmtId="177" fontId="47" fillId="3" borderId="90" xfId="0" applyNumberFormat="1" applyFont="1" applyFill="1" applyBorder="1" applyAlignment="1">
      <alignment horizontal="center" vertical="center"/>
    </xf>
    <xf numFmtId="0" fontId="47" fillId="3" borderId="91" xfId="0" applyFont="1" applyFill="1" applyBorder="1" applyAlignment="1">
      <alignment horizontal="center" vertical="center"/>
    </xf>
    <xf numFmtId="0" fontId="47" fillId="3" borderId="92" xfId="0" applyFont="1" applyFill="1" applyBorder="1" applyAlignment="1">
      <alignment horizontal="center" vertical="center"/>
    </xf>
    <xf numFmtId="0" fontId="47" fillId="3" borderId="93" xfId="0" applyFont="1" applyFill="1" applyBorder="1" applyAlignment="1">
      <alignment horizontal="center" vertical="center"/>
    </xf>
    <xf numFmtId="0" fontId="47" fillId="3" borderId="94" xfId="0" applyFont="1" applyFill="1" applyBorder="1" applyAlignment="1">
      <alignment horizontal="center" vertical="center"/>
    </xf>
    <xf numFmtId="177" fontId="47" fillId="3" borderId="92" xfId="0" applyNumberFormat="1" applyFont="1" applyFill="1" applyBorder="1" applyAlignment="1">
      <alignment horizontal="center" vertical="center"/>
    </xf>
    <xf numFmtId="177" fontId="47" fillId="3" borderId="54" xfId="0" applyNumberFormat="1" applyFont="1" applyFill="1" applyBorder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0" fontId="47" fillId="3" borderId="2" xfId="0" applyFont="1" applyFill="1" applyBorder="1" applyAlignment="1">
      <alignment horizontal="center" vertical="center"/>
    </xf>
    <xf numFmtId="0" fontId="47" fillId="3" borderId="95" xfId="0" applyFont="1" applyFill="1" applyBorder="1" applyAlignment="1">
      <alignment horizontal="center" vertical="center"/>
    </xf>
    <xf numFmtId="177" fontId="47" fillId="3" borderId="95" xfId="0" applyNumberFormat="1" applyFont="1" applyFill="1" applyBorder="1" applyAlignment="1">
      <alignment horizontal="center" vertical="center"/>
    </xf>
    <xf numFmtId="0" fontId="47" fillId="3" borderId="96" xfId="0" applyFont="1" applyFill="1" applyBorder="1" applyAlignment="1">
      <alignment horizontal="center" vertical="center"/>
    </xf>
    <xf numFmtId="0" fontId="47" fillId="3" borderId="97" xfId="0" applyFont="1" applyFill="1" applyBorder="1" applyAlignment="1">
      <alignment horizontal="center" vertical="center"/>
    </xf>
    <xf numFmtId="0" fontId="47" fillId="3" borderId="3" xfId="0" applyFont="1" applyFill="1" applyBorder="1" applyAlignment="1">
      <alignment horizontal="center" vertical="center"/>
    </xf>
    <xf numFmtId="177" fontId="47" fillId="7" borderId="57" xfId="0" applyNumberFormat="1" applyFont="1" applyFill="1" applyBorder="1" applyAlignment="1">
      <alignment horizontal="center" vertical="center"/>
    </xf>
    <xf numFmtId="9" fontId="47" fillId="7" borderId="57" xfId="0" applyNumberFormat="1" applyFont="1" applyFill="1" applyBorder="1" applyAlignment="1">
      <alignment horizontal="center" vertical="center"/>
    </xf>
    <xf numFmtId="0" fontId="55" fillId="7" borderId="57" xfId="9" applyFont="1" applyFill="1" applyBorder="1" applyAlignment="1">
      <alignment horizontal="center" vertical="center"/>
    </xf>
    <xf numFmtId="177" fontId="56" fillId="7" borderId="57" xfId="9" applyNumberFormat="1" applyFont="1" applyFill="1" applyBorder="1" applyAlignment="1">
      <alignment horizontal="center" vertical="center"/>
    </xf>
    <xf numFmtId="0" fontId="47" fillId="7" borderId="57" xfId="0" applyFont="1" applyFill="1" applyBorder="1" applyAlignment="1">
      <alignment horizontal="center" vertical="center"/>
    </xf>
    <xf numFmtId="197" fontId="51" fillId="9" borderId="57" xfId="0" applyNumberFormat="1" applyFont="1" applyFill="1" applyBorder="1" applyAlignment="1">
      <alignment horizontal="center" vertical="center"/>
    </xf>
    <xf numFmtId="197" fontId="50" fillId="7" borderId="58" xfId="0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left" vertical="center"/>
    </xf>
    <xf numFmtId="186" fontId="0" fillId="2" borderId="39" xfId="0" applyNumberFormat="1" applyFill="1" applyBorder="1">
      <alignment vertical="center"/>
    </xf>
    <xf numFmtId="0" fontId="39" fillId="3" borderId="98" xfId="0" applyFont="1" applyFill="1" applyBorder="1">
      <alignment vertical="center"/>
    </xf>
    <xf numFmtId="9" fontId="35" fillId="0" borderId="99" xfId="2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>
      <alignment vertical="center"/>
    </xf>
    <xf numFmtId="0" fontId="57" fillId="0" borderId="0" xfId="0" applyFont="1">
      <alignment vertical="center"/>
    </xf>
    <xf numFmtId="0" fontId="58" fillId="10" borderId="0" xfId="0" applyFont="1" applyFill="1" applyAlignment="1">
      <alignment horizontal="center" vertical="center"/>
    </xf>
    <xf numFmtId="0" fontId="58" fillId="10" borderId="0" xfId="0" applyFont="1" applyFill="1" applyAlignment="1">
      <alignment horizontal="center" vertical="center" wrapText="1"/>
    </xf>
    <xf numFmtId="0" fontId="59" fillId="11" borderId="0" xfId="0" applyFont="1" applyFill="1" applyAlignment="1">
      <alignment horizontal="center" vertical="center"/>
    </xf>
    <xf numFmtId="178" fontId="47" fillId="0" borderId="0" xfId="3" applyFont="1" applyBorder="1">
      <alignment vertical="center"/>
    </xf>
    <xf numFmtId="178" fontId="57" fillId="0" borderId="0" xfId="3" applyFont="1">
      <alignment vertical="center"/>
    </xf>
    <xf numFmtId="183" fontId="47" fillId="0" borderId="0" xfId="0" applyNumberFormat="1" applyFont="1" applyAlignment="1">
      <alignment horizontal="center" vertical="center"/>
    </xf>
    <xf numFmtId="178" fontId="47" fillId="0" borderId="0" xfId="3" applyFont="1">
      <alignment vertical="center"/>
    </xf>
    <xf numFmtId="0" fontId="59" fillId="12" borderId="0" xfId="0" applyFont="1" applyFill="1" applyAlignment="1">
      <alignment horizontal="center" vertical="center"/>
    </xf>
    <xf numFmtId="0" fontId="59" fillId="12" borderId="0" xfId="0" applyFont="1" applyFill="1">
      <alignment vertical="center"/>
    </xf>
    <xf numFmtId="178" fontId="59" fillId="12" borderId="0" xfId="3" applyFont="1" applyFill="1" applyBorder="1">
      <alignment vertical="center"/>
    </xf>
    <xf numFmtId="178" fontId="43" fillId="12" borderId="0" xfId="3" applyFont="1" applyFill="1">
      <alignment vertical="center"/>
    </xf>
    <xf numFmtId="0" fontId="47" fillId="13" borderId="0" xfId="0" applyFont="1" applyFill="1" applyAlignment="1">
      <alignment horizontal="center" vertical="center"/>
    </xf>
    <xf numFmtId="178" fontId="57" fillId="0" borderId="0" xfId="3" applyFont="1" applyFill="1">
      <alignment vertical="center"/>
    </xf>
    <xf numFmtId="178" fontId="47" fillId="0" borderId="0" xfId="3" applyFont="1" applyFill="1" applyBorder="1">
      <alignment vertical="center"/>
    </xf>
    <xf numFmtId="178" fontId="57" fillId="0" borderId="0" xfId="3" applyFont="1" applyFill="1" applyBorder="1">
      <alignment vertical="center"/>
    </xf>
    <xf numFmtId="178" fontId="43" fillId="12" borderId="0" xfId="3" applyFont="1" applyFill="1" applyBorder="1">
      <alignment vertical="center"/>
    </xf>
    <xf numFmtId="189" fontId="47" fillId="0" borderId="0" xfId="0" applyNumberFormat="1" applyFont="1" applyAlignment="1">
      <alignment horizontal="center" vertical="center"/>
    </xf>
    <xf numFmtId="0" fontId="59" fillId="11" borderId="0" xfId="0" applyFont="1" applyFill="1">
      <alignment vertical="center"/>
    </xf>
    <xf numFmtId="0" fontId="55" fillId="11" borderId="0" xfId="0" applyFont="1" applyFill="1">
      <alignment vertical="center"/>
    </xf>
    <xf numFmtId="0" fontId="56" fillId="0" borderId="0" xfId="0" applyFont="1">
      <alignment vertical="center"/>
    </xf>
    <xf numFmtId="178" fontId="56" fillId="0" borderId="0" xfId="3" applyFont="1" applyBorder="1">
      <alignment vertical="center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47" fillId="0" borderId="40" xfId="0" applyFont="1" applyBorder="1">
      <alignment vertical="center"/>
    </xf>
    <xf numFmtId="186" fontId="47" fillId="0" borderId="40" xfId="0" applyNumberFormat="1" applyFont="1" applyBorder="1">
      <alignment vertical="center"/>
    </xf>
    <xf numFmtId="0" fontId="47" fillId="0" borderId="39" xfId="0" applyFont="1" applyBorder="1">
      <alignment vertical="center"/>
    </xf>
    <xf numFmtId="186" fontId="47" fillId="0" borderId="39" xfId="0" applyNumberFormat="1" applyFont="1" applyBorder="1">
      <alignment vertical="center"/>
    </xf>
    <xf numFmtId="178" fontId="56" fillId="0" borderId="0" xfId="3" applyFont="1" applyFill="1" applyBorder="1">
      <alignment vertical="center"/>
    </xf>
    <xf numFmtId="0" fontId="47" fillId="2" borderId="39" xfId="0" applyFont="1" applyFill="1" applyBorder="1">
      <alignment vertical="center"/>
    </xf>
    <xf numFmtId="178" fontId="57" fillId="2" borderId="0" xfId="3" applyFont="1" applyFill="1" applyBorder="1">
      <alignment vertical="center"/>
    </xf>
    <xf numFmtId="186" fontId="56" fillId="0" borderId="39" xfId="0" applyNumberFormat="1" applyFont="1" applyBorder="1">
      <alignment vertical="center"/>
    </xf>
    <xf numFmtId="0" fontId="59" fillId="11" borderId="40" xfId="0" applyFont="1" applyFill="1" applyBorder="1">
      <alignment vertical="center"/>
    </xf>
    <xf numFmtId="9" fontId="47" fillId="0" borderId="40" xfId="2" applyFont="1" applyBorder="1">
      <alignment vertical="center"/>
    </xf>
    <xf numFmtId="0" fontId="47" fillId="11" borderId="39" xfId="0" applyFont="1" applyFill="1" applyBorder="1">
      <alignment vertical="center"/>
    </xf>
    <xf numFmtId="9" fontId="47" fillId="0" borderId="39" xfId="2" applyFont="1" applyBorder="1">
      <alignment vertical="center"/>
    </xf>
    <xf numFmtId="186" fontId="57" fillId="0" borderId="39" xfId="0" applyNumberFormat="1" applyFont="1" applyBorder="1">
      <alignment vertical="center"/>
    </xf>
    <xf numFmtId="189" fontId="47" fillId="0" borderId="39" xfId="0" applyNumberFormat="1" applyFont="1" applyBorder="1" applyAlignment="1">
      <alignment horizontal="center" vertical="center"/>
    </xf>
    <xf numFmtId="0" fontId="47" fillId="11" borderId="0" xfId="0" applyFont="1" applyFill="1">
      <alignment vertical="center"/>
    </xf>
    <xf numFmtId="0" fontId="59" fillId="14" borderId="100" xfId="0" applyFont="1" applyFill="1" applyBorder="1">
      <alignment vertical="center"/>
    </xf>
    <xf numFmtId="0" fontId="59" fillId="14" borderId="39" xfId="0" applyFont="1" applyFill="1" applyBorder="1">
      <alignment vertical="center"/>
    </xf>
    <xf numFmtId="186" fontId="59" fillId="13" borderId="39" xfId="0" applyNumberFormat="1" applyFont="1" applyFill="1" applyBorder="1" applyAlignment="1">
      <alignment horizontal="center" vertical="center"/>
    </xf>
    <xf numFmtId="186" fontId="57" fillId="0" borderId="40" xfId="0" applyNumberFormat="1" applyFont="1" applyBorder="1">
      <alignment vertical="center"/>
    </xf>
    <xf numFmtId="186" fontId="59" fillId="13" borderId="0" xfId="0" applyNumberFormat="1" applyFont="1" applyFill="1" applyAlignment="1">
      <alignment horizontal="center" vertical="center"/>
    </xf>
    <xf numFmtId="0" fontId="59" fillId="11" borderId="39" xfId="0" applyFont="1" applyFill="1" applyBorder="1">
      <alignment vertical="center"/>
    </xf>
    <xf numFmtId="186" fontId="57" fillId="0" borderId="0" xfId="0" applyNumberFormat="1" applyFont="1">
      <alignment vertical="center"/>
    </xf>
    <xf numFmtId="186" fontId="59" fillId="0" borderId="0" xfId="0" applyNumberFormat="1" applyFont="1" applyAlignment="1">
      <alignment horizontal="center" vertical="center"/>
    </xf>
    <xf numFmtId="188" fontId="59" fillId="14" borderId="0" xfId="0" applyNumberFormat="1" applyFont="1" applyFill="1">
      <alignment vertical="center"/>
    </xf>
    <xf numFmtId="0" fontId="59" fillId="3" borderId="39" xfId="0" applyFont="1" applyFill="1" applyBorder="1">
      <alignment vertical="center"/>
    </xf>
    <xf numFmtId="186" fontId="59" fillId="3" borderId="39" xfId="0" applyNumberFormat="1" applyFont="1" applyFill="1" applyBorder="1">
      <alignment vertical="center"/>
    </xf>
    <xf numFmtId="0" fontId="59" fillId="3" borderId="0" xfId="0" applyFont="1" applyFill="1">
      <alignment vertical="center"/>
    </xf>
    <xf numFmtId="186" fontId="43" fillId="3" borderId="0" xfId="0" applyNumberFormat="1" applyFont="1" applyFill="1">
      <alignment vertical="center"/>
    </xf>
    <xf numFmtId="0" fontId="57" fillId="0" borderId="39" xfId="0" applyFont="1" applyBorder="1">
      <alignment vertical="center"/>
    </xf>
    <xf numFmtId="0" fontId="59" fillId="14" borderId="0" xfId="0" applyFont="1" applyFill="1">
      <alignment vertical="center"/>
    </xf>
    <xf numFmtId="186" fontId="59" fillId="14" borderId="0" xfId="0" applyNumberFormat="1" applyFont="1" applyFill="1">
      <alignment vertical="center"/>
    </xf>
    <xf numFmtId="9" fontId="59" fillId="14" borderId="0" xfId="2" applyFont="1" applyFill="1" applyBorder="1">
      <alignment vertical="center"/>
    </xf>
    <xf numFmtId="186" fontId="43" fillId="14" borderId="0" xfId="0" applyNumberFormat="1" applyFont="1" applyFill="1">
      <alignment vertical="center"/>
    </xf>
    <xf numFmtId="0" fontId="47" fillId="0" borderId="39" xfId="0" applyFont="1" applyBorder="1" applyAlignment="1">
      <alignment vertical="center" wrapText="1"/>
    </xf>
    <xf numFmtId="178" fontId="59" fillId="14" borderId="0" xfId="3" applyFont="1" applyFill="1" applyBorder="1">
      <alignment vertical="center"/>
    </xf>
    <xf numFmtId="0" fontId="57" fillId="0" borderId="40" xfId="0" applyFont="1" applyBorder="1">
      <alignment vertical="center"/>
    </xf>
    <xf numFmtId="9" fontId="57" fillId="0" borderId="40" xfId="2" applyFont="1" applyBorder="1">
      <alignment vertical="center"/>
    </xf>
    <xf numFmtId="0" fontId="56" fillId="0" borderId="39" xfId="0" applyFont="1" applyBorder="1">
      <alignment vertical="center"/>
    </xf>
    <xf numFmtId="9" fontId="56" fillId="0" borderId="40" xfId="2" applyFont="1" applyFill="1" applyBorder="1">
      <alignment vertical="center"/>
    </xf>
    <xf numFmtId="186" fontId="55" fillId="0" borderId="0" xfId="0" applyNumberFormat="1" applyFont="1" applyAlignment="1">
      <alignment horizontal="center" vertical="center"/>
    </xf>
    <xf numFmtId="0" fontId="59" fillId="15" borderId="39" xfId="0" applyFont="1" applyFill="1" applyBorder="1">
      <alignment vertical="center"/>
    </xf>
    <xf numFmtId="9" fontId="59" fillId="3" borderId="40" xfId="2" applyFont="1" applyFill="1" applyBorder="1">
      <alignment vertical="center"/>
    </xf>
    <xf numFmtId="0" fontId="59" fillId="3" borderId="0" xfId="0" applyFont="1" applyFill="1" applyAlignment="1">
      <alignment horizontal="center" vertical="center"/>
    </xf>
    <xf numFmtId="186" fontId="59" fillId="3" borderId="0" xfId="0" applyNumberFormat="1" applyFont="1" applyFill="1" applyAlignment="1">
      <alignment horizontal="center" vertical="center"/>
    </xf>
    <xf numFmtId="0" fontId="56" fillId="0" borderId="40" xfId="0" applyFont="1" applyBorder="1">
      <alignment vertical="center"/>
    </xf>
    <xf numFmtId="186" fontId="56" fillId="0" borderId="40" xfId="0" applyNumberFormat="1" applyFont="1" applyBorder="1">
      <alignment vertical="center"/>
    </xf>
    <xf numFmtId="9" fontId="56" fillId="0" borderId="40" xfId="2" applyFont="1" applyBorder="1">
      <alignment vertical="center"/>
    </xf>
    <xf numFmtId="0" fontId="56" fillId="11" borderId="39" xfId="0" applyFont="1" applyFill="1" applyBorder="1">
      <alignment vertical="center"/>
    </xf>
    <xf numFmtId="9" fontId="56" fillId="0" borderId="39" xfId="2" applyFont="1" applyBorder="1">
      <alignment vertical="center"/>
    </xf>
    <xf numFmtId="186" fontId="56" fillId="0" borderId="0" xfId="0" applyNumberFormat="1" applyFont="1" applyAlignment="1">
      <alignment horizontal="center" vertical="center"/>
    </xf>
    <xf numFmtId="0" fontId="60" fillId="0" borderId="39" xfId="0" applyFont="1" applyBorder="1">
      <alignment vertical="center"/>
    </xf>
    <xf numFmtId="0" fontId="57" fillId="0" borderId="39" xfId="0" applyFont="1" applyBorder="1" applyAlignment="1">
      <alignment vertical="center" wrapText="1"/>
    </xf>
    <xf numFmtId="0" fontId="57" fillId="0" borderId="0" xfId="0" applyFont="1" applyAlignment="1">
      <alignment horizontal="center" vertical="center"/>
    </xf>
    <xf numFmtId="186" fontId="43" fillId="0" borderId="0" xfId="0" applyNumberFormat="1" applyFont="1" applyAlignment="1">
      <alignment horizontal="center" vertical="center"/>
    </xf>
    <xf numFmtId="0" fontId="57" fillId="0" borderId="101" xfId="0" applyFont="1" applyBorder="1" applyAlignment="1">
      <alignment horizontal="left" vertical="center"/>
    </xf>
    <xf numFmtId="0" fontId="47" fillId="7" borderId="4" xfId="0" applyFont="1" applyFill="1" applyBorder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59" fillId="3" borderId="39" xfId="0" applyFont="1" applyFill="1" applyBorder="1" applyAlignment="1">
      <alignment horizontal="left" vertical="center"/>
    </xf>
    <xf numFmtId="0" fontId="59" fillId="11" borderId="101" xfId="0" applyFont="1" applyFill="1" applyBorder="1">
      <alignment vertical="center"/>
    </xf>
    <xf numFmtId="0" fontId="47" fillId="7" borderId="0" xfId="0" applyFont="1" applyFill="1" applyAlignment="1">
      <alignment horizontal="left" vertical="center"/>
    </xf>
    <xf numFmtId="186" fontId="47" fillId="0" borderId="0" xfId="0" applyNumberFormat="1" applyFont="1">
      <alignment vertical="center"/>
    </xf>
    <xf numFmtId="10" fontId="56" fillId="0" borderId="40" xfId="2" applyNumberFormat="1" applyFont="1" applyBorder="1">
      <alignment vertical="center"/>
    </xf>
    <xf numFmtId="10" fontId="59" fillId="3" borderId="40" xfId="2" applyNumberFormat="1" applyFont="1" applyFill="1" applyBorder="1">
      <alignment vertical="center"/>
    </xf>
    <xf numFmtId="0" fontId="55" fillId="11" borderId="40" xfId="0" applyFont="1" applyFill="1" applyBorder="1">
      <alignment vertical="center"/>
    </xf>
    <xf numFmtId="189" fontId="56" fillId="0" borderId="0" xfId="0" applyNumberFormat="1" applyFont="1" applyAlignment="1">
      <alignment horizontal="center" vertical="center"/>
    </xf>
    <xf numFmtId="188" fontId="55" fillId="14" borderId="0" xfId="0" applyNumberFormat="1" applyFont="1" applyFill="1">
      <alignment vertical="center"/>
    </xf>
    <xf numFmtId="0" fontId="55" fillId="14" borderId="0" xfId="0" applyFont="1" applyFill="1">
      <alignment vertical="center"/>
    </xf>
    <xf numFmtId="186" fontId="55" fillId="14" borderId="0" xfId="0" applyNumberFormat="1" applyFont="1" applyFill="1">
      <alignment vertical="center"/>
    </xf>
    <xf numFmtId="9" fontId="55" fillId="14" borderId="0" xfId="2" applyFont="1" applyFill="1" applyBorder="1">
      <alignment vertical="center"/>
    </xf>
    <xf numFmtId="0" fontId="56" fillId="13" borderId="0" xfId="0" applyFont="1" applyFill="1" applyAlignment="1">
      <alignment horizontal="center" vertical="center"/>
    </xf>
    <xf numFmtId="186" fontId="55" fillId="13" borderId="0" xfId="0" applyNumberFormat="1" applyFont="1" applyFill="1" applyAlignment="1">
      <alignment horizontal="center" vertical="center"/>
    </xf>
    <xf numFmtId="0" fontId="55" fillId="11" borderId="39" xfId="0" applyFont="1" applyFill="1" applyBorder="1">
      <alignment vertical="center"/>
    </xf>
    <xf numFmtId="178" fontId="55" fillId="14" borderId="0" xfId="3" applyFont="1" applyFill="1" applyBorder="1">
      <alignment vertical="center"/>
    </xf>
    <xf numFmtId="0" fontId="47" fillId="2" borderId="40" xfId="0" applyFont="1" applyFill="1" applyBorder="1">
      <alignment vertical="center"/>
    </xf>
    <xf numFmtId="186" fontId="47" fillId="2" borderId="40" xfId="0" applyNumberFormat="1" applyFont="1" applyFill="1" applyBorder="1">
      <alignment vertical="center"/>
    </xf>
    <xf numFmtId="0" fontId="43" fillId="0" borderId="0" xfId="0" applyFont="1" applyAlignment="1">
      <alignment horizontal="left" vertical="center"/>
    </xf>
    <xf numFmtId="0" fontId="59" fillId="11" borderId="40" xfId="0" applyFont="1" applyFill="1" applyBorder="1" applyAlignment="1">
      <alignment horizontal="left" vertical="center"/>
    </xf>
    <xf numFmtId="9" fontId="56" fillId="0" borderId="0" xfId="2" applyFont="1" applyFill="1" applyBorder="1">
      <alignment vertical="center"/>
    </xf>
    <xf numFmtId="0" fontId="47" fillId="2" borderId="0" xfId="0" applyFont="1" applyFill="1" applyAlignment="1">
      <alignment horizontal="left" vertical="center"/>
    </xf>
    <xf numFmtId="178" fontId="47" fillId="2" borderId="0" xfId="3" applyFont="1" applyFill="1">
      <alignment vertical="center"/>
    </xf>
    <xf numFmtId="186" fontId="56" fillId="0" borderId="0" xfId="0" applyNumberFormat="1" applyFont="1">
      <alignment vertical="center"/>
    </xf>
    <xf numFmtId="0" fontId="55" fillId="3" borderId="39" xfId="0" applyFont="1" applyFill="1" applyBorder="1">
      <alignment vertical="center"/>
    </xf>
    <xf numFmtId="186" fontId="55" fillId="3" borderId="39" xfId="0" applyNumberFormat="1" applyFont="1" applyFill="1" applyBorder="1">
      <alignment vertical="center"/>
    </xf>
    <xf numFmtId="186" fontId="55" fillId="3" borderId="0" xfId="0" applyNumberFormat="1" applyFont="1" applyFill="1">
      <alignment vertical="center"/>
    </xf>
    <xf numFmtId="0" fontId="57" fillId="2" borderId="39" xfId="0" applyFont="1" applyFill="1" applyBorder="1">
      <alignment vertical="center"/>
    </xf>
    <xf numFmtId="9" fontId="55" fillId="3" borderId="40" xfId="2" applyFont="1" applyFill="1" applyBorder="1">
      <alignment vertical="center"/>
    </xf>
    <xf numFmtId="0" fontId="55" fillId="3" borderId="0" xfId="0" applyFont="1" applyFill="1" applyAlignment="1">
      <alignment horizontal="center" vertical="center"/>
    </xf>
    <xf numFmtId="14" fontId="47" fillId="0" borderId="0" xfId="0" applyNumberFormat="1" applyFont="1" applyAlignment="1">
      <alignment horizontal="center" vertical="center"/>
    </xf>
    <xf numFmtId="182" fontId="47" fillId="0" borderId="0" xfId="3" applyNumberFormat="1" applyFont="1">
      <alignment vertical="center"/>
    </xf>
    <xf numFmtId="182" fontId="47" fillId="0" borderId="0" xfId="3" applyNumberFormat="1" applyFont="1" applyAlignment="1">
      <alignment horizontal="center" vertical="center"/>
    </xf>
    <xf numFmtId="0" fontId="47" fillId="16" borderId="5" xfId="0" applyFont="1" applyFill="1" applyBorder="1" applyAlignment="1">
      <alignment horizontal="center" vertical="center"/>
    </xf>
    <xf numFmtId="0" fontId="47" fillId="16" borderId="6" xfId="0" applyFont="1" applyFill="1" applyBorder="1" applyAlignment="1">
      <alignment horizontal="center" vertical="center"/>
    </xf>
    <xf numFmtId="14" fontId="47" fillId="16" borderId="6" xfId="0" applyNumberFormat="1" applyFont="1" applyFill="1" applyBorder="1" applyAlignment="1">
      <alignment horizontal="center" vertical="center"/>
    </xf>
    <xf numFmtId="182" fontId="55" fillId="16" borderId="6" xfId="3" applyNumberFormat="1" applyFont="1" applyFill="1" applyBorder="1" applyAlignment="1">
      <alignment horizontal="center" vertical="center" wrapText="1"/>
    </xf>
    <xf numFmtId="178" fontId="47" fillId="16" borderId="6" xfId="3" applyFont="1" applyFill="1" applyBorder="1" applyAlignment="1">
      <alignment horizontal="center" vertical="center" wrapText="1"/>
    </xf>
    <xf numFmtId="182" fontId="47" fillId="16" borderId="7" xfId="3" applyNumberFormat="1" applyFont="1" applyFill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14" fontId="47" fillId="0" borderId="8" xfId="0" applyNumberFormat="1" applyFont="1" applyBorder="1" applyAlignment="1">
      <alignment horizontal="center" vertical="center"/>
    </xf>
    <xf numFmtId="182" fontId="47" fillId="0" borderId="8" xfId="3" applyNumberFormat="1" applyFont="1" applyBorder="1" applyAlignment="1">
      <alignment horizontal="center" vertical="center"/>
    </xf>
    <xf numFmtId="178" fontId="47" fillId="0" borderId="8" xfId="3" applyFont="1" applyBorder="1">
      <alignment vertical="center"/>
    </xf>
    <xf numFmtId="0" fontId="61" fillId="0" borderId="8" xfId="0" applyFont="1" applyBorder="1" applyAlignment="1">
      <alignment horizontal="left" vertical="center" indent="1"/>
    </xf>
    <xf numFmtId="0" fontId="47" fillId="0" borderId="1" xfId="0" applyFont="1" applyBorder="1" applyAlignment="1">
      <alignment horizontal="center" vertical="center"/>
    </xf>
    <xf numFmtId="14" fontId="47" fillId="0" borderId="1" xfId="0" applyNumberFormat="1" applyFont="1" applyBorder="1" applyAlignment="1">
      <alignment horizontal="center" vertical="center"/>
    </xf>
    <xf numFmtId="182" fontId="47" fillId="0" borderId="1" xfId="3" applyNumberFormat="1" applyFont="1" applyBorder="1" applyAlignment="1">
      <alignment horizontal="center" vertical="center"/>
    </xf>
    <xf numFmtId="178" fontId="47" fillId="0" borderId="1" xfId="3" applyFont="1" applyBorder="1">
      <alignment vertical="center"/>
    </xf>
    <xf numFmtId="0" fontId="61" fillId="0" borderId="1" xfId="0" applyFont="1" applyBorder="1" applyAlignment="1">
      <alignment horizontal="left" vertical="center" indent="1"/>
    </xf>
    <xf numFmtId="0" fontId="47" fillId="0" borderId="1" xfId="0" applyFont="1" applyBorder="1" applyAlignment="1">
      <alignment horizontal="left" vertical="center" indent="1"/>
    </xf>
    <xf numFmtId="0" fontId="62" fillId="0" borderId="1" xfId="0" applyFont="1" applyBorder="1" applyAlignment="1">
      <alignment horizontal="left" vertical="center" indent="1"/>
    </xf>
    <xf numFmtId="182" fontId="47" fillId="0" borderId="1" xfId="3" applyNumberFormat="1" applyFont="1" applyFill="1" applyBorder="1" applyAlignment="1">
      <alignment horizontal="center" vertical="center"/>
    </xf>
    <xf numFmtId="178" fontId="47" fillId="0" borderId="1" xfId="3" applyFont="1" applyFill="1" applyBorder="1">
      <alignment vertical="center"/>
    </xf>
    <xf numFmtId="187" fontId="47" fillId="0" borderId="1" xfId="0" applyNumberFormat="1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14" fontId="56" fillId="0" borderId="1" xfId="0" applyNumberFormat="1" applyFont="1" applyBorder="1" applyAlignment="1">
      <alignment horizontal="center" vertical="center"/>
    </xf>
    <xf numFmtId="182" fontId="56" fillId="0" borderId="1" xfId="3" applyNumberFormat="1" applyFont="1" applyFill="1" applyBorder="1" applyAlignment="1">
      <alignment horizontal="center" vertical="center"/>
    </xf>
    <xf numFmtId="178" fontId="56" fillId="0" borderId="1" xfId="3" applyFont="1" applyFill="1" applyBorder="1">
      <alignment vertical="center"/>
    </xf>
    <xf numFmtId="187" fontId="56" fillId="0" borderId="1" xfId="0" applyNumberFormat="1" applyFont="1" applyBorder="1" applyAlignment="1">
      <alignment horizontal="center" vertical="center"/>
    </xf>
    <xf numFmtId="0" fontId="56" fillId="0" borderId="1" xfId="0" applyFont="1" applyBorder="1" applyAlignment="1">
      <alignment horizontal="left" vertical="center" indent="1"/>
    </xf>
    <xf numFmtId="0" fontId="56" fillId="5" borderId="1" xfId="0" applyFont="1" applyFill="1" applyBorder="1" applyAlignment="1">
      <alignment horizontal="center" vertical="center"/>
    </xf>
    <xf numFmtId="14" fontId="56" fillId="5" borderId="1" xfId="0" applyNumberFormat="1" applyFont="1" applyFill="1" applyBorder="1" applyAlignment="1">
      <alignment horizontal="center" vertical="center"/>
    </xf>
    <xf numFmtId="182" fontId="56" fillId="5" borderId="1" xfId="3" applyNumberFormat="1" applyFont="1" applyFill="1" applyBorder="1" applyAlignment="1">
      <alignment horizontal="center" vertical="center"/>
    </xf>
    <xf numFmtId="178" fontId="56" fillId="5" borderId="1" xfId="3" applyFont="1" applyFill="1" applyBorder="1">
      <alignment vertical="center"/>
    </xf>
    <xf numFmtId="187" fontId="56" fillId="5" borderId="1" xfId="0" applyNumberFormat="1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left" vertical="center" indent="1"/>
    </xf>
    <xf numFmtId="0" fontId="59" fillId="0" borderId="0" xfId="0" applyFont="1" applyAlignment="1">
      <alignment horizontal="center" vertical="center"/>
    </xf>
    <xf numFmtId="14" fontId="59" fillId="0" borderId="0" xfId="0" applyNumberFormat="1" applyFont="1" applyAlignment="1">
      <alignment horizontal="center" vertical="center"/>
    </xf>
    <xf numFmtId="190" fontId="55" fillId="0" borderId="0" xfId="3" applyNumberFormat="1" applyFont="1">
      <alignment vertical="center"/>
    </xf>
    <xf numFmtId="0" fontId="59" fillId="0" borderId="0" xfId="0" applyFont="1">
      <alignment vertical="center"/>
    </xf>
    <xf numFmtId="0" fontId="63" fillId="0" borderId="0" xfId="0" applyFont="1">
      <alignment vertical="center"/>
    </xf>
    <xf numFmtId="0" fontId="64" fillId="0" borderId="0" xfId="0" applyFont="1">
      <alignment vertical="center"/>
    </xf>
    <xf numFmtId="182" fontId="43" fillId="16" borderId="6" xfId="3" applyNumberFormat="1" applyFont="1" applyFill="1" applyBorder="1" applyAlignment="1">
      <alignment horizontal="center" vertical="center"/>
    </xf>
    <xf numFmtId="178" fontId="47" fillId="16" borderId="6" xfId="3" applyFont="1" applyFill="1" applyBorder="1" applyAlignment="1">
      <alignment horizontal="center" vertical="center"/>
    </xf>
    <xf numFmtId="191" fontId="43" fillId="0" borderId="0" xfId="3" applyNumberFormat="1" applyFont="1">
      <alignment vertical="center"/>
    </xf>
    <xf numFmtId="178" fontId="59" fillId="0" borderId="0" xfId="3" applyFont="1">
      <alignment vertical="center"/>
    </xf>
    <xf numFmtId="182" fontId="59" fillId="0" borderId="0" xfId="3" applyNumberFormat="1" applyFont="1" applyAlignment="1">
      <alignment horizontal="center" vertical="center"/>
    </xf>
    <xf numFmtId="182" fontId="55" fillId="16" borderId="6" xfId="3" applyNumberFormat="1" applyFont="1" applyFill="1" applyBorder="1" applyAlignment="1">
      <alignment horizontal="center" vertical="center"/>
    </xf>
    <xf numFmtId="14" fontId="60" fillId="0" borderId="1" xfId="0" applyNumberFormat="1" applyFont="1" applyBorder="1" applyAlignment="1">
      <alignment horizontal="center" vertical="center"/>
    </xf>
    <xf numFmtId="0" fontId="61" fillId="0" borderId="1" xfId="0" applyFont="1" applyBorder="1" applyAlignment="1">
      <alignment horizontal="left" vertical="center" wrapText="1" indent="1"/>
    </xf>
    <xf numFmtId="0" fontId="47" fillId="5" borderId="1" xfId="0" applyFont="1" applyFill="1" applyBorder="1" applyAlignment="1">
      <alignment horizontal="center" vertical="center"/>
    </xf>
    <xf numFmtId="14" fontId="47" fillId="5" borderId="1" xfId="0" applyNumberFormat="1" applyFont="1" applyFill="1" applyBorder="1" applyAlignment="1">
      <alignment horizontal="center" vertical="center"/>
    </xf>
    <xf numFmtId="14" fontId="60" fillId="5" borderId="1" xfId="0" applyNumberFormat="1" applyFont="1" applyFill="1" applyBorder="1" applyAlignment="1">
      <alignment horizontal="center" vertical="center"/>
    </xf>
    <xf numFmtId="182" fontId="47" fillId="5" borderId="1" xfId="3" applyNumberFormat="1" applyFont="1" applyFill="1" applyBorder="1" applyAlignment="1">
      <alignment horizontal="center" vertical="center"/>
    </xf>
    <xf numFmtId="178" fontId="47" fillId="5" borderId="1" xfId="3" applyFont="1" applyFill="1" applyBorder="1">
      <alignment vertical="center"/>
    </xf>
    <xf numFmtId="0" fontId="61" fillId="5" borderId="1" xfId="0" applyFont="1" applyFill="1" applyBorder="1" applyAlignment="1">
      <alignment horizontal="left" vertical="center" wrapText="1" indent="1"/>
    </xf>
    <xf numFmtId="192" fontId="60" fillId="0" borderId="0" xfId="3" applyNumberFormat="1" applyFont="1">
      <alignment vertical="center"/>
    </xf>
    <xf numFmtId="182" fontId="47" fillId="0" borderId="0" xfId="3" applyNumberFormat="1" applyFont="1" applyAlignment="1">
      <alignment horizontal="center" vertical="center" wrapText="1"/>
    </xf>
    <xf numFmtId="0" fontId="61" fillId="5" borderId="1" xfId="0" applyFont="1" applyFill="1" applyBorder="1" applyAlignment="1">
      <alignment horizontal="left" vertical="center" indent="1"/>
    </xf>
    <xf numFmtId="0" fontId="54" fillId="0" borderId="39" xfId="0" applyFont="1" applyBorder="1">
      <alignment vertical="center"/>
    </xf>
    <xf numFmtId="0" fontId="65" fillId="7" borderId="0" xfId="0" applyFont="1" applyFill="1" applyAlignment="1">
      <alignment horizontal="left" vertical="center"/>
    </xf>
    <xf numFmtId="10" fontId="65" fillId="0" borderId="40" xfId="2" applyNumberFormat="1" applyFont="1" applyBorder="1">
      <alignment vertical="center"/>
    </xf>
    <xf numFmtId="10" fontId="47" fillId="0" borderId="40" xfId="2" applyNumberFormat="1" applyFont="1" applyBorder="1">
      <alignment vertical="center"/>
    </xf>
    <xf numFmtId="177" fontId="53" fillId="3" borderId="67" xfId="7" applyFont="1" applyFill="1" applyBorder="1" applyAlignment="1">
      <alignment horizontal="center" vertical="center" wrapText="1"/>
    </xf>
    <xf numFmtId="0" fontId="47" fillId="3" borderId="9" xfId="0" applyFont="1" applyFill="1" applyBorder="1" applyAlignment="1">
      <alignment horizontal="center" vertical="center"/>
    </xf>
    <xf numFmtId="0" fontId="48" fillId="3" borderId="58" xfId="0" applyFont="1" applyFill="1" applyBorder="1" applyAlignment="1">
      <alignment horizontal="center" vertical="center" wrapText="1"/>
    </xf>
    <xf numFmtId="0" fontId="48" fillId="3" borderId="59" xfId="0" applyFont="1" applyFill="1" applyBorder="1" applyAlignment="1">
      <alignment horizontal="center" vertical="center"/>
    </xf>
    <xf numFmtId="177" fontId="48" fillId="3" borderId="59" xfId="7" applyFont="1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47" fillId="3" borderId="54" xfId="0" applyFont="1" applyFill="1" applyBorder="1" applyAlignment="1">
      <alignment horizontal="center" vertical="center"/>
    </xf>
    <xf numFmtId="0" fontId="24" fillId="3" borderId="87" xfId="0" applyFont="1" applyFill="1" applyBorder="1" applyAlignment="1">
      <alignment horizontal="center" vertical="center"/>
    </xf>
    <xf numFmtId="0" fontId="47" fillId="3" borderId="58" xfId="0" applyFont="1" applyFill="1" applyBorder="1" applyAlignment="1">
      <alignment horizontal="center" vertical="center"/>
    </xf>
    <xf numFmtId="176" fontId="47" fillId="3" borderId="50" xfId="7" applyNumberFormat="1" applyFont="1" applyFill="1" applyBorder="1" applyAlignment="1">
      <alignment horizontal="center" vertical="center"/>
    </xf>
    <xf numFmtId="0" fontId="47" fillId="3" borderId="102" xfId="0" applyFont="1" applyFill="1" applyBorder="1" applyAlignment="1">
      <alignment horizontal="center" vertical="center"/>
    </xf>
    <xf numFmtId="177" fontId="47" fillId="3" borderId="102" xfId="0" applyNumberFormat="1" applyFont="1" applyFill="1" applyBorder="1" applyAlignment="1">
      <alignment horizontal="center" vertical="center"/>
    </xf>
    <xf numFmtId="177" fontId="53" fillId="3" borderId="0" xfId="0" applyNumberFormat="1" applyFont="1" applyFill="1" applyAlignment="1">
      <alignment horizontal="center" vertical="center"/>
    </xf>
    <xf numFmtId="177" fontId="66" fillId="3" borderId="0" xfId="0" applyNumberFormat="1" applyFont="1" applyFill="1" applyAlignment="1">
      <alignment horizontal="center" vertical="center"/>
    </xf>
    <xf numFmtId="177" fontId="47" fillId="7" borderId="63" xfId="0" applyNumberFormat="1" applyFont="1" applyFill="1" applyBorder="1" applyAlignment="1">
      <alignment horizontal="center" vertical="center"/>
    </xf>
    <xf numFmtId="9" fontId="47" fillId="7" borderId="63" xfId="0" applyNumberFormat="1" applyFont="1" applyFill="1" applyBorder="1" applyAlignment="1">
      <alignment horizontal="center" vertical="center"/>
    </xf>
    <xf numFmtId="0" fontId="55" fillId="7" borderId="63" xfId="9" applyFont="1" applyFill="1" applyBorder="1" applyAlignment="1">
      <alignment horizontal="center" vertical="center"/>
    </xf>
    <xf numFmtId="177" fontId="56" fillId="7" borderId="63" xfId="9" applyNumberFormat="1" applyFont="1" applyFill="1" applyBorder="1" applyAlignment="1">
      <alignment horizontal="center" vertical="center"/>
    </xf>
    <xf numFmtId="0" fontId="47" fillId="7" borderId="63" xfId="0" applyFont="1" applyFill="1" applyBorder="1" applyAlignment="1">
      <alignment horizontal="center" vertical="center"/>
    </xf>
    <xf numFmtId="9" fontId="47" fillId="6" borderId="103" xfId="0" applyNumberFormat="1" applyFont="1" applyFill="1" applyBorder="1" applyAlignment="1">
      <alignment horizontal="center" vertical="center"/>
    </xf>
    <xf numFmtId="0" fontId="47" fillId="3" borderId="104" xfId="0" applyFont="1" applyFill="1" applyBorder="1" applyAlignment="1">
      <alignment horizontal="center" vertical="center"/>
    </xf>
    <xf numFmtId="0" fontId="47" fillId="3" borderId="105" xfId="0" applyFont="1" applyFill="1" applyBorder="1" applyAlignment="1">
      <alignment horizontal="center" vertical="center"/>
    </xf>
    <xf numFmtId="9" fontId="47" fillId="6" borderId="58" xfId="0" applyNumberFormat="1" applyFont="1" applyFill="1" applyBorder="1" applyAlignment="1">
      <alignment horizontal="center" vertical="center"/>
    </xf>
    <xf numFmtId="0" fontId="47" fillId="3" borderId="10" xfId="0" applyFont="1" applyFill="1" applyBorder="1" applyAlignment="1">
      <alignment horizontal="center" vertical="center"/>
    </xf>
    <xf numFmtId="9" fontId="47" fillId="6" borderId="56" xfId="0" applyNumberFormat="1" applyFont="1" applyFill="1" applyBorder="1" applyAlignment="1">
      <alignment horizontal="center" vertical="center"/>
    </xf>
    <xf numFmtId="181" fontId="53" fillId="3" borderId="60" xfId="7" applyNumberFormat="1" applyFont="1" applyFill="1" applyBorder="1" applyAlignment="1">
      <alignment horizontal="center" vertical="center" wrapText="1"/>
    </xf>
    <xf numFmtId="181" fontId="53" fillId="3" borderId="61" xfId="7" applyNumberFormat="1" applyFont="1" applyFill="1" applyBorder="1" applyAlignment="1">
      <alignment horizontal="center" vertical="center" wrapText="1"/>
    </xf>
    <xf numFmtId="181" fontId="53" fillId="3" borderId="106" xfId="7" applyNumberFormat="1" applyFont="1" applyFill="1" applyBorder="1" applyAlignment="1">
      <alignment horizontal="center" vertical="center" wrapText="1"/>
    </xf>
    <xf numFmtId="181" fontId="53" fillId="3" borderId="107" xfId="7" applyNumberFormat="1" applyFont="1" applyFill="1" applyBorder="1" applyAlignment="1">
      <alignment horizontal="center" vertical="center" wrapText="1"/>
    </xf>
    <xf numFmtId="181" fontId="53" fillId="3" borderId="108" xfId="7" applyNumberFormat="1" applyFont="1" applyFill="1" applyBorder="1" applyAlignment="1">
      <alignment horizontal="center" vertical="center" wrapText="1"/>
    </xf>
    <xf numFmtId="181" fontId="53" fillId="3" borderId="62" xfId="7" applyNumberFormat="1" applyFont="1" applyFill="1" applyBorder="1" applyAlignment="1">
      <alignment horizontal="center" vertical="center" wrapText="1"/>
    </xf>
    <xf numFmtId="181" fontId="53" fillId="3" borderId="85" xfId="7" applyNumberFormat="1" applyFont="1" applyFill="1" applyBorder="1" applyAlignment="1">
      <alignment horizontal="center" vertical="center" wrapText="1"/>
    </xf>
    <xf numFmtId="181" fontId="53" fillId="3" borderId="88" xfId="7" applyNumberFormat="1" applyFont="1" applyFill="1" applyBorder="1" applyAlignment="1">
      <alignment horizontal="center" vertical="center" wrapText="1"/>
    </xf>
    <xf numFmtId="181" fontId="53" fillId="3" borderId="91" xfId="7" applyNumberFormat="1" applyFont="1" applyFill="1" applyBorder="1" applyAlignment="1">
      <alignment horizontal="center" vertical="center" wrapText="1"/>
    </xf>
    <xf numFmtId="181" fontId="53" fillId="3" borderId="93" xfId="7" applyNumberFormat="1" applyFont="1" applyFill="1" applyBorder="1" applyAlignment="1">
      <alignment horizontal="center" vertical="center" wrapText="1"/>
    </xf>
    <xf numFmtId="178" fontId="67" fillId="17" borderId="64" xfId="6" applyFont="1" applyFill="1" applyBorder="1" applyAlignment="1">
      <alignment horizontal="center" vertical="center" wrapText="1"/>
    </xf>
    <xf numFmtId="0" fontId="67" fillId="17" borderId="63" xfId="9" applyFont="1" applyFill="1" applyBorder="1" applyAlignment="1">
      <alignment horizontal="center" vertical="center" wrapText="1"/>
    </xf>
    <xf numFmtId="177" fontId="67" fillId="17" borderId="63" xfId="9" applyNumberFormat="1" applyFont="1" applyFill="1" applyBorder="1" applyAlignment="1">
      <alignment horizontal="center" vertical="center" wrapText="1"/>
    </xf>
    <xf numFmtId="177" fontId="67" fillId="17" borderId="63" xfId="6" applyNumberFormat="1" applyFont="1" applyFill="1" applyBorder="1" applyAlignment="1">
      <alignment horizontal="center" vertical="center" wrapText="1"/>
    </xf>
    <xf numFmtId="177" fontId="67" fillId="17" borderId="69" xfId="6" applyNumberFormat="1" applyFont="1" applyFill="1" applyBorder="1" applyAlignment="1">
      <alignment horizontal="center" vertical="center" wrapText="1"/>
    </xf>
    <xf numFmtId="6" fontId="67" fillId="17" borderId="69" xfId="9" applyNumberFormat="1" applyFont="1" applyFill="1" applyBorder="1" applyAlignment="1">
      <alignment horizontal="center" vertical="center" wrapText="1"/>
    </xf>
    <xf numFmtId="9" fontId="67" fillId="17" borderId="63" xfId="9" applyNumberFormat="1" applyFont="1" applyFill="1" applyBorder="1" applyAlignment="1">
      <alignment horizontal="center" vertical="center" wrapText="1"/>
    </xf>
    <xf numFmtId="0" fontId="67" fillId="17" borderId="69" xfId="9" applyFont="1" applyFill="1" applyBorder="1" applyAlignment="1">
      <alignment horizontal="center" vertical="center" wrapText="1"/>
    </xf>
    <xf numFmtId="0" fontId="47" fillId="17" borderId="63" xfId="0" applyFont="1" applyFill="1" applyBorder="1" applyAlignment="1">
      <alignment horizontal="center" vertical="center"/>
    </xf>
    <xf numFmtId="0" fontId="68" fillId="7" borderId="62" xfId="9" applyFont="1" applyFill="1" applyBorder="1" applyAlignment="1">
      <alignment horizontal="center" vertical="center"/>
    </xf>
    <xf numFmtId="0" fontId="68" fillId="7" borderId="57" xfId="9" applyFont="1" applyFill="1" applyBorder="1" applyAlignment="1">
      <alignment horizontal="center" vertical="center"/>
    </xf>
    <xf numFmtId="177" fontId="68" fillId="7" borderId="57" xfId="9" applyNumberFormat="1" applyFont="1" applyFill="1" applyBorder="1" applyAlignment="1">
      <alignment horizontal="center" vertical="center"/>
    </xf>
    <xf numFmtId="177" fontId="68" fillId="7" borderId="66" xfId="9" applyNumberFormat="1" applyFont="1" applyFill="1" applyBorder="1" applyAlignment="1">
      <alignment horizontal="center" vertical="center"/>
    </xf>
    <xf numFmtId="0" fontId="68" fillId="7" borderId="66" xfId="9" applyFont="1" applyFill="1" applyBorder="1" applyAlignment="1">
      <alignment horizontal="center" vertical="center"/>
    </xf>
    <xf numFmtId="0" fontId="68" fillId="7" borderId="64" xfId="9" applyFont="1" applyFill="1" applyBorder="1" applyAlignment="1">
      <alignment horizontal="center" vertical="center"/>
    </xf>
    <xf numFmtId="0" fontId="68" fillId="7" borderId="63" xfId="9" applyFont="1" applyFill="1" applyBorder="1" applyAlignment="1">
      <alignment horizontal="center" vertical="center"/>
    </xf>
    <xf numFmtId="177" fontId="68" fillId="7" borderId="63" xfId="9" applyNumberFormat="1" applyFont="1" applyFill="1" applyBorder="1" applyAlignment="1">
      <alignment horizontal="center" vertical="center"/>
    </xf>
    <xf numFmtId="177" fontId="68" fillId="7" borderId="69" xfId="9" applyNumberFormat="1" applyFont="1" applyFill="1" applyBorder="1" applyAlignment="1">
      <alignment horizontal="center" vertical="center"/>
    </xf>
    <xf numFmtId="0" fontId="68" fillId="7" borderId="69" xfId="9" applyFont="1" applyFill="1" applyBorder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7" fillId="18" borderId="4" xfId="0" applyFont="1" applyFill="1" applyBorder="1" applyAlignment="1">
      <alignment horizontal="center" vertical="center"/>
    </xf>
    <xf numFmtId="177" fontId="47" fillId="18" borderId="71" xfId="0" applyNumberFormat="1" applyFont="1" applyFill="1" applyBorder="1" applyAlignment="1">
      <alignment horizontal="center" vertical="center"/>
    </xf>
    <xf numFmtId="0" fontId="47" fillId="18" borderId="71" xfId="0" applyFont="1" applyFill="1" applyBorder="1" applyAlignment="1">
      <alignment horizontal="center" vertical="center"/>
    </xf>
    <xf numFmtId="177" fontId="47" fillId="18" borderId="0" xfId="0" applyNumberFormat="1" applyFont="1" applyFill="1" applyAlignment="1">
      <alignment horizontal="center" vertical="center"/>
    </xf>
    <xf numFmtId="0" fontId="69" fillId="0" borderId="0" xfId="0" applyFont="1" applyAlignment="1">
      <alignment horizontal="left" vertical="center"/>
    </xf>
    <xf numFmtId="0" fontId="69" fillId="7" borderId="4" xfId="0" applyFont="1" applyFill="1" applyBorder="1" applyAlignment="1">
      <alignment horizontal="left" vertical="center"/>
    </xf>
    <xf numFmtId="179" fontId="47" fillId="3" borderId="56" xfId="0" applyNumberFormat="1" applyFont="1" applyFill="1" applyBorder="1" applyAlignment="1">
      <alignment horizontal="center" vertical="center"/>
    </xf>
    <xf numFmtId="0" fontId="47" fillId="3" borderId="67" xfId="0" applyFont="1" applyFill="1" applyBorder="1" applyAlignment="1">
      <alignment horizontal="center" vertical="center"/>
    </xf>
    <xf numFmtId="197" fontId="47" fillId="3" borderId="58" xfId="0" applyNumberFormat="1" applyFont="1" applyFill="1" applyBorder="1" applyAlignment="1">
      <alignment horizontal="center" vertical="center"/>
    </xf>
    <xf numFmtId="177" fontId="47" fillId="3" borderId="58" xfId="7" applyFont="1" applyFill="1" applyBorder="1" applyAlignment="1">
      <alignment horizontal="center" vertical="center"/>
    </xf>
    <xf numFmtId="0" fontId="47" fillId="3" borderId="109" xfId="0" applyFont="1" applyFill="1" applyBorder="1" applyAlignment="1">
      <alignment horizontal="center" vertical="center"/>
    </xf>
    <xf numFmtId="9" fontId="47" fillId="6" borderId="63" xfId="0" applyNumberFormat="1" applyFont="1" applyFill="1" applyBorder="1" applyAlignment="1">
      <alignment horizontal="center" vertical="center"/>
    </xf>
    <xf numFmtId="177" fontId="47" fillId="3" borderId="63" xfId="0" applyNumberFormat="1" applyFont="1" applyFill="1" applyBorder="1" applyAlignment="1">
      <alignment horizontal="center" vertical="center"/>
    </xf>
    <xf numFmtId="177" fontId="67" fillId="17" borderId="63" xfId="7" applyFont="1" applyFill="1" applyBorder="1" applyAlignment="1">
      <alignment horizontal="center" vertical="center" wrapText="1"/>
    </xf>
    <xf numFmtId="177" fontId="47" fillId="7" borderId="57" xfId="7" applyFont="1" applyFill="1" applyBorder="1" applyAlignment="1">
      <alignment horizontal="center" vertical="center"/>
    </xf>
    <xf numFmtId="177" fontId="47" fillId="19" borderId="56" xfId="7" applyFont="1" applyFill="1" applyBorder="1" applyAlignment="1">
      <alignment horizontal="center" vertical="center"/>
    </xf>
    <xf numFmtId="177" fontId="47" fillId="19" borderId="50" xfId="7" applyFont="1" applyFill="1" applyBorder="1" applyAlignment="1">
      <alignment horizontal="center" vertical="center"/>
    </xf>
    <xf numFmtId="177" fontId="47" fillId="19" borderId="52" xfId="7" applyFont="1" applyFill="1" applyBorder="1" applyAlignment="1">
      <alignment horizontal="center" vertical="center"/>
    </xf>
    <xf numFmtId="177" fontId="47" fillId="19" borderId="53" xfId="7" applyFont="1" applyFill="1" applyBorder="1" applyAlignment="1">
      <alignment horizontal="center" vertical="center"/>
    </xf>
    <xf numFmtId="177" fontId="47" fillId="19" borderId="55" xfId="7" applyFont="1" applyFill="1" applyBorder="1" applyAlignment="1">
      <alignment horizontal="center" vertical="center"/>
    </xf>
    <xf numFmtId="177" fontId="47" fillId="19" borderId="57" xfId="7" applyFont="1" applyFill="1" applyBorder="1" applyAlignment="1">
      <alignment horizontal="center" vertical="center"/>
    </xf>
    <xf numFmtId="177" fontId="47" fillId="7" borderId="63" xfId="7" applyFont="1" applyFill="1" applyBorder="1" applyAlignment="1">
      <alignment horizontal="center" vertical="center"/>
    </xf>
    <xf numFmtId="177" fontId="47" fillId="19" borderId="51" xfId="7" applyFont="1" applyFill="1" applyBorder="1" applyAlignment="1">
      <alignment horizontal="center" vertical="center"/>
    </xf>
    <xf numFmtId="177" fontId="47" fillId="19" borderId="2" xfId="7" applyFont="1" applyFill="1" applyBorder="1" applyAlignment="1">
      <alignment horizontal="center" vertical="center"/>
    </xf>
    <xf numFmtId="177" fontId="47" fillId="19" borderId="0" xfId="7" applyFont="1" applyFill="1" applyAlignment="1">
      <alignment horizontal="center" vertical="center"/>
    </xf>
    <xf numFmtId="177" fontId="47" fillId="19" borderId="3" xfId="7" applyFont="1" applyFill="1" applyBorder="1" applyAlignment="1">
      <alignment horizontal="center" vertical="center"/>
    </xf>
    <xf numFmtId="177" fontId="70" fillId="3" borderId="87" xfId="0" applyNumberFormat="1" applyFont="1" applyFill="1" applyBorder="1" applyAlignment="1">
      <alignment horizontal="center" vertical="center"/>
    </xf>
    <xf numFmtId="0" fontId="44" fillId="3" borderId="0" xfId="0" applyFont="1" applyFill="1">
      <alignment vertical="center"/>
    </xf>
    <xf numFmtId="9" fontId="41" fillId="0" borderId="0" xfId="2" applyFont="1" applyBorder="1" applyAlignment="1">
      <alignment horizontal="center" vertical="center"/>
    </xf>
    <xf numFmtId="0" fontId="68" fillId="7" borderId="70" xfId="9" applyFont="1" applyFill="1" applyBorder="1" applyAlignment="1">
      <alignment horizontal="center" vertical="center"/>
    </xf>
    <xf numFmtId="0" fontId="68" fillId="7" borderId="58" xfId="9" applyFont="1" applyFill="1" applyBorder="1" applyAlignment="1">
      <alignment horizontal="center" vertical="center"/>
    </xf>
    <xf numFmtId="177" fontId="68" fillId="7" borderId="58" xfId="9" applyNumberFormat="1" applyFont="1" applyFill="1" applyBorder="1" applyAlignment="1">
      <alignment horizontal="center" vertical="center"/>
    </xf>
    <xf numFmtId="177" fontId="68" fillId="7" borderId="67" xfId="9" applyNumberFormat="1" applyFont="1" applyFill="1" applyBorder="1" applyAlignment="1">
      <alignment horizontal="center" vertical="center"/>
    </xf>
    <xf numFmtId="0" fontId="68" fillId="7" borderId="67" xfId="9" applyFont="1" applyFill="1" applyBorder="1" applyAlignment="1">
      <alignment horizontal="center" vertical="center"/>
    </xf>
    <xf numFmtId="177" fontId="47" fillId="7" borderId="58" xfId="0" applyNumberFormat="1" applyFont="1" applyFill="1" applyBorder="1" applyAlignment="1">
      <alignment horizontal="center" vertical="center"/>
    </xf>
    <xf numFmtId="9" fontId="47" fillId="7" borderId="58" xfId="0" applyNumberFormat="1" applyFont="1" applyFill="1" applyBorder="1" applyAlignment="1">
      <alignment horizontal="center" vertical="center"/>
    </xf>
    <xf numFmtId="0" fontId="55" fillId="7" borderId="58" xfId="9" applyFont="1" applyFill="1" applyBorder="1" applyAlignment="1">
      <alignment horizontal="center" vertical="center"/>
    </xf>
    <xf numFmtId="177" fontId="56" fillId="7" borderId="58" xfId="9" applyNumberFormat="1" applyFont="1" applyFill="1" applyBorder="1" applyAlignment="1">
      <alignment horizontal="center" vertical="center"/>
    </xf>
    <xf numFmtId="0" fontId="47" fillId="7" borderId="58" xfId="0" applyFont="1" applyFill="1" applyBorder="1" applyAlignment="1">
      <alignment horizontal="center" vertical="center"/>
    </xf>
    <xf numFmtId="177" fontId="47" fillId="7" borderId="58" xfId="7" applyFont="1" applyFill="1" applyBorder="1" applyAlignment="1">
      <alignment horizontal="center" vertical="center"/>
    </xf>
    <xf numFmtId="177" fontId="47" fillId="3" borderId="2" xfId="0" applyNumberFormat="1" applyFont="1" applyFill="1" applyBorder="1" applyAlignment="1">
      <alignment horizontal="center" vertical="center"/>
    </xf>
    <xf numFmtId="0" fontId="47" fillId="3" borderId="110" xfId="0" applyFont="1" applyFill="1" applyBorder="1" applyAlignment="1">
      <alignment horizontal="center" vertical="center"/>
    </xf>
    <xf numFmtId="0" fontId="47" fillId="3" borderId="111" xfId="0" applyFont="1" applyFill="1" applyBorder="1" applyAlignment="1">
      <alignment horizontal="center" vertical="center"/>
    </xf>
    <xf numFmtId="0" fontId="47" fillId="3" borderId="112" xfId="0" applyFont="1" applyFill="1" applyBorder="1" applyAlignment="1">
      <alignment horizontal="center" vertical="center"/>
    </xf>
    <xf numFmtId="177" fontId="47" fillId="3" borderId="112" xfId="0" applyNumberFormat="1" applyFont="1" applyFill="1" applyBorder="1" applyAlignment="1">
      <alignment horizontal="center" vertical="center"/>
    </xf>
    <xf numFmtId="177" fontId="47" fillId="6" borderId="59" xfId="0" applyNumberFormat="1" applyFont="1" applyFill="1" applyBorder="1" applyAlignment="1">
      <alignment horizontal="center" vertical="center"/>
    </xf>
    <xf numFmtId="9" fontId="47" fillId="6" borderId="113" xfId="0" applyNumberFormat="1" applyFont="1" applyFill="1" applyBorder="1" applyAlignment="1">
      <alignment horizontal="center" vertical="center"/>
    </xf>
    <xf numFmtId="0" fontId="47" fillId="3" borderId="114" xfId="0" applyFont="1" applyFill="1" applyBorder="1" applyAlignment="1">
      <alignment horizontal="center" vertical="center"/>
    </xf>
    <xf numFmtId="177" fontId="47" fillId="3" borderId="115" xfId="0" applyNumberFormat="1" applyFont="1" applyFill="1" applyBorder="1" applyAlignment="1">
      <alignment horizontal="center" vertical="center"/>
    </xf>
    <xf numFmtId="0" fontId="47" fillId="3" borderId="115" xfId="0" applyFont="1" applyFill="1" applyBorder="1" applyAlignment="1">
      <alignment horizontal="center" vertical="center"/>
    </xf>
    <xf numFmtId="177" fontId="47" fillId="19" borderId="115" xfId="7" applyFont="1" applyFill="1" applyBorder="1" applyAlignment="1">
      <alignment horizontal="center" vertical="center"/>
    </xf>
    <xf numFmtId="0" fontId="47" fillId="3" borderId="116" xfId="0" applyFont="1" applyFill="1" applyBorder="1" applyAlignment="1">
      <alignment horizontal="center" vertical="center"/>
    </xf>
    <xf numFmtId="177" fontId="47" fillId="6" borderId="69" xfId="0" applyNumberFormat="1" applyFont="1" applyFill="1" applyBorder="1" applyAlignment="1">
      <alignment horizontal="center" vertical="center"/>
    </xf>
    <xf numFmtId="9" fontId="47" fillId="6" borderId="69" xfId="0" applyNumberFormat="1" applyFont="1" applyFill="1" applyBorder="1" applyAlignment="1">
      <alignment horizontal="center" vertical="center"/>
    </xf>
    <xf numFmtId="0" fontId="47" fillId="3" borderId="117" xfId="0" applyFont="1" applyFill="1" applyBorder="1" applyAlignment="1">
      <alignment horizontal="center" vertical="center"/>
    </xf>
    <xf numFmtId="177" fontId="47" fillId="3" borderId="116" xfId="0" applyNumberFormat="1" applyFont="1" applyFill="1" applyBorder="1" applyAlignment="1">
      <alignment horizontal="center" vertical="center"/>
    </xf>
    <xf numFmtId="0" fontId="47" fillId="3" borderId="4" xfId="0" applyFont="1" applyFill="1" applyBorder="1" applyAlignment="1">
      <alignment horizontal="center" vertical="center"/>
    </xf>
    <xf numFmtId="177" fontId="47" fillId="19" borderId="0" xfId="7" applyFont="1" applyFill="1" applyBorder="1" applyAlignment="1">
      <alignment horizontal="center" vertical="center"/>
    </xf>
    <xf numFmtId="0" fontId="47" fillId="3" borderId="118" xfId="0" applyFont="1" applyFill="1" applyBorder="1" applyAlignment="1">
      <alignment horizontal="center" vertical="center"/>
    </xf>
    <xf numFmtId="0" fontId="47" fillId="3" borderId="119" xfId="0" applyFont="1" applyFill="1" applyBorder="1" applyAlignment="1">
      <alignment horizontal="center" vertical="center"/>
    </xf>
    <xf numFmtId="177" fontId="47" fillId="3" borderId="120" xfId="0" applyNumberFormat="1" applyFont="1" applyFill="1" applyBorder="1" applyAlignment="1">
      <alignment horizontal="center" vertical="center"/>
    </xf>
    <xf numFmtId="0" fontId="47" fillId="3" borderId="120" xfId="0" applyFont="1" applyFill="1" applyBorder="1" applyAlignment="1">
      <alignment horizontal="center" vertical="center"/>
    </xf>
    <xf numFmtId="177" fontId="47" fillId="19" borderId="119" xfId="7" applyFont="1" applyFill="1" applyBorder="1" applyAlignment="1">
      <alignment horizontal="center" vertical="center"/>
    </xf>
    <xf numFmtId="178" fontId="47" fillId="0" borderId="0" xfId="0" applyNumberFormat="1" applyFont="1">
      <alignment vertical="center"/>
    </xf>
    <xf numFmtId="177" fontId="53" fillId="3" borderId="54" xfId="7" applyFont="1" applyFill="1" applyBorder="1" applyAlignment="1">
      <alignment horizontal="center" vertical="center" wrapText="1"/>
    </xf>
    <xf numFmtId="177" fontId="53" fillId="3" borderId="71" xfId="7" applyFont="1" applyFill="1" applyBorder="1" applyAlignment="1">
      <alignment horizontal="center" vertical="center" wrapText="1"/>
    </xf>
    <xf numFmtId="177" fontId="47" fillId="3" borderId="0" xfId="0" applyNumberFormat="1" applyFont="1" applyFill="1" applyAlignment="1">
      <alignment horizontal="center" vertical="center"/>
    </xf>
    <xf numFmtId="0" fontId="48" fillId="3" borderId="59" xfId="0" applyFont="1" applyFill="1" applyBorder="1" applyAlignment="1">
      <alignment horizontal="center" vertical="center" wrapText="1"/>
    </xf>
    <xf numFmtId="177" fontId="47" fillId="3" borderId="59" xfId="0" applyNumberFormat="1" applyFont="1" applyFill="1" applyBorder="1" applyAlignment="1">
      <alignment horizontal="center" vertical="center"/>
    </xf>
    <xf numFmtId="177" fontId="66" fillId="3" borderId="119" xfId="0" applyNumberFormat="1" applyFont="1" applyFill="1" applyBorder="1" applyAlignment="1">
      <alignment horizontal="center" vertical="center"/>
    </xf>
    <xf numFmtId="0" fontId="47" fillId="3" borderId="121" xfId="0" applyFont="1" applyFill="1" applyBorder="1" applyAlignment="1">
      <alignment horizontal="center" vertical="center"/>
    </xf>
    <xf numFmtId="0" fontId="47" fillId="3" borderId="122" xfId="0" applyFont="1" applyFill="1" applyBorder="1" applyAlignment="1">
      <alignment horizontal="center" vertical="center"/>
    </xf>
    <xf numFmtId="0" fontId="47" fillId="3" borderId="123" xfId="0" applyFont="1" applyFill="1" applyBorder="1" applyAlignment="1">
      <alignment horizontal="center" vertical="center"/>
    </xf>
    <xf numFmtId="10" fontId="47" fillId="0" borderId="0" xfId="3" applyNumberFormat="1" applyFont="1">
      <alignment vertical="center"/>
    </xf>
    <xf numFmtId="178" fontId="58" fillId="10" borderId="0" xfId="3" applyFont="1" applyFill="1" applyAlignment="1">
      <alignment horizontal="center" vertical="center" wrapText="1"/>
    </xf>
    <xf numFmtId="178" fontId="58" fillId="10" borderId="0" xfId="3" applyFont="1" applyFill="1" applyAlignment="1">
      <alignment horizontal="center" vertical="center"/>
    </xf>
    <xf numFmtId="178" fontId="59" fillId="12" borderId="0" xfId="3" applyFont="1" applyFill="1">
      <alignment vertical="center"/>
    </xf>
    <xf numFmtId="178" fontId="47" fillId="0" borderId="0" xfId="3" applyFont="1" applyFill="1">
      <alignment vertical="center"/>
    </xf>
    <xf numFmtId="178" fontId="56" fillId="0" borderId="0" xfId="3" applyFont="1">
      <alignment vertical="center"/>
    </xf>
    <xf numFmtId="178" fontId="47" fillId="0" borderId="40" xfId="3" applyFont="1" applyBorder="1">
      <alignment vertical="center"/>
    </xf>
    <xf numFmtId="178" fontId="47" fillId="0" borderId="39" xfId="3" applyFont="1" applyBorder="1">
      <alignment vertical="center"/>
    </xf>
    <xf numFmtId="178" fontId="47" fillId="0" borderId="39" xfId="3" applyFont="1" applyFill="1" applyBorder="1">
      <alignment vertical="center"/>
    </xf>
    <xf numFmtId="178" fontId="56" fillId="0" borderId="39" xfId="3" applyFont="1" applyBorder="1">
      <alignment vertical="center"/>
    </xf>
    <xf numFmtId="178" fontId="59" fillId="14" borderId="39" xfId="3" applyFont="1" applyFill="1" applyBorder="1">
      <alignment vertical="center"/>
    </xf>
    <xf numFmtId="178" fontId="47" fillId="0" borderId="40" xfId="3" applyFont="1" applyFill="1" applyBorder="1">
      <alignment vertical="center"/>
    </xf>
    <xf numFmtId="178" fontId="59" fillId="3" borderId="39" xfId="3" applyFont="1" applyFill="1" applyBorder="1">
      <alignment vertical="center"/>
    </xf>
    <xf numFmtId="178" fontId="59" fillId="3" borderId="0" xfId="3" applyFont="1" applyFill="1" applyBorder="1">
      <alignment vertical="center"/>
    </xf>
    <xf numFmtId="178" fontId="57" fillId="0" borderId="40" xfId="3" applyFont="1" applyFill="1" applyBorder="1">
      <alignment vertical="center"/>
    </xf>
    <xf numFmtId="178" fontId="57" fillId="2" borderId="39" xfId="3" applyFont="1" applyFill="1" applyBorder="1">
      <alignment vertical="center"/>
    </xf>
    <xf numFmtId="178" fontId="57" fillId="0" borderId="40" xfId="3" applyFont="1" applyBorder="1">
      <alignment vertical="center"/>
    </xf>
    <xf numFmtId="178" fontId="56" fillId="0" borderId="39" xfId="3" applyFont="1" applyFill="1" applyBorder="1">
      <alignment vertical="center"/>
    </xf>
    <xf numFmtId="178" fontId="56" fillId="0" borderId="40" xfId="3" applyFont="1" applyBorder="1">
      <alignment vertical="center"/>
    </xf>
    <xf numFmtId="178" fontId="60" fillId="0" borderId="39" xfId="3" applyFont="1" applyFill="1" applyBorder="1">
      <alignment vertical="center"/>
    </xf>
    <xf numFmtId="178" fontId="47" fillId="2" borderId="39" xfId="3" applyFont="1" applyFill="1" applyBorder="1">
      <alignment vertical="center"/>
    </xf>
    <xf numFmtId="178" fontId="57" fillId="0" borderId="39" xfId="3" applyFont="1" applyBorder="1">
      <alignment vertical="center"/>
    </xf>
    <xf numFmtId="178" fontId="65" fillId="0" borderId="0" xfId="3" applyFont="1" applyBorder="1">
      <alignment vertical="center"/>
    </xf>
    <xf numFmtId="178" fontId="65" fillId="0" borderId="40" xfId="3" applyFont="1" applyBorder="1">
      <alignment vertical="center"/>
    </xf>
    <xf numFmtId="10" fontId="47" fillId="0" borderId="0" xfId="0" applyNumberFormat="1" applyFont="1">
      <alignment vertical="center"/>
    </xf>
    <xf numFmtId="10" fontId="58" fillId="10" borderId="0" xfId="0" applyNumberFormat="1" applyFont="1" applyFill="1" applyAlignment="1">
      <alignment horizontal="center" vertical="center"/>
    </xf>
    <xf numFmtId="10" fontId="47" fillId="0" borderId="0" xfId="2" applyNumberFormat="1" applyFont="1">
      <alignment vertical="center"/>
    </xf>
    <xf numFmtId="10" fontId="59" fillId="12" borderId="0" xfId="2" applyNumberFormat="1" applyFont="1" applyFill="1">
      <alignment vertical="center"/>
    </xf>
    <xf numFmtId="10" fontId="47" fillId="0" borderId="0" xfId="2" applyNumberFormat="1" applyFont="1" applyFill="1">
      <alignment vertical="center"/>
    </xf>
    <xf numFmtId="10" fontId="56" fillId="0" borderId="0" xfId="2" applyNumberFormat="1" applyFont="1">
      <alignment vertical="center"/>
    </xf>
    <xf numFmtId="10" fontId="56" fillId="0" borderId="0" xfId="2" applyNumberFormat="1" applyFont="1" applyFill="1">
      <alignment vertical="center"/>
    </xf>
    <xf numFmtId="10" fontId="47" fillId="0" borderId="39" xfId="2" applyNumberFormat="1" applyFont="1" applyBorder="1">
      <alignment vertical="center"/>
    </xf>
    <xf numFmtId="10" fontId="59" fillId="14" borderId="39" xfId="2" applyNumberFormat="1" applyFont="1" applyFill="1" applyBorder="1">
      <alignment vertical="center"/>
    </xf>
    <xf numFmtId="10" fontId="47" fillId="0" borderId="39" xfId="2" applyNumberFormat="1" applyFont="1" applyFill="1" applyBorder="1">
      <alignment vertical="center"/>
    </xf>
    <xf numFmtId="10" fontId="47" fillId="0" borderId="40" xfId="2" applyNumberFormat="1" applyFont="1" applyFill="1" applyBorder="1">
      <alignment vertical="center"/>
    </xf>
    <xf numFmtId="10" fontId="59" fillId="3" borderId="39" xfId="2" applyNumberFormat="1" applyFont="1" applyFill="1" applyBorder="1">
      <alignment vertical="center"/>
    </xf>
    <xf numFmtId="10" fontId="59" fillId="3" borderId="0" xfId="2" applyNumberFormat="1" applyFont="1" applyFill="1" applyBorder="1">
      <alignment vertical="center"/>
    </xf>
    <xf numFmtId="10" fontId="59" fillId="14" borderId="0" xfId="2" applyNumberFormat="1" applyFont="1" applyFill="1" applyBorder="1">
      <alignment vertical="center"/>
    </xf>
    <xf numFmtId="10" fontId="57" fillId="0" borderId="40" xfId="2" applyNumberFormat="1" applyFont="1" applyBorder="1">
      <alignment vertical="center"/>
    </xf>
    <xf numFmtId="10" fontId="56" fillId="0" borderId="40" xfId="2" applyNumberFormat="1" applyFont="1" applyFill="1" applyBorder="1">
      <alignment vertical="center"/>
    </xf>
    <xf numFmtId="10" fontId="56" fillId="0" borderId="39" xfId="2" applyNumberFormat="1" applyFont="1" applyBorder="1">
      <alignment vertical="center"/>
    </xf>
    <xf numFmtId="10" fontId="60" fillId="0" borderId="40" xfId="2" applyNumberFormat="1" applyFont="1" applyFill="1" applyBorder="1">
      <alignment vertical="center"/>
    </xf>
    <xf numFmtId="10" fontId="47" fillId="2" borderId="40" xfId="2" applyNumberFormat="1" applyFont="1" applyFill="1" applyBorder="1">
      <alignment vertical="center"/>
    </xf>
    <xf numFmtId="177" fontId="47" fillId="6" borderId="65" xfId="0" applyNumberFormat="1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/>
    </xf>
    <xf numFmtId="9" fontId="47" fillId="6" borderId="124" xfId="0" applyNumberFormat="1" applyFont="1" applyFill="1" applyBorder="1" applyAlignment="1">
      <alignment horizontal="center" vertical="center"/>
    </xf>
    <xf numFmtId="6" fontId="67" fillId="17" borderId="1" xfId="9" applyNumberFormat="1" applyFont="1" applyFill="1" applyBorder="1" applyAlignment="1">
      <alignment horizontal="center" vertical="center" wrapText="1"/>
    </xf>
    <xf numFmtId="0" fontId="47" fillId="3" borderId="125" xfId="0" applyFont="1" applyFill="1" applyBorder="1" applyAlignment="1">
      <alignment horizontal="center" vertical="center"/>
    </xf>
    <xf numFmtId="0" fontId="47" fillId="3" borderId="126" xfId="0" applyFont="1" applyFill="1" applyBorder="1" applyAlignment="1">
      <alignment horizontal="center" vertical="center"/>
    </xf>
    <xf numFmtId="0" fontId="47" fillId="3" borderId="127" xfId="0" applyFont="1" applyFill="1" applyBorder="1" applyAlignment="1">
      <alignment horizontal="center" vertical="center"/>
    </xf>
    <xf numFmtId="0" fontId="47" fillId="3" borderId="8" xfId="0" applyFont="1" applyFill="1" applyBorder="1" applyAlignment="1">
      <alignment horizontal="center" vertical="center"/>
    </xf>
    <xf numFmtId="0" fontId="47" fillId="3" borderId="128" xfId="0" applyFont="1" applyFill="1" applyBorder="1" applyAlignment="1">
      <alignment horizontal="center" vertical="center"/>
    </xf>
    <xf numFmtId="0" fontId="47" fillId="3" borderId="11" xfId="0" applyFont="1" applyFill="1" applyBorder="1" applyAlignment="1">
      <alignment horizontal="center" vertical="center"/>
    </xf>
    <xf numFmtId="0" fontId="47" fillId="3" borderId="129" xfId="0" applyFont="1" applyFill="1" applyBorder="1" applyAlignment="1">
      <alignment horizontal="center" vertical="center"/>
    </xf>
    <xf numFmtId="0" fontId="47" fillId="18" borderId="11" xfId="0" applyFont="1" applyFill="1" applyBorder="1" applyAlignment="1">
      <alignment horizontal="center" vertical="center"/>
    </xf>
    <xf numFmtId="177" fontId="47" fillId="6" borderId="51" xfId="0" applyNumberFormat="1" applyFont="1" applyFill="1" applyBorder="1" applyAlignment="1">
      <alignment horizontal="center" vertical="center"/>
    </xf>
    <xf numFmtId="178" fontId="55" fillId="3" borderId="39" xfId="3" applyFont="1" applyFill="1" applyBorder="1">
      <alignment vertical="center"/>
    </xf>
    <xf numFmtId="9" fontId="58" fillId="10" borderId="0" xfId="0" applyNumberFormat="1" applyFont="1" applyFill="1" applyAlignment="1">
      <alignment horizontal="center" vertical="center"/>
    </xf>
    <xf numFmtId="9" fontId="56" fillId="0" borderId="40" xfId="2" applyFont="1" applyBorder="1" applyAlignment="1">
      <alignment horizontal="center" vertical="center"/>
    </xf>
    <xf numFmtId="9" fontId="55" fillId="3" borderId="40" xfId="2" applyFont="1" applyFill="1" applyBorder="1" applyAlignment="1">
      <alignment horizontal="center" vertical="center"/>
    </xf>
    <xf numFmtId="9" fontId="47" fillId="0" borderId="40" xfId="2" applyFont="1" applyBorder="1" applyAlignment="1">
      <alignment horizontal="center" vertical="center"/>
    </xf>
    <xf numFmtId="9" fontId="47" fillId="0" borderId="39" xfId="2" applyFont="1" applyBorder="1" applyAlignment="1">
      <alignment horizontal="center" vertical="center"/>
    </xf>
    <xf numFmtId="9" fontId="59" fillId="3" borderId="40" xfId="2" applyFont="1" applyFill="1" applyBorder="1" applyAlignment="1">
      <alignment horizontal="center" vertical="center"/>
    </xf>
    <xf numFmtId="9" fontId="57" fillId="2" borderId="40" xfId="2" applyFont="1" applyFill="1" applyBorder="1" applyAlignment="1">
      <alignment horizontal="center" vertical="center"/>
    </xf>
    <xf numFmtId="9" fontId="47" fillId="0" borderId="0" xfId="0" applyNumberFormat="1" applyFont="1" applyAlignment="1">
      <alignment horizontal="center" vertical="center"/>
    </xf>
    <xf numFmtId="0" fontId="71" fillId="7" borderId="0" xfId="0" applyFont="1" applyFill="1" applyAlignment="1">
      <alignment horizontal="left" vertical="center"/>
    </xf>
    <xf numFmtId="177" fontId="47" fillId="6" borderId="68" xfId="0" applyNumberFormat="1" applyFont="1" applyFill="1" applyBorder="1" applyAlignment="1">
      <alignment horizontal="center" vertical="center"/>
    </xf>
    <xf numFmtId="9" fontId="47" fillId="6" borderId="130" xfId="0" applyNumberFormat="1" applyFont="1" applyFill="1" applyBorder="1" applyAlignment="1">
      <alignment horizontal="center" vertical="center"/>
    </xf>
    <xf numFmtId="177" fontId="47" fillId="6" borderId="66" xfId="0" applyNumberFormat="1" applyFont="1" applyFill="1" applyBorder="1" applyAlignment="1">
      <alignment horizontal="center" vertical="center"/>
    </xf>
    <xf numFmtId="9" fontId="47" fillId="6" borderId="131" xfId="0" applyNumberFormat="1" applyFont="1" applyFill="1" applyBorder="1" applyAlignment="1">
      <alignment horizontal="center" vertical="center"/>
    </xf>
    <xf numFmtId="0" fontId="47" fillId="3" borderId="132" xfId="0" applyFont="1" applyFill="1" applyBorder="1" applyAlignment="1">
      <alignment horizontal="center" vertical="center"/>
    </xf>
    <xf numFmtId="0" fontId="47" fillId="18" borderId="2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7" fontId="45" fillId="0" borderId="0" xfId="0" applyNumberFormat="1" applyFont="1" applyAlignment="1">
      <alignment horizontal="left" vertical="center" wrapText="1"/>
    </xf>
    <xf numFmtId="0" fontId="49" fillId="9" borderId="62" xfId="9" applyFont="1" applyFill="1" applyBorder="1" applyAlignment="1">
      <alignment horizontal="center" vertical="center"/>
    </xf>
    <xf numFmtId="0" fontId="49" fillId="7" borderId="70" xfId="9" applyFont="1" applyFill="1" applyBorder="1" applyAlignment="1">
      <alignment horizontal="center" vertical="center"/>
    </xf>
    <xf numFmtId="0" fontId="49" fillId="9" borderId="66" xfId="9" applyFont="1" applyFill="1" applyBorder="1" applyAlignment="1">
      <alignment horizontal="center" vertical="center" wrapText="1"/>
    </xf>
    <xf numFmtId="0" fontId="49" fillId="7" borderId="67" xfId="9" applyFont="1" applyFill="1" applyBorder="1" applyAlignment="1">
      <alignment horizontal="center" vertical="center" wrapText="1"/>
    </xf>
    <xf numFmtId="9" fontId="47" fillId="6" borderId="133" xfId="0" applyNumberFormat="1" applyFont="1" applyFill="1" applyBorder="1" applyAlignment="1">
      <alignment horizontal="center" vertical="center"/>
    </xf>
    <xf numFmtId="0" fontId="47" fillId="18" borderId="3" xfId="0" applyFont="1" applyFill="1" applyBorder="1" applyAlignment="1">
      <alignment horizontal="center" vertical="center"/>
    </xf>
    <xf numFmtId="0" fontId="47" fillId="3" borderId="134" xfId="0" applyFont="1" applyFill="1" applyBorder="1" applyAlignment="1">
      <alignment horizontal="center" vertical="center"/>
    </xf>
    <xf numFmtId="0" fontId="47" fillId="3" borderId="70" xfId="0" applyFont="1" applyFill="1" applyBorder="1" applyAlignment="1">
      <alignment horizontal="center" vertical="center"/>
    </xf>
    <xf numFmtId="177" fontId="47" fillId="6" borderId="67" xfId="0" applyNumberFormat="1" applyFont="1" applyFill="1" applyBorder="1" applyAlignment="1">
      <alignment horizontal="center" vertical="center"/>
    </xf>
    <xf numFmtId="9" fontId="47" fillId="6" borderId="135" xfId="0" applyNumberFormat="1" applyFont="1" applyFill="1" applyBorder="1" applyAlignment="1">
      <alignment horizontal="center" vertical="center"/>
    </xf>
    <xf numFmtId="0" fontId="48" fillId="3" borderId="130" xfId="0" applyFont="1" applyFill="1" applyBorder="1" applyAlignment="1">
      <alignment horizontal="center" vertical="center"/>
    </xf>
    <xf numFmtId="0" fontId="47" fillId="18" borderId="119" xfId="0" applyFont="1" applyFill="1" applyBorder="1" applyAlignment="1">
      <alignment horizontal="center" vertical="center"/>
    </xf>
    <xf numFmtId="177" fontId="48" fillId="3" borderId="54" xfId="7" applyFont="1" applyFill="1" applyBorder="1" applyAlignment="1">
      <alignment horizontal="center" vertical="center"/>
    </xf>
    <xf numFmtId="0" fontId="71" fillId="0" borderId="119" xfId="0" applyFont="1" applyBorder="1">
      <alignment vertical="center"/>
    </xf>
    <xf numFmtId="0" fontId="47" fillId="0" borderId="136" xfId="0" applyFont="1" applyBorder="1">
      <alignment vertical="center"/>
    </xf>
    <xf numFmtId="0" fontId="72" fillId="20" borderId="12" xfId="0" applyFont="1" applyFill="1" applyBorder="1" applyAlignment="1">
      <alignment horizontal="center" vertical="center" wrapText="1"/>
    </xf>
    <xf numFmtId="0" fontId="72" fillId="20" borderId="13" xfId="0" applyFont="1" applyFill="1" applyBorder="1" applyAlignment="1">
      <alignment horizontal="center" vertical="center" wrapText="1"/>
    </xf>
    <xf numFmtId="0" fontId="72" fillId="20" borderId="13" xfId="0" applyFont="1" applyFill="1" applyBorder="1" applyAlignment="1">
      <alignment horizontal="center" vertical="center"/>
    </xf>
    <xf numFmtId="183" fontId="72" fillId="20" borderId="13" xfId="0" applyNumberFormat="1" applyFont="1" applyFill="1" applyBorder="1" applyAlignment="1">
      <alignment horizontal="center" vertical="center" wrapText="1"/>
    </xf>
    <xf numFmtId="0" fontId="73" fillId="20" borderId="12" xfId="0" applyFont="1" applyFill="1" applyBorder="1" applyAlignment="1">
      <alignment horizontal="center" vertical="center" wrapText="1"/>
    </xf>
    <xf numFmtId="0" fontId="74" fillId="20" borderId="12" xfId="0" applyFont="1" applyFill="1" applyBorder="1" applyAlignment="1">
      <alignment horizontal="center" vertical="center" wrapText="1"/>
    </xf>
    <xf numFmtId="0" fontId="72" fillId="2" borderId="12" xfId="0" applyFont="1" applyFill="1" applyBorder="1" applyAlignment="1">
      <alignment horizontal="center" vertical="center" wrapText="1"/>
    </xf>
    <xf numFmtId="0" fontId="72" fillId="2" borderId="13" xfId="0" applyFont="1" applyFill="1" applyBorder="1" applyAlignment="1">
      <alignment horizontal="center" vertical="center" wrapText="1"/>
    </xf>
    <xf numFmtId="0" fontId="72" fillId="2" borderId="13" xfId="0" applyFont="1" applyFill="1" applyBorder="1" applyAlignment="1">
      <alignment horizontal="center" vertical="center"/>
    </xf>
    <xf numFmtId="183" fontId="72" fillId="2" borderId="13" xfId="0" applyNumberFormat="1" applyFont="1" applyFill="1" applyBorder="1" applyAlignment="1">
      <alignment horizontal="center" vertical="center" wrapText="1"/>
    </xf>
    <xf numFmtId="0" fontId="73" fillId="2" borderId="12" xfId="0" applyFont="1" applyFill="1" applyBorder="1" applyAlignment="1">
      <alignment horizontal="center" vertical="center" wrapText="1"/>
    </xf>
    <xf numFmtId="0" fontId="72" fillId="2" borderId="12" xfId="0" applyFont="1" applyFill="1" applyBorder="1" applyAlignment="1">
      <alignment horizontal="center" vertical="center"/>
    </xf>
    <xf numFmtId="0" fontId="72" fillId="2" borderId="13" xfId="0" applyFont="1" applyFill="1" applyBorder="1" applyAlignment="1">
      <alignment vertical="center" wrapText="1"/>
    </xf>
    <xf numFmtId="0" fontId="47" fillId="3" borderId="137" xfId="0" applyFont="1" applyFill="1" applyBorder="1" applyAlignment="1">
      <alignment horizontal="center" vertical="center"/>
    </xf>
    <xf numFmtId="0" fontId="47" fillId="3" borderId="138" xfId="0" applyFont="1" applyFill="1" applyBorder="1" applyAlignment="1">
      <alignment horizontal="center" vertical="center"/>
    </xf>
    <xf numFmtId="0" fontId="47" fillId="18" borderId="115" xfId="0" applyFont="1" applyFill="1" applyBorder="1" applyAlignment="1">
      <alignment horizontal="center" vertical="center"/>
    </xf>
    <xf numFmtId="0" fontId="47" fillId="18" borderId="56" xfId="0" applyFont="1" applyFill="1" applyBorder="1" applyAlignment="1">
      <alignment horizontal="center" vertical="center"/>
    </xf>
    <xf numFmtId="0" fontId="47" fillId="18" borderId="57" xfId="0" applyFont="1" applyFill="1" applyBorder="1" applyAlignment="1">
      <alignment horizontal="center" vertical="center"/>
    </xf>
    <xf numFmtId="0" fontId="68" fillId="7" borderId="132" xfId="9" applyFont="1" applyFill="1" applyBorder="1" applyAlignment="1">
      <alignment horizontal="center" vertical="center"/>
    </xf>
    <xf numFmtId="0" fontId="47" fillId="3" borderId="139" xfId="0" applyFont="1" applyFill="1" applyBorder="1" applyAlignment="1">
      <alignment horizontal="center" vertical="center"/>
    </xf>
    <xf numFmtId="0" fontId="47" fillId="3" borderId="140" xfId="0" applyFont="1" applyFill="1" applyBorder="1" applyAlignment="1">
      <alignment horizontal="center" vertical="center"/>
    </xf>
    <xf numFmtId="0" fontId="47" fillId="3" borderId="141" xfId="0" applyFont="1" applyFill="1" applyBorder="1" applyAlignment="1">
      <alignment horizontal="center" vertical="center"/>
    </xf>
    <xf numFmtId="0" fontId="47" fillId="3" borderId="142" xfId="0" applyFont="1" applyFill="1" applyBorder="1" applyAlignment="1">
      <alignment horizontal="center" vertical="center"/>
    </xf>
    <xf numFmtId="0" fontId="68" fillId="7" borderId="1" xfId="9" applyFont="1" applyFill="1" applyBorder="1" applyAlignment="1">
      <alignment horizontal="center" vertical="center"/>
    </xf>
    <xf numFmtId="0" fontId="47" fillId="3" borderId="143" xfId="0" applyFont="1" applyFill="1" applyBorder="1" applyAlignment="1">
      <alignment horizontal="center" vertical="center"/>
    </xf>
    <xf numFmtId="0" fontId="68" fillId="7" borderId="8" xfId="9" applyFont="1" applyFill="1" applyBorder="1" applyAlignment="1">
      <alignment horizontal="center" vertical="center"/>
    </xf>
    <xf numFmtId="0" fontId="48" fillId="3" borderId="51" xfId="0" applyFont="1" applyFill="1" applyBorder="1" applyAlignment="1">
      <alignment horizontal="center" vertical="center"/>
    </xf>
    <xf numFmtId="177" fontId="48" fillId="3" borderId="51" xfId="7" applyFont="1" applyFill="1" applyBorder="1" applyAlignment="1">
      <alignment horizontal="center" vertical="center"/>
    </xf>
    <xf numFmtId="0" fontId="47" fillId="3" borderId="144" xfId="0" applyFont="1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177" fontId="47" fillId="3" borderId="3" xfId="0" applyNumberFormat="1" applyFont="1" applyFill="1" applyBorder="1" applyAlignment="1">
      <alignment horizontal="center" vertical="center"/>
    </xf>
    <xf numFmtId="0" fontId="47" fillId="3" borderId="145" xfId="0" applyFont="1" applyFill="1" applyBorder="1" applyAlignment="1">
      <alignment horizontal="center" vertical="center"/>
    </xf>
    <xf numFmtId="0" fontId="47" fillId="3" borderId="146" xfId="0" applyFont="1" applyFill="1" applyBorder="1" applyAlignment="1">
      <alignment horizontal="center" vertical="center"/>
    </xf>
    <xf numFmtId="177" fontId="47" fillId="3" borderId="146" xfId="0" applyNumberFormat="1" applyFont="1" applyFill="1" applyBorder="1" applyAlignment="1">
      <alignment horizontal="center" vertical="center"/>
    </xf>
    <xf numFmtId="177" fontId="47" fillId="3" borderId="136" xfId="0" applyNumberFormat="1" applyFont="1" applyFill="1" applyBorder="1" applyAlignment="1">
      <alignment horizontal="center" vertical="center"/>
    </xf>
    <xf numFmtId="0" fontId="47" fillId="3" borderId="136" xfId="0" applyFont="1" applyFill="1" applyBorder="1" applyAlignment="1">
      <alignment horizontal="center" vertical="center"/>
    </xf>
    <xf numFmtId="177" fontId="47" fillId="19" borderId="136" xfId="7" applyFont="1" applyFill="1" applyBorder="1" applyAlignment="1">
      <alignment horizontal="center" vertical="center"/>
    </xf>
    <xf numFmtId="0" fontId="47" fillId="18" borderId="136" xfId="0" applyFont="1" applyFill="1" applyBorder="1" applyAlignment="1">
      <alignment horizontal="center" vertical="center"/>
    </xf>
    <xf numFmtId="177" fontId="47" fillId="6" borderId="137" xfId="0" applyNumberFormat="1" applyFont="1" applyFill="1" applyBorder="1" applyAlignment="1">
      <alignment horizontal="center" vertical="center"/>
    </xf>
    <xf numFmtId="0" fontId="54" fillId="3" borderId="59" xfId="0" applyFont="1" applyFill="1" applyBorder="1" applyAlignment="1">
      <alignment horizontal="center" vertical="center"/>
    </xf>
    <xf numFmtId="1" fontId="47" fillId="3" borderId="80" xfId="0" applyNumberFormat="1" applyFont="1" applyFill="1" applyBorder="1" applyAlignment="1">
      <alignment horizontal="center" vertical="center"/>
    </xf>
    <xf numFmtId="0" fontId="67" fillId="21" borderId="147" xfId="9" applyFont="1" applyFill="1" applyBorder="1" applyAlignment="1">
      <alignment horizontal="center" vertical="center" wrapText="1"/>
    </xf>
    <xf numFmtId="0" fontId="68" fillId="0" borderId="148" xfId="9" applyFont="1" applyBorder="1" applyAlignment="1">
      <alignment horizontal="center" vertical="center"/>
    </xf>
    <xf numFmtId="0" fontId="47" fillId="3" borderId="149" xfId="0" applyFont="1" applyFill="1" applyBorder="1" applyAlignment="1">
      <alignment horizontal="center" vertical="center"/>
    </xf>
    <xf numFmtId="0" fontId="47" fillId="3" borderId="150" xfId="0" applyFont="1" applyFill="1" applyBorder="1" applyAlignment="1">
      <alignment horizontal="center" vertical="center"/>
    </xf>
    <xf numFmtId="0" fontId="47" fillId="3" borderId="151" xfId="0" applyFont="1" applyFill="1" applyBorder="1" applyAlignment="1">
      <alignment horizontal="center" vertical="center"/>
    </xf>
    <xf numFmtId="0" fontId="47" fillId="3" borderId="152" xfId="0" applyFont="1" applyFill="1" applyBorder="1" applyAlignment="1">
      <alignment horizontal="center" vertical="center"/>
    </xf>
    <xf numFmtId="0" fontId="47" fillId="3" borderId="153" xfId="0" applyFont="1" applyFill="1" applyBorder="1" applyAlignment="1">
      <alignment horizontal="center" vertical="center"/>
    </xf>
    <xf numFmtId="0" fontId="47" fillId="3" borderId="148" xfId="0" applyFont="1" applyFill="1" applyBorder="1" applyAlignment="1">
      <alignment horizontal="center" vertical="center"/>
    </xf>
    <xf numFmtId="0" fontId="47" fillId="3" borderId="154" xfId="0" applyFont="1" applyFill="1" applyBorder="1" applyAlignment="1">
      <alignment horizontal="center" vertical="center"/>
    </xf>
    <xf numFmtId="0" fontId="47" fillId="3" borderId="155" xfId="0" applyFont="1" applyFill="1" applyBorder="1" applyAlignment="1">
      <alignment horizontal="center" vertical="center"/>
    </xf>
    <xf numFmtId="0" fontId="47" fillId="3" borderId="156" xfId="0" applyFont="1" applyFill="1" applyBorder="1" applyAlignment="1">
      <alignment horizontal="center" vertical="center"/>
    </xf>
    <xf numFmtId="0" fontId="47" fillId="3" borderId="157" xfId="0" applyFont="1" applyFill="1" applyBorder="1" applyAlignment="1">
      <alignment horizontal="center" vertical="center"/>
    </xf>
    <xf numFmtId="0" fontId="47" fillId="3" borderId="147" xfId="0" applyFont="1" applyFill="1" applyBorder="1" applyAlignment="1">
      <alignment horizontal="center" vertical="center"/>
    </xf>
    <xf numFmtId="0" fontId="47" fillId="3" borderId="158" xfId="0" applyFont="1" applyFill="1" applyBorder="1" applyAlignment="1">
      <alignment horizontal="center" vertical="center"/>
    </xf>
    <xf numFmtId="0" fontId="68" fillId="0" borderId="157" xfId="9" applyFont="1" applyBorder="1" applyAlignment="1">
      <alignment horizontal="center" vertical="center"/>
    </xf>
    <xf numFmtId="0" fontId="47" fillId="3" borderId="159" xfId="0" applyFont="1" applyFill="1" applyBorder="1" applyAlignment="1">
      <alignment horizontal="center" vertical="center"/>
    </xf>
    <xf numFmtId="0" fontId="47" fillId="3" borderId="160" xfId="0" applyFont="1" applyFill="1" applyBorder="1" applyAlignment="1">
      <alignment horizontal="center" vertical="center"/>
    </xf>
    <xf numFmtId="0" fontId="47" fillId="3" borderId="161" xfId="0" applyFont="1" applyFill="1" applyBorder="1" applyAlignment="1">
      <alignment horizontal="center" vertical="center"/>
    </xf>
    <xf numFmtId="0" fontId="47" fillId="18" borderId="158" xfId="0" applyFont="1" applyFill="1" applyBorder="1" applyAlignment="1">
      <alignment horizontal="center" vertical="center"/>
    </xf>
    <xf numFmtId="0" fontId="47" fillId="3" borderId="162" xfId="0" applyFont="1" applyFill="1" applyBorder="1" applyAlignment="1">
      <alignment horizontal="center" vertical="center"/>
    </xf>
    <xf numFmtId="0" fontId="47" fillId="3" borderId="163" xfId="0" applyFont="1" applyFill="1" applyBorder="1" applyAlignment="1">
      <alignment horizontal="center" vertical="center"/>
    </xf>
    <xf numFmtId="0" fontId="47" fillId="3" borderId="164" xfId="0" applyFont="1" applyFill="1" applyBorder="1" applyAlignment="1">
      <alignment horizontal="center" vertical="center"/>
    </xf>
    <xf numFmtId="0" fontId="47" fillId="3" borderId="165" xfId="0" applyFont="1" applyFill="1" applyBorder="1" applyAlignment="1">
      <alignment horizontal="center" vertical="center"/>
    </xf>
    <xf numFmtId="0" fontId="75" fillId="3" borderId="56" xfId="0" applyFont="1" applyFill="1" applyBorder="1" applyAlignment="1">
      <alignment horizontal="center" vertical="center"/>
    </xf>
    <xf numFmtId="0" fontId="48" fillId="3" borderId="162" xfId="0" applyFont="1" applyFill="1" applyBorder="1" applyAlignment="1">
      <alignment horizontal="center" vertical="center"/>
    </xf>
    <xf numFmtId="0" fontId="48" fillId="3" borderId="164" xfId="0" applyFont="1" applyFill="1" applyBorder="1" applyAlignment="1">
      <alignment horizontal="center" vertical="center"/>
    </xf>
    <xf numFmtId="0" fontId="47" fillId="3" borderId="166" xfId="0" applyFont="1" applyFill="1" applyBorder="1" applyAlignment="1">
      <alignment horizontal="center" vertical="center"/>
    </xf>
    <xf numFmtId="0" fontId="47" fillId="18" borderId="54" xfId="0" applyFont="1" applyFill="1" applyBorder="1" applyAlignment="1">
      <alignment horizontal="center" vertical="center"/>
    </xf>
    <xf numFmtId="177" fontId="47" fillId="3" borderId="68" xfId="0" applyNumberFormat="1" applyFont="1" applyFill="1" applyBorder="1" applyAlignment="1">
      <alignment horizontal="center" vertical="center"/>
    </xf>
    <xf numFmtId="177" fontId="47" fillId="3" borderId="65" xfId="0" applyNumberFormat="1" applyFont="1" applyFill="1" applyBorder="1" applyAlignment="1">
      <alignment horizontal="center" vertical="center"/>
    </xf>
    <xf numFmtId="177" fontId="47" fillId="3" borderId="66" xfId="0" applyNumberFormat="1" applyFont="1" applyFill="1" applyBorder="1" applyAlignment="1">
      <alignment horizontal="center" vertical="center"/>
    </xf>
    <xf numFmtId="177" fontId="47" fillId="3" borderId="86" xfId="0" applyNumberFormat="1" applyFont="1" applyFill="1" applyBorder="1" applyAlignment="1">
      <alignment horizontal="center" vertical="center"/>
    </xf>
    <xf numFmtId="177" fontId="47" fillId="3" borderId="89" xfId="0" applyNumberFormat="1" applyFont="1" applyFill="1" applyBorder="1" applyAlignment="1">
      <alignment horizontal="center" vertical="center"/>
    </xf>
    <xf numFmtId="177" fontId="47" fillId="3" borderId="75" xfId="0" applyNumberFormat="1" applyFont="1" applyFill="1" applyBorder="1" applyAlignment="1">
      <alignment horizontal="center" vertical="center"/>
    </xf>
    <xf numFmtId="177" fontId="47" fillId="3" borderId="69" xfId="0" applyNumberFormat="1" applyFont="1" applyFill="1" applyBorder="1" applyAlignment="1">
      <alignment horizontal="center" vertical="center"/>
    </xf>
    <xf numFmtId="177" fontId="47" fillId="3" borderId="67" xfId="0" applyNumberFormat="1" applyFont="1" applyFill="1" applyBorder="1" applyAlignment="1">
      <alignment horizontal="center" vertical="center"/>
    </xf>
    <xf numFmtId="177" fontId="53" fillId="3" borderId="86" xfId="7" applyFont="1" applyFill="1" applyBorder="1" applyAlignment="1">
      <alignment horizontal="center" vertical="center" wrapText="1"/>
    </xf>
    <xf numFmtId="177" fontId="53" fillId="3" borderId="89" xfId="7" applyFont="1" applyFill="1" applyBorder="1" applyAlignment="1">
      <alignment horizontal="center" vertical="center" wrapText="1"/>
    </xf>
    <xf numFmtId="177" fontId="53" fillId="3" borderId="75" xfId="7" applyFont="1" applyFill="1" applyBorder="1" applyAlignment="1">
      <alignment horizontal="center" vertical="center" wrapText="1"/>
    </xf>
    <xf numFmtId="177" fontId="47" fillId="3" borderId="162" xfId="0" applyNumberFormat="1" applyFont="1" applyFill="1" applyBorder="1" applyAlignment="1">
      <alignment horizontal="center" vertical="center"/>
    </xf>
    <xf numFmtId="177" fontId="47" fillId="3" borderId="163" xfId="0" applyNumberFormat="1" applyFont="1" applyFill="1" applyBorder="1" applyAlignment="1">
      <alignment horizontal="center" vertical="center"/>
    </xf>
    <xf numFmtId="177" fontId="47" fillId="3" borderId="164" xfId="0" applyNumberFormat="1" applyFont="1" applyFill="1" applyBorder="1" applyAlignment="1">
      <alignment horizontal="center" vertical="center"/>
    </xf>
    <xf numFmtId="177" fontId="47" fillId="3" borderId="165" xfId="0" applyNumberFormat="1" applyFont="1" applyFill="1" applyBorder="1" applyAlignment="1">
      <alignment horizontal="center" vertical="center"/>
    </xf>
    <xf numFmtId="177" fontId="76" fillId="3" borderId="54" xfId="0" applyNumberFormat="1" applyFont="1" applyFill="1" applyBorder="1" applyAlignment="1">
      <alignment horizontal="center" vertical="center"/>
    </xf>
    <xf numFmtId="177" fontId="77" fillId="3" borderId="54" xfId="0" applyNumberFormat="1" applyFont="1" applyFill="1" applyBorder="1" applyAlignment="1">
      <alignment horizontal="center" vertical="center"/>
    </xf>
    <xf numFmtId="177" fontId="77" fillId="3" borderId="58" xfId="0" applyNumberFormat="1" applyFont="1" applyFill="1" applyBorder="1" applyAlignment="1">
      <alignment horizontal="center" vertical="center"/>
    </xf>
    <xf numFmtId="177" fontId="77" fillId="3" borderId="59" xfId="0" applyNumberFormat="1" applyFont="1" applyFill="1" applyBorder="1" applyAlignment="1">
      <alignment horizontal="center" vertical="center"/>
    </xf>
    <xf numFmtId="177" fontId="47" fillId="3" borderId="166" xfId="0" applyNumberFormat="1" applyFont="1" applyFill="1" applyBorder="1" applyAlignment="1">
      <alignment horizontal="center" vertical="center"/>
    </xf>
    <xf numFmtId="177" fontId="77" fillId="3" borderId="50" xfId="0" applyNumberFormat="1" applyFont="1" applyFill="1" applyBorder="1" applyAlignment="1">
      <alignment horizontal="center" vertical="center"/>
    </xf>
    <xf numFmtId="177" fontId="47" fillId="18" borderId="54" xfId="0" applyNumberFormat="1" applyFont="1" applyFill="1" applyBorder="1" applyAlignment="1">
      <alignment horizontal="center" vertical="center"/>
    </xf>
    <xf numFmtId="177" fontId="47" fillId="3" borderId="167" xfId="0" applyNumberFormat="1" applyFont="1" applyFill="1" applyBorder="1" applyAlignment="1">
      <alignment horizontal="center" vertical="center"/>
    </xf>
    <xf numFmtId="177" fontId="47" fillId="3" borderId="168" xfId="0" applyNumberFormat="1" applyFont="1" applyFill="1" applyBorder="1" applyAlignment="1">
      <alignment horizontal="center" vertical="center"/>
    </xf>
    <xf numFmtId="177" fontId="53" fillId="3" borderId="162" xfId="7" applyFont="1" applyFill="1" applyBorder="1" applyAlignment="1">
      <alignment horizontal="center" vertical="center" wrapText="1"/>
    </xf>
    <xf numFmtId="177" fontId="53" fillId="3" borderId="163" xfId="7" applyFont="1" applyFill="1" applyBorder="1" applyAlignment="1">
      <alignment horizontal="center" vertical="center" wrapText="1"/>
    </xf>
    <xf numFmtId="177" fontId="53" fillId="3" borderId="164" xfId="7" applyFont="1" applyFill="1" applyBorder="1" applyAlignment="1">
      <alignment horizontal="center" vertical="center" wrapText="1"/>
    </xf>
    <xf numFmtId="0" fontId="71" fillId="3" borderId="75" xfId="0" applyFont="1" applyFill="1" applyBorder="1" applyAlignment="1">
      <alignment horizontal="center" vertical="center"/>
    </xf>
    <xf numFmtId="0" fontId="71" fillId="3" borderId="2" xfId="0" applyFont="1" applyFill="1" applyBorder="1" applyAlignment="1">
      <alignment horizontal="center" vertical="center"/>
    </xf>
    <xf numFmtId="0" fontId="71" fillId="3" borderId="3" xfId="0" applyFont="1" applyFill="1" applyBorder="1" applyAlignment="1">
      <alignment horizontal="center" vertical="center"/>
    </xf>
    <xf numFmtId="177" fontId="47" fillId="3" borderId="169" xfId="0" applyNumberFormat="1" applyFont="1" applyFill="1" applyBorder="1" applyAlignment="1">
      <alignment horizontal="center" vertical="center"/>
    </xf>
    <xf numFmtId="177" fontId="47" fillId="3" borderId="170" xfId="0" applyNumberFormat="1" applyFont="1" applyFill="1" applyBorder="1" applyAlignment="1">
      <alignment horizontal="center" vertical="center"/>
    </xf>
    <xf numFmtId="177" fontId="54" fillId="3" borderId="137" xfId="0" applyNumberFormat="1" applyFont="1" applyFill="1" applyBorder="1" applyAlignment="1">
      <alignment horizontal="center" vertical="center"/>
    </xf>
    <xf numFmtId="0" fontId="68" fillId="7" borderId="148" xfId="9" applyFont="1" applyFill="1" applyBorder="1" applyAlignment="1">
      <alignment horizontal="center" vertical="center"/>
    </xf>
    <xf numFmtId="0" fontId="47" fillId="3" borderId="171" xfId="0" applyFont="1" applyFill="1" applyBorder="1" applyAlignment="1">
      <alignment horizontal="center" vertical="center"/>
    </xf>
    <xf numFmtId="0" fontId="68" fillId="7" borderId="147" xfId="9" applyFont="1" applyFill="1" applyBorder="1" applyAlignment="1">
      <alignment horizontal="center" vertical="center"/>
    </xf>
    <xf numFmtId="0" fontId="68" fillId="7" borderId="157" xfId="9" applyFont="1" applyFill="1" applyBorder="1" applyAlignment="1">
      <alignment horizontal="center" vertical="center"/>
    </xf>
    <xf numFmtId="0" fontId="55" fillId="7" borderId="66" xfId="9" applyFont="1" applyFill="1" applyBorder="1" applyAlignment="1">
      <alignment horizontal="center" vertical="center"/>
    </xf>
    <xf numFmtId="0" fontId="47" fillId="3" borderId="172" xfId="0" applyFont="1" applyFill="1" applyBorder="1" applyAlignment="1">
      <alignment horizontal="center" vertical="center"/>
    </xf>
    <xf numFmtId="0" fontId="55" fillId="7" borderId="69" xfId="9" applyFont="1" applyFill="1" applyBorder="1" applyAlignment="1">
      <alignment horizontal="center" vertical="center"/>
    </xf>
    <xf numFmtId="0" fontId="55" fillId="7" borderId="67" xfId="9" applyFont="1" applyFill="1" applyBorder="1" applyAlignment="1">
      <alignment horizontal="center" vertical="center"/>
    </xf>
    <xf numFmtId="0" fontId="65" fillId="3" borderId="58" xfId="0" applyFont="1" applyFill="1" applyBorder="1" applyAlignment="1">
      <alignment horizontal="center" vertical="center"/>
    </xf>
    <xf numFmtId="0" fontId="65" fillId="3" borderId="63" xfId="0" applyFont="1" applyFill="1" applyBorder="1" applyAlignment="1">
      <alignment horizontal="center" vertical="center"/>
    </xf>
    <xf numFmtId="0" fontId="69" fillId="0" borderId="0" xfId="0" applyFont="1">
      <alignment vertical="center"/>
    </xf>
    <xf numFmtId="0" fontId="47" fillId="3" borderId="173" xfId="0" applyFont="1" applyFill="1" applyBorder="1" applyAlignment="1">
      <alignment horizontal="center" vertical="center"/>
    </xf>
    <xf numFmtId="177" fontId="47" fillId="3" borderId="51" xfId="0" applyNumberFormat="1" applyFont="1" applyFill="1" applyBorder="1" applyAlignment="1">
      <alignment horizontal="center" vertical="center"/>
    </xf>
    <xf numFmtId="177" fontId="47" fillId="3" borderId="174" xfId="0" applyNumberFormat="1" applyFont="1" applyFill="1" applyBorder="1" applyAlignment="1">
      <alignment horizontal="center" vertical="center"/>
    </xf>
    <xf numFmtId="0" fontId="47" fillId="3" borderId="175" xfId="0" applyFont="1" applyFill="1" applyBorder="1" applyAlignment="1">
      <alignment horizontal="center" vertical="center"/>
    </xf>
    <xf numFmtId="0" fontId="47" fillId="3" borderId="174" xfId="0" applyFont="1" applyFill="1" applyBorder="1" applyAlignment="1">
      <alignment horizontal="center" vertical="center"/>
    </xf>
    <xf numFmtId="186" fontId="56" fillId="2" borderId="40" xfId="0" applyNumberFormat="1" applyFont="1" applyFill="1" applyBorder="1">
      <alignment vertical="center"/>
    </xf>
    <xf numFmtId="9" fontId="56" fillId="2" borderId="40" xfId="2" applyFont="1" applyFill="1" applyBorder="1">
      <alignment vertical="center"/>
    </xf>
    <xf numFmtId="0" fontId="47" fillId="2" borderId="0" xfId="0" applyFont="1" applyFill="1">
      <alignment vertical="center"/>
    </xf>
    <xf numFmtId="0" fontId="56" fillId="2" borderId="0" xfId="0" applyFont="1" applyFill="1">
      <alignment vertical="center"/>
    </xf>
    <xf numFmtId="186" fontId="47" fillId="2" borderId="0" xfId="0" applyNumberFormat="1" applyFont="1" applyFill="1">
      <alignment vertical="center"/>
    </xf>
    <xf numFmtId="0" fontId="47" fillId="2" borderId="0" xfId="0" applyFont="1" applyFill="1" applyAlignment="1">
      <alignment horizontal="center" vertical="center"/>
    </xf>
    <xf numFmtId="186" fontId="59" fillId="2" borderId="0" xfId="0" applyNumberFormat="1" applyFont="1" applyFill="1" applyAlignment="1">
      <alignment horizontal="center" vertical="center"/>
    </xf>
    <xf numFmtId="177" fontId="71" fillId="3" borderId="69" xfId="0" applyNumberFormat="1" applyFont="1" applyFill="1" applyBorder="1" applyAlignment="1">
      <alignment horizontal="center" vertical="center"/>
    </xf>
    <xf numFmtId="177" fontId="71" fillId="3" borderId="137" xfId="0" applyNumberFormat="1" applyFont="1" applyFill="1" applyBorder="1" applyAlignment="1">
      <alignment horizontal="center" vertical="center"/>
    </xf>
    <xf numFmtId="177" fontId="71" fillId="3" borderId="68" xfId="0" applyNumberFormat="1" applyFont="1" applyFill="1" applyBorder="1" applyAlignment="1">
      <alignment horizontal="center" vertical="center"/>
    </xf>
    <xf numFmtId="177" fontId="71" fillId="3" borderId="65" xfId="0" applyNumberFormat="1" applyFont="1" applyFill="1" applyBorder="1" applyAlignment="1">
      <alignment horizontal="center" vertical="center"/>
    </xf>
    <xf numFmtId="177" fontId="71" fillId="3" borderId="66" xfId="0" applyNumberFormat="1" applyFont="1" applyFill="1" applyBorder="1" applyAlignment="1">
      <alignment horizontal="center" vertical="center"/>
    </xf>
    <xf numFmtId="0" fontId="48" fillId="3" borderId="136" xfId="0" applyFont="1" applyFill="1" applyBorder="1" applyAlignment="1">
      <alignment horizontal="center" vertical="center"/>
    </xf>
    <xf numFmtId="0" fontId="0" fillId="3" borderId="136" xfId="0" applyFill="1" applyBorder="1" applyAlignment="1">
      <alignment horizontal="center" vertical="center"/>
    </xf>
    <xf numFmtId="0" fontId="0" fillId="8" borderId="65" xfId="0" applyFill="1" applyBorder="1" applyAlignment="1">
      <alignment horizontal="center" vertical="center"/>
    </xf>
    <xf numFmtId="0" fontId="47" fillId="3" borderId="176" xfId="0" applyFont="1" applyFill="1" applyBorder="1" applyAlignment="1">
      <alignment horizontal="center" vertical="center"/>
    </xf>
    <xf numFmtId="0" fontId="47" fillId="3" borderId="72" xfId="0" applyFont="1" applyFill="1" applyBorder="1" applyAlignment="1">
      <alignment horizontal="center" vertical="center"/>
    </xf>
    <xf numFmtId="0" fontId="36" fillId="9" borderId="177" xfId="0" applyFont="1" applyFill="1" applyBorder="1" applyAlignment="1">
      <alignment horizontal="center" vertical="center"/>
    </xf>
    <xf numFmtId="0" fontId="0" fillId="3" borderId="119" xfId="0" applyFill="1" applyBorder="1" applyAlignment="1">
      <alignment horizontal="center" vertical="center"/>
    </xf>
    <xf numFmtId="0" fontId="0" fillId="3" borderId="178" xfId="0" applyFill="1" applyBorder="1" applyAlignment="1">
      <alignment horizontal="center" vertical="center"/>
    </xf>
    <xf numFmtId="0" fontId="47" fillId="3" borderId="177" xfId="0" applyFont="1" applyFill="1" applyBorder="1" applyAlignment="1">
      <alignment horizontal="center" vertical="center"/>
    </xf>
    <xf numFmtId="0" fontId="0" fillId="8" borderId="136" xfId="0" applyFill="1" applyBorder="1" applyAlignment="1">
      <alignment horizontal="center" vertical="center"/>
    </xf>
    <xf numFmtId="1" fontId="47" fillId="3" borderId="50" xfId="0" applyNumberFormat="1" applyFont="1" applyFill="1" applyBorder="1" applyAlignment="1">
      <alignment horizontal="center" vertical="center"/>
    </xf>
    <xf numFmtId="2" fontId="47" fillId="0" borderId="1" xfId="0" applyNumberFormat="1" applyFont="1" applyBorder="1" applyAlignment="1">
      <alignment horizontal="center" vertical="center"/>
    </xf>
    <xf numFmtId="181" fontId="0" fillId="0" borderId="0" xfId="0" applyNumberFormat="1">
      <alignment vertical="center"/>
    </xf>
    <xf numFmtId="0" fontId="47" fillId="3" borderId="179" xfId="0" applyFont="1" applyFill="1" applyBorder="1" applyAlignment="1">
      <alignment horizontal="center" vertical="center"/>
    </xf>
    <xf numFmtId="177" fontId="77" fillId="3" borderId="57" xfId="0" applyNumberFormat="1" applyFont="1" applyFill="1" applyBorder="1" applyAlignment="1">
      <alignment horizontal="center" vertical="center"/>
    </xf>
    <xf numFmtId="177" fontId="47" fillId="3" borderId="177" xfId="0" applyNumberFormat="1" applyFont="1" applyFill="1" applyBorder="1" applyAlignment="1">
      <alignment horizontal="center" vertical="center"/>
    </xf>
    <xf numFmtId="177" fontId="47" fillId="19" borderId="177" xfId="7" applyFont="1" applyFill="1" applyBorder="1" applyAlignment="1">
      <alignment horizontal="center" vertical="center"/>
    </xf>
    <xf numFmtId="0" fontId="48" fillId="3" borderId="163" xfId="0" applyFont="1" applyFill="1" applyBorder="1" applyAlignment="1">
      <alignment horizontal="center" vertical="center"/>
    </xf>
    <xf numFmtId="198" fontId="47" fillId="3" borderId="63" xfId="0" applyNumberFormat="1" applyFont="1" applyFill="1" applyBorder="1" applyAlignment="1">
      <alignment horizontal="center" vertical="center"/>
    </xf>
    <xf numFmtId="198" fontId="47" fillId="3" borderId="58" xfId="0" applyNumberFormat="1" applyFont="1" applyFill="1" applyBorder="1" applyAlignment="1">
      <alignment horizontal="center" vertical="center"/>
    </xf>
    <xf numFmtId="198" fontId="47" fillId="3" borderId="59" xfId="0" applyNumberFormat="1" applyFont="1" applyFill="1" applyBorder="1" applyAlignment="1">
      <alignment horizontal="center" vertical="center"/>
    </xf>
    <xf numFmtId="0" fontId="65" fillId="3" borderId="65" xfId="0" applyFont="1" applyFill="1" applyBorder="1" applyAlignment="1">
      <alignment horizontal="center" vertical="center"/>
    </xf>
    <xf numFmtId="0" fontId="65" fillId="3" borderId="78" xfId="0" applyFont="1" applyFill="1" applyBorder="1" applyAlignment="1">
      <alignment horizontal="center" vertical="center"/>
    </xf>
    <xf numFmtId="0" fontId="65" fillId="3" borderId="66" xfId="0" applyFont="1" applyFill="1" applyBorder="1" applyAlignment="1">
      <alignment horizontal="center" vertical="center"/>
    </xf>
    <xf numFmtId="0" fontId="65" fillId="3" borderId="75" xfId="0" applyFont="1" applyFill="1" applyBorder="1" applyAlignment="1">
      <alignment horizontal="center" vertical="center"/>
    </xf>
    <xf numFmtId="0" fontId="65" fillId="3" borderId="105" xfId="0" applyFont="1" applyFill="1" applyBorder="1" applyAlignment="1">
      <alignment horizontal="center" vertical="center"/>
    </xf>
    <xf numFmtId="177" fontId="65" fillId="3" borderId="3" xfId="0" applyNumberFormat="1" applyFont="1" applyFill="1" applyBorder="1" applyAlignment="1">
      <alignment horizontal="center" vertical="center"/>
    </xf>
    <xf numFmtId="177" fontId="65" fillId="3" borderId="2" xfId="0" applyNumberFormat="1" applyFont="1" applyFill="1" applyBorder="1" applyAlignment="1">
      <alignment horizontal="center" vertical="center"/>
    </xf>
    <xf numFmtId="177" fontId="65" fillId="3" borderId="115" xfId="0" applyNumberFormat="1" applyFont="1" applyFill="1" applyBorder="1" applyAlignment="1">
      <alignment horizontal="center" vertical="center"/>
    </xf>
    <xf numFmtId="177" fontId="65" fillId="3" borderId="65" xfId="0" applyNumberFormat="1" applyFont="1" applyFill="1" applyBorder="1" applyAlignment="1">
      <alignment horizontal="center" vertical="center"/>
    </xf>
    <xf numFmtId="177" fontId="65" fillId="3" borderId="174" xfId="0" applyNumberFormat="1" applyFont="1" applyFill="1" applyBorder="1" applyAlignment="1">
      <alignment horizontal="center" vertical="center"/>
    </xf>
    <xf numFmtId="177" fontId="65" fillId="3" borderId="66" xfId="0" applyNumberFormat="1" applyFont="1" applyFill="1" applyBorder="1" applyAlignment="1">
      <alignment horizontal="center" vertical="center"/>
    </xf>
    <xf numFmtId="177" fontId="65" fillId="3" borderId="136" xfId="0" applyNumberFormat="1" applyFont="1" applyFill="1" applyBorder="1" applyAlignment="1">
      <alignment horizontal="center" vertical="center"/>
    </xf>
    <xf numFmtId="177" fontId="65" fillId="3" borderId="177" xfId="0" applyNumberFormat="1" applyFont="1" applyFill="1" applyBorder="1" applyAlignment="1">
      <alignment horizontal="center" vertical="center"/>
    </xf>
    <xf numFmtId="177" fontId="65" fillId="3" borderId="137" xfId="0" applyNumberFormat="1" applyFont="1" applyFill="1" applyBorder="1" applyAlignment="1">
      <alignment horizontal="center" vertical="center"/>
    </xf>
    <xf numFmtId="177" fontId="65" fillId="3" borderId="71" xfId="0" applyNumberFormat="1" applyFont="1" applyFill="1" applyBorder="1" applyAlignment="1">
      <alignment horizontal="center" vertical="center"/>
    </xf>
    <xf numFmtId="177" fontId="65" fillId="3" borderId="68" xfId="0" applyNumberFormat="1" applyFont="1" applyFill="1" applyBorder="1" applyAlignment="1">
      <alignment horizontal="center" vertical="center"/>
    </xf>
    <xf numFmtId="2" fontId="68" fillId="7" borderId="70" xfId="9" applyNumberFormat="1" applyFont="1" applyFill="1" applyBorder="1" applyAlignment="1">
      <alignment horizontal="center" vertical="center"/>
    </xf>
    <xf numFmtId="2" fontId="47" fillId="3" borderId="60" xfId="0" applyNumberFormat="1" applyFont="1" applyFill="1" applyBorder="1" applyAlignment="1">
      <alignment horizontal="center" vertical="center"/>
    </xf>
    <xf numFmtId="2" fontId="47" fillId="3" borderId="70" xfId="0" applyNumberFormat="1" applyFont="1" applyFill="1" applyBorder="1" applyAlignment="1">
      <alignment horizontal="center" vertical="center"/>
    </xf>
    <xf numFmtId="177" fontId="47" fillId="3" borderId="137" xfId="0" applyNumberFormat="1" applyFont="1" applyFill="1" applyBorder="1" applyAlignment="1">
      <alignment horizontal="center" vertical="center"/>
    </xf>
    <xf numFmtId="2" fontId="47" fillId="3" borderId="73" xfId="0" applyNumberFormat="1" applyFont="1" applyFill="1" applyBorder="1" applyAlignment="1">
      <alignment horizontal="center" vertical="center"/>
    </xf>
    <xf numFmtId="2" fontId="47" fillId="3" borderId="61" xfId="0" applyNumberFormat="1" applyFont="1" applyFill="1" applyBorder="1" applyAlignment="1">
      <alignment horizontal="center" vertical="center"/>
    </xf>
    <xf numFmtId="2" fontId="47" fillId="3" borderId="62" xfId="0" applyNumberFormat="1" applyFont="1" applyFill="1" applyBorder="1" applyAlignment="1">
      <alignment horizontal="center" vertical="center"/>
    </xf>
    <xf numFmtId="181" fontId="47" fillId="3" borderId="50" xfId="0" applyNumberFormat="1" applyFont="1" applyFill="1" applyBorder="1" applyAlignment="1">
      <alignment horizontal="center" vertical="center"/>
    </xf>
    <xf numFmtId="0" fontId="65" fillId="7" borderId="0" xfId="0" applyFont="1" applyFill="1" applyAlignment="1">
      <alignment horizontal="center" vertical="center"/>
    </xf>
    <xf numFmtId="181" fontId="47" fillId="3" borderId="60" xfId="0" applyNumberFormat="1" applyFont="1" applyFill="1" applyBorder="1" applyAlignment="1">
      <alignment horizontal="center" vertical="center"/>
    </xf>
    <xf numFmtId="2" fontId="47" fillId="3" borderId="64" xfId="0" applyNumberFormat="1" applyFont="1" applyFill="1" applyBorder="1" applyAlignment="1">
      <alignment horizontal="center" vertical="center"/>
    </xf>
    <xf numFmtId="2" fontId="59" fillId="11" borderId="40" xfId="0" applyNumberFormat="1" applyFont="1" applyFill="1" applyBorder="1" applyAlignment="1">
      <alignment horizontal="left" vertical="center"/>
    </xf>
    <xf numFmtId="0" fontId="47" fillId="3" borderId="180" xfId="0" applyFont="1" applyFill="1" applyBorder="1" applyAlignment="1">
      <alignment horizontal="center" vertical="center"/>
    </xf>
    <xf numFmtId="0" fontId="47" fillId="3" borderId="181" xfId="0" applyFont="1" applyFill="1" applyBorder="1" applyAlignment="1">
      <alignment horizontal="center" vertical="center"/>
    </xf>
    <xf numFmtId="0" fontId="47" fillId="3" borderId="182" xfId="0" applyFont="1" applyFill="1" applyBorder="1" applyAlignment="1">
      <alignment horizontal="center" vertical="center"/>
    </xf>
    <xf numFmtId="177" fontId="47" fillId="3" borderId="182" xfId="0" applyNumberFormat="1" applyFont="1" applyFill="1" applyBorder="1" applyAlignment="1">
      <alignment horizontal="center" vertical="center"/>
    </xf>
    <xf numFmtId="0" fontId="47" fillId="18" borderId="177" xfId="0" applyFont="1" applyFill="1" applyBorder="1" applyAlignment="1">
      <alignment horizontal="center" vertical="center"/>
    </xf>
    <xf numFmtId="2" fontId="47" fillId="3" borderId="114" xfId="0" applyNumberFormat="1" applyFont="1" applyFill="1" applyBorder="1" applyAlignment="1">
      <alignment horizontal="center" vertical="center"/>
    </xf>
    <xf numFmtId="2" fontId="47" fillId="3" borderId="56" xfId="0" applyNumberFormat="1" applyFont="1" applyFill="1" applyBorder="1" applyAlignment="1">
      <alignment horizontal="center" vertical="center"/>
    </xf>
    <xf numFmtId="201" fontId="47" fillId="3" borderId="56" xfId="7" applyNumberFormat="1" applyFont="1" applyFill="1" applyBorder="1" applyAlignment="1">
      <alignment horizontal="center" vertical="center"/>
    </xf>
    <xf numFmtId="0" fontId="65" fillId="3" borderId="56" xfId="0" applyFont="1" applyFill="1" applyBorder="1" applyAlignment="1">
      <alignment horizontal="center" vertical="center"/>
    </xf>
    <xf numFmtId="0" fontId="65" fillId="3" borderId="50" xfId="0" applyFont="1" applyFill="1" applyBorder="1" applyAlignment="1">
      <alignment horizontal="center" vertical="center"/>
    </xf>
    <xf numFmtId="0" fontId="65" fillId="3" borderId="52" xfId="0" applyFont="1" applyFill="1" applyBorder="1" applyAlignment="1">
      <alignment horizontal="center" vertical="center"/>
    </xf>
    <xf numFmtId="0" fontId="65" fillId="3" borderId="163" xfId="0" applyFont="1" applyFill="1" applyBorder="1" applyAlignment="1">
      <alignment horizontal="center" vertical="center"/>
    </xf>
    <xf numFmtId="0" fontId="65" fillId="3" borderId="164" xfId="0" applyFont="1" applyFill="1" applyBorder="1" applyAlignment="1">
      <alignment horizontal="center" vertical="center"/>
    </xf>
    <xf numFmtId="0" fontId="65" fillId="3" borderId="59" xfId="0" applyFont="1" applyFill="1" applyBorder="1" applyAlignment="1">
      <alignment horizontal="center" vertical="center"/>
    </xf>
    <xf numFmtId="0" fontId="65" fillId="3" borderId="54" xfId="0" applyFont="1" applyFill="1" applyBorder="1" applyAlignment="1">
      <alignment horizontal="center" vertical="center"/>
    </xf>
    <xf numFmtId="0" fontId="65" fillId="3" borderId="57" xfId="0" applyFont="1" applyFill="1" applyBorder="1" applyAlignment="1">
      <alignment horizontal="center" vertical="center"/>
    </xf>
    <xf numFmtId="177" fontId="65" fillId="3" borderId="69" xfId="0" applyNumberFormat="1" applyFont="1" applyFill="1" applyBorder="1" applyAlignment="1">
      <alignment horizontal="center" vertical="center"/>
    </xf>
    <xf numFmtId="177" fontId="65" fillId="3" borderId="67" xfId="0" applyNumberFormat="1" applyFont="1" applyFill="1" applyBorder="1" applyAlignment="1">
      <alignment horizontal="center" vertical="center"/>
    </xf>
    <xf numFmtId="2" fontId="59" fillId="11" borderId="39" xfId="0" applyNumberFormat="1" applyFont="1" applyFill="1" applyBorder="1" applyAlignment="1">
      <alignment horizontal="left" vertical="center"/>
    </xf>
    <xf numFmtId="178" fontId="43" fillId="3" borderId="39" xfId="3" applyFont="1" applyFill="1" applyBorder="1">
      <alignment vertical="center"/>
    </xf>
    <xf numFmtId="2" fontId="45" fillId="0" borderId="11" xfId="0" applyNumberFormat="1" applyFont="1" applyBorder="1" applyAlignment="1">
      <alignment horizontal="left" vertical="center" wrapText="1"/>
    </xf>
    <xf numFmtId="200" fontId="0" fillId="0" borderId="0" xfId="0" applyNumberFormat="1">
      <alignment vertical="center"/>
    </xf>
    <xf numFmtId="6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47" fillId="0" borderId="14" xfId="0" applyFont="1" applyBorder="1" applyAlignment="1">
      <alignment horizontal="center" vertical="center"/>
    </xf>
    <xf numFmtId="14" fontId="47" fillId="0" borderId="14" xfId="0" applyNumberFormat="1" applyFont="1" applyBorder="1" applyAlignment="1">
      <alignment horizontal="center" vertical="center"/>
    </xf>
    <xf numFmtId="14" fontId="60" fillId="5" borderId="14" xfId="0" applyNumberFormat="1" applyFont="1" applyFill="1" applyBorder="1" applyAlignment="1">
      <alignment horizontal="center" vertical="center"/>
    </xf>
    <xf numFmtId="182" fontId="47" fillId="0" borderId="14" xfId="3" applyNumberFormat="1" applyFont="1" applyBorder="1" applyAlignment="1">
      <alignment horizontal="center" vertical="center"/>
    </xf>
    <xf numFmtId="178" fontId="47" fillId="0" borderId="14" xfId="3" applyFont="1" applyBorder="1">
      <alignment vertical="center"/>
    </xf>
    <xf numFmtId="0" fontId="56" fillId="0" borderId="14" xfId="0" applyFont="1" applyBorder="1" applyAlignment="1">
      <alignment horizontal="left" vertical="center" indent="1"/>
    </xf>
    <xf numFmtId="1" fontId="47" fillId="3" borderId="56" xfId="0" applyNumberFormat="1" applyFont="1" applyFill="1" applyBorder="1" applyAlignment="1">
      <alignment horizontal="center" vertical="center"/>
    </xf>
    <xf numFmtId="177" fontId="47" fillId="3" borderId="71" xfId="0" applyNumberFormat="1" applyFont="1" applyFill="1" applyBorder="1" applyAlignment="1">
      <alignment horizontal="center" vertical="center"/>
    </xf>
    <xf numFmtId="2" fontId="47" fillId="3" borderId="144" xfId="0" applyNumberFormat="1" applyFont="1" applyFill="1" applyBorder="1" applyAlignment="1">
      <alignment horizontal="center" vertical="center"/>
    </xf>
    <xf numFmtId="2" fontId="47" fillId="3" borderId="57" xfId="0" applyNumberFormat="1" applyFont="1" applyFill="1" applyBorder="1" applyAlignment="1">
      <alignment horizontal="center" vertical="center"/>
    </xf>
    <xf numFmtId="181" fontId="47" fillId="3" borderId="158" xfId="0" applyNumberFormat="1" applyFont="1" applyFill="1" applyBorder="1" applyAlignment="1">
      <alignment horizontal="center" vertical="center"/>
    </xf>
    <xf numFmtId="0" fontId="78" fillId="3" borderId="50" xfId="0" applyFont="1" applyFill="1" applyBorder="1" applyAlignment="1">
      <alignment horizontal="center" vertical="center"/>
    </xf>
    <xf numFmtId="2" fontId="59" fillId="11" borderId="40" xfId="0" applyNumberFormat="1" applyFont="1" applyFill="1" applyBorder="1" applyAlignment="1">
      <alignment horizontal="center" vertical="center"/>
    </xf>
    <xf numFmtId="193" fontId="55" fillId="0" borderId="0" xfId="3" applyNumberFormat="1" applyFont="1">
      <alignment vertical="center"/>
    </xf>
    <xf numFmtId="6" fontId="79" fillId="17" borderId="9" xfId="9" applyNumberFormat="1" applyFont="1" applyFill="1" applyBorder="1" applyAlignment="1">
      <alignment horizontal="center" vertical="center" wrapText="1"/>
    </xf>
    <xf numFmtId="0" fontId="59" fillId="7" borderId="62" xfId="9" applyFont="1" applyFill="1" applyBorder="1" applyAlignment="1">
      <alignment horizontal="center" vertical="center"/>
    </xf>
    <xf numFmtId="185" fontId="47" fillId="3" borderId="60" xfId="0" applyNumberFormat="1" applyFont="1" applyFill="1" applyBorder="1" applyAlignment="1">
      <alignment horizontal="center" vertical="center"/>
    </xf>
    <xf numFmtId="0" fontId="47" fillId="3" borderId="183" xfId="0" applyFont="1" applyFill="1" applyBorder="1" applyAlignment="1">
      <alignment horizontal="center" vertical="center"/>
    </xf>
    <xf numFmtId="0" fontId="47" fillId="3" borderId="184" xfId="0" applyFont="1" applyFill="1" applyBorder="1" applyAlignment="1">
      <alignment horizontal="center" vertical="center"/>
    </xf>
    <xf numFmtId="0" fontId="47" fillId="3" borderId="185" xfId="0" applyFont="1" applyFill="1" applyBorder="1" applyAlignment="1">
      <alignment horizontal="center" vertical="center"/>
    </xf>
    <xf numFmtId="0" fontId="47" fillId="3" borderId="186" xfId="0" applyFont="1" applyFill="1" applyBorder="1" applyAlignment="1">
      <alignment horizontal="center" vertical="center"/>
    </xf>
    <xf numFmtId="0" fontId="59" fillId="7" borderId="64" xfId="9" applyFont="1" applyFill="1" applyBorder="1" applyAlignment="1">
      <alignment horizontal="center" vertical="center"/>
    </xf>
    <xf numFmtId="0" fontId="47" fillId="3" borderId="187" xfId="0" applyFont="1" applyFill="1" applyBorder="1" applyAlignment="1">
      <alignment horizontal="center" vertical="center"/>
    </xf>
    <xf numFmtId="0" fontId="47" fillId="3" borderId="188" xfId="0" applyFont="1" applyFill="1" applyBorder="1" applyAlignment="1">
      <alignment horizontal="center" vertical="center"/>
    </xf>
    <xf numFmtId="0" fontId="47" fillId="3" borderId="189" xfId="0" applyFont="1" applyFill="1" applyBorder="1" applyAlignment="1">
      <alignment horizontal="center" vertical="center"/>
    </xf>
    <xf numFmtId="0" fontId="59" fillId="7" borderId="70" xfId="9" applyFont="1" applyFill="1" applyBorder="1" applyAlignment="1">
      <alignment horizontal="center" vertical="center"/>
    </xf>
    <xf numFmtId="0" fontId="47" fillId="3" borderId="190" xfId="0" applyFont="1" applyFill="1" applyBorder="1" applyAlignment="1">
      <alignment horizontal="center" vertical="center"/>
    </xf>
    <xf numFmtId="0" fontId="47" fillId="3" borderId="191" xfId="0" applyFont="1" applyFill="1" applyBorder="1" applyAlignment="1">
      <alignment horizontal="center" vertical="center"/>
    </xf>
    <xf numFmtId="2" fontId="59" fillId="7" borderId="70" xfId="9" applyNumberFormat="1" applyFont="1" applyFill="1" applyBorder="1" applyAlignment="1">
      <alignment horizontal="center" vertical="center"/>
    </xf>
    <xf numFmtId="0" fontId="59" fillId="11" borderId="101" xfId="0" applyFont="1" applyFill="1" applyBorder="1" applyAlignment="1">
      <alignment horizontal="center" vertical="center"/>
    </xf>
    <xf numFmtId="0" fontId="59" fillId="15" borderId="39" xfId="0" applyFont="1" applyFill="1" applyBorder="1" applyAlignment="1">
      <alignment horizontal="center" vertical="center"/>
    </xf>
    <xf numFmtId="0" fontId="59" fillId="3" borderId="39" xfId="0" applyFont="1" applyFill="1" applyBorder="1" applyAlignment="1">
      <alignment horizontal="center" vertical="center"/>
    </xf>
    <xf numFmtId="178" fontId="59" fillId="3" borderId="39" xfId="3" applyFont="1" applyFill="1" applyBorder="1" applyAlignment="1">
      <alignment horizontal="center" vertical="center"/>
    </xf>
    <xf numFmtId="10" fontId="59" fillId="3" borderId="40" xfId="2" applyNumberFormat="1" applyFont="1" applyFill="1" applyBorder="1" applyAlignment="1">
      <alignment horizontal="center" vertical="center"/>
    </xf>
    <xf numFmtId="10" fontId="47" fillId="0" borderId="0" xfId="0" applyNumberFormat="1" applyFont="1" applyAlignment="1">
      <alignment horizontal="center" vertical="center"/>
    </xf>
    <xf numFmtId="178" fontId="47" fillId="0" borderId="0" xfId="3" applyFont="1" applyAlignment="1">
      <alignment horizontal="center" vertical="center"/>
    </xf>
    <xf numFmtId="0" fontId="47" fillId="7" borderId="0" xfId="0" applyFont="1" applyFill="1" applyAlignment="1">
      <alignment horizontal="center" vertical="center"/>
    </xf>
    <xf numFmtId="178" fontId="47" fillId="0" borderId="0" xfId="3" applyFont="1" applyBorder="1" applyAlignment="1">
      <alignment horizontal="center" vertical="center"/>
    </xf>
    <xf numFmtId="178" fontId="47" fillId="0" borderId="40" xfId="3" applyFont="1" applyBorder="1" applyAlignment="1">
      <alignment horizontal="center" vertical="center"/>
    </xf>
    <xf numFmtId="10" fontId="47" fillId="0" borderId="40" xfId="2" applyNumberFormat="1" applyFont="1" applyBorder="1" applyAlignment="1">
      <alignment horizontal="center" vertical="center"/>
    </xf>
    <xf numFmtId="180" fontId="47" fillId="0" borderId="0" xfId="0" applyNumberFormat="1" applyFont="1" applyAlignment="1">
      <alignment horizontal="center" vertical="center"/>
    </xf>
    <xf numFmtId="0" fontId="47" fillId="3" borderId="106" xfId="0" applyFont="1" applyFill="1" applyBorder="1" applyAlignment="1">
      <alignment horizontal="center" vertical="center"/>
    </xf>
    <xf numFmtId="177" fontId="47" fillId="3" borderId="78" xfId="0" applyNumberFormat="1" applyFont="1" applyFill="1" applyBorder="1" applyAlignment="1">
      <alignment horizontal="center" vertical="center"/>
    </xf>
    <xf numFmtId="177" fontId="47" fillId="19" borderId="192" xfId="7" applyFont="1" applyFill="1" applyBorder="1" applyAlignment="1">
      <alignment horizontal="center" vertical="center"/>
    </xf>
    <xf numFmtId="0" fontId="47" fillId="18" borderId="192" xfId="0" applyFont="1" applyFill="1" applyBorder="1" applyAlignment="1">
      <alignment horizontal="center" vertical="center"/>
    </xf>
    <xf numFmtId="2" fontId="47" fillId="3" borderId="106" xfId="0" applyNumberFormat="1" applyFont="1" applyFill="1" applyBorder="1" applyAlignment="1">
      <alignment horizontal="center" vertical="center"/>
    </xf>
    <xf numFmtId="199" fontId="68" fillId="7" borderId="70" xfId="9" applyNumberFormat="1" applyFont="1" applyFill="1" applyBorder="1" applyAlignment="1">
      <alignment horizontal="center" vertical="center"/>
    </xf>
    <xf numFmtId="199" fontId="59" fillId="7" borderId="70" xfId="9" applyNumberFormat="1" applyFont="1" applyFill="1" applyBorder="1" applyAlignment="1">
      <alignment horizontal="center" vertical="center"/>
    </xf>
    <xf numFmtId="199" fontId="47" fillId="3" borderId="61" xfId="0" applyNumberFormat="1" applyFont="1" applyFill="1" applyBorder="1" applyAlignment="1">
      <alignment horizontal="center" vertical="center"/>
    </xf>
    <xf numFmtId="1" fontId="47" fillId="3" borderId="63" xfId="0" applyNumberFormat="1" applyFont="1" applyFill="1" applyBorder="1" applyAlignment="1">
      <alignment horizontal="center" vertical="center"/>
    </xf>
    <xf numFmtId="199" fontId="47" fillId="3" borderId="62" xfId="0" applyNumberFormat="1" applyFont="1" applyFill="1" applyBorder="1" applyAlignment="1">
      <alignment horizontal="center" vertical="center"/>
    </xf>
    <xf numFmtId="199" fontId="47" fillId="3" borderId="60" xfId="0" applyNumberFormat="1" applyFont="1" applyFill="1" applyBorder="1" applyAlignment="1">
      <alignment horizontal="center" vertical="center"/>
    </xf>
    <xf numFmtId="199" fontId="47" fillId="3" borderId="64" xfId="0" applyNumberFormat="1" applyFont="1" applyFill="1" applyBorder="1" applyAlignment="1">
      <alignment horizontal="center" vertical="center"/>
    </xf>
    <xf numFmtId="0" fontId="47" fillId="3" borderId="193" xfId="0" applyFont="1" applyFill="1" applyBorder="1" applyAlignment="1">
      <alignment horizontal="center" vertical="center"/>
    </xf>
    <xf numFmtId="0" fontId="47" fillId="3" borderId="54" xfId="0" applyFont="1" applyFill="1" applyBorder="1" applyAlignment="1">
      <alignment horizontal="center" vertical="center" wrapText="1"/>
    </xf>
    <xf numFmtId="0" fontId="65" fillId="3" borderId="51" xfId="0" applyFont="1" applyFill="1" applyBorder="1" applyAlignment="1">
      <alignment horizontal="center" vertical="center"/>
    </xf>
    <xf numFmtId="0" fontId="71" fillId="3" borderId="57" xfId="0" applyFont="1" applyFill="1" applyBorder="1" applyAlignment="1">
      <alignment horizontal="center" vertical="center"/>
    </xf>
    <xf numFmtId="9" fontId="47" fillId="6" borderId="3" xfId="0" applyNumberFormat="1" applyFont="1" applyFill="1" applyBorder="1" applyAlignment="1">
      <alignment horizontal="center" vertical="center"/>
    </xf>
    <xf numFmtId="178" fontId="57" fillId="2" borderId="0" xfId="3" applyFont="1" applyFill="1">
      <alignment vertical="center"/>
    </xf>
    <xf numFmtId="178" fontId="57" fillId="0" borderId="39" xfId="3" applyFont="1" applyFill="1" applyBorder="1">
      <alignment vertical="center"/>
    </xf>
    <xf numFmtId="178" fontId="43" fillId="14" borderId="39" xfId="3" applyFont="1" applyFill="1" applyBorder="1">
      <alignment vertical="center"/>
    </xf>
    <xf numFmtId="178" fontId="43" fillId="3" borderId="0" xfId="3" applyFont="1" applyFill="1" applyBorder="1">
      <alignment vertical="center"/>
    </xf>
    <xf numFmtId="178" fontId="43" fillId="14" borderId="0" xfId="3" applyFont="1" applyFill="1" applyBorder="1">
      <alignment vertical="center"/>
    </xf>
    <xf numFmtId="0" fontId="47" fillId="19" borderId="62" xfId="0" applyFont="1" applyFill="1" applyBorder="1" applyAlignment="1">
      <alignment horizontal="center" vertical="center"/>
    </xf>
    <xf numFmtId="0" fontId="47" fillId="19" borderId="148" xfId="0" applyFont="1" applyFill="1" applyBorder="1" applyAlignment="1">
      <alignment horizontal="center" vertical="center"/>
    </xf>
    <xf numFmtId="0" fontId="47" fillId="19" borderId="57" xfId="0" applyFont="1" applyFill="1" applyBorder="1" applyAlignment="1">
      <alignment horizontal="center" vertical="center"/>
    </xf>
    <xf numFmtId="177" fontId="47" fillId="19" borderId="57" xfId="0" applyNumberFormat="1" applyFont="1" applyFill="1" applyBorder="1" applyAlignment="1">
      <alignment horizontal="center" vertical="center"/>
    </xf>
    <xf numFmtId="177" fontId="47" fillId="19" borderId="66" xfId="0" applyNumberFormat="1" applyFont="1" applyFill="1" applyBorder="1" applyAlignment="1">
      <alignment horizontal="center" vertical="center"/>
    </xf>
    <xf numFmtId="9" fontId="47" fillId="19" borderId="57" xfId="0" applyNumberFormat="1" applyFont="1" applyFill="1" applyBorder="1" applyAlignment="1">
      <alignment horizontal="center" vertical="center"/>
    </xf>
    <xf numFmtId="0" fontId="47" fillId="19" borderId="132" xfId="0" applyFont="1" applyFill="1" applyBorder="1" applyAlignment="1">
      <alignment horizontal="center" vertical="center"/>
    </xf>
    <xf numFmtId="0" fontId="47" fillId="19" borderId="66" xfId="0" applyFont="1" applyFill="1" applyBorder="1" applyAlignment="1">
      <alignment horizontal="center" vertical="center"/>
    </xf>
    <xf numFmtId="0" fontId="47" fillId="19" borderId="2" xfId="0" applyFont="1" applyFill="1" applyBorder="1" applyAlignment="1">
      <alignment horizontal="center" vertical="center"/>
    </xf>
    <xf numFmtId="186" fontId="37" fillId="0" borderId="0" xfId="0" applyNumberFormat="1" applyFont="1">
      <alignment vertical="center"/>
    </xf>
    <xf numFmtId="0" fontId="80" fillId="3" borderId="0" xfId="0" applyFont="1" applyFill="1">
      <alignment vertical="center"/>
    </xf>
    <xf numFmtId="186" fontId="0" fillId="7" borderId="39" xfId="0" applyNumberFormat="1" applyFill="1" applyBorder="1">
      <alignment vertical="center"/>
    </xf>
    <xf numFmtId="182" fontId="81" fillId="0" borderId="0" xfId="3" applyNumberFormat="1" applyFont="1" applyAlignment="1">
      <alignment horizontal="center" vertical="center"/>
    </xf>
    <xf numFmtId="199" fontId="47" fillId="3" borderId="70" xfId="0" applyNumberFormat="1" applyFont="1" applyFill="1" applyBorder="1" applyAlignment="1">
      <alignment horizontal="center" vertical="center"/>
    </xf>
    <xf numFmtId="199" fontId="47" fillId="3" borderId="73" xfId="0" applyNumberFormat="1" applyFont="1" applyFill="1" applyBorder="1" applyAlignment="1">
      <alignment horizontal="center" vertical="center"/>
    </xf>
    <xf numFmtId="199" fontId="47" fillId="3" borderId="144" xfId="0" applyNumberFormat="1" applyFont="1" applyFill="1" applyBorder="1" applyAlignment="1">
      <alignment horizontal="center" vertical="center"/>
    </xf>
    <xf numFmtId="199" fontId="47" fillId="3" borderId="134" xfId="0" applyNumberFormat="1" applyFont="1" applyFill="1" applyBorder="1" applyAlignment="1">
      <alignment horizontal="center" vertical="center"/>
    </xf>
    <xf numFmtId="0" fontId="47" fillId="3" borderId="194" xfId="0" applyFont="1" applyFill="1" applyBorder="1" applyAlignment="1">
      <alignment horizontal="center" vertical="center"/>
    </xf>
    <xf numFmtId="177" fontId="53" fillId="3" borderId="50" xfId="0" applyNumberFormat="1" applyFont="1" applyFill="1" applyBorder="1" applyAlignment="1">
      <alignment horizontal="center" vertical="center"/>
    </xf>
    <xf numFmtId="177" fontId="66" fillId="3" borderId="50" xfId="0" applyNumberFormat="1" applyFont="1" applyFill="1" applyBorder="1" applyAlignment="1">
      <alignment horizontal="center" vertical="center"/>
    </xf>
    <xf numFmtId="0" fontId="48" fillId="3" borderId="194" xfId="0" applyFont="1" applyFill="1" applyBorder="1" applyAlignment="1">
      <alignment horizontal="center" vertical="center"/>
    </xf>
    <xf numFmtId="177" fontId="48" fillId="3" borderId="194" xfId="7" applyFont="1" applyFill="1" applyBorder="1" applyAlignment="1">
      <alignment horizontal="center" vertical="center"/>
    </xf>
    <xf numFmtId="0" fontId="0" fillId="3" borderId="194" xfId="0" applyFill="1" applyBorder="1" applyAlignment="1">
      <alignment horizontal="center" vertical="center"/>
    </xf>
    <xf numFmtId="177" fontId="53" fillId="3" borderId="58" xfId="7" applyFont="1" applyFill="1" applyBorder="1" applyAlignment="1">
      <alignment horizontal="center" vertical="center" wrapText="1"/>
    </xf>
    <xf numFmtId="178" fontId="82" fillId="3" borderId="39" xfId="3" applyFont="1" applyFill="1" applyBorder="1">
      <alignment vertical="center"/>
    </xf>
    <xf numFmtId="199" fontId="59" fillId="11" borderId="40" xfId="0" applyNumberFormat="1" applyFont="1" applyFill="1" applyBorder="1" applyAlignment="1">
      <alignment horizontal="left" vertical="center"/>
    </xf>
    <xf numFmtId="178" fontId="56" fillId="2" borderId="0" xfId="3" applyFont="1" applyFill="1" applyBorder="1">
      <alignment vertical="center"/>
    </xf>
    <xf numFmtId="178" fontId="56" fillId="2" borderId="40" xfId="3" applyFont="1" applyFill="1" applyBorder="1">
      <alignment vertical="center"/>
    </xf>
    <xf numFmtId="178" fontId="47" fillId="2" borderId="0" xfId="0" applyNumberFormat="1" applyFont="1" applyFill="1">
      <alignment vertical="center"/>
    </xf>
    <xf numFmtId="0" fontId="83" fillId="17" borderId="63" xfId="0" applyFont="1" applyFill="1" applyBorder="1" applyAlignment="1">
      <alignment horizontal="center" vertical="center"/>
    </xf>
    <xf numFmtId="2" fontId="47" fillId="3" borderId="134" xfId="0" applyNumberFormat="1" applyFont="1" applyFill="1" applyBorder="1" applyAlignment="1">
      <alignment horizontal="center" vertical="center"/>
    </xf>
    <xf numFmtId="0" fontId="47" fillId="3" borderId="60" xfId="0" applyFont="1" applyFill="1" applyBorder="1" applyAlignment="1">
      <alignment horizontal="center" vertical="center" wrapText="1"/>
    </xf>
    <xf numFmtId="179" fontId="47" fillId="3" borderId="50" xfId="0" applyNumberFormat="1" applyFont="1" applyFill="1" applyBorder="1" applyAlignment="1">
      <alignment horizontal="center" vertical="center"/>
    </xf>
    <xf numFmtId="199" fontId="47" fillId="0" borderId="0" xfId="0" applyNumberFormat="1" applyFont="1">
      <alignment vertical="center"/>
    </xf>
    <xf numFmtId="199" fontId="59" fillId="15" borderId="39" xfId="0" applyNumberFormat="1" applyFont="1" applyFill="1" applyBorder="1">
      <alignment vertical="center"/>
    </xf>
    <xf numFmtId="195" fontId="51" fillId="9" borderId="57" xfId="7" applyNumberFormat="1" applyFont="1" applyFill="1" applyBorder="1" applyAlignment="1">
      <alignment horizontal="center" vertical="center"/>
    </xf>
    <xf numFmtId="195" fontId="50" fillId="7" borderId="58" xfId="7" applyNumberFormat="1" applyFont="1" applyFill="1" applyBorder="1" applyAlignment="1">
      <alignment horizontal="center" vertical="center"/>
    </xf>
    <xf numFmtId="195" fontId="47" fillId="3" borderId="54" xfId="7" applyNumberFormat="1" applyFont="1" applyFill="1" applyBorder="1" applyAlignment="1">
      <alignment horizontal="center" vertical="center"/>
    </xf>
    <xf numFmtId="195" fontId="47" fillId="3" borderId="58" xfId="7" applyNumberFormat="1" applyFont="1" applyFill="1" applyBorder="1" applyAlignment="1">
      <alignment horizontal="center" vertical="center"/>
    </xf>
    <xf numFmtId="195" fontId="47" fillId="3" borderId="56" xfId="7" applyNumberFormat="1" applyFont="1" applyFill="1" applyBorder="1" applyAlignment="1">
      <alignment horizontal="center" vertical="center"/>
    </xf>
    <xf numFmtId="195" fontId="47" fillId="3" borderId="57" xfId="7" applyNumberFormat="1" applyFont="1" applyFill="1" applyBorder="1" applyAlignment="1">
      <alignment horizontal="center" vertical="center"/>
    </xf>
    <xf numFmtId="195" fontId="47" fillId="3" borderId="63" xfId="7" applyNumberFormat="1" applyFont="1" applyFill="1" applyBorder="1" applyAlignment="1">
      <alignment horizontal="center" vertical="center"/>
    </xf>
    <xf numFmtId="195" fontId="47" fillId="3" borderId="50" xfId="7" applyNumberFormat="1" applyFont="1" applyFill="1" applyBorder="1" applyAlignment="1">
      <alignment horizontal="center" vertical="center"/>
    </xf>
    <xf numFmtId="195" fontId="47" fillId="3" borderId="59" xfId="7" applyNumberFormat="1" applyFont="1" applyFill="1" applyBorder="1" applyAlignment="1">
      <alignment horizontal="center" vertical="center"/>
    </xf>
    <xf numFmtId="195" fontId="47" fillId="0" borderId="50" xfId="7" applyNumberFormat="1" applyFont="1" applyBorder="1" applyAlignment="1">
      <alignment horizontal="center" vertical="center"/>
    </xf>
    <xf numFmtId="2" fontId="59" fillId="11" borderId="39" xfId="0" applyNumberFormat="1" applyFont="1" applyFill="1" applyBorder="1" applyAlignment="1">
      <alignment horizontal="center" vertical="center"/>
    </xf>
    <xf numFmtId="182" fontId="47" fillId="0" borderId="0" xfId="3" applyNumberFormat="1" applyFont="1" applyBorder="1" applyAlignment="1">
      <alignment horizontal="center" vertical="center"/>
    </xf>
    <xf numFmtId="0" fontId="56" fillId="5" borderId="0" xfId="0" applyFont="1" applyFill="1" applyAlignment="1">
      <alignment horizontal="left" vertical="center" indent="1"/>
    </xf>
    <xf numFmtId="0" fontId="47" fillId="7" borderId="1" xfId="0" applyFont="1" applyFill="1" applyBorder="1" applyAlignment="1">
      <alignment horizontal="center" vertical="center"/>
    </xf>
    <xf numFmtId="14" fontId="47" fillId="7" borderId="1" xfId="0" applyNumberFormat="1" applyFont="1" applyFill="1" applyBorder="1" applyAlignment="1">
      <alignment horizontal="center" vertical="center"/>
    </xf>
    <xf numFmtId="0" fontId="47" fillId="7" borderId="0" xfId="0" applyFont="1" applyFill="1">
      <alignment vertical="center"/>
    </xf>
    <xf numFmtId="177" fontId="53" fillId="3" borderId="51" xfId="7" applyFont="1" applyFill="1" applyBorder="1" applyAlignment="1">
      <alignment horizontal="center" vertical="center" wrapText="1"/>
    </xf>
    <xf numFmtId="177" fontId="53" fillId="3" borderId="174" xfId="7" applyFont="1" applyFill="1" applyBorder="1" applyAlignment="1">
      <alignment horizontal="center" vertical="center" wrapText="1"/>
    </xf>
    <xf numFmtId="177" fontId="78" fillId="3" borderId="137" xfId="0" applyNumberFormat="1" applyFont="1" applyFill="1" applyBorder="1" applyAlignment="1">
      <alignment horizontal="center" vertical="center"/>
    </xf>
    <xf numFmtId="0" fontId="78" fillId="3" borderId="59" xfId="0" applyFont="1" applyFill="1" applyBorder="1" applyAlignment="1">
      <alignment horizontal="center" vertical="center"/>
    </xf>
    <xf numFmtId="177" fontId="84" fillId="3" borderId="65" xfId="7" applyFont="1" applyFill="1" applyBorder="1" applyAlignment="1">
      <alignment horizontal="center" vertical="center" wrapText="1"/>
    </xf>
    <xf numFmtId="181" fontId="53" fillId="3" borderId="64" xfId="7" applyNumberFormat="1" applyFont="1" applyFill="1" applyBorder="1" applyAlignment="1">
      <alignment horizontal="center" vertical="center" wrapText="1"/>
    </xf>
    <xf numFmtId="177" fontId="53" fillId="3" borderId="63" xfId="7" applyFont="1" applyFill="1" applyBorder="1" applyAlignment="1">
      <alignment horizontal="center" vertical="center" wrapText="1"/>
    </xf>
    <xf numFmtId="177" fontId="53" fillId="3" borderId="69" xfId="7" applyFont="1" applyFill="1" applyBorder="1" applyAlignment="1">
      <alignment horizontal="center" vertical="center" wrapText="1"/>
    </xf>
    <xf numFmtId="177" fontId="47" fillId="19" borderId="63" xfId="7" applyFont="1" applyFill="1" applyBorder="1" applyAlignment="1">
      <alignment horizontal="center" vertical="center"/>
    </xf>
    <xf numFmtId="177" fontId="47" fillId="19" borderId="59" xfId="7" applyFont="1" applyFill="1" applyBorder="1" applyAlignment="1">
      <alignment horizontal="center" vertical="center"/>
    </xf>
    <xf numFmtId="199" fontId="68" fillId="7" borderId="61" xfId="9" applyNumberFormat="1" applyFont="1" applyFill="1" applyBorder="1" applyAlignment="1">
      <alignment horizontal="center" vertical="center"/>
    </xf>
    <xf numFmtId="0" fontId="68" fillId="0" borderId="150" xfId="9" applyFont="1" applyBorder="1" applyAlignment="1">
      <alignment horizontal="center" vertical="center"/>
    </xf>
    <xf numFmtId="0" fontId="68" fillId="7" borderId="50" xfId="9" applyFont="1" applyFill="1" applyBorder="1" applyAlignment="1">
      <alignment horizontal="center" vertical="center"/>
    </xf>
    <xf numFmtId="177" fontId="68" fillId="7" borderId="50" xfId="9" applyNumberFormat="1" applyFont="1" applyFill="1" applyBorder="1" applyAlignment="1">
      <alignment horizontal="center" vertical="center"/>
    </xf>
    <xf numFmtId="177" fontId="68" fillId="7" borderId="65" xfId="9" applyNumberFormat="1" applyFont="1" applyFill="1" applyBorder="1" applyAlignment="1">
      <alignment horizontal="center" vertical="center"/>
    </xf>
    <xf numFmtId="177" fontId="47" fillId="7" borderId="50" xfId="0" applyNumberFormat="1" applyFont="1" applyFill="1" applyBorder="1" applyAlignment="1">
      <alignment horizontal="center" vertical="center"/>
    </xf>
    <xf numFmtId="9" fontId="47" fillId="7" borderId="50" xfId="0" applyNumberFormat="1" applyFont="1" applyFill="1" applyBorder="1" applyAlignment="1">
      <alignment horizontal="center" vertical="center"/>
    </xf>
    <xf numFmtId="199" fontId="59" fillId="7" borderId="61" xfId="9" applyNumberFormat="1" applyFont="1" applyFill="1" applyBorder="1" applyAlignment="1">
      <alignment horizontal="center" vertical="center"/>
    </xf>
    <xf numFmtId="0" fontId="68" fillId="7" borderId="109" xfId="9" applyFont="1" applyFill="1" applyBorder="1" applyAlignment="1">
      <alignment horizontal="center" vertical="center"/>
    </xf>
    <xf numFmtId="0" fontId="68" fillId="7" borderId="150" xfId="9" applyFont="1" applyFill="1" applyBorder="1" applyAlignment="1">
      <alignment horizontal="center" vertical="center"/>
    </xf>
    <xf numFmtId="0" fontId="55" fillId="7" borderId="65" xfId="9" applyFont="1" applyFill="1" applyBorder="1" applyAlignment="1">
      <alignment horizontal="center" vertical="center"/>
    </xf>
    <xf numFmtId="0" fontId="55" fillId="7" borderId="50" xfId="9" applyFont="1" applyFill="1" applyBorder="1" applyAlignment="1">
      <alignment horizontal="center" vertical="center"/>
    </xf>
    <xf numFmtId="177" fontId="56" fillId="7" borderId="50" xfId="9" applyNumberFormat="1" applyFont="1" applyFill="1" applyBorder="1" applyAlignment="1">
      <alignment horizontal="center" vertical="center"/>
    </xf>
    <xf numFmtId="0" fontId="47" fillId="7" borderId="50" xfId="0" applyFont="1" applyFill="1" applyBorder="1" applyAlignment="1">
      <alignment horizontal="center" vertical="center"/>
    </xf>
    <xf numFmtId="177" fontId="47" fillId="7" borderId="50" xfId="7" applyFont="1" applyFill="1" applyBorder="1" applyAlignment="1">
      <alignment horizontal="center" vertical="center"/>
    </xf>
    <xf numFmtId="1" fontId="47" fillId="3" borderId="57" xfId="0" applyNumberFormat="1" applyFont="1" applyFill="1" applyBorder="1" applyAlignment="1">
      <alignment horizontal="center" vertical="center"/>
    </xf>
    <xf numFmtId="177" fontId="47" fillId="19" borderId="58" xfId="7" applyFont="1" applyFill="1" applyBorder="1" applyAlignment="1">
      <alignment horizontal="center" vertical="center"/>
    </xf>
    <xf numFmtId="0" fontId="68" fillId="7" borderId="149" xfId="9" applyFont="1" applyFill="1" applyBorder="1" applyAlignment="1">
      <alignment horizontal="center" vertical="center"/>
    </xf>
    <xf numFmtId="177" fontId="56" fillId="3" borderId="50" xfId="0" applyNumberFormat="1" applyFont="1" applyFill="1" applyBorder="1" applyAlignment="1">
      <alignment horizontal="center" vertical="center"/>
    </xf>
    <xf numFmtId="177" fontId="56" fillId="3" borderId="65" xfId="0" applyNumberFormat="1" applyFont="1" applyFill="1" applyBorder="1" applyAlignment="1">
      <alignment horizontal="center" vertical="center"/>
    </xf>
    <xf numFmtId="0" fontId="56" fillId="3" borderId="50" xfId="0" applyFont="1" applyFill="1" applyBorder="1" applyAlignment="1">
      <alignment horizontal="center" vertical="center"/>
    </xf>
    <xf numFmtId="177" fontId="56" fillId="6" borderId="50" xfId="0" applyNumberFormat="1" applyFont="1" applyFill="1" applyBorder="1" applyAlignment="1">
      <alignment horizontal="center" vertical="center"/>
    </xf>
    <xf numFmtId="9" fontId="56" fillId="6" borderId="50" xfId="0" applyNumberFormat="1" applyFont="1" applyFill="1" applyBorder="1" applyAlignment="1">
      <alignment horizontal="center" vertical="center"/>
    </xf>
    <xf numFmtId="199" fontId="56" fillId="3" borderId="61" xfId="0" applyNumberFormat="1" applyFont="1" applyFill="1" applyBorder="1" applyAlignment="1">
      <alignment horizontal="center" vertical="center"/>
    </xf>
    <xf numFmtId="0" fontId="56" fillId="3" borderId="150" xfId="0" applyFont="1" applyFill="1" applyBorder="1" applyAlignment="1">
      <alignment horizontal="center" vertical="center"/>
    </xf>
    <xf numFmtId="178" fontId="82" fillId="3" borderId="0" xfId="3" applyFont="1" applyFill="1" applyBorder="1">
      <alignment vertical="center"/>
    </xf>
    <xf numFmtId="0" fontId="56" fillId="0" borderId="40" xfId="3" applyNumberFormat="1" applyFont="1" applyBorder="1">
      <alignment vertical="center"/>
    </xf>
    <xf numFmtId="181" fontId="53" fillId="3" borderId="144" xfId="7" applyNumberFormat="1" applyFont="1" applyFill="1" applyBorder="1" applyAlignment="1">
      <alignment horizontal="center" vertical="center" wrapText="1"/>
    </xf>
    <xf numFmtId="199" fontId="68" fillId="7" borderId="64" xfId="9" applyNumberFormat="1" applyFont="1" applyFill="1" applyBorder="1" applyAlignment="1">
      <alignment horizontal="center" vertical="center"/>
    </xf>
    <xf numFmtId="0" fontId="68" fillId="0" borderId="147" xfId="9" applyFont="1" applyBorder="1" applyAlignment="1">
      <alignment horizontal="center" vertical="center"/>
    </xf>
    <xf numFmtId="199" fontId="59" fillId="7" borderId="64" xfId="9" applyNumberFormat="1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193" fontId="47" fillId="3" borderId="50" xfId="0" applyNumberFormat="1" applyFont="1" applyFill="1" applyBorder="1" applyAlignment="1">
      <alignment horizontal="center" vertical="center"/>
    </xf>
    <xf numFmtId="178" fontId="47" fillId="0" borderId="39" xfId="3" applyFont="1" applyBorder="1" applyAlignment="1">
      <alignment horizontal="center" vertical="center"/>
    </xf>
    <xf numFmtId="178" fontId="47" fillId="7" borderId="0" xfId="3" applyFont="1" applyFill="1">
      <alignment vertical="center"/>
    </xf>
    <xf numFmtId="2" fontId="68" fillId="7" borderId="64" xfId="9" applyNumberFormat="1" applyFont="1" applyFill="1" applyBorder="1" applyAlignment="1">
      <alignment horizontal="center" vertical="center"/>
    </xf>
    <xf numFmtId="2" fontId="59" fillId="7" borderId="64" xfId="9" applyNumberFormat="1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/>
    </xf>
    <xf numFmtId="177" fontId="84" fillId="3" borderId="68" xfId="7" applyFont="1" applyFill="1" applyBorder="1" applyAlignment="1">
      <alignment horizontal="center" vertical="center" wrapText="1"/>
    </xf>
    <xf numFmtId="0" fontId="85" fillId="3" borderId="68" xfId="0" applyFont="1" applyFill="1" applyBorder="1" applyAlignment="1">
      <alignment horizontal="center" vertical="center"/>
    </xf>
    <xf numFmtId="0" fontId="85" fillId="3" borderId="56" xfId="0" applyFont="1" applyFill="1" applyBorder="1" applyAlignment="1">
      <alignment horizontal="center" vertical="center"/>
    </xf>
    <xf numFmtId="0" fontId="85" fillId="3" borderId="78" xfId="0" applyFont="1" applyFill="1" applyBorder="1" applyAlignment="1">
      <alignment horizontal="center" vertical="center"/>
    </xf>
    <xf numFmtId="0" fontId="85" fillId="3" borderId="52" xfId="0" applyFont="1" applyFill="1" applyBorder="1" applyAlignment="1">
      <alignment horizontal="center" vertical="center"/>
    </xf>
    <xf numFmtId="0" fontId="85" fillId="3" borderId="65" xfId="0" applyFont="1" applyFill="1" applyBorder="1" applyAlignment="1">
      <alignment horizontal="center" vertical="center"/>
    </xf>
    <xf numFmtId="0" fontId="85" fillId="3" borderId="50" xfId="0" applyFont="1" applyFill="1" applyBorder="1" applyAlignment="1">
      <alignment horizontal="center" vertical="center"/>
    </xf>
    <xf numFmtId="0" fontId="85" fillId="3" borderId="80" xfId="0" applyFont="1" applyFill="1" applyBorder="1" applyAlignment="1">
      <alignment horizontal="center" vertical="center"/>
    </xf>
    <xf numFmtId="0" fontId="85" fillId="3" borderId="55" xfId="0" applyFont="1" applyFill="1" applyBorder="1" applyAlignment="1">
      <alignment horizontal="center" vertical="center"/>
    </xf>
    <xf numFmtId="0" fontId="85" fillId="3" borderId="89" xfId="0" applyFont="1" applyFill="1" applyBorder="1" applyAlignment="1">
      <alignment horizontal="center" vertical="center"/>
    </xf>
    <xf numFmtId="0" fontId="85" fillId="3" borderId="163" xfId="0" applyFont="1" applyFill="1" applyBorder="1" applyAlignment="1">
      <alignment horizontal="center" vertical="center"/>
    </xf>
    <xf numFmtId="0" fontId="85" fillId="3" borderId="75" xfId="0" applyFont="1" applyFill="1" applyBorder="1" applyAlignment="1">
      <alignment horizontal="center" vertical="center"/>
    </xf>
    <xf numFmtId="0" fontId="85" fillId="3" borderId="164" xfId="0" applyFont="1" applyFill="1" applyBorder="1" applyAlignment="1">
      <alignment horizontal="center" vertical="center"/>
    </xf>
    <xf numFmtId="0" fontId="85" fillId="3" borderId="86" xfId="0" applyFont="1" applyFill="1" applyBorder="1" applyAlignment="1">
      <alignment horizontal="center" vertical="center"/>
    </xf>
    <xf numFmtId="0" fontId="85" fillId="3" borderId="162" xfId="0" applyFont="1" applyFill="1" applyBorder="1" applyAlignment="1">
      <alignment horizontal="center" vertical="center"/>
    </xf>
    <xf numFmtId="177" fontId="85" fillId="3" borderId="169" xfId="0" applyNumberFormat="1" applyFont="1" applyFill="1" applyBorder="1" applyAlignment="1">
      <alignment horizontal="center" vertical="center"/>
    </xf>
    <xf numFmtId="177" fontId="85" fillId="3" borderId="168" xfId="0" applyNumberFormat="1" applyFont="1" applyFill="1" applyBorder="1" applyAlignment="1">
      <alignment horizontal="center" vertical="center"/>
    </xf>
    <xf numFmtId="0" fontId="85" fillId="3" borderId="63" xfId="0" applyFont="1" applyFill="1" applyBorder="1" applyAlignment="1">
      <alignment horizontal="center" vertical="center"/>
    </xf>
    <xf numFmtId="177" fontId="85" fillId="3" borderId="0" xfId="0" applyNumberFormat="1" applyFont="1" applyFill="1" applyAlignment="1">
      <alignment horizontal="center" vertical="center"/>
    </xf>
    <xf numFmtId="177" fontId="85" fillId="3" borderId="69" xfId="0" applyNumberFormat="1" applyFont="1" applyFill="1" applyBorder="1" applyAlignment="1">
      <alignment horizontal="center" vertical="center"/>
    </xf>
    <xf numFmtId="177" fontId="85" fillId="3" borderId="68" xfId="0" applyNumberFormat="1" applyFont="1" applyFill="1" applyBorder="1" applyAlignment="1">
      <alignment horizontal="center" vertical="center"/>
    </xf>
    <xf numFmtId="177" fontId="85" fillId="3" borderId="66" xfId="0" applyNumberFormat="1" applyFont="1" applyFill="1" applyBorder="1" applyAlignment="1">
      <alignment horizontal="center" vertical="center"/>
    </xf>
    <xf numFmtId="0" fontId="85" fillId="3" borderId="57" xfId="0" applyFont="1" applyFill="1" applyBorder="1" applyAlignment="1">
      <alignment horizontal="center" vertical="center"/>
    </xf>
    <xf numFmtId="177" fontId="85" fillId="3" borderId="67" xfId="0" applyNumberFormat="1" applyFont="1" applyFill="1" applyBorder="1" applyAlignment="1">
      <alignment horizontal="center" vertical="center"/>
    </xf>
    <xf numFmtId="0" fontId="85" fillId="3" borderId="58" xfId="0" applyFont="1" applyFill="1" applyBorder="1" applyAlignment="1">
      <alignment horizontal="center" vertical="center"/>
    </xf>
    <xf numFmtId="177" fontId="85" fillId="3" borderId="65" xfId="0" applyNumberFormat="1" applyFont="1" applyFill="1" applyBorder="1" applyAlignment="1">
      <alignment horizontal="center" vertical="center"/>
    </xf>
    <xf numFmtId="177" fontId="86" fillId="3" borderId="65" xfId="7" applyFont="1" applyFill="1" applyBorder="1" applyAlignment="1">
      <alignment horizontal="center" vertical="center" wrapText="1"/>
    </xf>
    <xf numFmtId="177" fontId="85" fillId="3" borderId="174" xfId="0" applyNumberFormat="1" applyFont="1" applyFill="1" applyBorder="1" applyAlignment="1">
      <alignment horizontal="center" vertical="center"/>
    </xf>
    <xf numFmtId="0" fontId="85" fillId="3" borderId="51" xfId="0" applyFont="1" applyFill="1" applyBorder="1" applyAlignment="1">
      <alignment horizontal="center" vertical="center"/>
    </xf>
    <xf numFmtId="177" fontId="85" fillId="3" borderId="137" xfId="0" applyNumberFormat="1" applyFont="1" applyFill="1" applyBorder="1" applyAlignment="1">
      <alignment horizontal="center" vertical="center"/>
    </xf>
    <xf numFmtId="0" fontId="85" fillId="3" borderId="59" xfId="0" applyFont="1" applyFill="1" applyBorder="1" applyAlignment="1">
      <alignment horizontal="center" vertical="center"/>
    </xf>
    <xf numFmtId="194" fontId="47" fillId="3" borderId="50" xfId="7" applyNumberFormat="1" applyFont="1" applyFill="1" applyBorder="1" applyAlignment="1">
      <alignment horizontal="center" vertical="center"/>
    </xf>
    <xf numFmtId="177" fontId="47" fillId="6" borderId="150" xfId="0" applyNumberFormat="1" applyFont="1" applyFill="1" applyBorder="1" applyAlignment="1">
      <alignment horizontal="center" vertical="center"/>
    </xf>
    <xf numFmtId="2" fontId="59" fillId="11" borderId="0" xfId="0" applyNumberFormat="1" applyFont="1" applyFill="1" applyAlignment="1">
      <alignment horizontal="left" vertical="center"/>
    </xf>
    <xf numFmtId="2" fontId="59" fillId="11" borderId="101" xfId="0" applyNumberFormat="1" applyFont="1" applyFill="1" applyBorder="1" applyAlignment="1">
      <alignment horizontal="center" vertical="center"/>
    </xf>
    <xf numFmtId="0" fontId="47" fillId="3" borderId="50" xfId="0" applyFont="1" applyFill="1" applyBorder="1" applyAlignment="1">
      <alignment horizontal="center" vertical="center" wrapText="1"/>
    </xf>
    <xf numFmtId="0" fontId="47" fillId="3" borderId="54" xfId="0" applyFont="1" applyFill="1" applyBorder="1">
      <alignment vertical="center"/>
    </xf>
    <xf numFmtId="0" fontId="47" fillId="3" borderId="56" xfId="0" applyFont="1" applyFill="1" applyBorder="1">
      <alignment vertical="center"/>
    </xf>
    <xf numFmtId="178" fontId="47" fillId="22" borderId="0" xfId="0" applyNumberFormat="1" applyFont="1" applyFill="1">
      <alignment vertical="center"/>
    </xf>
    <xf numFmtId="178" fontId="47" fillId="22" borderId="0" xfId="3" applyFont="1" applyFill="1">
      <alignment vertical="center"/>
    </xf>
    <xf numFmtId="177" fontId="47" fillId="19" borderId="54" xfId="7" applyFont="1" applyFill="1" applyBorder="1" applyAlignment="1">
      <alignment horizontal="center" vertical="center"/>
    </xf>
    <xf numFmtId="198" fontId="47" fillId="3" borderId="50" xfId="7" applyNumberFormat="1" applyFont="1" applyFill="1" applyBorder="1" applyAlignment="1">
      <alignment horizontal="center" vertical="center"/>
    </xf>
    <xf numFmtId="0" fontId="47" fillId="3" borderId="61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186" fontId="47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 wrapText="1"/>
    </xf>
    <xf numFmtId="0" fontId="87" fillId="0" borderId="0" xfId="0" applyFont="1" applyAlignment="1">
      <alignment horizontal="center" vertical="center"/>
    </xf>
    <xf numFmtId="186" fontId="88" fillId="0" borderId="0" xfId="0" applyNumberFormat="1" applyFont="1" applyAlignment="1">
      <alignment horizontal="center" vertical="center" wrapText="1"/>
    </xf>
    <xf numFmtId="0" fontId="47" fillId="0" borderId="39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 wrapText="1"/>
    </xf>
    <xf numFmtId="0" fontId="61" fillId="0" borderId="8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178" fontId="59" fillId="0" borderId="0" xfId="3" applyFont="1" applyAlignment="1">
      <alignment horizontal="center" vertical="center"/>
    </xf>
    <xf numFmtId="14" fontId="55" fillId="0" borderId="1" xfId="0" applyNumberFormat="1" applyFont="1" applyBorder="1" applyAlignment="1">
      <alignment horizontal="center" vertical="center"/>
    </xf>
    <xf numFmtId="14" fontId="55" fillId="7" borderId="1" xfId="0" applyNumberFormat="1" applyFont="1" applyFill="1" applyBorder="1" applyAlignment="1">
      <alignment horizontal="center" vertical="center"/>
    </xf>
    <xf numFmtId="14" fontId="55" fillId="0" borderId="0" xfId="0" applyNumberFormat="1" applyFont="1" applyAlignment="1">
      <alignment horizontal="center" vertical="center"/>
    </xf>
    <xf numFmtId="14" fontId="55" fillId="16" borderId="6" xfId="0" applyNumberFormat="1" applyFont="1" applyFill="1" applyBorder="1" applyAlignment="1">
      <alignment horizontal="center" vertical="center"/>
    </xf>
    <xf numFmtId="14" fontId="55" fillId="0" borderId="8" xfId="0" applyNumberFormat="1" applyFont="1" applyBorder="1" applyAlignment="1">
      <alignment horizontal="center" vertical="center"/>
    </xf>
    <xf numFmtId="197" fontId="89" fillId="0" borderId="0" xfId="3" applyNumberFormat="1" applyFont="1" applyAlignment="1">
      <alignment horizontal="center" vertical="center"/>
    </xf>
    <xf numFmtId="178" fontId="59" fillId="16" borderId="6" xfId="3" applyFont="1" applyFill="1" applyBorder="1" applyAlignment="1">
      <alignment horizontal="center" vertical="center" wrapText="1"/>
    </xf>
    <xf numFmtId="178" fontId="59" fillId="0" borderId="1" xfId="3" applyFont="1" applyFill="1" applyBorder="1" applyAlignment="1">
      <alignment horizontal="center" vertical="center"/>
    </xf>
    <xf numFmtId="178" fontId="55" fillId="0" borderId="1" xfId="3" applyFont="1" applyFill="1" applyBorder="1" applyAlignment="1">
      <alignment horizontal="center" vertical="center"/>
    </xf>
    <xf numFmtId="178" fontId="59" fillId="0" borderId="8" xfId="3" applyFont="1" applyBorder="1" applyAlignment="1">
      <alignment horizontal="center" vertical="center"/>
    </xf>
    <xf numFmtId="178" fontId="59" fillId="0" borderId="1" xfId="3" applyFont="1" applyBorder="1" applyAlignment="1">
      <alignment horizontal="center" vertical="center"/>
    </xf>
    <xf numFmtId="178" fontId="59" fillId="7" borderId="1" xfId="3" applyFont="1" applyFill="1" applyBorder="1" applyAlignment="1">
      <alignment horizontal="center" vertical="center"/>
    </xf>
    <xf numFmtId="178" fontId="59" fillId="16" borderId="6" xfId="3" applyFont="1" applyFill="1" applyBorder="1" applyAlignment="1">
      <alignment horizontal="center" vertical="center"/>
    </xf>
    <xf numFmtId="0" fontId="59" fillId="16" borderId="5" xfId="0" applyFont="1" applyFill="1" applyBorder="1" applyAlignment="1">
      <alignment horizontal="center" vertical="center"/>
    </xf>
    <xf numFmtId="0" fontId="59" fillId="16" borderId="6" xfId="0" applyFont="1" applyFill="1" applyBorder="1" applyAlignment="1">
      <alignment horizontal="center" vertical="center"/>
    </xf>
    <xf numFmtId="14" fontId="59" fillId="16" borderId="6" xfId="0" applyNumberFormat="1" applyFont="1" applyFill="1" applyBorder="1" applyAlignment="1">
      <alignment horizontal="center" vertical="center"/>
    </xf>
    <xf numFmtId="182" fontId="59" fillId="16" borderId="7" xfId="3" applyNumberFormat="1" applyFont="1" applyFill="1" applyBorder="1" applyAlignment="1">
      <alignment horizontal="center" vertical="center"/>
    </xf>
    <xf numFmtId="197" fontId="89" fillId="0" borderId="1" xfId="3" applyNumberFormat="1" applyFont="1" applyBorder="1" applyAlignment="1">
      <alignment horizontal="center" vertical="center"/>
    </xf>
    <xf numFmtId="14" fontId="55" fillId="0" borderId="5" xfId="0" applyNumberFormat="1" applyFont="1" applyBorder="1" applyAlignment="1">
      <alignment horizontal="center" vertical="center"/>
    </xf>
    <xf numFmtId="197" fontId="89" fillId="0" borderId="6" xfId="3" applyNumberFormat="1" applyFont="1" applyBorder="1" applyAlignment="1">
      <alignment horizontal="center" vertical="center"/>
    </xf>
    <xf numFmtId="198" fontId="82" fillId="0" borderId="6" xfId="7" applyNumberFormat="1" applyFont="1" applyBorder="1" applyAlignment="1">
      <alignment horizontal="center" vertical="center"/>
    </xf>
    <xf numFmtId="197" fontId="89" fillId="16" borderId="6" xfId="3" applyNumberFormat="1" applyFont="1" applyFill="1" applyBorder="1" applyAlignment="1">
      <alignment horizontal="center" vertical="center" wrapText="1"/>
    </xf>
    <xf numFmtId="197" fontId="89" fillId="0" borderId="8" xfId="3" applyNumberFormat="1" applyFont="1" applyBorder="1" applyAlignment="1">
      <alignment horizontal="center" vertical="center"/>
    </xf>
    <xf numFmtId="197" fontId="89" fillId="0" borderId="1" xfId="3" applyNumberFormat="1" applyFont="1" applyFill="1" applyBorder="1" applyAlignment="1">
      <alignment horizontal="center" vertical="center"/>
    </xf>
    <xf numFmtId="197" fontId="89" fillId="7" borderId="1" xfId="3" applyNumberFormat="1" applyFont="1" applyFill="1" applyBorder="1" applyAlignment="1">
      <alignment horizontal="center" vertical="center"/>
    </xf>
    <xf numFmtId="197" fontId="89" fillId="16" borderId="6" xfId="3" applyNumberFormat="1" applyFont="1" applyFill="1" applyBorder="1" applyAlignment="1">
      <alignment horizontal="center" vertical="center"/>
    </xf>
    <xf numFmtId="198" fontId="82" fillId="16" borderId="6" xfId="3" applyNumberFormat="1" applyFont="1" applyFill="1" applyBorder="1" applyAlignment="1">
      <alignment horizontal="center" vertical="center" wrapText="1"/>
    </xf>
    <xf numFmtId="198" fontId="82" fillId="0" borderId="8" xfId="3" applyNumberFormat="1" applyFont="1" applyBorder="1" applyAlignment="1">
      <alignment horizontal="center" vertical="center"/>
    </xf>
    <xf numFmtId="198" fontId="82" fillId="0" borderId="1" xfId="3" applyNumberFormat="1" applyFont="1" applyFill="1" applyBorder="1" applyAlignment="1">
      <alignment horizontal="center" vertical="center"/>
    </xf>
    <xf numFmtId="198" fontId="82" fillId="0" borderId="1" xfId="3" applyNumberFormat="1" applyFont="1" applyBorder="1" applyAlignment="1">
      <alignment horizontal="center" vertical="center"/>
    </xf>
    <xf numFmtId="198" fontId="82" fillId="7" borderId="1" xfId="3" applyNumberFormat="1" applyFont="1" applyFill="1" applyBorder="1" applyAlignment="1">
      <alignment horizontal="center" vertical="center"/>
    </xf>
    <xf numFmtId="198" fontId="82" fillId="0" borderId="0" xfId="3" applyNumberFormat="1" applyFont="1" applyAlignment="1">
      <alignment horizontal="center" vertical="center"/>
    </xf>
    <xf numFmtId="198" fontId="82" fillId="16" borderId="6" xfId="3" applyNumberFormat="1" applyFont="1" applyFill="1" applyBorder="1" applyAlignment="1">
      <alignment horizontal="center" vertical="center"/>
    </xf>
    <xf numFmtId="197" fontId="90" fillId="16" borderId="6" xfId="3" applyNumberFormat="1" applyFont="1" applyFill="1" applyBorder="1" applyAlignment="1">
      <alignment horizontal="center" vertical="center" wrapText="1"/>
    </xf>
    <xf numFmtId="197" fontId="90" fillId="0" borderId="8" xfId="3" applyNumberFormat="1" applyFont="1" applyBorder="1" applyAlignment="1">
      <alignment horizontal="center" vertical="center"/>
    </xf>
    <xf numFmtId="197" fontId="90" fillId="0" borderId="1" xfId="3" applyNumberFormat="1" applyFont="1" applyFill="1" applyBorder="1" applyAlignment="1">
      <alignment horizontal="center" vertical="center"/>
    </xf>
    <xf numFmtId="197" fontId="90" fillId="0" borderId="1" xfId="3" applyNumberFormat="1" applyFont="1" applyBorder="1" applyAlignment="1">
      <alignment horizontal="center" vertical="center"/>
    </xf>
    <xf numFmtId="197" fontId="90" fillId="7" borderId="1" xfId="3" applyNumberFormat="1" applyFont="1" applyFill="1" applyBorder="1" applyAlignment="1">
      <alignment horizontal="center" vertical="center"/>
    </xf>
    <xf numFmtId="197" fontId="90" fillId="0" borderId="6" xfId="3" applyNumberFormat="1" applyFont="1" applyBorder="1" applyAlignment="1">
      <alignment horizontal="center" vertical="center"/>
    </xf>
    <xf numFmtId="197" fontId="90" fillId="0" borderId="0" xfId="3" applyNumberFormat="1" applyFont="1" applyAlignment="1">
      <alignment horizontal="center" vertical="center"/>
    </xf>
    <xf numFmtId="197" fontId="90" fillId="16" borderId="6" xfId="3" applyNumberFormat="1" applyFont="1" applyFill="1" applyBorder="1" applyAlignment="1">
      <alignment horizontal="center" vertical="center"/>
    </xf>
    <xf numFmtId="193" fontId="59" fillId="16" borderId="6" xfId="0" applyNumberFormat="1" applyFont="1" applyFill="1" applyBorder="1" applyAlignment="1">
      <alignment horizontal="center" vertical="center"/>
    </xf>
    <xf numFmtId="193" fontId="47" fillId="0" borderId="1" xfId="0" applyNumberFormat="1" applyFont="1" applyBorder="1" applyAlignment="1">
      <alignment horizontal="center" vertical="center"/>
    </xf>
    <xf numFmtId="193" fontId="56" fillId="0" borderId="1" xfId="0" applyNumberFormat="1" applyFont="1" applyBorder="1" applyAlignment="1">
      <alignment horizontal="center" vertical="center"/>
    </xf>
    <xf numFmtId="193" fontId="47" fillId="0" borderId="8" xfId="0" applyNumberFormat="1" applyFont="1" applyBorder="1" applyAlignment="1">
      <alignment horizontal="center" vertical="center"/>
    </xf>
    <xf numFmtId="193" fontId="47" fillId="7" borderId="1" xfId="0" applyNumberFormat="1" applyFont="1" applyFill="1" applyBorder="1" applyAlignment="1">
      <alignment horizontal="center" vertical="center"/>
    </xf>
    <xf numFmtId="193" fontId="59" fillId="0" borderId="0" xfId="0" applyNumberFormat="1" applyFont="1" applyAlignment="1">
      <alignment horizontal="center" vertical="center"/>
    </xf>
    <xf numFmtId="193" fontId="47" fillId="0" borderId="0" xfId="0" applyNumberFormat="1" applyFont="1" applyAlignment="1">
      <alignment horizontal="center" vertical="center"/>
    </xf>
    <xf numFmtId="193" fontId="47" fillId="16" borderId="6" xfId="0" applyNumberFormat="1" applyFont="1" applyFill="1" applyBorder="1" applyAlignment="1">
      <alignment horizontal="center" vertical="center"/>
    </xf>
    <xf numFmtId="0" fontId="47" fillId="0" borderId="2" xfId="0" applyFont="1" applyBorder="1">
      <alignment vertical="center"/>
    </xf>
    <xf numFmtId="0" fontId="47" fillId="0" borderId="3" xfId="0" applyFont="1" applyBorder="1">
      <alignment vertical="center"/>
    </xf>
    <xf numFmtId="195" fontId="55" fillId="0" borderId="7" xfId="3" applyNumberFormat="1" applyFont="1" applyBorder="1" applyAlignment="1">
      <alignment horizontal="center" vertical="center"/>
    </xf>
    <xf numFmtId="197" fontId="47" fillId="3" borderId="50" xfId="7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77" fontId="35" fillId="0" borderId="1" xfId="7" applyFont="1" applyBorder="1" applyAlignment="1">
      <alignment horizontal="center" vertical="center"/>
    </xf>
    <xf numFmtId="195" fontId="91" fillId="0" borderId="1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wrapText="1"/>
    </xf>
    <xf numFmtId="177" fontId="46" fillId="0" borderId="1" xfId="0" applyNumberFormat="1" applyFont="1" applyBorder="1" applyAlignment="1">
      <alignment horizontal="center" vertical="center" wrapText="1"/>
    </xf>
    <xf numFmtId="177" fontId="45" fillId="0" borderId="1" xfId="0" applyNumberFormat="1" applyFont="1" applyBorder="1" applyAlignment="1">
      <alignment horizontal="center" vertical="center" wrapText="1"/>
    </xf>
    <xf numFmtId="177" fontId="45" fillId="0" borderId="1" xfId="7" applyFont="1" applyBorder="1" applyAlignment="1">
      <alignment horizontal="center" vertical="center" wrapText="1"/>
    </xf>
    <xf numFmtId="177" fontId="45" fillId="0" borderId="1" xfId="7" applyFont="1" applyFill="1" applyBorder="1" applyAlignment="1">
      <alignment horizontal="center" vertical="center" wrapText="1"/>
    </xf>
    <xf numFmtId="2" fontId="45" fillId="0" borderId="1" xfId="0" applyNumberFormat="1" applyFont="1" applyBorder="1" applyAlignment="1">
      <alignment horizontal="center" vertical="center" wrapText="1"/>
    </xf>
    <xf numFmtId="195" fontId="91" fillId="3" borderId="1" xfId="3" applyNumberFormat="1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35" fillId="3" borderId="1" xfId="7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92" fillId="0" borderId="0" xfId="0" applyFont="1">
      <alignment vertical="center"/>
    </xf>
    <xf numFmtId="178" fontId="0" fillId="0" borderId="1" xfId="0" applyNumberFormat="1" applyBorder="1" applyAlignment="1">
      <alignment horizontal="center" vertical="center"/>
    </xf>
    <xf numFmtId="0" fontId="93" fillId="3" borderId="39" xfId="0" applyFont="1" applyFill="1" applyBorder="1">
      <alignment vertical="center"/>
    </xf>
    <xf numFmtId="186" fontId="40" fillId="3" borderId="39" xfId="0" applyNumberFormat="1" applyFont="1" applyFill="1" applyBorder="1">
      <alignment vertical="center"/>
    </xf>
    <xf numFmtId="0" fontId="93" fillId="3" borderId="43" xfId="0" applyFont="1" applyFill="1" applyBorder="1">
      <alignment vertical="center"/>
    </xf>
    <xf numFmtId="0" fontId="93" fillId="3" borderId="44" xfId="0" applyFont="1" applyFill="1" applyBorder="1">
      <alignment vertical="center"/>
    </xf>
    <xf numFmtId="0" fontId="93" fillId="3" borderId="0" xfId="0" applyFont="1" applyFill="1">
      <alignment vertical="center"/>
    </xf>
    <xf numFmtId="9" fontId="40" fillId="0" borderId="0" xfId="2" applyFont="1" applyAlignment="1">
      <alignment horizontal="center" vertical="center"/>
    </xf>
    <xf numFmtId="0" fontId="40" fillId="0" borderId="0" xfId="0" applyFont="1">
      <alignment vertical="center"/>
    </xf>
    <xf numFmtId="9" fontId="40" fillId="0" borderId="0" xfId="2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93" fillId="0" borderId="41" xfId="0" applyFont="1" applyBorder="1">
      <alignment vertical="center"/>
    </xf>
    <xf numFmtId="186" fontId="93" fillId="0" borderId="41" xfId="0" applyNumberFormat="1" applyFont="1" applyBorder="1">
      <alignment vertical="center"/>
    </xf>
    <xf numFmtId="186" fontId="93" fillId="3" borderId="41" xfId="0" applyNumberFormat="1" applyFont="1" applyFill="1" applyBorder="1">
      <alignment vertical="center"/>
    </xf>
    <xf numFmtId="186" fontId="40" fillId="0" borderId="0" xfId="0" applyNumberFormat="1" applyFont="1">
      <alignment vertical="center"/>
    </xf>
    <xf numFmtId="0" fontId="94" fillId="0" borderId="0" xfId="0" applyFont="1">
      <alignment vertical="center"/>
    </xf>
    <xf numFmtId="0" fontId="93" fillId="4" borderId="42" xfId="0" applyFont="1" applyFill="1" applyBorder="1">
      <alignment vertical="center"/>
    </xf>
    <xf numFmtId="0" fontId="40" fillId="4" borderId="42" xfId="0" applyFont="1" applyFill="1" applyBorder="1">
      <alignment vertical="center"/>
    </xf>
    <xf numFmtId="0" fontId="40" fillId="4" borderId="39" xfId="0" applyFont="1" applyFill="1" applyBorder="1">
      <alignment vertical="center"/>
    </xf>
    <xf numFmtId="0" fontId="40" fillId="4" borderId="39" xfId="0" applyFont="1" applyFill="1" applyBorder="1" applyAlignment="1">
      <alignment horizontal="center" vertical="center"/>
    </xf>
    <xf numFmtId="177" fontId="61" fillId="3" borderId="50" xfId="7" applyFont="1" applyFill="1" applyBorder="1" applyAlignment="1">
      <alignment horizontal="center" vertical="center" wrapText="1"/>
    </xf>
    <xf numFmtId="177" fontId="61" fillId="3" borderId="65" xfId="7" applyFont="1" applyFill="1" applyBorder="1" applyAlignment="1">
      <alignment horizontal="center" vertical="center" wrapText="1"/>
    </xf>
    <xf numFmtId="202" fontId="47" fillId="3" borderId="50" xfId="0" applyNumberFormat="1" applyFont="1" applyFill="1" applyBorder="1" applyAlignment="1">
      <alignment horizontal="center" vertical="center"/>
    </xf>
    <xf numFmtId="202" fontId="47" fillId="3" borderId="50" xfId="2" applyNumberFormat="1" applyFont="1" applyFill="1" applyBorder="1" applyAlignment="1">
      <alignment horizontal="center" vertical="center"/>
    </xf>
    <xf numFmtId="181" fontId="47" fillId="3" borderId="50" xfId="7" applyNumberFormat="1" applyFont="1" applyFill="1" applyBorder="1" applyAlignment="1">
      <alignment horizontal="center" vertical="center"/>
    </xf>
    <xf numFmtId="0" fontId="93" fillId="2" borderId="39" xfId="0" applyFont="1" applyFill="1" applyBorder="1">
      <alignment vertical="center"/>
    </xf>
    <xf numFmtId="0" fontId="93" fillId="2" borderId="43" xfId="0" applyFont="1" applyFill="1" applyBorder="1">
      <alignment vertical="center"/>
    </xf>
    <xf numFmtId="0" fontId="93" fillId="2" borderId="44" xfId="0" applyFont="1" applyFill="1" applyBorder="1">
      <alignment vertical="center"/>
    </xf>
    <xf numFmtId="0" fontId="93" fillId="2" borderId="0" xfId="0" applyFont="1" applyFill="1">
      <alignment vertical="center"/>
    </xf>
    <xf numFmtId="186" fontId="40" fillId="2" borderId="39" xfId="0" applyNumberFormat="1" applyFont="1" applyFill="1" applyBorder="1">
      <alignment vertical="center"/>
    </xf>
    <xf numFmtId="0" fontId="93" fillId="22" borderId="39" xfId="0" applyFont="1" applyFill="1" applyBorder="1">
      <alignment vertical="center"/>
    </xf>
    <xf numFmtId="0" fontId="93" fillId="22" borderId="0" xfId="0" applyFont="1" applyFill="1">
      <alignment vertical="center"/>
    </xf>
    <xf numFmtId="186" fontId="40" fillId="22" borderId="39" xfId="0" applyNumberFormat="1" applyFont="1" applyFill="1" applyBorder="1">
      <alignment vertical="center"/>
    </xf>
    <xf numFmtId="0" fontId="93" fillId="23" borderId="39" xfId="0" applyFont="1" applyFill="1" applyBorder="1">
      <alignment vertical="center"/>
    </xf>
    <xf numFmtId="186" fontId="40" fillId="23" borderId="39" xfId="0" applyNumberFormat="1" applyFont="1" applyFill="1" applyBorder="1">
      <alignment vertical="center"/>
    </xf>
    <xf numFmtId="186" fontId="38" fillId="24" borderId="41" xfId="0" applyNumberFormat="1" applyFont="1" applyFill="1" applyBorder="1">
      <alignment vertical="center"/>
    </xf>
    <xf numFmtId="0" fontId="38" fillId="24" borderId="41" xfId="0" applyFont="1" applyFill="1" applyBorder="1">
      <alignment vertical="center"/>
    </xf>
    <xf numFmtId="14" fontId="47" fillId="3" borderId="61" xfId="0" applyNumberFormat="1" applyFont="1" applyFill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177" fontId="0" fillId="0" borderId="0" xfId="0" applyNumberFormat="1">
      <alignment vertical="center"/>
    </xf>
    <xf numFmtId="177" fontId="35" fillId="0" borderId="0" xfId="7" applyFont="1">
      <alignment vertical="center"/>
    </xf>
    <xf numFmtId="0" fontId="0" fillId="0" borderId="15" xfId="0" applyBorder="1">
      <alignment vertical="center"/>
    </xf>
    <xf numFmtId="177" fontId="35" fillId="0" borderId="15" xfId="7" applyFont="1" applyBorder="1">
      <alignment vertical="center"/>
    </xf>
    <xf numFmtId="177" fontId="35" fillId="0" borderId="0" xfId="7" applyFont="1" applyBorder="1">
      <alignment vertical="center"/>
    </xf>
    <xf numFmtId="0" fontId="0" fillId="0" borderId="16" xfId="0" applyBorder="1">
      <alignment vertical="center"/>
    </xf>
    <xf numFmtId="177" fontId="35" fillId="0" borderId="17" xfId="7" applyFont="1" applyBorder="1">
      <alignment vertical="center"/>
    </xf>
    <xf numFmtId="177" fontId="35" fillId="0" borderId="16" xfId="7" applyFont="1" applyBorder="1">
      <alignment vertical="center"/>
    </xf>
    <xf numFmtId="0" fontId="0" fillId="0" borderId="17" xfId="0" applyBorder="1">
      <alignment vertical="center"/>
    </xf>
    <xf numFmtId="14" fontId="39" fillId="0" borderId="18" xfId="0" applyNumberFormat="1" applyFont="1" applyBorder="1">
      <alignment vertical="center"/>
    </xf>
    <xf numFmtId="177" fontId="0" fillId="0" borderId="16" xfId="0" applyNumberFormat="1" applyBorder="1">
      <alignment vertical="center"/>
    </xf>
    <xf numFmtId="0" fontId="0" fillId="0" borderId="19" xfId="0" applyBorder="1">
      <alignment vertical="center"/>
    </xf>
    <xf numFmtId="14" fontId="39" fillId="0" borderId="20" xfId="0" applyNumberFormat="1" applyFont="1" applyBorder="1">
      <alignment vertical="center"/>
    </xf>
    <xf numFmtId="14" fontId="39" fillId="0" borderId="19" xfId="0" applyNumberFormat="1" applyFont="1" applyBorder="1">
      <alignment vertical="center"/>
    </xf>
    <xf numFmtId="0" fontId="0" fillId="0" borderId="18" xfId="0" applyBorder="1">
      <alignment vertical="center"/>
    </xf>
    <xf numFmtId="177" fontId="51" fillId="25" borderId="21" xfId="7" applyFont="1" applyFill="1" applyBorder="1" applyAlignment="1">
      <alignment horizontal="center" vertical="center"/>
    </xf>
    <xf numFmtId="177" fontId="51" fillId="25" borderId="22" xfId="7" applyFont="1" applyFill="1" applyBorder="1" applyAlignment="1">
      <alignment horizontal="center" vertical="center"/>
    </xf>
    <xf numFmtId="177" fontId="51" fillId="25" borderId="23" xfId="7" applyFont="1" applyFill="1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177" fontId="51" fillId="25" borderId="26" xfId="7" applyFont="1" applyFill="1" applyBorder="1" applyAlignment="1">
      <alignment horizontal="center" vertical="center"/>
    </xf>
    <xf numFmtId="177" fontId="51" fillId="25" borderId="27" xfId="7" applyFont="1" applyFill="1" applyBorder="1" applyAlignment="1">
      <alignment horizontal="center" vertical="center"/>
    </xf>
    <xf numFmtId="177" fontId="51" fillId="25" borderId="28" xfId="7" applyFont="1" applyFill="1" applyBorder="1" applyAlignment="1">
      <alignment horizontal="center" vertical="center"/>
    </xf>
    <xf numFmtId="177" fontId="0" fillId="0" borderId="24" xfId="0" applyNumberFormat="1" applyBorder="1">
      <alignment vertical="center"/>
    </xf>
    <xf numFmtId="177" fontId="0" fillId="0" borderId="15" xfId="0" applyNumberFormat="1" applyBorder="1">
      <alignment vertical="center"/>
    </xf>
    <xf numFmtId="177" fontId="39" fillId="0" borderId="15" xfId="7" applyFont="1" applyFill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0" fontId="59" fillId="26" borderId="39" xfId="0" applyFont="1" applyFill="1" applyBorder="1">
      <alignment vertical="center"/>
    </xf>
    <xf numFmtId="0" fontId="59" fillId="19" borderId="39" xfId="0" applyFont="1" applyFill="1" applyBorder="1">
      <alignment vertical="center"/>
    </xf>
    <xf numFmtId="178" fontId="59" fillId="19" borderId="39" xfId="3" applyFont="1" applyFill="1" applyBorder="1">
      <alignment vertical="center"/>
    </xf>
    <xf numFmtId="10" fontId="59" fillId="19" borderId="40" xfId="2" applyNumberFormat="1" applyFont="1" applyFill="1" applyBorder="1">
      <alignment vertical="center"/>
    </xf>
    <xf numFmtId="178" fontId="43" fillId="19" borderId="0" xfId="3" applyFont="1" applyFill="1" applyBorder="1">
      <alignment vertical="center"/>
    </xf>
    <xf numFmtId="0" fontId="59" fillId="19" borderId="0" xfId="0" applyFont="1" applyFill="1" applyAlignment="1">
      <alignment horizontal="center" vertical="center"/>
    </xf>
    <xf numFmtId="186" fontId="59" fillId="19" borderId="0" xfId="0" applyNumberFormat="1" applyFont="1" applyFill="1" applyAlignment="1">
      <alignment horizontal="center" vertical="center"/>
    </xf>
    <xf numFmtId="0" fontId="47" fillId="19" borderId="0" xfId="0" applyFont="1" applyFill="1" applyAlignment="1">
      <alignment horizontal="center" vertical="center"/>
    </xf>
    <xf numFmtId="0" fontId="47" fillId="19" borderId="0" xfId="0" applyFont="1" applyFill="1">
      <alignment vertical="center"/>
    </xf>
    <xf numFmtId="0" fontId="51" fillId="25" borderId="29" xfId="0" applyFont="1" applyFill="1" applyBorder="1" applyAlignment="1">
      <alignment horizontal="center" vertical="center"/>
    </xf>
    <xf numFmtId="186" fontId="59" fillId="3" borderId="0" xfId="0" applyNumberFormat="1" applyFont="1" applyFill="1">
      <alignment vertical="center"/>
    </xf>
    <xf numFmtId="9" fontId="59" fillId="3" borderId="0" xfId="2" applyFont="1" applyFill="1" applyBorder="1">
      <alignment vertical="center"/>
    </xf>
    <xf numFmtId="0" fontId="56" fillId="7" borderId="40" xfId="0" applyFont="1" applyFill="1" applyBorder="1">
      <alignment vertical="center"/>
    </xf>
    <xf numFmtId="186" fontId="56" fillId="7" borderId="40" xfId="0" applyNumberFormat="1" applyFont="1" applyFill="1" applyBorder="1">
      <alignment vertical="center"/>
    </xf>
    <xf numFmtId="9" fontId="56" fillId="7" borderId="40" xfId="2" applyFont="1" applyFill="1" applyBorder="1">
      <alignment vertical="center"/>
    </xf>
    <xf numFmtId="186" fontId="59" fillId="7" borderId="0" xfId="0" applyNumberFormat="1" applyFont="1" applyFill="1" applyAlignment="1">
      <alignment horizontal="center" vertical="center"/>
    </xf>
    <xf numFmtId="186" fontId="39" fillId="0" borderId="0" xfId="0" applyNumberFormat="1" applyFont="1">
      <alignment vertical="center"/>
    </xf>
    <xf numFmtId="0" fontId="93" fillId="0" borderId="0" xfId="0" applyFont="1">
      <alignment vertical="center"/>
    </xf>
    <xf numFmtId="14" fontId="47" fillId="3" borderId="150" xfId="0" applyNumberFormat="1" applyFont="1" applyFill="1" applyBorder="1" applyAlignment="1">
      <alignment horizontal="center" vertical="center"/>
    </xf>
    <xf numFmtId="14" fontId="67" fillId="17" borderId="147" xfId="9" applyNumberFormat="1" applyFont="1" applyFill="1" applyBorder="1" applyAlignment="1">
      <alignment horizontal="center" vertical="center" wrapText="1"/>
    </xf>
    <xf numFmtId="14" fontId="68" fillId="7" borderId="147" xfId="9" applyNumberFormat="1" applyFont="1" applyFill="1" applyBorder="1" applyAlignment="1">
      <alignment horizontal="center" vertical="center"/>
    </xf>
    <xf numFmtId="14" fontId="47" fillId="18" borderId="158" xfId="0" applyNumberFormat="1" applyFont="1" applyFill="1" applyBorder="1" applyAlignment="1">
      <alignment horizontal="center" vertical="center"/>
    </xf>
    <xf numFmtId="0" fontId="59" fillId="0" borderId="0" xfId="0" applyFont="1" applyAlignment="1">
      <alignment horizontal="left" vertical="center"/>
    </xf>
    <xf numFmtId="179" fontId="47" fillId="3" borderId="109" xfId="0" applyNumberFormat="1" applyFont="1" applyFill="1" applyBorder="1" applyAlignment="1">
      <alignment horizontal="center" vertical="center"/>
    </xf>
    <xf numFmtId="178" fontId="47" fillId="7" borderId="195" xfId="3" applyFont="1" applyFill="1" applyBorder="1">
      <alignment vertical="center"/>
    </xf>
    <xf numFmtId="178" fontId="47" fillId="0" borderId="195" xfId="3" applyFont="1" applyBorder="1">
      <alignment vertical="center"/>
    </xf>
    <xf numFmtId="9" fontId="59" fillId="3" borderId="101" xfId="2" applyFont="1" applyFill="1" applyBorder="1">
      <alignment vertical="center"/>
    </xf>
    <xf numFmtId="9" fontId="59" fillId="3" borderId="39" xfId="2" applyFont="1" applyFill="1" applyBorder="1">
      <alignment vertical="center"/>
    </xf>
    <xf numFmtId="0" fontId="47" fillId="0" borderId="195" xfId="0" applyFont="1" applyBorder="1">
      <alignment vertical="center"/>
    </xf>
    <xf numFmtId="203" fontId="40" fillId="0" borderId="0" xfId="2" applyNumberFormat="1" applyFont="1">
      <alignment vertical="center"/>
    </xf>
    <xf numFmtId="203" fontId="40" fillId="0" borderId="0" xfId="2" applyNumberFormat="1" applyFont="1" applyAlignment="1">
      <alignment horizontal="center" vertical="center"/>
    </xf>
    <xf numFmtId="203" fontId="40" fillId="0" borderId="0" xfId="2" applyNumberFormat="1" applyFont="1" applyBorder="1" applyAlignment="1">
      <alignment horizontal="center" vertical="center"/>
    </xf>
    <xf numFmtId="177" fontId="47" fillId="7" borderId="65" xfId="0" applyNumberFormat="1" applyFont="1" applyFill="1" applyBorder="1" applyAlignment="1">
      <alignment horizontal="center" vertical="center"/>
    </xf>
    <xf numFmtId="0" fontId="47" fillId="7" borderId="109" xfId="0" applyFont="1" applyFill="1" applyBorder="1" applyAlignment="1">
      <alignment horizontal="center" vertical="center"/>
    </xf>
    <xf numFmtId="14" fontId="47" fillId="7" borderId="150" xfId="0" applyNumberFormat="1" applyFont="1" applyFill="1" applyBorder="1" applyAlignment="1">
      <alignment horizontal="center" vertical="center"/>
    </xf>
    <xf numFmtId="0" fontId="47" fillId="7" borderId="65" xfId="0" applyFont="1" applyFill="1" applyBorder="1" applyAlignment="1">
      <alignment horizontal="center" vertical="center"/>
    </xf>
    <xf numFmtId="0" fontId="59" fillId="7" borderId="61" xfId="0" applyFont="1" applyFill="1" applyBorder="1" applyAlignment="1">
      <alignment horizontal="center" vertical="center"/>
    </xf>
    <xf numFmtId="0" fontId="59" fillId="7" borderId="150" xfId="0" applyFont="1" applyFill="1" applyBorder="1" applyAlignment="1">
      <alignment horizontal="center" vertical="center"/>
    </xf>
    <xf numFmtId="199" fontId="59" fillId="7" borderId="61" xfId="0" applyNumberFormat="1" applyFont="1" applyFill="1" applyBorder="1" applyAlignment="1">
      <alignment horizontal="center" vertical="center"/>
    </xf>
    <xf numFmtId="202" fontId="47" fillId="3" borderId="50" xfId="7" applyNumberFormat="1" applyFont="1" applyFill="1" applyBorder="1" applyAlignment="1">
      <alignment horizontal="center" vertical="center"/>
    </xf>
    <xf numFmtId="0" fontId="59" fillId="2" borderId="0" xfId="0" applyFont="1" applyFill="1">
      <alignment vertical="center"/>
    </xf>
    <xf numFmtId="178" fontId="55" fillId="2" borderId="0" xfId="3" applyFont="1" applyFill="1" applyBorder="1">
      <alignment vertical="center"/>
    </xf>
    <xf numFmtId="186" fontId="59" fillId="2" borderId="0" xfId="0" applyNumberFormat="1" applyFont="1" applyFill="1">
      <alignment vertical="center"/>
    </xf>
    <xf numFmtId="9" fontId="59" fillId="2" borderId="40" xfId="2" applyFont="1" applyFill="1" applyBorder="1" applyAlignment="1">
      <alignment horizontal="center" vertical="center"/>
    </xf>
    <xf numFmtId="2" fontId="59" fillId="27" borderId="0" xfId="0" applyNumberFormat="1" applyFont="1" applyFill="1" applyAlignment="1">
      <alignment horizontal="left" vertical="center"/>
    </xf>
    <xf numFmtId="0" fontId="47" fillId="3" borderId="65" xfId="0" applyFont="1" applyFill="1" applyBorder="1" applyAlignment="1">
      <alignment horizontal="center" vertical="center" wrapText="1"/>
    </xf>
    <xf numFmtId="178" fontId="55" fillId="2" borderId="0" xfId="3" applyFont="1" applyFill="1">
      <alignment vertical="center"/>
    </xf>
    <xf numFmtId="183" fontId="47" fillId="3" borderId="61" xfId="0" applyNumberFormat="1" applyFont="1" applyFill="1" applyBorder="1" applyAlignment="1">
      <alignment horizontal="center" vertical="center"/>
    </xf>
    <xf numFmtId="183" fontId="59" fillId="3" borderId="0" xfId="0" applyNumberFormat="1" applyFont="1" applyFill="1">
      <alignment vertical="center"/>
    </xf>
    <xf numFmtId="177" fontId="97" fillId="3" borderId="65" xfId="0" applyNumberFormat="1" applyFont="1" applyFill="1" applyBorder="1" applyAlignment="1">
      <alignment horizontal="center" vertical="center"/>
    </xf>
    <xf numFmtId="0" fontId="97" fillId="3" borderId="50" xfId="0" applyFont="1" applyFill="1" applyBorder="1" applyAlignment="1">
      <alignment horizontal="center" vertical="center"/>
    </xf>
    <xf numFmtId="0" fontId="47" fillId="3" borderId="50" xfId="0" quotePrefix="1" applyFont="1" applyFill="1" applyBorder="1" applyAlignment="1">
      <alignment horizontal="center" vertical="center"/>
    </xf>
    <xf numFmtId="179" fontId="47" fillId="3" borderId="61" xfId="0" applyNumberFormat="1" applyFont="1" applyFill="1" applyBorder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7" fillId="3" borderId="143" xfId="0" applyFont="1" applyFill="1" applyBorder="1" applyAlignment="1">
      <alignment horizontal="center" vertical="center" wrapText="1"/>
    </xf>
    <xf numFmtId="0" fontId="47" fillId="3" borderId="11" xfId="0" applyFont="1" applyFill="1" applyBorder="1" applyAlignment="1">
      <alignment horizontal="center" vertical="center" wrapText="1"/>
    </xf>
    <xf numFmtId="0" fontId="47" fillId="3" borderId="8" xfId="0" applyFont="1" applyFill="1" applyBorder="1" applyAlignment="1">
      <alignment horizontal="center" vertical="center" wrapText="1"/>
    </xf>
    <xf numFmtId="0" fontId="47" fillId="3" borderId="175" xfId="0" applyFont="1" applyFill="1" applyBorder="1" applyAlignment="1">
      <alignment horizontal="center" vertical="center" wrapText="1"/>
    </xf>
    <xf numFmtId="0" fontId="47" fillId="3" borderId="129" xfId="0" applyFont="1" applyFill="1" applyBorder="1" applyAlignment="1">
      <alignment horizontal="center" vertical="center" wrapText="1"/>
    </xf>
    <xf numFmtId="0" fontId="47" fillId="3" borderId="175" xfId="0" applyFont="1" applyFill="1" applyBorder="1" applyAlignment="1">
      <alignment horizontal="center" vertical="center"/>
    </xf>
    <xf numFmtId="0" fontId="47" fillId="3" borderId="11" xfId="0" applyFont="1" applyFill="1" applyBorder="1" applyAlignment="1">
      <alignment horizontal="center" vertical="center"/>
    </xf>
    <xf numFmtId="0" fontId="47" fillId="3" borderId="129" xfId="0" applyFont="1" applyFill="1" applyBorder="1" applyAlignment="1">
      <alignment horizontal="center" vertical="center"/>
    </xf>
    <xf numFmtId="0" fontId="47" fillId="3" borderId="194" xfId="0" applyFont="1" applyFill="1" applyBorder="1" applyAlignment="1">
      <alignment horizontal="center" vertical="center"/>
    </xf>
    <xf numFmtId="0" fontId="47" fillId="3" borderId="54" xfId="0" applyFont="1" applyFill="1" applyBorder="1" applyAlignment="1">
      <alignment horizontal="center" vertical="center"/>
    </xf>
    <xf numFmtId="0" fontId="47" fillId="3" borderId="58" xfId="0" applyFont="1" applyFill="1" applyBorder="1" applyAlignment="1">
      <alignment horizontal="center" vertical="center"/>
    </xf>
    <xf numFmtId="0" fontId="47" fillId="3" borderId="56" xfId="0" applyFont="1" applyFill="1" applyBorder="1" applyAlignment="1">
      <alignment horizontal="center" vertical="center"/>
    </xf>
    <xf numFmtId="0" fontId="47" fillId="3" borderId="51" xfId="0" applyFont="1" applyFill="1" applyBorder="1" applyAlignment="1">
      <alignment horizontal="center" vertical="center"/>
    </xf>
    <xf numFmtId="0" fontId="47" fillId="3" borderId="196" xfId="0" applyFont="1" applyFill="1" applyBorder="1" applyAlignment="1">
      <alignment horizontal="center" vertical="center"/>
    </xf>
    <xf numFmtId="0" fontId="47" fillId="3" borderId="134" xfId="0" applyFont="1" applyFill="1" applyBorder="1" applyAlignment="1">
      <alignment horizontal="center" vertical="center"/>
    </xf>
    <xf numFmtId="0" fontId="47" fillId="3" borderId="70" xfId="0" applyFont="1" applyFill="1" applyBorder="1" applyAlignment="1">
      <alignment horizontal="center" vertical="center"/>
    </xf>
    <xf numFmtId="0" fontId="47" fillId="3" borderId="144" xfId="0" applyFont="1" applyFill="1" applyBorder="1" applyAlignment="1">
      <alignment horizontal="center" vertical="center"/>
    </xf>
    <xf numFmtId="0" fontId="47" fillId="3" borderId="60" xfId="0" applyFont="1" applyFill="1" applyBorder="1" applyAlignment="1">
      <alignment horizontal="center" vertical="center"/>
    </xf>
    <xf numFmtId="0" fontId="47" fillId="3" borderId="51" xfId="0" applyFont="1" applyFill="1" applyBorder="1" applyAlignment="1">
      <alignment horizontal="center" vertical="center" wrapText="1"/>
    </xf>
    <xf numFmtId="0" fontId="47" fillId="3" borderId="54" xfId="0" applyFont="1" applyFill="1" applyBorder="1" applyAlignment="1">
      <alignment horizontal="center" vertical="center" wrapText="1"/>
    </xf>
    <xf numFmtId="0" fontId="47" fillId="3" borderId="56" xfId="0" applyFont="1" applyFill="1" applyBorder="1" applyAlignment="1">
      <alignment horizontal="center" vertical="center" wrapText="1"/>
    </xf>
    <xf numFmtId="0" fontId="47" fillId="3" borderId="144" xfId="0" applyFont="1" applyFill="1" applyBorder="1" applyAlignment="1">
      <alignment horizontal="center" vertical="center" wrapText="1"/>
    </xf>
    <xf numFmtId="0" fontId="47" fillId="3" borderId="134" xfId="0" applyFont="1" applyFill="1" applyBorder="1" applyAlignment="1">
      <alignment horizontal="center" vertical="center" wrapText="1"/>
    </xf>
    <xf numFmtId="0" fontId="47" fillId="3" borderId="60" xfId="0" applyFont="1" applyFill="1" applyBorder="1" applyAlignment="1">
      <alignment horizontal="center" vertical="center" wrapText="1"/>
    </xf>
    <xf numFmtId="0" fontId="36" fillId="4" borderId="45" xfId="0" applyFont="1" applyFill="1" applyBorder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51" fillId="25" borderId="25" xfId="0" applyFont="1" applyFill="1" applyBorder="1" applyAlignment="1">
      <alignment horizontal="center" vertical="center"/>
    </xf>
    <xf numFmtId="0" fontId="51" fillId="25" borderId="17" xfId="0" applyFont="1" applyFill="1" applyBorder="1" applyAlignment="1">
      <alignment horizontal="center" vertical="center"/>
    </xf>
    <xf numFmtId="0" fontId="51" fillId="25" borderId="32" xfId="0" applyFont="1" applyFill="1" applyBorder="1" applyAlignment="1">
      <alignment horizontal="center" vertical="center"/>
    </xf>
    <xf numFmtId="0" fontId="51" fillId="25" borderId="34" xfId="0" applyFont="1" applyFill="1" applyBorder="1" applyAlignment="1">
      <alignment horizontal="center" vertical="center"/>
    </xf>
    <xf numFmtId="177" fontId="51" fillId="25" borderId="35" xfId="7" applyFont="1" applyFill="1" applyBorder="1" applyAlignment="1">
      <alignment horizontal="center" vertical="center"/>
    </xf>
    <xf numFmtId="177" fontId="51" fillId="25" borderId="36" xfId="7" applyFont="1" applyFill="1" applyBorder="1" applyAlignment="1">
      <alignment horizontal="center" vertical="center"/>
    </xf>
    <xf numFmtId="0" fontId="51" fillId="25" borderId="37" xfId="0" applyFont="1" applyFill="1" applyBorder="1" applyAlignment="1">
      <alignment horizontal="center" vertical="center"/>
    </xf>
    <xf numFmtId="0" fontId="51" fillId="25" borderId="33" xfId="0" applyFont="1" applyFill="1" applyBorder="1" applyAlignment="1">
      <alignment horizontal="center" vertical="center"/>
    </xf>
    <xf numFmtId="0" fontId="51" fillId="25" borderId="30" xfId="0" applyFont="1" applyFill="1" applyBorder="1" applyAlignment="1">
      <alignment horizontal="center" vertical="center"/>
    </xf>
    <xf numFmtId="0" fontId="51" fillId="25" borderId="3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2" fillId="2" borderId="38" xfId="0" applyFont="1" applyFill="1" applyBorder="1" applyAlignment="1">
      <alignment horizontal="center" vertical="center"/>
    </xf>
    <xf numFmtId="0" fontId="47" fillId="3" borderId="194" xfId="0" applyFont="1" applyFill="1" applyBorder="1" applyAlignment="1">
      <alignment horizontal="center" vertical="center" wrapText="1"/>
    </xf>
  </cellXfs>
  <cellStyles count="14">
    <cellStyle name="백분율" xfId="2" builtinId="5"/>
    <cellStyle name="쉼표 [0]" xfId="3" builtinId="6"/>
    <cellStyle name="쉼표 [0] 2" xfId="4" xr:uid="{00000000-0005-0000-0000-000003000000}"/>
    <cellStyle name="쉼표 [0] 3" xfId="5" xr:uid="{00000000-0005-0000-0000-000004000000}"/>
    <cellStyle name="쉼표 [0] 3 2" xfId="6" xr:uid="{00000000-0005-0000-0000-000005000000}"/>
    <cellStyle name="쉼표 [0] 4" xfId="13" xr:uid="{42ED33C1-4A05-4849-99A6-B1D64F2C4C11}"/>
    <cellStyle name="통화 [0]" xfId="7" builtinId="7"/>
    <cellStyle name="통화 [0] 2" xfId="8" xr:uid="{00000000-0005-0000-0000-000007000000}"/>
    <cellStyle name="표준" xfId="0" builtinId="0"/>
    <cellStyle name="표준 2" xfId="9" xr:uid="{00000000-0005-0000-0000-000009000000}"/>
    <cellStyle name="표준 3" xfId="10" xr:uid="{00000000-0005-0000-0000-00000A000000}"/>
    <cellStyle name="표준 3 2" xfId="11" xr:uid="{00000000-0005-0000-0000-00000B000000}"/>
    <cellStyle name="표준 4" xfId="12" xr:uid="{30176009-3A76-405E-8FF1-5D99724D5946}"/>
    <cellStyle name="Normal_SAP Con. Sales_period 08~" xfId="1" xr:uid="{00000000-0005-0000-0000-00000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Total</a:t>
            </a:r>
          </a:p>
        </c:rich>
      </c:tx>
      <c:layout>
        <c:manualLayout>
          <c:xMode val="edge"/>
          <c:yMode val="edge"/>
          <c:x val="0.41841043907973036"/>
          <c:y val="2.90485564304461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2016 Sales</c:v>
          </c:tx>
          <c:cat>
            <c:strRef>
              <c:f>[3]결산그래프!$R$17:$R$28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'2017'!$E$246:$E$257</c:f>
              <c:numCache>
                <c:formatCode>0</c:formatCode>
                <c:ptCount val="12"/>
                <c:pt idx="0">
                  <c:v>70787200</c:v>
                </c:pt>
                <c:pt idx="1">
                  <c:v>60660050.000000007</c:v>
                </c:pt>
                <c:pt idx="2">
                  <c:v>56713250.000000007</c:v>
                </c:pt>
                <c:pt idx="3">
                  <c:v>80611300</c:v>
                </c:pt>
                <c:pt idx="4">
                  <c:v>105342050.00000001</c:v>
                </c:pt>
                <c:pt idx="5">
                  <c:v>133632950.00000001</c:v>
                </c:pt>
                <c:pt idx="6">
                  <c:v>81625500</c:v>
                </c:pt>
                <c:pt idx="7">
                  <c:v>177157750</c:v>
                </c:pt>
                <c:pt idx="8">
                  <c:v>102168000.00000001</c:v>
                </c:pt>
                <c:pt idx="9">
                  <c:v>91679830</c:v>
                </c:pt>
                <c:pt idx="10">
                  <c:v>73328750</c:v>
                </c:pt>
                <c:pt idx="11">
                  <c:v>173828050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D0-47AD-AFB4-EBE18966AC91}"/>
            </c:ext>
          </c:extLst>
        </c:ser>
        <c:ser>
          <c:idx val="1"/>
          <c:order val="1"/>
          <c:tx>
            <c:v>2016 Margin</c:v>
          </c:tx>
          <c:cat>
            <c:strRef>
              <c:f>[3]결산그래프!$R$17:$R$28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'2017'!$F$246:$F$257</c:f>
              <c:numCache>
                <c:formatCode>0</c:formatCode>
                <c:ptCount val="12"/>
                <c:pt idx="0">
                  <c:v>15197776.000000002</c:v>
                </c:pt>
                <c:pt idx="1">
                  <c:v>21873830</c:v>
                </c:pt>
                <c:pt idx="2">
                  <c:v>16866164.700000003</c:v>
                </c:pt>
                <c:pt idx="3">
                  <c:v>26897761.000000004</c:v>
                </c:pt>
                <c:pt idx="4">
                  <c:v>25496828.500000004</c:v>
                </c:pt>
                <c:pt idx="5">
                  <c:v>37687760</c:v>
                </c:pt>
                <c:pt idx="6">
                  <c:v>22605462</c:v>
                </c:pt>
                <c:pt idx="7">
                  <c:v>46326324.000000007</c:v>
                </c:pt>
                <c:pt idx="8">
                  <c:v>30225558.000000004</c:v>
                </c:pt>
                <c:pt idx="9">
                  <c:v>24070746.700000003</c:v>
                </c:pt>
                <c:pt idx="10">
                  <c:v>20924613.600000001</c:v>
                </c:pt>
                <c:pt idx="11">
                  <c:v>43096768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D0-47AD-AFB4-EBE18966AC91}"/>
            </c:ext>
          </c:extLst>
        </c:ser>
        <c:ser>
          <c:idx val="2"/>
          <c:order val="2"/>
          <c:tx>
            <c:v>2017 Sales</c:v>
          </c:tx>
          <c:cat>
            <c:strRef>
              <c:f>[3]결산그래프!$R$17:$R$28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'2017'!$B$17:$M$17</c:f>
              <c:numCache>
                <c:formatCode>#,##0_ </c:formatCode>
                <c:ptCount val="12"/>
                <c:pt idx="0">
                  <c:v>91183950</c:v>
                </c:pt>
                <c:pt idx="1">
                  <c:v>120288300.00000001</c:v>
                </c:pt>
                <c:pt idx="2">
                  <c:v>74016800</c:v>
                </c:pt>
                <c:pt idx="3">
                  <c:v>152866824</c:v>
                </c:pt>
                <c:pt idx="4">
                  <c:v>160721220</c:v>
                </c:pt>
                <c:pt idx="5">
                  <c:v>121763246.00000001</c:v>
                </c:pt>
                <c:pt idx="6">
                  <c:v>164893300</c:v>
                </c:pt>
                <c:pt idx="7">
                  <c:v>86982500</c:v>
                </c:pt>
                <c:pt idx="8">
                  <c:v>121334510.00000001</c:v>
                </c:pt>
                <c:pt idx="9">
                  <c:v>48251280.000000007</c:v>
                </c:pt>
                <c:pt idx="10">
                  <c:v>380435114.40000004</c:v>
                </c:pt>
                <c:pt idx="11">
                  <c:v>107415550.00000001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D0-47AD-AFB4-EBE18966AC91}"/>
            </c:ext>
          </c:extLst>
        </c:ser>
        <c:ser>
          <c:idx val="3"/>
          <c:order val="3"/>
          <c:tx>
            <c:v>2017 Margin</c:v>
          </c:tx>
          <c:cat>
            <c:strRef>
              <c:f>[3]결산그래프!$R$17:$R$28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'2017'!$B$34:$M$34</c:f>
              <c:numCache>
                <c:formatCode>#,##0_ </c:formatCode>
                <c:ptCount val="12"/>
                <c:pt idx="0">
                  <c:v>25920248.200000003</c:v>
                </c:pt>
                <c:pt idx="1">
                  <c:v>49830217.485400006</c:v>
                </c:pt>
                <c:pt idx="2">
                  <c:v>20414845</c:v>
                </c:pt>
                <c:pt idx="3">
                  <c:v>35432913.083610788</c:v>
                </c:pt>
                <c:pt idx="4">
                  <c:v>30755186.13212616</c:v>
                </c:pt>
                <c:pt idx="5">
                  <c:v>31744910.684263062</c:v>
                </c:pt>
                <c:pt idx="6">
                  <c:v>81472880.5</c:v>
                </c:pt>
                <c:pt idx="7">
                  <c:v>49966260.806000002</c:v>
                </c:pt>
                <c:pt idx="8">
                  <c:v>30902962.200000003</c:v>
                </c:pt>
                <c:pt idx="9">
                  <c:v>18835172.144207951</c:v>
                </c:pt>
                <c:pt idx="10">
                  <c:v>89956860.400000006</c:v>
                </c:pt>
                <c:pt idx="11">
                  <c:v>27325056.000000004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D0-47AD-AFB4-EBE18966A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970000"/>
        <c:axId val="1"/>
      </c:lineChart>
      <c:catAx>
        <c:axId val="201997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crossAx val="201997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5092368261659598"/>
          <c:y val="0.93106561679790023"/>
          <c:w val="0.43499538519223563"/>
          <c:h val="4.868320209973753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Technotrans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793879051598412"/>
          <c:y val="0.10720419381958543"/>
          <c:w val="0.81236058316611648"/>
          <c:h val="0.63632555401243884"/>
        </c:manualLayout>
      </c:layout>
      <c:lineChart>
        <c:grouping val="standard"/>
        <c:varyColors val="0"/>
        <c:ser>
          <c:idx val="0"/>
          <c:order val="0"/>
          <c:tx>
            <c:v>2016 Sales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'2017'!$N$246:$N$257</c:f>
              <c:numCache>
                <c:formatCode>_-"₩"* #,##0_-;\-"₩"* #,##0_-;_-"₩"* "-"_-;_-@_-</c:formatCode>
                <c:ptCount val="12"/>
                <c:pt idx="0">
                  <c:v>220000</c:v>
                </c:pt>
                <c:pt idx="1">
                  <c:v>5604500</c:v>
                </c:pt>
                <c:pt idx="2">
                  <c:v>2094400</c:v>
                </c:pt>
                <c:pt idx="3">
                  <c:v>1908500</c:v>
                </c:pt>
                <c:pt idx="4">
                  <c:v>10472000</c:v>
                </c:pt>
                <c:pt idx="5">
                  <c:v>55918500</c:v>
                </c:pt>
                <c:pt idx="6">
                  <c:v>23309000</c:v>
                </c:pt>
                <c:pt idx="7">
                  <c:v>0</c:v>
                </c:pt>
                <c:pt idx="8">
                  <c:v>14382500</c:v>
                </c:pt>
                <c:pt idx="9">
                  <c:v>16650480</c:v>
                </c:pt>
                <c:pt idx="10">
                  <c:v>9702000</c:v>
                </c:pt>
                <c:pt idx="11">
                  <c:v>9993500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EE-4502-AAE8-C130ED4D5841}"/>
            </c:ext>
          </c:extLst>
        </c:ser>
        <c:ser>
          <c:idx val="1"/>
          <c:order val="1"/>
          <c:tx>
            <c:v>2016 margin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'2017'!$O$246:$O$257</c:f>
              <c:numCache>
                <c:formatCode>_-"₩"* #,##0_-;\-"₩"* #,##0_-;_-"₩"* "-"_-;_-@_-</c:formatCode>
                <c:ptCount val="12"/>
                <c:pt idx="0">
                  <c:v>160400</c:v>
                </c:pt>
                <c:pt idx="1">
                  <c:v>1891000</c:v>
                </c:pt>
                <c:pt idx="2">
                  <c:v>643677</c:v>
                </c:pt>
                <c:pt idx="3">
                  <c:v>775770</c:v>
                </c:pt>
                <c:pt idx="4">
                  <c:v>3073140</c:v>
                </c:pt>
                <c:pt idx="5">
                  <c:v>14950600</c:v>
                </c:pt>
                <c:pt idx="6">
                  <c:v>8494800</c:v>
                </c:pt>
                <c:pt idx="7">
                  <c:v>0</c:v>
                </c:pt>
                <c:pt idx="8">
                  <c:v>4338000</c:v>
                </c:pt>
                <c:pt idx="9">
                  <c:v>4528930</c:v>
                </c:pt>
                <c:pt idx="10">
                  <c:v>3134400</c:v>
                </c:pt>
                <c:pt idx="11">
                  <c:v>3608600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EE-4502-AAE8-C130ED4D5841}"/>
            </c:ext>
          </c:extLst>
        </c:ser>
        <c:ser>
          <c:idx val="2"/>
          <c:order val="2"/>
          <c:tx>
            <c:v>2017 Sales</c:v>
          </c:tx>
          <c:val>
            <c:numRef>
              <c:f>'2017'!$N$258:$N$269</c:f>
              <c:numCache>
                <c:formatCode>_-"₩"* #,##0_-;\-"₩"* #,##0_-;_-"₩"* "-"_-;_-@_-</c:formatCode>
                <c:ptCount val="12"/>
                <c:pt idx="0">
                  <c:v>12298000</c:v>
                </c:pt>
                <c:pt idx="1">
                  <c:v>2510200</c:v>
                </c:pt>
                <c:pt idx="2">
                  <c:v>1997600</c:v>
                </c:pt>
                <c:pt idx="3">
                  <c:v>57614524</c:v>
                </c:pt>
                <c:pt idx="4">
                  <c:v>101026420</c:v>
                </c:pt>
                <c:pt idx="5" formatCode="General">
                  <c:v>49144216</c:v>
                </c:pt>
                <c:pt idx="6" formatCode="General">
                  <c:v>638000.00000000012</c:v>
                </c:pt>
                <c:pt idx="7" formatCode="General">
                  <c:v>6526300.0000000009</c:v>
                </c:pt>
                <c:pt idx="8" formatCode="General">
                  <c:v>16850900.000000004</c:v>
                </c:pt>
                <c:pt idx="9" formatCode="#,##0_ ">
                  <c:v>770000.00000000012</c:v>
                </c:pt>
                <c:pt idx="10" formatCode="General">
                  <c:v>2618000</c:v>
                </c:pt>
                <c:pt idx="11" formatCode="General">
                  <c:v>2442000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EE-4502-AAE8-C130ED4D5841}"/>
            </c:ext>
          </c:extLst>
        </c:ser>
        <c:ser>
          <c:idx val="3"/>
          <c:order val="3"/>
          <c:tx>
            <c:v>2017 Margin</c:v>
          </c:tx>
          <c:val>
            <c:numRef>
              <c:f>'2017'!$O$258:$O$269</c:f>
              <c:numCache>
                <c:formatCode>_-"₩"* #,##0_-;\-"₩"* #,##0_-;_-"₩"* "-"_-;_-@_-</c:formatCode>
                <c:ptCount val="12"/>
                <c:pt idx="0">
                  <c:v>3528562</c:v>
                </c:pt>
                <c:pt idx="1">
                  <c:v>1064899</c:v>
                </c:pt>
                <c:pt idx="2">
                  <c:v>742670</c:v>
                </c:pt>
                <c:pt idx="3">
                  <c:v>51961110</c:v>
                </c:pt>
                <c:pt idx="4">
                  <c:v>11831906.120114688</c:v>
                </c:pt>
                <c:pt idx="5" formatCode="General">
                  <c:v>7551889.7129664151</c:v>
                </c:pt>
                <c:pt idx="6" formatCode="General">
                  <c:v>310468</c:v>
                </c:pt>
                <c:pt idx="7" formatCode="General">
                  <c:v>5326373.46</c:v>
                </c:pt>
                <c:pt idx="8" formatCode="General">
                  <c:v>5828492</c:v>
                </c:pt>
                <c:pt idx="9" formatCode="#,##0_ ">
                  <c:v>323276.93000000005</c:v>
                </c:pt>
                <c:pt idx="10" formatCode="General">
                  <c:v>566904.98325000005</c:v>
                </c:pt>
                <c:pt idx="11" formatCode="General">
                  <c:v>894194.77750000008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EE-4502-AAE8-C130ED4D5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970416"/>
        <c:axId val="1"/>
      </c:lineChart>
      <c:catAx>
        <c:axId val="201997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1997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7080672938805286"/>
          <c:y val="0.84228839063738736"/>
          <c:w val="0.47902242878665957"/>
          <c:h val="7.143071558870395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Goss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2016 Sales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'2017'!$R$246:$R$257</c:f>
              <c:numCache>
                <c:formatCode>_-"₩"* #,##0_-;\-"₩"* #,##0_-;_-"₩"* "-"_-;_-@_-</c:formatCode>
                <c:ptCount val="12"/>
                <c:pt idx="0">
                  <c:v>25884650</c:v>
                </c:pt>
                <c:pt idx="1">
                  <c:v>10769000</c:v>
                </c:pt>
                <c:pt idx="2">
                  <c:v>11022000</c:v>
                </c:pt>
                <c:pt idx="3">
                  <c:v>24288000</c:v>
                </c:pt>
                <c:pt idx="4">
                  <c:v>8371000</c:v>
                </c:pt>
                <c:pt idx="5">
                  <c:v>10395000</c:v>
                </c:pt>
                <c:pt idx="6">
                  <c:v>10780000</c:v>
                </c:pt>
                <c:pt idx="7">
                  <c:v>53735000</c:v>
                </c:pt>
                <c:pt idx="8">
                  <c:v>47560700</c:v>
                </c:pt>
                <c:pt idx="9">
                  <c:v>5060000</c:v>
                </c:pt>
                <c:pt idx="10">
                  <c:v>9306000</c:v>
                </c:pt>
                <c:pt idx="11">
                  <c:v>27236000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FA-48E6-9845-B0DE62F2B3D9}"/>
            </c:ext>
          </c:extLst>
        </c:ser>
        <c:ser>
          <c:idx val="1"/>
          <c:order val="1"/>
          <c:tx>
            <c:v>2016 Margin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'2017'!$S$246:$S$257</c:f>
              <c:numCache>
                <c:formatCode>_-"₩"* #,##0_-;\-"₩"* #,##0_-;_-"₩"* "-"_-;_-@_-</c:formatCode>
                <c:ptCount val="12"/>
                <c:pt idx="0">
                  <c:v>5591000</c:v>
                </c:pt>
                <c:pt idx="1">
                  <c:v>2957200</c:v>
                </c:pt>
                <c:pt idx="2">
                  <c:v>5007000</c:v>
                </c:pt>
                <c:pt idx="3">
                  <c:v>6333620</c:v>
                </c:pt>
                <c:pt idx="4">
                  <c:v>2987120</c:v>
                </c:pt>
                <c:pt idx="5">
                  <c:v>4707120</c:v>
                </c:pt>
                <c:pt idx="6">
                  <c:v>2282500</c:v>
                </c:pt>
                <c:pt idx="7">
                  <c:v>16308500</c:v>
                </c:pt>
                <c:pt idx="8">
                  <c:v>16980000</c:v>
                </c:pt>
                <c:pt idx="9">
                  <c:v>2171587</c:v>
                </c:pt>
                <c:pt idx="10">
                  <c:v>3810196</c:v>
                </c:pt>
                <c:pt idx="11">
                  <c:v>8033000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FA-48E6-9845-B0DE62F2B3D9}"/>
            </c:ext>
          </c:extLst>
        </c:ser>
        <c:ser>
          <c:idx val="2"/>
          <c:order val="2"/>
          <c:tx>
            <c:v>2017 Sales</c:v>
          </c:tx>
          <c:val>
            <c:numRef>
              <c:f>'2017'!$R$258:$R$269</c:f>
              <c:numCache>
                <c:formatCode>_-"₩"* #,##0_-;\-"₩"* #,##0_-;_-"₩"* "-"_-;_-@_-</c:formatCode>
                <c:ptCount val="12"/>
                <c:pt idx="0">
                  <c:v>9801000</c:v>
                </c:pt>
                <c:pt idx="1">
                  <c:v>39827700</c:v>
                </c:pt>
                <c:pt idx="2">
                  <c:v>12067000</c:v>
                </c:pt>
                <c:pt idx="3">
                  <c:v>14300000</c:v>
                </c:pt>
                <c:pt idx="4">
                  <c:v>10131000.000000002</c:v>
                </c:pt>
                <c:pt idx="5" formatCode="General">
                  <c:v>7628500</c:v>
                </c:pt>
                <c:pt idx="6" formatCode="_-* #,##0_-;\-* #,##0_-;_-* &quot;-&quot;_-;_-@_-">
                  <c:v>56672000</c:v>
                </c:pt>
                <c:pt idx="7" formatCode="_-* #,##0_-;\-* #,##0_-;_-* &quot;-&quot;_-;_-@_-">
                  <c:v>20306000</c:v>
                </c:pt>
                <c:pt idx="8" formatCode="General">
                  <c:v>2784100</c:v>
                </c:pt>
                <c:pt idx="9" formatCode="_-* #,##0_-;\-* #,##0_-;_-* &quot;-&quot;_-;_-@_-">
                  <c:v>11781000</c:v>
                </c:pt>
                <c:pt idx="10" formatCode="General">
                  <c:v>57145994.400000006</c:v>
                </c:pt>
                <c:pt idx="11" formatCode="General">
                  <c:v>9394000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FA-48E6-9845-B0DE62F2B3D9}"/>
            </c:ext>
          </c:extLst>
        </c:ser>
        <c:ser>
          <c:idx val="3"/>
          <c:order val="3"/>
          <c:tx>
            <c:v>2017 Margin</c:v>
          </c:tx>
          <c:val>
            <c:numRef>
              <c:f>'2017'!$S$258:$S$269</c:f>
              <c:numCache>
                <c:formatCode>_-"₩"* #,##0_-;\-"₩"* #,##0_-;_-"₩"* "-"_-;_-@_-</c:formatCode>
                <c:ptCount val="12"/>
                <c:pt idx="0">
                  <c:v>4250740</c:v>
                </c:pt>
                <c:pt idx="1">
                  <c:v>17656413</c:v>
                </c:pt>
                <c:pt idx="2">
                  <c:v>4691140</c:v>
                </c:pt>
                <c:pt idx="3">
                  <c:v>7084000</c:v>
                </c:pt>
                <c:pt idx="4">
                  <c:v>4024340</c:v>
                </c:pt>
                <c:pt idx="5" formatCode="General">
                  <c:v>6635000</c:v>
                </c:pt>
                <c:pt idx="6" formatCode="_-* #,##0_-;\-* #,##0_-;_-* &quot;-&quot;_-;_-@_-">
                  <c:v>51154000</c:v>
                </c:pt>
                <c:pt idx="7" formatCode="_-* #,##0_-;\-* #,##0_-;_-* &quot;-&quot;_-;_-@_-">
                  <c:v>15160000</c:v>
                </c:pt>
                <c:pt idx="8" formatCode="General">
                  <c:v>1405438.6407999999</c:v>
                </c:pt>
                <c:pt idx="9" formatCode="_-* #,##0_-;\-* #,##0_-;_-* &quot;-&quot;_-;_-@_-">
                  <c:v>6274823.4676605724</c:v>
                </c:pt>
                <c:pt idx="10" formatCode="General">
                  <c:v>6731545.4089407772</c:v>
                </c:pt>
                <c:pt idx="11" formatCode="General">
                  <c:v>3559736.1032915059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FA-48E6-9845-B0DE62F2B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983728"/>
        <c:axId val="1"/>
      </c:lineChart>
      <c:catAx>
        <c:axId val="201998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1998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7681173535515482"/>
          <c:y val="0.91447032181663301"/>
          <c:w val="0.47720144044791746"/>
          <c:h val="6.417322834645666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Service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2016 Sales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'2017'!$V$246:$V$257</c:f>
              <c:numCache>
                <c:formatCode>_-"₩"* #,##0_-;\-"₩"* #,##0_-;_-"₩"* "-"_-;_-@_-</c:formatCode>
                <c:ptCount val="12"/>
                <c:pt idx="0">
                  <c:v>550000</c:v>
                </c:pt>
                <c:pt idx="1">
                  <c:v>0</c:v>
                </c:pt>
                <c:pt idx="2">
                  <c:v>2428800</c:v>
                </c:pt>
                <c:pt idx="3">
                  <c:v>1204500</c:v>
                </c:pt>
                <c:pt idx="4">
                  <c:v>275000</c:v>
                </c:pt>
                <c:pt idx="5">
                  <c:v>1375000</c:v>
                </c:pt>
                <c:pt idx="6">
                  <c:v>0</c:v>
                </c:pt>
                <c:pt idx="7">
                  <c:v>5032500</c:v>
                </c:pt>
                <c:pt idx="8">
                  <c:v>0</c:v>
                </c:pt>
                <c:pt idx="9">
                  <c:v>1375000</c:v>
                </c:pt>
                <c:pt idx="10">
                  <c:v>0</c:v>
                </c:pt>
                <c:pt idx="11">
                  <c:v>517000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A-4FFC-B3A8-90C27363421D}"/>
            </c:ext>
          </c:extLst>
        </c:ser>
        <c:ser>
          <c:idx val="2"/>
          <c:order val="1"/>
          <c:tx>
            <c:v>2017 Sales</c:v>
          </c:tx>
          <c:val>
            <c:numRef>
              <c:f>'2017'!$V$258:$V$269</c:f>
              <c:numCache>
                <c:formatCode>_-"₩"* #,##0_-;\-"₩"* #,##0_-;_-"₩"* "-"_-;_-@_-</c:formatCode>
                <c:ptCount val="12"/>
                <c:pt idx="0">
                  <c:v>165000</c:v>
                </c:pt>
                <c:pt idx="1">
                  <c:v>7975000</c:v>
                </c:pt>
                <c:pt idx="2">
                  <c:v>0</c:v>
                </c:pt>
                <c:pt idx="3">
                  <c:v>1815000</c:v>
                </c:pt>
                <c:pt idx="4">
                  <c:v>0</c:v>
                </c:pt>
                <c:pt idx="5" formatCode="General">
                  <c:v>1980000</c:v>
                </c:pt>
                <c:pt idx="6">
                  <c:v>0</c:v>
                </c:pt>
                <c:pt idx="7" formatCode="0_);[Red]\(0\)">
                  <c:v>29178600</c:v>
                </c:pt>
                <c:pt idx="8" formatCode="General">
                  <c:v>2585000</c:v>
                </c:pt>
                <c:pt idx="9" formatCode="General">
                  <c:v>1375000</c:v>
                </c:pt>
                <c:pt idx="10" formatCode="General">
                  <c:v>11847000</c:v>
                </c:pt>
                <c:pt idx="11" formatCode="General">
                  <c:v>275000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A-4FFC-B3A8-90C273634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981232"/>
        <c:axId val="1"/>
      </c:lineChart>
      <c:catAx>
        <c:axId val="201998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1998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6683070866141733"/>
          <c:y val="0.90807662852341764"/>
          <c:w val="0.4785658472080303"/>
          <c:h val="6.896790167518007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Total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392071252592383"/>
          <c:y val="0.1452088169007808"/>
          <c:w val="0.83628884800332148"/>
          <c:h val="0.76114326893134288"/>
        </c:manualLayout>
      </c:layout>
      <c:barChart>
        <c:barDir val="col"/>
        <c:grouping val="clustered"/>
        <c:varyColors val="0"/>
        <c:ser>
          <c:idx val="0"/>
          <c:order val="0"/>
          <c:tx>
            <c:v>Total Sales</c:v>
          </c:tx>
          <c:spPr>
            <a:solidFill>
              <a:srgbClr val="FFC00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Database!$Y$4:$Y$8</c:f>
              <c:numCache>
                <c:formatCode>_-"₩"* #,##0_-;\-"₩"* #,##0_-;_-"₩"* "-"_-;_-@_-</c:formatCode>
                <c:ptCount val="5"/>
                <c:pt idx="0">
                  <c:v>1491179800</c:v>
                </c:pt>
                <c:pt idx="1">
                  <c:v>1917810393</c:v>
                </c:pt>
                <c:pt idx="2">
                  <c:v>2082838430</c:v>
                </c:pt>
                <c:pt idx="3">
                  <c:v>2149411387</c:v>
                </c:pt>
                <c:pt idx="4">
                  <c:v>1600418517.2727273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9-41BA-818C-E29DC0924441}"/>
            </c:ext>
          </c:extLst>
        </c:ser>
        <c:ser>
          <c:idx val="1"/>
          <c:order val="1"/>
          <c:tx>
            <c:v>Total Margin</c:v>
          </c:tx>
          <c:spPr>
            <a:solidFill>
              <a:srgbClr val="7030A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Database!$Z$4:$Z$8</c:f>
              <c:numCache>
                <c:formatCode>_-"₩"* #,##0_-;\-"₩"* #,##0_-;_-"₩"* "-"_-;_-@_-</c:formatCode>
                <c:ptCount val="5"/>
                <c:pt idx="0">
                  <c:v>337179226.51146173</c:v>
                </c:pt>
                <c:pt idx="1">
                  <c:v>438434090.55769742</c:v>
                </c:pt>
                <c:pt idx="2">
                  <c:v>587371778.05564868</c:v>
                </c:pt>
                <c:pt idx="3">
                  <c:v>578053996.58732569</c:v>
                </c:pt>
                <c:pt idx="4">
                  <c:v>389235766.17923039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9-41BA-818C-E29DC0924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71248"/>
        <c:axId val="1"/>
      </c:barChart>
      <c:catAx>
        <c:axId val="203047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7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52375548732952"/>
          <c:y val="5.5857768692990153E-2"/>
          <c:w val="0.15987708802212375"/>
          <c:h val="1.9820351523701221E-2"/>
        </c:manualLayout>
      </c:layout>
      <c:overlay val="0"/>
    </c:legend>
    <c:plotVisOnly val="0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/>
              <a:t>Sales</a:t>
            </a:r>
            <a:endParaRPr lang="ko-KR" sz="2400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'2023'!$A$4</c:f>
              <c:strCache>
                <c:ptCount val="1"/>
                <c:pt idx="0">
                  <c:v>Film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'2023'!$B$4:$N$4</c:f>
              <c:numCache>
                <c:formatCode>#,##0_ </c:formatCode>
                <c:ptCount val="13"/>
                <c:pt idx="0">
                  <c:v>6726000</c:v>
                </c:pt>
                <c:pt idx="1">
                  <c:v>500000</c:v>
                </c:pt>
                <c:pt idx="2">
                  <c:v>180000</c:v>
                </c:pt>
                <c:pt idx="3">
                  <c:v>3363000</c:v>
                </c:pt>
                <c:pt idx="4">
                  <c:v>404000</c:v>
                </c:pt>
                <c:pt idx="5">
                  <c:v>3915000</c:v>
                </c:pt>
                <c:pt idx="6">
                  <c:v>3363000</c:v>
                </c:pt>
                <c:pt idx="7">
                  <c:v>3647000</c:v>
                </c:pt>
                <c:pt idx="8">
                  <c:v>3693000</c:v>
                </c:pt>
                <c:pt idx="9">
                  <c:v>4113000</c:v>
                </c:pt>
                <c:pt idx="10">
                  <c:v>6633000</c:v>
                </c:pt>
                <c:pt idx="11">
                  <c:v>3554000</c:v>
                </c:pt>
                <c:pt idx="12">
                  <c:v>40091000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A-47C7-BB59-AFC63C7AD5C2}"/>
            </c:ext>
          </c:extLst>
        </c:ser>
        <c:ser>
          <c:idx val="1"/>
          <c:order val="1"/>
          <c:tx>
            <c:strRef>
              <c:f>'2023'!$A$5</c:f>
              <c:strCache>
                <c:ptCount val="1"/>
                <c:pt idx="0">
                  <c:v>Fount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7A-47C7-BB59-AFC63C7AD5C2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'2023'!$B$5:$N$5</c:f>
              <c:numCache>
                <c:formatCode>#,##0_ </c:formatCode>
                <c:ptCount val="13"/>
                <c:pt idx="0">
                  <c:v>0</c:v>
                </c:pt>
                <c:pt idx="1">
                  <c:v>5790000</c:v>
                </c:pt>
                <c:pt idx="2">
                  <c:v>2895000</c:v>
                </c:pt>
                <c:pt idx="3">
                  <c:v>1930000</c:v>
                </c:pt>
                <c:pt idx="4">
                  <c:v>2895000</c:v>
                </c:pt>
                <c:pt idx="5">
                  <c:v>1930000</c:v>
                </c:pt>
                <c:pt idx="6">
                  <c:v>2895000</c:v>
                </c:pt>
                <c:pt idx="7">
                  <c:v>2895000</c:v>
                </c:pt>
                <c:pt idx="8">
                  <c:v>1930000</c:v>
                </c:pt>
                <c:pt idx="9">
                  <c:v>5790000</c:v>
                </c:pt>
                <c:pt idx="10">
                  <c:v>3860000</c:v>
                </c:pt>
                <c:pt idx="11">
                  <c:v>4825000</c:v>
                </c:pt>
                <c:pt idx="12">
                  <c:v>37635000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A-47C7-BB59-AFC63C7AD5C2}"/>
            </c:ext>
          </c:extLst>
        </c:ser>
        <c:ser>
          <c:idx val="2"/>
          <c:order val="2"/>
          <c:tx>
            <c:strRef>
              <c:f>'2023'!$A$6</c:f>
              <c:strCache>
                <c:ptCount val="1"/>
                <c:pt idx="0">
                  <c:v>Roller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7A-47C7-BB59-AFC63C7AD5C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7A-47C7-BB59-AFC63C7AD5C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7A-47C7-BB59-AFC63C7AD5C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07A-47C7-BB59-AFC63C7AD5C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07A-47C7-BB59-AFC63C7AD5C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07A-47C7-BB59-AFC63C7AD5C2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'2023'!$B$6:$N$6</c:f>
              <c:numCache>
                <c:formatCode>#,##0_ </c:formatCode>
                <c:ptCount val="13"/>
                <c:pt idx="0">
                  <c:v>11781000</c:v>
                </c:pt>
                <c:pt idx="1">
                  <c:v>0</c:v>
                </c:pt>
                <c:pt idx="2">
                  <c:v>0</c:v>
                </c:pt>
                <c:pt idx="3">
                  <c:v>6644000</c:v>
                </c:pt>
                <c:pt idx="4">
                  <c:v>23780000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8558000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50763000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7A-47C7-BB59-AFC63C7AD5C2}"/>
            </c:ext>
          </c:extLst>
        </c:ser>
        <c:ser>
          <c:idx val="3"/>
          <c:order val="3"/>
          <c:tx>
            <c:strRef>
              <c:f>'2023'!$A$7</c:f>
              <c:strCache>
                <c:ptCount val="1"/>
                <c:pt idx="0">
                  <c:v>Blanket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'2023'!$B$7:$N$7</c:f>
              <c:numCache>
                <c:formatCode>#,##0_ </c:formatCode>
                <c:ptCount val="13"/>
                <c:pt idx="0">
                  <c:v>4044000</c:v>
                </c:pt>
                <c:pt idx="1">
                  <c:v>9074000</c:v>
                </c:pt>
                <c:pt idx="2">
                  <c:v>8774000</c:v>
                </c:pt>
                <c:pt idx="3">
                  <c:v>10760000</c:v>
                </c:pt>
                <c:pt idx="4">
                  <c:v>6805000</c:v>
                </c:pt>
                <c:pt idx="5">
                  <c:v>8054000</c:v>
                </c:pt>
                <c:pt idx="6">
                  <c:v>8094000</c:v>
                </c:pt>
                <c:pt idx="7">
                  <c:v>8484000</c:v>
                </c:pt>
                <c:pt idx="8">
                  <c:v>7914000</c:v>
                </c:pt>
                <c:pt idx="9">
                  <c:v>5440000</c:v>
                </c:pt>
                <c:pt idx="10">
                  <c:v>13408000</c:v>
                </c:pt>
                <c:pt idx="11">
                  <c:v>7268000</c:v>
                </c:pt>
                <c:pt idx="12">
                  <c:v>98119000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7A-47C7-BB59-AFC63C7AD5C2}"/>
            </c:ext>
          </c:extLst>
        </c:ser>
        <c:ser>
          <c:idx val="4"/>
          <c:order val="4"/>
          <c:tx>
            <c:strRef>
              <c:f>'2023'!$A$8</c:f>
              <c:strCache>
                <c:ptCount val="1"/>
                <c:pt idx="0">
                  <c:v>Wash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'2023'!$B$8:$N$8</c:f>
              <c:numCache>
                <c:formatCode>#,##0_ </c:formatCode>
                <c:ptCount val="13"/>
                <c:pt idx="0">
                  <c:v>10707000</c:v>
                </c:pt>
                <c:pt idx="1">
                  <c:v>14800000</c:v>
                </c:pt>
                <c:pt idx="2">
                  <c:v>13278000</c:v>
                </c:pt>
                <c:pt idx="3">
                  <c:v>6835000</c:v>
                </c:pt>
                <c:pt idx="4">
                  <c:v>22325000</c:v>
                </c:pt>
                <c:pt idx="5">
                  <c:v>9603000</c:v>
                </c:pt>
                <c:pt idx="6">
                  <c:v>10370000</c:v>
                </c:pt>
                <c:pt idx="7">
                  <c:v>11198000</c:v>
                </c:pt>
                <c:pt idx="8">
                  <c:v>12431000</c:v>
                </c:pt>
                <c:pt idx="9">
                  <c:v>14870000</c:v>
                </c:pt>
                <c:pt idx="10">
                  <c:v>14051000</c:v>
                </c:pt>
                <c:pt idx="11">
                  <c:v>19523000</c:v>
                </c:pt>
                <c:pt idx="12">
                  <c:v>159991000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07A-47C7-BB59-AFC63C7AD5C2}"/>
            </c:ext>
          </c:extLst>
        </c:ser>
        <c:ser>
          <c:idx val="5"/>
          <c:order val="5"/>
          <c:tx>
            <c:strRef>
              <c:f>'2023'!$A$9</c:f>
              <c:strCache>
                <c:ptCount val="1"/>
                <c:pt idx="0">
                  <c:v>농도계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</c:spPr>
          <c:invertIfNegative val="0"/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'2023'!$B$9:$N$9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7A-47C7-BB59-AFC63C7AD5C2}"/>
            </c:ext>
          </c:extLst>
        </c:ser>
        <c:ser>
          <c:idx val="6"/>
          <c:order val="6"/>
          <c:tx>
            <c:strRef>
              <c:f>'2023'!$A$10</c:f>
              <c:strCache>
                <c:ptCount val="1"/>
                <c:pt idx="0">
                  <c:v>UV lamp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07A-47C7-BB59-AFC63C7AD5C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07A-47C7-BB59-AFC63C7AD5C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07A-47C7-BB59-AFC63C7AD5C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07A-47C7-BB59-AFC63C7AD5C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07A-47C7-BB59-AFC63C7AD5C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07A-47C7-BB59-AFC63C7AD5C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07A-47C7-BB59-AFC63C7AD5C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07A-47C7-BB59-AFC63C7AD5C2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'2023'!$B$10:$N$10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1580000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4650000</c:v>
                </c:pt>
                <c:pt idx="12">
                  <c:v>6230000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07A-47C7-BB59-AFC63C7AD5C2}"/>
            </c:ext>
          </c:extLst>
        </c:ser>
        <c:ser>
          <c:idx val="7"/>
          <c:order val="7"/>
          <c:tx>
            <c:strRef>
              <c:f>'2023'!$A$11</c:f>
              <c:strCache>
                <c:ptCount val="1"/>
                <c:pt idx="0">
                  <c:v>CTP(IHK)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'2023'!$B$11:$N$11</c:f>
              <c:numCache>
                <c:formatCode>#,##0_ </c:formatCode>
                <c:ptCount val="13"/>
                <c:pt idx="0">
                  <c:v>0</c:v>
                </c:pt>
                <c:pt idx="1">
                  <c:v>2695000</c:v>
                </c:pt>
                <c:pt idx="2">
                  <c:v>4820000</c:v>
                </c:pt>
                <c:pt idx="3">
                  <c:v>2447200</c:v>
                </c:pt>
                <c:pt idx="4">
                  <c:v>4576000</c:v>
                </c:pt>
                <c:pt idx="5">
                  <c:v>7096400</c:v>
                </c:pt>
                <c:pt idx="6">
                  <c:v>4820000</c:v>
                </c:pt>
                <c:pt idx="7">
                  <c:v>7169200</c:v>
                </c:pt>
                <c:pt idx="8">
                  <c:v>4820000</c:v>
                </c:pt>
                <c:pt idx="9">
                  <c:v>6621050</c:v>
                </c:pt>
                <c:pt idx="10">
                  <c:v>4592000</c:v>
                </c:pt>
                <c:pt idx="11">
                  <c:v>0</c:v>
                </c:pt>
                <c:pt idx="12">
                  <c:v>49656850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07A-47C7-BB59-AFC63C7AD5C2}"/>
            </c:ext>
          </c:extLst>
        </c:ser>
        <c:ser>
          <c:idx val="8"/>
          <c:order val="8"/>
          <c:tx>
            <c:strRef>
              <c:f>'2023'!$A$12</c:f>
              <c:strCache>
                <c:ptCount val="1"/>
                <c:pt idx="0">
                  <c:v>Others(IHK)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'2023'!$B$12:$N$12</c:f>
              <c:numCache>
                <c:formatCode>#,##0_ </c:formatCode>
                <c:ptCount val="13"/>
                <c:pt idx="0">
                  <c:v>8188000</c:v>
                </c:pt>
                <c:pt idx="1">
                  <c:v>11748000</c:v>
                </c:pt>
                <c:pt idx="2">
                  <c:v>7835000</c:v>
                </c:pt>
                <c:pt idx="3">
                  <c:v>11680000</c:v>
                </c:pt>
                <c:pt idx="4">
                  <c:v>11555000</c:v>
                </c:pt>
                <c:pt idx="5">
                  <c:v>8355000</c:v>
                </c:pt>
                <c:pt idx="6">
                  <c:v>9660000</c:v>
                </c:pt>
                <c:pt idx="7">
                  <c:v>8075000</c:v>
                </c:pt>
                <c:pt idx="8">
                  <c:v>8025000</c:v>
                </c:pt>
                <c:pt idx="9">
                  <c:v>9725000</c:v>
                </c:pt>
                <c:pt idx="10">
                  <c:v>18084000</c:v>
                </c:pt>
                <c:pt idx="11">
                  <c:v>12170000</c:v>
                </c:pt>
                <c:pt idx="12">
                  <c:v>125100000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07A-47C7-BB59-AFC63C7AD5C2}"/>
            </c:ext>
          </c:extLst>
        </c:ser>
        <c:ser>
          <c:idx val="9"/>
          <c:order val="9"/>
          <c:tx>
            <c:strRef>
              <c:f>'2023'!$A$13</c:f>
              <c:strCache>
                <c:ptCount val="1"/>
                <c:pt idx="0">
                  <c:v>Technotrans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'2023'!$B$13:$N$13</c:f>
              <c:numCache>
                <c:formatCode>#,##0_ </c:formatCode>
                <c:ptCount val="13"/>
                <c:pt idx="0">
                  <c:v>2870000</c:v>
                </c:pt>
                <c:pt idx="1">
                  <c:v>1985000</c:v>
                </c:pt>
                <c:pt idx="2">
                  <c:v>4450000</c:v>
                </c:pt>
                <c:pt idx="3">
                  <c:v>0</c:v>
                </c:pt>
                <c:pt idx="4">
                  <c:v>500000</c:v>
                </c:pt>
                <c:pt idx="5">
                  <c:v>3230000</c:v>
                </c:pt>
                <c:pt idx="6">
                  <c:v>2020000</c:v>
                </c:pt>
                <c:pt idx="7">
                  <c:v>750000</c:v>
                </c:pt>
                <c:pt idx="8">
                  <c:v>840000</c:v>
                </c:pt>
                <c:pt idx="9">
                  <c:v>0</c:v>
                </c:pt>
                <c:pt idx="10">
                  <c:v>1365000</c:v>
                </c:pt>
                <c:pt idx="11">
                  <c:v>1500000</c:v>
                </c:pt>
                <c:pt idx="12">
                  <c:v>19510000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07A-47C7-BB59-AFC63C7AD5C2}"/>
            </c:ext>
          </c:extLst>
        </c:ser>
        <c:ser>
          <c:idx val="10"/>
          <c:order val="10"/>
          <c:tx>
            <c:strRef>
              <c:f>'2023'!$A$14</c:f>
              <c:strCache>
                <c:ptCount val="1"/>
                <c:pt idx="0">
                  <c:v>GOSS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'2023'!$B$14:$N$14</c:f>
              <c:numCache>
                <c:formatCode>#,##0_ </c:formatCode>
                <c:ptCount val="13"/>
                <c:pt idx="0">
                  <c:v>11530000</c:v>
                </c:pt>
                <c:pt idx="1">
                  <c:v>41860000</c:v>
                </c:pt>
                <c:pt idx="2">
                  <c:v>20660000</c:v>
                </c:pt>
                <c:pt idx="3">
                  <c:v>426428000</c:v>
                </c:pt>
                <c:pt idx="4">
                  <c:v>20800000</c:v>
                </c:pt>
                <c:pt idx="5">
                  <c:v>99835000</c:v>
                </c:pt>
                <c:pt idx="6">
                  <c:v>54011000</c:v>
                </c:pt>
                <c:pt idx="7">
                  <c:v>0</c:v>
                </c:pt>
                <c:pt idx="8">
                  <c:v>9410000</c:v>
                </c:pt>
                <c:pt idx="9">
                  <c:v>9950000</c:v>
                </c:pt>
                <c:pt idx="10">
                  <c:v>106536364</c:v>
                </c:pt>
                <c:pt idx="11">
                  <c:v>10310000</c:v>
                </c:pt>
                <c:pt idx="12">
                  <c:v>811330364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07A-47C7-BB59-AFC63C7AD5C2}"/>
            </c:ext>
          </c:extLst>
        </c:ser>
        <c:ser>
          <c:idx val="11"/>
          <c:order val="11"/>
          <c:tx>
            <c:strRef>
              <c:f>'2023'!$A$15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'2023'!$B$15:$N$15</c:f>
              <c:numCache>
                <c:formatCode>#,##0_ </c:formatCode>
                <c:ptCount val="13"/>
                <c:pt idx="0">
                  <c:v>1115000</c:v>
                </c:pt>
                <c:pt idx="1">
                  <c:v>1000000</c:v>
                </c:pt>
                <c:pt idx="2">
                  <c:v>0</c:v>
                </c:pt>
                <c:pt idx="3">
                  <c:v>2625000</c:v>
                </c:pt>
                <c:pt idx="4">
                  <c:v>5780000</c:v>
                </c:pt>
                <c:pt idx="5">
                  <c:v>4215000</c:v>
                </c:pt>
                <c:pt idx="6">
                  <c:v>16760000</c:v>
                </c:pt>
                <c:pt idx="7">
                  <c:v>2625000</c:v>
                </c:pt>
                <c:pt idx="8">
                  <c:v>0</c:v>
                </c:pt>
                <c:pt idx="9">
                  <c:v>6425000</c:v>
                </c:pt>
                <c:pt idx="10">
                  <c:v>0</c:v>
                </c:pt>
                <c:pt idx="11">
                  <c:v>700000</c:v>
                </c:pt>
                <c:pt idx="12">
                  <c:v>41245000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07A-47C7-BB59-AFC63C7AD5C2}"/>
            </c:ext>
          </c:extLst>
        </c:ser>
        <c:ser>
          <c:idx val="12"/>
          <c:order val="12"/>
          <c:tx>
            <c:strRef>
              <c:f>'2023'!$A$16</c:f>
              <c:strCache>
                <c:ptCount val="1"/>
                <c:pt idx="0">
                  <c:v>Machine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'2023'!$B$16:$N$16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07A-47C7-BB59-AFC63C7AD5C2}"/>
            </c:ext>
          </c:extLst>
        </c:ser>
        <c:ser>
          <c:idx val="13"/>
          <c:order val="13"/>
          <c:tx>
            <c:strRef>
              <c:f>'2023'!$A$17</c:f>
              <c:strCache>
                <c:ptCount val="1"/>
                <c:pt idx="0">
                  <c:v>Ink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'2023'!$B$17:$N$17</c:f>
              <c:numCache>
                <c:formatCode>#,##0_ </c:formatCode>
                <c:ptCount val="13"/>
                <c:pt idx="0">
                  <c:v>18125600</c:v>
                </c:pt>
                <c:pt idx="1">
                  <c:v>11040400</c:v>
                </c:pt>
                <c:pt idx="2">
                  <c:v>12340000</c:v>
                </c:pt>
                <c:pt idx="3">
                  <c:v>11529800</c:v>
                </c:pt>
                <c:pt idx="4">
                  <c:v>11040400</c:v>
                </c:pt>
                <c:pt idx="5">
                  <c:v>12306000</c:v>
                </c:pt>
                <c:pt idx="6">
                  <c:v>6263200</c:v>
                </c:pt>
                <c:pt idx="7">
                  <c:v>11162800</c:v>
                </c:pt>
                <c:pt idx="8">
                  <c:v>8954800</c:v>
                </c:pt>
                <c:pt idx="9">
                  <c:v>11040400</c:v>
                </c:pt>
                <c:pt idx="10">
                  <c:v>15855500</c:v>
                </c:pt>
                <c:pt idx="11">
                  <c:v>8384800</c:v>
                </c:pt>
                <c:pt idx="12">
                  <c:v>138043700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07A-47C7-BB59-AFC63C7AD5C2}"/>
            </c:ext>
          </c:extLst>
        </c:ser>
        <c:ser>
          <c:idx val="14"/>
          <c:order val="14"/>
          <c:tx>
            <c:strRef>
              <c:f>'2023'!$A$18</c:f>
              <c:strCache>
                <c:ptCount val="1"/>
                <c:pt idx="0">
                  <c:v>CTP(Others)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'2023'!$B$18:$N$18</c:f>
              <c:numCache>
                <c:formatCode>#,##0_ </c:formatCode>
                <c:ptCount val="13"/>
                <c:pt idx="0">
                  <c:v>44426200</c:v>
                </c:pt>
                <c:pt idx="1">
                  <c:v>52394800</c:v>
                </c:pt>
                <c:pt idx="2">
                  <c:v>50781000</c:v>
                </c:pt>
                <c:pt idx="3">
                  <c:v>46094600</c:v>
                </c:pt>
                <c:pt idx="4">
                  <c:v>45011600</c:v>
                </c:pt>
                <c:pt idx="5">
                  <c:v>28430600</c:v>
                </c:pt>
                <c:pt idx="6">
                  <c:v>36735400</c:v>
                </c:pt>
                <c:pt idx="7">
                  <c:v>39965000</c:v>
                </c:pt>
                <c:pt idx="8">
                  <c:v>42638400</c:v>
                </c:pt>
                <c:pt idx="9">
                  <c:v>40540000</c:v>
                </c:pt>
                <c:pt idx="10">
                  <c:v>34572600</c:v>
                </c:pt>
                <c:pt idx="11">
                  <c:v>39547200</c:v>
                </c:pt>
                <c:pt idx="12">
                  <c:v>501137400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07A-47C7-BB59-AFC63C7AD5C2}"/>
            </c:ext>
          </c:extLst>
        </c:ser>
        <c:ser>
          <c:idx val="15"/>
          <c:order val="15"/>
          <c:tx>
            <c:strRef>
              <c:f>'2023'!$A$19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'2023'!$B$19:$N$19</c:f>
              <c:numCache>
                <c:formatCode>#,##0_ </c:formatCode>
                <c:ptCount val="13"/>
                <c:pt idx="0">
                  <c:v>22602636</c:v>
                </c:pt>
                <c:pt idx="1">
                  <c:v>78982850</c:v>
                </c:pt>
                <c:pt idx="2">
                  <c:v>23599455</c:v>
                </c:pt>
                <c:pt idx="3">
                  <c:v>23999000</c:v>
                </c:pt>
                <c:pt idx="4">
                  <c:v>24131000</c:v>
                </c:pt>
                <c:pt idx="5">
                  <c:v>27078000</c:v>
                </c:pt>
                <c:pt idx="6">
                  <c:v>16298000</c:v>
                </c:pt>
                <c:pt idx="7">
                  <c:v>17866000</c:v>
                </c:pt>
                <c:pt idx="8">
                  <c:v>25671000</c:v>
                </c:pt>
                <c:pt idx="9">
                  <c:v>24691636.800000001</c:v>
                </c:pt>
                <c:pt idx="10">
                  <c:v>71886728</c:v>
                </c:pt>
                <c:pt idx="11">
                  <c:v>75071454.5</c:v>
                </c:pt>
                <c:pt idx="12">
                  <c:v>431877760.30000001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07A-47C7-BB59-AFC63C7AD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477072"/>
        <c:axId val="1"/>
      </c:barChart>
      <c:catAx>
        <c:axId val="203047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477072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'2023'!$A$25</c:f>
              <c:strCache>
                <c:ptCount val="1"/>
                <c:pt idx="0">
                  <c:v>Film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'2023'!$B$25:$N$25</c:f>
              <c:numCache>
                <c:formatCode>#,##0_ </c:formatCode>
                <c:ptCount val="13"/>
                <c:pt idx="0">
                  <c:v>3041720</c:v>
                </c:pt>
                <c:pt idx="1">
                  <c:v>205700</c:v>
                </c:pt>
                <c:pt idx="2">
                  <c:v>-170000</c:v>
                </c:pt>
                <c:pt idx="3">
                  <c:v>601940</c:v>
                </c:pt>
                <c:pt idx="4">
                  <c:v>144000</c:v>
                </c:pt>
                <c:pt idx="5">
                  <c:v>800780</c:v>
                </c:pt>
                <c:pt idx="6">
                  <c:v>601940</c:v>
                </c:pt>
                <c:pt idx="7">
                  <c:v>695940</c:v>
                </c:pt>
                <c:pt idx="8">
                  <c:v>231940</c:v>
                </c:pt>
                <c:pt idx="9">
                  <c:v>1083580</c:v>
                </c:pt>
                <c:pt idx="10">
                  <c:v>2223060</c:v>
                </c:pt>
                <c:pt idx="11">
                  <c:v>668940</c:v>
                </c:pt>
                <c:pt idx="12">
                  <c:v>10129540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2-45D6-B098-E82E11C3F294}"/>
            </c:ext>
          </c:extLst>
        </c:ser>
        <c:ser>
          <c:idx val="1"/>
          <c:order val="1"/>
          <c:tx>
            <c:strRef>
              <c:f>'2023'!$A$26</c:f>
              <c:strCache>
                <c:ptCount val="1"/>
                <c:pt idx="0">
                  <c:v>Fount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'2023'!$B$26:$N$26</c:f>
              <c:numCache>
                <c:formatCode>#,##0_ </c:formatCode>
                <c:ptCount val="13"/>
                <c:pt idx="0">
                  <c:v>0</c:v>
                </c:pt>
                <c:pt idx="1">
                  <c:v>2442000</c:v>
                </c:pt>
                <c:pt idx="2">
                  <c:v>1035000</c:v>
                </c:pt>
                <c:pt idx="3">
                  <c:v>690000</c:v>
                </c:pt>
                <c:pt idx="4">
                  <c:v>1035000</c:v>
                </c:pt>
                <c:pt idx="5">
                  <c:v>690000</c:v>
                </c:pt>
                <c:pt idx="6">
                  <c:v>1035000</c:v>
                </c:pt>
                <c:pt idx="7">
                  <c:v>1035000</c:v>
                </c:pt>
                <c:pt idx="8">
                  <c:v>690000</c:v>
                </c:pt>
                <c:pt idx="9">
                  <c:v>2070000</c:v>
                </c:pt>
                <c:pt idx="10">
                  <c:v>1380000</c:v>
                </c:pt>
                <c:pt idx="11">
                  <c:v>1725000</c:v>
                </c:pt>
                <c:pt idx="12">
                  <c:v>13827000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42-45D6-B098-E82E11C3F294}"/>
            </c:ext>
          </c:extLst>
        </c:ser>
        <c:ser>
          <c:idx val="2"/>
          <c:order val="2"/>
          <c:tx>
            <c:strRef>
              <c:f>'2023'!$A$27</c:f>
              <c:strCache>
                <c:ptCount val="1"/>
                <c:pt idx="0">
                  <c:v>Roller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'2023'!$B$27:$N$27</c:f>
              <c:numCache>
                <c:formatCode>#,##0_ </c:formatCode>
                <c:ptCount val="13"/>
                <c:pt idx="0">
                  <c:v>2134500</c:v>
                </c:pt>
                <c:pt idx="1">
                  <c:v>0</c:v>
                </c:pt>
                <c:pt idx="2">
                  <c:v>0</c:v>
                </c:pt>
                <c:pt idx="3">
                  <c:v>2004000</c:v>
                </c:pt>
                <c:pt idx="4">
                  <c:v>3720000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1823000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9681500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42-45D6-B098-E82E11C3F294}"/>
            </c:ext>
          </c:extLst>
        </c:ser>
        <c:ser>
          <c:idx val="3"/>
          <c:order val="3"/>
          <c:tx>
            <c:strRef>
              <c:f>'2023'!$A$28</c:f>
              <c:strCache>
                <c:ptCount val="1"/>
                <c:pt idx="0">
                  <c:v>Blanket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'2023'!$B$28:$N$28</c:f>
              <c:numCache>
                <c:formatCode>#,##0_ </c:formatCode>
                <c:ptCount val="13"/>
                <c:pt idx="0">
                  <c:v>800000</c:v>
                </c:pt>
                <c:pt idx="1">
                  <c:v>1544000</c:v>
                </c:pt>
                <c:pt idx="2">
                  <c:v>3262500</c:v>
                </c:pt>
                <c:pt idx="3">
                  <c:v>3466500</c:v>
                </c:pt>
                <c:pt idx="4">
                  <c:v>1098000</c:v>
                </c:pt>
                <c:pt idx="5">
                  <c:v>1614000</c:v>
                </c:pt>
                <c:pt idx="6">
                  <c:v>1447800</c:v>
                </c:pt>
                <c:pt idx="7">
                  <c:v>1876000</c:v>
                </c:pt>
                <c:pt idx="8">
                  <c:v>1418000</c:v>
                </c:pt>
                <c:pt idx="9">
                  <c:v>1284000</c:v>
                </c:pt>
                <c:pt idx="10">
                  <c:v>2358000</c:v>
                </c:pt>
                <c:pt idx="11">
                  <c:v>1490000</c:v>
                </c:pt>
                <c:pt idx="12">
                  <c:v>21658800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42-45D6-B098-E82E11C3F294}"/>
            </c:ext>
          </c:extLst>
        </c:ser>
        <c:ser>
          <c:idx val="4"/>
          <c:order val="4"/>
          <c:tx>
            <c:strRef>
              <c:f>'2023'!$A$29</c:f>
              <c:strCache>
                <c:ptCount val="1"/>
                <c:pt idx="0">
                  <c:v>Wash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'2023'!$B$29:$N$29</c:f>
              <c:numCache>
                <c:formatCode>#,##0_ </c:formatCode>
                <c:ptCount val="13"/>
                <c:pt idx="0">
                  <c:v>4039000</c:v>
                </c:pt>
                <c:pt idx="1">
                  <c:v>4297500</c:v>
                </c:pt>
                <c:pt idx="2">
                  <c:v>4513033</c:v>
                </c:pt>
                <c:pt idx="3">
                  <c:v>1986522</c:v>
                </c:pt>
                <c:pt idx="4">
                  <c:v>7398975</c:v>
                </c:pt>
                <c:pt idx="5">
                  <c:v>3009000</c:v>
                </c:pt>
                <c:pt idx="6">
                  <c:v>3133000</c:v>
                </c:pt>
                <c:pt idx="7">
                  <c:v>3106500</c:v>
                </c:pt>
                <c:pt idx="8">
                  <c:v>3599000</c:v>
                </c:pt>
                <c:pt idx="9">
                  <c:v>4350000</c:v>
                </c:pt>
                <c:pt idx="10">
                  <c:v>4382385</c:v>
                </c:pt>
                <c:pt idx="11">
                  <c:v>6083000</c:v>
                </c:pt>
                <c:pt idx="12">
                  <c:v>49897915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42-45D6-B098-E82E11C3F294}"/>
            </c:ext>
          </c:extLst>
        </c:ser>
        <c:ser>
          <c:idx val="5"/>
          <c:order val="5"/>
          <c:tx>
            <c:strRef>
              <c:f>'2023'!$A$30</c:f>
              <c:strCache>
                <c:ptCount val="1"/>
                <c:pt idx="0">
                  <c:v>농도계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'2023'!$B$30:$N$30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42-45D6-B098-E82E11C3F294}"/>
            </c:ext>
          </c:extLst>
        </c:ser>
        <c:ser>
          <c:idx val="6"/>
          <c:order val="6"/>
          <c:tx>
            <c:strRef>
              <c:f>'2023'!$A$31</c:f>
              <c:strCache>
                <c:ptCount val="1"/>
                <c:pt idx="0">
                  <c:v>UV lamp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'2023'!$B$31:$N$31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803201.12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2722500</c:v>
                </c:pt>
                <c:pt idx="12">
                  <c:v>3525701.12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42-45D6-B098-E82E11C3F294}"/>
            </c:ext>
          </c:extLst>
        </c:ser>
        <c:ser>
          <c:idx val="7"/>
          <c:order val="7"/>
          <c:tx>
            <c:strRef>
              <c:f>'2023'!$A$32</c:f>
              <c:strCache>
                <c:ptCount val="1"/>
                <c:pt idx="0">
                  <c:v>CTP(IHK)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'2023'!$B$32:$N$32</c:f>
              <c:numCache>
                <c:formatCode>#,##0_ </c:formatCode>
                <c:ptCount val="13"/>
                <c:pt idx="0">
                  <c:v>0</c:v>
                </c:pt>
                <c:pt idx="1">
                  <c:v>484540</c:v>
                </c:pt>
                <c:pt idx="2">
                  <c:v>478400</c:v>
                </c:pt>
                <c:pt idx="3">
                  <c:v>2447200</c:v>
                </c:pt>
                <c:pt idx="4">
                  <c:v>379000</c:v>
                </c:pt>
                <c:pt idx="5">
                  <c:v>2816800</c:v>
                </c:pt>
                <c:pt idx="6">
                  <c:v>540400</c:v>
                </c:pt>
                <c:pt idx="7">
                  <c:v>2827600</c:v>
                </c:pt>
                <c:pt idx="8">
                  <c:v>478400</c:v>
                </c:pt>
                <c:pt idx="9">
                  <c:v>2438090</c:v>
                </c:pt>
                <c:pt idx="10">
                  <c:v>368040</c:v>
                </c:pt>
                <c:pt idx="11">
                  <c:v>0</c:v>
                </c:pt>
                <c:pt idx="12">
                  <c:v>13258470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42-45D6-B098-E82E11C3F294}"/>
            </c:ext>
          </c:extLst>
        </c:ser>
        <c:ser>
          <c:idx val="8"/>
          <c:order val="8"/>
          <c:tx>
            <c:strRef>
              <c:f>'2023'!$A$33</c:f>
              <c:strCache>
                <c:ptCount val="1"/>
                <c:pt idx="0">
                  <c:v>Others(IHK)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'2023'!$B$33:$N$33</c:f>
              <c:numCache>
                <c:formatCode>#,##0_ </c:formatCode>
                <c:ptCount val="13"/>
                <c:pt idx="0">
                  <c:v>4498000</c:v>
                </c:pt>
                <c:pt idx="1">
                  <c:v>3192000</c:v>
                </c:pt>
                <c:pt idx="2">
                  <c:v>4255000</c:v>
                </c:pt>
                <c:pt idx="3">
                  <c:v>3430000</c:v>
                </c:pt>
                <c:pt idx="4">
                  <c:v>3371200</c:v>
                </c:pt>
                <c:pt idx="5">
                  <c:v>2107000</c:v>
                </c:pt>
                <c:pt idx="6">
                  <c:v>2574400</c:v>
                </c:pt>
                <c:pt idx="7">
                  <c:v>2097000</c:v>
                </c:pt>
                <c:pt idx="8">
                  <c:v>2374000</c:v>
                </c:pt>
                <c:pt idx="9">
                  <c:v>2647000</c:v>
                </c:pt>
                <c:pt idx="10">
                  <c:v>3707000</c:v>
                </c:pt>
                <c:pt idx="11">
                  <c:v>5140000</c:v>
                </c:pt>
                <c:pt idx="12">
                  <c:v>39392600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42-45D6-B098-E82E11C3F294}"/>
            </c:ext>
          </c:extLst>
        </c:ser>
        <c:ser>
          <c:idx val="9"/>
          <c:order val="9"/>
          <c:tx>
            <c:strRef>
              <c:f>'2023'!$A$34</c:f>
              <c:strCache>
                <c:ptCount val="1"/>
                <c:pt idx="0">
                  <c:v>Technotrans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'2023'!$B$34:$N$34</c:f>
              <c:numCache>
                <c:formatCode>#,##0_ </c:formatCode>
                <c:ptCount val="13"/>
                <c:pt idx="0">
                  <c:v>1007819</c:v>
                </c:pt>
                <c:pt idx="1">
                  <c:v>1122800</c:v>
                </c:pt>
                <c:pt idx="2">
                  <c:v>1794000</c:v>
                </c:pt>
                <c:pt idx="3">
                  <c:v>0</c:v>
                </c:pt>
                <c:pt idx="4">
                  <c:v>260000</c:v>
                </c:pt>
                <c:pt idx="5">
                  <c:v>2210530</c:v>
                </c:pt>
                <c:pt idx="6">
                  <c:v>1260120</c:v>
                </c:pt>
                <c:pt idx="7">
                  <c:v>390000</c:v>
                </c:pt>
                <c:pt idx="8">
                  <c:v>360000</c:v>
                </c:pt>
                <c:pt idx="9">
                  <c:v>0</c:v>
                </c:pt>
                <c:pt idx="10">
                  <c:v>885410</c:v>
                </c:pt>
                <c:pt idx="11">
                  <c:v>780000</c:v>
                </c:pt>
                <c:pt idx="12">
                  <c:v>10070679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42-45D6-B098-E82E11C3F294}"/>
            </c:ext>
          </c:extLst>
        </c:ser>
        <c:ser>
          <c:idx val="10"/>
          <c:order val="10"/>
          <c:tx>
            <c:strRef>
              <c:f>'2023'!$A$35</c:f>
              <c:strCache>
                <c:ptCount val="1"/>
                <c:pt idx="0">
                  <c:v>GOSS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'2023'!$B$35:$N$35</c:f>
              <c:numCache>
                <c:formatCode>#,##0_ </c:formatCode>
                <c:ptCount val="13"/>
                <c:pt idx="0">
                  <c:v>4278200</c:v>
                </c:pt>
                <c:pt idx="1">
                  <c:v>16193478.534138054</c:v>
                </c:pt>
                <c:pt idx="2">
                  <c:v>7571670</c:v>
                </c:pt>
                <c:pt idx="3">
                  <c:v>5203073</c:v>
                </c:pt>
                <c:pt idx="4">
                  <c:v>8586040</c:v>
                </c:pt>
                <c:pt idx="5">
                  <c:v>3238038</c:v>
                </c:pt>
                <c:pt idx="6">
                  <c:v>94920</c:v>
                </c:pt>
                <c:pt idx="7">
                  <c:v>0</c:v>
                </c:pt>
                <c:pt idx="8">
                  <c:v>4007342</c:v>
                </c:pt>
                <c:pt idx="9">
                  <c:v>952200</c:v>
                </c:pt>
                <c:pt idx="10">
                  <c:v>23377364</c:v>
                </c:pt>
                <c:pt idx="11">
                  <c:v>4034059.0590717783</c:v>
                </c:pt>
                <c:pt idx="12">
                  <c:v>77536384.593209833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42-45D6-B098-E82E11C3F294}"/>
            </c:ext>
          </c:extLst>
        </c:ser>
        <c:ser>
          <c:idx val="11"/>
          <c:order val="11"/>
          <c:tx>
            <c:strRef>
              <c:f>'2023'!$A$36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'2023'!$B$36:$N$36</c:f>
              <c:numCache>
                <c:formatCode>#,##0_ </c:formatCode>
                <c:ptCount val="13"/>
                <c:pt idx="0">
                  <c:v>415000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B42-45D6-B098-E82E11C3F294}"/>
            </c:ext>
          </c:extLst>
        </c:ser>
        <c:ser>
          <c:idx val="12"/>
          <c:order val="12"/>
          <c:tx>
            <c:strRef>
              <c:f>'2023'!$A$37</c:f>
              <c:strCache>
                <c:ptCount val="1"/>
                <c:pt idx="0">
                  <c:v>Machine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'2023'!$B$37:$N$37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42-45D6-B098-E82E11C3F294}"/>
            </c:ext>
          </c:extLst>
        </c:ser>
        <c:ser>
          <c:idx val="13"/>
          <c:order val="13"/>
          <c:tx>
            <c:strRef>
              <c:f>'2023'!$A$38</c:f>
              <c:strCache>
                <c:ptCount val="1"/>
                <c:pt idx="0">
                  <c:v>Ink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'2023'!$B$38:$N$38</c:f>
              <c:numCache>
                <c:formatCode>#,##0_ </c:formatCode>
                <c:ptCount val="13"/>
                <c:pt idx="0">
                  <c:v>1353600</c:v>
                </c:pt>
                <c:pt idx="1">
                  <c:v>822400</c:v>
                </c:pt>
                <c:pt idx="2">
                  <c:v>918000</c:v>
                </c:pt>
                <c:pt idx="3">
                  <c:v>961800</c:v>
                </c:pt>
                <c:pt idx="4">
                  <c:v>822400</c:v>
                </c:pt>
                <c:pt idx="5">
                  <c:v>918000</c:v>
                </c:pt>
                <c:pt idx="6">
                  <c:v>451200</c:v>
                </c:pt>
                <c:pt idx="7">
                  <c:v>722400</c:v>
                </c:pt>
                <c:pt idx="8">
                  <c:v>656800</c:v>
                </c:pt>
                <c:pt idx="9">
                  <c:v>822400</c:v>
                </c:pt>
                <c:pt idx="10">
                  <c:v>1010500</c:v>
                </c:pt>
                <c:pt idx="11">
                  <c:v>626800</c:v>
                </c:pt>
                <c:pt idx="12">
                  <c:v>10086300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42-45D6-B098-E82E11C3F294}"/>
            </c:ext>
          </c:extLst>
        </c:ser>
        <c:ser>
          <c:idx val="14"/>
          <c:order val="14"/>
          <c:tx>
            <c:strRef>
              <c:f>'2023'!$A$39</c:f>
              <c:strCache>
                <c:ptCount val="1"/>
                <c:pt idx="0">
                  <c:v>CTP(Others)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'2023'!$B$39:$N$39</c:f>
              <c:numCache>
                <c:formatCode>#,##0_ </c:formatCode>
                <c:ptCount val="13"/>
                <c:pt idx="0">
                  <c:v>13561900</c:v>
                </c:pt>
                <c:pt idx="1">
                  <c:v>15048500</c:v>
                </c:pt>
                <c:pt idx="2">
                  <c:v>15189500</c:v>
                </c:pt>
                <c:pt idx="3">
                  <c:v>14027700</c:v>
                </c:pt>
                <c:pt idx="4">
                  <c:v>13772400</c:v>
                </c:pt>
                <c:pt idx="5">
                  <c:v>8660200</c:v>
                </c:pt>
                <c:pt idx="6">
                  <c:v>10743400</c:v>
                </c:pt>
                <c:pt idx="7">
                  <c:v>11501250</c:v>
                </c:pt>
                <c:pt idx="8">
                  <c:v>12978400</c:v>
                </c:pt>
                <c:pt idx="9">
                  <c:v>12364500</c:v>
                </c:pt>
                <c:pt idx="10">
                  <c:v>10718700</c:v>
                </c:pt>
                <c:pt idx="11">
                  <c:v>11805800</c:v>
                </c:pt>
                <c:pt idx="12">
                  <c:v>150372250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B42-45D6-B098-E82E11C3F294}"/>
            </c:ext>
          </c:extLst>
        </c:ser>
        <c:ser>
          <c:idx val="15"/>
          <c:order val="15"/>
          <c:tx>
            <c:strRef>
              <c:f>'2023'!$A$40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'2023'!$B$40:$N$40</c:f>
              <c:numCache>
                <c:formatCode>#,##0_ </c:formatCode>
                <c:ptCount val="13"/>
                <c:pt idx="0">
                  <c:v>6914285</c:v>
                </c:pt>
                <c:pt idx="1">
                  <c:v>5902640</c:v>
                </c:pt>
                <c:pt idx="2">
                  <c:v>7942411</c:v>
                </c:pt>
                <c:pt idx="3">
                  <c:v>6882500</c:v>
                </c:pt>
                <c:pt idx="4">
                  <c:v>9292018.2243055329</c:v>
                </c:pt>
                <c:pt idx="5">
                  <c:v>8760524</c:v>
                </c:pt>
                <c:pt idx="6">
                  <c:v>4802420</c:v>
                </c:pt>
                <c:pt idx="7">
                  <c:v>5285578</c:v>
                </c:pt>
                <c:pt idx="8">
                  <c:v>7451019</c:v>
                </c:pt>
                <c:pt idx="9">
                  <c:v>7369328.7999999998</c:v>
                </c:pt>
                <c:pt idx="10">
                  <c:v>30923008</c:v>
                </c:pt>
                <c:pt idx="11">
                  <c:v>9100106.5</c:v>
                </c:pt>
                <c:pt idx="12">
                  <c:v>110625838.52430554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B42-45D6-B098-E82E11C3F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479984"/>
        <c:axId val="1"/>
      </c:barChart>
      <c:catAx>
        <c:axId val="203047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47998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728278446959963"/>
          <c:y val="0.97187052716736777"/>
          <c:w val="0.43331481957269735"/>
          <c:h val="6.8682575765899312E-4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Technotrans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98347825385224"/>
          <c:y val="0.13183228995458313"/>
          <c:w val="0.86642487059833695"/>
          <c:h val="0.70725130447462536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0070C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Database!$U$4:$U$8</c:f>
              <c:numCache>
                <c:formatCode>_-"₩"* #,##0_-;\-"₩"* #,##0_-;_-"₩"* "-"_-;_-@_-</c:formatCode>
                <c:ptCount val="5"/>
                <c:pt idx="0">
                  <c:v>231635600</c:v>
                </c:pt>
                <c:pt idx="1">
                  <c:v>183600000</c:v>
                </c:pt>
                <c:pt idx="2">
                  <c:v>57520000</c:v>
                </c:pt>
                <c:pt idx="3">
                  <c:v>28850000</c:v>
                </c:pt>
                <c:pt idx="4">
                  <c:v>68925000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7-4315-AF55-4FF3BDD780B8}"/>
            </c:ext>
          </c:extLst>
        </c:ser>
        <c:ser>
          <c:idx val="1"/>
          <c:order val="1"/>
          <c:tx>
            <c:v>Margin</c:v>
          </c:tx>
          <c:spPr>
            <a:solidFill>
              <a:srgbClr val="FFC00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Database!$V$4:$V$8</c:f>
              <c:numCache>
                <c:formatCode>_-"₩"* #,##0_-;\-"₩"* #,##0_-;_-"₩"* "-"_-;_-@_-</c:formatCode>
                <c:ptCount val="5"/>
                <c:pt idx="0">
                  <c:v>48063059.879999995</c:v>
                </c:pt>
                <c:pt idx="1">
                  <c:v>75666837.38310048</c:v>
                </c:pt>
                <c:pt idx="2">
                  <c:v>22731230.664055727</c:v>
                </c:pt>
                <c:pt idx="3">
                  <c:v>9298151</c:v>
                </c:pt>
                <c:pt idx="4">
                  <c:v>20290910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B7-4315-AF55-4FF3BDD78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72912"/>
        <c:axId val="1"/>
      </c:barChart>
      <c:catAx>
        <c:axId val="203047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7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4487801534270743"/>
          <c:y val="0.93516532554088883"/>
          <c:w val="0.18505109268608644"/>
          <c:h val="1.982035152370120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Consumable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159850527609273"/>
          <c:y val="0.13504957146823554"/>
          <c:w val="0.86642487059833695"/>
          <c:h val="0.70725130447462536"/>
        </c:manualLayout>
      </c:layout>
      <c:barChart>
        <c:barDir val="col"/>
        <c:grouping val="clustered"/>
        <c:varyColors val="0"/>
        <c:ser>
          <c:idx val="1"/>
          <c:order val="0"/>
          <c:tx>
            <c:v>Sales</c:v>
          </c:tx>
          <c:spPr>
            <a:solidFill>
              <a:srgbClr val="00B05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Database!$Q$4:$Q$8</c:f>
              <c:numCache>
                <c:formatCode>_-"₩"* #,##0_-;\-"₩"* #,##0_-;_-"₩"* "-"_-;_-@_-</c:formatCode>
                <c:ptCount val="5"/>
                <c:pt idx="0">
                  <c:v>595751800</c:v>
                </c:pt>
                <c:pt idx="1">
                  <c:v>520765750</c:v>
                </c:pt>
                <c:pt idx="2">
                  <c:v>597218100</c:v>
                </c:pt>
                <c:pt idx="3">
                  <c:v>538045400</c:v>
                </c:pt>
                <c:pt idx="4">
                  <c:v>438845600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0-49AB-B3E9-811B8761EB11}"/>
            </c:ext>
          </c:extLst>
        </c:ser>
        <c:ser>
          <c:idx val="0"/>
          <c:order val="1"/>
          <c:tx>
            <c:v>Margin</c:v>
          </c:tx>
          <c:spPr>
            <a:solidFill>
              <a:srgbClr val="C0000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Database!$R$4:$R$8</c:f>
              <c:numCache>
                <c:formatCode>_-"₩"* #,##0_-;\-"₩"* #,##0_-;_-"₩"* "-"_-;_-@_-</c:formatCode>
                <c:ptCount val="5"/>
                <c:pt idx="0">
                  <c:v>141518978</c:v>
                </c:pt>
                <c:pt idx="1">
                  <c:v>130564004.17984328</c:v>
                </c:pt>
                <c:pt idx="2">
                  <c:v>146469679.42048591</c:v>
                </c:pt>
                <c:pt idx="3">
                  <c:v>135786694.53600001</c:v>
                </c:pt>
                <c:pt idx="4">
                  <c:v>120138120.76800001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0-49AB-B3E9-811B8761E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92464"/>
        <c:axId val="1"/>
      </c:barChart>
      <c:catAx>
        <c:axId val="203049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750000000"/>
          <c:min val="0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9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826040599673644"/>
          <c:y val="0.93504778248872733"/>
          <c:w val="0.13944653566348897"/>
          <c:h val="1.985617182467580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Goss/Service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98347825385224"/>
          <c:y val="0.13183228995458313"/>
          <c:w val="0.86642487059833695"/>
          <c:h val="0.70725130447462536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Database!$S$4:$S$8</c:f>
              <c:numCache>
                <c:formatCode>_-"₩"* #,##0_-;\-"₩"* #,##0_-;_-"₩"* "-"_-;_-@_-</c:formatCode>
                <c:ptCount val="5"/>
                <c:pt idx="0">
                  <c:v>236973000</c:v>
                </c:pt>
                <c:pt idx="1">
                  <c:v>329729419</c:v>
                </c:pt>
                <c:pt idx="2">
                  <c:v>346024390</c:v>
                </c:pt>
                <c:pt idx="3">
                  <c:v>421582751</c:v>
                </c:pt>
                <c:pt idx="4">
                  <c:v>346207454.27272725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2-4238-BF14-9F0C3F7E5B6D}"/>
            </c:ext>
          </c:extLst>
        </c:ser>
        <c:ser>
          <c:idx val="1"/>
          <c:order val="1"/>
          <c:tx>
            <c:v>Margin</c:v>
          </c:tx>
          <c:spPr>
            <a:solidFill>
              <a:schemeClr val="bg2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Database!$T$4:$T$8</c:f>
              <c:numCache>
                <c:formatCode>_-"₩"* #,##0_-;\-"₩"* #,##0_-;_-"₩"* "-"_-;_-@_-</c:formatCode>
                <c:ptCount val="5"/>
                <c:pt idx="0">
                  <c:v>128813921.63146177</c:v>
                </c:pt>
                <c:pt idx="1">
                  <c:v>123274386.50168943</c:v>
                </c:pt>
                <c:pt idx="2">
                  <c:v>133770832.61794695</c:v>
                </c:pt>
                <c:pt idx="3">
                  <c:v>138525161.8522045</c:v>
                </c:pt>
                <c:pt idx="4">
                  <c:v>63902477.272727273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2-4238-BF14-9F0C3F7E5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93296"/>
        <c:axId val="1"/>
      </c:barChart>
      <c:catAx>
        <c:axId val="203049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9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312007874015745"/>
          <c:y val="0.92795779412399781"/>
          <c:w val="0.18519098464964601"/>
          <c:h val="1.982035152370120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69578847920392"/>
          <c:y val="5.0506042207839823E-2"/>
          <c:w val="0.77212958089652683"/>
          <c:h val="0.89204880295460343"/>
        </c:manualLayout>
      </c:layout>
      <c:areaChart>
        <c:grouping val="stacked"/>
        <c:varyColors val="0"/>
        <c:ser>
          <c:idx val="1"/>
          <c:order val="0"/>
          <c:tx>
            <c:v>2019년 매출</c:v>
          </c:tx>
          <c:spPr>
            <a:solidFill>
              <a:srgbClr val="C0504D"/>
            </a:solidFill>
            <a:ln w="25400">
              <a:noFill/>
            </a:ln>
          </c:spPr>
          <c:val>
            <c:numRef>
              <c:f>Database!$N$28:$N$39</c:f>
              <c:numCache>
                <c:formatCode>_-"₩"* #,##0_-;\-"₩"* #,##0_-;_-"₩"* "-"_-;_-@_-</c:formatCode>
                <c:ptCount val="12"/>
                <c:pt idx="0">
                  <c:v>238294300</c:v>
                </c:pt>
                <c:pt idx="1">
                  <c:v>133146500</c:v>
                </c:pt>
                <c:pt idx="2">
                  <c:v>193511400</c:v>
                </c:pt>
                <c:pt idx="3">
                  <c:v>172231300</c:v>
                </c:pt>
                <c:pt idx="4">
                  <c:v>133602890</c:v>
                </c:pt>
                <c:pt idx="5">
                  <c:v>242224550</c:v>
                </c:pt>
                <c:pt idx="6">
                  <c:v>147826000</c:v>
                </c:pt>
                <c:pt idx="7">
                  <c:v>188247790</c:v>
                </c:pt>
                <c:pt idx="8">
                  <c:v>124816600</c:v>
                </c:pt>
                <c:pt idx="9">
                  <c:v>151781500</c:v>
                </c:pt>
                <c:pt idx="10">
                  <c:v>176187000</c:v>
                </c:pt>
                <c:pt idx="11">
                  <c:v>180968600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D-4B00-B5AA-1CF1EF9A35B1}"/>
            </c:ext>
          </c:extLst>
        </c:ser>
        <c:ser>
          <c:idx val="2"/>
          <c:order val="1"/>
          <c:tx>
            <c:v>2020년 매출</c:v>
          </c:tx>
          <c:spPr>
            <a:solidFill>
              <a:srgbClr val="9BBB59"/>
            </a:solidFill>
            <a:ln w="25400">
              <a:noFill/>
            </a:ln>
          </c:spPr>
          <c:val>
            <c:numRef>
              <c:f>Database!$N$40:$N$51</c:f>
              <c:numCache>
                <c:formatCode>_-"₩"* #,##0_-;\-"₩"* #,##0_-;_-"₩"* "-"_-;_-@_-</c:formatCode>
                <c:ptCount val="12"/>
                <c:pt idx="0">
                  <c:v>158732888</c:v>
                </c:pt>
                <c:pt idx="1">
                  <c:v>186549000</c:v>
                </c:pt>
                <c:pt idx="2">
                  <c:v>171061000</c:v>
                </c:pt>
                <c:pt idx="3">
                  <c:v>223123063</c:v>
                </c:pt>
                <c:pt idx="4">
                  <c:v>138571000</c:v>
                </c:pt>
                <c:pt idx="5">
                  <c:v>225317000</c:v>
                </c:pt>
                <c:pt idx="6">
                  <c:v>124621500</c:v>
                </c:pt>
                <c:pt idx="7">
                  <c:v>119425400</c:v>
                </c:pt>
                <c:pt idx="8">
                  <c:v>220663200</c:v>
                </c:pt>
                <c:pt idx="9">
                  <c:v>150104500</c:v>
                </c:pt>
                <c:pt idx="10">
                  <c:v>224611400</c:v>
                </c:pt>
                <c:pt idx="11">
                  <c:v>206631436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D-4B00-B5AA-1CF1EF9A35B1}"/>
            </c:ext>
          </c:extLst>
        </c:ser>
        <c:ser>
          <c:idx val="3"/>
          <c:order val="2"/>
          <c:tx>
            <c:v>2021년 매출</c:v>
          </c:tx>
          <c:spPr>
            <a:solidFill>
              <a:srgbClr val="8064A2"/>
            </a:solidFill>
            <a:ln w="25400">
              <a:noFill/>
            </a:ln>
          </c:spPr>
          <c:val>
            <c:numRef>
              <c:f>Database!$N$52:$N$63</c:f>
              <c:numCache>
                <c:formatCode>_-"₩"* #,##0_-;\-"₩"* #,##0_-;_-"₩"* "-"_-;_-@_-</c:formatCode>
                <c:ptCount val="12"/>
                <c:pt idx="0">
                  <c:v>151913900</c:v>
                </c:pt>
                <c:pt idx="1">
                  <c:v>164613127.27272728</c:v>
                </c:pt>
                <c:pt idx="2">
                  <c:v>201076056</c:v>
                </c:pt>
                <c:pt idx="3">
                  <c:v>173341000</c:v>
                </c:pt>
                <c:pt idx="4">
                  <c:v>220952500</c:v>
                </c:pt>
                <c:pt idx="5">
                  <c:v>172918273</c:v>
                </c:pt>
                <c:pt idx="6">
                  <c:v>165069500</c:v>
                </c:pt>
                <c:pt idx="7">
                  <c:v>212331500</c:v>
                </c:pt>
                <c:pt idx="8">
                  <c:v>138202661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5D-4B00-B5AA-1CF1EF9A3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495792"/>
        <c:axId val="1"/>
      </c:areaChart>
      <c:catAx>
        <c:axId val="203049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49579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Total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392071252592383"/>
          <c:y val="0.1452088169007808"/>
          <c:w val="0.83628884800332148"/>
          <c:h val="0.76114326893134288"/>
        </c:manualLayout>
      </c:layout>
      <c:barChart>
        <c:barDir val="col"/>
        <c:grouping val="clustered"/>
        <c:varyColors val="0"/>
        <c:ser>
          <c:idx val="0"/>
          <c:order val="0"/>
          <c:tx>
            <c:v>Total Sales</c:v>
          </c:tx>
          <c:spPr>
            <a:solidFill>
              <a:srgbClr val="FFC00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Database!$P$4:$P$7</c:f>
              <c:strCache>
                <c:ptCount val="4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</c:strCache>
            </c:strRef>
          </c:cat>
          <c:val>
            <c:numRef>
              <c:f>Database!$Y$4:$Y$8</c:f>
              <c:numCache>
                <c:formatCode>_-"₩"* #,##0_-;\-"₩"* #,##0_-;_-"₩"* "-"_-;_-@_-</c:formatCode>
                <c:ptCount val="5"/>
                <c:pt idx="0">
                  <c:v>1491179800</c:v>
                </c:pt>
                <c:pt idx="1">
                  <c:v>1917810393</c:v>
                </c:pt>
                <c:pt idx="2">
                  <c:v>2082838430</c:v>
                </c:pt>
                <c:pt idx="3">
                  <c:v>2149411387</c:v>
                </c:pt>
                <c:pt idx="4">
                  <c:v>1600418517.2727273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0-482D-88CA-E073E7C218B6}"/>
            </c:ext>
          </c:extLst>
        </c:ser>
        <c:ser>
          <c:idx val="1"/>
          <c:order val="1"/>
          <c:tx>
            <c:v>Total Margin</c:v>
          </c:tx>
          <c:spPr>
            <a:solidFill>
              <a:srgbClr val="7030A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Database!$P$4:$P$7</c:f>
              <c:strCache>
                <c:ptCount val="4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</c:strCache>
            </c:strRef>
          </c:cat>
          <c:val>
            <c:numRef>
              <c:f>Database!$Z$4:$Z$7</c:f>
              <c:numCache>
                <c:formatCode>_-"₩"* #,##0_-;\-"₩"* #,##0_-;_-"₩"* "-"_-;_-@_-</c:formatCode>
                <c:ptCount val="4"/>
                <c:pt idx="0">
                  <c:v>337179226.51146173</c:v>
                </c:pt>
                <c:pt idx="1">
                  <c:v>438434090.55769742</c:v>
                </c:pt>
                <c:pt idx="2">
                  <c:v>587371778.05564868</c:v>
                </c:pt>
                <c:pt idx="3">
                  <c:v>578053996.58732569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E0-482D-88CA-E073E7C21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81648"/>
        <c:axId val="1"/>
      </c:barChart>
      <c:catAx>
        <c:axId val="203048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8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149115542527135"/>
          <c:y val="0.93696708843752863"/>
          <c:w val="0.15847026321209012"/>
          <c:h val="1.9820351523701207E-2"/>
        </c:manualLayout>
      </c:layout>
      <c:overlay val="0"/>
    </c:legend>
    <c:plotVisOnly val="0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/>
              <a:t>Sales</a:t>
            </a:r>
            <a:endParaRPr lang="ko-KR" sz="2400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'2020'!$A$4</c:f>
              <c:strCache>
                <c:ptCount val="1"/>
                <c:pt idx="0">
                  <c:v>Film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'2020'!$B$4:$N$4</c:f>
              <c:numCache>
                <c:formatCode>#,##0_ </c:formatCode>
                <c:ptCount val="13"/>
                <c:pt idx="0">
                  <c:v>2352000</c:v>
                </c:pt>
                <c:pt idx="1">
                  <c:v>2445000</c:v>
                </c:pt>
                <c:pt idx="2">
                  <c:v>9799000</c:v>
                </c:pt>
                <c:pt idx="3">
                  <c:v>287000</c:v>
                </c:pt>
                <c:pt idx="4">
                  <c:v>0</c:v>
                </c:pt>
                <c:pt idx="5">
                  <c:v>2598000</c:v>
                </c:pt>
                <c:pt idx="6">
                  <c:v>2445000</c:v>
                </c:pt>
                <c:pt idx="7">
                  <c:v>2557000</c:v>
                </c:pt>
                <c:pt idx="8">
                  <c:v>2445000</c:v>
                </c:pt>
                <c:pt idx="9">
                  <c:v>2557000</c:v>
                </c:pt>
                <c:pt idx="10">
                  <c:v>4890000</c:v>
                </c:pt>
                <c:pt idx="11">
                  <c:v>4950000</c:v>
                </c:pt>
                <c:pt idx="12">
                  <c:v>37325000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A-43A5-AD84-E1CA3B5593C9}"/>
            </c:ext>
          </c:extLst>
        </c:ser>
        <c:ser>
          <c:idx val="1"/>
          <c:order val="1"/>
          <c:tx>
            <c:strRef>
              <c:f>'2020'!$A$5</c:f>
              <c:strCache>
                <c:ptCount val="1"/>
                <c:pt idx="0">
                  <c:v>Fount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8A-43A5-AD84-E1CA3B5593C9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'2020'!$B$5:$N$5</c:f>
              <c:numCache>
                <c:formatCode>#,##0_ </c:formatCode>
                <c:ptCount val="13"/>
                <c:pt idx="0">
                  <c:v>2502500</c:v>
                </c:pt>
                <c:pt idx="1">
                  <c:v>0</c:v>
                </c:pt>
                <c:pt idx="2">
                  <c:v>0</c:v>
                </c:pt>
                <c:pt idx="3">
                  <c:v>962500</c:v>
                </c:pt>
                <c:pt idx="4">
                  <c:v>2887500</c:v>
                </c:pt>
                <c:pt idx="5">
                  <c:v>962500</c:v>
                </c:pt>
                <c:pt idx="6">
                  <c:v>1502500</c:v>
                </c:pt>
                <c:pt idx="7">
                  <c:v>1925000</c:v>
                </c:pt>
                <c:pt idx="8">
                  <c:v>962500</c:v>
                </c:pt>
                <c:pt idx="9">
                  <c:v>2887500</c:v>
                </c:pt>
                <c:pt idx="10">
                  <c:v>3850000</c:v>
                </c:pt>
                <c:pt idx="11">
                  <c:v>5775000</c:v>
                </c:pt>
                <c:pt idx="12">
                  <c:v>24217500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8A-43A5-AD84-E1CA3B5593C9}"/>
            </c:ext>
          </c:extLst>
        </c:ser>
        <c:ser>
          <c:idx val="2"/>
          <c:order val="2"/>
          <c:tx>
            <c:strRef>
              <c:f>'2020'!$A$6</c:f>
              <c:strCache>
                <c:ptCount val="1"/>
                <c:pt idx="0">
                  <c:v>Roller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8A-43A5-AD84-E1CA3B5593C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8A-43A5-AD84-E1CA3B5593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8A-43A5-AD84-E1CA3B5593C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8A-43A5-AD84-E1CA3B5593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8A-43A5-AD84-E1CA3B5593C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8A-43A5-AD84-E1CA3B5593C9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'2020'!$B$6:$N$6</c:f>
              <c:numCache>
                <c:formatCode>#,##0_ </c:formatCode>
                <c:ptCount val="13"/>
                <c:pt idx="0">
                  <c:v>0</c:v>
                </c:pt>
                <c:pt idx="1">
                  <c:v>10050000</c:v>
                </c:pt>
                <c:pt idx="2">
                  <c:v>0</c:v>
                </c:pt>
                <c:pt idx="3">
                  <c:v>10480000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20900000</c:v>
                </c:pt>
                <c:pt idx="9">
                  <c:v>12400000</c:v>
                </c:pt>
                <c:pt idx="10">
                  <c:v>5420000</c:v>
                </c:pt>
                <c:pt idx="11">
                  <c:v>5080000</c:v>
                </c:pt>
                <c:pt idx="12">
                  <c:v>64330000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8A-43A5-AD84-E1CA3B5593C9}"/>
            </c:ext>
          </c:extLst>
        </c:ser>
        <c:ser>
          <c:idx val="3"/>
          <c:order val="3"/>
          <c:tx>
            <c:strRef>
              <c:f>'2020'!$A$7</c:f>
              <c:strCache>
                <c:ptCount val="1"/>
                <c:pt idx="0">
                  <c:v>Blanket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'2020'!$B$7:$N$7</c:f>
              <c:numCache>
                <c:formatCode>#,##0_ </c:formatCode>
                <c:ptCount val="13"/>
                <c:pt idx="0">
                  <c:v>6374000</c:v>
                </c:pt>
                <c:pt idx="1">
                  <c:v>7499000</c:v>
                </c:pt>
                <c:pt idx="2">
                  <c:v>9674000</c:v>
                </c:pt>
                <c:pt idx="3">
                  <c:v>5096000</c:v>
                </c:pt>
                <c:pt idx="4">
                  <c:v>5140000</c:v>
                </c:pt>
                <c:pt idx="5">
                  <c:v>6062000</c:v>
                </c:pt>
                <c:pt idx="6">
                  <c:v>6847000</c:v>
                </c:pt>
                <c:pt idx="7">
                  <c:v>6276000</c:v>
                </c:pt>
                <c:pt idx="8">
                  <c:v>7304000</c:v>
                </c:pt>
                <c:pt idx="9">
                  <c:v>5754000</c:v>
                </c:pt>
                <c:pt idx="10">
                  <c:v>4080000</c:v>
                </c:pt>
                <c:pt idx="11">
                  <c:v>7552000</c:v>
                </c:pt>
                <c:pt idx="12">
                  <c:v>77658000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8A-43A5-AD84-E1CA3B5593C9}"/>
            </c:ext>
          </c:extLst>
        </c:ser>
        <c:ser>
          <c:idx val="4"/>
          <c:order val="4"/>
          <c:tx>
            <c:strRef>
              <c:f>'2020'!$A$8</c:f>
              <c:strCache>
                <c:ptCount val="1"/>
                <c:pt idx="0">
                  <c:v>Wash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'2020'!$B$8:$N$8</c:f>
              <c:numCache>
                <c:formatCode>#,##0_ </c:formatCode>
                <c:ptCount val="13"/>
                <c:pt idx="0">
                  <c:v>16715000</c:v>
                </c:pt>
                <c:pt idx="1">
                  <c:v>14486000</c:v>
                </c:pt>
                <c:pt idx="2">
                  <c:v>14466000</c:v>
                </c:pt>
                <c:pt idx="3">
                  <c:v>19758000</c:v>
                </c:pt>
                <c:pt idx="4">
                  <c:v>11719000</c:v>
                </c:pt>
                <c:pt idx="5">
                  <c:v>5910000</c:v>
                </c:pt>
                <c:pt idx="6">
                  <c:v>9342000</c:v>
                </c:pt>
                <c:pt idx="7">
                  <c:v>15634000</c:v>
                </c:pt>
                <c:pt idx="8">
                  <c:v>13088000</c:v>
                </c:pt>
                <c:pt idx="9">
                  <c:v>12370000</c:v>
                </c:pt>
                <c:pt idx="10">
                  <c:v>14852000</c:v>
                </c:pt>
                <c:pt idx="11">
                  <c:v>17000000</c:v>
                </c:pt>
                <c:pt idx="12">
                  <c:v>165340000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08A-43A5-AD84-E1CA3B5593C9}"/>
            </c:ext>
          </c:extLst>
        </c:ser>
        <c:ser>
          <c:idx val="5"/>
          <c:order val="5"/>
          <c:tx>
            <c:strRef>
              <c:f>'2020'!$A$9</c:f>
              <c:strCache>
                <c:ptCount val="1"/>
                <c:pt idx="0">
                  <c:v>농도계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</c:spPr>
          <c:invertIfNegative val="0"/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'2020'!$B$9:$N$9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08A-43A5-AD84-E1CA3B5593C9}"/>
            </c:ext>
          </c:extLst>
        </c:ser>
        <c:ser>
          <c:idx val="6"/>
          <c:order val="6"/>
          <c:tx>
            <c:strRef>
              <c:f>'2020'!$A$10</c:f>
              <c:strCache>
                <c:ptCount val="1"/>
                <c:pt idx="0">
                  <c:v>UV lamp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8A-43A5-AD84-E1CA3B5593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08A-43A5-AD84-E1CA3B5593C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08A-43A5-AD84-E1CA3B5593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08A-43A5-AD84-E1CA3B5593C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08A-43A5-AD84-E1CA3B5593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08A-43A5-AD84-E1CA3B5593C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08A-43A5-AD84-E1CA3B5593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08A-43A5-AD84-E1CA3B5593C9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'2020'!$B$10:$N$10</c:f>
              <c:numCache>
                <c:formatCode>#,##0_ </c:formatCode>
                <c:ptCount val="13"/>
                <c:pt idx="0">
                  <c:v>-6500000</c:v>
                </c:pt>
                <c:pt idx="1">
                  <c:v>1300000</c:v>
                </c:pt>
                <c:pt idx="2">
                  <c:v>3050000</c:v>
                </c:pt>
                <c:pt idx="3">
                  <c:v>15440000</c:v>
                </c:pt>
                <c:pt idx="4">
                  <c:v>2100000</c:v>
                </c:pt>
                <c:pt idx="5">
                  <c:v>4450000</c:v>
                </c:pt>
                <c:pt idx="6">
                  <c:v>5100000</c:v>
                </c:pt>
                <c:pt idx="7">
                  <c:v>1220000</c:v>
                </c:pt>
                <c:pt idx="8">
                  <c:v>5490000</c:v>
                </c:pt>
                <c:pt idx="9">
                  <c:v>3930000</c:v>
                </c:pt>
                <c:pt idx="10">
                  <c:v>610000</c:v>
                </c:pt>
                <c:pt idx="11">
                  <c:v>4880000</c:v>
                </c:pt>
                <c:pt idx="12">
                  <c:v>41070000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08A-43A5-AD84-E1CA3B5593C9}"/>
            </c:ext>
          </c:extLst>
        </c:ser>
        <c:ser>
          <c:idx val="7"/>
          <c:order val="7"/>
          <c:tx>
            <c:strRef>
              <c:f>'2020'!$A$11</c:f>
              <c:strCache>
                <c:ptCount val="1"/>
                <c:pt idx="0">
                  <c:v>CTP(IHK)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'2020'!$B$11:$N$11</c:f>
              <c:numCache>
                <c:formatCode>#,##0_ </c:formatCode>
                <c:ptCount val="13"/>
                <c:pt idx="0">
                  <c:v>4170000</c:v>
                </c:pt>
                <c:pt idx="1">
                  <c:v>1894000</c:v>
                </c:pt>
                <c:pt idx="2">
                  <c:v>8194000</c:v>
                </c:pt>
                <c:pt idx="3">
                  <c:v>2158400</c:v>
                </c:pt>
                <c:pt idx="4">
                  <c:v>1710000</c:v>
                </c:pt>
                <c:pt idx="5">
                  <c:v>2870100</c:v>
                </c:pt>
                <c:pt idx="6">
                  <c:v>3788000</c:v>
                </c:pt>
                <c:pt idx="7">
                  <c:v>4870400</c:v>
                </c:pt>
                <c:pt idx="8">
                  <c:v>3604000</c:v>
                </c:pt>
                <c:pt idx="9">
                  <c:v>5834000</c:v>
                </c:pt>
                <c:pt idx="10">
                  <c:v>3821000</c:v>
                </c:pt>
                <c:pt idx="11">
                  <c:v>5498000</c:v>
                </c:pt>
                <c:pt idx="12">
                  <c:v>48411900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08A-43A5-AD84-E1CA3B5593C9}"/>
            </c:ext>
          </c:extLst>
        </c:ser>
        <c:ser>
          <c:idx val="8"/>
          <c:order val="8"/>
          <c:tx>
            <c:strRef>
              <c:f>'2020'!$A$12</c:f>
              <c:strCache>
                <c:ptCount val="1"/>
                <c:pt idx="0">
                  <c:v>Others(IHK)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'2020'!$B$12:$N$12</c:f>
              <c:numCache>
                <c:formatCode>#,##0_ </c:formatCode>
                <c:ptCount val="13"/>
                <c:pt idx="0">
                  <c:v>3475000</c:v>
                </c:pt>
                <c:pt idx="1">
                  <c:v>3433000</c:v>
                </c:pt>
                <c:pt idx="2">
                  <c:v>3220000</c:v>
                </c:pt>
                <c:pt idx="3">
                  <c:v>9388000</c:v>
                </c:pt>
                <c:pt idx="4">
                  <c:v>3814000</c:v>
                </c:pt>
                <c:pt idx="5">
                  <c:v>4395000</c:v>
                </c:pt>
                <c:pt idx="6">
                  <c:v>3035000</c:v>
                </c:pt>
                <c:pt idx="7">
                  <c:v>1875000</c:v>
                </c:pt>
                <c:pt idx="8">
                  <c:v>18049000</c:v>
                </c:pt>
                <c:pt idx="9">
                  <c:v>4135000</c:v>
                </c:pt>
                <c:pt idx="10">
                  <c:v>9814000</c:v>
                </c:pt>
                <c:pt idx="11">
                  <c:v>8560000</c:v>
                </c:pt>
                <c:pt idx="12">
                  <c:v>73193000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08A-43A5-AD84-E1CA3B5593C9}"/>
            </c:ext>
          </c:extLst>
        </c:ser>
        <c:ser>
          <c:idx val="9"/>
          <c:order val="9"/>
          <c:tx>
            <c:strRef>
              <c:f>'2020'!$A$13</c:f>
              <c:strCache>
                <c:ptCount val="1"/>
                <c:pt idx="0">
                  <c:v>Technotrans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'2020'!$B$13:$N$13</c:f>
              <c:numCache>
                <c:formatCode>#,##0_ </c:formatCode>
                <c:ptCount val="13"/>
                <c:pt idx="0">
                  <c:v>2400000</c:v>
                </c:pt>
                <c:pt idx="1">
                  <c:v>400000</c:v>
                </c:pt>
                <c:pt idx="2">
                  <c:v>7800000</c:v>
                </c:pt>
                <c:pt idx="3">
                  <c:v>0</c:v>
                </c:pt>
                <c:pt idx="4">
                  <c:v>300000</c:v>
                </c:pt>
                <c:pt idx="5">
                  <c:v>1100000</c:v>
                </c:pt>
                <c:pt idx="6">
                  <c:v>2500000</c:v>
                </c:pt>
                <c:pt idx="7">
                  <c:v>1390000</c:v>
                </c:pt>
                <c:pt idx="8">
                  <c:v>600000</c:v>
                </c:pt>
                <c:pt idx="9">
                  <c:v>4000000</c:v>
                </c:pt>
                <c:pt idx="10">
                  <c:v>3080000</c:v>
                </c:pt>
                <c:pt idx="11">
                  <c:v>4400000</c:v>
                </c:pt>
                <c:pt idx="12">
                  <c:v>27970000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08A-43A5-AD84-E1CA3B5593C9}"/>
            </c:ext>
          </c:extLst>
        </c:ser>
        <c:ser>
          <c:idx val="10"/>
          <c:order val="10"/>
          <c:tx>
            <c:strRef>
              <c:f>'2020'!$A$14</c:f>
              <c:strCache>
                <c:ptCount val="1"/>
                <c:pt idx="0">
                  <c:v>GOSS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'2020'!$B$14:$N$14</c:f>
              <c:numCache>
                <c:formatCode>#,##0_ </c:formatCode>
                <c:ptCount val="13"/>
                <c:pt idx="0">
                  <c:v>6550000</c:v>
                </c:pt>
                <c:pt idx="1">
                  <c:v>32473000</c:v>
                </c:pt>
                <c:pt idx="2">
                  <c:v>10006000</c:v>
                </c:pt>
                <c:pt idx="3">
                  <c:v>81036363</c:v>
                </c:pt>
                <c:pt idx="4">
                  <c:v>20480000</c:v>
                </c:pt>
                <c:pt idx="5">
                  <c:v>32580000</c:v>
                </c:pt>
                <c:pt idx="6">
                  <c:v>22490000</c:v>
                </c:pt>
                <c:pt idx="7">
                  <c:v>2600000</c:v>
                </c:pt>
                <c:pt idx="8">
                  <c:v>24534000</c:v>
                </c:pt>
                <c:pt idx="9">
                  <c:v>15993500</c:v>
                </c:pt>
                <c:pt idx="10">
                  <c:v>33914000</c:v>
                </c:pt>
                <c:pt idx="11">
                  <c:v>13400000</c:v>
                </c:pt>
                <c:pt idx="12">
                  <c:v>296056863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08A-43A5-AD84-E1CA3B5593C9}"/>
            </c:ext>
          </c:extLst>
        </c:ser>
        <c:ser>
          <c:idx val="11"/>
          <c:order val="11"/>
          <c:tx>
            <c:strRef>
              <c:f>'2020'!$A$15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'2020'!$B$15:$N$15</c:f>
              <c:numCache>
                <c:formatCode>#,##0_ </c:formatCode>
                <c:ptCount val="13"/>
                <c:pt idx="0">
                  <c:v>10025888</c:v>
                </c:pt>
                <c:pt idx="1">
                  <c:v>2400000</c:v>
                </c:pt>
                <c:pt idx="2">
                  <c:v>22500000</c:v>
                </c:pt>
                <c:pt idx="3">
                  <c:v>3050000</c:v>
                </c:pt>
                <c:pt idx="4">
                  <c:v>23500000</c:v>
                </c:pt>
                <c:pt idx="5">
                  <c:v>3100000</c:v>
                </c:pt>
                <c:pt idx="6">
                  <c:v>0</c:v>
                </c:pt>
                <c:pt idx="7">
                  <c:v>7000000</c:v>
                </c:pt>
                <c:pt idx="8">
                  <c:v>3650000</c:v>
                </c:pt>
                <c:pt idx="9">
                  <c:v>2500000</c:v>
                </c:pt>
                <c:pt idx="10">
                  <c:v>40700000</c:v>
                </c:pt>
                <c:pt idx="11">
                  <c:v>7100000</c:v>
                </c:pt>
                <c:pt idx="12">
                  <c:v>125525888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08A-43A5-AD84-E1CA3B5593C9}"/>
            </c:ext>
          </c:extLst>
        </c:ser>
        <c:ser>
          <c:idx val="12"/>
          <c:order val="12"/>
          <c:tx>
            <c:strRef>
              <c:f>'2020'!$A$16</c:f>
              <c:strCache>
                <c:ptCount val="1"/>
                <c:pt idx="0">
                  <c:v>Machine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'2020'!$B$16:$N$16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45000000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08A-43A5-AD84-E1CA3B5593C9}"/>
            </c:ext>
          </c:extLst>
        </c:ser>
        <c:ser>
          <c:idx val="13"/>
          <c:order val="13"/>
          <c:tx>
            <c:strRef>
              <c:f>'2020'!$A$17</c:f>
              <c:strCache>
                <c:ptCount val="1"/>
                <c:pt idx="0">
                  <c:v>Ink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'2020'!$B$17:$N$17</c:f>
              <c:numCache>
                <c:formatCode>#,##0_ </c:formatCode>
                <c:ptCount val="13"/>
                <c:pt idx="0">
                  <c:v>16310000</c:v>
                </c:pt>
                <c:pt idx="1">
                  <c:v>12755000</c:v>
                </c:pt>
                <c:pt idx="2">
                  <c:v>8440000</c:v>
                </c:pt>
                <c:pt idx="3">
                  <c:v>9970000</c:v>
                </c:pt>
                <c:pt idx="4">
                  <c:v>8125000</c:v>
                </c:pt>
                <c:pt idx="5">
                  <c:v>9785000</c:v>
                </c:pt>
                <c:pt idx="6">
                  <c:v>17030000</c:v>
                </c:pt>
                <c:pt idx="7">
                  <c:v>8635000</c:v>
                </c:pt>
                <c:pt idx="8">
                  <c:v>9665000</c:v>
                </c:pt>
                <c:pt idx="9">
                  <c:v>10225000</c:v>
                </c:pt>
                <c:pt idx="10">
                  <c:v>10955000</c:v>
                </c:pt>
                <c:pt idx="11">
                  <c:v>14405000</c:v>
                </c:pt>
                <c:pt idx="12">
                  <c:v>136300000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08A-43A5-AD84-E1CA3B5593C9}"/>
            </c:ext>
          </c:extLst>
        </c:ser>
        <c:ser>
          <c:idx val="14"/>
          <c:order val="14"/>
          <c:tx>
            <c:strRef>
              <c:f>'2020'!$A$18</c:f>
              <c:strCache>
                <c:ptCount val="1"/>
                <c:pt idx="0">
                  <c:v>CTP(Others)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'2020'!$B$18:$N$18</c:f>
              <c:numCache>
                <c:formatCode>#,##0_ </c:formatCode>
                <c:ptCount val="13"/>
                <c:pt idx="0">
                  <c:v>64555500</c:v>
                </c:pt>
                <c:pt idx="1">
                  <c:v>71270000</c:v>
                </c:pt>
                <c:pt idx="2">
                  <c:v>49126000</c:v>
                </c:pt>
                <c:pt idx="3">
                  <c:v>54359500</c:v>
                </c:pt>
                <c:pt idx="4">
                  <c:v>51012500</c:v>
                </c:pt>
                <c:pt idx="5">
                  <c:v>55471500</c:v>
                </c:pt>
                <c:pt idx="6">
                  <c:v>49204000</c:v>
                </c:pt>
                <c:pt idx="7">
                  <c:v>48498000</c:v>
                </c:pt>
                <c:pt idx="8">
                  <c:v>49575500</c:v>
                </c:pt>
                <c:pt idx="9">
                  <c:v>47854500</c:v>
                </c:pt>
                <c:pt idx="10">
                  <c:v>74417800</c:v>
                </c:pt>
                <c:pt idx="11">
                  <c:v>65416000</c:v>
                </c:pt>
                <c:pt idx="12">
                  <c:v>680760800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08A-43A5-AD84-E1CA3B5593C9}"/>
            </c:ext>
          </c:extLst>
        </c:ser>
        <c:ser>
          <c:idx val="15"/>
          <c:order val="15"/>
          <c:tx>
            <c:strRef>
              <c:f>'2020'!$A$19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'2020'!$B$19:$N$19</c:f>
              <c:numCache>
                <c:formatCode>#,##0_ </c:formatCode>
                <c:ptCount val="13"/>
                <c:pt idx="0">
                  <c:v>23303000</c:v>
                </c:pt>
                <c:pt idx="1">
                  <c:v>26144000</c:v>
                </c:pt>
                <c:pt idx="2">
                  <c:v>24786000</c:v>
                </c:pt>
                <c:pt idx="3">
                  <c:v>10837300</c:v>
                </c:pt>
                <c:pt idx="4">
                  <c:v>6983000</c:v>
                </c:pt>
                <c:pt idx="5">
                  <c:v>94632900</c:v>
                </c:pt>
                <c:pt idx="6">
                  <c:v>7955900</c:v>
                </c:pt>
                <c:pt idx="7">
                  <c:v>17735000</c:v>
                </c:pt>
                <c:pt idx="8">
                  <c:v>16126200</c:v>
                </c:pt>
                <c:pt idx="9">
                  <c:v>19664000</c:v>
                </c:pt>
                <c:pt idx="10">
                  <c:v>14207600</c:v>
                </c:pt>
                <c:pt idx="11">
                  <c:v>42615436</c:v>
                </c:pt>
                <c:pt idx="12">
                  <c:v>304990336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08A-43A5-AD84-E1CA3B559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490384"/>
        <c:axId val="1"/>
      </c:barChart>
      <c:catAx>
        <c:axId val="203049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49038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'2020'!$A$25</c:f>
              <c:strCache>
                <c:ptCount val="1"/>
                <c:pt idx="0">
                  <c:v>Film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'2020'!$B$25:$N$25</c:f>
              <c:numCache>
                <c:formatCode>#,##0_ </c:formatCode>
                <c:ptCount val="13"/>
                <c:pt idx="0">
                  <c:v>445860</c:v>
                </c:pt>
                <c:pt idx="1">
                  <c:v>478860</c:v>
                </c:pt>
                <c:pt idx="2">
                  <c:v>1929440</c:v>
                </c:pt>
                <c:pt idx="3">
                  <c:v>112000</c:v>
                </c:pt>
                <c:pt idx="4">
                  <c:v>0</c:v>
                </c:pt>
                <c:pt idx="5">
                  <c:v>541860</c:v>
                </c:pt>
                <c:pt idx="6">
                  <c:v>478860</c:v>
                </c:pt>
                <c:pt idx="7">
                  <c:v>525860</c:v>
                </c:pt>
                <c:pt idx="8">
                  <c:v>478860</c:v>
                </c:pt>
                <c:pt idx="9">
                  <c:v>525860</c:v>
                </c:pt>
                <c:pt idx="10">
                  <c:v>957720</c:v>
                </c:pt>
                <c:pt idx="11">
                  <c:v>987720</c:v>
                </c:pt>
                <c:pt idx="12">
                  <c:v>7462900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006-B9B5-87493AE48DFC}"/>
            </c:ext>
          </c:extLst>
        </c:ser>
        <c:ser>
          <c:idx val="1"/>
          <c:order val="1"/>
          <c:tx>
            <c:strRef>
              <c:f>'2020'!$A$26</c:f>
              <c:strCache>
                <c:ptCount val="1"/>
                <c:pt idx="0">
                  <c:v>Fount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'2020'!$B$26:$N$26</c:f>
              <c:numCache>
                <c:formatCode>#,##0_ </c:formatCode>
                <c:ptCount val="13"/>
                <c:pt idx="0">
                  <c:v>1040000</c:v>
                </c:pt>
                <c:pt idx="1">
                  <c:v>0</c:v>
                </c:pt>
                <c:pt idx="2">
                  <c:v>0</c:v>
                </c:pt>
                <c:pt idx="3">
                  <c:v>400000</c:v>
                </c:pt>
                <c:pt idx="4">
                  <c:v>1200000</c:v>
                </c:pt>
                <c:pt idx="5">
                  <c:v>400000</c:v>
                </c:pt>
                <c:pt idx="6">
                  <c:v>660000</c:v>
                </c:pt>
                <c:pt idx="7">
                  <c:v>800000</c:v>
                </c:pt>
                <c:pt idx="8">
                  <c:v>400000</c:v>
                </c:pt>
                <c:pt idx="9">
                  <c:v>1200000</c:v>
                </c:pt>
                <c:pt idx="10">
                  <c:v>1600000</c:v>
                </c:pt>
                <c:pt idx="11">
                  <c:v>2400000</c:v>
                </c:pt>
                <c:pt idx="12">
                  <c:v>10100000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15-4006-B9B5-87493AE48DFC}"/>
            </c:ext>
          </c:extLst>
        </c:ser>
        <c:ser>
          <c:idx val="2"/>
          <c:order val="2"/>
          <c:tx>
            <c:strRef>
              <c:f>'2020'!$A$27</c:f>
              <c:strCache>
                <c:ptCount val="1"/>
                <c:pt idx="0">
                  <c:v>Roller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'2020'!$B$27:$N$27</c:f>
              <c:numCache>
                <c:formatCode>#,##0_ </c:formatCode>
                <c:ptCount val="13"/>
                <c:pt idx="0">
                  <c:v>0</c:v>
                </c:pt>
                <c:pt idx="1">
                  <c:v>1810000</c:v>
                </c:pt>
                <c:pt idx="2">
                  <c:v>0</c:v>
                </c:pt>
                <c:pt idx="3">
                  <c:v>1040000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2752600</c:v>
                </c:pt>
                <c:pt idx="9">
                  <c:v>1281600</c:v>
                </c:pt>
                <c:pt idx="10">
                  <c:v>950000</c:v>
                </c:pt>
                <c:pt idx="11">
                  <c:v>20000</c:v>
                </c:pt>
                <c:pt idx="12">
                  <c:v>7854200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15-4006-B9B5-87493AE48DFC}"/>
            </c:ext>
          </c:extLst>
        </c:ser>
        <c:ser>
          <c:idx val="3"/>
          <c:order val="3"/>
          <c:tx>
            <c:strRef>
              <c:f>'2020'!$A$28</c:f>
              <c:strCache>
                <c:ptCount val="1"/>
                <c:pt idx="0">
                  <c:v>Blanket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'2020'!$B$28:$N$28</c:f>
              <c:numCache>
                <c:formatCode>#,##0_ </c:formatCode>
                <c:ptCount val="13"/>
                <c:pt idx="0">
                  <c:v>1838920</c:v>
                </c:pt>
                <c:pt idx="1">
                  <c:v>2193420</c:v>
                </c:pt>
                <c:pt idx="2">
                  <c:v>2292920</c:v>
                </c:pt>
                <c:pt idx="3">
                  <c:v>1467920</c:v>
                </c:pt>
                <c:pt idx="4">
                  <c:v>1017000</c:v>
                </c:pt>
                <c:pt idx="5">
                  <c:v>1077000</c:v>
                </c:pt>
                <c:pt idx="6">
                  <c:v>1794420</c:v>
                </c:pt>
                <c:pt idx="7">
                  <c:v>1551920</c:v>
                </c:pt>
                <c:pt idx="8">
                  <c:v>1953920</c:v>
                </c:pt>
                <c:pt idx="9">
                  <c:v>1474420</c:v>
                </c:pt>
                <c:pt idx="10">
                  <c:v>761000</c:v>
                </c:pt>
                <c:pt idx="11">
                  <c:v>2237240</c:v>
                </c:pt>
                <c:pt idx="12">
                  <c:v>19660100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15-4006-B9B5-87493AE48DFC}"/>
            </c:ext>
          </c:extLst>
        </c:ser>
        <c:ser>
          <c:idx val="4"/>
          <c:order val="4"/>
          <c:tx>
            <c:strRef>
              <c:f>'2020'!$A$29</c:f>
              <c:strCache>
                <c:ptCount val="1"/>
                <c:pt idx="0">
                  <c:v>Wash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'2020'!$B$29:$N$29</c:f>
              <c:numCache>
                <c:formatCode>#,##0_ </c:formatCode>
                <c:ptCount val="13"/>
                <c:pt idx="0">
                  <c:v>4548791</c:v>
                </c:pt>
                <c:pt idx="1">
                  <c:v>3579654</c:v>
                </c:pt>
                <c:pt idx="2">
                  <c:v>3686000</c:v>
                </c:pt>
                <c:pt idx="3">
                  <c:v>7358290</c:v>
                </c:pt>
                <c:pt idx="4">
                  <c:v>3125000</c:v>
                </c:pt>
                <c:pt idx="5">
                  <c:v>1464000</c:v>
                </c:pt>
                <c:pt idx="6">
                  <c:v>2411000</c:v>
                </c:pt>
                <c:pt idx="7">
                  <c:v>3959000</c:v>
                </c:pt>
                <c:pt idx="8">
                  <c:v>3435000</c:v>
                </c:pt>
                <c:pt idx="9">
                  <c:v>3276000</c:v>
                </c:pt>
                <c:pt idx="10">
                  <c:v>3990000</c:v>
                </c:pt>
                <c:pt idx="11">
                  <c:v>4586000</c:v>
                </c:pt>
                <c:pt idx="12">
                  <c:v>45418735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15-4006-B9B5-87493AE48DFC}"/>
            </c:ext>
          </c:extLst>
        </c:ser>
        <c:ser>
          <c:idx val="5"/>
          <c:order val="5"/>
          <c:tx>
            <c:strRef>
              <c:f>'2020'!$A$30</c:f>
              <c:strCache>
                <c:ptCount val="1"/>
                <c:pt idx="0">
                  <c:v>농도계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'2020'!$B$30:$N$30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15-4006-B9B5-87493AE48DFC}"/>
            </c:ext>
          </c:extLst>
        </c:ser>
        <c:ser>
          <c:idx val="6"/>
          <c:order val="6"/>
          <c:tx>
            <c:strRef>
              <c:f>'2020'!$A$31</c:f>
              <c:strCache>
                <c:ptCount val="1"/>
                <c:pt idx="0">
                  <c:v>UV lamp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'2020'!$B$31:$N$31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1325020</c:v>
                </c:pt>
                <c:pt idx="3">
                  <c:v>6933608</c:v>
                </c:pt>
                <c:pt idx="4">
                  <c:v>1180500</c:v>
                </c:pt>
                <c:pt idx="5">
                  <c:v>1450000</c:v>
                </c:pt>
                <c:pt idx="6">
                  <c:v>759222</c:v>
                </c:pt>
                <c:pt idx="7">
                  <c:v>530008</c:v>
                </c:pt>
                <c:pt idx="8">
                  <c:v>2385036</c:v>
                </c:pt>
                <c:pt idx="9">
                  <c:v>2126334</c:v>
                </c:pt>
                <c:pt idx="10">
                  <c:v>268940</c:v>
                </c:pt>
                <c:pt idx="11">
                  <c:v>2706191.5359999998</c:v>
                </c:pt>
                <c:pt idx="12">
                  <c:v>19664859.535999998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15-4006-B9B5-87493AE48DFC}"/>
            </c:ext>
          </c:extLst>
        </c:ser>
        <c:ser>
          <c:idx val="7"/>
          <c:order val="7"/>
          <c:tx>
            <c:strRef>
              <c:f>'2020'!$A$32</c:f>
              <c:strCache>
                <c:ptCount val="1"/>
                <c:pt idx="0">
                  <c:v>CTP(IHK)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'2020'!$B$32:$N$32</c:f>
              <c:numCache>
                <c:formatCode>#,##0_ </c:formatCode>
                <c:ptCount val="13"/>
                <c:pt idx="0">
                  <c:v>-145000</c:v>
                </c:pt>
                <c:pt idx="1">
                  <c:v>-146000</c:v>
                </c:pt>
                <c:pt idx="2">
                  <c:v>-446000</c:v>
                </c:pt>
                <c:pt idx="3">
                  <c:v>2158400</c:v>
                </c:pt>
                <c:pt idx="4">
                  <c:v>-190000</c:v>
                </c:pt>
                <c:pt idx="5">
                  <c:v>970100</c:v>
                </c:pt>
                <c:pt idx="6">
                  <c:v>-292000</c:v>
                </c:pt>
                <c:pt idx="7">
                  <c:v>895400</c:v>
                </c:pt>
                <c:pt idx="8">
                  <c:v>-336000</c:v>
                </c:pt>
                <c:pt idx="9">
                  <c:v>1644000</c:v>
                </c:pt>
                <c:pt idx="10">
                  <c:v>-289000</c:v>
                </c:pt>
                <c:pt idx="11">
                  <c:v>-482000</c:v>
                </c:pt>
                <c:pt idx="12">
                  <c:v>3341900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15-4006-B9B5-87493AE48DFC}"/>
            </c:ext>
          </c:extLst>
        </c:ser>
        <c:ser>
          <c:idx val="8"/>
          <c:order val="8"/>
          <c:tx>
            <c:strRef>
              <c:f>'2020'!$A$33</c:f>
              <c:strCache>
                <c:ptCount val="1"/>
                <c:pt idx="0">
                  <c:v>Others(IHK)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'2020'!$B$33:$N$33</c:f>
              <c:numCache>
                <c:formatCode>#,##0_ </c:formatCode>
                <c:ptCount val="13"/>
                <c:pt idx="0">
                  <c:v>997000</c:v>
                </c:pt>
                <c:pt idx="1">
                  <c:v>1033000</c:v>
                </c:pt>
                <c:pt idx="2">
                  <c:v>1045000</c:v>
                </c:pt>
                <c:pt idx="3">
                  <c:v>2102000</c:v>
                </c:pt>
                <c:pt idx="4">
                  <c:v>1034000</c:v>
                </c:pt>
                <c:pt idx="5">
                  <c:v>1145000</c:v>
                </c:pt>
                <c:pt idx="6">
                  <c:v>1060000</c:v>
                </c:pt>
                <c:pt idx="7">
                  <c:v>675000</c:v>
                </c:pt>
                <c:pt idx="8">
                  <c:v>6432000</c:v>
                </c:pt>
                <c:pt idx="9">
                  <c:v>1145000</c:v>
                </c:pt>
                <c:pt idx="10">
                  <c:v>2052000</c:v>
                </c:pt>
                <c:pt idx="11">
                  <c:v>3564000</c:v>
                </c:pt>
                <c:pt idx="12">
                  <c:v>22284000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15-4006-B9B5-87493AE48DFC}"/>
            </c:ext>
          </c:extLst>
        </c:ser>
        <c:ser>
          <c:idx val="9"/>
          <c:order val="9"/>
          <c:tx>
            <c:strRef>
              <c:f>'2020'!$A$34</c:f>
              <c:strCache>
                <c:ptCount val="1"/>
                <c:pt idx="0">
                  <c:v>Technotrans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'2020'!$B$34:$N$34</c:f>
              <c:numCache>
                <c:formatCode>#,##0_ </c:formatCode>
                <c:ptCount val="13"/>
                <c:pt idx="0">
                  <c:v>83499</c:v>
                </c:pt>
                <c:pt idx="1">
                  <c:v>175390</c:v>
                </c:pt>
                <c:pt idx="2">
                  <c:v>2866872</c:v>
                </c:pt>
                <c:pt idx="3">
                  <c:v>0</c:v>
                </c:pt>
                <c:pt idx="4">
                  <c:v>75000</c:v>
                </c:pt>
                <c:pt idx="5">
                  <c:v>435390</c:v>
                </c:pt>
                <c:pt idx="6">
                  <c:v>773371</c:v>
                </c:pt>
                <c:pt idx="7">
                  <c:v>534110</c:v>
                </c:pt>
                <c:pt idx="8">
                  <c:v>130460</c:v>
                </c:pt>
                <c:pt idx="9">
                  <c:v>1018957</c:v>
                </c:pt>
                <c:pt idx="10">
                  <c:v>1674330</c:v>
                </c:pt>
                <c:pt idx="11">
                  <c:v>1300000</c:v>
                </c:pt>
                <c:pt idx="12">
                  <c:v>9067379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15-4006-B9B5-87493AE48DFC}"/>
            </c:ext>
          </c:extLst>
        </c:ser>
        <c:ser>
          <c:idx val="10"/>
          <c:order val="10"/>
          <c:tx>
            <c:strRef>
              <c:f>'2020'!$A$35</c:f>
              <c:strCache>
                <c:ptCount val="1"/>
                <c:pt idx="0">
                  <c:v>GOSS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'2020'!$B$35:$N$35</c:f>
              <c:numCache>
                <c:formatCode>#,##0_ </c:formatCode>
                <c:ptCount val="13"/>
                <c:pt idx="0">
                  <c:v>1094170</c:v>
                </c:pt>
                <c:pt idx="1">
                  <c:v>5658985</c:v>
                </c:pt>
                <c:pt idx="2">
                  <c:v>3785610</c:v>
                </c:pt>
                <c:pt idx="3">
                  <c:v>34051331.852204517</c:v>
                </c:pt>
                <c:pt idx="4">
                  <c:v>8706100</c:v>
                </c:pt>
                <c:pt idx="5">
                  <c:v>12765797</c:v>
                </c:pt>
                <c:pt idx="6">
                  <c:v>10398738</c:v>
                </c:pt>
                <c:pt idx="7">
                  <c:v>980000</c:v>
                </c:pt>
                <c:pt idx="8">
                  <c:v>10402397</c:v>
                </c:pt>
                <c:pt idx="9">
                  <c:v>8317533</c:v>
                </c:pt>
                <c:pt idx="10">
                  <c:v>12231500</c:v>
                </c:pt>
                <c:pt idx="11">
                  <c:v>5449000</c:v>
                </c:pt>
                <c:pt idx="12">
                  <c:v>113841161.85220452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15-4006-B9B5-87493AE48DFC}"/>
            </c:ext>
          </c:extLst>
        </c:ser>
        <c:ser>
          <c:idx val="11"/>
          <c:order val="11"/>
          <c:tx>
            <c:strRef>
              <c:f>'2020'!$A$36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'2020'!$B$36:$N$36</c:f>
              <c:numCache>
                <c:formatCode>#,##0_ </c:formatCode>
                <c:ptCount val="13"/>
                <c:pt idx="0">
                  <c:v>850000</c:v>
                </c:pt>
                <c:pt idx="1">
                  <c:v>284000</c:v>
                </c:pt>
                <c:pt idx="2">
                  <c:v>0</c:v>
                </c:pt>
                <c:pt idx="3">
                  <c:v>3050000</c:v>
                </c:pt>
                <c:pt idx="4">
                  <c:v>1000000</c:v>
                </c:pt>
                <c:pt idx="5">
                  <c:v>3100000</c:v>
                </c:pt>
                <c:pt idx="6">
                  <c:v>0</c:v>
                </c:pt>
                <c:pt idx="7">
                  <c:v>4500000</c:v>
                </c:pt>
                <c:pt idx="8">
                  <c:v>1500000</c:v>
                </c:pt>
                <c:pt idx="9">
                  <c:v>0</c:v>
                </c:pt>
                <c:pt idx="10">
                  <c:v>4500000</c:v>
                </c:pt>
                <c:pt idx="11">
                  <c:v>3400000</c:v>
                </c:pt>
                <c:pt idx="12">
                  <c:v>22184000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C15-4006-B9B5-87493AE48DFC}"/>
            </c:ext>
          </c:extLst>
        </c:ser>
        <c:ser>
          <c:idx val="12"/>
          <c:order val="12"/>
          <c:tx>
            <c:strRef>
              <c:f>'2020'!$A$37</c:f>
              <c:strCache>
                <c:ptCount val="1"/>
                <c:pt idx="0">
                  <c:v>Machine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'2020'!$B$37:$N$37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C15-4006-B9B5-87493AE48DFC}"/>
            </c:ext>
          </c:extLst>
        </c:ser>
        <c:ser>
          <c:idx val="13"/>
          <c:order val="13"/>
          <c:tx>
            <c:strRef>
              <c:f>'2020'!$A$38</c:f>
              <c:strCache>
                <c:ptCount val="1"/>
                <c:pt idx="0">
                  <c:v>Ink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'2020'!$B$38:$N$38</c:f>
              <c:numCache>
                <c:formatCode>#,##0_ </c:formatCode>
                <c:ptCount val="13"/>
                <c:pt idx="0">
                  <c:v>825000</c:v>
                </c:pt>
                <c:pt idx="1">
                  <c:v>1032000</c:v>
                </c:pt>
                <c:pt idx="2">
                  <c:v>592000</c:v>
                </c:pt>
                <c:pt idx="3">
                  <c:v>914000</c:v>
                </c:pt>
                <c:pt idx="4">
                  <c:v>677000</c:v>
                </c:pt>
                <c:pt idx="5">
                  <c:v>806000</c:v>
                </c:pt>
                <c:pt idx="6">
                  <c:v>1466000</c:v>
                </c:pt>
                <c:pt idx="7">
                  <c:v>765000</c:v>
                </c:pt>
                <c:pt idx="8">
                  <c:v>807000</c:v>
                </c:pt>
                <c:pt idx="9">
                  <c:v>847000</c:v>
                </c:pt>
                <c:pt idx="10">
                  <c:v>977000</c:v>
                </c:pt>
                <c:pt idx="11">
                  <c:v>1301000</c:v>
                </c:pt>
                <c:pt idx="12">
                  <c:v>11009000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C15-4006-B9B5-87493AE48DFC}"/>
            </c:ext>
          </c:extLst>
        </c:ser>
        <c:ser>
          <c:idx val="14"/>
          <c:order val="14"/>
          <c:tx>
            <c:strRef>
              <c:f>'2020'!$A$39</c:f>
              <c:strCache>
                <c:ptCount val="1"/>
                <c:pt idx="0">
                  <c:v>CTP(Others)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'2020'!$B$39:$N$39</c:f>
              <c:numCache>
                <c:formatCode>#,##0_ </c:formatCode>
                <c:ptCount val="13"/>
                <c:pt idx="0">
                  <c:v>22470626.582278479</c:v>
                </c:pt>
                <c:pt idx="1">
                  <c:v>22832830.763180532</c:v>
                </c:pt>
                <c:pt idx="2">
                  <c:v>16308428.683790093</c:v>
                </c:pt>
                <c:pt idx="3">
                  <c:v>16738762.221949115</c:v>
                </c:pt>
                <c:pt idx="4">
                  <c:v>15546182.831510376</c:v>
                </c:pt>
                <c:pt idx="5">
                  <c:v>17002765.853508655</c:v>
                </c:pt>
                <c:pt idx="6">
                  <c:v>13935089.086887056</c:v>
                </c:pt>
                <c:pt idx="7">
                  <c:v>13408445.194789227</c:v>
                </c:pt>
                <c:pt idx="8">
                  <c:v>14664499.781246159</c:v>
                </c:pt>
                <c:pt idx="9">
                  <c:v>15568126.029249106</c:v>
                </c:pt>
                <c:pt idx="10">
                  <c:v>20412432.911392406</c:v>
                </c:pt>
                <c:pt idx="11">
                  <c:v>17359052.009340055</c:v>
                </c:pt>
                <c:pt idx="12">
                  <c:v>206247241.94912124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C15-4006-B9B5-87493AE48DFC}"/>
            </c:ext>
          </c:extLst>
        </c:ser>
        <c:ser>
          <c:idx val="15"/>
          <c:order val="15"/>
          <c:tx>
            <c:strRef>
              <c:f>'2020'!$A$40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'2020'!$B$24:$N$24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'2020'!$B$40:$N$40</c:f>
              <c:numCache>
                <c:formatCode>#,##0_ </c:formatCode>
                <c:ptCount val="13"/>
                <c:pt idx="0">
                  <c:v>7210338.75</c:v>
                </c:pt>
                <c:pt idx="1">
                  <c:v>8193617</c:v>
                </c:pt>
                <c:pt idx="2">
                  <c:v>8987259.75</c:v>
                </c:pt>
                <c:pt idx="3">
                  <c:v>3086083</c:v>
                </c:pt>
                <c:pt idx="4">
                  <c:v>1924156</c:v>
                </c:pt>
                <c:pt idx="5">
                  <c:v>14997562.75</c:v>
                </c:pt>
                <c:pt idx="6">
                  <c:v>6091900</c:v>
                </c:pt>
                <c:pt idx="7">
                  <c:v>5214500</c:v>
                </c:pt>
                <c:pt idx="8">
                  <c:v>2693056</c:v>
                </c:pt>
                <c:pt idx="9">
                  <c:v>6775825</c:v>
                </c:pt>
                <c:pt idx="10">
                  <c:v>4201500</c:v>
                </c:pt>
                <c:pt idx="11">
                  <c:v>13407561</c:v>
                </c:pt>
                <c:pt idx="12">
                  <c:v>82783359.25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C15-4006-B9B5-87493AE48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466672"/>
        <c:axId val="1"/>
      </c:barChart>
      <c:catAx>
        <c:axId val="203046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46667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344385908595958"/>
          <c:y val="0.97187052716736777"/>
          <c:w val="0.43331482845219882"/>
          <c:h val="6.8682575765899312E-4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Technotrans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98347825385224"/>
          <c:y val="0.13183228995458313"/>
          <c:w val="0.86642487059833695"/>
          <c:h val="0.70725130447462536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0070C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Database!$P$4:$P$7</c:f>
              <c:strCache>
                <c:ptCount val="4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</c:strCache>
            </c:strRef>
          </c:cat>
          <c:val>
            <c:numRef>
              <c:f>Database!$U$4:$U$7</c:f>
              <c:numCache>
                <c:formatCode>_-"₩"* #,##0_-;\-"₩"* #,##0_-;_-"₩"* "-"_-;_-@_-</c:formatCode>
                <c:ptCount val="4"/>
                <c:pt idx="0">
                  <c:v>231635600</c:v>
                </c:pt>
                <c:pt idx="1">
                  <c:v>183600000</c:v>
                </c:pt>
                <c:pt idx="2">
                  <c:v>57520000</c:v>
                </c:pt>
                <c:pt idx="3">
                  <c:v>28850000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7-4509-BC52-8DD72D847111}"/>
            </c:ext>
          </c:extLst>
        </c:ser>
        <c:ser>
          <c:idx val="1"/>
          <c:order val="1"/>
          <c:tx>
            <c:v>Margin</c:v>
          </c:tx>
          <c:spPr>
            <a:solidFill>
              <a:srgbClr val="FFC00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Database!$P$4:$P$7</c:f>
              <c:strCache>
                <c:ptCount val="4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</c:strCache>
            </c:strRef>
          </c:cat>
          <c:val>
            <c:numRef>
              <c:f>Database!$V$4:$V$7</c:f>
              <c:numCache>
                <c:formatCode>_-"₩"* #,##0_-;\-"₩"* #,##0_-;_-"₩"* "-"_-;_-@_-</c:formatCode>
                <c:ptCount val="4"/>
                <c:pt idx="0">
                  <c:v>48063059.879999995</c:v>
                </c:pt>
                <c:pt idx="1">
                  <c:v>75666837.38310048</c:v>
                </c:pt>
                <c:pt idx="2">
                  <c:v>22731230.664055727</c:v>
                </c:pt>
                <c:pt idx="3">
                  <c:v>9298151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37-4509-BC52-8DD72D847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68336"/>
        <c:axId val="1"/>
      </c:barChart>
      <c:catAx>
        <c:axId val="203046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6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844958442694659"/>
          <c:y val="0.93156155983244326"/>
          <c:w val="0.18885783027121616"/>
          <c:h val="1.982035152370120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Consumable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159850527609273"/>
          <c:y val="0.13504957146823554"/>
          <c:w val="0.86642487059833695"/>
          <c:h val="0.70725130447462536"/>
        </c:manualLayout>
      </c:layout>
      <c:barChart>
        <c:barDir val="col"/>
        <c:grouping val="clustered"/>
        <c:varyColors val="0"/>
        <c:ser>
          <c:idx val="1"/>
          <c:order val="0"/>
          <c:tx>
            <c:v>Sales</c:v>
          </c:tx>
          <c:spPr>
            <a:solidFill>
              <a:srgbClr val="00B05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Database!$Q$4:$Q$7</c:f>
              <c:numCache>
                <c:formatCode>_-"₩"* #,##0_-;\-"₩"* #,##0_-;_-"₩"* "-"_-;_-@_-</c:formatCode>
                <c:ptCount val="4"/>
                <c:pt idx="0">
                  <c:v>595751800</c:v>
                </c:pt>
                <c:pt idx="1">
                  <c:v>520765750</c:v>
                </c:pt>
                <c:pt idx="2">
                  <c:v>597218100</c:v>
                </c:pt>
                <c:pt idx="3">
                  <c:v>538045400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B-492B-9739-787260F71ACE}"/>
            </c:ext>
          </c:extLst>
        </c:ser>
        <c:ser>
          <c:idx val="0"/>
          <c:order val="1"/>
          <c:tx>
            <c:v>Margin</c:v>
          </c:tx>
          <c:spPr>
            <a:solidFill>
              <a:srgbClr val="C0000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Database!$R$4:$R$7</c:f>
              <c:numCache>
                <c:formatCode>_-"₩"* #,##0_-;\-"₩"* #,##0_-;_-"₩"* "-"_-;_-@_-</c:formatCode>
                <c:ptCount val="4"/>
                <c:pt idx="0">
                  <c:v>141518978</c:v>
                </c:pt>
                <c:pt idx="1">
                  <c:v>130564004.17984328</c:v>
                </c:pt>
                <c:pt idx="2">
                  <c:v>146469679.42048591</c:v>
                </c:pt>
                <c:pt idx="3">
                  <c:v>135786694.53600001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AB-492B-9739-787260F71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70832"/>
        <c:axId val="1"/>
      </c:barChart>
      <c:catAx>
        <c:axId val="203047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750000000"/>
          <c:min val="0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7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559138094427047"/>
          <c:y val="0.9368528453174122"/>
          <c:w val="0.14131783859796226"/>
          <c:h val="1.985617182467580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Goss/Service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98347825385224"/>
          <c:y val="0.13183228995458313"/>
          <c:w val="0.86642487059833695"/>
          <c:h val="0.70725130447462536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Database!$P$4:$P$7</c:f>
              <c:strCache>
                <c:ptCount val="4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</c:strCache>
            </c:strRef>
          </c:cat>
          <c:val>
            <c:numRef>
              <c:f>Database!$S$4:$S$7</c:f>
              <c:numCache>
                <c:formatCode>_-"₩"* #,##0_-;\-"₩"* #,##0_-;_-"₩"* "-"_-;_-@_-</c:formatCode>
                <c:ptCount val="4"/>
                <c:pt idx="0">
                  <c:v>236973000</c:v>
                </c:pt>
                <c:pt idx="1">
                  <c:v>329729419</c:v>
                </c:pt>
                <c:pt idx="2">
                  <c:v>346024390</c:v>
                </c:pt>
                <c:pt idx="3">
                  <c:v>421582751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B-4264-B758-AE4001AE752D}"/>
            </c:ext>
          </c:extLst>
        </c:ser>
        <c:ser>
          <c:idx val="1"/>
          <c:order val="1"/>
          <c:tx>
            <c:v>Margin</c:v>
          </c:tx>
          <c:spPr>
            <a:solidFill>
              <a:schemeClr val="bg2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Database!$P$4:$P$7</c:f>
              <c:strCache>
                <c:ptCount val="4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</c:strCache>
            </c:strRef>
          </c:cat>
          <c:val>
            <c:numRef>
              <c:f>Database!$T$4:$T$7</c:f>
              <c:numCache>
                <c:formatCode>_-"₩"* #,##0_-;\-"₩"* #,##0_-;_-"₩"* "-"_-;_-@_-</c:formatCode>
                <c:ptCount val="4"/>
                <c:pt idx="0">
                  <c:v>128813921.63146177</c:v>
                </c:pt>
                <c:pt idx="1">
                  <c:v>123274386.50168943</c:v>
                </c:pt>
                <c:pt idx="2">
                  <c:v>133770832.61794695</c:v>
                </c:pt>
                <c:pt idx="3">
                  <c:v>138525161.8522045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B-4264-B758-AE4001AE7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84144"/>
        <c:axId val="1"/>
      </c:barChart>
      <c:catAx>
        <c:axId val="203048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8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14928669779501"/>
          <c:y val="0.93516532554088883"/>
          <c:w val="0.18901501469947618"/>
          <c:h val="1.982035152370120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Total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392071252592383"/>
          <c:y val="0.1452088169007808"/>
          <c:w val="0.83628884800332148"/>
          <c:h val="0.76114326893134288"/>
        </c:manualLayout>
      </c:layout>
      <c:barChart>
        <c:barDir val="col"/>
        <c:grouping val="clustered"/>
        <c:varyColors val="0"/>
        <c:ser>
          <c:idx val="0"/>
          <c:order val="0"/>
          <c:tx>
            <c:v>Total Sales</c:v>
          </c:tx>
          <c:spPr>
            <a:solidFill>
              <a:srgbClr val="FFC00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Database!$Y$4:$Y$8</c:f>
              <c:numCache>
                <c:formatCode>_-"₩"* #,##0_-;\-"₩"* #,##0_-;_-"₩"* "-"_-;_-@_-</c:formatCode>
                <c:ptCount val="5"/>
                <c:pt idx="0">
                  <c:v>1491179800</c:v>
                </c:pt>
                <c:pt idx="1">
                  <c:v>1917810393</c:v>
                </c:pt>
                <c:pt idx="2">
                  <c:v>2082838430</c:v>
                </c:pt>
                <c:pt idx="3">
                  <c:v>2149411387</c:v>
                </c:pt>
                <c:pt idx="4">
                  <c:v>1600418517.2727273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F-42E2-AE8B-F2ED69279C37}"/>
            </c:ext>
          </c:extLst>
        </c:ser>
        <c:ser>
          <c:idx val="1"/>
          <c:order val="1"/>
          <c:tx>
            <c:v>Total Margin</c:v>
          </c:tx>
          <c:spPr>
            <a:solidFill>
              <a:srgbClr val="7030A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Database!$Z$4:$Z$8</c:f>
              <c:numCache>
                <c:formatCode>_-"₩"* #,##0_-;\-"₩"* #,##0_-;_-"₩"* "-"_-;_-@_-</c:formatCode>
                <c:ptCount val="5"/>
                <c:pt idx="0">
                  <c:v>337179226.51146173</c:v>
                </c:pt>
                <c:pt idx="1">
                  <c:v>438434090.55769742</c:v>
                </c:pt>
                <c:pt idx="2">
                  <c:v>587371778.05564868</c:v>
                </c:pt>
                <c:pt idx="3">
                  <c:v>578053996.58732569</c:v>
                </c:pt>
                <c:pt idx="4">
                  <c:v>389235766.17923039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F-42E2-AE8B-F2ED69279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71248"/>
        <c:axId val="1"/>
      </c:barChart>
      <c:catAx>
        <c:axId val="203047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7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52375548732952"/>
          <c:y val="5.5857768692990153E-2"/>
          <c:w val="0.15987708802212375"/>
          <c:h val="1.9820351523701221E-2"/>
        </c:manualLayout>
      </c:layout>
      <c:overlay val="0"/>
    </c:legend>
    <c:plotVisOnly val="0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/>
              <a:t>Sales</a:t>
            </a:r>
            <a:endParaRPr lang="ko-KR" sz="2400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'2021'!$A$4</c:f>
              <c:strCache>
                <c:ptCount val="1"/>
                <c:pt idx="0">
                  <c:v>Film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'2021'!$B$4:$N$4</c:f>
              <c:numCache>
                <c:formatCode>#,##0_ </c:formatCode>
                <c:ptCount val="13"/>
                <c:pt idx="0">
                  <c:v>1549000</c:v>
                </c:pt>
                <c:pt idx="1">
                  <c:v>4961000</c:v>
                </c:pt>
                <c:pt idx="2">
                  <c:v>2352000</c:v>
                </c:pt>
                <c:pt idx="3">
                  <c:v>2691000</c:v>
                </c:pt>
                <c:pt idx="4">
                  <c:v>0</c:v>
                </c:pt>
                <c:pt idx="5">
                  <c:v>5043000</c:v>
                </c:pt>
                <c:pt idx="6">
                  <c:v>4797000</c:v>
                </c:pt>
                <c:pt idx="7">
                  <c:v>2891000</c:v>
                </c:pt>
                <c:pt idx="8">
                  <c:v>2738000</c:v>
                </c:pt>
                <c:pt idx="9">
                  <c:v>5536000</c:v>
                </c:pt>
                <c:pt idx="10">
                  <c:v>10766000</c:v>
                </c:pt>
                <c:pt idx="11">
                  <c:v>13099000</c:v>
                </c:pt>
                <c:pt idx="12">
                  <c:v>56423000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6-4686-BD69-9865E7DB5914}"/>
            </c:ext>
          </c:extLst>
        </c:ser>
        <c:ser>
          <c:idx val="1"/>
          <c:order val="1"/>
          <c:tx>
            <c:strRef>
              <c:f>'2021'!$A$5</c:f>
              <c:strCache>
                <c:ptCount val="1"/>
                <c:pt idx="0">
                  <c:v>Fount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E6-4686-BD69-9865E7DB5914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'2021'!$B$5:$N$5</c:f>
              <c:numCache>
                <c:formatCode>#,##0_ </c:formatCode>
                <c:ptCount val="13"/>
                <c:pt idx="0">
                  <c:v>4812500</c:v>
                </c:pt>
                <c:pt idx="1">
                  <c:v>1925000</c:v>
                </c:pt>
                <c:pt idx="2">
                  <c:v>2465000</c:v>
                </c:pt>
                <c:pt idx="3">
                  <c:v>577500</c:v>
                </c:pt>
                <c:pt idx="4">
                  <c:v>1925000</c:v>
                </c:pt>
                <c:pt idx="5">
                  <c:v>2887500</c:v>
                </c:pt>
                <c:pt idx="6">
                  <c:v>3161500</c:v>
                </c:pt>
                <c:pt idx="7">
                  <c:v>2236000</c:v>
                </c:pt>
                <c:pt idx="8">
                  <c:v>1925000</c:v>
                </c:pt>
                <c:pt idx="9">
                  <c:v>4161000</c:v>
                </c:pt>
                <c:pt idx="10">
                  <c:v>6708000</c:v>
                </c:pt>
                <c:pt idx="11">
                  <c:v>5775000</c:v>
                </c:pt>
                <c:pt idx="12">
                  <c:v>38559000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6-4686-BD69-9865E7DB5914}"/>
            </c:ext>
          </c:extLst>
        </c:ser>
        <c:ser>
          <c:idx val="2"/>
          <c:order val="2"/>
          <c:tx>
            <c:strRef>
              <c:f>'2021'!$A$6</c:f>
              <c:strCache>
                <c:ptCount val="1"/>
                <c:pt idx="0">
                  <c:v>Roller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E6-4686-BD69-9865E7DB59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E6-4686-BD69-9865E7DB59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E6-4686-BD69-9865E7DB59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7E6-4686-BD69-9865E7DB59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E6-4686-BD69-9865E7DB59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7E6-4686-BD69-9865E7DB5914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'2021'!$B$6:$N$6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5880000</c:v>
                </c:pt>
                <c:pt idx="3">
                  <c:v>0</c:v>
                </c:pt>
                <c:pt idx="4">
                  <c:v>0</c:v>
                </c:pt>
                <c:pt idx="5">
                  <c:v>8540000</c:v>
                </c:pt>
                <c:pt idx="6">
                  <c:v>18310000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6630000</c:v>
                </c:pt>
                <c:pt idx="11">
                  <c:v>5350000</c:v>
                </c:pt>
                <c:pt idx="12">
                  <c:v>44710000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E6-4686-BD69-9865E7DB5914}"/>
            </c:ext>
          </c:extLst>
        </c:ser>
        <c:ser>
          <c:idx val="3"/>
          <c:order val="3"/>
          <c:tx>
            <c:strRef>
              <c:f>'2021'!$A$7</c:f>
              <c:strCache>
                <c:ptCount val="1"/>
                <c:pt idx="0">
                  <c:v>Blanket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'2021'!$B$7:$N$7</c:f>
              <c:numCache>
                <c:formatCode>#,##0_ </c:formatCode>
                <c:ptCount val="13"/>
                <c:pt idx="0">
                  <c:v>7244000</c:v>
                </c:pt>
                <c:pt idx="1">
                  <c:v>6176000</c:v>
                </c:pt>
                <c:pt idx="2">
                  <c:v>6962000</c:v>
                </c:pt>
                <c:pt idx="3">
                  <c:v>7124000</c:v>
                </c:pt>
                <c:pt idx="4">
                  <c:v>4944000</c:v>
                </c:pt>
                <c:pt idx="5">
                  <c:v>8784000</c:v>
                </c:pt>
                <c:pt idx="6">
                  <c:v>8024000</c:v>
                </c:pt>
                <c:pt idx="7">
                  <c:v>9614000</c:v>
                </c:pt>
                <c:pt idx="8">
                  <c:v>6224000</c:v>
                </c:pt>
                <c:pt idx="9">
                  <c:v>11868000</c:v>
                </c:pt>
                <c:pt idx="10">
                  <c:v>11050000</c:v>
                </c:pt>
                <c:pt idx="11">
                  <c:v>10774000</c:v>
                </c:pt>
                <c:pt idx="12">
                  <c:v>98788000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E6-4686-BD69-9865E7DB5914}"/>
            </c:ext>
          </c:extLst>
        </c:ser>
        <c:ser>
          <c:idx val="4"/>
          <c:order val="4"/>
          <c:tx>
            <c:strRef>
              <c:f>'2021'!$A$8</c:f>
              <c:strCache>
                <c:ptCount val="1"/>
                <c:pt idx="0">
                  <c:v>Wash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'2021'!$B$8:$N$8</c:f>
              <c:numCache>
                <c:formatCode>#,##0_ </c:formatCode>
                <c:ptCount val="13"/>
                <c:pt idx="0">
                  <c:v>11604000</c:v>
                </c:pt>
                <c:pt idx="1">
                  <c:v>10205000</c:v>
                </c:pt>
                <c:pt idx="2">
                  <c:v>12907000</c:v>
                </c:pt>
                <c:pt idx="3">
                  <c:v>13514000</c:v>
                </c:pt>
                <c:pt idx="4">
                  <c:v>8129000</c:v>
                </c:pt>
                <c:pt idx="5">
                  <c:v>11783000</c:v>
                </c:pt>
                <c:pt idx="6">
                  <c:v>12672000</c:v>
                </c:pt>
                <c:pt idx="7">
                  <c:v>9992500</c:v>
                </c:pt>
                <c:pt idx="8">
                  <c:v>6966000</c:v>
                </c:pt>
                <c:pt idx="9">
                  <c:v>13868500</c:v>
                </c:pt>
                <c:pt idx="10">
                  <c:v>15325000</c:v>
                </c:pt>
                <c:pt idx="11">
                  <c:v>14110000</c:v>
                </c:pt>
                <c:pt idx="12">
                  <c:v>141076000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7E6-4686-BD69-9865E7DB5914}"/>
            </c:ext>
          </c:extLst>
        </c:ser>
        <c:ser>
          <c:idx val="5"/>
          <c:order val="5"/>
          <c:tx>
            <c:strRef>
              <c:f>'2021'!$A$9</c:f>
              <c:strCache>
                <c:ptCount val="1"/>
                <c:pt idx="0">
                  <c:v>농도계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</c:spPr>
          <c:invertIfNegative val="0"/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'2021'!$B$9:$N$9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7300000</c:v>
                </c:pt>
                <c:pt idx="4">
                  <c:v>0</c:v>
                </c:pt>
                <c:pt idx="5">
                  <c:v>1800000</c:v>
                </c:pt>
                <c:pt idx="6">
                  <c:v>8600000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7E6-4686-BD69-9865E7DB5914}"/>
            </c:ext>
          </c:extLst>
        </c:ser>
        <c:ser>
          <c:idx val="6"/>
          <c:order val="6"/>
          <c:tx>
            <c:strRef>
              <c:f>'2021'!$A$10</c:f>
              <c:strCache>
                <c:ptCount val="1"/>
                <c:pt idx="0">
                  <c:v>UV lamp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7E6-4686-BD69-9865E7DB59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7E6-4686-BD69-9865E7DB59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7E6-4686-BD69-9865E7DB59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7E6-4686-BD69-9865E7DB59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7E6-4686-BD69-9865E7DB59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7E6-4686-BD69-9865E7DB591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7E6-4686-BD69-9865E7DB59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7E6-4686-BD69-9865E7DB5914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'2021'!$B$10:$N$10</c:f>
              <c:numCache>
                <c:formatCode>#,##0_ </c:formatCode>
                <c:ptCount val="13"/>
                <c:pt idx="0">
                  <c:v>5650000</c:v>
                </c:pt>
                <c:pt idx="1">
                  <c:v>6080000</c:v>
                </c:pt>
                <c:pt idx="2">
                  <c:v>0</c:v>
                </c:pt>
                <c:pt idx="3">
                  <c:v>0</c:v>
                </c:pt>
                <c:pt idx="4">
                  <c:v>35350000</c:v>
                </c:pt>
                <c:pt idx="5">
                  <c:v>0</c:v>
                </c:pt>
                <c:pt idx="6">
                  <c:v>4660000</c:v>
                </c:pt>
                <c:pt idx="7">
                  <c:v>13560000</c:v>
                </c:pt>
                <c:pt idx="8">
                  <c:v>0</c:v>
                </c:pt>
                <c:pt idx="9">
                  <c:v>5000000</c:v>
                </c:pt>
                <c:pt idx="10">
                  <c:v>0</c:v>
                </c:pt>
                <c:pt idx="11">
                  <c:v>0</c:v>
                </c:pt>
                <c:pt idx="12">
                  <c:v>70300000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7E6-4686-BD69-9865E7DB5914}"/>
            </c:ext>
          </c:extLst>
        </c:ser>
        <c:ser>
          <c:idx val="7"/>
          <c:order val="7"/>
          <c:tx>
            <c:strRef>
              <c:f>'2021'!$A$11</c:f>
              <c:strCache>
                <c:ptCount val="1"/>
                <c:pt idx="0">
                  <c:v>CTP(IHK)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'2021'!$B$11:$N$11</c:f>
              <c:numCache>
                <c:formatCode>#,##0_ </c:formatCode>
                <c:ptCount val="13"/>
                <c:pt idx="0">
                  <c:v>3742000</c:v>
                </c:pt>
                <c:pt idx="1">
                  <c:v>3821000</c:v>
                </c:pt>
                <c:pt idx="2">
                  <c:v>3821000</c:v>
                </c:pt>
                <c:pt idx="3">
                  <c:v>6258500</c:v>
                </c:pt>
                <c:pt idx="4">
                  <c:v>3604000</c:v>
                </c:pt>
                <c:pt idx="5">
                  <c:v>11586000</c:v>
                </c:pt>
                <c:pt idx="6">
                  <c:v>0</c:v>
                </c:pt>
                <c:pt idx="7">
                  <c:v>2138000</c:v>
                </c:pt>
                <c:pt idx="8">
                  <c:v>7189600</c:v>
                </c:pt>
                <c:pt idx="9">
                  <c:v>2175000</c:v>
                </c:pt>
                <c:pt idx="10">
                  <c:v>13088000</c:v>
                </c:pt>
                <c:pt idx="11">
                  <c:v>8760000</c:v>
                </c:pt>
                <c:pt idx="12">
                  <c:v>66183100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7E6-4686-BD69-9865E7DB5914}"/>
            </c:ext>
          </c:extLst>
        </c:ser>
        <c:ser>
          <c:idx val="8"/>
          <c:order val="8"/>
          <c:tx>
            <c:strRef>
              <c:f>'2021'!$A$12</c:f>
              <c:strCache>
                <c:ptCount val="1"/>
                <c:pt idx="0">
                  <c:v>Others(IHK)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'2021'!$B$12:$N$12</c:f>
              <c:numCache>
                <c:formatCode>#,##0_ </c:formatCode>
                <c:ptCount val="13"/>
                <c:pt idx="0">
                  <c:v>8595000</c:v>
                </c:pt>
                <c:pt idx="1">
                  <c:v>9355000</c:v>
                </c:pt>
                <c:pt idx="2">
                  <c:v>6804000</c:v>
                </c:pt>
                <c:pt idx="3">
                  <c:v>6309000</c:v>
                </c:pt>
                <c:pt idx="4">
                  <c:v>8170000</c:v>
                </c:pt>
                <c:pt idx="5">
                  <c:v>4755000</c:v>
                </c:pt>
                <c:pt idx="6">
                  <c:v>10003000</c:v>
                </c:pt>
                <c:pt idx="7">
                  <c:v>6830000</c:v>
                </c:pt>
                <c:pt idx="8">
                  <c:v>8329000</c:v>
                </c:pt>
                <c:pt idx="9">
                  <c:v>8215000</c:v>
                </c:pt>
                <c:pt idx="10">
                  <c:v>13763800</c:v>
                </c:pt>
                <c:pt idx="11">
                  <c:v>10443000</c:v>
                </c:pt>
                <c:pt idx="12">
                  <c:v>101571800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7E6-4686-BD69-9865E7DB5914}"/>
            </c:ext>
          </c:extLst>
        </c:ser>
        <c:ser>
          <c:idx val="9"/>
          <c:order val="9"/>
          <c:tx>
            <c:strRef>
              <c:f>'2021'!$A$13</c:f>
              <c:strCache>
                <c:ptCount val="1"/>
                <c:pt idx="0">
                  <c:v>Technotrans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'2021'!$B$13:$N$13</c:f>
              <c:numCache>
                <c:formatCode>#,##0_ </c:formatCode>
                <c:ptCount val="13"/>
                <c:pt idx="0">
                  <c:v>2900000</c:v>
                </c:pt>
                <c:pt idx="1">
                  <c:v>3200000</c:v>
                </c:pt>
                <c:pt idx="2">
                  <c:v>18205000</c:v>
                </c:pt>
                <c:pt idx="3">
                  <c:v>1640000</c:v>
                </c:pt>
                <c:pt idx="4">
                  <c:v>40700000</c:v>
                </c:pt>
                <c:pt idx="5">
                  <c:v>850000</c:v>
                </c:pt>
                <c:pt idx="6">
                  <c:v>1430000</c:v>
                </c:pt>
                <c:pt idx="7">
                  <c:v>0</c:v>
                </c:pt>
                <c:pt idx="8">
                  <c:v>0</c:v>
                </c:pt>
                <c:pt idx="9">
                  <c:v>800000</c:v>
                </c:pt>
                <c:pt idx="10">
                  <c:v>2000000</c:v>
                </c:pt>
                <c:pt idx="11">
                  <c:v>700000</c:v>
                </c:pt>
                <c:pt idx="12">
                  <c:v>72425000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E6-4686-BD69-9865E7DB5914}"/>
            </c:ext>
          </c:extLst>
        </c:ser>
        <c:ser>
          <c:idx val="10"/>
          <c:order val="10"/>
          <c:tx>
            <c:strRef>
              <c:f>'2021'!$A$14</c:f>
              <c:strCache>
                <c:ptCount val="1"/>
                <c:pt idx="0">
                  <c:v>GOSS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'2021'!$B$14:$N$14</c:f>
              <c:numCache>
                <c:formatCode>#,##0_ </c:formatCode>
                <c:ptCount val="13"/>
                <c:pt idx="0">
                  <c:v>10310000</c:v>
                </c:pt>
                <c:pt idx="1">
                  <c:v>21082727.272727273</c:v>
                </c:pt>
                <c:pt idx="2">
                  <c:v>33410000</c:v>
                </c:pt>
                <c:pt idx="3">
                  <c:v>27135000</c:v>
                </c:pt>
                <c:pt idx="4">
                  <c:v>31480000</c:v>
                </c:pt>
                <c:pt idx="5">
                  <c:v>15845000</c:v>
                </c:pt>
                <c:pt idx="6">
                  <c:v>13990000</c:v>
                </c:pt>
                <c:pt idx="7">
                  <c:v>89072727</c:v>
                </c:pt>
                <c:pt idx="8">
                  <c:v>11400000</c:v>
                </c:pt>
                <c:pt idx="9">
                  <c:v>8300000</c:v>
                </c:pt>
                <c:pt idx="10">
                  <c:v>30759080</c:v>
                </c:pt>
                <c:pt idx="11">
                  <c:v>95565000</c:v>
                </c:pt>
                <c:pt idx="12">
                  <c:v>388349534.27272725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7E6-4686-BD69-9865E7DB5914}"/>
            </c:ext>
          </c:extLst>
        </c:ser>
        <c:ser>
          <c:idx val="11"/>
          <c:order val="11"/>
          <c:tx>
            <c:strRef>
              <c:f>'2021'!$A$15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'2021'!$B$15:$N$15</c:f>
              <c:numCache>
                <c:formatCode>#,##0_ </c:formatCode>
                <c:ptCount val="13"/>
                <c:pt idx="0">
                  <c:v>3500000</c:v>
                </c:pt>
                <c:pt idx="1">
                  <c:v>18650000</c:v>
                </c:pt>
                <c:pt idx="2">
                  <c:v>2600000</c:v>
                </c:pt>
                <c:pt idx="3">
                  <c:v>12625000</c:v>
                </c:pt>
                <c:pt idx="4">
                  <c:v>4800000</c:v>
                </c:pt>
                <c:pt idx="5">
                  <c:v>15995000</c:v>
                </c:pt>
                <c:pt idx="6">
                  <c:v>1170000</c:v>
                </c:pt>
                <c:pt idx="7">
                  <c:v>3015000</c:v>
                </c:pt>
                <c:pt idx="8">
                  <c:v>30127000</c:v>
                </c:pt>
                <c:pt idx="9">
                  <c:v>3635000</c:v>
                </c:pt>
                <c:pt idx="10">
                  <c:v>82527630</c:v>
                </c:pt>
                <c:pt idx="11">
                  <c:v>2300000</c:v>
                </c:pt>
                <c:pt idx="12">
                  <c:v>180944630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7E6-4686-BD69-9865E7DB5914}"/>
            </c:ext>
          </c:extLst>
        </c:ser>
        <c:ser>
          <c:idx val="12"/>
          <c:order val="12"/>
          <c:tx>
            <c:strRef>
              <c:f>'2021'!$A$16</c:f>
              <c:strCache>
                <c:ptCount val="1"/>
                <c:pt idx="0">
                  <c:v>Machine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'2021'!$B$16:$N$16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7E6-4686-BD69-9865E7DB5914}"/>
            </c:ext>
          </c:extLst>
        </c:ser>
        <c:ser>
          <c:idx val="13"/>
          <c:order val="13"/>
          <c:tx>
            <c:strRef>
              <c:f>'2021'!$A$17</c:f>
              <c:strCache>
                <c:ptCount val="1"/>
                <c:pt idx="0">
                  <c:v>Ink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'2021'!$B$17:$N$17</c:f>
              <c:numCache>
                <c:formatCode>#,##0_ </c:formatCode>
                <c:ptCount val="13"/>
                <c:pt idx="0">
                  <c:v>13505000</c:v>
                </c:pt>
                <c:pt idx="1">
                  <c:v>11024400</c:v>
                </c:pt>
                <c:pt idx="2">
                  <c:v>14550000</c:v>
                </c:pt>
                <c:pt idx="3">
                  <c:v>11910500</c:v>
                </c:pt>
                <c:pt idx="4">
                  <c:v>11265000</c:v>
                </c:pt>
                <c:pt idx="5">
                  <c:v>12295500</c:v>
                </c:pt>
                <c:pt idx="6">
                  <c:v>16300000</c:v>
                </c:pt>
                <c:pt idx="7">
                  <c:v>12500000</c:v>
                </c:pt>
                <c:pt idx="8">
                  <c:v>12040000</c:v>
                </c:pt>
                <c:pt idx="9">
                  <c:v>10665000</c:v>
                </c:pt>
                <c:pt idx="10">
                  <c:v>18855000</c:v>
                </c:pt>
                <c:pt idx="11">
                  <c:v>15582500</c:v>
                </c:pt>
                <c:pt idx="12">
                  <c:v>160492900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7E6-4686-BD69-9865E7DB5914}"/>
            </c:ext>
          </c:extLst>
        </c:ser>
        <c:ser>
          <c:idx val="14"/>
          <c:order val="14"/>
          <c:tx>
            <c:strRef>
              <c:f>'2021'!$A$18</c:f>
              <c:strCache>
                <c:ptCount val="1"/>
                <c:pt idx="0">
                  <c:v>CTP(Others)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'2021'!$B$18:$N$18</c:f>
              <c:numCache>
                <c:formatCode>#,##0_ </c:formatCode>
                <c:ptCount val="13"/>
                <c:pt idx="0">
                  <c:v>51544000</c:v>
                </c:pt>
                <c:pt idx="1">
                  <c:v>53535000</c:v>
                </c:pt>
                <c:pt idx="2">
                  <c:v>59968420</c:v>
                </c:pt>
                <c:pt idx="3">
                  <c:v>52447500</c:v>
                </c:pt>
                <c:pt idx="4">
                  <c:v>53597500</c:v>
                </c:pt>
                <c:pt idx="5">
                  <c:v>52505000</c:v>
                </c:pt>
                <c:pt idx="6">
                  <c:v>50019000</c:v>
                </c:pt>
                <c:pt idx="7">
                  <c:v>40982000</c:v>
                </c:pt>
                <c:pt idx="8">
                  <c:v>25741000</c:v>
                </c:pt>
                <c:pt idx="9">
                  <c:v>40527000</c:v>
                </c:pt>
                <c:pt idx="10">
                  <c:v>38435000</c:v>
                </c:pt>
                <c:pt idx="11">
                  <c:v>48458500</c:v>
                </c:pt>
                <c:pt idx="12">
                  <c:v>567759920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7E6-4686-BD69-9865E7DB5914}"/>
            </c:ext>
          </c:extLst>
        </c:ser>
        <c:ser>
          <c:idx val="15"/>
          <c:order val="15"/>
          <c:tx>
            <c:strRef>
              <c:f>'2021'!$A$19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'2021'!$B$19:$N$19</c:f>
              <c:numCache>
                <c:formatCode>#,##0_ </c:formatCode>
                <c:ptCount val="13"/>
                <c:pt idx="0">
                  <c:v>26958400</c:v>
                </c:pt>
                <c:pt idx="1">
                  <c:v>14598000</c:v>
                </c:pt>
                <c:pt idx="2">
                  <c:v>31151636</c:v>
                </c:pt>
                <c:pt idx="3">
                  <c:v>23809000</c:v>
                </c:pt>
                <c:pt idx="4">
                  <c:v>16988000</c:v>
                </c:pt>
                <c:pt idx="5">
                  <c:v>20249273</c:v>
                </c:pt>
                <c:pt idx="6">
                  <c:v>11933000</c:v>
                </c:pt>
                <c:pt idx="7">
                  <c:v>19500273</c:v>
                </c:pt>
                <c:pt idx="8">
                  <c:v>25523061</c:v>
                </c:pt>
                <c:pt idx="9">
                  <c:v>9736000</c:v>
                </c:pt>
                <c:pt idx="10">
                  <c:v>22138000</c:v>
                </c:pt>
                <c:pt idx="11">
                  <c:v>19895000</c:v>
                </c:pt>
                <c:pt idx="12">
                  <c:v>242479643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7E6-4686-BD69-9865E7DB5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477072"/>
        <c:axId val="1"/>
      </c:barChart>
      <c:catAx>
        <c:axId val="203047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477072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'2021'!$A$25</c:f>
              <c:strCache>
                <c:ptCount val="1"/>
                <c:pt idx="0">
                  <c:v>Film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'2021'!$B$25:$N$25</c:f>
              <c:numCache>
                <c:formatCode>#,##0_ </c:formatCode>
                <c:ptCount val="13"/>
                <c:pt idx="0">
                  <c:v>322880</c:v>
                </c:pt>
                <c:pt idx="1">
                  <c:v>988720</c:v>
                </c:pt>
                <c:pt idx="2">
                  <c:v>445860</c:v>
                </c:pt>
                <c:pt idx="3">
                  <c:v>574860</c:v>
                </c:pt>
                <c:pt idx="4">
                  <c:v>0</c:v>
                </c:pt>
                <c:pt idx="5">
                  <c:v>1704690</c:v>
                </c:pt>
                <c:pt idx="6">
                  <c:v>1552640</c:v>
                </c:pt>
                <c:pt idx="7">
                  <c:v>750500</c:v>
                </c:pt>
                <c:pt idx="8">
                  <c:v>1085820</c:v>
                </c:pt>
                <c:pt idx="9">
                  <c:v>1872680</c:v>
                </c:pt>
                <c:pt idx="10">
                  <c:v>3108670</c:v>
                </c:pt>
                <c:pt idx="12">
                  <c:v>12407320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4-4CA4-B237-A5A8207A9C6F}"/>
            </c:ext>
          </c:extLst>
        </c:ser>
        <c:ser>
          <c:idx val="1"/>
          <c:order val="1"/>
          <c:tx>
            <c:strRef>
              <c:f>'2021'!$A$26</c:f>
              <c:strCache>
                <c:ptCount val="1"/>
                <c:pt idx="0">
                  <c:v>Fount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'2021'!$B$26:$N$26</c:f>
              <c:numCache>
                <c:formatCode>#,##0_ </c:formatCode>
                <c:ptCount val="13"/>
                <c:pt idx="0">
                  <c:v>2000000</c:v>
                </c:pt>
                <c:pt idx="1">
                  <c:v>800000</c:v>
                </c:pt>
                <c:pt idx="2">
                  <c:v>1060000</c:v>
                </c:pt>
                <c:pt idx="3">
                  <c:v>240000</c:v>
                </c:pt>
                <c:pt idx="4">
                  <c:v>800000</c:v>
                </c:pt>
                <c:pt idx="5">
                  <c:v>1200000</c:v>
                </c:pt>
                <c:pt idx="6">
                  <c:v>1314000</c:v>
                </c:pt>
                <c:pt idx="7">
                  <c:v>951000</c:v>
                </c:pt>
                <c:pt idx="8">
                  <c:v>800000</c:v>
                </c:pt>
                <c:pt idx="9">
                  <c:v>1751000</c:v>
                </c:pt>
                <c:pt idx="10">
                  <c:v>2853000</c:v>
                </c:pt>
                <c:pt idx="12">
                  <c:v>13769000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D4-4CA4-B237-A5A8207A9C6F}"/>
            </c:ext>
          </c:extLst>
        </c:ser>
        <c:ser>
          <c:idx val="2"/>
          <c:order val="2"/>
          <c:tx>
            <c:strRef>
              <c:f>'2021'!$A$27</c:f>
              <c:strCache>
                <c:ptCount val="1"/>
                <c:pt idx="0">
                  <c:v>Roller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'2021'!$B$27:$N$27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1500000</c:v>
                </c:pt>
                <c:pt idx="3">
                  <c:v>0</c:v>
                </c:pt>
                <c:pt idx="4">
                  <c:v>0</c:v>
                </c:pt>
                <c:pt idx="5">
                  <c:v>2180000</c:v>
                </c:pt>
                <c:pt idx="6">
                  <c:v>3300000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1320000</c:v>
                </c:pt>
                <c:pt idx="12">
                  <c:v>8300000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D4-4CA4-B237-A5A8207A9C6F}"/>
            </c:ext>
          </c:extLst>
        </c:ser>
        <c:ser>
          <c:idx val="3"/>
          <c:order val="3"/>
          <c:tx>
            <c:strRef>
              <c:f>'2021'!$A$28</c:f>
              <c:strCache>
                <c:ptCount val="1"/>
                <c:pt idx="0">
                  <c:v>Blanket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'2021'!$B$28:$N$28</c:f>
              <c:numCache>
                <c:formatCode>#,##0_ </c:formatCode>
                <c:ptCount val="13"/>
                <c:pt idx="0">
                  <c:v>1578920</c:v>
                </c:pt>
                <c:pt idx="1">
                  <c:v>2053840</c:v>
                </c:pt>
                <c:pt idx="2">
                  <c:v>1005000</c:v>
                </c:pt>
                <c:pt idx="3">
                  <c:v>1860920</c:v>
                </c:pt>
                <c:pt idx="4">
                  <c:v>1227920</c:v>
                </c:pt>
                <c:pt idx="5">
                  <c:v>1812920</c:v>
                </c:pt>
                <c:pt idx="6">
                  <c:v>1868920</c:v>
                </c:pt>
                <c:pt idx="7">
                  <c:v>1898000</c:v>
                </c:pt>
                <c:pt idx="8">
                  <c:v>1441000</c:v>
                </c:pt>
                <c:pt idx="9">
                  <c:v>2350000</c:v>
                </c:pt>
                <c:pt idx="10">
                  <c:v>2351000</c:v>
                </c:pt>
                <c:pt idx="12">
                  <c:v>19448440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D4-4CA4-B237-A5A8207A9C6F}"/>
            </c:ext>
          </c:extLst>
        </c:ser>
        <c:ser>
          <c:idx val="4"/>
          <c:order val="4"/>
          <c:tx>
            <c:strRef>
              <c:f>'2021'!$A$29</c:f>
              <c:strCache>
                <c:ptCount val="1"/>
                <c:pt idx="0">
                  <c:v>Wash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'2021'!$B$29:$N$29</c:f>
              <c:numCache>
                <c:formatCode>#,##0_ </c:formatCode>
                <c:ptCount val="13"/>
                <c:pt idx="0">
                  <c:v>4417000</c:v>
                </c:pt>
                <c:pt idx="1">
                  <c:v>3937000</c:v>
                </c:pt>
                <c:pt idx="2">
                  <c:v>4420000</c:v>
                </c:pt>
                <c:pt idx="3">
                  <c:v>3538000</c:v>
                </c:pt>
                <c:pt idx="4">
                  <c:v>2087000</c:v>
                </c:pt>
                <c:pt idx="5">
                  <c:v>3109000</c:v>
                </c:pt>
                <c:pt idx="6">
                  <c:v>3326000</c:v>
                </c:pt>
                <c:pt idx="7">
                  <c:v>2850500</c:v>
                </c:pt>
                <c:pt idx="8">
                  <c:v>1886000</c:v>
                </c:pt>
                <c:pt idx="9">
                  <c:v>3893500</c:v>
                </c:pt>
                <c:pt idx="10">
                  <c:v>4552000</c:v>
                </c:pt>
                <c:pt idx="12">
                  <c:v>38016000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D4-4CA4-B237-A5A8207A9C6F}"/>
            </c:ext>
          </c:extLst>
        </c:ser>
        <c:ser>
          <c:idx val="5"/>
          <c:order val="5"/>
          <c:tx>
            <c:strRef>
              <c:f>'2021'!$A$30</c:f>
              <c:strCache>
                <c:ptCount val="1"/>
                <c:pt idx="0">
                  <c:v>농도계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'2021'!$B$30:$N$30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1100000</c:v>
                </c:pt>
                <c:pt idx="4">
                  <c:v>0</c:v>
                </c:pt>
                <c:pt idx="5">
                  <c:v>100000</c:v>
                </c:pt>
                <c:pt idx="6">
                  <c:v>1600000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2800000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D4-4CA4-B237-A5A8207A9C6F}"/>
            </c:ext>
          </c:extLst>
        </c:ser>
        <c:ser>
          <c:idx val="6"/>
          <c:order val="6"/>
          <c:tx>
            <c:strRef>
              <c:f>'2021'!$A$31</c:f>
              <c:strCache>
                <c:ptCount val="1"/>
                <c:pt idx="0">
                  <c:v>UV lamp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'2021'!$B$31:$N$31</c:f>
              <c:numCache>
                <c:formatCode>#,##0_ </c:formatCode>
                <c:ptCount val="13"/>
                <c:pt idx="0">
                  <c:v>2353565</c:v>
                </c:pt>
                <c:pt idx="1">
                  <c:v>4329095.7680000002</c:v>
                </c:pt>
                <c:pt idx="2">
                  <c:v>0</c:v>
                </c:pt>
                <c:pt idx="3">
                  <c:v>0</c:v>
                </c:pt>
                <c:pt idx="4">
                  <c:v>7850000</c:v>
                </c:pt>
                <c:pt idx="5">
                  <c:v>0</c:v>
                </c:pt>
                <c:pt idx="6">
                  <c:v>2579600</c:v>
                </c:pt>
                <c:pt idx="7">
                  <c:v>7965600</c:v>
                </c:pt>
                <c:pt idx="8">
                  <c:v>0</c:v>
                </c:pt>
                <c:pt idx="9">
                  <c:v>2047305</c:v>
                </c:pt>
                <c:pt idx="10">
                  <c:v>0</c:v>
                </c:pt>
                <c:pt idx="12">
                  <c:v>27125165.767999999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D4-4CA4-B237-A5A8207A9C6F}"/>
            </c:ext>
          </c:extLst>
        </c:ser>
        <c:ser>
          <c:idx val="7"/>
          <c:order val="7"/>
          <c:tx>
            <c:strRef>
              <c:f>'2021'!$A$32</c:f>
              <c:strCache>
                <c:ptCount val="1"/>
                <c:pt idx="0">
                  <c:v>CTP(IHK)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'2021'!$B$32:$N$32</c:f>
              <c:numCache>
                <c:formatCode>#,##0_ </c:formatCode>
                <c:ptCount val="13"/>
                <c:pt idx="0">
                  <c:v>-303000</c:v>
                </c:pt>
                <c:pt idx="1">
                  <c:v>-289000</c:v>
                </c:pt>
                <c:pt idx="2">
                  <c:v>-289000</c:v>
                </c:pt>
                <c:pt idx="3">
                  <c:v>2043500</c:v>
                </c:pt>
                <c:pt idx="4">
                  <c:v>-336000</c:v>
                </c:pt>
                <c:pt idx="5">
                  <c:v>1426000</c:v>
                </c:pt>
                <c:pt idx="6">
                  <c:v>0</c:v>
                </c:pt>
                <c:pt idx="7">
                  <c:v>222000</c:v>
                </c:pt>
                <c:pt idx="8">
                  <c:v>3397850</c:v>
                </c:pt>
                <c:pt idx="9">
                  <c:v>234250</c:v>
                </c:pt>
                <c:pt idx="10">
                  <c:v>970750</c:v>
                </c:pt>
                <c:pt idx="12">
                  <c:v>7077350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D4-4CA4-B237-A5A8207A9C6F}"/>
            </c:ext>
          </c:extLst>
        </c:ser>
        <c:ser>
          <c:idx val="8"/>
          <c:order val="8"/>
          <c:tx>
            <c:strRef>
              <c:f>'2021'!$A$33</c:f>
              <c:strCache>
                <c:ptCount val="1"/>
                <c:pt idx="0">
                  <c:v>Others(IHK)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'2021'!$B$33:$N$33</c:f>
              <c:numCache>
                <c:formatCode>#,##0_ </c:formatCode>
                <c:ptCount val="13"/>
                <c:pt idx="0">
                  <c:v>1905000</c:v>
                </c:pt>
                <c:pt idx="1">
                  <c:v>3304000</c:v>
                </c:pt>
                <c:pt idx="2">
                  <c:v>1769000</c:v>
                </c:pt>
                <c:pt idx="3">
                  <c:v>1631000</c:v>
                </c:pt>
                <c:pt idx="4">
                  <c:v>2088000</c:v>
                </c:pt>
                <c:pt idx="5">
                  <c:v>873000</c:v>
                </c:pt>
                <c:pt idx="6">
                  <c:v>4649000</c:v>
                </c:pt>
                <c:pt idx="7">
                  <c:v>1872000</c:v>
                </c:pt>
                <c:pt idx="8">
                  <c:v>408000</c:v>
                </c:pt>
                <c:pt idx="9">
                  <c:v>1643000</c:v>
                </c:pt>
                <c:pt idx="10">
                  <c:v>4083800</c:v>
                </c:pt>
                <c:pt idx="12">
                  <c:v>24225800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D4-4CA4-B237-A5A8207A9C6F}"/>
            </c:ext>
          </c:extLst>
        </c:ser>
        <c:ser>
          <c:idx val="9"/>
          <c:order val="9"/>
          <c:tx>
            <c:strRef>
              <c:f>'2021'!$A$34</c:f>
              <c:strCache>
                <c:ptCount val="1"/>
                <c:pt idx="0">
                  <c:v>Technotrans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'2021'!$B$34:$N$34</c:f>
              <c:numCache>
                <c:formatCode>#,##0_ </c:formatCode>
                <c:ptCount val="13"/>
                <c:pt idx="0">
                  <c:v>560000</c:v>
                </c:pt>
                <c:pt idx="1">
                  <c:v>910390</c:v>
                </c:pt>
                <c:pt idx="2">
                  <c:v>6821000</c:v>
                </c:pt>
                <c:pt idx="3">
                  <c:v>670920</c:v>
                </c:pt>
                <c:pt idx="4">
                  <c:v>10370000</c:v>
                </c:pt>
                <c:pt idx="5">
                  <c:v>368600</c:v>
                </c:pt>
                <c:pt idx="6">
                  <c:v>590000</c:v>
                </c:pt>
                <c:pt idx="7">
                  <c:v>0</c:v>
                </c:pt>
                <c:pt idx="8">
                  <c:v>0</c:v>
                </c:pt>
                <c:pt idx="9">
                  <c:v>320000</c:v>
                </c:pt>
                <c:pt idx="10">
                  <c:v>796500</c:v>
                </c:pt>
                <c:pt idx="12">
                  <c:v>21407410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D4-4CA4-B237-A5A8207A9C6F}"/>
            </c:ext>
          </c:extLst>
        </c:ser>
        <c:ser>
          <c:idx val="10"/>
          <c:order val="10"/>
          <c:tx>
            <c:strRef>
              <c:f>'2021'!$A$35</c:f>
              <c:strCache>
                <c:ptCount val="1"/>
                <c:pt idx="0">
                  <c:v>GOSS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'2021'!$B$35:$N$35</c:f>
              <c:numCache>
                <c:formatCode>#,##0_ </c:formatCode>
                <c:ptCount val="13"/>
                <c:pt idx="0">
                  <c:v>4837125</c:v>
                </c:pt>
                <c:pt idx="1">
                  <c:v>13064327.272727273</c:v>
                </c:pt>
                <c:pt idx="2">
                  <c:v>6404000</c:v>
                </c:pt>
                <c:pt idx="3">
                  <c:v>8199595</c:v>
                </c:pt>
                <c:pt idx="4">
                  <c:v>12035613</c:v>
                </c:pt>
                <c:pt idx="5">
                  <c:v>7282589</c:v>
                </c:pt>
                <c:pt idx="6">
                  <c:v>6457145</c:v>
                </c:pt>
                <c:pt idx="7">
                  <c:v>1770583</c:v>
                </c:pt>
                <c:pt idx="8">
                  <c:v>411500</c:v>
                </c:pt>
                <c:pt idx="9">
                  <c:v>3834418.8763959371</c:v>
                </c:pt>
                <c:pt idx="10">
                  <c:v>1428922</c:v>
                </c:pt>
                <c:pt idx="12">
                  <c:v>65725818.149123207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D4-4CA4-B237-A5A8207A9C6F}"/>
            </c:ext>
          </c:extLst>
        </c:ser>
        <c:ser>
          <c:idx val="11"/>
          <c:order val="11"/>
          <c:tx>
            <c:strRef>
              <c:f>'2021'!$A$36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'2021'!$B$36:$N$36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2600000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170000</c:v>
                </c:pt>
                <c:pt idx="7">
                  <c:v>390000</c:v>
                </c:pt>
                <c:pt idx="8">
                  <c:v>280000</c:v>
                </c:pt>
                <c:pt idx="9">
                  <c:v>1010000</c:v>
                </c:pt>
                <c:pt idx="10">
                  <c:v>0</c:v>
                </c:pt>
                <c:pt idx="12">
                  <c:v>4450000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4D4-4CA4-B237-A5A8207A9C6F}"/>
            </c:ext>
          </c:extLst>
        </c:ser>
        <c:ser>
          <c:idx val="12"/>
          <c:order val="12"/>
          <c:tx>
            <c:strRef>
              <c:f>'2021'!$A$37</c:f>
              <c:strCache>
                <c:ptCount val="1"/>
                <c:pt idx="0">
                  <c:v>Machine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'2021'!$B$37:$N$37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4D4-4CA4-B237-A5A8207A9C6F}"/>
            </c:ext>
          </c:extLst>
        </c:ser>
        <c:ser>
          <c:idx val="13"/>
          <c:order val="13"/>
          <c:tx>
            <c:strRef>
              <c:f>'2021'!$A$38</c:f>
              <c:strCache>
                <c:ptCount val="1"/>
                <c:pt idx="0">
                  <c:v>Ink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'2021'!$B$38:$N$38</c:f>
              <c:numCache>
                <c:formatCode>#,##0_ </c:formatCode>
                <c:ptCount val="13"/>
                <c:pt idx="0">
                  <c:v>1211000</c:v>
                </c:pt>
                <c:pt idx="1">
                  <c:v>1010240</c:v>
                </c:pt>
                <c:pt idx="2">
                  <c:v>1329000</c:v>
                </c:pt>
                <c:pt idx="3">
                  <c:v>1056500</c:v>
                </c:pt>
                <c:pt idx="4">
                  <c:v>1031000</c:v>
                </c:pt>
                <c:pt idx="5">
                  <c:v>1061000</c:v>
                </c:pt>
                <c:pt idx="6">
                  <c:v>1466000</c:v>
                </c:pt>
                <c:pt idx="7">
                  <c:v>114000</c:v>
                </c:pt>
                <c:pt idx="8">
                  <c:v>1118000</c:v>
                </c:pt>
                <c:pt idx="9">
                  <c:v>970200</c:v>
                </c:pt>
                <c:pt idx="10">
                  <c:v>1733000</c:v>
                </c:pt>
                <c:pt idx="12">
                  <c:v>12099940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4D4-4CA4-B237-A5A8207A9C6F}"/>
            </c:ext>
          </c:extLst>
        </c:ser>
        <c:ser>
          <c:idx val="14"/>
          <c:order val="14"/>
          <c:tx>
            <c:strRef>
              <c:f>'2021'!$A$39</c:f>
              <c:strCache>
                <c:ptCount val="1"/>
                <c:pt idx="0">
                  <c:v>CTP(Others)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'2021'!$B$39:$N$39</c:f>
              <c:numCache>
                <c:formatCode>#,##0_ </c:formatCode>
                <c:ptCount val="13"/>
                <c:pt idx="0">
                  <c:v>13342591.077792801</c:v>
                </c:pt>
                <c:pt idx="1">
                  <c:v>13877723.989185205</c:v>
                </c:pt>
                <c:pt idx="2">
                  <c:v>15897487.757650241</c:v>
                </c:pt>
                <c:pt idx="3">
                  <c:v>14335351.616074722</c:v>
                </c:pt>
                <c:pt idx="4">
                  <c:v>14198875.150546886</c:v>
                </c:pt>
                <c:pt idx="5">
                  <c:v>14371400.147474501</c:v>
                </c:pt>
                <c:pt idx="6">
                  <c:v>13661731.399778789</c:v>
                </c:pt>
                <c:pt idx="7">
                  <c:v>15627500</c:v>
                </c:pt>
                <c:pt idx="8">
                  <c:v>10021000</c:v>
                </c:pt>
                <c:pt idx="9">
                  <c:v>16071500</c:v>
                </c:pt>
                <c:pt idx="10">
                  <c:v>15216500</c:v>
                </c:pt>
                <c:pt idx="12">
                  <c:v>156621661.13850313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4D4-4CA4-B237-A5A8207A9C6F}"/>
            </c:ext>
          </c:extLst>
        </c:ser>
        <c:ser>
          <c:idx val="15"/>
          <c:order val="15"/>
          <c:tx>
            <c:strRef>
              <c:f>'2021'!$A$40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'2021'!$B$24:$N$24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'2021'!$B$40:$N$40</c:f>
              <c:numCache>
                <c:formatCode>#,##0_ </c:formatCode>
                <c:ptCount val="13"/>
                <c:pt idx="0">
                  <c:v>6678600</c:v>
                </c:pt>
                <c:pt idx="1">
                  <c:v>4349110</c:v>
                </c:pt>
                <c:pt idx="2">
                  <c:v>10984978</c:v>
                </c:pt>
                <c:pt idx="3">
                  <c:v>4934084</c:v>
                </c:pt>
                <c:pt idx="4">
                  <c:v>6673225</c:v>
                </c:pt>
                <c:pt idx="5">
                  <c:v>3369666</c:v>
                </c:pt>
                <c:pt idx="6">
                  <c:v>3204491</c:v>
                </c:pt>
                <c:pt idx="7">
                  <c:v>5262900</c:v>
                </c:pt>
                <c:pt idx="8">
                  <c:v>4716803</c:v>
                </c:pt>
                <c:pt idx="9">
                  <c:v>2534300</c:v>
                </c:pt>
                <c:pt idx="10">
                  <c:v>6303187</c:v>
                </c:pt>
                <c:pt idx="12">
                  <c:v>59011344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4D4-4CA4-B237-A5A8207A9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479984"/>
        <c:axId val="1"/>
      </c:barChart>
      <c:catAx>
        <c:axId val="203047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47998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728278446959963"/>
          <c:y val="0.97187052716736777"/>
          <c:w val="0.43331481957269735"/>
          <c:h val="6.8682575765899312E-4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Technotrans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98347825385224"/>
          <c:y val="0.13183228995458313"/>
          <c:w val="0.86642487059833695"/>
          <c:h val="0.70725130447462536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0070C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Database!$U$4:$U$8</c:f>
              <c:numCache>
                <c:formatCode>_-"₩"* #,##0_-;\-"₩"* #,##0_-;_-"₩"* "-"_-;_-@_-</c:formatCode>
                <c:ptCount val="5"/>
                <c:pt idx="0">
                  <c:v>231635600</c:v>
                </c:pt>
                <c:pt idx="1">
                  <c:v>183600000</c:v>
                </c:pt>
                <c:pt idx="2">
                  <c:v>57520000</c:v>
                </c:pt>
                <c:pt idx="3">
                  <c:v>28850000</c:v>
                </c:pt>
                <c:pt idx="4">
                  <c:v>68925000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A-42C2-8EA3-42B8531CAB6D}"/>
            </c:ext>
          </c:extLst>
        </c:ser>
        <c:ser>
          <c:idx val="1"/>
          <c:order val="1"/>
          <c:tx>
            <c:v>Margin</c:v>
          </c:tx>
          <c:spPr>
            <a:solidFill>
              <a:srgbClr val="FFC00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Database!$V$4:$V$8</c:f>
              <c:numCache>
                <c:formatCode>_-"₩"* #,##0_-;\-"₩"* #,##0_-;_-"₩"* "-"_-;_-@_-</c:formatCode>
                <c:ptCount val="5"/>
                <c:pt idx="0">
                  <c:v>48063059.879999995</c:v>
                </c:pt>
                <c:pt idx="1">
                  <c:v>75666837.38310048</c:v>
                </c:pt>
                <c:pt idx="2">
                  <c:v>22731230.664055727</c:v>
                </c:pt>
                <c:pt idx="3">
                  <c:v>9298151</c:v>
                </c:pt>
                <c:pt idx="4">
                  <c:v>20290910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CA-42C2-8EA3-42B8531CA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72912"/>
        <c:axId val="1"/>
      </c:barChart>
      <c:catAx>
        <c:axId val="203047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7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4487801534270743"/>
          <c:y val="0.93516532554088883"/>
          <c:w val="0.18505109268608644"/>
          <c:h val="1.982035152370120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Consumable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159850527609273"/>
          <c:y val="0.13504957146823554"/>
          <c:w val="0.86642487059833695"/>
          <c:h val="0.70725130447462536"/>
        </c:manualLayout>
      </c:layout>
      <c:barChart>
        <c:barDir val="col"/>
        <c:grouping val="clustered"/>
        <c:varyColors val="0"/>
        <c:ser>
          <c:idx val="1"/>
          <c:order val="0"/>
          <c:tx>
            <c:v>Sales</c:v>
          </c:tx>
          <c:spPr>
            <a:solidFill>
              <a:srgbClr val="00B05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Database!$Q$4:$Q$8</c:f>
              <c:numCache>
                <c:formatCode>_-"₩"* #,##0_-;\-"₩"* #,##0_-;_-"₩"* "-"_-;_-@_-</c:formatCode>
                <c:ptCount val="5"/>
                <c:pt idx="0">
                  <c:v>595751800</c:v>
                </c:pt>
                <c:pt idx="1">
                  <c:v>520765750</c:v>
                </c:pt>
                <c:pt idx="2">
                  <c:v>597218100</c:v>
                </c:pt>
                <c:pt idx="3">
                  <c:v>538045400</c:v>
                </c:pt>
                <c:pt idx="4">
                  <c:v>438845600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F-4A63-BE0B-463A349C7E85}"/>
            </c:ext>
          </c:extLst>
        </c:ser>
        <c:ser>
          <c:idx val="0"/>
          <c:order val="1"/>
          <c:tx>
            <c:v>Margin</c:v>
          </c:tx>
          <c:spPr>
            <a:solidFill>
              <a:srgbClr val="C0000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Database!$R$4:$R$8</c:f>
              <c:numCache>
                <c:formatCode>_-"₩"* #,##0_-;\-"₩"* #,##0_-;_-"₩"* "-"_-;_-@_-</c:formatCode>
                <c:ptCount val="5"/>
                <c:pt idx="0">
                  <c:v>141518978</c:v>
                </c:pt>
                <c:pt idx="1">
                  <c:v>130564004.17984328</c:v>
                </c:pt>
                <c:pt idx="2">
                  <c:v>146469679.42048591</c:v>
                </c:pt>
                <c:pt idx="3">
                  <c:v>135786694.53600001</c:v>
                </c:pt>
                <c:pt idx="4">
                  <c:v>120138120.76800001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F-4A63-BE0B-463A349C7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92464"/>
        <c:axId val="1"/>
      </c:barChart>
      <c:catAx>
        <c:axId val="203049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750000000"/>
          <c:min val="0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9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826040599673644"/>
          <c:y val="0.93504778248872733"/>
          <c:w val="0.13944653566348897"/>
          <c:h val="1.985617182467580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Goss/Service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98347825385224"/>
          <c:y val="0.13183228995458313"/>
          <c:w val="0.86642487059833695"/>
          <c:h val="0.70725130447462536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Database!$S$4:$S$8</c:f>
              <c:numCache>
                <c:formatCode>_-"₩"* #,##0_-;\-"₩"* #,##0_-;_-"₩"* "-"_-;_-@_-</c:formatCode>
                <c:ptCount val="5"/>
                <c:pt idx="0">
                  <c:v>236973000</c:v>
                </c:pt>
                <c:pt idx="1">
                  <c:v>329729419</c:v>
                </c:pt>
                <c:pt idx="2">
                  <c:v>346024390</c:v>
                </c:pt>
                <c:pt idx="3">
                  <c:v>421582751</c:v>
                </c:pt>
                <c:pt idx="4">
                  <c:v>346207454.27272725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9-4A2E-A03A-67A99886230C}"/>
            </c:ext>
          </c:extLst>
        </c:ser>
        <c:ser>
          <c:idx val="1"/>
          <c:order val="1"/>
          <c:tx>
            <c:v>Margin</c:v>
          </c:tx>
          <c:spPr>
            <a:solidFill>
              <a:schemeClr val="bg2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Database!$T$4:$T$8</c:f>
              <c:numCache>
                <c:formatCode>_-"₩"* #,##0_-;\-"₩"* #,##0_-;_-"₩"* "-"_-;_-@_-</c:formatCode>
                <c:ptCount val="5"/>
                <c:pt idx="0">
                  <c:v>128813921.63146177</c:v>
                </c:pt>
                <c:pt idx="1">
                  <c:v>123274386.50168943</c:v>
                </c:pt>
                <c:pt idx="2">
                  <c:v>133770832.61794695</c:v>
                </c:pt>
                <c:pt idx="3">
                  <c:v>138525161.8522045</c:v>
                </c:pt>
                <c:pt idx="4">
                  <c:v>63902477.272727273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29-4A2E-A03A-67A998862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93296"/>
        <c:axId val="1"/>
      </c:barChart>
      <c:catAx>
        <c:axId val="203049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9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312007874015745"/>
          <c:y val="0.92795779412399781"/>
          <c:w val="0.18519098464964601"/>
          <c:h val="1.982035152370120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69578847920392"/>
          <c:y val="5.0506042207839823E-2"/>
          <c:w val="0.77212958089652683"/>
          <c:h val="0.89204880295460343"/>
        </c:manualLayout>
      </c:layout>
      <c:areaChart>
        <c:grouping val="stacked"/>
        <c:varyColors val="0"/>
        <c:ser>
          <c:idx val="1"/>
          <c:order val="0"/>
          <c:tx>
            <c:v>2019년 매출</c:v>
          </c:tx>
          <c:spPr>
            <a:solidFill>
              <a:srgbClr val="C0504D"/>
            </a:solidFill>
            <a:ln w="25400">
              <a:noFill/>
            </a:ln>
          </c:spPr>
          <c:val>
            <c:numRef>
              <c:f>Database!$N$28:$N$39</c:f>
              <c:numCache>
                <c:formatCode>_-"₩"* #,##0_-;\-"₩"* #,##0_-;_-"₩"* "-"_-;_-@_-</c:formatCode>
                <c:ptCount val="12"/>
                <c:pt idx="0">
                  <c:v>238294300</c:v>
                </c:pt>
                <c:pt idx="1">
                  <c:v>133146500</c:v>
                </c:pt>
                <c:pt idx="2">
                  <c:v>193511400</c:v>
                </c:pt>
                <c:pt idx="3">
                  <c:v>172231300</c:v>
                </c:pt>
                <c:pt idx="4">
                  <c:v>133602890</c:v>
                </c:pt>
                <c:pt idx="5">
                  <c:v>242224550</c:v>
                </c:pt>
                <c:pt idx="6">
                  <c:v>147826000</c:v>
                </c:pt>
                <c:pt idx="7">
                  <c:v>188247790</c:v>
                </c:pt>
                <c:pt idx="8">
                  <c:v>124816600</c:v>
                </c:pt>
                <c:pt idx="9">
                  <c:v>151781500</c:v>
                </c:pt>
                <c:pt idx="10">
                  <c:v>176187000</c:v>
                </c:pt>
                <c:pt idx="11">
                  <c:v>180968600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3-48A6-ADC5-0C44767BC924}"/>
            </c:ext>
          </c:extLst>
        </c:ser>
        <c:ser>
          <c:idx val="2"/>
          <c:order val="1"/>
          <c:tx>
            <c:v>2020년 매출</c:v>
          </c:tx>
          <c:spPr>
            <a:solidFill>
              <a:srgbClr val="9BBB59"/>
            </a:solidFill>
            <a:ln w="25400">
              <a:noFill/>
            </a:ln>
          </c:spPr>
          <c:val>
            <c:numRef>
              <c:f>Database!$N$40:$N$51</c:f>
              <c:numCache>
                <c:formatCode>_-"₩"* #,##0_-;\-"₩"* #,##0_-;_-"₩"* "-"_-;_-@_-</c:formatCode>
                <c:ptCount val="12"/>
                <c:pt idx="0">
                  <c:v>158732888</c:v>
                </c:pt>
                <c:pt idx="1">
                  <c:v>186549000</c:v>
                </c:pt>
                <c:pt idx="2">
                  <c:v>171061000</c:v>
                </c:pt>
                <c:pt idx="3">
                  <c:v>223123063</c:v>
                </c:pt>
                <c:pt idx="4">
                  <c:v>138571000</c:v>
                </c:pt>
                <c:pt idx="5">
                  <c:v>225317000</c:v>
                </c:pt>
                <c:pt idx="6">
                  <c:v>124621500</c:v>
                </c:pt>
                <c:pt idx="7">
                  <c:v>119425400</c:v>
                </c:pt>
                <c:pt idx="8">
                  <c:v>220663200</c:v>
                </c:pt>
                <c:pt idx="9">
                  <c:v>150104500</c:v>
                </c:pt>
                <c:pt idx="10">
                  <c:v>224611400</c:v>
                </c:pt>
                <c:pt idx="11">
                  <c:v>206631436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43-48A6-ADC5-0C44767BC924}"/>
            </c:ext>
          </c:extLst>
        </c:ser>
        <c:ser>
          <c:idx val="3"/>
          <c:order val="2"/>
          <c:tx>
            <c:v>2021년 매출</c:v>
          </c:tx>
          <c:spPr>
            <a:solidFill>
              <a:srgbClr val="8064A2"/>
            </a:solidFill>
            <a:ln w="25400">
              <a:noFill/>
            </a:ln>
          </c:spPr>
          <c:val>
            <c:numRef>
              <c:f>Database!$N$52:$N$63</c:f>
              <c:numCache>
                <c:formatCode>_-"₩"* #,##0_-;\-"₩"* #,##0_-;_-"₩"* "-"_-;_-@_-</c:formatCode>
                <c:ptCount val="12"/>
                <c:pt idx="0">
                  <c:v>151913900</c:v>
                </c:pt>
                <c:pt idx="1">
                  <c:v>164613127.27272728</c:v>
                </c:pt>
                <c:pt idx="2">
                  <c:v>201076056</c:v>
                </c:pt>
                <c:pt idx="3">
                  <c:v>173341000</c:v>
                </c:pt>
                <c:pt idx="4">
                  <c:v>220952500</c:v>
                </c:pt>
                <c:pt idx="5">
                  <c:v>172918273</c:v>
                </c:pt>
                <c:pt idx="6">
                  <c:v>165069500</c:v>
                </c:pt>
                <c:pt idx="7">
                  <c:v>212331500</c:v>
                </c:pt>
                <c:pt idx="8">
                  <c:v>138202661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43-48A6-ADC5-0C44767BC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495792"/>
        <c:axId val="1"/>
      </c:areaChart>
      <c:catAx>
        <c:axId val="203049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49579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Total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392071252592383"/>
          <c:y val="0.1452088169007808"/>
          <c:w val="0.83628884800332148"/>
          <c:h val="0.76114326893134288"/>
        </c:manualLayout>
      </c:layout>
      <c:barChart>
        <c:barDir val="col"/>
        <c:grouping val="clustered"/>
        <c:varyColors val="0"/>
        <c:ser>
          <c:idx val="0"/>
          <c:order val="0"/>
          <c:tx>
            <c:v>Total Sales</c:v>
          </c:tx>
          <c:spPr>
            <a:solidFill>
              <a:srgbClr val="FFC00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Database!$Y$4:$Y$8</c:f>
              <c:numCache>
                <c:formatCode>_-"₩"* #,##0_-;\-"₩"* #,##0_-;_-"₩"* "-"_-;_-@_-</c:formatCode>
                <c:ptCount val="5"/>
                <c:pt idx="0">
                  <c:v>1491179800</c:v>
                </c:pt>
                <c:pt idx="1">
                  <c:v>1917810393</c:v>
                </c:pt>
                <c:pt idx="2">
                  <c:v>2082838430</c:v>
                </c:pt>
                <c:pt idx="3">
                  <c:v>2149411387</c:v>
                </c:pt>
                <c:pt idx="4">
                  <c:v>1600418517.2727273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9-4647-BE26-672F33925D48}"/>
            </c:ext>
          </c:extLst>
        </c:ser>
        <c:ser>
          <c:idx val="1"/>
          <c:order val="1"/>
          <c:tx>
            <c:v>Total Margin</c:v>
          </c:tx>
          <c:spPr>
            <a:solidFill>
              <a:srgbClr val="7030A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Database!$Z$4:$Z$8</c:f>
              <c:numCache>
                <c:formatCode>_-"₩"* #,##0_-;\-"₩"* #,##0_-;_-"₩"* "-"_-;_-@_-</c:formatCode>
                <c:ptCount val="5"/>
                <c:pt idx="0">
                  <c:v>337179226.51146173</c:v>
                </c:pt>
                <c:pt idx="1">
                  <c:v>438434090.55769742</c:v>
                </c:pt>
                <c:pt idx="2">
                  <c:v>587371778.05564868</c:v>
                </c:pt>
                <c:pt idx="3">
                  <c:v>578053996.58732569</c:v>
                </c:pt>
                <c:pt idx="4">
                  <c:v>389235766.17923039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9-4647-BE26-672F33925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71248"/>
        <c:axId val="1"/>
      </c:barChart>
      <c:catAx>
        <c:axId val="203047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7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52375548732952"/>
          <c:y val="5.5857768692990153E-2"/>
          <c:w val="0.15987708802212375"/>
          <c:h val="1.9820351523701221E-2"/>
        </c:manualLayout>
      </c:layout>
      <c:overlay val="0"/>
    </c:legend>
    <c:plotVisOnly val="0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/>
              <a:t>Sales</a:t>
            </a:r>
            <a:endParaRPr lang="ko-KR" sz="2400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'2022'!$A$4</c:f>
              <c:strCache>
                <c:ptCount val="1"/>
                <c:pt idx="0">
                  <c:v>Film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'2022'!$B$4:$N$4</c:f>
              <c:numCache>
                <c:formatCode>#,##0_ </c:formatCode>
                <c:ptCount val="13"/>
                <c:pt idx="0">
                  <c:v>3575500</c:v>
                </c:pt>
                <c:pt idx="1">
                  <c:v>410000</c:v>
                </c:pt>
                <c:pt idx="2">
                  <c:v>0</c:v>
                </c:pt>
                <c:pt idx="3">
                  <c:v>0</c:v>
                </c:pt>
                <c:pt idx="4">
                  <c:v>2738000</c:v>
                </c:pt>
                <c:pt idx="5">
                  <c:v>3409000</c:v>
                </c:pt>
                <c:pt idx="6">
                  <c:v>6286000</c:v>
                </c:pt>
                <c:pt idx="7">
                  <c:v>3409000</c:v>
                </c:pt>
                <c:pt idx="8">
                  <c:v>3094000</c:v>
                </c:pt>
                <c:pt idx="9">
                  <c:v>6663000</c:v>
                </c:pt>
                <c:pt idx="10">
                  <c:v>490000</c:v>
                </c:pt>
                <c:pt idx="11">
                  <c:v>3870000</c:v>
                </c:pt>
                <c:pt idx="12">
                  <c:v>33944500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7-4F78-99EC-06C9B49EEB6B}"/>
            </c:ext>
          </c:extLst>
        </c:ser>
        <c:ser>
          <c:idx val="1"/>
          <c:order val="1"/>
          <c:tx>
            <c:strRef>
              <c:f>'2022'!$A$5</c:f>
              <c:strCache>
                <c:ptCount val="1"/>
                <c:pt idx="0">
                  <c:v>Fount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87-4F78-99EC-06C9B49EEB6B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'2022'!$B$5:$N$5</c:f>
              <c:numCache>
                <c:formatCode>#,##0_ </c:formatCode>
                <c:ptCount val="13"/>
                <c:pt idx="0">
                  <c:v>4390000</c:v>
                </c:pt>
                <c:pt idx="1">
                  <c:v>0</c:v>
                </c:pt>
                <c:pt idx="2">
                  <c:v>2887500</c:v>
                </c:pt>
                <c:pt idx="3">
                  <c:v>1925000</c:v>
                </c:pt>
                <c:pt idx="4">
                  <c:v>1925000</c:v>
                </c:pt>
                <c:pt idx="5">
                  <c:v>3507500</c:v>
                </c:pt>
                <c:pt idx="6">
                  <c:v>1925000</c:v>
                </c:pt>
                <c:pt idx="7">
                  <c:v>1925000</c:v>
                </c:pt>
                <c:pt idx="8">
                  <c:v>4812500</c:v>
                </c:pt>
                <c:pt idx="9">
                  <c:v>3850000</c:v>
                </c:pt>
                <c:pt idx="10">
                  <c:v>4812500</c:v>
                </c:pt>
                <c:pt idx="11">
                  <c:v>5775000</c:v>
                </c:pt>
                <c:pt idx="12">
                  <c:v>37735000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87-4F78-99EC-06C9B49EEB6B}"/>
            </c:ext>
          </c:extLst>
        </c:ser>
        <c:ser>
          <c:idx val="2"/>
          <c:order val="2"/>
          <c:tx>
            <c:strRef>
              <c:f>'2022'!$A$6</c:f>
              <c:strCache>
                <c:ptCount val="1"/>
                <c:pt idx="0">
                  <c:v>Roller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87-4F78-99EC-06C9B49EEB6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87-4F78-99EC-06C9B49EEB6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87-4F78-99EC-06C9B49EEB6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87-4F78-99EC-06C9B49EEB6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87-4F78-99EC-06C9B49EEB6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387-4F78-99EC-06C9B49EEB6B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'2022'!$B$6:$N$6</c:f>
              <c:numCache>
                <c:formatCode>#,##0_ </c:formatCode>
                <c:ptCount val="13"/>
                <c:pt idx="0">
                  <c:v>4530000</c:v>
                </c:pt>
                <c:pt idx="1">
                  <c:v>0</c:v>
                </c:pt>
                <c:pt idx="2">
                  <c:v>2750000</c:v>
                </c:pt>
                <c:pt idx="3">
                  <c:v>10990000</c:v>
                </c:pt>
                <c:pt idx="4">
                  <c:v>0</c:v>
                </c:pt>
                <c:pt idx="5">
                  <c:v>15995000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34265000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387-4F78-99EC-06C9B49EEB6B}"/>
            </c:ext>
          </c:extLst>
        </c:ser>
        <c:ser>
          <c:idx val="3"/>
          <c:order val="3"/>
          <c:tx>
            <c:strRef>
              <c:f>'2022'!$A$7</c:f>
              <c:strCache>
                <c:ptCount val="1"/>
                <c:pt idx="0">
                  <c:v>Blanket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'2022'!$B$7:$N$7</c:f>
              <c:numCache>
                <c:formatCode>#,##0_ </c:formatCode>
                <c:ptCount val="13"/>
                <c:pt idx="0">
                  <c:v>6374000</c:v>
                </c:pt>
                <c:pt idx="1">
                  <c:v>6224000</c:v>
                </c:pt>
                <c:pt idx="2">
                  <c:v>12596000</c:v>
                </c:pt>
                <c:pt idx="3">
                  <c:v>4885000</c:v>
                </c:pt>
                <c:pt idx="4">
                  <c:v>8274000</c:v>
                </c:pt>
                <c:pt idx="5">
                  <c:v>7324000</c:v>
                </c:pt>
                <c:pt idx="6">
                  <c:v>7524000</c:v>
                </c:pt>
                <c:pt idx="7">
                  <c:v>8774000</c:v>
                </c:pt>
                <c:pt idx="8">
                  <c:v>18954000</c:v>
                </c:pt>
                <c:pt idx="9">
                  <c:v>7324000</c:v>
                </c:pt>
                <c:pt idx="10">
                  <c:v>9064000</c:v>
                </c:pt>
                <c:pt idx="11">
                  <c:v>7058000</c:v>
                </c:pt>
                <c:pt idx="12">
                  <c:v>104375000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387-4F78-99EC-06C9B49EEB6B}"/>
            </c:ext>
          </c:extLst>
        </c:ser>
        <c:ser>
          <c:idx val="4"/>
          <c:order val="4"/>
          <c:tx>
            <c:strRef>
              <c:f>'2022'!$A$8</c:f>
              <c:strCache>
                <c:ptCount val="1"/>
                <c:pt idx="0">
                  <c:v>Wash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'2022'!$B$8:$N$8</c:f>
              <c:numCache>
                <c:formatCode>#,##0_ </c:formatCode>
                <c:ptCount val="13"/>
                <c:pt idx="0">
                  <c:v>7928500</c:v>
                </c:pt>
                <c:pt idx="1">
                  <c:v>3020000</c:v>
                </c:pt>
                <c:pt idx="2">
                  <c:v>8820000</c:v>
                </c:pt>
                <c:pt idx="3">
                  <c:v>11156500</c:v>
                </c:pt>
                <c:pt idx="4">
                  <c:v>7268000</c:v>
                </c:pt>
                <c:pt idx="5">
                  <c:v>7384000</c:v>
                </c:pt>
                <c:pt idx="6">
                  <c:v>4252000</c:v>
                </c:pt>
                <c:pt idx="7">
                  <c:v>8332000</c:v>
                </c:pt>
                <c:pt idx="8">
                  <c:v>9442000</c:v>
                </c:pt>
                <c:pt idx="9">
                  <c:v>8738000</c:v>
                </c:pt>
                <c:pt idx="10">
                  <c:v>8527000</c:v>
                </c:pt>
                <c:pt idx="11">
                  <c:v>7147000</c:v>
                </c:pt>
                <c:pt idx="12">
                  <c:v>92015000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387-4F78-99EC-06C9B49EEB6B}"/>
            </c:ext>
          </c:extLst>
        </c:ser>
        <c:ser>
          <c:idx val="5"/>
          <c:order val="5"/>
          <c:tx>
            <c:strRef>
              <c:f>'2022'!$A$9</c:f>
              <c:strCache>
                <c:ptCount val="1"/>
                <c:pt idx="0">
                  <c:v>농도계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</c:spPr>
          <c:invertIfNegative val="0"/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'2022'!$B$9:$N$9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387-4F78-99EC-06C9B49EEB6B}"/>
            </c:ext>
          </c:extLst>
        </c:ser>
        <c:ser>
          <c:idx val="6"/>
          <c:order val="6"/>
          <c:tx>
            <c:strRef>
              <c:f>'2022'!$A$10</c:f>
              <c:strCache>
                <c:ptCount val="1"/>
                <c:pt idx="0">
                  <c:v>UV lamp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387-4F78-99EC-06C9B49EEB6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387-4F78-99EC-06C9B49EEB6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387-4F78-99EC-06C9B49EEB6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387-4F78-99EC-06C9B49EEB6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387-4F78-99EC-06C9B49EEB6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387-4F78-99EC-06C9B49EEB6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387-4F78-99EC-06C9B49EEB6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387-4F78-99EC-06C9B49EEB6B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'2022'!$B$10:$N$10</c:f>
              <c:numCache>
                <c:formatCode>#,##0_ </c:formatCode>
                <c:ptCount val="13"/>
                <c:pt idx="0">
                  <c:v>0</c:v>
                </c:pt>
                <c:pt idx="1">
                  <c:v>4450000</c:v>
                </c:pt>
                <c:pt idx="2">
                  <c:v>4300000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3450000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18300000</c:v>
                </c:pt>
                <c:pt idx="11">
                  <c:v>0</c:v>
                </c:pt>
                <c:pt idx="12">
                  <c:v>30500000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387-4F78-99EC-06C9B49EEB6B}"/>
            </c:ext>
          </c:extLst>
        </c:ser>
        <c:ser>
          <c:idx val="7"/>
          <c:order val="7"/>
          <c:tx>
            <c:strRef>
              <c:f>'2022'!$A$11</c:f>
              <c:strCache>
                <c:ptCount val="1"/>
                <c:pt idx="0">
                  <c:v>CTP(IHK)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'2022'!$B$11:$N$11</c:f>
              <c:numCache>
                <c:formatCode>#,##0_ </c:formatCode>
                <c:ptCount val="13"/>
                <c:pt idx="0">
                  <c:v>9618200</c:v>
                </c:pt>
                <c:pt idx="1">
                  <c:v>9316000</c:v>
                </c:pt>
                <c:pt idx="2">
                  <c:v>7720000</c:v>
                </c:pt>
                <c:pt idx="3">
                  <c:v>7787300</c:v>
                </c:pt>
                <c:pt idx="4">
                  <c:v>9650000</c:v>
                </c:pt>
                <c:pt idx="5">
                  <c:v>3496000</c:v>
                </c:pt>
                <c:pt idx="6">
                  <c:v>1233000</c:v>
                </c:pt>
                <c:pt idx="7">
                  <c:v>997500</c:v>
                </c:pt>
                <c:pt idx="8">
                  <c:v>0</c:v>
                </c:pt>
                <c:pt idx="9">
                  <c:v>2097000</c:v>
                </c:pt>
                <c:pt idx="10">
                  <c:v>0</c:v>
                </c:pt>
                <c:pt idx="11">
                  <c:v>0</c:v>
                </c:pt>
                <c:pt idx="12">
                  <c:v>51915000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387-4F78-99EC-06C9B49EEB6B}"/>
            </c:ext>
          </c:extLst>
        </c:ser>
        <c:ser>
          <c:idx val="8"/>
          <c:order val="8"/>
          <c:tx>
            <c:strRef>
              <c:f>'2022'!$A$12</c:f>
              <c:strCache>
                <c:ptCount val="1"/>
                <c:pt idx="0">
                  <c:v>Others(IHK)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'2022'!$B$12:$N$12</c:f>
              <c:numCache>
                <c:formatCode>#,##0_ </c:formatCode>
                <c:ptCount val="13"/>
                <c:pt idx="0">
                  <c:v>12195000</c:v>
                </c:pt>
                <c:pt idx="1">
                  <c:v>19135000</c:v>
                </c:pt>
                <c:pt idx="2">
                  <c:v>18650000</c:v>
                </c:pt>
                <c:pt idx="3">
                  <c:v>13396000</c:v>
                </c:pt>
                <c:pt idx="4">
                  <c:v>20537000</c:v>
                </c:pt>
                <c:pt idx="5">
                  <c:v>16030000</c:v>
                </c:pt>
                <c:pt idx="6">
                  <c:v>14425000</c:v>
                </c:pt>
                <c:pt idx="7">
                  <c:v>12475000</c:v>
                </c:pt>
                <c:pt idx="8">
                  <c:v>23165000</c:v>
                </c:pt>
                <c:pt idx="9">
                  <c:v>18315000</c:v>
                </c:pt>
                <c:pt idx="10">
                  <c:v>18920000</c:v>
                </c:pt>
                <c:pt idx="11">
                  <c:v>19125000</c:v>
                </c:pt>
                <c:pt idx="12">
                  <c:v>206368000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387-4F78-99EC-06C9B49EEB6B}"/>
            </c:ext>
          </c:extLst>
        </c:ser>
        <c:ser>
          <c:idx val="9"/>
          <c:order val="9"/>
          <c:tx>
            <c:strRef>
              <c:f>'2022'!$A$13</c:f>
              <c:strCache>
                <c:ptCount val="1"/>
                <c:pt idx="0">
                  <c:v>Technotrans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'2022'!$B$13:$N$13</c:f>
              <c:numCache>
                <c:formatCode>#,##0_ </c:formatCode>
                <c:ptCount val="13"/>
                <c:pt idx="0">
                  <c:v>800000</c:v>
                </c:pt>
                <c:pt idx="1">
                  <c:v>660000</c:v>
                </c:pt>
                <c:pt idx="2">
                  <c:v>6500000</c:v>
                </c:pt>
                <c:pt idx="3">
                  <c:v>225000</c:v>
                </c:pt>
                <c:pt idx="4">
                  <c:v>5840000</c:v>
                </c:pt>
                <c:pt idx="5">
                  <c:v>5900000</c:v>
                </c:pt>
                <c:pt idx="6">
                  <c:v>3300000</c:v>
                </c:pt>
                <c:pt idx="7">
                  <c:v>4350000</c:v>
                </c:pt>
                <c:pt idx="8">
                  <c:v>2700000</c:v>
                </c:pt>
                <c:pt idx="9">
                  <c:v>2355000</c:v>
                </c:pt>
                <c:pt idx="10">
                  <c:v>5700000</c:v>
                </c:pt>
                <c:pt idx="11">
                  <c:v>2480000</c:v>
                </c:pt>
                <c:pt idx="12">
                  <c:v>40810000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387-4F78-99EC-06C9B49EEB6B}"/>
            </c:ext>
          </c:extLst>
        </c:ser>
        <c:ser>
          <c:idx val="10"/>
          <c:order val="10"/>
          <c:tx>
            <c:strRef>
              <c:f>'2022'!$A$14</c:f>
              <c:strCache>
                <c:ptCount val="1"/>
                <c:pt idx="0">
                  <c:v>GOSS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'2022'!$B$14:$N$14</c:f>
              <c:numCache>
                <c:formatCode>#,##0_ </c:formatCode>
                <c:ptCount val="13"/>
                <c:pt idx="0">
                  <c:v>10428000</c:v>
                </c:pt>
                <c:pt idx="1">
                  <c:v>33678000</c:v>
                </c:pt>
                <c:pt idx="2">
                  <c:v>22772000</c:v>
                </c:pt>
                <c:pt idx="3">
                  <c:v>69530000</c:v>
                </c:pt>
                <c:pt idx="4">
                  <c:v>39920000</c:v>
                </c:pt>
                <c:pt idx="5">
                  <c:v>25225000</c:v>
                </c:pt>
                <c:pt idx="6">
                  <c:v>32950000</c:v>
                </c:pt>
                <c:pt idx="7">
                  <c:v>33585000</c:v>
                </c:pt>
                <c:pt idx="8">
                  <c:v>114910000</c:v>
                </c:pt>
                <c:pt idx="9">
                  <c:v>98382273</c:v>
                </c:pt>
                <c:pt idx="10">
                  <c:v>146250000</c:v>
                </c:pt>
                <c:pt idx="11">
                  <c:v>158880000</c:v>
                </c:pt>
                <c:pt idx="12">
                  <c:v>786510273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387-4F78-99EC-06C9B49EEB6B}"/>
            </c:ext>
          </c:extLst>
        </c:ser>
        <c:ser>
          <c:idx val="11"/>
          <c:order val="11"/>
          <c:tx>
            <c:strRef>
              <c:f>'2022'!$A$15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'2022'!$B$15:$N$15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2625000</c:v>
                </c:pt>
                <c:pt idx="4">
                  <c:v>14566000</c:v>
                </c:pt>
                <c:pt idx="5">
                  <c:v>14375000</c:v>
                </c:pt>
                <c:pt idx="6">
                  <c:v>10280000</c:v>
                </c:pt>
                <c:pt idx="7">
                  <c:v>2625000</c:v>
                </c:pt>
                <c:pt idx="8">
                  <c:v>0</c:v>
                </c:pt>
                <c:pt idx="9">
                  <c:v>2625000</c:v>
                </c:pt>
                <c:pt idx="10">
                  <c:v>0</c:v>
                </c:pt>
                <c:pt idx="11">
                  <c:v>0</c:v>
                </c:pt>
                <c:pt idx="12">
                  <c:v>47096000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387-4F78-99EC-06C9B49EEB6B}"/>
            </c:ext>
          </c:extLst>
        </c:ser>
        <c:ser>
          <c:idx val="12"/>
          <c:order val="12"/>
          <c:tx>
            <c:strRef>
              <c:f>'2022'!$A$16</c:f>
              <c:strCache>
                <c:ptCount val="1"/>
                <c:pt idx="0">
                  <c:v>Machine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'2022'!$B$16:$N$16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387-4F78-99EC-06C9B49EEB6B}"/>
            </c:ext>
          </c:extLst>
        </c:ser>
        <c:ser>
          <c:idx val="13"/>
          <c:order val="13"/>
          <c:tx>
            <c:strRef>
              <c:f>'2022'!$A$17</c:f>
              <c:strCache>
                <c:ptCount val="1"/>
                <c:pt idx="0">
                  <c:v>Ink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'2022'!$B$17:$N$17</c:f>
              <c:numCache>
                <c:formatCode>#,##0_ </c:formatCode>
                <c:ptCount val="13"/>
                <c:pt idx="0">
                  <c:v>10920000</c:v>
                </c:pt>
                <c:pt idx="1">
                  <c:v>13440000</c:v>
                </c:pt>
                <c:pt idx="2">
                  <c:v>12320000</c:v>
                </c:pt>
                <c:pt idx="3">
                  <c:v>13440000</c:v>
                </c:pt>
                <c:pt idx="4">
                  <c:v>9770000</c:v>
                </c:pt>
                <c:pt idx="5">
                  <c:v>13440000</c:v>
                </c:pt>
                <c:pt idx="6">
                  <c:v>12320000</c:v>
                </c:pt>
                <c:pt idx="7">
                  <c:v>10890000</c:v>
                </c:pt>
                <c:pt idx="8">
                  <c:v>8384800</c:v>
                </c:pt>
                <c:pt idx="9">
                  <c:v>14085000</c:v>
                </c:pt>
                <c:pt idx="10">
                  <c:v>13888000</c:v>
                </c:pt>
                <c:pt idx="11">
                  <c:v>8102400</c:v>
                </c:pt>
                <c:pt idx="12">
                  <c:v>141000200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387-4F78-99EC-06C9B49EEB6B}"/>
            </c:ext>
          </c:extLst>
        </c:ser>
        <c:ser>
          <c:idx val="14"/>
          <c:order val="14"/>
          <c:tx>
            <c:strRef>
              <c:f>'2022'!$A$18</c:f>
              <c:strCache>
                <c:ptCount val="1"/>
                <c:pt idx="0">
                  <c:v>CTP(Others)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'2022'!$B$18:$N$18</c:f>
              <c:numCache>
                <c:formatCode>#,##0_ </c:formatCode>
                <c:ptCount val="13"/>
                <c:pt idx="0">
                  <c:v>41322500</c:v>
                </c:pt>
                <c:pt idx="1">
                  <c:v>38994000</c:v>
                </c:pt>
                <c:pt idx="2">
                  <c:v>56630000</c:v>
                </c:pt>
                <c:pt idx="3">
                  <c:v>54385000</c:v>
                </c:pt>
                <c:pt idx="4">
                  <c:v>38558000</c:v>
                </c:pt>
                <c:pt idx="5">
                  <c:v>31935000</c:v>
                </c:pt>
                <c:pt idx="6">
                  <c:v>36618500</c:v>
                </c:pt>
                <c:pt idx="7">
                  <c:v>38150000</c:v>
                </c:pt>
                <c:pt idx="8">
                  <c:v>41619500</c:v>
                </c:pt>
                <c:pt idx="9">
                  <c:v>45678000</c:v>
                </c:pt>
                <c:pt idx="10">
                  <c:v>42184000</c:v>
                </c:pt>
                <c:pt idx="11">
                  <c:v>32261500</c:v>
                </c:pt>
                <c:pt idx="12">
                  <c:v>498336000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387-4F78-99EC-06C9B49EEB6B}"/>
            </c:ext>
          </c:extLst>
        </c:ser>
        <c:ser>
          <c:idx val="15"/>
          <c:order val="15"/>
          <c:tx>
            <c:strRef>
              <c:f>'2022'!$A$19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'2022'!$B$19:$N$19</c:f>
              <c:numCache>
                <c:formatCode>#,##0_ </c:formatCode>
                <c:ptCount val="13"/>
                <c:pt idx="0">
                  <c:v>9382000</c:v>
                </c:pt>
                <c:pt idx="1">
                  <c:v>7973000</c:v>
                </c:pt>
                <c:pt idx="2">
                  <c:v>15178000</c:v>
                </c:pt>
                <c:pt idx="3">
                  <c:v>8135000</c:v>
                </c:pt>
                <c:pt idx="4">
                  <c:v>17604000</c:v>
                </c:pt>
                <c:pt idx="5">
                  <c:v>12338000</c:v>
                </c:pt>
                <c:pt idx="6">
                  <c:v>18025500</c:v>
                </c:pt>
                <c:pt idx="7">
                  <c:v>18090500</c:v>
                </c:pt>
                <c:pt idx="8">
                  <c:v>20094300</c:v>
                </c:pt>
                <c:pt idx="9">
                  <c:v>14699000</c:v>
                </c:pt>
                <c:pt idx="10">
                  <c:v>28326000</c:v>
                </c:pt>
                <c:pt idx="11">
                  <c:v>55182000</c:v>
                </c:pt>
                <c:pt idx="12">
                  <c:v>225027300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387-4F78-99EC-06C9B49EE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477072"/>
        <c:axId val="1"/>
      </c:barChart>
      <c:catAx>
        <c:axId val="203047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477072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'2022'!$A$25</c:f>
              <c:strCache>
                <c:ptCount val="1"/>
                <c:pt idx="0">
                  <c:v>Film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'2022'!$B$25:$N$25</c:f>
              <c:numCache>
                <c:formatCode>#,##0_ </c:formatCode>
                <c:ptCount val="13"/>
                <c:pt idx="0">
                  <c:v>735280</c:v>
                </c:pt>
                <c:pt idx="1">
                  <c:v>245000</c:v>
                </c:pt>
                <c:pt idx="2">
                  <c:v>0</c:v>
                </c:pt>
                <c:pt idx="3">
                  <c:v>0</c:v>
                </c:pt>
                <c:pt idx="4">
                  <c:v>1465680</c:v>
                </c:pt>
                <c:pt idx="5">
                  <c:v>1905680</c:v>
                </c:pt>
                <c:pt idx="6">
                  <c:v>1456520</c:v>
                </c:pt>
                <c:pt idx="7">
                  <c:v>877760</c:v>
                </c:pt>
                <c:pt idx="8">
                  <c:v>755260</c:v>
                </c:pt>
                <c:pt idx="9">
                  <c:v>1671520</c:v>
                </c:pt>
                <c:pt idx="10">
                  <c:v>90000</c:v>
                </c:pt>
                <c:pt idx="11">
                  <c:v>1740700</c:v>
                </c:pt>
                <c:pt idx="12">
                  <c:v>10943400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0-4E95-9CE1-0161CEC29E72}"/>
            </c:ext>
          </c:extLst>
        </c:ser>
        <c:ser>
          <c:idx val="1"/>
          <c:order val="1"/>
          <c:tx>
            <c:strRef>
              <c:f>'2022'!$A$26</c:f>
              <c:strCache>
                <c:ptCount val="1"/>
                <c:pt idx="0">
                  <c:v>Fount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'2022'!$B$26:$N$26</c:f>
              <c:numCache>
                <c:formatCode>#,##0_ </c:formatCode>
                <c:ptCount val="13"/>
                <c:pt idx="0">
                  <c:v>1860000</c:v>
                </c:pt>
                <c:pt idx="1">
                  <c:v>0</c:v>
                </c:pt>
                <c:pt idx="2">
                  <c:v>1200000</c:v>
                </c:pt>
                <c:pt idx="3">
                  <c:v>710000</c:v>
                </c:pt>
                <c:pt idx="4">
                  <c:v>710000</c:v>
                </c:pt>
                <c:pt idx="5">
                  <c:v>1382600</c:v>
                </c:pt>
                <c:pt idx="6">
                  <c:v>710000</c:v>
                </c:pt>
                <c:pt idx="7">
                  <c:v>710000</c:v>
                </c:pt>
                <c:pt idx="8">
                  <c:v>1775000</c:v>
                </c:pt>
                <c:pt idx="9">
                  <c:v>1420000</c:v>
                </c:pt>
                <c:pt idx="10">
                  <c:v>1775000</c:v>
                </c:pt>
                <c:pt idx="11">
                  <c:v>2130000</c:v>
                </c:pt>
                <c:pt idx="12">
                  <c:v>14382600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40-4E95-9CE1-0161CEC29E72}"/>
            </c:ext>
          </c:extLst>
        </c:ser>
        <c:ser>
          <c:idx val="2"/>
          <c:order val="2"/>
          <c:tx>
            <c:strRef>
              <c:f>'2022'!$A$27</c:f>
              <c:strCache>
                <c:ptCount val="1"/>
                <c:pt idx="0">
                  <c:v>Roller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'2022'!$B$27:$N$27</c:f>
              <c:numCache>
                <c:formatCode>#,##0_ </c:formatCode>
                <c:ptCount val="13"/>
                <c:pt idx="0">
                  <c:v>1170000</c:v>
                </c:pt>
                <c:pt idx="1">
                  <c:v>0</c:v>
                </c:pt>
                <c:pt idx="2">
                  <c:v>710000</c:v>
                </c:pt>
                <c:pt idx="3">
                  <c:v>2290000</c:v>
                </c:pt>
                <c:pt idx="4">
                  <c:v>0</c:v>
                </c:pt>
                <c:pt idx="5">
                  <c:v>3525000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7695000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40-4E95-9CE1-0161CEC29E72}"/>
            </c:ext>
          </c:extLst>
        </c:ser>
        <c:ser>
          <c:idx val="3"/>
          <c:order val="3"/>
          <c:tx>
            <c:strRef>
              <c:f>'2022'!$A$28</c:f>
              <c:strCache>
                <c:ptCount val="1"/>
                <c:pt idx="0">
                  <c:v>Blanket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'2022'!$B$28:$N$28</c:f>
              <c:numCache>
                <c:formatCode>#,##0_ </c:formatCode>
                <c:ptCount val="13"/>
                <c:pt idx="0">
                  <c:v>1154000</c:v>
                </c:pt>
                <c:pt idx="1">
                  <c:v>1500000</c:v>
                </c:pt>
                <c:pt idx="2">
                  <c:v>2360000</c:v>
                </c:pt>
                <c:pt idx="3">
                  <c:v>1022200</c:v>
                </c:pt>
                <c:pt idx="4">
                  <c:v>1508000</c:v>
                </c:pt>
                <c:pt idx="5">
                  <c:v>1660400</c:v>
                </c:pt>
                <c:pt idx="6">
                  <c:v>1600000</c:v>
                </c:pt>
                <c:pt idx="7">
                  <c:v>1956000</c:v>
                </c:pt>
                <c:pt idx="8">
                  <c:v>6463000</c:v>
                </c:pt>
                <c:pt idx="9">
                  <c:v>1158000</c:v>
                </c:pt>
                <c:pt idx="10">
                  <c:v>2020000</c:v>
                </c:pt>
                <c:pt idx="11">
                  <c:v>1518000</c:v>
                </c:pt>
                <c:pt idx="12">
                  <c:v>23919600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40-4E95-9CE1-0161CEC29E72}"/>
            </c:ext>
          </c:extLst>
        </c:ser>
        <c:ser>
          <c:idx val="4"/>
          <c:order val="4"/>
          <c:tx>
            <c:strRef>
              <c:f>'2022'!$A$29</c:f>
              <c:strCache>
                <c:ptCount val="1"/>
                <c:pt idx="0">
                  <c:v>Wash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'2022'!$B$29:$N$29</c:f>
              <c:numCache>
                <c:formatCode>#,##0_ </c:formatCode>
                <c:ptCount val="13"/>
                <c:pt idx="0">
                  <c:v>2270500</c:v>
                </c:pt>
                <c:pt idx="1">
                  <c:v>913000</c:v>
                </c:pt>
                <c:pt idx="2">
                  <c:v>2698000</c:v>
                </c:pt>
                <c:pt idx="3">
                  <c:v>5072590</c:v>
                </c:pt>
                <c:pt idx="4">
                  <c:v>1686000</c:v>
                </c:pt>
                <c:pt idx="5">
                  <c:v>1505100</c:v>
                </c:pt>
                <c:pt idx="6">
                  <c:v>1162000</c:v>
                </c:pt>
                <c:pt idx="7">
                  <c:v>2491600</c:v>
                </c:pt>
                <c:pt idx="8">
                  <c:v>3123955</c:v>
                </c:pt>
                <c:pt idx="9">
                  <c:v>2695600</c:v>
                </c:pt>
                <c:pt idx="10">
                  <c:v>2430000</c:v>
                </c:pt>
                <c:pt idx="11">
                  <c:v>1587500</c:v>
                </c:pt>
                <c:pt idx="12">
                  <c:v>27635845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40-4E95-9CE1-0161CEC29E72}"/>
            </c:ext>
          </c:extLst>
        </c:ser>
        <c:ser>
          <c:idx val="5"/>
          <c:order val="5"/>
          <c:tx>
            <c:strRef>
              <c:f>'2022'!$A$30</c:f>
              <c:strCache>
                <c:ptCount val="1"/>
                <c:pt idx="0">
                  <c:v>농도계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'2022'!$B$30:$N$30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40-4E95-9CE1-0161CEC29E72}"/>
            </c:ext>
          </c:extLst>
        </c:ser>
        <c:ser>
          <c:idx val="6"/>
          <c:order val="6"/>
          <c:tx>
            <c:strRef>
              <c:f>'2022'!$A$31</c:f>
              <c:strCache>
                <c:ptCount val="1"/>
                <c:pt idx="0">
                  <c:v>UV lamp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'2022'!$B$31:$N$31</c:f>
              <c:numCache>
                <c:formatCode>#,##0_ </c:formatCode>
                <c:ptCount val="13"/>
                <c:pt idx="0">
                  <c:v>0</c:v>
                </c:pt>
                <c:pt idx="1">
                  <c:v>1950000</c:v>
                </c:pt>
                <c:pt idx="2">
                  <c:v>2114500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2270000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5472500</c:v>
                </c:pt>
                <c:pt idx="11">
                  <c:v>0</c:v>
                </c:pt>
                <c:pt idx="12">
                  <c:v>11807000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40-4E95-9CE1-0161CEC29E72}"/>
            </c:ext>
          </c:extLst>
        </c:ser>
        <c:ser>
          <c:idx val="7"/>
          <c:order val="7"/>
          <c:tx>
            <c:strRef>
              <c:f>'2022'!$A$32</c:f>
              <c:strCache>
                <c:ptCount val="1"/>
                <c:pt idx="0">
                  <c:v>CTP(IHK)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'2022'!$B$32:$N$32</c:f>
              <c:numCache>
                <c:formatCode>#,##0_ </c:formatCode>
                <c:ptCount val="13"/>
                <c:pt idx="0">
                  <c:v>4201200</c:v>
                </c:pt>
                <c:pt idx="1">
                  <c:v>2296000</c:v>
                </c:pt>
                <c:pt idx="2">
                  <c:v>-780000</c:v>
                </c:pt>
                <c:pt idx="3">
                  <c:v>3537300</c:v>
                </c:pt>
                <c:pt idx="4">
                  <c:v>-1700000</c:v>
                </c:pt>
                <c:pt idx="5">
                  <c:v>3496000</c:v>
                </c:pt>
                <c:pt idx="6">
                  <c:v>1233000</c:v>
                </c:pt>
                <c:pt idx="7">
                  <c:v>997500</c:v>
                </c:pt>
                <c:pt idx="8">
                  <c:v>0</c:v>
                </c:pt>
                <c:pt idx="9">
                  <c:v>2097000</c:v>
                </c:pt>
                <c:pt idx="10">
                  <c:v>0</c:v>
                </c:pt>
                <c:pt idx="11">
                  <c:v>0</c:v>
                </c:pt>
                <c:pt idx="12">
                  <c:v>15378000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40-4E95-9CE1-0161CEC29E72}"/>
            </c:ext>
          </c:extLst>
        </c:ser>
        <c:ser>
          <c:idx val="8"/>
          <c:order val="8"/>
          <c:tx>
            <c:strRef>
              <c:f>'2022'!$A$33</c:f>
              <c:strCache>
                <c:ptCount val="1"/>
                <c:pt idx="0">
                  <c:v>Others(IHK)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'2022'!$B$33:$N$33</c:f>
              <c:numCache>
                <c:formatCode>#,##0_ </c:formatCode>
                <c:ptCount val="13"/>
                <c:pt idx="0">
                  <c:v>2326200</c:v>
                </c:pt>
                <c:pt idx="1">
                  <c:v>3475000</c:v>
                </c:pt>
                <c:pt idx="2">
                  <c:v>5069000</c:v>
                </c:pt>
                <c:pt idx="3">
                  <c:v>4476000</c:v>
                </c:pt>
                <c:pt idx="4">
                  <c:v>7979000</c:v>
                </c:pt>
                <c:pt idx="5">
                  <c:v>4308000</c:v>
                </c:pt>
                <c:pt idx="6">
                  <c:v>3933000</c:v>
                </c:pt>
                <c:pt idx="7">
                  <c:v>3292000</c:v>
                </c:pt>
                <c:pt idx="8">
                  <c:v>6201000</c:v>
                </c:pt>
                <c:pt idx="9">
                  <c:v>6429700</c:v>
                </c:pt>
                <c:pt idx="10">
                  <c:v>6457000</c:v>
                </c:pt>
                <c:pt idx="11">
                  <c:v>6581000</c:v>
                </c:pt>
                <c:pt idx="12">
                  <c:v>60526900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40-4E95-9CE1-0161CEC29E72}"/>
            </c:ext>
          </c:extLst>
        </c:ser>
        <c:ser>
          <c:idx val="9"/>
          <c:order val="9"/>
          <c:tx>
            <c:strRef>
              <c:f>'2022'!$A$34</c:f>
              <c:strCache>
                <c:ptCount val="1"/>
                <c:pt idx="0">
                  <c:v>Technotrans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'2022'!$B$34:$N$34</c:f>
              <c:numCache>
                <c:formatCode>#,##0_ </c:formatCode>
                <c:ptCount val="13"/>
                <c:pt idx="0">
                  <c:v>320000</c:v>
                </c:pt>
                <c:pt idx="1">
                  <c:v>180000</c:v>
                </c:pt>
                <c:pt idx="2">
                  <c:v>2478872</c:v>
                </c:pt>
                <c:pt idx="3">
                  <c:v>105000</c:v>
                </c:pt>
                <c:pt idx="4">
                  <c:v>2506476</c:v>
                </c:pt>
                <c:pt idx="5">
                  <c:v>2566476</c:v>
                </c:pt>
                <c:pt idx="6">
                  <c:v>1830000</c:v>
                </c:pt>
                <c:pt idx="7">
                  <c:v>2400000</c:v>
                </c:pt>
                <c:pt idx="8">
                  <c:v>1372000</c:v>
                </c:pt>
                <c:pt idx="9">
                  <c:v>1115500</c:v>
                </c:pt>
                <c:pt idx="10">
                  <c:v>2080000</c:v>
                </c:pt>
                <c:pt idx="11">
                  <c:v>912000</c:v>
                </c:pt>
                <c:pt idx="12">
                  <c:v>17866324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40-4E95-9CE1-0161CEC29E72}"/>
            </c:ext>
          </c:extLst>
        </c:ser>
        <c:ser>
          <c:idx val="10"/>
          <c:order val="10"/>
          <c:tx>
            <c:strRef>
              <c:f>'2022'!$A$35</c:f>
              <c:strCache>
                <c:ptCount val="1"/>
                <c:pt idx="0">
                  <c:v>GOSS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'2022'!$B$35:$N$35</c:f>
              <c:numCache>
                <c:formatCode>#,##0_ </c:formatCode>
                <c:ptCount val="13"/>
                <c:pt idx="0">
                  <c:v>4150700</c:v>
                </c:pt>
                <c:pt idx="1">
                  <c:v>20482402</c:v>
                </c:pt>
                <c:pt idx="2">
                  <c:v>6372000</c:v>
                </c:pt>
                <c:pt idx="3">
                  <c:v>4546895</c:v>
                </c:pt>
                <c:pt idx="4">
                  <c:v>6652002</c:v>
                </c:pt>
                <c:pt idx="5">
                  <c:v>8578952</c:v>
                </c:pt>
                <c:pt idx="6">
                  <c:v>125000</c:v>
                </c:pt>
                <c:pt idx="7">
                  <c:v>13133758</c:v>
                </c:pt>
                <c:pt idx="8">
                  <c:v>1784449</c:v>
                </c:pt>
                <c:pt idx="9">
                  <c:v>6532769</c:v>
                </c:pt>
                <c:pt idx="10">
                  <c:v>1198500</c:v>
                </c:pt>
                <c:pt idx="11">
                  <c:v>800630</c:v>
                </c:pt>
                <c:pt idx="12">
                  <c:v>74358057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40-4E95-9CE1-0161CEC29E72}"/>
            </c:ext>
          </c:extLst>
        </c:ser>
        <c:ser>
          <c:idx val="11"/>
          <c:order val="11"/>
          <c:tx>
            <c:strRef>
              <c:f>'2022'!$A$36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'2022'!$B$36:$N$36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1625000</c:v>
                </c:pt>
                <c:pt idx="4">
                  <c:v>2050000</c:v>
                </c:pt>
                <c:pt idx="5">
                  <c:v>9970818</c:v>
                </c:pt>
                <c:pt idx="6">
                  <c:v>1597200</c:v>
                </c:pt>
                <c:pt idx="7">
                  <c:v>2625000</c:v>
                </c:pt>
                <c:pt idx="8">
                  <c:v>0</c:v>
                </c:pt>
                <c:pt idx="9">
                  <c:v>2625000</c:v>
                </c:pt>
                <c:pt idx="10">
                  <c:v>0</c:v>
                </c:pt>
                <c:pt idx="11">
                  <c:v>0</c:v>
                </c:pt>
                <c:pt idx="12">
                  <c:v>20493018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540-4E95-9CE1-0161CEC29E72}"/>
            </c:ext>
          </c:extLst>
        </c:ser>
        <c:ser>
          <c:idx val="12"/>
          <c:order val="12"/>
          <c:tx>
            <c:strRef>
              <c:f>'2022'!$A$37</c:f>
              <c:strCache>
                <c:ptCount val="1"/>
                <c:pt idx="0">
                  <c:v>Machine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'2022'!$B$37:$N$37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40-4E95-9CE1-0161CEC29E72}"/>
            </c:ext>
          </c:extLst>
        </c:ser>
        <c:ser>
          <c:idx val="13"/>
          <c:order val="13"/>
          <c:tx>
            <c:strRef>
              <c:f>'2022'!$A$38</c:f>
              <c:strCache>
                <c:ptCount val="1"/>
                <c:pt idx="0">
                  <c:v>Ink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'2022'!$B$38:$N$38</c:f>
              <c:numCache>
                <c:formatCode>#,##0_ </c:formatCode>
                <c:ptCount val="13"/>
                <c:pt idx="0">
                  <c:v>496000</c:v>
                </c:pt>
                <c:pt idx="1">
                  <c:v>656000</c:v>
                </c:pt>
                <c:pt idx="2">
                  <c:v>596000</c:v>
                </c:pt>
                <c:pt idx="3">
                  <c:v>656000</c:v>
                </c:pt>
                <c:pt idx="4">
                  <c:v>432000</c:v>
                </c:pt>
                <c:pt idx="5">
                  <c:v>656000</c:v>
                </c:pt>
                <c:pt idx="6">
                  <c:v>596000</c:v>
                </c:pt>
                <c:pt idx="7">
                  <c:v>492000</c:v>
                </c:pt>
                <c:pt idx="8">
                  <c:v>1342800</c:v>
                </c:pt>
                <c:pt idx="9">
                  <c:v>2101000</c:v>
                </c:pt>
                <c:pt idx="10">
                  <c:v>1038000</c:v>
                </c:pt>
                <c:pt idx="11">
                  <c:v>602400</c:v>
                </c:pt>
                <c:pt idx="12">
                  <c:v>9664200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540-4E95-9CE1-0161CEC29E72}"/>
            </c:ext>
          </c:extLst>
        </c:ser>
        <c:ser>
          <c:idx val="14"/>
          <c:order val="14"/>
          <c:tx>
            <c:strRef>
              <c:f>'2022'!$A$39</c:f>
              <c:strCache>
                <c:ptCount val="1"/>
                <c:pt idx="0">
                  <c:v>CTP(Others)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'2022'!$B$39:$N$39</c:f>
              <c:numCache>
                <c:formatCode>#,##0_ </c:formatCode>
                <c:ptCount val="13"/>
                <c:pt idx="0">
                  <c:v>13605750</c:v>
                </c:pt>
                <c:pt idx="1">
                  <c:v>13051750</c:v>
                </c:pt>
                <c:pt idx="2">
                  <c:v>15090000</c:v>
                </c:pt>
                <c:pt idx="3">
                  <c:v>14360049.999999996</c:v>
                </c:pt>
                <c:pt idx="4">
                  <c:v>9758430</c:v>
                </c:pt>
                <c:pt idx="5">
                  <c:v>6012530</c:v>
                </c:pt>
                <c:pt idx="6">
                  <c:v>6669250</c:v>
                </c:pt>
                <c:pt idx="7">
                  <c:v>7483950</c:v>
                </c:pt>
                <c:pt idx="8">
                  <c:v>8199750</c:v>
                </c:pt>
                <c:pt idx="9">
                  <c:v>10550000</c:v>
                </c:pt>
                <c:pt idx="10">
                  <c:v>10265250</c:v>
                </c:pt>
                <c:pt idx="11">
                  <c:v>7010000</c:v>
                </c:pt>
                <c:pt idx="12">
                  <c:v>122056710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40-4E95-9CE1-0161CEC29E72}"/>
            </c:ext>
          </c:extLst>
        </c:ser>
        <c:ser>
          <c:idx val="15"/>
          <c:order val="15"/>
          <c:tx>
            <c:strRef>
              <c:f>'2022'!$A$40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'2022'!$B$24:$N$24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'2022'!$B$40:$N$40</c:f>
              <c:numCache>
                <c:formatCode>#,##0_ </c:formatCode>
                <c:ptCount val="13"/>
                <c:pt idx="0">
                  <c:v>2198308</c:v>
                </c:pt>
                <c:pt idx="1">
                  <c:v>1925041.3599999999</c:v>
                </c:pt>
                <c:pt idx="2">
                  <c:v>-594973.33848310262</c:v>
                </c:pt>
                <c:pt idx="3">
                  <c:v>2123400</c:v>
                </c:pt>
                <c:pt idx="4">
                  <c:v>5508775</c:v>
                </c:pt>
                <c:pt idx="5">
                  <c:v>3308800</c:v>
                </c:pt>
                <c:pt idx="6">
                  <c:v>6284900</c:v>
                </c:pt>
                <c:pt idx="7">
                  <c:v>6325900</c:v>
                </c:pt>
                <c:pt idx="8">
                  <c:v>7237460</c:v>
                </c:pt>
                <c:pt idx="9">
                  <c:v>5071594</c:v>
                </c:pt>
                <c:pt idx="10">
                  <c:v>8709548</c:v>
                </c:pt>
                <c:pt idx="11">
                  <c:v>13414254</c:v>
                </c:pt>
                <c:pt idx="12">
                  <c:v>61513007.021516897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540-4E95-9CE1-0161CEC29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479984"/>
        <c:axId val="1"/>
      </c:barChart>
      <c:catAx>
        <c:axId val="203047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47998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728278446959963"/>
          <c:y val="0.97187052716736777"/>
          <c:w val="0.43331481957269735"/>
          <c:h val="6.8682575765899312E-4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Technotrans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98347825385224"/>
          <c:y val="0.13183228995458313"/>
          <c:w val="0.86642487059833695"/>
          <c:h val="0.70725130447462536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0070C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Database!$U$4:$U$8</c:f>
              <c:numCache>
                <c:formatCode>_-"₩"* #,##0_-;\-"₩"* #,##0_-;_-"₩"* "-"_-;_-@_-</c:formatCode>
                <c:ptCount val="5"/>
                <c:pt idx="0">
                  <c:v>231635600</c:v>
                </c:pt>
                <c:pt idx="1">
                  <c:v>183600000</c:v>
                </c:pt>
                <c:pt idx="2">
                  <c:v>57520000</c:v>
                </c:pt>
                <c:pt idx="3">
                  <c:v>28850000</c:v>
                </c:pt>
                <c:pt idx="4">
                  <c:v>68925000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C-4857-9F86-0AC8095F3B95}"/>
            </c:ext>
          </c:extLst>
        </c:ser>
        <c:ser>
          <c:idx val="1"/>
          <c:order val="1"/>
          <c:tx>
            <c:v>Margin</c:v>
          </c:tx>
          <c:spPr>
            <a:solidFill>
              <a:srgbClr val="FFC00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Database!$V$4:$V$8</c:f>
              <c:numCache>
                <c:formatCode>_-"₩"* #,##0_-;\-"₩"* #,##0_-;_-"₩"* "-"_-;_-@_-</c:formatCode>
                <c:ptCount val="5"/>
                <c:pt idx="0">
                  <c:v>48063059.879999995</c:v>
                </c:pt>
                <c:pt idx="1">
                  <c:v>75666837.38310048</c:v>
                </c:pt>
                <c:pt idx="2">
                  <c:v>22731230.664055727</c:v>
                </c:pt>
                <c:pt idx="3">
                  <c:v>9298151</c:v>
                </c:pt>
                <c:pt idx="4">
                  <c:v>20290910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C-4857-9F86-0AC8095F3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72912"/>
        <c:axId val="1"/>
      </c:barChart>
      <c:catAx>
        <c:axId val="203047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7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4487801534270743"/>
          <c:y val="0.93516532554088883"/>
          <c:w val="0.18505109268608644"/>
          <c:h val="1.982035152370120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Consumable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159850527609273"/>
          <c:y val="0.13504957146823554"/>
          <c:w val="0.86642487059833695"/>
          <c:h val="0.70725130447462536"/>
        </c:manualLayout>
      </c:layout>
      <c:barChart>
        <c:barDir val="col"/>
        <c:grouping val="clustered"/>
        <c:varyColors val="0"/>
        <c:ser>
          <c:idx val="1"/>
          <c:order val="0"/>
          <c:tx>
            <c:v>Sales</c:v>
          </c:tx>
          <c:spPr>
            <a:solidFill>
              <a:srgbClr val="00B05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Database!$Q$4:$Q$8</c:f>
              <c:numCache>
                <c:formatCode>_-"₩"* #,##0_-;\-"₩"* #,##0_-;_-"₩"* "-"_-;_-@_-</c:formatCode>
                <c:ptCount val="5"/>
                <c:pt idx="0">
                  <c:v>595751800</c:v>
                </c:pt>
                <c:pt idx="1">
                  <c:v>520765750</c:v>
                </c:pt>
                <c:pt idx="2">
                  <c:v>597218100</c:v>
                </c:pt>
                <c:pt idx="3">
                  <c:v>538045400</c:v>
                </c:pt>
                <c:pt idx="4">
                  <c:v>438845600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0-4E3D-ADEB-0FFC6ED1EA3C}"/>
            </c:ext>
          </c:extLst>
        </c:ser>
        <c:ser>
          <c:idx val="0"/>
          <c:order val="1"/>
          <c:tx>
            <c:v>Margin</c:v>
          </c:tx>
          <c:spPr>
            <a:solidFill>
              <a:srgbClr val="C00000"/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Database!$R$4:$R$8</c:f>
              <c:numCache>
                <c:formatCode>_-"₩"* #,##0_-;\-"₩"* #,##0_-;_-"₩"* "-"_-;_-@_-</c:formatCode>
                <c:ptCount val="5"/>
                <c:pt idx="0">
                  <c:v>141518978</c:v>
                </c:pt>
                <c:pt idx="1">
                  <c:v>130564004.17984328</c:v>
                </c:pt>
                <c:pt idx="2">
                  <c:v>146469679.42048591</c:v>
                </c:pt>
                <c:pt idx="3">
                  <c:v>135786694.53600001</c:v>
                </c:pt>
                <c:pt idx="4">
                  <c:v>120138120.76800001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60-4E3D-ADEB-0FFC6ED1E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92464"/>
        <c:axId val="1"/>
      </c:barChart>
      <c:catAx>
        <c:axId val="203049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750000000"/>
          <c:min val="0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92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826040599673644"/>
          <c:y val="0.93504778248872733"/>
          <c:w val="0.13944653566348897"/>
          <c:h val="1.985617182467580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Goss/Service Sales&amp;Margin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98347825385224"/>
          <c:y val="0.13183228995458313"/>
          <c:w val="0.86642487059833695"/>
          <c:h val="0.70725130447462536"/>
        </c:manualLayout>
      </c:layout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Database!$S$4:$S$8</c:f>
              <c:numCache>
                <c:formatCode>_-"₩"* #,##0_-;\-"₩"* #,##0_-;_-"₩"* "-"_-;_-@_-</c:formatCode>
                <c:ptCount val="5"/>
                <c:pt idx="0">
                  <c:v>236973000</c:v>
                </c:pt>
                <c:pt idx="1">
                  <c:v>329729419</c:v>
                </c:pt>
                <c:pt idx="2">
                  <c:v>346024390</c:v>
                </c:pt>
                <c:pt idx="3">
                  <c:v>421582751</c:v>
                </c:pt>
                <c:pt idx="4">
                  <c:v>346207454.27272725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1-42FC-8B09-5C1C65950482}"/>
            </c:ext>
          </c:extLst>
        </c:ser>
        <c:ser>
          <c:idx val="1"/>
          <c:order val="1"/>
          <c:tx>
            <c:v>Margin</c:v>
          </c:tx>
          <c:spPr>
            <a:solidFill>
              <a:schemeClr val="bg2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Database!$P$4:$P$8</c:f>
              <c:strCache>
                <c:ptCount val="5"/>
                <c:pt idx="0">
                  <c:v> 2017년 </c:v>
                </c:pt>
                <c:pt idx="1">
                  <c:v> 2018년 </c:v>
                </c:pt>
                <c:pt idx="2">
                  <c:v> 2019년 </c:v>
                </c:pt>
                <c:pt idx="3">
                  <c:v> 2020년 </c:v>
                </c:pt>
                <c:pt idx="4">
                  <c:v> 2021년 </c:v>
                </c:pt>
              </c:strCache>
            </c:strRef>
          </c:cat>
          <c:val>
            <c:numRef>
              <c:f>Database!$T$4:$T$8</c:f>
              <c:numCache>
                <c:formatCode>_-"₩"* #,##0_-;\-"₩"* #,##0_-;_-"₩"* "-"_-;_-@_-</c:formatCode>
                <c:ptCount val="5"/>
                <c:pt idx="0">
                  <c:v>128813921.63146177</c:v>
                </c:pt>
                <c:pt idx="1">
                  <c:v>123274386.50168943</c:v>
                </c:pt>
                <c:pt idx="2">
                  <c:v>133770832.61794695</c:v>
                </c:pt>
                <c:pt idx="3">
                  <c:v>138525161.8522045</c:v>
                </c:pt>
                <c:pt idx="4">
                  <c:v>63902477.272727273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1-42FC-8B09-5C1C65950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0493296"/>
        <c:axId val="1"/>
      </c:barChart>
      <c:catAx>
        <c:axId val="203049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9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312007874015745"/>
          <c:y val="0.92795779412399781"/>
          <c:w val="0.18519098464964601"/>
          <c:h val="1.982035152370120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69578847920392"/>
          <c:y val="5.0506042207839823E-2"/>
          <c:w val="0.77212958089652683"/>
          <c:h val="0.89204880295460343"/>
        </c:manualLayout>
      </c:layout>
      <c:areaChart>
        <c:grouping val="stacked"/>
        <c:varyColors val="0"/>
        <c:ser>
          <c:idx val="1"/>
          <c:order val="0"/>
          <c:tx>
            <c:v>2019년 매출</c:v>
          </c:tx>
          <c:spPr>
            <a:solidFill>
              <a:srgbClr val="C0504D"/>
            </a:solidFill>
            <a:ln w="25400">
              <a:noFill/>
            </a:ln>
          </c:spPr>
          <c:val>
            <c:numRef>
              <c:f>Database!$N$28:$N$39</c:f>
              <c:numCache>
                <c:formatCode>_-"₩"* #,##0_-;\-"₩"* #,##0_-;_-"₩"* "-"_-;_-@_-</c:formatCode>
                <c:ptCount val="12"/>
                <c:pt idx="0">
                  <c:v>238294300</c:v>
                </c:pt>
                <c:pt idx="1">
                  <c:v>133146500</c:v>
                </c:pt>
                <c:pt idx="2">
                  <c:v>193511400</c:v>
                </c:pt>
                <c:pt idx="3">
                  <c:v>172231300</c:v>
                </c:pt>
                <c:pt idx="4">
                  <c:v>133602890</c:v>
                </c:pt>
                <c:pt idx="5">
                  <c:v>242224550</c:v>
                </c:pt>
                <c:pt idx="6">
                  <c:v>147826000</c:v>
                </c:pt>
                <c:pt idx="7">
                  <c:v>188247790</c:v>
                </c:pt>
                <c:pt idx="8">
                  <c:v>124816600</c:v>
                </c:pt>
                <c:pt idx="9">
                  <c:v>151781500</c:v>
                </c:pt>
                <c:pt idx="10">
                  <c:v>176187000</c:v>
                </c:pt>
                <c:pt idx="11">
                  <c:v>180968600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2-4380-8B39-74DE9002F065}"/>
            </c:ext>
          </c:extLst>
        </c:ser>
        <c:ser>
          <c:idx val="2"/>
          <c:order val="1"/>
          <c:tx>
            <c:v>2020년 매출</c:v>
          </c:tx>
          <c:spPr>
            <a:solidFill>
              <a:srgbClr val="9BBB59"/>
            </a:solidFill>
            <a:ln w="25400">
              <a:noFill/>
            </a:ln>
          </c:spPr>
          <c:val>
            <c:numRef>
              <c:f>Database!$N$40:$N$51</c:f>
              <c:numCache>
                <c:formatCode>_-"₩"* #,##0_-;\-"₩"* #,##0_-;_-"₩"* "-"_-;_-@_-</c:formatCode>
                <c:ptCount val="12"/>
                <c:pt idx="0">
                  <c:v>158732888</c:v>
                </c:pt>
                <c:pt idx="1">
                  <c:v>186549000</c:v>
                </c:pt>
                <c:pt idx="2">
                  <c:v>171061000</c:v>
                </c:pt>
                <c:pt idx="3">
                  <c:v>223123063</c:v>
                </c:pt>
                <c:pt idx="4">
                  <c:v>138571000</c:v>
                </c:pt>
                <c:pt idx="5">
                  <c:v>225317000</c:v>
                </c:pt>
                <c:pt idx="6">
                  <c:v>124621500</c:v>
                </c:pt>
                <c:pt idx="7">
                  <c:v>119425400</c:v>
                </c:pt>
                <c:pt idx="8">
                  <c:v>220663200</c:v>
                </c:pt>
                <c:pt idx="9">
                  <c:v>150104500</c:v>
                </c:pt>
                <c:pt idx="10">
                  <c:v>224611400</c:v>
                </c:pt>
                <c:pt idx="11">
                  <c:v>206631436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52-4380-8B39-74DE9002F065}"/>
            </c:ext>
          </c:extLst>
        </c:ser>
        <c:ser>
          <c:idx val="3"/>
          <c:order val="2"/>
          <c:tx>
            <c:v>2021년 매출</c:v>
          </c:tx>
          <c:spPr>
            <a:solidFill>
              <a:srgbClr val="8064A2"/>
            </a:solidFill>
            <a:ln w="25400">
              <a:noFill/>
            </a:ln>
          </c:spPr>
          <c:val>
            <c:numRef>
              <c:f>Database!$N$52:$N$63</c:f>
              <c:numCache>
                <c:formatCode>_-"₩"* #,##0_-;\-"₩"* #,##0_-;_-"₩"* "-"_-;_-@_-</c:formatCode>
                <c:ptCount val="12"/>
                <c:pt idx="0">
                  <c:v>151913900</c:v>
                </c:pt>
                <c:pt idx="1">
                  <c:v>164613127.27272728</c:v>
                </c:pt>
                <c:pt idx="2">
                  <c:v>201076056</c:v>
                </c:pt>
                <c:pt idx="3">
                  <c:v>173341000</c:v>
                </c:pt>
                <c:pt idx="4">
                  <c:v>220952500</c:v>
                </c:pt>
                <c:pt idx="5">
                  <c:v>172918273</c:v>
                </c:pt>
                <c:pt idx="6">
                  <c:v>165069500</c:v>
                </c:pt>
                <c:pt idx="7">
                  <c:v>212331500</c:v>
                </c:pt>
                <c:pt idx="8">
                  <c:v>138202661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52-4380-8B39-74DE9002F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495792"/>
        <c:axId val="1"/>
      </c:areaChart>
      <c:catAx>
        <c:axId val="203049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49579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Consumables Sales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98343434034598"/>
          <c:y val="0.13504948373206987"/>
          <c:w val="0.86642487059833695"/>
          <c:h val="0.70725130447462536"/>
        </c:manualLayout>
      </c:layout>
      <c:lineChart>
        <c:grouping val="standard"/>
        <c:varyColors val="0"/>
        <c:ser>
          <c:idx val="2"/>
          <c:order val="0"/>
          <c:tx>
            <c:v>2017</c:v>
          </c:tx>
          <c:val>
            <c:numRef>
              <c:f>'2019'!$J$114:$J$125</c:f>
              <c:numCache>
                <c:formatCode>_-"₩"* #,##0_-;\-"₩"* #,##0_-;_-"₩"* "-"_-;_-@_-</c:formatCode>
                <c:ptCount val="12"/>
                <c:pt idx="0">
                  <c:v>64962150</c:v>
                </c:pt>
                <c:pt idx="1">
                  <c:v>69975400</c:v>
                </c:pt>
                <c:pt idx="2">
                  <c:v>59952200</c:v>
                </c:pt>
                <c:pt idx="3">
                  <c:v>79137300</c:v>
                </c:pt>
                <c:pt idx="4">
                  <c:v>51543800</c:v>
                </c:pt>
                <c:pt idx="5" formatCode="_-[$₩-412]* #,##0_-;\-[$₩-412]* #,##0_-;_-[$₩-412]* &quot;-&quot;??_-;_-@_-">
                  <c:v>59820530</c:v>
                </c:pt>
                <c:pt idx="6" formatCode="_-[$₩-412]* #,##0_-;\-[$₩-412]* #,##0_-;_-[$₩-412]* &quot;-&quot;??_-;_-@_-">
                  <c:v>34566400</c:v>
                </c:pt>
                <c:pt idx="7" formatCode="_-[$₩-412]* #,##0_-;\-[$₩-412]* #,##0_-;_-[$₩-412]* &quot;-&quot;??_-;_-@_-">
                  <c:v>24847900</c:v>
                </c:pt>
                <c:pt idx="8" formatCode="_-[$₩-412]* #,##0_-;\-[$₩-412]* #,##0_-;_-[$₩-412]* &quot;-&quot;??_-;_-@_-">
                  <c:v>94859710</c:v>
                </c:pt>
                <c:pt idx="9" formatCode="_-[$₩-412]* #,##0_-;\-[$₩-412]* #,##0_-;_-[$₩-412]* &quot;-&quot;??_-;_-@_-">
                  <c:v>37355780</c:v>
                </c:pt>
                <c:pt idx="10" formatCode="_-[$₩-412]* #,##0_-;\-[$₩-412]* #,##0_-;_-[$₩-412]* &quot;-&quot;??_-;_-@_-">
                  <c:v>42459120</c:v>
                </c:pt>
                <c:pt idx="11" formatCode="_-[$₩-412]* #,##0_-;\-[$₩-412]* #,##0_-;_-[$₩-412]* &quot;-&quot;??_-;_-@_-">
                  <c:v>52457350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C4-40F8-9698-32BC8A702BFE}"/>
            </c:ext>
          </c:extLst>
        </c:ser>
        <c:ser>
          <c:idx val="0"/>
          <c:order val="1"/>
          <c:tx>
            <c:v>2018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'2019'!$J$126:$J$137</c:f>
              <c:numCache>
                <c:formatCode>_-[$₩-412]* #,##0_-;\-[$₩-412]* #,##0_-;_-[$₩-412]* "-"??_-;_-@_-</c:formatCode>
                <c:ptCount val="12"/>
                <c:pt idx="0">
                  <c:v>32545150</c:v>
                </c:pt>
                <c:pt idx="1">
                  <c:v>39278800</c:v>
                </c:pt>
                <c:pt idx="2">
                  <c:v>35667500</c:v>
                </c:pt>
                <c:pt idx="3">
                  <c:v>32575400</c:v>
                </c:pt>
                <c:pt idx="4">
                  <c:v>42319200</c:v>
                </c:pt>
                <c:pt idx="5">
                  <c:v>54506100</c:v>
                </c:pt>
                <c:pt idx="6">
                  <c:v>46941125</c:v>
                </c:pt>
                <c:pt idx="7">
                  <c:v>35568500</c:v>
                </c:pt>
                <c:pt idx="8">
                  <c:v>67255375</c:v>
                </c:pt>
                <c:pt idx="9">
                  <c:v>74755450</c:v>
                </c:pt>
                <c:pt idx="10">
                  <c:v>42053715</c:v>
                </c:pt>
                <c:pt idx="11">
                  <c:v>69376010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C4-40F8-9698-32BC8A702BFE}"/>
            </c:ext>
          </c:extLst>
        </c:ser>
        <c:ser>
          <c:idx val="1"/>
          <c:order val="2"/>
          <c:tx>
            <c:v>2019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'2019'!$J$138:$J$149</c:f>
              <c:numCache>
                <c:formatCode>_-[$₩-412]* #,##0_-;\-[$₩-412]* #,##0_-;_-[$₩-412]* "-"??_-;_-@_-</c:formatCode>
                <c:ptCount val="12"/>
                <c:pt idx="0">
                  <c:v>106190150</c:v>
                </c:pt>
                <c:pt idx="1">
                  <c:v>35242900</c:v>
                </c:pt>
                <c:pt idx="2">
                  <c:v>54861400</c:v>
                </c:pt>
                <c:pt idx="3">
                  <c:v>50532900</c:v>
                </c:pt>
                <c:pt idx="4">
                  <c:v>44337700</c:v>
                </c:pt>
                <c:pt idx="5">
                  <c:v>26085400</c:v>
                </c:pt>
                <c:pt idx="6">
                  <c:v>51543250</c:v>
                </c:pt>
                <c:pt idx="7" formatCode="_-* #,##0_-;\-* #,##0_-;_-* &quot;-&quot;_-;_-@_-">
                  <c:v>87579250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C4-40F8-9698-32BC8A702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484976"/>
        <c:axId val="1"/>
      </c:lineChart>
      <c:catAx>
        <c:axId val="203048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8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5274500802240705"/>
          <c:y val="0.9296891942561234"/>
          <c:w val="0.18254546803557681"/>
          <c:h val="1.9011137121373034E-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Total Sales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2017</c:v>
          </c:tx>
          <c:cat>
            <c:strRef>
              <c:f>'2019'!$B$114:$B$125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'2019'!$E$114:$E$125</c:f>
              <c:numCache>
                <c:formatCode>_-[$₩-412]* #,##0_-;\-[$₩-412]* #,##0_-;_-[$₩-412]* "-"??_-;_-@_-</c:formatCode>
                <c:ptCount val="12"/>
                <c:pt idx="0">
                  <c:v>91183950</c:v>
                </c:pt>
                <c:pt idx="1">
                  <c:v>120288300.00000001</c:v>
                </c:pt>
                <c:pt idx="2">
                  <c:v>74016800</c:v>
                </c:pt>
                <c:pt idx="3">
                  <c:v>152866824</c:v>
                </c:pt>
                <c:pt idx="4">
                  <c:v>162701220</c:v>
                </c:pt>
                <c:pt idx="5">
                  <c:v>121503646.00000001</c:v>
                </c:pt>
                <c:pt idx="6">
                  <c:v>164497300</c:v>
                </c:pt>
                <c:pt idx="7">
                  <c:v>96671300.000000015</c:v>
                </c:pt>
                <c:pt idx="8">
                  <c:v>117079710.00000001</c:v>
                </c:pt>
                <c:pt idx="9">
                  <c:v>50236780.000000007</c:v>
                </c:pt>
                <c:pt idx="10">
                  <c:v>378070114.40000004</c:v>
                </c:pt>
                <c:pt idx="11">
                  <c:v>110110550.00000001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79-4D3D-93EE-B434DF26BC54}"/>
            </c:ext>
          </c:extLst>
        </c:ser>
        <c:ser>
          <c:idx val="0"/>
          <c:order val="1"/>
          <c:tx>
            <c:v>2018</c:v>
          </c:tx>
          <c:cat>
            <c:strRef>
              <c:f>'2019'!$B$114:$B$125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'2019'!$E$126:$E$137</c:f>
              <c:numCache>
                <c:formatCode>_-[$₩-412]* #,##0_-;\-[$₩-412]* #,##0_-;_-[$₩-412]* "-"??_-;_-@_-</c:formatCode>
                <c:ptCount val="12"/>
                <c:pt idx="0">
                  <c:v>139712650</c:v>
                </c:pt>
                <c:pt idx="1">
                  <c:v>86353300</c:v>
                </c:pt>
                <c:pt idx="2">
                  <c:v>171509850.60000002</c:v>
                </c:pt>
                <c:pt idx="3">
                  <c:v>94646310.000000015</c:v>
                </c:pt>
                <c:pt idx="4">
                  <c:v>98123476.000000015</c:v>
                </c:pt>
                <c:pt idx="5">
                  <c:v>174292200.5</c:v>
                </c:pt>
                <c:pt idx="6">
                  <c:v>178678907</c:v>
                </c:pt>
                <c:pt idx="7">
                  <c:v>140410600</c:v>
                </c:pt>
                <c:pt idx="8">
                  <c:v>205276775.00000003</c:v>
                </c:pt>
                <c:pt idx="9">
                  <c:v>272418678.40000004</c:v>
                </c:pt>
                <c:pt idx="10">
                  <c:v>146242085</c:v>
                </c:pt>
                <c:pt idx="11">
                  <c:v>152312886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79-4D3D-93EE-B434DF26BC54}"/>
            </c:ext>
          </c:extLst>
        </c:ser>
        <c:ser>
          <c:idx val="2"/>
          <c:order val="2"/>
          <c:tx>
            <c:v>2019</c:v>
          </c:tx>
          <c:cat>
            <c:strRef>
              <c:f>'2019'!$B$114:$B$125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'2019'!$B$20:$M$20</c:f>
              <c:numCache>
                <c:formatCode>#,##0_ </c:formatCode>
                <c:ptCount val="12"/>
                <c:pt idx="0">
                  <c:v>240569300</c:v>
                </c:pt>
                <c:pt idx="1">
                  <c:v>133901500</c:v>
                </c:pt>
                <c:pt idx="2">
                  <c:v>193755400</c:v>
                </c:pt>
                <c:pt idx="3">
                  <c:v>179472300</c:v>
                </c:pt>
                <c:pt idx="4">
                  <c:v>167375890</c:v>
                </c:pt>
                <c:pt idx="5">
                  <c:v>203224550</c:v>
                </c:pt>
                <c:pt idx="6">
                  <c:v>199226000</c:v>
                </c:pt>
                <c:pt idx="7">
                  <c:v>168747790</c:v>
                </c:pt>
                <c:pt idx="8">
                  <c:v>125560600</c:v>
                </c:pt>
                <c:pt idx="9">
                  <c:v>145625500</c:v>
                </c:pt>
                <c:pt idx="10">
                  <c:v>180201000</c:v>
                </c:pt>
                <c:pt idx="11">
                  <c:v>190234600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79-4D3D-93EE-B434DF26B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476240"/>
        <c:axId val="1"/>
      </c:lineChart>
      <c:catAx>
        <c:axId val="203047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[$₩-412]* #,##0_-;\-[$₩-412]* #,##0_-;_-[$₩-412]* &quot;-&quot;??_-;_-@_-" sourceLinked="1"/>
        <c:majorTickMark val="none"/>
        <c:minorTickMark val="none"/>
        <c:tickLblPos val="nextTo"/>
        <c:spPr>
          <a:ln w="9525">
            <a:noFill/>
          </a:ln>
        </c:spPr>
        <c:crossAx val="203047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673772826269059"/>
          <c:y val="0.96149266063964223"/>
          <c:w val="0.18319151263007016"/>
          <c:h val="2.0284501474352457E-3"/>
        </c:manualLayout>
      </c:layout>
      <c:overlay val="0"/>
    </c:legend>
    <c:plotVisOnly val="0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Total Margin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2017</c:v>
          </c:tx>
          <c:cat>
            <c:strRef>
              <c:f>'2019'!$B$114:$B$125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'2019'!$F$114:$F$125</c:f>
              <c:numCache>
                <c:formatCode>_-[$₩-412]* #,##0_-;\-[$₩-412]* #,##0_-;_-[$₩-412]* "-"??_-;_-@_-</c:formatCode>
                <c:ptCount val="12"/>
                <c:pt idx="0">
                  <c:v>25920248.200000003</c:v>
                </c:pt>
                <c:pt idx="1">
                  <c:v>49830217.485400006</c:v>
                </c:pt>
                <c:pt idx="2">
                  <c:v>20414845</c:v>
                </c:pt>
                <c:pt idx="3">
                  <c:v>35432913.083610788</c:v>
                </c:pt>
                <c:pt idx="4">
                  <c:v>31145686.13212616</c:v>
                </c:pt>
                <c:pt idx="5">
                  <c:v>29065956.168284561</c:v>
                </c:pt>
                <c:pt idx="6">
                  <c:v>49151130.46116361</c:v>
                </c:pt>
                <c:pt idx="7">
                  <c:v>53233490.095591389</c:v>
                </c:pt>
                <c:pt idx="8">
                  <c:v>24329844.704880003</c:v>
                </c:pt>
                <c:pt idx="9">
                  <c:v>16945164.93742663</c:v>
                </c:pt>
                <c:pt idx="10">
                  <c:v>64080321.149834856</c:v>
                </c:pt>
                <c:pt idx="11">
                  <c:v>21719508.668870661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EE-4F9A-BE36-559F094F7EB6}"/>
            </c:ext>
          </c:extLst>
        </c:ser>
        <c:ser>
          <c:idx val="0"/>
          <c:order val="1"/>
          <c:tx>
            <c:v>2018</c:v>
          </c:tx>
          <c:cat>
            <c:strRef>
              <c:f>'2019'!$B$114:$B$125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'2019'!$F$126:$F$137</c:f>
              <c:numCache>
                <c:formatCode>_-[$₩-412]* #,##0_-;\-[$₩-412]* #,##0_-;_-[$₩-412]* "-"??_-;_-@_-</c:formatCode>
                <c:ptCount val="12"/>
                <c:pt idx="0">
                  <c:v>40641269.712313749</c:v>
                </c:pt>
                <c:pt idx="1">
                  <c:v>24464229.367953066</c:v>
                </c:pt>
                <c:pt idx="2">
                  <c:v>43969727.934274815</c:v>
                </c:pt>
                <c:pt idx="3">
                  <c:v>24733090.082699891</c:v>
                </c:pt>
                <c:pt idx="4">
                  <c:v>24584492.489805542</c:v>
                </c:pt>
                <c:pt idx="5">
                  <c:v>61914108.465000004</c:v>
                </c:pt>
                <c:pt idx="6">
                  <c:v>34121064.662902541</c:v>
                </c:pt>
                <c:pt idx="7">
                  <c:v>32778095.977000002</c:v>
                </c:pt>
                <c:pt idx="8">
                  <c:v>69796645.353281274</c:v>
                </c:pt>
                <c:pt idx="9">
                  <c:v>71955381.611969471</c:v>
                </c:pt>
                <c:pt idx="10">
                  <c:v>46509677.093716286</c:v>
                </c:pt>
                <c:pt idx="11">
                  <c:v>47077908.814181454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EE-4F9A-BE36-559F094F7EB6}"/>
            </c:ext>
          </c:extLst>
        </c:ser>
        <c:ser>
          <c:idx val="2"/>
          <c:order val="2"/>
          <c:tx>
            <c:v>2019</c:v>
          </c:tx>
          <c:cat>
            <c:strRef>
              <c:f>'2019'!$B$114:$B$125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'2019'!$B$41:$M$41</c:f>
              <c:numCache>
                <c:formatCode>#,##0_ </c:formatCode>
                <c:ptCount val="12"/>
                <c:pt idx="0">
                  <c:v>71429819.01595135</c:v>
                </c:pt>
                <c:pt idx="1">
                  <c:v>38323832.709443569</c:v>
                </c:pt>
                <c:pt idx="2">
                  <c:v>59311016.842656419</c:v>
                </c:pt>
                <c:pt idx="3">
                  <c:v>47224206.071386874</c:v>
                </c:pt>
                <c:pt idx="4">
                  <c:v>53687152.644975476</c:v>
                </c:pt>
                <c:pt idx="5">
                  <c:v>40347781.884080723</c:v>
                </c:pt>
                <c:pt idx="6">
                  <c:v>54298182.615688518</c:v>
                </c:pt>
                <c:pt idx="7">
                  <c:v>41352835.300905228</c:v>
                </c:pt>
                <c:pt idx="8">
                  <c:v>37598511.736727409</c:v>
                </c:pt>
                <c:pt idx="9">
                  <c:v>45431291.085657105</c:v>
                </c:pt>
                <c:pt idx="10">
                  <c:v>54127777</c:v>
                </c:pt>
                <c:pt idx="11">
                  <c:v>56339868.615951821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EE-4F9A-BE36-559F094F7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472496"/>
        <c:axId val="1"/>
      </c:lineChart>
      <c:catAx>
        <c:axId val="203047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[$₩-412]* #,##0_-;\-[$₩-412]* #,##0_-;_-[$₩-412]* &quot;-&quot;??_-;_-@_-" sourceLinked="1"/>
        <c:majorTickMark val="none"/>
        <c:minorTickMark val="none"/>
        <c:tickLblPos val="nextTo"/>
        <c:spPr>
          <a:ln w="9525">
            <a:noFill/>
          </a:ln>
        </c:spPr>
        <c:crossAx val="203047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927982764953012"/>
          <c:y val="0.96149266063964223"/>
          <c:w val="0.17632588481900507"/>
          <c:h val="2.0284501474352457E-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Consumables Margins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2017</c:v>
          </c:tx>
          <c:val>
            <c:numRef>
              <c:f>'2019'!$K$114:$K$125</c:f>
              <c:numCache>
                <c:formatCode>_-"₩"* #,##0_-;\-"₩"* #,##0_-;_-"₩"* "-"_-;_-@_-</c:formatCode>
                <c:ptCount val="12"/>
                <c:pt idx="0">
                  <c:v>14704560</c:v>
                </c:pt>
                <c:pt idx="1">
                  <c:v>20204886</c:v>
                </c:pt>
                <c:pt idx="2">
                  <c:v>13125140</c:v>
                </c:pt>
                <c:pt idx="3">
                  <c:v>16977984</c:v>
                </c:pt>
                <c:pt idx="4">
                  <c:v>13433014</c:v>
                </c:pt>
                <c:pt idx="5" formatCode="_-[$₩-412]* #,##0_-;\-[$₩-412]* #,##0_-;_-[$₩-412]* &quot;-&quot;??_-;_-@_-">
                  <c:v>12212120</c:v>
                </c:pt>
                <c:pt idx="6" formatCode="_-[$₩-412]* #,##0_-;\-[$₩-412]* #,##0_-;_-[$₩-412]* &quot;-&quot;??_-;_-@_-">
                  <c:v>7042240</c:v>
                </c:pt>
                <c:pt idx="7" formatCode="_-[$₩-412]* #,##0_-;\-[$₩-412]* #,##0_-;_-[$₩-412]* &quot;-&quot;??_-;_-@_-">
                  <c:v>5516460</c:v>
                </c:pt>
                <c:pt idx="8" formatCode="_-[$₩-412]* #,##0_-;\-[$₩-412]* #,##0_-;_-[$₩-412]* &quot;-&quot;??_-;_-@_-">
                  <c:v>12415940</c:v>
                </c:pt>
                <c:pt idx="9" formatCode="_-[$₩-412]* #,##0_-;\-[$₩-412]* #,##0_-;_-[$₩-412]* &quot;-&quot;??_-;_-@_-">
                  <c:v>7485900</c:v>
                </c:pt>
                <c:pt idx="10" formatCode="_-[$₩-412]* #,##0_-;\-[$₩-412]* #,##0_-;_-[$₩-412]* &quot;-&quot;??_-;_-@_-">
                  <c:v>9121620</c:v>
                </c:pt>
                <c:pt idx="11" formatCode="_-[$₩-412]* #,##0_-;\-[$₩-412]* #,##0_-;_-[$₩-412]* &quot;-&quot;??_-;_-@_-">
                  <c:v>12597180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1-4F7F-AC48-F04631018B54}"/>
            </c:ext>
          </c:extLst>
        </c:ser>
        <c:ser>
          <c:idx val="0"/>
          <c:order val="1"/>
          <c:tx>
            <c:v>2018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'2019'!$K$126:$K$137</c:f>
              <c:numCache>
                <c:formatCode>_-[$₩-412]* #,##0_-;\-[$₩-412]* #,##0_-;_-[$₩-412]* "-"??_-;_-@_-</c:formatCode>
                <c:ptCount val="12"/>
                <c:pt idx="0">
                  <c:v>6415300</c:v>
                </c:pt>
                <c:pt idx="1">
                  <c:v>8991025</c:v>
                </c:pt>
                <c:pt idx="2">
                  <c:v>8224420</c:v>
                </c:pt>
                <c:pt idx="3">
                  <c:v>7140260</c:v>
                </c:pt>
                <c:pt idx="4">
                  <c:v>8880000</c:v>
                </c:pt>
                <c:pt idx="5">
                  <c:v>11161540</c:v>
                </c:pt>
                <c:pt idx="6">
                  <c:v>10362930</c:v>
                </c:pt>
                <c:pt idx="7">
                  <c:v>7068360</c:v>
                </c:pt>
                <c:pt idx="8">
                  <c:v>14191610</c:v>
                </c:pt>
                <c:pt idx="9">
                  <c:v>20507409.235139053</c:v>
                </c:pt>
                <c:pt idx="10">
                  <c:v>10403297.462760564</c:v>
                </c:pt>
                <c:pt idx="11">
                  <c:v>17217852.481943659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1-4F7F-AC48-F04631018B54}"/>
            </c:ext>
          </c:extLst>
        </c:ser>
        <c:ser>
          <c:idx val="1"/>
          <c:order val="2"/>
          <c:tx>
            <c:v>2019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'2019'!$K$138:$K$149</c:f>
              <c:numCache>
                <c:formatCode>_-[$₩-412]* #,##0_-;\-[$₩-412]* #,##0_-;_-[$₩-412]* "-"??_-;_-@_-</c:formatCode>
                <c:ptCount val="12"/>
                <c:pt idx="0">
                  <c:v>21882502.120485917</c:v>
                </c:pt>
                <c:pt idx="1">
                  <c:v>6560723.2999999998</c:v>
                </c:pt>
                <c:pt idx="2">
                  <c:v>15644860</c:v>
                </c:pt>
                <c:pt idx="3">
                  <c:v>10756060</c:v>
                </c:pt>
                <c:pt idx="4">
                  <c:v>8616270</c:v>
                </c:pt>
                <c:pt idx="5">
                  <c:v>6338560</c:v>
                </c:pt>
                <c:pt idx="6">
                  <c:v>11156516</c:v>
                </c:pt>
                <c:pt idx="7" formatCode="_-* #,##0_-;\-* #,##0_-;_-* &quot;-&quot;_-;_-@_-">
                  <c:v>15606420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1-4F7F-AC48-F04631018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487888"/>
        <c:axId val="1"/>
      </c:lineChart>
      <c:catAx>
        <c:axId val="203048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_-&quot;₩&quot;* #,##0_-;\-&quot;₩&quot;* #,##0_-;_-&quot;₩&quot;* &quot;-&quot;_-;_-@_-" sourceLinked="1"/>
        <c:majorTickMark val="none"/>
        <c:minorTickMark val="none"/>
        <c:tickLblPos val="nextTo"/>
        <c:spPr>
          <a:ln w="9525">
            <a:noFill/>
          </a:ln>
        </c:spPr>
        <c:crossAx val="203048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5539707918838098"/>
          <c:y val="0.96581187486699305"/>
          <c:w val="0.17557806336230058"/>
          <c:h val="1.9011137121373034E-3"/>
        </c:manualLayout>
      </c:layout>
      <c:overlay val="0"/>
    </c:legend>
    <c:plotVisOnly val="0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/>
              <a:t>Sales</a:t>
            </a:r>
            <a:endParaRPr lang="ko-KR" sz="2400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'2019'!$A$4</c:f>
              <c:strCache>
                <c:ptCount val="1"/>
                <c:pt idx="0">
                  <c:v>Film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'2019'!$B$4:$N$4</c:f>
              <c:numCache>
                <c:formatCode>#,##0_ </c:formatCode>
                <c:ptCount val="13"/>
                <c:pt idx="0">
                  <c:v>4961000</c:v>
                </c:pt>
                <c:pt idx="1">
                  <c:v>2598000</c:v>
                </c:pt>
                <c:pt idx="2">
                  <c:v>2445000</c:v>
                </c:pt>
                <c:pt idx="3">
                  <c:v>2598000</c:v>
                </c:pt>
                <c:pt idx="4">
                  <c:v>1997000</c:v>
                </c:pt>
                <c:pt idx="5">
                  <c:v>2598000</c:v>
                </c:pt>
                <c:pt idx="6">
                  <c:v>2352000</c:v>
                </c:pt>
                <c:pt idx="7">
                  <c:v>5043000</c:v>
                </c:pt>
                <c:pt idx="8">
                  <c:v>2445000</c:v>
                </c:pt>
                <c:pt idx="9">
                  <c:v>2445000</c:v>
                </c:pt>
                <c:pt idx="10">
                  <c:v>4950000</c:v>
                </c:pt>
                <c:pt idx="11">
                  <c:v>5300000</c:v>
                </c:pt>
                <c:pt idx="12">
                  <c:v>39732000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E-47F5-A675-ACA6FFF709EF}"/>
            </c:ext>
          </c:extLst>
        </c:ser>
        <c:ser>
          <c:idx val="1"/>
          <c:order val="1"/>
          <c:tx>
            <c:strRef>
              <c:f>'2019'!$A$5</c:f>
              <c:strCache>
                <c:ptCount val="1"/>
                <c:pt idx="0">
                  <c:v>Fount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BE-47F5-A675-ACA6FFF709EF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'2019'!$B$5:$N$5</c:f>
              <c:numCache>
                <c:formatCode>#,##0_ </c:formatCode>
                <c:ptCount val="13"/>
                <c:pt idx="0">
                  <c:v>6007500</c:v>
                </c:pt>
                <c:pt idx="1">
                  <c:v>0</c:v>
                </c:pt>
                <c:pt idx="2">
                  <c:v>3240000</c:v>
                </c:pt>
                <c:pt idx="3">
                  <c:v>1155000</c:v>
                </c:pt>
                <c:pt idx="4">
                  <c:v>2715000</c:v>
                </c:pt>
                <c:pt idx="5">
                  <c:v>1175000</c:v>
                </c:pt>
                <c:pt idx="6">
                  <c:v>2262500</c:v>
                </c:pt>
                <c:pt idx="7">
                  <c:v>2857500</c:v>
                </c:pt>
                <c:pt idx="8">
                  <c:v>1667500</c:v>
                </c:pt>
                <c:pt idx="9">
                  <c:v>3382500</c:v>
                </c:pt>
                <c:pt idx="10">
                  <c:v>4767500</c:v>
                </c:pt>
                <c:pt idx="11">
                  <c:v>2480000</c:v>
                </c:pt>
                <c:pt idx="12">
                  <c:v>31710000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BE-47F5-A675-ACA6FFF709EF}"/>
            </c:ext>
          </c:extLst>
        </c:ser>
        <c:ser>
          <c:idx val="2"/>
          <c:order val="2"/>
          <c:tx>
            <c:strRef>
              <c:f>'2019'!$A$6</c:f>
              <c:strCache>
                <c:ptCount val="1"/>
                <c:pt idx="0">
                  <c:v>Roller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BE-47F5-A675-ACA6FFF709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FBE-47F5-A675-ACA6FFF709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BE-47F5-A675-ACA6FFF709E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FBE-47F5-A675-ACA6FFF709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FBE-47F5-A675-ACA6FFF709E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FBE-47F5-A675-ACA6FFF709EF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'2019'!$B$6:$N$6</c:f>
              <c:numCache>
                <c:formatCode>#,##0_ </c:formatCode>
                <c:ptCount val="13"/>
                <c:pt idx="0">
                  <c:v>32380000</c:v>
                </c:pt>
                <c:pt idx="1">
                  <c:v>4100000</c:v>
                </c:pt>
                <c:pt idx="2">
                  <c:v>0</c:v>
                </c:pt>
                <c:pt idx="3">
                  <c:v>5270000</c:v>
                </c:pt>
                <c:pt idx="4">
                  <c:v>0</c:v>
                </c:pt>
                <c:pt idx="5">
                  <c:v>0</c:v>
                </c:pt>
                <c:pt idx="6">
                  <c:v>27010000</c:v>
                </c:pt>
                <c:pt idx="7">
                  <c:v>25240000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5030000</c:v>
                </c:pt>
                <c:pt idx="12">
                  <c:v>99030000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BE-47F5-A675-ACA6FFF709EF}"/>
            </c:ext>
          </c:extLst>
        </c:ser>
        <c:ser>
          <c:idx val="3"/>
          <c:order val="3"/>
          <c:tx>
            <c:strRef>
              <c:f>'2019'!$A$7</c:f>
              <c:strCache>
                <c:ptCount val="1"/>
                <c:pt idx="0">
                  <c:v>Blanket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'2019'!$B$7:$N$7</c:f>
              <c:numCache>
                <c:formatCode>#,##0_ </c:formatCode>
                <c:ptCount val="13"/>
                <c:pt idx="0">
                  <c:v>15645000</c:v>
                </c:pt>
                <c:pt idx="1">
                  <c:v>6780000</c:v>
                </c:pt>
                <c:pt idx="2">
                  <c:v>8820000</c:v>
                </c:pt>
                <c:pt idx="3">
                  <c:v>12715000</c:v>
                </c:pt>
                <c:pt idx="4">
                  <c:v>10100000</c:v>
                </c:pt>
                <c:pt idx="5">
                  <c:v>3600000</c:v>
                </c:pt>
                <c:pt idx="6">
                  <c:v>10810000</c:v>
                </c:pt>
                <c:pt idx="7">
                  <c:v>8038000</c:v>
                </c:pt>
                <c:pt idx="8">
                  <c:v>10556000</c:v>
                </c:pt>
                <c:pt idx="9">
                  <c:v>9614000</c:v>
                </c:pt>
                <c:pt idx="10">
                  <c:v>16471000</c:v>
                </c:pt>
                <c:pt idx="11">
                  <c:v>15331000</c:v>
                </c:pt>
                <c:pt idx="12">
                  <c:v>128480000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BE-47F5-A675-ACA6FFF709EF}"/>
            </c:ext>
          </c:extLst>
        </c:ser>
        <c:ser>
          <c:idx val="4"/>
          <c:order val="4"/>
          <c:tx>
            <c:strRef>
              <c:f>'2019'!$A$8</c:f>
              <c:strCache>
                <c:ptCount val="1"/>
                <c:pt idx="0">
                  <c:v>Wash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'2019'!$B$8:$N$8</c:f>
              <c:numCache>
                <c:formatCode>#,##0_ </c:formatCode>
                <c:ptCount val="13"/>
                <c:pt idx="0">
                  <c:v>13759000</c:v>
                </c:pt>
                <c:pt idx="1">
                  <c:v>6758000</c:v>
                </c:pt>
                <c:pt idx="2">
                  <c:v>12430000</c:v>
                </c:pt>
                <c:pt idx="3">
                  <c:v>6947000</c:v>
                </c:pt>
                <c:pt idx="4">
                  <c:v>9685000</c:v>
                </c:pt>
                <c:pt idx="5">
                  <c:v>4479000</c:v>
                </c:pt>
                <c:pt idx="6">
                  <c:v>9830000</c:v>
                </c:pt>
                <c:pt idx="7">
                  <c:v>4254000</c:v>
                </c:pt>
                <c:pt idx="8">
                  <c:v>16051500</c:v>
                </c:pt>
                <c:pt idx="9">
                  <c:v>12677500</c:v>
                </c:pt>
                <c:pt idx="10">
                  <c:v>11421500</c:v>
                </c:pt>
                <c:pt idx="11">
                  <c:v>13946600</c:v>
                </c:pt>
                <c:pt idx="12">
                  <c:v>122239100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BE-47F5-A675-ACA6FFF709EF}"/>
            </c:ext>
          </c:extLst>
        </c:ser>
        <c:ser>
          <c:idx val="5"/>
          <c:order val="5"/>
          <c:tx>
            <c:strRef>
              <c:f>'2019'!$A$9</c:f>
              <c:strCache>
                <c:ptCount val="1"/>
                <c:pt idx="0">
                  <c:v>농도계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</c:spPr>
          <c:invertIfNegative val="0"/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'2019'!$B$9:$N$9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BE-47F5-A675-ACA6FFF709EF}"/>
            </c:ext>
          </c:extLst>
        </c:ser>
        <c:ser>
          <c:idx val="6"/>
          <c:order val="6"/>
          <c:tx>
            <c:strRef>
              <c:f>'2019'!$A$10</c:f>
              <c:strCache>
                <c:ptCount val="1"/>
                <c:pt idx="0">
                  <c:v>UV lamp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FBE-47F5-A675-ACA6FFF709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FBE-47F5-A675-ACA6FFF709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FBE-47F5-A675-ACA6FFF709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FBE-47F5-A675-ACA6FFF709E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FBE-47F5-A675-ACA6FFF709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FBE-47F5-A675-ACA6FFF709E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FBE-47F5-A675-ACA6FFF709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FBE-47F5-A675-ACA6FFF709EF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'2019'!$B$10:$N$10</c:f>
              <c:numCache>
                <c:formatCode>#,##0_ </c:formatCode>
                <c:ptCount val="13"/>
                <c:pt idx="0">
                  <c:v>0</c:v>
                </c:pt>
                <c:pt idx="1">
                  <c:v>850000</c:v>
                </c:pt>
                <c:pt idx="2">
                  <c:v>12200000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1970000</c:v>
                </c:pt>
                <c:pt idx="11">
                  <c:v>11380000</c:v>
                </c:pt>
                <c:pt idx="12">
                  <c:v>26400000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FBE-47F5-A675-ACA6FFF709EF}"/>
            </c:ext>
          </c:extLst>
        </c:ser>
        <c:ser>
          <c:idx val="7"/>
          <c:order val="7"/>
          <c:tx>
            <c:strRef>
              <c:f>'2019'!$A$11</c:f>
              <c:strCache>
                <c:ptCount val="1"/>
                <c:pt idx="0">
                  <c:v>CTP(IHK)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'2019'!$B$11:$N$11</c:f>
              <c:numCache>
                <c:formatCode>#,##0_ </c:formatCode>
                <c:ptCount val="13"/>
                <c:pt idx="0">
                  <c:v>11113000</c:v>
                </c:pt>
                <c:pt idx="1">
                  <c:v>6600000</c:v>
                </c:pt>
                <c:pt idx="2">
                  <c:v>4249000</c:v>
                </c:pt>
                <c:pt idx="3">
                  <c:v>11124000</c:v>
                </c:pt>
                <c:pt idx="4">
                  <c:v>6380000</c:v>
                </c:pt>
                <c:pt idx="5">
                  <c:v>5902000</c:v>
                </c:pt>
                <c:pt idx="6">
                  <c:v>5781000</c:v>
                </c:pt>
                <c:pt idx="7">
                  <c:v>5599000</c:v>
                </c:pt>
                <c:pt idx="8">
                  <c:v>4113000</c:v>
                </c:pt>
                <c:pt idx="9">
                  <c:v>3874000</c:v>
                </c:pt>
                <c:pt idx="10">
                  <c:v>2045000</c:v>
                </c:pt>
                <c:pt idx="11">
                  <c:v>3235000</c:v>
                </c:pt>
                <c:pt idx="12">
                  <c:v>70015000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FBE-47F5-A675-ACA6FFF709EF}"/>
            </c:ext>
          </c:extLst>
        </c:ser>
        <c:ser>
          <c:idx val="8"/>
          <c:order val="8"/>
          <c:tx>
            <c:strRef>
              <c:f>'2019'!$A$12</c:f>
              <c:strCache>
                <c:ptCount val="1"/>
                <c:pt idx="0">
                  <c:v>Others(IHK)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'2019'!$B$12:$N$12</c:f>
              <c:numCache>
                <c:formatCode>#,##0_ </c:formatCode>
                <c:ptCount val="13"/>
                <c:pt idx="0">
                  <c:v>14396000</c:v>
                </c:pt>
                <c:pt idx="1">
                  <c:v>4908000</c:v>
                </c:pt>
                <c:pt idx="2">
                  <c:v>6490000</c:v>
                </c:pt>
                <c:pt idx="3">
                  <c:v>8865000</c:v>
                </c:pt>
                <c:pt idx="4">
                  <c:v>9430000</c:v>
                </c:pt>
                <c:pt idx="5">
                  <c:v>5960000</c:v>
                </c:pt>
                <c:pt idx="6">
                  <c:v>40072000</c:v>
                </c:pt>
                <c:pt idx="7">
                  <c:v>8186000</c:v>
                </c:pt>
                <c:pt idx="8">
                  <c:v>8830000</c:v>
                </c:pt>
                <c:pt idx="9">
                  <c:v>6065000</c:v>
                </c:pt>
                <c:pt idx="10">
                  <c:v>13978000</c:v>
                </c:pt>
                <c:pt idx="11">
                  <c:v>3115000</c:v>
                </c:pt>
                <c:pt idx="12">
                  <c:v>130295000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FBE-47F5-A675-ACA6FFF709EF}"/>
            </c:ext>
          </c:extLst>
        </c:ser>
        <c:ser>
          <c:idx val="9"/>
          <c:order val="9"/>
          <c:tx>
            <c:strRef>
              <c:f>'2019'!$A$13</c:f>
              <c:strCache>
                <c:ptCount val="1"/>
                <c:pt idx="0">
                  <c:v>Technotrans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'2019'!$B$13:$N$13</c:f>
              <c:numCache>
                <c:formatCode>#,##0_ </c:formatCode>
                <c:ptCount val="13"/>
                <c:pt idx="0">
                  <c:v>4635000</c:v>
                </c:pt>
                <c:pt idx="1">
                  <c:v>2745000</c:v>
                </c:pt>
                <c:pt idx="2">
                  <c:v>1155000</c:v>
                </c:pt>
                <c:pt idx="3">
                  <c:v>3475000</c:v>
                </c:pt>
                <c:pt idx="4">
                  <c:v>1355000</c:v>
                </c:pt>
                <c:pt idx="5">
                  <c:v>3635000</c:v>
                </c:pt>
                <c:pt idx="6">
                  <c:v>140000</c:v>
                </c:pt>
                <c:pt idx="7">
                  <c:v>6530000</c:v>
                </c:pt>
                <c:pt idx="8">
                  <c:v>875000</c:v>
                </c:pt>
                <c:pt idx="9">
                  <c:v>13250000</c:v>
                </c:pt>
                <c:pt idx="10">
                  <c:v>3695000</c:v>
                </c:pt>
                <c:pt idx="11">
                  <c:v>17140000</c:v>
                </c:pt>
                <c:pt idx="12">
                  <c:v>58630000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FBE-47F5-A675-ACA6FFF709EF}"/>
            </c:ext>
          </c:extLst>
        </c:ser>
        <c:ser>
          <c:idx val="10"/>
          <c:order val="10"/>
          <c:tx>
            <c:strRef>
              <c:f>'2019'!$A$14</c:f>
              <c:strCache>
                <c:ptCount val="1"/>
                <c:pt idx="0">
                  <c:v>GOSS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'2019'!$B$14:$N$14</c:f>
              <c:numCache>
                <c:formatCode>#,##0_ </c:formatCode>
                <c:ptCount val="13"/>
                <c:pt idx="0">
                  <c:v>32360000</c:v>
                </c:pt>
                <c:pt idx="1">
                  <c:v>27340000</c:v>
                </c:pt>
                <c:pt idx="2">
                  <c:v>45044000</c:v>
                </c:pt>
                <c:pt idx="3">
                  <c:v>17680000</c:v>
                </c:pt>
                <c:pt idx="4">
                  <c:v>44552000</c:v>
                </c:pt>
                <c:pt idx="5">
                  <c:v>8171000</c:v>
                </c:pt>
                <c:pt idx="6">
                  <c:v>13130000</c:v>
                </c:pt>
                <c:pt idx="7">
                  <c:v>19900000</c:v>
                </c:pt>
                <c:pt idx="8">
                  <c:v>5060000</c:v>
                </c:pt>
                <c:pt idx="9">
                  <c:v>1260000</c:v>
                </c:pt>
                <c:pt idx="10">
                  <c:v>32925000</c:v>
                </c:pt>
                <c:pt idx="11">
                  <c:v>27736000</c:v>
                </c:pt>
                <c:pt idx="12">
                  <c:v>275158000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FBE-47F5-A675-ACA6FFF709EF}"/>
            </c:ext>
          </c:extLst>
        </c:ser>
        <c:ser>
          <c:idx val="11"/>
          <c:order val="11"/>
          <c:tx>
            <c:strRef>
              <c:f>'2019'!$A$15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'2019'!$B$15:$N$15</c:f>
              <c:numCache>
                <c:formatCode>#,##0_ </c:formatCode>
                <c:ptCount val="13"/>
                <c:pt idx="0">
                  <c:v>550000</c:v>
                </c:pt>
                <c:pt idx="1">
                  <c:v>2900000</c:v>
                </c:pt>
                <c:pt idx="2">
                  <c:v>8918600</c:v>
                </c:pt>
                <c:pt idx="3">
                  <c:v>5000000</c:v>
                </c:pt>
                <c:pt idx="4">
                  <c:v>3000000</c:v>
                </c:pt>
                <c:pt idx="5">
                  <c:v>1250000</c:v>
                </c:pt>
                <c:pt idx="6">
                  <c:v>3400000</c:v>
                </c:pt>
                <c:pt idx="7">
                  <c:v>13017790</c:v>
                </c:pt>
                <c:pt idx="8">
                  <c:v>3500000</c:v>
                </c:pt>
                <c:pt idx="9">
                  <c:v>26650000</c:v>
                </c:pt>
                <c:pt idx="10">
                  <c:v>2950000</c:v>
                </c:pt>
                <c:pt idx="11">
                  <c:v>900000</c:v>
                </c:pt>
                <c:pt idx="12">
                  <c:v>72036390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FBE-47F5-A675-ACA6FFF709EF}"/>
            </c:ext>
          </c:extLst>
        </c:ser>
        <c:ser>
          <c:idx val="12"/>
          <c:order val="12"/>
          <c:tx>
            <c:strRef>
              <c:f>'2019'!$A$16</c:f>
              <c:strCache>
                <c:ptCount val="1"/>
                <c:pt idx="0">
                  <c:v>Machine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'2019'!$B$16:$N$16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FBE-47F5-A675-ACA6FFF709EF}"/>
            </c:ext>
          </c:extLst>
        </c:ser>
        <c:ser>
          <c:idx val="13"/>
          <c:order val="13"/>
          <c:tx>
            <c:strRef>
              <c:f>'2019'!$A$17</c:f>
              <c:strCache>
                <c:ptCount val="1"/>
                <c:pt idx="0">
                  <c:v>Ink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'2019'!$B$17:$N$17</c:f>
              <c:numCache>
                <c:formatCode>#,##0_ </c:formatCode>
                <c:ptCount val="13"/>
                <c:pt idx="0">
                  <c:v>12990000</c:v>
                </c:pt>
                <c:pt idx="1">
                  <c:v>12232000</c:v>
                </c:pt>
                <c:pt idx="2">
                  <c:v>20545800</c:v>
                </c:pt>
                <c:pt idx="3">
                  <c:v>25671800</c:v>
                </c:pt>
                <c:pt idx="4">
                  <c:v>11439000</c:v>
                </c:pt>
                <c:pt idx="5">
                  <c:v>11340000</c:v>
                </c:pt>
                <c:pt idx="6">
                  <c:v>13819000</c:v>
                </c:pt>
                <c:pt idx="7">
                  <c:v>14165000</c:v>
                </c:pt>
                <c:pt idx="8">
                  <c:v>14138600</c:v>
                </c:pt>
                <c:pt idx="9">
                  <c:v>15307000</c:v>
                </c:pt>
                <c:pt idx="10">
                  <c:v>11780000</c:v>
                </c:pt>
                <c:pt idx="11">
                  <c:v>14055000</c:v>
                </c:pt>
                <c:pt idx="12">
                  <c:v>177483200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FBE-47F5-A675-ACA6FFF709EF}"/>
            </c:ext>
          </c:extLst>
        </c:ser>
        <c:ser>
          <c:idx val="14"/>
          <c:order val="14"/>
          <c:tx>
            <c:strRef>
              <c:f>'2019'!$A$18</c:f>
              <c:strCache>
                <c:ptCount val="1"/>
                <c:pt idx="0">
                  <c:v>CTP(Others)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'2019'!$B$18:$N$18</c:f>
              <c:numCache>
                <c:formatCode>#,##0_ </c:formatCode>
                <c:ptCount val="13"/>
                <c:pt idx="0">
                  <c:v>77374500</c:v>
                </c:pt>
                <c:pt idx="1">
                  <c:v>55296500</c:v>
                </c:pt>
                <c:pt idx="2">
                  <c:v>62008000</c:v>
                </c:pt>
                <c:pt idx="3">
                  <c:v>75705500</c:v>
                </c:pt>
                <c:pt idx="4">
                  <c:v>55513000</c:v>
                </c:pt>
                <c:pt idx="5">
                  <c:v>54654000</c:v>
                </c:pt>
                <c:pt idx="6">
                  <c:v>61814500</c:v>
                </c:pt>
                <c:pt idx="7">
                  <c:v>55917500</c:v>
                </c:pt>
                <c:pt idx="8">
                  <c:v>58324000</c:v>
                </c:pt>
                <c:pt idx="9">
                  <c:v>51100500</c:v>
                </c:pt>
                <c:pt idx="10">
                  <c:v>70568000</c:v>
                </c:pt>
                <c:pt idx="11">
                  <c:v>52586000</c:v>
                </c:pt>
                <c:pt idx="12">
                  <c:v>730862000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FBE-47F5-A675-ACA6FFF709EF}"/>
            </c:ext>
          </c:extLst>
        </c:ser>
        <c:ser>
          <c:idx val="15"/>
          <c:order val="15"/>
          <c:tx>
            <c:strRef>
              <c:f>'2019'!$A$19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'2019'!$B$3:$N$3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'2019'!$B$19:$N$19</c:f>
              <c:numCache>
                <c:formatCode>#,##0_ </c:formatCode>
                <c:ptCount val="13"/>
                <c:pt idx="0">
                  <c:v>14398300</c:v>
                </c:pt>
                <c:pt idx="1">
                  <c:v>794000</c:v>
                </c:pt>
                <c:pt idx="2">
                  <c:v>6210000</c:v>
                </c:pt>
                <c:pt idx="3">
                  <c:v>3266000</c:v>
                </c:pt>
                <c:pt idx="4">
                  <c:v>11209890</c:v>
                </c:pt>
                <c:pt idx="5">
                  <c:v>100460550</c:v>
                </c:pt>
                <c:pt idx="6">
                  <c:v>8805000</c:v>
                </c:pt>
                <c:pt idx="7">
                  <c:v>0</c:v>
                </c:pt>
                <c:pt idx="8">
                  <c:v>1000000</c:v>
                </c:pt>
                <c:pt idx="9">
                  <c:v>7900000</c:v>
                </c:pt>
                <c:pt idx="10">
                  <c:v>2680000</c:v>
                </c:pt>
                <c:pt idx="11">
                  <c:v>18000000</c:v>
                </c:pt>
                <c:pt idx="12">
                  <c:v>174723740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FBE-47F5-A675-ACA6FFF70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488304"/>
        <c:axId val="1"/>
      </c:barChart>
      <c:catAx>
        <c:axId val="203048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488304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'2019'!$A$25</c:f>
              <c:strCache>
                <c:ptCount val="1"/>
                <c:pt idx="0">
                  <c:v>Film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'2019'!$B$25:$N$25</c:f>
              <c:numCache>
                <c:formatCode>#,##0_ </c:formatCode>
                <c:ptCount val="13"/>
                <c:pt idx="0">
                  <c:v>988720</c:v>
                </c:pt>
                <c:pt idx="1">
                  <c:v>541860</c:v>
                </c:pt>
                <c:pt idx="2">
                  <c:v>478860</c:v>
                </c:pt>
                <c:pt idx="3">
                  <c:v>541860</c:v>
                </c:pt>
                <c:pt idx="4">
                  <c:v>400870</c:v>
                </c:pt>
                <c:pt idx="5">
                  <c:v>541860</c:v>
                </c:pt>
                <c:pt idx="6">
                  <c:v>445860</c:v>
                </c:pt>
                <c:pt idx="7">
                  <c:v>1020720</c:v>
                </c:pt>
                <c:pt idx="8">
                  <c:v>478860</c:v>
                </c:pt>
                <c:pt idx="9">
                  <c:v>478860</c:v>
                </c:pt>
                <c:pt idx="10">
                  <c:v>987720</c:v>
                </c:pt>
                <c:pt idx="11">
                  <c:v>1117720</c:v>
                </c:pt>
                <c:pt idx="12">
                  <c:v>8023770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4-4FE3-8778-67D387EC1375}"/>
            </c:ext>
          </c:extLst>
        </c:ser>
        <c:ser>
          <c:idx val="1"/>
          <c:order val="1"/>
          <c:tx>
            <c:strRef>
              <c:f>'2019'!$A$26</c:f>
              <c:strCache>
                <c:ptCount val="1"/>
                <c:pt idx="0">
                  <c:v>Fount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'2019'!$B$26:$N$26</c:f>
              <c:numCache>
                <c:formatCode>#,##0_ </c:formatCode>
                <c:ptCount val="13"/>
                <c:pt idx="0">
                  <c:v>2745000</c:v>
                </c:pt>
                <c:pt idx="1">
                  <c:v>0</c:v>
                </c:pt>
                <c:pt idx="2">
                  <c:v>1435000</c:v>
                </c:pt>
                <c:pt idx="3">
                  <c:v>480000</c:v>
                </c:pt>
                <c:pt idx="4">
                  <c:v>1252500</c:v>
                </c:pt>
                <c:pt idx="5">
                  <c:v>612500</c:v>
                </c:pt>
                <c:pt idx="6">
                  <c:v>970000</c:v>
                </c:pt>
                <c:pt idx="7">
                  <c:v>1172500</c:v>
                </c:pt>
                <c:pt idx="8">
                  <c:v>767500</c:v>
                </c:pt>
                <c:pt idx="9">
                  <c:v>1640000</c:v>
                </c:pt>
                <c:pt idx="10">
                  <c:v>2180000</c:v>
                </c:pt>
                <c:pt idx="11">
                  <c:v>1130000</c:v>
                </c:pt>
                <c:pt idx="12">
                  <c:v>14385000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4-4FE3-8778-67D387EC1375}"/>
            </c:ext>
          </c:extLst>
        </c:ser>
        <c:ser>
          <c:idx val="2"/>
          <c:order val="2"/>
          <c:tx>
            <c:strRef>
              <c:f>'2019'!$A$27</c:f>
              <c:strCache>
                <c:ptCount val="1"/>
                <c:pt idx="0">
                  <c:v>Roller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'2019'!$B$27:$N$27</c:f>
              <c:numCache>
                <c:formatCode>#,##0_ </c:formatCode>
                <c:ptCount val="13"/>
                <c:pt idx="0">
                  <c:v>6406000</c:v>
                </c:pt>
                <c:pt idx="1">
                  <c:v>1030000</c:v>
                </c:pt>
                <c:pt idx="2">
                  <c:v>0</c:v>
                </c:pt>
                <c:pt idx="3">
                  <c:v>1000000</c:v>
                </c:pt>
                <c:pt idx="4">
                  <c:v>0</c:v>
                </c:pt>
                <c:pt idx="5">
                  <c:v>0</c:v>
                </c:pt>
                <c:pt idx="6">
                  <c:v>4530000</c:v>
                </c:pt>
                <c:pt idx="7">
                  <c:v>4240000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1310000</c:v>
                </c:pt>
                <c:pt idx="12">
                  <c:v>18516000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4-4FE3-8778-67D387EC1375}"/>
            </c:ext>
          </c:extLst>
        </c:ser>
        <c:ser>
          <c:idx val="3"/>
          <c:order val="3"/>
          <c:tx>
            <c:strRef>
              <c:f>'2019'!$A$28</c:f>
              <c:strCache>
                <c:ptCount val="1"/>
                <c:pt idx="0">
                  <c:v>Blanket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'2019'!$B$28:$N$28</c:f>
              <c:numCache>
                <c:formatCode>#,##0_ </c:formatCode>
                <c:ptCount val="13"/>
                <c:pt idx="0">
                  <c:v>3429000</c:v>
                </c:pt>
                <c:pt idx="1">
                  <c:v>1265000</c:v>
                </c:pt>
                <c:pt idx="2">
                  <c:v>2591000</c:v>
                </c:pt>
                <c:pt idx="3">
                  <c:v>3075400</c:v>
                </c:pt>
                <c:pt idx="4">
                  <c:v>2044700</c:v>
                </c:pt>
                <c:pt idx="5">
                  <c:v>791000</c:v>
                </c:pt>
                <c:pt idx="6">
                  <c:v>2541700</c:v>
                </c:pt>
                <c:pt idx="7">
                  <c:v>1649000</c:v>
                </c:pt>
                <c:pt idx="8">
                  <c:v>2245920</c:v>
                </c:pt>
                <c:pt idx="9">
                  <c:v>2642920</c:v>
                </c:pt>
                <c:pt idx="10">
                  <c:v>3685120</c:v>
                </c:pt>
                <c:pt idx="11">
                  <c:v>4302260</c:v>
                </c:pt>
                <c:pt idx="12">
                  <c:v>30263020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54-4FE3-8778-67D387EC1375}"/>
            </c:ext>
          </c:extLst>
        </c:ser>
        <c:ser>
          <c:idx val="4"/>
          <c:order val="4"/>
          <c:tx>
            <c:strRef>
              <c:f>'2019'!$A$29</c:f>
              <c:strCache>
                <c:ptCount val="1"/>
                <c:pt idx="0">
                  <c:v>Wash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'2019'!$B$29:$N$29</c:f>
              <c:numCache>
                <c:formatCode>#,##0_ </c:formatCode>
                <c:ptCount val="13"/>
                <c:pt idx="0">
                  <c:v>3442408.1204859153</c:v>
                </c:pt>
                <c:pt idx="1">
                  <c:v>1680290.1204859153</c:v>
                </c:pt>
                <c:pt idx="2">
                  <c:v>4033000</c:v>
                </c:pt>
                <c:pt idx="3">
                  <c:v>1677200</c:v>
                </c:pt>
                <c:pt idx="4">
                  <c:v>2363200</c:v>
                </c:pt>
                <c:pt idx="5">
                  <c:v>1066200</c:v>
                </c:pt>
                <c:pt idx="6">
                  <c:v>3198000</c:v>
                </c:pt>
                <c:pt idx="7">
                  <c:v>1198000</c:v>
                </c:pt>
                <c:pt idx="8">
                  <c:v>4228500</c:v>
                </c:pt>
                <c:pt idx="9">
                  <c:v>3733229</c:v>
                </c:pt>
                <c:pt idx="10">
                  <c:v>2699882</c:v>
                </c:pt>
                <c:pt idx="11">
                  <c:v>3601667</c:v>
                </c:pt>
                <c:pt idx="12">
                  <c:v>32921576.24097183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54-4FE3-8778-67D387EC1375}"/>
            </c:ext>
          </c:extLst>
        </c:ser>
        <c:ser>
          <c:idx val="5"/>
          <c:order val="5"/>
          <c:tx>
            <c:strRef>
              <c:f>'2019'!$A$30</c:f>
              <c:strCache>
                <c:ptCount val="1"/>
                <c:pt idx="0">
                  <c:v>농도계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'2019'!$B$30:$N$30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54-4FE3-8778-67D387EC1375}"/>
            </c:ext>
          </c:extLst>
        </c:ser>
        <c:ser>
          <c:idx val="6"/>
          <c:order val="6"/>
          <c:tx>
            <c:strRef>
              <c:f>'2019'!$A$31</c:f>
              <c:strCache>
                <c:ptCount val="1"/>
                <c:pt idx="0">
                  <c:v>UV lamp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'2019'!$B$31:$N$31</c:f>
              <c:numCache>
                <c:formatCode>#,##0_ </c:formatCode>
                <c:ptCount val="13"/>
                <c:pt idx="0">
                  <c:v>0</c:v>
                </c:pt>
                <c:pt idx="1">
                  <c:v>551264.78437500005</c:v>
                </c:pt>
                <c:pt idx="2">
                  <c:v>5458658.0825590678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1030888</c:v>
                </c:pt>
                <c:pt idx="11">
                  <c:v>2120032</c:v>
                </c:pt>
                <c:pt idx="12">
                  <c:v>9160842.8669340685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54-4FE3-8778-67D387EC1375}"/>
            </c:ext>
          </c:extLst>
        </c:ser>
        <c:ser>
          <c:idx val="7"/>
          <c:order val="7"/>
          <c:tx>
            <c:strRef>
              <c:f>'2019'!$A$32</c:f>
              <c:strCache>
                <c:ptCount val="1"/>
                <c:pt idx="0">
                  <c:v>CTP(IHK)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'2019'!$B$32:$N$32</c:f>
              <c:numCache>
                <c:formatCode>#,##0_ </c:formatCode>
                <c:ptCount val="13"/>
                <c:pt idx="0">
                  <c:v>885000</c:v>
                </c:pt>
                <c:pt idx="1">
                  <c:v>608000</c:v>
                </c:pt>
                <c:pt idx="2">
                  <c:v>218000</c:v>
                </c:pt>
                <c:pt idx="3">
                  <c:v>3066000</c:v>
                </c:pt>
                <c:pt idx="4">
                  <c:v>104000</c:v>
                </c:pt>
                <c:pt idx="5">
                  <c:v>1806000</c:v>
                </c:pt>
                <c:pt idx="6">
                  <c:v>6000</c:v>
                </c:pt>
                <c:pt idx="7">
                  <c:v>1428000</c:v>
                </c:pt>
                <c:pt idx="8">
                  <c:v>-267000</c:v>
                </c:pt>
                <c:pt idx="9">
                  <c:v>1233000</c:v>
                </c:pt>
                <c:pt idx="10">
                  <c:v>-130000</c:v>
                </c:pt>
                <c:pt idx="11">
                  <c:v>1130000</c:v>
                </c:pt>
                <c:pt idx="12">
                  <c:v>10087000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54-4FE3-8778-67D387EC1375}"/>
            </c:ext>
          </c:extLst>
        </c:ser>
        <c:ser>
          <c:idx val="8"/>
          <c:order val="8"/>
          <c:tx>
            <c:strRef>
              <c:f>'2019'!$A$33</c:f>
              <c:strCache>
                <c:ptCount val="1"/>
                <c:pt idx="0">
                  <c:v>Others(IHK)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'2019'!$B$33:$N$33</c:f>
              <c:numCache>
                <c:formatCode>#,##0_ </c:formatCode>
                <c:ptCount val="13"/>
                <c:pt idx="0">
                  <c:v>4585790.5650359355</c:v>
                </c:pt>
                <c:pt idx="1">
                  <c:v>1216000</c:v>
                </c:pt>
                <c:pt idx="2">
                  <c:v>1471000</c:v>
                </c:pt>
                <c:pt idx="3">
                  <c:v>1967000</c:v>
                </c:pt>
                <c:pt idx="4">
                  <c:v>2451000</c:v>
                </c:pt>
                <c:pt idx="5">
                  <c:v>1521000</c:v>
                </c:pt>
                <c:pt idx="6">
                  <c:v>10731978</c:v>
                </c:pt>
                <c:pt idx="7">
                  <c:v>1998200</c:v>
                </c:pt>
                <c:pt idx="8">
                  <c:v>1967000</c:v>
                </c:pt>
                <c:pt idx="9">
                  <c:v>1813000</c:v>
                </c:pt>
                <c:pt idx="10">
                  <c:v>3019000</c:v>
                </c:pt>
                <c:pt idx="11">
                  <c:v>965000</c:v>
                </c:pt>
                <c:pt idx="12">
                  <c:v>33705968.565035939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54-4FE3-8778-67D387EC1375}"/>
            </c:ext>
          </c:extLst>
        </c:ser>
        <c:ser>
          <c:idx val="9"/>
          <c:order val="9"/>
          <c:tx>
            <c:strRef>
              <c:f>'2019'!$A$34</c:f>
              <c:strCache>
                <c:ptCount val="1"/>
                <c:pt idx="0">
                  <c:v>Technotrans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'2019'!$B$34:$N$34</c:f>
              <c:numCache>
                <c:formatCode>#,##0_ </c:formatCode>
                <c:ptCount val="13"/>
                <c:pt idx="0">
                  <c:v>2409292.758727733</c:v>
                </c:pt>
                <c:pt idx="1">
                  <c:v>974539.0750760294</c:v>
                </c:pt>
                <c:pt idx="2">
                  <c:v>504437.50396961474</c:v>
                </c:pt>
                <c:pt idx="3">
                  <c:v>1179170.2063189219</c:v>
                </c:pt>
                <c:pt idx="4">
                  <c:v>523943</c:v>
                </c:pt>
                <c:pt idx="5">
                  <c:v>1293035</c:v>
                </c:pt>
                <c:pt idx="6">
                  <c:v>50156</c:v>
                </c:pt>
                <c:pt idx="7">
                  <c:v>3927219.4021063074</c:v>
                </c:pt>
                <c:pt idx="8">
                  <c:v>313475</c:v>
                </c:pt>
                <c:pt idx="9">
                  <c:v>6258782.0856571002</c:v>
                </c:pt>
                <c:pt idx="10">
                  <c:v>1189487</c:v>
                </c:pt>
                <c:pt idx="11">
                  <c:v>4767237</c:v>
                </c:pt>
                <c:pt idx="12">
                  <c:v>23390774.031855706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54-4FE3-8778-67D387EC1375}"/>
            </c:ext>
          </c:extLst>
        </c:ser>
        <c:ser>
          <c:idx val="10"/>
          <c:order val="10"/>
          <c:tx>
            <c:strRef>
              <c:f>'2019'!$A$35</c:f>
              <c:strCache>
                <c:ptCount val="1"/>
                <c:pt idx="0">
                  <c:v>GOSS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'2019'!$B$35:$N$35</c:f>
              <c:numCache>
                <c:formatCode>#,##0_ </c:formatCode>
                <c:ptCount val="13"/>
                <c:pt idx="0">
                  <c:v>17963363.32194696</c:v>
                </c:pt>
                <c:pt idx="1">
                  <c:v>10032437.011382656</c:v>
                </c:pt>
                <c:pt idx="2">
                  <c:v>16536161.256127737</c:v>
                </c:pt>
                <c:pt idx="3">
                  <c:v>5686935.8650679542</c:v>
                </c:pt>
                <c:pt idx="4">
                  <c:v>21439470.294975471</c:v>
                </c:pt>
                <c:pt idx="5">
                  <c:v>4631926.8840807257</c:v>
                </c:pt>
                <c:pt idx="6">
                  <c:v>4392178.1156885196</c:v>
                </c:pt>
                <c:pt idx="7">
                  <c:v>6314905.8987989184</c:v>
                </c:pt>
                <c:pt idx="8">
                  <c:v>1901282.986727407</c:v>
                </c:pt>
                <c:pt idx="9">
                  <c:v>510000</c:v>
                </c:pt>
                <c:pt idx="10">
                  <c:v>12052680</c:v>
                </c:pt>
                <c:pt idx="11">
                  <c:v>15092782</c:v>
                </c:pt>
                <c:pt idx="12">
                  <c:v>116554123.63479634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54-4FE3-8778-67D387EC1375}"/>
            </c:ext>
          </c:extLst>
        </c:ser>
        <c:ser>
          <c:idx val="11"/>
          <c:order val="11"/>
          <c:tx>
            <c:strRef>
              <c:f>'2019'!$A$36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'2019'!$B$36:$N$36</c:f>
              <c:numCache>
                <c:formatCode>#,##0_ </c:formatCode>
                <c:ptCount val="13"/>
                <c:pt idx="0">
                  <c:v>550000</c:v>
                </c:pt>
                <c:pt idx="1">
                  <c:v>1400000</c:v>
                </c:pt>
                <c:pt idx="2">
                  <c:v>1500000</c:v>
                </c:pt>
                <c:pt idx="3">
                  <c:v>1500000</c:v>
                </c:pt>
                <c:pt idx="4">
                  <c:v>0</c:v>
                </c:pt>
                <c:pt idx="5">
                  <c:v>1250000</c:v>
                </c:pt>
                <c:pt idx="6">
                  <c:v>3400000</c:v>
                </c:pt>
                <c:pt idx="7">
                  <c:v>-1958210</c:v>
                </c:pt>
                <c:pt idx="8">
                  <c:v>3500000</c:v>
                </c:pt>
                <c:pt idx="9">
                  <c:v>5133000</c:v>
                </c:pt>
                <c:pt idx="10">
                  <c:v>1457000</c:v>
                </c:pt>
                <c:pt idx="11">
                  <c:v>420000</c:v>
                </c:pt>
                <c:pt idx="12">
                  <c:v>18151790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54-4FE3-8778-67D387EC1375}"/>
            </c:ext>
          </c:extLst>
        </c:ser>
        <c:ser>
          <c:idx val="12"/>
          <c:order val="12"/>
          <c:tx>
            <c:strRef>
              <c:f>'2019'!$A$37</c:f>
              <c:strCache>
                <c:ptCount val="1"/>
                <c:pt idx="0">
                  <c:v>Machine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'2019'!$B$37:$N$37</c:f>
              <c:numCache>
                <c:formatCode>#,##0_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54-4FE3-8778-67D387EC1375}"/>
            </c:ext>
          </c:extLst>
        </c:ser>
        <c:ser>
          <c:idx val="13"/>
          <c:order val="13"/>
          <c:tx>
            <c:strRef>
              <c:f>'2019'!$A$38</c:f>
              <c:strCache>
                <c:ptCount val="1"/>
                <c:pt idx="0">
                  <c:v>Ink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'2019'!$B$38:$N$38</c:f>
              <c:numCache>
                <c:formatCode>#,##0_ </c:formatCode>
                <c:ptCount val="13"/>
                <c:pt idx="0">
                  <c:v>1020000</c:v>
                </c:pt>
                <c:pt idx="1">
                  <c:v>816000</c:v>
                </c:pt>
                <c:pt idx="2">
                  <c:v>1030900</c:v>
                </c:pt>
                <c:pt idx="3">
                  <c:v>1479700</c:v>
                </c:pt>
                <c:pt idx="4">
                  <c:v>813000</c:v>
                </c:pt>
                <c:pt idx="5">
                  <c:v>1015500</c:v>
                </c:pt>
                <c:pt idx="6">
                  <c:v>810000</c:v>
                </c:pt>
                <c:pt idx="7">
                  <c:v>1161000</c:v>
                </c:pt>
                <c:pt idx="8">
                  <c:v>994650</c:v>
                </c:pt>
                <c:pt idx="9">
                  <c:v>1177000</c:v>
                </c:pt>
                <c:pt idx="10">
                  <c:v>993000</c:v>
                </c:pt>
                <c:pt idx="11">
                  <c:v>876000</c:v>
                </c:pt>
                <c:pt idx="12">
                  <c:v>12186750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54-4FE3-8778-67D387EC1375}"/>
            </c:ext>
          </c:extLst>
        </c:ser>
        <c:ser>
          <c:idx val="14"/>
          <c:order val="14"/>
          <c:tx>
            <c:strRef>
              <c:f>'2019'!$A$39</c:f>
              <c:strCache>
                <c:ptCount val="1"/>
                <c:pt idx="0">
                  <c:v>CTP(Others)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'2019'!$B$39:$N$39</c:f>
              <c:numCache>
                <c:formatCode>#,##0_ </c:formatCode>
                <c:ptCount val="13"/>
                <c:pt idx="0">
                  <c:v>23914000</c:v>
                </c:pt>
                <c:pt idx="1">
                  <c:v>17902500</c:v>
                </c:pt>
                <c:pt idx="2">
                  <c:v>20040000</c:v>
                </c:pt>
                <c:pt idx="3">
                  <c:v>24503500</c:v>
                </c:pt>
                <c:pt idx="4">
                  <c:v>18388000</c:v>
                </c:pt>
                <c:pt idx="5">
                  <c:v>19318000</c:v>
                </c:pt>
                <c:pt idx="6">
                  <c:v>21379500</c:v>
                </c:pt>
                <c:pt idx="7">
                  <c:v>19201500</c:v>
                </c:pt>
                <c:pt idx="8">
                  <c:v>21294000</c:v>
                </c:pt>
                <c:pt idx="9">
                  <c:v>16871500</c:v>
                </c:pt>
                <c:pt idx="10">
                  <c:v>24543000</c:v>
                </c:pt>
                <c:pt idx="11">
                  <c:v>18083124.615951825</c:v>
                </c:pt>
                <c:pt idx="12">
                  <c:v>245438624.61595184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54-4FE3-8778-67D387EC1375}"/>
            </c:ext>
          </c:extLst>
        </c:ser>
        <c:ser>
          <c:idx val="15"/>
          <c:order val="15"/>
          <c:tx>
            <c:strRef>
              <c:f>'2019'!$A$40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'2019'!$B$24:$N$24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TOTAL</c:v>
                </c:pt>
              </c:strCache>
            </c:strRef>
          </c:cat>
          <c:val>
            <c:numRef>
              <c:f>'2019'!$B$40:$N$40</c:f>
              <c:numCache>
                <c:formatCode>#,##0_ </c:formatCode>
                <c:ptCount val="13"/>
                <c:pt idx="0">
                  <c:v>3091244.2497548014</c:v>
                </c:pt>
                <c:pt idx="1">
                  <c:v>305941.7181239705</c:v>
                </c:pt>
                <c:pt idx="2">
                  <c:v>4014000</c:v>
                </c:pt>
                <c:pt idx="3">
                  <c:v>1067440</c:v>
                </c:pt>
                <c:pt idx="4">
                  <c:v>3906469.3499999996</c:v>
                </c:pt>
                <c:pt idx="5">
                  <c:v>6500760</c:v>
                </c:pt>
                <c:pt idx="6">
                  <c:v>1842810.4999999991</c:v>
                </c:pt>
                <c:pt idx="7">
                  <c:v>0</c:v>
                </c:pt>
                <c:pt idx="8">
                  <c:v>174323.75</c:v>
                </c:pt>
                <c:pt idx="9">
                  <c:v>3940000</c:v>
                </c:pt>
                <c:pt idx="10">
                  <c:v>420000</c:v>
                </c:pt>
                <c:pt idx="11">
                  <c:v>1424046</c:v>
                </c:pt>
                <c:pt idx="12">
                  <c:v>26687035.567878772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54-4FE3-8778-67D387EC1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0479152"/>
        <c:axId val="1"/>
      </c:barChart>
      <c:catAx>
        <c:axId val="203047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3047915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5325141786465361"/>
          <c:y val="0.96839376672472821"/>
          <c:w val="0.43634212970138214"/>
          <c:h val="6.8776294798456039E-4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Consumables</a:t>
            </a:r>
            <a:endParaRPr lang="ko-KR" altLang="en-US"/>
          </a:p>
        </c:rich>
      </c:tx>
      <c:layout>
        <c:manualLayout>
          <c:xMode val="edge"/>
          <c:yMode val="edge"/>
          <c:x val="0.38823043082347619"/>
          <c:y val="3.1153945352206697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2018 Sales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'2018'!$J$259:$J$270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A8-4A4E-8C45-E3A8886B768B}"/>
            </c:ext>
          </c:extLst>
        </c:ser>
        <c:ser>
          <c:idx val="1"/>
          <c:order val="1"/>
          <c:tx>
            <c:v>2018 Margin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'2018'!$K$259:$K$270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A8-4A4E-8C45-E3A8886B768B}"/>
            </c:ext>
          </c:extLst>
        </c:ser>
        <c:ser>
          <c:idx val="2"/>
          <c:order val="2"/>
          <c:tx>
            <c:v>2017 Sales</c:v>
          </c:tx>
          <c:val>
            <c:numRef>
              <c:f>'2018'!$J$247:$J$258</c:f>
              <c:numCache>
                <c:formatCode>_-"₩"* #,##0_-;\-"₩"* #,##0_-;_-"₩"* "-"_-;_-@_-</c:formatCode>
                <c:ptCount val="12"/>
                <c:pt idx="0">
                  <c:v>64962150</c:v>
                </c:pt>
                <c:pt idx="1">
                  <c:v>69975400</c:v>
                </c:pt>
                <c:pt idx="2">
                  <c:v>59952200</c:v>
                </c:pt>
                <c:pt idx="3">
                  <c:v>79137300</c:v>
                </c:pt>
                <c:pt idx="4">
                  <c:v>51543800</c:v>
                </c:pt>
                <c:pt idx="5" formatCode="General">
                  <c:v>59820530</c:v>
                </c:pt>
                <c:pt idx="6" formatCode="_-* #,##0_-;\-* #,##0_-;_-* &quot;-&quot;_-;_-@_-">
                  <c:v>34566400</c:v>
                </c:pt>
                <c:pt idx="7" formatCode="_-* #,##0_-;\-* #,##0_-;_-* &quot;-&quot;_-;_-@_-">
                  <c:v>24847900</c:v>
                </c:pt>
                <c:pt idx="8" formatCode="General">
                  <c:v>94859710</c:v>
                </c:pt>
                <c:pt idx="9" formatCode="_-* #,##0_-;\-* #,##0_-;_-* &quot;-&quot;_-;_-@_-">
                  <c:v>37355780</c:v>
                </c:pt>
                <c:pt idx="10" formatCode="General">
                  <c:v>42459120</c:v>
                </c:pt>
                <c:pt idx="11" formatCode="General">
                  <c:v>52457350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A8-4A4E-8C45-E3A8886B768B}"/>
            </c:ext>
          </c:extLst>
        </c:ser>
        <c:ser>
          <c:idx val="3"/>
          <c:order val="3"/>
          <c:tx>
            <c:v>2017 Margin</c:v>
          </c:tx>
          <c:val>
            <c:numRef>
              <c:f>'2018'!$K$247:$K$258</c:f>
              <c:numCache>
                <c:formatCode>_-"₩"* #,##0_-;\-"₩"* #,##0_-;_-"₩"* "-"_-;_-@_-</c:formatCode>
                <c:ptCount val="12"/>
                <c:pt idx="0">
                  <c:v>14704560</c:v>
                </c:pt>
                <c:pt idx="1">
                  <c:v>20204886</c:v>
                </c:pt>
                <c:pt idx="2">
                  <c:v>13125140</c:v>
                </c:pt>
                <c:pt idx="3">
                  <c:v>16977984</c:v>
                </c:pt>
                <c:pt idx="4">
                  <c:v>13433014</c:v>
                </c:pt>
                <c:pt idx="5" formatCode="General">
                  <c:v>12212120</c:v>
                </c:pt>
                <c:pt idx="6" formatCode="_-* #,##0_-;\-* #,##0_-;_-* &quot;-&quot;_-;_-@_-">
                  <c:v>7042240</c:v>
                </c:pt>
                <c:pt idx="7" formatCode="_-* #,##0_-;\-* #,##0_-;_-* &quot;-&quot;_-;_-@_-">
                  <c:v>5516460</c:v>
                </c:pt>
                <c:pt idx="8" formatCode="General">
                  <c:v>12415940</c:v>
                </c:pt>
                <c:pt idx="9" formatCode="General">
                  <c:v>7485900</c:v>
                </c:pt>
                <c:pt idx="10" formatCode="General">
                  <c:v>9121620</c:v>
                </c:pt>
                <c:pt idx="11" formatCode="_-* #,##0_-;\-* #,##0_-;_-* &quot;-&quot;_-;_-@_-">
                  <c:v>12597180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A8-4A4E-8C45-E3A8886B7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981648"/>
        <c:axId val="1"/>
      </c:lineChart>
      <c:catAx>
        <c:axId val="201998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01998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8344546993737579"/>
          <c:y val="0.95638594308659397"/>
          <c:w val="0.42693968378176322"/>
          <c:h val="1.8977035385028262E-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Total</a:t>
            </a:r>
          </a:p>
        </c:rich>
      </c:tx>
      <c:layout>
        <c:manualLayout>
          <c:xMode val="edge"/>
          <c:yMode val="edge"/>
          <c:x val="0.41841059974455058"/>
          <c:y val="2.90485294276487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Sales</c:v>
          </c:tx>
          <c:cat>
            <c:strRef>
              <c:f>[3]결산그래프!$R$17:$R$28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'2018'!$E$247:$E$258</c:f>
              <c:numCache>
                <c:formatCode>General</c:formatCode>
                <c:ptCount val="12"/>
                <c:pt idx="0">
                  <c:v>91183950</c:v>
                </c:pt>
                <c:pt idx="1">
                  <c:v>120288300.00000001</c:v>
                </c:pt>
                <c:pt idx="2">
                  <c:v>74016800</c:v>
                </c:pt>
                <c:pt idx="3">
                  <c:v>152866824</c:v>
                </c:pt>
                <c:pt idx="4">
                  <c:v>162701220</c:v>
                </c:pt>
                <c:pt idx="5">
                  <c:v>121503646.00000001</c:v>
                </c:pt>
                <c:pt idx="6">
                  <c:v>164497300</c:v>
                </c:pt>
                <c:pt idx="7">
                  <c:v>96671300.000000015</c:v>
                </c:pt>
                <c:pt idx="8">
                  <c:v>117079710.00000001</c:v>
                </c:pt>
                <c:pt idx="9">
                  <c:v>50236780.000000007</c:v>
                </c:pt>
                <c:pt idx="10">
                  <c:v>378070114.40000004</c:v>
                </c:pt>
                <c:pt idx="11">
                  <c:v>110110550.00000001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37-431F-9456-8B4C0373DE2B}"/>
            </c:ext>
          </c:extLst>
        </c:ser>
        <c:ser>
          <c:idx val="1"/>
          <c:order val="1"/>
          <c:tx>
            <c:v>2017 Margin</c:v>
          </c:tx>
          <c:cat>
            <c:strRef>
              <c:f>[3]결산그래프!$R$17:$R$28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'2018'!$F$247:$F$258</c:f>
              <c:numCache>
                <c:formatCode>General</c:formatCode>
                <c:ptCount val="12"/>
                <c:pt idx="0">
                  <c:v>25920248.200000003</c:v>
                </c:pt>
                <c:pt idx="1">
                  <c:v>49830217.485400006</c:v>
                </c:pt>
                <c:pt idx="2">
                  <c:v>20414845</c:v>
                </c:pt>
                <c:pt idx="3">
                  <c:v>35432913.083610788</c:v>
                </c:pt>
                <c:pt idx="4">
                  <c:v>31145686.13212616</c:v>
                </c:pt>
                <c:pt idx="5">
                  <c:v>29065956.168284561</c:v>
                </c:pt>
                <c:pt idx="6">
                  <c:v>49151130.46116361</c:v>
                </c:pt>
                <c:pt idx="7">
                  <c:v>53233490.095591389</c:v>
                </c:pt>
                <c:pt idx="8">
                  <c:v>24329844.704880003</c:v>
                </c:pt>
                <c:pt idx="9">
                  <c:v>16945164.93742663</c:v>
                </c:pt>
                <c:pt idx="10">
                  <c:v>64080321.149834856</c:v>
                </c:pt>
                <c:pt idx="11">
                  <c:v>21719508.668870661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37-431F-9456-8B4C0373DE2B}"/>
            </c:ext>
          </c:extLst>
        </c:ser>
        <c:ser>
          <c:idx val="2"/>
          <c:order val="2"/>
          <c:tx>
            <c:v>2018 Sales</c:v>
          </c:tx>
          <c:cat>
            <c:strRef>
              <c:f>[3]결산그래프!$R$17:$R$28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'2018'!$B$17:$M$17</c:f>
              <c:numCache>
                <c:formatCode>#,##0_ </c:formatCode>
                <c:ptCount val="12"/>
                <c:pt idx="0">
                  <c:v>127011500</c:v>
                </c:pt>
                <c:pt idx="1">
                  <c:v>79362500</c:v>
                </c:pt>
                <c:pt idx="2">
                  <c:v>157568046</c:v>
                </c:pt>
                <c:pt idx="3">
                  <c:v>87200100</c:v>
                </c:pt>
                <c:pt idx="4">
                  <c:v>89203160</c:v>
                </c:pt>
                <c:pt idx="5">
                  <c:v>166247455</c:v>
                </c:pt>
                <c:pt idx="6">
                  <c:v>162435370</c:v>
                </c:pt>
                <c:pt idx="7">
                  <c:v>127646000</c:v>
                </c:pt>
                <c:pt idx="8">
                  <c:v>192562250</c:v>
                </c:pt>
                <c:pt idx="9">
                  <c:v>260411344</c:v>
                </c:pt>
                <c:pt idx="10">
                  <c:v>145886389</c:v>
                </c:pt>
                <c:pt idx="11">
                  <c:v>279392875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37-431F-9456-8B4C0373DE2B}"/>
            </c:ext>
          </c:extLst>
        </c:ser>
        <c:ser>
          <c:idx val="3"/>
          <c:order val="3"/>
          <c:tx>
            <c:v>2018 Margin</c:v>
          </c:tx>
          <c:cat>
            <c:strRef>
              <c:f>[3]결산그래프!$R$17:$R$28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'2018'!$B$35:$M$35</c:f>
              <c:numCache>
                <c:formatCode>#,##0_ </c:formatCode>
                <c:ptCount val="12"/>
                <c:pt idx="0">
                  <c:v>40650151.586062469</c:v>
                </c:pt>
                <c:pt idx="1">
                  <c:v>27487229.856549013</c:v>
                </c:pt>
                <c:pt idx="2">
                  <c:v>40810174.39149636</c:v>
                </c:pt>
                <c:pt idx="3">
                  <c:v>22697623.347908989</c:v>
                </c:pt>
                <c:pt idx="4">
                  <c:v>22705388.365737155</c:v>
                </c:pt>
                <c:pt idx="5">
                  <c:v>56465241.149999999</c:v>
                </c:pt>
                <c:pt idx="6">
                  <c:v>21264310.68175526</c:v>
                </c:pt>
                <c:pt idx="7">
                  <c:v>29910574.07</c:v>
                </c:pt>
                <c:pt idx="8">
                  <c:v>67737517.578225896</c:v>
                </c:pt>
                <c:pt idx="9">
                  <c:v>72176463.136094302</c:v>
                </c:pt>
                <c:pt idx="10">
                  <c:v>46681731.50942751</c:v>
                </c:pt>
                <c:pt idx="11">
                  <c:v>45358405.045725986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37-431F-9456-8B4C0373D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975824"/>
        <c:axId val="1"/>
      </c:lineChart>
      <c:catAx>
        <c:axId val="201997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01997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7047115434100144"/>
          <c:y val="0.96554956093451272"/>
          <c:w val="0.42883910901511646"/>
          <c:h val="2.0284501474352457E-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Technotrans</a:t>
            </a:r>
            <a:endParaRPr lang="ko-KR" alt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793879051598412"/>
          <c:y val="0.10720419381958543"/>
          <c:w val="0.81236058316611648"/>
          <c:h val="0.63632555401243884"/>
        </c:manualLayout>
      </c:layout>
      <c:lineChart>
        <c:grouping val="standard"/>
        <c:varyColors val="0"/>
        <c:ser>
          <c:idx val="0"/>
          <c:order val="0"/>
          <c:tx>
            <c:v>2018 Sales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'2018'!$N$259:$N$270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CF-4580-8468-22881CBFE0EF}"/>
            </c:ext>
          </c:extLst>
        </c:ser>
        <c:ser>
          <c:idx val="1"/>
          <c:order val="1"/>
          <c:tx>
            <c:v>2018 margin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'2018'!$O$259:$O$270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CF-4580-8468-22881CBFE0EF}"/>
            </c:ext>
          </c:extLst>
        </c:ser>
        <c:ser>
          <c:idx val="2"/>
          <c:order val="2"/>
          <c:tx>
            <c:v>2017 Sales</c:v>
          </c:tx>
          <c:val>
            <c:numRef>
              <c:f>'2018'!$N$247:$N$258</c:f>
              <c:numCache>
                <c:formatCode>_-"₩"* #,##0_-;\-"₩"* #,##0_-;_-"₩"* "-"_-;_-@_-</c:formatCode>
                <c:ptCount val="12"/>
                <c:pt idx="0">
                  <c:v>12298000</c:v>
                </c:pt>
                <c:pt idx="1">
                  <c:v>2510200</c:v>
                </c:pt>
                <c:pt idx="2">
                  <c:v>1997600</c:v>
                </c:pt>
                <c:pt idx="3">
                  <c:v>57614524</c:v>
                </c:pt>
                <c:pt idx="4">
                  <c:v>101026420</c:v>
                </c:pt>
                <c:pt idx="5" formatCode="General">
                  <c:v>49144216</c:v>
                </c:pt>
                <c:pt idx="6" formatCode="General">
                  <c:v>638000.00000000012</c:v>
                </c:pt>
                <c:pt idx="7" formatCode="General">
                  <c:v>6526300.0000000009</c:v>
                </c:pt>
                <c:pt idx="8" formatCode="General">
                  <c:v>16850900.000000004</c:v>
                </c:pt>
                <c:pt idx="9" formatCode="#,##0_ ">
                  <c:v>770000.00000000012</c:v>
                </c:pt>
                <c:pt idx="10" formatCode="General">
                  <c:v>2618000</c:v>
                </c:pt>
                <c:pt idx="11" formatCode="General">
                  <c:v>2442000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CF-4580-8468-22881CBFE0EF}"/>
            </c:ext>
          </c:extLst>
        </c:ser>
        <c:ser>
          <c:idx val="3"/>
          <c:order val="3"/>
          <c:tx>
            <c:v>2017 Margin</c:v>
          </c:tx>
          <c:val>
            <c:numRef>
              <c:f>'2018'!$O$247:$O$258</c:f>
              <c:numCache>
                <c:formatCode>_-"₩"* #,##0_-;\-"₩"* #,##0_-;_-"₩"* "-"_-;_-@_-</c:formatCode>
                <c:ptCount val="12"/>
                <c:pt idx="0">
                  <c:v>3528562</c:v>
                </c:pt>
                <c:pt idx="1">
                  <c:v>1064899</c:v>
                </c:pt>
                <c:pt idx="2">
                  <c:v>742670</c:v>
                </c:pt>
                <c:pt idx="3">
                  <c:v>51961110</c:v>
                </c:pt>
                <c:pt idx="4">
                  <c:v>11831906.120114688</c:v>
                </c:pt>
                <c:pt idx="5" formatCode="General">
                  <c:v>7551889.7129664151</c:v>
                </c:pt>
                <c:pt idx="6" formatCode="General">
                  <c:v>310468</c:v>
                </c:pt>
                <c:pt idx="7" formatCode="General">
                  <c:v>5326373.46</c:v>
                </c:pt>
                <c:pt idx="8" formatCode="General">
                  <c:v>5828492</c:v>
                </c:pt>
                <c:pt idx="9" formatCode="#,##0_ ">
                  <c:v>323276.93000000005</c:v>
                </c:pt>
                <c:pt idx="10" formatCode="General">
                  <c:v>566904.98325000005</c:v>
                </c:pt>
                <c:pt idx="11" formatCode="General">
                  <c:v>894194.77750000008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CF-4580-8468-22881CBFE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465424"/>
        <c:axId val="1"/>
      </c:lineChart>
      <c:catAx>
        <c:axId val="203046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03046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3092312243204555"/>
          <c:y val="0.86907472409322328"/>
          <c:w val="0.47902242878665952"/>
          <c:h val="2.9764728204154656E-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Goss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2018 Sales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'2018'!$R$259:$R$270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1-4465-BFD9-78CE5DC0E85F}"/>
            </c:ext>
          </c:extLst>
        </c:ser>
        <c:ser>
          <c:idx val="1"/>
          <c:order val="1"/>
          <c:tx>
            <c:v>2018 Margin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'2018'!$S$259:$S$270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51-4465-BFD9-78CE5DC0E85F}"/>
            </c:ext>
          </c:extLst>
        </c:ser>
        <c:ser>
          <c:idx val="2"/>
          <c:order val="2"/>
          <c:tx>
            <c:v>2017 Sales</c:v>
          </c:tx>
          <c:val>
            <c:numRef>
              <c:f>'2018'!$R$247:$R$258</c:f>
              <c:numCache>
                <c:formatCode>_-"₩"* #,##0_-;\-"₩"* #,##0_-;_-"₩"* "-"_-;_-@_-</c:formatCode>
                <c:ptCount val="12"/>
                <c:pt idx="0">
                  <c:v>9801000</c:v>
                </c:pt>
                <c:pt idx="1">
                  <c:v>39827700</c:v>
                </c:pt>
                <c:pt idx="2">
                  <c:v>12067000</c:v>
                </c:pt>
                <c:pt idx="3">
                  <c:v>14300000</c:v>
                </c:pt>
                <c:pt idx="4">
                  <c:v>10131000.000000002</c:v>
                </c:pt>
                <c:pt idx="5" formatCode="General">
                  <c:v>7628500</c:v>
                </c:pt>
                <c:pt idx="6" formatCode="_-* #,##0_-;\-* #,##0_-;_-* &quot;-&quot;_-;_-@_-">
                  <c:v>56672000</c:v>
                </c:pt>
                <c:pt idx="7" formatCode="_-* #,##0_-;\-* #,##0_-;_-* &quot;-&quot;_-;_-@_-">
                  <c:v>20306000</c:v>
                </c:pt>
                <c:pt idx="8" formatCode="General">
                  <c:v>2784100</c:v>
                </c:pt>
                <c:pt idx="9" formatCode="_-* #,##0_-;\-* #,##0_-;_-* &quot;-&quot;_-;_-@_-">
                  <c:v>11781000</c:v>
                </c:pt>
                <c:pt idx="10" formatCode="General">
                  <c:v>57145994.400000006</c:v>
                </c:pt>
                <c:pt idx="11" formatCode="General">
                  <c:v>9394000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51-4465-BFD9-78CE5DC0E85F}"/>
            </c:ext>
          </c:extLst>
        </c:ser>
        <c:ser>
          <c:idx val="3"/>
          <c:order val="3"/>
          <c:tx>
            <c:v>2017 Margin</c:v>
          </c:tx>
          <c:val>
            <c:numRef>
              <c:f>'2018'!$S$247:$S$258</c:f>
              <c:numCache>
                <c:formatCode>_-"₩"* #,##0_-;\-"₩"* #,##0_-;_-"₩"* "-"_-;_-@_-</c:formatCode>
                <c:ptCount val="12"/>
                <c:pt idx="0">
                  <c:v>4250740</c:v>
                </c:pt>
                <c:pt idx="1">
                  <c:v>17656413</c:v>
                </c:pt>
                <c:pt idx="2">
                  <c:v>4691140</c:v>
                </c:pt>
                <c:pt idx="3">
                  <c:v>7084000</c:v>
                </c:pt>
                <c:pt idx="4">
                  <c:v>4024340</c:v>
                </c:pt>
                <c:pt idx="5" formatCode="General">
                  <c:v>6635000</c:v>
                </c:pt>
                <c:pt idx="6" formatCode="_-* #,##0_-;\-* #,##0_-;_-* &quot;-&quot;_-;_-@_-">
                  <c:v>51154000</c:v>
                </c:pt>
                <c:pt idx="7" formatCode="_-* #,##0_-;\-* #,##0_-;_-* &quot;-&quot;_-;_-@_-">
                  <c:v>15160000</c:v>
                </c:pt>
                <c:pt idx="8" formatCode="General">
                  <c:v>1405438.6407999999</c:v>
                </c:pt>
                <c:pt idx="9" formatCode="_-* #,##0_-;\-* #,##0_-;_-* &quot;-&quot;_-;_-@_-">
                  <c:v>6274823.4676605724</c:v>
                </c:pt>
                <c:pt idx="10" formatCode="General">
                  <c:v>6731545.4089407772</c:v>
                </c:pt>
                <c:pt idx="11" formatCode="General">
                  <c:v>3559736.1032915059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51-4465-BFD9-78CE5DC0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477488"/>
        <c:axId val="1"/>
      </c:lineChart>
      <c:catAx>
        <c:axId val="203047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03047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3860065779122994"/>
          <c:y val="0.95992645228289541"/>
          <c:w val="0.4724484368093379"/>
          <c:h val="2.6737511469603348E-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Service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2016 Sales</c:v>
          </c:tx>
          <c:cat>
            <c:strRef>
              <c:f>[3]결산그래프!$R$17:$R$31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'2018'!#REF!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7B-4CA2-BE32-1F2E0F99C487}"/>
            </c:ext>
          </c:extLst>
        </c:ser>
        <c:ser>
          <c:idx val="2"/>
          <c:order val="1"/>
          <c:tx>
            <c:v>2017 Sales</c:v>
          </c:tx>
          <c:val>
            <c:numRef>
              <c:f>'2018'!$V$247:$V$258</c:f>
              <c:numCache>
                <c:formatCode>_-"₩"* #,##0_-;\-"₩"* #,##0_-;_-"₩"* "-"_-;_-@_-</c:formatCode>
                <c:ptCount val="12"/>
                <c:pt idx="0">
                  <c:v>165000</c:v>
                </c:pt>
                <c:pt idx="1">
                  <c:v>7975000</c:v>
                </c:pt>
                <c:pt idx="2">
                  <c:v>0</c:v>
                </c:pt>
                <c:pt idx="3">
                  <c:v>1815000</c:v>
                </c:pt>
                <c:pt idx="4">
                  <c:v>0</c:v>
                </c:pt>
                <c:pt idx="5" formatCode="General">
                  <c:v>1980000</c:v>
                </c:pt>
                <c:pt idx="6">
                  <c:v>0</c:v>
                </c:pt>
                <c:pt idx="7" formatCode="0_);[Red]\(0\)">
                  <c:v>29178600</c:v>
                </c:pt>
                <c:pt idx="8" formatCode="General">
                  <c:v>2585000</c:v>
                </c:pt>
                <c:pt idx="9" formatCode="General">
                  <c:v>1375000</c:v>
                </c:pt>
                <c:pt idx="10" formatCode="General">
                  <c:v>11847000</c:v>
                </c:pt>
                <c:pt idx="11" formatCode="General">
                  <c:v>275000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7B-4CA2-BE32-1F2E0F99C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475824"/>
        <c:axId val="1"/>
      </c:lineChart>
      <c:catAx>
        <c:axId val="203047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03047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4309621125603578"/>
          <c:y val="0.92531890146384765"/>
          <c:w val="0.47379923764300458"/>
          <c:h val="2.8737479243665653E-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54</xdr:row>
      <xdr:rowOff>190500</xdr:rowOff>
    </xdr:from>
    <xdr:to>
      <xdr:col>8</xdr:col>
      <xdr:colOff>266700</xdr:colOff>
      <xdr:row>71</xdr:row>
      <xdr:rowOff>190500</xdr:rowOff>
    </xdr:to>
    <xdr:graphicFrame macro="">
      <xdr:nvGraphicFramePr>
        <xdr:cNvPr id="66345880" name="차트 6">
          <a:extLst>
            <a:ext uri="{FF2B5EF4-FFF2-40B4-BE49-F238E27FC236}">
              <a16:creationId xmlns:a16="http://schemas.microsoft.com/office/drawing/2014/main" id="{00000000-0008-0000-0500-0000985BF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952500</xdr:colOff>
      <xdr:row>68</xdr:row>
      <xdr:rowOff>30480</xdr:rowOff>
    </xdr:from>
    <xdr:to>
      <xdr:col>16</xdr:col>
      <xdr:colOff>449580</xdr:colOff>
      <xdr:row>79</xdr:row>
      <xdr:rowOff>160020</xdr:rowOff>
    </xdr:to>
    <xdr:graphicFrame macro="">
      <xdr:nvGraphicFramePr>
        <xdr:cNvPr id="66345881" name="차트 3">
          <a:extLst>
            <a:ext uri="{FF2B5EF4-FFF2-40B4-BE49-F238E27FC236}">
              <a16:creationId xmlns:a16="http://schemas.microsoft.com/office/drawing/2014/main" id="{00000000-0008-0000-0500-0000995BF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</xdr:colOff>
      <xdr:row>54</xdr:row>
      <xdr:rowOff>0</xdr:rowOff>
    </xdr:from>
    <xdr:to>
      <xdr:col>16</xdr:col>
      <xdr:colOff>495300</xdr:colOff>
      <xdr:row>66</xdr:row>
      <xdr:rowOff>198120</xdr:rowOff>
    </xdr:to>
    <xdr:graphicFrame macro="">
      <xdr:nvGraphicFramePr>
        <xdr:cNvPr id="66345882" name="차트 4">
          <a:extLst>
            <a:ext uri="{FF2B5EF4-FFF2-40B4-BE49-F238E27FC236}">
              <a16:creationId xmlns:a16="http://schemas.microsoft.com/office/drawing/2014/main" id="{00000000-0008-0000-0500-00009A5BF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80</xdr:row>
      <xdr:rowOff>83820</xdr:rowOff>
    </xdr:from>
    <xdr:to>
      <xdr:col>16</xdr:col>
      <xdr:colOff>464820</xdr:colOff>
      <xdr:row>92</xdr:row>
      <xdr:rowOff>83820</xdr:rowOff>
    </xdr:to>
    <xdr:graphicFrame macro="">
      <xdr:nvGraphicFramePr>
        <xdr:cNvPr id="66345883" name="차트 5">
          <a:extLst>
            <a:ext uri="{FF2B5EF4-FFF2-40B4-BE49-F238E27FC236}">
              <a16:creationId xmlns:a16="http://schemas.microsoft.com/office/drawing/2014/main" id="{00000000-0008-0000-0500-00009B5BF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198120</xdr:colOff>
      <xdr:row>10</xdr:row>
      <xdr:rowOff>137160</xdr:rowOff>
    </xdr:from>
    <xdr:to>
      <xdr:col>7</xdr:col>
      <xdr:colOff>381000</xdr:colOff>
      <xdr:row>18</xdr:row>
      <xdr:rowOff>228600</xdr:rowOff>
    </xdr:to>
    <xdr:grpSp>
      <xdr:nvGrpSpPr>
        <xdr:cNvPr id="66345884" name="그룹 19">
          <a:extLst>
            <a:ext uri="{FF2B5EF4-FFF2-40B4-BE49-F238E27FC236}">
              <a16:creationId xmlns:a16="http://schemas.microsoft.com/office/drawing/2014/main" id="{00000000-0008-0000-0500-00009C5BF403}"/>
            </a:ext>
          </a:extLst>
        </xdr:cNvPr>
        <xdr:cNvGrpSpPr>
          <a:grpSpLocks/>
        </xdr:cNvGrpSpPr>
      </xdr:nvGrpSpPr>
      <xdr:grpSpPr bwMode="auto">
        <a:xfrm>
          <a:off x="5319208" y="2344719"/>
          <a:ext cx="2345616" cy="1738705"/>
          <a:chOff x="6266429" y="6022315"/>
          <a:chExt cx="2102959" cy="1509738"/>
        </a:xfrm>
      </xdr:grpSpPr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6266429" y="7196556"/>
            <a:ext cx="2102959" cy="335497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>
              <a:lnSpc>
                <a:spcPts val="1600"/>
              </a:lnSpc>
            </a:pPr>
            <a:r>
              <a:rPr lang="ko-KR" altLang="en-US" sz="1000">
                <a:solidFill>
                  <a:schemeClr val="tx1"/>
                </a:solidFill>
              </a:rPr>
              <a:t> 퍼시픽 가습기 중도금 </a:t>
            </a:r>
            <a:r>
              <a:rPr lang="en-US" altLang="ko-KR" sz="1000">
                <a:solidFill>
                  <a:schemeClr val="tx1"/>
                </a:solidFill>
              </a:rPr>
              <a:t>50% </a:t>
            </a:r>
          </a:p>
          <a:p>
            <a:pPr algn="ctr">
              <a:lnSpc>
                <a:spcPts val="900"/>
              </a:lnSpc>
            </a:pPr>
            <a:r>
              <a:rPr lang="en-US" altLang="ko-KR" sz="1000">
                <a:solidFill>
                  <a:schemeClr val="tx1"/>
                </a:solidFill>
              </a:rPr>
              <a:t>KRW 88,792,200</a:t>
            </a:r>
          </a:p>
        </xdr:txBody>
      </xdr:sp>
      <xdr:cxnSp macro="">
        <xdr:nvCxnSpPr>
          <xdr:cNvPr id="9" name="직선 화살표 연결선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CxnSpPr/>
        </xdr:nvCxnSpPr>
        <xdr:spPr>
          <a:xfrm rot="16200000" flipV="1">
            <a:off x="6580532" y="6381975"/>
            <a:ext cx="1154885" cy="435564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579120</xdr:colOff>
      <xdr:row>10</xdr:row>
      <xdr:rowOff>129540</xdr:rowOff>
    </xdr:from>
    <xdr:to>
      <xdr:col>4</xdr:col>
      <xdr:colOff>579120</xdr:colOff>
      <xdr:row>18</xdr:row>
      <xdr:rowOff>220980</xdr:rowOff>
    </xdr:to>
    <xdr:grpSp>
      <xdr:nvGrpSpPr>
        <xdr:cNvPr id="66345885" name="그룹 15">
          <a:extLst>
            <a:ext uri="{FF2B5EF4-FFF2-40B4-BE49-F238E27FC236}">
              <a16:creationId xmlns:a16="http://schemas.microsoft.com/office/drawing/2014/main" id="{00000000-0008-0000-0500-00009D5BF403}"/>
            </a:ext>
          </a:extLst>
        </xdr:cNvPr>
        <xdr:cNvGrpSpPr>
          <a:grpSpLocks/>
        </xdr:cNvGrpSpPr>
      </xdr:nvGrpSpPr>
      <xdr:grpSpPr bwMode="auto">
        <a:xfrm>
          <a:off x="2472914" y="2337099"/>
          <a:ext cx="1927412" cy="1738705"/>
          <a:chOff x="2185666" y="4934423"/>
          <a:chExt cx="1921826" cy="1509739"/>
        </a:xfrm>
      </xdr:grpSpPr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/>
        </xdr:nvSpPr>
        <xdr:spPr>
          <a:xfrm>
            <a:off x="2185666" y="6108664"/>
            <a:ext cx="1921826" cy="335498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>
              <a:lnSpc>
                <a:spcPts val="1600"/>
              </a:lnSpc>
            </a:pPr>
            <a:r>
              <a:rPr lang="ko-KR" altLang="en-US" sz="1000">
                <a:solidFill>
                  <a:schemeClr val="tx1"/>
                </a:solidFill>
              </a:rPr>
              <a:t> 퍼시픽 가습기 계약금 </a:t>
            </a:r>
            <a:r>
              <a:rPr lang="en-US" altLang="ko-KR" sz="1000">
                <a:solidFill>
                  <a:schemeClr val="tx1"/>
                </a:solidFill>
              </a:rPr>
              <a:t>30% </a:t>
            </a:r>
          </a:p>
          <a:p>
            <a:pPr algn="ctr">
              <a:lnSpc>
                <a:spcPts val="900"/>
              </a:lnSpc>
            </a:pPr>
            <a:r>
              <a:rPr lang="en-US" altLang="ko-KR" sz="1000">
                <a:solidFill>
                  <a:schemeClr val="tx1"/>
                </a:solidFill>
              </a:rPr>
              <a:t>EUR42,000 / </a:t>
            </a:r>
            <a:r>
              <a:rPr lang="en-US" altLang="ko-KR" sz="1000" baseline="0">
                <a:solidFill>
                  <a:schemeClr val="tx1"/>
                </a:solidFill>
              </a:rPr>
              <a:t> </a:t>
            </a:r>
            <a:r>
              <a:rPr lang="en-US" altLang="ko-KR" sz="1000">
                <a:solidFill>
                  <a:schemeClr val="tx1"/>
                </a:solidFill>
              </a:rPr>
              <a:t>KRW 51,576,840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 rot="5400000" flipH="1" flipV="1">
            <a:off x="2959839" y="5281315"/>
            <a:ext cx="1174241" cy="480457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800100</xdr:colOff>
      <xdr:row>10</xdr:row>
      <xdr:rowOff>99060</xdr:rowOff>
    </xdr:from>
    <xdr:to>
      <xdr:col>9</xdr:col>
      <xdr:colOff>274320</xdr:colOff>
      <xdr:row>18</xdr:row>
      <xdr:rowOff>228600</xdr:rowOff>
    </xdr:to>
    <xdr:grpSp>
      <xdr:nvGrpSpPr>
        <xdr:cNvPr id="66345886" name="그룹 19">
          <a:extLst>
            <a:ext uri="{FF2B5EF4-FFF2-40B4-BE49-F238E27FC236}">
              <a16:creationId xmlns:a16="http://schemas.microsoft.com/office/drawing/2014/main" id="{00000000-0008-0000-0500-00009E5BF403}"/>
            </a:ext>
          </a:extLst>
        </xdr:cNvPr>
        <xdr:cNvGrpSpPr>
          <a:grpSpLocks/>
        </xdr:cNvGrpSpPr>
      </xdr:nvGrpSpPr>
      <xdr:grpSpPr bwMode="auto">
        <a:xfrm>
          <a:off x="7120218" y="2306619"/>
          <a:ext cx="2365337" cy="1776805"/>
          <a:chOff x="5994378" y="5980762"/>
          <a:chExt cx="2375010" cy="1551291"/>
        </a:xfrm>
      </xdr:grpSpPr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/>
        </xdr:nvSpPr>
        <xdr:spPr>
          <a:xfrm>
            <a:off x="6263392" y="7188043"/>
            <a:ext cx="2105996" cy="344010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>
              <a:lnSpc>
                <a:spcPts val="1600"/>
              </a:lnSpc>
            </a:pPr>
            <a:r>
              <a:rPr lang="ko-KR" altLang="en-US" sz="1000">
                <a:solidFill>
                  <a:schemeClr val="tx1"/>
                </a:solidFill>
              </a:rPr>
              <a:t> 퍼시픽 가습기 잔금 </a:t>
            </a:r>
            <a:r>
              <a:rPr lang="en-US" altLang="ko-KR" sz="1000">
                <a:solidFill>
                  <a:schemeClr val="tx1"/>
                </a:solidFill>
              </a:rPr>
              <a:t>20% </a:t>
            </a:r>
          </a:p>
          <a:p>
            <a:pPr algn="ctr">
              <a:lnSpc>
                <a:spcPts val="900"/>
              </a:lnSpc>
            </a:pPr>
            <a:r>
              <a:rPr lang="en-US" altLang="ko-KR" sz="1000">
                <a:solidFill>
                  <a:schemeClr val="tx1"/>
                </a:solidFill>
              </a:rPr>
              <a:t>KRW 36,876,560</a:t>
            </a:r>
          </a:p>
        </xdr:txBody>
      </xdr:sp>
      <xdr:cxnSp macro="">
        <xdr:nvCxnSpPr>
          <xdr:cNvPr id="24" name="직선 화살표 연결선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CxnSpPr/>
        </xdr:nvCxnSpPr>
        <xdr:spPr>
          <a:xfrm rot="10800000">
            <a:off x="5994378" y="5980762"/>
            <a:ext cx="1368129" cy="1194299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411480</xdr:colOff>
      <xdr:row>0</xdr:row>
      <xdr:rowOff>121920</xdr:rowOff>
    </xdr:from>
    <xdr:to>
      <xdr:col>7</xdr:col>
      <xdr:colOff>396240</xdr:colOff>
      <xdr:row>8</xdr:row>
      <xdr:rowOff>83820</xdr:rowOff>
    </xdr:to>
    <xdr:grpSp>
      <xdr:nvGrpSpPr>
        <xdr:cNvPr id="66345887" name="그룹 15">
          <a:extLst>
            <a:ext uri="{FF2B5EF4-FFF2-40B4-BE49-F238E27FC236}">
              <a16:creationId xmlns:a16="http://schemas.microsoft.com/office/drawing/2014/main" id="{00000000-0008-0000-0500-00009F5BF403}"/>
            </a:ext>
          </a:extLst>
        </xdr:cNvPr>
        <xdr:cNvGrpSpPr>
          <a:grpSpLocks/>
        </xdr:cNvGrpSpPr>
      </xdr:nvGrpSpPr>
      <xdr:grpSpPr bwMode="auto">
        <a:xfrm>
          <a:off x="5532568" y="121920"/>
          <a:ext cx="2147496" cy="1743635"/>
          <a:chOff x="2598769" y="4940191"/>
          <a:chExt cx="1921826" cy="1750644"/>
        </a:xfrm>
      </xdr:grpSpPr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/>
        </xdr:nvSpPr>
        <xdr:spPr>
          <a:xfrm>
            <a:off x="2598769" y="4940191"/>
            <a:ext cx="1921826" cy="333809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>
              <a:lnSpc>
                <a:spcPts val="1500"/>
              </a:lnSpc>
            </a:pPr>
            <a:r>
              <a:rPr lang="ko-KR" altLang="en-US" sz="1000">
                <a:solidFill>
                  <a:schemeClr val="tx1"/>
                </a:solidFill>
              </a:rPr>
              <a:t> 프린피아 판 절곡기</a:t>
            </a:r>
            <a:endParaRPr lang="en-US" altLang="ko-KR" sz="1000">
              <a:solidFill>
                <a:schemeClr val="tx1"/>
              </a:solidFill>
            </a:endParaRPr>
          </a:p>
          <a:p>
            <a:pPr algn="ctr">
              <a:lnSpc>
                <a:spcPts val="1100"/>
              </a:lnSpc>
            </a:pPr>
            <a:r>
              <a:rPr lang="en-US" altLang="ko-KR" sz="1000">
                <a:solidFill>
                  <a:schemeClr val="tx1"/>
                </a:solidFill>
              </a:rPr>
              <a:t>KRW 43,000,000</a:t>
            </a:r>
            <a:endParaRPr lang="ko-KR" altLang="en-US" sz="1000">
              <a:solidFill>
                <a:schemeClr val="tx1"/>
              </a:solidFill>
            </a:endParaRPr>
          </a:p>
        </xdr:txBody>
      </xdr:sp>
      <xdr:cxnSp macro="">
        <xdr:nvCxnSpPr>
          <xdr:cNvPr id="19" name="직선 화살표 연결선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/>
        </xdr:nvCxnSpPr>
        <xdr:spPr>
          <a:xfrm>
            <a:off x="3597032" y="5288836"/>
            <a:ext cx="889609" cy="1401999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449580</xdr:colOff>
      <xdr:row>15</xdr:row>
      <xdr:rowOff>137160</xdr:rowOff>
    </xdr:from>
    <xdr:to>
      <xdr:col>11</xdr:col>
      <xdr:colOff>320040</xdr:colOff>
      <xdr:row>18</xdr:row>
      <xdr:rowOff>220980</xdr:rowOff>
    </xdr:to>
    <xdr:grpSp>
      <xdr:nvGrpSpPr>
        <xdr:cNvPr id="66345888" name="그룹 21">
          <a:extLst>
            <a:ext uri="{FF2B5EF4-FFF2-40B4-BE49-F238E27FC236}">
              <a16:creationId xmlns:a16="http://schemas.microsoft.com/office/drawing/2014/main" id="{00000000-0008-0000-0500-0000A05BF403}"/>
            </a:ext>
          </a:extLst>
        </xdr:cNvPr>
        <xdr:cNvGrpSpPr>
          <a:grpSpLocks/>
        </xdr:cNvGrpSpPr>
      </xdr:nvGrpSpPr>
      <xdr:grpSpPr bwMode="auto">
        <a:xfrm>
          <a:off x="9660815" y="3409278"/>
          <a:ext cx="1797872" cy="666526"/>
          <a:chOff x="2634692" y="4556091"/>
          <a:chExt cx="1606020" cy="665240"/>
        </a:xfrm>
      </xdr:grpSpPr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/>
        </xdr:nvSpPr>
        <xdr:spPr>
          <a:xfrm>
            <a:off x="2634692" y="4941628"/>
            <a:ext cx="1606020" cy="279703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>
              <a:lnSpc>
                <a:spcPts val="1600"/>
              </a:lnSpc>
            </a:pPr>
            <a:r>
              <a:rPr lang="ko-KR" altLang="en-US" sz="1000">
                <a:solidFill>
                  <a:schemeClr val="tx1"/>
                </a:solidFill>
              </a:rPr>
              <a:t>매일경제 </a:t>
            </a:r>
            <a:r>
              <a:rPr lang="en-US" altLang="ko-KR" sz="1000">
                <a:solidFill>
                  <a:schemeClr val="tx1"/>
                </a:solidFill>
              </a:rPr>
              <a:t>CTP</a:t>
            </a:r>
          </a:p>
        </xdr:txBody>
      </xdr:sp>
      <xdr:cxnSp macro="">
        <xdr:nvCxnSpPr>
          <xdr:cNvPr id="23" name="직선 화살표 연결선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>
            <a:stCxn id="22" idx="0"/>
          </xdr:cNvCxnSpPr>
        </xdr:nvCxnSpPr>
        <xdr:spPr>
          <a:xfrm flipV="1">
            <a:off x="3441119" y="4556091"/>
            <a:ext cx="594569" cy="385537"/>
          </a:xfrm>
          <a:prstGeom prst="straightConnector1">
            <a:avLst/>
          </a:prstGeom>
          <a:ln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47</xdr:row>
      <xdr:rowOff>182880</xdr:rowOff>
    </xdr:from>
    <xdr:to>
      <xdr:col>8</xdr:col>
      <xdr:colOff>243840</xdr:colOff>
      <xdr:row>66</xdr:row>
      <xdr:rowOff>213360</xdr:rowOff>
    </xdr:to>
    <xdr:graphicFrame macro="">
      <xdr:nvGraphicFramePr>
        <xdr:cNvPr id="2" name="차트 6">
          <a:extLst>
            <a:ext uri="{FF2B5EF4-FFF2-40B4-BE49-F238E27FC236}">
              <a16:creationId xmlns:a16="http://schemas.microsoft.com/office/drawing/2014/main" id="{4CC58E57-7B49-4D76-A53C-A613FF523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937260</xdr:colOff>
      <xdr:row>1</xdr:row>
      <xdr:rowOff>160020</xdr:rowOff>
    </xdr:from>
    <xdr:to>
      <xdr:col>33</xdr:col>
      <xdr:colOff>586740</xdr:colOff>
      <xdr:row>43</xdr:row>
      <xdr:rowOff>60960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9834037-C6D4-4232-AE70-02FB950A9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914400</xdr:colOff>
      <xdr:row>45</xdr:row>
      <xdr:rowOff>38100</xdr:rowOff>
    </xdr:from>
    <xdr:to>
      <xdr:col>31</xdr:col>
      <xdr:colOff>655320</xdr:colOff>
      <xdr:row>95</xdr:row>
      <xdr:rowOff>83820</xdr:rowOff>
    </xdr:to>
    <xdr:graphicFrame macro="">
      <xdr:nvGraphicFramePr>
        <xdr:cNvPr id="4" name="차트 5">
          <a:extLst>
            <a:ext uri="{FF2B5EF4-FFF2-40B4-BE49-F238E27FC236}">
              <a16:creationId xmlns:a16="http://schemas.microsoft.com/office/drawing/2014/main" id="{6DC0EF35-0EB5-4C8D-9C42-64B81F1DF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579120</xdr:colOff>
      <xdr:row>67</xdr:row>
      <xdr:rowOff>182880</xdr:rowOff>
    </xdr:from>
    <xdr:to>
      <xdr:col>16</xdr:col>
      <xdr:colOff>876300</xdr:colOff>
      <xdr:row>86</xdr:row>
      <xdr:rowOff>213360</xdr:rowOff>
    </xdr:to>
    <xdr:graphicFrame macro="">
      <xdr:nvGraphicFramePr>
        <xdr:cNvPr id="5" name="차트 1">
          <a:extLst>
            <a:ext uri="{FF2B5EF4-FFF2-40B4-BE49-F238E27FC236}">
              <a16:creationId xmlns:a16="http://schemas.microsoft.com/office/drawing/2014/main" id="{CA9FAC10-675D-4293-8EE6-0CDDD2B97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144780</xdr:colOff>
      <xdr:row>67</xdr:row>
      <xdr:rowOff>198120</xdr:rowOff>
    </xdr:from>
    <xdr:to>
      <xdr:col>8</xdr:col>
      <xdr:colOff>259080</xdr:colOff>
      <xdr:row>87</xdr:row>
      <xdr:rowOff>0</xdr:rowOff>
    </xdr:to>
    <xdr:graphicFrame macro="">
      <xdr:nvGraphicFramePr>
        <xdr:cNvPr id="6" name="차트 1">
          <a:extLst>
            <a:ext uri="{FF2B5EF4-FFF2-40B4-BE49-F238E27FC236}">
              <a16:creationId xmlns:a16="http://schemas.microsoft.com/office/drawing/2014/main" id="{4396E875-F8EE-465F-9973-6256B37BA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612321</xdr:colOff>
      <xdr:row>47</xdr:row>
      <xdr:rowOff>196487</xdr:rowOff>
    </xdr:from>
    <xdr:to>
      <xdr:col>16</xdr:col>
      <xdr:colOff>901881</xdr:colOff>
      <xdr:row>67</xdr:row>
      <xdr:rowOff>22859</xdr:rowOff>
    </xdr:to>
    <xdr:graphicFrame macro="">
      <xdr:nvGraphicFramePr>
        <xdr:cNvPr id="7" name="차트 1">
          <a:extLst>
            <a:ext uri="{FF2B5EF4-FFF2-40B4-BE49-F238E27FC236}">
              <a16:creationId xmlns:a16="http://schemas.microsoft.com/office/drawing/2014/main" id="{575FCF12-223F-4C01-9AAE-F66575651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617220</xdr:colOff>
      <xdr:row>90</xdr:row>
      <xdr:rowOff>198120</xdr:rowOff>
    </xdr:from>
    <xdr:to>
      <xdr:col>6</xdr:col>
      <xdr:colOff>807720</xdr:colOff>
      <xdr:row>109</xdr:row>
      <xdr:rowOff>182880</xdr:rowOff>
    </xdr:to>
    <xdr:graphicFrame macro="">
      <xdr:nvGraphicFramePr>
        <xdr:cNvPr id="8" name="차트 1">
          <a:extLst>
            <a:ext uri="{FF2B5EF4-FFF2-40B4-BE49-F238E27FC236}">
              <a16:creationId xmlns:a16="http://schemas.microsoft.com/office/drawing/2014/main" id="{3B805058-42BA-4A52-8D7D-8D43B5D6F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47</xdr:row>
      <xdr:rowOff>182880</xdr:rowOff>
    </xdr:from>
    <xdr:to>
      <xdr:col>8</xdr:col>
      <xdr:colOff>243840</xdr:colOff>
      <xdr:row>66</xdr:row>
      <xdr:rowOff>213360</xdr:rowOff>
    </xdr:to>
    <xdr:graphicFrame macro="">
      <xdr:nvGraphicFramePr>
        <xdr:cNvPr id="64819760" name="차트 6">
          <a:extLst>
            <a:ext uri="{FF2B5EF4-FFF2-40B4-BE49-F238E27FC236}">
              <a16:creationId xmlns:a16="http://schemas.microsoft.com/office/drawing/2014/main" id="{00000000-0008-0000-0800-00003012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937260</xdr:colOff>
      <xdr:row>1</xdr:row>
      <xdr:rowOff>160020</xdr:rowOff>
    </xdr:from>
    <xdr:to>
      <xdr:col>33</xdr:col>
      <xdr:colOff>586740</xdr:colOff>
      <xdr:row>43</xdr:row>
      <xdr:rowOff>60960</xdr:rowOff>
    </xdr:to>
    <xdr:graphicFrame macro="">
      <xdr:nvGraphicFramePr>
        <xdr:cNvPr id="64819761" name="차트 2">
          <a:extLst>
            <a:ext uri="{FF2B5EF4-FFF2-40B4-BE49-F238E27FC236}">
              <a16:creationId xmlns:a16="http://schemas.microsoft.com/office/drawing/2014/main" id="{00000000-0008-0000-0800-00003112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914400</xdr:colOff>
      <xdr:row>45</xdr:row>
      <xdr:rowOff>38100</xdr:rowOff>
    </xdr:from>
    <xdr:to>
      <xdr:col>31</xdr:col>
      <xdr:colOff>655320</xdr:colOff>
      <xdr:row>95</xdr:row>
      <xdr:rowOff>83820</xdr:rowOff>
    </xdr:to>
    <xdr:graphicFrame macro="">
      <xdr:nvGraphicFramePr>
        <xdr:cNvPr id="64819762" name="차트 5">
          <a:extLst>
            <a:ext uri="{FF2B5EF4-FFF2-40B4-BE49-F238E27FC236}">
              <a16:creationId xmlns:a16="http://schemas.microsoft.com/office/drawing/2014/main" id="{00000000-0008-0000-0800-00003212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579120</xdr:colOff>
      <xdr:row>67</xdr:row>
      <xdr:rowOff>182880</xdr:rowOff>
    </xdr:from>
    <xdr:to>
      <xdr:col>16</xdr:col>
      <xdr:colOff>876300</xdr:colOff>
      <xdr:row>86</xdr:row>
      <xdr:rowOff>213360</xdr:rowOff>
    </xdr:to>
    <xdr:graphicFrame macro="">
      <xdr:nvGraphicFramePr>
        <xdr:cNvPr id="64819763" name="차트 1">
          <a:extLst>
            <a:ext uri="{FF2B5EF4-FFF2-40B4-BE49-F238E27FC236}">
              <a16:creationId xmlns:a16="http://schemas.microsoft.com/office/drawing/2014/main" id="{00000000-0008-0000-0800-00003312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144780</xdr:colOff>
      <xdr:row>67</xdr:row>
      <xdr:rowOff>198120</xdr:rowOff>
    </xdr:from>
    <xdr:to>
      <xdr:col>8</xdr:col>
      <xdr:colOff>259080</xdr:colOff>
      <xdr:row>87</xdr:row>
      <xdr:rowOff>0</xdr:rowOff>
    </xdr:to>
    <xdr:graphicFrame macro="">
      <xdr:nvGraphicFramePr>
        <xdr:cNvPr id="64819764" name="차트 1">
          <a:extLst>
            <a:ext uri="{FF2B5EF4-FFF2-40B4-BE49-F238E27FC236}">
              <a16:creationId xmlns:a16="http://schemas.microsoft.com/office/drawing/2014/main" id="{00000000-0008-0000-0800-00003412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571500</xdr:colOff>
      <xdr:row>47</xdr:row>
      <xdr:rowOff>182880</xdr:rowOff>
    </xdr:from>
    <xdr:to>
      <xdr:col>16</xdr:col>
      <xdr:colOff>861060</xdr:colOff>
      <xdr:row>66</xdr:row>
      <xdr:rowOff>213360</xdr:rowOff>
    </xdr:to>
    <xdr:graphicFrame macro="">
      <xdr:nvGraphicFramePr>
        <xdr:cNvPr id="64819765" name="차트 1">
          <a:extLst>
            <a:ext uri="{FF2B5EF4-FFF2-40B4-BE49-F238E27FC236}">
              <a16:creationId xmlns:a16="http://schemas.microsoft.com/office/drawing/2014/main" id="{00000000-0008-0000-0800-00003512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47</xdr:row>
      <xdr:rowOff>182880</xdr:rowOff>
    </xdr:from>
    <xdr:to>
      <xdr:col>8</xdr:col>
      <xdr:colOff>243840</xdr:colOff>
      <xdr:row>66</xdr:row>
      <xdr:rowOff>213360</xdr:rowOff>
    </xdr:to>
    <xdr:graphicFrame macro="">
      <xdr:nvGraphicFramePr>
        <xdr:cNvPr id="64827192" name="차트 6">
          <a:extLst>
            <a:ext uri="{FF2B5EF4-FFF2-40B4-BE49-F238E27FC236}">
              <a16:creationId xmlns:a16="http://schemas.microsoft.com/office/drawing/2014/main" id="{00000000-0008-0000-0900-0000382F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937260</xdr:colOff>
      <xdr:row>1</xdr:row>
      <xdr:rowOff>160020</xdr:rowOff>
    </xdr:from>
    <xdr:to>
      <xdr:col>33</xdr:col>
      <xdr:colOff>586740</xdr:colOff>
      <xdr:row>43</xdr:row>
      <xdr:rowOff>60960</xdr:rowOff>
    </xdr:to>
    <xdr:graphicFrame macro="">
      <xdr:nvGraphicFramePr>
        <xdr:cNvPr id="64827193" name="차트 2">
          <a:extLst>
            <a:ext uri="{FF2B5EF4-FFF2-40B4-BE49-F238E27FC236}">
              <a16:creationId xmlns:a16="http://schemas.microsoft.com/office/drawing/2014/main" id="{00000000-0008-0000-0900-0000392F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914400</xdr:colOff>
      <xdr:row>45</xdr:row>
      <xdr:rowOff>38100</xdr:rowOff>
    </xdr:from>
    <xdr:to>
      <xdr:col>31</xdr:col>
      <xdr:colOff>655320</xdr:colOff>
      <xdr:row>95</xdr:row>
      <xdr:rowOff>83820</xdr:rowOff>
    </xdr:to>
    <xdr:graphicFrame macro="">
      <xdr:nvGraphicFramePr>
        <xdr:cNvPr id="64827194" name="차트 5">
          <a:extLst>
            <a:ext uri="{FF2B5EF4-FFF2-40B4-BE49-F238E27FC236}">
              <a16:creationId xmlns:a16="http://schemas.microsoft.com/office/drawing/2014/main" id="{00000000-0008-0000-0900-00003A2F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579120</xdr:colOff>
      <xdr:row>67</xdr:row>
      <xdr:rowOff>182880</xdr:rowOff>
    </xdr:from>
    <xdr:to>
      <xdr:col>16</xdr:col>
      <xdr:colOff>876300</xdr:colOff>
      <xdr:row>86</xdr:row>
      <xdr:rowOff>213360</xdr:rowOff>
    </xdr:to>
    <xdr:graphicFrame macro="">
      <xdr:nvGraphicFramePr>
        <xdr:cNvPr id="64827195" name="차트 1">
          <a:extLst>
            <a:ext uri="{FF2B5EF4-FFF2-40B4-BE49-F238E27FC236}">
              <a16:creationId xmlns:a16="http://schemas.microsoft.com/office/drawing/2014/main" id="{00000000-0008-0000-0900-00003B2F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144780</xdr:colOff>
      <xdr:row>67</xdr:row>
      <xdr:rowOff>198120</xdr:rowOff>
    </xdr:from>
    <xdr:to>
      <xdr:col>8</xdr:col>
      <xdr:colOff>259080</xdr:colOff>
      <xdr:row>87</xdr:row>
      <xdr:rowOff>0</xdr:rowOff>
    </xdr:to>
    <xdr:graphicFrame macro="">
      <xdr:nvGraphicFramePr>
        <xdr:cNvPr id="64827196" name="차트 1">
          <a:extLst>
            <a:ext uri="{FF2B5EF4-FFF2-40B4-BE49-F238E27FC236}">
              <a16:creationId xmlns:a16="http://schemas.microsoft.com/office/drawing/2014/main" id="{00000000-0008-0000-0900-00003C2F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571500</xdr:colOff>
      <xdr:row>47</xdr:row>
      <xdr:rowOff>182880</xdr:rowOff>
    </xdr:from>
    <xdr:to>
      <xdr:col>16</xdr:col>
      <xdr:colOff>861060</xdr:colOff>
      <xdr:row>66</xdr:row>
      <xdr:rowOff>213360</xdr:rowOff>
    </xdr:to>
    <xdr:graphicFrame macro="">
      <xdr:nvGraphicFramePr>
        <xdr:cNvPr id="64827197" name="차트 1">
          <a:extLst>
            <a:ext uri="{FF2B5EF4-FFF2-40B4-BE49-F238E27FC236}">
              <a16:creationId xmlns:a16="http://schemas.microsoft.com/office/drawing/2014/main" id="{00000000-0008-0000-0900-00003D2F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617220</xdr:colOff>
      <xdr:row>90</xdr:row>
      <xdr:rowOff>198120</xdr:rowOff>
    </xdr:from>
    <xdr:to>
      <xdr:col>6</xdr:col>
      <xdr:colOff>807720</xdr:colOff>
      <xdr:row>109</xdr:row>
      <xdr:rowOff>182880</xdr:rowOff>
    </xdr:to>
    <xdr:graphicFrame macro="">
      <xdr:nvGraphicFramePr>
        <xdr:cNvPr id="64827198" name="차트 1">
          <a:extLst>
            <a:ext uri="{FF2B5EF4-FFF2-40B4-BE49-F238E27FC236}">
              <a16:creationId xmlns:a16="http://schemas.microsoft.com/office/drawing/2014/main" id="{00000000-0008-0000-0900-00003E2F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47</xdr:row>
      <xdr:rowOff>182880</xdr:rowOff>
    </xdr:from>
    <xdr:to>
      <xdr:col>8</xdr:col>
      <xdr:colOff>243840</xdr:colOff>
      <xdr:row>66</xdr:row>
      <xdr:rowOff>213360</xdr:rowOff>
    </xdr:to>
    <xdr:graphicFrame macro="">
      <xdr:nvGraphicFramePr>
        <xdr:cNvPr id="2" name="차트 6">
          <a:extLst>
            <a:ext uri="{FF2B5EF4-FFF2-40B4-BE49-F238E27FC236}">
              <a16:creationId xmlns:a16="http://schemas.microsoft.com/office/drawing/2014/main" id="{06852B8F-0550-486D-B545-1C79B0FCB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937260</xdr:colOff>
      <xdr:row>1</xdr:row>
      <xdr:rowOff>160020</xdr:rowOff>
    </xdr:from>
    <xdr:to>
      <xdr:col>33</xdr:col>
      <xdr:colOff>586740</xdr:colOff>
      <xdr:row>43</xdr:row>
      <xdr:rowOff>60960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7A5A4A3-1BE4-4A81-8254-C348B3093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914400</xdr:colOff>
      <xdr:row>45</xdr:row>
      <xdr:rowOff>38100</xdr:rowOff>
    </xdr:from>
    <xdr:to>
      <xdr:col>31</xdr:col>
      <xdr:colOff>655320</xdr:colOff>
      <xdr:row>95</xdr:row>
      <xdr:rowOff>83820</xdr:rowOff>
    </xdr:to>
    <xdr:graphicFrame macro="">
      <xdr:nvGraphicFramePr>
        <xdr:cNvPr id="4" name="차트 5">
          <a:extLst>
            <a:ext uri="{FF2B5EF4-FFF2-40B4-BE49-F238E27FC236}">
              <a16:creationId xmlns:a16="http://schemas.microsoft.com/office/drawing/2014/main" id="{D677DDC5-BF5D-4466-A2C2-CBDD94EEB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579120</xdr:colOff>
      <xdr:row>67</xdr:row>
      <xdr:rowOff>182880</xdr:rowOff>
    </xdr:from>
    <xdr:to>
      <xdr:col>16</xdr:col>
      <xdr:colOff>876300</xdr:colOff>
      <xdr:row>86</xdr:row>
      <xdr:rowOff>213360</xdr:rowOff>
    </xdr:to>
    <xdr:graphicFrame macro="">
      <xdr:nvGraphicFramePr>
        <xdr:cNvPr id="5" name="차트 1">
          <a:extLst>
            <a:ext uri="{FF2B5EF4-FFF2-40B4-BE49-F238E27FC236}">
              <a16:creationId xmlns:a16="http://schemas.microsoft.com/office/drawing/2014/main" id="{946E07C1-29AB-4500-AF1F-2C6ACE300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144780</xdr:colOff>
      <xdr:row>67</xdr:row>
      <xdr:rowOff>198120</xdr:rowOff>
    </xdr:from>
    <xdr:to>
      <xdr:col>8</xdr:col>
      <xdr:colOff>259080</xdr:colOff>
      <xdr:row>87</xdr:row>
      <xdr:rowOff>0</xdr:rowOff>
    </xdr:to>
    <xdr:graphicFrame macro="">
      <xdr:nvGraphicFramePr>
        <xdr:cNvPr id="6" name="차트 1">
          <a:extLst>
            <a:ext uri="{FF2B5EF4-FFF2-40B4-BE49-F238E27FC236}">
              <a16:creationId xmlns:a16="http://schemas.microsoft.com/office/drawing/2014/main" id="{4218649B-11F5-4819-A383-09D1F2050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612321</xdr:colOff>
      <xdr:row>47</xdr:row>
      <xdr:rowOff>196487</xdr:rowOff>
    </xdr:from>
    <xdr:to>
      <xdr:col>16</xdr:col>
      <xdr:colOff>901881</xdr:colOff>
      <xdr:row>67</xdr:row>
      <xdr:rowOff>22859</xdr:rowOff>
    </xdr:to>
    <xdr:graphicFrame macro="">
      <xdr:nvGraphicFramePr>
        <xdr:cNvPr id="7" name="차트 1">
          <a:extLst>
            <a:ext uri="{FF2B5EF4-FFF2-40B4-BE49-F238E27FC236}">
              <a16:creationId xmlns:a16="http://schemas.microsoft.com/office/drawing/2014/main" id="{C8C6039E-CBFF-4817-A33C-57D8965A6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617220</xdr:colOff>
      <xdr:row>90</xdr:row>
      <xdr:rowOff>198120</xdr:rowOff>
    </xdr:from>
    <xdr:to>
      <xdr:col>6</xdr:col>
      <xdr:colOff>807720</xdr:colOff>
      <xdr:row>109</xdr:row>
      <xdr:rowOff>182880</xdr:rowOff>
    </xdr:to>
    <xdr:graphicFrame macro="">
      <xdr:nvGraphicFramePr>
        <xdr:cNvPr id="8" name="차트 1">
          <a:extLst>
            <a:ext uri="{FF2B5EF4-FFF2-40B4-BE49-F238E27FC236}">
              <a16:creationId xmlns:a16="http://schemas.microsoft.com/office/drawing/2014/main" id="{4AFC9477-FC6B-44F3-8282-F10C0391A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81</xdr:row>
      <xdr:rowOff>152400</xdr:rowOff>
    </xdr:from>
    <xdr:to>
      <xdr:col>8</xdr:col>
      <xdr:colOff>259080</xdr:colOff>
      <xdr:row>99</xdr:row>
      <xdr:rowOff>182880</xdr:rowOff>
    </xdr:to>
    <xdr:graphicFrame macro="">
      <xdr:nvGraphicFramePr>
        <xdr:cNvPr id="64835120" name="차트 1">
          <a:extLst>
            <a:ext uri="{FF2B5EF4-FFF2-40B4-BE49-F238E27FC236}">
              <a16:creationId xmlns:a16="http://schemas.microsoft.com/office/drawing/2014/main" id="{00000000-0008-0000-0D00-0000304E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160020</xdr:colOff>
      <xdr:row>63</xdr:row>
      <xdr:rowOff>182880</xdr:rowOff>
    </xdr:from>
    <xdr:to>
      <xdr:col>8</xdr:col>
      <xdr:colOff>243840</xdr:colOff>
      <xdr:row>80</xdr:row>
      <xdr:rowOff>182880</xdr:rowOff>
    </xdr:to>
    <xdr:graphicFrame macro="">
      <xdr:nvGraphicFramePr>
        <xdr:cNvPr id="64835121" name="차트 6">
          <a:extLst>
            <a:ext uri="{FF2B5EF4-FFF2-40B4-BE49-F238E27FC236}">
              <a16:creationId xmlns:a16="http://schemas.microsoft.com/office/drawing/2014/main" id="{00000000-0008-0000-0D00-0000314E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800100</xdr:colOff>
      <xdr:row>63</xdr:row>
      <xdr:rowOff>160020</xdr:rowOff>
    </xdr:from>
    <xdr:to>
      <xdr:col>16</xdr:col>
      <xdr:colOff>883920</xdr:colOff>
      <xdr:row>80</xdr:row>
      <xdr:rowOff>160020</xdr:rowOff>
    </xdr:to>
    <xdr:graphicFrame macro="">
      <xdr:nvGraphicFramePr>
        <xdr:cNvPr id="64835122" name="차트 6">
          <a:extLst>
            <a:ext uri="{FF2B5EF4-FFF2-40B4-BE49-F238E27FC236}">
              <a16:creationId xmlns:a16="http://schemas.microsoft.com/office/drawing/2014/main" id="{00000000-0008-0000-0D00-0000324E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807720</xdr:colOff>
      <xdr:row>81</xdr:row>
      <xdr:rowOff>152400</xdr:rowOff>
    </xdr:from>
    <xdr:to>
      <xdr:col>16</xdr:col>
      <xdr:colOff>929640</xdr:colOff>
      <xdr:row>99</xdr:row>
      <xdr:rowOff>182880</xdr:rowOff>
    </xdr:to>
    <xdr:graphicFrame macro="">
      <xdr:nvGraphicFramePr>
        <xdr:cNvPr id="64835123" name="차트 1">
          <a:extLst>
            <a:ext uri="{FF2B5EF4-FFF2-40B4-BE49-F238E27FC236}">
              <a16:creationId xmlns:a16="http://schemas.microsoft.com/office/drawing/2014/main" id="{00000000-0008-0000-0D00-0000334E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563880</xdr:colOff>
      <xdr:row>2</xdr:row>
      <xdr:rowOff>99060</xdr:rowOff>
    </xdr:from>
    <xdr:to>
      <xdr:col>31</xdr:col>
      <xdr:colOff>45720</xdr:colOff>
      <xdr:row>58</xdr:row>
      <xdr:rowOff>68580</xdr:rowOff>
    </xdr:to>
    <xdr:graphicFrame macro="">
      <xdr:nvGraphicFramePr>
        <xdr:cNvPr id="64835124" name="차트 2">
          <a:extLst>
            <a:ext uri="{FF2B5EF4-FFF2-40B4-BE49-F238E27FC236}">
              <a16:creationId xmlns:a16="http://schemas.microsoft.com/office/drawing/2014/main" id="{00000000-0008-0000-0D00-0000344E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335280</xdr:colOff>
      <xdr:row>60</xdr:row>
      <xdr:rowOff>30480</xdr:rowOff>
    </xdr:from>
    <xdr:to>
      <xdr:col>33</xdr:col>
      <xdr:colOff>251460</xdr:colOff>
      <xdr:row>110</xdr:row>
      <xdr:rowOff>60960</xdr:rowOff>
    </xdr:to>
    <xdr:graphicFrame macro="">
      <xdr:nvGraphicFramePr>
        <xdr:cNvPr id="64835125" name="차트 5">
          <a:extLst>
            <a:ext uri="{FF2B5EF4-FFF2-40B4-BE49-F238E27FC236}">
              <a16:creationId xmlns:a16="http://schemas.microsoft.com/office/drawing/2014/main" id="{00000000-0008-0000-0D00-0000354E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73</xdr:row>
      <xdr:rowOff>83820</xdr:rowOff>
    </xdr:from>
    <xdr:to>
      <xdr:col>8</xdr:col>
      <xdr:colOff>266700</xdr:colOff>
      <xdr:row>91</xdr:row>
      <xdr:rowOff>121920</xdr:rowOff>
    </xdr:to>
    <xdr:graphicFrame macro="">
      <xdr:nvGraphicFramePr>
        <xdr:cNvPr id="64842024" name="차트 1">
          <a:extLst>
            <a:ext uri="{FF2B5EF4-FFF2-40B4-BE49-F238E27FC236}">
              <a16:creationId xmlns:a16="http://schemas.microsoft.com/office/drawing/2014/main" id="{00000000-0008-0000-0E00-00002869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182880</xdr:colOff>
      <xdr:row>55</xdr:row>
      <xdr:rowOff>190500</xdr:rowOff>
    </xdr:from>
    <xdr:to>
      <xdr:col>8</xdr:col>
      <xdr:colOff>266700</xdr:colOff>
      <xdr:row>72</xdr:row>
      <xdr:rowOff>190500</xdr:rowOff>
    </xdr:to>
    <xdr:graphicFrame macro="">
      <xdr:nvGraphicFramePr>
        <xdr:cNvPr id="64842025" name="차트 6">
          <a:extLst>
            <a:ext uri="{FF2B5EF4-FFF2-40B4-BE49-F238E27FC236}">
              <a16:creationId xmlns:a16="http://schemas.microsoft.com/office/drawing/2014/main" id="{00000000-0008-0000-0E00-00002969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952500</xdr:colOff>
      <xdr:row>69</xdr:row>
      <xdr:rowOff>30480</xdr:rowOff>
    </xdr:from>
    <xdr:to>
      <xdr:col>16</xdr:col>
      <xdr:colOff>449580</xdr:colOff>
      <xdr:row>80</xdr:row>
      <xdr:rowOff>160020</xdr:rowOff>
    </xdr:to>
    <xdr:graphicFrame macro="">
      <xdr:nvGraphicFramePr>
        <xdr:cNvPr id="64842026" name="차트 3">
          <a:extLst>
            <a:ext uri="{FF2B5EF4-FFF2-40B4-BE49-F238E27FC236}">
              <a16:creationId xmlns:a16="http://schemas.microsoft.com/office/drawing/2014/main" id="{00000000-0008-0000-0E00-00002A69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</xdr:colOff>
      <xdr:row>55</xdr:row>
      <xdr:rowOff>0</xdr:rowOff>
    </xdr:from>
    <xdr:to>
      <xdr:col>16</xdr:col>
      <xdr:colOff>495300</xdr:colOff>
      <xdr:row>67</xdr:row>
      <xdr:rowOff>198120</xdr:rowOff>
    </xdr:to>
    <xdr:graphicFrame macro="">
      <xdr:nvGraphicFramePr>
        <xdr:cNvPr id="64842027" name="차트 4">
          <a:extLst>
            <a:ext uri="{FF2B5EF4-FFF2-40B4-BE49-F238E27FC236}">
              <a16:creationId xmlns:a16="http://schemas.microsoft.com/office/drawing/2014/main" id="{00000000-0008-0000-0E00-00002B69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81</xdr:row>
      <xdr:rowOff>83820</xdr:rowOff>
    </xdr:from>
    <xdr:to>
      <xdr:col>16</xdr:col>
      <xdr:colOff>464820</xdr:colOff>
      <xdr:row>93</xdr:row>
      <xdr:rowOff>83820</xdr:rowOff>
    </xdr:to>
    <xdr:graphicFrame macro="">
      <xdr:nvGraphicFramePr>
        <xdr:cNvPr id="64842028" name="차트 5">
          <a:extLst>
            <a:ext uri="{FF2B5EF4-FFF2-40B4-BE49-F238E27FC236}">
              <a16:creationId xmlns:a16="http://schemas.microsoft.com/office/drawing/2014/main" id="{00000000-0008-0000-0E00-00002C69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sers/fghy/Documents/&#50900;&#48324;%2520&#44208;&#49328;/Sales%2520&amp;%2520Commiss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sers/fghy/Documents/&#50900;&#48324;%2520&#44208;&#49328;/Sales%2520&amp;%2520Commission%25202017.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sers/kjk/AppData/Roaming/Microsoft/Excel/&#47588;&#52636;-&#47560;&#51652;%2520&#44536;&#47000;&#54532;%2520(version%2520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Alles/&#51221;&#47532;/&#44208;&#49328;/Sales%20&amp;%20Commission/&#50900;&#48324;%20&#44208;&#49328;/Sales%20&amp;%20Commission%202018.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Alles/&#51221;&#47532;/&#44208;&#49328;/Sales%20&amp;%20Commission/Sales%20&amp;%20Commission%202017~%20(&#48373;&#44396;&#4612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ables"/>
      <sheetName val="Consumable report"/>
      <sheetName val="Technotrans"/>
      <sheetName val="Technotrans report"/>
      <sheetName val="GOSS"/>
      <sheetName val="GOSS report"/>
      <sheetName val="서비스"/>
      <sheetName val="외화청구"/>
      <sheetName val="2017"/>
      <sheetName val="Graph"/>
      <sheetName val="2015"/>
      <sheetName val="2016"/>
    </sheetNames>
    <sheetDataSet>
      <sheetData sheetId="0" refreshError="1"/>
      <sheetData sheetId="1">
        <row r="3">
          <cell r="O3">
            <v>3403400</v>
          </cell>
          <cell r="P3">
            <v>654860.00000000023</v>
          </cell>
        </row>
        <row r="4">
          <cell r="O4">
            <v>8440300</v>
          </cell>
          <cell r="P4">
            <v>2117000.0000000009</v>
          </cell>
        </row>
        <row r="5">
          <cell r="O5">
            <v>5093000.0000000009</v>
          </cell>
          <cell r="P5">
            <v>1180000.0000000007</v>
          </cell>
        </row>
        <row r="6">
          <cell r="O6">
            <v>5383400</v>
          </cell>
          <cell r="P6">
            <v>1085999.9999999998</v>
          </cell>
        </row>
        <row r="7">
          <cell r="O7">
            <v>1210000</v>
          </cell>
          <cell r="P7">
            <v>189999.99999999988</v>
          </cell>
        </row>
        <row r="8">
          <cell r="O8">
            <v>4022700</v>
          </cell>
          <cell r="P8">
            <v>789400.00000000035</v>
          </cell>
        </row>
        <row r="9">
          <cell r="O9">
            <v>1732500.0000000002</v>
          </cell>
          <cell r="P9">
            <v>385000.00000000023</v>
          </cell>
        </row>
        <row r="10">
          <cell r="O10">
            <v>1100000</v>
          </cell>
          <cell r="P10">
            <v>500000</v>
          </cell>
        </row>
        <row r="11">
          <cell r="O11">
            <v>242000.00000000003</v>
          </cell>
          <cell r="P11">
            <v>120000</v>
          </cell>
        </row>
        <row r="12">
          <cell r="O12">
            <v>935000.00000000012</v>
          </cell>
          <cell r="P12">
            <v>319000.00000000012</v>
          </cell>
        </row>
        <row r="13">
          <cell r="O13">
            <v>1430000</v>
          </cell>
          <cell r="P13">
            <v>494999.99999999994</v>
          </cell>
        </row>
        <row r="14">
          <cell r="O14">
            <v>715000</v>
          </cell>
          <cell r="P14">
            <v>249999.99999999997</v>
          </cell>
        </row>
        <row r="15">
          <cell r="O15">
            <v>2530000</v>
          </cell>
          <cell r="P15">
            <v>525999.99999999977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ables"/>
      <sheetName val="Technotrans"/>
      <sheetName val="GOSS"/>
      <sheetName val="서비스"/>
      <sheetName val="외화청구"/>
      <sheetName val="Report"/>
      <sheetName val="2017"/>
      <sheetName val="Graph"/>
      <sheetName val="Price"/>
      <sheetName val="Import"/>
    </sheetNames>
    <sheetDataSet>
      <sheetData sheetId="0">
        <row r="78">
          <cell r="C78">
            <v>79137300</v>
          </cell>
          <cell r="E78">
            <v>16977984</v>
          </cell>
        </row>
        <row r="91">
          <cell r="C91">
            <v>51543800</v>
          </cell>
          <cell r="E91">
            <v>13433014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산그래프"/>
      <sheetName val="Consumabes"/>
      <sheetName val="Technotrans"/>
      <sheetName val="GOSS"/>
      <sheetName val="서비스"/>
      <sheetName val="외화청구"/>
      <sheetName val="2017"/>
      <sheetName val="종합"/>
    </sheetNames>
    <sheetDataSet>
      <sheetData sheetId="0">
        <row r="17">
          <cell r="R17">
            <v>1</v>
          </cell>
        </row>
        <row r="18">
          <cell r="R18">
            <v>2</v>
          </cell>
        </row>
        <row r="19">
          <cell r="R19">
            <v>3</v>
          </cell>
        </row>
        <row r="20">
          <cell r="R20">
            <v>4</v>
          </cell>
        </row>
        <row r="21">
          <cell r="R21">
            <v>5</v>
          </cell>
        </row>
        <row r="22">
          <cell r="R22">
            <v>6</v>
          </cell>
        </row>
        <row r="23">
          <cell r="R23">
            <v>7</v>
          </cell>
        </row>
        <row r="24">
          <cell r="R24">
            <v>8</v>
          </cell>
        </row>
        <row r="25">
          <cell r="R25">
            <v>9</v>
          </cell>
        </row>
        <row r="26">
          <cell r="R26">
            <v>10</v>
          </cell>
        </row>
        <row r="27">
          <cell r="R27">
            <v>11</v>
          </cell>
        </row>
        <row r="28">
          <cell r="R28">
            <v>12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ables"/>
      <sheetName val="Technotrans"/>
      <sheetName val="GOSS"/>
      <sheetName val="서비스"/>
      <sheetName val="Others"/>
      <sheetName val="Report"/>
      <sheetName val="2018"/>
      <sheetName val="2017"/>
      <sheetName val="외화청구_2018"/>
      <sheetName val="외화청구_2017까지"/>
      <sheetName val="Price"/>
      <sheetName val="Import"/>
      <sheetName val="2016"/>
      <sheetName val="2015"/>
      <sheetName val="MEMO"/>
      <sheetName val="Stoc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0">
          <cell r="F70">
            <v>82641.724070225566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ables"/>
      <sheetName val="Technotrans"/>
      <sheetName val="GOSS"/>
      <sheetName val="서비스"/>
      <sheetName val="Others"/>
      <sheetName val="Report"/>
      <sheetName val="2017"/>
      <sheetName val="2019"/>
      <sheetName val="2018"/>
      <sheetName val="외화_2019"/>
      <sheetName val="외화_2018"/>
      <sheetName val="외화청구_2017까지"/>
      <sheetName val="Price"/>
      <sheetName val="Import"/>
      <sheetName val="2016"/>
      <sheetName val="2015"/>
      <sheetName val="MEMO"/>
      <sheetName val="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B1" t="str">
            <v>Item</v>
          </cell>
          <cell r="C1" t="str">
            <v>Type</v>
          </cell>
          <cell r="D1" t="str">
            <v>Buying Price</v>
          </cell>
        </row>
        <row r="2">
          <cell r="B2" t="str">
            <v>윤전용 실리콘</v>
          </cell>
          <cell r="C2" t="str">
            <v>Others</v>
          </cell>
          <cell r="D2">
            <v>91000</v>
          </cell>
        </row>
        <row r="3">
          <cell r="B3" t="str">
            <v>윤전용 세척제(Web 504)</v>
          </cell>
          <cell r="C3" t="str">
            <v>Wash</v>
          </cell>
          <cell r="D3">
            <v>115000</v>
          </cell>
        </row>
        <row r="4">
          <cell r="B4" t="str">
            <v>매엽용 세척제(Wash 562)</v>
          </cell>
          <cell r="C4" t="str">
            <v>Wash</v>
          </cell>
          <cell r="D4">
            <v>51000</v>
          </cell>
        </row>
        <row r="5">
          <cell r="B5" t="str">
            <v>Fount Web 551AF</v>
          </cell>
          <cell r="C5" t="str">
            <v>Fount</v>
          </cell>
          <cell r="D5">
            <v>112500</v>
          </cell>
        </row>
        <row r="6">
          <cell r="B6" t="str">
            <v>Fount 511</v>
          </cell>
          <cell r="C6" t="str">
            <v>Fount</v>
          </cell>
          <cell r="D6">
            <v>80000</v>
          </cell>
        </row>
        <row r="7">
          <cell r="B7" t="str">
            <v>윤전 블랑켓</v>
          </cell>
          <cell r="C7" t="str">
            <v>Blanket</v>
          </cell>
          <cell r="D7">
            <v>160000</v>
          </cell>
        </row>
        <row r="8">
          <cell r="B8" t="str">
            <v>로랜드 Blanket(1050*910)</v>
          </cell>
          <cell r="C8" t="str">
            <v>Blanket</v>
          </cell>
          <cell r="D8" t="e">
            <v>#N/A</v>
          </cell>
        </row>
        <row r="9">
          <cell r="B9" t="str">
            <v>미쯔비시 Blanket(1035*910)</v>
          </cell>
          <cell r="C9" t="str">
            <v>Blanket</v>
          </cell>
          <cell r="D9">
            <v>88700</v>
          </cell>
        </row>
        <row r="10">
          <cell r="B10" t="str">
            <v>5MX(1050*840)</v>
          </cell>
          <cell r="C10" t="str">
            <v>Blanket</v>
          </cell>
          <cell r="D10">
            <v>95000</v>
          </cell>
        </row>
        <row r="11">
          <cell r="B11" t="str">
            <v>아끼야마 Blanket(1035*970)</v>
          </cell>
          <cell r="C11" t="str">
            <v>Blanket</v>
          </cell>
          <cell r="D11">
            <v>94500</v>
          </cell>
        </row>
        <row r="12">
          <cell r="B12" t="str">
            <v>체인구리스(하이델)</v>
          </cell>
          <cell r="C12" t="str">
            <v>Others</v>
          </cell>
          <cell r="D12" t="e">
            <v>#N/A</v>
          </cell>
        </row>
        <row r="13">
          <cell r="B13" t="str">
            <v>구리스 일반용</v>
          </cell>
          <cell r="C13" t="str">
            <v>Others</v>
          </cell>
          <cell r="D13">
            <v>37600</v>
          </cell>
        </row>
        <row r="14">
          <cell r="B14" t="str">
            <v>데리바리 석션벨트</v>
          </cell>
          <cell r="C14" t="str">
            <v>Others</v>
          </cell>
          <cell r="D14">
            <v>216000</v>
          </cell>
        </row>
        <row r="15">
          <cell r="B15" t="str">
            <v>고무사카 회색</v>
          </cell>
          <cell r="C15" t="str">
            <v>Others</v>
          </cell>
          <cell r="D15" t="e">
            <v>#N/A</v>
          </cell>
        </row>
        <row r="16">
          <cell r="B16" t="str">
            <v>고무사카 빨간색</v>
          </cell>
          <cell r="C16" t="str">
            <v>Others</v>
          </cell>
          <cell r="D16" t="e">
            <v>#N/A</v>
          </cell>
        </row>
        <row r="17">
          <cell r="B17" t="str">
            <v>배전판 필터</v>
          </cell>
          <cell r="C17" t="str">
            <v>Others</v>
          </cell>
          <cell r="D17">
            <v>137600</v>
          </cell>
        </row>
        <row r="18">
          <cell r="B18" t="str">
            <v xml:space="preserve">공압콤푸레샤 종이필터 </v>
          </cell>
          <cell r="C18" t="str">
            <v>Others</v>
          </cell>
          <cell r="D18" t="e">
            <v>#N/A</v>
          </cell>
        </row>
        <row r="19">
          <cell r="B19" t="str">
            <v>롤러 오일</v>
          </cell>
          <cell r="C19" t="str">
            <v>Others</v>
          </cell>
          <cell r="D19">
            <v>180000</v>
          </cell>
        </row>
        <row r="20">
          <cell r="B20" t="str">
            <v>매엽 원형 집진필터</v>
          </cell>
          <cell r="C20" t="str">
            <v>Others</v>
          </cell>
          <cell r="D20">
            <v>1000000</v>
          </cell>
        </row>
        <row r="21">
          <cell r="B21" t="str">
            <v>Fount 554</v>
          </cell>
          <cell r="C21" t="str">
            <v>Fount</v>
          </cell>
          <cell r="D21">
            <v>140000</v>
          </cell>
        </row>
        <row r="22">
          <cell r="B22" t="str">
            <v>XL106 Blanket(1077*885)</v>
          </cell>
          <cell r="C22" t="str">
            <v>Blanket</v>
          </cell>
          <cell r="D22">
            <v>99000</v>
          </cell>
        </row>
        <row r="23">
          <cell r="B23" t="str">
            <v>프리미어(잉크)(100kg)</v>
          </cell>
          <cell r="C23" t="str">
            <v>Ink</v>
          </cell>
          <cell r="D23">
            <v>643300</v>
          </cell>
        </row>
        <row r="24">
          <cell r="B24" t="str">
            <v>프리미어(잉크)(384kg)</v>
          </cell>
          <cell r="C24" t="str">
            <v>Ink</v>
          </cell>
          <cell r="D24">
            <v>2769600</v>
          </cell>
        </row>
        <row r="25">
          <cell r="B25" t="str">
            <v>CTP판(1030*790mm)</v>
          </cell>
          <cell r="C25" t="str">
            <v>CTP</v>
          </cell>
          <cell r="D25">
            <v>3300</v>
          </cell>
        </row>
        <row r="26">
          <cell r="B26" t="str">
            <v>CTP 현상액</v>
          </cell>
          <cell r="C26" t="str">
            <v>CTP</v>
          </cell>
          <cell r="D26">
            <v>35000</v>
          </cell>
        </row>
        <row r="27">
          <cell r="B27" t="str">
            <v>프리미어(적)</v>
          </cell>
          <cell r="C27" t="str">
            <v>Ink</v>
          </cell>
          <cell r="D27">
            <v>6770</v>
          </cell>
        </row>
        <row r="28">
          <cell r="B28" t="str">
            <v>프리미어(황)</v>
          </cell>
          <cell r="C28" t="str">
            <v>Ink</v>
          </cell>
          <cell r="D28">
            <v>6180</v>
          </cell>
        </row>
        <row r="29">
          <cell r="B29" t="str">
            <v>프리미어(청)</v>
          </cell>
          <cell r="C29" t="str">
            <v>Ink</v>
          </cell>
          <cell r="D29">
            <v>6910</v>
          </cell>
        </row>
        <row r="30">
          <cell r="B30" t="str">
            <v>프리미어(먹)</v>
          </cell>
          <cell r="C30" t="str">
            <v>Ink</v>
          </cell>
          <cell r="D30">
            <v>5900</v>
          </cell>
        </row>
        <row r="31">
          <cell r="B31" t="str">
            <v>Blanket(1060*860)</v>
          </cell>
          <cell r="C31" t="str">
            <v>Blanket</v>
          </cell>
          <cell r="D31">
            <v>82900</v>
          </cell>
        </row>
        <row r="32">
          <cell r="B32" t="str">
            <v>Blanket(1050*840)</v>
          </cell>
          <cell r="C32" t="str">
            <v>Blanket</v>
          </cell>
          <cell r="D32">
            <v>80500</v>
          </cell>
        </row>
        <row r="33">
          <cell r="B33" t="str">
            <v>Blanket(830*750)</v>
          </cell>
          <cell r="C33" t="str">
            <v>Blanket</v>
          </cell>
          <cell r="D33">
            <v>59800</v>
          </cell>
        </row>
        <row r="34">
          <cell r="B34" t="str">
            <v>Blanket(730*710)</v>
          </cell>
          <cell r="C34" t="str">
            <v>Blanket</v>
          </cell>
          <cell r="D34">
            <v>49400</v>
          </cell>
        </row>
        <row r="35">
          <cell r="B35" t="str">
            <v>Blanket(770*700)bar</v>
          </cell>
          <cell r="C35" t="str">
            <v>Blanket</v>
          </cell>
          <cell r="D35">
            <v>53100</v>
          </cell>
        </row>
        <row r="36">
          <cell r="B36" t="str">
            <v>로랜드 전지 블랑켓(1460*1165)bar</v>
          </cell>
          <cell r="C36" t="str">
            <v>Blanket</v>
          </cell>
          <cell r="D36">
            <v>168000</v>
          </cell>
        </row>
        <row r="37">
          <cell r="B37" t="str">
            <v>피니토 하이델 국전용 블랑켓</v>
          </cell>
          <cell r="C37" t="str">
            <v>Blanket</v>
          </cell>
          <cell r="D37">
            <v>310000</v>
          </cell>
        </row>
        <row r="38">
          <cell r="B38" t="str">
            <v>Blanket(990*725)</v>
          </cell>
          <cell r="C38" t="str">
            <v>Blanket</v>
          </cell>
          <cell r="D38">
            <v>112000</v>
          </cell>
        </row>
        <row r="39">
          <cell r="B39" t="str">
            <v>아스테이지(닥트호일 국전)</v>
          </cell>
          <cell r="C39" t="str">
            <v>Others</v>
          </cell>
          <cell r="D39">
            <v>50000</v>
          </cell>
        </row>
        <row r="40">
          <cell r="B40" t="str">
            <v>닥트호일(잉크호일)</v>
          </cell>
          <cell r="C40" t="str">
            <v>Others</v>
          </cell>
          <cell r="D40">
            <v>50000</v>
          </cell>
        </row>
        <row r="41">
          <cell r="B41" t="str">
            <v>아스테이지(국전)</v>
          </cell>
          <cell r="C41" t="str">
            <v>Others</v>
          </cell>
          <cell r="D41">
            <v>50000</v>
          </cell>
        </row>
        <row r="42">
          <cell r="B42" t="str">
            <v>닥터호일 아스테이지(UV용)</v>
          </cell>
          <cell r="C42" t="str">
            <v>Others</v>
          </cell>
          <cell r="D42">
            <v>80000</v>
          </cell>
        </row>
        <row r="43">
          <cell r="B43" t="str">
            <v>아스테이지(T-3절)</v>
          </cell>
          <cell r="C43" t="str">
            <v>Others</v>
          </cell>
          <cell r="D43">
            <v>40000</v>
          </cell>
        </row>
        <row r="44">
          <cell r="B44" t="str">
            <v>UV wash(20L)</v>
          </cell>
          <cell r="C44" t="str">
            <v>Wash</v>
          </cell>
          <cell r="D44">
            <v>110000</v>
          </cell>
        </row>
        <row r="45">
          <cell r="B45" t="str">
            <v>Offset UV wash</v>
          </cell>
          <cell r="C45" t="str">
            <v>Wash</v>
          </cell>
          <cell r="D45">
            <v>110000</v>
          </cell>
        </row>
        <row r="46">
          <cell r="B46" t="str">
            <v>M600 윤전 세정포</v>
          </cell>
          <cell r="C46" t="str">
            <v>Wash</v>
          </cell>
          <cell r="D46">
            <v>44000</v>
          </cell>
        </row>
        <row r="47">
          <cell r="B47" t="str">
            <v>점보롤 세정포</v>
          </cell>
          <cell r="C47" t="str">
            <v>Wash</v>
          </cell>
          <cell r="D47">
            <v>450000</v>
          </cell>
        </row>
        <row r="48">
          <cell r="B48" t="str">
            <v>Plunger Parts</v>
          </cell>
          <cell r="C48" t="str">
            <v>Others</v>
          </cell>
          <cell r="D48">
            <v>4000</v>
          </cell>
        </row>
        <row r="49">
          <cell r="B49" t="str">
            <v>Agfa Film(28inch)</v>
          </cell>
          <cell r="C49" t="str">
            <v>Film</v>
          </cell>
          <cell r="D49">
            <v>313960</v>
          </cell>
        </row>
        <row r="50">
          <cell r="B50" t="str">
            <v>Agfa Film(32inch)</v>
          </cell>
          <cell r="C50" t="str">
            <v>Film</v>
          </cell>
          <cell r="D50">
            <v>370010</v>
          </cell>
        </row>
        <row r="51">
          <cell r="B51" t="str">
            <v>Agfa Film(24inch)</v>
          </cell>
          <cell r="C51" t="str">
            <v>Film</v>
          </cell>
          <cell r="D51">
            <v>269100</v>
          </cell>
        </row>
        <row r="52">
          <cell r="B52" t="str">
            <v>Agfa 현상액 G101C(10L)</v>
          </cell>
          <cell r="C52" t="str">
            <v>Wash</v>
          </cell>
          <cell r="D52">
            <v>25000</v>
          </cell>
        </row>
        <row r="53">
          <cell r="B53" t="str">
            <v>Agfa 정착액 G333C(20L)</v>
          </cell>
          <cell r="C53" t="str">
            <v>Wash</v>
          </cell>
          <cell r="D53" t="e">
            <v>#N/A</v>
          </cell>
        </row>
        <row r="54">
          <cell r="B54" t="str">
            <v>ENGAGE 900X570 - 27RO</v>
          </cell>
          <cell r="C54" t="str">
            <v>CTP</v>
          </cell>
          <cell r="D54">
            <v>2740</v>
          </cell>
        </row>
        <row r="55">
          <cell r="B55" t="str">
            <v>ENGAGE 27 900X570MM WE</v>
          </cell>
          <cell r="C55" t="str">
            <v>CTP</v>
          </cell>
          <cell r="D55" t="e">
            <v>#N/A</v>
          </cell>
        </row>
        <row r="56">
          <cell r="B56" t="str">
            <v>ELITEPRO 30WEB(883*552)</v>
          </cell>
          <cell r="C56" t="str">
            <v>CTP</v>
          </cell>
          <cell r="D56">
            <v>3090</v>
          </cell>
        </row>
        <row r="57">
          <cell r="B57" t="str">
            <v>ENGAGE 30WEB(883*552)</v>
          </cell>
          <cell r="C57" t="str">
            <v>CTP</v>
          </cell>
          <cell r="D57">
            <v>2600</v>
          </cell>
        </row>
        <row r="58">
          <cell r="B58" t="str">
            <v>ENGAGE - 1092*800</v>
          </cell>
          <cell r="C58" t="str">
            <v>CTP</v>
          </cell>
          <cell r="D58">
            <v>4670</v>
          </cell>
        </row>
        <row r="59">
          <cell r="B59" t="str">
            <v>ENGAGE - 1030*790</v>
          </cell>
          <cell r="C59" t="str">
            <v>CTP</v>
          </cell>
          <cell r="D59">
            <v>4340</v>
          </cell>
        </row>
        <row r="60">
          <cell r="B60" t="str">
            <v>CTP 판(1030*790mm)</v>
          </cell>
          <cell r="C60" t="str">
            <v>CTP</v>
          </cell>
          <cell r="D60">
            <v>4000</v>
          </cell>
        </row>
        <row r="61">
          <cell r="B61" t="str">
            <v>ELITE PRO 30 1055X811</v>
          </cell>
          <cell r="C61" t="str">
            <v>CTP</v>
          </cell>
          <cell r="D61">
            <v>4880</v>
          </cell>
        </row>
        <row r="62">
          <cell r="B62" t="str">
            <v>THR200(20L)</v>
          </cell>
          <cell r="C62" t="str">
            <v>CTP</v>
          </cell>
          <cell r="D62">
            <v>35000</v>
          </cell>
        </row>
        <row r="63">
          <cell r="B63" t="str">
            <v>THD200(20L)</v>
          </cell>
          <cell r="C63" t="str">
            <v>CTP</v>
          </cell>
          <cell r="D63">
            <v>35000</v>
          </cell>
        </row>
        <row r="64">
          <cell r="B64" t="str">
            <v>RC795(20L)</v>
          </cell>
          <cell r="C64" t="str">
            <v>CTP</v>
          </cell>
          <cell r="D64">
            <v>65000</v>
          </cell>
        </row>
        <row r="65">
          <cell r="B65" t="str">
            <v>ENGAGE27 90*57</v>
          </cell>
          <cell r="C65" t="str">
            <v>CTP</v>
          </cell>
          <cell r="D65">
            <v>2740</v>
          </cell>
        </row>
        <row r="66">
          <cell r="B66" t="str">
            <v>롤러 크리너</v>
          </cell>
          <cell r="C66" t="str">
            <v>CTP</v>
          </cell>
          <cell r="D66">
            <v>18000</v>
          </cell>
        </row>
        <row r="67">
          <cell r="B67" t="str">
            <v>Bar블랑켓 830*750</v>
          </cell>
          <cell r="C67" t="str">
            <v>Blanket</v>
          </cell>
          <cell r="D67">
            <v>64000</v>
          </cell>
        </row>
        <row r="68">
          <cell r="B68" t="str">
            <v>Bar블랑켓 730*710</v>
          </cell>
          <cell r="C68" t="str">
            <v>Blanket</v>
          </cell>
          <cell r="D68">
            <v>55000</v>
          </cell>
        </row>
        <row r="69">
          <cell r="B69" t="str">
            <v>아스테이지(닥트호일 HD102)</v>
          </cell>
          <cell r="C69" t="str">
            <v>Others</v>
          </cell>
          <cell r="D69">
            <v>50000</v>
          </cell>
        </row>
        <row r="70">
          <cell r="B70" t="str">
            <v>세정포-XL106</v>
          </cell>
          <cell r="C70" t="str">
            <v>Others</v>
          </cell>
          <cell r="D70">
            <v>208000</v>
          </cell>
        </row>
        <row r="71">
          <cell r="B71" t="str">
            <v>필름출력 현상기 롤라</v>
          </cell>
          <cell r="C71" t="str">
            <v>Roller</v>
          </cell>
          <cell r="D71" t="e">
            <v>#N/A</v>
          </cell>
        </row>
        <row r="72">
          <cell r="B72" t="str">
            <v>스트리퍼</v>
          </cell>
          <cell r="C72" t="str">
            <v>Goss</v>
          </cell>
          <cell r="D72">
            <v>9000</v>
          </cell>
        </row>
        <row r="73">
          <cell r="B73" t="str">
            <v>스트리퍼(소)</v>
          </cell>
          <cell r="C73" t="str">
            <v>Goss</v>
          </cell>
          <cell r="D73">
            <v>9000</v>
          </cell>
        </row>
        <row r="74">
          <cell r="B74" t="str">
            <v>삼각판 코</v>
          </cell>
          <cell r="C74" t="str">
            <v>Goss</v>
          </cell>
          <cell r="D74" t="e">
            <v>#N/A</v>
          </cell>
        </row>
        <row r="75">
          <cell r="B75" t="str">
            <v>샤프트 잠금장치</v>
          </cell>
          <cell r="C75" t="str">
            <v>Goss</v>
          </cell>
          <cell r="D75" t="e">
            <v>#N/A</v>
          </cell>
        </row>
        <row r="76">
          <cell r="B76" t="str">
            <v>재단목(Cutting Rubber)</v>
          </cell>
          <cell r="C76" t="str">
            <v>Goss</v>
          </cell>
          <cell r="D76" t="e">
            <v>#N/A</v>
          </cell>
        </row>
        <row r="77">
          <cell r="B77" t="str">
            <v>습수정화장치(beta.f) 필터세트</v>
          </cell>
          <cell r="C77" t="str">
            <v>Technotrans</v>
          </cell>
          <cell r="D77" t="e">
            <v>#N/A</v>
          </cell>
        </row>
        <row r="78">
          <cell r="B78" t="str">
            <v>필터백</v>
          </cell>
          <cell r="C78" t="str">
            <v>Technotrans</v>
          </cell>
          <cell r="D78">
            <v>22461</v>
          </cell>
        </row>
        <row r="79">
          <cell r="B79" t="str">
            <v>도져 필터세트</v>
          </cell>
          <cell r="C79" t="str">
            <v>Technotrans</v>
          </cell>
          <cell r="D79" t="e">
            <v>#N/A</v>
          </cell>
        </row>
        <row r="80">
          <cell r="B80" t="str">
            <v>아니록스 롤러</v>
          </cell>
          <cell r="C80" t="str">
            <v>Roller</v>
          </cell>
          <cell r="D80" t="e">
            <v>#N/A</v>
          </cell>
        </row>
        <row r="81">
          <cell r="B81" t="str">
            <v>Blanket(1050*840)bar</v>
          </cell>
          <cell r="C81" t="str">
            <v>Blanket</v>
          </cell>
          <cell r="D81">
            <v>85000</v>
          </cell>
        </row>
        <row r="82">
          <cell r="B82" t="str">
            <v>코팅용 Blanket(1047*794)bar</v>
          </cell>
          <cell r="C82" t="str">
            <v>Blanket</v>
          </cell>
          <cell r="D82">
            <v>71400</v>
          </cell>
        </row>
        <row r="83">
          <cell r="B83" t="str">
            <v>Water Form Roller-CD102용</v>
          </cell>
          <cell r="C83" t="str">
            <v>Roller</v>
          </cell>
          <cell r="D83">
            <v>350000</v>
          </cell>
        </row>
        <row r="84">
          <cell r="B84" t="str">
            <v>Water Pan Roller-CD102용</v>
          </cell>
          <cell r="C84" t="str">
            <v>Roller</v>
          </cell>
          <cell r="D84">
            <v>380000</v>
          </cell>
        </row>
        <row r="85">
          <cell r="B85" t="str">
            <v>Ink Roller</v>
          </cell>
          <cell r="C85" t="str">
            <v>Roller</v>
          </cell>
          <cell r="D85">
            <v>220000</v>
          </cell>
        </row>
        <row r="86">
          <cell r="B86" t="str">
            <v>Ink Duct Roller</v>
          </cell>
          <cell r="C86" t="str">
            <v>Roller</v>
          </cell>
          <cell r="D86">
            <v>190000</v>
          </cell>
        </row>
        <row r="88">
          <cell r="B88" t="str">
            <v>Stripper(T33985)</v>
          </cell>
          <cell r="C88" t="str">
            <v>Goss</v>
          </cell>
          <cell r="D88">
            <v>8259</v>
          </cell>
        </row>
        <row r="89">
          <cell r="B89" t="str">
            <v>Stripper(T33986)</v>
          </cell>
          <cell r="C89" t="str">
            <v>Goss</v>
          </cell>
          <cell r="D89">
            <v>8537</v>
          </cell>
        </row>
        <row r="90">
          <cell r="B90" t="str">
            <v>Stripper(T34124)</v>
          </cell>
          <cell r="C90" t="str">
            <v>Goss</v>
          </cell>
          <cell r="D90">
            <v>8025</v>
          </cell>
        </row>
        <row r="91">
          <cell r="B91" t="str">
            <v>Stripper(T34125)</v>
          </cell>
          <cell r="C91" t="str">
            <v>Goss</v>
          </cell>
          <cell r="D91">
            <v>8059</v>
          </cell>
        </row>
        <row r="100">
          <cell r="B100" t="str">
            <v>송운사 알콜컨트롤</v>
          </cell>
          <cell r="C100">
            <v>3390000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J1846"/>
  <sheetViews>
    <sheetView zoomScale="85" zoomScaleNormal="85" workbookViewId="0">
      <pane xSplit="2" ySplit="2" topLeftCell="C1810" activePane="bottomRight" state="frozen"/>
      <selection activeCell="A1889" sqref="A1889"/>
      <selection pane="bottomLeft" activeCell="A1889" sqref="A1889"/>
      <selection pane="topRight" activeCell="A1889" sqref="A1889"/>
      <selection pane="bottomRight" activeCell="G1846" sqref="G1846"/>
    </sheetView>
  </sheetViews>
  <sheetFormatPr defaultColWidth="9.03515625" defaultRowHeight="21" customHeight="1" x14ac:dyDescent="0.25"/>
  <cols>
    <col min="1" max="1" width="9.03515625" style="227" customWidth="1"/>
    <col min="2" max="2" width="22.28125" style="228" customWidth="1"/>
    <col min="3" max="3" width="21.78515625" style="236" customWidth="1"/>
    <col min="4" max="4" width="22.28125" style="236" customWidth="1"/>
    <col min="5" max="5" width="15.59765625" style="236" customWidth="1"/>
    <col min="6" max="6" width="11.140625" style="555" customWidth="1"/>
    <col min="7" max="7" width="14.73046875" style="234" customWidth="1"/>
    <col min="8" max="8" width="11.015625" style="227" bestFit="1" customWidth="1"/>
    <col min="9" max="9" width="9.65234375" style="227" bestFit="1" customWidth="1"/>
    <col min="10" max="10" width="24.13671875" style="227" customWidth="1"/>
    <col min="11" max="12" width="9.03515625" style="228" customWidth="1"/>
    <col min="13" max="13" width="9.03515625" style="228"/>
    <col min="14" max="14" width="9.03515625" style="228" customWidth="1"/>
    <col min="15" max="16384" width="9.03515625" style="228"/>
  </cols>
  <sheetData>
    <row r="2" spans="1:10" ht="48.75" x14ac:dyDescent="0.25">
      <c r="A2" s="230" t="s">
        <v>6</v>
      </c>
      <c r="B2" s="231" t="s">
        <v>3</v>
      </c>
      <c r="C2" s="532" t="s">
        <v>10</v>
      </c>
      <c r="D2" s="533" t="s">
        <v>23</v>
      </c>
      <c r="E2" s="533" t="s">
        <v>4</v>
      </c>
      <c r="F2" s="556" t="s">
        <v>1</v>
      </c>
      <c r="G2" s="532" t="s">
        <v>3414</v>
      </c>
      <c r="H2" s="230" t="s">
        <v>12</v>
      </c>
      <c r="I2" s="230" t="s">
        <v>13</v>
      </c>
      <c r="J2" s="227" t="s">
        <v>1675</v>
      </c>
    </row>
    <row r="3" spans="1:10" ht="21" customHeight="1" x14ac:dyDescent="0.25">
      <c r="A3" s="232" t="s">
        <v>288</v>
      </c>
      <c r="B3" s="228" t="s">
        <v>2</v>
      </c>
      <c r="C3" s="233">
        <f t="shared" ref="C3:C21" si="0">D3*1.1</f>
        <v>1738000.0000000002</v>
      </c>
      <c r="D3" s="236">
        <v>1580000</v>
      </c>
      <c r="E3" s="236">
        <v>192600</v>
      </c>
      <c r="F3" s="557">
        <f t="shared" ref="F3:F66" si="1">E3/D3</f>
        <v>0.1218987341772152</v>
      </c>
      <c r="G3" s="234">
        <f t="shared" ref="G3:G21" si="2">E3*30%</f>
        <v>57780</v>
      </c>
      <c r="H3" s="227" t="s">
        <v>289</v>
      </c>
      <c r="I3" s="235">
        <v>41851</v>
      </c>
      <c r="J3" s="858" t="s">
        <v>369</v>
      </c>
    </row>
    <row r="4" spans="1:10" ht="21" customHeight="1" x14ac:dyDescent="0.25">
      <c r="A4" s="237"/>
      <c r="B4" s="238"/>
      <c r="C4" s="239">
        <f t="shared" si="0"/>
        <v>1738000.0000000002</v>
      </c>
      <c r="D4" s="534">
        <v>1580000</v>
      </c>
      <c r="E4" s="534">
        <v>192600</v>
      </c>
      <c r="F4" s="558">
        <f t="shared" si="1"/>
        <v>0.1218987341772152</v>
      </c>
      <c r="G4" s="240">
        <f t="shared" si="2"/>
        <v>57780</v>
      </c>
      <c r="H4" s="241" t="s">
        <v>290</v>
      </c>
      <c r="I4" s="241"/>
    </row>
    <row r="5" spans="1:10" ht="21" customHeight="1" x14ac:dyDescent="0.25">
      <c r="A5" s="232">
        <v>6</v>
      </c>
      <c r="B5" s="228" t="s">
        <v>2</v>
      </c>
      <c r="C5" s="233">
        <f t="shared" si="0"/>
        <v>2519000</v>
      </c>
      <c r="D5" s="236">
        <v>2290000</v>
      </c>
      <c r="E5" s="236">
        <v>456300</v>
      </c>
      <c r="F5" s="557">
        <f t="shared" si="1"/>
        <v>0.19925764192139739</v>
      </c>
      <c r="G5" s="234">
        <f t="shared" si="2"/>
        <v>136890</v>
      </c>
      <c r="H5" s="227" t="s">
        <v>289</v>
      </c>
      <c r="I5" s="235">
        <v>41874</v>
      </c>
      <c r="J5" s="227" t="s">
        <v>291</v>
      </c>
    </row>
    <row r="6" spans="1:10" ht="21" customHeight="1" x14ac:dyDescent="0.25">
      <c r="A6" s="237"/>
      <c r="B6" s="238"/>
      <c r="C6" s="239">
        <f t="shared" si="0"/>
        <v>2519000</v>
      </c>
      <c r="D6" s="534">
        <v>2290000</v>
      </c>
      <c r="E6" s="534">
        <v>456300</v>
      </c>
      <c r="F6" s="558">
        <f t="shared" si="1"/>
        <v>0.19925764192139739</v>
      </c>
      <c r="G6" s="240">
        <f t="shared" si="2"/>
        <v>136890</v>
      </c>
      <c r="H6" s="241" t="s">
        <v>290</v>
      </c>
      <c r="I6" s="241"/>
    </row>
    <row r="7" spans="1:10" ht="21" customHeight="1" x14ac:dyDescent="0.25">
      <c r="A7" s="232" t="s">
        <v>292</v>
      </c>
      <c r="B7" s="228" t="s">
        <v>2</v>
      </c>
      <c r="C7" s="233">
        <f t="shared" si="0"/>
        <v>6833750.0000000009</v>
      </c>
      <c r="D7" s="236">
        <v>6212500</v>
      </c>
      <c r="E7" s="236">
        <v>1532500</v>
      </c>
      <c r="F7" s="557">
        <f t="shared" si="1"/>
        <v>0.24668008048289738</v>
      </c>
      <c r="G7" s="234">
        <f t="shared" si="2"/>
        <v>459750</v>
      </c>
      <c r="H7" s="227" t="s">
        <v>289</v>
      </c>
      <c r="I7" s="235">
        <v>41907</v>
      </c>
      <c r="J7" s="227" t="s">
        <v>293</v>
      </c>
    </row>
    <row r="8" spans="1:10" ht="21" customHeight="1" x14ac:dyDescent="0.25">
      <c r="A8" s="232"/>
      <c r="B8" s="228" t="s">
        <v>294</v>
      </c>
      <c r="C8" s="233">
        <f t="shared" si="0"/>
        <v>2057000.0000000002</v>
      </c>
      <c r="D8" s="236">
        <v>1870000</v>
      </c>
      <c r="E8" s="236">
        <v>332000</v>
      </c>
      <c r="F8" s="557">
        <f t="shared" si="1"/>
        <v>0.17754010695187167</v>
      </c>
      <c r="G8" s="234">
        <f t="shared" si="2"/>
        <v>99600</v>
      </c>
      <c r="H8" s="227" t="s">
        <v>289</v>
      </c>
      <c r="I8" s="235">
        <v>41938</v>
      </c>
      <c r="J8" s="227" t="s">
        <v>295</v>
      </c>
    </row>
    <row r="9" spans="1:10" ht="21" customHeight="1" x14ac:dyDescent="0.25">
      <c r="A9" s="237"/>
      <c r="B9" s="238"/>
      <c r="C9" s="239">
        <f t="shared" si="0"/>
        <v>8890750</v>
      </c>
      <c r="D9" s="534">
        <v>8082500</v>
      </c>
      <c r="E9" s="534">
        <v>1864500</v>
      </c>
      <c r="F9" s="558">
        <f t="shared" si="1"/>
        <v>0.23068357562635322</v>
      </c>
      <c r="G9" s="240">
        <f t="shared" si="2"/>
        <v>559350</v>
      </c>
      <c r="H9" s="241" t="s">
        <v>290</v>
      </c>
      <c r="I9" s="241"/>
    </row>
    <row r="10" spans="1:10" ht="21" customHeight="1" x14ac:dyDescent="0.25">
      <c r="A10" s="232">
        <v>8</v>
      </c>
      <c r="B10" s="228" t="s">
        <v>2</v>
      </c>
      <c r="C10" s="233">
        <f t="shared" si="0"/>
        <v>9880750</v>
      </c>
      <c r="D10" s="236">
        <v>8982500</v>
      </c>
      <c r="E10" s="236">
        <v>2186500</v>
      </c>
      <c r="F10" s="557">
        <f t="shared" si="1"/>
        <v>0.24341775674923463</v>
      </c>
      <c r="G10" s="234">
        <f t="shared" si="2"/>
        <v>655950</v>
      </c>
      <c r="H10" s="227" t="s">
        <v>289</v>
      </c>
      <c r="I10" s="235">
        <v>41938</v>
      </c>
    </row>
    <row r="11" spans="1:10" ht="21" customHeight="1" x14ac:dyDescent="0.25">
      <c r="A11" s="232"/>
      <c r="B11" s="228" t="s">
        <v>296</v>
      </c>
      <c r="C11" s="233">
        <f t="shared" si="0"/>
        <v>1131900</v>
      </c>
      <c r="D11" s="236">
        <v>1029000</v>
      </c>
      <c r="E11" s="236">
        <v>259000</v>
      </c>
      <c r="F11" s="557">
        <f t="shared" si="1"/>
        <v>0.25170068027210885</v>
      </c>
      <c r="G11" s="234">
        <f t="shared" si="2"/>
        <v>77700</v>
      </c>
      <c r="H11" s="227" t="s">
        <v>289</v>
      </c>
      <c r="I11" s="227" t="s">
        <v>297</v>
      </c>
      <c r="J11" s="227" t="s">
        <v>298</v>
      </c>
    </row>
    <row r="12" spans="1:10" ht="21" customHeight="1" x14ac:dyDescent="0.25">
      <c r="A12" s="237"/>
      <c r="B12" s="238"/>
      <c r="C12" s="239">
        <f t="shared" si="0"/>
        <v>11012650</v>
      </c>
      <c r="D12" s="534">
        <v>10011500</v>
      </c>
      <c r="E12" s="534">
        <v>2445500</v>
      </c>
      <c r="F12" s="558">
        <f t="shared" si="1"/>
        <v>0.24426909054587226</v>
      </c>
      <c r="G12" s="240">
        <f t="shared" si="2"/>
        <v>733650</v>
      </c>
      <c r="H12" s="241" t="s">
        <v>290</v>
      </c>
      <c r="I12" s="241"/>
    </row>
    <row r="13" spans="1:10" ht="21" customHeight="1" x14ac:dyDescent="0.25">
      <c r="A13" s="232">
        <v>9</v>
      </c>
      <c r="B13" s="228" t="s">
        <v>2</v>
      </c>
      <c r="C13" s="233">
        <f t="shared" si="0"/>
        <v>6611000.0000000009</v>
      </c>
      <c r="D13" s="236">
        <v>6010000</v>
      </c>
      <c r="E13" s="236">
        <v>1765500</v>
      </c>
      <c r="F13" s="557">
        <f t="shared" si="1"/>
        <v>0.29376039933444259</v>
      </c>
      <c r="G13" s="242">
        <f t="shared" si="2"/>
        <v>529650</v>
      </c>
      <c r="H13" s="227" t="s">
        <v>289</v>
      </c>
      <c r="I13" s="227" t="s">
        <v>297</v>
      </c>
    </row>
    <row r="14" spans="1:10" ht="21" customHeight="1" x14ac:dyDescent="0.25">
      <c r="A14" s="232"/>
      <c r="B14" s="228" t="s">
        <v>5</v>
      </c>
      <c r="C14" s="243">
        <f t="shared" si="0"/>
        <v>110000.00000000001</v>
      </c>
      <c r="D14" s="236">
        <v>100000</v>
      </c>
      <c r="E14" s="236">
        <v>75000</v>
      </c>
      <c r="F14" s="557">
        <f t="shared" si="1"/>
        <v>0.75</v>
      </c>
      <c r="G14" s="244">
        <f t="shared" si="2"/>
        <v>22500</v>
      </c>
      <c r="H14" s="227" t="s">
        <v>289</v>
      </c>
      <c r="I14" s="227" t="s">
        <v>299</v>
      </c>
    </row>
    <row r="15" spans="1:10" ht="21" customHeight="1" x14ac:dyDescent="0.25">
      <c r="A15" s="237"/>
      <c r="B15" s="238"/>
      <c r="C15" s="239">
        <f t="shared" si="0"/>
        <v>6721000.0000000009</v>
      </c>
      <c r="D15" s="534">
        <v>6110000</v>
      </c>
      <c r="E15" s="534">
        <v>1840500</v>
      </c>
      <c r="F15" s="558">
        <f t="shared" si="1"/>
        <v>0.30122749590834696</v>
      </c>
      <c r="G15" s="240">
        <f t="shared" si="2"/>
        <v>552150</v>
      </c>
      <c r="H15" s="241" t="s">
        <v>290</v>
      </c>
      <c r="I15" s="241"/>
    </row>
    <row r="16" spans="1:10" ht="21" customHeight="1" x14ac:dyDescent="0.25">
      <c r="A16" s="232">
        <v>10</v>
      </c>
      <c r="B16" s="228" t="s">
        <v>7</v>
      </c>
      <c r="C16" s="243">
        <f t="shared" si="0"/>
        <v>1100000</v>
      </c>
      <c r="D16" s="236">
        <v>1000000</v>
      </c>
      <c r="E16" s="236">
        <v>300000</v>
      </c>
      <c r="F16" s="557">
        <f t="shared" si="1"/>
        <v>0.3</v>
      </c>
      <c r="G16" s="242">
        <f t="shared" si="2"/>
        <v>90000</v>
      </c>
      <c r="H16" s="227" t="s">
        <v>289</v>
      </c>
      <c r="I16" s="227" t="s">
        <v>297</v>
      </c>
    </row>
    <row r="17" spans="1:10" ht="21" customHeight="1" x14ac:dyDescent="0.25">
      <c r="A17" s="232"/>
      <c r="B17" s="228" t="s">
        <v>300</v>
      </c>
      <c r="C17" s="243">
        <f t="shared" si="0"/>
        <v>198000.00000000003</v>
      </c>
      <c r="D17" s="236">
        <v>180000</v>
      </c>
      <c r="E17" s="236">
        <v>36000</v>
      </c>
      <c r="F17" s="557">
        <f t="shared" si="1"/>
        <v>0.2</v>
      </c>
      <c r="G17" s="242">
        <f t="shared" si="2"/>
        <v>10800</v>
      </c>
      <c r="H17" s="227" t="s">
        <v>289</v>
      </c>
      <c r="I17" s="227" t="s">
        <v>297</v>
      </c>
    </row>
    <row r="18" spans="1:10" ht="21" customHeight="1" x14ac:dyDescent="0.25">
      <c r="A18" s="232"/>
      <c r="B18" s="228" t="s">
        <v>2</v>
      </c>
      <c r="C18" s="243">
        <f t="shared" si="0"/>
        <v>8179600.0000000009</v>
      </c>
      <c r="D18" s="535">
        <v>7436000</v>
      </c>
      <c r="E18" s="535">
        <v>1976500</v>
      </c>
      <c r="F18" s="559">
        <f t="shared" si="1"/>
        <v>0.26580150618612158</v>
      </c>
      <c r="G18" s="242">
        <f t="shared" si="2"/>
        <v>592950</v>
      </c>
      <c r="H18" s="227" t="s">
        <v>289</v>
      </c>
      <c r="I18" s="227" t="s">
        <v>299</v>
      </c>
      <c r="J18" s="227" t="s">
        <v>370</v>
      </c>
    </row>
    <row r="19" spans="1:10" ht="21" customHeight="1" x14ac:dyDescent="0.25">
      <c r="A19" s="232"/>
      <c r="B19" s="228" t="s">
        <v>301</v>
      </c>
      <c r="C19" s="243">
        <f t="shared" si="0"/>
        <v>642400</v>
      </c>
      <c r="D19" s="535">
        <v>584000</v>
      </c>
      <c r="E19" s="535">
        <v>81600</v>
      </c>
      <c r="F19" s="559">
        <f t="shared" si="1"/>
        <v>0.13972602739726028</v>
      </c>
      <c r="G19" s="242">
        <f t="shared" si="2"/>
        <v>24480</v>
      </c>
      <c r="H19" s="227" t="s">
        <v>289</v>
      </c>
      <c r="I19" s="227" t="s">
        <v>297</v>
      </c>
    </row>
    <row r="20" spans="1:10" ht="21" customHeight="1" x14ac:dyDescent="0.25">
      <c r="A20" s="232"/>
      <c r="B20" s="228" t="s">
        <v>8</v>
      </c>
      <c r="C20" s="243">
        <f t="shared" si="0"/>
        <v>1375000</v>
      </c>
      <c r="D20" s="535">
        <v>1250000</v>
      </c>
      <c r="E20" s="535">
        <v>457000</v>
      </c>
      <c r="F20" s="559">
        <f t="shared" si="1"/>
        <v>0.36559999999999998</v>
      </c>
      <c r="G20" s="242">
        <f t="shared" si="2"/>
        <v>137100</v>
      </c>
      <c r="H20" s="227" t="s">
        <v>289</v>
      </c>
      <c r="I20" s="227" t="s">
        <v>299</v>
      </c>
    </row>
    <row r="21" spans="1:10" ht="21" customHeight="1" x14ac:dyDescent="0.25">
      <c r="A21" s="232"/>
      <c r="B21" s="228" t="s">
        <v>9</v>
      </c>
      <c r="C21" s="243">
        <f t="shared" si="0"/>
        <v>1650000.0000000002</v>
      </c>
      <c r="D21" s="535">
        <v>1500000</v>
      </c>
      <c r="E21" s="535">
        <v>190000</v>
      </c>
      <c r="F21" s="559">
        <f t="shared" si="1"/>
        <v>0.12666666666666668</v>
      </c>
      <c r="G21" s="242">
        <f t="shared" si="2"/>
        <v>57000</v>
      </c>
      <c r="H21" s="227" t="s">
        <v>289</v>
      </c>
      <c r="I21" s="227" t="s">
        <v>299</v>
      </c>
    </row>
    <row r="22" spans="1:10" ht="21" customHeight="1" x14ac:dyDescent="0.25">
      <c r="A22" s="237"/>
      <c r="B22" s="238"/>
      <c r="C22" s="239">
        <f>SUM(C16:C21)</f>
        <v>13145000</v>
      </c>
      <c r="D22" s="534">
        <f>SUM(D16:D21)</f>
        <v>11950000</v>
      </c>
      <c r="E22" s="534">
        <f>SUM(E16:E21)</f>
        <v>3041100</v>
      </c>
      <c r="F22" s="558">
        <f t="shared" si="1"/>
        <v>0.25448535564853558</v>
      </c>
      <c r="G22" s="245">
        <f>SUM(G16:G21)</f>
        <v>912330</v>
      </c>
      <c r="H22" s="241" t="s">
        <v>290</v>
      </c>
      <c r="I22" s="241"/>
    </row>
    <row r="23" spans="1:10" ht="21" customHeight="1" x14ac:dyDescent="0.25">
      <c r="A23" s="232">
        <v>11</v>
      </c>
      <c r="B23" s="228" t="s">
        <v>2</v>
      </c>
      <c r="C23" s="233">
        <f t="shared" ref="C23:C29" si="3">D23*1.1</f>
        <v>13402400.000000002</v>
      </c>
      <c r="D23" s="236">
        <v>12184000</v>
      </c>
      <c r="E23" s="236">
        <v>3373500</v>
      </c>
      <c r="F23" s="557">
        <f t="shared" si="1"/>
        <v>0.27687951411687461</v>
      </c>
      <c r="G23" s="242">
        <f t="shared" ref="G23:G29" si="4">E23*30%</f>
        <v>1012050</v>
      </c>
      <c r="H23" s="227" t="s">
        <v>289</v>
      </c>
      <c r="I23" s="246">
        <v>41663</v>
      </c>
      <c r="J23" s="227" t="s">
        <v>371</v>
      </c>
    </row>
    <row r="24" spans="1:10" ht="21" customHeight="1" x14ac:dyDescent="0.25">
      <c r="A24" s="247"/>
      <c r="B24" s="228" t="s">
        <v>302</v>
      </c>
      <c r="C24" s="243">
        <f t="shared" si="3"/>
        <v>2596000</v>
      </c>
      <c r="D24" s="535">
        <v>2360000</v>
      </c>
      <c r="E24" s="535">
        <v>440000</v>
      </c>
      <c r="F24" s="559">
        <f t="shared" si="1"/>
        <v>0.1864406779661017</v>
      </c>
      <c r="G24" s="242">
        <f t="shared" si="4"/>
        <v>132000</v>
      </c>
      <c r="H24" s="227" t="s">
        <v>289</v>
      </c>
      <c r="I24" s="246">
        <v>41800</v>
      </c>
    </row>
    <row r="25" spans="1:10" ht="21" customHeight="1" x14ac:dyDescent="0.25">
      <c r="A25" s="247"/>
      <c r="B25" s="228" t="s">
        <v>9</v>
      </c>
      <c r="C25" s="243">
        <f t="shared" si="3"/>
        <v>1485000.0000000002</v>
      </c>
      <c r="D25" s="535">
        <v>1350000</v>
      </c>
      <c r="E25" s="535">
        <v>270000</v>
      </c>
      <c r="F25" s="559">
        <f t="shared" si="1"/>
        <v>0.2</v>
      </c>
      <c r="G25" s="242">
        <f t="shared" si="4"/>
        <v>81000</v>
      </c>
      <c r="H25" s="227" t="s">
        <v>289</v>
      </c>
      <c r="I25" s="227" t="s">
        <v>299</v>
      </c>
    </row>
    <row r="26" spans="1:10" ht="21" customHeight="1" x14ac:dyDescent="0.25">
      <c r="A26" s="247"/>
      <c r="B26" s="228" t="s">
        <v>372</v>
      </c>
      <c r="C26" s="243">
        <f t="shared" si="3"/>
        <v>968000.00000000012</v>
      </c>
      <c r="D26" s="535">
        <v>880000</v>
      </c>
      <c r="E26" s="535">
        <v>251700</v>
      </c>
      <c r="F26" s="559">
        <f t="shared" si="1"/>
        <v>0.28602272727272726</v>
      </c>
      <c r="G26" s="242">
        <f t="shared" si="4"/>
        <v>75510</v>
      </c>
      <c r="H26" s="227" t="s">
        <v>289</v>
      </c>
      <c r="I26" s="246">
        <v>41800</v>
      </c>
    </row>
    <row r="27" spans="1:10" ht="21" customHeight="1" x14ac:dyDescent="0.25">
      <c r="A27" s="247"/>
      <c r="B27" s="228" t="s">
        <v>372</v>
      </c>
      <c r="C27" s="243">
        <f t="shared" si="3"/>
        <v>4400000</v>
      </c>
      <c r="D27" s="535">
        <v>4000000</v>
      </c>
      <c r="E27" s="243">
        <v>1401600</v>
      </c>
      <c r="F27" s="559">
        <f t="shared" si="1"/>
        <v>0.35039999999999999</v>
      </c>
      <c r="G27" s="242">
        <f t="shared" si="4"/>
        <v>420480</v>
      </c>
      <c r="H27" s="227" t="s">
        <v>289</v>
      </c>
      <c r="I27" s="246">
        <v>41800</v>
      </c>
    </row>
    <row r="28" spans="1:10" s="249" customFormat="1" ht="21" customHeight="1" x14ac:dyDescent="0.25">
      <c r="A28" s="248"/>
      <c r="B28" s="249" t="s">
        <v>303</v>
      </c>
      <c r="C28" s="250">
        <f t="shared" si="3"/>
        <v>440000.00000000006</v>
      </c>
      <c r="D28" s="536">
        <v>400000</v>
      </c>
      <c r="E28" s="536">
        <v>92000</v>
      </c>
      <c r="F28" s="560">
        <f t="shared" si="1"/>
        <v>0.23</v>
      </c>
      <c r="G28" s="234">
        <f t="shared" si="4"/>
        <v>27600</v>
      </c>
      <c r="H28" s="251" t="s">
        <v>289</v>
      </c>
      <c r="I28" s="252" t="s">
        <v>373</v>
      </c>
      <c r="J28" s="251"/>
    </row>
    <row r="29" spans="1:10" s="249" customFormat="1" ht="21" customHeight="1" x14ac:dyDescent="0.25">
      <c r="A29" s="248"/>
      <c r="B29" s="249" t="s">
        <v>11</v>
      </c>
      <c r="C29" s="250">
        <f t="shared" si="3"/>
        <v>715000</v>
      </c>
      <c r="D29" s="536">
        <v>650000</v>
      </c>
      <c r="E29" s="536">
        <v>125000</v>
      </c>
      <c r="F29" s="560">
        <f t="shared" si="1"/>
        <v>0.19230769230769232</v>
      </c>
      <c r="G29" s="234">
        <f t="shared" si="4"/>
        <v>37500</v>
      </c>
      <c r="H29" s="251" t="s">
        <v>289</v>
      </c>
      <c r="I29" s="252" t="s">
        <v>373</v>
      </c>
      <c r="J29" s="251"/>
    </row>
    <row r="30" spans="1:10" ht="21" customHeight="1" x14ac:dyDescent="0.25">
      <c r="A30" s="238"/>
      <c r="B30" s="238"/>
      <c r="C30" s="239">
        <f>SUM(C23:C29)</f>
        <v>24006400.000000004</v>
      </c>
      <c r="D30" s="534">
        <f>SUM(D23:D29)</f>
        <v>21824000</v>
      </c>
      <c r="E30" s="534">
        <f>SUM(E23:E29)</f>
        <v>5953800</v>
      </c>
      <c r="F30" s="558">
        <f t="shared" si="1"/>
        <v>0.27280975073313785</v>
      </c>
      <c r="G30" s="240"/>
      <c r="H30" s="241" t="s">
        <v>290</v>
      </c>
      <c r="I30" s="241"/>
    </row>
    <row r="31" spans="1:10" ht="21" customHeight="1" x14ac:dyDescent="0.25">
      <c r="A31" s="232">
        <v>12</v>
      </c>
      <c r="B31" s="253" t="s">
        <v>2</v>
      </c>
      <c r="C31" s="243">
        <f t="shared" ref="C31:C36" si="5">D31*1.1</f>
        <v>12310650.000000002</v>
      </c>
      <c r="D31" s="537">
        <v>11191500</v>
      </c>
      <c r="E31" s="537">
        <v>3378000</v>
      </c>
      <c r="F31" s="559">
        <f t="shared" si="1"/>
        <v>0.30183621498458651</v>
      </c>
      <c r="G31" s="242">
        <f>E31*20%</f>
        <v>675600</v>
      </c>
      <c r="H31" s="227" t="s">
        <v>289</v>
      </c>
      <c r="I31" s="246">
        <v>41703</v>
      </c>
      <c r="J31" s="227" t="s">
        <v>374</v>
      </c>
    </row>
    <row r="32" spans="1:10" ht="21" customHeight="1" x14ac:dyDescent="0.25">
      <c r="A32" s="247"/>
      <c r="B32" s="255" t="s">
        <v>294</v>
      </c>
      <c r="C32" s="243">
        <f t="shared" si="5"/>
        <v>1611500.0000000002</v>
      </c>
      <c r="D32" s="538">
        <v>1465000</v>
      </c>
      <c r="E32" s="538">
        <v>249500</v>
      </c>
      <c r="F32" s="559">
        <f t="shared" si="1"/>
        <v>0.17030716723549488</v>
      </c>
      <c r="G32" s="242">
        <f>E32*30%</f>
        <v>74850</v>
      </c>
      <c r="H32" s="227" t="s">
        <v>289</v>
      </c>
      <c r="I32" s="246">
        <v>41663</v>
      </c>
    </row>
    <row r="33" spans="1:10" ht="64.5" x14ac:dyDescent="0.25">
      <c r="A33" s="247"/>
      <c r="B33" s="255" t="s">
        <v>296</v>
      </c>
      <c r="C33" s="257">
        <f t="shared" si="5"/>
        <v>1273800</v>
      </c>
      <c r="D33" s="539">
        <v>1158000</v>
      </c>
      <c r="E33" s="539">
        <v>343000</v>
      </c>
      <c r="F33" s="559">
        <f t="shared" si="1"/>
        <v>0.29620034542314333</v>
      </c>
      <c r="G33" s="242">
        <f>E33*30%</f>
        <v>102900</v>
      </c>
      <c r="H33" s="227" t="s">
        <v>289</v>
      </c>
      <c r="I33" s="246">
        <v>41730</v>
      </c>
      <c r="J33" s="1028" t="s">
        <v>375</v>
      </c>
    </row>
    <row r="34" spans="1:10" ht="21" customHeight="1" x14ac:dyDescent="0.25">
      <c r="A34" s="247"/>
      <c r="B34" s="258" t="s">
        <v>8</v>
      </c>
      <c r="C34" s="259">
        <f t="shared" si="5"/>
        <v>1375000</v>
      </c>
      <c r="D34" s="539">
        <v>1250000</v>
      </c>
      <c r="E34" s="539">
        <v>457000</v>
      </c>
      <c r="F34" s="559">
        <f t="shared" si="1"/>
        <v>0.36559999999999998</v>
      </c>
      <c r="G34" s="881">
        <f>E34*30%</f>
        <v>137100</v>
      </c>
      <c r="H34" s="223" t="s">
        <v>376</v>
      </c>
      <c r="I34" s="246"/>
    </row>
    <row r="35" spans="1:10" ht="21" customHeight="1" x14ac:dyDescent="0.25">
      <c r="A35" s="247"/>
      <c r="B35" s="255" t="s">
        <v>5</v>
      </c>
      <c r="C35" s="257">
        <f t="shared" si="5"/>
        <v>2750000</v>
      </c>
      <c r="D35" s="540">
        <v>2500000</v>
      </c>
      <c r="E35" s="540">
        <v>659200</v>
      </c>
      <c r="F35" s="561">
        <f t="shared" si="1"/>
        <v>0.26368000000000003</v>
      </c>
      <c r="G35" s="242">
        <f>E35*20%</f>
        <v>131840</v>
      </c>
      <c r="H35" s="227" t="s">
        <v>289</v>
      </c>
      <c r="I35" s="246">
        <v>41703</v>
      </c>
    </row>
    <row r="36" spans="1:10" ht="21" customHeight="1" x14ac:dyDescent="0.25">
      <c r="A36" s="247"/>
      <c r="B36" s="255" t="s">
        <v>9</v>
      </c>
      <c r="C36" s="257">
        <f t="shared" si="5"/>
        <v>1980000.0000000002</v>
      </c>
      <c r="D36" s="540">
        <v>1800000</v>
      </c>
      <c r="E36" s="540">
        <v>360000</v>
      </c>
      <c r="F36" s="561">
        <f t="shared" si="1"/>
        <v>0.2</v>
      </c>
      <c r="G36" s="242">
        <f>E36*30%</f>
        <v>108000</v>
      </c>
      <c r="H36" s="227" t="s">
        <v>289</v>
      </c>
      <c r="I36" s="246">
        <v>41663</v>
      </c>
      <c r="J36" s="1029"/>
    </row>
    <row r="37" spans="1:10" ht="21" customHeight="1" x14ac:dyDescent="0.25">
      <c r="A37" s="238"/>
      <c r="B37" s="238"/>
      <c r="C37" s="239">
        <f>SUM(C31:C36)</f>
        <v>21300950</v>
      </c>
      <c r="D37" s="534">
        <f>SUM(D31:D36)</f>
        <v>19364500</v>
      </c>
      <c r="E37" s="534">
        <f>SUM(E31:E36)</f>
        <v>5446700</v>
      </c>
      <c r="F37" s="558">
        <f t="shared" si="1"/>
        <v>0.28127243151127063</v>
      </c>
      <c r="G37" s="240"/>
      <c r="H37" s="241" t="s">
        <v>290</v>
      </c>
      <c r="I37" s="241"/>
    </row>
    <row r="38" spans="1:10" ht="21" customHeight="1" x14ac:dyDescent="0.25">
      <c r="A38" s="261" t="s">
        <v>377</v>
      </c>
      <c r="B38" s="253" t="s">
        <v>5</v>
      </c>
      <c r="C38" s="537">
        <v>2750000</v>
      </c>
      <c r="D38" s="537">
        <v>2500000</v>
      </c>
      <c r="E38" s="537">
        <v>659200</v>
      </c>
      <c r="F38" s="402">
        <f t="shared" si="1"/>
        <v>0.26368000000000003</v>
      </c>
      <c r="G38" s="545">
        <f>E38*20%</f>
        <v>131840</v>
      </c>
      <c r="H38" s="227" t="s">
        <v>289</v>
      </c>
      <c r="I38" s="246">
        <v>41703</v>
      </c>
    </row>
    <row r="39" spans="1:10" ht="21" customHeight="1" x14ac:dyDescent="0.25">
      <c r="A39" s="263"/>
      <c r="B39" s="255" t="s">
        <v>9</v>
      </c>
      <c r="C39" s="538">
        <v>2277000</v>
      </c>
      <c r="D39" s="538">
        <v>2070000</v>
      </c>
      <c r="E39" s="538">
        <v>77000</v>
      </c>
      <c r="F39" s="562">
        <f t="shared" si="1"/>
        <v>3.7198067632850239E-2</v>
      </c>
      <c r="G39" s="882">
        <f>E39*20%</f>
        <v>15400</v>
      </c>
      <c r="H39" s="227" t="s">
        <v>289</v>
      </c>
      <c r="I39" s="246">
        <v>41703</v>
      </c>
    </row>
    <row r="40" spans="1:10" ht="21" customHeight="1" x14ac:dyDescent="0.25">
      <c r="A40" s="263"/>
      <c r="B40" s="255" t="s">
        <v>304</v>
      </c>
      <c r="C40" s="538">
        <v>748000</v>
      </c>
      <c r="D40" s="538">
        <v>680000</v>
      </c>
      <c r="E40" s="538">
        <v>162140</v>
      </c>
      <c r="F40" s="562">
        <f t="shared" si="1"/>
        <v>0.23844117647058824</v>
      </c>
      <c r="G40" s="882">
        <f>E40*20%</f>
        <v>32428</v>
      </c>
      <c r="H40" s="227" t="s">
        <v>289</v>
      </c>
      <c r="I40" s="246">
        <v>41703</v>
      </c>
    </row>
    <row r="41" spans="1:10" ht="21" customHeight="1" x14ac:dyDescent="0.25">
      <c r="A41" s="263"/>
      <c r="B41" s="255" t="s">
        <v>302</v>
      </c>
      <c r="C41" s="538">
        <v>1298000</v>
      </c>
      <c r="D41" s="538">
        <v>1180000</v>
      </c>
      <c r="E41" s="538">
        <v>220000</v>
      </c>
      <c r="F41" s="562">
        <f t="shared" si="1"/>
        <v>0.1864406779661017</v>
      </c>
      <c r="G41" s="882">
        <f>E41*20%</f>
        <v>44000</v>
      </c>
      <c r="H41" s="227" t="s">
        <v>289</v>
      </c>
      <c r="I41" s="246">
        <v>41703</v>
      </c>
    </row>
    <row r="42" spans="1:10" ht="21" customHeight="1" x14ac:dyDescent="0.25">
      <c r="A42" s="263"/>
      <c r="B42" s="255" t="s">
        <v>2</v>
      </c>
      <c r="C42" s="538">
        <v>3856050</v>
      </c>
      <c r="D42" s="538">
        <v>3505500</v>
      </c>
      <c r="E42" s="538">
        <v>916000</v>
      </c>
      <c r="F42" s="562">
        <f t="shared" si="1"/>
        <v>0.26130366566823565</v>
      </c>
      <c r="G42" s="552">
        <f>E42*30%</f>
        <v>274800</v>
      </c>
      <c r="H42" s="227" t="s">
        <v>289</v>
      </c>
      <c r="I42" s="266">
        <v>41730</v>
      </c>
    </row>
    <row r="43" spans="1:10" ht="21" customHeight="1" x14ac:dyDescent="0.25">
      <c r="A43" s="263"/>
      <c r="B43" s="255" t="s">
        <v>305</v>
      </c>
      <c r="C43" s="538">
        <v>1485000</v>
      </c>
      <c r="D43" s="538">
        <v>1350000</v>
      </c>
      <c r="E43" s="538">
        <v>392320</v>
      </c>
      <c r="F43" s="562">
        <f t="shared" si="1"/>
        <v>0.29060740740740743</v>
      </c>
      <c r="G43" s="882">
        <f>E43*20%</f>
        <v>78464</v>
      </c>
      <c r="H43" s="227" t="s">
        <v>289</v>
      </c>
      <c r="I43" s="246">
        <v>41703</v>
      </c>
    </row>
    <row r="44" spans="1:10" ht="21" customHeight="1" x14ac:dyDescent="0.25">
      <c r="A44" s="267"/>
      <c r="B44" s="255" t="s">
        <v>306</v>
      </c>
      <c r="C44" s="538">
        <v>1430000</v>
      </c>
      <c r="D44" s="538">
        <v>1300000</v>
      </c>
      <c r="E44" s="538">
        <v>341160</v>
      </c>
      <c r="F44" s="562">
        <f t="shared" si="1"/>
        <v>0.26243076923076925</v>
      </c>
      <c r="G44" s="882">
        <f>E44*20%</f>
        <v>68232</v>
      </c>
      <c r="H44" s="227" t="s">
        <v>289</v>
      </c>
      <c r="I44" s="246">
        <v>41703</v>
      </c>
    </row>
    <row r="45" spans="1:10" ht="21" customHeight="1" x14ac:dyDescent="0.25">
      <c r="A45" s="268"/>
      <c r="B45" s="269"/>
      <c r="C45" s="541">
        <v>13844050</v>
      </c>
      <c r="D45" s="541">
        <v>12585500</v>
      </c>
      <c r="E45" s="541">
        <v>2767820</v>
      </c>
      <c r="F45" s="563">
        <f t="shared" si="1"/>
        <v>0.21992133804775338</v>
      </c>
      <c r="G45" s="883"/>
      <c r="H45" s="241"/>
      <c r="I45" s="270"/>
    </row>
    <row r="46" spans="1:10" ht="21" customHeight="1" x14ac:dyDescent="0.25">
      <c r="A46" s="261" t="s">
        <v>378</v>
      </c>
      <c r="B46" s="253" t="s">
        <v>5</v>
      </c>
      <c r="C46" s="537">
        <v>1375000</v>
      </c>
      <c r="D46" s="537">
        <v>1250000</v>
      </c>
      <c r="E46" s="537">
        <v>329560</v>
      </c>
      <c r="F46" s="402">
        <f t="shared" si="1"/>
        <v>0.26364799999999999</v>
      </c>
      <c r="G46" s="547">
        <f>E46*20%</f>
        <v>65912</v>
      </c>
      <c r="H46" s="227" t="s">
        <v>289</v>
      </c>
      <c r="I46" s="246">
        <v>41730</v>
      </c>
    </row>
    <row r="47" spans="1:10" ht="21" customHeight="1" x14ac:dyDescent="0.25">
      <c r="A47" s="263"/>
      <c r="B47" s="255" t="s">
        <v>9</v>
      </c>
      <c r="C47" s="538">
        <v>1485000</v>
      </c>
      <c r="D47" s="538">
        <v>1350000</v>
      </c>
      <c r="E47" s="538">
        <v>129000</v>
      </c>
      <c r="F47" s="562">
        <f t="shared" si="1"/>
        <v>9.555555555555556E-2</v>
      </c>
      <c r="G47" s="552">
        <f>E47*20%</f>
        <v>25800</v>
      </c>
      <c r="H47" s="227" t="s">
        <v>289</v>
      </c>
      <c r="I47" s="246">
        <v>41730</v>
      </c>
    </row>
    <row r="48" spans="1:10" ht="35.25" customHeight="1" x14ac:dyDescent="0.25">
      <c r="A48" s="263"/>
      <c r="B48" s="255" t="s">
        <v>2</v>
      </c>
      <c r="C48" s="538">
        <v>9455600</v>
      </c>
      <c r="D48" s="538">
        <v>8596000</v>
      </c>
      <c r="E48" s="538">
        <v>2473250</v>
      </c>
      <c r="F48" s="562">
        <f t="shared" si="1"/>
        <v>0.28772103303862262</v>
      </c>
      <c r="G48" s="552">
        <v>494650</v>
      </c>
      <c r="H48" s="227" t="s">
        <v>289</v>
      </c>
      <c r="I48" s="246">
        <v>41771</v>
      </c>
      <c r="J48" s="1030" t="s">
        <v>379</v>
      </c>
    </row>
    <row r="49" spans="1:10" ht="21" customHeight="1" x14ac:dyDescent="0.25">
      <c r="A49" s="263"/>
      <c r="B49" s="255" t="s">
        <v>296</v>
      </c>
      <c r="C49" s="539">
        <v>323400</v>
      </c>
      <c r="D49" s="539">
        <v>294000</v>
      </c>
      <c r="E49" s="539">
        <v>74000</v>
      </c>
      <c r="F49" s="564">
        <f t="shared" si="1"/>
        <v>0.25170068027210885</v>
      </c>
      <c r="G49" s="882">
        <f>E49*30%</f>
        <v>22200</v>
      </c>
      <c r="H49" s="227" t="s">
        <v>289</v>
      </c>
      <c r="I49" s="246">
        <v>41800</v>
      </c>
      <c r="J49" s="1031"/>
    </row>
    <row r="50" spans="1:10" ht="21" customHeight="1" x14ac:dyDescent="0.25">
      <c r="A50" s="268"/>
      <c r="B50" s="269"/>
      <c r="C50" s="541">
        <f>SUM(C46:C49)</f>
        <v>12639000</v>
      </c>
      <c r="D50" s="541">
        <f>SUM(D46:D49)</f>
        <v>11490000</v>
      </c>
      <c r="E50" s="541">
        <f>SUM(E46:E49)</f>
        <v>3005810</v>
      </c>
      <c r="F50" s="563">
        <f t="shared" si="1"/>
        <v>0.2616022628372498</v>
      </c>
      <c r="G50" s="883"/>
      <c r="H50" s="241"/>
      <c r="I50" s="272"/>
    </row>
    <row r="51" spans="1:10" ht="21" customHeight="1" x14ac:dyDescent="0.25">
      <c r="A51" s="261" t="s">
        <v>380</v>
      </c>
      <c r="B51" s="253" t="s">
        <v>5</v>
      </c>
      <c r="C51" s="537">
        <v>1375000</v>
      </c>
      <c r="D51" s="537">
        <v>1250000</v>
      </c>
      <c r="E51" s="537">
        <v>329560</v>
      </c>
      <c r="F51" s="402">
        <f t="shared" si="1"/>
        <v>0.26364799999999999</v>
      </c>
      <c r="G51" s="547">
        <f>E51*20%</f>
        <v>65912</v>
      </c>
      <c r="H51" s="227" t="s">
        <v>289</v>
      </c>
      <c r="I51" s="246">
        <v>41771</v>
      </c>
    </row>
    <row r="52" spans="1:10" ht="21" customHeight="1" x14ac:dyDescent="0.25">
      <c r="A52" s="273"/>
      <c r="B52" s="253" t="s">
        <v>8</v>
      </c>
      <c r="C52" s="244">
        <v>715000</v>
      </c>
      <c r="D52" s="542">
        <v>650000</v>
      </c>
      <c r="E52" s="542">
        <v>203100</v>
      </c>
      <c r="F52" s="565">
        <f t="shared" si="1"/>
        <v>0.31246153846153846</v>
      </c>
      <c r="G52" s="545">
        <f>E52*30%</f>
        <v>60930</v>
      </c>
      <c r="I52" s="275"/>
    </row>
    <row r="53" spans="1:10" ht="17.25" x14ac:dyDescent="0.25">
      <c r="A53" s="273"/>
      <c r="B53" s="255" t="s">
        <v>9</v>
      </c>
      <c r="C53" s="542">
        <v>2722500</v>
      </c>
      <c r="D53" s="542">
        <v>2475000</v>
      </c>
      <c r="E53" s="542">
        <v>351200</v>
      </c>
      <c r="F53" s="564">
        <f t="shared" si="1"/>
        <v>0.14189898989898989</v>
      </c>
      <c r="G53" s="545">
        <f>E53*30%</f>
        <v>105360</v>
      </c>
      <c r="H53" s="227" t="s">
        <v>289</v>
      </c>
      <c r="I53" s="246">
        <v>41800</v>
      </c>
      <c r="J53" s="1032"/>
    </row>
    <row r="54" spans="1:10" ht="21" customHeight="1" x14ac:dyDescent="0.25">
      <c r="A54" s="273"/>
      <c r="B54" s="255" t="s">
        <v>9</v>
      </c>
      <c r="C54" s="539">
        <v>3960000</v>
      </c>
      <c r="D54" s="542">
        <v>3600000</v>
      </c>
      <c r="E54" s="542">
        <v>576200</v>
      </c>
      <c r="F54" s="564">
        <f t="shared" si="1"/>
        <v>0.16005555555555556</v>
      </c>
      <c r="G54" s="545">
        <f>E54*30%</f>
        <v>172860</v>
      </c>
      <c r="H54" s="227" t="s">
        <v>289</v>
      </c>
      <c r="I54" s="246">
        <v>41800</v>
      </c>
    </row>
    <row r="55" spans="1:10" ht="21" customHeight="1" x14ac:dyDescent="0.25">
      <c r="A55" s="263"/>
      <c r="B55" s="255" t="s">
        <v>2</v>
      </c>
      <c r="C55" s="542">
        <v>7808350</v>
      </c>
      <c r="D55" s="542">
        <v>7098500</v>
      </c>
      <c r="E55" s="542">
        <v>1829500</v>
      </c>
      <c r="F55" s="564">
        <f t="shared" si="1"/>
        <v>0.2577305064450236</v>
      </c>
      <c r="G55" s="545">
        <f>E55*20%</f>
        <v>365900</v>
      </c>
      <c r="H55" s="227" t="s">
        <v>289</v>
      </c>
      <c r="I55" s="246">
        <v>41771</v>
      </c>
    </row>
    <row r="56" spans="1:10" ht="21" customHeight="1" x14ac:dyDescent="0.25">
      <c r="A56" s="263"/>
      <c r="B56" s="253" t="s">
        <v>303</v>
      </c>
      <c r="C56" s="542">
        <v>440000</v>
      </c>
      <c r="D56" s="542">
        <v>400000</v>
      </c>
      <c r="E56" s="542">
        <v>92000</v>
      </c>
      <c r="F56" s="564">
        <f t="shared" si="1"/>
        <v>0.23</v>
      </c>
      <c r="G56" s="545">
        <f>E56*30%</f>
        <v>27600</v>
      </c>
      <c r="H56" s="251" t="s">
        <v>289</v>
      </c>
      <c r="I56" s="252" t="s">
        <v>373</v>
      </c>
    </row>
    <row r="57" spans="1:10" ht="21" customHeight="1" x14ac:dyDescent="0.25">
      <c r="A57" s="276"/>
      <c r="B57" s="277"/>
      <c r="C57" s="543">
        <f>SUM(C51:C56)</f>
        <v>17020850</v>
      </c>
      <c r="D57" s="543">
        <f>SUM(D51:D56)</f>
        <v>15473500</v>
      </c>
      <c r="E57" s="543">
        <f>SUM(E51:E56)</f>
        <v>3381560</v>
      </c>
      <c r="F57" s="566">
        <f t="shared" si="1"/>
        <v>0.21853879212847771</v>
      </c>
      <c r="G57" s="818">
        <f>SUM(G51:G56)</f>
        <v>798562</v>
      </c>
      <c r="H57" s="241"/>
      <c r="I57" s="272"/>
    </row>
    <row r="58" spans="1:10" ht="21" customHeight="1" x14ac:dyDescent="0.25">
      <c r="A58" s="261" t="s">
        <v>381</v>
      </c>
      <c r="B58" s="253" t="s">
        <v>5</v>
      </c>
      <c r="C58" s="542">
        <f>D58*1.1</f>
        <v>1485000.0000000002</v>
      </c>
      <c r="D58" s="542">
        <v>1350000</v>
      </c>
      <c r="E58" s="542">
        <v>367100</v>
      </c>
      <c r="F58" s="565">
        <f t="shared" si="1"/>
        <v>0.2719259259259259</v>
      </c>
      <c r="G58" s="244">
        <f>E58*30%</f>
        <v>110130</v>
      </c>
      <c r="H58" s="227" t="s">
        <v>289</v>
      </c>
      <c r="I58" s="246">
        <v>41800</v>
      </c>
    </row>
    <row r="59" spans="1:10" ht="21" customHeight="1" x14ac:dyDescent="0.25">
      <c r="A59" s="273"/>
      <c r="B59" s="255" t="s">
        <v>9</v>
      </c>
      <c r="C59" s="539">
        <f>D59*1.1</f>
        <v>5566000</v>
      </c>
      <c r="D59" s="539">
        <v>5060000</v>
      </c>
      <c r="E59" s="539">
        <v>724400</v>
      </c>
      <c r="F59" s="565">
        <f t="shared" si="1"/>
        <v>0.14316205533596837</v>
      </c>
      <c r="G59" s="244">
        <f>E59*30%</f>
        <v>217320</v>
      </c>
      <c r="H59" s="227" t="s">
        <v>289</v>
      </c>
      <c r="I59" s="246">
        <v>41771</v>
      </c>
    </row>
    <row r="60" spans="1:10" ht="21" customHeight="1" x14ac:dyDescent="0.25">
      <c r="A60" s="273"/>
      <c r="B60" s="255" t="s">
        <v>2</v>
      </c>
      <c r="C60" s="539">
        <f>D60*1.1</f>
        <v>8641600</v>
      </c>
      <c r="D60" s="539">
        <v>7856000</v>
      </c>
      <c r="E60" s="539">
        <v>2388500</v>
      </c>
      <c r="F60" s="564">
        <f t="shared" si="1"/>
        <v>0.30403513238289204</v>
      </c>
      <c r="G60" s="244">
        <f>E60*30%</f>
        <v>716550</v>
      </c>
      <c r="H60" s="227" t="s">
        <v>289</v>
      </c>
      <c r="I60" s="246">
        <v>41800</v>
      </c>
      <c r="J60" s="1030" t="s">
        <v>382</v>
      </c>
    </row>
    <row r="61" spans="1:10" ht="21" customHeight="1" x14ac:dyDescent="0.25">
      <c r="A61" s="263"/>
      <c r="B61" s="255" t="s">
        <v>14</v>
      </c>
      <c r="C61" s="539">
        <f>D61*1.1</f>
        <v>341000</v>
      </c>
      <c r="D61" s="539">
        <v>310000</v>
      </c>
      <c r="E61" s="539">
        <v>46000</v>
      </c>
      <c r="F61" s="564">
        <f t="shared" si="1"/>
        <v>0.14838709677419354</v>
      </c>
      <c r="G61" s="244">
        <f>E61*30%</f>
        <v>13800</v>
      </c>
      <c r="H61" s="227" t="s">
        <v>289</v>
      </c>
      <c r="I61" s="246">
        <v>41771</v>
      </c>
    </row>
    <row r="62" spans="1:10" ht="21" customHeight="1" x14ac:dyDescent="0.25">
      <c r="A62" s="263"/>
      <c r="B62" s="255" t="s">
        <v>307</v>
      </c>
      <c r="C62" s="539">
        <f>D62*1.1</f>
        <v>1298000</v>
      </c>
      <c r="D62" s="539">
        <v>1180000</v>
      </c>
      <c r="E62" s="539">
        <v>220000</v>
      </c>
      <c r="F62" s="564">
        <f t="shared" si="1"/>
        <v>0.1864406779661017</v>
      </c>
      <c r="G62" s="244">
        <f>E62*30%</f>
        <v>66000</v>
      </c>
      <c r="H62" s="227" t="s">
        <v>289</v>
      </c>
      <c r="I62" s="246">
        <v>41800</v>
      </c>
    </row>
    <row r="63" spans="1:10" ht="21" customHeight="1" x14ac:dyDescent="0.25">
      <c r="A63" s="276"/>
      <c r="B63" s="279"/>
      <c r="C63" s="544">
        <f>SUM(C58:C62)</f>
        <v>17331600</v>
      </c>
      <c r="D63" s="544">
        <f>SUM(D58:D62)</f>
        <v>15756000</v>
      </c>
      <c r="E63" s="544">
        <f>SUM(E58:E62)</f>
        <v>3746000</v>
      </c>
      <c r="F63" s="567">
        <f t="shared" si="1"/>
        <v>0.23775069814673774</v>
      </c>
      <c r="G63" s="884">
        <f>SUM(G58:G62)</f>
        <v>1123800</v>
      </c>
      <c r="H63" s="241"/>
      <c r="I63" s="272"/>
    </row>
    <row r="64" spans="1:10" ht="21" customHeight="1" x14ac:dyDescent="0.25">
      <c r="A64" s="261" t="s">
        <v>308</v>
      </c>
      <c r="B64" s="253" t="s">
        <v>8</v>
      </c>
      <c r="C64" s="545">
        <f t="shared" ref="C64:C69" si="6">D64*1.1</f>
        <v>1705000.0000000002</v>
      </c>
      <c r="D64" s="542">
        <v>1550000</v>
      </c>
      <c r="E64" s="542">
        <v>482400</v>
      </c>
      <c r="F64" s="565">
        <f t="shared" si="1"/>
        <v>0.31122580645161291</v>
      </c>
      <c r="G64" s="244">
        <f t="shared" ref="G64:G69" si="7">E64*30%</f>
        <v>144720</v>
      </c>
      <c r="I64" s="246"/>
      <c r="J64" s="251" t="s">
        <v>383</v>
      </c>
    </row>
    <row r="65" spans="1:10" ht="21" customHeight="1" x14ac:dyDescent="0.25">
      <c r="A65" s="273"/>
      <c r="B65" s="281" t="s">
        <v>5</v>
      </c>
      <c r="C65" s="538">
        <f t="shared" si="6"/>
        <v>1210000</v>
      </c>
      <c r="D65" s="538">
        <v>1100000</v>
      </c>
      <c r="E65" s="538">
        <v>180000</v>
      </c>
      <c r="F65" s="402">
        <f t="shared" si="1"/>
        <v>0.16363636363636364</v>
      </c>
      <c r="G65" s="244">
        <f t="shared" si="7"/>
        <v>54000</v>
      </c>
      <c r="H65" s="227" t="s">
        <v>289</v>
      </c>
      <c r="I65" s="246">
        <v>41841</v>
      </c>
    </row>
    <row r="66" spans="1:10" ht="21" customHeight="1" x14ac:dyDescent="0.25">
      <c r="A66" s="273"/>
      <c r="B66" s="281" t="s">
        <v>304</v>
      </c>
      <c r="C66" s="538">
        <f t="shared" si="6"/>
        <v>748000.00000000012</v>
      </c>
      <c r="D66" s="538">
        <v>680000</v>
      </c>
      <c r="E66" s="538">
        <v>162200</v>
      </c>
      <c r="F66" s="562">
        <f t="shared" si="1"/>
        <v>0.23852941176470588</v>
      </c>
      <c r="G66" s="244">
        <f t="shared" si="7"/>
        <v>48660</v>
      </c>
      <c r="H66" s="227" t="s">
        <v>289</v>
      </c>
      <c r="I66" s="246">
        <v>41841</v>
      </c>
    </row>
    <row r="67" spans="1:10" ht="21" customHeight="1" x14ac:dyDescent="0.25">
      <c r="A67" s="273"/>
      <c r="B67" s="281" t="s">
        <v>2</v>
      </c>
      <c r="C67" s="538">
        <f t="shared" si="6"/>
        <v>4139300.0000000005</v>
      </c>
      <c r="D67" s="538">
        <v>3763000</v>
      </c>
      <c r="E67" s="538">
        <v>953750</v>
      </c>
      <c r="F67" s="562">
        <f t="shared" ref="F67:F130" si="8">E67/D67</f>
        <v>0.25345469040659047</v>
      </c>
      <c r="G67" s="244">
        <f t="shared" si="7"/>
        <v>286125</v>
      </c>
      <c r="H67" s="227" t="s">
        <v>289</v>
      </c>
      <c r="I67" s="246">
        <v>41841</v>
      </c>
    </row>
    <row r="68" spans="1:10" ht="21" customHeight="1" x14ac:dyDescent="0.25">
      <c r="A68" s="263"/>
      <c r="B68" s="281" t="s">
        <v>305</v>
      </c>
      <c r="C68" s="538">
        <f t="shared" si="6"/>
        <v>1430000</v>
      </c>
      <c r="D68" s="538">
        <v>1300000</v>
      </c>
      <c r="E68" s="538">
        <v>342320</v>
      </c>
      <c r="F68" s="562">
        <f t="shared" si="8"/>
        <v>0.26332307692307694</v>
      </c>
      <c r="G68" s="244">
        <f t="shared" si="7"/>
        <v>102696</v>
      </c>
      <c r="H68" s="227" t="s">
        <v>289</v>
      </c>
      <c r="I68" s="246">
        <v>41841</v>
      </c>
      <c r="J68" s="1030" t="s">
        <v>384</v>
      </c>
    </row>
    <row r="69" spans="1:10" ht="21" customHeight="1" x14ac:dyDescent="0.25">
      <c r="A69" s="263"/>
      <c r="B69" s="258" t="s">
        <v>15</v>
      </c>
      <c r="C69" s="546">
        <f t="shared" si="6"/>
        <v>4455000</v>
      </c>
      <c r="D69" s="538">
        <v>4050000</v>
      </c>
      <c r="E69" s="538">
        <v>1050000</v>
      </c>
      <c r="F69" s="562">
        <f t="shared" si="8"/>
        <v>0.25925925925925924</v>
      </c>
      <c r="G69" s="259">
        <f t="shared" si="7"/>
        <v>315000</v>
      </c>
      <c r="I69" s="246"/>
    </row>
    <row r="70" spans="1:10" ht="21" customHeight="1" x14ac:dyDescent="0.25">
      <c r="A70" s="276"/>
      <c r="B70" s="282"/>
      <c r="C70" s="287">
        <f>SUM(C64:C69)</f>
        <v>13687300</v>
      </c>
      <c r="D70" s="287">
        <f>SUM(D64:D69)</f>
        <v>12443000</v>
      </c>
      <c r="E70" s="287">
        <f>SUM(E64:E69)</f>
        <v>3170670</v>
      </c>
      <c r="F70" s="568">
        <f t="shared" si="8"/>
        <v>0.25481555894880653</v>
      </c>
      <c r="G70" s="885">
        <f>SUM(G64:G69)</f>
        <v>951201</v>
      </c>
      <c r="H70" s="241"/>
      <c r="I70" s="272"/>
    </row>
    <row r="71" spans="1:10" ht="21" customHeight="1" x14ac:dyDescent="0.25">
      <c r="A71" s="261" t="s">
        <v>385</v>
      </c>
      <c r="B71" s="253" t="s">
        <v>5</v>
      </c>
      <c r="C71" s="537">
        <f t="shared" ref="C71:C79" si="9">D71*1.1</f>
        <v>18700000</v>
      </c>
      <c r="D71" s="537">
        <v>17000000</v>
      </c>
      <c r="E71" s="537">
        <v>4700000</v>
      </c>
      <c r="F71" s="402">
        <f t="shared" si="8"/>
        <v>0.27647058823529413</v>
      </c>
      <c r="G71" s="547">
        <f>E71*15%</f>
        <v>705000</v>
      </c>
      <c r="H71" s="228"/>
      <c r="I71" s="275"/>
      <c r="J71" s="227" t="s">
        <v>386</v>
      </c>
    </row>
    <row r="72" spans="1:10" ht="21" customHeight="1" x14ac:dyDescent="0.25">
      <c r="A72" s="273"/>
      <c r="B72" s="253" t="s">
        <v>5</v>
      </c>
      <c r="C72" s="537">
        <f t="shared" si="9"/>
        <v>2420000</v>
      </c>
      <c r="D72" s="537">
        <v>2200000</v>
      </c>
      <c r="E72" s="537">
        <v>360000</v>
      </c>
      <c r="F72" s="402">
        <f t="shared" si="8"/>
        <v>0.16363636363636364</v>
      </c>
      <c r="G72" s="244">
        <f t="shared" ref="G72:G79" si="10">E72*30%</f>
        <v>108000</v>
      </c>
      <c r="I72" s="275"/>
    </row>
    <row r="73" spans="1:10" ht="21" customHeight="1" x14ac:dyDescent="0.25">
      <c r="A73" s="273"/>
      <c r="B73" s="255" t="s">
        <v>9</v>
      </c>
      <c r="C73" s="537">
        <f t="shared" si="9"/>
        <v>1534500.0000000002</v>
      </c>
      <c r="D73" s="538">
        <v>1395000</v>
      </c>
      <c r="E73" s="538">
        <v>108820</v>
      </c>
      <c r="F73" s="402">
        <f t="shared" si="8"/>
        <v>7.8007168458781362E-2</v>
      </c>
      <c r="G73" s="244">
        <f t="shared" si="10"/>
        <v>32646</v>
      </c>
      <c r="I73" s="275"/>
    </row>
    <row r="74" spans="1:10" ht="21" customHeight="1" x14ac:dyDescent="0.25">
      <c r="A74" s="273"/>
      <c r="B74" s="255" t="s">
        <v>7</v>
      </c>
      <c r="C74" s="537">
        <f t="shared" si="9"/>
        <v>770000.00000000012</v>
      </c>
      <c r="D74" s="538">
        <v>700000</v>
      </c>
      <c r="E74" s="540">
        <v>200000</v>
      </c>
      <c r="F74" s="562">
        <f t="shared" si="8"/>
        <v>0.2857142857142857</v>
      </c>
      <c r="G74" s="244">
        <f t="shared" si="10"/>
        <v>60000</v>
      </c>
      <c r="I74" s="275"/>
      <c r="J74" s="251" t="s">
        <v>373</v>
      </c>
    </row>
    <row r="75" spans="1:10" ht="21" customHeight="1" x14ac:dyDescent="0.25">
      <c r="A75" s="273"/>
      <c r="B75" s="255" t="s">
        <v>2</v>
      </c>
      <c r="C75" s="537">
        <f t="shared" si="9"/>
        <v>8093800.0000000009</v>
      </c>
      <c r="D75" s="538">
        <v>7358000</v>
      </c>
      <c r="E75" s="538">
        <v>2144120</v>
      </c>
      <c r="F75" s="562">
        <f t="shared" si="8"/>
        <v>0.29139983691220439</v>
      </c>
      <c r="G75" s="244">
        <f t="shared" si="10"/>
        <v>643236</v>
      </c>
      <c r="I75" s="275"/>
    </row>
    <row r="76" spans="1:10" ht="21" customHeight="1" x14ac:dyDescent="0.25">
      <c r="A76" s="273"/>
      <c r="B76" s="255" t="s">
        <v>14</v>
      </c>
      <c r="C76" s="537">
        <f t="shared" si="9"/>
        <v>341000</v>
      </c>
      <c r="D76" s="538">
        <v>310000</v>
      </c>
      <c r="E76" s="538">
        <v>46000</v>
      </c>
      <c r="F76" s="562">
        <f t="shared" si="8"/>
        <v>0.14838709677419354</v>
      </c>
      <c r="G76" s="244">
        <f t="shared" si="10"/>
        <v>13800</v>
      </c>
      <c r="I76" s="275"/>
    </row>
    <row r="77" spans="1:10" ht="21" customHeight="1" x14ac:dyDescent="0.25">
      <c r="A77" s="273"/>
      <c r="B77" s="255" t="s">
        <v>15</v>
      </c>
      <c r="C77" s="537">
        <f t="shared" si="9"/>
        <v>2909500.0000000005</v>
      </c>
      <c r="D77" s="538">
        <v>2645000</v>
      </c>
      <c r="E77" s="538">
        <v>615000</v>
      </c>
      <c r="F77" s="562">
        <f t="shared" si="8"/>
        <v>0.23251417769376181</v>
      </c>
      <c r="G77" s="244">
        <f t="shared" si="10"/>
        <v>184500</v>
      </c>
      <c r="I77" s="275"/>
    </row>
    <row r="78" spans="1:10" ht="21" customHeight="1" x14ac:dyDescent="0.25">
      <c r="A78" s="263"/>
      <c r="B78" s="255" t="s">
        <v>309</v>
      </c>
      <c r="C78" s="537">
        <f t="shared" si="9"/>
        <v>2956250.0000000005</v>
      </c>
      <c r="D78" s="538">
        <v>2687500</v>
      </c>
      <c r="E78" s="538">
        <v>315000</v>
      </c>
      <c r="F78" s="562">
        <f t="shared" si="8"/>
        <v>0.1172093023255814</v>
      </c>
      <c r="G78" s="244">
        <f t="shared" si="10"/>
        <v>94500</v>
      </c>
      <c r="I78" s="275"/>
    </row>
    <row r="79" spans="1:10" ht="21" customHeight="1" x14ac:dyDescent="0.25">
      <c r="A79" s="263"/>
      <c r="B79" s="255" t="s">
        <v>16</v>
      </c>
      <c r="C79" s="537">
        <f t="shared" si="9"/>
        <v>594000</v>
      </c>
      <c r="D79" s="538">
        <v>540000</v>
      </c>
      <c r="E79" s="538">
        <v>108000</v>
      </c>
      <c r="F79" s="562">
        <f t="shared" si="8"/>
        <v>0.2</v>
      </c>
      <c r="G79" s="244">
        <f t="shared" si="10"/>
        <v>32400</v>
      </c>
      <c r="I79" s="275"/>
      <c r="J79" s="1033"/>
    </row>
    <row r="80" spans="1:10" ht="21" customHeight="1" x14ac:dyDescent="0.25">
      <c r="A80" s="276"/>
      <c r="B80" s="282"/>
      <c r="C80" s="287">
        <f>SUM(C71:C79)</f>
        <v>38319050</v>
      </c>
      <c r="D80" s="287">
        <f>SUM(D71:D79)</f>
        <v>34835500</v>
      </c>
      <c r="E80" s="287">
        <f>SUM(E71:E79)</f>
        <v>8596940</v>
      </c>
      <c r="F80" s="568">
        <f t="shared" si="8"/>
        <v>0.24678675489084412</v>
      </c>
      <c r="G80" s="885">
        <f>SUM(G71:G79)</f>
        <v>1874082</v>
      </c>
      <c r="H80" s="241"/>
      <c r="I80" s="272"/>
      <c r="J80" s="1033"/>
    </row>
    <row r="81" spans="1:10" ht="21" customHeight="1" x14ac:dyDescent="0.25">
      <c r="A81" s="261" t="s">
        <v>310</v>
      </c>
      <c r="B81" s="253" t="s">
        <v>304</v>
      </c>
      <c r="C81" s="537">
        <v>680000</v>
      </c>
      <c r="D81" s="537">
        <v>680000</v>
      </c>
      <c r="E81" s="537">
        <v>162200</v>
      </c>
      <c r="F81" s="402">
        <f t="shared" si="8"/>
        <v>0.23852941176470588</v>
      </c>
      <c r="G81" s="244">
        <f t="shared" ref="G81:G90" si="11">E81*30%</f>
        <v>48660</v>
      </c>
      <c r="H81" s="228"/>
      <c r="I81" s="275"/>
      <c r="J81" s="1033"/>
    </row>
    <row r="82" spans="1:10" ht="21" customHeight="1" x14ac:dyDescent="0.25">
      <c r="A82" s="273"/>
      <c r="B82" s="255" t="s">
        <v>9</v>
      </c>
      <c r="C82" s="538">
        <v>2475000</v>
      </c>
      <c r="D82" s="538">
        <v>2250000</v>
      </c>
      <c r="E82" s="538">
        <v>306200</v>
      </c>
      <c r="F82" s="402">
        <f t="shared" si="8"/>
        <v>0.1360888888888889</v>
      </c>
      <c r="G82" s="244">
        <f t="shared" si="11"/>
        <v>91860</v>
      </c>
      <c r="I82" s="275"/>
      <c r="J82" s="1033"/>
    </row>
    <row r="83" spans="1:10" ht="21" customHeight="1" x14ac:dyDescent="0.25">
      <c r="A83" s="273"/>
      <c r="B83" s="255" t="s">
        <v>307</v>
      </c>
      <c r="C83" s="538">
        <v>1298000</v>
      </c>
      <c r="D83" s="538">
        <v>1180000</v>
      </c>
      <c r="E83" s="538">
        <v>220000</v>
      </c>
      <c r="F83" s="402">
        <f t="shared" si="8"/>
        <v>0.1864406779661017</v>
      </c>
      <c r="G83" s="244">
        <f t="shared" si="11"/>
        <v>66000</v>
      </c>
      <c r="I83" s="275"/>
      <c r="J83" s="1033"/>
    </row>
    <row r="84" spans="1:10" ht="21" customHeight="1" x14ac:dyDescent="0.25">
      <c r="A84" s="273"/>
      <c r="B84" s="255" t="s">
        <v>294</v>
      </c>
      <c r="C84" s="538">
        <v>891000</v>
      </c>
      <c r="D84" s="538">
        <v>810000</v>
      </c>
      <c r="E84" s="538">
        <v>165000</v>
      </c>
      <c r="F84" s="562">
        <f t="shared" si="8"/>
        <v>0.20370370370370369</v>
      </c>
      <c r="G84" s="244">
        <f t="shared" si="11"/>
        <v>49500</v>
      </c>
      <c r="I84" s="275"/>
      <c r="J84" s="1033"/>
    </row>
    <row r="85" spans="1:10" ht="21" customHeight="1" x14ac:dyDescent="0.25">
      <c r="A85" s="273"/>
      <c r="B85" s="255" t="s">
        <v>9</v>
      </c>
      <c r="C85" s="538">
        <v>44000</v>
      </c>
      <c r="D85" s="538">
        <v>40000</v>
      </c>
      <c r="E85" s="538">
        <v>6000</v>
      </c>
      <c r="F85" s="562">
        <f t="shared" si="8"/>
        <v>0.15</v>
      </c>
      <c r="G85" s="244">
        <f t="shared" si="11"/>
        <v>1800</v>
      </c>
      <c r="I85" s="275"/>
      <c r="J85" s="1033"/>
    </row>
    <row r="86" spans="1:10" ht="21" customHeight="1" x14ac:dyDescent="0.25">
      <c r="A86" s="273"/>
      <c r="B86" s="255" t="s">
        <v>16</v>
      </c>
      <c r="C86" s="538">
        <v>217800</v>
      </c>
      <c r="D86" s="538">
        <v>198000</v>
      </c>
      <c r="E86" s="538">
        <v>22000</v>
      </c>
      <c r="F86" s="562">
        <f t="shared" si="8"/>
        <v>0.1111111111111111</v>
      </c>
      <c r="G86" s="244">
        <f t="shared" si="11"/>
        <v>6600</v>
      </c>
      <c r="I86" s="275"/>
      <c r="J86" s="1033"/>
    </row>
    <row r="87" spans="1:10" ht="21" customHeight="1" x14ac:dyDescent="0.25">
      <c r="A87" s="273"/>
      <c r="B87" s="255" t="s">
        <v>306</v>
      </c>
      <c r="C87" s="538">
        <v>1430000</v>
      </c>
      <c r="D87" s="538">
        <v>1300000</v>
      </c>
      <c r="E87" s="538">
        <v>340000</v>
      </c>
      <c r="F87" s="562">
        <f t="shared" si="8"/>
        <v>0.26153846153846155</v>
      </c>
      <c r="G87" s="244">
        <f t="shared" si="11"/>
        <v>102000</v>
      </c>
      <c r="I87" s="275"/>
      <c r="J87" s="1033"/>
    </row>
    <row r="88" spans="1:10" ht="21" customHeight="1" x14ac:dyDescent="0.25">
      <c r="A88" s="263"/>
      <c r="B88" s="255" t="s">
        <v>5</v>
      </c>
      <c r="C88" s="538">
        <v>3630000</v>
      </c>
      <c r="D88" s="538">
        <v>3300000</v>
      </c>
      <c r="E88" s="538">
        <v>540000</v>
      </c>
      <c r="F88" s="562">
        <f t="shared" si="8"/>
        <v>0.16363636363636364</v>
      </c>
      <c r="G88" s="244">
        <f t="shared" si="11"/>
        <v>162000</v>
      </c>
      <c r="I88" s="275"/>
      <c r="J88" s="1033"/>
    </row>
    <row r="89" spans="1:10" ht="21" customHeight="1" x14ac:dyDescent="0.25">
      <c r="A89" s="263"/>
      <c r="B89" s="255" t="s">
        <v>2</v>
      </c>
      <c r="C89" s="538">
        <v>9329100</v>
      </c>
      <c r="D89" s="538">
        <v>8481000</v>
      </c>
      <c r="E89" s="538">
        <v>2141000</v>
      </c>
      <c r="F89" s="562">
        <f t="shared" si="8"/>
        <v>0.25244664544275441</v>
      </c>
      <c r="G89" s="244">
        <f t="shared" si="11"/>
        <v>642300</v>
      </c>
      <c r="I89" s="275"/>
    </row>
    <row r="90" spans="1:10" ht="21" customHeight="1" x14ac:dyDescent="0.25">
      <c r="A90" s="273"/>
      <c r="B90" s="255" t="s">
        <v>309</v>
      </c>
      <c r="C90" s="538">
        <v>6363500</v>
      </c>
      <c r="D90" s="538">
        <v>5785000</v>
      </c>
      <c r="E90" s="538">
        <v>872000</v>
      </c>
      <c r="F90" s="562">
        <f t="shared" si="8"/>
        <v>0.15073465859982713</v>
      </c>
      <c r="G90" s="244">
        <f t="shared" si="11"/>
        <v>261600</v>
      </c>
      <c r="I90" s="275"/>
    </row>
    <row r="91" spans="1:10" ht="21" customHeight="1" x14ac:dyDescent="0.25">
      <c r="A91" s="263"/>
      <c r="B91" s="255" t="s">
        <v>2</v>
      </c>
      <c r="C91" s="538">
        <v>9350000</v>
      </c>
      <c r="D91" s="538">
        <v>8500000</v>
      </c>
      <c r="E91" s="538">
        <v>3390000</v>
      </c>
      <c r="F91" s="562">
        <f t="shared" si="8"/>
        <v>0.39882352941176469</v>
      </c>
      <c r="G91" s="552">
        <f>E91*15%</f>
        <v>508500</v>
      </c>
      <c r="I91" s="275"/>
      <c r="J91" s="227" t="s">
        <v>386</v>
      </c>
    </row>
    <row r="92" spans="1:10" ht="21" customHeight="1" x14ac:dyDescent="0.25">
      <c r="A92" s="276"/>
      <c r="B92" s="282"/>
      <c r="C92" s="287">
        <f>SUM(C81:C91)</f>
        <v>35708400</v>
      </c>
      <c r="D92" s="287">
        <f>SUM(D81:D91)</f>
        <v>32524000</v>
      </c>
      <c r="E92" s="287">
        <f>SUM(E81:E91)</f>
        <v>8164400</v>
      </c>
      <c r="F92" s="568">
        <f t="shared" si="8"/>
        <v>0.25102693395646292</v>
      </c>
      <c r="G92" s="885">
        <f>SUM(G81:G91)</f>
        <v>1940820</v>
      </c>
      <c r="H92" s="241"/>
      <c r="I92" s="272"/>
    </row>
    <row r="93" spans="1:10" ht="21" customHeight="1" x14ac:dyDescent="0.25">
      <c r="A93" s="261" t="s">
        <v>387</v>
      </c>
      <c r="B93" s="253" t="s">
        <v>5</v>
      </c>
      <c r="C93" s="537">
        <v>2420000</v>
      </c>
      <c r="D93" s="537">
        <v>2200000</v>
      </c>
      <c r="E93" s="537">
        <v>360000</v>
      </c>
      <c r="F93" s="402">
        <f t="shared" si="8"/>
        <v>0.16363636363636364</v>
      </c>
      <c r="G93" s="244">
        <f>E93*30%</f>
        <v>108000</v>
      </c>
      <c r="H93" s="228"/>
      <c r="I93" s="275"/>
    </row>
    <row r="94" spans="1:10" ht="21" customHeight="1" x14ac:dyDescent="0.25">
      <c r="A94" s="273"/>
      <c r="B94" s="255" t="s">
        <v>9</v>
      </c>
      <c r="C94" s="537">
        <v>1856250</v>
      </c>
      <c r="D94" s="537">
        <v>1687500</v>
      </c>
      <c r="E94" s="537">
        <v>337500</v>
      </c>
      <c r="F94" s="402">
        <f t="shared" si="8"/>
        <v>0.2</v>
      </c>
      <c r="G94" s="244">
        <f>E94*30%</f>
        <v>101250</v>
      </c>
      <c r="I94" s="275"/>
    </row>
    <row r="95" spans="1:10" ht="21" customHeight="1" x14ac:dyDescent="0.25">
      <c r="A95" s="273"/>
      <c r="B95" s="255" t="s">
        <v>9</v>
      </c>
      <c r="C95" s="537">
        <v>1485000</v>
      </c>
      <c r="D95" s="537">
        <v>1350000</v>
      </c>
      <c r="E95" s="537">
        <v>126200</v>
      </c>
      <c r="F95" s="402">
        <f t="shared" si="8"/>
        <v>9.3481481481481485E-2</v>
      </c>
      <c r="G95" s="244">
        <f>E95*30%</f>
        <v>37860</v>
      </c>
      <c r="I95" s="275"/>
    </row>
    <row r="96" spans="1:10" ht="21" customHeight="1" x14ac:dyDescent="0.25">
      <c r="A96" s="273"/>
      <c r="B96" s="255" t="s">
        <v>2</v>
      </c>
      <c r="C96" s="538">
        <v>8573675</v>
      </c>
      <c r="D96" s="538">
        <v>7794250</v>
      </c>
      <c r="E96" s="538">
        <v>1988320</v>
      </c>
      <c r="F96" s="402">
        <f t="shared" si="8"/>
        <v>0.25510087564550793</v>
      </c>
      <c r="G96" s="244">
        <f>E96*30%</f>
        <v>596496</v>
      </c>
      <c r="I96" s="275"/>
    </row>
    <row r="97" spans="1:10" ht="21" customHeight="1" x14ac:dyDescent="0.25">
      <c r="A97" s="273"/>
      <c r="B97" s="255" t="s">
        <v>15</v>
      </c>
      <c r="C97" s="538">
        <v>16799200</v>
      </c>
      <c r="D97" s="538">
        <v>15272000</v>
      </c>
      <c r="E97" s="538">
        <v>5077000</v>
      </c>
      <c r="F97" s="562">
        <f t="shared" si="8"/>
        <v>0.33243844944997381</v>
      </c>
      <c r="G97" s="552">
        <f>E97*15%</f>
        <v>761550</v>
      </c>
      <c r="I97" s="275"/>
      <c r="J97" s="227" t="s">
        <v>386</v>
      </c>
    </row>
    <row r="98" spans="1:10" ht="21" customHeight="1" x14ac:dyDescent="0.25">
      <c r="A98" s="273"/>
      <c r="B98" s="255" t="s">
        <v>309</v>
      </c>
      <c r="C98" s="538">
        <v>5698000</v>
      </c>
      <c r="D98" s="538">
        <v>5180000</v>
      </c>
      <c r="E98" s="538">
        <v>837000</v>
      </c>
      <c r="F98" s="562">
        <f t="shared" si="8"/>
        <v>0.16158301158301158</v>
      </c>
      <c r="G98" s="244">
        <f>E98*30%</f>
        <v>251100</v>
      </c>
      <c r="I98" s="275"/>
    </row>
    <row r="99" spans="1:10" ht="21" customHeight="1" x14ac:dyDescent="0.25">
      <c r="A99" s="273"/>
      <c r="B99" s="255" t="s">
        <v>307</v>
      </c>
      <c r="C99" s="538">
        <v>1298000</v>
      </c>
      <c r="D99" s="538">
        <v>1180000</v>
      </c>
      <c r="E99" s="538">
        <v>220000</v>
      </c>
      <c r="F99" s="562">
        <f t="shared" si="8"/>
        <v>0.1864406779661017</v>
      </c>
      <c r="G99" s="244">
        <f>E99*30%</f>
        <v>66000</v>
      </c>
      <c r="I99" s="275"/>
    </row>
    <row r="100" spans="1:10" ht="21" customHeight="1" x14ac:dyDescent="0.25">
      <c r="A100" s="273"/>
      <c r="B100" s="255" t="s">
        <v>311</v>
      </c>
      <c r="C100" s="538">
        <v>9900000</v>
      </c>
      <c r="D100" s="538">
        <v>9000000</v>
      </c>
      <c r="E100" s="538">
        <v>2835000</v>
      </c>
      <c r="F100" s="562">
        <f t="shared" si="8"/>
        <v>0.315</v>
      </c>
      <c r="G100" s="552">
        <f>E100*15%</f>
        <v>425250</v>
      </c>
      <c r="I100" s="275"/>
      <c r="J100" s="227" t="s">
        <v>386</v>
      </c>
    </row>
    <row r="101" spans="1:10" ht="33" x14ac:dyDescent="0.25">
      <c r="A101" s="263"/>
      <c r="B101" s="286" t="s">
        <v>312</v>
      </c>
      <c r="C101" s="538">
        <v>9350000</v>
      </c>
      <c r="D101" s="538">
        <v>8500000</v>
      </c>
      <c r="E101" s="538">
        <v>2260000</v>
      </c>
      <c r="F101" s="562">
        <f t="shared" si="8"/>
        <v>0.26588235294117646</v>
      </c>
      <c r="G101" s="552">
        <f>E101*15%</f>
        <v>339000</v>
      </c>
      <c r="I101" s="275"/>
      <c r="J101" s="227" t="s">
        <v>386</v>
      </c>
    </row>
    <row r="102" spans="1:10" ht="48.75" x14ac:dyDescent="0.25">
      <c r="A102" s="263"/>
      <c r="B102" s="286" t="s">
        <v>313</v>
      </c>
      <c r="C102" s="538">
        <v>1815000</v>
      </c>
      <c r="D102" s="538">
        <v>1650000</v>
      </c>
      <c r="E102" s="538">
        <v>270000</v>
      </c>
      <c r="F102" s="562">
        <f t="shared" si="8"/>
        <v>0.16363636363636364</v>
      </c>
      <c r="G102" s="244">
        <f>E102*30%</f>
        <v>81000</v>
      </c>
      <c r="I102" s="275"/>
    </row>
    <row r="103" spans="1:10" ht="21" customHeight="1" x14ac:dyDescent="0.25">
      <c r="A103" s="276"/>
      <c r="B103" s="282"/>
      <c r="C103" s="287">
        <f>SUM(C93:C102)</f>
        <v>59195125</v>
      </c>
      <c r="D103" s="287">
        <f>SUM(D93:D102)</f>
        <v>53813750</v>
      </c>
      <c r="E103" s="287">
        <f>SUM(E93:E102)</f>
        <v>14311020</v>
      </c>
      <c r="F103" s="568">
        <f t="shared" si="8"/>
        <v>0.26593612227358249</v>
      </c>
      <c r="G103" s="885">
        <f>SUM(G93:G102)</f>
        <v>2767506</v>
      </c>
      <c r="H103" s="241"/>
      <c r="I103" s="272"/>
    </row>
    <row r="104" spans="1:10" ht="21" customHeight="1" x14ac:dyDescent="0.25">
      <c r="A104" s="261" t="s">
        <v>388</v>
      </c>
      <c r="B104" s="253" t="s">
        <v>304</v>
      </c>
      <c r="C104" s="537">
        <v>680000</v>
      </c>
      <c r="D104" s="537">
        <v>680000</v>
      </c>
      <c r="E104" s="537">
        <v>162200</v>
      </c>
      <c r="F104" s="402">
        <f t="shared" si="8"/>
        <v>0.23852941176470588</v>
      </c>
      <c r="G104" s="244">
        <f>E104*30%</f>
        <v>48660</v>
      </c>
      <c r="H104" s="228"/>
      <c r="I104" s="275"/>
    </row>
    <row r="105" spans="1:10" ht="21" customHeight="1" x14ac:dyDescent="0.25">
      <c r="A105" s="273"/>
      <c r="B105" s="253" t="s">
        <v>8</v>
      </c>
      <c r="C105" s="537">
        <v>1430000</v>
      </c>
      <c r="D105" s="537">
        <v>1300000</v>
      </c>
      <c r="E105" s="537">
        <v>468640</v>
      </c>
      <c r="F105" s="402">
        <f t="shared" si="8"/>
        <v>0.36049230769230767</v>
      </c>
      <c r="G105" s="244">
        <f>E105*30%</f>
        <v>140592</v>
      </c>
      <c r="H105" s="228"/>
      <c r="I105" s="275"/>
    </row>
    <row r="106" spans="1:10" ht="21" customHeight="1" x14ac:dyDescent="0.25">
      <c r="A106" s="273"/>
      <c r="B106" s="255" t="s">
        <v>314</v>
      </c>
      <c r="C106" s="538">
        <v>2805000</v>
      </c>
      <c r="D106" s="538">
        <v>2550000</v>
      </c>
      <c r="E106" s="538">
        <v>2550000</v>
      </c>
      <c r="F106" s="402">
        <f t="shared" si="8"/>
        <v>1</v>
      </c>
      <c r="G106" s="244">
        <f>E106*30%</f>
        <v>765000</v>
      </c>
      <c r="I106" s="275"/>
    </row>
    <row r="107" spans="1:10" ht="21" customHeight="1" x14ac:dyDescent="0.25">
      <c r="A107" s="273"/>
      <c r="B107" s="255" t="s">
        <v>9</v>
      </c>
      <c r="C107" s="538">
        <v>2970000</v>
      </c>
      <c r="D107" s="538">
        <v>2700000</v>
      </c>
      <c r="E107" s="538">
        <v>252400</v>
      </c>
      <c r="F107" s="402">
        <f t="shared" si="8"/>
        <v>9.3481481481481485E-2</v>
      </c>
      <c r="G107" s="244">
        <f>E107*30%</f>
        <v>75720</v>
      </c>
      <c r="I107" s="275"/>
    </row>
    <row r="108" spans="1:10" ht="21" customHeight="1" x14ac:dyDescent="0.25">
      <c r="A108" s="273"/>
      <c r="B108" s="255" t="s">
        <v>9</v>
      </c>
      <c r="C108" s="538">
        <v>1237500</v>
      </c>
      <c r="D108" s="538">
        <v>1125000</v>
      </c>
      <c r="E108" s="538">
        <v>225000</v>
      </c>
      <c r="F108" s="402">
        <f t="shared" si="8"/>
        <v>0.2</v>
      </c>
      <c r="G108" s="244">
        <f>E108*30%</f>
        <v>67500</v>
      </c>
      <c r="I108" s="275"/>
    </row>
    <row r="109" spans="1:10" ht="21" customHeight="1" x14ac:dyDescent="0.25">
      <c r="A109" s="273"/>
      <c r="B109" s="255" t="s">
        <v>17</v>
      </c>
      <c r="C109" s="538">
        <v>18040000</v>
      </c>
      <c r="D109" s="538">
        <v>16400000</v>
      </c>
      <c r="E109" s="538">
        <v>6060000</v>
      </c>
      <c r="F109" s="562">
        <f t="shared" si="8"/>
        <v>0.36951219512195121</v>
      </c>
      <c r="G109" s="552">
        <f>E109*15%</f>
        <v>909000</v>
      </c>
      <c r="I109" s="275"/>
      <c r="J109" s="227" t="s">
        <v>386</v>
      </c>
    </row>
    <row r="110" spans="1:10" ht="21" customHeight="1" x14ac:dyDescent="0.25">
      <c r="A110" s="273"/>
      <c r="B110" s="255" t="s">
        <v>5</v>
      </c>
      <c r="C110" s="538">
        <v>4235000</v>
      </c>
      <c r="D110" s="538">
        <v>3850000</v>
      </c>
      <c r="E110" s="538">
        <v>630000</v>
      </c>
      <c r="F110" s="562">
        <f t="shared" si="8"/>
        <v>0.16363636363636364</v>
      </c>
      <c r="G110" s="244">
        <f>E110*30%</f>
        <v>189000</v>
      </c>
      <c r="I110" s="275"/>
    </row>
    <row r="111" spans="1:10" ht="21" customHeight="1" x14ac:dyDescent="0.25">
      <c r="A111" s="273"/>
      <c r="B111" s="255" t="s">
        <v>2</v>
      </c>
      <c r="C111" s="538">
        <v>7246800</v>
      </c>
      <c r="D111" s="538">
        <v>6588000</v>
      </c>
      <c r="E111" s="538">
        <v>1902750</v>
      </c>
      <c r="F111" s="562">
        <f t="shared" si="8"/>
        <v>0.28882058287795992</v>
      </c>
      <c r="G111" s="244">
        <f>E111*30%</f>
        <v>570825</v>
      </c>
      <c r="I111" s="275"/>
    </row>
    <row r="112" spans="1:10" ht="21" customHeight="1" x14ac:dyDescent="0.25">
      <c r="A112" s="273"/>
      <c r="B112" s="255" t="s">
        <v>296</v>
      </c>
      <c r="C112" s="538">
        <v>712800</v>
      </c>
      <c r="D112" s="538">
        <v>648000</v>
      </c>
      <c r="E112" s="538">
        <v>163000</v>
      </c>
      <c r="F112" s="562">
        <f t="shared" si="8"/>
        <v>0.25154320987654322</v>
      </c>
      <c r="G112" s="244">
        <f>E112*30%</f>
        <v>48900</v>
      </c>
      <c r="I112" s="275"/>
    </row>
    <row r="113" spans="1:10" ht="21" customHeight="1" x14ac:dyDescent="0.25">
      <c r="A113" s="263"/>
      <c r="B113" s="255" t="s">
        <v>309</v>
      </c>
      <c r="C113" s="538">
        <v>5502750</v>
      </c>
      <c r="D113" s="538">
        <v>5002500</v>
      </c>
      <c r="E113" s="538">
        <v>707500</v>
      </c>
      <c r="F113" s="562">
        <f t="shared" si="8"/>
        <v>0.14142928535732133</v>
      </c>
      <c r="G113" s="244">
        <f>E113*30%</f>
        <v>212250</v>
      </c>
      <c r="I113" s="275"/>
    </row>
    <row r="114" spans="1:10" ht="21" customHeight="1" x14ac:dyDescent="0.25">
      <c r="A114" s="263"/>
      <c r="B114" s="255" t="s">
        <v>315</v>
      </c>
      <c r="C114" s="538">
        <v>759000</v>
      </c>
      <c r="D114" s="538">
        <v>690000</v>
      </c>
      <c r="E114" s="538">
        <v>90000</v>
      </c>
      <c r="F114" s="562">
        <f t="shared" si="8"/>
        <v>0.13043478260869565</v>
      </c>
      <c r="G114" s="244">
        <f>E114*30%</f>
        <v>27000</v>
      </c>
      <c r="I114" s="275"/>
    </row>
    <row r="115" spans="1:10" ht="21" customHeight="1" x14ac:dyDescent="0.25">
      <c r="A115" s="276"/>
      <c r="B115" s="282"/>
      <c r="C115" s="287">
        <f>SUM(C104:C114)</f>
        <v>45618850</v>
      </c>
      <c r="D115" s="287">
        <f>SUM(D104:D114)</f>
        <v>41533500</v>
      </c>
      <c r="E115" s="287">
        <f>SUM(E104:E114)</f>
        <v>13211490</v>
      </c>
      <c r="F115" s="568">
        <f t="shared" si="8"/>
        <v>0.31809238325688904</v>
      </c>
      <c r="G115" s="885">
        <f>SUM(G104:G114)</f>
        <v>3054447</v>
      </c>
      <c r="H115" s="241"/>
      <c r="I115" s="272"/>
    </row>
    <row r="116" spans="1:10" ht="21" customHeight="1" x14ac:dyDescent="0.25">
      <c r="A116" s="261" t="s">
        <v>316</v>
      </c>
      <c r="B116" s="253" t="s">
        <v>8</v>
      </c>
      <c r="C116" s="537">
        <v>1430000</v>
      </c>
      <c r="D116" s="537">
        <v>1300000</v>
      </c>
      <c r="E116" s="537">
        <v>468640</v>
      </c>
      <c r="F116" s="402">
        <f t="shared" si="8"/>
        <v>0.36049230769230767</v>
      </c>
      <c r="G116" s="244">
        <f>E116*30%</f>
        <v>140592</v>
      </c>
      <c r="H116" s="228"/>
      <c r="I116" s="275"/>
    </row>
    <row r="117" spans="1:10" ht="21" customHeight="1" x14ac:dyDescent="0.25">
      <c r="A117" s="273"/>
      <c r="B117" s="255" t="s">
        <v>9</v>
      </c>
      <c r="C117" s="538">
        <v>1413500</v>
      </c>
      <c r="D117" s="538">
        <v>1285000</v>
      </c>
      <c r="E117" s="538">
        <v>126200</v>
      </c>
      <c r="F117" s="402">
        <f t="shared" si="8"/>
        <v>9.8210116731517513E-2</v>
      </c>
      <c r="G117" s="244">
        <f>E117*30%</f>
        <v>37860</v>
      </c>
      <c r="H117" s="228"/>
      <c r="I117" s="275"/>
    </row>
    <row r="118" spans="1:10" ht="21" customHeight="1" x14ac:dyDescent="0.25">
      <c r="A118" s="273"/>
      <c r="B118" s="255" t="s">
        <v>294</v>
      </c>
      <c r="C118" s="538">
        <v>1166000</v>
      </c>
      <c r="D118" s="538">
        <v>1060000</v>
      </c>
      <c r="E118" s="538">
        <v>216000</v>
      </c>
      <c r="F118" s="402">
        <f t="shared" si="8"/>
        <v>0.20377358490566039</v>
      </c>
      <c r="G118" s="244">
        <f>E118*30%</f>
        <v>64800</v>
      </c>
      <c r="I118" s="275"/>
    </row>
    <row r="119" spans="1:10" ht="21" customHeight="1" x14ac:dyDescent="0.25">
      <c r="A119" s="273"/>
      <c r="B119" s="255" t="s">
        <v>18</v>
      </c>
      <c r="C119" s="538">
        <v>25300000</v>
      </c>
      <c r="D119" s="538">
        <v>23000000</v>
      </c>
      <c r="E119" s="538">
        <v>6500000</v>
      </c>
      <c r="F119" s="402">
        <f t="shared" si="8"/>
        <v>0.28260869565217389</v>
      </c>
      <c r="G119" s="547">
        <f>E119*15%</f>
        <v>975000</v>
      </c>
      <c r="I119" s="275"/>
      <c r="J119" s="227" t="s">
        <v>386</v>
      </c>
    </row>
    <row r="120" spans="1:10" ht="21" customHeight="1" x14ac:dyDescent="0.25">
      <c r="A120" s="273"/>
      <c r="B120" s="255" t="s">
        <v>9</v>
      </c>
      <c r="C120" s="538">
        <v>1237500</v>
      </c>
      <c r="D120" s="538">
        <v>1125000</v>
      </c>
      <c r="E120" s="538">
        <v>225000</v>
      </c>
      <c r="F120" s="402">
        <f t="shared" si="8"/>
        <v>0.2</v>
      </c>
      <c r="G120" s="244">
        <f t="shared" ref="G120:G125" si="12">E120*30%</f>
        <v>67500</v>
      </c>
      <c r="I120" s="275"/>
    </row>
    <row r="121" spans="1:10" ht="21" customHeight="1" x14ac:dyDescent="0.25">
      <c r="A121" s="273"/>
      <c r="B121" s="255" t="s">
        <v>5</v>
      </c>
      <c r="C121" s="538">
        <v>3630000</v>
      </c>
      <c r="D121" s="538">
        <v>3300000</v>
      </c>
      <c r="E121" s="538">
        <v>540000</v>
      </c>
      <c r="F121" s="562">
        <f t="shared" si="8"/>
        <v>0.16363636363636364</v>
      </c>
      <c r="G121" s="244">
        <f t="shared" si="12"/>
        <v>162000</v>
      </c>
      <c r="I121" s="275"/>
    </row>
    <row r="122" spans="1:10" ht="21" customHeight="1" x14ac:dyDescent="0.25">
      <c r="A122" s="273"/>
      <c r="B122" s="255" t="s">
        <v>2</v>
      </c>
      <c r="C122" s="538">
        <v>9713825</v>
      </c>
      <c r="D122" s="538">
        <v>8830750</v>
      </c>
      <c r="E122" s="538">
        <v>2565120</v>
      </c>
      <c r="F122" s="562">
        <f t="shared" si="8"/>
        <v>0.29047589389349715</v>
      </c>
      <c r="G122" s="244">
        <f t="shared" si="12"/>
        <v>769536</v>
      </c>
      <c r="I122" s="275"/>
    </row>
    <row r="123" spans="1:10" ht="21" customHeight="1" x14ac:dyDescent="0.25">
      <c r="A123" s="273"/>
      <c r="B123" s="255" t="s">
        <v>14</v>
      </c>
      <c r="C123" s="538">
        <v>341000</v>
      </c>
      <c r="D123" s="538">
        <v>310000</v>
      </c>
      <c r="E123" s="538">
        <v>46000</v>
      </c>
      <c r="F123" s="562">
        <f t="shared" si="8"/>
        <v>0.14838709677419354</v>
      </c>
      <c r="G123" s="244">
        <f t="shared" si="12"/>
        <v>13800</v>
      </c>
      <c r="I123" s="275"/>
    </row>
    <row r="124" spans="1:10" ht="21" customHeight="1" x14ac:dyDescent="0.25">
      <c r="A124" s="273"/>
      <c r="B124" s="255" t="s">
        <v>309</v>
      </c>
      <c r="C124" s="538">
        <v>7432150</v>
      </c>
      <c r="D124" s="538">
        <v>6756500</v>
      </c>
      <c r="E124" s="538">
        <v>843500</v>
      </c>
      <c r="F124" s="562">
        <f t="shared" si="8"/>
        <v>0.12484274402427292</v>
      </c>
      <c r="G124" s="244">
        <f t="shared" si="12"/>
        <v>253050</v>
      </c>
      <c r="I124" s="275"/>
    </row>
    <row r="125" spans="1:10" ht="21" customHeight="1" x14ac:dyDescent="0.25">
      <c r="A125" s="263"/>
      <c r="B125" s="255" t="s">
        <v>19</v>
      </c>
      <c r="C125" s="538">
        <v>2997500</v>
      </c>
      <c r="D125" s="538">
        <v>2725000</v>
      </c>
      <c r="E125" s="538">
        <v>525600</v>
      </c>
      <c r="F125" s="562">
        <f t="shared" si="8"/>
        <v>0.19288073394495414</v>
      </c>
      <c r="G125" s="244">
        <f t="shared" si="12"/>
        <v>157680</v>
      </c>
      <c r="I125" s="275"/>
    </row>
    <row r="126" spans="1:10" ht="21" customHeight="1" x14ac:dyDescent="0.25">
      <c r="A126" s="276"/>
      <c r="B126" s="282"/>
      <c r="C126" s="287">
        <f>SUM(C116:C125)</f>
        <v>54661475</v>
      </c>
      <c r="D126" s="287">
        <f>SUM(D116:D125)</f>
        <v>49692250</v>
      </c>
      <c r="E126" s="287">
        <f>SUM(E116:E125)</f>
        <v>12056060</v>
      </c>
      <c r="F126" s="568">
        <f t="shared" si="8"/>
        <v>0.24261449219948786</v>
      </c>
      <c r="G126" s="885">
        <f>SUM(G116:G125)</f>
        <v>2641818</v>
      </c>
      <c r="H126" s="241"/>
      <c r="I126" s="272"/>
    </row>
    <row r="127" spans="1:10" ht="21" customHeight="1" x14ac:dyDescent="0.25">
      <c r="A127" s="261" t="s">
        <v>389</v>
      </c>
      <c r="B127" s="253" t="s">
        <v>317</v>
      </c>
      <c r="C127" s="537">
        <v>107800</v>
      </c>
      <c r="D127" s="537">
        <v>98000</v>
      </c>
      <c r="E127" s="537">
        <v>98000</v>
      </c>
      <c r="F127" s="402">
        <f t="shared" si="8"/>
        <v>1</v>
      </c>
      <c r="G127" s="244">
        <f>E127*30%</f>
        <v>29400</v>
      </c>
      <c r="H127" s="228"/>
      <c r="I127" s="275"/>
    </row>
    <row r="128" spans="1:10" ht="21" customHeight="1" x14ac:dyDescent="0.25">
      <c r="A128" s="273"/>
      <c r="B128" s="255" t="s">
        <v>318</v>
      </c>
      <c r="C128" s="538">
        <v>8800000</v>
      </c>
      <c r="D128" s="538">
        <v>8000000</v>
      </c>
      <c r="E128" s="538">
        <v>2750000</v>
      </c>
      <c r="F128" s="402">
        <f t="shared" si="8"/>
        <v>0.34375</v>
      </c>
      <c r="G128" s="547">
        <f>E128*15%</f>
        <v>412500</v>
      </c>
      <c r="H128" s="228"/>
      <c r="I128" s="275"/>
      <c r="J128" s="227" t="s">
        <v>386</v>
      </c>
    </row>
    <row r="129" spans="1:10" ht="21" customHeight="1" x14ac:dyDescent="0.25">
      <c r="A129" s="273"/>
      <c r="B129" s="255" t="s">
        <v>5</v>
      </c>
      <c r="C129" s="538">
        <v>6600000</v>
      </c>
      <c r="D129" s="538">
        <v>6000000</v>
      </c>
      <c r="E129" s="538">
        <v>1207500</v>
      </c>
      <c r="F129" s="402">
        <f t="shared" si="8"/>
        <v>0.20125000000000001</v>
      </c>
      <c r="G129" s="244">
        <f t="shared" ref="G129:G134" si="13">E129*30%</f>
        <v>362250</v>
      </c>
      <c r="I129" s="275"/>
    </row>
    <row r="130" spans="1:10" ht="21" customHeight="1" x14ac:dyDescent="0.25">
      <c r="A130" s="273"/>
      <c r="B130" s="255" t="s">
        <v>9</v>
      </c>
      <c r="C130" s="538">
        <v>1856250</v>
      </c>
      <c r="D130" s="538">
        <v>1687500</v>
      </c>
      <c r="E130" s="538">
        <v>337500</v>
      </c>
      <c r="F130" s="402">
        <f t="shared" si="8"/>
        <v>0.2</v>
      </c>
      <c r="G130" s="244">
        <f t="shared" si="13"/>
        <v>101250</v>
      </c>
      <c r="I130" s="275"/>
    </row>
    <row r="131" spans="1:10" ht="21" customHeight="1" x14ac:dyDescent="0.25">
      <c r="A131" s="273"/>
      <c r="B131" s="255" t="s">
        <v>2</v>
      </c>
      <c r="C131" s="538">
        <v>10184350</v>
      </c>
      <c r="D131" s="538">
        <v>9258500</v>
      </c>
      <c r="E131" s="538">
        <v>2513620</v>
      </c>
      <c r="F131" s="402">
        <f t="shared" ref="F131:F194" si="14">E131/D131</f>
        <v>0.2714932224442404</v>
      </c>
      <c r="G131" s="244">
        <f t="shared" si="13"/>
        <v>754086</v>
      </c>
      <c r="I131" s="275"/>
    </row>
    <row r="132" spans="1:10" ht="21" customHeight="1" x14ac:dyDescent="0.25">
      <c r="A132" s="273"/>
      <c r="B132" s="255" t="s">
        <v>309</v>
      </c>
      <c r="C132" s="538">
        <v>8327000</v>
      </c>
      <c r="D132" s="538">
        <v>7570000</v>
      </c>
      <c r="E132" s="538">
        <v>1007000</v>
      </c>
      <c r="F132" s="562">
        <f t="shared" si="14"/>
        <v>0.13302509907529722</v>
      </c>
      <c r="G132" s="244">
        <f t="shared" si="13"/>
        <v>302100</v>
      </c>
      <c r="I132" s="275"/>
    </row>
    <row r="133" spans="1:10" ht="21" customHeight="1" x14ac:dyDescent="0.25">
      <c r="A133" s="273"/>
      <c r="B133" s="255" t="s">
        <v>16</v>
      </c>
      <c r="C133" s="538">
        <v>217800</v>
      </c>
      <c r="D133" s="538">
        <v>198000</v>
      </c>
      <c r="E133" s="538">
        <v>22000</v>
      </c>
      <c r="F133" s="562">
        <f t="shared" si="14"/>
        <v>0.1111111111111111</v>
      </c>
      <c r="G133" s="244">
        <f t="shared" si="13"/>
        <v>6600</v>
      </c>
      <c r="I133" s="275"/>
    </row>
    <row r="134" spans="1:10" ht="21" customHeight="1" x14ac:dyDescent="0.25">
      <c r="A134" s="273"/>
      <c r="B134" s="255" t="s">
        <v>319</v>
      </c>
      <c r="C134" s="538">
        <v>1430000</v>
      </c>
      <c r="D134" s="538">
        <v>1300000</v>
      </c>
      <c r="E134" s="538">
        <v>340000</v>
      </c>
      <c r="F134" s="562">
        <f t="shared" si="14"/>
        <v>0.26153846153846155</v>
      </c>
      <c r="G134" s="244">
        <f t="shared" si="13"/>
        <v>102000</v>
      </c>
      <c r="I134" s="275"/>
    </row>
    <row r="135" spans="1:10" ht="21" customHeight="1" x14ac:dyDescent="0.25">
      <c r="A135" s="276"/>
      <c r="B135" s="282"/>
      <c r="C135" s="287">
        <f>SUM(C127:C134)</f>
        <v>37523200</v>
      </c>
      <c r="D135" s="287">
        <f>SUM(D127:D134)</f>
        <v>34112000</v>
      </c>
      <c r="E135" s="287">
        <f>SUM(E127:E134)</f>
        <v>8275620</v>
      </c>
      <c r="F135" s="568">
        <f t="shared" si="14"/>
        <v>0.24260143058161351</v>
      </c>
      <c r="G135" s="885">
        <f>SUM(G127:G134)</f>
        <v>2070186</v>
      </c>
      <c r="H135" s="241"/>
      <c r="I135" s="272"/>
    </row>
    <row r="136" spans="1:10" ht="21" customHeight="1" x14ac:dyDescent="0.25">
      <c r="A136" s="261" t="s">
        <v>390</v>
      </c>
      <c r="B136" s="255" t="s">
        <v>9</v>
      </c>
      <c r="C136" s="538">
        <v>1413500</v>
      </c>
      <c r="D136" s="538">
        <v>1285000</v>
      </c>
      <c r="E136" s="538">
        <v>126200</v>
      </c>
      <c r="F136" s="402">
        <f t="shared" si="14"/>
        <v>9.8210116731517513E-2</v>
      </c>
      <c r="G136" s="244">
        <f t="shared" ref="G136:G142" si="15">E136*30%</f>
        <v>37860</v>
      </c>
      <c r="I136" s="275"/>
    </row>
    <row r="137" spans="1:10" ht="21" customHeight="1" x14ac:dyDescent="0.25">
      <c r="A137" s="273"/>
      <c r="B137" s="255" t="s">
        <v>9</v>
      </c>
      <c r="C137" s="538">
        <v>2475000</v>
      </c>
      <c r="D137" s="538">
        <v>2250000</v>
      </c>
      <c r="E137" s="538">
        <v>450000</v>
      </c>
      <c r="F137" s="402">
        <f t="shared" si="14"/>
        <v>0.2</v>
      </c>
      <c r="G137" s="244">
        <f t="shared" si="15"/>
        <v>135000</v>
      </c>
      <c r="I137" s="275"/>
    </row>
    <row r="138" spans="1:10" ht="21" customHeight="1" x14ac:dyDescent="0.25">
      <c r="A138" s="273"/>
      <c r="B138" s="255" t="s">
        <v>9</v>
      </c>
      <c r="C138" s="538">
        <v>1413500</v>
      </c>
      <c r="D138" s="538">
        <v>1285000</v>
      </c>
      <c r="E138" s="538">
        <v>126200</v>
      </c>
      <c r="F138" s="562">
        <f t="shared" si="14"/>
        <v>9.8210116731517513E-2</v>
      </c>
      <c r="G138" s="244">
        <f t="shared" si="15"/>
        <v>37860</v>
      </c>
      <c r="I138" s="275"/>
    </row>
    <row r="139" spans="1:10" ht="21" customHeight="1" x14ac:dyDescent="0.25">
      <c r="A139" s="273"/>
      <c r="B139" s="255" t="s">
        <v>14</v>
      </c>
      <c r="C139" s="538">
        <v>489500</v>
      </c>
      <c r="D139" s="538">
        <v>445000</v>
      </c>
      <c r="E139" s="538">
        <v>73000</v>
      </c>
      <c r="F139" s="562">
        <f t="shared" si="14"/>
        <v>0.16404494382022472</v>
      </c>
      <c r="G139" s="244">
        <f t="shared" si="15"/>
        <v>21900</v>
      </c>
      <c r="I139" s="275"/>
    </row>
    <row r="140" spans="1:10" ht="21" customHeight="1" x14ac:dyDescent="0.25">
      <c r="A140" s="273"/>
      <c r="B140" s="255" t="s">
        <v>7</v>
      </c>
      <c r="C140" s="538">
        <v>913000</v>
      </c>
      <c r="D140" s="538">
        <v>830000</v>
      </c>
      <c r="E140" s="538">
        <v>352400</v>
      </c>
      <c r="F140" s="402">
        <f t="shared" si="14"/>
        <v>0.42457831325301204</v>
      </c>
      <c r="G140" s="244">
        <f t="shared" si="15"/>
        <v>105720</v>
      </c>
      <c r="I140" s="275"/>
    </row>
    <row r="141" spans="1:10" ht="21" customHeight="1" x14ac:dyDescent="0.25">
      <c r="A141" s="273"/>
      <c r="B141" s="255" t="s">
        <v>11</v>
      </c>
      <c r="C141" s="538">
        <v>484000</v>
      </c>
      <c r="D141" s="538">
        <v>440000</v>
      </c>
      <c r="E141" s="538">
        <v>88000</v>
      </c>
      <c r="F141" s="402">
        <f t="shared" si="14"/>
        <v>0.2</v>
      </c>
      <c r="G141" s="244">
        <f t="shared" si="15"/>
        <v>26400</v>
      </c>
      <c r="I141" s="275"/>
    </row>
    <row r="142" spans="1:10" ht="21" customHeight="1" x14ac:dyDescent="0.25">
      <c r="A142" s="273"/>
      <c r="B142" s="253" t="s">
        <v>8</v>
      </c>
      <c r="C142" s="537">
        <v>1430000</v>
      </c>
      <c r="D142" s="537">
        <v>1300000</v>
      </c>
      <c r="E142" s="537">
        <v>417000</v>
      </c>
      <c r="F142" s="402">
        <f t="shared" si="14"/>
        <v>0.32076923076923075</v>
      </c>
      <c r="G142" s="244">
        <f t="shared" si="15"/>
        <v>125100</v>
      </c>
      <c r="I142" s="275"/>
    </row>
    <row r="143" spans="1:10" ht="21" customHeight="1" x14ac:dyDescent="0.25">
      <c r="A143" s="273"/>
      <c r="B143" s="255" t="s">
        <v>20</v>
      </c>
      <c r="C143" s="538">
        <v>8800000</v>
      </c>
      <c r="D143" s="538">
        <v>8000000</v>
      </c>
      <c r="E143" s="538">
        <v>2660000</v>
      </c>
      <c r="F143" s="562">
        <f t="shared" si="14"/>
        <v>0.33250000000000002</v>
      </c>
      <c r="G143" s="552">
        <f>E143*15%</f>
        <v>399000</v>
      </c>
      <c r="I143" s="275"/>
      <c r="J143" s="227" t="s">
        <v>386</v>
      </c>
    </row>
    <row r="144" spans="1:10" ht="21" customHeight="1" x14ac:dyDescent="0.25">
      <c r="A144" s="273"/>
      <c r="B144" s="255" t="s">
        <v>307</v>
      </c>
      <c r="C144" s="538">
        <v>1298000</v>
      </c>
      <c r="D144" s="538">
        <v>1180000</v>
      </c>
      <c r="E144" s="538">
        <v>220000</v>
      </c>
      <c r="F144" s="562">
        <f t="shared" si="14"/>
        <v>0.1864406779661017</v>
      </c>
      <c r="G144" s="244">
        <f t="shared" ref="G144:G149" si="16">E144*30%</f>
        <v>66000</v>
      </c>
      <c r="I144" s="275"/>
    </row>
    <row r="145" spans="1:10" ht="21" customHeight="1" x14ac:dyDescent="0.25">
      <c r="A145" s="273"/>
      <c r="B145" s="255" t="s">
        <v>5</v>
      </c>
      <c r="C145" s="538">
        <v>8574500</v>
      </c>
      <c r="D145" s="538">
        <v>7795000</v>
      </c>
      <c r="E145" s="538">
        <v>1325000</v>
      </c>
      <c r="F145" s="402">
        <f t="shared" si="14"/>
        <v>0.16998075689544581</v>
      </c>
      <c r="G145" s="244">
        <f t="shared" si="16"/>
        <v>397500</v>
      </c>
      <c r="I145" s="275"/>
    </row>
    <row r="146" spans="1:10" ht="21" customHeight="1" x14ac:dyDescent="0.25">
      <c r="A146" s="247"/>
      <c r="B146" s="255" t="s">
        <v>19</v>
      </c>
      <c r="C146" s="538">
        <v>759000</v>
      </c>
      <c r="D146" s="538">
        <v>690000</v>
      </c>
      <c r="E146" s="538">
        <v>106800</v>
      </c>
      <c r="F146" s="562">
        <f t="shared" si="14"/>
        <v>0.15478260869565216</v>
      </c>
      <c r="G146" s="244">
        <f t="shared" si="16"/>
        <v>32040</v>
      </c>
      <c r="I146" s="275"/>
    </row>
    <row r="147" spans="1:10" ht="21" customHeight="1" x14ac:dyDescent="0.25">
      <c r="A147" s="247"/>
      <c r="B147" s="255" t="s">
        <v>2</v>
      </c>
      <c r="C147" s="538">
        <v>7551500</v>
      </c>
      <c r="D147" s="538">
        <v>6865000</v>
      </c>
      <c r="E147" s="538">
        <v>1884000</v>
      </c>
      <c r="F147" s="562">
        <f t="shared" si="14"/>
        <v>0.27443554260742897</v>
      </c>
      <c r="G147" s="244">
        <f t="shared" si="16"/>
        <v>565200</v>
      </c>
      <c r="I147" s="275"/>
    </row>
    <row r="148" spans="1:10" ht="21" customHeight="1" x14ac:dyDescent="0.25">
      <c r="A148" s="247"/>
      <c r="B148" s="255" t="s">
        <v>309</v>
      </c>
      <c r="C148" s="538">
        <v>7104900</v>
      </c>
      <c r="D148" s="538">
        <v>6459000</v>
      </c>
      <c r="E148" s="538">
        <v>821000</v>
      </c>
      <c r="F148" s="562">
        <f t="shared" si="14"/>
        <v>0.12710945966867937</v>
      </c>
      <c r="G148" s="244">
        <f t="shared" si="16"/>
        <v>246300</v>
      </c>
      <c r="I148" s="275"/>
    </row>
    <row r="149" spans="1:10" ht="21" customHeight="1" x14ac:dyDescent="0.25">
      <c r="A149" s="247"/>
      <c r="B149" s="255" t="s">
        <v>315</v>
      </c>
      <c r="C149" s="538">
        <v>1166000</v>
      </c>
      <c r="D149" s="538">
        <v>1060000</v>
      </c>
      <c r="E149" s="538">
        <v>222500</v>
      </c>
      <c r="F149" s="402">
        <f t="shared" si="14"/>
        <v>0.2099056603773585</v>
      </c>
      <c r="G149" s="244">
        <f t="shared" si="16"/>
        <v>66750</v>
      </c>
      <c r="I149" s="275"/>
    </row>
    <row r="150" spans="1:10" ht="21" customHeight="1" x14ac:dyDescent="0.25">
      <c r="A150" s="276"/>
      <c r="B150" s="282"/>
      <c r="C150" s="287">
        <f>SUM(C136:C149)</f>
        <v>43872400</v>
      </c>
      <c r="D150" s="287">
        <f>SUM(D136:D149)</f>
        <v>39884000</v>
      </c>
      <c r="E150" s="287">
        <f>SUM(E136:E149)</f>
        <v>8872100</v>
      </c>
      <c r="F150" s="568">
        <f t="shared" si="14"/>
        <v>0.22244759803429948</v>
      </c>
      <c r="G150" s="885">
        <f>SUM(G136:G149)</f>
        <v>2262630</v>
      </c>
      <c r="H150" s="241"/>
      <c r="I150" s="272"/>
    </row>
    <row r="151" spans="1:10" ht="21" customHeight="1" x14ac:dyDescent="0.25">
      <c r="A151" s="261" t="s">
        <v>391</v>
      </c>
      <c r="B151" s="253" t="s">
        <v>9</v>
      </c>
      <c r="C151" s="537">
        <v>1655500</v>
      </c>
      <c r="D151" s="537">
        <v>1505000</v>
      </c>
      <c r="E151" s="537">
        <v>170200</v>
      </c>
      <c r="F151" s="402">
        <f t="shared" si="14"/>
        <v>0.11308970099667774</v>
      </c>
      <c r="G151" s="244">
        <f>E151*30%</f>
        <v>51060</v>
      </c>
      <c r="I151" s="275"/>
    </row>
    <row r="152" spans="1:10" ht="21" customHeight="1" x14ac:dyDescent="0.25">
      <c r="A152" s="273"/>
      <c r="B152" s="255" t="s">
        <v>9</v>
      </c>
      <c r="C152" s="538">
        <v>148500</v>
      </c>
      <c r="D152" s="538">
        <v>135000</v>
      </c>
      <c r="E152" s="538">
        <v>27000</v>
      </c>
      <c r="F152" s="402">
        <f t="shared" si="14"/>
        <v>0.2</v>
      </c>
      <c r="G152" s="244">
        <f>E152*30%</f>
        <v>8100</v>
      </c>
      <c r="I152" s="275"/>
    </row>
    <row r="153" spans="1:10" ht="21" customHeight="1" x14ac:dyDescent="0.25">
      <c r="A153" s="273"/>
      <c r="B153" s="255" t="s">
        <v>15</v>
      </c>
      <c r="C153" s="538">
        <v>704000</v>
      </c>
      <c r="D153" s="538">
        <v>640000</v>
      </c>
      <c r="E153" s="538">
        <v>110500</v>
      </c>
      <c r="F153" s="562">
        <f t="shared" si="14"/>
        <v>0.17265625000000001</v>
      </c>
      <c r="G153" s="244">
        <f>E153*30%</f>
        <v>33150</v>
      </c>
      <c r="I153" s="275"/>
    </row>
    <row r="154" spans="1:10" ht="21" customHeight="1" x14ac:dyDescent="0.25">
      <c r="A154" s="273"/>
      <c r="B154" s="255" t="s">
        <v>320</v>
      </c>
      <c r="C154" s="538">
        <v>14740000</v>
      </c>
      <c r="D154" s="538">
        <v>13400000</v>
      </c>
      <c r="E154" s="538">
        <v>5310000</v>
      </c>
      <c r="F154" s="562">
        <f t="shared" si="14"/>
        <v>0.39626865671641792</v>
      </c>
      <c r="G154" s="552">
        <f>E154*15%</f>
        <v>796500</v>
      </c>
      <c r="I154" s="275"/>
      <c r="J154" s="227" t="s">
        <v>386</v>
      </c>
    </row>
    <row r="155" spans="1:10" ht="21" customHeight="1" x14ac:dyDescent="0.25">
      <c r="A155" s="273"/>
      <c r="B155" s="255" t="s">
        <v>5</v>
      </c>
      <c r="C155" s="538">
        <v>7832000</v>
      </c>
      <c r="D155" s="538">
        <v>7120000</v>
      </c>
      <c r="E155" s="538">
        <v>1200000</v>
      </c>
      <c r="F155" s="402">
        <f t="shared" si="14"/>
        <v>0.16853932584269662</v>
      </c>
      <c r="G155" s="244">
        <f t="shared" ref="G155:G160" si="17">E155*30%</f>
        <v>360000</v>
      </c>
      <c r="I155" s="275"/>
    </row>
    <row r="156" spans="1:10" ht="21" customHeight="1" x14ac:dyDescent="0.25">
      <c r="A156" s="273"/>
      <c r="B156" s="255" t="s">
        <v>19</v>
      </c>
      <c r="C156" s="538">
        <v>3355000</v>
      </c>
      <c r="D156" s="538">
        <v>3050000</v>
      </c>
      <c r="E156" s="538">
        <v>540000</v>
      </c>
      <c r="F156" s="402">
        <f t="shared" si="14"/>
        <v>0.17704918032786884</v>
      </c>
      <c r="G156" s="244">
        <f t="shared" si="17"/>
        <v>162000</v>
      </c>
      <c r="I156" s="275"/>
    </row>
    <row r="157" spans="1:10" ht="21" customHeight="1" x14ac:dyDescent="0.25">
      <c r="A157" s="273"/>
      <c r="B157" s="255" t="s">
        <v>2</v>
      </c>
      <c r="C157" s="538">
        <v>3693800</v>
      </c>
      <c r="D157" s="538">
        <v>3358000</v>
      </c>
      <c r="E157" s="538">
        <v>860000</v>
      </c>
      <c r="F157" s="402">
        <f t="shared" si="14"/>
        <v>0.25610482430017867</v>
      </c>
      <c r="G157" s="244">
        <f t="shared" si="17"/>
        <v>258000</v>
      </c>
      <c r="I157" s="275"/>
    </row>
    <row r="158" spans="1:10" ht="21" customHeight="1" x14ac:dyDescent="0.25">
      <c r="A158" s="273"/>
      <c r="B158" s="255" t="s">
        <v>315</v>
      </c>
      <c r="C158" s="538">
        <v>577500</v>
      </c>
      <c r="D158" s="538">
        <v>525000</v>
      </c>
      <c r="E158" s="538">
        <v>103000</v>
      </c>
      <c r="F158" s="562">
        <f t="shared" si="14"/>
        <v>0.19619047619047619</v>
      </c>
      <c r="G158" s="244">
        <f t="shared" si="17"/>
        <v>30900</v>
      </c>
      <c r="I158" s="275"/>
    </row>
    <row r="159" spans="1:10" ht="21" customHeight="1" x14ac:dyDescent="0.25">
      <c r="A159" s="273"/>
      <c r="B159" s="255" t="s">
        <v>321</v>
      </c>
      <c r="C159" s="538">
        <v>5659500</v>
      </c>
      <c r="D159" s="538">
        <v>5145000</v>
      </c>
      <c r="E159" s="538">
        <v>589000</v>
      </c>
      <c r="F159" s="562">
        <f t="shared" si="14"/>
        <v>0.11448007774538387</v>
      </c>
      <c r="G159" s="244">
        <f t="shared" si="17"/>
        <v>176700</v>
      </c>
      <c r="I159" s="275"/>
    </row>
    <row r="160" spans="1:10" ht="21" customHeight="1" x14ac:dyDescent="0.25">
      <c r="A160" s="273"/>
      <c r="B160" s="255" t="s">
        <v>8</v>
      </c>
      <c r="C160" s="538">
        <v>1430000</v>
      </c>
      <c r="D160" s="538">
        <v>1300000</v>
      </c>
      <c r="E160" s="538">
        <v>417000</v>
      </c>
      <c r="F160" s="402">
        <f t="shared" si="14"/>
        <v>0.32076923076923075</v>
      </c>
      <c r="G160" s="244">
        <f t="shared" si="17"/>
        <v>125100</v>
      </c>
      <c r="I160" s="275"/>
    </row>
    <row r="161" spans="1:9" ht="21" customHeight="1" x14ac:dyDescent="0.25">
      <c r="A161" s="276"/>
      <c r="B161" s="282"/>
      <c r="C161" s="287">
        <f>SUM(C151:C160)</f>
        <v>39795800</v>
      </c>
      <c r="D161" s="287">
        <f>SUM(D151:D160)</f>
        <v>36178000</v>
      </c>
      <c r="E161" s="287">
        <f>SUM(E151:E160)</f>
        <v>9326700</v>
      </c>
      <c r="F161" s="568">
        <f t="shared" si="14"/>
        <v>0.2578003206368511</v>
      </c>
      <c r="G161" s="885">
        <f>SUM(G151:G160)</f>
        <v>2001510</v>
      </c>
      <c r="H161" s="241"/>
      <c r="I161" s="272"/>
    </row>
    <row r="162" spans="1:9" ht="21" customHeight="1" x14ac:dyDescent="0.25">
      <c r="A162" s="261" t="s">
        <v>392</v>
      </c>
      <c r="B162" s="253" t="s">
        <v>11</v>
      </c>
      <c r="C162" s="537">
        <v>660000</v>
      </c>
      <c r="D162" s="537">
        <v>600000</v>
      </c>
      <c r="E162" s="537">
        <v>162500</v>
      </c>
      <c r="F162" s="402">
        <f t="shared" si="14"/>
        <v>0.27083333333333331</v>
      </c>
      <c r="G162" s="244">
        <f t="shared" ref="G162:G168" si="18">E162*30%</f>
        <v>48750</v>
      </c>
      <c r="I162" s="275"/>
    </row>
    <row r="163" spans="1:9" ht="21" customHeight="1" x14ac:dyDescent="0.25">
      <c r="A163" s="273"/>
      <c r="B163" s="255" t="s">
        <v>5</v>
      </c>
      <c r="C163" s="538">
        <v>3630000</v>
      </c>
      <c r="D163" s="538">
        <v>3300000</v>
      </c>
      <c r="E163" s="538">
        <v>540000</v>
      </c>
      <c r="F163" s="402">
        <f t="shared" si="14"/>
        <v>0.16363636363636364</v>
      </c>
      <c r="G163" s="244">
        <f t="shared" si="18"/>
        <v>162000</v>
      </c>
      <c r="I163" s="275"/>
    </row>
    <row r="164" spans="1:9" ht="21" customHeight="1" x14ac:dyDescent="0.25">
      <c r="A164" s="273"/>
      <c r="B164" s="255" t="s">
        <v>9</v>
      </c>
      <c r="C164" s="538">
        <v>3888500</v>
      </c>
      <c r="D164" s="538">
        <v>3535000</v>
      </c>
      <c r="E164" s="538">
        <v>576200</v>
      </c>
      <c r="F164" s="562">
        <f t="shared" si="14"/>
        <v>0.162998585572843</v>
      </c>
      <c r="G164" s="244">
        <f t="shared" si="18"/>
        <v>172860</v>
      </c>
      <c r="I164" s="275"/>
    </row>
    <row r="165" spans="1:9" ht="21" customHeight="1" x14ac:dyDescent="0.25">
      <c r="A165" s="273"/>
      <c r="B165" s="255" t="s">
        <v>19</v>
      </c>
      <c r="C165" s="538">
        <v>1265000</v>
      </c>
      <c r="D165" s="538">
        <v>1150000</v>
      </c>
      <c r="E165" s="538">
        <v>178000</v>
      </c>
      <c r="F165" s="562">
        <f t="shared" si="14"/>
        <v>0.15478260869565216</v>
      </c>
      <c r="G165" s="244">
        <f t="shared" si="18"/>
        <v>53400</v>
      </c>
      <c r="I165" s="275"/>
    </row>
    <row r="166" spans="1:9" ht="21" customHeight="1" x14ac:dyDescent="0.25">
      <c r="A166" s="273"/>
      <c r="B166" s="255" t="s">
        <v>307</v>
      </c>
      <c r="C166" s="538">
        <v>1298000</v>
      </c>
      <c r="D166" s="538">
        <v>1180000</v>
      </c>
      <c r="E166" s="538">
        <v>220000</v>
      </c>
      <c r="F166" s="402">
        <f t="shared" si="14"/>
        <v>0.1864406779661017</v>
      </c>
      <c r="G166" s="244">
        <f t="shared" si="18"/>
        <v>66000</v>
      </c>
      <c r="I166" s="275"/>
    </row>
    <row r="167" spans="1:9" ht="21" customHeight="1" x14ac:dyDescent="0.25">
      <c r="A167" s="273"/>
      <c r="B167" s="255" t="s">
        <v>2</v>
      </c>
      <c r="C167" s="538">
        <v>6663800</v>
      </c>
      <c r="D167" s="538">
        <v>6058000</v>
      </c>
      <c r="E167" s="538">
        <v>1799000</v>
      </c>
      <c r="F167" s="402">
        <f t="shared" si="14"/>
        <v>0.29696269395840214</v>
      </c>
      <c r="G167" s="244">
        <f t="shared" si="18"/>
        <v>539700</v>
      </c>
      <c r="I167" s="275"/>
    </row>
    <row r="168" spans="1:9" ht="21" customHeight="1" x14ac:dyDescent="0.25">
      <c r="A168" s="273"/>
      <c r="B168" s="255" t="s">
        <v>321</v>
      </c>
      <c r="C168" s="538">
        <v>4389000</v>
      </c>
      <c r="D168" s="538">
        <v>3990000</v>
      </c>
      <c r="E168" s="538">
        <v>765000</v>
      </c>
      <c r="F168" s="402">
        <f t="shared" si="14"/>
        <v>0.19172932330827067</v>
      </c>
      <c r="G168" s="244">
        <f t="shared" si="18"/>
        <v>229500</v>
      </c>
      <c r="I168" s="275"/>
    </row>
    <row r="169" spans="1:9" ht="21" customHeight="1" x14ac:dyDescent="0.25">
      <c r="A169" s="276"/>
      <c r="B169" s="282"/>
      <c r="C169" s="287">
        <f>SUM(C162:C168)</f>
        <v>21794300</v>
      </c>
      <c r="D169" s="287">
        <f>SUM(D162:D168)</f>
        <v>19813000</v>
      </c>
      <c r="E169" s="287">
        <f>SUM(E162:E168)</f>
        <v>4240700</v>
      </c>
      <c r="F169" s="568">
        <f t="shared" si="14"/>
        <v>0.21403623883308939</v>
      </c>
      <c r="G169" s="885">
        <f>SUM(G162:G168)</f>
        <v>1272210</v>
      </c>
      <c r="H169" s="241"/>
      <c r="I169" s="272"/>
    </row>
    <row r="170" spans="1:9" ht="21" customHeight="1" x14ac:dyDescent="0.25">
      <c r="A170" s="261" t="s">
        <v>393</v>
      </c>
      <c r="B170" s="253" t="s">
        <v>9</v>
      </c>
      <c r="C170" s="537">
        <v>1413500</v>
      </c>
      <c r="D170" s="537">
        <v>1285000</v>
      </c>
      <c r="E170" s="537">
        <v>126200</v>
      </c>
      <c r="F170" s="402">
        <f t="shared" si="14"/>
        <v>9.8210116731517513E-2</v>
      </c>
      <c r="G170" s="244">
        <f t="shared" ref="G170:G179" si="19">E170*30%</f>
        <v>37860</v>
      </c>
      <c r="I170" s="275"/>
    </row>
    <row r="171" spans="1:9" ht="33" x14ac:dyDescent="0.25">
      <c r="A171" s="273"/>
      <c r="B171" s="286" t="s">
        <v>394</v>
      </c>
      <c r="C171" s="538">
        <v>632500</v>
      </c>
      <c r="D171" s="538">
        <v>575000</v>
      </c>
      <c r="E171" s="538">
        <v>85000</v>
      </c>
      <c r="F171" s="562">
        <f t="shared" si="14"/>
        <v>0.14782608695652175</v>
      </c>
      <c r="G171" s="244">
        <f t="shared" si="19"/>
        <v>25500</v>
      </c>
      <c r="I171" s="275"/>
    </row>
    <row r="172" spans="1:9" ht="21" customHeight="1" x14ac:dyDescent="0.25">
      <c r="A172" s="273"/>
      <c r="B172" s="255" t="s">
        <v>9</v>
      </c>
      <c r="C172" s="538">
        <v>2678500</v>
      </c>
      <c r="D172" s="538">
        <v>2435000</v>
      </c>
      <c r="E172" s="538">
        <v>141000</v>
      </c>
      <c r="F172" s="562">
        <f t="shared" si="14"/>
        <v>5.7905544147843942E-2</v>
      </c>
      <c r="G172" s="244">
        <f t="shared" si="19"/>
        <v>42300</v>
      </c>
      <c r="I172" s="275"/>
    </row>
    <row r="173" spans="1:9" ht="21" customHeight="1" x14ac:dyDescent="0.25">
      <c r="A173" s="273"/>
      <c r="B173" s="255" t="s">
        <v>14</v>
      </c>
      <c r="C173" s="538">
        <v>1001000</v>
      </c>
      <c r="D173" s="538">
        <v>910000</v>
      </c>
      <c r="E173" s="538">
        <v>142000</v>
      </c>
      <c r="F173" s="402">
        <f t="shared" si="14"/>
        <v>0.15604395604395604</v>
      </c>
      <c r="G173" s="244">
        <f t="shared" si="19"/>
        <v>42600</v>
      </c>
      <c r="I173" s="275"/>
    </row>
    <row r="174" spans="1:9" ht="21" customHeight="1" x14ac:dyDescent="0.25">
      <c r="A174" s="273"/>
      <c r="B174" s="255" t="s">
        <v>7</v>
      </c>
      <c r="C174" s="538">
        <v>594000</v>
      </c>
      <c r="D174" s="538">
        <v>540000</v>
      </c>
      <c r="E174" s="538">
        <v>260000</v>
      </c>
      <c r="F174" s="402">
        <f t="shared" si="14"/>
        <v>0.48148148148148145</v>
      </c>
      <c r="G174" s="244">
        <f t="shared" si="19"/>
        <v>78000</v>
      </c>
      <c r="I174" s="275"/>
    </row>
    <row r="175" spans="1:9" ht="21" customHeight="1" x14ac:dyDescent="0.25">
      <c r="A175" s="273"/>
      <c r="B175" s="255" t="s">
        <v>8</v>
      </c>
      <c r="C175" s="538">
        <v>572000</v>
      </c>
      <c r="D175" s="538">
        <v>520000</v>
      </c>
      <c r="E175" s="538">
        <v>92800</v>
      </c>
      <c r="F175" s="402">
        <f t="shared" si="14"/>
        <v>0.17846153846153845</v>
      </c>
      <c r="G175" s="244">
        <f t="shared" si="19"/>
        <v>27840</v>
      </c>
      <c r="I175" s="275"/>
    </row>
    <row r="176" spans="1:9" ht="21" customHeight="1" x14ac:dyDescent="0.25">
      <c r="A176" s="273"/>
      <c r="B176" s="255" t="s">
        <v>5</v>
      </c>
      <c r="C176" s="538">
        <v>6770500</v>
      </c>
      <c r="D176" s="538">
        <v>6155000</v>
      </c>
      <c r="E176" s="538">
        <v>1045000</v>
      </c>
      <c r="F176" s="402">
        <f t="shared" si="14"/>
        <v>0.16978066612510154</v>
      </c>
      <c r="G176" s="244">
        <f t="shared" si="19"/>
        <v>313500</v>
      </c>
      <c r="I176" s="275"/>
    </row>
    <row r="177" spans="1:10" ht="21" customHeight="1" x14ac:dyDescent="0.25">
      <c r="A177" s="273"/>
      <c r="B177" s="255" t="s">
        <v>19</v>
      </c>
      <c r="C177" s="538">
        <v>2351250</v>
      </c>
      <c r="D177" s="538">
        <v>2137500</v>
      </c>
      <c r="E177" s="538">
        <v>498300</v>
      </c>
      <c r="F177" s="402">
        <f t="shared" si="14"/>
        <v>0.23312280701754387</v>
      </c>
      <c r="G177" s="244">
        <f t="shared" si="19"/>
        <v>149490</v>
      </c>
      <c r="I177" s="275"/>
    </row>
    <row r="178" spans="1:10" ht="21" customHeight="1" x14ac:dyDescent="0.25">
      <c r="A178" s="273"/>
      <c r="B178" s="255" t="s">
        <v>2</v>
      </c>
      <c r="C178" s="538">
        <v>4990700</v>
      </c>
      <c r="D178" s="538">
        <v>4537000</v>
      </c>
      <c r="E178" s="538">
        <v>1258300</v>
      </c>
      <c r="F178" s="402">
        <f t="shared" si="14"/>
        <v>0.27734185585188448</v>
      </c>
      <c r="G178" s="244">
        <f t="shared" si="19"/>
        <v>377490</v>
      </c>
      <c r="I178" s="275"/>
    </row>
    <row r="179" spans="1:10" ht="21" customHeight="1" x14ac:dyDescent="0.25">
      <c r="A179" s="273"/>
      <c r="B179" s="255" t="s">
        <v>309</v>
      </c>
      <c r="C179" s="537">
        <v>6336000</v>
      </c>
      <c r="D179" s="537">
        <v>5760000</v>
      </c>
      <c r="E179" s="537">
        <v>801200</v>
      </c>
      <c r="F179" s="402">
        <f t="shared" si="14"/>
        <v>0.13909722222222223</v>
      </c>
      <c r="G179" s="244">
        <f t="shared" si="19"/>
        <v>240360</v>
      </c>
      <c r="I179" s="275"/>
    </row>
    <row r="180" spans="1:10" ht="21" customHeight="1" x14ac:dyDescent="0.25">
      <c r="A180" s="276"/>
      <c r="B180" s="283"/>
      <c r="C180" s="287">
        <f>SUM(C170:C179)</f>
        <v>27339950</v>
      </c>
      <c r="D180" s="287">
        <f>SUM(D170:D179)</f>
        <v>24854500</v>
      </c>
      <c r="E180" s="287">
        <f>SUM(E170:E179)</f>
        <v>4449800</v>
      </c>
      <c r="F180" s="568">
        <f t="shared" si="14"/>
        <v>0.17903397775050794</v>
      </c>
      <c r="G180" s="885">
        <f>SUM(G170:G179)</f>
        <v>1334940</v>
      </c>
      <c r="H180" s="241"/>
      <c r="I180" s="272"/>
    </row>
    <row r="181" spans="1:10" ht="21" customHeight="1" x14ac:dyDescent="0.25">
      <c r="A181" s="261" t="s">
        <v>395</v>
      </c>
      <c r="B181" s="253" t="s">
        <v>309</v>
      </c>
      <c r="C181" s="537">
        <v>4521000</v>
      </c>
      <c r="D181" s="537">
        <v>4110000</v>
      </c>
      <c r="E181" s="537">
        <v>855000</v>
      </c>
      <c r="F181" s="402">
        <f t="shared" si="14"/>
        <v>0.20802919708029197</v>
      </c>
      <c r="G181" s="244">
        <f>E181*30%</f>
        <v>256500</v>
      </c>
      <c r="I181" s="275"/>
    </row>
    <row r="182" spans="1:10" ht="21" customHeight="1" x14ac:dyDescent="0.25">
      <c r="A182" s="273"/>
      <c r="B182" s="286" t="s">
        <v>9</v>
      </c>
      <c r="C182" s="538">
        <v>2678500</v>
      </c>
      <c r="D182" s="538">
        <v>2435000</v>
      </c>
      <c r="E182" s="538">
        <v>517000</v>
      </c>
      <c r="F182" s="562">
        <f t="shared" si="14"/>
        <v>0.21232032854209446</v>
      </c>
      <c r="G182" s="244">
        <f>E182*30%</f>
        <v>155100</v>
      </c>
      <c r="I182" s="275"/>
    </row>
    <row r="183" spans="1:10" ht="21" customHeight="1" x14ac:dyDescent="0.25">
      <c r="A183" s="273"/>
      <c r="B183" s="255" t="s">
        <v>9</v>
      </c>
      <c r="C183" s="538">
        <v>2120250</v>
      </c>
      <c r="D183" s="538">
        <v>1927500</v>
      </c>
      <c r="E183" s="538">
        <v>489000</v>
      </c>
      <c r="F183" s="562">
        <f t="shared" si="14"/>
        <v>0.2536964980544747</v>
      </c>
      <c r="G183" s="244">
        <f>E183*30%</f>
        <v>146700</v>
      </c>
      <c r="I183" s="275"/>
    </row>
    <row r="184" spans="1:10" ht="21" customHeight="1" x14ac:dyDescent="0.25">
      <c r="A184" s="273"/>
      <c r="B184" s="255" t="s">
        <v>311</v>
      </c>
      <c r="C184" s="538">
        <v>4999995</v>
      </c>
      <c r="D184" s="538">
        <v>4545450</v>
      </c>
      <c r="E184" s="538">
        <v>345450</v>
      </c>
      <c r="F184" s="402">
        <f t="shared" si="14"/>
        <v>7.5999075999076002E-2</v>
      </c>
      <c r="G184" s="244">
        <f>E184*15%</f>
        <v>51817.5</v>
      </c>
      <c r="I184" s="275"/>
      <c r="J184" s="227" t="s">
        <v>396</v>
      </c>
    </row>
    <row r="185" spans="1:10" ht="21" customHeight="1" x14ac:dyDescent="0.25">
      <c r="A185" s="273"/>
      <c r="B185" s="255" t="s">
        <v>20</v>
      </c>
      <c r="C185" s="538">
        <v>2090000</v>
      </c>
      <c r="D185" s="538">
        <v>1900000</v>
      </c>
      <c r="E185" s="537">
        <v>789354</v>
      </c>
      <c r="F185" s="402">
        <f t="shared" si="14"/>
        <v>0.41544947368421054</v>
      </c>
      <c r="G185" s="244">
        <f>E185*15%</f>
        <v>118403.09999999999</v>
      </c>
      <c r="I185" s="275"/>
      <c r="J185" s="227" t="s">
        <v>396</v>
      </c>
    </row>
    <row r="186" spans="1:10" ht="21" customHeight="1" x14ac:dyDescent="0.25">
      <c r="A186" s="273"/>
      <c r="B186" s="255" t="s">
        <v>322</v>
      </c>
      <c r="C186" s="538">
        <v>790900</v>
      </c>
      <c r="D186" s="538">
        <v>719000</v>
      </c>
      <c r="E186" s="537">
        <v>457622</v>
      </c>
      <c r="F186" s="402">
        <f t="shared" si="14"/>
        <v>0.63647009735744087</v>
      </c>
      <c r="G186" s="244"/>
      <c r="I186" s="275"/>
    </row>
    <row r="187" spans="1:10" ht="21" customHeight="1" x14ac:dyDescent="0.25">
      <c r="A187" s="273"/>
      <c r="B187" s="255" t="s">
        <v>5</v>
      </c>
      <c r="C187" s="538">
        <v>7227000</v>
      </c>
      <c r="D187" s="538">
        <v>6570000</v>
      </c>
      <c r="E187" s="538">
        <v>1110000</v>
      </c>
      <c r="F187" s="402">
        <f t="shared" si="14"/>
        <v>0.16894977168949771</v>
      </c>
      <c r="G187" s="244">
        <f>E187*30%</f>
        <v>333000</v>
      </c>
      <c r="I187" s="275"/>
    </row>
    <row r="188" spans="1:10" ht="21" customHeight="1" x14ac:dyDescent="0.25">
      <c r="A188" s="273"/>
      <c r="B188" s="255" t="s">
        <v>19</v>
      </c>
      <c r="C188" s="538">
        <v>2090000</v>
      </c>
      <c r="D188" s="538">
        <v>1900000</v>
      </c>
      <c r="E188" s="538">
        <v>378000</v>
      </c>
      <c r="F188" s="402">
        <f t="shared" si="14"/>
        <v>0.19894736842105262</v>
      </c>
      <c r="G188" s="244">
        <f>E188*30%</f>
        <v>113400</v>
      </c>
      <c r="I188" s="275"/>
    </row>
    <row r="189" spans="1:10" ht="21" customHeight="1" x14ac:dyDescent="0.25">
      <c r="A189" s="273"/>
      <c r="B189" s="255" t="s">
        <v>2</v>
      </c>
      <c r="C189" s="538">
        <v>8298400</v>
      </c>
      <c r="D189" s="538">
        <v>7544000</v>
      </c>
      <c r="E189" s="538">
        <v>1904800</v>
      </c>
      <c r="F189" s="402">
        <f t="shared" si="14"/>
        <v>0.25249204665959701</v>
      </c>
      <c r="G189" s="244">
        <f>E189*30%</f>
        <v>571440</v>
      </c>
      <c r="I189" s="275"/>
    </row>
    <row r="190" spans="1:10" ht="21" customHeight="1" x14ac:dyDescent="0.25">
      <c r="A190" s="273"/>
      <c r="B190" s="255" t="s">
        <v>17</v>
      </c>
      <c r="C190" s="537">
        <v>28490000</v>
      </c>
      <c r="D190" s="537">
        <v>25900000</v>
      </c>
      <c r="E190" s="537"/>
      <c r="F190" s="402">
        <f t="shared" si="14"/>
        <v>0</v>
      </c>
      <c r="G190" s="244"/>
      <c r="I190" s="275"/>
    </row>
    <row r="191" spans="1:10" ht="21" customHeight="1" x14ac:dyDescent="0.25">
      <c r="A191" s="276"/>
      <c r="B191" s="283"/>
      <c r="C191" s="287">
        <f>SUM(C181:C190)</f>
        <v>63306045</v>
      </c>
      <c r="D191" s="287">
        <f>SUM(D181:D190)</f>
        <v>57550950</v>
      </c>
      <c r="E191" s="287">
        <f>SUM(E181:E190)</f>
        <v>6846226</v>
      </c>
      <c r="F191" s="568">
        <f t="shared" si="14"/>
        <v>0.11895939163471672</v>
      </c>
      <c r="G191" s="885">
        <f>SUM(G181:G190)</f>
        <v>1746360.6</v>
      </c>
      <c r="H191" s="241"/>
      <c r="I191" s="272"/>
    </row>
    <row r="192" spans="1:10" ht="21" customHeight="1" x14ac:dyDescent="0.25">
      <c r="A192" s="261" t="s">
        <v>397</v>
      </c>
      <c r="B192" s="253" t="s">
        <v>323</v>
      </c>
      <c r="C192" s="537">
        <v>990000</v>
      </c>
      <c r="D192" s="537">
        <v>900000</v>
      </c>
      <c r="E192" s="537">
        <v>260000</v>
      </c>
      <c r="F192" s="402">
        <f t="shared" si="14"/>
        <v>0.28888888888888886</v>
      </c>
      <c r="G192" s="244">
        <f>E192*30%</f>
        <v>78000</v>
      </c>
      <c r="I192" s="275"/>
    </row>
    <row r="193" spans="1:10" ht="21" customHeight="1" x14ac:dyDescent="0.25">
      <c r="A193" s="273"/>
      <c r="B193" s="286" t="s">
        <v>324</v>
      </c>
      <c r="C193" s="538">
        <v>286000</v>
      </c>
      <c r="D193" s="538">
        <v>260000</v>
      </c>
      <c r="E193" s="538">
        <v>40000</v>
      </c>
      <c r="F193" s="562">
        <f t="shared" si="14"/>
        <v>0.15384615384615385</v>
      </c>
      <c r="G193" s="244">
        <f>E193*30%</f>
        <v>12000</v>
      </c>
      <c r="I193" s="275"/>
    </row>
    <row r="194" spans="1:10" ht="21" customHeight="1" x14ac:dyDescent="0.25">
      <c r="A194" s="273"/>
      <c r="B194" s="255" t="s">
        <v>325</v>
      </c>
      <c r="C194" s="538">
        <v>2090000</v>
      </c>
      <c r="D194" s="538">
        <v>1900000</v>
      </c>
      <c r="E194" s="538">
        <v>789354</v>
      </c>
      <c r="F194" s="562">
        <f t="shared" si="14"/>
        <v>0.41544947368421054</v>
      </c>
      <c r="G194" s="244"/>
      <c r="I194" s="275"/>
    </row>
    <row r="195" spans="1:10" ht="21" customHeight="1" x14ac:dyDescent="0.25">
      <c r="A195" s="273"/>
      <c r="B195" s="255" t="s">
        <v>7</v>
      </c>
      <c r="C195" s="538">
        <v>616000</v>
      </c>
      <c r="D195" s="538">
        <v>560000</v>
      </c>
      <c r="E195" s="538">
        <v>222400</v>
      </c>
      <c r="F195" s="402">
        <f t="shared" ref="F195:F258" si="20">E195/D195</f>
        <v>0.39714285714285713</v>
      </c>
      <c r="G195" s="244">
        <f>E195*30%</f>
        <v>66720</v>
      </c>
      <c r="I195" s="275"/>
    </row>
    <row r="196" spans="1:10" ht="21" customHeight="1" x14ac:dyDescent="0.25">
      <c r="A196" s="273"/>
      <c r="B196" s="255" t="s">
        <v>323</v>
      </c>
      <c r="C196" s="538">
        <v>4950000</v>
      </c>
      <c r="D196" s="538">
        <v>4500000</v>
      </c>
      <c r="E196" s="537">
        <v>1500000</v>
      </c>
      <c r="F196" s="402">
        <f t="shared" si="20"/>
        <v>0.33333333333333331</v>
      </c>
      <c r="G196" s="244"/>
      <c r="I196" s="275"/>
    </row>
    <row r="197" spans="1:10" ht="21" customHeight="1" x14ac:dyDescent="0.25">
      <c r="A197" s="273"/>
      <c r="B197" s="255" t="s">
        <v>16</v>
      </c>
      <c r="C197" s="538">
        <v>217800</v>
      </c>
      <c r="D197" s="538">
        <v>198000</v>
      </c>
      <c r="E197" s="537">
        <v>22000</v>
      </c>
      <c r="F197" s="402">
        <f t="shared" si="20"/>
        <v>0.1111111111111111</v>
      </c>
      <c r="G197" s="244">
        <f t="shared" ref="G197:G203" si="21">E197*30%</f>
        <v>6600</v>
      </c>
      <c r="I197" s="275"/>
    </row>
    <row r="198" spans="1:10" ht="21" customHeight="1" x14ac:dyDescent="0.25">
      <c r="A198" s="273"/>
      <c r="B198" s="255" t="s">
        <v>9</v>
      </c>
      <c r="C198" s="538">
        <v>1856250</v>
      </c>
      <c r="D198" s="538">
        <v>1687500</v>
      </c>
      <c r="E198" s="538">
        <v>487500</v>
      </c>
      <c r="F198" s="402">
        <f t="shared" si="20"/>
        <v>0.28888888888888886</v>
      </c>
      <c r="G198" s="244">
        <f t="shared" si="21"/>
        <v>146250</v>
      </c>
      <c r="I198" s="275"/>
    </row>
    <row r="199" spans="1:10" ht="21" customHeight="1" x14ac:dyDescent="0.25">
      <c r="A199" s="273"/>
      <c r="B199" s="255" t="s">
        <v>5</v>
      </c>
      <c r="C199" s="538">
        <v>6100600</v>
      </c>
      <c r="D199" s="538">
        <v>5546000</v>
      </c>
      <c r="E199" s="538">
        <v>1047712</v>
      </c>
      <c r="F199" s="402">
        <f t="shared" si="20"/>
        <v>0.18891309051568697</v>
      </c>
      <c r="G199" s="244">
        <f t="shared" si="21"/>
        <v>314313.59999999998</v>
      </c>
      <c r="I199" s="275"/>
    </row>
    <row r="200" spans="1:10" ht="21" customHeight="1" x14ac:dyDescent="0.25">
      <c r="A200" s="273"/>
      <c r="B200" s="255" t="s">
        <v>19</v>
      </c>
      <c r="C200" s="538">
        <v>2092750</v>
      </c>
      <c r="D200" s="538">
        <v>1902500</v>
      </c>
      <c r="E200" s="538">
        <v>418500</v>
      </c>
      <c r="F200" s="402">
        <f t="shared" si="20"/>
        <v>0.21997371879106439</v>
      </c>
      <c r="G200" s="244">
        <f t="shared" si="21"/>
        <v>125550</v>
      </c>
      <c r="I200" s="275"/>
    </row>
    <row r="201" spans="1:10" ht="21" customHeight="1" x14ac:dyDescent="0.25">
      <c r="A201" s="273"/>
      <c r="B201" s="255" t="s">
        <v>2</v>
      </c>
      <c r="C201" s="537">
        <v>11070400</v>
      </c>
      <c r="D201" s="537">
        <v>10064000</v>
      </c>
      <c r="E201" s="537">
        <v>2634300</v>
      </c>
      <c r="F201" s="402">
        <f t="shared" si="20"/>
        <v>0.2617547694753577</v>
      </c>
      <c r="G201" s="244">
        <f t="shared" si="21"/>
        <v>790290</v>
      </c>
      <c r="I201" s="275"/>
    </row>
    <row r="202" spans="1:10" ht="21" customHeight="1" x14ac:dyDescent="0.25">
      <c r="A202" s="273"/>
      <c r="B202" s="255" t="s">
        <v>309</v>
      </c>
      <c r="C202" s="538">
        <v>4424750</v>
      </c>
      <c r="D202" s="538">
        <v>4022500</v>
      </c>
      <c r="E202" s="537">
        <v>734500</v>
      </c>
      <c r="F202" s="402">
        <f t="shared" si="20"/>
        <v>0.18259788688626477</v>
      </c>
      <c r="G202" s="244">
        <f t="shared" si="21"/>
        <v>220350</v>
      </c>
      <c r="I202" s="275"/>
    </row>
    <row r="203" spans="1:10" ht="21" customHeight="1" x14ac:dyDescent="0.25">
      <c r="A203" s="273"/>
      <c r="B203" s="255" t="s">
        <v>324</v>
      </c>
      <c r="C203" s="538">
        <v>429000</v>
      </c>
      <c r="D203" s="538">
        <v>390000</v>
      </c>
      <c r="E203" s="538">
        <v>60000</v>
      </c>
      <c r="F203" s="402">
        <f t="shared" si="20"/>
        <v>0.15384615384615385</v>
      </c>
      <c r="G203" s="244">
        <f t="shared" si="21"/>
        <v>18000</v>
      </c>
      <c r="I203" s="275"/>
    </row>
    <row r="204" spans="1:10" ht="21" customHeight="1" x14ac:dyDescent="0.25">
      <c r="A204" s="276"/>
      <c r="B204" s="283"/>
      <c r="C204" s="287">
        <f>SUM(C192:C203)</f>
        <v>35123550</v>
      </c>
      <c r="D204" s="287">
        <f>SUM(D192:D203)</f>
        <v>31930500</v>
      </c>
      <c r="E204" s="287">
        <f>SUM(E192:E203)</f>
        <v>8216266</v>
      </c>
      <c r="F204" s="568">
        <f t="shared" si="20"/>
        <v>0.25731717323562109</v>
      </c>
      <c r="G204" s="885">
        <f>SUM(G192:G203)</f>
        <v>1778073.6000000001</v>
      </c>
      <c r="H204" s="241"/>
      <c r="I204" s="272"/>
    </row>
    <row r="205" spans="1:10" ht="21" customHeight="1" x14ac:dyDescent="0.25">
      <c r="A205" s="261" t="s">
        <v>398</v>
      </c>
      <c r="B205" s="253" t="s">
        <v>21</v>
      </c>
      <c r="C205" s="537">
        <v>19800000</v>
      </c>
      <c r="D205" s="537">
        <v>18000000</v>
      </c>
      <c r="E205" s="537">
        <v>4481500</v>
      </c>
      <c r="F205" s="402">
        <f t="shared" si="20"/>
        <v>0.24897222222222223</v>
      </c>
      <c r="G205" s="244">
        <f>E205*15%</f>
        <v>672225</v>
      </c>
      <c r="I205" s="275"/>
      <c r="J205" s="227" t="s">
        <v>399</v>
      </c>
    </row>
    <row r="206" spans="1:10" ht="21" customHeight="1" x14ac:dyDescent="0.25">
      <c r="A206" s="273"/>
      <c r="B206" s="286" t="s">
        <v>326</v>
      </c>
      <c r="C206" s="538">
        <v>4950000</v>
      </c>
      <c r="D206" s="538">
        <v>4500000</v>
      </c>
      <c r="E206" s="538">
        <v>308000</v>
      </c>
      <c r="F206" s="562">
        <f t="shared" si="20"/>
        <v>6.8444444444444447E-2</v>
      </c>
      <c r="G206" s="244">
        <f>E206*15%</f>
        <v>46200</v>
      </c>
      <c r="I206" s="275"/>
      <c r="J206" s="227" t="s">
        <v>399</v>
      </c>
    </row>
    <row r="207" spans="1:10" ht="21" customHeight="1" x14ac:dyDescent="0.25">
      <c r="A207" s="273"/>
      <c r="B207" s="286" t="s">
        <v>22</v>
      </c>
      <c r="C207" s="538">
        <v>583000</v>
      </c>
      <c r="D207" s="538">
        <v>530000</v>
      </c>
      <c r="E207" s="538">
        <v>216000</v>
      </c>
      <c r="F207" s="402">
        <f t="shared" si="20"/>
        <v>0.40754716981132078</v>
      </c>
      <c r="G207" s="244">
        <f t="shared" ref="G207:G225" si="22">E207*30%</f>
        <v>64800</v>
      </c>
      <c r="I207" s="275"/>
    </row>
    <row r="208" spans="1:10" ht="21" customHeight="1" x14ac:dyDescent="0.25">
      <c r="A208" s="273"/>
      <c r="B208" s="286" t="s">
        <v>24</v>
      </c>
      <c r="C208" s="538">
        <v>577500</v>
      </c>
      <c r="D208" s="538">
        <v>525000</v>
      </c>
      <c r="E208" s="538">
        <v>228000</v>
      </c>
      <c r="F208" s="562">
        <f t="shared" si="20"/>
        <v>0.43428571428571427</v>
      </c>
      <c r="G208" s="244">
        <f t="shared" si="22"/>
        <v>68400</v>
      </c>
      <c r="I208" s="275"/>
    </row>
    <row r="209" spans="1:9" ht="21" customHeight="1" x14ac:dyDescent="0.25">
      <c r="A209" s="273"/>
      <c r="B209" s="286" t="s">
        <v>324</v>
      </c>
      <c r="C209" s="538">
        <v>572000</v>
      </c>
      <c r="D209" s="538">
        <v>520000</v>
      </c>
      <c r="E209" s="538">
        <v>80000</v>
      </c>
      <c r="F209" s="402">
        <f t="shared" si="20"/>
        <v>0.15384615384615385</v>
      </c>
      <c r="G209" s="244">
        <f t="shared" si="22"/>
        <v>24000</v>
      </c>
      <c r="I209" s="275"/>
    </row>
    <row r="210" spans="1:9" ht="21" customHeight="1" x14ac:dyDescent="0.25">
      <c r="A210" s="273"/>
      <c r="B210" s="255" t="s">
        <v>324</v>
      </c>
      <c r="C210" s="538">
        <v>429000</v>
      </c>
      <c r="D210" s="538">
        <v>390000</v>
      </c>
      <c r="E210" s="538">
        <v>60000</v>
      </c>
      <c r="F210" s="402">
        <f t="shared" si="20"/>
        <v>0.15384615384615385</v>
      </c>
      <c r="G210" s="244">
        <f t="shared" si="22"/>
        <v>18000</v>
      </c>
      <c r="I210" s="275"/>
    </row>
    <row r="211" spans="1:9" ht="21" customHeight="1" x14ac:dyDescent="0.25">
      <c r="A211" s="273"/>
      <c r="B211" s="255" t="s">
        <v>324</v>
      </c>
      <c r="C211" s="538">
        <v>429000</v>
      </c>
      <c r="D211" s="538">
        <v>390000</v>
      </c>
      <c r="E211" s="537">
        <v>60000</v>
      </c>
      <c r="F211" s="402">
        <f t="shared" si="20"/>
        <v>0.15384615384615385</v>
      </c>
      <c r="G211" s="244">
        <f t="shared" si="22"/>
        <v>18000</v>
      </c>
      <c r="I211" s="275"/>
    </row>
    <row r="212" spans="1:9" ht="21" customHeight="1" x14ac:dyDescent="0.25">
      <c r="A212" s="273"/>
      <c r="B212" s="286" t="s">
        <v>25</v>
      </c>
      <c r="C212" s="538">
        <v>198000</v>
      </c>
      <c r="D212" s="538">
        <v>180000</v>
      </c>
      <c r="E212" s="538">
        <v>100856</v>
      </c>
      <c r="F212" s="562">
        <f t="shared" si="20"/>
        <v>0.56031111111111109</v>
      </c>
      <c r="G212" s="244">
        <f t="shared" si="22"/>
        <v>30256.799999999999</v>
      </c>
      <c r="I212" s="275"/>
    </row>
    <row r="213" spans="1:9" ht="21" customHeight="1" x14ac:dyDescent="0.25">
      <c r="A213" s="273"/>
      <c r="B213" s="286" t="s">
        <v>17</v>
      </c>
      <c r="C213" s="538">
        <v>5280000</v>
      </c>
      <c r="D213" s="538">
        <v>4800000</v>
      </c>
      <c r="E213" s="538">
        <v>941500</v>
      </c>
      <c r="F213" s="402">
        <f t="shared" si="20"/>
        <v>0.19614583333333332</v>
      </c>
      <c r="G213" s="244">
        <f t="shared" si="22"/>
        <v>282450</v>
      </c>
      <c r="I213" s="275"/>
    </row>
    <row r="214" spans="1:9" ht="21" customHeight="1" x14ac:dyDescent="0.25">
      <c r="A214" s="273"/>
      <c r="B214" s="286" t="s">
        <v>7</v>
      </c>
      <c r="C214" s="538">
        <v>594000</v>
      </c>
      <c r="D214" s="538">
        <v>540000</v>
      </c>
      <c r="E214" s="538">
        <v>260000</v>
      </c>
      <c r="F214" s="562">
        <f t="shared" si="20"/>
        <v>0.48148148148148145</v>
      </c>
      <c r="G214" s="244">
        <f t="shared" si="22"/>
        <v>78000</v>
      </c>
      <c r="I214" s="275"/>
    </row>
    <row r="215" spans="1:9" ht="21" customHeight="1" x14ac:dyDescent="0.25">
      <c r="A215" s="273"/>
      <c r="B215" s="286" t="s">
        <v>24</v>
      </c>
      <c r="C215" s="538">
        <v>902000</v>
      </c>
      <c r="D215" s="538">
        <v>820000</v>
      </c>
      <c r="E215" s="538">
        <v>216500</v>
      </c>
      <c r="F215" s="402">
        <f t="shared" si="20"/>
        <v>0.26402439024390245</v>
      </c>
      <c r="G215" s="244">
        <f t="shared" si="22"/>
        <v>64950</v>
      </c>
      <c r="I215" s="275"/>
    </row>
    <row r="216" spans="1:9" ht="21" customHeight="1" x14ac:dyDescent="0.25">
      <c r="A216" s="273"/>
      <c r="B216" s="286" t="s">
        <v>24</v>
      </c>
      <c r="C216" s="538">
        <v>621500</v>
      </c>
      <c r="D216" s="538">
        <v>565000</v>
      </c>
      <c r="E216" s="538">
        <v>77000</v>
      </c>
      <c r="F216" s="562">
        <f t="shared" si="20"/>
        <v>0.13628318584070798</v>
      </c>
      <c r="G216" s="244">
        <f t="shared" si="22"/>
        <v>23100</v>
      </c>
      <c r="I216" s="275"/>
    </row>
    <row r="217" spans="1:9" ht="21" customHeight="1" x14ac:dyDescent="0.25">
      <c r="A217" s="273"/>
      <c r="B217" s="286" t="s">
        <v>5</v>
      </c>
      <c r="C217" s="538">
        <v>8415000</v>
      </c>
      <c r="D217" s="538">
        <v>7650000</v>
      </c>
      <c r="E217" s="538">
        <v>1310000</v>
      </c>
      <c r="F217" s="402">
        <f t="shared" si="20"/>
        <v>0.17124183006535948</v>
      </c>
      <c r="G217" s="244">
        <f t="shared" si="22"/>
        <v>393000</v>
      </c>
      <c r="I217" s="275"/>
    </row>
    <row r="218" spans="1:9" ht="21" customHeight="1" x14ac:dyDescent="0.25">
      <c r="A218" s="273"/>
      <c r="B218" s="286" t="s">
        <v>9</v>
      </c>
      <c r="C218" s="538">
        <v>848100</v>
      </c>
      <c r="D218" s="538">
        <v>771000</v>
      </c>
      <c r="E218" s="538">
        <v>195600</v>
      </c>
      <c r="F218" s="562">
        <f t="shared" si="20"/>
        <v>0.2536964980544747</v>
      </c>
      <c r="G218" s="244">
        <f t="shared" si="22"/>
        <v>58680</v>
      </c>
      <c r="I218" s="275"/>
    </row>
    <row r="219" spans="1:9" ht="21" customHeight="1" x14ac:dyDescent="0.25">
      <c r="A219" s="273"/>
      <c r="B219" s="286" t="s">
        <v>19</v>
      </c>
      <c r="C219" s="538">
        <v>825000</v>
      </c>
      <c r="D219" s="538">
        <v>750000</v>
      </c>
      <c r="E219" s="538">
        <v>200000</v>
      </c>
      <c r="F219" s="402">
        <f t="shared" si="20"/>
        <v>0.26666666666666666</v>
      </c>
      <c r="G219" s="244">
        <f t="shared" si="22"/>
        <v>60000</v>
      </c>
      <c r="I219" s="275"/>
    </row>
    <row r="220" spans="1:9" ht="21" customHeight="1" x14ac:dyDescent="0.25">
      <c r="A220" s="273"/>
      <c r="B220" s="286" t="s">
        <v>309</v>
      </c>
      <c r="C220" s="538">
        <v>6921200</v>
      </c>
      <c r="D220" s="538">
        <v>6292000</v>
      </c>
      <c r="E220" s="538">
        <v>949000</v>
      </c>
      <c r="F220" s="402">
        <f t="shared" si="20"/>
        <v>0.15082644628099173</v>
      </c>
      <c r="G220" s="244">
        <f t="shared" si="22"/>
        <v>284700</v>
      </c>
      <c r="I220" s="275"/>
    </row>
    <row r="221" spans="1:9" ht="21" customHeight="1" x14ac:dyDescent="0.25">
      <c r="A221" s="273"/>
      <c r="B221" s="286" t="s">
        <v>327</v>
      </c>
      <c r="C221" s="538">
        <v>2739000</v>
      </c>
      <c r="D221" s="538">
        <v>2490000</v>
      </c>
      <c r="E221" s="538">
        <v>555000</v>
      </c>
      <c r="F221" s="562">
        <f t="shared" si="20"/>
        <v>0.22289156626506024</v>
      </c>
      <c r="G221" s="244">
        <f t="shared" si="22"/>
        <v>166500</v>
      </c>
      <c r="I221" s="275"/>
    </row>
    <row r="222" spans="1:9" ht="21" customHeight="1" x14ac:dyDescent="0.25">
      <c r="A222" s="273"/>
      <c r="B222" s="286" t="s">
        <v>8</v>
      </c>
      <c r="C222" s="538">
        <v>1430000</v>
      </c>
      <c r="D222" s="538">
        <v>1300000</v>
      </c>
      <c r="E222" s="538">
        <v>655000</v>
      </c>
      <c r="F222" s="402">
        <f t="shared" si="20"/>
        <v>0.50384615384615383</v>
      </c>
      <c r="G222" s="244">
        <f t="shared" si="22"/>
        <v>196500</v>
      </c>
      <c r="I222" s="275"/>
    </row>
    <row r="223" spans="1:9" ht="21" customHeight="1" x14ac:dyDescent="0.25">
      <c r="A223" s="273"/>
      <c r="B223" s="255" t="s">
        <v>14</v>
      </c>
      <c r="C223" s="538">
        <v>341000</v>
      </c>
      <c r="D223" s="538">
        <v>310000</v>
      </c>
      <c r="E223" s="538">
        <v>46000</v>
      </c>
      <c r="F223" s="562">
        <f t="shared" si="20"/>
        <v>0.14838709677419354</v>
      </c>
      <c r="G223" s="244">
        <f t="shared" si="22"/>
        <v>13800</v>
      </c>
      <c r="I223" s="275"/>
    </row>
    <row r="224" spans="1:9" ht="21" customHeight="1" x14ac:dyDescent="0.25">
      <c r="A224" s="273"/>
      <c r="B224" s="255" t="s">
        <v>2</v>
      </c>
      <c r="C224" s="538">
        <v>913000</v>
      </c>
      <c r="D224" s="538">
        <v>830000</v>
      </c>
      <c r="E224" s="537">
        <v>300000</v>
      </c>
      <c r="F224" s="402">
        <f t="shared" si="20"/>
        <v>0.36144578313253012</v>
      </c>
      <c r="G224" s="244">
        <f t="shared" si="22"/>
        <v>90000</v>
      </c>
      <c r="I224" s="275"/>
    </row>
    <row r="225" spans="1:10" ht="21" customHeight="1" x14ac:dyDescent="0.25">
      <c r="A225" s="273"/>
      <c r="B225" s="286" t="s">
        <v>2</v>
      </c>
      <c r="C225" s="538">
        <v>9528200</v>
      </c>
      <c r="D225" s="538">
        <v>8662000</v>
      </c>
      <c r="E225" s="538">
        <v>2574600</v>
      </c>
      <c r="F225" s="562">
        <f t="shared" si="20"/>
        <v>0.29722927730316323</v>
      </c>
      <c r="G225" s="244">
        <f t="shared" si="22"/>
        <v>772380</v>
      </c>
      <c r="I225" s="275"/>
    </row>
    <row r="226" spans="1:10" ht="21" customHeight="1" x14ac:dyDescent="0.25">
      <c r="A226" s="276"/>
      <c r="B226" s="283"/>
      <c r="C226" s="287">
        <f>SUM(C205:C225)</f>
        <v>66896500</v>
      </c>
      <c r="D226" s="287">
        <f>SUM(D205:D225)</f>
        <v>60815000</v>
      </c>
      <c r="E226" s="287">
        <f>SUM(E205:E225)</f>
        <v>13814556</v>
      </c>
      <c r="F226" s="568">
        <f t="shared" si="20"/>
        <v>0.22715705006988407</v>
      </c>
      <c r="G226" s="885">
        <f>SUM(G205:G225)</f>
        <v>3425941.8</v>
      </c>
      <c r="H226" s="241"/>
      <c r="I226" s="272"/>
    </row>
    <row r="227" spans="1:10" ht="21" customHeight="1" x14ac:dyDescent="0.25">
      <c r="A227" s="261" t="s">
        <v>328</v>
      </c>
      <c r="B227" s="288" t="s">
        <v>17</v>
      </c>
      <c r="C227" s="547">
        <v>3080000</v>
      </c>
      <c r="D227" s="547">
        <v>2800000</v>
      </c>
      <c r="E227" s="547">
        <v>450000</v>
      </c>
      <c r="F227" s="569">
        <f t="shared" si="20"/>
        <v>0.16071428571428573</v>
      </c>
      <c r="G227" s="244"/>
      <c r="I227" s="275"/>
      <c r="J227" s="227" t="s">
        <v>400</v>
      </c>
    </row>
    <row r="228" spans="1:10" ht="21" customHeight="1" x14ac:dyDescent="0.25">
      <c r="A228" s="273"/>
      <c r="B228" s="255" t="s">
        <v>26</v>
      </c>
      <c r="C228" s="538">
        <v>440000</v>
      </c>
      <c r="D228" s="538">
        <v>400000</v>
      </c>
      <c r="E228" s="538">
        <v>202140</v>
      </c>
      <c r="F228" s="402">
        <f t="shared" si="20"/>
        <v>0.50534999999999997</v>
      </c>
      <c r="G228" s="244">
        <f t="shared" ref="G228:G238" si="23">E228*30%</f>
        <v>60642</v>
      </c>
      <c r="I228" s="275"/>
    </row>
    <row r="229" spans="1:10" ht="21" customHeight="1" x14ac:dyDescent="0.25">
      <c r="A229" s="273"/>
      <c r="B229" s="255" t="s">
        <v>329</v>
      </c>
      <c r="C229" s="538">
        <v>475200</v>
      </c>
      <c r="D229" s="538">
        <v>432000</v>
      </c>
      <c r="E229" s="538">
        <v>74800</v>
      </c>
      <c r="F229" s="562">
        <f t="shared" si="20"/>
        <v>0.17314814814814813</v>
      </c>
      <c r="G229" s="244">
        <f t="shared" si="23"/>
        <v>22440</v>
      </c>
      <c r="I229" s="275"/>
    </row>
    <row r="230" spans="1:10" ht="21" customHeight="1" x14ac:dyDescent="0.25">
      <c r="A230" s="273"/>
      <c r="B230" s="255" t="s">
        <v>22</v>
      </c>
      <c r="C230" s="538">
        <v>880000</v>
      </c>
      <c r="D230" s="538">
        <v>800000</v>
      </c>
      <c r="E230" s="538">
        <v>80000</v>
      </c>
      <c r="F230" s="402">
        <f t="shared" si="20"/>
        <v>0.1</v>
      </c>
      <c r="G230" s="244">
        <f t="shared" si="23"/>
        <v>24000</v>
      </c>
      <c r="I230" s="275"/>
    </row>
    <row r="231" spans="1:10" ht="21" customHeight="1" x14ac:dyDescent="0.25">
      <c r="A231" s="273"/>
      <c r="B231" s="255" t="s">
        <v>330</v>
      </c>
      <c r="C231" s="538">
        <v>330000</v>
      </c>
      <c r="D231" s="538">
        <v>300000</v>
      </c>
      <c r="E231" s="538">
        <v>112000</v>
      </c>
      <c r="F231" s="402">
        <f t="shared" si="20"/>
        <v>0.37333333333333335</v>
      </c>
      <c r="G231" s="244">
        <f t="shared" si="23"/>
        <v>33600</v>
      </c>
      <c r="I231" s="275"/>
    </row>
    <row r="232" spans="1:10" ht="21" customHeight="1" x14ac:dyDescent="0.25">
      <c r="A232" s="273"/>
      <c r="B232" s="255" t="s">
        <v>9</v>
      </c>
      <c r="C232" s="538">
        <v>2827000</v>
      </c>
      <c r="D232" s="538">
        <v>2570000</v>
      </c>
      <c r="E232" s="538">
        <v>652000</v>
      </c>
      <c r="F232" s="562">
        <f t="shared" si="20"/>
        <v>0.2536964980544747</v>
      </c>
      <c r="G232" s="244">
        <f t="shared" si="23"/>
        <v>195600</v>
      </c>
      <c r="I232" s="275"/>
    </row>
    <row r="233" spans="1:10" ht="21" customHeight="1" x14ac:dyDescent="0.25">
      <c r="A233" s="273"/>
      <c r="B233" s="255" t="s">
        <v>24</v>
      </c>
      <c r="C233" s="538">
        <v>1309000</v>
      </c>
      <c r="D233" s="538">
        <v>1190000</v>
      </c>
      <c r="E233" s="538">
        <v>413200</v>
      </c>
      <c r="F233" s="402">
        <f t="shared" si="20"/>
        <v>0.34722689075630253</v>
      </c>
      <c r="G233" s="244">
        <f t="shared" si="23"/>
        <v>123960</v>
      </c>
      <c r="I233" s="275"/>
    </row>
    <row r="234" spans="1:10" ht="21" customHeight="1" x14ac:dyDescent="0.25">
      <c r="A234" s="273"/>
      <c r="B234" s="255" t="s">
        <v>24</v>
      </c>
      <c r="C234" s="538">
        <v>1501500</v>
      </c>
      <c r="D234" s="538">
        <v>1365000</v>
      </c>
      <c r="E234" s="538">
        <v>438000</v>
      </c>
      <c r="F234" s="562">
        <f t="shared" si="20"/>
        <v>0.3208791208791209</v>
      </c>
      <c r="G234" s="244">
        <f t="shared" si="23"/>
        <v>131400</v>
      </c>
      <c r="I234" s="275"/>
    </row>
    <row r="235" spans="1:10" ht="21" customHeight="1" x14ac:dyDescent="0.25">
      <c r="A235" s="273"/>
      <c r="B235" s="255" t="s">
        <v>324</v>
      </c>
      <c r="C235" s="538">
        <v>429000</v>
      </c>
      <c r="D235" s="538">
        <v>390000</v>
      </c>
      <c r="E235" s="538">
        <v>60000</v>
      </c>
      <c r="F235" s="562">
        <f t="shared" si="20"/>
        <v>0.15384615384615385</v>
      </c>
      <c r="G235" s="244">
        <f t="shared" si="23"/>
        <v>18000</v>
      </c>
      <c r="I235" s="275"/>
    </row>
    <row r="236" spans="1:10" ht="21" customHeight="1" x14ac:dyDescent="0.25">
      <c r="A236" s="273"/>
      <c r="B236" s="255" t="s">
        <v>324</v>
      </c>
      <c r="C236" s="538">
        <v>858000</v>
      </c>
      <c r="D236" s="538">
        <v>780000</v>
      </c>
      <c r="E236" s="538">
        <v>120000</v>
      </c>
      <c r="F236" s="562">
        <f t="shared" si="20"/>
        <v>0.15384615384615385</v>
      </c>
      <c r="G236" s="244">
        <f t="shared" si="23"/>
        <v>36000</v>
      </c>
      <c r="I236" s="275"/>
    </row>
    <row r="237" spans="1:10" ht="21" customHeight="1" x14ac:dyDescent="0.25">
      <c r="A237" s="273"/>
      <c r="B237" s="255" t="s">
        <v>8</v>
      </c>
      <c r="C237" s="538">
        <v>1430000</v>
      </c>
      <c r="D237" s="538">
        <v>1300000</v>
      </c>
      <c r="E237" s="538">
        <v>417000</v>
      </c>
      <c r="F237" s="402">
        <f t="shared" si="20"/>
        <v>0.32076923076923075</v>
      </c>
      <c r="G237" s="244">
        <f t="shared" si="23"/>
        <v>125100</v>
      </c>
      <c r="I237" s="275"/>
    </row>
    <row r="238" spans="1:10" ht="21" customHeight="1" x14ac:dyDescent="0.25">
      <c r="A238" s="273"/>
      <c r="B238" s="255" t="s">
        <v>5</v>
      </c>
      <c r="C238" s="538">
        <v>7364500</v>
      </c>
      <c r="D238" s="538">
        <v>6695000</v>
      </c>
      <c r="E238" s="538">
        <v>1250000</v>
      </c>
      <c r="F238" s="562">
        <f t="shared" si="20"/>
        <v>0.18670649738610903</v>
      </c>
      <c r="G238" s="244">
        <f t="shared" si="23"/>
        <v>375000</v>
      </c>
      <c r="I238" s="275"/>
    </row>
    <row r="239" spans="1:10" ht="21" customHeight="1" x14ac:dyDescent="0.25">
      <c r="A239" s="273"/>
      <c r="B239" s="290" t="s">
        <v>331</v>
      </c>
      <c r="C239" s="548">
        <v>2508000</v>
      </c>
      <c r="D239" s="548">
        <v>2280000</v>
      </c>
      <c r="E239" s="548">
        <v>620300</v>
      </c>
      <c r="F239" s="570">
        <f t="shared" si="20"/>
        <v>0.27206140350877195</v>
      </c>
      <c r="G239" s="244"/>
      <c r="H239" s="251"/>
      <c r="I239" s="292"/>
      <c r="J239" s="251" t="s">
        <v>401</v>
      </c>
    </row>
    <row r="240" spans="1:10" ht="21" customHeight="1" x14ac:dyDescent="0.25">
      <c r="A240" s="273"/>
      <c r="B240" s="255" t="s">
        <v>19</v>
      </c>
      <c r="C240" s="538">
        <v>2387000</v>
      </c>
      <c r="D240" s="538">
        <v>2170000</v>
      </c>
      <c r="E240" s="538">
        <v>521284</v>
      </c>
      <c r="F240" s="402">
        <f t="shared" si="20"/>
        <v>0.24022304147465437</v>
      </c>
      <c r="G240" s="244">
        <f>E240*30%</f>
        <v>156385.19999999998</v>
      </c>
      <c r="I240" s="275"/>
    </row>
    <row r="241" spans="1:10" ht="21" customHeight="1" x14ac:dyDescent="0.25">
      <c r="A241" s="273"/>
      <c r="B241" s="255" t="s">
        <v>2</v>
      </c>
      <c r="C241" s="538">
        <v>12130800</v>
      </c>
      <c r="D241" s="538">
        <v>11028000</v>
      </c>
      <c r="E241" s="538">
        <v>3037980</v>
      </c>
      <c r="F241" s="562">
        <f t="shared" si="20"/>
        <v>0.27547878128400433</v>
      </c>
      <c r="G241" s="244">
        <f>E241*30%</f>
        <v>911394</v>
      </c>
      <c r="I241" s="275"/>
    </row>
    <row r="242" spans="1:10" ht="21" customHeight="1" x14ac:dyDescent="0.25">
      <c r="A242" s="273"/>
      <c r="B242" s="255" t="s">
        <v>16</v>
      </c>
      <c r="C242" s="538">
        <v>4435200</v>
      </c>
      <c r="D242" s="538">
        <v>4032000</v>
      </c>
      <c r="E242" s="538">
        <v>740500</v>
      </c>
      <c r="F242" s="402">
        <f t="shared" si="20"/>
        <v>0.18365575396825398</v>
      </c>
      <c r="G242" s="244">
        <f>E242*30%</f>
        <v>222150</v>
      </c>
      <c r="I242" s="275"/>
    </row>
    <row r="243" spans="1:10" ht="21" customHeight="1" x14ac:dyDescent="0.25">
      <c r="A243" s="273"/>
      <c r="B243" s="255" t="s">
        <v>327</v>
      </c>
      <c r="C243" s="538">
        <v>2739000</v>
      </c>
      <c r="D243" s="538">
        <v>2490000</v>
      </c>
      <c r="E243" s="538">
        <v>555000</v>
      </c>
      <c r="F243" s="402">
        <f t="shared" si="20"/>
        <v>0.22289156626506024</v>
      </c>
      <c r="G243" s="244">
        <f>E243*30%</f>
        <v>166500</v>
      </c>
      <c r="I243" s="275"/>
    </row>
    <row r="244" spans="1:10" ht="21" customHeight="1" x14ac:dyDescent="0.25">
      <c r="A244" s="293"/>
      <c r="B244" s="277"/>
      <c r="C244" s="543">
        <f>SUM(C227:C243)</f>
        <v>45124200</v>
      </c>
      <c r="D244" s="543">
        <f>SUM(D227:D243)</f>
        <v>41022000</v>
      </c>
      <c r="E244" s="543">
        <f>SUM(E227:E243)</f>
        <v>9744204</v>
      </c>
      <c r="F244" s="315">
        <f t="shared" si="20"/>
        <v>0.23753605382477694</v>
      </c>
      <c r="G244" s="884">
        <f>SUM(G227:G243)</f>
        <v>2602171.2000000002</v>
      </c>
      <c r="H244" s="295"/>
      <c r="I244" s="296"/>
    </row>
    <row r="245" spans="1:10" ht="21" customHeight="1" x14ac:dyDescent="0.25">
      <c r="A245" s="261" t="s">
        <v>402</v>
      </c>
      <c r="B245" s="297" t="s">
        <v>9</v>
      </c>
      <c r="C245" s="549">
        <v>3385250</v>
      </c>
      <c r="D245" s="549">
        <v>3077500</v>
      </c>
      <c r="E245" s="549">
        <v>680000</v>
      </c>
      <c r="F245" s="314">
        <f t="shared" si="20"/>
        <v>0.22095857026807472</v>
      </c>
      <c r="G245" s="244">
        <f>E245*30%</f>
        <v>204000</v>
      </c>
      <c r="I245" s="275"/>
    </row>
    <row r="246" spans="1:10" ht="21" customHeight="1" x14ac:dyDescent="0.25">
      <c r="A246" s="273"/>
      <c r="B246" s="255" t="s">
        <v>24</v>
      </c>
      <c r="C246" s="538">
        <v>1386000</v>
      </c>
      <c r="D246" s="538">
        <v>1260000</v>
      </c>
      <c r="E246" s="538">
        <v>315000</v>
      </c>
      <c r="F246" s="402">
        <f t="shared" si="20"/>
        <v>0.25</v>
      </c>
      <c r="G246" s="244">
        <f>E246*30%</f>
        <v>94500</v>
      </c>
      <c r="I246" s="275"/>
    </row>
    <row r="247" spans="1:10" ht="21" customHeight="1" x14ac:dyDescent="0.25">
      <c r="A247" s="273"/>
      <c r="B247" s="255" t="s">
        <v>27</v>
      </c>
      <c r="C247" s="538">
        <v>242000</v>
      </c>
      <c r="D247" s="538">
        <v>220000</v>
      </c>
      <c r="E247" s="538">
        <v>120000</v>
      </c>
      <c r="F247" s="562">
        <f t="shared" si="20"/>
        <v>0.54545454545454541</v>
      </c>
      <c r="G247" s="244">
        <f>E247*30%</f>
        <v>36000</v>
      </c>
      <c r="I247" s="275"/>
    </row>
    <row r="248" spans="1:10" ht="21" customHeight="1" x14ac:dyDescent="0.25">
      <c r="A248" s="273"/>
      <c r="B248" s="255" t="s">
        <v>9</v>
      </c>
      <c r="C248" s="538">
        <v>1237500</v>
      </c>
      <c r="D248" s="538">
        <v>1125000</v>
      </c>
      <c r="E248" s="538">
        <v>325000</v>
      </c>
      <c r="F248" s="402">
        <f t="shared" si="20"/>
        <v>0.28888888888888886</v>
      </c>
      <c r="G248" s="244">
        <f>E248*30%</f>
        <v>97500</v>
      </c>
      <c r="I248" s="275"/>
    </row>
    <row r="249" spans="1:10" ht="21" customHeight="1" x14ac:dyDescent="0.25">
      <c r="A249" s="273"/>
      <c r="B249" s="255" t="s">
        <v>323</v>
      </c>
      <c r="C249" s="538">
        <v>495000</v>
      </c>
      <c r="D249" s="538">
        <v>450000</v>
      </c>
      <c r="E249" s="538">
        <v>130000</v>
      </c>
      <c r="F249" s="402">
        <f t="shared" si="20"/>
        <v>0.28888888888888886</v>
      </c>
      <c r="G249" s="244">
        <f>E249*30%</f>
        <v>39000</v>
      </c>
      <c r="I249" s="275"/>
    </row>
    <row r="250" spans="1:10" ht="21" customHeight="1" x14ac:dyDescent="0.25">
      <c r="A250" s="273"/>
      <c r="B250" s="255" t="s">
        <v>332</v>
      </c>
      <c r="C250" s="538">
        <v>10890000</v>
      </c>
      <c r="D250" s="538">
        <v>9900000</v>
      </c>
      <c r="E250" s="538">
        <v>2800000</v>
      </c>
      <c r="F250" s="562">
        <f t="shared" si="20"/>
        <v>0.28282828282828282</v>
      </c>
      <c r="G250" s="244">
        <f>E250*15%</f>
        <v>420000</v>
      </c>
      <c r="I250" s="275"/>
      <c r="J250" s="227" t="s">
        <v>399</v>
      </c>
    </row>
    <row r="251" spans="1:10" ht="21" customHeight="1" x14ac:dyDescent="0.25">
      <c r="A251" s="273"/>
      <c r="B251" s="255" t="s">
        <v>28</v>
      </c>
      <c r="C251" s="538">
        <v>165000</v>
      </c>
      <c r="D251" s="538">
        <v>150000</v>
      </c>
      <c r="E251" s="538">
        <v>51070</v>
      </c>
      <c r="F251" s="402">
        <f t="shared" si="20"/>
        <v>0.34046666666666664</v>
      </c>
      <c r="G251" s="244">
        <f t="shared" ref="G251:G260" si="24">E251*30%</f>
        <v>15321</v>
      </c>
      <c r="I251" s="275"/>
    </row>
    <row r="252" spans="1:10" ht="21" customHeight="1" x14ac:dyDescent="0.25">
      <c r="A252" s="273"/>
      <c r="B252" s="255" t="s">
        <v>25</v>
      </c>
      <c r="C252" s="538">
        <v>4950000</v>
      </c>
      <c r="D252" s="538">
        <v>4500000</v>
      </c>
      <c r="E252" s="538">
        <v>1700000</v>
      </c>
      <c r="F252" s="562">
        <f t="shared" si="20"/>
        <v>0.37777777777777777</v>
      </c>
      <c r="G252" s="244">
        <f t="shared" si="24"/>
        <v>510000</v>
      </c>
      <c r="I252" s="275"/>
    </row>
    <row r="253" spans="1:10" ht="21" customHeight="1" x14ac:dyDescent="0.25">
      <c r="A253" s="273"/>
      <c r="B253" s="255" t="s">
        <v>7</v>
      </c>
      <c r="C253" s="538">
        <v>793100</v>
      </c>
      <c r="D253" s="538">
        <v>721000</v>
      </c>
      <c r="E253" s="538">
        <v>254600</v>
      </c>
      <c r="F253" s="562">
        <f t="shared" si="20"/>
        <v>0.35312066574202494</v>
      </c>
      <c r="G253" s="244">
        <f t="shared" si="24"/>
        <v>76380</v>
      </c>
      <c r="I253" s="275"/>
    </row>
    <row r="254" spans="1:10" ht="21" customHeight="1" x14ac:dyDescent="0.25">
      <c r="A254" s="273"/>
      <c r="B254" s="255" t="s">
        <v>24</v>
      </c>
      <c r="C254" s="538">
        <v>550000</v>
      </c>
      <c r="D254" s="538">
        <v>500000</v>
      </c>
      <c r="E254" s="538">
        <v>250000</v>
      </c>
      <c r="F254" s="562">
        <f t="shared" si="20"/>
        <v>0.5</v>
      </c>
      <c r="G254" s="244">
        <f t="shared" si="24"/>
        <v>75000</v>
      </c>
      <c r="I254" s="275"/>
    </row>
    <row r="255" spans="1:10" ht="21" customHeight="1" x14ac:dyDescent="0.25">
      <c r="A255" s="273"/>
      <c r="B255" s="255" t="s">
        <v>5</v>
      </c>
      <c r="C255" s="538">
        <v>5709000</v>
      </c>
      <c r="D255" s="538">
        <v>5190000</v>
      </c>
      <c r="E255" s="538">
        <v>890000</v>
      </c>
      <c r="F255" s="402">
        <f t="shared" si="20"/>
        <v>0.17148362235067438</v>
      </c>
      <c r="G255" s="244">
        <f t="shared" si="24"/>
        <v>267000</v>
      </c>
      <c r="I255" s="275"/>
    </row>
    <row r="256" spans="1:10" ht="21" customHeight="1" x14ac:dyDescent="0.25">
      <c r="A256" s="273"/>
      <c r="B256" s="255" t="s">
        <v>19</v>
      </c>
      <c r="C256" s="538">
        <v>825000</v>
      </c>
      <c r="D256" s="538">
        <v>750000</v>
      </c>
      <c r="E256" s="538">
        <v>200000</v>
      </c>
      <c r="F256" s="562">
        <f t="shared" si="20"/>
        <v>0.26666666666666666</v>
      </c>
      <c r="G256" s="244">
        <f t="shared" si="24"/>
        <v>60000</v>
      </c>
      <c r="I256" s="275"/>
    </row>
    <row r="257" spans="1:9" ht="21" customHeight="1" x14ac:dyDescent="0.25">
      <c r="A257" s="273"/>
      <c r="B257" s="290" t="s">
        <v>2</v>
      </c>
      <c r="C257" s="548">
        <v>11187000</v>
      </c>
      <c r="D257" s="548">
        <v>10170000</v>
      </c>
      <c r="E257" s="548">
        <v>2332960</v>
      </c>
      <c r="F257" s="570">
        <f t="shared" si="20"/>
        <v>0.22939626352015732</v>
      </c>
      <c r="G257" s="244">
        <f t="shared" si="24"/>
        <v>699888</v>
      </c>
      <c r="H257" s="251"/>
      <c r="I257" s="292"/>
    </row>
    <row r="258" spans="1:9" ht="21" customHeight="1" x14ac:dyDescent="0.25">
      <c r="A258" s="273"/>
      <c r="B258" s="255" t="s">
        <v>16</v>
      </c>
      <c r="C258" s="538">
        <v>2890250</v>
      </c>
      <c r="D258" s="538">
        <v>2627500</v>
      </c>
      <c r="E258" s="538">
        <v>330000</v>
      </c>
      <c r="F258" s="402">
        <f t="shared" si="20"/>
        <v>0.12559467174119887</v>
      </c>
      <c r="G258" s="244">
        <f t="shared" si="24"/>
        <v>99000</v>
      </c>
      <c r="I258" s="275"/>
    </row>
    <row r="259" spans="1:9" ht="21" customHeight="1" x14ac:dyDescent="0.25">
      <c r="A259" s="273"/>
      <c r="B259" s="255" t="s">
        <v>327</v>
      </c>
      <c r="C259" s="538">
        <v>2739000</v>
      </c>
      <c r="D259" s="538">
        <v>2490000</v>
      </c>
      <c r="E259" s="538">
        <v>585000</v>
      </c>
      <c r="F259" s="562">
        <f t="shared" ref="F259:F322" si="25">E259/D259</f>
        <v>0.23493975903614459</v>
      </c>
      <c r="G259" s="244">
        <f t="shared" si="24"/>
        <v>175500</v>
      </c>
      <c r="I259" s="275"/>
    </row>
    <row r="260" spans="1:9" ht="21" customHeight="1" x14ac:dyDescent="0.25">
      <c r="A260" s="273"/>
      <c r="B260" s="255" t="s">
        <v>324</v>
      </c>
      <c r="C260" s="538">
        <v>1001000</v>
      </c>
      <c r="D260" s="538">
        <v>910000</v>
      </c>
      <c r="E260" s="538">
        <v>140000</v>
      </c>
      <c r="F260" s="402">
        <f t="shared" si="25"/>
        <v>0.15384615384615385</v>
      </c>
      <c r="G260" s="244">
        <f t="shared" si="24"/>
        <v>42000</v>
      </c>
      <c r="I260" s="275"/>
    </row>
    <row r="261" spans="1:9" ht="21" customHeight="1" x14ac:dyDescent="0.25">
      <c r="A261" s="293"/>
      <c r="B261" s="277"/>
      <c r="C261" s="543">
        <f>SUM(C245:C260)</f>
        <v>48445100</v>
      </c>
      <c r="D261" s="543">
        <f>SUM(D245:D260)</f>
        <v>44041000</v>
      </c>
      <c r="E261" s="543">
        <f>SUM(E245:E260)</f>
        <v>11103630</v>
      </c>
      <c r="F261" s="315">
        <f t="shared" si="25"/>
        <v>0.25212029699598104</v>
      </c>
      <c r="G261" s="884">
        <f>SUM(G245:G260)</f>
        <v>2911089</v>
      </c>
      <c r="H261" s="295"/>
      <c r="I261" s="296"/>
    </row>
    <row r="262" spans="1:9" ht="21" customHeight="1" x14ac:dyDescent="0.25">
      <c r="A262" s="261" t="s">
        <v>403</v>
      </c>
      <c r="B262" s="297" t="s">
        <v>14</v>
      </c>
      <c r="C262" s="549">
        <v>511500</v>
      </c>
      <c r="D262" s="549">
        <v>465000</v>
      </c>
      <c r="E262" s="549">
        <v>69000</v>
      </c>
      <c r="F262" s="314">
        <f t="shared" si="25"/>
        <v>0.14838709677419354</v>
      </c>
      <c r="G262" s="244">
        <f t="shared" ref="G262:G277" si="26">E262*30%</f>
        <v>20700</v>
      </c>
      <c r="I262" s="275"/>
    </row>
    <row r="263" spans="1:9" ht="21" customHeight="1" x14ac:dyDescent="0.25">
      <c r="A263" s="273"/>
      <c r="B263" s="255" t="s">
        <v>14</v>
      </c>
      <c r="C263" s="538">
        <v>176000</v>
      </c>
      <c r="D263" s="538">
        <v>160000</v>
      </c>
      <c r="E263" s="538">
        <v>28000</v>
      </c>
      <c r="F263" s="562">
        <f t="shared" si="25"/>
        <v>0.17499999999999999</v>
      </c>
      <c r="G263" s="244">
        <f t="shared" si="26"/>
        <v>8400</v>
      </c>
      <c r="I263" s="275"/>
    </row>
    <row r="264" spans="1:9" ht="21" customHeight="1" x14ac:dyDescent="0.25">
      <c r="A264" s="273"/>
      <c r="B264" s="255" t="s">
        <v>294</v>
      </c>
      <c r="C264" s="538">
        <v>8932000</v>
      </c>
      <c r="D264" s="538">
        <v>8120000</v>
      </c>
      <c r="E264" s="538">
        <v>2952000</v>
      </c>
      <c r="F264" s="402">
        <f t="shared" si="25"/>
        <v>0.36354679802955664</v>
      </c>
      <c r="G264" s="244">
        <f t="shared" si="26"/>
        <v>885600</v>
      </c>
      <c r="I264" s="275"/>
    </row>
    <row r="265" spans="1:9" ht="21" customHeight="1" x14ac:dyDescent="0.25">
      <c r="A265" s="273"/>
      <c r="B265" s="255" t="s">
        <v>17</v>
      </c>
      <c r="C265" s="538">
        <v>2722500</v>
      </c>
      <c r="D265" s="538">
        <v>2475000</v>
      </c>
      <c r="E265" s="538">
        <v>380000</v>
      </c>
      <c r="F265" s="402">
        <f t="shared" si="25"/>
        <v>0.15353535353535352</v>
      </c>
      <c r="G265" s="244">
        <f t="shared" si="26"/>
        <v>114000</v>
      </c>
      <c r="I265" s="275"/>
    </row>
    <row r="266" spans="1:9" ht="21" customHeight="1" x14ac:dyDescent="0.25">
      <c r="A266" s="273"/>
      <c r="B266" s="255" t="s">
        <v>9</v>
      </c>
      <c r="C266" s="538">
        <v>2678500</v>
      </c>
      <c r="D266" s="538">
        <v>2435000</v>
      </c>
      <c r="E266" s="538">
        <v>517000</v>
      </c>
      <c r="F266" s="402">
        <f t="shared" si="25"/>
        <v>0.21232032854209446</v>
      </c>
      <c r="G266" s="244">
        <f t="shared" si="26"/>
        <v>155100</v>
      </c>
      <c r="I266" s="275"/>
    </row>
    <row r="267" spans="1:9" ht="21" customHeight="1" x14ac:dyDescent="0.25">
      <c r="A267" s="273"/>
      <c r="B267" s="255" t="s">
        <v>19</v>
      </c>
      <c r="C267" s="538">
        <v>1265000</v>
      </c>
      <c r="D267" s="538">
        <v>1150000</v>
      </c>
      <c r="E267" s="538">
        <v>170000</v>
      </c>
      <c r="F267" s="562">
        <f t="shared" si="25"/>
        <v>0.14782608695652175</v>
      </c>
      <c r="G267" s="244">
        <f t="shared" si="26"/>
        <v>51000</v>
      </c>
      <c r="I267" s="275"/>
    </row>
    <row r="268" spans="1:9" ht="21" customHeight="1" x14ac:dyDescent="0.25">
      <c r="A268" s="273"/>
      <c r="B268" s="255" t="s">
        <v>307</v>
      </c>
      <c r="C268" s="538">
        <v>1298000</v>
      </c>
      <c r="D268" s="538">
        <v>1180000</v>
      </c>
      <c r="E268" s="538">
        <v>220000</v>
      </c>
      <c r="F268" s="562">
        <f t="shared" si="25"/>
        <v>0.1864406779661017</v>
      </c>
      <c r="G268" s="244">
        <f t="shared" si="26"/>
        <v>66000</v>
      </c>
      <c r="I268" s="275"/>
    </row>
    <row r="269" spans="1:9" ht="21" customHeight="1" x14ac:dyDescent="0.25">
      <c r="A269" s="273"/>
      <c r="B269" s="255" t="s">
        <v>7</v>
      </c>
      <c r="C269" s="538">
        <v>594000</v>
      </c>
      <c r="D269" s="538">
        <v>540000</v>
      </c>
      <c r="E269" s="538">
        <v>260000</v>
      </c>
      <c r="F269" s="562">
        <f t="shared" si="25"/>
        <v>0.48148148148148145</v>
      </c>
      <c r="G269" s="244">
        <f t="shared" si="26"/>
        <v>78000</v>
      </c>
      <c r="I269" s="275"/>
    </row>
    <row r="270" spans="1:9" ht="21" customHeight="1" x14ac:dyDescent="0.25">
      <c r="A270" s="273"/>
      <c r="B270" s="255" t="s">
        <v>5</v>
      </c>
      <c r="C270" s="538">
        <v>6770500</v>
      </c>
      <c r="D270" s="538">
        <v>6155000</v>
      </c>
      <c r="E270" s="538">
        <v>1067500</v>
      </c>
      <c r="F270" s="402">
        <f t="shared" si="25"/>
        <v>0.17343623070674249</v>
      </c>
      <c r="G270" s="244">
        <f t="shared" si="26"/>
        <v>320250</v>
      </c>
      <c r="I270" s="275"/>
    </row>
    <row r="271" spans="1:9" ht="21" customHeight="1" x14ac:dyDescent="0.25">
      <c r="A271" s="273"/>
      <c r="B271" s="255" t="s">
        <v>2</v>
      </c>
      <c r="C271" s="538">
        <v>6349200</v>
      </c>
      <c r="D271" s="538">
        <v>5772000</v>
      </c>
      <c r="E271" s="538">
        <v>1511280</v>
      </c>
      <c r="F271" s="562">
        <f t="shared" si="25"/>
        <v>0.26182952182952185</v>
      </c>
      <c r="G271" s="244">
        <f t="shared" si="26"/>
        <v>453384</v>
      </c>
      <c r="I271" s="275"/>
    </row>
    <row r="272" spans="1:9" ht="21" customHeight="1" x14ac:dyDescent="0.25">
      <c r="A272" s="273"/>
      <c r="B272" s="290" t="s">
        <v>16</v>
      </c>
      <c r="C272" s="548">
        <v>6671500</v>
      </c>
      <c r="D272" s="548">
        <v>6065000</v>
      </c>
      <c r="E272" s="548">
        <v>928500</v>
      </c>
      <c r="F272" s="570">
        <f t="shared" si="25"/>
        <v>0.15309150865622423</v>
      </c>
      <c r="G272" s="244">
        <f t="shared" si="26"/>
        <v>278550</v>
      </c>
      <c r="H272" s="251"/>
      <c r="I272" s="292"/>
    </row>
    <row r="273" spans="1:10" ht="21" customHeight="1" x14ac:dyDescent="0.25">
      <c r="A273" s="273"/>
      <c r="B273" s="255" t="s">
        <v>8</v>
      </c>
      <c r="C273" s="538">
        <v>1430000</v>
      </c>
      <c r="D273" s="538">
        <v>1300000</v>
      </c>
      <c r="E273" s="538">
        <v>417000</v>
      </c>
      <c r="F273" s="402">
        <f t="shared" si="25"/>
        <v>0.32076923076923075</v>
      </c>
      <c r="G273" s="244">
        <f t="shared" si="26"/>
        <v>125100</v>
      </c>
      <c r="I273" s="275"/>
    </row>
    <row r="274" spans="1:10" ht="21" customHeight="1" x14ac:dyDescent="0.25">
      <c r="A274" s="273"/>
      <c r="B274" s="255" t="s">
        <v>18</v>
      </c>
      <c r="C274" s="538">
        <v>1254000</v>
      </c>
      <c r="D274" s="538">
        <v>1140000</v>
      </c>
      <c r="E274" s="538">
        <v>390000</v>
      </c>
      <c r="F274" s="562">
        <f t="shared" si="25"/>
        <v>0.34210526315789475</v>
      </c>
      <c r="G274" s="244">
        <f t="shared" si="26"/>
        <v>117000</v>
      </c>
      <c r="I274" s="275"/>
    </row>
    <row r="275" spans="1:10" ht="21" customHeight="1" x14ac:dyDescent="0.25">
      <c r="A275" s="273"/>
      <c r="B275" s="255" t="s">
        <v>333</v>
      </c>
      <c r="C275" s="538">
        <v>115500</v>
      </c>
      <c r="D275" s="538">
        <v>105000</v>
      </c>
      <c r="E275" s="538">
        <v>55000</v>
      </c>
      <c r="F275" s="402">
        <f t="shared" si="25"/>
        <v>0.52380952380952384</v>
      </c>
      <c r="G275" s="244">
        <f t="shared" si="26"/>
        <v>16500</v>
      </c>
      <c r="I275" s="275"/>
    </row>
    <row r="276" spans="1:10" ht="21" customHeight="1" x14ac:dyDescent="0.25">
      <c r="A276" s="273"/>
      <c r="B276" s="290" t="s">
        <v>327</v>
      </c>
      <c r="C276" s="548">
        <v>2854500</v>
      </c>
      <c r="D276" s="548">
        <v>2595000</v>
      </c>
      <c r="E276" s="548">
        <v>640000</v>
      </c>
      <c r="F276" s="570">
        <f t="shared" si="25"/>
        <v>0.2466281310211946</v>
      </c>
      <c r="G276" s="244">
        <f t="shared" si="26"/>
        <v>192000</v>
      </c>
      <c r="H276" s="251"/>
      <c r="I276" s="292"/>
    </row>
    <row r="277" spans="1:10" ht="21" customHeight="1" x14ac:dyDescent="0.25">
      <c r="A277" s="273"/>
      <c r="B277" s="255" t="s">
        <v>327</v>
      </c>
      <c r="C277" s="538">
        <v>115500</v>
      </c>
      <c r="D277" s="538">
        <v>105000</v>
      </c>
      <c r="E277" s="538">
        <v>55000</v>
      </c>
      <c r="F277" s="402">
        <f t="shared" si="25"/>
        <v>0.52380952380952384</v>
      </c>
      <c r="G277" s="244">
        <f t="shared" si="26"/>
        <v>16500</v>
      </c>
      <c r="I277" s="275"/>
    </row>
    <row r="278" spans="1:10" ht="21" customHeight="1" x14ac:dyDescent="0.25">
      <c r="A278" s="293"/>
      <c r="B278" s="277"/>
      <c r="C278" s="543">
        <f>SUM(C262:C277)</f>
        <v>43738200</v>
      </c>
      <c r="D278" s="543">
        <f>SUM(D262:D277)</f>
        <v>39762000</v>
      </c>
      <c r="E278" s="543">
        <f>SUM(E262:E277)</f>
        <v>9660280</v>
      </c>
      <c r="F278" s="315">
        <f t="shared" si="25"/>
        <v>0.24295256777828078</v>
      </c>
      <c r="G278" s="884">
        <f>SUM(G262:G277)</f>
        <v>2898084</v>
      </c>
      <c r="H278" s="295"/>
      <c r="I278" s="296"/>
    </row>
    <row r="279" spans="1:10" ht="21" customHeight="1" x14ac:dyDescent="0.25">
      <c r="A279" s="261" t="s">
        <v>334</v>
      </c>
      <c r="B279" s="297" t="s">
        <v>11</v>
      </c>
      <c r="C279" s="549">
        <v>352000</v>
      </c>
      <c r="D279" s="549">
        <v>320000</v>
      </c>
      <c r="E279" s="549">
        <v>140000</v>
      </c>
      <c r="F279" s="314">
        <f t="shared" si="25"/>
        <v>0.4375</v>
      </c>
      <c r="G279" s="244">
        <f t="shared" ref="G279:G290" si="27">E279*30%</f>
        <v>42000</v>
      </c>
      <c r="I279" s="275"/>
    </row>
    <row r="280" spans="1:10" ht="21" customHeight="1" x14ac:dyDescent="0.25">
      <c r="A280" s="273"/>
      <c r="B280" s="255" t="s">
        <v>335</v>
      </c>
      <c r="C280" s="538">
        <v>9988000</v>
      </c>
      <c r="D280" s="538">
        <v>9080000</v>
      </c>
      <c r="E280" s="538">
        <v>3204000</v>
      </c>
      <c r="F280" s="562">
        <f t="shared" si="25"/>
        <v>0.35286343612334803</v>
      </c>
      <c r="G280" s="244">
        <f t="shared" si="27"/>
        <v>961200</v>
      </c>
      <c r="I280" s="275"/>
    </row>
    <row r="281" spans="1:10" ht="21" customHeight="1" x14ac:dyDescent="0.25">
      <c r="A281" s="273"/>
      <c r="B281" s="255" t="s">
        <v>5</v>
      </c>
      <c r="C281" s="538">
        <v>6017000</v>
      </c>
      <c r="D281" s="538">
        <v>5470000</v>
      </c>
      <c r="E281" s="538">
        <v>1480000</v>
      </c>
      <c r="F281" s="402">
        <f t="shared" si="25"/>
        <v>0.27056672760511885</v>
      </c>
      <c r="G281" s="244">
        <f t="shared" si="27"/>
        <v>444000</v>
      </c>
      <c r="I281" s="275"/>
    </row>
    <row r="282" spans="1:10" ht="21" customHeight="1" x14ac:dyDescent="0.25">
      <c r="A282" s="273"/>
      <c r="B282" s="255" t="s">
        <v>19</v>
      </c>
      <c r="C282" s="538">
        <v>825000</v>
      </c>
      <c r="D282" s="538">
        <v>750000</v>
      </c>
      <c r="E282" s="538">
        <v>200000</v>
      </c>
      <c r="F282" s="402">
        <f t="shared" si="25"/>
        <v>0.26666666666666666</v>
      </c>
      <c r="G282" s="244">
        <f t="shared" si="27"/>
        <v>60000</v>
      </c>
      <c r="I282" s="275"/>
    </row>
    <row r="283" spans="1:10" ht="21" customHeight="1" x14ac:dyDescent="0.25">
      <c r="A283" s="273"/>
      <c r="B283" s="255" t="s">
        <v>314</v>
      </c>
      <c r="C283" s="538">
        <v>470800</v>
      </c>
      <c r="D283" s="538">
        <v>428000</v>
      </c>
      <c r="E283" s="538">
        <v>428000</v>
      </c>
      <c r="F283" s="402">
        <f t="shared" si="25"/>
        <v>1</v>
      </c>
      <c r="G283" s="244">
        <f t="shared" si="27"/>
        <v>128400</v>
      </c>
      <c r="I283" s="275"/>
    </row>
    <row r="284" spans="1:10" ht="21" customHeight="1" x14ac:dyDescent="0.25">
      <c r="A284" s="273"/>
      <c r="B284" s="255" t="s">
        <v>2</v>
      </c>
      <c r="C284" s="538">
        <v>7915600</v>
      </c>
      <c r="D284" s="538">
        <v>7196000</v>
      </c>
      <c r="E284" s="538">
        <v>2411990</v>
      </c>
      <c r="F284" s="562">
        <f t="shared" si="25"/>
        <v>0.33518482490272372</v>
      </c>
      <c r="G284" s="244">
        <f t="shared" si="27"/>
        <v>723597</v>
      </c>
      <c r="I284" s="275"/>
    </row>
    <row r="285" spans="1:10" ht="21" customHeight="1" x14ac:dyDescent="0.25">
      <c r="A285" s="273"/>
      <c r="B285" s="255" t="s">
        <v>16</v>
      </c>
      <c r="C285" s="538">
        <v>6363500</v>
      </c>
      <c r="D285" s="538">
        <v>5785000</v>
      </c>
      <c r="E285" s="538">
        <v>1071000</v>
      </c>
      <c r="F285" s="562">
        <f t="shared" si="25"/>
        <v>0.18513396715643907</v>
      </c>
      <c r="G285" s="244">
        <f t="shared" si="27"/>
        <v>321300</v>
      </c>
      <c r="I285" s="275"/>
    </row>
    <row r="286" spans="1:10" s="249" customFormat="1" ht="21" customHeight="1" x14ac:dyDescent="0.25">
      <c r="A286" s="300"/>
      <c r="B286" s="290" t="s">
        <v>327</v>
      </c>
      <c r="C286" s="540">
        <v>2739000</v>
      </c>
      <c r="D286" s="540">
        <v>2490000</v>
      </c>
      <c r="E286" s="540">
        <v>585000</v>
      </c>
      <c r="F286" s="571">
        <f t="shared" si="25"/>
        <v>0.23493975903614459</v>
      </c>
      <c r="G286" s="244">
        <f t="shared" si="27"/>
        <v>175500</v>
      </c>
      <c r="H286" s="251"/>
      <c r="I286" s="302"/>
      <c r="J286" s="251"/>
    </row>
    <row r="287" spans="1:10" ht="21" customHeight="1" x14ac:dyDescent="0.25">
      <c r="A287" s="273"/>
      <c r="B287" s="255" t="s">
        <v>45</v>
      </c>
      <c r="C287" s="538">
        <v>217800</v>
      </c>
      <c r="D287" s="538">
        <v>198000</v>
      </c>
      <c r="E287" s="538">
        <v>98000</v>
      </c>
      <c r="F287" s="402">
        <f t="shared" si="25"/>
        <v>0.49494949494949497</v>
      </c>
      <c r="G287" s="244">
        <f t="shared" si="27"/>
        <v>29400</v>
      </c>
      <c r="I287" s="275"/>
    </row>
    <row r="288" spans="1:10" ht="21" customHeight="1" x14ac:dyDescent="0.25">
      <c r="A288" s="273"/>
      <c r="B288" s="303" t="s">
        <v>49</v>
      </c>
      <c r="C288" s="550">
        <v>3664100</v>
      </c>
      <c r="D288" s="550">
        <v>3331000</v>
      </c>
      <c r="E288" s="550">
        <v>887500</v>
      </c>
      <c r="F288" s="572">
        <f t="shared" si="25"/>
        <v>0.2664365055538877</v>
      </c>
      <c r="G288" s="244">
        <f t="shared" si="27"/>
        <v>266250</v>
      </c>
      <c r="H288" s="251"/>
      <c r="I288" s="292"/>
    </row>
    <row r="289" spans="1:10" ht="21" customHeight="1" x14ac:dyDescent="0.25">
      <c r="A289" s="273"/>
      <c r="B289" s="255" t="s">
        <v>20</v>
      </c>
      <c r="C289" s="538">
        <v>440000</v>
      </c>
      <c r="D289" s="538">
        <v>400000</v>
      </c>
      <c r="E289" s="538">
        <v>150000</v>
      </c>
      <c r="F289" s="402">
        <f t="shared" si="25"/>
        <v>0.375</v>
      </c>
      <c r="G289" s="244">
        <f t="shared" si="27"/>
        <v>45000</v>
      </c>
      <c r="I289" s="275"/>
    </row>
    <row r="290" spans="1:10" ht="21" customHeight="1" x14ac:dyDescent="0.25">
      <c r="A290" s="273"/>
      <c r="B290" s="255" t="s">
        <v>8</v>
      </c>
      <c r="C290" s="538">
        <v>1430000</v>
      </c>
      <c r="D290" s="538">
        <v>1300000</v>
      </c>
      <c r="E290" s="538">
        <v>417000</v>
      </c>
      <c r="F290" s="562">
        <f t="shared" si="25"/>
        <v>0.32076923076923075</v>
      </c>
      <c r="G290" s="244">
        <f t="shared" si="27"/>
        <v>125100</v>
      </c>
      <c r="I290" s="275"/>
    </row>
    <row r="291" spans="1:10" ht="21" customHeight="1" x14ac:dyDescent="0.25">
      <c r="A291" s="293"/>
      <c r="B291" s="277" t="s">
        <v>336</v>
      </c>
      <c r="C291" s="543">
        <v>550000</v>
      </c>
      <c r="D291" s="543">
        <v>500000</v>
      </c>
      <c r="E291" s="543">
        <v>250000</v>
      </c>
      <c r="F291" s="315">
        <f t="shared" si="25"/>
        <v>0.5</v>
      </c>
      <c r="G291" s="884">
        <f>SUM(G279:G290)</f>
        <v>3321747</v>
      </c>
      <c r="H291" s="295"/>
      <c r="I291" s="296"/>
    </row>
    <row r="292" spans="1:10" ht="21" customHeight="1" x14ac:dyDescent="0.25">
      <c r="A292" s="261" t="s">
        <v>404</v>
      </c>
      <c r="B292" s="297" t="s">
        <v>9</v>
      </c>
      <c r="C292" s="549">
        <v>2678500</v>
      </c>
      <c r="D292" s="549">
        <v>2435000</v>
      </c>
      <c r="E292" s="549">
        <v>635000</v>
      </c>
      <c r="F292" s="314">
        <f t="shared" si="25"/>
        <v>0.26078028747433263</v>
      </c>
      <c r="G292" s="244">
        <f t="shared" ref="G292:G300" si="28">E292*30%</f>
        <v>190500</v>
      </c>
      <c r="I292" s="275"/>
    </row>
    <row r="293" spans="1:10" ht="21" customHeight="1" x14ac:dyDescent="0.25">
      <c r="A293" s="273"/>
      <c r="B293" s="255" t="s">
        <v>14</v>
      </c>
      <c r="C293" s="538">
        <v>297000</v>
      </c>
      <c r="D293" s="538">
        <v>270000</v>
      </c>
      <c r="E293" s="538">
        <v>54000</v>
      </c>
      <c r="F293" s="562">
        <f t="shared" si="25"/>
        <v>0.2</v>
      </c>
      <c r="G293" s="244">
        <f t="shared" si="28"/>
        <v>16200</v>
      </c>
      <c r="I293" s="275"/>
    </row>
    <row r="294" spans="1:10" ht="21" customHeight="1" x14ac:dyDescent="0.25">
      <c r="A294" s="273"/>
      <c r="B294" s="255" t="s">
        <v>5</v>
      </c>
      <c r="C294" s="538">
        <v>8415000</v>
      </c>
      <c r="D294" s="538">
        <v>7650000</v>
      </c>
      <c r="E294" s="538">
        <v>1445000</v>
      </c>
      <c r="F294" s="402">
        <f t="shared" si="25"/>
        <v>0.18888888888888888</v>
      </c>
      <c r="G294" s="244">
        <f t="shared" si="28"/>
        <v>433500</v>
      </c>
      <c r="I294" s="275"/>
    </row>
    <row r="295" spans="1:10" ht="21" customHeight="1" x14ac:dyDescent="0.25">
      <c r="A295" s="273"/>
      <c r="B295" s="255" t="s">
        <v>9</v>
      </c>
      <c r="C295" s="538">
        <v>3311000</v>
      </c>
      <c r="D295" s="538">
        <v>3010000</v>
      </c>
      <c r="E295" s="538">
        <v>760000</v>
      </c>
      <c r="F295" s="402">
        <f t="shared" si="25"/>
        <v>0.25249169435215946</v>
      </c>
      <c r="G295" s="244">
        <f t="shared" si="28"/>
        <v>228000</v>
      </c>
      <c r="I295" s="275"/>
    </row>
    <row r="296" spans="1:10" ht="21" customHeight="1" x14ac:dyDescent="0.25">
      <c r="A296" s="273"/>
      <c r="B296" s="255" t="s">
        <v>19</v>
      </c>
      <c r="C296" s="538">
        <v>2172500</v>
      </c>
      <c r="D296" s="538">
        <v>1975000</v>
      </c>
      <c r="E296" s="538">
        <v>355000</v>
      </c>
      <c r="F296" s="402">
        <f t="shared" si="25"/>
        <v>0.17974683544303796</v>
      </c>
      <c r="G296" s="244">
        <f t="shared" si="28"/>
        <v>106500</v>
      </c>
      <c r="I296" s="275"/>
    </row>
    <row r="297" spans="1:10" ht="21" customHeight="1" x14ac:dyDescent="0.25">
      <c r="A297" s="273"/>
      <c r="B297" s="255" t="s">
        <v>2</v>
      </c>
      <c r="C297" s="538">
        <v>7266600</v>
      </c>
      <c r="D297" s="538">
        <v>6606000</v>
      </c>
      <c r="E297" s="538">
        <v>1775280</v>
      </c>
      <c r="F297" s="562">
        <f t="shared" si="25"/>
        <v>0.26873751135331519</v>
      </c>
      <c r="G297" s="244">
        <f t="shared" si="28"/>
        <v>532584</v>
      </c>
      <c r="I297" s="275"/>
    </row>
    <row r="298" spans="1:10" ht="21" customHeight="1" x14ac:dyDescent="0.25">
      <c r="A298" s="273"/>
      <c r="B298" s="255" t="s">
        <v>16</v>
      </c>
      <c r="C298" s="538">
        <v>6261200</v>
      </c>
      <c r="D298" s="538">
        <v>5692000</v>
      </c>
      <c r="E298" s="538">
        <v>909000</v>
      </c>
      <c r="F298" s="562">
        <f t="shared" si="25"/>
        <v>0.15969782150386508</v>
      </c>
      <c r="G298" s="244">
        <f t="shared" si="28"/>
        <v>272700</v>
      </c>
      <c r="I298" s="275"/>
    </row>
    <row r="299" spans="1:10" ht="21" customHeight="1" x14ac:dyDescent="0.25">
      <c r="A299" s="273"/>
      <c r="B299" s="255" t="s">
        <v>327</v>
      </c>
      <c r="C299" s="538">
        <v>231000</v>
      </c>
      <c r="D299" s="538">
        <v>210000</v>
      </c>
      <c r="E299" s="538">
        <v>110000</v>
      </c>
      <c r="F299" s="402">
        <f t="shared" si="25"/>
        <v>0.52380952380952384</v>
      </c>
      <c r="G299" s="244">
        <f t="shared" si="28"/>
        <v>33000</v>
      </c>
      <c r="I299" s="275"/>
    </row>
    <row r="300" spans="1:10" s="249" customFormat="1" ht="21" customHeight="1" x14ac:dyDescent="0.25">
      <c r="A300" s="300"/>
      <c r="B300" s="290" t="s">
        <v>45</v>
      </c>
      <c r="C300" s="548">
        <v>594000</v>
      </c>
      <c r="D300" s="548">
        <v>540000</v>
      </c>
      <c r="E300" s="548">
        <v>108000</v>
      </c>
      <c r="F300" s="570">
        <f t="shared" si="25"/>
        <v>0.2</v>
      </c>
      <c r="G300" s="244">
        <f t="shared" si="28"/>
        <v>32400</v>
      </c>
      <c r="H300" s="251"/>
      <c r="I300" s="302"/>
      <c r="J300" s="251"/>
    </row>
    <row r="301" spans="1:10" ht="21" customHeight="1" x14ac:dyDescent="0.25">
      <c r="A301" s="273"/>
      <c r="B301" s="255" t="s">
        <v>337</v>
      </c>
      <c r="C301" s="538">
        <v>7645000</v>
      </c>
      <c r="D301" s="538">
        <v>6950000</v>
      </c>
      <c r="E301" s="538">
        <v>2700000</v>
      </c>
      <c r="F301" s="562">
        <f t="shared" si="25"/>
        <v>0.38848920863309355</v>
      </c>
      <c r="G301" s="244">
        <f>E301*15%</f>
        <v>405000</v>
      </c>
      <c r="I301" s="275"/>
      <c r="J301" s="251" t="s">
        <v>399</v>
      </c>
    </row>
    <row r="302" spans="1:10" ht="21" customHeight="1" x14ac:dyDescent="0.25">
      <c r="A302" s="273"/>
      <c r="B302" s="290" t="s">
        <v>49</v>
      </c>
      <c r="C302" s="540">
        <v>5511000</v>
      </c>
      <c r="D302" s="540">
        <v>5010000</v>
      </c>
      <c r="E302" s="540">
        <v>700800</v>
      </c>
      <c r="F302" s="314">
        <f t="shared" si="25"/>
        <v>0.13988023952095807</v>
      </c>
      <c r="G302" s="244"/>
      <c r="I302" s="275"/>
    </row>
    <row r="303" spans="1:10" ht="21" customHeight="1" x14ac:dyDescent="0.25">
      <c r="A303" s="273"/>
      <c r="B303" s="255" t="s">
        <v>18</v>
      </c>
      <c r="C303" s="538">
        <v>2970000</v>
      </c>
      <c r="D303" s="538">
        <v>2700000</v>
      </c>
      <c r="E303" s="538">
        <v>984000</v>
      </c>
      <c r="F303" s="402">
        <f t="shared" si="25"/>
        <v>0.36444444444444446</v>
      </c>
      <c r="G303" s="244">
        <f>E303*30%</f>
        <v>295200</v>
      </c>
      <c r="I303" s="275"/>
    </row>
    <row r="304" spans="1:10" ht="21" customHeight="1" x14ac:dyDescent="0.25">
      <c r="A304" s="273"/>
      <c r="B304" s="255" t="s">
        <v>336</v>
      </c>
      <c r="C304" s="538">
        <v>1100000</v>
      </c>
      <c r="D304" s="538">
        <v>1000000</v>
      </c>
      <c r="E304" s="538">
        <v>750000</v>
      </c>
      <c r="F304" s="402">
        <f t="shared" si="25"/>
        <v>0.75</v>
      </c>
      <c r="G304" s="244">
        <f>E304*30%</f>
        <v>225000</v>
      </c>
      <c r="I304" s="275"/>
    </row>
    <row r="305" spans="1:10" ht="21" customHeight="1" x14ac:dyDescent="0.25">
      <c r="A305" s="293"/>
      <c r="B305" s="277"/>
      <c r="C305" s="543">
        <f>SUM(C292:C304)</f>
        <v>48452800</v>
      </c>
      <c r="D305" s="543">
        <f>SUM(D292:D304)</f>
        <v>44048000</v>
      </c>
      <c r="E305" s="543">
        <f>SUM(E292:E304)</f>
        <v>11286080</v>
      </c>
      <c r="F305" s="315">
        <f t="shared" si="25"/>
        <v>0.25622230294224485</v>
      </c>
      <c r="G305" s="884">
        <f>SUM(G292:G304)</f>
        <v>2770584</v>
      </c>
      <c r="H305" s="295"/>
      <c r="I305" s="296"/>
    </row>
    <row r="306" spans="1:10" ht="21" customHeight="1" x14ac:dyDescent="0.25">
      <c r="A306" s="261" t="s">
        <v>405</v>
      </c>
      <c r="B306" s="297" t="s">
        <v>14</v>
      </c>
      <c r="C306" s="549">
        <v>220000</v>
      </c>
      <c r="D306" s="549">
        <v>200000</v>
      </c>
      <c r="E306" s="549">
        <v>40000</v>
      </c>
      <c r="F306" s="314">
        <f t="shared" si="25"/>
        <v>0.2</v>
      </c>
      <c r="G306" s="244">
        <f t="shared" ref="G306:G315" si="29">E306*30%</f>
        <v>12000</v>
      </c>
      <c r="I306" s="275"/>
    </row>
    <row r="307" spans="1:10" ht="21" customHeight="1" x14ac:dyDescent="0.25">
      <c r="A307" s="273"/>
      <c r="B307" s="255" t="s">
        <v>8</v>
      </c>
      <c r="C307" s="538">
        <v>1430000</v>
      </c>
      <c r="D307" s="538">
        <v>1300000</v>
      </c>
      <c r="E307" s="538">
        <v>417000</v>
      </c>
      <c r="F307" s="562">
        <f t="shared" si="25"/>
        <v>0.32076923076923075</v>
      </c>
      <c r="G307" s="244">
        <f t="shared" si="29"/>
        <v>125100</v>
      </c>
      <c r="I307" s="275"/>
    </row>
    <row r="308" spans="1:10" ht="21" customHeight="1" x14ac:dyDescent="0.25">
      <c r="A308" s="273"/>
      <c r="B308" s="255" t="s">
        <v>20</v>
      </c>
      <c r="C308" s="538">
        <v>275000</v>
      </c>
      <c r="D308" s="538">
        <v>250000</v>
      </c>
      <c r="E308" s="538">
        <v>250000</v>
      </c>
      <c r="F308" s="402">
        <f t="shared" si="25"/>
        <v>1</v>
      </c>
      <c r="G308" s="244">
        <f t="shared" si="29"/>
        <v>75000</v>
      </c>
      <c r="I308" s="275"/>
    </row>
    <row r="309" spans="1:10" ht="21" customHeight="1" x14ac:dyDescent="0.25">
      <c r="A309" s="273"/>
      <c r="B309" s="255" t="s">
        <v>9</v>
      </c>
      <c r="C309" s="538">
        <v>3357750</v>
      </c>
      <c r="D309" s="538">
        <v>3052500</v>
      </c>
      <c r="E309" s="538">
        <v>902500</v>
      </c>
      <c r="F309" s="402">
        <f t="shared" si="25"/>
        <v>0.29565929565929566</v>
      </c>
      <c r="G309" s="244">
        <f t="shared" si="29"/>
        <v>270750</v>
      </c>
      <c r="I309" s="275"/>
    </row>
    <row r="310" spans="1:10" s="249" customFormat="1" ht="21" customHeight="1" x14ac:dyDescent="0.25">
      <c r="A310" s="300"/>
      <c r="B310" s="290" t="s">
        <v>9</v>
      </c>
      <c r="C310" s="540">
        <v>4386250</v>
      </c>
      <c r="D310" s="540">
        <v>3987500</v>
      </c>
      <c r="E310" s="540">
        <v>987500</v>
      </c>
      <c r="F310" s="314">
        <f t="shared" si="25"/>
        <v>0.2476489028213166</v>
      </c>
      <c r="G310" s="244">
        <f t="shared" si="29"/>
        <v>296250</v>
      </c>
      <c r="H310" s="251"/>
      <c r="I310" s="302"/>
      <c r="J310" s="251"/>
    </row>
    <row r="311" spans="1:10" s="249" customFormat="1" ht="21" customHeight="1" x14ac:dyDescent="0.25">
      <c r="A311" s="300"/>
      <c r="B311" s="290" t="s">
        <v>303</v>
      </c>
      <c r="C311" s="540">
        <v>880000</v>
      </c>
      <c r="D311" s="540">
        <v>800000</v>
      </c>
      <c r="E311" s="540">
        <v>332000</v>
      </c>
      <c r="F311" s="314">
        <f t="shared" si="25"/>
        <v>0.41499999999999998</v>
      </c>
      <c r="G311" s="244">
        <f t="shared" si="29"/>
        <v>99600</v>
      </c>
      <c r="H311" s="251"/>
      <c r="I311" s="302"/>
      <c r="J311" s="251"/>
    </row>
    <row r="312" spans="1:10" s="249" customFormat="1" ht="21" customHeight="1" x14ac:dyDescent="0.25">
      <c r="A312" s="300"/>
      <c r="B312" s="290" t="s">
        <v>27</v>
      </c>
      <c r="C312" s="540">
        <v>242000</v>
      </c>
      <c r="D312" s="540">
        <v>220000</v>
      </c>
      <c r="E312" s="540">
        <v>120000</v>
      </c>
      <c r="F312" s="571">
        <f t="shared" si="25"/>
        <v>0.54545454545454541</v>
      </c>
      <c r="G312" s="244">
        <f t="shared" si="29"/>
        <v>36000</v>
      </c>
      <c r="H312" s="251"/>
      <c r="I312" s="302"/>
      <c r="J312" s="251"/>
    </row>
    <row r="313" spans="1:10" s="249" customFormat="1" ht="21" customHeight="1" x14ac:dyDescent="0.25">
      <c r="A313" s="300"/>
      <c r="B313" s="290" t="s">
        <v>319</v>
      </c>
      <c r="C313" s="540">
        <v>1320000</v>
      </c>
      <c r="D313" s="540">
        <v>1200000</v>
      </c>
      <c r="E313" s="540">
        <v>240000</v>
      </c>
      <c r="F313" s="571">
        <f t="shared" si="25"/>
        <v>0.2</v>
      </c>
      <c r="G313" s="244">
        <f t="shared" si="29"/>
        <v>72000</v>
      </c>
      <c r="H313" s="251"/>
      <c r="I313" s="302"/>
      <c r="J313" s="251"/>
    </row>
    <row r="314" spans="1:10" s="249" customFormat="1" ht="21" customHeight="1" x14ac:dyDescent="0.25">
      <c r="A314" s="300"/>
      <c r="B314" s="290" t="s">
        <v>7</v>
      </c>
      <c r="C314" s="540">
        <v>594000</v>
      </c>
      <c r="D314" s="540">
        <v>540000</v>
      </c>
      <c r="E314" s="540">
        <v>260000</v>
      </c>
      <c r="F314" s="571">
        <f t="shared" si="25"/>
        <v>0.48148148148148145</v>
      </c>
      <c r="G314" s="244">
        <f t="shared" si="29"/>
        <v>78000</v>
      </c>
      <c r="H314" s="251"/>
      <c r="I314" s="302"/>
      <c r="J314" s="251"/>
    </row>
    <row r="315" spans="1:10" s="249" customFormat="1" ht="21" customHeight="1" x14ac:dyDescent="0.25">
      <c r="A315" s="300"/>
      <c r="B315" s="290" t="s">
        <v>314</v>
      </c>
      <c r="C315" s="540">
        <v>734800</v>
      </c>
      <c r="D315" s="540">
        <v>668000</v>
      </c>
      <c r="E315" s="540">
        <v>668000</v>
      </c>
      <c r="F315" s="314">
        <f t="shared" si="25"/>
        <v>1</v>
      </c>
      <c r="G315" s="244">
        <f t="shared" si="29"/>
        <v>200400</v>
      </c>
      <c r="H315" s="251"/>
      <c r="I315" s="302"/>
      <c r="J315" s="251"/>
    </row>
    <row r="316" spans="1:10" s="249" customFormat="1" ht="21" customHeight="1" x14ac:dyDescent="0.25">
      <c r="A316" s="300"/>
      <c r="B316" s="290" t="s">
        <v>338</v>
      </c>
      <c r="C316" s="540">
        <v>3300000</v>
      </c>
      <c r="D316" s="540">
        <v>3000000</v>
      </c>
      <c r="E316" s="540">
        <v>600000</v>
      </c>
      <c r="F316" s="314">
        <f t="shared" si="25"/>
        <v>0.2</v>
      </c>
      <c r="G316" s="244">
        <f>E316*15%</f>
        <v>90000</v>
      </c>
      <c r="H316" s="251"/>
      <c r="I316" s="302"/>
      <c r="J316" s="251" t="s">
        <v>399</v>
      </c>
    </row>
    <row r="317" spans="1:10" s="249" customFormat="1" ht="21" customHeight="1" x14ac:dyDescent="0.25">
      <c r="A317" s="300"/>
      <c r="B317" s="290" t="s">
        <v>11</v>
      </c>
      <c r="C317" s="540">
        <v>47300</v>
      </c>
      <c r="D317" s="540">
        <v>43000</v>
      </c>
      <c r="E317" s="540">
        <v>11000</v>
      </c>
      <c r="F317" s="571">
        <f t="shared" si="25"/>
        <v>0.2558139534883721</v>
      </c>
      <c r="G317" s="244">
        <f t="shared" ref="G317:G323" si="30">E317*30%</f>
        <v>3300</v>
      </c>
      <c r="H317" s="251"/>
      <c r="I317" s="302"/>
      <c r="J317" s="251"/>
    </row>
    <row r="318" spans="1:10" s="249" customFormat="1" ht="21" customHeight="1" x14ac:dyDescent="0.25">
      <c r="A318" s="300"/>
      <c r="B318" s="290" t="s">
        <v>5</v>
      </c>
      <c r="C318" s="540">
        <v>3162500</v>
      </c>
      <c r="D318" s="540">
        <v>2875000</v>
      </c>
      <c r="E318" s="540">
        <v>575000</v>
      </c>
      <c r="F318" s="571">
        <f t="shared" si="25"/>
        <v>0.2</v>
      </c>
      <c r="G318" s="244">
        <f t="shared" si="30"/>
        <v>172500</v>
      </c>
      <c r="H318" s="251"/>
      <c r="I318" s="302"/>
      <c r="J318" s="251"/>
    </row>
    <row r="319" spans="1:10" s="249" customFormat="1" ht="21" customHeight="1" x14ac:dyDescent="0.25">
      <c r="A319" s="300"/>
      <c r="B319" s="290" t="s">
        <v>19</v>
      </c>
      <c r="C319" s="540">
        <v>2557500</v>
      </c>
      <c r="D319" s="540">
        <v>2325000</v>
      </c>
      <c r="E319" s="540">
        <v>585000</v>
      </c>
      <c r="F319" s="571">
        <f t="shared" si="25"/>
        <v>0.25161290322580643</v>
      </c>
      <c r="G319" s="244">
        <f t="shared" si="30"/>
        <v>175500</v>
      </c>
      <c r="H319" s="251"/>
      <c r="I319" s="302"/>
      <c r="J319" s="251"/>
    </row>
    <row r="320" spans="1:10" ht="21" customHeight="1" x14ac:dyDescent="0.25">
      <c r="A320" s="273"/>
      <c r="B320" s="255" t="s">
        <v>2</v>
      </c>
      <c r="C320" s="538">
        <v>8949600</v>
      </c>
      <c r="D320" s="538">
        <v>8136000</v>
      </c>
      <c r="E320" s="538">
        <v>1900560</v>
      </c>
      <c r="F320" s="402">
        <f t="shared" si="25"/>
        <v>0.23359882005899704</v>
      </c>
      <c r="G320" s="244">
        <f t="shared" si="30"/>
        <v>570168</v>
      </c>
      <c r="I320" s="275"/>
    </row>
    <row r="321" spans="1:9" ht="21" customHeight="1" x14ac:dyDescent="0.25">
      <c r="A321" s="273"/>
      <c r="B321" s="255" t="s">
        <v>16</v>
      </c>
      <c r="C321" s="538">
        <v>7012500</v>
      </c>
      <c r="D321" s="538">
        <v>6375000</v>
      </c>
      <c r="E321" s="538">
        <v>1190000</v>
      </c>
      <c r="F321" s="402">
        <f t="shared" si="25"/>
        <v>0.18666666666666668</v>
      </c>
      <c r="G321" s="244">
        <f t="shared" si="30"/>
        <v>357000</v>
      </c>
      <c r="I321" s="275"/>
    </row>
    <row r="322" spans="1:9" ht="21" customHeight="1" x14ac:dyDescent="0.25">
      <c r="A322" s="273"/>
      <c r="B322" s="255" t="s">
        <v>327</v>
      </c>
      <c r="C322" s="538">
        <v>3608000</v>
      </c>
      <c r="D322" s="538">
        <v>3280000</v>
      </c>
      <c r="E322" s="538">
        <v>740000</v>
      </c>
      <c r="F322" s="402">
        <f t="shared" si="25"/>
        <v>0.22560975609756098</v>
      </c>
      <c r="G322" s="244">
        <f t="shared" si="30"/>
        <v>222000</v>
      </c>
      <c r="I322" s="275"/>
    </row>
    <row r="323" spans="1:9" ht="21" customHeight="1" x14ac:dyDescent="0.25">
      <c r="A323" s="273"/>
      <c r="B323" s="255" t="s">
        <v>333</v>
      </c>
      <c r="C323" s="538">
        <v>1133000</v>
      </c>
      <c r="D323" s="538">
        <v>1030000</v>
      </c>
      <c r="E323" s="538">
        <v>295000</v>
      </c>
      <c r="F323" s="402">
        <f t="shared" ref="F323:F386" si="31">E323/D323</f>
        <v>0.28640776699029125</v>
      </c>
      <c r="G323" s="244">
        <f t="shared" si="30"/>
        <v>88500</v>
      </c>
      <c r="I323" s="275"/>
    </row>
    <row r="324" spans="1:9" ht="21" customHeight="1" x14ac:dyDescent="0.25">
      <c r="A324" s="273"/>
      <c r="B324" s="290" t="s">
        <v>49</v>
      </c>
      <c r="C324" s="540">
        <v>9134400</v>
      </c>
      <c r="D324" s="540">
        <v>8304000</v>
      </c>
      <c r="E324" s="540">
        <v>1303000</v>
      </c>
      <c r="F324" s="571">
        <f t="shared" si="31"/>
        <v>0.15691233140655106</v>
      </c>
      <c r="G324" s="244"/>
      <c r="I324" s="275"/>
    </row>
    <row r="325" spans="1:9" ht="21" customHeight="1" x14ac:dyDescent="0.25">
      <c r="A325" s="273"/>
      <c r="B325" s="255" t="s">
        <v>14</v>
      </c>
      <c r="C325" s="538">
        <v>341000</v>
      </c>
      <c r="D325" s="538">
        <v>310000</v>
      </c>
      <c r="E325" s="538">
        <v>46000</v>
      </c>
      <c r="F325" s="562">
        <f t="shared" si="31"/>
        <v>0.14838709677419354</v>
      </c>
      <c r="G325" s="244">
        <f>E325*30%</f>
        <v>13800</v>
      </c>
      <c r="I325" s="275"/>
    </row>
    <row r="326" spans="1:9" ht="21" customHeight="1" x14ac:dyDescent="0.25">
      <c r="A326" s="293"/>
      <c r="B326" s="277"/>
      <c r="C326" s="543">
        <f>SUM(C306:C325)</f>
        <v>52685600</v>
      </c>
      <c r="D326" s="543">
        <f>SUM(D306:D325)</f>
        <v>47896000</v>
      </c>
      <c r="E326" s="543">
        <f>SUM(E306:E325)</f>
        <v>11462560</v>
      </c>
      <c r="F326" s="315">
        <f t="shared" si="31"/>
        <v>0.23932186403875064</v>
      </c>
      <c r="G326" s="884">
        <f>SUM(G306:G325)</f>
        <v>2957868</v>
      </c>
      <c r="H326" s="295"/>
      <c r="I326" s="296"/>
    </row>
    <row r="327" spans="1:9" ht="21" customHeight="1" x14ac:dyDescent="0.25">
      <c r="A327" s="261" t="s">
        <v>406</v>
      </c>
      <c r="B327" s="297" t="s">
        <v>304</v>
      </c>
      <c r="C327" s="549">
        <v>1200000</v>
      </c>
      <c r="D327" s="549">
        <v>1200000</v>
      </c>
      <c r="E327" s="549">
        <v>336000</v>
      </c>
      <c r="F327" s="314">
        <f t="shared" si="31"/>
        <v>0.28000000000000003</v>
      </c>
      <c r="G327" s="244">
        <f t="shared" ref="G327:G338" si="32">E327*30%</f>
        <v>100800</v>
      </c>
      <c r="I327" s="275"/>
    </row>
    <row r="328" spans="1:9" ht="21" customHeight="1" x14ac:dyDescent="0.25">
      <c r="A328" s="273"/>
      <c r="B328" s="255" t="s">
        <v>8</v>
      </c>
      <c r="C328" s="538">
        <v>1705000</v>
      </c>
      <c r="D328" s="538">
        <v>1550000</v>
      </c>
      <c r="E328" s="538">
        <v>508400</v>
      </c>
      <c r="F328" s="562">
        <f t="shared" si="31"/>
        <v>0.32800000000000001</v>
      </c>
      <c r="G328" s="244">
        <f t="shared" si="32"/>
        <v>152520</v>
      </c>
      <c r="I328" s="275"/>
    </row>
    <row r="329" spans="1:9" ht="21" customHeight="1" x14ac:dyDescent="0.25">
      <c r="A329" s="273"/>
      <c r="B329" s="255" t="s">
        <v>9</v>
      </c>
      <c r="C329" s="538">
        <v>2827000</v>
      </c>
      <c r="D329" s="538">
        <v>2570000</v>
      </c>
      <c r="E329" s="538">
        <v>770000</v>
      </c>
      <c r="F329" s="402">
        <f t="shared" si="31"/>
        <v>0.29961089494163423</v>
      </c>
      <c r="G329" s="244">
        <f t="shared" si="32"/>
        <v>231000</v>
      </c>
      <c r="I329" s="275"/>
    </row>
    <row r="330" spans="1:9" ht="21" customHeight="1" x14ac:dyDescent="0.25">
      <c r="A330" s="273"/>
      <c r="B330" s="255" t="s">
        <v>307</v>
      </c>
      <c r="C330" s="538">
        <v>1298000</v>
      </c>
      <c r="D330" s="538">
        <v>1180000</v>
      </c>
      <c r="E330" s="538">
        <v>316000</v>
      </c>
      <c r="F330" s="402">
        <f t="shared" si="31"/>
        <v>0.26779661016949152</v>
      </c>
      <c r="G330" s="244">
        <f t="shared" si="32"/>
        <v>94800</v>
      </c>
      <c r="I330" s="275"/>
    </row>
    <row r="331" spans="1:9" ht="21" customHeight="1" x14ac:dyDescent="0.25">
      <c r="A331" s="300"/>
      <c r="B331" s="290" t="s">
        <v>338</v>
      </c>
      <c r="C331" s="540">
        <v>2178000</v>
      </c>
      <c r="D331" s="540">
        <v>1980000</v>
      </c>
      <c r="E331" s="540">
        <v>543000</v>
      </c>
      <c r="F331" s="314">
        <f t="shared" si="31"/>
        <v>0.27424242424242423</v>
      </c>
      <c r="G331" s="244">
        <f t="shared" si="32"/>
        <v>162900</v>
      </c>
      <c r="H331" s="251"/>
      <c r="I331" s="302"/>
    </row>
    <row r="332" spans="1:9" ht="21" customHeight="1" x14ac:dyDescent="0.25">
      <c r="A332" s="300"/>
      <c r="B332" s="290" t="s">
        <v>11</v>
      </c>
      <c r="C332" s="540">
        <v>114400</v>
      </c>
      <c r="D332" s="540">
        <v>104000</v>
      </c>
      <c r="E332" s="540">
        <v>20800</v>
      </c>
      <c r="F332" s="314">
        <f t="shared" si="31"/>
        <v>0.2</v>
      </c>
      <c r="G332" s="244">
        <f t="shared" si="32"/>
        <v>6240</v>
      </c>
      <c r="H332" s="251"/>
      <c r="I332" s="302"/>
    </row>
    <row r="333" spans="1:9" ht="21" customHeight="1" x14ac:dyDescent="0.25">
      <c r="A333" s="300"/>
      <c r="B333" s="290" t="s">
        <v>5</v>
      </c>
      <c r="C333" s="540">
        <v>6578000</v>
      </c>
      <c r="D333" s="540">
        <v>5980000</v>
      </c>
      <c r="E333" s="540">
        <v>1347000</v>
      </c>
      <c r="F333" s="571">
        <f t="shared" si="31"/>
        <v>0.22525083612040134</v>
      </c>
      <c r="G333" s="244">
        <f t="shared" si="32"/>
        <v>404100</v>
      </c>
      <c r="H333" s="251"/>
      <c r="I333" s="302"/>
    </row>
    <row r="334" spans="1:9" ht="21" customHeight="1" x14ac:dyDescent="0.25">
      <c r="A334" s="300"/>
      <c r="B334" s="290" t="s">
        <v>19</v>
      </c>
      <c r="C334" s="540">
        <v>2530000</v>
      </c>
      <c r="D334" s="540">
        <v>2300000</v>
      </c>
      <c r="E334" s="540">
        <v>340000</v>
      </c>
      <c r="F334" s="571">
        <f t="shared" si="31"/>
        <v>0.14782608695652175</v>
      </c>
      <c r="G334" s="244">
        <f t="shared" si="32"/>
        <v>102000</v>
      </c>
      <c r="H334" s="251"/>
      <c r="I334" s="302"/>
    </row>
    <row r="335" spans="1:9" ht="21" customHeight="1" x14ac:dyDescent="0.25">
      <c r="A335" s="300"/>
      <c r="B335" s="290" t="s">
        <v>2</v>
      </c>
      <c r="C335" s="540">
        <v>9455600</v>
      </c>
      <c r="D335" s="540">
        <v>8596000</v>
      </c>
      <c r="E335" s="540">
        <v>2313560</v>
      </c>
      <c r="F335" s="571">
        <f t="shared" si="31"/>
        <v>0.26914378780828291</v>
      </c>
      <c r="G335" s="244">
        <f t="shared" si="32"/>
        <v>694068</v>
      </c>
      <c r="H335" s="251"/>
      <c r="I335" s="302"/>
    </row>
    <row r="336" spans="1:9" ht="21" customHeight="1" x14ac:dyDescent="0.25">
      <c r="A336" s="300"/>
      <c r="B336" s="290" t="s">
        <v>16</v>
      </c>
      <c r="C336" s="540">
        <v>4711850</v>
      </c>
      <c r="D336" s="540">
        <v>4283500</v>
      </c>
      <c r="E336" s="540">
        <v>643500</v>
      </c>
      <c r="F336" s="314">
        <f t="shared" si="31"/>
        <v>0.15022761760242792</v>
      </c>
      <c r="G336" s="244">
        <f t="shared" si="32"/>
        <v>193050</v>
      </c>
      <c r="H336" s="251"/>
      <c r="I336" s="302"/>
    </row>
    <row r="337" spans="1:9" ht="21" customHeight="1" x14ac:dyDescent="0.25">
      <c r="A337" s="300"/>
      <c r="B337" s="290" t="s">
        <v>327</v>
      </c>
      <c r="C337" s="540">
        <v>231000</v>
      </c>
      <c r="D337" s="540">
        <v>210000</v>
      </c>
      <c r="E337" s="540">
        <v>110000</v>
      </c>
      <c r="F337" s="314">
        <f t="shared" si="31"/>
        <v>0.52380952380952384</v>
      </c>
      <c r="G337" s="244">
        <f t="shared" si="32"/>
        <v>33000</v>
      </c>
      <c r="H337" s="251"/>
      <c r="I337" s="302"/>
    </row>
    <row r="338" spans="1:9" ht="21" customHeight="1" x14ac:dyDescent="0.25">
      <c r="A338" s="300"/>
      <c r="B338" s="290" t="s">
        <v>333</v>
      </c>
      <c r="C338" s="540">
        <v>2074600</v>
      </c>
      <c r="D338" s="540">
        <v>1886000</v>
      </c>
      <c r="E338" s="540">
        <v>425500</v>
      </c>
      <c r="F338" s="571">
        <f t="shared" si="31"/>
        <v>0.22560975609756098</v>
      </c>
      <c r="G338" s="244">
        <f t="shared" si="32"/>
        <v>127650</v>
      </c>
      <c r="H338" s="251"/>
      <c r="I338" s="302"/>
    </row>
    <row r="339" spans="1:9" ht="21" customHeight="1" x14ac:dyDescent="0.25">
      <c r="A339" s="300"/>
      <c r="B339" s="290" t="s">
        <v>49</v>
      </c>
      <c r="C339" s="540">
        <v>9109100</v>
      </c>
      <c r="D339" s="540">
        <v>8281000</v>
      </c>
      <c r="E339" s="540">
        <v>1286000</v>
      </c>
      <c r="F339" s="571">
        <f t="shared" si="31"/>
        <v>0.15529525419635309</v>
      </c>
      <c r="G339" s="244"/>
      <c r="H339" s="251"/>
      <c r="I339" s="302"/>
    </row>
    <row r="340" spans="1:9" ht="21" customHeight="1" x14ac:dyDescent="0.25">
      <c r="A340" s="293"/>
      <c r="B340" s="277"/>
      <c r="C340" s="543">
        <f>SUM(C327:C339)</f>
        <v>44012550</v>
      </c>
      <c r="D340" s="543">
        <f>SUM(D327:D339)</f>
        <v>40120500</v>
      </c>
      <c r="E340" s="543">
        <f>SUM(E327:E339)</f>
        <v>8959760</v>
      </c>
      <c r="F340" s="315">
        <f t="shared" si="31"/>
        <v>0.22332124475019005</v>
      </c>
      <c r="G340" s="884">
        <f>SUM(G327:G339)</f>
        <v>2302128</v>
      </c>
      <c r="H340" s="295"/>
      <c r="I340" s="296"/>
    </row>
    <row r="341" spans="1:9" ht="21" customHeight="1" x14ac:dyDescent="0.25">
      <c r="A341" s="261" t="s">
        <v>407</v>
      </c>
      <c r="B341" s="297" t="s">
        <v>5</v>
      </c>
      <c r="C341" s="549">
        <v>6099500</v>
      </c>
      <c r="D341" s="549">
        <v>5545000</v>
      </c>
      <c r="E341" s="549">
        <v>1236000</v>
      </c>
      <c r="F341" s="314">
        <f t="shared" si="31"/>
        <v>0.22290351668169522</v>
      </c>
      <c r="G341" s="244">
        <f>E341*30%</f>
        <v>370800</v>
      </c>
      <c r="I341" s="275"/>
    </row>
    <row r="342" spans="1:9" ht="21" customHeight="1" x14ac:dyDescent="0.25">
      <c r="A342" s="273"/>
      <c r="B342" s="255" t="s">
        <v>19</v>
      </c>
      <c r="C342" s="538">
        <v>825000</v>
      </c>
      <c r="D342" s="538">
        <v>750000</v>
      </c>
      <c r="E342" s="538">
        <v>200000</v>
      </c>
      <c r="F342" s="562">
        <f t="shared" si="31"/>
        <v>0.26666666666666666</v>
      </c>
      <c r="G342" s="244">
        <f>E342*30%</f>
        <v>60000</v>
      </c>
      <c r="I342" s="275"/>
    </row>
    <row r="343" spans="1:9" ht="21" customHeight="1" x14ac:dyDescent="0.25">
      <c r="A343" s="273"/>
      <c r="B343" s="255" t="s">
        <v>2</v>
      </c>
      <c r="C343" s="538">
        <v>4160200</v>
      </c>
      <c r="D343" s="538">
        <v>3782000</v>
      </c>
      <c r="E343" s="538">
        <v>860100</v>
      </c>
      <c r="F343" s="402">
        <f t="shared" si="31"/>
        <v>0.22741935483870968</v>
      </c>
      <c r="G343" s="244">
        <f>E343*30%</f>
        <v>258030</v>
      </c>
      <c r="I343" s="275"/>
    </row>
    <row r="344" spans="1:9" ht="21" customHeight="1" x14ac:dyDescent="0.25">
      <c r="A344" s="273"/>
      <c r="B344" s="255" t="s">
        <v>16</v>
      </c>
      <c r="C344" s="538">
        <v>1309000</v>
      </c>
      <c r="D344" s="538">
        <v>1190000</v>
      </c>
      <c r="E344" s="538">
        <v>170000</v>
      </c>
      <c r="F344" s="402">
        <f t="shared" si="31"/>
        <v>0.14285714285714285</v>
      </c>
      <c r="G344" s="244">
        <f>E344*30%</f>
        <v>51000</v>
      </c>
      <c r="I344" s="275"/>
    </row>
    <row r="345" spans="1:9" ht="21" customHeight="1" x14ac:dyDescent="0.25">
      <c r="A345" s="300"/>
      <c r="B345" s="290" t="s">
        <v>49</v>
      </c>
      <c r="C345" s="540">
        <v>9070600</v>
      </c>
      <c r="D345" s="540">
        <v>8246000</v>
      </c>
      <c r="E345" s="540">
        <v>1280000</v>
      </c>
      <c r="F345" s="314">
        <f t="shared" si="31"/>
        <v>0.15522677661896678</v>
      </c>
      <c r="G345" s="244"/>
      <c r="H345" s="251"/>
      <c r="I345" s="302"/>
    </row>
    <row r="346" spans="1:9" ht="21" customHeight="1" x14ac:dyDescent="0.25">
      <c r="A346" s="300"/>
      <c r="B346" s="290" t="s">
        <v>339</v>
      </c>
      <c r="C346" s="540">
        <v>8800000</v>
      </c>
      <c r="D346" s="540">
        <v>8000000</v>
      </c>
      <c r="E346" s="540">
        <v>8000000</v>
      </c>
      <c r="F346" s="314">
        <f t="shared" si="31"/>
        <v>1</v>
      </c>
      <c r="G346" s="244"/>
      <c r="H346" s="251"/>
      <c r="I346" s="302"/>
    </row>
    <row r="347" spans="1:9" ht="21" customHeight="1" x14ac:dyDescent="0.25">
      <c r="A347" s="300"/>
      <c r="B347" s="290" t="s">
        <v>340</v>
      </c>
      <c r="C347" s="540">
        <v>1320000</v>
      </c>
      <c r="D347" s="540">
        <v>1200000</v>
      </c>
      <c r="E347" s="540">
        <v>338700</v>
      </c>
      <c r="F347" s="571">
        <f t="shared" si="31"/>
        <v>0.28225</v>
      </c>
      <c r="G347" s="244">
        <f>E347*30%</f>
        <v>101610</v>
      </c>
      <c r="H347" s="251"/>
      <c r="I347" s="302"/>
    </row>
    <row r="348" spans="1:9" ht="21" customHeight="1" x14ac:dyDescent="0.25">
      <c r="A348" s="300"/>
      <c r="B348" s="290" t="s">
        <v>9</v>
      </c>
      <c r="C348" s="540">
        <v>3311000</v>
      </c>
      <c r="D348" s="540">
        <v>3010000</v>
      </c>
      <c r="E348" s="540">
        <v>779500</v>
      </c>
      <c r="F348" s="571">
        <f t="shared" si="31"/>
        <v>0.25897009966777407</v>
      </c>
      <c r="G348" s="244">
        <f>E348*30%</f>
        <v>233850</v>
      </c>
      <c r="H348" s="251"/>
      <c r="I348" s="302"/>
    </row>
    <row r="349" spans="1:9" ht="21" customHeight="1" x14ac:dyDescent="0.25">
      <c r="A349" s="300"/>
      <c r="B349" s="290" t="s">
        <v>9</v>
      </c>
      <c r="C349" s="540">
        <v>1856250</v>
      </c>
      <c r="D349" s="540">
        <v>1687500</v>
      </c>
      <c r="E349" s="540">
        <v>487500</v>
      </c>
      <c r="F349" s="571">
        <f t="shared" si="31"/>
        <v>0.28888888888888886</v>
      </c>
      <c r="G349" s="244">
        <f>E349*30%</f>
        <v>146250</v>
      </c>
      <c r="H349" s="251"/>
      <c r="I349" s="302"/>
    </row>
    <row r="350" spans="1:9" ht="21" customHeight="1" x14ac:dyDescent="0.25">
      <c r="A350" s="300"/>
      <c r="B350" s="290" t="s">
        <v>18</v>
      </c>
      <c r="C350" s="540">
        <v>5896000</v>
      </c>
      <c r="D350" s="540">
        <v>5360000</v>
      </c>
      <c r="E350" s="540">
        <v>1320600</v>
      </c>
      <c r="F350" s="314">
        <f t="shared" si="31"/>
        <v>0.24638059701492537</v>
      </c>
      <c r="G350" s="244">
        <f>E350*30%</f>
        <v>396180</v>
      </c>
      <c r="H350" s="251"/>
      <c r="I350" s="302"/>
    </row>
    <row r="351" spans="1:9" ht="21" customHeight="1" x14ac:dyDescent="0.25">
      <c r="A351" s="300"/>
      <c r="B351" s="290" t="s">
        <v>14</v>
      </c>
      <c r="C351" s="540">
        <v>341000</v>
      </c>
      <c r="D351" s="540">
        <v>310000</v>
      </c>
      <c r="E351" s="540">
        <v>46000</v>
      </c>
      <c r="F351" s="314">
        <f t="shared" si="31"/>
        <v>0.14838709677419354</v>
      </c>
      <c r="G351" s="244">
        <f>E351*15%</f>
        <v>6900</v>
      </c>
      <c r="H351" s="251"/>
      <c r="I351" s="302"/>
    </row>
    <row r="352" spans="1:9" ht="21" customHeight="1" x14ac:dyDescent="0.25">
      <c r="A352" s="300"/>
      <c r="B352" s="290" t="s">
        <v>340</v>
      </c>
      <c r="C352" s="540">
        <v>1298000</v>
      </c>
      <c r="D352" s="540">
        <v>1180000</v>
      </c>
      <c r="E352" s="540">
        <v>318700</v>
      </c>
      <c r="F352" s="571">
        <f t="shared" si="31"/>
        <v>0.27008474576271185</v>
      </c>
      <c r="G352" s="244">
        <f>E352*30%</f>
        <v>95610</v>
      </c>
      <c r="H352" s="251"/>
      <c r="I352" s="302"/>
    </row>
    <row r="353" spans="1:9" ht="21" customHeight="1" x14ac:dyDescent="0.25">
      <c r="A353" s="293"/>
      <c r="B353" s="277"/>
      <c r="C353" s="543">
        <f>SUM(C341:C352)</f>
        <v>44286550</v>
      </c>
      <c r="D353" s="543">
        <f>SUM(D341:D352)</f>
        <v>40260500</v>
      </c>
      <c r="E353" s="543">
        <f>SUM(E341:E352)</f>
        <v>15037100</v>
      </c>
      <c r="F353" s="315">
        <f t="shared" si="31"/>
        <v>0.37349511307609196</v>
      </c>
      <c r="G353" s="884">
        <f>SUM(G341:G352)</f>
        <v>1720230</v>
      </c>
      <c r="H353" s="295"/>
      <c r="I353" s="296"/>
    </row>
    <row r="354" spans="1:9" ht="21" customHeight="1" x14ac:dyDescent="0.25">
      <c r="A354" s="261" t="s">
        <v>408</v>
      </c>
      <c r="B354" s="297" t="s">
        <v>338</v>
      </c>
      <c r="C354" s="549">
        <v>6380000</v>
      </c>
      <c r="D354" s="549">
        <v>5800000</v>
      </c>
      <c r="E354" s="549">
        <v>700000</v>
      </c>
      <c r="F354" s="314">
        <f t="shared" si="31"/>
        <v>0.1206896551724138</v>
      </c>
      <c r="G354" s="244">
        <f t="shared" ref="G354:G362" si="33">E354*30%</f>
        <v>210000</v>
      </c>
      <c r="I354" s="275"/>
    </row>
    <row r="355" spans="1:9" ht="21" customHeight="1" x14ac:dyDescent="0.25">
      <c r="A355" s="273"/>
      <c r="B355" s="255" t="s">
        <v>9</v>
      </c>
      <c r="C355" s="538">
        <v>3311000</v>
      </c>
      <c r="D355" s="538">
        <v>3010000</v>
      </c>
      <c r="E355" s="538">
        <v>779500</v>
      </c>
      <c r="F355" s="562">
        <f t="shared" si="31"/>
        <v>0.25897009966777407</v>
      </c>
      <c r="G355" s="244">
        <f t="shared" si="33"/>
        <v>233850</v>
      </c>
      <c r="I355" s="275"/>
    </row>
    <row r="356" spans="1:9" ht="21" customHeight="1" x14ac:dyDescent="0.25">
      <c r="A356" s="273"/>
      <c r="B356" s="255" t="s">
        <v>9</v>
      </c>
      <c r="C356" s="538">
        <v>1856250</v>
      </c>
      <c r="D356" s="538">
        <v>1687500</v>
      </c>
      <c r="E356" s="538">
        <v>487500</v>
      </c>
      <c r="F356" s="402">
        <f t="shared" si="31"/>
        <v>0.28888888888888886</v>
      </c>
      <c r="G356" s="244">
        <f t="shared" si="33"/>
        <v>146250</v>
      </c>
      <c r="I356" s="275"/>
    </row>
    <row r="357" spans="1:9" ht="21" customHeight="1" x14ac:dyDescent="0.25">
      <c r="A357" s="273"/>
      <c r="B357" s="255" t="s">
        <v>336</v>
      </c>
      <c r="C357" s="538">
        <v>550000</v>
      </c>
      <c r="D357" s="538">
        <v>500000</v>
      </c>
      <c r="E357" s="538">
        <v>250000</v>
      </c>
      <c r="F357" s="402">
        <f t="shared" si="31"/>
        <v>0.5</v>
      </c>
      <c r="G357" s="244">
        <f t="shared" si="33"/>
        <v>75000</v>
      </c>
      <c r="I357" s="275"/>
    </row>
    <row r="358" spans="1:9" ht="21" customHeight="1" x14ac:dyDescent="0.25">
      <c r="A358" s="300"/>
      <c r="B358" s="290" t="s">
        <v>5</v>
      </c>
      <c r="C358" s="540">
        <v>2420000</v>
      </c>
      <c r="D358" s="540">
        <v>2200000</v>
      </c>
      <c r="E358" s="540">
        <v>542000</v>
      </c>
      <c r="F358" s="314">
        <f t="shared" si="31"/>
        <v>0.24636363636363637</v>
      </c>
      <c r="G358" s="244">
        <f t="shared" si="33"/>
        <v>162600</v>
      </c>
      <c r="H358" s="251"/>
      <c r="I358" s="302"/>
    </row>
    <row r="359" spans="1:9" ht="21" customHeight="1" x14ac:dyDescent="0.25">
      <c r="A359" s="300"/>
      <c r="B359" s="290" t="s">
        <v>14</v>
      </c>
      <c r="C359" s="540">
        <v>511500</v>
      </c>
      <c r="D359" s="540">
        <v>465000</v>
      </c>
      <c r="E359" s="540">
        <v>69000</v>
      </c>
      <c r="F359" s="314">
        <f t="shared" si="31"/>
        <v>0.14838709677419354</v>
      </c>
      <c r="G359" s="244">
        <f t="shared" si="33"/>
        <v>20700</v>
      </c>
      <c r="H359" s="251"/>
      <c r="I359" s="302"/>
    </row>
    <row r="360" spans="1:9" ht="21" customHeight="1" x14ac:dyDescent="0.25">
      <c r="A360" s="300"/>
      <c r="B360" s="290" t="s">
        <v>19</v>
      </c>
      <c r="C360" s="540">
        <v>1732500</v>
      </c>
      <c r="D360" s="540">
        <v>1575000</v>
      </c>
      <c r="E360" s="540">
        <v>385000</v>
      </c>
      <c r="F360" s="571">
        <f t="shared" si="31"/>
        <v>0.24444444444444444</v>
      </c>
      <c r="G360" s="244">
        <f t="shared" si="33"/>
        <v>115500</v>
      </c>
      <c r="H360" s="251"/>
      <c r="I360" s="302"/>
    </row>
    <row r="361" spans="1:9" ht="21" customHeight="1" x14ac:dyDescent="0.25">
      <c r="A361" s="300"/>
      <c r="B361" s="290" t="s">
        <v>2</v>
      </c>
      <c r="C361" s="540">
        <v>8537100</v>
      </c>
      <c r="D361" s="540">
        <v>7761000</v>
      </c>
      <c r="E361" s="540">
        <v>1872200</v>
      </c>
      <c r="F361" s="571">
        <f t="shared" si="31"/>
        <v>0.24123180002576988</v>
      </c>
      <c r="G361" s="244">
        <f t="shared" si="33"/>
        <v>561660</v>
      </c>
      <c r="H361" s="251"/>
      <c r="I361" s="302"/>
    </row>
    <row r="362" spans="1:9" ht="21" customHeight="1" x14ac:dyDescent="0.25">
      <c r="A362" s="300"/>
      <c r="B362" s="290" t="s">
        <v>16</v>
      </c>
      <c r="C362" s="540">
        <v>5606700</v>
      </c>
      <c r="D362" s="540">
        <v>5097000</v>
      </c>
      <c r="E362" s="540">
        <v>952000</v>
      </c>
      <c r="F362" s="571">
        <f t="shared" si="31"/>
        <v>0.18677653521679419</v>
      </c>
      <c r="G362" s="244">
        <f t="shared" si="33"/>
        <v>285600</v>
      </c>
      <c r="H362" s="251"/>
      <c r="I362" s="302"/>
    </row>
    <row r="363" spans="1:9" ht="21" customHeight="1" x14ac:dyDescent="0.25">
      <c r="A363" s="300"/>
      <c r="B363" s="290" t="s">
        <v>49</v>
      </c>
      <c r="C363" s="540">
        <v>6138000</v>
      </c>
      <c r="D363" s="540">
        <v>5580000</v>
      </c>
      <c r="E363" s="540">
        <v>890000</v>
      </c>
      <c r="F363" s="314">
        <f t="shared" si="31"/>
        <v>0.15949820788530467</v>
      </c>
      <c r="G363" s="244"/>
      <c r="H363" s="251"/>
      <c r="I363" s="302"/>
    </row>
    <row r="364" spans="1:9" ht="21" customHeight="1" x14ac:dyDescent="0.25">
      <c r="A364" s="300"/>
      <c r="B364" s="290" t="s">
        <v>340</v>
      </c>
      <c r="C364" s="540">
        <v>1848000</v>
      </c>
      <c r="D364" s="540">
        <v>1680000</v>
      </c>
      <c r="E364" s="540">
        <v>568000</v>
      </c>
      <c r="F364" s="314">
        <f t="shared" si="31"/>
        <v>0.33809523809523812</v>
      </c>
      <c r="G364" s="244">
        <f>E364*30%</f>
        <v>170400</v>
      </c>
      <c r="H364" s="251"/>
      <c r="I364" s="302"/>
    </row>
    <row r="365" spans="1:9" ht="21" customHeight="1" x14ac:dyDescent="0.25">
      <c r="A365" s="300"/>
      <c r="B365" s="290" t="s">
        <v>20</v>
      </c>
      <c r="C365" s="540">
        <v>440000</v>
      </c>
      <c r="D365" s="540">
        <v>400000</v>
      </c>
      <c r="E365" s="540">
        <v>150000</v>
      </c>
      <c r="F365" s="571">
        <f t="shared" si="31"/>
        <v>0.375</v>
      </c>
      <c r="G365" s="244">
        <f>E365*30%</f>
        <v>45000</v>
      </c>
      <c r="H365" s="251"/>
      <c r="I365" s="302"/>
    </row>
    <row r="366" spans="1:9" ht="21" customHeight="1" x14ac:dyDescent="0.25">
      <c r="A366" s="300"/>
      <c r="B366" s="290" t="s">
        <v>27</v>
      </c>
      <c r="C366" s="540">
        <v>242000</v>
      </c>
      <c r="D366" s="540">
        <v>220000</v>
      </c>
      <c r="E366" s="540">
        <v>120000</v>
      </c>
      <c r="F366" s="571">
        <f t="shared" si="31"/>
        <v>0.54545454545454541</v>
      </c>
      <c r="G366" s="244">
        <f>E366*30%</f>
        <v>36000</v>
      </c>
      <c r="H366" s="251"/>
      <c r="I366" s="302"/>
    </row>
    <row r="367" spans="1:9" ht="21" customHeight="1" x14ac:dyDescent="0.25">
      <c r="A367" s="300"/>
      <c r="B367" s="290" t="s">
        <v>8</v>
      </c>
      <c r="C367" s="540">
        <v>1430000</v>
      </c>
      <c r="D367" s="540">
        <v>1300000</v>
      </c>
      <c r="E367" s="540">
        <v>417000</v>
      </c>
      <c r="F367" s="571">
        <f t="shared" si="31"/>
        <v>0.32076923076923075</v>
      </c>
      <c r="G367" s="244">
        <f>E367*30%</f>
        <v>125100</v>
      </c>
      <c r="H367" s="251"/>
      <c r="I367" s="302"/>
    </row>
    <row r="368" spans="1:9" ht="21" customHeight="1" x14ac:dyDescent="0.25">
      <c r="A368" s="293"/>
      <c r="B368" s="277"/>
      <c r="C368" s="543">
        <f>SUM(C354:C367)</f>
        <v>41003050</v>
      </c>
      <c r="D368" s="543">
        <f>SUM(D354:D367)</f>
        <v>37275500</v>
      </c>
      <c r="E368" s="543">
        <f>SUM(E354:E367)</f>
        <v>8182200</v>
      </c>
      <c r="F368" s="315">
        <f t="shared" si="31"/>
        <v>0.21950610991133587</v>
      </c>
      <c r="G368" s="884">
        <f>SUM(G354:G367)</f>
        <v>2187660</v>
      </c>
      <c r="H368" s="295"/>
      <c r="I368" s="296"/>
    </row>
    <row r="369" spans="1:9" ht="21" customHeight="1" x14ac:dyDescent="0.25">
      <c r="A369" s="261" t="s">
        <v>409</v>
      </c>
      <c r="B369" s="297" t="s">
        <v>47</v>
      </c>
      <c r="C369" s="549">
        <v>8800000</v>
      </c>
      <c r="D369" s="549">
        <v>8000000</v>
      </c>
      <c r="E369" s="549">
        <v>8000000</v>
      </c>
      <c r="F369" s="314">
        <f t="shared" si="31"/>
        <v>1</v>
      </c>
      <c r="G369" s="244"/>
      <c r="I369" s="275"/>
    </row>
    <row r="370" spans="1:9" ht="21" customHeight="1" x14ac:dyDescent="0.25">
      <c r="A370" s="273"/>
      <c r="B370" s="255" t="s">
        <v>9</v>
      </c>
      <c r="C370" s="538">
        <v>3311000</v>
      </c>
      <c r="D370" s="538">
        <v>3010000</v>
      </c>
      <c r="E370" s="538">
        <v>779500</v>
      </c>
      <c r="F370" s="562">
        <f t="shared" si="31"/>
        <v>0.25897009966777407</v>
      </c>
      <c r="G370" s="244">
        <f>E370*30%</f>
        <v>233850</v>
      </c>
      <c r="I370" s="275"/>
    </row>
    <row r="371" spans="1:9" ht="21" customHeight="1" x14ac:dyDescent="0.25">
      <c r="A371" s="273"/>
      <c r="B371" s="255" t="s">
        <v>5</v>
      </c>
      <c r="C371" s="538">
        <v>9135500</v>
      </c>
      <c r="D371" s="538">
        <v>8305000</v>
      </c>
      <c r="E371" s="538">
        <v>1866000</v>
      </c>
      <c r="F371" s="402">
        <f t="shared" si="31"/>
        <v>0.22468392534617701</v>
      </c>
      <c r="G371" s="244">
        <f>E371*30%</f>
        <v>559800</v>
      </c>
      <c r="I371" s="275"/>
    </row>
    <row r="372" spans="1:9" ht="21" customHeight="1" x14ac:dyDescent="0.25">
      <c r="A372" s="273"/>
      <c r="B372" s="255" t="s">
        <v>19</v>
      </c>
      <c r="C372" s="538">
        <v>2090000</v>
      </c>
      <c r="D372" s="538">
        <v>1900000</v>
      </c>
      <c r="E372" s="538">
        <v>370000</v>
      </c>
      <c r="F372" s="402">
        <f t="shared" si="31"/>
        <v>0.19473684210526315</v>
      </c>
      <c r="G372" s="244">
        <f>E372*30%</f>
        <v>111000</v>
      </c>
      <c r="I372" s="275"/>
    </row>
    <row r="373" spans="1:9" ht="21" customHeight="1" x14ac:dyDescent="0.25">
      <c r="A373" s="300"/>
      <c r="B373" s="290" t="s">
        <v>2</v>
      </c>
      <c r="C373" s="540">
        <v>6009300</v>
      </c>
      <c r="D373" s="540">
        <v>5463000</v>
      </c>
      <c r="E373" s="540">
        <v>1156300</v>
      </c>
      <c r="F373" s="314">
        <f t="shared" si="31"/>
        <v>0.21166025993044116</v>
      </c>
      <c r="G373" s="244">
        <f>E373*30%</f>
        <v>346890</v>
      </c>
      <c r="H373" s="251"/>
      <c r="I373" s="302"/>
    </row>
    <row r="374" spans="1:9" ht="21" customHeight="1" x14ac:dyDescent="0.25">
      <c r="A374" s="300"/>
      <c r="B374" s="290" t="s">
        <v>16</v>
      </c>
      <c r="C374" s="540">
        <v>7207200</v>
      </c>
      <c r="D374" s="540">
        <v>6552000</v>
      </c>
      <c r="E374" s="540">
        <v>1323300</v>
      </c>
      <c r="F374" s="314">
        <f t="shared" si="31"/>
        <v>0.20196886446886447</v>
      </c>
      <c r="G374" s="244">
        <f>E374*30%</f>
        <v>396990</v>
      </c>
      <c r="H374" s="251"/>
      <c r="I374" s="302"/>
    </row>
    <row r="375" spans="1:9" ht="21" customHeight="1" x14ac:dyDescent="0.25">
      <c r="A375" s="300"/>
      <c r="B375" s="290" t="s">
        <v>49</v>
      </c>
      <c r="C375" s="540">
        <v>9364300</v>
      </c>
      <c r="D375" s="540">
        <v>8513000</v>
      </c>
      <c r="E375" s="540">
        <v>1378000</v>
      </c>
      <c r="F375" s="571">
        <f t="shared" si="31"/>
        <v>0.16187008105250794</v>
      </c>
      <c r="G375" s="244"/>
      <c r="H375" s="251"/>
      <c r="I375" s="302"/>
    </row>
    <row r="376" spans="1:9" ht="21" customHeight="1" x14ac:dyDescent="0.25">
      <c r="A376" s="300"/>
      <c r="B376" s="290" t="s">
        <v>8</v>
      </c>
      <c r="C376" s="540">
        <v>687500</v>
      </c>
      <c r="D376" s="540">
        <v>625000</v>
      </c>
      <c r="E376" s="540">
        <v>221000</v>
      </c>
      <c r="F376" s="571">
        <f t="shared" si="31"/>
        <v>0.35360000000000003</v>
      </c>
      <c r="G376" s="244">
        <f>E376*30%</f>
        <v>66300</v>
      </c>
      <c r="H376" s="251"/>
      <c r="I376" s="302"/>
    </row>
    <row r="377" spans="1:9" ht="21" customHeight="1" x14ac:dyDescent="0.25">
      <c r="A377" s="300"/>
      <c r="B377" s="290" t="s">
        <v>7</v>
      </c>
      <c r="C377" s="540">
        <v>726000</v>
      </c>
      <c r="D377" s="540">
        <v>660000</v>
      </c>
      <c r="E377" s="540">
        <v>330000</v>
      </c>
      <c r="F377" s="571">
        <f t="shared" si="31"/>
        <v>0.5</v>
      </c>
      <c r="G377" s="244">
        <f>E377*30%</f>
        <v>99000</v>
      </c>
      <c r="H377" s="251"/>
      <c r="I377" s="302"/>
    </row>
    <row r="378" spans="1:9" ht="21" customHeight="1" x14ac:dyDescent="0.25">
      <c r="A378" s="300"/>
      <c r="B378" s="290" t="s">
        <v>18</v>
      </c>
      <c r="C378" s="540">
        <v>2156000</v>
      </c>
      <c r="D378" s="540">
        <v>1960000</v>
      </c>
      <c r="E378" s="540">
        <v>352600</v>
      </c>
      <c r="F378" s="314">
        <f t="shared" si="31"/>
        <v>0.17989795918367346</v>
      </c>
      <c r="G378" s="244">
        <f>E378*30%</f>
        <v>105780</v>
      </c>
      <c r="H378" s="251"/>
      <c r="I378" s="302"/>
    </row>
    <row r="379" spans="1:9" ht="21" customHeight="1" x14ac:dyDescent="0.25">
      <c r="A379" s="300"/>
      <c r="B379" s="290" t="s">
        <v>340</v>
      </c>
      <c r="C379" s="540">
        <v>1628000</v>
      </c>
      <c r="D379" s="540">
        <v>1480000</v>
      </c>
      <c r="E379" s="540">
        <v>440000</v>
      </c>
      <c r="F379" s="314">
        <f t="shared" si="31"/>
        <v>0.29729729729729731</v>
      </c>
      <c r="G379" s="244">
        <f>E379*30%</f>
        <v>132000</v>
      </c>
      <c r="H379" s="251"/>
      <c r="I379" s="302"/>
    </row>
    <row r="380" spans="1:9" ht="21" customHeight="1" x14ac:dyDescent="0.25">
      <c r="A380" s="293"/>
      <c r="B380" s="277"/>
      <c r="C380" s="543">
        <f>SUM(C369:C379)</f>
        <v>51114800</v>
      </c>
      <c r="D380" s="543">
        <f>SUM(D369:D379)</f>
        <v>46468000</v>
      </c>
      <c r="E380" s="543">
        <f>SUM(E369:E379)</f>
        <v>16216700</v>
      </c>
      <c r="F380" s="315">
        <f t="shared" si="31"/>
        <v>0.34898639924248948</v>
      </c>
      <c r="G380" s="884">
        <f>SUM(G369:G379)</f>
        <v>2051610</v>
      </c>
      <c r="H380" s="295"/>
      <c r="I380" s="296"/>
    </row>
    <row r="381" spans="1:9" ht="21" customHeight="1" x14ac:dyDescent="0.25">
      <c r="A381" s="261" t="s">
        <v>410</v>
      </c>
      <c r="B381" s="297" t="s">
        <v>9</v>
      </c>
      <c r="C381" s="549">
        <v>3311000</v>
      </c>
      <c r="D381" s="549">
        <v>3010000</v>
      </c>
      <c r="E381" s="549">
        <v>779500</v>
      </c>
      <c r="F381" s="314">
        <f t="shared" si="31"/>
        <v>0.25897009966777407</v>
      </c>
      <c r="G381" s="244">
        <f t="shared" ref="G381:G386" si="34">E381*30%</f>
        <v>233850</v>
      </c>
      <c r="I381" s="275"/>
    </row>
    <row r="382" spans="1:9" ht="21" customHeight="1" x14ac:dyDescent="0.25">
      <c r="A382" s="273"/>
      <c r="B382" s="255" t="s">
        <v>2</v>
      </c>
      <c r="C382" s="538">
        <v>418000</v>
      </c>
      <c r="D382" s="538">
        <v>380000</v>
      </c>
      <c r="E382" s="538">
        <v>158000</v>
      </c>
      <c r="F382" s="562">
        <f t="shared" si="31"/>
        <v>0.41578947368421054</v>
      </c>
      <c r="G382" s="244">
        <f t="shared" si="34"/>
        <v>47400</v>
      </c>
      <c r="I382" s="275"/>
    </row>
    <row r="383" spans="1:9" ht="21" customHeight="1" x14ac:dyDescent="0.25">
      <c r="A383" s="300"/>
      <c r="B383" s="290" t="s">
        <v>2</v>
      </c>
      <c r="C383" s="540">
        <v>6685800</v>
      </c>
      <c r="D383" s="540">
        <v>6078000</v>
      </c>
      <c r="E383" s="540">
        <v>1472280</v>
      </c>
      <c r="F383" s="571">
        <f t="shared" si="31"/>
        <v>0.24223099703849951</v>
      </c>
      <c r="G383" s="244">
        <f t="shared" si="34"/>
        <v>441684</v>
      </c>
      <c r="H383" s="251"/>
      <c r="I383" s="302"/>
    </row>
    <row r="384" spans="1:9" ht="21" customHeight="1" x14ac:dyDescent="0.25">
      <c r="A384" s="273"/>
      <c r="B384" s="255" t="s">
        <v>18</v>
      </c>
      <c r="C384" s="538">
        <v>2310000</v>
      </c>
      <c r="D384" s="538">
        <v>2100000</v>
      </c>
      <c r="E384" s="538">
        <v>400000</v>
      </c>
      <c r="F384" s="402">
        <f t="shared" si="31"/>
        <v>0.19047619047619047</v>
      </c>
      <c r="G384" s="244">
        <f t="shared" si="34"/>
        <v>120000</v>
      </c>
      <c r="I384" s="275"/>
    </row>
    <row r="385" spans="1:10" ht="21" customHeight="1" x14ac:dyDescent="0.25">
      <c r="A385" s="273"/>
      <c r="B385" s="255" t="s">
        <v>14</v>
      </c>
      <c r="C385" s="538">
        <v>429000</v>
      </c>
      <c r="D385" s="538">
        <v>390000</v>
      </c>
      <c r="E385" s="538">
        <v>66000</v>
      </c>
      <c r="F385" s="402">
        <f t="shared" si="31"/>
        <v>0.16923076923076924</v>
      </c>
      <c r="G385" s="244">
        <f t="shared" si="34"/>
        <v>19800</v>
      </c>
      <c r="I385" s="275"/>
    </row>
    <row r="386" spans="1:10" ht="21" customHeight="1" x14ac:dyDescent="0.25">
      <c r="A386" s="300"/>
      <c r="B386" s="290" t="s">
        <v>11</v>
      </c>
      <c r="C386" s="540">
        <v>242000</v>
      </c>
      <c r="D386" s="540">
        <v>220000</v>
      </c>
      <c r="E386" s="540">
        <v>120000</v>
      </c>
      <c r="F386" s="314">
        <f t="shared" si="31"/>
        <v>0.54545454545454541</v>
      </c>
      <c r="G386" s="244">
        <f t="shared" si="34"/>
        <v>36000</v>
      </c>
      <c r="H386" s="251"/>
      <c r="I386" s="302"/>
    </row>
    <row r="387" spans="1:10" ht="21" customHeight="1" x14ac:dyDescent="0.25">
      <c r="A387" s="300"/>
      <c r="B387" s="290" t="s">
        <v>17</v>
      </c>
      <c r="C387" s="540">
        <v>47300000</v>
      </c>
      <c r="D387" s="540">
        <v>43000000</v>
      </c>
      <c r="E387" s="540">
        <v>9149795</v>
      </c>
      <c r="F387" s="314">
        <f t="shared" ref="F387:F450" si="35">E387/D387</f>
        <v>0.21278593023255815</v>
      </c>
      <c r="G387" s="244"/>
      <c r="H387" s="251"/>
      <c r="I387" s="302"/>
    </row>
    <row r="388" spans="1:10" ht="21" customHeight="1" x14ac:dyDescent="0.25">
      <c r="A388" s="300"/>
      <c r="B388" s="290" t="s">
        <v>411</v>
      </c>
      <c r="C388" s="540">
        <v>550000</v>
      </c>
      <c r="D388" s="540">
        <v>500000</v>
      </c>
      <c r="E388" s="540">
        <v>250000</v>
      </c>
      <c r="F388" s="571">
        <f t="shared" si="35"/>
        <v>0.5</v>
      </c>
      <c r="G388" s="244">
        <f>E388*30%</f>
        <v>75000</v>
      </c>
      <c r="H388" s="251"/>
      <c r="I388" s="302"/>
    </row>
    <row r="389" spans="1:10" ht="21" customHeight="1" x14ac:dyDescent="0.25">
      <c r="A389" s="300"/>
      <c r="B389" s="290" t="s">
        <v>5</v>
      </c>
      <c r="C389" s="540">
        <v>5412000</v>
      </c>
      <c r="D389" s="540">
        <v>4920000</v>
      </c>
      <c r="E389" s="540">
        <v>1113000</v>
      </c>
      <c r="F389" s="571">
        <f t="shared" si="35"/>
        <v>0.22621951219512196</v>
      </c>
      <c r="G389" s="244">
        <f>E389*30%</f>
        <v>333900</v>
      </c>
      <c r="H389" s="251"/>
      <c r="I389" s="302"/>
    </row>
    <row r="390" spans="1:10" ht="21" customHeight="1" x14ac:dyDescent="0.25">
      <c r="A390" s="300"/>
      <c r="B390" s="290" t="s">
        <v>16</v>
      </c>
      <c r="C390" s="540">
        <v>5126000</v>
      </c>
      <c r="D390" s="540">
        <v>4660000</v>
      </c>
      <c r="E390" s="540">
        <v>696300</v>
      </c>
      <c r="F390" s="314">
        <f t="shared" si="35"/>
        <v>0.14942060085836911</v>
      </c>
      <c r="G390" s="244">
        <f>E390*30%</f>
        <v>208890</v>
      </c>
      <c r="H390" s="251"/>
      <c r="I390" s="302"/>
    </row>
    <row r="391" spans="1:10" ht="21" customHeight="1" x14ac:dyDescent="0.25">
      <c r="A391" s="300"/>
      <c r="B391" s="290" t="s">
        <v>49</v>
      </c>
      <c r="C391" s="540">
        <v>9207000</v>
      </c>
      <c r="D391" s="540">
        <v>8370000</v>
      </c>
      <c r="E391" s="540">
        <v>1335000</v>
      </c>
      <c r="F391" s="314">
        <f t="shared" si="35"/>
        <v>0.15949820788530467</v>
      </c>
      <c r="G391" s="244"/>
      <c r="H391" s="251"/>
      <c r="I391" s="302"/>
    </row>
    <row r="392" spans="1:10" ht="21" customHeight="1" x14ac:dyDescent="0.25">
      <c r="A392" s="300"/>
      <c r="B392" s="290" t="s">
        <v>340</v>
      </c>
      <c r="C392" s="540">
        <v>4114000</v>
      </c>
      <c r="D392" s="540">
        <v>3740000</v>
      </c>
      <c r="E392" s="540">
        <v>1034300</v>
      </c>
      <c r="F392" s="571">
        <f t="shared" si="35"/>
        <v>0.27655080213903743</v>
      </c>
      <c r="G392" s="244">
        <f>E392*30%</f>
        <v>310290</v>
      </c>
      <c r="H392" s="251"/>
      <c r="I392" s="302"/>
    </row>
    <row r="393" spans="1:10" ht="21" customHeight="1" x14ac:dyDescent="0.25">
      <c r="A393" s="300"/>
      <c r="B393" s="290" t="s">
        <v>412</v>
      </c>
      <c r="C393" s="540">
        <v>847000</v>
      </c>
      <c r="D393" s="540">
        <v>770000</v>
      </c>
      <c r="E393" s="540">
        <v>119000</v>
      </c>
      <c r="F393" s="571">
        <f t="shared" si="35"/>
        <v>0.15454545454545454</v>
      </c>
      <c r="G393" s="244">
        <f>E393*30%</f>
        <v>35700</v>
      </c>
      <c r="H393" s="251"/>
      <c r="I393" s="302"/>
    </row>
    <row r="394" spans="1:10" ht="21" customHeight="1" x14ac:dyDescent="0.25">
      <c r="A394" s="300"/>
      <c r="B394" s="290" t="s">
        <v>413</v>
      </c>
      <c r="C394" s="540">
        <v>272250</v>
      </c>
      <c r="D394" s="540">
        <v>247500</v>
      </c>
      <c r="E394" s="540">
        <v>65500</v>
      </c>
      <c r="F394" s="571">
        <f t="shared" si="35"/>
        <v>0.26464646464646463</v>
      </c>
      <c r="G394" s="244">
        <f>E394*30%</f>
        <v>19650</v>
      </c>
      <c r="H394" s="251"/>
      <c r="I394" s="302"/>
    </row>
    <row r="395" spans="1:10" ht="21" customHeight="1" x14ac:dyDescent="0.25">
      <c r="A395" s="293"/>
      <c r="B395" s="277"/>
      <c r="C395" s="543">
        <f>SUM(C381:C394)</f>
        <v>86224050</v>
      </c>
      <c r="D395" s="543">
        <f>SUM(D381:D394)</f>
        <v>78385500</v>
      </c>
      <c r="E395" s="543">
        <f>SUM(E381:E394)</f>
        <v>16758675</v>
      </c>
      <c r="F395" s="315">
        <f t="shared" si="35"/>
        <v>0.21379815144382572</v>
      </c>
      <c r="G395" s="884">
        <f>SUM(G381:G394)</f>
        <v>1882164</v>
      </c>
      <c r="H395" s="295"/>
      <c r="I395" s="296"/>
    </row>
    <row r="396" spans="1:10" ht="21" customHeight="1" x14ac:dyDescent="0.25">
      <c r="A396" s="261" t="s">
        <v>414</v>
      </c>
      <c r="B396" s="297" t="s">
        <v>323</v>
      </c>
      <c r="C396" s="549">
        <v>4950000</v>
      </c>
      <c r="D396" s="549">
        <v>4500000</v>
      </c>
      <c r="E396" s="549">
        <v>2050000</v>
      </c>
      <c r="F396" s="314">
        <f t="shared" si="35"/>
        <v>0.45555555555555555</v>
      </c>
      <c r="G396" s="244">
        <f>E396*15%</f>
        <v>307500</v>
      </c>
      <c r="I396" s="275"/>
      <c r="J396" s="251" t="s">
        <v>399</v>
      </c>
    </row>
    <row r="397" spans="1:10" ht="21" customHeight="1" x14ac:dyDescent="0.25">
      <c r="A397" s="273"/>
      <c r="B397" s="255" t="s">
        <v>9</v>
      </c>
      <c r="C397" s="538">
        <v>1856250</v>
      </c>
      <c r="D397" s="538">
        <v>1687500</v>
      </c>
      <c r="E397" s="538">
        <v>487500</v>
      </c>
      <c r="F397" s="562">
        <f t="shared" si="35"/>
        <v>0.28888888888888886</v>
      </c>
      <c r="G397" s="244">
        <f>E397*30%</f>
        <v>146250</v>
      </c>
      <c r="I397" s="275"/>
    </row>
    <row r="398" spans="1:10" ht="21" customHeight="1" x14ac:dyDescent="0.25">
      <c r="A398" s="273"/>
      <c r="B398" s="255" t="s">
        <v>9</v>
      </c>
      <c r="C398" s="538">
        <v>1413500</v>
      </c>
      <c r="D398" s="538">
        <v>1285000</v>
      </c>
      <c r="E398" s="538">
        <v>385000</v>
      </c>
      <c r="F398" s="402">
        <f t="shared" si="35"/>
        <v>0.29961089494163423</v>
      </c>
      <c r="G398" s="244">
        <f>E398*30%</f>
        <v>115500</v>
      </c>
      <c r="I398" s="275"/>
    </row>
    <row r="399" spans="1:10" ht="21" customHeight="1" x14ac:dyDescent="0.25">
      <c r="A399" s="300"/>
      <c r="B399" s="290" t="s">
        <v>303</v>
      </c>
      <c r="C399" s="540">
        <v>305800</v>
      </c>
      <c r="D399" s="540">
        <v>278000</v>
      </c>
      <c r="E399" s="540">
        <v>55600</v>
      </c>
      <c r="F399" s="571">
        <f t="shared" si="35"/>
        <v>0.2</v>
      </c>
      <c r="G399" s="244">
        <f>E399*30%</f>
        <v>16680</v>
      </c>
      <c r="H399" s="251"/>
      <c r="I399" s="302"/>
    </row>
    <row r="400" spans="1:10" ht="21" customHeight="1" x14ac:dyDescent="0.25">
      <c r="A400" s="273"/>
      <c r="B400" s="258" t="s">
        <v>17</v>
      </c>
      <c r="C400" s="551">
        <v>21115600</v>
      </c>
      <c r="D400" s="551">
        <v>19196000</v>
      </c>
      <c r="E400" s="551">
        <v>4423000</v>
      </c>
      <c r="F400" s="573">
        <f t="shared" si="35"/>
        <v>0.23041258595540737</v>
      </c>
      <c r="G400" s="259"/>
      <c r="H400" s="227" t="s">
        <v>415</v>
      </c>
      <c r="I400" s="275"/>
    </row>
    <row r="401" spans="1:9" ht="21" customHeight="1" x14ac:dyDescent="0.25">
      <c r="A401" s="300"/>
      <c r="B401" s="290" t="s">
        <v>17</v>
      </c>
      <c r="C401" s="540">
        <v>281600</v>
      </c>
      <c r="D401" s="540">
        <v>256000</v>
      </c>
      <c r="E401" s="540">
        <v>21000</v>
      </c>
      <c r="F401" s="314">
        <f t="shared" si="35"/>
        <v>8.203125E-2</v>
      </c>
      <c r="G401" s="244">
        <f>E401*30%</f>
        <v>6300</v>
      </c>
      <c r="H401" s="251" t="s">
        <v>416</v>
      </c>
      <c r="I401" s="302"/>
    </row>
    <row r="402" spans="1:9" ht="21" customHeight="1" x14ac:dyDescent="0.25">
      <c r="A402" s="300"/>
      <c r="B402" s="290" t="s">
        <v>5</v>
      </c>
      <c r="C402" s="540">
        <v>3756500</v>
      </c>
      <c r="D402" s="540">
        <v>3415000</v>
      </c>
      <c r="E402" s="540">
        <v>767000</v>
      </c>
      <c r="F402" s="314">
        <f t="shared" si="35"/>
        <v>0.22459736456808199</v>
      </c>
      <c r="G402" s="244">
        <f>E402*30%</f>
        <v>230100</v>
      </c>
      <c r="H402" s="251"/>
      <c r="I402" s="302"/>
    </row>
    <row r="403" spans="1:9" ht="21" customHeight="1" x14ac:dyDescent="0.25">
      <c r="A403" s="300"/>
      <c r="B403" s="290" t="s">
        <v>19</v>
      </c>
      <c r="C403" s="540">
        <v>3822500</v>
      </c>
      <c r="D403" s="540">
        <v>3475000</v>
      </c>
      <c r="E403" s="540">
        <v>755000</v>
      </c>
      <c r="F403" s="571">
        <f t="shared" si="35"/>
        <v>0.21726618705035972</v>
      </c>
      <c r="G403" s="244">
        <f>E403*30%</f>
        <v>226500</v>
      </c>
      <c r="H403" s="251"/>
      <c r="I403" s="302"/>
    </row>
    <row r="404" spans="1:9" ht="21" customHeight="1" x14ac:dyDescent="0.25">
      <c r="A404" s="300"/>
      <c r="B404" s="290" t="s">
        <v>2</v>
      </c>
      <c r="C404" s="540">
        <v>6663800</v>
      </c>
      <c r="D404" s="540">
        <v>6058000</v>
      </c>
      <c r="E404" s="540">
        <v>1738780</v>
      </c>
      <c r="F404" s="571">
        <f t="shared" si="35"/>
        <v>0.28702211951138989</v>
      </c>
      <c r="G404" s="244">
        <f>E404*30%</f>
        <v>521634</v>
      </c>
      <c r="H404" s="251"/>
      <c r="I404" s="302"/>
    </row>
    <row r="405" spans="1:9" ht="21" customHeight="1" x14ac:dyDescent="0.25">
      <c r="A405" s="300"/>
      <c r="B405" s="290" t="s">
        <v>16</v>
      </c>
      <c r="C405" s="540">
        <v>4010600</v>
      </c>
      <c r="D405" s="540">
        <v>3646000</v>
      </c>
      <c r="E405" s="540">
        <v>901000</v>
      </c>
      <c r="F405" s="314">
        <f t="shared" si="35"/>
        <v>0.24712013165112451</v>
      </c>
      <c r="G405" s="244">
        <f>E405*30%</f>
        <v>270300</v>
      </c>
      <c r="H405" s="251"/>
      <c r="I405" s="302"/>
    </row>
    <row r="406" spans="1:9" ht="21" customHeight="1" x14ac:dyDescent="0.25">
      <c r="A406" s="300"/>
      <c r="B406" s="290" t="s">
        <v>49</v>
      </c>
      <c r="C406" s="540">
        <v>13112000</v>
      </c>
      <c r="D406" s="540">
        <v>11920000</v>
      </c>
      <c r="E406" s="540">
        <v>1811000</v>
      </c>
      <c r="F406" s="314">
        <f t="shared" si="35"/>
        <v>0.15192953020134228</v>
      </c>
      <c r="G406" s="244"/>
      <c r="H406" s="251"/>
      <c r="I406" s="302"/>
    </row>
    <row r="407" spans="1:9" ht="21" customHeight="1" x14ac:dyDescent="0.25">
      <c r="A407" s="300"/>
      <c r="B407" s="290" t="s">
        <v>340</v>
      </c>
      <c r="C407" s="540">
        <v>1298000</v>
      </c>
      <c r="D407" s="540">
        <v>1180000</v>
      </c>
      <c r="E407" s="540">
        <v>318000</v>
      </c>
      <c r="F407" s="571">
        <f t="shared" si="35"/>
        <v>0.26949152542372884</v>
      </c>
      <c r="G407" s="244">
        <f>E407*30%</f>
        <v>95400</v>
      </c>
      <c r="H407" s="251"/>
      <c r="I407" s="302"/>
    </row>
    <row r="408" spans="1:9" ht="21" customHeight="1" x14ac:dyDescent="0.25">
      <c r="A408" s="300"/>
      <c r="B408" s="290" t="s">
        <v>8</v>
      </c>
      <c r="C408" s="540">
        <v>1430000</v>
      </c>
      <c r="D408" s="540">
        <v>1300000</v>
      </c>
      <c r="E408" s="540">
        <v>417000</v>
      </c>
      <c r="F408" s="571">
        <f t="shared" si="35"/>
        <v>0.32076923076923075</v>
      </c>
      <c r="G408" s="244">
        <f>E408*30%</f>
        <v>125100</v>
      </c>
      <c r="H408" s="251"/>
      <c r="I408" s="302"/>
    </row>
    <row r="409" spans="1:9" ht="21" customHeight="1" x14ac:dyDescent="0.25">
      <c r="A409" s="293"/>
      <c r="B409" s="277"/>
      <c r="C409" s="543">
        <f>SUM(C396:C408)</f>
        <v>64016150</v>
      </c>
      <c r="D409" s="543">
        <f>SUM(D396:D408)</f>
        <v>58196500</v>
      </c>
      <c r="E409" s="543">
        <f>SUM(E396:E408)</f>
        <v>14129880</v>
      </c>
      <c r="F409" s="315">
        <f t="shared" si="35"/>
        <v>0.24279604443566194</v>
      </c>
      <c r="G409" s="884">
        <f>SUM(G396:G408)</f>
        <v>2061264</v>
      </c>
      <c r="H409" s="295"/>
      <c r="I409" s="296"/>
    </row>
    <row r="410" spans="1:9" ht="21" customHeight="1" x14ac:dyDescent="0.25">
      <c r="A410" s="261" t="s">
        <v>417</v>
      </c>
      <c r="B410" s="297" t="s">
        <v>9</v>
      </c>
      <c r="C410" s="549">
        <v>3943500</v>
      </c>
      <c r="D410" s="549">
        <v>3585000</v>
      </c>
      <c r="E410" s="549">
        <v>911000</v>
      </c>
      <c r="F410" s="314">
        <f t="shared" si="35"/>
        <v>0.25411436541143656</v>
      </c>
      <c r="G410" s="244">
        <f>E410*30%</f>
        <v>273300</v>
      </c>
      <c r="I410" s="275"/>
    </row>
    <row r="411" spans="1:9" ht="21" customHeight="1" x14ac:dyDescent="0.25">
      <c r="A411" s="273"/>
      <c r="B411" s="255" t="s">
        <v>17</v>
      </c>
      <c r="C411" s="538">
        <v>8756000</v>
      </c>
      <c r="D411" s="538">
        <v>7960000</v>
      </c>
      <c r="E411" s="538">
        <v>1760000</v>
      </c>
      <c r="F411" s="562">
        <f t="shared" si="35"/>
        <v>0.22110552763819097</v>
      </c>
      <c r="G411" s="244"/>
      <c r="I411" s="275"/>
    </row>
    <row r="412" spans="1:9" ht="21" customHeight="1" x14ac:dyDescent="0.25">
      <c r="A412" s="273"/>
      <c r="B412" s="255" t="s">
        <v>8</v>
      </c>
      <c r="C412" s="538">
        <v>275000</v>
      </c>
      <c r="D412" s="538">
        <v>250000</v>
      </c>
      <c r="E412" s="538">
        <v>90000</v>
      </c>
      <c r="F412" s="402">
        <f t="shared" si="35"/>
        <v>0.36</v>
      </c>
      <c r="G412" s="244">
        <f t="shared" ref="G412:G418" si="36">E412*30%</f>
        <v>27000</v>
      </c>
      <c r="I412" s="275"/>
    </row>
    <row r="413" spans="1:9" ht="21" customHeight="1" x14ac:dyDescent="0.25">
      <c r="A413" s="300"/>
      <c r="B413" s="290" t="s">
        <v>5</v>
      </c>
      <c r="C413" s="540">
        <v>6099500</v>
      </c>
      <c r="D413" s="540">
        <v>5545000</v>
      </c>
      <c r="E413" s="540">
        <v>1242200</v>
      </c>
      <c r="F413" s="571">
        <f t="shared" si="35"/>
        <v>0.22402164111812445</v>
      </c>
      <c r="G413" s="244">
        <f t="shared" si="36"/>
        <v>372660</v>
      </c>
      <c r="H413" s="251"/>
      <c r="I413" s="302"/>
    </row>
    <row r="414" spans="1:9" ht="21" customHeight="1" x14ac:dyDescent="0.25">
      <c r="A414" s="273"/>
      <c r="B414" s="255" t="s">
        <v>7</v>
      </c>
      <c r="C414" s="539">
        <v>1210000</v>
      </c>
      <c r="D414" s="539">
        <v>1100000</v>
      </c>
      <c r="E414" s="539">
        <v>440000</v>
      </c>
      <c r="F414" s="565">
        <f t="shared" si="35"/>
        <v>0.4</v>
      </c>
      <c r="G414" s="244">
        <f t="shared" si="36"/>
        <v>132000</v>
      </c>
      <c r="I414" s="275"/>
    </row>
    <row r="415" spans="1:9" ht="21" customHeight="1" x14ac:dyDescent="0.25">
      <c r="A415" s="300"/>
      <c r="B415" s="290" t="s">
        <v>19</v>
      </c>
      <c r="C415" s="548">
        <v>825000</v>
      </c>
      <c r="D415" s="548">
        <v>750000</v>
      </c>
      <c r="E415" s="548">
        <v>200000</v>
      </c>
      <c r="F415" s="570">
        <f t="shared" si="35"/>
        <v>0.26666666666666666</v>
      </c>
      <c r="G415" s="244">
        <f t="shared" si="36"/>
        <v>60000</v>
      </c>
      <c r="H415" s="251"/>
      <c r="I415" s="302"/>
    </row>
    <row r="416" spans="1:9" ht="21" customHeight="1" x14ac:dyDescent="0.25">
      <c r="A416" s="300"/>
      <c r="B416" s="290" t="s">
        <v>2</v>
      </c>
      <c r="C416" s="540">
        <v>8529400</v>
      </c>
      <c r="D416" s="540">
        <v>7754000</v>
      </c>
      <c r="E416" s="540">
        <v>1722720</v>
      </c>
      <c r="F416" s="314">
        <f t="shared" si="35"/>
        <v>0.22217178230590662</v>
      </c>
      <c r="G416" s="244">
        <f t="shared" si="36"/>
        <v>516816</v>
      </c>
      <c r="H416" s="251"/>
      <c r="I416" s="302"/>
    </row>
    <row r="417" spans="1:10" ht="21" customHeight="1" x14ac:dyDescent="0.25">
      <c r="A417" s="300"/>
      <c r="B417" s="290" t="s">
        <v>16</v>
      </c>
      <c r="C417" s="540">
        <v>3043700</v>
      </c>
      <c r="D417" s="540">
        <v>2767000</v>
      </c>
      <c r="E417" s="540">
        <v>604500</v>
      </c>
      <c r="F417" s="571">
        <f t="shared" si="35"/>
        <v>0.2184676544994579</v>
      </c>
      <c r="G417" s="244">
        <f t="shared" si="36"/>
        <v>181350</v>
      </c>
      <c r="H417" s="251"/>
      <c r="I417" s="302"/>
    </row>
    <row r="418" spans="1:10" ht="21" customHeight="1" x14ac:dyDescent="0.25">
      <c r="A418" s="300"/>
      <c r="B418" s="290" t="s">
        <v>27</v>
      </c>
      <c r="C418" s="540">
        <v>242000</v>
      </c>
      <c r="D418" s="540">
        <v>220000</v>
      </c>
      <c r="E418" s="540">
        <v>120000</v>
      </c>
      <c r="F418" s="571">
        <f t="shared" si="35"/>
        <v>0.54545454545454541</v>
      </c>
      <c r="G418" s="244">
        <f t="shared" si="36"/>
        <v>36000</v>
      </c>
      <c r="H418" s="251"/>
      <c r="I418" s="302"/>
    </row>
    <row r="419" spans="1:10" ht="21" customHeight="1" x14ac:dyDescent="0.25">
      <c r="A419" s="300"/>
      <c r="B419" s="290" t="s">
        <v>49</v>
      </c>
      <c r="C419" s="540">
        <v>12241900</v>
      </c>
      <c r="D419" s="540">
        <v>11129000</v>
      </c>
      <c r="E419" s="540">
        <v>1754000</v>
      </c>
      <c r="F419" s="314">
        <f t="shared" si="35"/>
        <v>0.15760625393117081</v>
      </c>
      <c r="G419" s="244"/>
      <c r="H419" s="251"/>
      <c r="I419" s="302"/>
    </row>
    <row r="420" spans="1:10" ht="21" customHeight="1" x14ac:dyDescent="0.25">
      <c r="A420" s="300"/>
      <c r="B420" s="290" t="s">
        <v>341</v>
      </c>
      <c r="C420" s="540">
        <v>2238500</v>
      </c>
      <c r="D420" s="540">
        <v>2035000</v>
      </c>
      <c r="E420" s="540">
        <v>814500</v>
      </c>
      <c r="F420" s="314">
        <f t="shared" si="35"/>
        <v>0.40024570024570022</v>
      </c>
      <c r="G420" s="244">
        <f>E420*30%</f>
        <v>244350</v>
      </c>
      <c r="H420" s="251"/>
      <c r="I420" s="302"/>
    </row>
    <row r="421" spans="1:10" ht="21" customHeight="1" x14ac:dyDescent="0.25">
      <c r="A421" s="300"/>
      <c r="B421" s="290" t="s">
        <v>11</v>
      </c>
      <c r="C421" s="540">
        <v>132000</v>
      </c>
      <c r="D421" s="540">
        <v>120000</v>
      </c>
      <c r="E421" s="540">
        <v>48000</v>
      </c>
      <c r="F421" s="571">
        <f t="shared" si="35"/>
        <v>0.4</v>
      </c>
      <c r="G421" s="244">
        <f>E421*30%</f>
        <v>14400</v>
      </c>
      <c r="H421" s="251"/>
      <c r="I421" s="302"/>
    </row>
    <row r="422" spans="1:10" ht="21" customHeight="1" x14ac:dyDescent="0.25">
      <c r="A422" s="293"/>
      <c r="B422" s="277"/>
      <c r="C422" s="543">
        <f>SUM(C410:C421)</f>
        <v>47536500</v>
      </c>
      <c r="D422" s="543">
        <f>SUM(D410:D421)</f>
        <v>43215000</v>
      </c>
      <c r="E422" s="543">
        <f>SUM(E410:E421)</f>
        <v>9706920</v>
      </c>
      <c r="F422" s="315">
        <f t="shared" si="35"/>
        <v>0.22461922943422422</v>
      </c>
      <c r="G422" s="884">
        <f>SUM(G410:G421)</f>
        <v>1857876</v>
      </c>
      <c r="H422" s="295"/>
      <c r="I422" s="296"/>
    </row>
    <row r="423" spans="1:10" ht="21" customHeight="1" x14ac:dyDescent="0.25">
      <c r="A423" s="261" t="s">
        <v>418</v>
      </c>
      <c r="B423" s="297" t="s">
        <v>11</v>
      </c>
      <c r="C423" s="549">
        <v>66000</v>
      </c>
      <c r="D423" s="549">
        <v>60000</v>
      </c>
      <c r="E423" s="549">
        <v>24000</v>
      </c>
      <c r="F423" s="314">
        <f t="shared" si="35"/>
        <v>0.4</v>
      </c>
      <c r="G423" s="244">
        <f t="shared" ref="G423:G428" si="37">E423*30%</f>
        <v>7200</v>
      </c>
      <c r="I423" s="275"/>
    </row>
    <row r="424" spans="1:10" ht="21" customHeight="1" x14ac:dyDescent="0.25">
      <c r="A424" s="273"/>
      <c r="B424" s="290" t="s">
        <v>342</v>
      </c>
      <c r="C424" s="540">
        <v>60500</v>
      </c>
      <c r="D424" s="540">
        <v>55000</v>
      </c>
      <c r="E424" s="540">
        <v>15500</v>
      </c>
      <c r="F424" s="314">
        <f t="shared" si="35"/>
        <v>0.2818181818181818</v>
      </c>
      <c r="G424" s="244">
        <f t="shared" si="37"/>
        <v>4650</v>
      </c>
      <c r="I424" s="275"/>
    </row>
    <row r="425" spans="1:10" ht="21" customHeight="1" x14ac:dyDescent="0.25">
      <c r="A425" s="273"/>
      <c r="B425" s="290" t="s">
        <v>9</v>
      </c>
      <c r="C425" s="540">
        <v>2827000</v>
      </c>
      <c r="D425" s="540">
        <v>2570000</v>
      </c>
      <c r="E425" s="540">
        <v>770000</v>
      </c>
      <c r="F425" s="314">
        <f t="shared" si="35"/>
        <v>0.29961089494163423</v>
      </c>
      <c r="G425" s="244">
        <f t="shared" si="37"/>
        <v>231000</v>
      </c>
      <c r="I425" s="275"/>
    </row>
    <row r="426" spans="1:10" ht="21" customHeight="1" x14ac:dyDescent="0.25">
      <c r="A426" s="273"/>
      <c r="B426" s="290" t="s">
        <v>9</v>
      </c>
      <c r="C426" s="540">
        <v>1906850</v>
      </c>
      <c r="D426" s="540">
        <v>1733500</v>
      </c>
      <c r="E426" s="540">
        <v>501500</v>
      </c>
      <c r="F426" s="314">
        <f t="shared" si="35"/>
        <v>0.28929910585520624</v>
      </c>
      <c r="G426" s="244">
        <f t="shared" si="37"/>
        <v>150450</v>
      </c>
      <c r="I426" s="275"/>
    </row>
    <row r="427" spans="1:10" ht="21" customHeight="1" x14ac:dyDescent="0.25">
      <c r="A427" s="273"/>
      <c r="B427" s="290" t="s">
        <v>52</v>
      </c>
      <c r="C427" s="540">
        <v>3465000</v>
      </c>
      <c r="D427" s="540">
        <v>3150000</v>
      </c>
      <c r="E427" s="540">
        <v>1275000</v>
      </c>
      <c r="F427" s="314">
        <f t="shared" si="35"/>
        <v>0.40476190476190477</v>
      </c>
      <c r="G427" s="244">
        <f t="shared" si="37"/>
        <v>382500</v>
      </c>
      <c r="I427" s="275"/>
    </row>
    <row r="428" spans="1:10" ht="21" customHeight="1" x14ac:dyDescent="0.25">
      <c r="A428" s="273"/>
      <c r="B428" s="290" t="s">
        <v>343</v>
      </c>
      <c r="C428" s="540">
        <v>412500</v>
      </c>
      <c r="D428" s="540">
        <v>375000</v>
      </c>
      <c r="E428" s="540">
        <v>60000</v>
      </c>
      <c r="F428" s="314">
        <f t="shared" si="35"/>
        <v>0.16</v>
      </c>
      <c r="G428" s="244">
        <f t="shared" si="37"/>
        <v>18000</v>
      </c>
      <c r="I428" s="275"/>
    </row>
    <row r="429" spans="1:10" ht="21" customHeight="1" x14ac:dyDescent="0.25">
      <c r="A429" s="273"/>
      <c r="B429" s="290" t="s">
        <v>26</v>
      </c>
      <c r="C429" s="540">
        <v>11880000</v>
      </c>
      <c r="D429" s="540">
        <v>10800000</v>
      </c>
      <c r="E429" s="540">
        <v>3230000</v>
      </c>
      <c r="F429" s="314">
        <f t="shared" si="35"/>
        <v>0.29907407407407405</v>
      </c>
      <c r="G429" s="244">
        <f>E429*15%</f>
        <v>484500</v>
      </c>
      <c r="I429" s="275"/>
      <c r="J429" s="251" t="s">
        <v>399</v>
      </c>
    </row>
    <row r="430" spans="1:10" ht="21" customHeight="1" x14ac:dyDescent="0.25">
      <c r="A430" s="273"/>
      <c r="B430" s="290" t="s">
        <v>14</v>
      </c>
      <c r="C430" s="540">
        <v>297000</v>
      </c>
      <c r="D430" s="540">
        <v>270000</v>
      </c>
      <c r="E430" s="540">
        <v>54000</v>
      </c>
      <c r="F430" s="314">
        <f t="shared" si="35"/>
        <v>0.2</v>
      </c>
      <c r="G430" s="244">
        <f>E430*30%</f>
        <v>16200</v>
      </c>
      <c r="I430" s="275"/>
    </row>
    <row r="431" spans="1:10" ht="21" customHeight="1" x14ac:dyDescent="0.25">
      <c r="A431" s="273"/>
      <c r="B431" s="290" t="s">
        <v>17</v>
      </c>
      <c r="C431" s="540">
        <v>31438000</v>
      </c>
      <c r="D431" s="540">
        <v>28580000</v>
      </c>
      <c r="E431" s="540">
        <v>4810000</v>
      </c>
      <c r="F431" s="314">
        <f t="shared" si="35"/>
        <v>0.16829951014695591</v>
      </c>
      <c r="G431" s="244">
        <f>E431*30%</f>
        <v>1443000</v>
      </c>
      <c r="H431" s="251" t="s">
        <v>416</v>
      </c>
      <c r="I431" s="275"/>
    </row>
    <row r="432" spans="1:10" ht="21" customHeight="1" x14ac:dyDescent="0.25">
      <c r="A432" s="273"/>
      <c r="B432" s="290" t="s">
        <v>17</v>
      </c>
      <c r="C432" s="540">
        <v>21456600</v>
      </c>
      <c r="D432" s="540">
        <v>19506000</v>
      </c>
      <c r="E432" s="540">
        <v>4260000</v>
      </c>
      <c r="F432" s="314">
        <f t="shared" si="35"/>
        <v>0.21839434020301446</v>
      </c>
      <c r="G432" s="244"/>
      <c r="H432" s="227" t="s">
        <v>415</v>
      </c>
      <c r="I432" s="275"/>
    </row>
    <row r="433" spans="1:9" ht="21" customHeight="1" x14ac:dyDescent="0.25">
      <c r="A433" s="273"/>
      <c r="B433" s="290" t="s">
        <v>344</v>
      </c>
      <c r="C433" s="540">
        <v>2366100</v>
      </c>
      <c r="D433" s="540">
        <v>2151000</v>
      </c>
      <c r="E433" s="540">
        <v>357000</v>
      </c>
      <c r="F433" s="314">
        <f t="shared" si="35"/>
        <v>0.16596931659693165</v>
      </c>
      <c r="G433" s="244">
        <f>E433*30%</f>
        <v>107100</v>
      </c>
      <c r="H433" s="228"/>
      <c r="I433" s="275"/>
    </row>
    <row r="434" spans="1:9" ht="21" customHeight="1" x14ac:dyDescent="0.25">
      <c r="A434" s="273"/>
      <c r="B434" s="290" t="s">
        <v>2</v>
      </c>
      <c r="C434" s="540">
        <v>979000</v>
      </c>
      <c r="D434" s="540">
        <v>890000</v>
      </c>
      <c r="E434" s="540">
        <v>440000</v>
      </c>
      <c r="F434" s="314">
        <f t="shared" si="35"/>
        <v>0.4943820224719101</v>
      </c>
      <c r="G434" s="244"/>
      <c r="I434" s="275"/>
    </row>
    <row r="435" spans="1:9" ht="21" customHeight="1" x14ac:dyDescent="0.25">
      <c r="A435" s="273"/>
      <c r="B435" s="255" t="s">
        <v>5</v>
      </c>
      <c r="C435" s="538">
        <v>6693500</v>
      </c>
      <c r="D435" s="538">
        <v>6085000</v>
      </c>
      <c r="E435" s="538">
        <v>1562700</v>
      </c>
      <c r="F435" s="562">
        <f t="shared" si="35"/>
        <v>0.25681183237469185</v>
      </c>
      <c r="G435" s="244">
        <f>E435*30%</f>
        <v>468810</v>
      </c>
      <c r="I435" s="275"/>
    </row>
    <row r="436" spans="1:9" ht="21" customHeight="1" x14ac:dyDescent="0.25">
      <c r="A436" s="273"/>
      <c r="B436" s="255" t="s">
        <v>19</v>
      </c>
      <c r="C436" s="538">
        <v>825000</v>
      </c>
      <c r="D436" s="538">
        <v>750000</v>
      </c>
      <c r="E436" s="538">
        <v>200000</v>
      </c>
      <c r="F436" s="402">
        <f t="shared" si="35"/>
        <v>0.26666666666666666</v>
      </c>
      <c r="G436" s="244">
        <f>E436*30%</f>
        <v>60000</v>
      </c>
      <c r="I436" s="275"/>
    </row>
    <row r="437" spans="1:9" ht="21" customHeight="1" x14ac:dyDescent="0.25">
      <c r="A437" s="300"/>
      <c r="B437" s="290" t="s">
        <v>2</v>
      </c>
      <c r="C437" s="540">
        <v>3550800</v>
      </c>
      <c r="D437" s="540">
        <v>3228000</v>
      </c>
      <c r="E437" s="540">
        <v>752640</v>
      </c>
      <c r="F437" s="571">
        <f t="shared" si="35"/>
        <v>0.23315985130111525</v>
      </c>
      <c r="G437" s="244">
        <f>E437*30%</f>
        <v>225792</v>
      </c>
      <c r="H437" s="251"/>
      <c r="I437" s="302"/>
    </row>
    <row r="438" spans="1:9" ht="21" customHeight="1" x14ac:dyDescent="0.25">
      <c r="A438" s="273"/>
      <c r="B438" s="255" t="s">
        <v>16</v>
      </c>
      <c r="C438" s="539">
        <v>2788500</v>
      </c>
      <c r="D438" s="539">
        <v>2535000</v>
      </c>
      <c r="E438" s="539">
        <v>645000</v>
      </c>
      <c r="F438" s="565">
        <f t="shared" si="35"/>
        <v>0.25443786982248523</v>
      </c>
      <c r="G438" s="244">
        <f>E438*30%</f>
        <v>193500</v>
      </c>
      <c r="I438" s="275"/>
    </row>
    <row r="439" spans="1:9" ht="21" customHeight="1" x14ac:dyDescent="0.25">
      <c r="A439" s="300"/>
      <c r="B439" s="290" t="s">
        <v>48</v>
      </c>
      <c r="C439" s="548">
        <v>1386000</v>
      </c>
      <c r="D439" s="548">
        <v>1260000</v>
      </c>
      <c r="E439" s="548">
        <v>180000</v>
      </c>
      <c r="F439" s="570">
        <f t="shared" si="35"/>
        <v>0.14285714285714285</v>
      </c>
      <c r="G439" s="244">
        <f>E439*30%</f>
        <v>54000</v>
      </c>
      <c r="H439" s="251"/>
      <c r="I439" s="302"/>
    </row>
    <row r="440" spans="1:9" ht="21" customHeight="1" x14ac:dyDescent="0.25">
      <c r="A440" s="300"/>
      <c r="B440" s="290" t="s">
        <v>49</v>
      </c>
      <c r="C440" s="540">
        <v>10179400</v>
      </c>
      <c r="D440" s="540">
        <v>9254000</v>
      </c>
      <c r="E440" s="540">
        <v>1421000</v>
      </c>
      <c r="F440" s="314">
        <f t="shared" si="35"/>
        <v>0.15355521936459909</v>
      </c>
      <c r="G440" s="244"/>
      <c r="H440" s="251"/>
      <c r="I440" s="302"/>
    </row>
    <row r="441" spans="1:9" ht="21" customHeight="1" x14ac:dyDescent="0.25">
      <c r="A441" s="300"/>
      <c r="B441" s="290" t="s">
        <v>8</v>
      </c>
      <c r="C441" s="540">
        <v>1430000</v>
      </c>
      <c r="D441" s="540">
        <v>1300000</v>
      </c>
      <c r="E441" s="540">
        <v>450000</v>
      </c>
      <c r="F441" s="571">
        <f t="shared" si="35"/>
        <v>0.34615384615384615</v>
      </c>
      <c r="G441" s="244">
        <f>E441*30%</f>
        <v>135000</v>
      </c>
      <c r="H441" s="251"/>
      <c r="I441" s="302"/>
    </row>
    <row r="442" spans="1:9" ht="21" customHeight="1" x14ac:dyDescent="0.25">
      <c r="A442" s="293"/>
      <c r="B442" s="277"/>
      <c r="C442" s="543">
        <f>SUM(C423:C441)</f>
        <v>104007750</v>
      </c>
      <c r="D442" s="543">
        <f>SUM(D423:D441)</f>
        <v>94552500</v>
      </c>
      <c r="E442" s="543">
        <f>SUM(E423:E441)</f>
        <v>21008340</v>
      </c>
      <c r="F442" s="315">
        <f t="shared" si="35"/>
        <v>0.22218703894661695</v>
      </c>
      <c r="G442" s="884">
        <f>SUM(G423:G441)</f>
        <v>3981702</v>
      </c>
      <c r="H442" s="295"/>
      <c r="I442" s="296"/>
    </row>
    <row r="443" spans="1:9" ht="21" customHeight="1" x14ac:dyDescent="0.25">
      <c r="A443" s="261" t="s">
        <v>419</v>
      </c>
      <c r="B443" s="297" t="s">
        <v>9</v>
      </c>
      <c r="C443" s="549">
        <v>3385250</v>
      </c>
      <c r="D443" s="549">
        <v>3077500</v>
      </c>
      <c r="E443" s="549">
        <v>840500</v>
      </c>
      <c r="F443" s="314">
        <f t="shared" si="35"/>
        <v>0.27311129163281883</v>
      </c>
      <c r="G443" s="244">
        <f>E443*30%</f>
        <v>252150</v>
      </c>
      <c r="I443" s="275"/>
    </row>
    <row r="444" spans="1:9" ht="21" customHeight="1" x14ac:dyDescent="0.25">
      <c r="A444" s="273"/>
      <c r="B444" s="290" t="s">
        <v>17</v>
      </c>
      <c r="C444" s="540">
        <v>341000</v>
      </c>
      <c r="D444" s="540">
        <v>310000</v>
      </c>
      <c r="E444" s="540">
        <v>60000</v>
      </c>
      <c r="F444" s="314">
        <f t="shared" si="35"/>
        <v>0.19354838709677419</v>
      </c>
      <c r="G444" s="244">
        <f>E444*30%</f>
        <v>18000</v>
      </c>
      <c r="I444" s="275"/>
    </row>
    <row r="445" spans="1:9" ht="21" customHeight="1" x14ac:dyDescent="0.25">
      <c r="A445" s="273"/>
      <c r="B445" s="290" t="s">
        <v>17</v>
      </c>
      <c r="C445" s="540">
        <v>14168000</v>
      </c>
      <c r="D445" s="540">
        <v>12880000</v>
      </c>
      <c r="E445" s="540">
        <v>2780000</v>
      </c>
      <c r="F445" s="314">
        <f t="shared" si="35"/>
        <v>0.21583850931677018</v>
      </c>
      <c r="G445" s="244"/>
      <c r="I445" s="275"/>
    </row>
    <row r="446" spans="1:9" ht="21" customHeight="1" x14ac:dyDescent="0.25">
      <c r="A446" s="273"/>
      <c r="B446" s="290" t="s">
        <v>345</v>
      </c>
      <c r="C446" s="540">
        <v>490600</v>
      </c>
      <c r="D446" s="540">
        <v>446000</v>
      </c>
      <c r="E446" s="540">
        <v>106000</v>
      </c>
      <c r="F446" s="314">
        <f t="shared" si="35"/>
        <v>0.23766816143497757</v>
      </c>
      <c r="G446" s="244">
        <f t="shared" ref="G446:G453" si="38">E446*30%</f>
        <v>31800</v>
      </c>
      <c r="I446" s="275"/>
    </row>
    <row r="447" spans="1:9" ht="21" customHeight="1" x14ac:dyDescent="0.25">
      <c r="A447" s="273"/>
      <c r="B447" s="290" t="s">
        <v>9</v>
      </c>
      <c r="C447" s="540">
        <v>1856250</v>
      </c>
      <c r="D447" s="540">
        <v>1687500</v>
      </c>
      <c r="E447" s="540">
        <v>487500</v>
      </c>
      <c r="F447" s="314">
        <f t="shared" si="35"/>
        <v>0.28888888888888886</v>
      </c>
      <c r="G447" s="244">
        <f t="shared" si="38"/>
        <v>146250</v>
      </c>
      <c r="I447" s="275"/>
    </row>
    <row r="448" spans="1:9" ht="21" customHeight="1" x14ac:dyDescent="0.25">
      <c r="A448" s="273"/>
      <c r="B448" s="290" t="s">
        <v>346</v>
      </c>
      <c r="C448" s="540">
        <v>660000</v>
      </c>
      <c r="D448" s="540">
        <v>600000</v>
      </c>
      <c r="E448" s="540">
        <v>96000</v>
      </c>
      <c r="F448" s="314">
        <f t="shared" si="35"/>
        <v>0.16</v>
      </c>
      <c r="G448" s="244">
        <f t="shared" si="38"/>
        <v>28800</v>
      </c>
      <c r="I448" s="275"/>
    </row>
    <row r="449" spans="1:9" ht="21" customHeight="1" x14ac:dyDescent="0.25">
      <c r="A449" s="273"/>
      <c r="B449" s="290" t="s">
        <v>18</v>
      </c>
      <c r="C449" s="540">
        <v>1804000</v>
      </c>
      <c r="D449" s="540">
        <v>1640000</v>
      </c>
      <c r="E449" s="540">
        <v>440000</v>
      </c>
      <c r="F449" s="314">
        <f t="shared" si="35"/>
        <v>0.26829268292682928</v>
      </c>
      <c r="G449" s="244">
        <f t="shared" si="38"/>
        <v>132000</v>
      </c>
      <c r="I449" s="275"/>
    </row>
    <row r="450" spans="1:9" ht="21" customHeight="1" x14ac:dyDescent="0.25">
      <c r="A450" s="273"/>
      <c r="B450" s="290" t="s">
        <v>5</v>
      </c>
      <c r="C450" s="540">
        <v>4658500</v>
      </c>
      <c r="D450" s="540">
        <v>4235000</v>
      </c>
      <c r="E450" s="540">
        <v>952500</v>
      </c>
      <c r="F450" s="314">
        <f t="shared" si="35"/>
        <v>0.22491145218417946</v>
      </c>
      <c r="G450" s="244">
        <f t="shared" si="38"/>
        <v>285750</v>
      </c>
      <c r="I450" s="275"/>
    </row>
    <row r="451" spans="1:9" ht="21" customHeight="1" x14ac:dyDescent="0.25">
      <c r="A451" s="273"/>
      <c r="B451" s="290" t="s">
        <v>2</v>
      </c>
      <c r="C451" s="540">
        <v>7953000</v>
      </c>
      <c r="D451" s="540">
        <v>7230000</v>
      </c>
      <c r="E451" s="540">
        <v>1616280</v>
      </c>
      <c r="F451" s="314">
        <f t="shared" ref="F451:F512" si="39">E451/D451</f>
        <v>0.22355186721991702</v>
      </c>
      <c r="G451" s="244">
        <f t="shared" si="38"/>
        <v>484884</v>
      </c>
      <c r="H451" s="251"/>
      <c r="I451" s="275"/>
    </row>
    <row r="452" spans="1:9" ht="21" customHeight="1" x14ac:dyDescent="0.25">
      <c r="A452" s="273"/>
      <c r="B452" s="290" t="s">
        <v>16</v>
      </c>
      <c r="C452" s="540">
        <v>3162500</v>
      </c>
      <c r="D452" s="540">
        <v>2875000</v>
      </c>
      <c r="E452" s="540">
        <v>440000</v>
      </c>
      <c r="F452" s="314">
        <f t="shared" si="39"/>
        <v>0.15304347826086956</v>
      </c>
      <c r="G452" s="244">
        <f t="shared" si="38"/>
        <v>132000</v>
      </c>
      <c r="I452" s="275"/>
    </row>
    <row r="453" spans="1:9" ht="21" customHeight="1" x14ac:dyDescent="0.25">
      <c r="A453" s="273"/>
      <c r="B453" s="290" t="s">
        <v>26</v>
      </c>
      <c r="C453" s="540">
        <v>1375000</v>
      </c>
      <c r="D453" s="540">
        <v>1250000</v>
      </c>
      <c r="E453" s="540">
        <v>200000</v>
      </c>
      <c r="F453" s="314">
        <f t="shared" si="39"/>
        <v>0.16</v>
      </c>
      <c r="G453" s="244">
        <f t="shared" si="38"/>
        <v>60000</v>
      </c>
      <c r="H453" s="228"/>
      <c r="I453" s="275"/>
    </row>
    <row r="454" spans="1:9" ht="21" customHeight="1" x14ac:dyDescent="0.25">
      <c r="A454" s="273"/>
      <c r="B454" s="290" t="s">
        <v>49</v>
      </c>
      <c r="C454" s="540">
        <v>10984600</v>
      </c>
      <c r="D454" s="540">
        <v>9986000</v>
      </c>
      <c r="E454" s="540">
        <v>1579000</v>
      </c>
      <c r="F454" s="314">
        <f t="shared" si="39"/>
        <v>0.15812136991788503</v>
      </c>
      <c r="G454" s="244"/>
      <c r="I454" s="275"/>
    </row>
    <row r="455" spans="1:9" ht="21" customHeight="1" x14ac:dyDescent="0.25">
      <c r="A455" s="273"/>
      <c r="B455" s="255" t="s">
        <v>420</v>
      </c>
      <c r="C455" s="538">
        <v>3768600</v>
      </c>
      <c r="D455" s="538">
        <v>3426000</v>
      </c>
      <c r="E455" s="538">
        <v>900000</v>
      </c>
      <c r="F455" s="562">
        <f t="shared" si="39"/>
        <v>0.26269702276707529</v>
      </c>
      <c r="G455" s="244">
        <f>E455*30%</f>
        <v>270000</v>
      </c>
      <c r="I455" s="275"/>
    </row>
    <row r="456" spans="1:9" ht="21" customHeight="1" x14ac:dyDescent="0.25">
      <c r="A456" s="293"/>
      <c r="B456" s="277"/>
      <c r="C456" s="543">
        <f>SUM(C443:C455)</f>
        <v>54607300</v>
      </c>
      <c r="D456" s="543">
        <f>SUM(D443:D455)</f>
        <v>49643000</v>
      </c>
      <c r="E456" s="543">
        <f>SUM(E443:E455)</f>
        <v>10497780</v>
      </c>
      <c r="F456" s="315">
        <f t="shared" si="39"/>
        <v>0.2114654634087384</v>
      </c>
      <c r="G456" s="884">
        <f>SUM(G443:G455)</f>
        <v>1841634</v>
      </c>
      <c r="H456" s="295"/>
      <c r="I456" s="296"/>
    </row>
    <row r="457" spans="1:9" ht="21" customHeight="1" x14ac:dyDescent="0.25">
      <c r="A457" s="261" t="s">
        <v>421</v>
      </c>
      <c r="B457" s="253" t="s">
        <v>9</v>
      </c>
      <c r="C457" s="537">
        <v>4017750</v>
      </c>
      <c r="D457" s="537">
        <v>3652500</v>
      </c>
      <c r="E457" s="537">
        <v>972000</v>
      </c>
      <c r="F457" s="314">
        <f t="shared" si="39"/>
        <v>0.26611909650924026</v>
      </c>
      <c r="G457" s="244">
        <f>E457*30%</f>
        <v>291600</v>
      </c>
      <c r="I457" s="275"/>
    </row>
    <row r="458" spans="1:9" ht="21" customHeight="1" x14ac:dyDescent="0.25">
      <c r="A458" s="273"/>
      <c r="B458" s="281" t="s">
        <v>17</v>
      </c>
      <c r="C458" s="552">
        <v>8756000</v>
      </c>
      <c r="D458" s="552">
        <v>7960000</v>
      </c>
      <c r="E458" s="552">
        <v>1760000</v>
      </c>
      <c r="F458" s="314">
        <f t="shared" si="39"/>
        <v>0.22110552763819097</v>
      </c>
      <c r="G458" s="244"/>
      <c r="I458" s="275"/>
    </row>
    <row r="459" spans="1:9" ht="21" customHeight="1" x14ac:dyDescent="0.25">
      <c r="A459" s="273"/>
      <c r="B459" s="255" t="s">
        <v>5</v>
      </c>
      <c r="C459" s="538">
        <v>5654000</v>
      </c>
      <c r="D459" s="538">
        <v>5140000</v>
      </c>
      <c r="E459" s="538">
        <v>1167200</v>
      </c>
      <c r="F459" s="314">
        <f t="shared" si="39"/>
        <v>0.2270817120622568</v>
      </c>
      <c r="G459" s="244">
        <f t="shared" ref="G459:G464" si="40">E459*30%</f>
        <v>350160</v>
      </c>
      <c r="I459" s="275"/>
    </row>
    <row r="460" spans="1:9" ht="21" customHeight="1" x14ac:dyDescent="0.25">
      <c r="A460" s="273"/>
      <c r="B460" s="255" t="s">
        <v>19</v>
      </c>
      <c r="C460" s="538">
        <v>1732500</v>
      </c>
      <c r="D460" s="538">
        <v>1575000</v>
      </c>
      <c r="E460" s="538">
        <v>385000</v>
      </c>
      <c r="F460" s="314">
        <f t="shared" si="39"/>
        <v>0.24444444444444444</v>
      </c>
      <c r="G460" s="244">
        <f t="shared" si="40"/>
        <v>115500</v>
      </c>
      <c r="I460" s="275"/>
    </row>
    <row r="461" spans="1:9" ht="21" customHeight="1" x14ac:dyDescent="0.25">
      <c r="A461" s="273"/>
      <c r="B461" s="255" t="s">
        <v>2</v>
      </c>
      <c r="C461" s="538">
        <v>7321600</v>
      </c>
      <c r="D461" s="538">
        <v>6656000</v>
      </c>
      <c r="E461" s="538">
        <v>1617280</v>
      </c>
      <c r="F461" s="314">
        <f t="shared" si="39"/>
        <v>0.24298076923076922</v>
      </c>
      <c r="G461" s="244">
        <f t="shared" si="40"/>
        <v>485184</v>
      </c>
      <c r="I461" s="275"/>
    </row>
    <row r="462" spans="1:9" ht="21" customHeight="1" x14ac:dyDescent="0.25">
      <c r="A462" s="273"/>
      <c r="B462" s="290" t="s">
        <v>17</v>
      </c>
      <c r="C462" s="540">
        <v>7810000</v>
      </c>
      <c r="D462" s="540">
        <v>7100000</v>
      </c>
      <c r="E462" s="540">
        <v>920000</v>
      </c>
      <c r="F462" s="314">
        <f t="shared" si="39"/>
        <v>0.12957746478873239</v>
      </c>
      <c r="G462" s="244">
        <f t="shared" si="40"/>
        <v>276000</v>
      </c>
      <c r="I462" s="275"/>
    </row>
    <row r="463" spans="1:9" ht="21" customHeight="1" x14ac:dyDescent="0.25">
      <c r="A463" s="273"/>
      <c r="B463" s="255" t="s">
        <v>16</v>
      </c>
      <c r="C463" s="538">
        <v>5606700</v>
      </c>
      <c r="D463" s="538">
        <v>5097000</v>
      </c>
      <c r="E463" s="538">
        <v>952000</v>
      </c>
      <c r="F463" s="314">
        <f t="shared" si="39"/>
        <v>0.18677653521679419</v>
      </c>
      <c r="G463" s="244">
        <f t="shared" si="40"/>
        <v>285600</v>
      </c>
      <c r="I463" s="275"/>
    </row>
    <row r="464" spans="1:9" ht="21" customHeight="1" x14ac:dyDescent="0.25">
      <c r="A464" s="273"/>
      <c r="B464" s="255" t="s">
        <v>45</v>
      </c>
      <c r="C464" s="538">
        <v>3847800</v>
      </c>
      <c r="D464" s="538">
        <v>3498000</v>
      </c>
      <c r="E464" s="538">
        <v>1098000</v>
      </c>
      <c r="F464" s="314">
        <f t="shared" si="39"/>
        <v>0.313893653516295</v>
      </c>
      <c r="G464" s="244">
        <f t="shared" si="40"/>
        <v>329400</v>
      </c>
      <c r="I464" s="275"/>
    </row>
    <row r="465" spans="1:9" ht="21" customHeight="1" x14ac:dyDescent="0.25">
      <c r="A465" s="273"/>
      <c r="B465" s="281" t="s">
        <v>49</v>
      </c>
      <c r="C465" s="552">
        <v>10877900</v>
      </c>
      <c r="D465" s="552">
        <v>9889000</v>
      </c>
      <c r="E465" s="552">
        <v>1521000</v>
      </c>
      <c r="F465" s="314">
        <f t="shared" si="39"/>
        <v>0.1538072605925776</v>
      </c>
      <c r="G465" s="244"/>
      <c r="I465" s="275"/>
    </row>
    <row r="466" spans="1:9" ht="21" customHeight="1" x14ac:dyDescent="0.25">
      <c r="A466" s="273"/>
      <c r="B466" s="255" t="s">
        <v>422</v>
      </c>
      <c r="C466" s="538">
        <v>3767500</v>
      </c>
      <c r="D466" s="538">
        <v>3425000</v>
      </c>
      <c r="E466" s="538">
        <v>1377500</v>
      </c>
      <c r="F466" s="314">
        <f t="shared" si="39"/>
        <v>0.40218978102189779</v>
      </c>
      <c r="G466" s="244">
        <f>E466*30%</f>
        <v>413250</v>
      </c>
      <c r="I466" s="275"/>
    </row>
    <row r="467" spans="1:9" ht="21" customHeight="1" x14ac:dyDescent="0.25">
      <c r="A467" s="273"/>
      <c r="B467" s="255" t="s">
        <v>422</v>
      </c>
      <c r="C467" s="538">
        <v>1196800</v>
      </c>
      <c r="D467" s="538">
        <v>1088000</v>
      </c>
      <c r="E467" s="538">
        <v>256000</v>
      </c>
      <c r="F467" s="314">
        <f t="shared" si="39"/>
        <v>0.23529411764705882</v>
      </c>
      <c r="G467" s="244">
        <f>E467*30%</f>
        <v>76800</v>
      </c>
      <c r="H467" s="228"/>
      <c r="I467" s="275"/>
    </row>
    <row r="468" spans="1:9" ht="21" customHeight="1" x14ac:dyDescent="0.25">
      <c r="A468" s="273"/>
      <c r="B468" s="255" t="s">
        <v>422</v>
      </c>
      <c r="C468" s="538">
        <v>594000</v>
      </c>
      <c r="D468" s="538">
        <v>540000</v>
      </c>
      <c r="E468" s="538">
        <v>108000</v>
      </c>
      <c r="F468" s="314">
        <f t="shared" si="39"/>
        <v>0.2</v>
      </c>
      <c r="G468" s="244">
        <f>E468*30%</f>
        <v>32400</v>
      </c>
      <c r="I468" s="275"/>
    </row>
    <row r="469" spans="1:9" ht="21" customHeight="1" x14ac:dyDescent="0.25">
      <c r="A469" s="273"/>
      <c r="B469" s="255" t="s">
        <v>347</v>
      </c>
      <c r="C469" s="538">
        <v>2640000</v>
      </c>
      <c r="D469" s="538">
        <v>2400000</v>
      </c>
      <c r="E469" s="538">
        <v>480000</v>
      </c>
      <c r="F469" s="562">
        <f t="shared" si="39"/>
        <v>0.2</v>
      </c>
      <c r="G469" s="244">
        <f>E469*30%</f>
        <v>144000</v>
      </c>
      <c r="I469" s="275"/>
    </row>
    <row r="470" spans="1:9" ht="33" x14ac:dyDescent="0.25">
      <c r="A470" s="273"/>
      <c r="B470" s="304" t="s">
        <v>423</v>
      </c>
      <c r="C470" s="552">
        <v>1185800</v>
      </c>
      <c r="D470" s="552">
        <v>1078000</v>
      </c>
      <c r="E470" s="552">
        <v>338000</v>
      </c>
      <c r="F470" s="402">
        <f t="shared" si="39"/>
        <v>0.313543599257885</v>
      </c>
      <c r="G470" s="244"/>
      <c r="I470" s="275"/>
    </row>
    <row r="471" spans="1:9" ht="21" customHeight="1" x14ac:dyDescent="0.25">
      <c r="A471" s="300"/>
      <c r="B471" s="255" t="s">
        <v>18</v>
      </c>
      <c r="C471" s="538">
        <v>2156000</v>
      </c>
      <c r="D471" s="538">
        <v>1960000</v>
      </c>
      <c r="E471" s="538">
        <v>350000</v>
      </c>
      <c r="F471" s="571">
        <f t="shared" si="39"/>
        <v>0.17857142857142858</v>
      </c>
      <c r="G471" s="244">
        <f>E471*30%</f>
        <v>105000</v>
      </c>
      <c r="H471" s="251"/>
      <c r="I471" s="302"/>
    </row>
    <row r="472" spans="1:9" ht="21" customHeight="1" x14ac:dyDescent="0.25">
      <c r="A472" s="273"/>
      <c r="B472" s="255" t="s">
        <v>7</v>
      </c>
      <c r="C472" s="538">
        <v>1430000</v>
      </c>
      <c r="D472" s="538">
        <v>1300000</v>
      </c>
      <c r="E472" s="538">
        <v>630000</v>
      </c>
      <c r="F472" s="565">
        <f t="shared" si="39"/>
        <v>0.48461538461538461</v>
      </c>
      <c r="G472" s="244">
        <f>E472*30%</f>
        <v>189000</v>
      </c>
      <c r="I472" s="275"/>
    </row>
    <row r="473" spans="1:9" ht="21" customHeight="1" x14ac:dyDescent="0.25">
      <c r="A473" s="293"/>
      <c r="B473" s="277"/>
      <c r="C473" s="543">
        <f>SUM(C457:C472)</f>
        <v>68594350</v>
      </c>
      <c r="D473" s="543">
        <f>SUM(D457:D472)</f>
        <v>62358500</v>
      </c>
      <c r="E473" s="543">
        <f>SUM(E457:E472)</f>
        <v>13931980</v>
      </c>
      <c r="F473" s="315">
        <f t="shared" si="39"/>
        <v>0.22341749721369181</v>
      </c>
      <c r="G473" s="884">
        <f>SUM(G457:G472)</f>
        <v>3093894</v>
      </c>
      <c r="H473" s="295"/>
      <c r="I473" s="296"/>
    </row>
    <row r="474" spans="1:9" ht="21" customHeight="1" x14ac:dyDescent="0.25">
      <c r="A474" s="261" t="s">
        <v>424</v>
      </c>
      <c r="B474" s="253" t="s">
        <v>8</v>
      </c>
      <c r="C474" s="537">
        <v>1430000</v>
      </c>
      <c r="D474" s="537">
        <v>1300000</v>
      </c>
      <c r="E474" s="537">
        <v>450000</v>
      </c>
      <c r="F474" s="314">
        <f t="shared" si="39"/>
        <v>0.34615384615384615</v>
      </c>
      <c r="G474" s="244">
        <f>E474*30%</f>
        <v>135000</v>
      </c>
      <c r="I474" s="275"/>
    </row>
    <row r="475" spans="1:9" ht="21" customHeight="1" x14ac:dyDescent="0.25">
      <c r="A475" s="273"/>
      <c r="B475" s="290" t="s">
        <v>14</v>
      </c>
      <c r="C475" s="540">
        <v>176000</v>
      </c>
      <c r="D475" s="540">
        <v>160000</v>
      </c>
      <c r="E475" s="540">
        <v>80000</v>
      </c>
      <c r="F475" s="314">
        <f t="shared" si="39"/>
        <v>0.5</v>
      </c>
      <c r="G475" s="244">
        <f>E475*30%</f>
        <v>24000</v>
      </c>
      <c r="I475" s="275"/>
    </row>
    <row r="476" spans="1:9" ht="21" customHeight="1" x14ac:dyDescent="0.25">
      <c r="A476" s="273"/>
      <c r="B476" s="255" t="s">
        <v>15</v>
      </c>
      <c r="C476" s="538">
        <v>1980000</v>
      </c>
      <c r="D476" s="538">
        <v>1800000</v>
      </c>
      <c r="E476" s="538">
        <v>540000</v>
      </c>
      <c r="F476" s="314">
        <f t="shared" si="39"/>
        <v>0.3</v>
      </c>
      <c r="G476" s="244">
        <f>E476*30%</f>
        <v>162000</v>
      </c>
      <c r="I476" s="275"/>
    </row>
    <row r="477" spans="1:9" ht="21" customHeight="1" x14ac:dyDescent="0.25">
      <c r="A477" s="273"/>
      <c r="B477" s="255" t="s">
        <v>2</v>
      </c>
      <c r="C477" s="538">
        <v>726000</v>
      </c>
      <c r="D477" s="538">
        <v>660000</v>
      </c>
      <c r="E477" s="538">
        <v>240000</v>
      </c>
      <c r="F477" s="314">
        <f t="shared" si="39"/>
        <v>0.36363636363636365</v>
      </c>
      <c r="G477" s="244">
        <f>E477*30%</f>
        <v>72000</v>
      </c>
      <c r="I477" s="275"/>
    </row>
    <row r="478" spans="1:9" ht="21" customHeight="1" x14ac:dyDescent="0.25">
      <c r="A478" s="273"/>
      <c r="B478" s="281" t="s">
        <v>17</v>
      </c>
      <c r="C478" s="552">
        <v>4697000</v>
      </c>
      <c r="D478" s="552">
        <v>4270000</v>
      </c>
      <c r="E478" s="552">
        <v>995000</v>
      </c>
      <c r="F478" s="314">
        <f t="shared" si="39"/>
        <v>0.23302107728337237</v>
      </c>
      <c r="G478" s="244"/>
      <c r="I478" s="275"/>
    </row>
    <row r="479" spans="1:9" ht="21" customHeight="1" x14ac:dyDescent="0.25">
      <c r="A479" s="273"/>
      <c r="B479" s="255" t="s">
        <v>348</v>
      </c>
      <c r="C479" s="538">
        <v>880000</v>
      </c>
      <c r="D479" s="538">
        <v>800000</v>
      </c>
      <c r="E479" s="538">
        <v>400000</v>
      </c>
      <c r="F479" s="314">
        <f t="shared" si="39"/>
        <v>0.5</v>
      </c>
      <c r="G479" s="244">
        <f t="shared" ref="G479:G488" si="41">E479*30%</f>
        <v>120000</v>
      </c>
      <c r="I479" s="275"/>
    </row>
    <row r="480" spans="1:9" ht="21" customHeight="1" x14ac:dyDescent="0.25">
      <c r="A480" s="273"/>
      <c r="B480" s="255" t="s">
        <v>9</v>
      </c>
      <c r="C480" s="538">
        <v>1856250</v>
      </c>
      <c r="D480" s="538">
        <v>1687500</v>
      </c>
      <c r="E480" s="538">
        <v>487500</v>
      </c>
      <c r="F480" s="314">
        <f t="shared" si="39"/>
        <v>0.28888888888888886</v>
      </c>
      <c r="G480" s="244">
        <f t="shared" si="41"/>
        <v>146250</v>
      </c>
      <c r="I480" s="275"/>
    </row>
    <row r="481" spans="1:9" ht="21" customHeight="1" x14ac:dyDescent="0.25">
      <c r="A481" s="273"/>
      <c r="B481" s="255" t="s">
        <v>5</v>
      </c>
      <c r="C481" s="538">
        <v>2101000</v>
      </c>
      <c r="D481" s="538">
        <v>1910000</v>
      </c>
      <c r="E481" s="538">
        <v>421000</v>
      </c>
      <c r="F481" s="314">
        <f t="shared" si="39"/>
        <v>0.22041884816753926</v>
      </c>
      <c r="G481" s="244">
        <f t="shared" si="41"/>
        <v>126300</v>
      </c>
      <c r="I481" s="275"/>
    </row>
    <row r="482" spans="1:9" ht="21" customHeight="1" x14ac:dyDescent="0.25">
      <c r="A482" s="273"/>
      <c r="B482" s="255" t="s">
        <v>9</v>
      </c>
      <c r="C482" s="538">
        <v>4092000</v>
      </c>
      <c r="D482" s="538">
        <v>3720000</v>
      </c>
      <c r="E482" s="538">
        <v>1033000</v>
      </c>
      <c r="F482" s="314">
        <f t="shared" si="39"/>
        <v>0.27768817204301077</v>
      </c>
      <c r="G482" s="244">
        <f t="shared" si="41"/>
        <v>309900</v>
      </c>
      <c r="I482" s="275"/>
    </row>
    <row r="483" spans="1:9" ht="21" customHeight="1" x14ac:dyDescent="0.25">
      <c r="A483" s="273"/>
      <c r="B483" s="255" t="s">
        <v>19</v>
      </c>
      <c r="C483" s="538">
        <v>825000</v>
      </c>
      <c r="D483" s="538">
        <v>750000</v>
      </c>
      <c r="E483" s="538">
        <v>200000</v>
      </c>
      <c r="F483" s="314">
        <f t="shared" si="39"/>
        <v>0.26666666666666666</v>
      </c>
      <c r="G483" s="244">
        <f t="shared" si="41"/>
        <v>60000</v>
      </c>
      <c r="I483" s="275"/>
    </row>
    <row r="484" spans="1:9" ht="21" customHeight="1" x14ac:dyDescent="0.25">
      <c r="A484" s="273"/>
      <c r="B484" s="255" t="s">
        <v>2</v>
      </c>
      <c r="C484" s="538">
        <v>7126900</v>
      </c>
      <c r="D484" s="538">
        <v>6479000</v>
      </c>
      <c r="E484" s="538">
        <v>1618280</v>
      </c>
      <c r="F484" s="314">
        <f t="shared" si="39"/>
        <v>0.24977311313474301</v>
      </c>
      <c r="G484" s="244">
        <f t="shared" si="41"/>
        <v>485484</v>
      </c>
      <c r="I484" s="275"/>
    </row>
    <row r="485" spans="1:9" ht="21" customHeight="1" x14ac:dyDescent="0.25">
      <c r="A485" s="273"/>
      <c r="B485" s="255" t="s">
        <v>16</v>
      </c>
      <c r="C485" s="538">
        <v>8206000</v>
      </c>
      <c r="D485" s="538">
        <v>7460000</v>
      </c>
      <c r="E485" s="538">
        <v>1540000</v>
      </c>
      <c r="F485" s="314">
        <f t="shared" si="39"/>
        <v>0.2064343163538874</v>
      </c>
      <c r="G485" s="244">
        <f t="shared" si="41"/>
        <v>462000</v>
      </c>
      <c r="I485" s="275"/>
    </row>
    <row r="486" spans="1:9" ht="21" customHeight="1" x14ac:dyDescent="0.25">
      <c r="A486" s="273"/>
      <c r="B486" s="255" t="s">
        <v>323</v>
      </c>
      <c r="C486" s="538">
        <v>396000</v>
      </c>
      <c r="D486" s="538">
        <v>360000</v>
      </c>
      <c r="E486" s="538">
        <v>142500</v>
      </c>
      <c r="F486" s="314">
        <f t="shared" si="39"/>
        <v>0.39583333333333331</v>
      </c>
      <c r="G486" s="244">
        <f t="shared" si="41"/>
        <v>42750</v>
      </c>
      <c r="I486" s="275"/>
    </row>
    <row r="487" spans="1:9" ht="21" customHeight="1" x14ac:dyDescent="0.25">
      <c r="A487" s="273"/>
      <c r="B487" s="290" t="s">
        <v>25</v>
      </c>
      <c r="C487" s="540">
        <v>209000</v>
      </c>
      <c r="D487" s="540">
        <v>190000</v>
      </c>
      <c r="E487" s="540">
        <v>100000</v>
      </c>
      <c r="F487" s="314">
        <f t="shared" si="39"/>
        <v>0.52631578947368418</v>
      </c>
      <c r="G487" s="244">
        <f t="shared" si="41"/>
        <v>30000</v>
      </c>
      <c r="I487" s="275"/>
    </row>
    <row r="488" spans="1:9" ht="21" customHeight="1" x14ac:dyDescent="0.25">
      <c r="A488" s="273"/>
      <c r="B488" s="255" t="s">
        <v>27</v>
      </c>
      <c r="C488" s="538">
        <v>242000</v>
      </c>
      <c r="D488" s="538">
        <v>220000</v>
      </c>
      <c r="E488" s="538">
        <v>120000</v>
      </c>
      <c r="F488" s="314">
        <f t="shared" si="39"/>
        <v>0.54545454545454541</v>
      </c>
      <c r="G488" s="244">
        <f t="shared" si="41"/>
        <v>36000</v>
      </c>
      <c r="I488" s="275"/>
    </row>
    <row r="489" spans="1:9" ht="21" customHeight="1" x14ac:dyDescent="0.25">
      <c r="A489" s="273"/>
      <c r="B489" s="281" t="s">
        <v>49</v>
      </c>
      <c r="C489" s="552">
        <v>13084500</v>
      </c>
      <c r="D489" s="552">
        <v>11895000</v>
      </c>
      <c r="E489" s="552">
        <v>1831000</v>
      </c>
      <c r="F489" s="314">
        <f t="shared" si="39"/>
        <v>0.15393022278268179</v>
      </c>
      <c r="G489" s="244"/>
      <c r="I489" s="275"/>
    </row>
    <row r="490" spans="1:9" ht="21" customHeight="1" x14ac:dyDescent="0.25">
      <c r="A490" s="273"/>
      <c r="B490" s="290" t="s">
        <v>422</v>
      </c>
      <c r="C490" s="540">
        <v>825000</v>
      </c>
      <c r="D490" s="540">
        <v>750000</v>
      </c>
      <c r="E490" s="540">
        <v>300000</v>
      </c>
      <c r="F490" s="314">
        <f t="shared" si="39"/>
        <v>0.4</v>
      </c>
      <c r="G490" s="244">
        <f>E490*30%</f>
        <v>90000</v>
      </c>
      <c r="I490" s="275"/>
    </row>
    <row r="491" spans="1:9" ht="21" customHeight="1" x14ac:dyDescent="0.25">
      <c r="A491" s="273"/>
      <c r="B491" s="255" t="s">
        <v>412</v>
      </c>
      <c r="C491" s="538">
        <v>605000</v>
      </c>
      <c r="D491" s="538">
        <v>550000</v>
      </c>
      <c r="E491" s="538">
        <v>95000</v>
      </c>
      <c r="F491" s="314">
        <f t="shared" si="39"/>
        <v>0.17272727272727273</v>
      </c>
      <c r="G491" s="244">
        <f>E491*30%</f>
        <v>28500</v>
      </c>
      <c r="I491" s="275"/>
    </row>
    <row r="492" spans="1:9" ht="21" customHeight="1" x14ac:dyDescent="0.25">
      <c r="A492" s="273"/>
      <c r="B492" s="255" t="s">
        <v>422</v>
      </c>
      <c r="C492" s="538">
        <v>1292500</v>
      </c>
      <c r="D492" s="538">
        <v>1175000</v>
      </c>
      <c r="E492" s="538">
        <v>612500</v>
      </c>
      <c r="F492" s="314">
        <f t="shared" si="39"/>
        <v>0.52127659574468088</v>
      </c>
      <c r="G492" s="244">
        <f>E492*30%</f>
        <v>183750</v>
      </c>
      <c r="H492" s="228"/>
      <c r="I492" s="275"/>
    </row>
    <row r="493" spans="1:9" ht="21" customHeight="1" x14ac:dyDescent="0.25">
      <c r="A493" s="273"/>
      <c r="B493" s="255" t="s">
        <v>422</v>
      </c>
      <c r="C493" s="538">
        <v>3020600</v>
      </c>
      <c r="D493" s="538">
        <v>2746000</v>
      </c>
      <c r="E493" s="538">
        <v>622000</v>
      </c>
      <c r="F493" s="314">
        <f t="shared" si="39"/>
        <v>0.22651128914785143</v>
      </c>
      <c r="G493" s="244">
        <f>E493*30%</f>
        <v>186600</v>
      </c>
      <c r="I493" s="275"/>
    </row>
    <row r="494" spans="1:9" ht="21" customHeight="1" x14ac:dyDescent="0.25">
      <c r="A494" s="273"/>
      <c r="B494" s="255" t="s">
        <v>349</v>
      </c>
      <c r="C494" s="538">
        <v>550000</v>
      </c>
      <c r="D494" s="538">
        <v>500000</v>
      </c>
      <c r="E494" s="538">
        <v>250000</v>
      </c>
      <c r="F494" s="562">
        <f t="shared" si="39"/>
        <v>0.5</v>
      </c>
      <c r="G494" s="244">
        <f>E494*30%</f>
        <v>75000</v>
      </c>
      <c r="I494" s="275"/>
    </row>
    <row r="495" spans="1:9" ht="21" customHeight="1" x14ac:dyDescent="0.25">
      <c r="A495" s="293"/>
      <c r="B495" s="277"/>
      <c r="C495" s="543">
        <f>SUM(C474:C494)</f>
        <v>54320750</v>
      </c>
      <c r="D495" s="543">
        <f>SUM(D474:D494)</f>
        <v>49382500</v>
      </c>
      <c r="E495" s="543">
        <f>SUM(E474:E494)</f>
        <v>12077780</v>
      </c>
      <c r="F495" s="315">
        <f t="shared" si="39"/>
        <v>0.24457611502050322</v>
      </c>
      <c r="G495" s="884">
        <f>SUM(G474:G494)</f>
        <v>2775534</v>
      </c>
      <c r="H495" s="295"/>
      <c r="I495" s="296"/>
    </row>
    <row r="496" spans="1:9" ht="21" customHeight="1" x14ac:dyDescent="0.25">
      <c r="A496" s="261" t="s">
        <v>425</v>
      </c>
      <c r="B496" s="253" t="s">
        <v>18</v>
      </c>
      <c r="C496" s="537">
        <v>4312000</v>
      </c>
      <c r="D496" s="537">
        <v>3920000</v>
      </c>
      <c r="E496" s="537">
        <v>700000</v>
      </c>
      <c r="F496" s="314">
        <f t="shared" si="39"/>
        <v>0.17857142857142858</v>
      </c>
      <c r="G496" s="244">
        <f>E496*30%</f>
        <v>210000</v>
      </c>
      <c r="I496" s="275"/>
    </row>
    <row r="497" spans="1:9" ht="21" customHeight="1" x14ac:dyDescent="0.25">
      <c r="A497" s="273"/>
      <c r="B497" s="290" t="s">
        <v>5</v>
      </c>
      <c r="C497" s="540">
        <v>6154500</v>
      </c>
      <c r="D497" s="540">
        <v>5595000</v>
      </c>
      <c r="E497" s="540">
        <v>1238000</v>
      </c>
      <c r="F497" s="314">
        <f t="shared" si="39"/>
        <v>0.22126899016979446</v>
      </c>
      <c r="G497" s="244">
        <f>E497*30%</f>
        <v>371400</v>
      </c>
      <c r="I497" s="275"/>
    </row>
    <row r="498" spans="1:9" ht="21" customHeight="1" x14ac:dyDescent="0.25">
      <c r="A498" s="273"/>
      <c r="B498" s="255" t="s">
        <v>19</v>
      </c>
      <c r="C498" s="538">
        <v>1732500</v>
      </c>
      <c r="D498" s="538">
        <v>1575000</v>
      </c>
      <c r="E498" s="538">
        <v>385000</v>
      </c>
      <c r="F498" s="314">
        <f t="shared" si="39"/>
        <v>0.24444444444444444</v>
      </c>
      <c r="G498" s="244">
        <f>E498*30%</f>
        <v>115500</v>
      </c>
      <c r="I498" s="275"/>
    </row>
    <row r="499" spans="1:9" ht="21" customHeight="1" x14ac:dyDescent="0.25">
      <c r="A499" s="273"/>
      <c r="B499" s="255" t="s">
        <v>2</v>
      </c>
      <c r="C499" s="538">
        <v>6684700</v>
      </c>
      <c r="D499" s="538">
        <v>6077000</v>
      </c>
      <c r="E499" s="538">
        <v>1425780</v>
      </c>
      <c r="F499" s="314">
        <f t="shared" si="39"/>
        <v>0.23461905545499423</v>
      </c>
      <c r="G499" s="244">
        <f>E499*30%</f>
        <v>427734</v>
      </c>
      <c r="I499" s="275"/>
    </row>
    <row r="500" spans="1:9" ht="21" customHeight="1" x14ac:dyDescent="0.25">
      <c r="A500" s="273"/>
      <c r="B500" s="290" t="s">
        <v>16</v>
      </c>
      <c r="C500" s="540">
        <v>7789100</v>
      </c>
      <c r="D500" s="540">
        <v>7081000</v>
      </c>
      <c r="E500" s="540">
        <v>1222000</v>
      </c>
      <c r="F500" s="314">
        <f t="shared" si="39"/>
        <v>0.17257449512780682</v>
      </c>
      <c r="G500" s="244">
        <f>E500*30%</f>
        <v>366600</v>
      </c>
      <c r="I500" s="275"/>
    </row>
    <row r="501" spans="1:9" ht="21" customHeight="1" x14ac:dyDescent="0.25">
      <c r="A501" s="273"/>
      <c r="B501" s="281" t="s">
        <v>49</v>
      </c>
      <c r="C501" s="552">
        <v>13000900</v>
      </c>
      <c r="D501" s="552">
        <v>11819000</v>
      </c>
      <c r="E501" s="552">
        <v>1873000</v>
      </c>
      <c r="F501" s="314">
        <f t="shared" si="39"/>
        <v>0.15847364413232931</v>
      </c>
      <c r="G501" s="244"/>
      <c r="I501" s="275"/>
    </row>
    <row r="502" spans="1:9" ht="21" customHeight="1" x14ac:dyDescent="0.25">
      <c r="A502" s="273"/>
      <c r="B502" s="255" t="s">
        <v>412</v>
      </c>
      <c r="C502" s="538">
        <v>2662000</v>
      </c>
      <c r="D502" s="538">
        <v>2420000</v>
      </c>
      <c r="E502" s="538">
        <v>418000</v>
      </c>
      <c r="F502" s="314">
        <f t="shared" si="39"/>
        <v>0.17272727272727273</v>
      </c>
      <c r="G502" s="244">
        <f>E502*30%</f>
        <v>125400</v>
      </c>
      <c r="I502" s="275"/>
    </row>
    <row r="503" spans="1:9" ht="21" customHeight="1" x14ac:dyDescent="0.25">
      <c r="A503" s="273"/>
      <c r="B503" s="255" t="s">
        <v>422</v>
      </c>
      <c r="C503" s="538">
        <v>6814500</v>
      </c>
      <c r="D503" s="538">
        <v>6195000</v>
      </c>
      <c r="E503" s="538">
        <v>2712500</v>
      </c>
      <c r="F503" s="314">
        <f t="shared" si="39"/>
        <v>0.43785310734463279</v>
      </c>
      <c r="G503" s="244">
        <f>E503*30%</f>
        <v>813750</v>
      </c>
      <c r="I503" s="275"/>
    </row>
    <row r="504" spans="1:9" ht="21" customHeight="1" x14ac:dyDescent="0.25">
      <c r="A504" s="273"/>
      <c r="B504" s="255" t="s">
        <v>422</v>
      </c>
      <c r="C504" s="538">
        <v>4362600</v>
      </c>
      <c r="D504" s="538">
        <v>3966000</v>
      </c>
      <c r="E504" s="538">
        <v>880000</v>
      </c>
      <c r="F504" s="314">
        <f t="shared" si="39"/>
        <v>0.22188603126575895</v>
      </c>
      <c r="G504" s="244">
        <f>E504*30%</f>
        <v>264000</v>
      </c>
      <c r="I504" s="275"/>
    </row>
    <row r="505" spans="1:9" ht="21" customHeight="1" x14ac:dyDescent="0.25">
      <c r="A505" s="273"/>
      <c r="B505" s="281" t="s">
        <v>17</v>
      </c>
      <c r="C505" s="552">
        <v>62194000</v>
      </c>
      <c r="D505" s="552">
        <v>56540000</v>
      </c>
      <c r="E505" s="552">
        <v>11660000</v>
      </c>
      <c r="F505" s="314">
        <f t="shared" si="39"/>
        <v>0.20622568093385213</v>
      </c>
      <c r="G505" s="244"/>
      <c r="I505" s="275"/>
    </row>
    <row r="506" spans="1:9" ht="21" customHeight="1" x14ac:dyDescent="0.25">
      <c r="A506" s="273"/>
      <c r="B506" s="255" t="s">
        <v>26</v>
      </c>
      <c r="C506" s="538">
        <v>71500</v>
      </c>
      <c r="D506" s="538">
        <v>65000</v>
      </c>
      <c r="E506" s="538">
        <v>15000</v>
      </c>
      <c r="F506" s="314">
        <f t="shared" si="39"/>
        <v>0.23076923076923078</v>
      </c>
      <c r="G506" s="244">
        <f>E506*30%</f>
        <v>4500</v>
      </c>
      <c r="I506" s="275"/>
    </row>
    <row r="507" spans="1:9" ht="21" customHeight="1" x14ac:dyDescent="0.25">
      <c r="A507" s="273"/>
      <c r="B507" s="255" t="s">
        <v>14</v>
      </c>
      <c r="C507" s="538">
        <v>341000</v>
      </c>
      <c r="D507" s="538">
        <v>310000</v>
      </c>
      <c r="E507" s="538">
        <v>46000</v>
      </c>
      <c r="F507" s="314">
        <f t="shared" si="39"/>
        <v>0.14838709677419354</v>
      </c>
      <c r="G507" s="244">
        <f>E507*30%</f>
        <v>13800</v>
      </c>
      <c r="I507" s="275"/>
    </row>
    <row r="508" spans="1:9" ht="21" customHeight="1" x14ac:dyDescent="0.25">
      <c r="A508" s="273"/>
      <c r="B508" s="255" t="s">
        <v>9</v>
      </c>
      <c r="C508" s="538">
        <v>5167250</v>
      </c>
      <c r="D508" s="538">
        <v>4697500</v>
      </c>
      <c r="E508" s="538">
        <v>1267000</v>
      </c>
      <c r="F508" s="314">
        <f t="shared" si="39"/>
        <v>0.26971793507184672</v>
      </c>
      <c r="G508" s="244">
        <f>E508*30%</f>
        <v>380100</v>
      </c>
      <c r="I508" s="275"/>
    </row>
    <row r="509" spans="1:9" ht="21" customHeight="1" x14ac:dyDescent="0.25">
      <c r="A509" s="273"/>
      <c r="B509" s="281" t="s">
        <v>17</v>
      </c>
      <c r="C509" s="552">
        <v>12815000</v>
      </c>
      <c r="D509" s="552">
        <v>11650000</v>
      </c>
      <c r="E509" s="552">
        <v>2525000</v>
      </c>
      <c r="F509" s="314">
        <f t="shared" si="39"/>
        <v>0.2167381974248927</v>
      </c>
      <c r="G509" s="244"/>
      <c r="I509" s="275"/>
    </row>
    <row r="510" spans="1:9" ht="21" customHeight="1" x14ac:dyDescent="0.25">
      <c r="A510" s="273"/>
      <c r="B510" s="255" t="s">
        <v>8</v>
      </c>
      <c r="C510" s="538">
        <v>1430000</v>
      </c>
      <c r="D510" s="538">
        <v>1300000</v>
      </c>
      <c r="E510" s="538">
        <v>450000</v>
      </c>
      <c r="F510" s="314">
        <f t="shared" si="39"/>
        <v>0.34615384615384615</v>
      </c>
      <c r="G510" s="244">
        <f>E510*30%</f>
        <v>135000</v>
      </c>
      <c r="I510" s="275"/>
    </row>
    <row r="511" spans="1:9" ht="21" customHeight="1" x14ac:dyDescent="0.25">
      <c r="A511" s="273"/>
      <c r="B511" s="290" t="s">
        <v>426</v>
      </c>
      <c r="C511" s="540">
        <v>550000</v>
      </c>
      <c r="D511" s="540">
        <v>500000</v>
      </c>
      <c r="E511" s="540">
        <v>250000</v>
      </c>
      <c r="F511" s="314">
        <f t="shared" si="39"/>
        <v>0.5</v>
      </c>
      <c r="G511" s="244">
        <f>E511*30%</f>
        <v>75000</v>
      </c>
      <c r="I511" s="275"/>
    </row>
    <row r="512" spans="1:9" ht="21" customHeight="1" x14ac:dyDescent="0.25">
      <c r="A512" s="293"/>
      <c r="B512" s="277"/>
      <c r="C512" s="543">
        <f>SUM(C496:C511)</f>
        <v>136081550</v>
      </c>
      <c r="D512" s="543">
        <f>SUM(D496:D511)</f>
        <v>123710500</v>
      </c>
      <c r="E512" s="543">
        <f>SUM(E496:E511)</f>
        <v>27067280</v>
      </c>
      <c r="F512" s="315">
        <f t="shared" si="39"/>
        <v>0.21879533265163426</v>
      </c>
      <c r="G512" s="884">
        <f>SUM(G496:G511)</f>
        <v>3302784</v>
      </c>
      <c r="H512" s="295"/>
      <c r="I512" s="296"/>
    </row>
    <row r="513" spans="1:10" ht="21" customHeight="1" x14ac:dyDescent="0.25">
      <c r="A513" s="261" t="s">
        <v>427</v>
      </c>
      <c r="B513" s="253" t="s">
        <v>9</v>
      </c>
      <c r="C513" s="537">
        <v>3385250</v>
      </c>
      <c r="D513" s="537">
        <v>3077500</v>
      </c>
      <c r="E513" s="537">
        <v>840500</v>
      </c>
      <c r="F513" s="314">
        <f>E513/D513</f>
        <v>0.27311129163281883</v>
      </c>
      <c r="G513" s="244">
        <f>E513*30%</f>
        <v>252150</v>
      </c>
      <c r="I513" s="275"/>
    </row>
    <row r="514" spans="1:10" ht="21" customHeight="1" x14ac:dyDescent="0.25">
      <c r="A514" s="273"/>
      <c r="B514" s="290" t="s">
        <v>17</v>
      </c>
      <c r="C514" s="540">
        <v>8327000</v>
      </c>
      <c r="D514" s="540">
        <v>7570000</v>
      </c>
      <c r="E514" s="540">
        <v>1860000</v>
      </c>
      <c r="F514" s="314">
        <f>E514/D514</f>
        <v>0.24570673712021135</v>
      </c>
      <c r="G514" s="244">
        <f>E514*30%</f>
        <v>558000</v>
      </c>
      <c r="I514" s="275"/>
      <c r="J514" s="227" t="s">
        <v>428</v>
      </c>
    </row>
    <row r="515" spans="1:10" ht="21" customHeight="1" x14ac:dyDescent="0.25">
      <c r="A515" s="273"/>
      <c r="B515" s="281" t="s">
        <v>17</v>
      </c>
      <c r="C515" s="552">
        <v>10521500</v>
      </c>
      <c r="D515" s="552">
        <v>9565000</v>
      </c>
      <c r="E515" s="552">
        <v>2150000</v>
      </c>
      <c r="F515" s="569">
        <f t="shared" ref="F515:F578" si="42">E515/D515</f>
        <v>0.22477783585990591</v>
      </c>
      <c r="G515" s="244"/>
      <c r="H515" s="305"/>
      <c r="I515" s="306"/>
      <c r="J515" s="305" t="s">
        <v>429</v>
      </c>
    </row>
    <row r="516" spans="1:10" ht="21" customHeight="1" x14ac:dyDescent="0.25">
      <c r="A516" s="273"/>
      <c r="B516" s="290" t="s">
        <v>430</v>
      </c>
      <c r="C516" s="540">
        <v>550000</v>
      </c>
      <c r="D516" s="540">
        <v>500000</v>
      </c>
      <c r="E516" s="540">
        <v>250000</v>
      </c>
      <c r="F516" s="314">
        <f t="shared" si="42"/>
        <v>0.5</v>
      </c>
      <c r="G516" s="244">
        <f>E516*30%</f>
        <v>75000</v>
      </c>
      <c r="I516" s="275"/>
    </row>
    <row r="517" spans="1:10" ht="21" customHeight="1" x14ac:dyDescent="0.25">
      <c r="A517" s="273"/>
      <c r="B517" s="290" t="s">
        <v>5</v>
      </c>
      <c r="C517" s="540">
        <v>4361500</v>
      </c>
      <c r="D517" s="540">
        <v>3965000</v>
      </c>
      <c r="E517" s="540">
        <v>907000</v>
      </c>
      <c r="F517" s="314">
        <f t="shared" si="42"/>
        <v>0.2287515762925599</v>
      </c>
      <c r="G517" s="244">
        <f>E517*30%</f>
        <v>272100</v>
      </c>
      <c r="I517" s="275"/>
    </row>
    <row r="518" spans="1:10" ht="21" customHeight="1" x14ac:dyDescent="0.25">
      <c r="A518" s="273"/>
      <c r="B518" s="290" t="s">
        <v>2</v>
      </c>
      <c r="C518" s="540">
        <v>6975100</v>
      </c>
      <c r="D518" s="540">
        <v>6341000</v>
      </c>
      <c r="E518" s="540">
        <v>1398560</v>
      </c>
      <c r="F518" s="314">
        <f t="shared" si="42"/>
        <v>0.22055827156599905</v>
      </c>
      <c r="G518" s="244">
        <f>E518*30%</f>
        <v>419568</v>
      </c>
      <c r="I518" s="275"/>
    </row>
    <row r="519" spans="1:10" ht="21" customHeight="1" x14ac:dyDescent="0.25">
      <c r="A519" s="273"/>
      <c r="B519" s="290" t="s">
        <v>431</v>
      </c>
      <c r="C519" s="540">
        <v>3443000</v>
      </c>
      <c r="D519" s="540">
        <v>3130000</v>
      </c>
      <c r="E519" s="540">
        <v>730000</v>
      </c>
      <c r="F519" s="314">
        <f t="shared" si="42"/>
        <v>0.23322683706070288</v>
      </c>
      <c r="G519" s="244">
        <f>E519*30%</f>
        <v>219000</v>
      </c>
      <c r="H519" s="251"/>
      <c r="I519" s="292"/>
      <c r="J519" s="251"/>
    </row>
    <row r="520" spans="1:10" ht="21" customHeight="1" x14ac:dyDescent="0.25">
      <c r="A520" s="273"/>
      <c r="B520" s="281" t="s">
        <v>49</v>
      </c>
      <c r="C520" s="552">
        <v>14111900</v>
      </c>
      <c r="D520" s="552">
        <v>12829000</v>
      </c>
      <c r="E520" s="552">
        <v>2396000</v>
      </c>
      <c r="F520" s="569">
        <f t="shared" si="42"/>
        <v>0.18676436199236104</v>
      </c>
      <c r="G520" s="244"/>
      <c r="H520" s="305"/>
      <c r="I520" s="306"/>
      <c r="J520" s="305" t="s">
        <v>429</v>
      </c>
    </row>
    <row r="521" spans="1:10" ht="21" customHeight="1" x14ac:dyDescent="0.25">
      <c r="A521" s="273"/>
      <c r="B521" s="281" t="s">
        <v>53</v>
      </c>
      <c r="C521" s="552">
        <v>1100000</v>
      </c>
      <c r="D521" s="552">
        <v>1000000</v>
      </c>
      <c r="E521" s="552">
        <v>1000000</v>
      </c>
      <c r="F521" s="569">
        <f t="shared" si="42"/>
        <v>1</v>
      </c>
      <c r="G521" s="244"/>
      <c r="H521" s="305"/>
      <c r="I521" s="306"/>
      <c r="J521" s="305" t="s">
        <v>432</v>
      </c>
    </row>
    <row r="522" spans="1:10" ht="21" customHeight="1" x14ac:dyDescent="0.25">
      <c r="A522" s="273"/>
      <c r="B522" s="290" t="s">
        <v>433</v>
      </c>
      <c r="C522" s="540">
        <v>2904000</v>
      </c>
      <c r="D522" s="540">
        <v>2640000</v>
      </c>
      <c r="E522" s="540">
        <v>456000</v>
      </c>
      <c r="F522" s="314">
        <f t="shared" si="42"/>
        <v>0.17272727272727273</v>
      </c>
      <c r="G522" s="244">
        <f t="shared" ref="G522:G528" si="43">E522*30%</f>
        <v>136800</v>
      </c>
      <c r="I522" s="275"/>
    </row>
    <row r="523" spans="1:10" ht="21" customHeight="1" x14ac:dyDescent="0.25">
      <c r="A523" s="273"/>
      <c r="B523" s="399" t="s">
        <v>63</v>
      </c>
      <c r="C523" s="540">
        <v>2337500</v>
      </c>
      <c r="D523" s="540">
        <v>2125000</v>
      </c>
      <c r="E523" s="540">
        <v>794000</v>
      </c>
      <c r="F523" s="314">
        <f t="shared" si="42"/>
        <v>0.37364705882352939</v>
      </c>
      <c r="G523" s="244">
        <f>E523*10%</f>
        <v>79400</v>
      </c>
      <c r="I523" s="275"/>
    </row>
    <row r="524" spans="1:10" ht="21" customHeight="1" x14ac:dyDescent="0.25">
      <c r="A524" s="273"/>
      <c r="B524" s="290" t="s">
        <v>434</v>
      </c>
      <c r="C524" s="540">
        <v>4067800</v>
      </c>
      <c r="D524" s="540">
        <v>3698000</v>
      </c>
      <c r="E524" s="540">
        <v>856000</v>
      </c>
      <c r="F524" s="314">
        <f t="shared" si="42"/>
        <v>0.2314764737696052</v>
      </c>
      <c r="G524" s="244">
        <f t="shared" si="43"/>
        <v>256800</v>
      </c>
      <c r="I524" s="275"/>
    </row>
    <row r="525" spans="1:10" ht="21" customHeight="1" x14ac:dyDescent="0.25">
      <c r="A525" s="273"/>
      <c r="B525" s="290" t="s">
        <v>434</v>
      </c>
      <c r="C525" s="540">
        <v>594000</v>
      </c>
      <c r="D525" s="540">
        <v>540000</v>
      </c>
      <c r="E525" s="540">
        <v>108000</v>
      </c>
      <c r="F525" s="314">
        <f t="shared" si="42"/>
        <v>0.2</v>
      </c>
      <c r="G525" s="244">
        <f t="shared" si="43"/>
        <v>32400</v>
      </c>
      <c r="I525" s="275"/>
    </row>
    <row r="526" spans="1:10" ht="21" customHeight="1" x14ac:dyDescent="0.25">
      <c r="A526" s="273"/>
      <c r="B526" s="290" t="s">
        <v>434</v>
      </c>
      <c r="C526" s="540">
        <v>1809500</v>
      </c>
      <c r="D526" s="540">
        <v>1645000</v>
      </c>
      <c r="E526" s="540">
        <v>857500</v>
      </c>
      <c r="F526" s="314">
        <f t="shared" si="42"/>
        <v>0.52127659574468088</v>
      </c>
      <c r="G526" s="244">
        <f t="shared" si="43"/>
        <v>257250</v>
      </c>
      <c r="I526" s="275"/>
    </row>
    <row r="527" spans="1:10" ht="21" customHeight="1" x14ac:dyDescent="0.25">
      <c r="A527" s="273"/>
      <c r="B527" s="290" t="s">
        <v>11</v>
      </c>
      <c r="C527" s="540">
        <v>116600</v>
      </c>
      <c r="D527" s="540">
        <v>106000</v>
      </c>
      <c r="E527" s="540">
        <v>26000</v>
      </c>
      <c r="F527" s="314">
        <f t="shared" si="42"/>
        <v>0.24528301886792453</v>
      </c>
      <c r="G527" s="244">
        <f t="shared" si="43"/>
        <v>7800</v>
      </c>
      <c r="I527" s="275"/>
    </row>
    <row r="528" spans="1:10" ht="21" customHeight="1" x14ac:dyDescent="0.25">
      <c r="A528" s="273"/>
      <c r="B528" s="290" t="s">
        <v>26</v>
      </c>
      <c r="C528" s="540">
        <v>357500</v>
      </c>
      <c r="D528" s="540">
        <v>325000</v>
      </c>
      <c r="E528" s="540">
        <v>75000</v>
      </c>
      <c r="F528" s="314">
        <f t="shared" si="42"/>
        <v>0.23076923076923078</v>
      </c>
      <c r="G528" s="244">
        <f t="shared" si="43"/>
        <v>22500</v>
      </c>
      <c r="I528" s="275"/>
    </row>
    <row r="529" spans="1:10" s="1182" customFormat="1" ht="21" customHeight="1" x14ac:dyDescent="0.25">
      <c r="A529" s="1174"/>
      <c r="B529" s="1175">
        <v>17.100000000000001</v>
      </c>
      <c r="C529" s="1176">
        <f>SUM(C513:C528)</f>
        <v>64962150</v>
      </c>
      <c r="D529" s="1176">
        <f>SUM(D513:D528)</f>
        <v>59056500</v>
      </c>
      <c r="E529" s="1176">
        <f>SUM(E513:E528)</f>
        <v>14704560</v>
      </c>
      <c r="F529" s="1177">
        <f t="shared" si="42"/>
        <v>0.24899138960148332</v>
      </c>
      <c r="G529" s="1178">
        <f>SUM(G513:G528)</f>
        <v>2588768</v>
      </c>
      <c r="H529" s="1179"/>
      <c r="I529" s="1180"/>
      <c r="J529" s="1181"/>
    </row>
    <row r="530" spans="1:10" ht="21" customHeight="1" x14ac:dyDescent="0.25">
      <c r="A530" s="261" t="s">
        <v>435</v>
      </c>
      <c r="B530" s="253" t="s">
        <v>9</v>
      </c>
      <c r="C530" s="537">
        <v>1237500</v>
      </c>
      <c r="D530" s="537">
        <v>1125000</v>
      </c>
      <c r="E530" s="537">
        <v>325000</v>
      </c>
      <c r="F530" s="314">
        <f t="shared" si="42"/>
        <v>0.28888888888888886</v>
      </c>
      <c r="G530" s="244">
        <f>E530*30%</f>
        <v>97500</v>
      </c>
      <c r="I530" s="275"/>
    </row>
    <row r="531" spans="1:10" ht="21" customHeight="1" x14ac:dyDescent="0.25">
      <c r="A531" s="273"/>
      <c r="B531" s="290" t="s">
        <v>14</v>
      </c>
      <c r="C531" s="540">
        <v>330000</v>
      </c>
      <c r="D531" s="540">
        <v>300000</v>
      </c>
      <c r="E531" s="540">
        <v>140000</v>
      </c>
      <c r="F531" s="314">
        <f t="shared" si="42"/>
        <v>0.46666666666666667</v>
      </c>
      <c r="G531" s="244">
        <f>E531*30%</f>
        <v>42000</v>
      </c>
      <c r="I531" s="275"/>
    </row>
    <row r="532" spans="1:10" ht="21" customHeight="1" x14ac:dyDescent="0.25">
      <c r="A532" s="273"/>
      <c r="B532" s="281" t="s">
        <v>47</v>
      </c>
      <c r="C532" s="552">
        <v>3520000</v>
      </c>
      <c r="D532" s="552">
        <v>3200000</v>
      </c>
      <c r="E532" s="552">
        <v>1200000</v>
      </c>
      <c r="F532" s="314">
        <f t="shared" si="42"/>
        <v>0.375</v>
      </c>
      <c r="G532" s="244"/>
      <c r="H532" s="305"/>
      <c r="I532" s="306"/>
    </row>
    <row r="533" spans="1:10" ht="21" customHeight="1" x14ac:dyDescent="0.25">
      <c r="A533" s="273"/>
      <c r="B533" s="281" t="s">
        <v>66</v>
      </c>
      <c r="C533" s="552">
        <v>22000000</v>
      </c>
      <c r="D533" s="552">
        <v>20000000</v>
      </c>
      <c r="E533" s="552">
        <v>8106525.9699999997</v>
      </c>
      <c r="F533" s="314">
        <f t="shared" si="42"/>
        <v>0.40532629849999996</v>
      </c>
      <c r="G533" s="244"/>
      <c r="I533" s="275"/>
    </row>
    <row r="534" spans="1:10" ht="21" customHeight="1" x14ac:dyDescent="0.25">
      <c r="A534" s="273"/>
      <c r="B534" s="290" t="s">
        <v>7</v>
      </c>
      <c r="C534" s="540">
        <v>594000</v>
      </c>
      <c r="D534" s="540">
        <v>540000</v>
      </c>
      <c r="E534" s="540">
        <v>260000</v>
      </c>
      <c r="F534" s="314">
        <f t="shared" si="42"/>
        <v>0.48148148148148145</v>
      </c>
      <c r="G534" s="244">
        <f>E534*30%</f>
        <v>78000</v>
      </c>
      <c r="I534" s="275"/>
    </row>
    <row r="535" spans="1:10" ht="21" customHeight="1" x14ac:dyDescent="0.25">
      <c r="A535" s="273"/>
      <c r="B535" s="290" t="s">
        <v>17</v>
      </c>
      <c r="C535" s="540">
        <v>515900</v>
      </c>
      <c r="D535" s="540">
        <v>469000</v>
      </c>
      <c r="E535" s="540">
        <v>119000</v>
      </c>
      <c r="F535" s="314">
        <f t="shared" si="42"/>
        <v>0.2537313432835821</v>
      </c>
      <c r="G535" s="244">
        <f>E535*30%</f>
        <v>35700</v>
      </c>
      <c r="H535" s="251"/>
      <c r="I535" s="292"/>
      <c r="J535" s="227" t="s">
        <v>428</v>
      </c>
    </row>
    <row r="536" spans="1:10" ht="21" customHeight="1" x14ac:dyDescent="0.25">
      <c r="A536" s="273"/>
      <c r="B536" s="290" t="s">
        <v>430</v>
      </c>
      <c r="C536" s="540">
        <v>550000</v>
      </c>
      <c r="D536" s="540">
        <v>500000</v>
      </c>
      <c r="E536" s="540">
        <v>250000</v>
      </c>
      <c r="F536" s="314">
        <f t="shared" si="42"/>
        <v>0.5</v>
      </c>
      <c r="G536" s="244">
        <f>E536*30%</f>
        <v>75000</v>
      </c>
      <c r="H536" s="305"/>
      <c r="I536" s="306"/>
    </row>
    <row r="537" spans="1:10" ht="21" customHeight="1" x14ac:dyDescent="0.25">
      <c r="A537" s="273"/>
      <c r="B537" s="281" t="s">
        <v>17</v>
      </c>
      <c r="C537" s="552">
        <v>10109000</v>
      </c>
      <c r="D537" s="552">
        <v>9190000</v>
      </c>
      <c r="E537" s="552">
        <v>2015000</v>
      </c>
      <c r="F537" s="314">
        <f t="shared" si="42"/>
        <v>0.2192600652883569</v>
      </c>
      <c r="G537" s="244"/>
      <c r="H537" s="305"/>
      <c r="I537" s="306"/>
    </row>
    <row r="538" spans="1:10" ht="21" customHeight="1" x14ac:dyDescent="0.25">
      <c r="A538" s="273"/>
      <c r="B538" s="281" t="s">
        <v>22</v>
      </c>
      <c r="C538" s="552">
        <v>1375000</v>
      </c>
      <c r="D538" s="552">
        <v>1250000</v>
      </c>
      <c r="E538" s="552">
        <v>750000</v>
      </c>
      <c r="F538" s="314">
        <f t="shared" si="42"/>
        <v>0.6</v>
      </c>
      <c r="G538" s="244"/>
      <c r="I538" s="275"/>
    </row>
    <row r="539" spans="1:10" ht="21" customHeight="1" x14ac:dyDescent="0.25">
      <c r="A539" s="273"/>
      <c r="B539" s="290" t="s">
        <v>15</v>
      </c>
      <c r="C539" s="540">
        <v>594000</v>
      </c>
      <c r="D539" s="540">
        <v>540000</v>
      </c>
      <c r="E539" s="540">
        <v>270000</v>
      </c>
      <c r="F539" s="314">
        <f t="shared" si="42"/>
        <v>0.5</v>
      </c>
      <c r="G539" s="244">
        <f>E539*30%</f>
        <v>81000</v>
      </c>
      <c r="I539" s="275"/>
    </row>
    <row r="540" spans="1:10" ht="21" customHeight="1" x14ac:dyDescent="0.25">
      <c r="A540" s="273"/>
      <c r="B540" s="290" t="s">
        <v>5</v>
      </c>
      <c r="C540" s="540">
        <v>3905000</v>
      </c>
      <c r="D540" s="540">
        <v>3550000</v>
      </c>
      <c r="E540" s="540">
        <v>792000</v>
      </c>
      <c r="F540" s="314">
        <f t="shared" si="42"/>
        <v>0.22309859154929579</v>
      </c>
      <c r="G540" s="244">
        <f>E540*30%</f>
        <v>237600</v>
      </c>
      <c r="I540" s="275"/>
    </row>
    <row r="541" spans="1:10" ht="21" customHeight="1" x14ac:dyDescent="0.25">
      <c r="A541" s="273"/>
      <c r="B541" s="290" t="s">
        <v>19</v>
      </c>
      <c r="C541" s="540">
        <v>1732500</v>
      </c>
      <c r="D541" s="540">
        <v>1575000</v>
      </c>
      <c r="E541" s="540">
        <v>385000</v>
      </c>
      <c r="F541" s="314">
        <f t="shared" si="42"/>
        <v>0.24444444444444444</v>
      </c>
      <c r="G541" s="244">
        <f>E541*30%</f>
        <v>115500</v>
      </c>
      <c r="I541" s="275"/>
    </row>
    <row r="542" spans="1:10" ht="21" customHeight="1" x14ac:dyDescent="0.25">
      <c r="A542" s="273"/>
      <c r="B542" s="290" t="s">
        <v>2</v>
      </c>
      <c r="C542" s="540">
        <v>7943100</v>
      </c>
      <c r="D542" s="540">
        <v>7221000</v>
      </c>
      <c r="E542" s="540">
        <v>1653560</v>
      </c>
      <c r="F542" s="314">
        <f t="shared" si="42"/>
        <v>0.22899321423625538</v>
      </c>
      <c r="G542" s="244">
        <f>E542*30%</f>
        <v>496068</v>
      </c>
      <c r="I542" s="275"/>
    </row>
    <row r="543" spans="1:10" ht="21" customHeight="1" x14ac:dyDescent="0.25">
      <c r="A543" s="273"/>
      <c r="B543" s="281" t="s">
        <v>20</v>
      </c>
      <c r="C543" s="552">
        <v>1650000</v>
      </c>
      <c r="D543" s="552">
        <v>1500000</v>
      </c>
      <c r="E543" s="552">
        <v>1000000</v>
      </c>
      <c r="F543" s="314">
        <f t="shared" si="42"/>
        <v>0.66666666666666663</v>
      </c>
      <c r="G543" s="244"/>
      <c r="I543" s="275"/>
    </row>
    <row r="544" spans="1:10" ht="21" customHeight="1" x14ac:dyDescent="0.25">
      <c r="A544" s="273"/>
      <c r="B544" s="290" t="s">
        <v>16</v>
      </c>
      <c r="C544" s="540">
        <v>4021600</v>
      </c>
      <c r="D544" s="540">
        <v>3656000</v>
      </c>
      <c r="E544" s="540">
        <v>811000</v>
      </c>
      <c r="F544" s="314">
        <f t="shared" si="42"/>
        <v>0.22182713347921226</v>
      </c>
      <c r="G544" s="244">
        <f>E544*30%</f>
        <v>243300</v>
      </c>
      <c r="I544" s="275"/>
    </row>
    <row r="545" spans="1:10" ht="21" customHeight="1" x14ac:dyDescent="0.25">
      <c r="A545" s="273"/>
      <c r="B545" s="290" t="s">
        <v>436</v>
      </c>
      <c r="C545" s="540">
        <v>217800</v>
      </c>
      <c r="D545" s="540">
        <v>198000</v>
      </c>
      <c r="E545" s="540">
        <v>98000</v>
      </c>
      <c r="F545" s="314">
        <f t="shared" si="42"/>
        <v>0.49494949494949497</v>
      </c>
      <c r="G545" s="244">
        <f>E545*30%</f>
        <v>29400</v>
      </c>
      <c r="I545" s="275"/>
    </row>
    <row r="546" spans="1:10" ht="21" customHeight="1" x14ac:dyDescent="0.25">
      <c r="A546" s="273"/>
      <c r="B546" s="281" t="s">
        <v>49</v>
      </c>
      <c r="C546" s="552">
        <v>2546500</v>
      </c>
      <c r="D546" s="552">
        <v>2315000</v>
      </c>
      <c r="E546" s="552">
        <v>459000</v>
      </c>
      <c r="F546" s="314">
        <f t="shared" si="42"/>
        <v>0.19827213822894169</v>
      </c>
      <c r="G546" s="244"/>
      <c r="I546" s="275"/>
    </row>
    <row r="547" spans="1:10" ht="21" customHeight="1" x14ac:dyDescent="0.25">
      <c r="A547" s="273"/>
      <c r="B547" s="290" t="s">
        <v>433</v>
      </c>
      <c r="C547" s="540">
        <v>2420000</v>
      </c>
      <c r="D547" s="540">
        <v>2200000</v>
      </c>
      <c r="E547" s="540">
        <v>380000</v>
      </c>
      <c r="F547" s="314">
        <f t="shared" si="42"/>
        <v>0.17272727272727273</v>
      </c>
      <c r="G547" s="244">
        <f>E547*30%</f>
        <v>114000</v>
      </c>
      <c r="I547" s="275"/>
    </row>
    <row r="548" spans="1:10" ht="21" customHeight="1" x14ac:dyDescent="0.25">
      <c r="A548" s="273"/>
      <c r="B548" s="290" t="s">
        <v>437</v>
      </c>
      <c r="C548" s="540">
        <v>2871000</v>
      </c>
      <c r="D548" s="540">
        <v>2610000</v>
      </c>
      <c r="E548" s="540">
        <v>580000</v>
      </c>
      <c r="F548" s="314">
        <f t="shared" si="42"/>
        <v>0.22222222222222221</v>
      </c>
      <c r="G548" s="244">
        <f>E548*30%</f>
        <v>174000</v>
      </c>
      <c r="I548" s="275"/>
    </row>
    <row r="549" spans="1:10" ht="21" customHeight="1" x14ac:dyDescent="0.25">
      <c r="A549" s="273"/>
      <c r="B549" s="290" t="s">
        <v>8</v>
      </c>
      <c r="C549" s="540">
        <v>1842500</v>
      </c>
      <c r="D549" s="540">
        <v>1675000</v>
      </c>
      <c r="E549" s="540">
        <v>610800</v>
      </c>
      <c r="F549" s="314">
        <f t="shared" si="42"/>
        <v>0.36465671641791042</v>
      </c>
      <c r="G549" s="244">
        <f>E549*30%</f>
        <v>183240</v>
      </c>
      <c r="I549" s="275"/>
    </row>
    <row r="550" spans="1:10" s="1182" customFormat="1" ht="21" customHeight="1" x14ac:dyDescent="0.25">
      <c r="A550" s="1174"/>
      <c r="B550" s="1175">
        <v>17.2</v>
      </c>
      <c r="C550" s="1176">
        <f>SUM(C530:C549)</f>
        <v>69975400</v>
      </c>
      <c r="D550" s="1176">
        <f>SUM(D530:D549)</f>
        <v>63614000</v>
      </c>
      <c r="E550" s="1176">
        <f>SUM(E530:E549)</f>
        <v>20204885.969999999</v>
      </c>
      <c r="F550" s="1177">
        <f t="shared" si="42"/>
        <v>0.31761697063539468</v>
      </c>
      <c r="G550" s="1178">
        <f>SUM(G530:G549)</f>
        <v>2002308</v>
      </c>
      <c r="H550" s="1179"/>
      <c r="I550" s="1180"/>
      <c r="J550" s="1181"/>
    </row>
    <row r="551" spans="1:10" ht="21" customHeight="1" x14ac:dyDescent="0.25">
      <c r="A551" s="261" t="s">
        <v>438</v>
      </c>
      <c r="B551" s="253" t="s">
        <v>9</v>
      </c>
      <c r="C551" s="537">
        <v>4534750</v>
      </c>
      <c r="D551" s="537">
        <v>4122500</v>
      </c>
      <c r="E551" s="537">
        <v>1135500</v>
      </c>
      <c r="F551" s="314">
        <f t="shared" si="42"/>
        <v>0.27543966040024259</v>
      </c>
      <c r="G551" s="244">
        <f>E551*30%</f>
        <v>340650</v>
      </c>
      <c r="I551" s="275"/>
    </row>
    <row r="552" spans="1:10" ht="21" customHeight="1" x14ac:dyDescent="0.25">
      <c r="A552" s="273"/>
      <c r="B552" s="253" t="s">
        <v>9</v>
      </c>
      <c r="C552" s="537">
        <v>3385250</v>
      </c>
      <c r="D552" s="537">
        <v>3077500</v>
      </c>
      <c r="E552" s="537">
        <v>840500</v>
      </c>
      <c r="F552" s="314">
        <f t="shared" si="42"/>
        <v>0.27311129163281883</v>
      </c>
      <c r="G552" s="244">
        <f>E552*30%</f>
        <v>252150</v>
      </c>
      <c r="I552" s="275"/>
    </row>
    <row r="553" spans="1:10" ht="21" customHeight="1" x14ac:dyDescent="0.25">
      <c r="A553" s="273"/>
      <c r="B553" s="288" t="s">
        <v>22</v>
      </c>
      <c r="C553" s="547">
        <v>12650000</v>
      </c>
      <c r="D553" s="547">
        <v>11500000</v>
      </c>
      <c r="E553" s="547">
        <v>2500000</v>
      </c>
      <c r="F553" s="314">
        <f t="shared" si="42"/>
        <v>0.21739130434782608</v>
      </c>
      <c r="G553" s="244"/>
      <c r="I553" s="275"/>
    </row>
    <row r="554" spans="1:10" ht="21" customHeight="1" x14ac:dyDescent="0.25">
      <c r="A554" s="273"/>
      <c r="B554" s="253" t="s">
        <v>8</v>
      </c>
      <c r="C554" s="537">
        <v>687500</v>
      </c>
      <c r="D554" s="537">
        <v>625000</v>
      </c>
      <c r="E554" s="537">
        <v>236500</v>
      </c>
      <c r="F554" s="314">
        <f t="shared" si="42"/>
        <v>0.37840000000000001</v>
      </c>
      <c r="G554" s="244">
        <f>E554*30%</f>
        <v>70950</v>
      </c>
      <c r="I554" s="275"/>
    </row>
    <row r="555" spans="1:10" ht="21" customHeight="1" x14ac:dyDescent="0.25">
      <c r="A555" s="273"/>
      <c r="B555" s="288" t="s">
        <v>17</v>
      </c>
      <c r="C555" s="547">
        <v>4697000</v>
      </c>
      <c r="D555" s="547">
        <v>4270000</v>
      </c>
      <c r="E555" s="547">
        <v>995000</v>
      </c>
      <c r="F555" s="314">
        <f t="shared" si="42"/>
        <v>0.23302107728337237</v>
      </c>
      <c r="G555" s="244"/>
      <c r="I555" s="275"/>
    </row>
    <row r="556" spans="1:10" ht="21" customHeight="1" x14ac:dyDescent="0.25">
      <c r="A556" s="273"/>
      <c r="B556" s="288" t="s">
        <v>53</v>
      </c>
      <c r="C556" s="547">
        <v>2733500</v>
      </c>
      <c r="D556" s="547">
        <v>2485000</v>
      </c>
      <c r="E556" s="547">
        <v>350000</v>
      </c>
      <c r="F556" s="314">
        <f t="shared" si="42"/>
        <v>0.14084507042253522</v>
      </c>
      <c r="G556" s="244"/>
      <c r="I556" s="275"/>
    </row>
    <row r="557" spans="1:10" ht="21" customHeight="1" x14ac:dyDescent="0.25">
      <c r="A557" s="273"/>
      <c r="B557" s="288" t="s">
        <v>20</v>
      </c>
      <c r="C557" s="547">
        <v>3148200</v>
      </c>
      <c r="D557" s="547">
        <v>2862000</v>
      </c>
      <c r="E557" s="547">
        <v>727000</v>
      </c>
      <c r="F557" s="314">
        <f t="shared" si="42"/>
        <v>0.25401816911250874</v>
      </c>
      <c r="G557" s="244"/>
      <c r="I557" s="275"/>
    </row>
    <row r="558" spans="1:10" ht="21" customHeight="1" x14ac:dyDescent="0.25">
      <c r="A558" s="273"/>
      <c r="B558" s="253" t="s">
        <v>430</v>
      </c>
      <c r="C558" s="537">
        <v>550000</v>
      </c>
      <c r="D558" s="537">
        <v>500000</v>
      </c>
      <c r="E558" s="537">
        <v>250000</v>
      </c>
      <c r="F558" s="314">
        <f t="shared" si="42"/>
        <v>0.5</v>
      </c>
      <c r="G558" s="244">
        <f t="shared" ref="G558:G571" si="44">E558*30%</f>
        <v>75000</v>
      </c>
      <c r="I558" s="275"/>
    </row>
    <row r="559" spans="1:10" ht="21" customHeight="1" x14ac:dyDescent="0.25">
      <c r="A559" s="273"/>
      <c r="B559" s="253" t="s">
        <v>18</v>
      </c>
      <c r="C559" s="537">
        <v>2200000</v>
      </c>
      <c r="D559" s="537">
        <v>2000000</v>
      </c>
      <c r="E559" s="537">
        <v>390000</v>
      </c>
      <c r="F559" s="314">
        <f t="shared" si="42"/>
        <v>0.19500000000000001</v>
      </c>
      <c r="G559" s="244">
        <f t="shared" si="44"/>
        <v>117000</v>
      </c>
      <c r="I559" s="275"/>
    </row>
    <row r="560" spans="1:10" ht="21" customHeight="1" x14ac:dyDescent="0.25">
      <c r="A560" s="273"/>
      <c r="B560" s="253" t="s">
        <v>5</v>
      </c>
      <c r="C560" s="537">
        <v>6462500</v>
      </c>
      <c r="D560" s="537">
        <v>5875000</v>
      </c>
      <c r="E560" s="537">
        <v>1323500</v>
      </c>
      <c r="F560" s="314">
        <f t="shared" si="42"/>
        <v>0.22527659574468084</v>
      </c>
      <c r="G560" s="244">
        <f t="shared" si="44"/>
        <v>397050</v>
      </c>
      <c r="I560" s="275"/>
    </row>
    <row r="561" spans="1:10" ht="21" customHeight="1" x14ac:dyDescent="0.25">
      <c r="A561" s="273"/>
      <c r="B561" s="253" t="s">
        <v>19</v>
      </c>
      <c r="C561" s="537">
        <v>825000</v>
      </c>
      <c r="D561" s="537">
        <v>750000</v>
      </c>
      <c r="E561" s="537">
        <v>200000</v>
      </c>
      <c r="F561" s="314">
        <f t="shared" si="42"/>
        <v>0.26666666666666666</v>
      </c>
      <c r="G561" s="244">
        <f t="shared" si="44"/>
        <v>60000</v>
      </c>
      <c r="I561" s="275"/>
    </row>
    <row r="562" spans="1:10" ht="21" customHeight="1" x14ac:dyDescent="0.25">
      <c r="A562" s="273"/>
      <c r="B562" s="253" t="s">
        <v>2</v>
      </c>
      <c r="C562" s="537">
        <v>554400</v>
      </c>
      <c r="D562" s="537">
        <v>504000</v>
      </c>
      <c r="E562" s="537">
        <v>216500</v>
      </c>
      <c r="F562" s="314">
        <f t="shared" si="42"/>
        <v>0.42956349206349204</v>
      </c>
      <c r="G562" s="244">
        <f t="shared" si="44"/>
        <v>64950</v>
      </c>
      <c r="I562" s="275"/>
    </row>
    <row r="563" spans="1:10" ht="21" customHeight="1" x14ac:dyDescent="0.25">
      <c r="A563" s="273"/>
      <c r="B563" s="253" t="s">
        <v>439</v>
      </c>
      <c r="C563" s="537">
        <v>4120600</v>
      </c>
      <c r="D563" s="537">
        <v>3746000</v>
      </c>
      <c r="E563" s="537">
        <v>808000</v>
      </c>
      <c r="F563" s="314">
        <f t="shared" si="42"/>
        <v>0.21569674319273893</v>
      </c>
      <c r="G563" s="244">
        <f t="shared" si="44"/>
        <v>242400</v>
      </c>
      <c r="H563" s="228"/>
      <c r="I563" s="275"/>
    </row>
    <row r="564" spans="1:10" ht="21" customHeight="1" x14ac:dyDescent="0.25">
      <c r="A564" s="273"/>
      <c r="B564" s="253" t="s">
        <v>439</v>
      </c>
      <c r="C564" s="537">
        <v>4224000</v>
      </c>
      <c r="D564" s="537">
        <v>3840000</v>
      </c>
      <c r="E564" s="537">
        <v>742640</v>
      </c>
      <c r="F564" s="314">
        <f t="shared" si="42"/>
        <v>0.19339583333333332</v>
      </c>
      <c r="G564" s="244">
        <f t="shared" si="44"/>
        <v>222792</v>
      </c>
      <c r="I564" s="275"/>
    </row>
    <row r="565" spans="1:10" ht="21" customHeight="1" x14ac:dyDescent="0.25">
      <c r="A565" s="273"/>
      <c r="B565" s="253" t="s">
        <v>16</v>
      </c>
      <c r="C565" s="537">
        <v>1309000</v>
      </c>
      <c r="D565" s="537">
        <v>1190000</v>
      </c>
      <c r="E565" s="537">
        <v>170000</v>
      </c>
      <c r="F565" s="314">
        <f t="shared" si="42"/>
        <v>0.14285714285714285</v>
      </c>
      <c r="G565" s="244">
        <f t="shared" si="44"/>
        <v>51000</v>
      </c>
      <c r="I565" s="275"/>
    </row>
    <row r="566" spans="1:10" ht="21" customHeight="1" x14ac:dyDescent="0.25">
      <c r="A566" s="273"/>
      <c r="B566" s="253" t="s">
        <v>27</v>
      </c>
      <c r="C566" s="537">
        <v>242000</v>
      </c>
      <c r="D566" s="537">
        <v>220000</v>
      </c>
      <c r="E566" s="537">
        <v>120000</v>
      </c>
      <c r="F566" s="314">
        <f t="shared" si="42"/>
        <v>0.54545454545454541</v>
      </c>
      <c r="G566" s="244">
        <f t="shared" si="44"/>
        <v>36000</v>
      </c>
      <c r="I566" s="275"/>
    </row>
    <row r="567" spans="1:10" ht="21" customHeight="1" x14ac:dyDescent="0.25">
      <c r="A567" s="273"/>
      <c r="B567" s="253" t="s">
        <v>433</v>
      </c>
      <c r="C567" s="537">
        <v>412500</v>
      </c>
      <c r="D567" s="537">
        <v>375000</v>
      </c>
      <c r="E567" s="537">
        <v>45000</v>
      </c>
      <c r="F567" s="314">
        <f t="shared" si="42"/>
        <v>0.12</v>
      </c>
      <c r="G567" s="244">
        <f t="shared" si="44"/>
        <v>13500</v>
      </c>
      <c r="I567" s="275"/>
    </row>
    <row r="568" spans="1:10" ht="21" customHeight="1" x14ac:dyDescent="0.25">
      <c r="A568" s="273"/>
      <c r="B568" s="253" t="s">
        <v>433</v>
      </c>
      <c r="C568" s="537">
        <v>2420000</v>
      </c>
      <c r="D568" s="537">
        <v>2200000</v>
      </c>
      <c r="E568" s="537">
        <v>380000</v>
      </c>
      <c r="F568" s="314">
        <f t="shared" si="42"/>
        <v>0.17272727272727273</v>
      </c>
      <c r="G568" s="244">
        <f t="shared" si="44"/>
        <v>114000</v>
      </c>
      <c r="I568" s="275"/>
    </row>
    <row r="569" spans="1:10" ht="21" customHeight="1" x14ac:dyDescent="0.25">
      <c r="A569" s="273"/>
      <c r="B569" s="290" t="s">
        <v>437</v>
      </c>
      <c r="C569" s="537">
        <v>1496000</v>
      </c>
      <c r="D569" s="537">
        <v>1360000</v>
      </c>
      <c r="E569" s="537">
        <v>320000</v>
      </c>
      <c r="F569" s="314">
        <f t="shared" si="42"/>
        <v>0.23529411764705882</v>
      </c>
      <c r="G569" s="244">
        <f t="shared" si="44"/>
        <v>96000</v>
      </c>
      <c r="I569" s="275"/>
    </row>
    <row r="570" spans="1:10" ht="21" customHeight="1" x14ac:dyDescent="0.25">
      <c r="A570" s="273"/>
      <c r="B570" s="290" t="s">
        <v>437</v>
      </c>
      <c r="C570" s="537">
        <v>2585000</v>
      </c>
      <c r="D570" s="537">
        <v>2350000</v>
      </c>
      <c r="E570" s="537">
        <v>1225000</v>
      </c>
      <c r="F570" s="314">
        <f t="shared" si="42"/>
        <v>0.52127659574468088</v>
      </c>
      <c r="G570" s="244">
        <f t="shared" si="44"/>
        <v>367500</v>
      </c>
      <c r="I570" s="275"/>
    </row>
    <row r="571" spans="1:10" ht="21" customHeight="1" x14ac:dyDescent="0.25">
      <c r="A571" s="273"/>
      <c r="B571" s="253" t="s">
        <v>26</v>
      </c>
      <c r="C571" s="537">
        <v>715000</v>
      </c>
      <c r="D571" s="537">
        <v>650000</v>
      </c>
      <c r="E571" s="537">
        <v>150000</v>
      </c>
      <c r="F571" s="562">
        <f t="shared" si="42"/>
        <v>0.23076923076923078</v>
      </c>
      <c r="G571" s="244">
        <f t="shared" si="44"/>
        <v>45000</v>
      </c>
      <c r="I571" s="275"/>
    </row>
    <row r="572" spans="1:10" s="1182" customFormat="1" ht="21" customHeight="1" x14ac:dyDescent="0.25">
      <c r="A572" s="1174"/>
      <c r="B572" s="1175">
        <v>17.3</v>
      </c>
      <c r="C572" s="1176">
        <f>SUM(C551:C571)</f>
        <v>59952200</v>
      </c>
      <c r="D572" s="1176">
        <f>SUM(D551:D571)</f>
        <v>54502000</v>
      </c>
      <c r="E572" s="1176">
        <f>SUM(E551:E571)</f>
        <v>13125140</v>
      </c>
      <c r="F572" s="1177">
        <f t="shared" si="42"/>
        <v>0.24081941947084512</v>
      </c>
      <c r="G572" s="1178">
        <f>SUM(G551:G571)</f>
        <v>2565942</v>
      </c>
      <c r="H572" s="1179"/>
      <c r="I572" s="1180"/>
      <c r="J572" s="1181"/>
    </row>
    <row r="573" spans="1:10" ht="21" customHeight="1" x14ac:dyDescent="0.25">
      <c r="A573" s="261" t="s">
        <v>440</v>
      </c>
      <c r="B573" s="307" t="s">
        <v>441</v>
      </c>
      <c r="C573" s="547">
        <v>42900000</v>
      </c>
      <c r="D573" s="547">
        <v>39000000</v>
      </c>
      <c r="E573" s="547">
        <v>8365724</v>
      </c>
      <c r="F573" s="314">
        <f t="shared" si="42"/>
        <v>0.21450574358974359</v>
      </c>
      <c r="G573" s="244"/>
      <c r="I573" s="275"/>
    </row>
    <row r="574" spans="1:10" ht="21" customHeight="1" x14ac:dyDescent="0.25">
      <c r="A574" s="273"/>
      <c r="B574" s="308" t="s">
        <v>442</v>
      </c>
      <c r="C574" s="537">
        <f>('[1]Consumable report'!O3)</f>
        <v>3403400</v>
      </c>
      <c r="D574" s="537">
        <f>(C574/11*10)</f>
        <v>3094000</v>
      </c>
      <c r="E574" s="537">
        <f>('[1]Consumable report'!P3)</f>
        <v>654860.00000000023</v>
      </c>
      <c r="F574" s="314">
        <f t="shared" si="42"/>
        <v>0.2116548157724629</v>
      </c>
      <c r="G574" s="244">
        <f>E574*30%</f>
        <v>196458.00000000006</v>
      </c>
      <c r="I574" s="275"/>
    </row>
    <row r="575" spans="1:10" ht="21" customHeight="1" x14ac:dyDescent="0.25">
      <c r="A575" s="273"/>
      <c r="B575" s="308" t="s">
        <v>443</v>
      </c>
      <c r="C575" s="537">
        <f>('[1]Consumable report'!O4)</f>
        <v>8440300</v>
      </c>
      <c r="D575" s="537">
        <f t="shared" ref="D575:D586" si="45">(C575/11*10)</f>
        <v>7673000</v>
      </c>
      <c r="E575" s="537">
        <f>('[1]Consumable report'!P4)</f>
        <v>2117000.0000000009</v>
      </c>
      <c r="F575" s="314">
        <f t="shared" si="42"/>
        <v>0.27590251531343685</v>
      </c>
      <c r="G575" s="244"/>
      <c r="I575" s="275"/>
    </row>
    <row r="576" spans="1:10" ht="21" customHeight="1" x14ac:dyDescent="0.25">
      <c r="A576" s="273"/>
      <c r="B576" s="308" t="s">
        <v>444</v>
      </c>
      <c r="C576" s="537">
        <f>('[1]Consumable report'!O5)</f>
        <v>5093000.0000000009</v>
      </c>
      <c r="D576" s="537">
        <f t="shared" si="45"/>
        <v>4630000.0000000009</v>
      </c>
      <c r="E576" s="537">
        <f>('[1]Consumable report'!P5)</f>
        <v>1180000.0000000007</v>
      </c>
      <c r="F576" s="314">
        <f t="shared" si="42"/>
        <v>0.25485961123110162</v>
      </c>
      <c r="G576" s="244">
        <f t="shared" ref="G576:G586" si="46">E576*30%</f>
        <v>354000.00000000017</v>
      </c>
      <c r="I576" s="275"/>
    </row>
    <row r="577" spans="1:10" ht="21" customHeight="1" x14ac:dyDescent="0.25">
      <c r="A577" s="273"/>
      <c r="B577" s="308" t="s">
        <v>445</v>
      </c>
      <c r="C577" s="537">
        <f>('[1]Consumable report'!O6)</f>
        <v>5383400</v>
      </c>
      <c r="D577" s="537">
        <f t="shared" si="45"/>
        <v>4894000</v>
      </c>
      <c r="E577" s="537">
        <f>('[1]Consumable report'!P6)</f>
        <v>1085999.9999999998</v>
      </c>
      <c r="F577" s="314">
        <f t="shared" si="42"/>
        <v>0.22190437270126681</v>
      </c>
      <c r="G577" s="244">
        <f t="shared" si="46"/>
        <v>325799.99999999994</v>
      </c>
      <c r="H577" s="309"/>
      <c r="I577" s="275"/>
    </row>
    <row r="578" spans="1:10" ht="21" customHeight="1" x14ac:dyDescent="0.25">
      <c r="A578" s="273"/>
      <c r="B578" s="308" t="s">
        <v>446</v>
      </c>
      <c r="C578" s="537">
        <f>('[1]Consumable report'!O7)</f>
        <v>1210000</v>
      </c>
      <c r="D578" s="537">
        <f t="shared" si="45"/>
        <v>1100000</v>
      </c>
      <c r="E578" s="537">
        <f>('[1]Consumable report'!P7)</f>
        <v>189999.99999999988</v>
      </c>
      <c r="F578" s="314">
        <f t="shared" si="42"/>
        <v>0.17272727272727262</v>
      </c>
      <c r="G578" s="244">
        <f t="shared" si="46"/>
        <v>56999.999999999964</v>
      </c>
      <c r="I578" s="275"/>
    </row>
    <row r="579" spans="1:10" ht="21" customHeight="1" x14ac:dyDescent="0.25">
      <c r="A579" s="273"/>
      <c r="B579" s="308" t="s">
        <v>422</v>
      </c>
      <c r="C579" s="537">
        <f>('[1]Consumable report'!O8)</f>
        <v>4022700</v>
      </c>
      <c r="D579" s="537">
        <f t="shared" si="45"/>
        <v>3657000</v>
      </c>
      <c r="E579" s="537">
        <f>('[1]Consumable report'!P8)</f>
        <v>789400.00000000035</v>
      </c>
      <c r="F579" s="314">
        <f t="shared" ref="F579:F584" si="47">E579/D579</f>
        <v>0.21585999453103646</v>
      </c>
      <c r="G579" s="244">
        <f t="shared" si="46"/>
        <v>236820.00000000009</v>
      </c>
      <c r="I579" s="275"/>
    </row>
    <row r="580" spans="1:10" ht="21" customHeight="1" x14ac:dyDescent="0.25">
      <c r="A580" s="273"/>
      <c r="B580" s="308" t="s">
        <v>447</v>
      </c>
      <c r="C580" s="537">
        <f>('[1]Consumable report'!O9)</f>
        <v>1732500.0000000002</v>
      </c>
      <c r="D580" s="537">
        <f t="shared" si="45"/>
        <v>1575000.0000000002</v>
      </c>
      <c r="E580" s="537">
        <f>('[1]Consumable report'!P9)</f>
        <v>385000.00000000023</v>
      </c>
      <c r="F580" s="314">
        <f t="shared" si="47"/>
        <v>0.24444444444444455</v>
      </c>
      <c r="G580" s="244">
        <f t="shared" si="46"/>
        <v>115500.00000000007</v>
      </c>
      <c r="I580" s="275"/>
    </row>
    <row r="581" spans="1:10" ht="21" customHeight="1" x14ac:dyDescent="0.25">
      <c r="A581" s="273"/>
      <c r="B581" s="308" t="s">
        <v>411</v>
      </c>
      <c r="C581" s="537">
        <f>('[1]Consumable report'!O10)</f>
        <v>1100000</v>
      </c>
      <c r="D581" s="537">
        <f t="shared" si="45"/>
        <v>1000000</v>
      </c>
      <c r="E581" s="537">
        <f>('[1]Consumable report'!P10)</f>
        <v>500000</v>
      </c>
      <c r="F581" s="314">
        <f t="shared" si="47"/>
        <v>0.5</v>
      </c>
      <c r="G581" s="244">
        <f t="shared" si="46"/>
        <v>150000</v>
      </c>
      <c r="I581" s="275"/>
    </row>
    <row r="582" spans="1:10" ht="21" customHeight="1" x14ac:dyDescent="0.25">
      <c r="A582" s="273"/>
      <c r="B582" s="308" t="s">
        <v>448</v>
      </c>
      <c r="C582" s="537">
        <f>('[1]Consumable report'!O11)</f>
        <v>242000.00000000003</v>
      </c>
      <c r="D582" s="537">
        <f t="shared" si="45"/>
        <v>220000.00000000003</v>
      </c>
      <c r="E582" s="537">
        <f>('[1]Consumable report'!P11)</f>
        <v>120000</v>
      </c>
      <c r="F582" s="314">
        <f t="shared" si="47"/>
        <v>0.54545454545454541</v>
      </c>
      <c r="G582" s="244">
        <f t="shared" si="46"/>
        <v>36000</v>
      </c>
      <c r="I582" s="275"/>
    </row>
    <row r="583" spans="1:10" ht="21" customHeight="1" x14ac:dyDescent="0.25">
      <c r="A583" s="273"/>
      <c r="B583" s="463" t="s">
        <v>63</v>
      </c>
      <c r="C583" s="537">
        <f>('[1]Consumable report'!O12)</f>
        <v>935000.00000000012</v>
      </c>
      <c r="D583" s="537">
        <f t="shared" si="45"/>
        <v>850000.00000000012</v>
      </c>
      <c r="E583" s="537">
        <f>('[1]Consumable report'!P12)</f>
        <v>319000.00000000012</v>
      </c>
      <c r="F583" s="314">
        <f t="shared" si="47"/>
        <v>0.37529411764705889</v>
      </c>
      <c r="G583" s="244">
        <f>E583*10%</f>
        <v>31900.000000000015</v>
      </c>
      <c r="I583" s="275"/>
    </row>
    <row r="584" spans="1:10" ht="21" customHeight="1" x14ac:dyDescent="0.25">
      <c r="A584" s="273"/>
      <c r="B584" s="308" t="s">
        <v>449</v>
      </c>
      <c r="C584" s="537">
        <f>('[1]Consumable report'!O13)</f>
        <v>1430000</v>
      </c>
      <c r="D584" s="537">
        <f t="shared" si="45"/>
        <v>1300000</v>
      </c>
      <c r="E584" s="537">
        <f>('[1]Consumable report'!P13)</f>
        <v>494999.99999999994</v>
      </c>
      <c r="F584" s="314">
        <f t="shared" si="47"/>
        <v>0.38076923076923075</v>
      </c>
      <c r="G584" s="244">
        <f t="shared" si="46"/>
        <v>148499.99999999997</v>
      </c>
      <c r="I584" s="275"/>
    </row>
    <row r="585" spans="1:10" ht="21" customHeight="1" x14ac:dyDescent="0.25">
      <c r="A585" s="273"/>
      <c r="B585" s="308" t="s">
        <v>450</v>
      </c>
      <c r="C585" s="537">
        <f>('[1]Consumable report'!O14)</f>
        <v>715000</v>
      </c>
      <c r="D585" s="537">
        <f t="shared" si="45"/>
        <v>650000</v>
      </c>
      <c r="E585" s="537">
        <f>('[1]Consumable report'!P14)</f>
        <v>249999.99999999997</v>
      </c>
      <c r="F585" s="314">
        <f t="shared" ref="F585:F592" si="48">E585/D585</f>
        <v>0.38461538461538458</v>
      </c>
      <c r="G585" s="244">
        <f t="shared" si="46"/>
        <v>74999.999999999985</v>
      </c>
      <c r="I585" s="275"/>
    </row>
    <row r="586" spans="1:10" ht="21" customHeight="1" x14ac:dyDescent="0.25">
      <c r="A586" s="273"/>
      <c r="B586" s="308" t="s">
        <v>451</v>
      </c>
      <c r="C586" s="537">
        <f>('[1]Consumable report'!O15)</f>
        <v>2530000</v>
      </c>
      <c r="D586" s="537">
        <f t="shared" si="45"/>
        <v>2300000</v>
      </c>
      <c r="E586" s="537">
        <f>('[1]Consumable report'!P15)</f>
        <v>525999.99999999977</v>
      </c>
      <c r="F586" s="314">
        <f t="shared" si="48"/>
        <v>0.22869565217391294</v>
      </c>
      <c r="G586" s="244">
        <f t="shared" si="46"/>
        <v>157799.99999999991</v>
      </c>
      <c r="H586" s="228"/>
      <c r="I586" s="275"/>
    </row>
    <row r="587" spans="1:10" ht="21" customHeight="1" x14ac:dyDescent="0.25">
      <c r="A587" s="293"/>
      <c r="B587" s="310">
        <v>17.399999999999999</v>
      </c>
      <c r="C587" s="543">
        <f>SUM(C573:C586)</f>
        <v>79137300</v>
      </c>
      <c r="D587" s="543">
        <f>SUM(D573:D586)</f>
        <v>71943000</v>
      </c>
      <c r="E587" s="543">
        <f>SUM(E573:E586)</f>
        <v>16977984</v>
      </c>
      <c r="F587" s="315">
        <f t="shared" si="48"/>
        <v>0.23599216046036445</v>
      </c>
      <c r="G587" s="884">
        <f>SUM(G573:G586)</f>
        <v>1884778.0000000002</v>
      </c>
      <c r="H587" s="295"/>
      <c r="I587" s="296"/>
    </row>
    <row r="588" spans="1:10" ht="21" customHeight="1" x14ac:dyDescent="0.25">
      <c r="A588" s="311" t="s">
        <v>452</v>
      </c>
      <c r="B588" s="312" t="s">
        <v>453</v>
      </c>
      <c r="C588" s="233">
        <f t="shared" ref="C588:C599" ca="1" si="49">SUMIFS(INDIRECT("Report!F3:F55"),INDIRECT("Report!B3:B55"),B588,INDIRECT("report!H3:H55"), "Consums")</f>
        <v>6967400</v>
      </c>
      <c r="D588" s="537">
        <f t="shared" ref="D588:D615" ca="1" si="50">(C588/11*10)</f>
        <v>6334000</v>
      </c>
      <c r="E588" s="233">
        <f t="shared" ref="E588:E599" ca="1" si="51">SUMIFS(INDIRECT("Report!J3:J55"),INDIRECT("Report!B3:B55"),B588,INDIRECT("report!H3:H55"), "Consums")</f>
        <v>1355720</v>
      </c>
      <c r="F588" s="314">
        <f t="shared" ca="1" si="48"/>
        <v>0.21403852226081466</v>
      </c>
      <c r="G588" s="244">
        <f ca="1">E588*30%</f>
        <v>406716</v>
      </c>
    </row>
    <row r="589" spans="1:10" ht="21" customHeight="1" x14ac:dyDescent="0.25">
      <c r="A589" s="247"/>
      <c r="B589" s="400" t="s">
        <v>513</v>
      </c>
      <c r="C589" s="553">
        <f t="shared" ca="1" si="49"/>
        <v>11089100</v>
      </c>
      <c r="D589" s="554">
        <f t="shared" ca="1" si="50"/>
        <v>10081000</v>
      </c>
      <c r="E589" s="553">
        <f t="shared" ca="1" si="51"/>
        <v>3059700</v>
      </c>
      <c r="F589" s="401">
        <f t="shared" ca="1" si="48"/>
        <v>0.30351155639321498</v>
      </c>
      <c r="G589" s="244"/>
    </row>
    <row r="590" spans="1:10" ht="21" customHeight="1" x14ac:dyDescent="0.25">
      <c r="A590" s="247"/>
      <c r="B590" s="309" t="s">
        <v>454</v>
      </c>
      <c r="C590" s="233">
        <f t="shared" ca="1" si="49"/>
        <v>2200000</v>
      </c>
      <c r="D590" s="537">
        <f t="shared" ca="1" si="50"/>
        <v>2000000</v>
      </c>
      <c r="E590" s="233">
        <f t="shared" ca="1" si="51"/>
        <v>390000</v>
      </c>
      <c r="F590" s="314">
        <f t="shared" ca="1" si="48"/>
        <v>0.19500000000000001</v>
      </c>
      <c r="G590" s="244">
        <f t="shared" ref="G590:G598" ca="1" si="52">E590*30%</f>
        <v>117000</v>
      </c>
    </row>
    <row r="591" spans="1:10" ht="21" customHeight="1" x14ac:dyDescent="0.25">
      <c r="A591" s="247"/>
      <c r="B591" s="312" t="s">
        <v>455</v>
      </c>
      <c r="C591" s="233">
        <f t="shared" ca="1" si="49"/>
        <v>4499000</v>
      </c>
      <c r="D591" s="537">
        <f t="shared" ca="1" si="50"/>
        <v>4090000</v>
      </c>
      <c r="E591" s="233">
        <f t="shared" ca="1" si="51"/>
        <v>892000</v>
      </c>
      <c r="F591" s="314">
        <f t="shared" ca="1" si="48"/>
        <v>0.21809290953545232</v>
      </c>
      <c r="G591" s="244">
        <f t="shared" ca="1" si="52"/>
        <v>267600</v>
      </c>
    </row>
    <row r="592" spans="1:10" ht="21" customHeight="1" x14ac:dyDescent="0.25">
      <c r="A592" s="247"/>
      <c r="B592" s="312" t="s">
        <v>456</v>
      </c>
      <c r="C592" s="233">
        <f t="shared" ca="1" si="49"/>
        <v>4285050</v>
      </c>
      <c r="D592" s="537">
        <f t="shared" ca="1" si="50"/>
        <v>3895500</v>
      </c>
      <c r="E592" s="233">
        <f t="shared" ca="1" si="51"/>
        <v>858500</v>
      </c>
      <c r="F592" s="314">
        <f t="shared" ca="1" si="48"/>
        <v>0.2203824926196894</v>
      </c>
      <c r="G592" s="244">
        <f t="shared" ca="1" si="52"/>
        <v>257550</v>
      </c>
      <c r="J592" s="1029">
        <f ca="1">SUMIFS(INDIRECT("Report!F3:F55"),INDIRECT("Report!B3:B55"),I592,INDIRECT("report!H3:H55"), "Consums")</f>
        <v>0</v>
      </c>
    </row>
    <row r="593" spans="1:10" ht="21" customHeight="1" x14ac:dyDescent="0.25">
      <c r="A593" s="247"/>
      <c r="B593" s="312" t="s">
        <v>457</v>
      </c>
      <c r="C593" s="233">
        <f t="shared" ca="1" si="49"/>
        <v>1210000</v>
      </c>
      <c r="D593" s="537">
        <f t="shared" ca="1" si="50"/>
        <v>1100000</v>
      </c>
      <c r="E593" s="233">
        <f t="shared" ca="1" si="51"/>
        <v>190000</v>
      </c>
      <c r="F593" s="314">
        <f t="shared" ref="F593:F615" ca="1" si="53">E593/D593</f>
        <v>0.17272727272727273</v>
      </c>
      <c r="G593" s="244">
        <f t="shared" ca="1" si="52"/>
        <v>57000</v>
      </c>
    </row>
    <row r="594" spans="1:10" ht="21" customHeight="1" x14ac:dyDescent="0.25">
      <c r="A594" s="247"/>
      <c r="B594" s="312" t="s">
        <v>458</v>
      </c>
      <c r="C594" s="233">
        <f t="shared" ca="1" si="49"/>
        <v>4081000</v>
      </c>
      <c r="D594" s="537">
        <f t="shared" ca="1" si="50"/>
        <v>3710000</v>
      </c>
      <c r="E594" s="233">
        <f t="shared" ca="1" si="51"/>
        <v>1545000</v>
      </c>
      <c r="F594" s="314">
        <f t="shared" ca="1" si="53"/>
        <v>0.4164420485175202</v>
      </c>
      <c r="G594" s="244">
        <f t="shared" ca="1" si="52"/>
        <v>463500</v>
      </c>
    </row>
    <row r="595" spans="1:10" ht="21" customHeight="1" x14ac:dyDescent="0.25">
      <c r="A595" s="247"/>
      <c r="B595" s="312" t="s">
        <v>459</v>
      </c>
      <c r="C595" s="233">
        <f t="shared" ca="1" si="49"/>
        <v>550000</v>
      </c>
      <c r="D595" s="537">
        <f t="shared" ca="1" si="50"/>
        <v>500000</v>
      </c>
      <c r="E595" s="233">
        <f t="shared" ca="1" si="51"/>
        <v>250000</v>
      </c>
      <c r="F595" s="314">
        <f t="shared" ca="1" si="53"/>
        <v>0.5</v>
      </c>
      <c r="G595" s="244">
        <f t="shared" ca="1" si="52"/>
        <v>75000</v>
      </c>
      <c r="J595" s="1029"/>
    </row>
    <row r="596" spans="1:10" ht="21" customHeight="1" x14ac:dyDescent="0.25">
      <c r="A596" s="247"/>
      <c r="B596" s="312" t="s">
        <v>460</v>
      </c>
      <c r="C596" s="233">
        <f t="shared" ca="1" si="49"/>
        <v>110000.00000000001</v>
      </c>
      <c r="D596" s="537">
        <f t="shared" ca="1" si="50"/>
        <v>100000.00000000001</v>
      </c>
      <c r="E596" s="233">
        <f t="shared" ca="1" si="51"/>
        <v>36000</v>
      </c>
      <c r="F596" s="314">
        <f t="shared" ca="1" si="53"/>
        <v>0.35999999999999993</v>
      </c>
      <c r="G596" s="244">
        <f t="shared" ca="1" si="52"/>
        <v>10800</v>
      </c>
    </row>
    <row r="597" spans="1:10" ht="21" customHeight="1" x14ac:dyDescent="0.25">
      <c r="A597" s="247"/>
      <c r="B597" s="312" t="s">
        <v>699</v>
      </c>
      <c r="C597" s="233">
        <f t="shared" ca="1" si="49"/>
        <v>770000.00000000012</v>
      </c>
      <c r="D597" s="537">
        <f t="shared" ca="1" si="50"/>
        <v>700000.00000000012</v>
      </c>
      <c r="E597" s="233">
        <f t="shared" ca="1" si="51"/>
        <v>200000</v>
      </c>
      <c r="F597" s="314">
        <f t="shared" ca="1" si="53"/>
        <v>0.28571428571428564</v>
      </c>
      <c r="G597" s="244">
        <f t="shared" ca="1" si="52"/>
        <v>60000</v>
      </c>
    </row>
    <row r="598" spans="1:10" ht="21" customHeight="1" x14ac:dyDescent="0.25">
      <c r="A598" s="247"/>
      <c r="B598" s="312" t="s">
        <v>461</v>
      </c>
      <c r="C598" s="233">
        <f t="shared" ca="1" si="49"/>
        <v>3902250</v>
      </c>
      <c r="D598" s="537">
        <f t="shared" ca="1" si="50"/>
        <v>3547500</v>
      </c>
      <c r="E598" s="233">
        <f t="shared" ca="1" si="51"/>
        <v>1004000</v>
      </c>
      <c r="F598" s="314">
        <f t="shared" ca="1" si="53"/>
        <v>0.28301620859760396</v>
      </c>
      <c r="G598" s="244">
        <f t="shared" ca="1" si="52"/>
        <v>301200</v>
      </c>
    </row>
    <row r="599" spans="1:10" ht="21" customHeight="1" x14ac:dyDescent="0.25">
      <c r="A599" s="247"/>
      <c r="B599" s="400" t="s">
        <v>514</v>
      </c>
      <c r="C599" s="553">
        <f t="shared" ca="1" si="49"/>
        <v>9900000</v>
      </c>
      <c r="D599" s="554">
        <f t="shared" ca="1" si="50"/>
        <v>9000000</v>
      </c>
      <c r="E599" s="553">
        <f t="shared" ca="1" si="51"/>
        <v>2322094</v>
      </c>
      <c r="F599" s="401">
        <f t="shared" ca="1" si="53"/>
        <v>0.25801044444444443</v>
      </c>
      <c r="G599" s="244"/>
    </row>
    <row r="600" spans="1:10" ht="21" customHeight="1" x14ac:dyDescent="0.25">
      <c r="A600" s="293"/>
      <c r="B600" s="277">
        <v>17.5</v>
      </c>
      <c r="C600" s="543">
        <f ca="1">SUM(C588:C599)</f>
        <v>49563800</v>
      </c>
      <c r="D600" s="543">
        <f ca="1">SUM(D588:D599)</f>
        <v>45058000</v>
      </c>
      <c r="E600" s="543">
        <f ca="1">SUM(E588:E599)</f>
        <v>12103014</v>
      </c>
      <c r="F600" s="315">
        <f t="shared" ca="1" si="53"/>
        <v>0.26860965866216874</v>
      </c>
      <c r="G600" s="884">
        <f ca="1">SUM(G588:G599)</f>
        <v>2016366</v>
      </c>
    </row>
    <row r="601" spans="1:10" ht="21" customHeight="1" x14ac:dyDescent="0.25">
      <c r="A601" s="311" t="s">
        <v>462</v>
      </c>
      <c r="B601" s="400" t="s">
        <v>525</v>
      </c>
      <c r="C601" s="553">
        <f ca="1">SUMIFS(INDIRECT("Report!F58:F117"),INDIRECT("Report!B58:B117"),B601,INDIRECT("report!H58:H117"), "Consums")</f>
        <v>24110680</v>
      </c>
      <c r="D601" s="554">
        <f t="shared" ca="1" si="50"/>
        <v>21918800</v>
      </c>
      <c r="E601" s="553">
        <f t="shared" ref="E601:E615" ca="1" si="54">SUMIFS(INDIRECT("Report!J58:J117"),INDIRECT("Report!B58:B117"),B601,INDIRECT("report!H58:H117"), "Consums")</f>
        <v>4113360</v>
      </c>
      <c r="F601" s="401">
        <f t="shared" ca="1" si="53"/>
        <v>0.18766355822399036</v>
      </c>
    </row>
    <row r="602" spans="1:10" ht="21" customHeight="1" x14ac:dyDescent="0.25">
      <c r="A602" s="247"/>
      <c r="B602" s="312" t="s">
        <v>526</v>
      </c>
      <c r="C602" s="233">
        <f ca="1">SUMIFS(INDIRECT("Report!F58:F117"),INDIRECT("Report!B58:B117"),B602,INDIRECT("report!H58:H117"), "Consums")</f>
        <v>1826000.0000000002</v>
      </c>
      <c r="D602" s="537">
        <f t="shared" ca="1" si="50"/>
        <v>1660000.0000000002</v>
      </c>
      <c r="E602" s="233">
        <f t="shared" ca="1" si="54"/>
        <v>200000</v>
      </c>
      <c r="F602" s="402">
        <f t="shared" ca="1" si="53"/>
        <v>0.12048192771084336</v>
      </c>
      <c r="G602" s="244">
        <f t="shared" ref="G602:G615" ca="1" si="55">E602*30%</f>
        <v>60000</v>
      </c>
    </row>
    <row r="603" spans="1:10" ht="21" customHeight="1" x14ac:dyDescent="0.25">
      <c r="A603" s="247"/>
      <c r="B603" s="312" t="s">
        <v>439</v>
      </c>
      <c r="C603" s="233">
        <f ca="1">SUMIFS(INDIRECT("Report!F57:F117"),INDIRECT("Report!B57:B117"),B603,INDIRECT("report!H57:H117"), "Consums")</f>
        <v>3798300</v>
      </c>
      <c r="D603" s="537">
        <f t="shared" ca="1" si="50"/>
        <v>3453000</v>
      </c>
      <c r="E603" s="233">
        <f t="shared" ca="1" si="54"/>
        <v>738060</v>
      </c>
      <c r="F603" s="314">
        <f t="shared" ca="1" si="53"/>
        <v>0.21374456993918331</v>
      </c>
      <c r="G603" s="244">
        <f t="shared" ca="1" si="55"/>
        <v>221418</v>
      </c>
    </row>
    <row r="604" spans="1:10" ht="21" customHeight="1" x14ac:dyDescent="0.25">
      <c r="A604" s="247"/>
      <c r="B604" s="312" t="s">
        <v>463</v>
      </c>
      <c r="C604" s="233">
        <f t="shared" ref="C604:C615" ca="1" si="56">SUMIFS(INDIRECT("Report!F58:F117"),INDIRECT("Report!B58:B117"),B604,INDIRECT("report!H58:H117"), "Consums")</f>
        <v>3832400</v>
      </c>
      <c r="D604" s="537">
        <f t="shared" ca="1" si="50"/>
        <v>3484000</v>
      </c>
      <c r="E604" s="233">
        <f t="shared" ca="1" si="54"/>
        <v>754000</v>
      </c>
      <c r="F604" s="314">
        <f t="shared" ca="1" si="53"/>
        <v>0.21641791044776118</v>
      </c>
      <c r="G604" s="244">
        <f t="shared" ca="1" si="55"/>
        <v>226200</v>
      </c>
    </row>
    <row r="605" spans="1:10" ht="21" customHeight="1" x14ac:dyDescent="0.25">
      <c r="A605" s="247"/>
      <c r="B605" s="312" t="s">
        <v>515</v>
      </c>
      <c r="C605" s="233">
        <f t="shared" ca="1" si="56"/>
        <v>1210000</v>
      </c>
      <c r="D605" s="537">
        <f t="shared" ca="1" si="50"/>
        <v>1100000</v>
      </c>
      <c r="E605" s="233">
        <f t="shared" ca="1" si="54"/>
        <v>190000</v>
      </c>
      <c r="F605" s="402">
        <f t="shared" ca="1" si="53"/>
        <v>0.17272727272727273</v>
      </c>
      <c r="G605" s="244">
        <f t="shared" ca="1" si="55"/>
        <v>57000</v>
      </c>
    </row>
    <row r="606" spans="1:10" ht="21" customHeight="1" x14ac:dyDescent="0.25">
      <c r="A606" s="247"/>
      <c r="B606" s="312" t="s">
        <v>430</v>
      </c>
      <c r="C606" s="233">
        <f t="shared" ca="1" si="56"/>
        <v>550000</v>
      </c>
      <c r="D606" s="537">
        <f t="shared" ca="1" si="50"/>
        <v>500000</v>
      </c>
      <c r="E606" s="233">
        <f t="shared" ca="1" si="54"/>
        <v>250000</v>
      </c>
      <c r="F606" s="314">
        <f t="shared" ca="1" si="53"/>
        <v>0.5</v>
      </c>
      <c r="G606" s="244">
        <f t="shared" ca="1" si="55"/>
        <v>75000</v>
      </c>
    </row>
    <row r="607" spans="1:10" ht="21" customHeight="1" x14ac:dyDescent="0.25">
      <c r="A607" s="247"/>
      <c r="B607" s="312" t="s">
        <v>464</v>
      </c>
      <c r="C607" s="233">
        <f t="shared" ca="1" si="56"/>
        <v>3135000</v>
      </c>
      <c r="D607" s="537">
        <f t="shared" ca="1" si="50"/>
        <v>2850000</v>
      </c>
      <c r="E607" s="233">
        <f t="shared" ca="1" si="54"/>
        <v>1007200</v>
      </c>
      <c r="F607" s="314">
        <f t="shared" ca="1" si="53"/>
        <v>0.35340350877192983</v>
      </c>
      <c r="G607" s="244">
        <f t="shared" ca="1" si="55"/>
        <v>302160</v>
      </c>
    </row>
    <row r="608" spans="1:10" ht="21" customHeight="1" x14ac:dyDescent="0.25">
      <c r="A608" s="247"/>
      <c r="B608" s="312" t="s">
        <v>465</v>
      </c>
      <c r="C608" s="233">
        <f t="shared" ca="1" si="56"/>
        <v>2604250</v>
      </c>
      <c r="D608" s="537">
        <f t="shared" ca="1" si="50"/>
        <v>2367500</v>
      </c>
      <c r="E608" s="233">
        <f t="shared" ca="1" si="54"/>
        <v>587000</v>
      </c>
      <c r="F608" s="314">
        <f t="shared" ca="1" si="53"/>
        <v>0.24794086589229145</v>
      </c>
      <c r="G608" s="244">
        <f t="shared" ca="1" si="55"/>
        <v>176100</v>
      </c>
    </row>
    <row r="609" spans="1:7" ht="21" customHeight="1" x14ac:dyDescent="0.25">
      <c r="A609" s="247"/>
      <c r="B609" s="596" t="s">
        <v>63</v>
      </c>
      <c r="C609" s="233">
        <f t="shared" ca="1" si="56"/>
        <v>1215500</v>
      </c>
      <c r="D609" s="537">
        <f t="shared" ca="1" si="50"/>
        <v>1105000</v>
      </c>
      <c r="E609" s="233">
        <f t="shared" ca="1" si="54"/>
        <v>454000</v>
      </c>
      <c r="F609" s="314">
        <f t="shared" ca="1" si="53"/>
        <v>0.41085972850678731</v>
      </c>
      <c r="G609" s="244">
        <f ca="1">E609*10%</f>
        <v>45400</v>
      </c>
    </row>
    <row r="610" spans="1:7" ht="21" customHeight="1" x14ac:dyDescent="0.25">
      <c r="A610" s="247"/>
      <c r="B610" s="312" t="s">
        <v>434</v>
      </c>
      <c r="C610" s="233">
        <f t="shared" ca="1" si="56"/>
        <v>9051900</v>
      </c>
      <c r="D610" s="537">
        <f t="shared" ca="1" si="50"/>
        <v>8229000</v>
      </c>
      <c r="E610" s="233">
        <f t="shared" ca="1" si="54"/>
        <v>2089500</v>
      </c>
      <c r="F610" s="314">
        <f t="shared" ca="1" si="53"/>
        <v>0.25391906671527525</v>
      </c>
      <c r="G610" s="244">
        <f t="shared" ca="1" si="55"/>
        <v>626850</v>
      </c>
    </row>
    <row r="611" spans="1:7" ht="21" customHeight="1" x14ac:dyDescent="0.25">
      <c r="A611" s="247"/>
      <c r="B611" s="312" t="s">
        <v>466</v>
      </c>
      <c r="C611" s="233">
        <f t="shared" ca="1" si="56"/>
        <v>1072500</v>
      </c>
      <c r="D611" s="537">
        <f t="shared" ca="1" si="50"/>
        <v>975000</v>
      </c>
      <c r="E611" s="233">
        <f t="shared" ca="1" si="54"/>
        <v>225000</v>
      </c>
      <c r="F611" s="314">
        <f t="shared" ca="1" si="53"/>
        <v>0.23076923076923078</v>
      </c>
      <c r="G611" s="244">
        <f t="shared" ca="1" si="55"/>
        <v>67500</v>
      </c>
    </row>
    <row r="612" spans="1:7" ht="21" customHeight="1" x14ac:dyDescent="0.25">
      <c r="A612" s="247"/>
      <c r="B612" s="312" t="s">
        <v>467</v>
      </c>
      <c r="C612" s="233">
        <f t="shared" ca="1" si="56"/>
        <v>4053500</v>
      </c>
      <c r="D612" s="537">
        <f t="shared" ca="1" si="50"/>
        <v>3685000</v>
      </c>
      <c r="E612" s="233">
        <f t="shared" ca="1" si="54"/>
        <v>817000</v>
      </c>
      <c r="F612" s="314">
        <f t="shared" ca="1" si="53"/>
        <v>0.22170963364993215</v>
      </c>
      <c r="G612" s="244">
        <f t="shared" ca="1" si="55"/>
        <v>245100</v>
      </c>
    </row>
    <row r="613" spans="1:7" ht="21" customHeight="1" x14ac:dyDescent="0.25">
      <c r="A613" s="247"/>
      <c r="B613" s="312" t="s">
        <v>516</v>
      </c>
      <c r="C613" s="233">
        <f t="shared" ca="1" si="56"/>
        <v>258500.00000000003</v>
      </c>
      <c r="D613" s="537">
        <f t="shared" ca="1" si="50"/>
        <v>235000.00000000003</v>
      </c>
      <c r="E613" s="233">
        <f t="shared" ca="1" si="54"/>
        <v>47000</v>
      </c>
      <c r="F613" s="314">
        <f t="shared" ca="1" si="53"/>
        <v>0.19999999999999998</v>
      </c>
      <c r="G613" s="244">
        <f t="shared" ca="1" si="55"/>
        <v>14100</v>
      </c>
    </row>
    <row r="614" spans="1:7" ht="21" customHeight="1" x14ac:dyDescent="0.25">
      <c r="A614" s="247"/>
      <c r="B614" s="312" t="s">
        <v>523</v>
      </c>
      <c r="C614" s="233">
        <f t="shared" ca="1" si="56"/>
        <v>2200000</v>
      </c>
      <c r="D614" s="537">
        <f t="shared" ca="1" si="50"/>
        <v>2000000</v>
      </c>
      <c r="E614" s="233">
        <f t="shared" ca="1" si="54"/>
        <v>390000</v>
      </c>
      <c r="F614" s="314">
        <f t="shared" ca="1" si="53"/>
        <v>0.19500000000000001</v>
      </c>
      <c r="G614" s="244">
        <f t="shared" ca="1" si="55"/>
        <v>117000</v>
      </c>
    </row>
    <row r="615" spans="1:7" ht="21" customHeight="1" x14ac:dyDescent="0.25">
      <c r="A615" s="247"/>
      <c r="B615" s="312" t="s">
        <v>468</v>
      </c>
      <c r="C615" s="233">
        <f t="shared" ca="1" si="56"/>
        <v>902000</v>
      </c>
      <c r="D615" s="537">
        <f t="shared" ca="1" si="50"/>
        <v>820000</v>
      </c>
      <c r="E615" s="233">
        <f t="shared" ca="1" si="54"/>
        <v>350000</v>
      </c>
      <c r="F615" s="314">
        <f t="shared" ca="1" si="53"/>
        <v>0.42682926829268292</v>
      </c>
      <c r="G615" s="244">
        <f t="shared" ca="1" si="55"/>
        <v>105000</v>
      </c>
    </row>
    <row r="616" spans="1:7" ht="21" customHeight="1" x14ac:dyDescent="0.25">
      <c r="A616" s="293"/>
      <c r="B616" s="277">
        <v>17.600000000000001</v>
      </c>
      <c r="C616" s="543">
        <f ca="1">SUM(C601:C615)</f>
        <v>59820530</v>
      </c>
      <c r="D616" s="543">
        <f ca="1">SUM(D601:D615)</f>
        <v>54382300</v>
      </c>
      <c r="E616" s="543">
        <f ca="1">SUM(E601:E615)</f>
        <v>12212120</v>
      </c>
      <c r="F616" s="315">
        <f ca="1">E616/D616</f>
        <v>0.22456056474257249</v>
      </c>
      <c r="G616" s="884">
        <f ca="1">SUM(G601:G615)</f>
        <v>2338828</v>
      </c>
    </row>
    <row r="617" spans="1:7" ht="21" customHeight="1" x14ac:dyDescent="0.25">
      <c r="A617" s="311" t="s">
        <v>642</v>
      </c>
      <c r="B617" s="312" t="s">
        <v>526</v>
      </c>
      <c r="C617" s="250">
        <f ca="1">SUMIFS(INDIRECT("Report!F100:F1000"),INDIRECT("Report!B100:B1000"),B617,INDIRECT("report!H100:H1000"),"Consums",INDIRECT("Report!L100:L1000"),"17.7")</f>
        <v>3608000.0000000005</v>
      </c>
      <c r="D617" s="549">
        <f t="shared" ref="D617:D627" ca="1" si="57">(C617/11*10)</f>
        <v>3280000.0000000005</v>
      </c>
      <c r="E617" s="250">
        <f ca="1">SUMIFS(INDIRECT("Report!J100:J1000"),INDIRECT("Report!B100:B1000"),B617,INDIRECT("report!H100:H1000"),"Consums",INDIRECT("Report!L100:L1000"),"17.7")</f>
        <v>500000</v>
      </c>
      <c r="F617" s="314">
        <f t="shared" ref="F617:F627" ca="1" si="58">E617/D617</f>
        <v>0.15243902439024387</v>
      </c>
      <c r="G617" s="244">
        <f t="shared" ref="G617:G624" ca="1" si="59">E617*30%</f>
        <v>150000</v>
      </c>
    </row>
    <row r="618" spans="1:7" ht="21" customHeight="1" x14ac:dyDescent="0.25">
      <c r="A618" s="247"/>
      <c r="B618" s="312" t="s">
        <v>439</v>
      </c>
      <c r="C618" s="250">
        <f ca="1">SUMIFS(INDIRECT("Report!F100:F1000"),INDIRECT("Report!B100:B1000"),B618,INDIRECT("report!H100:H1000"),"Consums",INDIRECT("Report!L100:L1000"),"17.7")</f>
        <v>6080800</v>
      </c>
      <c r="D618" s="549">
        <f t="shared" ca="1" si="57"/>
        <v>5528000</v>
      </c>
      <c r="E618" s="250">
        <f ca="1">SUMIFS(INDIRECT("Report!J100:J1000"),INDIRECT("Report!B100:B1000"),B618,INDIRECT("report!H100:H1000"),"Consums",INDIRECT("Report!L100:L1000"),"17.7")</f>
        <v>1157640</v>
      </c>
      <c r="F618" s="314">
        <f t="shared" ca="1" si="58"/>
        <v>0.20941389290882778</v>
      </c>
      <c r="G618" s="244">
        <f t="shared" ca="1" si="59"/>
        <v>347292</v>
      </c>
    </row>
    <row r="619" spans="1:7" ht="21" customHeight="1" x14ac:dyDescent="0.25">
      <c r="A619" s="247"/>
      <c r="B619" s="312" t="s">
        <v>463</v>
      </c>
      <c r="C619" s="250">
        <f ca="1">SUMIFS(INDIRECT("Report!F100:F1000"),INDIRECT("Report!B100:B1000"),B619,INDIRECT("report!H100:H1000"),"Consums",INDIRECT("Report!L100:L1000"),"17.7")</f>
        <v>2824250</v>
      </c>
      <c r="D619" s="549">
        <f t="shared" ca="1" si="57"/>
        <v>2567500</v>
      </c>
      <c r="E619" s="250">
        <f ca="1">SUMIFS(INDIRECT("Report!J100:J1000"),INDIRECT("Report!B100:B1000"),B619,INDIRECT("report!H100:H1000"),"Consums",INDIRECT("Report!L100:L1000"),"17.7")</f>
        <v>659500</v>
      </c>
      <c r="F619" s="314">
        <f t="shared" ca="1" si="58"/>
        <v>0.25686465433300876</v>
      </c>
      <c r="G619" s="244">
        <f t="shared" ca="1" si="59"/>
        <v>197850</v>
      </c>
    </row>
    <row r="620" spans="1:7" ht="21" customHeight="1" x14ac:dyDescent="0.25">
      <c r="A620" s="247"/>
      <c r="B620" s="312" t="s">
        <v>515</v>
      </c>
      <c r="C620" s="250">
        <f t="shared" ref="C620:C630" ca="1" si="60">SUMIFS(INDIRECT("Report!F100:F1000"),INDIRECT("Report!B100:B1000"),B620,INDIRECT("report!H100:H1000"),"Consums",INDIRECT("Report!L100:L1000"),"17.7")</f>
        <v>1210000</v>
      </c>
      <c r="D620" s="549">
        <f t="shared" ca="1" si="57"/>
        <v>1100000</v>
      </c>
      <c r="E620" s="250">
        <f t="shared" ref="E620:E630" ca="1" si="61">SUMIFS(INDIRECT("Report!J100:J1000"),INDIRECT("Report!B100:B1000"),B620,INDIRECT("report!H100:H1000"),"Consums",INDIRECT("Report!L100:L1000"),"17.7")</f>
        <v>190000</v>
      </c>
      <c r="F620" s="314">
        <f t="shared" ca="1" si="58"/>
        <v>0.17272727272727273</v>
      </c>
      <c r="G620" s="244">
        <f t="shared" ca="1" si="59"/>
        <v>57000</v>
      </c>
    </row>
    <row r="621" spans="1:7" ht="21" customHeight="1" x14ac:dyDescent="0.25">
      <c r="A621" s="247"/>
      <c r="B621" s="312" t="s">
        <v>430</v>
      </c>
      <c r="C621" s="250">
        <f t="shared" ca="1" si="60"/>
        <v>550000</v>
      </c>
      <c r="D621" s="549">
        <f t="shared" ca="1" si="57"/>
        <v>500000</v>
      </c>
      <c r="E621" s="250">
        <f t="shared" ca="1" si="61"/>
        <v>250000</v>
      </c>
      <c r="F621" s="314">
        <f t="shared" ca="1" si="58"/>
        <v>0.5</v>
      </c>
      <c r="G621" s="244">
        <f t="shared" ca="1" si="59"/>
        <v>75000</v>
      </c>
    </row>
    <row r="622" spans="1:7" ht="21" customHeight="1" x14ac:dyDescent="0.25">
      <c r="A622" s="247"/>
      <c r="B622" s="312" t="s">
        <v>465</v>
      </c>
      <c r="C622" s="250">
        <f t="shared" ca="1" si="60"/>
        <v>1856250.0000000002</v>
      </c>
      <c r="D622" s="549">
        <f t="shared" ca="1" si="57"/>
        <v>1687500.0000000002</v>
      </c>
      <c r="E622" s="250">
        <f t="shared" ca="1" si="61"/>
        <v>487500</v>
      </c>
      <c r="F622" s="314">
        <f t="shared" ca="1" si="58"/>
        <v>0.28888888888888886</v>
      </c>
      <c r="G622" s="244">
        <f t="shared" ca="1" si="59"/>
        <v>146250</v>
      </c>
    </row>
    <row r="623" spans="1:7" ht="21" customHeight="1" x14ac:dyDescent="0.25">
      <c r="A623" s="247"/>
      <c r="B623" s="312" t="s">
        <v>641</v>
      </c>
      <c r="C623" s="250">
        <f t="shared" ca="1" si="60"/>
        <v>5330600</v>
      </c>
      <c r="D623" s="549">
        <f t="shared" ca="1" si="57"/>
        <v>4846000</v>
      </c>
      <c r="E623" s="250">
        <f t="shared" ca="1" si="61"/>
        <v>1067600</v>
      </c>
      <c r="F623" s="314">
        <f t="shared" ca="1" si="58"/>
        <v>0.22030540652084193</v>
      </c>
      <c r="G623" s="244">
        <f t="shared" ca="1" si="59"/>
        <v>320280</v>
      </c>
    </row>
    <row r="624" spans="1:7" ht="21" customHeight="1" x14ac:dyDescent="0.25">
      <c r="A624" s="247"/>
      <c r="B624" s="312" t="s">
        <v>467</v>
      </c>
      <c r="C624" s="250">
        <f t="shared" ca="1" si="60"/>
        <v>7947500</v>
      </c>
      <c r="D624" s="549">
        <f t="shared" ca="1" si="57"/>
        <v>7225000</v>
      </c>
      <c r="E624" s="250">
        <f t="shared" ca="1" si="61"/>
        <v>1573500</v>
      </c>
      <c r="F624" s="314">
        <f t="shared" ca="1" si="58"/>
        <v>0.21778546712802768</v>
      </c>
      <c r="G624" s="244">
        <f t="shared" ca="1" si="59"/>
        <v>472050</v>
      </c>
    </row>
    <row r="625" spans="1:7" ht="21" customHeight="1" x14ac:dyDescent="0.25">
      <c r="A625" s="247"/>
      <c r="B625" s="618" t="s">
        <v>670</v>
      </c>
      <c r="C625" s="236">
        <f t="shared" ca="1" si="60"/>
        <v>1639000.0000000002</v>
      </c>
      <c r="D625" s="236">
        <f t="shared" ca="1" si="57"/>
        <v>1490000.0000000002</v>
      </c>
      <c r="E625" s="236">
        <f t="shared" ca="1" si="61"/>
        <v>190000</v>
      </c>
      <c r="F625" s="531">
        <f t="shared" ca="1" si="58"/>
        <v>0.12751677852348992</v>
      </c>
      <c r="G625" s="244">
        <f ca="1">E625*10%</f>
        <v>19000</v>
      </c>
    </row>
    <row r="626" spans="1:7" ht="21" customHeight="1" x14ac:dyDescent="0.25">
      <c r="A626" s="247"/>
      <c r="B626" s="619" t="s">
        <v>653</v>
      </c>
      <c r="C626" s="236">
        <f t="shared" ca="1" si="60"/>
        <v>1732500.0000000002</v>
      </c>
      <c r="D626" s="236">
        <f t="shared" ca="1" si="57"/>
        <v>1575000.0000000002</v>
      </c>
      <c r="E626" s="236">
        <f t="shared" ca="1" si="61"/>
        <v>483000</v>
      </c>
      <c r="F626" s="555">
        <f t="shared" ca="1" si="58"/>
        <v>0.30666666666666664</v>
      </c>
      <c r="G626" s="244">
        <f ca="1">E626*30%</f>
        <v>144900</v>
      </c>
    </row>
    <row r="627" spans="1:7" ht="21" customHeight="1" x14ac:dyDescent="0.25">
      <c r="A627" s="247"/>
      <c r="B627" s="619" t="s">
        <v>676</v>
      </c>
      <c r="C627" s="236">
        <f t="shared" ca="1" si="60"/>
        <v>396000.00000000006</v>
      </c>
      <c r="D627" s="236">
        <f t="shared" ca="1" si="57"/>
        <v>360000.00000000006</v>
      </c>
      <c r="E627" s="236">
        <f t="shared" ca="1" si="61"/>
        <v>118500</v>
      </c>
      <c r="F627" s="555">
        <f t="shared" ca="1" si="58"/>
        <v>0.32916666666666661</v>
      </c>
      <c r="G627" s="244">
        <f ca="1">E627*30%</f>
        <v>35550</v>
      </c>
    </row>
    <row r="628" spans="1:7" ht="21" customHeight="1" x14ac:dyDescent="0.25">
      <c r="A628" s="247"/>
      <c r="B628" s="619" t="s">
        <v>466</v>
      </c>
      <c r="C628" s="236">
        <f t="shared" ca="1" si="60"/>
        <v>1072500</v>
      </c>
      <c r="D628" s="236">
        <f ca="1">(C628/11*10)</f>
        <v>975000</v>
      </c>
      <c r="E628" s="236">
        <f t="shared" ca="1" si="61"/>
        <v>225000</v>
      </c>
      <c r="F628" s="555">
        <f ca="1">E628/D628</f>
        <v>0.23076923076923078</v>
      </c>
      <c r="G628" s="244">
        <f ca="1">E628*30%</f>
        <v>67500</v>
      </c>
    </row>
    <row r="629" spans="1:7" ht="21" customHeight="1" x14ac:dyDescent="0.25">
      <c r="A629" s="247"/>
      <c r="B629" s="619" t="s">
        <v>677</v>
      </c>
      <c r="C629" s="236">
        <f t="shared" ca="1" si="60"/>
        <v>242000.00000000003</v>
      </c>
      <c r="D629" s="236">
        <f ca="1">(C629/11*10)</f>
        <v>220000.00000000003</v>
      </c>
      <c r="E629" s="236">
        <f t="shared" ca="1" si="61"/>
        <v>120000</v>
      </c>
      <c r="F629" s="555">
        <f ca="1">E629/D629</f>
        <v>0.54545454545454541</v>
      </c>
      <c r="G629" s="244">
        <f ca="1">E629*30%</f>
        <v>36000</v>
      </c>
    </row>
    <row r="630" spans="1:7" ht="21" customHeight="1" x14ac:dyDescent="0.25">
      <c r="A630" s="247"/>
      <c r="B630" s="228" t="s">
        <v>679</v>
      </c>
      <c r="C630" s="236">
        <f t="shared" ca="1" si="60"/>
        <v>77000</v>
      </c>
      <c r="D630" s="236">
        <f ca="1">(C630/11*10)</f>
        <v>70000</v>
      </c>
      <c r="E630" s="236">
        <f t="shared" ca="1" si="61"/>
        <v>20000</v>
      </c>
      <c r="F630" s="555">
        <f ca="1">E630/D630</f>
        <v>0.2857142857142857</v>
      </c>
      <c r="G630" s="244">
        <f ca="1">E630*30%</f>
        <v>6000</v>
      </c>
    </row>
    <row r="631" spans="1:7" ht="21" customHeight="1" x14ac:dyDescent="0.25">
      <c r="A631" s="293"/>
      <c r="B631" s="277">
        <v>17.7</v>
      </c>
      <c r="C631" s="543">
        <f ca="1">SUM(C617:C630)</f>
        <v>34566400</v>
      </c>
      <c r="D631" s="543">
        <f ca="1">SUM(D617:D630)</f>
        <v>31424000</v>
      </c>
      <c r="E631" s="543">
        <f ca="1">SUM(E617:E630)</f>
        <v>7042240</v>
      </c>
      <c r="F631" s="315">
        <f ca="1">E631/D631</f>
        <v>0.22410386965376783</v>
      </c>
      <c r="G631" s="884">
        <f ca="1">SUM(G617:G630)</f>
        <v>2074672</v>
      </c>
    </row>
    <row r="632" spans="1:7" ht="21" customHeight="1" x14ac:dyDescent="0.25">
      <c r="A632" s="311" t="s">
        <v>709</v>
      </c>
      <c r="B632" s="228" t="s">
        <v>439</v>
      </c>
      <c r="C632" s="250">
        <f t="shared" ref="C632:C642" ca="1" si="62">SUMIFS(INDIRECT("Report!F100:F1000"),INDIRECT("Report!B100:B1000"),B632,INDIRECT("report!H100:H1000"),"Consums",INDIRECT("Report!L100:L1000"),"17.8")</f>
        <v>6254600</v>
      </c>
      <c r="D632" s="549">
        <f t="shared" ref="D632:D642" ca="1" si="63">(C632/11*10)</f>
        <v>5686000</v>
      </c>
      <c r="E632" s="250">
        <f t="shared" ref="E632:E642" ca="1" si="64">SUMIFS(INDIRECT("Report!J100:J1000"),INDIRECT("Report!B100:B1000"),B632,INDIRECT("report!H100:H1000"),"Consums",INDIRECT("Report!L100:L1000"),"17.8")</f>
        <v>861860</v>
      </c>
      <c r="F632" s="555">
        <f t="shared" ref="F632:F642" ca="1" si="65">E632/D632</f>
        <v>0.15157580021104466</v>
      </c>
      <c r="G632" s="244">
        <f t="shared" ref="G632:G641" ca="1" si="66">E632*30%</f>
        <v>258558</v>
      </c>
    </row>
    <row r="633" spans="1:7" ht="21" customHeight="1" x14ac:dyDescent="0.25">
      <c r="A633" s="247"/>
      <c r="B633" s="228" t="s">
        <v>445</v>
      </c>
      <c r="C633" s="250">
        <f t="shared" ca="1" si="62"/>
        <v>2860000</v>
      </c>
      <c r="D633" s="549">
        <f t="shared" ca="1" si="63"/>
        <v>2600000</v>
      </c>
      <c r="E633" s="250">
        <f t="shared" ca="1" si="64"/>
        <v>550000</v>
      </c>
      <c r="F633" s="555">
        <f t="shared" ca="1" si="65"/>
        <v>0.21153846153846154</v>
      </c>
      <c r="G633" s="244">
        <f t="shared" ca="1" si="66"/>
        <v>165000</v>
      </c>
    </row>
    <row r="634" spans="1:7" ht="21" customHeight="1" x14ac:dyDescent="0.25">
      <c r="A634" s="247"/>
      <c r="B634" s="228" t="s">
        <v>446</v>
      </c>
      <c r="C634" s="250">
        <f t="shared" ca="1" si="62"/>
        <v>968000.00000000012</v>
      </c>
      <c r="D634" s="549">
        <f t="shared" ca="1" si="63"/>
        <v>880000.00000000012</v>
      </c>
      <c r="E634" s="250">
        <f t="shared" ca="1" si="64"/>
        <v>152000</v>
      </c>
      <c r="F634" s="555">
        <f t="shared" ca="1" si="65"/>
        <v>0.1727272727272727</v>
      </c>
      <c r="G634" s="244">
        <f t="shared" ca="1" si="66"/>
        <v>45600</v>
      </c>
    </row>
    <row r="635" spans="1:7" ht="21" customHeight="1" x14ac:dyDescent="0.25">
      <c r="A635" s="247"/>
      <c r="B635" s="228" t="s">
        <v>430</v>
      </c>
      <c r="C635" s="250">
        <f t="shared" ca="1" si="62"/>
        <v>550000</v>
      </c>
      <c r="D635" s="549">
        <f t="shared" ca="1" si="63"/>
        <v>500000</v>
      </c>
      <c r="E635" s="250">
        <f t="shared" ca="1" si="64"/>
        <v>250000</v>
      </c>
      <c r="F635" s="555">
        <f t="shared" ca="1" si="65"/>
        <v>0.5</v>
      </c>
      <c r="G635" s="244">
        <f t="shared" ca="1" si="66"/>
        <v>75000</v>
      </c>
    </row>
    <row r="636" spans="1:7" ht="21" customHeight="1" x14ac:dyDescent="0.25">
      <c r="A636" s="247"/>
      <c r="B636" s="228" t="s">
        <v>465</v>
      </c>
      <c r="C636" s="250">
        <f t="shared" ca="1" si="62"/>
        <v>2979900</v>
      </c>
      <c r="D636" s="549">
        <f t="shared" ca="1" si="63"/>
        <v>2709000</v>
      </c>
      <c r="E636" s="250">
        <f t="shared" ca="1" si="64"/>
        <v>622500</v>
      </c>
      <c r="F636" s="555">
        <f t="shared" ca="1" si="65"/>
        <v>0.22978959025470652</v>
      </c>
      <c r="G636" s="244">
        <f t="shared" ca="1" si="66"/>
        <v>186750</v>
      </c>
    </row>
    <row r="637" spans="1:7" ht="21" customHeight="1" x14ac:dyDescent="0.25">
      <c r="A637" s="247"/>
      <c r="B637" s="228" t="s">
        <v>434</v>
      </c>
      <c r="C637" s="250">
        <f t="shared" ca="1" si="62"/>
        <v>5054500</v>
      </c>
      <c r="D637" s="549">
        <f t="shared" ca="1" si="63"/>
        <v>4595000</v>
      </c>
      <c r="E637" s="250">
        <f t="shared" ca="1" si="64"/>
        <v>1438500</v>
      </c>
      <c r="F637" s="555">
        <f t="shared" ca="1" si="65"/>
        <v>0.31305767138193691</v>
      </c>
      <c r="G637" s="244">
        <f t="shared" ca="1" si="66"/>
        <v>431550</v>
      </c>
    </row>
    <row r="638" spans="1:7" ht="21" customHeight="1" x14ac:dyDescent="0.25">
      <c r="A638" s="247"/>
      <c r="B638" s="228" t="s">
        <v>467</v>
      </c>
      <c r="C638" s="250">
        <f t="shared" ca="1" si="62"/>
        <v>1952500</v>
      </c>
      <c r="D638" s="549">
        <f t="shared" ca="1" si="63"/>
        <v>1775000</v>
      </c>
      <c r="E638" s="250">
        <f t="shared" ca="1" si="64"/>
        <v>396000</v>
      </c>
      <c r="F638" s="555">
        <f t="shared" ca="1" si="65"/>
        <v>0.22309859154929579</v>
      </c>
      <c r="G638" s="244">
        <f t="shared" ca="1" si="66"/>
        <v>118800</v>
      </c>
    </row>
    <row r="639" spans="1:7" ht="21" customHeight="1" x14ac:dyDescent="0.25">
      <c r="A639" s="247"/>
      <c r="B639" s="228" t="s">
        <v>758</v>
      </c>
      <c r="C639" s="236">
        <f t="shared" ca="1" si="62"/>
        <v>756800.00000000012</v>
      </c>
      <c r="D639" s="549">
        <f t="shared" ca="1" si="63"/>
        <v>688000.00000000012</v>
      </c>
      <c r="E639" s="236">
        <f t="shared" ca="1" si="64"/>
        <v>137600</v>
      </c>
      <c r="F639" s="555">
        <f t="shared" ca="1" si="65"/>
        <v>0.19999999999999996</v>
      </c>
      <c r="G639" s="244">
        <f t="shared" ca="1" si="66"/>
        <v>41280</v>
      </c>
    </row>
    <row r="640" spans="1:7" ht="21" customHeight="1" x14ac:dyDescent="0.25">
      <c r="A640" s="247"/>
      <c r="B640" s="228" t="s">
        <v>464</v>
      </c>
      <c r="C640" s="236">
        <f t="shared" ca="1" si="62"/>
        <v>715000</v>
      </c>
      <c r="D640" s="549">
        <f t="shared" ca="1" si="63"/>
        <v>650000</v>
      </c>
      <c r="E640" s="236">
        <f t="shared" ca="1" si="64"/>
        <v>225000</v>
      </c>
      <c r="F640" s="555">
        <f t="shared" ca="1" si="65"/>
        <v>0.34615384615384615</v>
      </c>
      <c r="G640" s="244">
        <f t="shared" ca="1" si="66"/>
        <v>67500</v>
      </c>
    </row>
    <row r="641" spans="1:10" ht="21" customHeight="1" x14ac:dyDescent="0.25">
      <c r="A641" s="247"/>
      <c r="B641" s="228" t="s">
        <v>759</v>
      </c>
      <c r="C641" s="236">
        <f t="shared" ca="1" si="62"/>
        <v>1821600</v>
      </c>
      <c r="D641" s="549">
        <f t="shared" ca="1" si="63"/>
        <v>1656000</v>
      </c>
      <c r="E641" s="236">
        <f t="shared" ca="1" si="64"/>
        <v>564000</v>
      </c>
      <c r="F641" s="555">
        <f t="shared" ca="1" si="65"/>
        <v>0.34057971014492755</v>
      </c>
      <c r="G641" s="244">
        <f t="shared" ca="1" si="66"/>
        <v>169200</v>
      </c>
    </row>
    <row r="642" spans="1:10" ht="21" customHeight="1" x14ac:dyDescent="0.25">
      <c r="A642" s="247"/>
      <c r="B642" s="596" t="s">
        <v>63</v>
      </c>
      <c r="C642" s="236">
        <f t="shared" ca="1" si="62"/>
        <v>935000.00000000012</v>
      </c>
      <c r="D642" s="549">
        <f t="shared" ca="1" si="63"/>
        <v>850000.00000000012</v>
      </c>
      <c r="E642" s="236">
        <f t="shared" ca="1" si="64"/>
        <v>319000</v>
      </c>
      <c r="F642" s="555">
        <f t="shared" ca="1" si="65"/>
        <v>0.37529411764705878</v>
      </c>
      <c r="G642" s="244">
        <f ca="1">E642*10%</f>
        <v>31900</v>
      </c>
    </row>
    <row r="643" spans="1:10" ht="21" customHeight="1" x14ac:dyDescent="0.25">
      <c r="A643" s="293"/>
      <c r="B643" s="277">
        <v>17.8</v>
      </c>
      <c r="C643" s="543">
        <f ca="1">SUM(C632:C642)</f>
        <v>24847900</v>
      </c>
      <c r="D643" s="543">
        <f ca="1">SUM(D632:D642)</f>
        <v>22589000</v>
      </c>
      <c r="E643" s="543">
        <f ca="1">SUM(E632:E642)</f>
        <v>5516460</v>
      </c>
      <c r="F643" s="315">
        <f ca="1">E643/D643</f>
        <v>0.24421001372349374</v>
      </c>
      <c r="G643" s="818">
        <f ca="1">SUM(G632:G642)</f>
        <v>1591138</v>
      </c>
    </row>
    <row r="644" spans="1:10" ht="21" customHeight="1" x14ac:dyDescent="0.25">
      <c r="A644" s="311" t="s">
        <v>832</v>
      </c>
      <c r="B644" s="249" t="s">
        <v>526</v>
      </c>
      <c r="C644" s="250">
        <f t="shared" ref="C644:C656" ca="1" si="67">SUMIFS(INDIRECT("Report!F100:F1000"),INDIRECT("Report!B100:B1000"),B644,INDIRECT("report!H100:H1000"),"Consums",INDIRECT("Report!L100:L1000"),"17.9")</f>
        <v>7111500.0000000009</v>
      </c>
      <c r="D644" s="549">
        <f ca="1">(C644/11*10)</f>
        <v>6465000.0000000009</v>
      </c>
      <c r="E644" s="250">
        <f t="shared" ref="E644:E656" ca="1" si="68">SUMIFS(INDIRECT("Report!J100:J1000"),INDIRECT("Report!B100:B1000"),B644,INDIRECT("report!H100:H1000"),"Consums",INDIRECT("Report!L100:L1000"),"17.9")</f>
        <v>35000</v>
      </c>
      <c r="F644" s="555">
        <f ca="1">E644/D644</f>
        <v>5.4137664346481044E-3</v>
      </c>
      <c r="G644" s="244">
        <f t="shared" ref="G644:G656" ca="1" si="69">E644*30%</f>
        <v>10500</v>
      </c>
      <c r="H644" s="795"/>
      <c r="I644" s="795"/>
      <c r="J644" s="795"/>
    </row>
    <row r="645" spans="1:10" ht="21" customHeight="1" x14ac:dyDescent="0.25">
      <c r="A645" s="247"/>
      <c r="B645" s="228" t="s">
        <v>439</v>
      </c>
      <c r="C645" s="250">
        <f t="shared" ca="1" si="67"/>
        <v>3989700</v>
      </c>
      <c r="D645" s="549">
        <f t="shared" ref="D645:D656" ca="1" si="70">(C645/11*10)</f>
        <v>3627000</v>
      </c>
      <c r="E645" s="250">
        <f t="shared" ca="1" si="68"/>
        <v>637860</v>
      </c>
      <c r="F645" s="555">
        <f t="shared" ref="F645:F656" ca="1" si="71">E645/D645</f>
        <v>0.17586435070306039</v>
      </c>
      <c r="G645" s="244">
        <f t="shared" ca="1" si="69"/>
        <v>191358</v>
      </c>
    </row>
    <row r="646" spans="1:10" ht="21" customHeight="1" x14ac:dyDescent="0.25">
      <c r="A646" s="247"/>
      <c r="B646" s="228" t="s">
        <v>445</v>
      </c>
      <c r="C646" s="250">
        <f t="shared" ca="1" si="67"/>
        <v>3162500</v>
      </c>
      <c r="D646" s="549">
        <f t="shared" ca="1" si="70"/>
        <v>2875000</v>
      </c>
      <c r="E646" s="250">
        <f t="shared" ca="1" si="68"/>
        <v>440000</v>
      </c>
      <c r="F646" s="555">
        <f t="shared" ca="1" si="71"/>
        <v>0.15304347826086956</v>
      </c>
      <c r="G646" s="244">
        <f t="shared" ca="1" si="69"/>
        <v>132000</v>
      </c>
    </row>
    <row r="647" spans="1:10" ht="21" customHeight="1" x14ac:dyDescent="0.25">
      <c r="A647" s="247"/>
      <c r="B647" s="228" t="s">
        <v>555</v>
      </c>
      <c r="C647" s="250">
        <f t="shared" ca="1" si="67"/>
        <v>2428800</v>
      </c>
      <c r="D647" s="549">
        <f t="shared" ca="1" si="70"/>
        <v>2208000</v>
      </c>
      <c r="E647" s="250">
        <f t="shared" ca="1" si="68"/>
        <v>752000</v>
      </c>
      <c r="F647" s="555">
        <f t="shared" ca="1" si="71"/>
        <v>0.34057971014492755</v>
      </c>
      <c r="G647" s="244">
        <f t="shared" ca="1" si="69"/>
        <v>225600</v>
      </c>
    </row>
    <row r="648" spans="1:10" ht="21" customHeight="1" x14ac:dyDescent="0.25">
      <c r="A648" s="247"/>
      <c r="B648" s="228" t="s">
        <v>430</v>
      </c>
      <c r="C648" s="250">
        <f t="shared" ca="1" si="67"/>
        <v>1100000</v>
      </c>
      <c r="D648" s="549">
        <f t="shared" ca="1" si="70"/>
        <v>1000000</v>
      </c>
      <c r="E648" s="250">
        <f t="shared" ca="1" si="68"/>
        <v>500000</v>
      </c>
      <c r="F648" s="555">
        <f t="shared" ca="1" si="71"/>
        <v>0.5</v>
      </c>
      <c r="G648" s="244">
        <f t="shared" ca="1" si="69"/>
        <v>150000</v>
      </c>
    </row>
    <row r="649" spans="1:10" ht="21" customHeight="1" x14ac:dyDescent="0.25">
      <c r="A649" s="247"/>
      <c r="B649" s="228" t="s">
        <v>465</v>
      </c>
      <c r="C649" s="250">
        <f t="shared" ca="1" si="67"/>
        <v>5568750.0000000009</v>
      </c>
      <c r="D649" s="549">
        <f t="shared" ca="1" si="70"/>
        <v>5062500.0000000009</v>
      </c>
      <c r="E649" s="250">
        <f t="shared" ca="1" si="68"/>
        <v>1182000</v>
      </c>
      <c r="F649" s="555">
        <f t="shared" ca="1" si="71"/>
        <v>0.23348148148148143</v>
      </c>
      <c r="G649" s="244">
        <f t="shared" ca="1" si="69"/>
        <v>354600</v>
      </c>
    </row>
    <row r="650" spans="1:10" ht="21" customHeight="1" x14ac:dyDescent="0.25">
      <c r="A650" s="247"/>
      <c r="B650" s="228" t="s">
        <v>434</v>
      </c>
      <c r="C650" s="250">
        <f t="shared" ca="1" si="67"/>
        <v>10795400</v>
      </c>
      <c r="D650" s="549">
        <f t="shared" ca="1" si="70"/>
        <v>9814000</v>
      </c>
      <c r="E650" s="250">
        <f t="shared" ca="1" si="68"/>
        <v>3339000</v>
      </c>
      <c r="F650" s="555">
        <f t="shared" ca="1" si="71"/>
        <v>0.34022824536376606</v>
      </c>
      <c r="G650" s="244">
        <f t="shared" ca="1" si="69"/>
        <v>1001700</v>
      </c>
    </row>
    <row r="651" spans="1:10" ht="21" customHeight="1" x14ac:dyDescent="0.25">
      <c r="A651" s="247"/>
      <c r="B651" s="228" t="s">
        <v>467</v>
      </c>
      <c r="C651" s="250">
        <f t="shared" ca="1" si="67"/>
        <v>5857500</v>
      </c>
      <c r="D651" s="549">
        <f t="shared" ca="1" si="70"/>
        <v>5325000</v>
      </c>
      <c r="E651" s="250">
        <f t="shared" ca="1" si="68"/>
        <v>1188000</v>
      </c>
      <c r="F651" s="555">
        <f t="shared" ca="1" si="71"/>
        <v>0.22309859154929579</v>
      </c>
      <c r="G651" s="244">
        <f t="shared" ca="1" si="69"/>
        <v>356400</v>
      </c>
    </row>
    <row r="652" spans="1:10" ht="21" customHeight="1" x14ac:dyDescent="0.25">
      <c r="A652" s="247"/>
      <c r="B652" s="228" t="s">
        <v>523</v>
      </c>
      <c r="C652" s="250">
        <f t="shared" ca="1" si="67"/>
        <v>2200000</v>
      </c>
      <c r="D652" s="549">
        <f t="shared" ca="1" si="70"/>
        <v>2000000</v>
      </c>
      <c r="E652" s="250">
        <f t="shared" ca="1" si="68"/>
        <v>390000</v>
      </c>
      <c r="F652" s="555">
        <f t="shared" ca="1" si="71"/>
        <v>0.19500000000000001</v>
      </c>
      <c r="G652" s="244">
        <f t="shared" ca="1" si="69"/>
        <v>117000</v>
      </c>
    </row>
    <row r="653" spans="1:10" ht="21" customHeight="1" x14ac:dyDescent="0.25">
      <c r="A653" s="247"/>
      <c r="B653" s="228" t="s">
        <v>468</v>
      </c>
      <c r="C653" s="250">
        <f t="shared" ca="1" si="67"/>
        <v>1754500</v>
      </c>
      <c r="D653" s="549">
        <f t="shared" ca="1" si="70"/>
        <v>1595000</v>
      </c>
      <c r="E653" s="250">
        <f t="shared" ca="1" si="68"/>
        <v>507000</v>
      </c>
      <c r="F653" s="555">
        <f t="shared" ca="1" si="71"/>
        <v>0.31786833855799373</v>
      </c>
      <c r="G653" s="244">
        <f t="shared" ca="1" si="69"/>
        <v>152100</v>
      </c>
    </row>
    <row r="654" spans="1:10" ht="21" customHeight="1" x14ac:dyDescent="0.25">
      <c r="A654" s="247"/>
      <c r="B654" s="312" t="s">
        <v>653</v>
      </c>
      <c r="C654" s="250">
        <f t="shared" ca="1" si="67"/>
        <v>825000.00000000012</v>
      </c>
      <c r="D654" s="549">
        <f t="shared" ca="1" si="70"/>
        <v>750000.00000000012</v>
      </c>
      <c r="E654" s="250">
        <f t="shared" ca="1" si="68"/>
        <v>256000</v>
      </c>
      <c r="F654" s="555">
        <f t="shared" ca="1" si="71"/>
        <v>0.34133333333333327</v>
      </c>
      <c r="G654" s="244">
        <f t="shared" ca="1" si="69"/>
        <v>76800</v>
      </c>
    </row>
    <row r="655" spans="1:10" ht="21" customHeight="1" x14ac:dyDescent="0.25">
      <c r="A655" s="247"/>
      <c r="B655" s="228" t="s">
        <v>466</v>
      </c>
      <c r="C655" s="236">
        <f t="shared" ca="1" si="67"/>
        <v>357500</v>
      </c>
      <c r="D655" s="236">
        <f t="shared" ca="1" si="70"/>
        <v>325000</v>
      </c>
      <c r="E655" s="236">
        <f t="shared" ca="1" si="68"/>
        <v>75000</v>
      </c>
      <c r="F655" s="555">
        <f t="shared" ca="1" si="71"/>
        <v>0.23076923076923078</v>
      </c>
      <c r="G655" s="244">
        <f t="shared" ca="1" si="69"/>
        <v>22500</v>
      </c>
    </row>
    <row r="656" spans="1:10" ht="21" customHeight="1" x14ac:dyDescent="0.25">
      <c r="A656" s="247"/>
      <c r="B656" s="228" t="s">
        <v>833</v>
      </c>
      <c r="C656" s="236">
        <f t="shared" ca="1" si="67"/>
        <v>143000</v>
      </c>
      <c r="D656" s="236">
        <f t="shared" ca="1" si="70"/>
        <v>130000</v>
      </c>
      <c r="E656" s="236">
        <f t="shared" ca="1" si="68"/>
        <v>30000</v>
      </c>
      <c r="F656" s="555">
        <f t="shared" ca="1" si="71"/>
        <v>0.23076923076923078</v>
      </c>
      <c r="G656" s="244">
        <f t="shared" ca="1" si="69"/>
        <v>9000</v>
      </c>
    </row>
    <row r="657" spans="1:7" ht="21" customHeight="1" x14ac:dyDescent="0.25">
      <c r="A657" s="293"/>
      <c r="B657" s="277">
        <v>17.899999999999999</v>
      </c>
      <c r="C657" s="543">
        <f ca="1">SUM(C644:C656)</f>
        <v>45294150</v>
      </c>
      <c r="D657" s="543">
        <f ca="1">SUM(D644:D656)</f>
        <v>41176500</v>
      </c>
      <c r="E657" s="543">
        <f ca="1">SUM(E644:E656)</f>
        <v>9331860</v>
      </c>
      <c r="F657" s="315">
        <f ca="1">E657/D657</f>
        <v>0.22663072383519725</v>
      </c>
      <c r="G657" s="818">
        <f ca="1">SUM(G644:G656)</f>
        <v>2799558</v>
      </c>
    </row>
    <row r="658" spans="1:7" ht="21" customHeight="1" x14ac:dyDescent="0.25">
      <c r="A658" s="311" t="s">
        <v>936</v>
      </c>
      <c r="B658" s="228" t="s">
        <v>439</v>
      </c>
      <c r="C658" s="233">
        <f t="shared" ref="C658:C667" ca="1" si="72">SUMIFS(INDIRECT("Report!F100:F1000"),INDIRECT("Report!B100:B1000"),B658,INDIRECT("report!H100:H1000"),"Consums",INDIRECT("Report!L100:L1000"),"17.10")</f>
        <v>5877300</v>
      </c>
      <c r="D658" s="549">
        <f t="shared" ref="D658:D667" ca="1" si="73">(C658/11*10)</f>
        <v>5343000</v>
      </c>
      <c r="E658" s="233">
        <f t="shared" ref="E658:E667" ca="1" si="74">SUMIFS(INDIRECT("Report!J100:J1000"),INDIRECT("Report!B100:B1000"),B658,INDIRECT("report!H100:H1000"),"Consums",INDIRECT("Report!L100:L1000"),"17.10")</f>
        <v>1130720</v>
      </c>
      <c r="F658" s="555">
        <f t="shared" ref="F658:F667" ca="1" si="75">E658/D658</f>
        <v>0.21162642710087964</v>
      </c>
      <c r="G658" s="244">
        <f t="shared" ref="G658:G667" ca="1" si="76">E658*30%</f>
        <v>339216</v>
      </c>
    </row>
    <row r="659" spans="1:7" ht="21" customHeight="1" x14ac:dyDescent="0.25">
      <c r="A659" s="247"/>
      <c r="B659" s="228" t="s">
        <v>445</v>
      </c>
      <c r="C659" s="233">
        <f t="shared" ca="1" si="72"/>
        <v>3516700</v>
      </c>
      <c r="D659" s="549">
        <f t="shared" ca="1" si="73"/>
        <v>3197000</v>
      </c>
      <c r="E659" s="233">
        <f t="shared" ca="1" si="74"/>
        <v>662000</v>
      </c>
      <c r="F659" s="555">
        <f t="shared" ca="1" si="75"/>
        <v>0.20706912730685018</v>
      </c>
      <c r="G659" s="244">
        <f t="shared" ca="1" si="76"/>
        <v>198600</v>
      </c>
    </row>
    <row r="660" spans="1:7" ht="21" customHeight="1" x14ac:dyDescent="0.25">
      <c r="A660" s="247"/>
      <c r="B660" s="228" t="s">
        <v>515</v>
      </c>
      <c r="C660" s="233">
        <f t="shared" ca="1" si="72"/>
        <v>968000.00000000012</v>
      </c>
      <c r="D660" s="549">
        <f ca="1">(C660/11*10)</f>
        <v>880000.00000000012</v>
      </c>
      <c r="E660" s="233">
        <f ca="1">SUMIFS(INDIRECT("Report!J100:J1000"),INDIRECT("Report!B100:B1000"),B660,INDIRECT("report!H100:H1000"),"Consums",INDIRECT("Report!L100:L1000"),"17.10")</f>
        <v>152000</v>
      </c>
      <c r="F660" s="555">
        <f ca="1">E660/D660</f>
        <v>0.1727272727272727</v>
      </c>
      <c r="G660" s="244">
        <f t="shared" ca="1" si="76"/>
        <v>45600</v>
      </c>
    </row>
    <row r="661" spans="1:7" ht="21" customHeight="1" x14ac:dyDescent="0.25">
      <c r="A661" s="247"/>
      <c r="B661" s="228" t="s">
        <v>449</v>
      </c>
      <c r="C661" s="233">
        <f t="shared" ca="1" si="72"/>
        <v>715000</v>
      </c>
      <c r="D661" s="549">
        <f ca="1">(C661/11*10)</f>
        <v>650000</v>
      </c>
      <c r="E661" s="233">
        <f ca="1">SUMIFS(INDIRECT("Report!J100:J1000"),INDIRECT("Report!B100:B1000"),B661,INDIRECT("report!H100:H1000"),"Consums",INDIRECT("Report!L100:L1000"),"17.10")</f>
        <v>225000</v>
      </c>
      <c r="F661" s="555">
        <f ca="1">E661/D661</f>
        <v>0.34615384615384615</v>
      </c>
      <c r="G661" s="244">
        <f t="shared" ca="1" si="76"/>
        <v>67500</v>
      </c>
    </row>
    <row r="662" spans="1:7" ht="21" customHeight="1" x14ac:dyDescent="0.25">
      <c r="A662" s="247"/>
      <c r="B662" s="228" t="s">
        <v>430</v>
      </c>
      <c r="C662" s="233">
        <f t="shared" ca="1" si="72"/>
        <v>1100000</v>
      </c>
      <c r="D662" s="549">
        <f t="shared" ca="1" si="73"/>
        <v>1000000</v>
      </c>
      <c r="E662" s="233">
        <f t="shared" ca="1" si="74"/>
        <v>500000</v>
      </c>
      <c r="F662" s="555">
        <f t="shared" ca="1" si="75"/>
        <v>0.5</v>
      </c>
      <c r="G662" s="244">
        <f t="shared" ca="1" si="76"/>
        <v>150000</v>
      </c>
    </row>
    <row r="663" spans="1:7" ht="21" customHeight="1" x14ac:dyDescent="0.25">
      <c r="A663" s="247"/>
      <c r="B663" s="228" t="s">
        <v>434</v>
      </c>
      <c r="C663" s="233">
        <f t="shared" ca="1" si="72"/>
        <v>4757500</v>
      </c>
      <c r="D663" s="549">
        <f t="shared" ca="1" si="73"/>
        <v>4325000</v>
      </c>
      <c r="E663" s="233">
        <f t="shared" ca="1" si="74"/>
        <v>1300500</v>
      </c>
      <c r="F663" s="555">
        <f t="shared" ca="1" si="75"/>
        <v>0.3006936416184971</v>
      </c>
      <c r="G663" s="244">
        <f t="shared" ca="1" si="76"/>
        <v>390150</v>
      </c>
    </row>
    <row r="664" spans="1:7" ht="21" customHeight="1" x14ac:dyDescent="0.25">
      <c r="A664" s="247"/>
      <c r="B664" s="228" t="s">
        <v>467</v>
      </c>
      <c r="C664" s="233">
        <f t="shared" ca="1" si="72"/>
        <v>2992000</v>
      </c>
      <c r="D664" s="549">
        <f t="shared" ca="1" si="73"/>
        <v>2720000</v>
      </c>
      <c r="E664" s="233">
        <f t="shared" ca="1" si="74"/>
        <v>571000</v>
      </c>
      <c r="F664" s="555">
        <f t="shared" ca="1" si="75"/>
        <v>0.2099264705882353</v>
      </c>
      <c r="G664" s="244">
        <f t="shared" ca="1" si="76"/>
        <v>171300</v>
      </c>
    </row>
    <row r="665" spans="1:7" ht="21" customHeight="1" x14ac:dyDescent="0.25">
      <c r="A665" s="247"/>
      <c r="B665" s="312" t="s">
        <v>653</v>
      </c>
      <c r="C665" s="233">
        <f t="shared" ca="1" si="72"/>
        <v>907500.00000000012</v>
      </c>
      <c r="D665" s="549">
        <f t="shared" ca="1" si="73"/>
        <v>825000.00000000012</v>
      </c>
      <c r="E665" s="233">
        <f t="shared" ca="1" si="74"/>
        <v>185000</v>
      </c>
      <c r="F665" s="555">
        <f t="shared" ca="1" si="75"/>
        <v>0.22424242424242422</v>
      </c>
      <c r="G665" s="244">
        <f t="shared" ca="1" si="76"/>
        <v>55500</v>
      </c>
    </row>
    <row r="666" spans="1:7" ht="21" customHeight="1" x14ac:dyDescent="0.25">
      <c r="A666" s="247"/>
      <c r="B666" s="312" t="s">
        <v>466</v>
      </c>
      <c r="C666" s="233">
        <f t="shared" ca="1" si="72"/>
        <v>715000</v>
      </c>
      <c r="D666" s="540">
        <f t="shared" ca="1" si="73"/>
        <v>650000</v>
      </c>
      <c r="E666" s="233">
        <f t="shared" ca="1" si="74"/>
        <v>150000</v>
      </c>
      <c r="F666" s="555">
        <f t="shared" ca="1" si="75"/>
        <v>0.23076923076923078</v>
      </c>
      <c r="G666" s="244">
        <f t="shared" ca="1" si="76"/>
        <v>45000</v>
      </c>
    </row>
    <row r="667" spans="1:7" ht="21" customHeight="1" x14ac:dyDescent="0.25">
      <c r="A667" s="247"/>
      <c r="B667" s="312" t="s">
        <v>448</v>
      </c>
      <c r="C667" s="233">
        <f t="shared" ca="1" si="72"/>
        <v>528000</v>
      </c>
      <c r="D667" s="540">
        <f t="shared" ca="1" si="73"/>
        <v>480000</v>
      </c>
      <c r="E667" s="233">
        <f t="shared" ca="1" si="74"/>
        <v>158000</v>
      </c>
      <c r="F667" s="555">
        <f t="shared" ca="1" si="75"/>
        <v>0.32916666666666666</v>
      </c>
      <c r="G667" s="244">
        <f t="shared" ca="1" si="76"/>
        <v>47400</v>
      </c>
    </row>
    <row r="668" spans="1:7" ht="21" customHeight="1" x14ac:dyDescent="0.25">
      <c r="A668" s="293"/>
      <c r="B668" s="277" t="s">
        <v>2742</v>
      </c>
      <c r="C668" s="543">
        <f ca="1">SUM(C658:C667)</f>
        <v>22077000</v>
      </c>
      <c r="D668" s="543">
        <f ca="1">SUM(D658:D667)</f>
        <v>20070000</v>
      </c>
      <c r="E668" s="543">
        <f ca="1">SUM(E658:E667)</f>
        <v>5034220</v>
      </c>
      <c r="F668" s="315">
        <f ca="1">E668/D668</f>
        <v>0.2508330842052815</v>
      </c>
      <c r="G668" s="818">
        <f ca="1">SUM(G658:G667)</f>
        <v>1510266</v>
      </c>
    </row>
    <row r="669" spans="1:7" ht="21" customHeight="1" x14ac:dyDescent="0.25">
      <c r="A669" s="311" t="s">
        <v>935</v>
      </c>
      <c r="B669" s="228" t="s">
        <v>445</v>
      </c>
      <c r="C669" s="233">
        <f t="shared" ref="C669:C678" ca="1" si="77">SUMIFS(INDIRECT("Report!F100:F1000"),INDIRECT("Report!B100:B1000"),B669,INDIRECT("report!H100:H1000"),"Consums",INDIRECT("Report!L100:L1000"),"17.11")</f>
        <v>4384600</v>
      </c>
      <c r="D669" s="549">
        <f t="shared" ref="D669:D678" ca="1" si="78">(C669/11*10)</f>
        <v>3986000</v>
      </c>
      <c r="E669" s="233">
        <f t="shared" ref="E669:E678" ca="1" si="79">SUMIFS(INDIRECT("Report!J100:J1000"),INDIRECT("Report!B100:B1000"),B669,INDIRECT("report!H100:H1000"),"Consums",INDIRECT("Report!L100:L1000"),"17.11")</f>
        <v>868000</v>
      </c>
      <c r="F669" s="555">
        <f t="shared" ref="F669:F678" ca="1" si="80">E669/D669</f>
        <v>0.21776216758655292</v>
      </c>
      <c r="G669" s="244">
        <f t="shared" ref="G669:G678" ca="1" si="81">E669*30%</f>
        <v>260400</v>
      </c>
    </row>
    <row r="670" spans="1:7" ht="21" customHeight="1" x14ac:dyDescent="0.25">
      <c r="A670" s="247"/>
      <c r="B670" s="228" t="s">
        <v>446</v>
      </c>
      <c r="C670" s="233">
        <f t="shared" ca="1" si="77"/>
        <v>1936000.0000000002</v>
      </c>
      <c r="D670" s="549">
        <f t="shared" ca="1" si="78"/>
        <v>1760000.0000000002</v>
      </c>
      <c r="E670" s="233">
        <f t="shared" ca="1" si="79"/>
        <v>304000</v>
      </c>
      <c r="F670" s="555">
        <f t="shared" ca="1" si="80"/>
        <v>0.1727272727272727</v>
      </c>
      <c r="G670" s="244">
        <f t="shared" ca="1" si="81"/>
        <v>91200</v>
      </c>
    </row>
    <row r="671" spans="1:7" ht="21" customHeight="1" x14ac:dyDescent="0.25">
      <c r="A671" s="247"/>
      <c r="B671" s="228" t="s">
        <v>453</v>
      </c>
      <c r="C671" s="233">
        <f t="shared" ca="1" si="77"/>
        <v>4413200</v>
      </c>
      <c r="D671" s="549">
        <f ca="1">(C671/11*10)</f>
        <v>4012000</v>
      </c>
      <c r="E671" s="233">
        <f t="shared" ca="1" si="79"/>
        <v>1095860</v>
      </c>
      <c r="F671" s="555">
        <f t="shared" ca="1" si="80"/>
        <v>0.27314556331006978</v>
      </c>
      <c r="G671" s="244">
        <f t="shared" ca="1" si="81"/>
        <v>328758</v>
      </c>
    </row>
    <row r="672" spans="1:7" ht="21" customHeight="1" x14ac:dyDescent="0.25">
      <c r="A672" s="247"/>
      <c r="B672" s="228" t="s">
        <v>467</v>
      </c>
      <c r="C672" s="233">
        <f t="shared" ca="1" si="77"/>
        <v>2398000</v>
      </c>
      <c r="D672" s="549">
        <f ca="1">(C672/11*10)</f>
        <v>2180000</v>
      </c>
      <c r="E672" s="233">
        <f t="shared" ca="1" si="79"/>
        <v>471000</v>
      </c>
      <c r="F672" s="555">
        <f t="shared" ca="1" si="80"/>
        <v>0.21605504587155963</v>
      </c>
      <c r="G672" s="244">
        <f t="shared" ca="1" si="81"/>
        <v>141300</v>
      </c>
    </row>
    <row r="673" spans="1:7" ht="21" customHeight="1" x14ac:dyDescent="0.25">
      <c r="A673" s="247"/>
      <c r="B673" s="228" t="s">
        <v>465</v>
      </c>
      <c r="C673" s="233">
        <f t="shared" ca="1" si="77"/>
        <v>1237500</v>
      </c>
      <c r="D673" s="549">
        <f t="shared" ca="1" si="78"/>
        <v>1125000</v>
      </c>
      <c r="E673" s="233">
        <f t="shared" ca="1" si="79"/>
        <v>325000</v>
      </c>
      <c r="F673" s="555">
        <f t="shared" ca="1" si="80"/>
        <v>0.28888888888888886</v>
      </c>
      <c r="G673" s="244">
        <f t="shared" ca="1" si="81"/>
        <v>97500</v>
      </c>
    </row>
    <row r="674" spans="1:7" ht="21" customHeight="1" x14ac:dyDescent="0.25">
      <c r="A674" s="247"/>
      <c r="B674" s="228" t="s">
        <v>434</v>
      </c>
      <c r="C674" s="233">
        <f t="shared" ca="1" si="77"/>
        <v>11809600</v>
      </c>
      <c r="D674" s="549">
        <f t="shared" ca="1" si="78"/>
        <v>10736000</v>
      </c>
      <c r="E674" s="233">
        <f t="shared" ca="1" si="79"/>
        <v>3839000</v>
      </c>
      <c r="F674" s="555">
        <f t="shared" ca="1" si="80"/>
        <v>0.35758196721311475</v>
      </c>
      <c r="G674" s="244">
        <f t="shared" ca="1" si="81"/>
        <v>1151700</v>
      </c>
    </row>
    <row r="675" spans="1:7" ht="21" customHeight="1" x14ac:dyDescent="0.25">
      <c r="A675" s="247"/>
      <c r="B675" s="228" t="s">
        <v>450</v>
      </c>
      <c r="C675" s="233">
        <f t="shared" ca="1" si="77"/>
        <v>297000</v>
      </c>
      <c r="D675" s="549">
        <f t="shared" ca="1" si="78"/>
        <v>270000</v>
      </c>
      <c r="E675" s="233">
        <f t="shared" ca="1" si="79"/>
        <v>54000</v>
      </c>
      <c r="F675" s="555">
        <f t="shared" ca="1" si="80"/>
        <v>0.2</v>
      </c>
      <c r="G675" s="244">
        <f t="shared" ca="1" si="81"/>
        <v>16200</v>
      </c>
    </row>
    <row r="676" spans="1:7" ht="21" customHeight="1" x14ac:dyDescent="0.25">
      <c r="A676" s="247"/>
      <c r="B676" s="228" t="s">
        <v>466</v>
      </c>
      <c r="C676" s="233">
        <f t="shared" ca="1" si="77"/>
        <v>357500</v>
      </c>
      <c r="D676" s="549">
        <f t="shared" ca="1" si="78"/>
        <v>325000</v>
      </c>
      <c r="E676" s="233">
        <f t="shared" ca="1" si="79"/>
        <v>75000</v>
      </c>
      <c r="F676" s="555">
        <f t="shared" ca="1" si="80"/>
        <v>0.23076923076923078</v>
      </c>
      <c r="G676" s="244">
        <f t="shared" ca="1" si="81"/>
        <v>22500</v>
      </c>
    </row>
    <row r="677" spans="1:7" ht="21" customHeight="1" x14ac:dyDescent="0.25">
      <c r="A677" s="247"/>
      <c r="B677" s="228" t="s">
        <v>653</v>
      </c>
      <c r="C677" s="233">
        <f t="shared" ca="1" si="77"/>
        <v>632500</v>
      </c>
      <c r="D677" s="540">
        <f t="shared" ca="1" si="78"/>
        <v>575000</v>
      </c>
      <c r="E677" s="233">
        <f t="shared" ca="1" si="79"/>
        <v>125000</v>
      </c>
      <c r="F677" s="555">
        <f t="shared" ca="1" si="80"/>
        <v>0.21739130434782608</v>
      </c>
      <c r="G677" s="244">
        <f t="shared" ca="1" si="81"/>
        <v>37500</v>
      </c>
    </row>
    <row r="678" spans="1:7" ht="21" customHeight="1" x14ac:dyDescent="0.25">
      <c r="A678" s="247"/>
      <c r="B678" s="228" t="s">
        <v>430</v>
      </c>
      <c r="C678" s="233">
        <f t="shared" ca="1" si="77"/>
        <v>1100000</v>
      </c>
      <c r="D678" s="540">
        <f t="shared" ca="1" si="78"/>
        <v>1000000</v>
      </c>
      <c r="E678" s="233">
        <f t="shared" ca="1" si="79"/>
        <v>500000</v>
      </c>
      <c r="F678" s="555">
        <f t="shared" ca="1" si="80"/>
        <v>0.5</v>
      </c>
      <c r="G678" s="244">
        <f t="shared" ca="1" si="81"/>
        <v>150000</v>
      </c>
    </row>
    <row r="679" spans="1:7" ht="21" customHeight="1" x14ac:dyDescent="0.25">
      <c r="A679" s="293"/>
      <c r="B679" s="277" t="s">
        <v>2743</v>
      </c>
      <c r="C679" s="543">
        <f ca="1">SUM(C669:C678)</f>
        <v>28565900</v>
      </c>
      <c r="D679" s="543">
        <f ca="1">SUM(D669:D678)</f>
        <v>25969000</v>
      </c>
      <c r="E679" s="543">
        <f ca="1">SUM(E669:E678)</f>
        <v>7656860</v>
      </c>
      <c r="F679" s="315">
        <f ca="1">E679/D679</f>
        <v>0.29484616273248876</v>
      </c>
      <c r="G679" s="818">
        <f ca="1">SUM(G669:G678)</f>
        <v>2297058</v>
      </c>
    </row>
    <row r="680" spans="1:7" ht="21" customHeight="1" x14ac:dyDescent="0.25">
      <c r="A680" s="311" t="s">
        <v>971</v>
      </c>
      <c r="B680" s="228" t="s">
        <v>445</v>
      </c>
      <c r="C680" s="233">
        <f t="shared" ref="C680:C694" ca="1" si="82">SUMIFS(INDIRECT("Report!F100:F1000"),INDIRECT("Report!B100:B1000"),B680,INDIRECT("report!H100:H1000"),"Consums",INDIRECT("Report!L100:L1000"),"17.12")</f>
        <v>4460500</v>
      </c>
      <c r="D680" s="549">
        <f ca="1">(C680/11*10)</f>
        <v>4055000</v>
      </c>
      <c r="E680" s="233">
        <f t="shared" ref="E680:E694" ca="1" si="83">SUMIFS(INDIRECT("Report!J100:J1000"),INDIRECT("Report!B100:B1000"),B680,INDIRECT("report!H100:H1000"),"Consums",INDIRECT("Report!L100:L1000"),"17.12")</f>
        <v>1044000</v>
      </c>
      <c r="F680" s="555">
        <f t="shared" ref="F680:F694" ca="1" si="84">E680/D680</f>
        <v>0.25745992601726264</v>
      </c>
      <c r="G680" s="244">
        <f t="shared" ref="G680:G694" ca="1" si="85">E680*30%</f>
        <v>313200</v>
      </c>
    </row>
    <row r="681" spans="1:7" ht="21" customHeight="1" x14ac:dyDescent="0.25">
      <c r="B681" s="228" t="s">
        <v>446</v>
      </c>
      <c r="C681" s="233">
        <f t="shared" ca="1" si="82"/>
        <v>968000.00000000012</v>
      </c>
      <c r="D681" s="549">
        <f ca="1">(C681/11*10)</f>
        <v>880000.00000000012</v>
      </c>
      <c r="E681" s="233">
        <f t="shared" ca="1" si="83"/>
        <v>152000</v>
      </c>
      <c r="F681" s="555">
        <f t="shared" ca="1" si="84"/>
        <v>0.1727272727272727</v>
      </c>
      <c r="G681" s="244">
        <f t="shared" ca="1" si="85"/>
        <v>45600</v>
      </c>
    </row>
    <row r="682" spans="1:7" ht="21" customHeight="1" x14ac:dyDescent="0.25">
      <c r="B682" s="228" t="s">
        <v>453</v>
      </c>
      <c r="C682" s="233">
        <f t="shared" ca="1" si="82"/>
        <v>8962800</v>
      </c>
      <c r="D682" s="549">
        <f ca="1">(C682/11*10)</f>
        <v>8148000</v>
      </c>
      <c r="E682" s="233">
        <f t="shared" ca="1" si="83"/>
        <v>1676580</v>
      </c>
      <c r="F682" s="555">
        <f t="shared" ca="1" si="84"/>
        <v>0.2057658321060383</v>
      </c>
      <c r="G682" s="244">
        <f t="shared" ca="1" si="85"/>
        <v>502974</v>
      </c>
    </row>
    <row r="683" spans="1:7" ht="21" customHeight="1" x14ac:dyDescent="0.25">
      <c r="B683" s="228" t="s">
        <v>467</v>
      </c>
      <c r="C683" s="233">
        <f t="shared" ca="1" si="82"/>
        <v>6237000</v>
      </c>
      <c r="D683" s="549">
        <f ca="1">(C683/11*10)</f>
        <v>5670000</v>
      </c>
      <c r="E683" s="233">
        <f t="shared" ca="1" si="83"/>
        <v>1246000</v>
      </c>
      <c r="F683" s="555">
        <f t="shared" ca="1" si="84"/>
        <v>0.21975308641975308</v>
      </c>
      <c r="G683" s="244">
        <f t="shared" ca="1" si="85"/>
        <v>373800</v>
      </c>
    </row>
    <row r="684" spans="1:7" ht="21" customHeight="1" x14ac:dyDescent="0.25">
      <c r="B684" s="228" t="s">
        <v>465</v>
      </c>
      <c r="C684" s="233">
        <f t="shared" ca="1" si="82"/>
        <v>5651250.0000000009</v>
      </c>
      <c r="D684" s="549">
        <f t="shared" ref="D684:D694" ca="1" si="86">(C684/11*10)</f>
        <v>5137500.0000000009</v>
      </c>
      <c r="E684" s="233">
        <f t="shared" ca="1" si="83"/>
        <v>1276500</v>
      </c>
      <c r="F684" s="555">
        <f t="shared" ca="1" si="84"/>
        <v>0.24846715328467148</v>
      </c>
      <c r="G684" s="244">
        <f t="shared" ca="1" si="85"/>
        <v>382950</v>
      </c>
    </row>
    <row r="685" spans="1:7" ht="21" customHeight="1" x14ac:dyDescent="0.25">
      <c r="B685" s="228" t="s">
        <v>434</v>
      </c>
      <c r="C685" s="233">
        <f t="shared" ca="1" si="82"/>
        <v>11437800</v>
      </c>
      <c r="D685" s="549">
        <f t="shared" ca="1" si="86"/>
        <v>10398000</v>
      </c>
      <c r="E685" s="233">
        <f t="shared" ca="1" si="83"/>
        <v>3627800</v>
      </c>
      <c r="F685" s="555">
        <f t="shared" ca="1" si="84"/>
        <v>0.3488940180804001</v>
      </c>
      <c r="G685" s="244">
        <f t="shared" ca="1" si="85"/>
        <v>1088340</v>
      </c>
    </row>
    <row r="686" spans="1:7" ht="21" customHeight="1" x14ac:dyDescent="0.25">
      <c r="B686" s="228" t="s">
        <v>466</v>
      </c>
      <c r="C686" s="233">
        <f t="shared" ca="1" si="82"/>
        <v>357500</v>
      </c>
      <c r="D686" s="549">
        <f t="shared" ca="1" si="86"/>
        <v>325000</v>
      </c>
      <c r="E686" s="233">
        <f t="shared" ca="1" si="83"/>
        <v>75000</v>
      </c>
      <c r="F686" s="555">
        <f t="shared" ca="1" si="84"/>
        <v>0.23076923076923078</v>
      </c>
      <c r="G686" s="244">
        <f t="shared" ca="1" si="85"/>
        <v>22500</v>
      </c>
    </row>
    <row r="687" spans="1:7" ht="21" customHeight="1" x14ac:dyDescent="0.25">
      <c r="B687" s="228" t="s">
        <v>653</v>
      </c>
      <c r="C687" s="233">
        <f t="shared" ca="1" si="82"/>
        <v>1732500.0000000002</v>
      </c>
      <c r="D687" s="540">
        <f t="shared" ca="1" si="86"/>
        <v>1575000.0000000002</v>
      </c>
      <c r="E687" s="233">
        <f t="shared" ca="1" si="83"/>
        <v>385000</v>
      </c>
      <c r="F687" s="555">
        <f t="shared" ca="1" si="84"/>
        <v>0.24444444444444441</v>
      </c>
      <c r="G687" s="244">
        <f t="shared" ca="1" si="85"/>
        <v>115500</v>
      </c>
    </row>
    <row r="688" spans="1:7" ht="21" customHeight="1" x14ac:dyDescent="0.25">
      <c r="B688" s="228" t="s">
        <v>430</v>
      </c>
      <c r="C688" s="233">
        <f t="shared" ca="1" si="82"/>
        <v>550000</v>
      </c>
      <c r="D688" s="540">
        <f t="shared" ca="1" si="86"/>
        <v>500000</v>
      </c>
      <c r="E688" s="233">
        <f t="shared" ca="1" si="83"/>
        <v>250000</v>
      </c>
      <c r="F688" s="555">
        <f t="shared" ca="1" si="84"/>
        <v>0.5</v>
      </c>
      <c r="G688" s="244">
        <f t="shared" ca="1" si="85"/>
        <v>75000</v>
      </c>
    </row>
    <row r="689" spans="1:7" ht="21" customHeight="1" x14ac:dyDescent="0.25">
      <c r="B689" s="228" t="s">
        <v>454</v>
      </c>
      <c r="C689" s="236">
        <f t="shared" ca="1" si="82"/>
        <v>2200000</v>
      </c>
      <c r="D689" s="236">
        <f t="shared" ca="1" si="86"/>
        <v>2000000</v>
      </c>
      <c r="E689" s="236">
        <f t="shared" ca="1" si="83"/>
        <v>390000</v>
      </c>
      <c r="F689" s="555">
        <f t="shared" ca="1" si="84"/>
        <v>0.19500000000000001</v>
      </c>
      <c r="G689" s="234">
        <f t="shared" ca="1" si="85"/>
        <v>117000</v>
      </c>
    </row>
    <row r="690" spans="1:7" ht="21" customHeight="1" x14ac:dyDescent="0.25">
      <c r="B690" s="228" t="s">
        <v>460</v>
      </c>
      <c r="C690" s="236">
        <f t="shared" ca="1" si="82"/>
        <v>396000.00000000006</v>
      </c>
      <c r="D690" s="236">
        <f t="shared" ca="1" si="86"/>
        <v>360000.00000000006</v>
      </c>
      <c r="E690" s="236">
        <f t="shared" ca="1" si="83"/>
        <v>118500</v>
      </c>
      <c r="F690" s="555">
        <f t="shared" ca="1" si="84"/>
        <v>0.32916666666666661</v>
      </c>
      <c r="G690" s="234">
        <f t="shared" ca="1" si="85"/>
        <v>35550</v>
      </c>
    </row>
    <row r="691" spans="1:7" ht="21" customHeight="1" x14ac:dyDescent="0.25">
      <c r="B691" s="228" t="s">
        <v>464</v>
      </c>
      <c r="C691" s="236">
        <f t="shared" ca="1" si="82"/>
        <v>412500.00000000006</v>
      </c>
      <c r="D691" s="236">
        <f t="shared" ca="1" si="86"/>
        <v>375000.00000000006</v>
      </c>
      <c r="E691" s="236">
        <f t="shared" ca="1" si="83"/>
        <v>160800</v>
      </c>
      <c r="F691" s="555">
        <f t="shared" ca="1" si="84"/>
        <v>0.42879999999999996</v>
      </c>
      <c r="G691" s="234">
        <f t="shared" ca="1" si="85"/>
        <v>48240</v>
      </c>
    </row>
    <row r="692" spans="1:7" ht="21" customHeight="1" x14ac:dyDescent="0.25">
      <c r="B692" s="228" t="s">
        <v>972</v>
      </c>
      <c r="C692" s="236">
        <f t="shared" ca="1" si="82"/>
        <v>313500</v>
      </c>
      <c r="D692" s="236">
        <f t="shared" ca="1" si="86"/>
        <v>285000</v>
      </c>
      <c r="E692" s="236">
        <f t="shared" ca="1" si="83"/>
        <v>45000</v>
      </c>
      <c r="F692" s="555">
        <f t="shared" ca="1" si="84"/>
        <v>0.15789473684210525</v>
      </c>
      <c r="G692" s="234">
        <f t="shared" ca="1" si="85"/>
        <v>13500</v>
      </c>
    </row>
    <row r="693" spans="1:7" ht="21" customHeight="1" x14ac:dyDescent="0.25">
      <c r="B693" s="228" t="s">
        <v>526</v>
      </c>
      <c r="C693" s="236">
        <f t="shared" ca="1" si="82"/>
        <v>8536000</v>
      </c>
      <c r="D693" s="236">
        <f t="shared" ca="1" si="86"/>
        <v>7760000</v>
      </c>
      <c r="E693" s="236">
        <f t="shared" ca="1" si="83"/>
        <v>2000000</v>
      </c>
      <c r="F693" s="555">
        <f t="shared" ca="1" si="84"/>
        <v>0.25773195876288657</v>
      </c>
      <c r="G693" s="234">
        <f t="shared" ca="1" si="85"/>
        <v>600000</v>
      </c>
    </row>
    <row r="694" spans="1:7" ht="21" customHeight="1" x14ac:dyDescent="0.25">
      <c r="B694" s="228" t="s">
        <v>677</v>
      </c>
      <c r="C694" s="236">
        <f t="shared" ca="1" si="82"/>
        <v>242000.00000000003</v>
      </c>
      <c r="D694" s="236">
        <f t="shared" ca="1" si="86"/>
        <v>220000.00000000003</v>
      </c>
      <c r="E694" s="236">
        <f t="shared" ca="1" si="83"/>
        <v>120000</v>
      </c>
      <c r="F694" s="555">
        <f t="shared" ca="1" si="84"/>
        <v>0.54545454545454541</v>
      </c>
      <c r="G694" s="234">
        <f t="shared" ca="1" si="85"/>
        <v>36000</v>
      </c>
    </row>
    <row r="695" spans="1:7" ht="21" customHeight="1" x14ac:dyDescent="0.25">
      <c r="A695" s="293"/>
      <c r="B695" s="277" t="s">
        <v>2744</v>
      </c>
      <c r="C695" s="543">
        <f ca="1">SUM(C680:C694)</f>
        <v>52457350</v>
      </c>
      <c r="D695" s="543">
        <f ca="1">SUM(D680:D694)</f>
        <v>47688500</v>
      </c>
      <c r="E695" s="543">
        <f ca="1">SUM(E680:E694)</f>
        <v>12567180</v>
      </c>
      <c r="F695" s="315">
        <f ca="1">E695/D695</f>
        <v>0.26352642670664833</v>
      </c>
      <c r="G695" s="818">
        <f ca="1">SUM(G680:G694)</f>
        <v>3770154</v>
      </c>
    </row>
    <row r="696" spans="1:7" ht="21" customHeight="1" x14ac:dyDescent="0.25">
      <c r="A696" s="311" t="s">
        <v>1043</v>
      </c>
      <c r="B696" s="228" t="s">
        <v>445</v>
      </c>
      <c r="C696" s="233">
        <f t="shared" ref="C696:C705" ca="1" si="87">SUMIFS(INDIRECT("Report!F100:F1000"),INDIRECT("Report!B100:B1000"),B696,INDIRECT("report!H100:H1000"),"Consums",INDIRECT("Report!L100:L1000"),"18.1")</f>
        <v>2840750</v>
      </c>
      <c r="D696" s="549">
        <f ca="1">(C696/11*10)</f>
        <v>2582500</v>
      </c>
      <c r="E696" s="233">
        <f t="shared" ref="E696:E705" ca="1" si="88">SUMIFS(INDIRECT("Report!J100:J1000"),INDIRECT("Report!B100:B1000"),B696,INDIRECT("report!H100:H1000"),"Consums",INDIRECT("Report!L100:L1000"),"18.1")</f>
        <v>400000</v>
      </c>
      <c r="F696" s="555">
        <f t="shared" ref="F696:F705" ca="1" si="89">E696/D696</f>
        <v>0.15488867376573087</v>
      </c>
      <c r="G696" s="244">
        <f t="shared" ref="G696:G705" ca="1" si="90">E696*20%</f>
        <v>80000</v>
      </c>
    </row>
    <row r="697" spans="1:7" ht="21" customHeight="1" x14ac:dyDescent="0.25">
      <c r="B697" s="228" t="s">
        <v>446</v>
      </c>
      <c r="C697" s="233">
        <f t="shared" ca="1" si="87"/>
        <v>968000.00000000012</v>
      </c>
      <c r="D697" s="549">
        <f ca="1">(C697/11*10)</f>
        <v>880000.00000000012</v>
      </c>
      <c r="E697" s="233">
        <f t="shared" ca="1" si="88"/>
        <v>152000</v>
      </c>
      <c r="F697" s="555">
        <f t="shared" ca="1" si="89"/>
        <v>0.1727272727272727</v>
      </c>
      <c r="G697" s="244">
        <f t="shared" ca="1" si="90"/>
        <v>30400</v>
      </c>
    </row>
    <row r="698" spans="1:7" ht="21" customHeight="1" x14ac:dyDescent="0.25">
      <c r="B698" s="228" t="s">
        <v>453</v>
      </c>
      <c r="C698" s="233">
        <f t="shared" ca="1" si="87"/>
        <v>3392400</v>
      </c>
      <c r="D698" s="549">
        <f ca="1">(C698/11*10)</f>
        <v>3084000</v>
      </c>
      <c r="E698" s="233">
        <f t="shared" ca="1" si="88"/>
        <v>596800</v>
      </c>
      <c r="F698" s="555">
        <f t="shared" ca="1" si="89"/>
        <v>0.19351491569390403</v>
      </c>
      <c r="G698" s="244">
        <f t="shared" ca="1" si="90"/>
        <v>119360</v>
      </c>
    </row>
    <row r="699" spans="1:7" ht="21" customHeight="1" x14ac:dyDescent="0.25">
      <c r="B699" s="228" t="s">
        <v>467</v>
      </c>
      <c r="C699" s="233">
        <f t="shared" ca="1" si="87"/>
        <v>7942000</v>
      </c>
      <c r="D699" s="549">
        <f ca="1">(C699/11*10)</f>
        <v>7220000</v>
      </c>
      <c r="E699" s="233">
        <f t="shared" ca="1" si="88"/>
        <v>1571000</v>
      </c>
      <c r="F699" s="555">
        <f t="shared" ca="1" si="89"/>
        <v>0.21759002770083102</v>
      </c>
      <c r="G699" s="244">
        <f t="shared" ca="1" si="90"/>
        <v>314200</v>
      </c>
    </row>
    <row r="700" spans="1:7" ht="21" customHeight="1" x14ac:dyDescent="0.25">
      <c r="B700" s="228" t="s">
        <v>465</v>
      </c>
      <c r="C700" s="233">
        <f t="shared" ca="1" si="87"/>
        <v>2530000</v>
      </c>
      <c r="D700" s="549">
        <f t="shared" ref="D700:D705" ca="1" si="91">(C700/11*10)</f>
        <v>2300000</v>
      </c>
      <c r="E700" s="233">
        <f t="shared" ca="1" si="88"/>
        <v>526000</v>
      </c>
      <c r="F700" s="555">
        <f t="shared" ca="1" si="89"/>
        <v>0.22869565217391305</v>
      </c>
      <c r="G700" s="244">
        <f t="shared" ca="1" si="90"/>
        <v>105200</v>
      </c>
    </row>
    <row r="701" spans="1:7" ht="21" customHeight="1" x14ac:dyDescent="0.25">
      <c r="B701" s="228" t="s">
        <v>434</v>
      </c>
      <c r="C701" s="233">
        <f t="shared" ca="1" si="87"/>
        <v>6600000</v>
      </c>
      <c r="D701" s="549">
        <f t="shared" ca="1" si="91"/>
        <v>6000000</v>
      </c>
      <c r="E701" s="233">
        <f t="shared" ca="1" si="88"/>
        <v>1309500</v>
      </c>
      <c r="F701" s="555">
        <f t="shared" ca="1" si="89"/>
        <v>0.21825</v>
      </c>
      <c r="G701" s="244">
        <f t="shared" ca="1" si="90"/>
        <v>261900</v>
      </c>
    </row>
    <row r="702" spans="1:7" ht="21" customHeight="1" x14ac:dyDescent="0.25">
      <c r="B702" s="228" t="s">
        <v>466</v>
      </c>
      <c r="C702" s="233">
        <f t="shared" ca="1" si="87"/>
        <v>715000</v>
      </c>
      <c r="D702" s="549">
        <f t="shared" ca="1" si="91"/>
        <v>650000</v>
      </c>
      <c r="E702" s="233">
        <f t="shared" ca="1" si="88"/>
        <v>150000</v>
      </c>
      <c r="F702" s="555">
        <f t="shared" ca="1" si="89"/>
        <v>0.23076923076923078</v>
      </c>
      <c r="G702" s="244">
        <f t="shared" ca="1" si="90"/>
        <v>30000</v>
      </c>
    </row>
    <row r="703" spans="1:7" ht="21" customHeight="1" x14ac:dyDescent="0.25">
      <c r="B703" s="228" t="s">
        <v>653</v>
      </c>
      <c r="C703" s="233">
        <f t="shared" ca="1" si="87"/>
        <v>825000.00000000012</v>
      </c>
      <c r="D703" s="540">
        <f t="shared" ca="1" si="91"/>
        <v>750000.00000000012</v>
      </c>
      <c r="E703" s="233">
        <f t="shared" ca="1" si="88"/>
        <v>200000</v>
      </c>
      <c r="F703" s="555">
        <f t="shared" ca="1" si="89"/>
        <v>0.26666666666666661</v>
      </c>
      <c r="G703" s="244">
        <f t="shared" ca="1" si="90"/>
        <v>40000</v>
      </c>
    </row>
    <row r="704" spans="1:7" ht="21" customHeight="1" x14ac:dyDescent="0.25">
      <c r="B704" s="228" t="s">
        <v>430</v>
      </c>
      <c r="C704" s="233">
        <f t="shared" ca="1" si="87"/>
        <v>1650000</v>
      </c>
      <c r="D704" s="540">
        <f t="shared" ca="1" si="91"/>
        <v>1500000</v>
      </c>
      <c r="E704" s="233">
        <f t="shared" ca="1" si="88"/>
        <v>750000</v>
      </c>
      <c r="F704" s="555">
        <f t="shared" ca="1" si="89"/>
        <v>0.5</v>
      </c>
      <c r="G704" s="244">
        <f t="shared" ca="1" si="90"/>
        <v>150000</v>
      </c>
    </row>
    <row r="705" spans="1:7" ht="21" customHeight="1" x14ac:dyDescent="0.25">
      <c r="B705" s="228" t="s">
        <v>1044</v>
      </c>
      <c r="C705" s="233">
        <f t="shared" ca="1" si="87"/>
        <v>5082000</v>
      </c>
      <c r="D705" s="236">
        <f t="shared" ca="1" si="91"/>
        <v>4620000</v>
      </c>
      <c r="E705" s="233">
        <f t="shared" ca="1" si="88"/>
        <v>760000</v>
      </c>
      <c r="F705" s="555">
        <f t="shared" ca="1" si="89"/>
        <v>0.16450216450216451</v>
      </c>
      <c r="G705" s="244">
        <f t="shared" ca="1" si="90"/>
        <v>152000</v>
      </c>
    </row>
    <row r="706" spans="1:7" ht="21" customHeight="1" x14ac:dyDescent="0.25">
      <c r="A706" s="293"/>
      <c r="B706" s="277"/>
      <c r="C706" s="543">
        <f ca="1">SUM(C696:C705)</f>
        <v>32545150</v>
      </c>
      <c r="D706" s="543">
        <f ca="1">SUM(D696:D705)</f>
        <v>29586500</v>
      </c>
      <c r="E706" s="543">
        <f ca="1">SUM(E696:E705)</f>
        <v>6415300</v>
      </c>
      <c r="F706" s="315">
        <f ca="1">E706/D706</f>
        <v>0.21683200108157435</v>
      </c>
      <c r="G706" s="910">
        <f ca="1">SUM(G696:G705)</f>
        <v>1283060</v>
      </c>
    </row>
    <row r="707" spans="1:7" ht="21" customHeight="1" x14ac:dyDescent="0.25">
      <c r="A707" s="311" t="s">
        <v>1098</v>
      </c>
      <c r="B707" s="228" t="s">
        <v>445</v>
      </c>
      <c r="C707" s="233">
        <f ca="1">SUMIFS(INDIRECT("Report!F100:F1000"),INDIRECT("Report!B100:B1000"),B707,INDIRECT("report!H100:H1000"),"Consums",INDIRECT("Report!L100:L1000"),"18.2")</f>
        <v>4119500</v>
      </c>
      <c r="D707" s="549">
        <f ca="1">(C707/11*10)</f>
        <v>3745000</v>
      </c>
      <c r="E707" s="233">
        <f ca="1">SUMIFS(INDIRECT("Report!J100:J1000"),INDIRECT("Report!B100:B1000"),B707,INDIRECT("report!H100:H1000"),"Consums",INDIRECT("Report!L100:L1000"),"18.2")</f>
        <v>682500</v>
      </c>
      <c r="F707" s="555">
        <f t="shared" ref="F707:F719" ca="1" si="92">E707/D707</f>
        <v>0.1822429906542056</v>
      </c>
      <c r="G707" s="244">
        <f t="shared" ref="G707:G719" ca="1" si="93">E707*20%</f>
        <v>136500</v>
      </c>
    </row>
    <row r="708" spans="1:7" ht="21" customHeight="1" x14ac:dyDescent="0.25">
      <c r="B708" s="228" t="s">
        <v>446</v>
      </c>
      <c r="C708" s="233">
        <f t="shared" ref="C708:C719" ca="1" si="94">SUMIFS(INDIRECT("Report!F100:F1000"),INDIRECT("Report!B100:B1000"),B708,INDIRECT("report!H100:H1000"),"Consums",INDIRECT("Report!L100:L1000"),"18.2")</f>
        <v>1936000.0000000002</v>
      </c>
      <c r="D708" s="549">
        <f t="shared" ref="D708:D719" ca="1" si="95">(C708/11*10)</f>
        <v>1760000.0000000002</v>
      </c>
      <c r="E708" s="233">
        <f t="shared" ref="E708:E719" ca="1" si="96">SUMIFS(INDIRECT("Report!J100:J1000"),INDIRECT("Report!B100:B1000"),B708,INDIRECT("report!H100:H1000"),"Consums",INDIRECT("Report!L100:L1000"),"18.2")</f>
        <v>304000</v>
      </c>
      <c r="F708" s="555">
        <f t="shared" ca="1" si="92"/>
        <v>0.1727272727272727</v>
      </c>
      <c r="G708" s="244">
        <f t="shared" ca="1" si="93"/>
        <v>60800</v>
      </c>
    </row>
    <row r="709" spans="1:7" ht="21" customHeight="1" x14ac:dyDescent="0.25">
      <c r="B709" s="228" t="s">
        <v>453</v>
      </c>
      <c r="C709" s="233">
        <f t="shared" ca="1" si="94"/>
        <v>10186000</v>
      </c>
      <c r="D709" s="549">
        <f t="shared" ca="1" si="95"/>
        <v>9260000</v>
      </c>
      <c r="E709" s="233">
        <f t="shared" ca="1" si="96"/>
        <v>2120540</v>
      </c>
      <c r="F709" s="555">
        <f t="shared" ca="1" si="92"/>
        <v>0.22900000000000001</v>
      </c>
      <c r="G709" s="244">
        <f t="shared" ca="1" si="93"/>
        <v>424108</v>
      </c>
    </row>
    <row r="710" spans="1:7" ht="21" customHeight="1" x14ac:dyDescent="0.25">
      <c r="B710" s="228" t="s">
        <v>467</v>
      </c>
      <c r="C710" s="233">
        <f t="shared" ca="1" si="94"/>
        <v>4598000</v>
      </c>
      <c r="D710" s="549">
        <f t="shared" ca="1" si="95"/>
        <v>4180000</v>
      </c>
      <c r="E710" s="233">
        <f t="shared" ca="1" si="96"/>
        <v>926000</v>
      </c>
      <c r="F710" s="555">
        <f t="shared" ca="1" si="92"/>
        <v>0.22153110047846891</v>
      </c>
      <c r="G710" s="244">
        <f t="shared" ca="1" si="93"/>
        <v>185200</v>
      </c>
    </row>
    <row r="711" spans="1:7" ht="21" customHeight="1" x14ac:dyDescent="0.25">
      <c r="B711" s="228" t="s">
        <v>676</v>
      </c>
      <c r="C711" s="233">
        <f t="shared" ca="1" si="94"/>
        <v>517000.00000000006</v>
      </c>
      <c r="D711" s="549">
        <f t="shared" ca="1" si="95"/>
        <v>470000.00000000006</v>
      </c>
      <c r="E711" s="233">
        <f t="shared" ca="1" si="96"/>
        <v>178500</v>
      </c>
      <c r="F711" s="555">
        <f t="shared" ca="1" si="92"/>
        <v>0.37978723404255316</v>
      </c>
      <c r="G711" s="244">
        <f t="shared" ca="1" si="93"/>
        <v>35700</v>
      </c>
    </row>
    <row r="712" spans="1:7" ht="21" customHeight="1" x14ac:dyDescent="0.25">
      <c r="B712" s="228" t="s">
        <v>434</v>
      </c>
      <c r="C712" s="233">
        <f t="shared" ca="1" si="94"/>
        <v>7791300</v>
      </c>
      <c r="D712" s="549">
        <f t="shared" ca="1" si="95"/>
        <v>7083000</v>
      </c>
      <c r="E712" s="233">
        <f t="shared" ca="1" si="96"/>
        <v>2378500</v>
      </c>
      <c r="F712" s="555">
        <f t="shared" ca="1" si="92"/>
        <v>0.33580403783707469</v>
      </c>
      <c r="G712" s="244">
        <f t="shared" ca="1" si="93"/>
        <v>475700</v>
      </c>
    </row>
    <row r="713" spans="1:7" ht="21" customHeight="1" x14ac:dyDescent="0.25">
      <c r="B713" s="228" t="s">
        <v>466</v>
      </c>
      <c r="C713" s="233">
        <f t="shared" ca="1" si="94"/>
        <v>715000</v>
      </c>
      <c r="D713" s="549">
        <f t="shared" ca="1" si="95"/>
        <v>650000</v>
      </c>
      <c r="E713" s="233">
        <f t="shared" ca="1" si="96"/>
        <v>150000</v>
      </c>
      <c r="F713" s="555">
        <f t="shared" ca="1" si="92"/>
        <v>0.23076923076923078</v>
      </c>
      <c r="G713" s="244">
        <f t="shared" ca="1" si="93"/>
        <v>30000</v>
      </c>
    </row>
    <row r="714" spans="1:7" ht="21" customHeight="1" x14ac:dyDescent="0.25">
      <c r="B714" s="228" t="s">
        <v>653</v>
      </c>
      <c r="C714" s="233">
        <f t="shared" ca="1" si="94"/>
        <v>825000.00000000012</v>
      </c>
      <c r="D714" s="549">
        <f t="shared" ca="1" si="95"/>
        <v>750000.00000000012</v>
      </c>
      <c r="E714" s="233">
        <f t="shared" ca="1" si="96"/>
        <v>200000</v>
      </c>
      <c r="F714" s="555">
        <f t="shared" ca="1" si="92"/>
        <v>0.26666666666666661</v>
      </c>
      <c r="G714" s="244">
        <f t="shared" ca="1" si="93"/>
        <v>40000</v>
      </c>
    </row>
    <row r="715" spans="1:7" ht="21" customHeight="1" x14ac:dyDescent="0.25">
      <c r="B715" s="228" t="s">
        <v>430</v>
      </c>
      <c r="C715" s="233">
        <f t="shared" ca="1" si="94"/>
        <v>550000</v>
      </c>
      <c r="D715" s="549">
        <f t="shared" ca="1" si="95"/>
        <v>500000</v>
      </c>
      <c r="E715" s="233">
        <f t="shared" ca="1" si="96"/>
        <v>250000</v>
      </c>
      <c r="F715" s="555">
        <f t="shared" ca="1" si="92"/>
        <v>0.5</v>
      </c>
      <c r="G715" s="244">
        <f t="shared" ca="1" si="93"/>
        <v>50000</v>
      </c>
    </row>
    <row r="716" spans="1:7" ht="21" customHeight="1" x14ac:dyDescent="0.25">
      <c r="B716" s="228" t="s">
        <v>1044</v>
      </c>
      <c r="C716" s="233">
        <f t="shared" ca="1" si="94"/>
        <v>5082000</v>
      </c>
      <c r="D716" s="549">
        <f t="shared" ca="1" si="95"/>
        <v>4620000</v>
      </c>
      <c r="E716" s="233">
        <f t="shared" ca="1" si="96"/>
        <v>760000</v>
      </c>
      <c r="F716" s="555">
        <f t="shared" ca="1" si="92"/>
        <v>0.16450216450216451</v>
      </c>
      <c r="G716" s="244">
        <f t="shared" ca="1" si="93"/>
        <v>152000</v>
      </c>
    </row>
    <row r="717" spans="1:7" ht="21" customHeight="1" x14ac:dyDescent="0.25">
      <c r="B717" s="228" t="s">
        <v>464</v>
      </c>
      <c r="C717" s="236">
        <f t="shared" ca="1" si="94"/>
        <v>1705000</v>
      </c>
      <c r="D717" s="236">
        <f t="shared" ca="1" si="95"/>
        <v>1550000</v>
      </c>
      <c r="E717" s="236">
        <f t="shared" ca="1" si="96"/>
        <v>557200</v>
      </c>
      <c r="F717" s="555">
        <f t="shared" ca="1" si="92"/>
        <v>0.35948387096774193</v>
      </c>
      <c r="G717" s="234">
        <f t="shared" ca="1" si="93"/>
        <v>111440</v>
      </c>
    </row>
    <row r="718" spans="1:7" ht="21" customHeight="1" x14ac:dyDescent="0.25">
      <c r="B718" s="228" t="s">
        <v>468</v>
      </c>
      <c r="C718" s="236">
        <f t="shared" ca="1" si="94"/>
        <v>594000</v>
      </c>
      <c r="D718" s="236">
        <f t="shared" ca="1" si="95"/>
        <v>540000</v>
      </c>
      <c r="E718" s="236">
        <f t="shared" ca="1" si="96"/>
        <v>260000</v>
      </c>
      <c r="F718" s="555">
        <f t="shared" ca="1" si="92"/>
        <v>0.48148148148148145</v>
      </c>
      <c r="G718" s="234">
        <f t="shared" ca="1" si="93"/>
        <v>52000</v>
      </c>
    </row>
    <row r="719" spans="1:7" ht="21" customHeight="1" x14ac:dyDescent="0.25">
      <c r="B719" s="228" t="s">
        <v>1099</v>
      </c>
      <c r="C719" s="236">
        <f t="shared" ca="1" si="94"/>
        <v>660000</v>
      </c>
      <c r="D719" s="236">
        <f t="shared" ca="1" si="95"/>
        <v>600000</v>
      </c>
      <c r="E719" s="236">
        <f t="shared" ca="1" si="96"/>
        <v>223785</v>
      </c>
      <c r="F719" s="555">
        <f t="shared" ca="1" si="92"/>
        <v>0.372975</v>
      </c>
      <c r="G719" s="234">
        <f t="shared" ca="1" si="93"/>
        <v>44757</v>
      </c>
    </row>
    <row r="720" spans="1:7" ht="21" customHeight="1" x14ac:dyDescent="0.25">
      <c r="B720" s="277"/>
      <c r="C720" s="543">
        <f ca="1">SUM(C707:C719)</f>
        <v>39278800</v>
      </c>
      <c r="D720" s="543">
        <f ca="1">SUM(D707:D719)</f>
        <v>35708000</v>
      </c>
      <c r="E720" s="543">
        <f ca="1">SUM(E707:E719)</f>
        <v>8991025</v>
      </c>
      <c r="F720" s="315">
        <f ca="1">E720/D720</f>
        <v>0.25179301557074046</v>
      </c>
      <c r="G720" s="910">
        <f ca="1">SUM(G707:G719)</f>
        <v>1798205</v>
      </c>
    </row>
    <row r="721" spans="1:7" ht="21" customHeight="1" x14ac:dyDescent="0.25">
      <c r="A721" s="311" t="s">
        <v>1160</v>
      </c>
      <c r="B721" s="228" t="s">
        <v>548</v>
      </c>
      <c r="C721" s="233">
        <f t="shared" ref="C721:C731" ca="1" si="97">SUMIFS(INDIRECT("Report!F100:F1000"),INDIRECT("Report!B100:B1000"),B721,INDIRECT("report!H100:H1000"),"Consums",INDIRECT("Report!L100:L1000"),"18.3")</f>
        <v>1518000</v>
      </c>
      <c r="D721" s="549">
        <f ca="1">(C721/11*10)</f>
        <v>1380000</v>
      </c>
      <c r="E721" s="233">
        <f t="shared" ref="E721:E731" ca="1" si="98">SUMIFS(INDIRECT("Report!J100:J1000"),INDIRECT("Report!B100:B1000"),B721,INDIRECT("report!H100:H1000"),"Consums",INDIRECT("Report!L100:L1000"),"18.3")</f>
        <v>480000</v>
      </c>
      <c r="F721" s="555">
        <f t="shared" ref="F721:F731" ca="1" si="99">E721/D721</f>
        <v>0.34782608695652173</v>
      </c>
      <c r="G721" s="244">
        <f t="shared" ref="G721:G731" ca="1" si="100">E721*20%</f>
        <v>96000</v>
      </c>
    </row>
    <row r="722" spans="1:7" ht="21" customHeight="1" x14ac:dyDescent="0.25">
      <c r="B722" s="228" t="s">
        <v>444</v>
      </c>
      <c r="C722" s="233">
        <f t="shared" ca="1" si="97"/>
        <v>5176600</v>
      </c>
      <c r="D722" s="549">
        <f t="shared" ref="D722:D731" ca="1" si="101">(C722/11*10)</f>
        <v>4706000</v>
      </c>
      <c r="E722" s="233">
        <f t="shared" ca="1" si="98"/>
        <v>1070000</v>
      </c>
      <c r="F722" s="555">
        <f t="shared" ca="1" si="99"/>
        <v>0.22736931576710581</v>
      </c>
      <c r="G722" s="244">
        <f t="shared" ca="1" si="100"/>
        <v>214000</v>
      </c>
    </row>
    <row r="723" spans="1:7" ht="21" customHeight="1" x14ac:dyDescent="0.25">
      <c r="B723" s="228" t="s">
        <v>458</v>
      </c>
      <c r="C723" s="233">
        <f t="shared" ca="1" si="97"/>
        <v>4983000</v>
      </c>
      <c r="D723" s="549">
        <f t="shared" ca="1" si="101"/>
        <v>4530000</v>
      </c>
      <c r="E723" s="233">
        <f t="shared" ca="1" si="98"/>
        <v>1805000</v>
      </c>
      <c r="F723" s="555">
        <f t="shared" ca="1" si="99"/>
        <v>0.39845474613686532</v>
      </c>
      <c r="G723" s="244">
        <f t="shared" ca="1" si="100"/>
        <v>361000</v>
      </c>
    </row>
    <row r="724" spans="1:7" ht="21" customHeight="1" x14ac:dyDescent="0.25">
      <c r="B724" s="228" t="s">
        <v>439</v>
      </c>
      <c r="C724" s="233">
        <f t="shared" ca="1" si="97"/>
        <v>5174400</v>
      </c>
      <c r="D724" s="549">
        <f t="shared" ca="1" si="101"/>
        <v>4704000</v>
      </c>
      <c r="E724" s="233">
        <f t="shared" ca="1" si="98"/>
        <v>1046420</v>
      </c>
      <c r="F724" s="555">
        <f t="shared" ca="1" si="99"/>
        <v>0.22245323129251701</v>
      </c>
      <c r="G724" s="244">
        <f t="shared" ca="1" si="100"/>
        <v>209284</v>
      </c>
    </row>
    <row r="725" spans="1:7" ht="21" customHeight="1" x14ac:dyDescent="0.25">
      <c r="B725" s="228" t="s">
        <v>1099</v>
      </c>
      <c r="C725" s="233">
        <f t="shared" ca="1" si="97"/>
        <v>1122000.0000000002</v>
      </c>
      <c r="D725" s="549">
        <f t="shared" ca="1" si="101"/>
        <v>1020000.0000000001</v>
      </c>
      <c r="E725" s="233">
        <f t="shared" ca="1" si="98"/>
        <v>409000</v>
      </c>
      <c r="F725" s="555">
        <f t="shared" ca="1" si="99"/>
        <v>0.40098039215686271</v>
      </c>
      <c r="G725" s="244">
        <f t="shared" ca="1" si="100"/>
        <v>81800</v>
      </c>
    </row>
    <row r="726" spans="1:7" ht="21" customHeight="1" x14ac:dyDescent="0.25">
      <c r="B726" s="228" t="s">
        <v>1044</v>
      </c>
      <c r="C726" s="233">
        <f t="shared" ca="1" si="97"/>
        <v>4636500</v>
      </c>
      <c r="D726" s="549">
        <f t="shared" ca="1" si="101"/>
        <v>4215000</v>
      </c>
      <c r="E726" s="233">
        <f t="shared" ca="1" si="98"/>
        <v>670000</v>
      </c>
      <c r="F726" s="555">
        <f t="shared" ca="1" si="99"/>
        <v>0.15895610913404506</v>
      </c>
      <c r="G726" s="244">
        <f t="shared" ca="1" si="100"/>
        <v>134000</v>
      </c>
    </row>
    <row r="727" spans="1:7" ht="21" customHeight="1" x14ac:dyDescent="0.25">
      <c r="B727" s="228" t="s">
        <v>526</v>
      </c>
      <c r="C727" s="233">
        <f t="shared" ca="1" si="97"/>
        <v>4048000</v>
      </c>
      <c r="D727" s="549">
        <f t="shared" ca="1" si="101"/>
        <v>3680000</v>
      </c>
      <c r="E727" s="233">
        <f t="shared" ca="1" si="98"/>
        <v>940000</v>
      </c>
      <c r="F727" s="555">
        <f t="shared" ca="1" si="99"/>
        <v>0.25543478260869568</v>
      </c>
      <c r="G727" s="244">
        <f t="shared" ca="1" si="100"/>
        <v>188000</v>
      </c>
    </row>
    <row r="728" spans="1:7" ht="21" customHeight="1" x14ac:dyDescent="0.25">
      <c r="B728" s="228" t="s">
        <v>430</v>
      </c>
      <c r="C728" s="233">
        <f t="shared" ca="1" si="97"/>
        <v>1100000</v>
      </c>
      <c r="D728" s="549">
        <f t="shared" ca="1" si="101"/>
        <v>1000000</v>
      </c>
      <c r="E728" s="233">
        <f t="shared" ca="1" si="98"/>
        <v>500000</v>
      </c>
      <c r="F728" s="555">
        <f t="shared" ca="1" si="99"/>
        <v>0.5</v>
      </c>
      <c r="G728" s="244">
        <f t="shared" ca="1" si="100"/>
        <v>100000</v>
      </c>
    </row>
    <row r="729" spans="1:7" ht="21" customHeight="1" x14ac:dyDescent="0.25">
      <c r="B729" s="228" t="s">
        <v>515</v>
      </c>
      <c r="C729" s="233">
        <f t="shared" ca="1" si="97"/>
        <v>968000.00000000012</v>
      </c>
      <c r="D729" s="549">
        <f t="shared" ca="1" si="101"/>
        <v>880000.00000000012</v>
      </c>
      <c r="E729" s="233">
        <f t="shared" ca="1" si="98"/>
        <v>152000</v>
      </c>
      <c r="F729" s="555">
        <f t="shared" ca="1" si="99"/>
        <v>0.1727272727272727</v>
      </c>
      <c r="G729" s="244">
        <f t="shared" ca="1" si="100"/>
        <v>30400</v>
      </c>
    </row>
    <row r="730" spans="1:7" ht="21" customHeight="1" x14ac:dyDescent="0.25">
      <c r="B730" s="228" t="s">
        <v>445</v>
      </c>
      <c r="C730" s="233">
        <f t="shared" ca="1" si="97"/>
        <v>5126000</v>
      </c>
      <c r="D730" s="549">
        <f t="shared" ca="1" si="101"/>
        <v>4660000</v>
      </c>
      <c r="E730" s="233">
        <f t="shared" ca="1" si="98"/>
        <v>867000</v>
      </c>
      <c r="F730" s="555">
        <f t="shared" ca="1" si="99"/>
        <v>0.18605150214592275</v>
      </c>
      <c r="G730" s="244">
        <f t="shared" ca="1" si="100"/>
        <v>173400</v>
      </c>
    </row>
    <row r="731" spans="1:7" ht="21" customHeight="1" x14ac:dyDescent="0.25">
      <c r="B731" s="228" t="s">
        <v>1161</v>
      </c>
      <c r="C731" s="233">
        <f t="shared" ca="1" si="97"/>
        <v>1815000</v>
      </c>
      <c r="D731" s="236">
        <f t="shared" ca="1" si="101"/>
        <v>1650000</v>
      </c>
      <c r="E731" s="233">
        <f t="shared" ca="1" si="98"/>
        <v>285000</v>
      </c>
      <c r="F731" s="555">
        <f t="shared" ca="1" si="99"/>
        <v>0.17272727272727273</v>
      </c>
      <c r="G731" s="234">
        <f t="shared" ca="1" si="100"/>
        <v>57000</v>
      </c>
    </row>
    <row r="732" spans="1:7" ht="21" customHeight="1" x14ac:dyDescent="0.25">
      <c r="B732" s="277"/>
      <c r="C732" s="543">
        <f ca="1">SUM(C721:C731)</f>
        <v>35667500</v>
      </c>
      <c r="D732" s="543">
        <f ca="1">SUM(D721:D731)</f>
        <v>32425000</v>
      </c>
      <c r="E732" s="543">
        <f ca="1">SUM(E721:E731)</f>
        <v>8224420</v>
      </c>
      <c r="F732" s="315">
        <f ca="1">E732/D732</f>
        <v>0.2536444101773323</v>
      </c>
      <c r="G732" s="910">
        <f ca="1">SUM(G721:G731)</f>
        <v>1644884</v>
      </c>
    </row>
    <row r="733" spans="1:7" ht="21" customHeight="1" x14ac:dyDescent="0.25">
      <c r="A733" s="311" t="s">
        <v>1188</v>
      </c>
      <c r="B733" s="228" t="s">
        <v>653</v>
      </c>
      <c r="C733" s="233">
        <f t="shared" ref="C733:C746" ca="1" si="102">SUMIFS(INDIRECT("Report!F100:F1000"),INDIRECT("Report!B100:B1000"),B733,INDIRECT("report!H100:H1000"),"Consums",INDIRECT("Report!L100:L1000"),"18.4")</f>
        <v>2081200.0000000005</v>
      </c>
      <c r="D733" s="549">
        <f t="shared" ref="D733:D746" ca="1" si="103">(C733/11*10)</f>
        <v>1892000.0000000002</v>
      </c>
      <c r="E733" s="233">
        <f t="shared" ref="E733:E746" ca="1" si="104">SUMIFS(INDIRECT("Report!J100:J1000"),INDIRECT("Report!B100:B1000"),B733,INDIRECT("report!H100:H1000"),"Consums",INDIRECT("Report!L100:L1000"),"18.4")</f>
        <v>596800</v>
      </c>
      <c r="F733" s="555">
        <f t="shared" ref="F733:F746" ca="1" si="105">E733/D733</f>
        <v>0.31543340380549678</v>
      </c>
      <c r="G733" s="244">
        <f t="shared" ref="G733:G746" ca="1" si="106">E733*20%</f>
        <v>119360</v>
      </c>
    </row>
    <row r="734" spans="1:7" ht="21" customHeight="1" x14ac:dyDescent="0.25">
      <c r="B734" s="228" t="s">
        <v>444</v>
      </c>
      <c r="C734" s="233">
        <f t="shared" ca="1" si="102"/>
        <v>2420000</v>
      </c>
      <c r="D734" s="549">
        <f t="shared" ca="1" si="103"/>
        <v>2200000</v>
      </c>
      <c r="E734" s="233">
        <f t="shared" ca="1" si="104"/>
        <v>480000</v>
      </c>
      <c r="F734" s="555">
        <f t="shared" ca="1" si="105"/>
        <v>0.21818181818181817</v>
      </c>
      <c r="G734" s="244">
        <f t="shared" ca="1" si="106"/>
        <v>96000</v>
      </c>
    </row>
    <row r="735" spans="1:7" ht="21" customHeight="1" x14ac:dyDescent="0.25">
      <c r="B735" s="228" t="s">
        <v>458</v>
      </c>
      <c r="C735" s="233">
        <f t="shared" ca="1" si="102"/>
        <v>5186500</v>
      </c>
      <c r="D735" s="549">
        <f t="shared" ca="1" si="103"/>
        <v>4715000</v>
      </c>
      <c r="E735" s="233">
        <f t="shared" ca="1" si="104"/>
        <v>1369800</v>
      </c>
      <c r="F735" s="555">
        <f t="shared" ca="1" si="105"/>
        <v>0.29051961823966066</v>
      </c>
      <c r="G735" s="244">
        <f t="shared" ca="1" si="106"/>
        <v>273960</v>
      </c>
    </row>
    <row r="736" spans="1:7" ht="21" customHeight="1" x14ac:dyDescent="0.25">
      <c r="B736" s="228" t="s">
        <v>439</v>
      </c>
      <c r="C736" s="233">
        <f t="shared" ca="1" si="102"/>
        <v>7366700</v>
      </c>
      <c r="D736" s="549">
        <f t="shared" ca="1" si="103"/>
        <v>6697000</v>
      </c>
      <c r="E736" s="233">
        <f ca="1">SUMIFS(INDIRECT("Report!J100:J1000"),INDIRECT("Report!B100:B1000"),B736,INDIRECT("report!H100:H1000"),"Consums",INDIRECT("Report!L100:L1000"),"18.4")</f>
        <v>1445860</v>
      </c>
      <c r="F736" s="555">
        <f t="shared" ca="1" si="105"/>
        <v>0.21589667015081379</v>
      </c>
      <c r="G736" s="244">
        <f t="shared" ca="1" si="106"/>
        <v>289172</v>
      </c>
    </row>
    <row r="737" spans="1:10" ht="21" customHeight="1" x14ac:dyDescent="0.25">
      <c r="B737" s="228" t="s">
        <v>448</v>
      </c>
      <c r="C737" s="233">
        <f t="shared" ca="1" si="102"/>
        <v>143000</v>
      </c>
      <c r="D737" s="549">
        <f t="shared" ca="1" si="103"/>
        <v>130000</v>
      </c>
      <c r="E737" s="233">
        <f t="shared" ca="1" si="104"/>
        <v>46800</v>
      </c>
      <c r="F737" s="555">
        <f t="shared" ca="1" si="105"/>
        <v>0.36</v>
      </c>
      <c r="G737" s="244">
        <f t="shared" ca="1" si="106"/>
        <v>9360</v>
      </c>
    </row>
    <row r="738" spans="1:10" ht="21" customHeight="1" x14ac:dyDescent="0.25">
      <c r="B738" s="228" t="s">
        <v>1044</v>
      </c>
      <c r="C738" s="233">
        <f t="shared" ca="1" si="102"/>
        <v>7461300</v>
      </c>
      <c r="D738" s="549">
        <f t="shared" ca="1" si="103"/>
        <v>6783000</v>
      </c>
      <c r="E738" s="233">
        <f t="shared" ca="1" si="104"/>
        <v>1102000</v>
      </c>
      <c r="F738" s="555">
        <f t="shared" ca="1" si="105"/>
        <v>0.16246498599439776</v>
      </c>
      <c r="G738" s="244">
        <f t="shared" ca="1" si="106"/>
        <v>220400</v>
      </c>
    </row>
    <row r="739" spans="1:10" ht="21" customHeight="1" x14ac:dyDescent="0.25">
      <c r="B739" s="228" t="s">
        <v>465</v>
      </c>
      <c r="C739" s="233">
        <f t="shared" ca="1" si="102"/>
        <v>1237500</v>
      </c>
      <c r="D739" s="549">
        <f t="shared" ca="1" si="103"/>
        <v>1125000</v>
      </c>
      <c r="E739" s="233">
        <f t="shared" ca="1" si="104"/>
        <v>325000</v>
      </c>
      <c r="F739" s="555">
        <f t="shared" ca="1" si="105"/>
        <v>0.28888888888888886</v>
      </c>
      <c r="G739" s="244">
        <f t="shared" ca="1" si="106"/>
        <v>65000</v>
      </c>
    </row>
    <row r="740" spans="1:10" ht="21" customHeight="1" x14ac:dyDescent="0.25">
      <c r="B740" s="228" t="s">
        <v>430</v>
      </c>
      <c r="C740" s="233">
        <f t="shared" ca="1" si="102"/>
        <v>1100000</v>
      </c>
      <c r="D740" s="549">
        <f t="shared" ca="1" si="103"/>
        <v>1000000</v>
      </c>
      <c r="E740" s="233">
        <f t="shared" ca="1" si="104"/>
        <v>500000</v>
      </c>
      <c r="F740" s="555">
        <f t="shared" ca="1" si="105"/>
        <v>0.5</v>
      </c>
      <c r="G740" s="244">
        <f t="shared" ca="1" si="106"/>
        <v>100000</v>
      </c>
    </row>
    <row r="741" spans="1:10" ht="21" customHeight="1" x14ac:dyDescent="0.25">
      <c r="B741" s="228" t="s">
        <v>515</v>
      </c>
      <c r="C741" s="233">
        <f t="shared" ca="1" si="102"/>
        <v>968000.00000000012</v>
      </c>
      <c r="D741" s="549">
        <f t="shared" ca="1" si="103"/>
        <v>880000.00000000012</v>
      </c>
      <c r="E741" s="233">
        <f t="shared" ca="1" si="104"/>
        <v>152000</v>
      </c>
      <c r="F741" s="555">
        <f t="shared" ca="1" si="105"/>
        <v>0.1727272727272727</v>
      </c>
      <c r="G741" s="244">
        <f t="shared" ca="1" si="106"/>
        <v>30400</v>
      </c>
    </row>
    <row r="742" spans="1:10" ht="21" customHeight="1" x14ac:dyDescent="0.25">
      <c r="B742" s="228" t="s">
        <v>445</v>
      </c>
      <c r="C742" s="233">
        <f t="shared" ca="1" si="102"/>
        <v>2147200</v>
      </c>
      <c r="D742" s="549">
        <f t="shared" ca="1" si="103"/>
        <v>1952000</v>
      </c>
      <c r="E742" s="233">
        <f t="shared" ca="1" si="104"/>
        <v>592000</v>
      </c>
      <c r="F742" s="555">
        <f t="shared" ca="1" si="105"/>
        <v>0.30327868852459017</v>
      </c>
      <c r="G742" s="244">
        <f t="shared" ca="1" si="106"/>
        <v>118400</v>
      </c>
    </row>
    <row r="743" spans="1:10" ht="21" customHeight="1" x14ac:dyDescent="0.25">
      <c r="B743" s="228" t="s">
        <v>1161</v>
      </c>
      <c r="C743" s="233">
        <f t="shared" ca="1" si="102"/>
        <v>1210000</v>
      </c>
      <c r="D743" s="549">
        <f t="shared" ca="1" si="103"/>
        <v>1100000</v>
      </c>
      <c r="E743" s="233">
        <f t="shared" ca="1" si="104"/>
        <v>190000</v>
      </c>
      <c r="F743" s="555">
        <f t="shared" ca="1" si="105"/>
        <v>0.17272727272727273</v>
      </c>
      <c r="G743" s="234">
        <f t="shared" ca="1" si="106"/>
        <v>38000</v>
      </c>
    </row>
    <row r="744" spans="1:10" ht="21" customHeight="1" x14ac:dyDescent="0.25">
      <c r="B744" s="228" t="s">
        <v>1189</v>
      </c>
      <c r="C744" s="233">
        <f t="shared" ca="1" si="102"/>
        <v>297000</v>
      </c>
      <c r="D744" s="540">
        <f t="shared" ca="1" si="103"/>
        <v>270000</v>
      </c>
      <c r="E744" s="233">
        <f t="shared" ca="1" si="104"/>
        <v>70000</v>
      </c>
      <c r="F744" s="555">
        <f t="shared" ca="1" si="105"/>
        <v>0.25925925925925924</v>
      </c>
      <c r="G744" s="234">
        <f t="shared" ca="1" si="106"/>
        <v>14000</v>
      </c>
    </row>
    <row r="745" spans="1:10" ht="21" customHeight="1" x14ac:dyDescent="0.25">
      <c r="B745" s="228" t="s">
        <v>677</v>
      </c>
      <c r="C745" s="233">
        <f t="shared" ca="1" si="102"/>
        <v>242000.00000000003</v>
      </c>
      <c r="D745" s="540">
        <f t="shared" ca="1" si="103"/>
        <v>220000.00000000003</v>
      </c>
      <c r="E745" s="233">
        <f t="shared" ca="1" si="104"/>
        <v>120000</v>
      </c>
      <c r="F745" s="555">
        <f t="shared" ca="1" si="105"/>
        <v>0.54545454545454541</v>
      </c>
      <c r="G745" s="234">
        <f t="shared" ca="1" si="106"/>
        <v>24000</v>
      </c>
    </row>
    <row r="746" spans="1:10" ht="21" customHeight="1" x14ac:dyDescent="0.25">
      <c r="B746" s="228" t="s">
        <v>466</v>
      </c>
      <c r="C746" s="233">
        <f t="shared" ca="1" si="102"/>
        <v>715000</v>
      </c>
      <c r="D746" s="540">
        <f t="shared" ca="1" si="103"/>
        <v>650000</v>
      </c>
      <c r="E746" s="233">
        <f t="shared" ca="1" si="104"/>
        <v>150000</v>
      </c>
      <c r="F746" s="555">
        <f t="shared" ca="1" si="105"/>
        <v>0.23076923076923078</v>
      </c>
      <c r="G746" s="234">
        <f t="shared" ca="1" si="106"/>
        <v>30000</v>
      </c>
    </row>
    <row r="747" spans="1:10" ht="21" customHeight="1" x14ac:dyDescent="0.25">
      <c r="B747" s="277"/>
      <c r="C747" s="543">
        <f ca="1">SUM(C733:C746)</f>
        <v>32575400</v>
      </c>
      <c r="D747" s="543">
        <f ca="1">SUM(D733:D746)</f>
        <v>29614000</v>
      </c>
      <c r="E747" s="543">
        <f ca="1">SUM(E733:E746)</f>
        <v>7140260</v>
      </c>
      <c r="F747" s="315">
        <f ca="1">E747/D747</f>
        <v>0.24111096103194435</v>
      </c>
      <c r="G747" s="910">
        <f ca="1">SUM(G733:G746)</f>
        <v>1428052</v>
      </c>
    </row>
    <row r="748" spans="1:10" ht="21" customHeight="1" x14ac:dyDescent="0.25">
      <c r="A748" s="247" t="s">
        <v>1242</v>
      </c>
      <c r="B748" s="228" t="s">
        <v>1243</v>
      </c>
      <c r="C748" s="233">
        <f t="shared" ref="C748:C759" ca="1" si="107">SUMIFS(INDIRECT("Report!F100:F1000"),INDIRECT("Report!B100:B1000"),B748,INDIRECT("report!H100:H1000"),"Consums",INDIRECT("Report!L100:L1000"),"18.5")</f>
        <v>572000</v>
      </c>
      <c r="D748" s="250">
        <f t="shared" ref="D748:D759" ca="1" si="108">(C748/11*10)</f>
        <v>520000</v>
      </c>
      <c r="E748" s="233">
        <f t="shared" ref="E748:E759" ca="1" si="109">SUMIFS(INDIRECT("Report!J100:J1000"),INDIRECT("Report!B100:B1000"),B748,INDIRECT("report!H100:H1000"),"Consums",INDIRECT("Report!L100:L1000"),"18.5")</f>
        <v>0</v>
      </c>
      <c r="F748" s="555">
        <f t="shared" ref="F748:F759" ca="1" si="110">E748/D748</f>
        <v>0</v>
      </c>
      <c r="G748" s="244">
        <f t="shared" ref="G748:G759" ca="1" si="111">E748*20%</f>
        <v>0</v>
      </c>
      <c r="J748" s="227" t="s">
        <v>1244</v>
      </c>
    </row>
    <row r="749" spans="1:10" ht="21" customHeight="1" x14ac:dyDescent="0.25">
      <c r="B749" s="228" t="s">
        <v>444</v>
      </c>
      <c r="C749" s="233">
        <f t="shared" ca="1" si="107"/>
        <v>3856600</v>
      </c>
      <c r="D749" s="250">
        <f t="shared" ca="1" si="108"/>
        <v>3506000</v>
      </c>
      <c r="E749" s="233">
        <f t="shared" ca="1" si="109"/>
        <v>919000</v>
      </c>
      <c r="F749" s="555">
        <f t="shared" ca="1" si="110"/>
        <v>0.26212207644038793</v>
      </c>
      <c r="G749" s="244">
        <f t="shared" ca="1" si="111"/>
        <v>183800</v>
      </c>
    </row>
    <row r="750" spans="1:10" ht="21" customHeight="1" x14ac:dyDescent="0.25">
      <c r="B750" s="228" t="s">
        <v>458</v>
      </c>
      <c r="C750" s="233">
        <f t="shared" ca="1" si="107"/>
        <v>9977000</v>
      </c>
      <c r="D750" s="250">
        <f t="shared" ca="1" si="108"/>
        <v>9070000</v>
      </c>
      <c r="E750" s="233">
        <f t="shared" ca="1" si="109"/>
        <v>2929500</v>
      </c>
      <c r="F750" s="555">
        <f t="shared" ca="1" si="110"/>
        <v>0.32298787210584345</v>
      </c>
      <c r="G750" s="244">
        <f t="shared" ca="1" si="111"/>
        <v>585900</v>
      </c>
    </row>
    <row r="751" spans="1:10" ht="21" customHeight="1" x14ac:dyDescent="0.25">
      <c r="B751" s="228" t="s">
        <v>439</v>
      </c>
      <c r="C751" s="233">
        <f t="shared" ca="1" si="107"/>
        <v>9601900</v>
      </c>
      <c r="D751" s="250">
        <f t="shared" ca="1" si="108"/>
        <v>8729000</v>
      </c>
      <c r="E751" s="233">
        <f t="shared" ca="1" si="109"/>
        <v>1333500</v>
      </c>
      <c r="F751" s="555">
        <f t="shared" ca="1" si="110"/>
        <v>0.15276663993584602</v>
      </c>
      <c r="G751" s="244">
        <f t="shared" ca="1" si="111"/>
        <v>266700</v>
      </c>
    </row>
    <row r="752" spans="1:10" ht="21" customHeight="1" x14ac:dyDescent="0.25">
      <c r="B752" s="228" t="s">
        <v>448</v>
      </c>
      <c r="C752" s="233">
        <f t="shared" ca="1" si="107"/>
        <v>396000.00000000006</v>
      </c>
      <c r="D752" s="250">
        <f t="shared" ca="1" si="108"/>
        <v>360000.00000000006</v>
      </c>
      <c r="E752" s="233">
        <f t="shared" ca="1" si="109"/>
        <v>118500</v>
      </c>
      <c r="F752" s="555">
        <f t="shared" ca="1" si="110"/>
        <v>0.32916666666666661</v>
      </c>
      <c r="G752" s="244">
        <f t="shared" ca="1" si="111"/>
        <v>23700</v>
      </c>
    </row>
    <row r="753" spans="1:7" ht="21" customHeight="1" x14ac:dyDescent="0.25">
      <c r="B753" s="228" t="s">
        <v>1044</v>
      </c>
      <c r="C753" s="233">
        <f t="shared" ca="1" si="107"/>
        <v>2504700.0000000005</v>
      </c>
      <c r="D753" s="250">
        <f t="shared" ca="1" si="108"/>
        <v>2277000.0000000005</v>
      </c>
      <c r="E753" s="233">
        <f t="shared" ca="1" si="109"/>
        <v>378000</v>
      </c>
      <c r="F753" s="555">
        <f t="shared" ca="1" si="110"/>
        <v>0.16600790513833988</v>
      </c>
      <c r="G753" s="244">
        <f t="shared" ca="1" si="111"/>
        <v>75600</v>
      </c>
    </row>
    <row r="754" spans="1:7" ht="21" customHeight="1" x14ac:dyDescent="0.25">
      <c r="B754" s="228" t="s">
        <v>523</v>
      </c>
      <c r="C754" s="233">
        <f t="shared" ca="1" si="107"/>
        <v>2200000</v>
      </c>
      <c r="D754" s="250">
        <f t="shared" ca="1" si="108"/>
        <v>2000000</v>
      </c>
      <c r="E754" s="233">
        <f t="shared" ca="1" si="109"/>
        <v>390000</v>
      </c>
      <c r="F754" s="555">
        <f t="shared" ca="1" si="110"/>
        <v>0.19500000000000001</v>
      </c>
      <c r="G754" s="244">
        <f t="shared" ca="1" si="111"/>
        <v>78000</v>
      </c>
    </row>
    <row r="755" spans="1:7" ht="21" customHeight="1" x14ac:dyDescent="0.25">
      <c r="B755" s="228" t="s">
        <v>430</v>
      </c>
      <c r="C755" s="233">
        <f t="shared" ca="1" si="107"/>
        <v>550000</v>
      </c>
      <c r="D755" s="250">
        <f t="shared" ca="1" si="108"/>
        <v>500000</v>
      </c>
      <c r="E755" s="233">
        <f t="shared" ca="1" si="109"/>
        <v>250000</v>
      </c>
      <c r="F755" s="555">
        <f t="shared" ca="1" si="110"/>
        <v>0.5</v>
      </c>
      <c r="G755" s="244">
        <f t="shared" ca="1" si="111"/>
        <v>50000</v>
      </c>
    </row>
    <row r="756" spans="1:7" ht="21" customHeight="1" x14ac:dyDescent="0.25">
      <c r="B756" s="228" t="s">
        <v>515</v>
      </c>
      <c r="C756" s="233">
        <f t="shared" ca="1" si="107"/>
        <v>968000.00000000012</v>
      </c>
      <c r="D756" s="250">
        <f t="shared" ca="1" si="108"/>
        <v>880000.00000000012</v>
      </c>
      <c r="E756" s="233">
        <f t="shared" ca="1" si="109"/>
        <v>152000</v>
      </c>
      <c r="F756" s="555">
        <f t="shared" ca="1" si="110"/>
        <v>0.1727272727272727</v>
      </c>
      <c r="G756" s="244">
        <f t="shared" ca="1" si="111"/>
        <v>30400</v>
      </c>
    </row>
    <row r="757" spans="1:7" ht="21" customHeight="1" x14ac:dyDescent="0.25">
      <c r="B757" s="228" t="s">
        <v>445</v>
      </c>
      <c r="C757" s="233">
        <f t="shared" ca="1" si="107"/>
        <v>3223000</v>
      </c>
      <c r="D757" s="250">
        <f t="shared" ca="1" si="108"/>
        <v>2930000</v>
      </c>
      <c r="E757" s="233">
        <f t="shared" ca="1" si="109"/>
        <v>559500</v>
      </c>
      <c r="F757" s="555">
        <f t="shared" ca="1" si="110"/>
        <v>0.1909556313993174</v>
      </c>
      <c r="G757" s="244">
        <f t="shared" ca="1" si="111"/>
        <v>111900</v>
      </c>
    </row>
    <row r="758" spans="1:7" ht="21" customHeight="1" x14ac:dyDescent="0.25">
      <c r="B758" s="228" t="s">
        <v>834</v>
      </c>
      <c r="C758" s="233">
        <f t="shared" ca="1" si="107"/>
        <v>7755000.0000000009</v>
      </c>
      <c r="D758" s="250">
        <f t="shared" ca="1" si="108"/>
        <v>7050000.0000000009</v>
      </c>
      <c r="E758" s="233">
        <f t="shared" ca="1" si="109"/>
        <v>1700000</v>
      </c>
      <c r="F758" s="555">
        <f t="shared" ca="1" si="110"/>
        <v>0.2411347517730496</v>
      </c>
      <c r="G758" s="234">
        <f t="shared" ca="1" si="111"/>
        <v>340000</v>
      </c>
    </row>
    <row r="759" spans="1:7" ht="21" customHeight="1" x14ac:dyDescent="0.25">
      <c r="B759" s="228" t="s">
        <v>466</v>
      </c>
      <c r="C759" s="233">
        <f t="shared" ca="1" si="107"/>
        <v>715000</v>
      </c>
      <c r="D759" s="250">
        <f t="shared" ca="1" si="108"/>
        <v>650000</v>
      </c>
      <c r="E759" s="233">
        <f t="shared" ca="1" si="109"/>
        <v>150000</v>
      </c>
      <c r="F759" s="555">
        <f t="shared" ca="1" si="110"/>
        <v>0.23076923076923078</v>
      </c>
      <c r="G759" s="234">
        <f t="shared" ca="1" si="111"/>
        <v>30000</v>
      </c>
    </row>
    <row r="760" spans="1:7" ht="21" customHeight="1" x14ac:dyDescent="0.25">
      <c r="B760" s="279"/>
      <c r="C760" s="544">
        <f ca="1">SUM(C748:C759)</f>
        <v>42319200</v>
      </c>
      <c r="D760" s="544">
        <f ca="1">SUM(D748:D759)</f>
        <v>38472000</v>
      </c>
      <c r="E760" s="544">
        <f ca="1">SUM(E748:E759)</f>
        <v>8880000</v>
      </c>
      <c r="F760" s="567">
        <f ca="1">E760/D760</f>
        <v>0.23081721771678104</v>
      </c>
      <c r="G760" s="972">
        <f ca="1">SUM(G748:G759)</f>
        <v>1776000</v>
      </c>
    </row>
    <row r="761" spans="1:7" ht="21" customHeight="1" x14ac:dyDescent="0.25">
      <c r="A761" s="247" t="s">
        <v>1277</v>
      </c>
      <c r="B761" s="228" t="s">
        <v>523</v>
      </c>
      <c r="C761" s="233">
        <f t="shared" ref="C761:C774" ca="1" si="112">SUMIFS(INDIRECT("Report!F100:F10000"),INDIRECT("Report!B100:B10000"),B761,INDIRECT("report!H100:H10000"),"Consums",INDIRECT("Report!L100:L10000"),"18.6")</f>
        <v>2200000</v>
      </c>
      <c r="D761" s="250">
        <f ca="1">(C761/11*10)</f>
        <v>2000000</v>
      </c>
      <c r="E761" s="233">
        <f t="shared" ref="E761:E774" ca="1" si="113">SUMIFS(INDIRECT("Report!J100:J10000"),INDIRECT("Report!B100:B10000"),B761,INDIRECT("report!H100:H10000"),"Consums",INDIRECT("Report!L100:L10000"),"18.6")</f>
        <v>390000</v>
      </c>
      <c r="F761" s="555">
        <f t="shared" ref="F761:F773" ca="1" si="114">E761/D761</f>
        <v>0.19500000000000001</v>
      </c>
      <c r="G761" s="244">
        <f t="shared" ref="G761:G773" ca="1" si="115">E761*20%</f>
        <v>78000</v>
      </c>
    </row>
    <row r="762" spans="1:7" ht="21" customHeight="1" x14ac:dyDescent="0.25">
      <c r="B762" s="228" t="s">
        <v>444</v>
      </c>
      <c r="C762" s="233">
        <f t="shared" ca="1" si="112"/>
        <v>4373600</v>
      </c>
      <c r="D762" s="250">
        <f t="shared" ref="D762:D773" ca="1" si="116">(C762/11*10)</f>
        <v>3976000</v>
      </c>
      <c r="E762" s="233">
        <f t="shared" ca="1" si="113"/>
        <v>950000</v>
      </c>
      <c r="F762" s="555">
        <f t="shared" ca="1" si="114"/>
        <v>0.23893360160965796</v>
      </c>
      <c r="G762" s="244">
        <f t="shared" ca="1" si="115"/>
        <v>190000</v>
      </c>
    </row>
    <row r="763" spans="1:7" ht="21" customHeight="1" x14ac:dyDescent="0.25">
      <c r="B763" s="228" t="s">
        <v>458</v>
      </c>
      <c r="C763" s="233">
        <f t="shared" ca="1" si="112"/>
        <v>6409700</v>
      </c>
      <c r="D763" s="250">
        <f t="shared" ca="1" si="116"/>
        <v>5827000</v>
      </c>
      <c r="E763" s="233">
        <f t="shared" ca="1" si="113"/>
        <v>1654900</v>
      </c>
      <c r="F763" s="555">
        <f t="shared" ca="1" si="114"/>
        <v>0.28400549167667755</v>
      </c>
      <c r="G763" s="244">
        <f t="shared" ca="1" si="115"/>
        <v>330980</v>
      </c>
    </row>
    <row r="764" spans="1:7" ht="21" customHeight="1" x14ac:dyDescent="0.25">
      <c r="B764" s="228" t="s">
        <v>468</v>
      </c>
      <c r="C764" s="233">
        <f t="shared" ca="1" si="112"/>
        <v>775500</v>
      </c>
      <c r="D764" s="250">
        <f t="shared" ca="1" si="116"/>
        <v>705000</v>
      </c>
      <c r="E764" s="233">
        <f t="shared" ca="1" si="113"/>
        <v>330000</v>
      </c>
      <c r="F764" s="555">
        <f t="shared" ca="1" si="114"/>
        <v>0.46808510638297873</v>
      </c>
      <c r="G764" s="244">
        <f t="shared" ca="1" si="115"/>
        <v>66000</v>
      </c>
    </row>
    <row r="765" spans="1:7" ht="21" customHeight="1" x14ac:dyDescent="0.25">
      <c r="B765" s="228" t="s">
        <v>450</v>
      </c>
      <c r="C765" s="233">
        <f t="shared" ca="1" si="112"/>
        <v>495000.00000000006</v>
      </c>
      <c r="D765" s="250">
        <f t="shared" ca="1" si="116"/>
        <v>450000.00000000006</v>
      </c>
      <c r="E765" s="233">
        <f t="shared" ca="1" si="113"/>
        <v>70000</v>
      </c>
      <c r="F765" s="555">
        <f t="shared" ca="1" si="114"/>
        <v>0.15555555555555553</v>
      </c>
      <c r="G765" s="244">
        <f t="shared" ca="1" si="115"/>
        <v>14000</v>
      </c>
    </row>
    <row r="766" spans="1:7" ht="21" customHeight="1" x14ac:dyDescent="0.25">
      <c r="B766" s="228" t="s">
        <v>466</v>
      </c>
      <c r="C766" s="233">
        <f t="shared" ca="1" si="112"/>
        <v>715000</v>
      </c>
      <c r="D766" s="250">
        <f t="shared" ca="1" si="116"/>
        <v>650000</v>
      </c>
      <c r="E766" s="233">
        <f t="shared" ca="1" si="113"/>
        <v>150000</v>
      </c>
      <c r="F766" s="555">
        <f t="shared" ca="1" si="114"/>
        <v>0.23076923076923078</v>
      </c>
      <c r="G766" s="244">
        <f t="shared" ca="1" si="115"/>
        <v>30000</v>
      </c>
    </row>
    <row r="767" spans="1:7" ht="21" customHeight="1" x14ac:dyDescent="0.25">
      <c r="B767" s="228" t="s">
        <v>453</v>
      </c>
      <c r="C767" s="233">
        <f t="shared" ca="1" si="112"/>
        <v>9642600</v>
      </c>
      <c r="D767" s="250">
        <f t="shared" ca="1" si="116"/>
        <v>8766000</v>
      </c>
      <c r="E767" s="233">
        <f t="shared" ca="1" si="113"/>
        <v>1315640</v>
      </c>
      <c r="F767" s="555">
        <f t="shared" ca="1" si="114"/>
        <v>0.15008441706593656</v>
      </c>
      <c r="G767" s="234">
        <f t="shared" ca="1" si="115"/>
        <v>263128</v>
      </c>
    </row>
    <row r="768" spans="1:7" ht="21" customHeight="1" x14ac:dyDescent="0.25">
      <c r="B768" s="228" t="s">
        <v>463</v>
      </c>
      <c r="C768" s="233">
        <f t="shared" ca="1" si="112"/>
        <v>4823500</v>
      </c>
      <c r="D768" s="250">
        <f t="shared" ca="1" si="116"/>
        <v>4385000</v>
      </c>
      <c r="E768" s="233">
        <f t="shared" ca="1" si="113"/>
        <v>977000</v>
      </c>
      <c r="F768" s="555">
        <f t="shared" ca="1" si="114"/>
        <v>0.22280501710376283</v>
      </c>
      <c r="G768" s="234">
        <f t="shared" ca="1" si="115"/>
        <v>195400</v>
      </c>
    </row>
    <row r="769" spans="1:7" ht="21" customHeight="1" x14ac:dyDescent="0.25">
      <c r="B769" s="228" t="s">
        <v>515</v>
      </c>
      <c r="C769" s="233">
        <f t="shared" ca="1" si="112"/>
        <v>1936000.0000000002</v>
      </c>
      <c r="D769" s="250">
        <f t="shared" ca="1" si="116"/>
        <v>1760000.0000000002</v>
      </c>
      <c r="E769" s="233">
        <f t="shared" ca="1" si="113"/>
        <v>304000</v>
      </c>
      <c r="F769" s="555">
        <f t="shared" ca="1" si="114"/>
        <v>0.1727272727272727</v>
      </c>
      <c r="G769" s="234">
        <f t="shared" ca="1" si="115"/>
        <v>60800</v>
      </c>
    </row>
    <row r="770" spans="1:7" ht="21" customHeight="1" x14ac:dyDescent="0.25">
      <c r="B770" s="228" t="s">
        <v>1161</v>
      </c>
      <c r="C770" s="233">
        <f t="shared" ca="1" si="112"/>
        <v>1210000</v>
      </c>
      <c r="D770" s="250">
        <f t="shared" ca="1" si="116"/>
        <v>1100000</v>
      </c>
      <c r="E770" s="233">
        <f t="shared" ca="1" si="113"/>
        <v>190000</v>
      </c>
      <c r="F770" s="555">
        <f t="shared" ca="1" si="114"/>
        <v>0.17272727272727273</v>
      </c>
      <c r="G770" s="234">
        <f t="shared" ca="1" si="115"/>
        <v>38000</v>
      </c>
    </row>
    <row r="771" spans="1:7" ht="21" customHeight="1" x14ac:dyDescent="0.25">
      <c r="B771" s="228" t="s">
        <v>834</v>
      </c>
      <c r="C771" s="236">
        <f t="shared" ca="1" si="112"/>
        <v>15389000.000000002</v>
      </c>
      <c r="D771" s="236">
        <f t="shared" ca="1" si="116"/>
        <v>13990000.000000002</v>
      </c>
      <c r="E771" s="236">
        <f t="shared" ca="1" si="113"/>
        <v>3380000</v>
      </c>
      <c r="F771" s="555">
        <f t="shared" ca="1" si="114"/>
        <v>0.24160114367405286</v>
      </c>
      <c r="G771" s="234">
        <f t="shared" ca="1" si="115"/>
        <v>676000</v>
      </c>
    </row>
    <row r="772" spans="1:7" ht="21" customHeight="1" x14ac:dyDescent="0.25">
      <c r="B772" s="228" t="s">
        <v>1278</v>
      </c>
      <c r="C772" s="236">
        <f t="shared" ca="1" si="112"/>
        <v>182600.00000000003</v>
      </c>
      <c r="D772" s="236">
        <f t="shared" ca="1" si="116"/>
        <v>166000.00000000003</v>
      </c>
      <c r="E772" s="236">
        <f t="shared" ca="1" si="113"/>
        <v>166000</v>
      </c>
      <c r="F772" s="555">
        <f t="shared" ca="1" si="114"/>
        <v>0.99999999999999978</v>
      </c>
      <c r="G772" s="234">
        <f t="shared" ca="1" si="115"/>
        <v>33200</v>
      </c>
    </row>
    <row r="773" spans="1:7" ht="21" customHeight="1" x14ac:dyDescent="0.25">
      <c r="B773" s="228" t="s">
        <v>1044</v>
      </c>
      <c r="C773" s="236">
        <f t="shared" ca="1" si="112"/>
        <v>5253600</v>
      </c>
      <c r="D773" s="236">
        <f t="shared" ca="1" si="116"/>
        <v>4776000</v>
      </c>
      <c r="E773" s="236">
        <f t="shared" ca="1" si="113"/>
        <v>784000</v>
      </c>
      <c r="F773" s="555">
        <f t="shared" ca="1" si="114"/>
        <v>0.16415410385259632</v>
      </c>
      <c r="G773" s="234">
        <f t="shared" ca="1" si="115"/>
        <v>156800</v>
      </c>
    </row>
    <row r="774" spans="1:7" ht="21" customHeight="1" x14ac:dyDescent="0.25">
      <c r="B774" s="228" t="s">
        <v>430</v>
      </c>
      <c r="C774" s="236">
        <f t="shared" ca="1" si="112"/>
        <v>1100000</v>
      </c>
      <c r="D774" s="236">
        <f ca="1">(C774/11*10)</f>
        <v>1000000</v>
      </c>
      <c r="E774" s="236">
        <f t="shared" ca="1" si="113"/>
        <v>500000</v>
      </c>
      <c r="F774" s="555">
        <f ca="1">E774/D774</f>
        <v>0.5</v>
      </c>
      <c r="G774" s="234">
        <f ca="1">E774*20%</f>
        <v>100000</v>
      </c>
    </row>
    <row r="775" spans="1:7" ht="21" customHeight="1" x14ac:dyDescent="0.25">
      <c r="B775" s="279"/>
      <c r="C775" s="544">
        <f ca="1">SUM(C761:C774)</f>
        <v>54506100</v>
      </c>
      <c r="D775" s="544">
        <f ca="1">SUM(D761:D774)</f>
        <v>49551000</v>
      </c>
      <c r="E775" s="544">
        <f ca="1">SUM(E761:E774)</f>
        <v>11161540</v>
      </c>
      <c r="F775" s="567">
        <f ca="1">E775/D775</f>
        <v>0.22525357712256058</v>
      </c>
      <c r="G775" s="972">
        <f ca="1">SUM(G761:G774)</f>
        <v>2232308</v>
      </c>
    </row>
    <row r="776" spans="1:7" ht="21" customHeight="1" x14ac:dyDescent="0.25">
      <c r="A776" s="247" t="s">
        <v>1324</v>
      </c>
      <c r="B776" s="228" t="s">
        <v>523</v>
      </c>
      <c r="C776" s="233">
        <f t="shared" ref="C776:C789" ca="1" si="117">SUMIFS(INDIRECT("Report!F100:F10000"),INDIRECT("Report!B100:B10000"),B776,INDIRECT("report!H100:H10000"),"Consums",INDIRECT("Report!L100:L10000"),"18.7")</f>
        <v>3300000</v>
      </c>
      <c r="D776" s="250">
        <f t="shared" ref="D776:D789" ca="1" si="118">(C776/11*10)</f>
        <v>3000000</v>
      </c>
      <c r="E776" s="233">
        <f t="shared" ref="E776:E789" ca="1" si="119">SUMIFS(INDIRECT("Report!J100:J10000"),INDIRECT("Report!B100:B10000"),B776,INDIRECT("report!H100:H10000"),"Consums",INDIRECT("Report!L100:L10000"),"18.7")</f>
        <v>890000</v>
      </c>
      <c r="F776" s="555">
        <f ca="1">E776/D776</f>
        <v>0.29666666666666669</v>
      </c>
      <c r="G776" s="244">
        <f ca="1">E776*20%</f>
        <v>178000</v>
      </c>
    </row>
    <row r="777" spans="1:7" ht="21" customHeight="1" x14ac:dyDescent="0.25">
      <c r="B777" s="228" t="s">
        <v>444</v>
      </c>
      <c r="C777" s="233">
        <f t="shared" ca="1" si="117"/>
        <v>3602500</v>
      </c>
      <c r="D777" s="250">
        <f t="shared" ca="1" si="118"/>
        <v>3275000</v>
      </c>
      <c r="E777" s="233">
        <f t="shared" ca="1" si="119"/>
        <v>799999.99999999988</v>
      </c>
      <c r="F777" s="555">
        <f t="shared" ref="F777:F789" ca="1" si="120">E777/D777</f>
        <v>0.24427480916030531</v>
      </c>
      <c r="G777" s="244">
        <f t="shared" ref="G777:G789" ca="1" si="121">E777*20%</f>
        <v>160000</v>
      </c>
    </row>
    <row r="778" spans="1:7" ht="21" customHeight="1" x14ac:dyDescent="0.25">
      <c r="B778" s="228" t="s">
        <v>458</v>
      </c>
      <c r="C778" s="233">
        <f t="shared" ca="1" si="117"/>
        <v>7508600</v>
      </c>
      <c r="D778" s="250">
        <f t="shared" ca="1" si="118"/>
        <v>6826000</v>
      </c>
      <c r="E778" s="233">
        <f t="shared" ca="1" si="119"/>
        <v>2451100</v>
      </c>
      <c r="F778" s="555">
        <f t="shared" ca="1" si="120"/>
        <v>0.35908291825373573</v>
      </c>
      <c r="G778" s="244">
        <f t="shared" ca="1" si="121"/>
        <v>490220</v>
      </c>
    </row>
    <row r="779" spans="1:7" ht="21" customHeight="1" x14ac:dyDescent="0.25">
      <c r="B779" s="228" t="s">
        <v>1325</v>
      </c>
      <c r="C779" s="233">
        <f t="shared" ca="1" si="117"/>
        <v>62700.000000000007</v>
      </c>
      <c r="D779" s="250">
        <f t="shared" ca="1" si="118"/>
        <v>57000.000000000007</v>
      </c>
      <c r="E779" s="233">
        <f t="shared" ca="1" si="119"/>
        <v>57000</v>
      </c>
      <c r="F779" s="555">
        <f t="shared" ca="1" si="120"/>
        <v>0.99999999999999989</v>
      </c>
      <c r="G779" s="244">
        <f t="shared" ca="1" si="121"/>
        <v>11400</v>
      </c>
    </row>
    <row r="780" spans="1:7" ht="21" customHeight="1" x14ac:dyDescent="0.25">
      <c r="B780" s="228" t="s">
        <v>653</v>
      </c>
      <c r="C780" s="233">
        <f t="shared" ca="1" si="117"/>
        <v>907500.00000000012</v>
      </c>
      <c r="D780" s="250">
        <f t="shared" ca="1" si="118"/>
        <v>825000.00000000012</v>
      </c>
      <c r="E780" s="233">
        <f t="shared" ca="1" si="119"/>
        <v>185000</v>
      </c>
      <c r="F780" s="555">
        <f t="shared" ca="1" si="120"/>
        <v>0.22424242424242422</v>
      </c>
      <c r="G780" s="244">
        <f t="shared" ca="1" si="121"/>
        <v>37000</v>
      </c>
    </row>
    <row r="781" spans="1:7" ht="21" customHeight="1" x14ac:dyDescent="0.25">
      <c r="B781" s="228" t="s">
        <v>526</v>
      </c>
      <c r="C781" s="233">
        <f t="shared" ca="1" si="117"/>
        <v>396000</v>
      </c>
      <c r="D781" s="250">
        <f t="shared" ca="1" si="118"/>
        <v>360000</v>
      </c>
      <c r="E781" s="233">
        <f t="shared" ca="1" si="119"/>
        <v>120000</v>
      </c>
      <c r="F781" s="555">
        <f t="shared" ca="1" si="120"/>
        <v>0.33333333333333331</v>
      </c>
      <c r="G781" s="244">
        <f t="shared" ca="1" si="121"/>
        <v>24000</v>
      </c>
    </row>
    <row r="782" spans="1:7" ht="21" customHeight="1" x14ac:dyDescent="0.25">
      <c r="B782" s="228" t="s">
        <v>453</v>
      </c>
      <c r="C782" s="233">
        <f t="shared" ca="1" si="117"/>
        <v>14084400</v>
      </c>
      <c r="D782" s="250">
        <f t="shared" ca="1" si="118"/>
        <v>12804000</v>
      </c>
      <c r="E782" s="233">
        <f t="shared" ca="1" si="119"/>
        <v>2585580</v>
      </c>
      <c r="F782" s="555">
        <f t="shared" ca="1" si="120"/>
        <v>0.20193533270852859</v>
      </c>
      <c r="G782" s="244">
        <f t="shared" ca="1" si="121"/>
        <v>517116</v>
      </c>
    </row>
    <row r="783" spans="1:7" ht="21" customHeight="1" x14ac:dyDescent="0.25">
      <c r="B783" s="228" t="s">
        <v>463</v>
      </c>
      <c r="C783" s="233">
        <f t="shared" ca="1" si="117"/>
        <v>3773000</v>
      </c>
      <c r="D783" s="250">
        <f t="shared" ca="1" si="118"/>
        <v>3430000</v>
      </c>
      <c r="E783" s="233">
        <f t="shared" ca="1" si="119"/>
        <v>537500</v>
      </c>
      <c r="F783" s="555">
        <f t="shared" ca="1" si="120"/>
        <v>0.15670553935860057</v>
      </c>
      <c r="G783" s="244">
        <f t="shared" ca="1" si="121"/>
        <v>107500</v>
      </c>
    </row>
    <row r="784" spans="1:7" ht="21" customHeight="1" x14ac:dyDescent="0.25">
      <c r="B784" s="228" t="s">
        <v>515</v>
      </c>
      <c r="C784" s="233">
        <f t="shared" ca="1" si="117"/>
        <v>968000.00000000012</v>
      </c>
      <c r="D784" s="250">
        <f t="shared" ca="1" si="118"/>
        <v>880000.00000000012</v>
      </c>
      <c r="E784" s="233">
        <f t="shared" ca="1" si="119"/>
        <v>152000</v>
      </c>
      <c r="F784" s="555">
        <f t="shared" ca="1" si="120"/>
        <v>0.1727272727272727</v>
      </c>
      <c r="G784" s="244">
        <f t="shared" ca="1" si="121"/>
        <v>30400</v>
      </c>
    </row>
    <row r="785" spans="1:10" ht="21" customHeight="1" x14ac:dyDescent="0.25">
      <c r="B785" s="228" t="s">
        <v>677</v>
      </c>
      <c r="C785" s="233">
        <f t="shared" ca="1" si="117"/>
        <v>242000.00000000003</v>
      </c>
      <c r="D785" s="250">
        <f t="shared" ca="1" si="118"/>
        <v>220000.00000000003</v>
      </c>
      <c r="E785" s="233">
        <f t="shared" ca="1" si="119"/>
        <v>120000</v>
      </c>
      <c r="F785" s="555">
        <f t="shared" ca="1" si="120"/>
        <v>0.54545454545454541</v>
      </c>
      <c r="G785" s="244">
        <f t="shared" ca="1" si="121"/>
        <v>24000</v>
      </c>
    </row>
    <row r="786" spans="1:10" ht="21" customHeight="1" x14ac:dyDescent="0.25">
      <c r="B786" s="228" t="s">
        <v>1326</v>
      </c>
      <c r="C786" s="233">
        <f t="shared" ca="1" si="117"/>
        <v>4422000</v>
      </c>
      <c r="D786" s="250">
        <f t="shared" ca="1" si="118"/>
        <v>4020000</v>
      </c>
      <c r="E786" s="233">
        <f t="shared" ca="1" si="119"/>
        <v>840000</v>
      </c>
      <c r="F786" s="555">
        <f t="shared" ca="1" si="120"/>
        <v>0.20895522388059701</v>
      </c>
      <c r="G786" s="244">
        <f t="shared" ca="1" si="121"/>
        <v>168000</v>
      </c>
    </row>
    <row r="787" spans="1:10" ht="21" customHeight="1" x14ac:dyDescent="0.25">
      <c r="B787" s="228" t="s">
        <v>1278</v>
      </c>
      <c r="C787" s="233">
        <f t="shared" ca="1" si="117"/>
        <v>1518825.0000000002</v>
      </c>
      <c r="D787" s="250">
        <f t="shared" ca="1" si="118"/>
        <v>1380750.0000000002</v>
      </c>
      <c r="E787" s="233">
        <f t="shared" ca="1" si="119"/>
        <v>380750</v>
      </c>
      <c r="F787" s="555">
        <f t="shared" ca="1" si="120"/>
        <v>0.27575592974832513</v>
      </c>
      <c r="G787" s="244">
        <f t="shared" ca="1" si="121"/>
        <v>76150</v>
      </c>
      <c r="J787" s="227" t="s">
        <v>1349</v>
      </c>
    </row>
    <row r="788" spans="1:10" ht="21" customHeight="1" x14ac:dyDescent="0.25">
      <c r="B788" s="228" t="s">
        <v>1044</v>
      </c>
      <c r="C788" s="233">
        <f t="shared" ca="1" si="117"/>
        <v>5055600</v>
      </c>
      <c r="D788" s="250">
        <f t="shared" ca="1" si="118"/>
        <v>4596000</v>
      </c>
      <c r="E788" s="233">
        <f t="shared" ca="1" si="119"/>
        <v>744000</v>
      </c>
      <c r="F788" s="555">
        <f t="shared" ca="1" si="120"/>
        <v>0.16187989556135771</v>
      </c>
      <c r="G788" s="244">
        <f t="shared" ca="1" si="121"/>
        <v>148800</v>
      </c>
    </row>
    <row r="789" spans="1:10" ht="21" customHeight="1" x14ac:dyDescent="0.25">
      <c r="B789" s="228" t="s">
        <v>430</v>
      </c>
      <c r="C789" s="233">
        <f t="shared" ca="1" si="117"/>
        <v>1100000</v>
      </c>
      <c r="D789" s="250">
        <f t="shared" ca="1" si="118"/>
        <v>1000000</v>
      </c>
      <c r="E789" s="233">
        <f t="shared" ca="1" si="119"/>
        <v>500000</v>
      </c>
      <c r="F789" s="555">
        <f t="shared" ca="1" si="120"/>
        <v>0.5</v>
      </c>
      <c r="G789" s="244">
        <f t="shared" ca="1" si="121"/>
        <v>100000</v>
      </c>
    </row>
    <row r="790" spans="1:10" ht="21" customHeight="1" x14ac:dyDescent="0.25">
      <c r="B790" s="279"/>
      <c r="C790" s="544">
        <f ca="1">SUM(C776:C789)</f>
        <v>46941125</v>
      </c>
      <c r="D790" s="544">
        <f ca="1">SUM(D776:D789)</f>
        <v>42673750</v>
      </c>
      <c r="E790" s="544">
        <f ca="1">SUM(E776:E789)</f>
        <v>10362930</v>
      </c>
      <c r="F790" s="567">
        <f ca="1">E790/D790</f>
        <v>0.24284085649843287</v>
      </c>
      <c r="G790" s="972">
        <f ca="1">SUM(G776:G789)</f>
        <v>2072586</v>
      </c>
    </row>
    <row r="791" spans="1:10" ht="21" customHeight="1" x14ac:dyDescent="0.25">
      <c r="A791" s="247" t="s">
        <v>1372</v>
      </c>
      <c r="B791" s="228" t="s">
        <v>444</v>
      </c>
      <c r="C791" s="233">
        <f t="shared" ref="C791:C801" ca="1" si="122">SUMIFS(INDIRECT("Report!F100:F10000"),INDIRECT("Report!B100:B10000"),B791,INDIRECT("report!H100:H10000"),"Consums",INDIRECT("Report!L100:L10000"),"18.8")</f>
        <v>2238500</v>
      </c>
      <c r="D791" s="250">
        <f t="shared" ref="D791:D801" ca="1" si="123">(C791/11*10)</f>
        <v>2035000</v>
      </c>
      <c r="E791" s="233">
        <f t="shared" ref="E791:E801" ca="1" si="124">SUMIFS(INDIRECT("Report!J100:J10000"),INDIRECT("Report!B100:B10000"),B791,INDIRECT("report!H100:H10000"),"Consums",INDIRECT("Report!L100:L10000"),"18.8")</f>
        <v>444499.99999999988</v>
      </c>
      <c r="F791" s="555">
        <f t="shared" ref="F791:F801" ca="1" si="125">E791/D791</f>
        <v>0.21842751842751837</v>
      </c>
      <c r="G791" s="244">
        <f t="shared" ref="G791:G801" ca="1" si="126">E791*20%</f>
        <v>88899.999999999985</v>
      </c>
    </row>
    <row r="792" spans="1:10" ht="21" customHeight="1" x14ac:dyDescent="0.25">
      <c r="B792" s="228" t="s">
        <v>458</v>
      </c>
      <c r="C792" s="233">
        <f t="shared" ca="1" si="122"/>
        <v>6894800</v>
      </c>
      <c r="D792" s="250">
        <f t="shared" ca="1" si="123"/>
        <v>6268000</v>
      </c>
      <c r="E792" s="233">
        <f t="shared" ca="1" si="124"/>
        <v>2153000</v>
      </c>
      <c r="F792" s="555">
        <f t="shared" ca="1" si="125"/>
        <v>0.34349074664964901</v>
      </c>
      <c r="G792" s="244">
        <f t="shared" ca="1" si="126"/>
        <v>430600</v>
      </c>
    </row>
    <row r="793" spans="1:10" ht="21" customHeight="1" x14ac:dyDescent="0.25">
      <c r="B793" s="228" t="s">
        <v>465</v>
      </c>
      <c r="C793" s="233">
        <f t="shared" ca="1" si="122"/>
        <v>1237500</v>
      </c>
      <c r="D793" s="250">
        <f t="shared" ca="1" si="123"/>
        <v>1125000</v>
      </c>
      <c r="E793" s="233">
        <f t="shared" ca="1" si="124"/>
        <v>325000</v>
      </c>
      <c r="F793" s="555">
        <f t="shared" ca="1" si="125"/>
        <v>0.28888888888888886</v>
      </c>
      <c r="G793" s="244">
        <f t="shared" ca="1" si="126"/>
        <v>65000</v>
      </c>
    </row>
    <row r="794" spans="1:10" ht="21" customHeight="1" x14ac:dyDescent="0.25">
      <c r="B794" s="228" t="s">
        <v>466</v>
      </c>
      <c r="C794" s="233">
        <f t="shared" ca="1" si="122"/>
        <v>715000</v>
      </c>
      <c r="D794" s="250">
        <f t="shared" ca="1" si="123"/>
        <v>650000</v>
      </c>
      <c r="E794" s="233">
        <f t="shared" ca="1" si="124"/>
        <v>150000</v>
      </c>
      <c r="F794" s="555">
        <f t="shared" ca="1" si="125"/>
        <v>0.23076923076923078</v>
      </c>
      <c r="G794" s="244">
        <f t="shared" ca="1" si="126"/>
        <v>30000</v>
      </c>
    </row>
    <row r="795" spans="1:10" ht="21" customHeight="1" x14ac:dyDescent="0.25">
      <c r="B795" s="228" t="s">
        <v>453</v>
      </c>
      <c r="C795" s="233">
        <f t="shared" ca="1" si="122"/>
        <v>8960600</v>
      </c>
      <c r="D795" s="250">
        <f t="shared" ca="1" si="123"/>
        <v>8146000</v>
      </c>
      <c r="E795" s="233">
        <f t="shared" ca="1" si="124"/>
        <v>874860</v>
      </c>
      <c r="F795" s="555">
        <f t="shared" ca="1" si="125"/>
        <v>0.10739749570341271</v>
      </c>
      <c r="G795" s="244">
        <f t="shared" ca="1" si="126"/>
        <v>174972</v>
      </c>
    </row>
    <row r="796" spans="1:10" ht="21" customHeight="1" x14ac:dyDescent="0.25">
      <c r="B796" s="228" t="s">
        <v>463</v>
      </c>
      <c r="C796" s="233">
        <f t="shared" ca="1" si="122"/>
        <v>4400000</v>
      </c>
      <c r="D796" s="250">
        <f t="shared" ca="1" si="123"/>
        <v>4000000</v>
      </c>
      <c r="E796" s="233">
        <f t="shared" ca="1" si="124"/>
        <v>925000</v>
      </c>
      <c r="F796" s="555">
        <f t="shared" ca="1" si="125"/>
        <v>0.23125000000000001</v>
      </c>
      <c r="G796" s="244">
        <f t="shared" ca="1" si="126"/>
        <v>185000</v>
      </c>
    </row>
    <row r="797" spans="1:10" ht="21" customHeight="1" x14ac:dyDescent="0.25">
      <c r="B797" s="228" t="s">
        <v>515</v>
      </c>
      <c r="C797" s="233">
        <f t="shared" ca="1" si="122"/>
        <v>968000.00000000012</v>
      </c>
      <c r="D797" s="250">
        <f t="shared" ca="1" si="123"/>
        <v>880000.00000000012</v>
      </c>
      <c r="E797" s="233">
        <f t="shared" ca="1" si="124"/>
        <v>152000</v>
      </c>
      <c r="F797" s="555">
        <f t="shared" ca="1" si="125"/>
        <v>0.1727272727272727</v>
      </c>
      <c r="G797" s="244">
        <f t="shared" ca="1" si="126"/>
        <v>30400</v>
      </c>
    </row>
    <row r="798" spans="1:10" ht="21" customHeight="1" x14ac:dyDescent="0.25">
      <c r="B798" s="228" t="s">
        <v>1326</v>
      </c>
      <c r="C798" s="233">
        <f t="shared" ca="1" si="122"/>
        <v>3437500</v>
      </c>
      <c r="D798" s="250">
        <f t="shared" ca="1" si="123"/>
        <v>3125000</v>
      </c>
      <c r="E798" s="233">
        <f t="shared" ca="1" si="124"/>
        <v>880000</v>
      </c>
      <c r="F798" s="555">
        <f t="shared" ca="1" si="125"/>
        <v>0.28160000000000002</v>
      </c>
      <c r="G798" s="244">
        <f t="shared" ca="1" si="126"/>
        <v>176000</v>
      </c>
    </row>
    <row r="799" spans="1:10" ht="21" customHeight="1" x14ac:dyDescent="0.25">
      <c r="B799" s="228" t="s">
        <v>1161</v>
      </c>
      <c r="C799" s="233">
        <f t="shared" ca="1" si="122"/>
        <v>1210000</v>
      </c>
      <c r="D799" s="250">
        <f t="shared" ca="1" si="123"/>
        <v>1100000</v>
      </c>
      <c r="E799" s="233">
        <f t="shared" ca="1" si="124"/>
        <v>190000</v>
      </c>
      <c r="F799" s="555">
        <f t="shared" ca="1" si="125"/>
        <v>0.17272727272727273</v>
      </c>
      <c r="G799" s="244">
        <f t="shared" ca="1" si="126"/>
        <v>38000</v>
      </c>
    </row>
    <row r="800" spans="1:10" ht="21" customHeight="1" x14ac:dyDescent="0.25">
      <c r="B800" s="228" t="s">
        <v>1044</v>
      </c>
      <c r="C800" s="233">
        <f t="shared" ca="1" si="122"/>
        <v>4956600</v>
      </c>
      <c r="D800" s="250">
        <f t="shared" ca="1" si="123"/>
        <v>4506000</v>
      </c>
      <c r="E800" s="233">
        <f t="shared" ca="1" si="124"/>
        <v>724000</v>
      </c>
      <c r="F800" s="555">
        <f t="shared" ca="1" si="125"/>
        <v>0.16067465601420328</v>
      </c>
      <c r="G800" s="244">
        <f t="shared" ca="1" si="126"/>
        <v>144800</v>
      </c>
    </row>
    <row r="801" spans="1:7" ht="21" customHeight="1" x14ac:dyDescent="0.25">
      <c r="B801" s="228" t="s">
        <v>430</v>
      </c>
      <c r="C801" s="233">
        <f t="shared" ca="1" si="122"/>
        <v>550000</v>
      </c>
      <c r="D801" s="250">
        <f t="shared" ca="1" si="123"/>
        <v>500000</v>
      </c>
      <c r="E801" s="233">
        <f t="shared" ca="1" si="124"/>
        <v>250000</v>
      </c>
      <c r="F801" s="555">
        <f t="shared" ca="1" si="125"/>
        <v>0.5</v>
      </c>
      <c r="G801" s="244">
        <f t="shared" ca="1" si="126"/>
        <v>50000</v>
      </c>
    </row>
    <row r="802" spans="1:7" ht="21" customHeight="1" x14ac:dyDescent="0.25">
      <c r="B802" s="279"/>
      <c r="C802" s="544">
        <f ca="1">SUM(C791:C801)</f>
        <v>35568500</v>
      </c>
      <c r="D802" s="544">
        <f ca="1">SUM(D791:D801)</f>
        <v>32335000</v>
      </c>
      <c r="E802" s="544">
        <f ca="1">SUM(E791:E801)</f>
        <v>7068360</v>
      </c>
      <c r="F802" s="567">
        <f ca="1">E802/D802</f>
        <v>0.21859780423689501</v>
      </c>
      <c r="G802" s="972">
        <f ca="1">SUM(G791:G801)</f>
        <v>1413672</v>
      </c>
    </row>
    <row r="803" spans="1:7" ht="21" customHeight="1" x14ac:dyDescent="0.25">
      <c r="A803" s="247" t="s">
        <v>1410</v>
      </c>
      <c r="B803" s="228" t="s">
        <v>444</v>
      </c>
      <c r="C803" s="233">
        <f t="shared" ref="C803:C815" ca="1" si="127">SUMIFS(INDIRECT("Report!F100:F10000"),INDIRECT("Report!B100:B10000"),B803,INDIRECT("report!H100:H10000"),"Consums",INDIRECT("Report!L100:L10000"),"18.9")</f>
        <v>4999500</v>
      </c>
      <c r="D803" s="250">
        <f ca="1">(C803/11*10)</f>
        <v>4545000</v>
      </c>
      <c r="E803" s="233">
        <f t="shared" ref="E803:E815" ca="1" si="128">SUMIFS(INDIRECT("Report!J100:J10000"),INDIRECT("Report!B100:B10000"),B803,INDIRECT("report!H100:H10000"),"Consums",INDIRECT("Report!L100:L10000"),"18.9")</f>
        <v>1112000</v>
      </c>
      <c r="F803" s="555">
        <f ca="1">E803/D803</f>
        <v>0.24466446644664466</v>
      </c>
      <c r="G803" s="244">
        <f ca="1">E803*20%</f>
        <v>222400</v>
      </c>
    </row>
    <row r="804" spans="1:7" ht="21" customHeight="1" x14ac:dyDescent="0.25">
      <c r="B804" s="228" t="s">
        <v>458</v>
      </c>
      <c r="C804" s="233">
        <f t="shared" ca="1" si="127"/>
        <v>5054500</v>
      </c>
      <c r="D804" s="250">
        <f t="shared" ref="D804:D815" ca="1" si="129">(C804/11*10)</f>
        <v>4595000</v>
      </c>
      <c r="E804" s="233">
        <f t="shared" ca="1" si="128"/>
        <v>1354500</v>
      </c>
      <c r="F804" s="555">
        <f t="shared" ref="F804:F815" ca="1" si="130">E804/D804</f>
        <v>0.29477693144722522</v>
      </c>
      <c r="G804" s="244">
        <f t="shared" ref="G804:G815" ca="1" si="131">E804*20%</f>
        <v>270900</v>
      </c>
    </row>
    <row r="805" spans="1:7" ht="21" customHeight="1" x14ac:dyDescent="0.25">
      <c r="B805" s="228" t="s">
        <v>758</v>
      </c>
      <c r="C805" s="233">
        <f t="shared" ca="1" si="127"/>
        <v>165000</v>
      </c>
      <c r="D805" s="250">
        <f t="shared" ca="1" si="129"/>
        <v>150000</v>
      </c>
      <c r="E805" s="233">
        <f t="shared" ca="1" si="128"/>
        <v>50000</v>
      </c>
      <c r="F805" s="555">
        <f t="shared" ca="1" si="130"/>
        <v>0.33333333333333331</v>
      </c>
      <c r="G805" s="244">
        <f t="shared" ca="1" si="131"/>
        <v>10000</v>
      </c>
    </row>
    <row r="806" spans="1:7" ht="21" customHeight="1" x14ac:dyDescent="0.25">
      <c r="B806" s="228" t="s">
        <v>466</v>
      </c>
      <c r="C806" s="233">
        <f t="shared" ca="1" si="127"/>
        <v>715000</v>
      </c>
      <c r="D806" s="250">
        <f t="shared" ca="1" si="129"/>
        <v>650000</v>
      </c>
      <c r="E806" s="233">
        <f t="shared" ca="1" si="128"/>
        <v>150000</v>
      </c>
      <c r="F806" s="555">
        <f t="shared" ca="1" si="130"/>
        <v>0.23076923076923078</v>
      </c>
      <c r="G806" s="244">
        <f t="shared" ca="1" si="131"/>
        <v>30000</v>
      </c>
    </row>
    <row r="807" spans="1:7" ht="21" customHeight="1" x14ac:dyDescent="0.25">
      <c r="B807" s="228" t="s">
        <v>453</v>
      </c>
      <c r="C807" s="233">
        <f t="shared" ca="1" si="127"/>
        <v>7108200</v>
      </c>
      <c r="D807" s="250">
        <f t="shared" ca="1" si="129"/>
        <v>6462000</v>
      </c>
      <c r="E807" s="233">
        <f t="shared" ca="1" si="128"/>
        <v>872860</v>
      </c>
      <c r="F807" s="555">
        <f t="shared" ca="1" si="130"/>
        <v>0.13507582791705355</v>
      </c>
      <c r="G807" s="244">
        <f t="shared" ca="1" si="131"/>
        <v>174572</v>
      </c>
    </row>
    <row r="808" spans="1:7" ht="21" customHeight="1" x14ac:dyDescent="0.25">
      <c r="B808" s="228" t="s">
        <v>463</v>
      </c>
      <c r="C808" s="233">
        <f t="shared" ca="1" si="127"/>
        <v>1188000</v>
      </c>
      <c r="D808" s="250">
        <f t="shared" ca="1" si="129"/>
        <v>1080000</v>
      </c>
      <c r="E808" s="233">
        <f t="shared" ca="1" si="128"/>
        <v>275000</v>
      </c>
      <c r="F808" s="555">
        <f t="shared" ca="1" si="130"/>
        <v>0.25462962962962965</v>
      </c>
      <c r="G808" s="244">
        <f t="shared" ca="1" si="131"/>
        <v>55000</v>
      </c>
    </row>
    <row r="809" spans="1:7" ht="21" customHeight="1" x14ac:dyDescent="0.25">
      <c r="B809" s="228" t="s">
        <v>515</v>
      </c>
      <c r="C809" s="233">
        <f t="shared" ca="1" si="127"/>
        <v>2178000</v>
      </c>
      <c r="D809" s="250">
        <f t="shared" ca="1" si="129"/>
        <v>1980000</v>
      </c>
      <c r="E809" s="233">
        <f t="shared" ca="1" si="128"/>
        <v>342000</v>
      </c>
      <c r="F809" s="555">
        <f t="shared" ca="1" si="130"/>
        <v>0.17272727272727273</v>
      </c>
      <c r="G809" s="244">
        <f t="shared" ca="1" si="131"/>
        <v>68400</v>
      </c>
    </row>
    <row r="810" spans="1:7" ht="21" customHeight="1" x14ac:dyDescent="0.25">
      <c r="B810" s="228" t="s">
        <v>523</v>
      </c>
      <c r="C810" s="233">
        <f t="shared" ca="1" si="127"/>
        <v>308000</v>
      </c>
      <c r="D810" s="250">
        <f t="shared" ca="1" si="129"/>
        <v>280000</v>
      </c>
      <c r="E810" s="233">
        <f t="shared" ca="1" si="128"/>
        <v>170000</v>
      </c>
      <c r="F810" s="555">
        <f t="shared" ca="1" si="130"/>
        <v>0.6071428571428571</v>
      </c>
      <c r="G810" s="244">
        <f t="shared" ca="1" si="131"/>
        <v>34000</v>
      </c>
    </row>
    <row r="811" spans="1:7" ht="21" customHeight="1" x14ac:dyDescent="0.25">
      <c r="B811" s="228" t="s">
        <v>1161</v>
      </c>
      <c r="C811" s="233">
        <f t="shared" ca="1" si="127"/>
        <v>1210000</v>
      </c>
      <c r="D811" s="250">
        <f t="shared" ca="1" si="129"/>
        <v>1100000</v>
      </c>
      <c r="E811" s="233">
        <f t="shared" ca="1" si="128"/>
        <v>190000</v>
      </c>
      <c r="F811" s="555">
        <f t="shared" ca="1" si="130"/>
        <v>0.17272727272727273</v>
      </c>
      <c r="G811" s="244">
        <f t="shared" ca="1" si="131"/>
        <v>38000</v>
      </c>
    </row>
    <row r="812" spans="1:7" ht="21" customHeight="1" x14ac:dyDescent="0.25">
      <c r="B812" s="228" t="s">
        <v>1044</v>
      </c>
      <c r="C812" s="233">
        <f t="shared" ca="1" si="127"/>
        <v>5055600</v>
      </c>
      <c r="D812" s="250">
        <f t="shared" ca="1" si="129"/>
        <v>4596000</v>
      </c>
      <c r="E812" s="233">
        <f t="shared" ca="1" si="128"/>
        <v>744000</v>
      </c>
      <c r="F812" s="555">
        <f t="shared" ca="1" si="130"/>
        <v>0.16187989556135771</v>
      </c>
      <c r="G812" s="244">
        <f t="shared" ca="1" si="131"/>
        <v>148800</v>
      </c>
    </row>
    <row r="813" spans="1:7" ht="21" customHeight="1" x14ac:dyDescent="0.25">
      <c r="B813" s="228" t="s">
        <v>430</v>
      </c>
      <c r="C813" s="233">
        <f t="shared" ca="1" si="127"/>
        <v>550000</v>
      </c>
      <c r="D813" s="250">
        <f t="shared" ca="1" si="129"/>
        <v>500000</v>
      </c>
      <c r="E813" s="233">
        <f t="shared" ca="1" si="128"/>
        <v>250000</v>
      </c>
      <c r="F813" s="555">
        <f t="shared" ca="1" si="130"/>
        <v>0.5</v>
      </c>
      <c r="G813" s="244">
        <f t="shared" ca="1" si="131"/>
        <v>50000</v>
      </c>
    </row>
    <row r="814" spans="1:7" ht="21" customHeight="1" x14ac:dyDescent="0.25">
      <c r="B814" s="228" t="s">
        <v>834</v>
      </c>
      <c r="C814" s="233">
        <f t="shared" ca="1" si="127"/>
        <v>37378000</v>
      </c>
      <c r="D814" s="250">
        <f t="shared" ca="1" si="129"/>
        <v>33980000</v>
      </c>
      <c r="E814" s="233">
        <f t="shared" ca="1" si="128"/>
        <v>7458000</v>
      </c>
      <c r="F814" s="555">
        <f t="shared" ca="1" si="130"/>
        <v>0.21948204826368453</v>
      </c>
      <c r="G814" s="244">
        <f t="shared" ca="1" si="131"/>
        <v>1491600</v>
      </c>
    </row>
    <row r="815" spans="1:7" ht="21" customHeight="1" x14ac:dyDescent="0.25">
      <c r="B815" s="228" t="s">
        <v>1278</v>
      </c>
      <c r="C815" s="233">
        <f t="shared" ca="1" si="127"/>
        <v>1345575</v>
      </c>
      <c r="D815" s="250">
        <f t="shared" ca="1" si="129"/>
        <v>1223250</v>
      </c>
      <c r="E815" s="233">
        <f t="shared" ca="1" si="128"/>
        <v>1223250</v>
      </c>
      <c r="F815" s="555">
        <f t="shared" ca="1" si="130"/>
        <v>1</v>
      </c>
      <c r="G815" s="244">
        <f t="shared" ca="1" si="131"/>
        <v>244650</v>
      </c>
    </row>
    <row r="816" spans="1:7" ht="21" customHeight="1" x14ac:dyDescent="0.25">
      <c r="B816" s="279"/>
      <c r="C816" s="544">
        <f ca="1">SUM(C803:C815)</f>
        <v>67255375</v>
      </c>
      <c r="D816" s="544">
        <f ca="1">SUM(D803:D815)</f>
        <v>61141250</v>
      </c>
      <c r="E816" s="544">
        <f ca="1">SUM(E803:E815)</f>
        <v>14191610</v>
      </c>
      <c r="F816" s="567">
        <f ca="1">E816/D816</f>
        <v>0.23211187209944187</v>
      </c>
      <c r="G816" s="972">
        <f ca="1">SUM(G803:G815)</f>
        <v>2838322</v>
      </c>
    </row>
    <row r="817" spans="1:7" ht="21" customHeight="1" x14ac:dyDescent="0.25">
      <c r="A817" s="247" t="s">
        <v>1442</v>
      </c>
      <c r="B817" s="228" t="s">
        <v>444</v>
      </c>
      <c r="C817" s="233">
        <f t="shared" ref="C817:C832" ca="1" si="132">SUMIFS(INDIRECT("Report!F100:F10000"),INDIRECT("Report!B100:B10000"),B817,INDIRECT("report!H100:H10000"),"Consums",INDIRECT("Report!L100:L10000"),"18,10")</f>
        <v>4477000</v>
      </c>
      <c r="D817" s="250">
        <f ca="1">(C817/11*10)</f>
        <v>4070000</v>
      </c>
      <c r="E817" s="233">
        <f t="shared" ref="E817:E832" ca="1" si="133">SUMIFS(INDIRECT("Report!J100:J10000"),INDIRECT("Report!B100:B10000"),B817,INDIRECT("report!H100:H10000"),"Consums",INDIRECT("Report!L100:L10000"),"18,10")</f>
        <v>1081000</v>
      </c>
      <c r="F817" s="555">
        <f ca="1">E817/D817</f>
        <v>0.26560196560196558</v>
      </c>
      <c r="G817" s="244">
        <f ca="1">E817*20%</f>
        <v>216200</v>
      </c>
    </row>
    <row r="818" spans="1:7" ht="21" customHeight="1" x14ac:dyDescent="0.25">
      <c r="B818" s="228" t="s">
        <v>458</v>
      </c>
      <c r="C818" s="233">
        <f t="shared" ca="1" si="132"/>
        <v>13543200.000000002</v>
      </c>
      <c r="D818" s="250">
        <f t="shared" ref="D818:D830" ca="1" si="134">(C818/11*10)</f>
        <v>12312000.000000002</v>
      </c>
      <c r="E818" s="233">
        <f t="shared" ca="1" si="133"/>
        <v>4478100</v>
      </c>
      <c r="F818" s="555">
        <f t="shared" ref="F818:F830" ca="1" si="135">E818/D818</f>
        <v>0.36371832358674461</v>
      </c>
      <c r="G818" s="244">
        <f t="shared" ref="G818:G830" ca="1" si="136">E818*20%</f>
        <v>895620</v>
      </c>
    </row>
    <row r="819" spans="1:7" ht="21" customHeight="1" x14ac:dyDescent="0.25">
      <c r="B819" s="228" t="s">
        <v>758</v>
      </c>
      <c r="C819" s="233">
        <f t="shared" ca="1" si="132"/>
        <v>396000.00000000006</v>
      </c>
      <c r="D819" s="250">
        <f t="shared" ca="1" si="134"/>
        <v>360000.00000000006</v>
      </c>
      <c r="E819" s="233">
        <f t="shared" ca="1" si="133"/>
        <v>304161.90633091523</v>
      </c>
      <c r="F819" s="555">
        <f t="shared" ca="1" si="135"/>
        <v>0.84489418425254215</v>
      </c>
      <c r="G819" s="244">
        <f t="shared" ca="1" si="136"/>
        <v>60832.381266183045</v>
      </c>
    </row>
    <row r="820" spans="1:7" ht="21" customHeight="1" x14ac:dyDescent="0.25">
      <c r="B820" s="228" t="s">
        <v>466</v>
      </c>
      <c r="C820" s="233">
        <f t="shared" ca="1" si="132"/>
        <v>11000000</v>
      </c>
      <c r="D820" s="250">
        <f t="shared" ca="1" si="134"/>
        <v>10000000</v>
      </c>
      <c r="E820" s="233">
        <f t="shared" ca="1" si="133"/>
        <v>5431982.2320876829</v>
      </c>
      <c r="F820" s="555">
        <f t="shared" ca="1" si="135"/>
        <v>0.54319822320876832</v>
      </c>
      <c r="G820" s="244">
        <f t="shared" ca="1" si="136"/>
        <v>1086396.4464175366</v>
      </c>
    </row>
    <row r="821" spans="1:7" ht="21" customHeight="1" x14ac:dyDescent="0.25">
      <c r="B821" s="228" t="s">
        <v>453</v>
      </c>
      <c r="C821" s="233">
        <f t="shared" ca="1" si="132"/>
        <v>9427000</v>
      </c>
      <c r="D821" s="250">
        <f t="shared" ca="1" si="134"/>
        <v>8570000</v>
      </c>
      <c r="E821" s="233">
        <f t="shared" ca="1" si="133"/>
        <v>1322720</v>
      </c>
      <c r="F821" s="555">
        <f t="shared" ca="1" si="135"/>
        <v>0.15434305717619604</v>
      </c>
      <c r="G821" s="244">
        <f t="shared" ca="1" si="136"/>
        <v>264544</v>
      </c>
    </row>
    <row r="822" spans="1:7" ht="21" customHeight="1" x14ac:dyDescent="0.25">
      <c r="B822" s="228" t="s">
        <v>463</v>
      </c>
      <c r="C822" s="233">
        <f t="shared" ca="1" si="132"/>
        <v>7730800</v>
      </c>
      <c r="D822" s="250">
        <f t="shared" ca="1" si="134"/>
        <v>7028000</v>
      </c>
      <c r="E822" s="233">
        <f t="shared" ca="1" si="133"/>
        <v>1723000</v>
      </c>
      <c r="F822" s="555">
        <f t="shared" ca="1" si="135"/>
        <v>0.24516220830961866</v>
      </c>
      <c r="G822" s="244">
        <f t="shared" ca="1" si="136"/>
        <v>344600</v>
      </c>
    </row>
    <row r="823" spans="1:7" ht="21" customHeight="1" x14ac:dyDescent="0.25">
      <c r="B823" s="228" t="s">
        <v>515</v>
      </c>
      <c r="C823" s="233">
        <f t="shared" ca="1" si="132"/>
        <v>2904000.0000000005</v>
      </c>
      <c r="D823" s="250">
        <f t="shared" ca="1" si="134"/>
        <v>2640000.0000000005</v>
      </c>
      <c r="E823" s="233">
        <f t="shared" ca="1" si="133"/>
        <v>456000</v>
      </c>
      <c r="F823" s="555">
        <f t="shared" ca="1" si="135"/>
        <v>0.1727272727272727</v>
      </c>
      <c r="G823" s="244">
        <f t="shared" ca="1" si="136"/>
        <v>91200</v>
      </c>
    </row>
    <row r="824" spans="1:7" ht="21" customHeight="1" x14ac:dyDescent="0.25">
      <c r="B824" s="228" t="s">
        <v>523</v>
      </c>
      <c r="C824" s="233">
        <f t="shared" ca="1" si="132"/>
        <v>2217600</v>
      </c>
      <c r="D824" s="250">
        <f t="shared" ca="1" si="134"/>
        <v>2016000</v>
      </c>
      <c r="E824" s="233">
        <f t="shared" ca="1" si="133"/>
        <v>397200</v>
      </c>
      <c r="F824" s="555">
        <f t="shared" ca="1" si="135"/>
        <v>0.19702380952380952</v>
      </c>
      <c r="G824" s="244">
        <f t="shared" ca="1" si="136"/>
        <v>79440</v>
      </c>
    </row>
    <row r="825" spans="1:7" ht="21" customHeight="1" x14ac:dyDescent="0.25">
      <c r="B825" s="228" t="s">
        <v>1161</v>
      </c>
      <c r="C825" s="233">
        <f t="shared" ca="1" si="132"/>
        <v>1210000</v>
      </c>
      <c r="D825" s="250">
        <f t="shared" ca="1" si="134"/>
        <v>1100000</v>
      </c>
      <c r="E825" s="233">
        <f t="shared" ca="1" si="133"/>
        <v>190000</v>
      </c>
      <c r="F825" s="555">
        <f t="shared" ca="1" si="135"/>
        <v>0.17272727272727273</v>
      </c>
      <c r="G825" s="244">
        <f t="shared" ca="1" si="136"/>
        <v>38000</v>
      </c>
    </row>
    <row r="826" spans="1:7" ht="21" customHeight="1" x14ac:dyDescent="0.25">
      <c r="B826" s="228" t="s">
        <v>1044</v>
      </c>
      <c r="C826" s="233">
        <f t="shared" ca="1" si="132"/>
        <v>7682400</v>
      </c>
      <c r="D826" s="250">
        <f t="shared" ca="1" si="134"/>
        <v>6984000</v>
      </c>
      <c r="E826" s="233">
        <f t="shared" ca="1" si="133"/>
        <v>1136000</v>
      </c>
      <c r="F826" s="555">
        <f t="shared" ca="1" si="135"/>
        <v>0.16265750286368844</v>
      </c>
      <c r="G826" s="244">
        <f t="shared" ca="1" si="136"/>
        <v>227200</v>
      </c>
    </row>
    <row r="827" spans="1:7" ht="21" customHeight="1" x14ac:dyDescent="0.25">
      <c r="B827" s="228" t="s">
        <v>430</v>
      </c>
      <c r="C827" s="233">
        <f t="shared" ca="1" si="132"/>
        <v>1100000</v>
      </c>
      <c r="D827" s="250">
        <f t="shared" ca="1" si="134"/>
        <v>1000000</v>
      </c>
      <c r="E827" s="233">
        <f t="shared" ca="1" si="133"/>
        <v>500000</v>
      </c>
      <c r="F827" s="555">
        <f t="shared" ca="1" si="135"/>
        <v>0.5</v>
      </c>
      <c r="G827" s="244">
        <f t="shared" ca="1" si="136"/>
        <v>100000</v>
      </c>
    </row>
    <row r="828" spans="1:7" ht="21" customHeight="1" x14ac:dyDescent="0.25">
      <c r="B828" s="228" t="s">
        <v>834</v>
      </c>
      <c r="C828" s="233">
        <f t="shared" ca="1" si="132"/>
        <v>5293200</v>
      </c>
      <c r="D828" s="250">
        <f t="shared" ca="1" si="134"/>
        <v>4812000</v>
      </c>
      <c r="E828" s="233">
        <f t="shared" ca="1" si="133"/>
        <v>2491966.0070858803</v>
      </c>
      <c r="F828" s="555">
        <f t="shared" ca="1" si="135"/>
        <v>0.51786492250330018</v>
      </c>
      <c r="G828" s="244">
        <f t="shared" ca="1" si="136"/>
        <v>498393.20141717605</v>
      </c>
    </row>
    <row r="829" spans="1:7" ht="21" customHeight="1" x14ac:dyDescent="0.25">
      <c r="B829" s="228" t="s">
        <v>465</v>
      </c>
      <c r="C829" s="233">
        <f t="shared" ca="1" si="132"/>
        <v>1265000</v>
      </c>
      <c r="D829" s="250">
        <f t="shared" ca="1" si="134"/>
        <v>1150000</v>
      </c>
      <c r="E829" s="233">
        <f t="shared" ca="1" si="133"/>
        <v>263000</v>
      </c>
      <c r="F829" s="555">
        <f t="shared" ca="1" si="135"/>
        <v>0.22869565217391305</v>
      </c>
      <c r="G829" s="244">
        <f t="shared" ca="1" si="136"/>
        <v>52600</v>
      </c>
    </row>
    <row r="830" spans="1:7" ht="21" customHeight="1" x14ac:dyDescent="0.25">
      <c r="B830" s="228" t="s">
        <v>1326</v>
      </c>
      <c r="C830" s="233">
        <f t="shared" ca="1" si="132"/>
        <v>5156250</v>
      </c>
      <c r="D830" s="250">
        <f t="shared" ca="1" si="134"/>
        <v>4687500</v>
      </c>
      <c r="E830" s="233">
        <f t="shared" ca="1" si="133"/>
        <v>1320000</v>
      </c>
      <c r="F830" s="555">
        <f t="shared" ca="1" si="135"/>
        <v>0.28160000000000002</v>
      </c>
      <c r="G830" s="244">
        <f t="shared" ca="1" si="136"/>
        <v>264000</v>
      </c>
    </row>
    <row r="831" spans="1:7" ht="21" customHeight="1" x14ac:dyDescent="0.25">
      <c r="B831" s="228" t="s">
        <v>653</v>
      </c>
      <c r="C831" s="233">
        <f t="shared" ca="1" si="132"/>
        <v>825000.00000000012</v>
      </c>
      <c r="D831" s="250">
        <f ca="1">(C831/11*10)</f>
        <v>750000.00000000012</v>
      </c>
      <c r="E831" s="233">
        <f t="shared" ca="1" si="133"/>
        <v>200000</v>
      </c>
      <c r="F831" s="555">
        <f ca="1">E831/D831</f>
        <v>0.26666666666666661</v>
      </c>
      <c r="G831" s="244">
        <f ca="1">E831*20%</f>
        <v>40000</v>
      </c>
    </row>
    <row r="832" spans="1:7" ht="21" customHeight="1" x14ac:dyDescent="0.25">
      <c r="B832" s="228" t="s">
        <v>516</v>
      </c>
      <c r="C832" s="233">
        <f t="shared" ca="1" si="132"/>
        <v>528000</v>
      </c>
      <c r="D832" s="250">
        <f ca="1">(C832/11*10)</f>
        <v>480000</v>
      </c>
      <c r="E832" s="233">
        <f t="shared" ca="1" si="133"/>
        <v>80000</v>
      </c>
      <c r="F832" s="555">
        <f ca="1">E832/D832</f>
        <v>0.16666666666666666</v>
      </c>
      <c r="G832" s="244">
        <f ca="1">E832*20%</f>
        <v>16000</v>
      </c>
    </row>
    <row r="833" spans="1:7" ht="21" customHeight="1" x14ac:dyDescent="0.25">
      <c r="B833" s="279"/>
      <c r="C833" s="544">
        <f ca="1">SUM(C817:C832)</f>
        <v>74755450</v>
      </c>
      <c r="D833" s="544">
        <f ca="1">SUM(D817:D832)</f>
        <v>67959500</v>
      </c>
      <c r="E833" s="544">
        <f ca="1">SUM(E817:E832)</f>
        <v>21375130.145504482</v>
      </c>
      <c r="F833" s="567">
        <f ca="1">E833/D833</f>
        <v>0.31452747806420711</v>
      </c>
      <c r="G833" s="972">
        <f ca="1">SUM(G817:G832)</f>
        <v>4275026.0291008959</v>
      </c>
    </row>
    <row r="834" spans="1:7" ht="21" customHeight="1" x14ac:dyDescent="0.25">
      <c r="A834" s="247" t="s">
        <v>1585</v>
      </c>
      <c r="B834" s="228" t="s">
        <v>444</v>
      </c>
      <c r="C834" s="233">
        <f t="shared" ref="C834:C844" ca="1" si="137">SUMIFS(INDIRECT("Report!F100:F10000"),INDIRECT("Report!B100:B10000"),B834,INDIRECT("report!H100:H10000"),"Consums",INDIRECT("Report!L100:L10000"),"18.11")</f>
        <v>5813500</v>
      </c>
      <c r="D834" s="250">
        <f t="shared" ref="D834:D844" ca="1" si="138">(C834/11*10)</f>
        <v>5285000</v>
      </c>
      <c r="E834" s="233">
        <f t="shared" ref="E834:E844" ca="1" si="139">SUMIFS(INDIRECT("Report!J100:J10000"),INDIRECT("Report!B100:B10000"),B834,INDIRECT("report!H100:H10000"),"Consums",INDIRECT("Report!L100:L10000"),"18.11")</f>
        <v>1341000</v>
      </c>
      <c r="F834" s="555">
        <f ca="1">E834/D834</f>
        <v>0.25373699148533585</v>
      </c>
      <c r="G834" s="244">
        <f ca="1">E834*20%</f>
        <v>268200</v>
      </c>
    </row>
    <row r="835" spans="1:7" ht="21" customHeight="1" x14ac:dyDescent="0.25">
      <c r="B835" s="228" t="s">
        <v>458</v>
      </c>
      <c r="C835" s="233">
        <f t="shared" ca="1" si="137"/>
        <v>7436000</v>
      </c>
      <c r="D835" s="250">
        <f t="shared" ca="1" si="138"/>
        <v>6760000</v>
      </c>
      <c r="E835" s="233">
        <f t="shared" ca="1" si="139"/>
        <v>2492500</v>
      </c>
      <c r="F835" s="555">
        <f t="shared" ref="F835:F843" ca="1" si="140">E835/D835</f>
        <v>0.3687130177514793</v>
      </c>
      <c r="G835" s="244">
        <f t="shared" ref="G835:G843" ca="1" si="141">E835*20%</f>
        <v>498500</v>
      </c>
    </row>
    <row r="836" spans="1:7" ht="21" customHeight="1" x14ac:dyDescent="0.25">
      <c r="B836" s="228" t="s">
        <v>466</v>
      </c>
      <c r="C836" s="233">
        <f t="shared" ca="1" si="137"/>
        <v>2244000</v>
      </c>
      <c r="D836" s="250">
        <f t="shared" ca="1" si="138"/>
        <v>2040000</v>
      </c>
      <c r="E836" s="233">
        <f t="shared" ca="1" si="139"/>
        <v>928323.81266183045</v>
      </c>
      <c r="F836" s="555">
        <f t="shared" ca="1" si="140"/>
        <v>0.45506069248128944</v>
      </c>
      <c r="G836" s="244">
        <f t="shared" ca="1" si="141"/>
        <v>185664.76253236609</v>
      </c>
    </row>
    <row r="837" spans="1:7" ht="21" customHeight="1" x14ac:dyDescent="0.25">
      <c r="B837" s="228" t="s">
        <v>453</v>
      </c>
      <c r="C837" s="233">
        <f t="shared" ca="1" si="137"/>
        <v>13026200</v>
      </c>
      <c r="D837" s="250">
        <f t="shared" ca="1" si="138"/>
        <v>11842000</v>
      </c>
      <c r="E837" s="233">
        <f t="shared" ca="1" si="139"/>
        <v>2020580</v>
      </c>
      <c r="F837" s="555">
        <f t="shared" ca="1" si="140"/>
        <v>0.17062827225130889</v>
      </c>
      <c r="G837" s="244">
        <f t="shared" ca="1" si="141"/>
        <v>404116</v>
      </c>
    </row>
    <row r="838" spans="1:7" ht="21" customHeight="1" x14ac:dyDescent="0.25">
      <c r="B838" s="228" t="s">
        <v>523</v>
      </c>
      <c r="C838" s="233">
        <f t="shared" ca="1" si="137"/>
        <v>1958000</v>
      </c>
      <c r="D838" s="250">
        <f t="shared" ca="1" si="138"/>
        <v>1780000</v>
      </c>
      <c r="E838" s="233">
        <f t="shared" ca="1" si="139"/>
        <v>375000</v>
      </c>
      <c r="F838" s="555">
        <f t="shared" ca="1" si="140"/>
        <v>0.21067415730337077</v>
      </c>
      <c r="G838" s="244">
        <f t="shared" ca="1" si="141"/>
        <v>75000</v>
      </c>
    </row>
    <row r="839" spans="1:7" ht="21" customHeight="1" x14ac:dyDescent="0.25">
      <c r="B839" s="228" t="s">
        <v>1278</v>
      </c>
      <c r="C839" s="233">
        <f t="shared" ca="1" si="137"/>
        <v>1146915</v>
      </c>
      <c r="D839" s="250">
        <f t="shared" ca="1" si="138"/>
        <v>1042650</v>
      </c>
      <c r="E839" s="233">
        <f t="shared" ca="1" si="139"/>
        <v>1042650</v>
      </c>
      <c r="F839" s="555">
        <f t="shared" ca="1" si="140"/>
        <v>1</v>
      </c>
      <c r="G839" s="244">
        <f t="shared" ca="1" si="141"/>
        <v>208530</v>
      </c>
    </row>
    <row r="840" spans="1:7" ht="21" customHeight="1" x14ac:dyDescent="0.25">
      <c r="B840" s="228" t="s">
        <v>1044</v>
      </c>
      <c r="C840" s="233">
        <f t="shared" ca="1" si="137"/>
        <v>5105100</v>
      </c>
      <c r="D840" s="250">
        <f t="shared" ca="1" si="138"/>
        <v>4641000</v>
      </c>
      <c r="E840" s="233">
        <f t="shared" ca="1" si="139"/>
        <v>754000</v>
      </c>
      <c r="F840" s="555">
        <f t="shared" ca="1" si="140"/>
        <v>0.16246498599439776</v>
      </c>
      <c r="G840" s="244">
        <f t="shared" ca="1" si="141"/>
        <v>150800</v>
      </c>
    </row>
    <row r="841" spans="1:7" ht="21" customHeight="1" x14ac:dyDescent="0.25">
      <c r="B841" s="228" t="s">
        <v>430</v>
      </c>
      <c r="C841" s="233">
        <f t="shared" ca="1" si="137"/>
        <v>1100000</v>
      </c>
      <c r="D841" s="250">
        <f t="shared" ca="1" si="138"/>
        <v>1000000</v>
      </c>
      <c r="E841" s="233">
        <f t="shared" ca="1" si="139"/>
        <v>500000</v>
      </c>
      <c r="F841" s="555">
        <f t="shared" ca="1" si="140"/>
        <v>0.5</v>
      </c>
      <c r="G841" s="244">
        <f t="shared" ca="1" si="141"/>
        <v>100000</v>
      </c>
    </row>
    <row r="842" spans="1:7" ht="21" customHeight="1" x14ac:dyDescent="0.25">
      <c r="B842" s="228" t="s">
        <v>468</v>
      </c>
      <c r="C842" s="233">
        <f t="shared" ca="1" si="137"/>
        <v>594000</v>
      </c>
      <c r="D842" s="250">
        <f t="shared" ca="1" si="138"/>
        <v>540000</v>
      </c>
      <c r="E842" s="233">
        <f t="shared" ca="1" si="139"/>
        <v>260000</v>
      </c>
      <c r="F842" s="555">
        <f t="shared" ca="1" si="140"/>
        <v>0.48148148148148145</v>
      </c>
      <c r="G842" s="244">
        <f t="shared" ca="1" si="141"/>
        <v>52000</v>
      </c>
    </row>
    <row r="843" spans="1:7" ht="21" customHeight="1" x14ac:dyDescent="0.25">
      <c r="B843" s="228" t="s">
        <v>465</v>
      </c>
      <c r="C843" s="233">
        <f t="shared" ca="1" si="137"/>
        <v>1897500.0000000002</v>
      </c>
      <c r="D843" s="250">
        <f t="shared" ca="1" si="138"/>
        <v>1725000.0000000002</v>
      </c>
      <c r="E843" s="233">
        <f t="shared" ca="1" si="139"/>
        <v>394500</v>
      </c>
      <c r="F843" s="555">
        <f t="shared" ca="1" si="140"/>
        <v>0.22869565217391302</v>
      </c>
      <c r="G843" s="244">
        <f t="shared" ca="1" si="141"/>
        <v>78900</v>
      </c>
    </row>
    <row r="844" spans="1:7" ht="21" customHeight="1" x14ac:dyDescent="0.25">
      <c r="B844" s="228" t="s">
        <v>653</v>
      </c>
      <c r="C844" s="233">
        <f t="shared" ca="1" si="137"/>
        <v>1732500.0000000002</v>
      </c>
      <c r="D844" s="250">
        <f t="shared" ca="1" si="138"/>
        <v>1575000.0000000002</v>
      </c>
      <c r="E844" s="233">
        <f t="shared" ca="1" si="139"/>
        <v>385000</v>
      </c>
      <c r="F844" s="555">
        <f ca="1">E844/D844</f>
        <v>0.24444444444444441</v>
      </c>
      <c r="G844" s="244">
        <f ca="1">E844*20%</f>
        <v>77000</v>
      </c>
    </row>
    <row r="845" spans="1:7" ht="21" customHeight="1" x14ac:dyDescent="0.25">
      <c r="B845" s="279"/>
      <c r="C845" s="544">
        <f ca="1">SUM(C834:C844)</f>
        <v>42053715</v>
      </c>
      <c r="D845" s="544">
        <f ca="1">SUM(D834:D844)</f>
        <v>38230650</v>
      </c>
      <c r="E845" s="544">
        <f ca="1">SUM(E834:E844)</f>
        <v>10493553.81266183</v>
      </c>
      <c r="F845" s="567">
        <f ca="1">E845/D845</f>
        <v>0.27448013080242767</v>
      </c>
      <c r="G845" s="972">
        <f ca="1">SUM(G834:G844)</f>
        <v>2098710.762532366</v>
      </c>
    </row>
    <row r="846" spans="1:7" ht="21" customHeight="1" x14ac:dyDescent="0.25">
      <c r="A846" s="247" t="s">
        <v>1628</v>
      </c>
      <c r="B846" s="228" t="s">
        <v>444</v>
      </c>
      <c r="C846" s="233">
        <f t="shared" ref="C846:C859" ca="1" si="142">SUMIFS(INDIRECT("Report!F100:F10000"),INDIRECT("Report!B100:B10000"),B846,INDIRECT("report!H100:H10000"),"Consums",INDIRECT("Report!L100:L10000"),"18,12")</f>
        <v>5852000</v>
      </c>
      <c r="D846" s="250">
        <f t="shared" ref="D846:D859" ca="1" si="143">(C846/11*10)</f>
        <v>5320000</v>
      </c>
      <c r="E846" s="233">
        <f t="shared" ref="E846:E859" ca="1" si="144">SUMIFS(INDIRECT("Report!J100:J10000"),INDIRECT("Report!B100:B10000"),B846,INDIRECT("report!H100:H10000"),"Consums",INDIRECT("Report!L100:L10000"),"18,12")</f>
        <v>1342000</v>
      </c>
      <c r="F846" s="555">
        <f ca="1">E846/D846</f>
        <v>0.25225563909774434</v>
      </c>
      <c r="G846" s="244">
        <f ca="1">E846*20%</f>
        <v>268400</v>
      </c>
    </row>
    <row r="847" spans="1:7" ht="21" customHeight="1" x14ac:dyDescent="0.25">
      <c r="B847" s="228" t="s">
        <v>458</v>
      </c>
      <c r="C847" s="233">
        <f t="shared" ca="1" si="142"/>
        <v>19416100</v>
      </c>
      <c r="D847" s="250">
        <f t="shared" ca="1" si="143"/>
        <v>17651000</v>
      </c>
      <c r="E847" s="233">
        <f t="shared" ca="1" si="144"/>
        <v>5354000</v>
      </c>
      <c r="F847" s="555">
        <f t="shared" ref="F847:F855" ca="1" si="145">E847/D847</f>
        <v>0.30332559061809528</v>
      </c>
      <c r="G847" s="244">
        <f t="shared" ref="G847:G855" ca="1" si="146">E847*20%</f>
        <v>1070800</v>
      </c>
    </row>
    <row r="848" spans="1:7" ht="21" customHeight="1" x14ac:dyDescent="0.25">
      <c r="B848" s="228" t="s">
        <v>466</v>
      </c>
      <c r="C848" s="233">
        <f t="shared" ca="1" si="142"/>
        <v>715000</v>
      </c>
      <c r="D848" s="250">
        <f t="shared" ca="1" si="143"/>
        <v>650000</v>
      </c>
      <c r="E848" s="233">
        <f t="shared" ca="1" si="144"/>
        <v>150000</v>
      </c>
      <c r="F848" s="555">
        <f t="shared" ca="1" si="145"/>
        <v>0.23076923076923078</v>
      </c>
      <c r="G848" s="244">
        <f t="shared" ca="1" si="146"/>
        <v>30000</v>
      </c>
    </row>
    <row r="849" spans="1:7" ht="21" customHeight="1" x14ac:dyDescent="0.25">
      <c r="B849" s="228" t="s">
        <v>453</v>
      </c>
      <c r="C849" s="233">
        <f t="shared" ca="1" si="142"/>
        <v>7136800</v>
      </c>
      <c r="D849" s="250">
        <f t="shared" ca="1" si="143"/>
        <v>6488000</v>
      </c>
      <c r="E849" s="233">
        <f t="shared" ca="1" si="144"/>
        <v>956860</v>
      </c>
      <c r="F849" s="555">
        <f t="shared" ca="1" si="145"/>
        <v>0.14748150431565968</v>
      </c>
      <c r="G849" s="244">
        <f t="shared" ca="1" si="146"/>
        <v>191372</v>
      </c>
    </row>
    <row r="850" spans="1:7" ht="21" customHeight="1" x14ac:dyDescent="0.25">
      <c r="B850" s="228" t="s">
        <v>523</v>
      </c>
      <c r="C850" s="233">
        <f t="shared" ca="1" si="142"/>
        <v>3916000</v>
      </c>
      <c r="D850" s="250">
        <f t="shared" ca="1" si="143"/>
        <v>3560000</v>
      </c>
      <c r="E850" s="233">
        <f t="shared" ca="1" si="144"/>
        <v>750000</v>
      </c>
      <c r="F850" s="555">
        <f t="shared" ca="1" si="145"/>
        <v>0.21067415730337077</v>
      </c>
      <c r="G850" s="244">
        <f t="shared" ca="1" si="146"/>
        <v>150000</v>
      </c>
    </row>
    <row r="851" spans="1:7" ht="21" customHeight="1" x14ac:dyDescent="0.25">
      <c r="B851" s="228" t="s">
        <v>1278</v>
      </c>
      <c r="C851" s="233">
        <f t="shared" ca="1" si="142"/>
        <v>845460.00000000012</v>
      </c>
      <c r="D851" s="250">
        <f t="shared" ca="1" si="143"/>
        <v>768600.00000000012</v>
      </c>
      <c r="E851" s="233">
        <f t="shared" ca="1" si="144"/>
        <v>768600</v>
      </c>
      <c r="F851" s="555">
        <f t="shared" ca="1" si="145"/>
        <v>0.99999999999999989</v>
      </c>
      <c r="G851" s="244">
        <f t="shared" ca="1" si="146"/>
        <v>153720</v>
      </c>
    </row>
    <row r="852" spans="1:7" ht="21" customHeight="1" x14ac:dyDescent="0.25">
      <c r="B852" s="228" t="s">
        <v>1044</v>
      </c>
      <c r="C852" s="233">
        <f t="shared" ca="1" si="142"/>
        <v>2527800</v>
      </c>
      <c r="D852" s="250">
        <f t="shared" ca="1" si="143"/>
        <v>2298000</v>
      </c>
      <c r="E852" s="233">
        <f t="shared" ca="1" si="144"/>
        <v>372000</v>
      </c>
      <c r="F852" s="555">
        <f t="shared" ca="1" si="145"/>
        <v>0.16187989556135771</v>
      </c>
      <c r="G852" s="244">
        <f t="shared" ca="1" si="146"/>
        <v>74400</v>
      </c>
    </row>
    <row r="853" spans="1:7" ht="21" customHeight="1" x14ac:dyDescent="0.25">
      <c r="B853" s="228" t="s">
        <v>430</v>
      </c>
      <c r="C853" s="233">
        <f t="shared" ca="1" si="142"/>
        <v>1100000</v>
      </c>
      <c r="D853" s="250">
        <f t="shared" ca="1" si="143"/>
        <v>1000000</v>
      </c>
      <c r="E853" s="233">
        <f t="shared" ca="1" si="144"/>
        <v>500000</v>
      </c>
      <c r="F853" s="555">
        <f t="shared" ca="1" si="145"/>
        <v>0.5</v>
      </c>
      <c r="G853" s="244">
        <f t="shared" ca="1" si="146"/>
        <v>100000</v>
      </c>
    </row>
    <row r="854" spans="1:7" ht="21" customHeight="1" x14ac:dyDescent="0.25">
      <c r="B854" s="228" t="s">
        <v>515</v>
      </c>
      <c r="C854" s="233">
        <f t="shared" ca="1" si="142"/>
        <v>7986000.0000000009</v>
      </c>
      <c r="D854" s="250">
        <f t="shared" ca="1" si="143"/>
        <v>7260000.0000000009</v>
      </c>
      <c r="E854" s="233">
        <f t="shared" ca="1" si="144"/>
        <v>1254000</v>
      </c>
      <c r="F854" s="555">
        <f t="shared" ca="1" si="145"/>
        <v>0.1727272727272727</v>
      </c>
      <c r="G854" s="244">
        <f t="shared" ca="1" si="146"/>
        <v>250800</v>
      </c>
    </row>
    <row r="855" spans="1:7" ht="21" customHeight="1" x14ac:dyDescent="0.25">
      <c r="B855" s="228" t="s">
        <v>445</v>
      </c>
      <c r="C855" s="233">
        <f t="shared" ca="1" si="142"/>
        <v>5113900</v>
      </c>
      <c r="D855" s="250">
        <f t="shared" ca="1" si="143"/>
        <v>4649000</v>
      </c>
      <c r="E855" s="233">
        <f t="shared" ca="1" si="144"/>
        <v>849000</v>
      </c>
      <c r="F855" s="555">
        <f t="shared" ca="1" si="145"/>
        <v>0.18261991826199184</v>
      </c>
      <c r="G855" s="244">
        <f t="shared" ca="1" si="146"/>
        <v>169800</v>
      </c>
    </row>
    <row r="856" spans="1:7" ht="21" customHeight="1" x14ac:dyDescent="0.25">
      <c r="B856" s="228" t="s">
        <v>1326</v>
      </c>
      <c r="C856" s="233">
        <f t="shared" ca="1" si="142"/>
        <v>6129750</v>
      </c>
      <c r="D856" s="250">
        <f t="shared" ca="1" si="143"/>
        <v>5572500</v>
      </c>
      <c r="E856" s="233">
        <f t="shared" ca="1" si="144"/>
        <v>1630000</v>
      </c>
      <c r="F856" s="555">
        <f t="shared" ref="F856:F861" ca="1" si="147">E856/D856</f>
        <v>0.29250785105428445</v>
      </c>
      <c r="G856" s="244">
        <f ca="1">E856*20%</f>
        <v>326000</v>
      </c>
    </row>
    <row r="857" spans="1:7" ht="21" customHeight="1" x14ac:dyDescent="0.25">
      <c r="B857" s="228" t="s">
        <v>516</v>
      </c>
      <c r="C857" s="233">
        <f t="shared" ca="1" si="142"/>
        <v>198000.00000000003</v>
      </c>
      <c r="D857" s="250">
        <f t="shared" ca="1" si="143"/>
        <v>180000.00000000003</v>
      </c>
      <c r="E857" s="233">
        <f t="shared" ca="1" si="144"/>
        <v>36000</v>
      </c>
      <c r="F857" s="555">
        <f t="shared" ca="1" si="147"/>
        <v>0.19999999999999996</v>
      </c>
      <c r="G857" s="244">
        <f ca="1">E857*20%</f>
        <v>7200</v>
      </c>
    </row>
    <row r="858" spans="1:7" ht="21" customHeight="1" x14ac:dyDescent="0.25">
      <c r="B858" s="228" t="s">
        <v>677</v>
      </c>
      <c r="C858" s="233">
        <f t="shared" ca="1" si="142"/>
        <v>242000.00000000003</v>
      </c>
      <c r="D858" s="250">
        <f t="shared" ca="1" si="143"/>
        <v>220000.00000000003</v>
      </c>
      <c r="E858" s="233">
        <f t="shared" ca="1" si="144"/>
        <v>120000</v>
      </c>
      <c r="F858" s="555">
        <f t="shared" ca="1" si="147"/>
        <v>0.54545454545454541</v>
      </c>
      <c r="G858" s="244">
        <f ca="1">E858*20%</f>
        <v>24000</v>
      </c>
    </row>
    <row r="859" spans="1:7" ht="21" customHeight="1" x14ac:dyDescent="0.25">
      <c r="B859" s="228" t="s">
        <v>834</v>
      </c>
      <c r="C859" s="233">
        <f t="shared" ca="1" si="142"/>
        <v>8197200</v>
      </c>
      <c r="D859" s="250">
        <f t="shared" ca="1" si="143"/>
        <v>7452000</v>
      </c>
      <c r="E859" s="233">
        <f t="shared" ca="1" si="144"/>
        <v>3135392.4819436613</v>
      </c>
      <c r="F859" s="555">
        <f t="shared" ca="1" si="147"/>
        <v>0.42074509956302486</v>
      </c>
      <c r="G859" s="244">
        <f ca="1">E859*20%</f>
        <v>627078.49638873234</v>
      </c>
    </row>
    <row r="860" spans="1:7" ht="21" customHeight="1" x14ac:dyDescent="0.25">
      <c r="B860" s="279"/>
      <c r="C860" s="544">
        <f ca="1">SUM(C846:C859)</f>
        <v>69376010</v>
      </c>
      <c r="D860" s="544">
        <f ca="1">SUM(D846:D859)</f>
        <v>63069100</v>
      </c>
      <c r="E860" s="544">
        <f ca="1">SUM(E846:E859)</f>
        <v>17217852.481943659</v>
      </c>
      <c r="F860" s="567">
        <f t="shared" ca="1" si="147"/>
        <v>0.2729998126173302</v>
      </c>
      <c r="G860" s="972">
        <f ca="1">SUM(G846:G859)</f>
        <v>3443570.4963887325</v>
      </c>
    </row>
    <row r="861" spans="1:7" ht="21" customHeight="1" x14ac:dyDescent="0.25">
      <c r="A861" s="247" t="s">
        <v>1651</v>
      </c>
      <c r="B861" s="228" t="s">
        <v>444</v>
      </c>
      <c r="C861" s="233">
        <f t="shared" ref="C861:C876" ca="1" si="148">SUMIFS(INDIRECT("Report!F100:F10000"),INDIRECT("Report!B100:B10000"),B861,INDIRECT("report!H100:H10000"),"Consums",INDIRECT("Report!L100:L10000"),"19,1")</f>
        <v>3113000</v>
      </c>
      <c r="D861" s="250">
        <f t="shared" ref="D861:D876" ca="1" si="149">(C861/11*10)</f>
        <v>2830000</v>
      </c>
      <c r="E861" s="233">
        <f t="shared" ref="E861:E876" ca="1" si="150">SUMIFS(INDIRECT("Report!J100:J10000"),INDIRECT("Report!B100:B10000"),B861,INDIRECT("report!H100:H10000"),"Consums",INDIRECT("Report!L100:L10000"),"19,1")</f>
        <v>722000</v>
      </c>
      <c r="F861" s="555">
        <f t="shared" ca="1" si="147"/>
        <v>0.25512367491166077</v>
      </c>
      <c r="G861" s="244">
        <f ca="1">E861*20%</f>
        <v>144400</v>
      </c>
    </row>
    <row r="862" spans="1:7" ht="21" customHeight="1" x14ac:dyDescent="0.25">
      <c r="B862" s="228" t="s">
        <v>458</v>
      </c>
      <c r="C862" s="233">
        <f t="shared" ca="1" si="148"/>
        <v>11660000</v>
      </c>
      <c r="D862" s="250">
        <f t="shared" ca="1" si="149"/>
        <v>10600000</v>
      </c>
      <c r="E862" s="233">
        <f t="shared" ca="1" si="150"/>
        <v>3152000</v>
      </c>
      <c r="F862" s="555">
        <f t="shared" ref="F862:F870" ca="1" si="151">E862/D862</f>
        <v>0.29735849056603775</v>
      </c>
      <c r="G862" s="244">
        <f t="shared" ref="G862:G870" ca="1" si="152">E862*20%</f>
        <v>630400</v>
      </c>
    </row>
    <row r="863" spans="1:7" ht="21" customHeight="1" x14ac:dyDescent="0.25">
      <c r="B863" s="228" t="s">
        <v>676</v>
      </c>
      <c r="C863" s="233">
        <f t="shared" ca="1" si="148"/>
        <v>121000.00000000001</v>
      </c>
      <c r="D863" s="250">
        <f t="shared" ca="1" si="149"/>
        <v>110000.00000000001</v>
      </c>
      <c r="E863" s="233">
        <f t="shared" ca="1" si="150"/>
        <v>60000</v>
      </c>
      <c r="F863" s="555">
        <f t="shared" ca="1" si="151"/>
        <v>0.54545454545454541</v>
      </c>
      <c r="G863" s="244">
        <f t="shared" ca="1" si="152"/>
        <v>12000</v>
      </c>
    </row>
    <row r="864" spans="1:7" ht="21" customHeight="1" x14ac:dyDescent="0.25">
      <c r="B864" s="228" t="s">
        <v>453</v>
      </c>
      <c r="C864" s="233">
        <f t="shared" ca="1" si="148"/>
        <v>13910600</v>
      </c>
      <c r="D864" s="250">
        <f t="shared" ca="1" si="149"/>
        <v>12646000</v>
      </c>
      <c r="E864" s="233">
        <f t="shared" ca="1" si="150"/>
        <v>1567220</v>
      </c>
      <c r="F864" s="555">
        <f t="shared" ca="1" si="151"/>
        <v>0.1239300964731931</v>
      </c>
      <c r="G864" s="244">
        <f t="shared" ca="1" si="152"/>
        <v>313444</v>
      </c>
    </row>
    <row r="865" spans="1:10" ht="21" customHeight="1" x14ac:dyDescent="0.25">
      <c r="B865" s="228" t="s">
        <v>523</v>
      </c>
      <c r="C865" s="233">
        <f t="shared" ca="1" si="148"/>
        <v>2816000</v>
      </c>
      <c r="D865" s="250">
        <f t="shared" ca="1" si="149"/>
        <v>2560000</v>
      </c>
      <c r="E865" s="233">
        <f t="shared" ca="1" si="150"/>
        <v>555000</v>
      </c>
      <c r="F865" s="555">
        <f t="shared" ca="1" si="151"/>
        <v>0.216796875</v>
      </c>
      <c r="G865" s="244">
        <f t="shared" ca="1" si="152"/>
        <v>111000</v>
      </c>
    </row>
    <row r="866" spans="1:10" ht="21" customHeight="1" x14ac:dyDescent="0.25">
      <c r="B866" s="228" t="s">
        <v>468</v>
      </c>
      <c r="C866" s="233">
        <f t="shared" ca="1" si="148"/>
        <v>726000.00000000012</v>
      </c>
      <c r="D866" s="250">
        <f t="shared" ca="1" si="149"/>
        <v>660000.00000000012</v>
      </c>
      <c r="E866" s="233">
        <f t="shared" ca="1" si="150"/>
        <v>120000</v>
      </c>
      <c r="F866" s="555">
        <f t="shared" ca="1" si="151"/>
        <v>0.1818181818181818</v>
      </c>
      <c r="G866" s="244">
        <f t="shared" ca="1" si="152"/>
        <v>24000</v>
      </c>
    </row>
    <row r="867" spans="1:10" ht="21" customHeight="1" x14ac:dyDescent="0.25">
      <c r="B867" s="228" t="s">
        <v>1044</v>
      </c>
      <c r="C867" s="233">
        <f t="shared" ca="1" si="148"/>
        <v>7583400</v>
      </c>
      <c r="D867" s="250">
        <f t="shared" ca="1" si="149"/>
        <v>6894000</v>
      </c>
      <c r="E867" s="233">
        <f t="shared" ca="1" si="150"/>
        <v>1116000</v>
      </c>
      <c r="F867" s="555">
        <f t="shared" ca="1" si="151"/>
        <v>0.16187989556135771</v>
      </c>
      <c r="G867" s="244">
        <f t="shared" ca="1" si="152"/>
        <v>223200</v>
      </c>
    </row>
    <row r="868" spans="1:10" ht="21" customHeight="1" x14ac:dyDescent="0.25">
      <c r="B868" s="228" t="s">
        <v>430</v>
      </c>
      <c r="C868" s="233">
        <f t="shared" ca="1" si="148"/>
        <v>1100000</v>
      </c>
      <c r="D868" s="250">
        <f t="shared" ca="1" si="149"/>
        <v>1000000</v>
      </c>
      <c r="E868" s="233">
        <f t="shared" ca="1" si="150"/>
        <v>500000</v>
      </c>
      <c r="F868" s="555">
        <f t="shared" ca="1" si="151"/>
        <v>0.5</v>
      </c>
      <c r="G868" s="244">
        <f t="shared" ca="1" si="152"/>
        <v>100000</v>
      </c>
    </row>
    <row r="869" spans="1:10" ht="21" customHeight="1" x14ac:dyDescent="0.25">
      <c r="B869" s="228" t="s">
        <v>515</v>
      </c>
      <c r="C869" s="233">
        <f t="shared" ca="1" si="148"/>
        <v>5566000</v>
      </c>
      <c r="D869" s="250">
        <f t="shared" ca="1" si="149"/>
        <v>5060000</v>
      </c>
      <c r="E869" s="233">
        <f t="shared" ca="1" si="150"/>
        <v>874000</v>
      </c>
      <c r="F869" s="555">
        <f t="shared" ca="1" si="151"/>
        <v>0.17272727272727273</v>
      </c>
      <c r="G869" s="244">
        <f t="shared" ca="1" si="152"/>
        <v>174800</v>
      </c>
    </row>
    <row r="870" spans="1:10" ht="21" customHeight="1" x14ac:dyDescent="0.25">
      <c r="B870" s="228" t="s">
        <v>445</v>
      </c>
      <c r="C870" s="233">
        <f t="shared" ca="1" si="148"/>
        <v>8626200</v>
      </c>
      <c r="D870" s="250">
        <f t="shared" ca="1" si="149"/>
        <v>7842000</v>
      </c>
      <c r="E870" s="233">
        <f t="shared" ca="1" si="150"/>
        <v>1677000</v>
      </c>
      <c r="F870" s="555">
        <f t="shared" ca="1" si="151"/>
        <v>0.21384850803366487</v>
      </c>
      <c r="G870" s="244">
        <f t="shared" ca="1" si="152"/>
        <v>335400</v>
      </c>
    </row>
    <row r="871" spans="1:10" ht="21" customHeight="1" x14ac:dyDescent="0.25">
      <c r="B871" s="228" t="s">
        <v>1326</v>
      </c>
      <c r="C871" s="233">
        <f t="shared" ca="1" si="148"/>
        <v>9254850</v>
      </c>
      <c r="D871" s="250">
        <f t="shared" ca="1" si="149"/>
        <v>8413500</v>
      </c>
      <c r="E871" s="233">
        <f t="shared" ca="1" si="150"/>
        <v>2569000</v>
      </c>
      <c r="F871" s="555">
        <f t="shared" ref="F871:F886" ca="1" si="153">E871/D871</f>
        <v>0.30534260414809533</v>
      </c>
      <c r="G871" s="244">
        <f t="shared" ref="G871:G876" ca="1" si="154">E871*20%</f>
        <v>513800</v>
      </c>
    </row>
    <row r="872" spans="1:10" ht="21" customHeight="1" x14ac:dyDescent="0.25">
      <c r="B872" s="228" t="s">
        <v>516</v>
      </c>
      <c r="C872" s="233">
        <f t="shared" ca="1" si="148"/>
        <v>369600.00000000006</v>
      </c>
      <c r="D872" s="250">
        <f t="shared" ca="1" si="149"/>
        <v>336000.00000000006</v>
      </c>
      <c r="E872" s="233">
        <f t="shared" ca="1" si="150"/>
        <v>48000</v>
      </c>
      <c r="F872" s="555">
        <f t="shared" ca="1" si="153"/>
        <v>0.14285714285714282</v>
      </c>
      <c r="G872" s="244">
        <f t="shared" ca="1" si="154"/>
        <v>9600</v>
      </c>
    </row>
    <row r="873" spans="1:10" ht="21" customHeight="1" x14ac:dyDescent="0.25">
      <c r="B873" s="228" t="s">
        <v>653</v>
      </c>
      <c r="C873" s="233">
        <f t="shared" ca="1" si="148"/>
        <v>825000.00000000012</v>
      </c>
      <c r="D873" s="250">
        <f t="shared" ca="1" si="149"/>
        <v>750000.00000000012</v>
      </c>
      <c r="E873" s="233">
        <f t="shared" ca="1" si="150"/>
        <v>200000</v>
      </c>
      <c r="F873" s="555">
        <f t="shared" ca="1" si="153"/>
        <v>0.26666666666666661</v>
      </c>
      <c r="G873" s="244">
        <f t="shared" ca="1" si="154"/>
        <v>40000</v>
      </c>
    </row>
    <row r="874" spans="1:10" ht="21" customHeight="1" x14ac:dyDescent="0.25">
      <c r="B874" s="228" t="s">
        <v>834</v>
      </c>
      <c r="C874" s="233">
        <f t="shared" ca="1" si="148"/>
        <v>610500</v>
      </c>
      <c r="D874" s="250">
        <f t="shared" ca="1" si="149"/>
        <v>555000</v>
      </c>
      <c r="E874" s="233">
        <f t="shared" ca="1" si="150"/>
        <v>277408.12048591545</v>
      </c>
      <c r="F874" s="555">
        <f t="shared" ca="1" si="153"/>
        <v>0.49983445132597382</v>
      </c>
      <c r="G874" s="244">
        <f t="shared" ca="1" si="154"/>
        <v>55481.624097183092</v>
      </c>
    </row>
    <row r="875" spans="1:10" ht="21" customHeight="1" x14ac:dyDescent="0.25">
      <c r="B875" s="228" t="s">
        <v>526</v>
      </c>
      <c r="C875" s="233">
        <f t="shared" ca="1" si="148"/>
        <v>35618000.000000007</v>
      </c>
      <c r="D875" s="250">
        <f t="shared" ca="1" si="149"/>
        <v>32380000.000000004</v>
      </c>
      <c r="E875" s="233">
        <f t="shared" ca="1" si="150"/>
        <v>6406000</v>
      </c>
      <c r="F875" s="555">
        <f t="shared" ca="1" si="153"/>
        <v>0.19783817171093265</v>
      </c>
      <c r="G875" s="244">
        <f t="shared" ca="1" si="154"/>
        <v>1281200</v>
      </c>
      <c r="J875" s="227" t="s">
        <v>1677</v>
      </c>
    </row>
    <row r="876" spans="1:10" ht="21" customHeight="1" x14ac:dyDescent="0.25">
      <c r="B876" s="228" t="s">
        <v>1654</v>
      </c>
      <c r="C876" s="233">
        <f t="shared" ca="1" si="148"/>
        <v>4290000</v>
      </c>
      <c r="D876" s="250">
        <f t="shared" ca="1" si="149"/>
        <v>3900000</v>
      </c>
      <c r="E876" s="233">
        <f t="shared" ca="1" si="150"/>
        <v>2243790.5650359355</v>
      </c>
      <c r="F876" s="555">
        <f t="shared" ca="1" si="153"/>
        <v>0.57533091411177828</v>
      </c>
      <c r="G876" s="244">
        <f t="shared" ca="1" si="154"/>
        <v>448758.11300718714</v>
      </c>
      <c r="J876" s="227" t="s">
        <v>1676</v>
      </c>
    </row>
    <row r="877" spans="1:10" ht="21" customHeight="1" x14ac:dyDescent="0.25">
      <c r="B877" s="279"/>
      <c r="C877" s="544">
        <f ca="1">SUM(C861:C876)</f>
        <v>106190150</v>
      </c>
      <c r="D877" s="544">
        <f ca="1">SUM(D861:D876)</f>
        <v>96536500</v>
      </c>
      <c r="E877" s="544">
        <f ca="1">SUM(E861:E876)</f>
        <v>22087418.685521852</v>
      </c>
      <c r="F877" s="567">
        <f t="shared" ca="1" si="153"/>
        <v>0.22879862731217573</v>
      </c>
      <c r="G877" s="972">
        <f ca="1">SUM(G861:G876)</f>
        <v>4417483.7371043703</v>
      </c>
    </row>
    <row r="878" spans="1:10" ht="21" customHeight="1" x14ac:dyDescent="0.25">
      <c r="A878" s="247" t="s">
        <v>1756</v>
      </c>
      <c r="B878" s="228" t="s">
        <v>444</v>
      </c>
      <c r="C878" s="233">
        <f t="shared" ref="C878:C889" ca="1" si="155">SUMIFS(INDIRECT("Report!F100:F10000"),INDIRECT("Report!B100:B10000"),B878,INDIRECT("report!H100:H10000"),"Consums",INDIRECT("Report!L100:L10000"),"19,2")</f>
        <v>693000</v>
      </c>
      <c r="D878" s="250">
        <f t="shared" ref="D878:D889" ca="1" si="156">(C878/11*10)</f>
        <v>630000</v>
      </c>
      <c r="E878" s="233">
        <f t="shared" ref="E878:E889" ca="1" si="157">SUMIFS(INDIRECT("Report!J100:J10000"),INDIRECT("Report!B100:B10000"),B878,INDIRECT("report!H100:H10000"),"Consums",INDIRECT("Report!L100:L10000"),"19,2")</f>
        <v>180000</v>
      </c>
      <c r="F878" s="555">
        <f t="shared" ca="1" si="153"/>
        <v>0.2857142857142857</v>
      </c>
      <c r="G878" s="244">
        <f ca="1">E878*20%</f>
        <v>36000</v>
      </c>
    </row>
    <row r="879" spans="1:10" ht="21" customHeight="1" x14ac:dyDescent="0.25">
      <c r="B879" s="228" t="s">
        <v>458</v>
      </c>
      <c r="C879" s="233">
        <f t="shared" ca="1" si="155"/>
        <v>5735400</v>
      </c>
      <c r="D879" s="250">
        <f t="shared" ca="1" si="156"/>
        <v>5214000</v>
      </c>
      <c r="E879" s="233">
        <f t="shared" ca="1" si="157"/>
        <v>1130000</v>
      </c>
      <c r="F879" s="555">
        <f t="shared" ca="1" si="153"/>
        <v>0.21672420406597623</v>
      </c>
      <c r="G879" s="244">
        <f t="shared" ref="G879:G889" ca="1" si="158">E879*20%</f>
        <v>226000</v>
      </c>
    </row>
    <row r="880" spans="1:10" ht="21" customHeight="1" x14ac:dyDescent="0.25">
      <c r="B880" s="228" t="s">
        <v>453</v>
      </c>
      <c r="C880" s="233">
        <f t="shared" ca="1" si="155"/>
        <v>7651600</v>
      </c>
      <c r="D880" s="250">
        <f t="shared" ca="1" si="156"/>
        <v>6956000</v>
      </c>
      <c r="E880" s="233">
        <f t="shared" ca="1" si="157"/>
        <v>1158860</v>
      </c>
      <c r="F880" s="555">
        <f t="shared" ca="1" si="153"/>
        <v>0.16659861989649224</v>
      </c>
      <c r="G880" s="244">
        <f t="shared" ca="1" si="158"/>
        <v>231772</v>
      </c>
    </row>
    <row r="881" spans="1:10" ht="21" customHeight="1" x14ac:dyDescent="0.25">
      <c r="B881" s="228" t="s">
        <v>523</v>
      </c>
      <c r="C881" s="233">
        <f t="shared" ca="1" si="155"/>
        <v>2200000</v>
      </c>
      <c r="D881" s="250">
        <f t="shared" ca="1" si="156"/>
        <v>2000000</v>
      </c>
      <c r="E881" s="233">
        <f t="shared" ca="1" si="157"/>
        <v>390000</v>
      </c>
      <c r="F881" s="555">
        <f t="shared" ca="1" si="153"/>
        <v>0.19500000000000001</v>
      </c>
      <c r="G881" s="244">
        <f t="shared" ca="1" si="158"/>
        <v>78000</v>
      </c>
    </row>
    <row r="882" spans="1:10" ht="21" customHeight="1" x14ac:dyDescent="0.25">
      <c r="B882" s="228" t="s">
        <v>1757</v>
      </c>
      <c r="C882" s="233">
        <f t="shared" ca="1" si="155"/>
        <v>935000.00000000012</v>
      </c>
      <c r="D882" s="250">
        <f t="shared" ca="1" si="156"/>
        <v>850000.00000000012</v>
      </c>
      <c r="E882" s="233">
        <f t="shared" ca="1" si="157"/>
        <v>551264.78437500005</v>
      </c>
      <c r="F882" s="555">
        <f t="shared" ca="1" si="153"/>
        <v>0.64854680514705876</v>
      </c>
      <c r="G882" s="244">
        <f t="shared" ca="1" si="158"/>
        <v>110252.95687500002</v>
      </c>
      <c r="J882" s="227" t="s">
        <v>1676</v>
      </c>
    </row>
    <row r="883" spans="1:10" ht="21" customHeight="1" x14ac:dyDescent="0.25">
      <c r="B883" s="228" t="s">
        <v>1044</v>
      </c>
      <c r="C883" s="233">
        <f t="shared" ca="1" si="155"/>
        <v>4956600</v>
      </c>
      <c r="D883" s="250">
        <f t="shared" ca="1" si="156"/>
        <v>4506000</v>
      </c>
      <c r="E883" s="233">
        <f t="shared" ca="1" si="157"/>
        <v>724000</v>
      </c>
      <c r="F883" s="555">
        <f t="shared" ca="1" si="153"/>
        <v>0.16067465601420328</v>
      </c>
      <c r="G883" s="244">
        <f t="shared" ca="1" si="158"/>
        <v>144800</v>
      </c>
    </row>
    <row r="884" spans="1:10" ht="21" customHeight="1" x14ac:dyDescent="0.25">
      <c r="B884" s="228" t="s">
        <v>430</v>
      </c>
      <c r="C884" s="233">
        <f t="shared" ca="1" si="155"/>
        <v>550000</v>
      </c>
      <c r="D884" s="250">
        <f t="shared" ca="1" si="156"/>
        <v>500000</v>
      </c>
      <c r="E884" s="233">
        <f t="shared" ca="1" si="157"/>
        <v>250000</v>
      </c>
      <c r="F884" s="555">
        <f t="shared" ca="1" si="153"/>
        <v>0.5</v>
      </c>
      <c r="G884" s="244">
        <f t="shared" ca="1" si="158"/>
        <v>50000</v>
      </c>
    </row>
    <row r="885" spans="1:10" ht="21" customHeight="1" x14ac:dyDescent="0.25">
      <c r="B885" s="228" t="s">
        <v>515</v>
      </c>
      <c r="C885" s="233">
        <f t="shared" ca="1" si="155"/>
        <v>2904000.0000000005</v>
      </c>
      <c r="D885" s="250">
        <f t="shared" ca="1" si="156"/>
        <v>2640000.0000000005</v>
      </c>
      <c r="E885" s="233">
        <f t="shared" ca="1" si="157"/>
        <v>456000</v>
      </c>
      <c r="F885" s="555">
        <f t="shared" ca="1" si="153"/>
        <v>0.1727272727272727</v>
      </c>
      <c r="G885" s="244">
        <f t="shared" ca="1" si="158"/>
        <v>91200</v>
      </c>
    </row>
    <row r="886" spans="1:10" ht="21" customHeight="1" x14ac:dyDescent="0.25">
      <c r="B886" s="228" t="s">
        <v>445</v>
      </c>
      <c r="C886" s="233">
        <f t="shared" ca="1" si="155"/>
        <v>3369300</v>
      </c>
      <c r="D886" s="250">
        <f t="shared" ca="1" si="156"/>
        <v>3063000</v>
      </c>
      <c r="E886" s="233">
        <f t="shared" ca="1" si="157"/>
        <v>628000</v>
      </c>
      <c r="F886" s="555">
        <f t="shared" ca="1" si="153"/>
        <v>0.20502775057133529</v>
      </c>
      <c r="G886" s="244">
        <f t="shared" ca="1" si="158"/>
        <v>125600</v>
      </c>
    </row>
    <row r="887" spans="1:10" ht="21" customHeight="1" x14ac:dyDescent="0.25">
      <c r="B887" s="228" t="s">
        <v>1326</v>
      </c>
      <c r="C887" s="233">
        <f t="shared" ca="1" si="155"/>
        <v>1320000</v>
      </c>
      <c r="D887" s="250">
        <f t="shared" ca="1" si="156"/>
        <v>1200000</v>
      </c>
      <c r="E887" s="233">
        <f t="shared" ca="1" si="157"/>
        <v>80000</v>
      </c>
      <c r="F887" s="555">
        <f ca="1">E887/D887</f>
        <v>6.6666666666666666E-2</v>
      </c>
      <c r="G887" s="244">
        <f t="shared" ca="1" si="158"/>
        <v>16000</v>
      </c>
    </row>
    <row r="888" spans="1:10" ht="21" customHeight="1" x14ac:dyDescent="0.25">
      <c r="B888" s="228" t="s">
        <v>466</v>
      </c>
      <c r="C888" s="233">
        <f t="shared" ca="1" si="155"/>
        <v>418000</v>
      </c>
      <c r="D888" s="250">
        <f t="shared" ca="1" si="156"/>
        <v>380000</v>
      </c>
      <c r="E888" s="233">
        <f t="shared" ca="1" si="157"/>
        <v>90000</v>
      </c>
      <c r="F888" s="555">
        <f ca="1">E888/D888</f>
        <v>0.23684210526315788</v>
      </c>
      <c r="G888" s="244">
        <f t="shared" ca="1" si="158"/>
        <v>18000</v>
      </c>
    </row>
    <row r="889" spans="1:10" ht="21" customHeight="1" x14ac:dyDescent="0.25">
      <c r="B889" s="228" t="s">
        <v>526</v>
      </c>
      <c r="C889" s="233">
        <f t="shared" ca="1" si="155"/>
        <v>4510000</v>
      </c>
      <c r="D889" s="250">
        <f t="shared" ca="1" si="156"/>
        <v>4100000</v>
      </c>
      <c r="E889" s="233">
        <f t="shared" ca="1" si="157"/>
        <v>1030000</v>
      </c>
      <c r="F889" s="555">
        <f ca="1">E889/D889</f>
        <v>0.25121951219512195</v>
      </c>
      <c r="G889" s="244">
        <f t="shared" ca="1" si="158"/>
        <v>206000</v>
      </c>
    </row>
    <row r="890" spans="1:10" ht="21" customHeight="1" x14ac:dyDescent="0.25">
      <c r="B890" s="279"/>
      <c r="C890" s="544">
        <f ca="1">SUM(C878:C889)</f>
        <v>35242900</v>
      </c>
      <c r="D890" s="544">
        <f ca="1">SUM(D878:D889)</f>
        <v>32039000</v>
      </c>
      <c r="E890" s="544">
        <f ca="1">SUM(E878:E889)</f>
        <v>6668124.7843749998</v>
      </c>
      <c r="F890" s="567">
        <f ca="1">E890/D890</f>
        <v>0.20812524686709946</v>
      </c>
      <c r="G890" s="972">
        <f ca="1">SUM(G878:G889)</f>
        <v>1333624.9568750001</v>
      </c>
    </row>
    <row r="891" spans="1:10" ht="21" customHeight="1" x14ac:dyDescent="0.25">
      <c r="A891" s="247" t="s">
        <v>1827</v>
      </c>
      <c r="B891" s="228" t="s">
        <v>444</v>
      </c>
      <c r="C891" s="233">
        <f t="shared" ref="C891:C904" ca="1" si="159">SUMIFS(INDIRECT("Report!F100:F10000"),INDIRECT("Report!B100:B10000"),B891,INDIRECT("report!H100:H10000"),"Consums",INDIRECT("Report!L100:L10000"),"19,3")</f>
        <v>16016000.000000002</v>
      </c>
      <c r="D891" s="250">
        <f t="shared" ref="D891:D904" ca="1" si="160">(C891/11*10)</f>
        <v>14560000.000000002</v>
      </c>
      <c r="E891" s="233">
        <f t="shared" ref="E891:E904" ca="1" si="161">SUMIFS(INDIRECT("Report!J100:J10000"),INDIRECT("Report!B100:B10000"),B891,INDIRECT("report!H100:H10000"),"Consums",INDIRECT("Report!L100:L10000"),"19,3")</f>
        <v>6089658.0825590678</v>
      </c>
      <c r="F891" s="555">
        <f t="shared" ref="F891:F899" ca="1" si="162">E891/D891</f>
        <v>0.41824574742850734</v>
      </c>
      <c r="G891" s="244">
        <f ca="1">E891*20%</f>
        <v>1217931.6165118136</v>
      </c>
    </row>
    <row r="892" spans="1:10" ht="21" customHeight="1" x14ac:dyDescent="0.25">
      <c r="B892" s="228" t="s">
        <v>458</v>
      </c>
      <c r="C892" s="233">
        <f t="shared" ca="1" si="159"/>
        <v>14809300</v>
      </c>
      <c r="D892" s="250">
        <f t="shared" ca="1" si="160"/>
        <v>13463000</v>
      </c>
      <c r="E892" s="233">
        <f t="shared" ca="1" si="161"/>
        <v>4480500</v>
      </c>
      <c r="F892" s="555">
        <f t="shared" ca="1" si="162"/>
        <v>0.33280101017603803</v>
      </c>
      <c r="G892" s="244">
        <f t="shared" ref="G892:G904" ca="1" si="163">E892*20%</f>
        <v>896100</v>
      </c>
    </row>
    <row r="893" spans="1:10" ht="21" customHeight="1" x14ac:dyDescent="0.25">
      <c r="B893" s="228" t="s">
        <v>453</v>
      </c>
      <c r="C893" s="233">
        <f t="shared" ca="1" si="159"/>
        <v>4885100</v>
      </c>
      <c r="D893" s="250">
        <f t="shared" ca="1" si="160"/>
        <v>4441000</v>
      </c>
      <c r="E893" s="233">
        <f t="shared" ca="1" si="161"/>
        <v>334860</v>
      </c>
      <c r="F893" s="555">
        <f t="shared" ca="1" si="162"/>
        <v>7.5401936500788108E-2</v>
      </c>
      <c r="G893" s="244">
        <f t="shared" ca="1" si="163"/>
        <v>66972</v>
      </c>
    </row>
    <row r="894" spans="1:10" ht="21" customHeight="1" x14ac:dyDescent="0.25">
      <c r="B894" s="228" t="s">
        <v>523</v>
      </c>
      <c r="C894" s="233">
        <f t="shared" ca="1" si="159"/>
        <v>792000.00000000012</v>
      </c>
      <c r="D894" s="250">
        <f t="shared" ca="1" si="160"/>
        <v>720000.00000000012</v>
      </c>
      <c r="E894" s="233">
        <f t="shared" ca="1" si="161"/>
        <v>180000</v>
      </c>
      <c r="F894" s="555">
        <f t="shared" ca="1" si="162"/>
        <v>0.24999999999999997</v>
      </c>
      <c r="G894" s="244">
        <f t="shared" ca="1" si="163"/>
        <v>36000</v>
      </c>
    </row>
    <row r="895" spans="1:10" ht="21" customHeight="1" x14ac:dyDescent="0.25">
      <c r="B895" s="228" t="s">
        <v>677</v>
      </c>
      <c r="C895" s="233">
        <f t="shared" ca="1" si="159"/>
        <v>242000.00000000003</v>
      </c>
      <c r="D895" s="250">
        <f t="shared" ca="1" si="160"/>
        <v>220000.00000000003</v>
      </c>
      <c r="E895" s="233">
        <f t="shared" ca="1" si="161"/>
        <v>120000</v>
      </c>
      <c r="F895" s="555">
        <f t="shared" ca="1" si="162"/>
        <v>0.54545454545454541</v>
      </c>
      <c r="G895" s="244">
        <f t="shared" ca="1" si="163"/>
        <v>24000</v>
      </c>
    </row>
    <row r="896" spans="1:10" ht="21" customHeight="1" x14ac:dyDescent="0.25">
      <c r="B896" s="228" t="s">
        <v>1044</v>
      </c>
      <c r="C896" s="233">
        <f t="shared" ca="1" si="159"/>
        <v>2478300</v>
      </c>
      <c r="D896" s="250">
        <f t="shared" ca="1" si="160"/>
        <v>2253000</v>
      </c>
      <c r="E896" s="233">
        <f t="shared" ca="1" si="161"/>
        <v>362000</v>
      </c>
      <c r="F896" s="555">
        <f t="shared" ca="1" si="162"/>
        <v>0.16067465601420328</v>
      </c>
      <c r="G896" s="244">
        <f t="shared" ca="1" si="163"/>
        <v>72400</v>
      </c>
    </row>
    <row r="897" spans="1:7" ht="21" customHeight="1" x14ac:dyDescent="0.25">
      <c r="B897" s="228" t="s">
        <v>430</v>
      </c>
      <c r="C897" s="233">
        <f t="shared" ca="1" si="159"/>
        <v>3333000</v>
      </c>
      <c r="D897" s="250">
        <f t="shared" ca="1" si="160"/>
        <v>3030000</v>
      </c>
      <c r="E897" s="233">
        <f t="shared" ca="1" si="161"/>
        <v>1300000</v>
      </c>
      <c r="F897" s="555">
        <f t="shared" ca="1" si="162"/>
        <v>0.42904290429042902</v>
      </c>
      <c r="G897" s="244">
        <f t="shared" ca="1" si="163"/>
        <v>260000</v>
      </c>
    </row>
    <row r="898" spans="1:7" ht="21" customHeight="1" x14ac:dyDescent="0.25">
      <c r="B898" s="228" t="s">
        <v>515</v>
      </c>
      <c r="C898" s="233">
        <f t="shared" ca="1" si="159"/>
        <v>3146000</v>
      </c>
      <c r="D898" s="250">
        <f t="shared" ca="1" si="160"/>
        <v>2860000</v>
      </c>
      <c r="E898" s="233">
        <f t="shared" ca="1" si="161"/>
        <v>494000</v>
      </c>
      <c r="F898" s="555">
        <f t="shared" ca="1" si="162"/>
        <v>0.17272727272727273</v>
      </c>
      <c r="G898" s="244">
        <f t="shared" ca="1" si="163"/>
        <v>98800</v>
      </c>
    </row>
    <row r="899" spans="1:7" ht="21" customHeight="1" x14ac:dyDescent="0.25">
      <c r="B899" s="228" t="s">
        <v>445</v>
      </c>
      <c r="C899" s="233">
        <f t="shared" ca="1" si="159"/>
        <v>2255000</v>
      </c>
      <c r="D899" s="250">
        <f t="shared" ca="1" si="160"/>
        <v>2050000</v>
      </c>
      <c r="E899" s="233">
        <f t="shared" ca="1" si="161"/>
        <v>455000</v>
      </c>
      <c r="F899" s="555">
        <f t="shared" ca="1" si="162"/>
        <v>0.22195121951219512</v>
      </c>
      <c r="G899" s="244">
        <f t="shared" ca="1" si="163"/>
        <v>91000</v>
      </c>
    </row>
    <row r="900" spans="1:7" ht="21" customHeight="1" x14ac:dyDescent="0.25">
      <c r="B900" s="228" t="s">
        <v>1326</v>
      </c>
      <c r="C900" s="233">
        <f t="shared" ca="1" si="159"/>
        <v>2798950</v>
      </c>
      <c r="D900" s="250">
        <f t="shared" ca="1" si="160"/>
        <v>2544500</v>
      </c>
      <c r="E900" s="233">
        <f t="shared" ca="1" si="161"/>
        <v>837000</v>
      </c>
      <c r="F900" s="555">
        <f t="shared" ref="F900:F914" ca="1" si="164">E900/D900</f>
        <v>0.32894478286500295</v>
      </c>
      <c r="G900" s="244">
        <f t="shared" ca="1" si="163"/>
        <v>167400</v>
      </c>
    </row>
    <row r="901" spans="1:7" ht="21" customHeight="1" x14ac:dyDescent="0.25">
      <c r="B901" s="228" t="s">
        <v>468</v>
      </c>
      <c r="C901" s="233">
        <f t="shared" ca="1" si="159"/>
        <v>957000</v>
      </c>
      <c r="D901" s="250">
        <f t="shared" ca="1" si="160"/>
        <v>870000</v>
      </c>
      <c r="E901" s="233">
        <f t="shared" ca="1" si="161"/>
        <v>320000</v>
      </c>
      <c r="F901" s="555">
        <f t="shared" ca="1" si="164"/>
        <v>0.36781609195402298</v>
      </c>
      <c r="G901" s="244">
        <f t="shared" ca="1" si="163"/>
        <v>64000</v>
      </c>
    </row>
    <row r="902" spans="1:7" ht="21" customHeight="1" x14ac:dyDescent="0.25">
      <c r="B902" s="228" t="s">
        <v>653</v>
      </c>
      <c r="C902" s="233">
        <f t="shared" ca="1" si="159"/>
        <v>825000.00000000012</v>
      </c>
      <c r="D902" s="250">
        <f t="shared" ca="1" si="160"/>
        <v>750000.00000000012</v>
      </c>
      <c r="E902" s="233">
        <f t="shared" ca="1" si="161"/>
        <v>200000</v>
      </c>
      <c r="F902" s="555">
        <f t="shared" ca="1" si="164"/>
        <v>0.26666666666666661</v>
      </c>
      <c r="G902" s="244">
        <f t="shared" ca="1" si="163"/>
        <v>40000</v>
      </c>
    </row>
    <row r="903" spans="1:7" ht="21" customHeight="1" x14ac:dyDescent="0.25">
      <c r="B903" s="228" t="s">
        <v>465</v>
      </c>
      <c r="C903" s="233">
        <f t="shared" ca="1" si="159"/>
        <v>618750</v>
      </c>
      <c r="D903" s="250">
        <f t="shared" ca="1" si="160"/>
        <v>562500</v>
      </c>
      <c r="E903" s="233">
        <f t="shared" ca="1" si="161"/>
        <v>162500</v>
      </c>
      <c r="F903" s="555">
        <f t="shared" ca="1" si="164"/>
        <v>0.28888888888888886</v>
      </c>
      <c r="G903" s="244">
        <f t="shared" ca="1" si="163"/>
        <v>32500</v>
      </c>
    </row>
    <row r="904" spans="1:7" ht="21" customHeight="1" x14ac:dyDescent="0.25">
      <c r="B904" s="228" t="s">
        <v>1654</v>
      </c>
      <c r="C904" s="233">
        <f t="shared" ca="1" si="159"/>
        <v>1705000.0000000002</v>
      </c>
      <c r="D904" s="250">
        <f t="shared" ca="1" si="160"/>
        <v>1550000.0000000002</v>
      </c>
      <c r="E904" s="233">
        <f t="shared" ca="1" si="161"/>
        <v>350000</v>
      </c>
      <c r="F904" s="555">
        <f t="shared" ca="1" si="164"/>
        <v>0.22580645161290319</v>
      </c>
      <c r="G904" s="244">
        <f t="shared" ca="1" si="163"/>
        <v>70000</v>
      </c>
    </row>
    <row r="905" spans="1:7" ht="21" customHeight="1" x14ac:dyDescent="0.25">
      <c r="B905" s="279"/>
      <c r="C905" s="544">
        <f ca="1">SUM(C891:C904)</f>
        <v>54861400</v>
      </c>
      <c r="D905" s="544">
        <f ca="1">SUM(D891:D904)</f>
        <v>49874000</v>
      </c>
      <c r="E905" s="544">
        <f ca="1">SUM(E891:E904)</f>
        <v>15685518.082559068</v>
      </c>
      <c r="F905" s="567">
        <f t="shared" ca="1" si="164"/>
        <v>0.31450290898181554</v>
      </c>
      <c r="G905" s="972">
        <f ca="1">SUM(G891:G904)</f>
        <v>3137103.6165118134</v>
      </c>
    </row>
    <row r="906" spans="1:7" ht="21" customHeight="1" x14ac:dyDescent="0.25">
      <c r="A906" s="247" t="s">
        <v>1877</v>
      </c>
      <c r="B906" s="228" t="s">
        <v>444</v>
      </c>
      <c r="C906" s="233">
        <f t="shared" ref="C906:C918" ca="1" si="165">SUMIFS(INDIRECT("Report!F100:F10000"),INDIRECT("Report!B100:B10000"),B906,INDIRECT("report!H100:H10000"),"Consums",INDIRECT("Report!L100:L10000"),"19,4")</f>
        <v>2365000</v>
      </c>
      <c r="D906" s="250">
        <f t="shared" ref="D906:D918" ca="1" si="166">(C906/11*10)</f>
        <v>2150000</v>
      </c>
      <c r="E906" s="233">
        <f t="shared" ref="E906:E918" ca="1" si="167">SUMIFS(INDIRECT("Report!J100:J10000"),INDIRECT("Report!B100:B10000"),B906,INDIRECT("report!H100:H10000"),"Consums",INDIRECT("Report!L100:L10000"),"19,4")</f>
        <v>541000</v>
      </c>
      <c r="F906" s="555">
        <f t="shared" ca="1" si="164"/>
        <v>0.2516279069767442</v>
      </c>
      <c r="G906" s="244">
        <f ca="1">E906*20%</f>
        <v>108200</v>
      </c>
    </row>
    <row r="907" spans="1:7" ht="21" customHeight="1" x14ac:dyDescent="0.25">
      <c r="B907" s="228" t="s">
        <v>458</v>
      </c>
      <c r="C907" s="233">
        <f t="shared" ca="1" si="165"/>
        <v>5999400</v>
      </c>
      <c r="D907" s="250">
        <f t="shared" ca="1" si="166"/>
        <v>5454000</v>
      </c>
      <c r="E907" s="233">
        <f t="shared" ca="1" si="167"/>
        <v>1202000</v>
      </c>
      <c r="F907" s="555">
        <f t="shared" ca="1" si="164"/>
        <v>0.2203887055372204</v>
      </c>
      <c r="G907" s="244">
        <f t="shared" ref="G907:G918" ca="1" si="168">E907*20%</f>
        <v>240400</v>
      </c>
    </row>
    <row r="908" spans="1:7" ht="21" customHeight="1" x14ac:dyDescent="0.25">
      <c r="B908" s="228" t="s">
        <v>453</v>
      </c>
      <c r="C908" s="233">
        <f t="shared" ca="1" si="165"/>
        <v>8697700</v>
      </c>
      <c r="D908" s="250">
        <f t="shared" ca="1" si="166"/>
        <v>7907000</v>
      </c>
      <c r="E908" s="233">
        <f t="shared" ca="1" si="167"/>
        <v>1127060</v>
      </c>
      <c r="F908" s="555">
        <f t="shared" ca="1" si="164"/>
        <v>0.14253952194258251</v>
      </c>
      <c r="G908" s="244">
        <f t="shared" ca="1" si="168"/>
        <v>225412</v>
      </c>
    </row>
    <row r="909" spans="1:7" ht="21" customHeight="1" x14ac:dyDescent="0.25">
      <c r="B909" s="228" t="s">
        <v>523</v>
      </c>
      <c r="C909" s="233">
        <f t="shared" ca="1" si="165"/>
        <v>2299000</v>
      </c>
      <c r="D909" s="250">
        <f t="shared" ca="1" si="166"/>
        <v>2090000</v>
      </c>
      <c r="E909" s="233">
        <f t="shared" ca="1" si="167"/>
        <v>420000</v>
      </c>
      <c r="F909" s="555">
        <f t="shared" ca="1" si="164"/>
        <v>0.20095693779904306</v>
      </c>
      <c r="G909" s="244">
        <f t="shared" ca="1" si="168"/>
        <v>84000</v>
      </c>
    </row>
    <row r="910" spans="1:7" ht="21" customHeight="1" x14ac:dyDescent="0.25">
      <c r="B910" s="228" t="s">
        <v>1878</v>
      </c>
      <c r="C910" s="233">
        <f t="shared" ca="1" si="165"/>
        <v>2237400</v>
      </c>
      <c r="D910" s="250">
        <f t="shared" ca="1" si="166"/>
        <v>2034000</v>
      </c>
      <c r="E910" s="233">
        <f t="shared" ca="1" si="167"/>
        <v>2034000</v>
      </c>
      <c r="F910" s="555">
        <f t="shared" ca="1" si="164"/>
        <v>1</v>
      </c>
      <c r="G910" s="244">
        <f t="shared" ca="1" si="168"/>
        <v>406800</v>
      </c>
    </row>
    <row r="911" spans="1:7" ht="21" customHeight="1" x14ac:dyDescent="0.25">
      <c r="B911" s="228" t="s">
        <v>1044</v>
      </c>
      <c r="C911" s="233">
        <f t="shared" ca="1" si="165"/>
        <v>7533900</v>
      </c>
      <c r="D911" s="250">
        <f t="shared" ca="1" si="166"/>
        <v>6849000</v>
      </c>
      <c r="E911" s="233">
        <f t="shared" ca="1" si="167"/>
        <v>1106000</v>
      </c>
      <c r="F911" s="555">
        <f t="shared" ca="1" si="164"/>
        <v>0.16148342823769893</v>
      </c>
      <c r="G911" s="244">
        <f t="shared" ca="1" si="168"/>
        <v>221200</v>
      </c>
    </row>
    <row r="912" spans="1:7" ht="21" customHeight="1" x14ac:dyDescent="0.25">
      <c r="B912" s="228" t="s">
        <v>430</v>
      </c>
      <c r="C912" s="233">
        <f t="shared" ca="1" si="165"/>
        <v>1100000</v>
      </c>
      <c r="D912" s="250">
        <f t="shared" ca="1" si="166"/>
        <v>1000000</v>
      </c>
      <c r="E912" s="233">
        <f t="shared" ca="1" si="167"/>
        <v>500000</v>
      </c>
      <c r="F912" s="555">
        <f t="shared" ca="1" si="164"/>
        <v>0.5</v>
      </c>
      <c r="G912" s="244">
        <f t="shared" ca="1" si="168"/>
        <v>100000</v>
      </c>
    </row>
    <row r="913" spans="1:7" ht="21" customHeight="1" x14ac:dyDescent="0.25">
      <c r="B913" s="228" t="s">
        <v>515</v>
      </c>
      <c r="C913" s="233">
        <f t="shared" ca="1" si="165"/>
        <v>4356000</v>
      </c>
      <c r="D913" s="250">
        <f t="shared" ca="1" si="166"/>
        <v>3960000</v>
      </c>
      <c r="E913" s="233">
        <f t="shared" ca="1" si="167"/>
        <v>684000</v>
      </c>
      <c r="F913" s="555">
        <f t="shared" ca="1" si="164"/>
        <v>0.17272727272727273</v>
      </c>
      <c r="G913" s="244">
        <f t="shared" ca="1" si="168"/>
        <v>136800</v>
      </c>
    </row>
    <row r="914" spans="1:7" ht="21" customHeight="1" x14ac:dyDescent="0.25">
      <c r="B914" s="228" t="s">
        <v>445</v>
      </c>
      <c r="C914" s="233">
        <f t="shared" ca="1" si="165"/>
        <v>4642000</v>
      </c>
      <c r="D914" s="250">
        <f t="shared" ca="1" si="166"/>
        <v>4220000</v>
      </c>
      <c r="E914" s="233">
        <f t="shared" ca="1" si="167"/>
        <v>962500</v>
      </c>
      <c r="F914" s="555">
        <f t="shared" ca="1" si="164"/>
        <v>0.22808056872037916</v>
      </c>
      <c r="G914" s="244">
        <f t="shared" ca="1" si="168"/>
        <v>192500</v>
      </c>
    </row>
    <row r="915" spans="1:7" ht="21" customHeight="1" x14ac:dyDescent="0.25">
      <c r="B915" s="228" t="s">
        <v>1326</v>
      </c>
      <c r="C915" s="233">
        <f t="shared" ca="1" si="165"/>
        <v>2590500</v>
      </c>
      <c r="D915" s="250">
        <f t="shared" ca="1" si="166"/>
        <v>2355000</v>
      </c>
      <c r="E915" s="233">
        <f t="shared" ca="1" si="167"/>
        <v>560000</v>
      </c>
      <c r="F915" s="555">
        <f ca="1">E915/D915</f>
        <v>0.23779193205944799</v>
      </c>
      <c r="G915" s="244">
        <f t="shared" ca="1" si="168"/>
        <v>112000</v>
      </c>
    </row>
    <row r="916" spans="1:7" ht="21" customHeight="1" x14ac:dyDescent="0.25">
      <c r="B916" s="228" t="s">
        <v>526</v>
      </c>
      <c r="C916" s="233">
        <f t="shared" ca="1" si="165"/>
        <v>5797000.0000000009</v>
      </c>
      <c r="D916" s="250">
        <f t="shared" ca="1" si="166"/>
        <v>5270000.0000000009</v>
      </c>
      <c r="E916" s="233">
        <f t="shared" ca="1" si="167"/>
        <v>1000000</v>
      </c>
      <c r="F916" s="555">
        <f ca="1">E916/D916</f>
        <v>0.18975332068311193</v>
      </c>
      <c r="G916" s="244">
        <f t="shared" ca="1" si="168"/>
        <v>200000</v>
      </c>
    </row>
    <row r="917" spans="1:7" ht="21" customHeight="1" x14ac:dyDescent="0.25">
      <c r="B917" s="228" t="s">
        <v>466</v>
      </c>
      <c r="C917" s="233">
        <f t="shared" ca="1" si="165"/>
        <v>1017500</v>
      </c>
      <c r="D917" s="250">
        <f t="shared" ca="1" si="166"/>
        <v>925000</v>
      </c>
      <c r="E917" s="233">
        <f t="shared" ca="1" si="167"/>
        <v>225000</v>
      </c>
      <c r="F917" s="555">
        <f ca="1">E917/D917</f>
        <v>0.24324324324324326</v>
      </c>
      <c r="G917" s="244">
        <f t="shared" ca="1" si="168"/>
        <v>45000</v>
      </c>
    </row>
    <row r="918" spans="1:7" ht="21" customHeight="1" x14ac:dyDescent="0.25">
      <c r="B918" s="228" t="s">
        <v>465</v>
      </c>
      <c r="C918" s="233">
        <f t="shared" ca="1" si="165"/>
        <v>1897500.0000000002</v>
      </c>
      <c r="D918" s="250">
        <f t="shared" ca="1" si="166"/>
        <v>1725000.0000000002</v>
      </c>
      <c r="E918" s="233">
        <f t="shared" ca="1" si="167"/>
        <v>394500</v>
      </c>
      <c r="F918" s="555">
        <f ca="1">E918/D918</f>
        <v>0.22869565217391302</v>
      </c>
      <c r="G918" s="244">
        <f t="shared" ca="1" si="168"/>
        <v>78900</v>
      </c>
    </row>
    <row r="919" spans="1:7" ht="21" customHeight="1" x14ac:dyDescent="0.25">
      <c r="B919" s="279"/>
      <c r="C919" s="544">
        <f ca="1">SUM(C906:C918)</f>
        <v>50532900</v>
      </c>
      <c r="D919" s="544">
        <f ca="1">SUM(D906:D918)</f>
        <v>45939000</v>
      </c>
      <c r="E919" s="544">
        <f ca="1">SUM(E906:E918)</f>
        <v>10756060</v>
      </c>
      <c r="F919" s="567">
        <f ca="1">E919/D919</f>
        <v>0.23413787849104248</v>
      </c>
      <c r="G919" s="972">
        <f ca="1">SUM(G906:G918)</f>
        <v>2151212</v>
      </c>
    </row>
    <row r="920" spans="1:7" ht="21" customHeight="1" x14ac:dyDescent="0.25">
      <c r="A920" s="247" t="s">
        <v>1901</v>
      </c>
      <c r="B920" s="228" t="s">
        <v>444</v>
      </c>
      <c r="C920" s="233">
        <f t="shared" ref="C920:C930" ca="1" si="169">SUMIFS(INDIRECT("Report!F100:F10000"),INDIRECT("Report!B100:B10000"),B920,INDIRECT("report!H100:H10000"),"Consums",INDIRECT("Report!L100:L10000"),"19,5")</f>
        <v>2178000</v>
      </c>
      <c r="D920" s="250">
        <f t="shared" ref="D920:D930" ca="1" si="170">(C920/11*10)</f>
        <v>1980000</v>
      </c>
      <c r="E920" s="233">
        <f t="shared" ref="E920:E930" ca="1" si="171">SUMIFS(INDIRECT("Report!J100:J10000"),INDIRECT("Report!B100:B10000"),B920,INDIRECT("report!H100:H10000"),"Consums",INDIRECT("Report!L100:L10000"),"19,5")</f>
        <v>636000</v>
      </c>
      <c r="F920" s="555">
        <f t="shared" ref="F920:F928" ca="1" si="172">E920/D920</f>
        <v>0.32121212121212123</v>
      </c>
      <c r="G920" s="244">
        <f ca="1">E920*20%</f>
        <v>127200</v>
      </c>
    </row>
    <row r="921" spans="1:7" ht="21" customHeight="1" x14ac:dyDescent="0.25">
      <c r="B921" s="228" t="s">
        <v>458</v>
      </c>
      <c r="C921" s="233">
        <f t="shared" ca="1" si="169"/>
        <v>10893300</v>
      </c>
      <c r="D921" s="250">
        <f t="shared" ca="1" si="170"/>
        <v>9903000</v>
      </c>
      <c r="E921" s="233">
        <f t="shared" ca="1" si="171"/>
        <v>2680500</v>
      </c>
      <c r="F921" s="555">
        <f t="shared" ca="1" si="172"/>
        <v>0.27067555286276884</v>
      </c>
      <c r="G921" s="244">
        <f t="shared" ref="G921:G930" ca="1" si="173">E921*20%</f>
        <v>536100</v>
      </c>
    </row>
    <row r="922" spans="1:7" ht="21" customHeight="1" x14ac:dyDescent="0.25">
      <c r="B922" s="228" t="s">
        <v>453</v>
      </c>
      <c r="C922" s="233">
        <f t="shared" ca="1" si="169"/>
        <v>9302700.0000000019</v>
      </c>
      <c r="D922" s="250">
        <f t="shared" ca="1" si="170"/>
        <v>8457000.0000000019</v>
      </c>
      <c r="E922" s="233">
        <f t="shared" ca="1" si="171"/>
        <v>670770</v>
      </c>
      <c r="F922" s="555">
        <f t="shared" ca="1" si="172"/>
        <v>7.9315360056757697E-2</v>
      </c>
      <c r="G922" s="244">
        <f t="shared" ca="1" si="173"/>
        <v>134154</v>
      </c>
    </row>
    <row r="923" spans="1:7" ht="21" customHeight="1" x14ac:dyDescent="0.25">
      <c r="B923" s="228" t="s">
        <v>516</v>
      </c>
      <c r="C923" s="233">
        <f t="shared" ca="1" si="169"/>
        <v>198000.00000000003</v>
      </c>
      <c r="D923" s="250">
        <f t="shared" ca="1" si="170"/>
        <v>180000.00000000003</v>
      </c>
      <c r="E923" s="233">
        <f t="shared" ca="1" si="171"/>
        <v>28000</v>
      </c>
      <c r="F923" s="555">
        <f t="shared" ca="1" si="172"/>
        <v>0.15555555555555553</v>
      </c>
      <c r="G923" s="244">
        <f t="shared" ca="1" si="173"/>
        <v>5600</v>
      </c>
    </row>
    <row r="924" spans="1:7" ht="21" customHeight="1" x14ac:dyDescent="0.25">
      <c r="B924" s="228" t="s">
        <v>653</v>
      </c>
      <c r="C924" s="233">
        <f t="shared" ca="1" si="169"/>
        <v>825000.00000000012</v>
      </c>
      <c r="D924" s="250">
        <f t="shared" ca="1" si="170"/>
        <v>750000.00000000012</v>
      </c>
      <c r="E924" s="233">
        <f t="shared" ca="1" si="171"/>
        <v>200000</v>
      </c>
      <c r="F924" s="555">
        <f t="shared" ca="1" si="172"/>
        <v>0.26666666666666661</v>
      </c>
      <c r="G924" s="244">
        <f t="shared" ca="1" si="173"/>
        <v>40000</v>
      </c>
    </row>
    <row r="925" spans="1:7" ht="21" customHeight="1" x14ac:dyDescent="0.25">
      <c r="B925" s="228" t="s">
        <v>1044</v>
      </c>
      <c r="C925" s="233">
        <f t="shared" ca="1" si="169"/>
        <v>4496800</v>
      </c>
      <c r="D925" s="250">
        <f t="shared" ca="1" si="170"/>
        <v>4088000</v>
      </c>
      <c r="E925" s="233">
        <f t="shared" ca="1" si="171"/>
        <v>992000</v>
      </c>
      <c r="F925" s="555">
        <f t="shared" ca="1" si="172"/>
        <v>0.24266144814090018</v>
      </c>
      <c r="G925" s="244">
        <f t="shared" ca="1" si="173"/>
        <v>198400</v>
      </c>
    </row>
    <row r="926" spans="1:7" ht="21" customHeight="1" x14ac:dyDescent="0.25">
      <c r="B926" s="228" t="s">
        <v>430</v>
      </c>
      <c r="C926" s="233">
        <f t="shared" ca="1" si="169"/>
        <v>1100000</v>
      </c>
      <c r="D926" s="250">
        <f t="shared" ca="1" si="170"/>
        <v>1000000</v>
      </c>
      <c r="E926" s="233">
        <f t="shared" ca="1" si="171"/>
        <v>500000</v>
      </c>
      <c r="F926" s="555">
        <f t="shared" ca="1" si="172"/>
        <v>0.5</v>
      </c>
      <c r="G926" s="244">
        <f t="shared" ca="1" si="173"/>
        <v>100000</v>
      </c>
    </row>
    <row r="927" spans="1:7" ht="21" customHeight="1" x14ac:dyDescent="0.25">
      <c r="B927" s="228" t="s">
        <v>515</v>
      </c>
      <c r="C927" s="233">
        <f t="shared" ca="1" si="169"/>
        <v>4356000</v>
      </c>
      <c r="D927" s="250">
        <f t="shared" ca="1" si="170"/>
        <v>3960000</v>
      </c>
      <c r="E927" s="233">
        <f t="shared" ca="1" si="171"/>
        <v>684000</v>
      </c>
      <c r="F927" s="555">
        <f t="shared" ca="1" si="172"/>
        <v>0.17272727272727273</v>
      </c>
      <c r="G927" s="244">
        <f t="shared" ca="1" si="173"/>
        <v>136800</v>
      </c>
    </row>
    <row r="928" spans="1:7" ht="21" customHeight="1" x14ac:dyDescent="0.25">
      <c r="B928" s="228" t="s">
        <v>445</v>
      </c>
      <c r="C928" s="233">
        <f t="shared" ca="1" si="169"/>
        <v>5707900</v>
      </c>
      <c r="D928" s="250">
        <f t="shared" ca="1" si="170"/>
        <v>5189000</v>
      </c>
      <c r="E928" s="233">
        <f t="shared" ca="1" si="171"/>
        <v>975000</v>
      </c>
      <c r="F928" s="555">
        <f t="shared" ca="1" si="172"/>
        <v>0.18789747542879168</v>
      </c>
      <c r="G928" s="244">
        <f t="shared" ca="1" si="173"/>
        <v>195000</v>
      </c>
    </row>
    <row r="929" spans="1:8" ht="21" customHeight="1" x14ac:dyDescent="0.25">
      <c r="B929" s="228" t="s">
        <v>1326</v>
      </c>
      <c r="C929" s="233">
        <f t="shared" ca="1" si="169"/>
        <v>4565000</v>
      </c>
      <c r="D929" s="250">
        <f t="shared" ca="1" si="170"/>
        <v>4150000</v>
      </c>
      <c r="E929" s="233">
        <f t="shared" ca="1" si="171"/>
        <v>1100000</v>
      </c>
      <c r="F929" s="555">
        <f ca="1">E929/D929</f>
        <v>0.26506024096385544</v>
      </c>
      <c r="G929" s="244">
        <f t="shared" ca="1" si="173"/>
        <v>220000</v>
      </c>
    </row>
    <row r="930" spans="1:8" ht="21" customHeight="1" x14ac:dyDescent="0.25">
      <c r="B930" s="228" t="s">
        <v>466</v>
      </c>
      <c r="C930" s="233">
        <f t="shared" ca="1" si="169"/>
        <v>715000</v>
      </c>
      <c r="D930" s="250">
        <f t="shared" ca="1" si="170"/>
        <v>650000</v>
      </c>
      <c r="E930" s="233">
        <f t="shared" ca="1" si="171"/>
        <v>150000</v>
      </c>
      <c r="F930" s="555">
        <f ca="1">E930/D930</f>
        <v>0.23076923076923078</v>
      </c>
      <c r="G930" s="244">
        <f t="shared" ca="1" si="173"/>
        <v>30000</v>
      </c>
    </row>
    <row r="931" spans="1:8" ht="21" customHeight="1" x14ac:dyDescent="0.25">
      <c r="B931" s="279"/>
      <c r="C931" s="544">
        <f ca="1">SUM(C920:C930)</f>
        <v>44337700</v>
      </c>
      <c r="D931" s="544">
        <f ca="1">SUM(D920:D930)</f>
        <v>40307000</v>
      </c>
      <c r="E931" s="544">
        <f ca="1">SUM(E920:E930)</f>
        <v>8616270</v>
      </c>
      <c r="F931" s="567">
        <f ca="1">E931/D931</f>
        <v>0.21376609521919271</v>
      </c>
      <c r="G931" s="972">
        <f ca="1">SUM(G920:G930)</f>
        <v>1723254</v>
      </c>
    </row>
    <row r="932" spans="1:8" ht="21" customHeight="1" x14ac:dyDescent="0.25">
      <c r="A932" s="247" t="s">
        <v>1922</v>
      </c>
      <c r="B932" s="228" t="s">
        <v>444</v>
      </c>
      <c r="C932" s="233">
        <f ca="1">SUMIFS(INDIRECT("Report!F100:F10000"),INDIRECT("Report!B100:B10000"),B932,INDIRECT("report!H100:H10000"),"Consums",INDIRECT("Report!L100:L10000"),"19,6")</f>
        <v>3300000</v>
      </c>
      <c r="D932" s="250">
        <f t="shared" ref="D932:D940" ca="1" si="174">(C932/11*10)</f>
        <v>3000000</v>
      </c>
      <c r="E932" s="233">
        <f t="shared" ref="E932:E940" ca="1" si="175">SUMIFS(INDIRECT("Report!J100:J10000"),INDIRECT("Report!B100:B10000"),B932,INDIRECT("report!H100:H10000"),"Consums",INDIRECT("Report!L100:L10000"),"19,6")</f>
        <v>846000</v>
      </c>
      <c r="F932" s="555">
        <f t="shared" ref="F932:F939" ca="1" si="176">E932/D932</f>
        <v>0.28199999999999997</v>
      </c>
      <c r="G932" s="244">
        <f ca="1">E932*20%</f>
        <v>169200</v>
      </c>
    </row>
    <row r="933" spans="1:8" ht="21" customHeight="1" x14ac:dyDescent="0.25">
      <c r="B933" s="228" t="s">
        <v>458</v>
      </c>
      <c r="C933" s="233">
        <f ca="1">SUMIFS(INDIRECT("Report!F100:F10000"),INDIRECT("Report!B100:B10000"),B933,INDIRECT("report!H100:H10000"),"Consums",INDIRECT("Report!L100:L10000"),"19,6")</f>
        <v>5831100</v>
      </c>
      <c r="D933" s="250">
        <f t="shared" ca="1" si="174"/>
        <v>5301000</v>
      </c>
      <c r="E933" s="233">
        <f t="shared" ca="1" si="175"/>
        <v>1486500</v>
      </c>
      <c r="F933" s="555">
        <f t="shared" ca="1" si="176"/>
        <v>0.28041878890775324</v>
      </c>
      <c r="G933" s="244">
        <f t="shared" ref="G933:G940" ca="1" si="177">E933*20%</f>
        <v>297300</v>
      </c>
    </row>
    <row r="934" spans="1:8" ht="21" customHeight="1" x14ac:dyDescent="0.25">
      <c r="B934" s="228" t="s">
        <v>453</v>
      </c>
      <c r="C934" s="233">
        <f t="shared" ref="C934:C940" ca="1" si="178">SUMIFS(INDIRECT("Report!F100:F10000"),INDIRECT("Report!B100:B10000"),B934,INDIRECT("report!H100:H10000"),"Consums",INDIRECT("Report!L100:L10000"),"19,6")</f>
        <v>7076300</v>
      </c>
      <c r="D934" s="250">
        <f t="shared" ca="1" si="174"/>
        <v>6433000</v>
      </c>
      <c r="E934" s="233">
        <f t="shared" ca="1" si="175"/>
        <v>828060</v>
      </c>
      <c r="F934" s="555">
        <f t="shared" ca="1" si="176"/>
        <v>0.12872065910150784</v>
      </c>
      <c r="G934" s="244">
        <f t="shared" ca="1" si="177"/>
        <v>165612</v>
      </c>
    </row>
    <row r="935" spans="1:8" ht="21" customHeight="1" x14ac:dyDescent="0.25">
      <c r="B935" s="228" t="s">
        <v>1878</v>
      </c>
      <c r="C935" s="233">
        <f t="shared" ca="1" si="178"/>
        <v>1734700.0000000002</v>
      </c>
      <c r="D935" s="250">
        <f t="shared" ca="1" si="174"/>
        <v>1577000.0000000002</v>
      </c>
      <c r="E935" s="233">
        <f t="shared" ca="1" si="175"/>
        <v>1577000</v>
      </c>
      <c r="F935" s="555">
        <f t="shared" ca="1" si="176"/>
        <v>0.99999999999999989</v>
      </c>
      <c r="G935" s="244">
        <f t="shared" ca="1" si="177"/>
        <v>315400</v>
      </c>
    </row>
    <row r="936" spans="1:8" ht="21" customHeight="1" x14ac:dyDescent="0.25">
      <c r="B936" s="228" t="s">
        <v>1044</v>
      </c>
      <c r="C936" s="233">
        <f t="shared" ca="1" si="178"/>
        <v>2527800</v>
      </c>
      <c r="D936" s="250">
        <f t="shared" ca="1" si="174"/>
        <v>2298000</v>
      </c>
      <c r="E936" s="233">
        <f t="shared" ca="1" si="175"/>
        <v>372000</v>
      </c>
      <c r="F936" s="555">
        <f t="shared" ca="1" si="176"/>
        <v>0.16187989556135771</v>
      </c>
      <c r="G936" s="244">
        <f t="shared" ca="1" si="177"/>
        <v>74400</v>
      </c>
    </row>
    <row r="937" spans="1:8" ht="21" customHeight="1" x14ac:dyDescent="0.25">
      <c r="B937" s="228" t="s">
        <v>430</v>
      </c>
      <c r="C937" s="233">
        <f t="shared" ca="1" si="178"/>
        <v>1100000</v>
      </c>
      <c r="D937" s="250">
        <f t="shared" ca="1" si="174"/>
        <v>1000000</v>
      </c>
      <c r="E937" s="233">
        <f t="shared" ca="1" si="175"/>
        <v>500000</v>
      </c>
      <c r="F937" s="555">
        <f t="shared" ca="1" si="176"/>
        <v>0.5</v>
      </c>
      <c r="G937" s="244">
        <f t="shared" ca="1" si="177"/>
        <v>100000</v>
      </c>
    </row>
    <row r="938" spans="1:8" ht="21" customHeight="1" x14ac:dyDescent="0.25">
      <c r="B938" s="228" t="s">
        <v>515</v>
      </c>
      <c r="C938" s="233">
        <f t="shared" ca="1" si="178"/>
        <v>3146000</v>
      </c>
      <c r="D938" s="250">
        <f t="shared" ca="1" si="174"/>
        <v>2860000</v>
      </c>
      <c r="E938" s="233">
        <f t="shared" ca="1" si="175"/>
        <v>494000</v>
      </c>
      <c r="F938" s="555">
        <f t="shared" ca="1" si="176"/>
        <v>0.17272727272727273</v>
      </c>
      <c r="G938" s="244">
        <f t="shared" ca="1" si="177"/>
        <v>98800</v>
      </c>
    </row>
    <row r="939" spans="1:8" ht="21" customHeight="1" x14ac:dyDescent="0.25">
      <c r="B939" s="228" t="s">
        <v>445</v>
      </c>
      <c r="C939" s="233">
        <f t="shared" ca="1" si="178"/>
        <v>654500</v>
      </c>
      <c r="D939" s="250">
        <f t="shared" ca="1" si="174"/>
        <v>595000</v>
      </c>
      <c r="E939" s="233">
        <f t="shared" ca="1" si="175"/>
        <v>85000</v>
      </c>
      <c r="F939" s="555">
        <f t="shared" ca="1" si="176"/>
        <v>0.14285714285714285</v>
      </c>
      <c r="G939" s="244">
        <f t="shared" ca="1" si="177"/>
        <v>17000</v>
      </c>
    </row>
    <row r="940" spans="1:8" ht="21" customHeight="1" x14ac:dyDescent="0.25">
      <c r="B940" s="228" t="s">
        <v>466</v>
      </c>
      <c r="C940" s="233">
        <f t="shared" ca="1" si="178"/>
        <v>715000</v>
      </c>
      <c r="D940" s="250">
        <f t="shared" ca="1" si="174"/>
        <v>650000</v>
      </c>
      <c r="E940" s="233">
        <f t="shared" ca="1" si="175"/>
        <v>150000</v>
      </c>
      <c r="F940" s="555">
        <f ca="1">E940/D940</f>
        <v>0.23076923076923078</v>
      </c>
      <c r="G940" s="244">
        <f t="shared" ca="1" si="177"/>
        <v>30000</v>
      </c>
    </row>
    <row r="941" spans="1:8" ht="21" customHeight="1" x14ac:dyDescent="0.25">
      <c r="B941" s="279"/>
      <c r="C941" s="544">
        <f ca="1">SUM(C932:C940)</f>
        <v>26085400</v>
      </c>
      <c r="D941" s="544">
        <f ca="1">SUM(D932:D940)</f>
        <v>23714000</v>
      </c>
      <c r="E941" s="544">
        <f ca="1">SUM(E932:E940)</f>
        <v>6338560</v>
      </c>
      <c r="F941" s="567">
        <f ca="1">E941/D941</f>
        <v>0.26729189508307327</v>
      </c>
      <c r="G941" s="972">
        <f ca="1">SUM(G932:G940)</f>
        <v>1267712</v>
      </c>
    </row>
    <row r="942" spans="1:8" ht="21" customHeight="1" x14ac:dyDescent="0.25">
      <c r="A942" s="247" t="s">
        <v>2016</v>
      </c>
      <c r="B942" s="228" t="s">
        <v>444</v>
      </c>
      <c r="C942" s="233">
        <f t="shared" ref="C942:C955" ca="1" si="179">SUMIFS(INDIRECT("Report!F100:F10000"),INDIRECT("Report!B100:B10000"),B942,INDIRECT("report!H100:H10000"),"Consums",INDIRECT("Report!L100:L10000"),"19,7")</f>
        <v>4026000</v>
      </c>
      <c r="D942" s="250">
        <f t="shared" ref="D942:D955" ca="1" si="180">(C942/11*10)</f>
        <v>3660000</v>
      </c>
      <c r="E942" s="233">
        <f t="shared" ref="E942:E955" ca="1" si="181">SUMIFS(INDIRECT("Report!J100:J10000"),INDIRECT("Report!B100:B10000"),B942,INDIRECT("report!H100:H10000"),"Consums",INDIRECT("Report!L100:L10000"),"19,7")</f>
        <v>1112000</v>
      </c>
      <c r="F942" s="555">
        <f t="shared" ref="F942:F954" ca="1" si="182">E942/D942</f>
        <v>0.30382513661202187</v>
      </c>
      <c r="G942" s="244">
        <f ca="1">E942*20%</f>
        <v>222400</v>
      </c>
      <c r="H942" s="859"/>
    </row>
    <row r="943" spans="1:8" ht="21" customHeight="1" x14ac:dyDescent="0.25">
      <c r="B943" s="228" t="s">
        <v>458</v>
      </c>
      <c r="C943" s="233">
        <f t="shared" ca="1" si="179"/>
        <v>12211100</v>
      </c>
      <c r="D943" s="250">
        <f t="shared" ca="1" si="180"/>
        <v>11101000</v>
      </c>
      <c r="E943" s="233">
        <f t="shared" ca="1" si="181"/>
        <v>3547956</v>
      </c>
      <c r="F943" s="555">
        <f t="shared" ca="1" si="182"/>
        <v>0.31960688226285922</v>
      </c>
      <c r="G943" s="244">
        <f t="shared" ref="G943:G955" ca="1" si="183">E943*20%</f>
        <v>709591.20000000007</v>
      </c>
      <c r="H943" s="859"/>
    </row>
    <row r="944" spans="1:8" ht="21" customHeight="1" x14ac:dyDescent="0.25">
      <c r="B944" s="228" t="s">
        <v>453</v>
      </c>
      <c r="C944" s="233">
        <f t="shared" ca="1" si="179"/>
        <v>11133100</v>
      </c>
      <c r="D944" s="250">
        <f t="shared" ca="1" si="180"/>
        <v>10121000</v>
      </c>
      <c r="E944" s="233">
        <f t="shared" ca="1" si="181"/>
        <v>1056560</v>
      </c>
      <c r="F944" s="555">
        <f t="shared" ca="1" si="182"/>
        <v>0.10439284655666436</v>
      </c>
      <c r="G944" s="244">
        <f t="shared" ca="1" si="183"/>
        <v>211312</v>
      </c>
      <c r="H944" s="859"/>
    </row>
    <row r="945" spans="1:10" ht="21" customHeight="1" x14ac:dyDescent="0.25">
      <c r="B945" s="228" t="s">
        <v>1044</v>
      </c>
      <c r="C945" s="233">
        <f t="shared" ca="1" si="179"/>
        <v>1914000.0000000002</v>
      </c>
      <c r="D945" s="250">
        <f t="shared" ca="1" si="180"/>
        <v>1740000.0000000002</v>
      </c>
      <c r="E945" s="233">
        <f t="shared" ca="1" si="181"/>
        <v>280000</v>
      </c>
      <c r="F945" s="555">
        <f t="shared" ca="1" si="182"/>
        <v>0.16091954022988503</v>
      </c>
      <c r="G945" s="244">
        <f t="shared" ca="1" si="183"/>
        <v>56000</v>
      </c>
    </row>
    <row r="946" spans="1:10" ht="21" customHeight="1" x14ac:dyDescent="0.25">
      <c r="B946" s="228" t="s">
        <v>430</v>
      </c>
      <c r="C946" s="233">
        <f t="shared" ca="1" si="179"/>
        <v>550000</v>
      </c>
      <c r="D946" s="250">
        <f t="shared" ca="1" si="180"/>
        <v>500000</v>
      </c>
      <c r="E946" s="233">
        <f t="shared" ca="1" si="181"/>
        <v>250000</v>
      </c>
      <c r="F946" s="555">
        <f t="shared" ca="1" si="182"/>
        <v>0.5</v>
      </c>
      <c r="G946" s="244">
        <f t="shared" ca="1" si="183"/>
        <v>50000</v>
      </c>
    </row>
    <row r="947" spans="1:10" ht="21" customHeight="1" x14ac:dyDescent="0.25">
      <c r="B947" s="228" t="s">
        <v>515</v>
      </c>
      <c r="C947" s="233">
        <f t="shared" ca="1" si="179"/>
        <v>4114000</v>
      </c>
      <c r="D947" s="250">
        <f t="shared" ca="1" si="180"/>
        <v>3740000</v>
      </c>
      <c r="E947" s="233">
        <f t="shared" ca="1" si="181"/>
        <v>646000</v>
      </c>
      <c r="F947" s="555">
        <f t="shared" ca="1" si="182"/>
        <v>0.17272727272727273</v>
      </c>
      <c r="G947" s="244">
        <f t="shared" ca="1" si="183"/>
        <v>129200</v>
      </c>
    </row>
    <row r="948" spans="1:10" ht="21" customHeight="1" x14ac:dyDescent="0.25">
      <c r="B948" s="228" t="s">
        <v>445</v>
      </c>
      <c r="C948" s="233">
        <f t="shared" ca="1" si="179"/>
        <v>3077800</v>
      </c>
      <c r="D948" s="250">
        <f t="shared" ca="1" si="180"/>
        <v>2798000</v>
      </c>
      <c r="E948" s="233">
        <f t="shared" ca="1" si="181"/>
        <v>772000</v>
      </c>
      <c r="F948" s="555">
        <f t="shared" ca="1" si="182"/>
        <v>0.27591136526090065</v>
      </c>
      <c r="G948" s="244">
        <f t="shared" ca="1" si="183"/>
        <v>154400</v>
      </c>
    </row>
    <row r="949" spans="1:10" ht="21" customHeight="1" x14ac:dyDescent="0.25">
      <c r="B949" s="228" t="s">
        <v>523</v>
      </c>
      <c r="C949" s="233">
        <f t="shared" ca="1" si="179"/>
        <v>858000.00000000012</v>
      </c>
      <c r="D949" s="250">
        <f t="shared" ca="1" si="180"/>
        <v>780000.00000000012</v>
      </c>
      <c r="E949" s="233">
        <f t="shared" ca="1" si="181"/>
        <v>180000</v>
      </c>
      <c r="F949" s="555">
        <f t="shared" ca="1" si="182"/>
        <v>0.23076923076923073</v>
      </c>
      <c r="G949" s="244">
        <f t="shared" ca="1" si="183"/>
        <v>36000</v>
      </c>
    </row>
    <row r="950" spans="1:10" ht="21" customHeight="1" x14ac:dyDescent="0.25">
      <c r="B950" s="228" t="s">
        <v>526</v>
      </c>
      <c r="C950" s="233">
        <f t="shared" ca="1" si="179"/>
        <v>7271000.0000000009</v>
      </c>
      <c r="D950" s="250">
        <f t="shared" ca="1" si="180"/>
        <v>6610000.0000000009</v>
      </c>
      <c r="E950" s="233">
        <f t="shared" ca="1" si="181"/>
        <v>1630000</v>
      </c>
      <c r="F950" s="555">
        <f t="shared" ca="1" si="182"/>
        <v>0.24659606656580935</v>
      </c>
      <c r="G950" s="244">
        <f t="shared" ca="1" si="183"/>
        <v>326000</v>
      </c>
    </row>
    <row r="951" spans="1:10" ht="21" customHeight="1" x14ac:dyDescent="0.25">
      <c r="B951" s="228" t="s">
        <v>465</v>
      </c>
      <c r="C951" s="233">
        <f t="shared" ca="1" si="179"/>
        <v>2530000</v>
      </c>
      <c r="D951" s="250">
        <f t="shared" ca="1" si="180"/>
        <v>2300000</v>
      </c>
      <c r="E951" s="233">
        <f t="shared" ca="1" si="181"/>
        <v>526000</v>
      </c>
      <c r="F951" s="555">
        <f t="shared" ca="1" si="182"/>
        <v>0.22869565217391305</v>
      </c>
      <c r="G951" s="244">
        <f t="shared" ca="1" si="183"/>
        <v>105200</v>
      </c>
    </row>
    <row r="952" spans="1:10" ht="21" customHeight="1" x14ac:dyDescent="0.25">
      <c r="B952" s="228" t="s">
        <v>653</v>
      </c>
      <c r="C952" s="233">
        <f t="shared" ca="1" si="179"/>
        <v>825000.00000000012</v>
      </c>
      <c r="D952" s="250">
        <f t="shared" ca="1" si="180"/>
        <v>750000.00000000012</v>
      </c>
      <c r="E952" s="233">
        <f t="shared" ca="1" si="181"/>
        <v>200000</v>
      </c>
      <c r="F952" s="555">
        <f t="shared" ca="1" si="182"/>
        <v>0.26666666666666661</v>
      </c>
      <c r="G952" s="244">
        <f t="shared" ca="1" si="183"/>
        <v>40000</v>
      </c>
    </row>
    <row r="953" spans="1:10" s="1108" customFormat="1" ht="21" customHeight="1" x14ac:dyDescent="0.25">
      <c r="A953" s="1107"/>
      <c r="B953" s="228" t="s">
        <v>677</v>
      </c>
      <c r="C953" s="233">
        <f t="shared" ca="1" si="179"/>
        <v>242000.00000000003</v>
      </c>
      <c r="D953" s="250">
        <f t="shared" ca="1" si="180"/>
        <v>220000.00000000003</v>
      </c>
      <c r="E953" s="233">
        <f t="shared" ca="1" si="181"/>
        <v>120000</v>
      </c>
      <c r="F953" s="555">
        <f t="shared" ca="1" si="182"/>
        <v>0.54545454545454541</v>
      </c>
      <c r="G953" s="244">
        <f t="shared" ca="1" si="183"/>
        <v>24000</v>
      </c>
      <c r="H953" s="1107"/>
      <c r="I953" s="1107"/>
      <c r="J953" s="1107"/>
    </row>
    <row r="954" spans="1:10" ht="21" customHeight="1" x14ac:dyDescent="0.25">
      <c r="B954" s="228" t="s">
        <v>1326</v>
      </c>
      <c r="C954" s="233">
        <f t="shared" ca="1" si="179"/>
        <v>2488750</v>
      </c>
      <c r="D954" s="250">
        <f t="shared" ca="1" si="180"/>
        <v>2262500</v>
      </c>
      <c r="E954" s="233">
        <f t="shared" ca="1" si="181"/>
        <v>761000</v>
      </c>
      <c r="F954" s="555">
        <f t="shared" ca="1" si="182"/>
        <v>0.33635359116022101</v>
      </c>
      <c r="G954" s="244">
        <f t="shared" ca="1" si="183"/>
        <v>152200</v>
      </c>
    </row>
    <row r="955" spans="1:10" ht="21" customHeight="1" x14ac:dyDescent="0.25">
      <c r="B955" s="228" t="s">
        <v>466</v>
      </c>
      <c r="C955" s="233">
        <f t="shared" ca="1" si="179"/>
        <v>302500</v>
      </c>
      <c r="D955" s="250">
        <f t="shared" ca="1" si="180"/>
        <v>275000</v>
      </c>
      <c r="E955" s="233">
        <f t="shared" ca="1" si="181"/>
        <v>75000</v>
      </c>
      <c r="F955" s="555">
        <f ca="1">E955/D955</f>
        <v>0.27272727272727271</v>
      </c>
      <c r="G955" s="244">
        <f t="shared" ca="1" si="183"/>
        <v>15000</v>
      </c>
    </row>
    <row r="956" spans="1:10" ht="21" customHeight="1" x14ac:dyDescent="0.25">
      <c r="B956" s="279"/>
      <c r="C956" s="544">
        <f ca="1">SUM(C942:C955)</f>
        <v>51543250</v>
      </c>
      <c r="D956" s="544">
        <f ca="1">SUM(D942:D955)</f>
        <v>46857500</v>
      </c>
      <c r="E956" s="544">
        <f ca="1">SUM(E942:E955)</f>
        <v>11156516</v>
      </c>
      <c r="F956" s="567">
        <f ca="1">E956/D956</f>
        <v>0.23809456330363335</v>
      </c>
      <c r="G956" s="972">
        <f ca="1">SUM(G942:G955)</f>
        <v>2231303.2000000002</v>
      </c>
    </row>
    <row r="957" spans="1:10" ht="21" customHeight="1" x14ac:dyDescent="0.25">
      <c r="A957" s="247" t="s">
        <v>2061</v>
      </c>
      <c r="B957" s="228" t="s">
        <v>444</v>
      </c>
      <c r="C957" s="233">
        <f t="shared" ref="C957:C967" ca="1" si="184">SUMIFS(INDIRECT("Report!F100:F10000"),INDIRECT("Report!B100:B10000"),B957,INDIRECT("report!H100:H10000"),"Consums",INDIRECT("Report!L100:L10000"),"19,8")</f>
        <v>2937000</v>
      </c>
      <c r="D957" s="250">
        <f t="shared" ref="D957:D967" ca="1" si="185">(C957/11*10)</f>
        <v>2670000</v>
      </c>
      <c r="E957" s="233">
        <f t="shared" ref="E957:E967" ca="1" si="186">SUMIFS(INDIRECT("Report!J100:J10000"),INDIRECT("Report!B100:B10000"),B957,INDIRECT("report!H100:H10000"),"Consums",INDIRECT("Report!L100:L10000"),"19,8")</f>
        <v>641000</v>
      </c>
      <c r="F957" s="555">
        <f t="shared" ref="F957:F966" ca="1" si="187">E957/D957</f>
        <v>0.24007490636704121</v>
      </c>
      <c r="G957" s="244">
        <f ca="1">E957*20%</f>
        <v>128200</v>
      </c>
    </row>
    <row r="958" spans="1:10" ht="21" customHeight="1" x14ac:dyDescent="0.25">
      <c r="B958" s="228" t="s">
        <v>458</v>
      </c>
      <c r="C958" s="233">
        <f t="shared" ca="1" si="184"/>
        <v>10046300</v>
      </c>
      <c r="D958" s="250">
        <f t="shared" ca="1" si="185"/>
        <v>9133000</v>
      </c>
      <c r="E958" s="233">
        <f t="shared" ca="1" si="186"/>
        <v>2421700</v>
      </c>
      <c r="F958" s="555">
        <f t="shared" ca="1" si="187"/>
        <v>0.26515931238366364</v>
      </c>
      <c r="G958" s="244">
        <f t="shared" ref="G958:G967" ca="1" si="188">E958*20%</f>
        <v>484340</v>
      </c>
    </row>
    <row r="959" spans="1:10" ht="21" customHeight="1" x14ac:dyDescent="0.25">
      <c r="B959" s="228" t="s">
        <v>453</v>
      </c>
      <c r="C959" s="233">
        <f t="shared" ca="1" si="184"/>
        <v>7742900</v>
      </c>
      <c r="D959" s="250">
        <f t="shared" ca="1" si="185"/>
        <v>7039000</v>
      </c>
      <c r="E959" s="233">
        <f t="shared" ca="1" si="186"/>
        <v>876720</v>
      </c>
      <c r="F959" s="555">
        <f t="shared" ca="1" si="187"/>
        <v>0.12455178292371076</v>
      </c>
      <c r="G959" s="244">
        <f t="shared" ca="1" si="188"/>
        <v>175344</v>
      </c>
    </row>
    <row r="960" spans="1:10" ht="21" customHeight="1" x14ac:dyDescent="0.25">
      <c r="B960" s="228" t="s">
        <v>1044</v>
      </c>
      <c r="C960" s="233">
        <f t="shared" ca="1" si="184"/>
        <v>2676300</v>
      </c>
      <c r="D960" s="250">
        <f t="shared" ca="1" si="185"/>
        <v>2433000</v>
      </c>
      <c r="E960" s="233">
        <f t="shared" ca="1" si="186"/>
        <v>402000</v>
      </c>
      <c r="F960" s="555">
        <f t="shared" ca="1" si="187"/>
        <v>0.16522811344019728</v>
      </c>
      <c r="G960" s="244">
        <f t="shared" ca="1" si="188"/>
        <v>80400</v>
      </c>
    </row>
    <row r="961" spans="1:7" ht="21" customHeight="1" x14ac:dyDescent="0.25">
      <c r="B961" s="228" t="s">
        <v>430</v>
      </c>
      <c r="C961" s="233">
        <f t="shared" ca="1" si="184"/>
        <v>1650000</v>
      </c>
      <c r="D961" s="250">
        <f t="shared" ca="1" si="185"/>
        <v>1500000</v>
      </c>
      <c r="E961" s="233">
        <f t="shared" ca="1" si="186"/>
        <v>750000</v>
      </c>
      <c r="F961" s="555">
        <f t="shared" ca="1" si="187"/>
        <v>0.5</v>
      </c>
      <c r="G961" s="244">
        <f t="shared" ca="1" si="188"/>
        <v>150000</v>
      </c>
    </row>
    <row r="962" spans="1:7" ht="21" customHeight="1" x14ac:dyDescent="0.25">
      <c r="B962" s="228" t="s">
        <v>515</v>
      </c>
      <c r="C962" s="233">
        <f t="shared" ca="1" si="184"/>
        <v>4840000.0000000009</v>
      </c>
      <c r="D962" s="250">
        <f t="shared" ca="1" si="185"/>
        <v>4400000.0000000009</v>
      </c>
      <c r="E962" s="233">
        <f t="shared" ca="1" si="186"/>
        <v>760000</v>
      </c>
      <c r="F962" s="555">
        <f t="shared" ca="1" si="187"/>
        <v>0.1727272727272727</v>
      </c>
      <c r="G962" s="244">
        <f t="shared" ca="1" si="188"/>
        <v>152000</v>
      </c>
    </row>
    <row r="963" spans="1:7" ht="21" customHeight="1" x14ac:dyDescent="0.25">
      <c r="B963" s="228" t="s">
        <v>445</v>
      </c>
      <c r="C963" s="233">
        <f t="shared" ca="1" si="184"/>
        <v>1551000</v>
      </c>
      <c r="D963" s="250">
        <f t="shared" ca="1" si="185"/>
        <v>1410000</v>
      </c>
      <c r="E963" s="233">
        <f t="shared" ca="1" si="186"/>
        <v>380000</v>
      </c>
      <c r="F963" s="555">
        <f t="shared" ca="1" si="187"/>
        <v>0.26950354609929078</v>
      </c>
      <c r="G963" s="244">
        <f t="shared" ca="1" si="188"/>
        <v>76000</v>
      </c>
    </row>
    <row r="964" spans="1:7" ht="21" customHeight="1" x14ac:dyDescent="0.25">
      <c r="B964" s="228" t="s">
        <v>526</v>
      </c>
      <c r="C964" s="233">
        <f t="shared" ca="1" si="184"/>
        <v>50204000</v>
      </c>
      <c r="D964" s="250">
        <f t="shared" ca="1" si="185"/>
        <v>45640000</v>
      </c>
      <c r="E964" s="233">
        <f t="shared" ca="1" si="186"/>
        <v>7140000</v>
      </c>
      <c r="F964" s="555">
        <f t="shared" ca="1" si="187"/>
        <v>0.15644171779141106</v>
      </c>
      <c r="G964" s="244">
        <f t="shared" ca="1" si="188"/>
        <v>1428000</v>
      </c>
    </row>
    <row r="965" spans="1:7" ht="21" customHeight="1" x14ac:dyDescent="0.25">
      <c r="A965" s="1107"/>
      <c r="B965" s="228" t="s">
        <v>1878</v>
      </c>
      <c r="C965" s="233">
        <f t="shared" ca="1" si="184"/>
        <v>1287000</v>
      </c>
      <c r="D965" s="250">
        <f t="shared" ca="1" si="185"/>
        <v>1170000</v>
      </c>
      <c r="E965" s="233">
        <f t="shared" ca="1" si="186"/>
        <v>1170000</v>
      </c>
      <c r="F965" s="555">
        <f t="shared" ca="1" si="187"/>
        <v>1</v>
      </c>
      <c r="G965" s="244">
        <f t="shared" ca="1" si="188"/>
        <v>234000</v>
      </c>
    </row>
    <row r="966" spans="1:7" ht="21" customHeight="1" x14ac:dyDescent="0.25">
      <c r="B966" s="228" t="s">
        <v>1326</v>
      </c>
      <c r="C966" s="233">
        <f t="shared" ca="1" si="184"/>
        <v>3324750</v>
      </c>
      <c r="D966" s="250">
        <f t="shared" ca="1" si="185"/>
        <v>3022500</v>
      </c>
      <c r="E966" s="233">
        <f t="shared" ca="1" si="186"/>
        <v>765000</v>
      </c>
      <c r="F966" s="555">
        <f t="shared" ca="1" si="187"/>
        <v>0.25310173697270472</v>
      </c>
      <c r="G966" s="244">
        <f t="shared" ca="1" si="188"/>
        <v>153000</v>
      </c>
    </row>
    <row r="967" spans="1:7" ht="21" customHeight="1" x14ac:dyDescent="0.25">
      <c r="B967" s="228" t="s">
        <v>466</v>
      </c>
      <c r="C967" s="233">
        <f t="shared" ca="1" si="184"/>
        <v>1320000</v>
      </c>
      <c r="D967" s="250">
        <f t="shared" ca="1" si="185"/>
        <v>1200000</v>
      </c>
      <c r="E967" s="233">
        <f t="shared" ca="1" si="186"/>
        <v>300000</v>
      </c>
      <c r="F967" s="555">
        <f ca="1">E967/D967</f>
        <v>0.25</v>
      </c>
      <c r="G967" s="244">
        <f t="shared" ca="1" si="188"/>
        <v>60000</v>
      </c>
    </row>
    <row r="968" spans="1:7" ht="21" customHeight="1" x14ac:dyDescent="0.25">
      <c r="B968" s="279"/>
      <c r="C968" s="544">
        <f ca="1">SUM(C957:C967)</f>
        <v>87579250</v>
      </c>
      <c r="D968" s="544">
        <f ca="1">SUM(D957:D967)</f>
        <v>79617500</v>
      </c>
      <c r="E968" s="544">
        <f ca="1">SUM(E957:E967)</f>
        <v>15606420</v>
      </c>
      <c r="F968" s="567">
        <f ca="1">E968/D968</f>
        <v>0.19601745847332558</v>
      </c>
      <c r="G968" s="972">
        <f ca="1">SUM(G957:G967)</f>
        <v>3121284</v>
      </c>
    </row>
    <row r="969" spans="1:7" ht="21" customHeight="1" x14ac:dyDescent="0.25">
      <c r="A969" s="247" t="s">
        <v>2090</v>
      </c>
      <c r="B969" s="228" t="s">
        <v>444</v>
      </c>
      <c r="C969" s="233">
        <f t="shared" ref="C969:C978" ca="1" si="189">SUMIFS(INDIRECT("Report!F100:F10000"),INDIRECT("Report!B100:B10000"),B969,INDIRECT("report!H100:H10000"),"Consums",INDIRECT("Report!L100:L10000"),"19,9")</f>
        <v>1683000</v>
      </c>
      <c r="D969" s="250">
        <f t="shared" ref="D969:D978" ca="1" si="190">(C969/11*10)</f>
        <v>1530000</v>
      </c>
      <c r="E969" s="233">
        <f t="shared" ref="E969:E978" ca="1" si="191">SUMIFS(INDIRECT("Report!J100:J10000"),INDIRECT("Report!B100:B10000"),B969,INDIRECT("report!H100:H10000"),"Consums",INDIRECT("Report!L100:L10000"),"19,9")</f>
        <v>400000</v>
      </c>
      <c r="F969" s="555">
        <f t="shared" ref="F969:F978" ca="1" si="192">E969/D969</f>
        <v>0.26143790849673204</v>
      </c>
      <c r="G969" s="244">
        <f ca="1">E969*20%</f>
        <v>80000</v>
      </c>
    </row>
    <row r="970" spans="1:7" ht="21" customHeight="1" x14ac:dyDescent="0.25">
      <c r="B970" s="228" t="s">
        <v>458</v>
      </c>
      <c r="C970" s="233">
        <f t="shared" ca="1" si="189"/>
        <v>17528500</v>
      </c>
      <c r="D970" s="250">
        <f t="shared" ca="1" si="190"/>
        <v>15935000</v>
      </c>
      <c r="E970" s="233">
        <f t="shared" ca="1" si="191"/>
        <v>4019500</v>
      </c>
      <c r="F970" s="555">
        <f t="shared" ca="1" si="192"/>
        <v>0.25224348917477252</v>
      </c>
      <c r="G970" s="244">
        <f t="shared" ref="G970:G978" ca="1" si="193">E970*20%</f>
        <v>803900</v>
      </c>
    </row>
    <row r="971" spans="1:7" ht="21" customHeight="1" x14ac:dyDescent="0.25">
      <c r="B971" s="228" t="s">
        <v>453</v>
      </c>
      <c r="C971" s="233">
        <f t="shared" ca="1" si="189"/>
        <v>10287200</v>
      </c>
      <c r="D971" s="250">
        <f t="shared" ca="1" si="190"/>
        <v>9352000</v>
      </c>
      <c r="E971" s="233">
        <f t="shared" ca="1" si="191"/>
        <v>814860</v>
      </c>
      <c r="F971" s="555">
        <f t="shared" ca="1" si="192"/>
        <v>8.7132164242942692E-2</v>
      </c>
      <c r="G971" s="244">
        <f t="shared" ca="1" si="193"/>
        <v>162972</v>
      </c>
    </row>
    <row r="972" spans="1:7" ht="21" customHeight="1" x14ac:dyDescent="0.25">
      <c r="B972" s="228" t="s">
        <v>1044</v>
      </c>
      <c r="C972" s="233">
        <f t="shared" ca="1" si="189"/>
        <v>99000.000000000015</v>
      </c>
      <c r="D972" s="250">
        <f t="shared" ca="1" si="190"/>
        <v>90000.000000000015</v>
      </c>
      <c r="E972" s="233">
        <f t="shared" ca="1" si="191"/>
        <v>20000</v>
      </c>
      <c r="F972" s="555">
        <f t="shared" ca="1" si="192"/>
        <v>0.22222222222222218</v>
      </c>
      <c r="G972" s="244">
        <f t="shared" ca="1" si="193"/>
        <v>4000</v>
      </c>
    </row>
    <row r="973" spans="1:7" ht="21" customHeight="1" x14ac:dyDescent="0.25">
      <c r="B973" s="228" t="s">
        <v>430</v>
      </c>
      <c r="C973" s="233">
        <f t="shared" ca="1" si="189"/>
        <v>1100000</v>
      </c>
      <c r="D973" s="250">
        <f t="shared" ca="1" si="190"/>
        <v>1000000</v>
      </c>
      <c r="E973" s="233">
        <f t="shared" ca="1" si="191"/>
        <v>500000</v>
      </c>
      <c r="F973" s="555">
        <f t="shared" ca="1" si="192"/>
        <v>0.5</v>
      </c>
      <c r="G973" s="244">
        <f t="shared" ca="1" si="193"/>
        <v>100000</v>
      </c>
    </row>
    <row r="974" spans="1:7" ht="21" customHeight="1" x14ac:dyDescent="0.25">
      <c r="B974" s="228" t="s">
        <v>515</v>
      </c>
      <c r="C974" s="233">
        <f t="shared" ca="1" si="189"/>
        <v>4840000.0000000009</v>
      </c>
      <c r="D974" s="250">
        <f t="shared" ca="1" si="190"/>
        <v>4400000.0000000009</v>
      </c>
      <c r="E974" s="233">
        <f t="shared" ca="1" si="191"/>
        <v>760000</v>
      </c>
      <c r="F974" s="555">
        <f t="shared" ca="1" si="192"/>
        <v>0.1727272727272727</v>
      </c>
      <c r="G974" s="244">
        <f t="shared" ca="1" si="193"/>
        <v>152000</v>
      </c>
    </row>
    <row r="975" spans="1:7" ht="21" customHeight="1" x14ac:dyDescent="0.25">
      <c r="B975" s="228" t="s">
        <v>445</v>
      </c>
      <c r="C975" s="233">
        <f t="shared" ca="1" si="189"/>
        <v>3781250</v>
      </c>
      <c r="D975" s="250">
        <f t="shared" ca="1" si="190"/>
        <v>3437500</v>
      </c>
      <c r="E975" s="233">
        <f t="shared" ca="1" si="191"/>
        <v>682500</v>
      </c>
      <c r="F975" s="555">
        <f t="shared" ca="1" si="192"/>
        <v>0.19854545454545455</v>
      </c>
      <c r="G975" s="244">
        <f t="shared" ca="1" si="193"/>
        <v>136500</v>
      </c>
    </row>
    <row r="976" spans="1:7" ht="21" customHeight="1" x14ac:dyDescent="0.25">
      <c r="B976" s="228" t="s">
        <v>466</v>
      </c>
      <c r="C976" s="233">
        <f t="shared" ca="1" si="189"/>
        <v>715000</v>
      </c>
      <c r="D976" s="250">
        <f t="shared" ca="1" si="190"/>
        <v>650000</v>
      </c>
      <c r="E976" s="233">
        <f t="shared" ca="1" si="191"/>
        <v>150000</v>
      </c>
      <c r="F976" s="555">
        <f t="shared" ca="1" si="192"/>
        <v>0.23076923076923078</v>
      </c>
      <c r="G976" s="244">
        <f t="shared" ca="1" si="193"/>
        <v>30000</v>
      </c>
    </row>
    <row r="977" spans="1:7" ht="21" customHeight="1" x14ac:dyDescent="0.25">
      <c r="A977" s="1107"/>
      <c r="B977" s="228" t="s">
        <v>523</v>
      </c>
      <c r="C977" s="233">
        <f t="shared" ca="1" si="189"/>
        <v>1958000</v>
      </c>
      <c r="D977" s="250">
        <f t="shared" ca="1" si="190"/>
        <v>1780000</v>
      </c>
      <c r="E977" s="233">
        <f t="shared" ca="1" si="191"/>
        <v>375000</v>
      </c>
      <c r="F977" s="555">
        <f t="shared" ca="1" si="192"/>
        <v>0.21067415730337077</v>
      </c>
      <c r="G977" s="244">
        <f t="shared" ca="1" si="193"/>
        <v>75000</v>
      </c>
    </row>
    <row r="978" spans="1:7" ht="21" customHeight="1" x14ac:dyDescent="0.25">
      <c r="B978" s="228" t="s">
        <v>1326</v>
      </c>
      <c r="C978" s="233">
        <f t="shared" ca="1" si="189"/>
        <v>4118950</v>
      </c>
      <c r="D978" s="250">
        <f t="shared" ca="1" si="190"/>
        <v>3744500</v>
      </c>
      <c r="E978" s="233">
        <f t="shared" ca="1" si="191"/>
        <v>917000</v>
      </c>
      <c r="F978" s="555">
        <f t="shared" ca="1" si="192"/>
        <v>0.24489250901321938</v>
      </c>
      <c r="G978" s="244">
        <f t="shared" ca="1" si="193"/>
        <v>183400</v>
      </c>
    </row>
    <row r="979" spans="1:7" ht="21" customHeight="1" x14ac:dyDescent="0.25">
      <c r="B979" s="279" t="s">
        <v>2745</v>
      </c>
      <c r="C979" s="544">
        <f ca="1">SUM(C969:C978)</f>
        <v>46110900</v>
      </c>
      <c r="D979" s="544">
        <f ca="1">SUM(D969:D978)</f>
        <v>41919000</v>
      </c>
      <c r="E979" s="544">
        <f ca="1">SUM(E969:E978)</f>
        <v>8638860</v>
      </c>
      <c r="F979" s="567">
        <f ca="1">E979/D979</f>
        <v>0.20608459171258856</v>
      </c>
      <c r="G979" s="972">
        <f ca="1">SUM(G969:G978)</f>
        <v>1727772</v>
      </c>
    </row>
    <row r="980" spans="1:7" ht="21" customHeight="1" x14ac:dyDescent="0.25">
      <c r="A980" s="247" t="s">
        <v>2124</v>
      </c>
      <c r="B980" s="228" t="s">
        <v>444</v>
      </c>
      <c r="C980" s="233">
        <f t="shared" ref="C980:C992" ca="1" si="194">SUMIFS(INDIRECT("Report!F100:F10000"),INDIRECT("Report!B100:B10000"),B980,INDIRECT("report!H100:H10000"),"Consums",INDIRECT("Report!L100:L10000"),"19,10")</f>
        <v>1210000</v>
      </c>
      <c r="D980" s="250">
        <f t="shared" ref="D980:D992" ca="1" si="195">(C980/11*10)</f>
        <v>1100000</v>
      </c>
      <c r="E980" s="233">
        <f t="shared" ref="E980:E992" ca="1" si="196">SUMIFS(INDIRECT("Report!J100:J10000"),INDIRECT("Report!B100:B10000"),B980,INDIRECT("report!H100:H10000"),"Consums",INDIRECT("Report!L100:L10000"),"19,10")</f>
        <v>271000</v>
      </c>
      <c r="F980" s="555">
        <f t="shared" ref="F980:F992" ca="1" si="197">E980/D980</f>
        <v>0.24636363636363637</v>
      </c>
      <c r="G980" s="244">
        <f ca="1">E980*20%</f>
        <v>54200</v>
      </c>
    </row>
    <row r="981" spans="1:7" ht="21" customHeight="1" x14ac:dyDescent="0.25">
      <c r="B981" s="228" t="s">
        <v>458</v>
      </c>
      <c r="C981" s="233">
        <f t="shared" ca="1" si="194"/>
        <v>15094200</v>
      </c>
      <c r="D981" s="250">
        <f t="shared" ca="1" si="195"/>
        <v>13722000</v>
      </c>
      <c r="E981" s="233">
        <f t="shared" ca="1" si="196"/>
        <v>4324000</v>
      </c>
      <c r="F981" s="555">
        <f t="shared" ca="1" si="197"/>
        <v>0.31511441480833696</v>
      </c>
      <c r="G981" s="244">
        <f t="shared" ref="G981:G992" ca="1" si="198">E981*20%</f>
        <v>864800</v>
      </c>
    </row>
    <row r="982" spans="1:7" ht="21" customHeight="1" x14ac:dyDescent="0.25">
      <c r="B982" s="228" t="s">
        <v>453</v>
      </c>
      <c r="C982" s="233">
        <f t="shared" ca="1" si="194"/>
        <v>7090600</v>
      </c>
      <c r="D982" s="250">
        <f t="shared" ca="1" si="195"/>
        <v>6446000</v>
      </c>
      <c r="E982" s="233">
        <f t="shared" ca="1" si="196"/>
        <v>890860</v>
      </c>
      <c r="F982" s="555">
        <f t="shared" ca="1" si="197"/>
        <v>0.13820353707725722</v>
      </c>
      <c r="G982" s="244">
        <f t="shared" ca="1" si="198"/>
        <v>178172</v>
      </c>
    </row>
    <row r="983" spans="1:7" ht="21" customHeight="1" x14ac:dyDescent="0.25">
      <c r="B983" s="228" t="s">
        <v>1044</v>
      </c>
      <c r="C983" s="233">
        <f t="shared" ca="1" si="194"/>
        <v>613800.00000000012</v>
      </c>
      <c r="D983" s="250">
        <f t="shared" ca="1" si="195"/>
        <v>558000.00000000012</v>
      </c>
      <c r="E983" s="233">
        <f t="shared" ca="1" si="196"/>
        <v>92000</v>
      </c>
      <c r="F983" s="555">
        <f t="shared" ca="1" si="197"/>
        <v>0.16487455197132614</v>
      </c>
      <c r="G983" s="244">
        <f t="shared" ca="1" si="198"/>
        <v>18400</v>
      </c>
    </row>
    <row r="984" spans="1:7" ht="21" customHeight="1" x14ac:dyDescent="0.25">
      <c r="B984" s="228" t="s">
        <v>653</v>
      </c>
      <c r="C984" s="233">
        <f t="shared" ca="1" si="194"/>
        <v>825000.00000000012</v>
      </c>
      <c r="D984" s="250">
        <f t="shared" ca="1" si="195"/>
        <v>750000.00000000012</v>
      </c>
      <c r="E984" s="233">
        <f t="shared" ca="1" si="196"/>
        <v>200000</v>
      </c>
      <c r="F984" s="555">
        <f t="shared" ca="1" si="197"/>
        <v>0.26666666666666661</v>
      </c>
      <c r="G984" s="244">
        <f t="shared" ca="1" si="198"/>
        <v>40000</v>
      </c>
    </row>
    <row r="985" spans="1:7" ht="21" customHeight="1" x14ac:dyDescent="0.25">
      <c r="B985" s="228" t="s">
        <v>430</v>
      </c>
      <c r="C985" s="233">
        <f t="shared" ca="1" si="194"/>
        <v>1100000</v>
      </c>
      <c r="D985" s="250">
        <f t="shared" ca="1" si="195"/>
        <v>1000000</v>
      </c>
      <c r="E985" s="233">
        <f t="shared" ca="1" si="196"/>
        <v>500000</v>
      </c>
      <c r="F985" s="555">
        <f t="shared" ca="1" si="197"/>
        <v>0.5</v>
      </c>
      <c r="G985" s="244">
        <f t="shared" ca="1" si="198"/>
        <v>100000</v>
      </c>
    </row>
    <row r="986" spans="1:7" ht="21" customHeight="1" x14ac:dyDescent="0.25">
      <c r="B986" s="228" t="s">
        <v>515</v>
      </c>
      <c r="C986" s="233">
        <f t="shared" ca="1" si="194"/>
        <v>2904000.0000000005</v>
      </c>
      <c r="D986" s="250">
        <f t="shared" ca="1" si="195"/>
        <v>2640000.0000000005</v>
      </c>
      <c r="E986" s="233">
        <f t="shared" ca="1" si="196"/>
        <v>593000</v>
      </c>
      <c r="F986" s="555">
        <f t="shared" ca="1" si="197"/>
        <v>0.22462121212121208</v>
      </c>
      <c r="G986" s="244">
        <f t="shared" ca="1" si="198"/>
        <v>118600</v>
      </c>
    </row>
    <row r="987" spans="1:7" ht="21" customHeight="1" x14ac:dyDescent="0.25">
      <c r="B987" s="228" t="s">
        <v>445</v>
      </c>
      <c r="C987" s="233">
        <f t="shared" ca="1" si="194"/>
        <v>2582250</v>
      </c>
      <c r="D987" s="250">
        <f t="shared" ca="1" si="195"/>
        <v>2347500</v>
      </c>
      <c r="E987" s="233">
        <f t="shared" ca="1" si="196"/>
        <v>497500</v>
      </c>
      <c r="F987" s="555">
        <f t="shared" ca="1" si="197"/>
        <v>0.21192758253461128</v>
      </c>
      <c r="G987" s="244">
        <f t="shared" ca="1" si="198"/>
        <v>99500</v>
      </c>
    </row>
    <row r="988" spans="1:7" ht="21" customHeight="1" x14ac:dyDescent="0.25">
      <c r="B988" s="228" t="s">
        <v>466</v>
      </c>
      <c r="C988" s="233">
        <f t="shared" ca="1" si="194"/>
        <v>247500.00000000003</v>
      </c>
      <c r="D988" s="250">
        <f t="shared" ca="1" si="195"/>
        <v>225000.00000000003</v>
      </c>
      <c r="E988" s="233">
        <f t="shared" ca="1" si="196"/>
        <v>25000</v>
      </c>
      <c r="F988" s="555">
        <f t="shared" ca="1" si="197"/>
        <v>0.11111111111111109</v>
      </c>
      <c r="G988" s="244">
        <f t="shared" ca="1" si="198"/>
        <v>5000</v>
      </c>
    </row>
    <row r="989" spans="1:7" ht="21" customHeight="1" x14ac:dyDescent="0.25">
      <c r="B989" s="228" t="s">
        <v>2125</v>
      </c>
      <c r="C989" s="233">
        <f t="shared" ca="1" si="194"/>
        <v>1398100</v>
      </c>
      <c r="D989" s="250">
        <f t="shared" ca="1" si="195"/>
        <v>1271000</v>
      </c>
      <c r="E989" s="233">
        <f t="shared" ca="1" si="196"/>
        <v>1271000</v>
      </c>
      <c r="F989" s="555">
        <f t="shared" ca="1" si="197"/>
        <v>1</v>
      </c>
      <c r="G989" s="244">
        <f t="shared" ca="1" si="198"/>
        <v>254200</v>
      </c>
    </row>
    <row r="990" spans="1:7" ht="21" customHeight="1" x14ac:dyDescent="0.25">
      <c r="B990" s="228" t="s">
        <v>834</v>
      </c>
      <c r="C990" s="233">
        <f t="shared" ca="1" si="194"/>
        <v>1221000</v>
      </c>
      <c r="D990" s="250">
        <f t="shared" ca="1" si="195"/>
        <v>1110000</v>
      </c>
      <c r="E990" s="233">
        <f t="shared" ca="1" si="196"/>
        <v>264729</v>
      </c>
      <c r="F990" s="555">
        <f t="shared" ca="1" si="197"/>
        <v>0.2384945945945946</v>
      </c>
      <c r="G990" s="244">
        <f t="shared" ca="1" si="198"/>
        <v>52945.8</v>
      </c>
    </row>
    <row r="991" spans="1:7" ht="21" customHeight="1" x14ac:dyDescent="0.25">
      <c r="A991" s="1107"/>
      <c r="B991" s="228" t="s">
        <v>468</v>
      </c>
      <c r="C991" s="233">
        <f t="shared" ca="1" si="194"/>
        <v>1320000</v>
      </c>
      <c r="D991" s="250">
        <f t="shared" ca="1" si="195"/>
        <v>1200000</v>
      </c>
      <c r="E991" s="233">
        <f t="shared" ca="1" si="196"/>
        <v>380000</v>
      </c>
      <c r="F991" s="555">
        <f t="shared" ca="1" si="197"/>
        <v>0.31666666666666665</v>
      </c>
      <c r="G991" s="244">
        <f t="shared" ca="1" si="198"/>
        <v>76000</v>
      </c>
    </row>
    <row r="992" spans="1:7" ht="21" customHeight="1" x14ac:dyDescent="0.25">
      <c r="B992" s="228" t="s">
        <v>1326</v>
      </c>
      <c r="C992" s="233">
        <f t="shared" ca="1" si="194"/>
        <v>4338950</v>
      </c>
      <c r="D992" s="250">
        <f t="shared" ca="1" si="195"/>
        <v>3944500</v>
      </c>
      <c r="E992" s="233">
        <f t="shared" ca="1" si="196"/>
        <v>1450000</v>
      </c>
      <c r="F992" s="555">
        <f t="shared" ca="1" si="197"/>
        <v>0.36760045633160099</v>
      </c>
      <c r="G992" s="244">
        <f t="shared" ca="1" si="198"/>
        <v>290000</v>
      </c>
    </row>
    <row r="993" spans="1:10" ht="21" customHeight="1" x14ac:dyDescent="0.25">
      <c r="B993" s="279" t="s">
        <v>2746</v>
      </c>
      <c r="C993" s="544">
        <f ca="1">SUM(C980:C992)</f>
        <v>39945400</v>
      </c>
      <c r="D993" s="544">
        <f ca="1">SUM(D980:D992)</f>
        <v>36314000</v>
      </c>
      <c r="E993" s="544">
        <f ca="1">SUM(E980:E992)</f>
        <v>10759089</v>
      </c>
      <c r="F993" s="567">
        <f ca="1">E993/D993</f>
        <v>0.29627936883846451</v>
      </c>
      <c r="G993" s="972">
        <f ca="1">SUM(G980:G992)</f>
        <v>2151817.7999999998</v>
      </c>
    </row>
    <row r="994" spans="1:10" ht="21" customHeight="1" x14ac:dyDescent="0.25">
      <c r="A994" s="247" t="s">
        <v>2260</v>
      </c>
      <c r="B994" s="228" t="s">
        <v>444</v>
      </c>
      <c r="C994" s="233">
        <f t="shared" ref="C994:C1006" ca="1" si="199">SUMIFS(INDIRECT("Report!F100:F10000"),INDIRECT("Report!B100:B10000"),B994,INDIRECT("report!H100:H10000"),"Consums",INDIRECT("Report!L100:L10000"),"19,11")</f>
        <v>4086500</v>
      </c>
      <c r="D994" s="250">
        <f t="shared" ref="D994:D1006" ca="1" si="200">(C994/11*10)</f>
        <v>3715000</v>
      </c>
      <c r="E994" s="233">
        <f t="shared" ref="E994:E1006" ca="1" si="201">SUMIFS(INDIRECT("Report!J100:J10000"),INDIRECT("Report!B100:B10000"),B994,INDIRECT("report!H100:H10000"),"Consums",INDIRECT("Report!L100:L10000"),"19,11")</f>
        <v>1186008</v>
      </c>
      <c r="F994" s="555">
        <f t="shared" ref="F994:F1006" ca="1" si="202">E994/D994</f>
        <v>0.31924845222072679</v>
      </c>
      <c r="G994" s="244">
        <f ca="1">E994*20%</f>
        <v>237201.6</v>
      </c>
    </row>
    <row r="995" spans="1:10" ht="21" customHeight="1" x14ac:dyDescent="0.25">
      <c r="B995" s="228" t="s">
        <v>422</v>
      </c>
      <c r="C995" s="233">
        <f t="shared" ca="1" si="199"/>
        <v>15687100</v>
      </c>
      <c r="D995" s="250">
        <f t="shared" ca="1" si="200"/>
        <v>14261000</v>
      </c>
      <c r="E995" s="233">
        <f t="shared" ca="1" si="201"/>
        <v>3826000</v>
      </c>
      <c r="F995" s="555">
        <f t="shared" ca="1" si="202"/>
        <v>0.2682841315475773</v>
      </c>
      <c r="G995" s="244">
        <f t="shared" ref="G995:G1006" ca="1" si="203">E995*20%</f>
        <v>765200</v>
      </c>
    </row>
    <row r="996" spans="1:10" ht="21" customHeight="1" x14ac:dyDescent="0.25">
      <c r="B996" s="228" t="s">
        <v>442</v>
      </c>
      <c r="C996" s="233">
        <f t="shared" ca="1" si="199"/>
        <v>11676500</v>
      </c>
      <c r="D996" s="250">
        <f t="shared" ca="1" si="200"/>
        <v>10615000</v>
      </c>
      <c r="E996" s="233">
        <f t="shared" ca="1" si="201"/>
        <v>1559620</v>
      </c>
      <c r="F996" s="555">
        <f t="shared" ca="1" si="202"/>
        <v>0.14692604804521903</v>
      </c>
      <c r="G996" s="244">
        <f t="shared" ca="1" si="203"/>
        <v>311924</v>
      </c>
    </row>
    <row r="997" spans="1:10" ht="21" customHeight="1" x14ac:dyDescent="0.25">
      <c r="B997" s="228" t="s">
        <v>411</v>
      </c>
      <c r="C997" s="233">
        <f t="shared" ca="1" si="199"/>
        <v>1100000</v>
      </c>
      <c r="D997" s="250">
        <f t="shared" ca="1" si="200"/>
        <v>1000000</v>
      </c>
      <c r="E997" s="233">
        <f t="shared" ca="1" si="201"/>
        <v>500000</v>
      </c>
      <c r="F997" s="555">
        <f t="shared" ca="1" si="202"/>
        <v>0.5</v>
      </c>
      <c r="G997" s="244">
        <f t="shared" ca="1" si="203"/>
        <v>100000</v>
      </c>
    </row>
    <row r="998" spans="1:10" ht="21" customHeight="1" x14ac:dyDescent="0.25">
      <c r="B998" s="228" t="s">
        <v>446</v>
      </c>
      <c r="C998" s="233">
        <f t="shared" ca="1" si="199"/>
        <v>7018000.0000000009</v>
      </c>
      <c r="D998" s="250">
        <f t="shared" ca="1" si="200"/>
        <v>6380000.0000000009</v>
      </c>
      <c r="E998" s="233">
        <f t="shared" ca="1" si="201"/>
        <v>1102000</v>
      </c>
      <c r="F998" s="555">
        <f t="shared" ca="1" si="202"/>
        <v>0.1727272727272727</v>
      </c>
      <c r="G998" s="244">
        <f t="shared" ca="1" si="203"/>
        <v>220400</v>
      </c>
    </row>
    <row r="999" spans="1:10" ht="21" customHeight="1" x14ac:dyDescent="0.25">
      <c r="B999" s="228" t="s">
        <v>445</v>
      </c>
      <c r="C999" s="233">
        <f t="shared" ca="1" si="199"/>
        <v>5076500</v>
      </c>
      <c r="D999" s="250">
        <f t="shared" ca="1" si="200"/>
        <v>4615000</v>
      </c>
      <c r="E999" s="233">
        <f t="shared" ca="1" si="201"/>
        <v>877000</v>
      </c>
      <c r="F999" s="555">
        <f t="shared" ca="1" si="202"/>
        <v>0.19003250270855904</v>
      </c>
      <c r="G999" s="244">
        <f t="shared" ca="1" si="203"/>
        <v>175400</v>
      </c>
    </row>
    <row r="1000" spans="1:10" ht="21" customHeight="1" x14ac:dyDescent="0.25">
      <c r="B1000" s="228" t="s">
        <v>2261</v>
      </c>
      <c r="C1000" s="233">
        <f t="shared" ca="1" si="199"/>
        <v>327250</v>
      </c>
      <c r="D1000" s="250">
        <f t="shared" ca="1" si="200"/>
        <v>297500</v>
      </c>
      <c r="E1000" s="233">
        <f t="shared" ca="1" si="201"/>
        <v>42500</v>
      </c>
      <c r="F1000" s="555">
        <f t="shared" ca="1" si="202"/>
        <v>0.14285714285714285</v>
      </c>
      <c r="G1000" s="244">
        <f t="shared" ca="1" si="203"/>
        <v>8500</v>
      </c>
    </row>
    <row r="1001" spans="1:10" ht="21" customHeight="1" x14ac:dyDescent="0.25">
      <c r="B1001" s="228" t="s">
        <v>2262</v>
      </c>
      <c r="C1001" s="233">
        <f t="shared" ca="1" si="199"/>
        <v>962500</v>
      </c>
      <c r="D1001" s="250">
        <f t="shared" ca="1" si="200"/>
        <v>875000</v>
      </c>
      <c r="E1001" s="233">
        <f t="shared" ca="1" si="201"/>
        <v>175000</v>
      </c>
      <c r="F1001" s="555">
        <f t="shared" ca="1" si="202"/>
        <v>0.2</v>
      </c>
      <c r="G1001" s="244">
        <f t="shared" ca="1" si="203"/>
        <v>35000</v>
      </c>
    </row>
    <row r="1002" spans="1:10" ht="21" customHeight="1" x14ac:dyDescent="0.25">
      <c r="B1002" s="228" t="s">
        <v>2263</v>
      </c>
      <c r="C1002" s="233">
        <f t="shared" ca="1" si="199"/>
        <v>242000.00000000003</v>
      </c>
      <c r="D1002" s="250">
        <f t="shared" ca="1" si="200"/>
        <v>220000.00000000003</v>
      </c>
      <c r="E1002" s="233">
        <f t="shared" ca="1" si="201"/>
        <v>120000</v>
      </c>
      <c r="F1002" s="555">
        <f t="shared" ca="1" si="202"/>
        <v>0.54545454545454541</v>
      </c>
      <c r="G1002" s="244">
        <f t="shared" ca="1" si="203"/>
        <v>24000</v>
      </c>
    </row>
    <row r="1003" spans="1:10" ht="21" customHeight="1" x14ac:dyDescent="0.25">
      <c r="B1003" s="228" t="s">
        <v>549</v>
      </c>
      <c r="C1003" s="233">
        <f t="shared" ca="1" si="199"/>
        <v>1897500.0000000002</v>
      </c>
      <c r="D1003" s="250">
        <f t="shared" ca="1" si="200"/>
        <v>1725000.0000000002</v>
      </c>
      <c r="E1003" s="233">
        <f t="shared" ca="1" si="201"/>
        <v>394500</v>
      </c>
      <c r="F1003" s="555">
        <f t="shared" ca="1" si="202"/>
        <v>0.22869565217391302</v>
      </c>
      <c r="G1003" s="244">
        <f t="shared" ca="1" si="203"/>
        <v>78900</v>
      </c>
    </row>
    <row r="1004" spans="1:10" ht="21" customHeight="1" x14ac:dyDescent="0.25">
      <c r="B1004" s="228" t="s">
        <v>443</v>
      </c>
      <c r="C1004" s="233">
        <v>1221000</v>
      </c>
      <c r="D1004" s="250">
        <f t="shared" si="200"/>
        <v>1110000</v>
      </c>
      <c r="E1004" s="233">
        <v>64182</v>
      </c>
      <c r="F1004" s="555">
        <f t="shared" si="202"/>
        <v>5.7821621621621619E-2</v>
      </c>
      <c r="G1004" s="244">
        <f t="shared" si="203"/>
        <v>12836.400000000001</v>
      </c>
    </row>
    <row r="1005" spans="1:10" ht="21" customHeight="1" x14ac:dyDescent="0.25">
      <c r="B1005" s="228" t="s">
        <v>548</v>
      </c>
      <c r="C1005" s="233">
        <f t="shared" ca="1" si="199"/>
        <v>1716000.0000000002</v>
      </c>
      <c r="D1005" s="250">
        <f t="shared" ca="1" si="200"/>
        <v>1560000.0000000002</v>
      </c>
      <c r="E1005" s="233">
        <f t="shared" ca="1" si="201"/>
        <v>360000</v>
      </c>
      <c r="F1005" s="555">
        <f t="shared" ca="1" si="202"/>
        <v>0.23076923076923073</v>
      </c>
      <c r="G1005" s="244">
        <f t="shared" ca="1" si="203"/>
        <v>72000</v>
      </c>
    </row>
    <row r="1006" spans="1:10" ht="21" customHeight="1" x14ac:dyDescent="0.25">
      <c r="B1006" s="228" t="s">
        <v>2253</v>
      </c>
      <c r="C1006" s="233">
        <f t="shared" ca="1" si="199"/>
        <v>7409050</v>
      </c>
      <c r="D1006" s="250">
        <f t="shared" ca="1" si="200"/>
        <v>6735500</v>
      </c>
      <c r="E1006" s="233">
        <f t="shared" ca="1" si="201"/>
        <v>1983000</v>
      </c>
      <c r="F1006" s="555">
        <f t="shared" ca="1" si="202"/>
        <v>0.29441021453492688</v>
      </c>
      <c r="G1006" s="244">
        <f t="shared" ca="1" si="203"/>
        <v>396600</v>
      </c>
    </row>
    <row r="1007" spans="1:10" ht="21" customHeight="1" x14ac:dyDescent="0.25">
      <c r="B1007" s="279" t="s">
        <v>2747</v>
      </c>
      <c r="C1007" s="544">
        <f ca="1">SUM(C994:C1006)</f>
        <v>58419900</v>
      </c>
      <c r="D1007" s="544">
        <f ca="1">SUM(D994:D1006)</f>
        <v>53109000</v>
      </c>
      <c r="E1007" s="544">
        <f ca="1">SUM(E994:E1006)</f>
        <v>12189810</v>
      </c>
      <c r="F1007" s="567">
        <f ca="1">E1007/D1007</f>
        <v>0.22952437439981924</v>
      </c>
      <c r="G1007" s="972">
        <f ca="1">SUM(G994:G1006)</f>
        <v>2437962</v>
      </c>
    </row>
    <row r="1008" spans="1:10" ht="21" customHeight="1" x14ac:dyDescent="0.25">
      <c r="A1008" s="247" t="s">
        <v>2246</v>
      </c>
      <c r="B1008" s="228" t="s">
        <v>444</v>
      </c>
      <c r="C1008" s="233">
        <f t="shared" ref="C1008:C1021" ca="1" si="204">SUMIFS(INDIRECT("Report!F100:F10000"),INDIRECT("Report!B100:B10000"),B1008,INDIRECT("report!H100:H10000"),"Consums",INDIRECT("Report!L100:L10000"),"19,12")</f>
        <v>7964000</v>
      </c>
      <c r="D1008" s="250">
        <f t="shared" ref="D1008:D1022" ca="1" si="205">(C1008/11*10)</f>
        <v>7240000</v>
      </c>
      <c r="E1008" s="233">
        <f t="shared" ref="E1008:E1021" ca="1" si="206">SUMIFS(INDIRECT("Report!J100:J10000"),INDIRECT("Report!B100:B10000"),B1008,INDIRECT("report!H100:H10000"),"Consums",INDIRECT("Report!L100:L10000"),"19,12")</f>
        <v>2751032</v>
      </c>
      <c r="F1008" s="555">
        <f t="shared" ref="F1008:F1022" ca="1" si="207">E1008/D1008</f>
        <v>0.37997679558011049</v>
      </c>
      <c r="G1008" s="244">
        <f ca="1">E1008*20%</f>
        <v>550206.4</v>
      </c>
      <c r="H1008" s="228"/>
      <c r="I1008" s="228"/>
      <c r="J1008" s="228"/>
    </row>
    <row r="1009" spans="1:10" ht="21" customHeight="1" x14ac:dyDescent="0.25">
      <c r="B1009" s="228" t="s">
        <v>458</v>
      </c>
      <c r="C1009" s="233">
        <f t="shared" ca="1" si="204"/>
        <v>6639600</v>
      </c>
      <c r="D1009" s="250">
        <f t="shared" ca="1" si="205"/>
        <v>6036000</v>
      </c>
      <c r="E1009" s="233">
        <f t="shared" ca="1" si="206"/>
        <v>1360000</v>
      </c>
      <c r="F1009" s="555">
        <f t="shared" ca="1" si="207"/>
        <v>0.22531477799867461</v>
      </c>
      <c r="G1009" s="244">
        <f t="shared" ref="G1009:G1022" ca="1" si="208">E1009*20%</f>
        <v>272000</v>
      </c>
    </row>
    <row r="1010" spans="1:10" ht="21" customHeight="1" x14ac:dyDescent="0.25">
      <c r="B1010" s="228" t="s">
        <v>523</v>
      </c>
      <c r="C1010" s="233">
        <f t="shared" ca="1" si="204"/>
        <v>1174800</v>
      </c>
      <c r="D1010" s="250">
        <f ca="1">(C1010/11*10)</f>
        <v>1068000</v>
      </c>
      <c r="E1010" s="233">
        <f t="shared" ca="1" si="206"/>
        <v>252000</v>
      </c>
      <c r="F1010" s="555">
        <f t="shared" ca="1" si="207"/>
        <v>0.23595505617977527</v>
      </c>
      <c r="G1010" s="244">
        <f t="shared" ca="1" si="208"/>
        <v>50400</v>
      </c>
    </row>
    <row r="1011" spans="1:10" ht="21" customHeight="1" x14ac:dyDescent="0.25">
      <c r="B1011" s="228" t="s">
        <v>453</v>
      </c>
      <c r="C1011" s="233">
        <f t="shared" ca="1" si="204"/>
        <v>10474200</v>
      </c>
      <c r="D1011" s="250">
        <f t="shared" ca="1" si="205"/>
        <v>9522000</v>
      </c>
      <c r="E1011" s="233">
        <f t="shared" ca="1" si="206"/>
        <v>1527920</v>
      </c>
      <c r="F1011" s="555">
        <f t="shared" ca="1" si="207"/>
        <v>0.16046208779668136</v>
      </c>
      <c r="G1011" s="244">
        <f t="shared" ca="1" si="208"/>
        <v>305584</v>
      </c>
    </row>
    <row r="1012" spans="1:10" ht="21" customHeight="1" x14ac:dyDescent="0.25">
      <c r="B1012" s="228" t="s">
        <v>466</v>
      </c>
      <c r="C1012" s="233">
        <f t="shared" ca="1" si="204"/>
        <v>1787500</v>
      </c>
      <c r="D1012" s="250">
        <f t="shared" ca="1" si="205"/>
        <v>1625000</v>
      </c>
      <c r="E1012" s="233">
        <f t="shared" ca="1" si="206"/>
        <v>675880</v>
      </c>
      <c r="F1012" s="555">
        <f t="shared" ca="1" si="207"/>
        <v>0.41592615384615383</v>
      </c>
      <c r="G1012" s="244">
        <f t="shared" ca="1" si="208"/>
        <v>135176</v>
      </c>
    </row>
    <row r="1013" spans="1:10" ht="21" customHeight="1" x14ac:dyDescent="0.25">
      <c r="B1013" s="228" t="s">
        <v>430</v>
      </c>
      <c r="C1013" s="233">
        <f t="shared" ca="1" si="204"/>
        <v>1100000</v>
      </c>
      <c r="D1013" s="250">
        <f t="shared" ca="1" si="205"/>
        <v>1000000</v>
      </c>
      <c r="E1013" s="233">
        <f t="shared" ca="1" si="206"/>
        <v>500000</v>
      </c>
      <c r="F1013" s="555">
        <f t="shared" ca="1" si="207"/>
        <v>0.5</v>
      </c>
      <c r="G1013" s="244">
        <f t="shared" ca="1" si="208"/>
        <v>100000</v>
      </c>
    </row>
    <row r="1014" spans="1:10" ht="21" customHeight="1" x14ac:dyDescent="0.25">
      <c r="B1014" s="228" t="s">
        <v>526</v>
      </c>
      <c r="C1014" s="233">
        <f t="shared" ca="1" si="204"/>
        <v>5533000</v>
      </c>
      <c r="D1014" s="250">
        <f t="shared" ca="1" si="205"/>
        <v>5030000</v>
      </c>
      <c r="E1014" s="233">
        <f t="shared" ca="1" si="206"/>
        <v>1310000</v>
      </c>
      <c r="F1014" s="555">
        <f t="shared" ca="1" si="207"/>
        <v>0.26043737574552683</v>
      </c>
      <c r="G1014" s="244">
        <f t="shared" ca="1" si="208"/>
        <v>262000</v>
      </c>
    </row>
    <row r="1015" spans="1:10" ht="21" customHeight="1" x14ac:dyDescent="0.25">
      <c r="B1015" s="228" t="s">
        <v>445</v>
      </c>
      <c r="C1015" s="233">
        <f t="shared" ca="1" si="204"/>
        <v>5115220</v>
      </c>
      <c r="D1015" s="250">
        <f t="shared" ca="1" si="205"/>
        <v>4650200</v>
      </c>
      <c r="E1015" s="233">
        <f t="shared" ca="1" si="206"/>
        <v>879800</v>
      </c>
      <c r="F1015" s="555">
        <f t="shared" ca="1" si="207"/>
        <v>0.18919616360586641</v>
      </c>
      <c r="G1015" s="244">
        <f t="shared" ca="1" si="208"/>
        <v>175960</v>
      </c>
    </row>
    <row r="1016" spans="1:10" ht="21" customHeight="1" x14ac:dyDescent="0.25">
      <c r="B1016" s="228" t="s">
        <v>653</v>
      </c>
      <c r="C1016" s="233">
        <f t="shared" ca="1" si="204"/>
        <v>825000.00000000012</v>
      </c>
      <c r="D1016" s="250">
        <f t="shared" ca="1" si="205"/>
        <v>750000.00000000012</v>
      </c>
      <c r="E1016" s="233">
        <f t="shared" ca="1" si="206"/>
        <v>200000</v>
      </c>
      <c r="F1016" s="555">
        <f t="shared" ca="1" si="207"/>
        <v>0.26666666666666661</v>
      </c>
      <c r="G1016" s="244">
        <f t="shared" ca="1" si="208"/>
        <v>40000</v>
      </c>
    </row>
    <row r="1017" spans="1:10" ht="21" customHeight="1" x14ac:dyDescent="0.25">
      <c r="B1017" s="228" t="s">
        <v>465</v>
      </c>
      <c r="C1017" s="233">
        <f t="shared" ca="1" si="204"/>
        <v>1897500.0000000002</v>
      </c>
      <c r="D1017" s="250">
        <f t="shared" ca="1" si="205"/>
        <v>1725000.0000000002</v>
      </c>
      <c r="E1017" s="233">
        <f t="shared" ca="1" si="206"/>
        <v>394500</v>
      </c>
      <c r="F1017" s="555">
        <f t="shared" ca="1" si="207"/>
        <v>0.22869565217391302</v>
      </c>
      <c r="G1017" s="244">
        <f t="shared" ca="1" si="208"/>
        <v>78900</v>
      </c>
    </row>
    <row r="1018" spans="1:10" ht="21" customHeight="1" x14ac:dyDescent="0.25">
      <c r="B1018" s="228" t="s">
        <v>834</v>
      </c>
      <c r="C1018" s="233">
        <f t="shared" ca="1" si="204"/>
        <v>7993700</v>
      </c>
      <c r="D1018" s="250">
        <f t="shared" ca="1" si="205"/>
        <v>7267000</v>
      </c>
      <c r="E1018" s="233">
        <f t="shared" ca="1" si="206"/>
        <v>2463427</v>
      </c>
      <c r="F1018" s="555">
        <f t="shared" ca="1" si="207"/>
        <v>0.33898816568047335</v>
      </c>
      <c r="G1018" s="244">
        <f t="shared" ca="1" si="208"/>
        <v>492685.4</v>
      </c>
    </row>
    <row r="1019" spans="1:10" ht="21" customHeight="1" x14ac:dyDescent="0.25">
      <c r="B1019" s="228" t="s">
        <v>2125</v>
      </c>
      <c r="C1019" s="233">
        <f t="shared" ca="1" si="204"/>
        <v>1416800</v>
      </c>
      <c r="D1019" s="250">
        <f t="shared" ca="1" si="205"/>
        <v>1288000</v>
      </c>
      <c r="E1019" s="233">
        <f t="shared" ca="1" si="206"/>
        <v>1288000</v>
      </c>
      <c r="F1019" s="555">
        <f t="shared" ca="1" si="207"/>
        <v>1</v>
      </c>
      <c r="G1019" s="244">
        <f t="shared" ca="1" si="208"/>
        <v>257600</v>
      </c>
    </row>
    <row r="1020" spans="1:10" ht="21" customHeight="1" x14ac:dyDescent="0.25">
      <c r="B1020" s="228" t="s">
        <v>1326</v>
      </c>
      <c r="C1020" s="233">
        <f t="shared" ca="1" si="204"/>
        <v>3960000</v>
      </c>
      <c r="D1020" s="250">
        <f t="shared" ca="1" si="205"/>
        <v>3600000</v>
      </c>
      <c r="E1020" s="233">
        <f t="shared" ca="1" si="206"/>
        <v>1005000</v>
      </c>
      <c r="F1020" s="555">
        <f t="shared" ca="1" si="207"/>
        <v>0.27916666666666667</v>
      </c>
      <c r="G1020" s="244">
        <f t="shared" ca="1" si="208"/>
        <v>201000</v>
      </c>
    </row>
    <row r="1021" spans="1:10" ht="21" customHeight="1" x14ac:dyDescent="0.25">
      <c r="B1021" s="228" t="s">
        <v>2247</v>
      </c>
      <c r="C1021" s="233">
        <f t="shared" ca="1" si="204"/>
        <v>209440.00000000003</v>
      </c>
      <c r="D1021" s="250">
        <f t="shared" ca="1" si="205"/>
        <v>190400.00000000003</v>
      </c>
      <c r="E1021" s="233">
        <f t="shared" ca="1" si="206"/>
        <v>0</v>
      </c>
      <c r="F1021" s="555">
        <f t="shared" ca="1" si="207"/>
        <v>0</v>
      </c>
      <c r="G1021" s="244">
        <f t="shared" ca="1" si="208"/>
        <v>0</v>
      </c>
    </row>
    <row r="1022" spans="1:10" ht="21" customHeight="1" x14ac:dyDescent="0.25">
      <c r="B1022" s="228" t="s">
        <v>2258</v>
      </c>
      <c r="C1022" s="233">
        <v>9374200</v>
      </c>
      <c r="D1022" s="250">
        <f t="shared" si="205"/>
        <v>8522000</v>
      </c>
      <c r="E1022" s="233">
        <v>3712450</v>
      </c>
      <c r="F1022" s="555">
        <f t="shared" si="207"/>
        <v>0.43563130720488147</v>
      </c>
      <c r="G1022" s="244">
        <f t="shared" si="208"/>
        <v>742490</v>
      </c>
      <c r="H1022" s="1227" t="s">
        <v>2259</v>
      </c>
      <c r="I1022" s="1227"/>
      <c r="J1022" s="1227"/>
    </row>
    <row r="1023" spans="1:10" ht="21" customHeight="1" x14ac:dyDescent="0.25">
      <c r="B1023" s="279" t="s">
        <v>2748</v>
      </c>
      <c r="C1023" s="544">
        <f ca="1">SUM(C1008:C1022)</f>
        <v>65464960</v>
      </c>
      <c r="D1023" s="544">
        <f ca="1">SUM(D1008:D1021)</f>
        <v>50991600</v>
      </c>
      <c r="E1023" s="544">
        <f ca="1">SUM(E1008:E1022)</f>
        <v>18320009</v>
      </c>
      <c r="F1023" s="567">
        <f ca="1">E1023/D1023</f>
        <v>0.35927503745714978</v>
      </c>
      <c r="G1023" s="972">
        <f ca="1">SUM(G1008:G1022)</f>
        <v>3664001.8</v>
      </c>
    </row>
    <row r="1024" spans="1:10" ht="21" customHeight="1" x14ac:dyDescent="0.25">
      <c r="A1024" s="247" t="s">
        <v>2294</v>
      </c>
      <c r="B1024" s="228" t="s">
        <v>444</v>
      </c>
      <c r="C1024" s="233">
        <f t="shared" ref="C1024:C1033" ca="1" si="209">SUMIFS(INDIRECT("Report!F100:F10000"),INDIRECT("Report!B100:B10000"),B1024,INDIRECT("report!H100:H10000"),"Consums",INDIRECT("Report!L100:L10000"),"20,1")</f>
        <v>3575000</v>
      </c>
      <c r="D1024" s="250">
        <f ca="1">(C1024/11*10)</f>
        <v>3250000</v>
      </c>
      <c r="E1024" s="233">
        <f t="shared" ref="E1024:E1033" ca="1" si="210">SUMIFS(INDIRECT("Report!J100:J10000"),INDIRECT("Report!B100:B10000"),B1024,INDIRECT("report!H100:H10000"),"Consums",INDIRECT("Report!L100:L10000"),"20,1")</f>
        <v>812000</v>
      </c>
      <c r="F1024" s="555">
        <f t="shared" ref="F1024:F1033" ca="1" si="211">E1024/D1024</f>
        <v>0.24984615384615386</v>
      </c>
      <c r="G1024" s="244">
        <f ca="1">E1024*20%</f>
        <v>162400</v>
      </c>
    </row>
    <row r="1025" spans="1:10" ht="21" customHeight="1" x14ac:dyDescent="0.25">
      <c r="B1025" s="228" t="s">
        <v>458</v>
      </c>
      <c r="C1025" s="233">
        <f t="shared" ca="1" si="209"/>
        <v>11233200</v>
      </c>
      <c r="D1025" s="250">
        <f ca="1">(C1025/11*10)</f>
        <v>10212000</v>
      </c>
      <c r="E1025" s="233">
        <f t="shared" ca="1" si="210"/>
        <v>2664000</v>
      </c>
      <c r="F1025" s="555">
        <f t="shared" ca="1" si="211"/>
        <v>0.2608695652173913</v>
      </c>
      <c r="G1025" s="244">
        <f t="shared" ref="G1025:G1033" ca="1" si="212">E1025*20%</f>
        <v>532800</v>
      </c>
      <c r="J1025" s="227" t="s">
        <v>2304</v>
      </c>
    </row>
    <row r="1026" spans="1:10" ht="21" customHeight="1" x14ac:dyDescent="0.25">
      <c r="B1026" s="228" t="s">
        <v>453</v>
      </c>
      <c r="C1026" s="233">
        <f t="shared" ca="1" si="209"/>
        <v>9644800.0000000019</v>
      </c>
      <c r="D1026" s="250">
        <f t="shared" ref="D1026:D1033" ca="1" si="213">(C1026/11*10)</f>
        <v>8768000.0000000019</v>
      </c>
      <c r="E1026" s="233">
        <f t="shared" ca="1" si="210"/>
        <v>942860</v>
      </c>
      <c r="F1026" s="555">
        <f t="shared" ca="1" si="211"/>
        <v>0.10753421532846713</v>
      </c>
      <c r="G1026" s="244">
        <f t="shared" ca="1" si="212"/>
        <v>188572</v>
      </c>
    </row>
    <row r="1027" spans="1:10" ht="21" customHeight="1" x14ac:dyDescent="0.25">
      <c r="B1027" s="228" t="s">
        <v>466</v>
      </c>
      <c r="C1027" s="233">
        <f t="shared" ca="1" si="209"/>
        <v>962500</v>
      </c>
      <c r="D1027" s="250">
        <f t="shared" ca="1" si="213"/>
        <v>875000</v>
      </c>
      <c r="E1027" s="233">
        <f t="shared" ca="1" si="210"/>
        <v>175000</v>
      </c>
      <c r="F1027" s="555">
        <f t="shared" ca="1" si="211"/>
        <v>0.2</v>
      </c>
      <c r="G1027" s="244">
        <f t="shared" ca="1" si="212"/>
        <v>35000</v>
      </c>
    </row>
    <row r="1028" spans="1:10" ht="21" customHeight="1" x14ac:dyDescent="0.25">
      <c r="B1028" s="228" t="s">
        <v>430</v>
      </c>
      <c r="C1028" s="233">
        <f t="shared" ca="1" si="209"/>
        <v>1100000</v>
      </c>
      <c r="D1028" s="250">
        <f t="shared" ca="1" si="213"/>
        <v>1000000</v>
      </c>
      <c r="E1028" s="233">
        <f t="shared" ca="1" si="210"/>
        <v>500000</v>
      </c>
      <c r="F1028" s="555">
        <f t="shared" ca="1" si="211"/>
        <v>0.5</v>
      </c>
      <c r="G1028" s="244">
        <f t="shared" ca="1" si="212"/>
        <v>100000</v>
      </c>
    </row>
    <row r="1029" spans="1:10" ht="21" customHeight="1" x14ac:dyDescent="0.25">
      <c r="B1029" s="228" t="s">
        <v>445</v>
      </c>
      <c r="C1029" s="233">
        <f t="shared" ca="1" si="209"/>
        <v>2481600</v>
      </c>
      <c r="D1029" s="250">
        <f t="shared" ca="1" si="213"/>
        <v>2256000</v>
      </c>
      <c r="E1029" s="233">
        <f t="shared" ca="1" si="210"/>
        <v>747700</v>
      </c>
      <c r="F1029" s="555">
        <f t="shared" ca="1" si="211"/>
        <v>0.33142730496453898</v>
      </c>
      <c r="G1029" s="244">
        <f t="shared" ca="1" si="212"/>
        <v>149540</v>
      </c>
    </row>
    <row r="1030" spans="1:10" ht="21" customHeight="1" x14ac:dyDescent="0.25">
      <c r="B1030" s="228" t="s">
        <v>653</v>
      </c>
      <c r="C1030" s="233">
        <f t="shared" ca="1" si="209"/>
        <v>825000.00000000012</v>
      </c>
      <c r="D1030" s="250">
        <f t="shared" ca="1" si="213"/>
        <v>750000.00000000012</v>
      </c>
      <c r="E1030" s="233">
        <f t="shared" ca="1" si="210"/>
        <v>200000</v>
      </c>
      <c r="F1030" s="555">
        <f t="shared" ca="1" si="211"/>
        <v>0.26666666666666661</v>
      </c>
      <c r="G1030" s="244">
        <f t="shared" ca="1" si="212"/>
        <v>40000</v>
      </c>
    </row>
    <row r="1031" spans="1:10" ht="21" customHeight="1" x14ac:dyDescent="0.25">
      <c r="B1031" s="228" t="s">
        <v>834</v>
      </c>
      <c r="C1031" s="233">
        <f t="shared" ca="1" si="209"/>
        <v>2528900</v>
      </c>
      <c r="D1031" s="250">
        <f t="shared" ca="1" si="213"/>
        <v>2299000</v>
      </c>
      <c r="E1031" s="233">
        <f t="shared" ca="1" si="210"/>
        <v>814011</v>
      </c>
      <c r="F1031" s="555">
        <f t="shared" ca="1" si="211"/>
        <v>0.3540717703349282</v>
      </c>
      <c r="G1031" s="244">
        <f t="shared" ca="1" si="212"/>
        <v>162802.20000000001</v>
      </c>
    </row>
    <row r="1032" spans="1:10" ht="21" customHeight="1" x14ac:dyDescent="0.25">
      <c r="B1032" s="228" t="s">
        <v>1326</v>
      </c>
      <c r="C1032" s="233">
        <f t="shared" ca="1" si="209"/>
        <v>6272750</v>
      </c>
      <c r="D1032" s="250">
        <f t="shared" ca="1" si="213"/>
        <v>5702500</v>
      </c>
      <c r="E1032" s="233">
        <f t="shared" ca="1" si="210"/>
        <v>1802000</v>
      </c>
      <c r="F1032" s="555">
        <f t="shared" ca="1" si="211"/>
        <v>0.31600175361683475</v>
      </c>
      <c r="G1032" s="244">
        <f t="shared" ca="1" si="212"/>
        <v>360400</v>
      </c>
    </row>
    <row r="1033" spans="1:10" ht="21" customHeight="1" x14ac:dyDescent="0.25">
      <c r="B1033" s="228" t="s">
        <v>2247</v>
      </c>
      <c r="C1033" s="233">
        <f t="shared" ca="1" si="209"/>
        <v>523600.00000000006</v>
      </c>
      <c r="D1033" s="250">
        <f t="shared" ca="1" si="213"/>
        <v>476000.00000000006</v>
      </c>
      <c r="E1033" s="233">
        <f t="shared" ca="1" si="210"/>
        <v>68000</v>
      </c>
      <c r="F1033" s="555">
        <f t="shared" ca="1" si="211"/>
        <v>0.14285714285714285</v>
      </c>
      <c r="G1033" s="244">
        <f t="shared" ca="1" si="212"/>
        <v>13600</v>
      </c>
    </row>
    <row r="1034" spans="1:10" ht="21" customHeight="1" x14ac:dyDescent="0.25">
      <c r="B1034" s="279" t="s">
        <v>2741</v>
      </c>
      <c r="C1034" s="544">
        <f ca="1">SUM(C1024:C1033)</f>
        <v>39147350</v>
      </c>
      <c r="D1034" s="544">
        <f ca="1">SUM(D1024:D1033)</f>
        <v>35588500</v>
      </c>
      <c r="E1034" s="544">
        <f ca="1">SUM(E1024:E1033)</f>
        <v>8725571</v>
      </c>
      <c r="F1034" s="567">
        <f ca="1">E1034/D1034</f>
        <v>0.24517951023504783</v>
      </c>
      <c r="G1034" s="972">
        <f ca="1">SUM(G1024:G1033)</f>
        <v>1745114.2</v>
      </c>
    </row>
    <row r="1035" spans="1:10" ht="21" customHeight="1" x14ac:dyDescent="0.25">
      <c r="A1035" s="247" t="s">
        <v>2326</v>
      </c>
      <c r="B1035" s="228" t="s">
        <v>444</v>
      </c>
      <c r="C1035" s="233">
        <f t="shared" ref="C1035:C1046" ca="1" si="214">SUMIFS(INDIRECT("Report!F100:F10000"),INDIRECT("Report!B100:B10000"),B1035,INDIRECT("report!H100:H10000"),"Consums",INDIRECT("Report!L100:L10000"),"20,2")</f>
        <v>3806000</v>
      </c>
      <c r="D1035" s="250">
        <f ca="1">(C1035/11*10)</f>
        <v>3460000</v>
      </c>
      <c r="E1035" s="233">
        <f t="shared" ref="E1035:E1046" ca="1" si="215">SUMIFS(INDIRECT("Report!J100:J10000"),INDIRECT("Report!B100:B10000"),B1035,INDIRECT("report!H100:H10000"),"Consums",INDIRECT("Report!L100:L10000"),"20,2")</f>
        <v>902000</v>
      </c>
      <c r="F1035" s="555">
        <f t="shared" ref="F1035:F1046" ca="1" si="216">E1035/D1035</f>
        <v>0.26069364161849712</v>
      </c>
      <c r="G1035" s="244">
        <f ca="1">E1035*20%</f>
        <v>180400</v>
      </c>
    </row>
    <row r="1036" spans="1:10" ht="21" customHeight="1" x14ac:dyDescent="0.25">
      <c r="B1036" s="228" t="s">
        <v>458</v>
      </c>
      <c r="C1036" s="233">
        <f t="shared" ca="1" si="214"/>
        <v>11233200</v>
      </c>
      <c r="D1036" s="250">
        <f ca="1">(C1036/11*10)</f>
        <v>10212000</v>
      </c>
      <c r="E1036" s="233">
        <f t="shared" ca="1" si="215"/>
        <v>2664000</v>
      </c>
      <c r="F1036" s="555">
        <f t="shared" ca="1" si="216"/>
        <v>0.2608695652173913</v>
      </c>
      <c r="G1036" s="244">
        <f t="shared" ref="G1036:G1046" ca="1" si="217">E1036*20%</f>
        <v>532800</v>
      </c>
    </row>
    <row r="1037" spans="1:10" ht="21" customHeight="1" x14ac:dyDescent="0.25">
      <c r="B1037" s="228" t="s">
        <v>453</v>
      </c>
      <c r="C1037" s="233">
        <f t="shared" ca="1" si="214"/>
        <v>6895900</v>
      </c>
      <c r="D1037" s="250">
        <f t="shared" ref="D1037:D1046" ca="1" si="218">(C1037/11*10)</f>
        <v>6269000</v>
      </c>
      <c r="E1037" s="233">
        <f t="shared" ca="1" si="215"/>
        <v>765120</v>
      </c>
      <c r="F1037" s="555">
        <f t="shared" ca="1" si="216"/>
        <v>0.1220481735524007</v>
      </c>
      <c r="G1037" s="244">
        <f t="shared" ca="1" si="217"/>
        <v>153024</v>
      </c>
    </row>
    <row r="1038" spans="1:10" ht="21" customHeight="1" x14ac:dyDescent="0.25">
      <c r="B1038" s="228" t="s">
        <v>466</v>
      </c>
      <c r="C1038" s="233">
        <f t="shared" ca="1" si="214"/>
        <v>742500.00000000012</v>
      </c>
      <c r="D1038" s="250">
        <f t="shared" ca="1" si="218"/>
        <v>675000.00000000012</v>
      </c>
      <c r="E1038" s="233">
        <f t="shared" ca="1" si="215"/>
        <v>75000</v>
      </c>
      <c r="F1038" s="555">
        <f t="shared" ca="1" si="216"/>
        <v>0.11111111111111109</v>
      </c>
      <c r="G1038" s="244">
        <f t="shared" ca="1" si="217"/>
        <v>15000</v>
      </c>
    </row>
    <row r="1039" spans="1:10" ht="21" customHeight="1" x14ac:dyDescent="0.25">
      <c r="B1039" s="228" t="s">
        <v>430</v>
      </c>
      <c r="C1039" s="233">
        <f t="shared" ca="1" si="214"/>
        <v>1100000</v>
      </c>
      <c r="D1039" s="250">
        <f t="shared" ca="1" si="218"/>
        <v>1000000</v>
      </c>
      <c r="E1039" s="233">
        <f t="shared" ca="1" si="215"/>
        <v>500000</v>
      </c>
      <c r="F1039" s="555">
        <f t="shared" ca="1" si="216"/>
        <v>0.5</v>
      </c>
      <c r="G1039" s="244">
        <f t="shared" ca="1" si="217"/>
        <v>100000</v>
      </c>
    </row>
    <row r="1040" spans="1:10" ht="21" customHeight="1" x14ac:dyDescent="0.25">
      <c r="B1040" s="228" t="s">
        <v>523</v>
      </c>
      <c r="C1040" s="233">
        <f t="shared" ca="1" si="214"/>
        <v>1716000.0000000002</v>
      </c>
      <c r="D1040" s="250">
        <f t="shared" ca="1" si="218"/>
        <v>1560000.0000000002</v>
      </c>
      <c r="E1040" s="233">
        <f t="shared" ca="1" si="215"/>
        <v>360000</v>
      </c>
      <c r="F1040" s="555">
        <f t="shared" ca="1" si="216"/>
        <v>0.23076923076923073</v>
      </c>
      <c r="G1040" s="244">
        <f t="shared" ca="1" si="217"/>
        <v>72000</v>
      </c>
    </row>
    <row r="1041" spans="1:7" ht="21" customHeight="1" x14ac:dyDescent="0.25">
      <c r="B1041" s="228" t="s">
        <v>549</v>
      </c>
      <c r="C1041" s="233">
        <f t="shared" ca="1" si="214"/>
        <v>1897500.0000000002</v>
      </c>
      <c r="D1041" s="250">
        <f t="shared" ca="1" si="218"/>
        <v>1725000.0000000002</v>
      </c>
      <c r="E1041" s="233">
        <f t="shared" ca="1" si="215"/>
        <v>394500</v>
      </c>
      <c r="F1041" s="555">
        <f t="shared" ca="1" si="216"/>
        <v>0.22869565217391302</v>
      </c>
      <c r="G1041" s="244">
        <f t="shared" ca="1" si="217"/>
        <v>78900</v>
      </c>
    </row>
    <row r="1042" spans="1:7" ht="21" customHeight="1" x14ac:dyDescent="0.25">
      <c r="B1042" s="228" t="s">
        <v>653</v>
      </c>
      <c r="C1042" s="233">
        <f t="shared" ca="1" si="214"/>
        <v>825000.00000000012</v>
      </c>
      <c r="D1042" s="250">
        <f t="shared" ca="1" si="218"/>
        <v>750000.00000000012</v>
      </c>
      <c r="E1042" s="233">
        <f t="shared" ca="1" si="215"/>
        <v>200000</v>
      </c>
      <c r="F1042" s="555">
        <f t="shared" ca="1" si="216"/>
        <v>0.26666666666666661</v>
      </c>
      <c r="G1042" s="244">
        <f t="shared" ca="1" si="217"/>
        <v>40000</v>
      </c>
    </row>
    <row r="1043" spans="1:7" ht="21" customHeight="1" x14ac:dyDescent="0.25">
      <c r="B1043" s="228" t="s">
        <v>834</v>
      </c>
      <c r="C1043" s="233">
        <f t="shared" ca="1" si="214"/>
        <v>2325400.0000000005</v>
      </c>
      <c r="D1043" s="250">
        <f t="shared" ca="1" si="218"/>
        <v>2114000.0000000005</v>
      </c>
      <c r="E1043" s="233">
        <f t="shared" ca="1" si="215"/>
        <v>803314</v>
      </c>
      <c r="F1043" s="555">
        <f t="shared" ca="1" si="216"/>
        <v>0.37999716177861864</v>
      </c>
      <c r="G1043" s="244">
        <f t="shared" ca="1" si="217"/>
        <v>160662.80000000002</v>
      </c>
    </row>
    <row r="1044" spans="1:7" ht="21" customHeight="1" x14ac:dyDescent="0.25">
      <c r="B1044" s="228" t="s">
        <v>526</v>
      </c>
      <c r="C1044" s="233">
        <f t="shared" ca="1" si="214"/>
        <v>11055000.000000002</v>
      </c>
      <c r="D1044" s="250">
        <f t="shared" ca="1" si="218"/>
        <v>10050000.000000002</v>
      </c>
      <c r="E1044" s="233">
        <f t="shared" ca="1" si="215"/>
        <v>1810000</v>
      </c>
      <c r="F1044" s="555">
        <f t="shared" ca="1" si="216"/>
        <v>0.18009950248756215</v>
      </c>
      <c r="G1044" s="244">
        <f t="shared" ca="1" si="217"/>
        <v>362000</v>
      </c>
    </row>
    <row r="1045" spans="1:7" ht="21" customHeight="1" x14ac:dyDescent="0.25">
      <c r="B1045" s="228" t="s">
        <v>1654</v>
      </c>
      <c r="C1045" s="233">
        <f t="shared" ca="1" si="214"/>
        <v>1430000</v>
      </c>
      <c r="D1045" s="250">
        <f t="shared" ca="1" si="218"/>
        <v>1300000</v>
      </c>
      <c r="E1045" s="233">
        <f t="shared" ca="1" si="215"/>
        <v>0</v>
      </c>
      <c r="F1045" s="555">
        <f t="shared" ca="1" si="216"/>
        <v>0</v>
      </c>
      <c r="G1045" s="244">
        <f t="shared" ca="1" si="217"/>
        <v>0</v>
      </c>
    </row>
    <row r="1046" spans="1:7" ht="21" customHeight="1" x14ac:dyDescent="0.25">
      <c r="B1046" s="228" t="s">
        <v>2247</v>
      </c>
      <c r="C1046" s="233">
        <f t="shared" ca="1" si="214"/>
        <v>2191200</v>
      </c>
      <c r="D1046" s="250">
        <f t="shared" ca="1" si="218"/>
        <v>1992000</v>
      </c>
      <c r="E1046" s="233">
        <f t="shared" ca="1" si="215"/>
        <v>475000</v>
      </c>
      <c r="F1046" s="555">
        <f t="shared" ca="1" si="216"/>
        <v>0.23845381526104417</v>
      </c>
      <c r="G1046" s="244">
        <f t="shared" ca="1" si="217"/>
        <v>95000</v>
      </c>
    </row>
    <row r="1047" spans="1:7" ht="21" customHeight="1" x14ac:dyDescent="0.25">
      <c r="B1047" s="279" t="s">
        <v>2741</v>
      </c>
      <c r="C1047" s="544">
        <f ca="1">SUM(C1035:C1046)</f>
        <v>45217700</v>
      </c>
      <c r="D1047" s="544">
        <f ca="1">SUM(D1035:D1046)</f>
        <v>41107000</v>
      </c>
      <c r="E1047" s="544">
        <f ca="1">SUM(E1035:E1046)</f>
        <v>8948934</v>
      </c>
      <c r="F1047" s="567">
        <f ca="1">E1047/D1047</f>
        <v>0.2176985428272557</v>
      </c>
      <c r="G1047" s="972">
        <f ca="1">SUM(G1035:G1046)</f>
        <v>1789786.8</v>
      </c>
    </row>
    <row r="1048" spans="1:7" ht="21" customHeight="1" x14ac:dyDescent="0.25">
      <c r="A1048" s="247" t="s">
        <v>2356</v>
      </c>
      <c r="B1048" s="228" t="s">
        <v>444</v>
      </c>
      <c r="C1048" s="233">
        <f ca="1">SUMIFS(INDIRECT("Report!F100:F10000"),INDIRECT("Report!B100:B10000"),B1048,INDIRECT("report!H100:H10000"),"Consums",INDIRECT("Report!L100:L10000"),"20,3")</f>
        <v>8195000</v>
      </c>
      <c r="D1048" s="250">
        <f ca="1">(C1048/11*10)</f>
        <v>7450000</v>
      </c>
      <c r="E1048" s="233">
        <f ca="1">SUMIFS(INDIRECT("Report!J100:J10000"),INDIRECT("Report!B100:B10000"),B1048,INDIRECT("report!H100:H10000"),"Consums",INDIRECT("Report!L100:L10000"),"20,3")</f>
        <v>2523020</v>
      </c>
      <c r="F1048" s="555">
        <f t="shared" ref="F1048:F1056" ca="1" si="219">E1048/D1048</f>
        <v>0.33866040268456377</v>
      </c>
      <c r="G1048" s="244">
        <f ca="1">E1048*20%</f>
        <v>504604</v>
      </c>
    </row>
    <row r="1049" spans="1:7" ht="21" customHeight="1" x14ac:dyDescent="0.25">
      <c r="B1049" s="228" t="s">
        <v>458</v>
      </c>
      <c r="C1049" s="233">
        <f t="shared" ref="C1049:C1056" ca="1" si="220">SUMIFS(INDIRECT("Report!F100:F10000"),INDIRECT("Report!B100:B10000"),B1049,INDIRECT("report!H100:H10000"),"Consums",INDIRECT("Report!L100:L10000"),"20,3")</f>
        <v>11233200</v>
      </c>
      <c r="D1049" s="250">
        <f ca="1">(C1049/11*10)</f>
        <v>10212000</v>
      </c>
      <c r="E1049" s="233">
        <f t="shared" ref="E1049:E1056" ca="1" si="221">SUMIFS(INDIRECT("Report!J100:J10000"),INDIRECT("Report!B100:B10000"),B1049,INDIRECT("report!H100:H10000"),"Consums",INDIRECT("Report!L100:L10000"),"20,3")</f>
        <v>2664000</v>
      </c>
      <c r="F1049" s="555">
        <f t="shared" ca="1" si="219"/>
        <v>0.2608695652173913</v>
      </c>
      <c r="G1049" s="244">
        <f t="shared" ref="G1049:G1056" ca="1" si="222">E1049*20%</f>
        <v>532800</v>
      </c>
    </row>
    <row r="1050" spans="1:7" ht="21" customHeight="1" x14ac:dyDescent="0.25">
      <c r="B1050" s="228" t="s">
        <v>453</v>
      </c>
      <c r="C1050" s="233">
        <f t="shared" ca="1" si="220"/>
        <v>19792300</v>
      </c>
      <c r="D1050" s="250">
        <f t="shared" ref="D1050:D1056" ca="1" si="223">(C1050/11*10)</f>
        <v>17993000</v>
      </c>
      <c r="E1050" s="233">
        <f t="shared" ca="1" si="221"/>
        <v>1483440</v>
      </c>
      <c r="F1050" s="555">
        <f t="shared" ca="1" si="219"/>
        <v>8.2445395431556712E-2</v>
      </c>
      <c r="G1050" s="244">
        <f t="shared" ca="1" si="222"/>
        <v>296688</v>
      </c>
    </row>
    <row r="1051" spans="1:7" ht="21" customHeight="1" x14ac:dyDescent="0.25">
      <c r="B1051" s="228" t="s">
        <v>466</v>
      </c>
      <c r="C1051" s="233">
        <f t="shared" ca="1" si="220"/>
        <v>715000</v>
      </c>
      <c r="D1051" s="250">
        <f t="shared" ca="1" si="223"/>
        <v>650000</v>
      </c>
      <c r="E1051" s="233">
        <f t="shared" ca="1" si="221"/>
        <v>150000</v>
      </c>
      <c r="F1051" s="555">
        <f t="shared" ca="1" si="219"/>
        <v>0.23076923076923078</v>
      </c>
      <c r="G1051" s="244">
        <f t="shared" ca="1" si="222"/>
        <v>30000</v>
      </c>
    </row>
    <row r="1052" spans="1:7" ht="21" customHeight="1" x14ac:dyDescent="0.25">
      <c r="B1052" s="228" t="s">
        <v>430</v>
      </c>
      <c r="C1052" s="233">
        <f t="shared" ca="1" si="220"/>
        <v>1100000</v>
      </c>
      <c r="D1052" s="250">
        <f t="shared" ca="1" si="223"/>
        <v>1000000</v>
      </c>
      <c r="E1052" s="233">
        <f t="shared" ca="1" si="221"/>
        <v>500000</v>
      </c>
      <c r="F1052" s="555">
        <f t="shared" ca="1" si="219"/>
        <v>0.5</v>
      </c>
      <c r="G1052" s="244">
        <f t="shared" ca="1" si="222"/>
        <v>100000</v>
      </c>
    </row>
    <row r="1053" spans="1:7" ht="21" customHeight="1" x14ac:dyDescent="0.25">
      <c r="B1053" s="228" t="s">
        <v>549</v>
      </c>
      <c r="C1053" s="233">
        <f t="shared" ca="1" si="220"/>
        <v>1265000</v>
      </c>
      <c r="D1053" s="250">
        <f t="shared" ca="1" si="223"/>
        <v>1150000</v>
      </c>
      <c r="E1053" s="233">
        <f t="shared" ca="1" si="221"/>
        <v>263000</v>
      </c>
      <c r="F1053" s="555">
        <f t="shared" ca="1" si="219"/>
        <v>0.22869565217391305</v>
      </c>
      <c r="G1053" s="244">
        <f t="shared" ca="1" si="222"/>
        <v>52600</v>
      </c>
    </row>
    <row r="1054" spans="1:7" ht="21" customHeight="1" x14ac:dyDescent="0.25">
      <c r="B1054" s="228" t="s">
        <v>834</v>
      </c>
      <c r="C1054" s="233">
        <f t="shared" ca="1" si="220"/>
        <v>1918400.0000000002</v>
      </c>
      <c r="D1054" s="250">
        <f t="shared" ca="1" si="223"/>
        <v>1744000.0000000002</v>
      </c>
      <c r="E1054" s="233">
        <f t="shared" ca="1" si="221"/>
        <v>781920</v>
      </c>
      <c r="F1054" s="555">
        <f t="shared" ca="1" si="219"/>
        <v>0.44834862385321095</v>
      </c>
      <c r="G1054" s="244">
        <f t="shared" ca="1" si="222"/>
        <v>156384</v>
      </c>
    </row>
    <row r="1055" spans="1:7" ht="21" customHeight="1" x14ac:dyDescent="0.25">
      <c r="B1055" s="228" t="s">
        <v>1326</v>
      </c>
      <c r="C1055" s="233">
        <f t="shared" ca="1" si="220"/>
        <v>2871000</v>
      </c>
      <c r="D1055" s="250">
        <f t="shared" ca="1" si="223"/>
        <v>2610000</v>
      </c>
      <c r="E1055" s="233">
        <f t="shared" ca="1" si="221"/>
        <v>460000</v>
      </c>
      <c r="F1055" s="555">
        <f t="shared" ca="1" si="219"/>
        <v>0.17624521072796934</v>
      </c>
      <c r="G1055" s="244">
        <f t="shared" ca="1" si="222"/>
        <v>92000</v>
      </c>
    </row>
    <row r="1056" spans="1:7" ht="21" customHeight="1" x14ac:dyDescent="0.25">
      <c r="B1056" s="228" t="s">
        <v>2247</v>
      </c>
      <c r="C1056" s="233">
        <f t="shared" ca="1" si="220"/>
        <v>6153400</v>
      </c>
      <c r="D1056" s="250">
        <f t="shared" ca="1" si="223"/>
        <v>5594000</v>
      </c>
      <c r="E1056" s="233">
        <f t="shared" ca="1" si="221"/>
        <v>1007000</v>
      </c>
      <c r="F1056" s="555">
        <f t="shared" ca="1" si="219"/>
        <v>0.18001430103682517</v>
      </c>
      <c r="G1056" s="244">
        <f t="shared" ca="1" si="222"/>
        <v>201400</v>
      </c>
    </row>
    <row r="1057" spans="1:7" ht="21" customHeight="1" x14ac:dyDescent="0.25">
      <c r="B1057" s="279" t="s">
        <v>2741</v>
      </c>
      <c r="C1057" s="544">
        <f ca="1">SUM(C1048:C1056)</f>
        <v>53243300</v>
      </c>
      <c r="D1057" s="544">
        <f ca="1">SUM(D1048:D1056)</f>
        <v>48403000</v>
      </c>
      <c r="E1057" s="544">
        <f ca="1">SUM(E1048:E1056)</f>
        <v>9832380</v>
      </c>
      <c r="F1057" s="567">
        <f ca="1">E1057/D1057</f>
        <v>0.20313575604817882</v>
      </c>
      <c r="G1057" s="972">
        <f ca="1">SUM(G1048:G1056)</f>
        <v>1966476</v>
      </c>
    </row>
    <row r="1058" spans="1:7" ht="21" customHeight="1" x14ac:dyDescent="0.25">
      <c r="A1058" s="247" t="s">
        <v>2424</v>
      </c>
      <c r="B1058" s="228" t="s">
        <v>444</v>
      </c>
      <c r="C1058" s="233">
        <f t="shared" ref="C1058:C1071" ca="1" si="224">SUMIFS(INDIRECT("Report!F100:F10000"),INDIRECT("Report!B100:B10000"),B1058,INDIRECT("report!H100:H10000"),"Consums",INDIRECT("Report!L100:L10000"),"20,4")</f>
        <v>6501000</v>
      </c>
      <c r="D1058" s="250">
        <f ca="1">(C1058/11*10)</f>
        <v>5910000</v>
      </c>
      <c r="E1058" s="233">
        <f t="shared" ref="E1058:E1071" ca="1" si="225">SUMIFS(INDIRECT("Report!J100:J10000"),INDIRECT("Report!B100:B10000"),B1058,INDIRECT("report!H100:H10000"),"Consums",INDIRECT("Report!L100:L10000"),"20,4")</f>
        <v>1902016</v>
      </c>
      <c r="F1058" s="555">
        <f t="shared" ref="F1058:F1071" ca="1" si="226">E1058/D1058</f>
        <v>0.32183011844331644</v>
      </c>
      <c r="G1058" s="244">
        <f ca="1">E1058*20%</f>
        <v>380403.20000000001</v>
      </c>
    </row>
    <row r="1059" spans="1:7" ht="21" customHeight="1" x14ac:dyDescent="0.25">
      <c r="B1059" s="228" t="s">
        <v>458</v>
      </c>
      <c r="C1059" s="233">
        <f t="shared" ca="1" si="224"/>
        <v>10626000</v>
      </c>
      <c r="D1059" s="250">
        <f ca="1">(C1059/11*10)</f>
        <v>9660000</v>
      </c>
      <c r="E1059" s="233">
        <f t="shared" ca="1" si="225"/>
        <v>2520000</v>
      </c>
      <c r="F1059" s="555">
        <f t="shared" ca="1" si="226"/>
        <v>0.2608695652173913</v>
      </c>
      <c r="G1059" s="244">
        <f t="shared" ref="G1059:G1071" ca="1" si="227">E1059*20%</f>
        <v>504000</v>
      </c>
    </row>
    <row r="1060" spans="1:7" ht="21" customHeight="1" x14ac:dyDescent="0.25">
      <c r="B1060" s="228" t="s">
        <v>453</v>
      </c>
      <c r="C1060" s="233">
        <f t="shared" ca="1" si="224"/>
        <v>4031500</v>
      </c>
      <c r="D1060" s="250">
        <f t="shared" ref="D1060:D1071" ca="1" si="228">(C1060/11*10)</f>
        <v>3665000</v>
      </c>
      <c r="E1060" s="233">
        <f t="shared" ca="1" si="225"/>
        <v>808000</v>
      </c>
      <c r="F1060" s="555">
        <f t="shared" ca="1" si="226"/>
        <v>0.22046384720327422</v>
      </c>
      <c r="G1060" s="244">
        <f t="shared" ca="1" si="227"/>
        <v>161600</v>
      </c>
    </row>
    <row r="1061" spans="1:7" ht="21" customHeight="1" x14ac:dyDescent="0.25">
      <c r="B1061" s="228" t="s">
        <v>466</v>
      </c>
      <c r="C1061" s="233">
        <f t="shared" ca="1" si="224"/>
        <v>1210000</v>
      </c>
      <c r="D1061" s="250">
        <f t="shared" ca="1" si="228"/>
        <v>1100000</v>
      </c>
      <c r="E1061" s="233">
        <f t="shared" ca="1" si="225"/>
        <v>200000</v>
      </c>
      <c r="F1061" s="555">
        <f t="shared" ca="1" si="226"/>
        <v>0.18181818181818182</v>
      </c>
      <c r="G1061" s="244">
        <f t="shared" ca="1" si="227"/>
        <v>40000</v>
      </c>
    </row>
    <row r="1062" spans="1:7" ht="21" customHeight="1" x14ac:dyDescent="0.25">
      <c r="B1062" s="228" t="s">
        <v>430</v>
      </c>
      <c r="C1062" s="233">
        <f t="shared" ca="1" si="224"/>
        <v>1100000</v>
      </c>
      <c r="D1062" s="250">
        <f t="shared" ca="1" si="228"/>
        <v>1000000</v>
      </c>
      <c r="E1062" s="233">
        <f t="shared" ca="1" si="225"/>
        <v>500000</v>
      </c>
      <c r="F1062" s="555">
        <f t="shared" ca="1" si="226"/>
        <v>0.5</v>
      </c>
      <c r="G1062" s="244">
        <f t="shared" ca="1" si="227"/>
        <v>100000</v>
      </c>
    </row>
    <row r="1063" spans="1:7" ht="21" customHeight="1" x14ac:dyDescent="0.25">
      <c r="B1063" s="228" t="s">
        <v>523</v>
      </c>
      <c r="C1063" s="233">
        <f t="shared" ca="1" si="224"/>
        <v>1372800</v>
      </c>
      <c r="D1063" s="250">
        <f t="shared" ca="1" si="228"/>
        <v>1248000</v>
      </c>
      <c r="E1063" s="233">
        <f t="shared" ca="1" si="225"/>
        <v>288000</v>
      </c>
      <c r="F1063" s="555">
        <f t="shared" ca="1" si="226"/>
        <v>0.23076923076923078</v>
      </c>
      <c r="G1063" s="244">
        <f t="shared" ca="1" si="227"/>
        <v>57600</v>
      </c>
    </row>
    <row r="1064" spans="1:7" ht="21" customHeight="1" x14ac:dyDescent="0.25">
      <c r="B1064" s="228" t="s">
        <v>526</v>
      </c>
      <c r="C1064" s="233">
        <f t="shared" ca="1" si="224"/>
        <v>11528000</v>
      </c>
      <c r="D1064" s="250">
        <f t="shared" ca="1" si="228"/>
        <v>10480000</v>
      </c>
      <c r="E1064" s="233">
        <f t="shared" ca="1" si="225"/>
        <v>1040000</v>
      </c>
      <c r="F1064" s="555">
        <f t="shared" ca="1" si="226"/>
        <v>9.9236641221374045E-2</v>
      </c>
      <c r="G1064" s="244">
        <f t="shared" ca="1" si="227"/>
        <v>208000</v>
      </c>
    </row>
    <row r="1065" spans="1:7" ht="21" customHeight="1" x14ac:dyDescent="0.25">
      <c r="B1065" s="228" t="s">
        <v>2125</v>
      </c>
      <c r="C1065" s="233">
        <f t="shared" ca="1" si="224"/>
        <v>2374240</v>
      </c>
      <c r="D1065" s="250">
        <f t="shared" ca="1" si="228"/>
        <v>2158400</v>
      </c>
      <c r="E1065" s="233">
        <f t="shared" ca="1" si="225"/>
        <v>2158400</v>
      </c>
      <c r="F1065" s="555">
        <f t="shared" ca="1" si="226"/>
        <v>1</v>
      </c>
      <c r="G1065" s="244">
        <f t="shared" ca="1" si="227"/>
        <v>431680</v>
      </c>
    </row>
    <row r="1066" spans="1:7" ht="21" customHeight="1" x14ac:dyDescent="0.25">
      <c r="B1066" s="228" t="s">
        <v>2247</v>
      </c>
      <c r="C1066" s="233">
        <f t="shared" ca="1" si="224"/>
        <v>3051950</v>
      </c>
      <c r="D1066" s="250">
        <f t="shared" ca="1" si="228"/>
        <v>2774500</v>
      </c>
      <c r="E1066" s="233">
        <f t="shared" ca="1" si="225"/>
        <v>821000</v>
      </c>
      <c r="F1066" s="555">
        <f t="shared" ca="1" si="226"/>
        <v>0.29590917282393225</v>
      </c>
      <c r="G1066" s="244">
        <f t="shared" ca="1" si="227"/>
        <v>164200</v>
      </c>
    </row>
    <row r="1067" spans="1:7" ht="21" customHeight="1" x14ac:dyDescent="0.25">
      <c r="B1067" s="228" t="s">
        <v>515</v>
      </c>
      <c r="C1067" s="233">
        <f t="shared" ca="1" si="224"/>
        <v>5313000</v>
      </c>
      <c r="D1067" s="250">
        <f t="shared" ca="1" si="228"/>
        <v>4830000</v>
      </c>
      <c r="E1067" s="233">
        <f t="shared" ca="1" si="225"/>
        <v>874000</v>
      </c>
      <c r="F1067" s="555">
        <f t="shared" ca="1" si="226"/>
        <v>0.18095238095238095</v>
      </c>
      <c r="G1067" s="244">
        <f t="shared" ca="1" si="227"/>
        <v>174800</v>
      </c>
    </row>
    <row r="1068" spans="1:7" ht="21" customHeight="1" x14ac:dyDescent="0.25">
      <c r="B1068" s="228" t="s">
        <v>834</v>
      </c>
      <c r="C1068" s="233">
        <f t="shared" ca="1" si="224"/>
        <v>1918400.0000000002</v>
      </c>
      <c r="D1068" s="250">
        <f t="shared" ca="1" si="228"/>
        <v>1744000.0000000002</v>
      </c>
      <c r="E1068" s="233">
        <f t="shared" ca="1" si="225"/>
        <v>781920</v>
      </c>
      <c r="F1068" s="555">
        <f t="shared" ca="1" si="226"/>
        <v>0.44834862385321095</v>
      </c>
      <c r="G1068" s="244">
        <f t="shared" ca="1" si="227"/>
        <v>156384</v>
      </c>
    </row>
    <row r="1069" spans="1:7" ht="21" customHeight="1" x14ac:dyDescent="0.25">
      <c r="B1069" s="228" t="s">
        <v>1099</v>
      </c>
      <c r="C1069" s="233">
        <f t="shared" ca="1" si="224"/>
        <v>6600000.0000000009</v>
      </c>
      <c r="D1069" s="250">
        <f t="shared" ca="1" si="228"/>
        <v>6000000.0000000009</v>
      </c>
      <c r="E1069" s="233">
        <f t="shared" ca="1" si="225"/>
        <v>3805290</v>
      </c>
      <c r="F1069" s="555">
        <f t="shared" ca="1" si="226"/>
        <v>0.63421499999999986</v>
      </c>
      <c r="G1069" s="244">
        <f t="shared" ca="1" si="227"/>
        <v>761058</v>
      </c>
    </row>
    <row r="1070" spans="1:7" ht="21" customHeight="1" x14ac:dyDescent="0.25">
      <c r="B1070" s="228" t="s">
        <v>2425</v>
      </c>
      <c r="C1070" s="233">
        <f t="shared" ca="1" si="224"/>
        <v>6380000.0000000009</v>
      </c>
      <c r="D1070" s="250">
        <f t="shared" ca="1" si="228"/>
        <v>5800000.0000000009</v>
      </c>
      <c r="E1070" s="233">
        <f t="shared" ca="1" si="225"/>
        <v>2987720</v>
      </c>
      <c r="F1070" s="555">
        <f t="shared" ca="1" si="226"/>
        <v>0.5151241379310344</v>
      </c>
      <c r="G1070" s="244">
        <f t="shared" ca="1" si="227"/>
        <v>597544</v>
      </c>
    </row>
    <row r="1071" spans="1:7" ht="21" customHeight="1" x14ac:dyDescent="0.25">
      <c r="B1071" s="228" t="s">
        <v>1325</v>
      </c>
      <c r="C1071" s="233">
        <f t="shared" ca="1" si="224"/>
        <v>7920000.0000000009</v>
      </c>
      <c r="D1071" s="250">
        <f t="shared" ca="1" si="228"/>
        <v>7200000.0000000009</v>
      </c>
      <c r="E1071" s="233">
        <f t="shared" ca="1" si="225"/>
        <v>2885872</v>
      </c>
      <c r="F1071" s="555">
        <f t="shared" ca="1" si="226"/>
        <v>0.40081555555555548</v>
      </c>
      <c r="G1071" s="244">
        <f t="shared" ca="1" si="227"/>
        <v>577174.4</v>
      </c>
    </row>
    <row r="1072" spans="1:7" ht="21" customHeight="1" x14ac:dyDescent="0.25">
      <c r="B1072" s="279" t="s">
        <v>2741</v>
      </c>
      <c r="C1072" s="544">
        <f ca="1">SUM(C1058:C1071)</f>
        <v>69926890</v>
      </c>
      <c r="D1072" s="544">
        <f ca="1">SUM(D1058:D1071)</f>
        <v>63569900</v>
      </c>
      <c r="E1072" s="544">
        <f ca="1">SUM(E1058:E1071)</f>
        <v>21572218</v>
      </c>
      <c r="F1072" s="567">
        <f ca="1">E1072/D1072</f>
        <v>0.33934642023976758</v>
      </c>
      <c r="G1072" s="972">
        <f ca="1">SUM(G1058:G1071)</f>
        <v>4314443.6000000006</v>
      </c>
    </row>
    <row r="1073" spans="1:10" ht="21" customHeight="1" x14ac:dyDescent="0.25">
      <c r="A1073" s="247" t="s">
        <v>2447</v>
      </c>
      <c r="B1073" s="228" t="s">
        <v>444</v>
      </c>
      <c r="C1073" s="233">
        <f t="shared" ref="C1073:C1081" ca="1" si="229">SUMIFS(INDIRECT("Report!F100:F10000"),INDIRECT("Report!B100:B10000"),B1073,INDIRECT("report!H100:H10000"),"Consums",INDIRECT("Report!L100:L10000"),"20,5")</f>
        <v>4048000</v>
      </c>
      <c r="D1073" s="250">
        <f t="shared" ref="D1073:D1081" ca="1" si="230">(C1073/11*10)</f>
        <v>3680000</v>
      </c>
      <c r="E1073" s="233">
        <f t="shared" ref="E1073:E1081" ca="1" si="231">SUMIFS(INDIRECT("Report!J100:J10000"),INDIRECT("Report!B100:B10000"),B1073,INDIRECT("report!H100:H10000"),"Consums",INDIRECT("Report!L100:L10000"),"20,5")</f>
        <v>952000</v>
      </c>
      <c r="F1073" s="555">
        <f t="shared" ref="F1073:F1081" ca="1" si="232">E1073/D1073</f>
        <v>0.25869565217391305</v>
      </c>
      <c r="G1073" s="244">
        <f ca="1">E1073*20%</f>
        <v>190400</v>
      </c>
    </row>
    <row r="1074" spans="1:10" ht="21" customHeight="1" x14ac:dyDescent="0.25">
      <c r="B1074" s="228" t="s">
        <v>458</v>
      </c>
      <c r="C1074" s="233">
        <f t="shared" ca="1" si="229"/>
        <v>7590000.0000000009</v>
      </c>
      <c r="D1074" s="250">
        <f t="shared" ca="1" si="230"/>
        <v>6900000.0000000009</v>
      </c>
      <c r="E1074" s="233">
        <f t="shared" ca="1" si="231"/>
        <v>1800000</v>
      </c>
      <c r="F1074" s="555">
        <f t="shared" ca="1" si="232"/>
        <v>0.26086956521739124</v>
      </c>
      <c r="G1074" s="244">
        <f t="shared" ref="G1074:G1081" ca="1" si="233">E1074*20%</f>
        <v>360000</v>
      </c>
    </row>
    <row r="1075" spans="1:10" ht="21" customHeight="1" x14ac:dyDescent="0.25">
      <c r="B1075" s="228" t="s">
        <v>453</v>
      </c>
      <c r="C1075" s="233">
        <f t="shared" ca="1" si="229"/>
        <v>2645500.0000000005</v>
      </c>
      <c r="D1075" s="250">
        <f t="shared" ca="1" si="230"/>
        <v>2405000.0000000005</v>
      </c>
      <c r="E1075" s="233">
        <f t="shared" ca="1" si="231"/>
        <v>75000</v>
      </c>
      <c r="F1075" s="555">
        <f t="shared" ca="1" si="232"/>
        <v>3.118503118503118E-2</v>
      </c>
      <c r="G1075" s="244">
        <f t="shared" ca="1" si="233"/>
        <v>15000</v>
      </c>
    </row>
    <row r="1076" spans="1:10" ht="21" customHeight="1" x14ac:dyDescent="0.25">
      <c r="B1076" s="228" t="s">
        <v>466</v>
      </c>
      <c r="C1076" s="233">
        <f t="shared" ca="1" si="229"/>
        <v>715000</v>
      </c>
      <c r="D1076" s="250">
        <f t="shared" ca="1" si="230"/>
        <v>650000</v>
      </c>
      <c r="E1076" s="233">
        <f t="shared" ca="1" si="231"/>
        <v>150000</v>
      </c>
      <c r="F1076" s="555">
        <f t="shared" ca="1" si="232"/>
        <v>0.23076923076923078</v>
      </c>
      <c r="G1076" s="244">
        <f t="shared" ca="1" si="233"/>
        <v>30000</v>
      </c>
    </row>
    <row r="1077" spans="1:10" ht="21" customHeight="1" x14ac:dyDescent="0.25">
      <c r="B1077" s="228" t="s">
        <v>523</v>
      </c>
      <c r="C1077" s="233">
        <f t="shared" ca="1" si="229"/>
        <v>1408000</v>
      </c>
      <c r="D1077" s="250">
        <f t="shared" ca="1" si="230"/>
        <v>1280000</v>
      </c>
      <c r="E1077" s="233">
        <f t="shared" ca="1" si="231"/>
        <v>430000</v>
      </c>
      <c r="F1077" s="555">
        <f t="shared" ca="1" si="232"/>
        <v>0.3359375</v>
      </c>
      <c r="G1077" s="244">
        <f t="shared" ca="1" si="233"/>
        <v>86000</v>
      </c>
    </row>
    <row r="1078" spans="1:10" ht="21" customHeight="1" x14ac:dyDescent="0.25">
      <c r="B1078" s="228" t="s">
        <v>2247</v>
      </c>
      <c r="C1078" s="233">
        <f t="shared" ca="1" si="229"/>
        <v>9147050</v>
      </c>
      <c r="D1078" s="250">
        <f t="shared" ca="1" si="230"/>
        <v>8315500</v>
      </c>
      <c r="E1078" s="233">
        <f t="shared" ca="1" si="231"/>
        <v>2329000</v>
      </c>
      <c r="F1078" s="555">
        <f t="shared" ca="1" si="232"/>
        <v>0.28007936985148219</v>
      </c>
      <c r="G1078" s="244">
        <f t="shared" ca="1" si="233"/>
        <v>465800</v>
      </c>
    </row>
    <row r="1079" spans="1:10" ht="21" customHeight="1" x14ac:dyDescent="0.25">
      <c r="B1079" s="228" t="s">
        <v>515</v>
      </c>
      <c r="C1079" s="233">
        <f t="shared" ca="1" si="229"/>
        <v>1155000</v>
      </c>
      <c r="D1079" s="250">
        <f t="shared" ca="1" si="230"/>
        <v>1050000</v>
      </c>
      <c r="E1079" s="233">
        <f t="shared" ca="1" si="231"/>
        <v>190000</v>
      </c>
      <c r="F1079" s="555">
        <f t="shared" ca="1" si="232"/>
        <v>0.18095238095238095</v>
      </c>
      <c r="G1079" s="244">
        <f t="shared" ca="1" si="233"/>
        <v>38000</v>
      </c>
    </row>
    <row r="1080" spans="1:10" ht="21" customHeight="1" x14ac:dyDescent="0.25">
      <c r="B1080" s="228" t="s">
        <v>468</v>
      </c>
      <c r="C1080" s="233">
        <f t="shared" ca="1" si="229"/>
        <v>1089000.0000000002</v>
      </c>
      <c r="D1080" s="250">
        <f t="shared" ca="1" si="230"/>
        <v>990000.00000000012</v>
      </c>
      <c r="E1080" s="233">
        <f t="shared" ca="1" si="231"/>
        <v>260000</v>
      </c>
      <c r="F1080" s="555">
        <f t="shared" ca="1" si="232"/>
        <v>0.2626262626262626</v>
      </c>
      <c r="G1080" s="244">
        <f t="shared" ca="1" si="233"/>
        <v>52000</v>
      </c>
    </row>
    <row r="1081" spans="1:10" ht="21" customHeight="1" x14ac:dyDescent="0.25">
      <c r="B1081" s="228" t="s">
        <v>2448</v>
      </c>
      <c r="C1081" s="233">
        <f t="shared" ca="1" si="229"/>
        <v>2310000</v>
      </c>
      <c r="D1081" s="250">
        <f t="shared" ca="1" si="230"/>
        <v>2100000</v>
      </c>
      <c r="E1081" s="233">
        <f t="shared" ca="1" si="231"/>
        <v>1180500</v>
      </c>
      <c r="F1081" s="555">
        <f t="shared" ca="1" si="232"/>
        <v>0.56214285714285717</v>
      </c>
      <c r="G1081" s="244">
        <f t="shared" ca="1" si="233"/>
        <v>236100</v>
      </c>
    </row>
    <row r="1082" spans="1:10" ht="21" customHeight="1" x14ac:dyDescent="0.25">
      <c r="B1082" s="279" t="s">
        <v>2741</v>
      </c>
      <c r="C1082" s="544">
        <f ca="1">SUM(C1073:C1081)</f>
        <v>30107550</v>
      </c>
      <c r="D1082" s="544">
        <f ca="1">SUM(D1073:D1081)</f>
        <v>27370500</v>
      </c>
      <c r="E1082" s="544">
        <f ca="1">SUM(E1073:E1081)</f>
        <v>7366500</v>
      </c>
      <c r="F1082" s="567">
        <f ca="1">E1082/D1082</f>
        <v>0.26914013262454101</v>
      </c>
      <c r="G1082" s="972">
        <f ca="1">SUM(G1073:G1081)</f>
        <v>1473300</v>
      </c>
    </row>
    <row r="1083" spans="1:10" ht="21" customHeight="1" x14ac:dyDescent="0.25">
      <c r="A1083" s="247" t="s">
        <v>2467</v>
      </c>
      <c r="B1083" s="228" t="s">
        <v>444</v>
      </c>
      <c r="C1083" s="233">
        <f ca="1">SUMIFS(INDIRECT("Report!F100:F10000"),INDIRECT("Report!B100:B10000"),B1083,INDIRECT("report!H100:H10000"),"Consums",INDIRECT("Report!L100:L10000"),"20,6")</f>
        <v>2365000</v>
      </c>
      <c r="D1083" s="250">
        <f t="shared" ref="D1083:D1090" ca="1" si="234">(C1083/11*10)</f>
        <v>2150000</v>
      </c>
      <c r="E1083" s="233">
        <f ca="1">SUMIFS(INDIRECT("Report!J100:J10000"),INDIRECT("Report!B100:B10000"),B1083,INDIRECT("report!H100:H10000"),"Consums",INDIRECT("Report!L100:L10000"),"20,6")</f>
        <v>551000</v>
      </c>
      <c r="F1083" s="555">
        <f t="shared" ref="F1083:F1090" ca="1" si="235">E1083/D1083</f>
        <v>0.25627906976744186</v>
      </c>
      <c r="G1083" s="244">
        <f ca="1">E1083*20%</f>
        <v>110200</v>
      </c>
    </row>
    <row r="1084" spans="1:10" ht="21" customHeight="1" x14ac:dyDescent="0.25">
      <c r="B1084" s="228" t="s">
        <v>2469</v>
      </c>
      <c r="C1084" s="233">
        <f t="shared" ref="C1084:C1090" ca="1" si="236">SUMIFS(INDIRECT("Report!F100:F10000"),INDIRECT("Report!B100:B10000"),B1084,INDIRECT("report!H100:H10000"),"Consums",INDIRECT("Report!L100:L10000"),"20,6")</f>
        <v>4895000</v>
      </c>
      <c r="D1084" s="250">
        <f t="shared" ca="1" si="234"/>
        <v>4450000</v>
      </c>
      <c r="E1084" s="233">
        <f t="shared" ref="E1084:E1090" ca="1" si="237">SUMIFS(INDIRECT("Report!J100:J10000"),INDIRECT("Report!B100:B10000"),B1084,INDIRECT("report!H100:H10000"),"Consums",INDIRECT("Report!L100:L10000"),"20,6")</f>
        <v>1450000</v>
      </c>
      <c r="F1084" s="555">
        <f t="shared" ca="1" si="235"/>
        <v>0.3258426966292135</v>
      </c>
      <c r="G1084" s="244">
        <f t="shared" ref="G1084:G1090" ca="1" si="238">E1084*20%</f>
        <v>290000</v>
      </c>
    </row>
    <row r="1085" spans="1:10" ht="21" customHeight="1" x14ac:dyDescent="0.25">
      <c r="B1085" s="228" t="s">
        <v>453</v>
      </c>
      <c r="C1085" s="233">
        <f t="shared" ca="1" si="236"/>
        <v>10830600</v>
      </c>
      <c r="D1085" s="250">
        <f t="shared" ca="1" si="234"/>
        <v>9846000</v>
      </c>
      <c r="E1085" s="233">
        <f t="shared" ca="1" si="237"/>
        <v>1314860</v>
      </c>
      <c r="F1085" s="555">
        <f t="shared" ca="1" si="235"/>
        <v>0.13354255535242737</v>
      </c>
      <c r="G1085" s="244">
        <f t="shared" ca="1" si="238"/>
        <v>262972</v>
      </c>
      <c r="J1085" s="227" t="s">
        <v>2468</v>
      </c>
    </row>
    <row r="1086" spans="1:10" ht="21" customHeight="1" x14ac:dyDescent="0.25">
      <c r="B1086" s="228" t="s">
        <v>466</v>
      </c>
      <c r="C1086" s="233">
        <f t="shared" ca="1" si="236"/>
        <v>962500</v>
      </c>
      <c r="D1086" s="250">
        <f t="shared" ca="1" si="234"/>
        <v>875000</v>
      </c>
      <c r="E1086" s="233">
        <f t="shared" ca="1" si="237"/>
        <v>175000</v>
      </c>
      <c r="F1086" s="555">
        <f t="shared" ca="1" si="235"/>
        <v>0.2</v>
      </c>
      <c r="G1086" s="244">
        <f t="shared" ca="1" si="238"/>
        <v>35000</v>
      </c>
      <c r="J1086" s="227" t="s">
        <v>2486</v>
      </c>
    </row>
    <row r="1087" spans="1:10" ht="21" customHeight="1" x14ac:dyDescent="0.25">
      <c r="B1087" s="228" t="s">
        <v>411</v>
      </c>
      <c r="C1087" s="233">
        <f t="shared" ca="1" si="236"/>
        <v>1100000</v>
      </c>
      <c r="D1087" s="250">
        <f t="shared" ca="1" si="234"/>
        <v>1000000</v>
      </c>
      <c r="E1087" s="233">
        <f t="shared" ca="1" si="237"/>
        <v>500000</v>
      </c>
      <c r="F1087" s="555">
        <f t="shared" ca="1" si="235"/>
        <v>0.5</v>
      </c>
      <c r="G1087" s="244">
        <f t="shared" ca="1" si="238"/>
        <v>100000</v>
      </c>
    </row>
    <row r="1088" spans="1:10" ht="21" customHeight="1" x14ac:dyDescent="0.25">
      <c r="B1088" s="228" t="s">
        <v>2247</v>
      </c>
      <c r="C1088" s="233">
        <f t="shared" ca="1" si="236"/>
        <v>6233150</v>
      </c>
      <c r="D1088" s="250">
        <f t="shared" ca="1" si="234"/>
        <v>5666500</v>
      </c>
      <c r="E1088" s="233">
        <f t="shared" ca="1" si="237"/>
        <v>1517000</v>
      </c>
      <c r="F1088" s="555">
        <f t="shared" ca="1" si="235"/>
        <v>0.2677137562869496</v>
      </c>
      <c r="G1088" s="244">
        <f t="shared" ca="1" si="238"/>
        <v>303400</v>
      </c>
    </row>
    <row r="1089" spans="1:7" ht="21" customHeight="1" x14ac:dyDescent="0.25">
      <c r="B1089" s="228" t="s">
        <v>515</v>
      </c>
      <c r="C1089" s="233">
        <f t="shared" ca="1" si="236"/>
        <v>2310000</v>
      </c>
      <c r="D1089" s="250">
        <f t="shared" ca="1" si="234"/>
        <v>2100000</v>
      </c>
      <c r="E1089" s="233">
        <f t="shared" ca="1" si="237"/>
        <v>380000</v>
      </c>
      <c r="F1089" s="555">
        <f t="shared" ca="1" si="235"/>
        <v>0.18095238095238095</v>
      </c>
      <c r="G1089" s="244">
        <f t="shared" ca="1" si="238"/>
        <v>76000</v>
      </c>
    </row>
    <row r="1090" spans="1:7" ht="21" customHeight="1" x14ac:dyDescent="0.25">
      <c r="B1090" s="228" t="s">
        <v>2125</v>
      </c>
      <c r="C1090" s="233">
        <f t="shared" ca="1" si="236"/>
        <v>1276110</v>
      </c>
      <c r="D1090" s="250">
        <f t="shared" ca="1" si="234"/>
        <v>1160100</v>
      </c>
      <c r="E1090" s="233">
        <f t="shared" ca="1" si="237"/>
        <v>1160100</v>
      </c>
      <c r="F1090" s="555">
        <f t="shared" ca="1" si="235"/>
        <v>1</v>
      </c>
      <c r="G1090" s="244">
        <f t="shared" ca="1" si="238"/>
        <v>232020</v>
      </c>
    </row>
    <row r="1091" spans="1:7" ht="21" customHeight="1" x14ac:dyDescent="0.25">
      <c r="B1091" s="279" t="s">
        <v>2741</v>
      </c>
      <c r="C1091" s="544">
        <f ca="1">SUM(C1083:C1090)</f>
        <v>29972360</v>
      </c>
      <c r="D1091" s="544">
        <f ca="1">SUM(D1083:D1090)</f>
        <v>27247600</v>
      </c>
      <c r="E1091" s="544">
        <f ca="1">SUM(E1083:E1090)</f>
        <v>7047960</v>
      </c>
      <c r="F1091" s="567">
        <f ca="1">E1091/D1091</f>
        <v>0.25866351531878035</v>
      </c>
      <c r="G1091" s="972">
        <f ca="1">SUM(G1083:G1090)+166000-19800</f>
        <v>1555792</v>
      </c>
    </row>
    <row r="1092" spans="1:7" ht="21" customHeight="1" x14ac:dyDescent="0.25">
      <c r="A1092" s="247" t="s">
        <v>2502</v>
      </c>
      <c r="B1092" s="228" t="s">
        <v>444</v>
      </c>
      <c r="C1092" s="233">
        <f t="shared" ref="C1092:C1104" ca="1" si="239">SUMIFS(INDIRECT("Report!F100:F10000"),INDIRECT("Report!B100:B10000"),B1092,INDIRECT("report!H100:H10000"),"Consums",INDIRECT("Report!L100:L10000"),"20,7")</f>
        <v>2981000</v>
      </c>
      <c r="D1092" s="250">
        <f t="shared" ref="D1092:D1104" ca="1" si="240">(C1092/11*10)</f>
        <v>2710000</v>
      </c>
      <c r="E1092" s="233">
        <f t="shared" ref="E1092:E1104" ca="1" si="241">SUMIFS(INDIRECT("Report!J100:J10000"),INDIRECT("Report!B100:B10000"),B1092,INDIRECT("report!H100:H10000"),"Consums",INDIRECT("Report!L100:L10000"),"20,7")</f>
        <v>1160012</v>
      </c>
      <c r="F1092" s="555">
        <f t="shared" ref="F1092:F1104" ca="1" si="242">E1092/D1092</f>
        <v>0.42804870848708487</v>
      </c>
      <c r="G1092" s="244">
        <f ca="1">E1092*20%</f>
        <v>232002.40000000002</v>
      </c>
    </row>
    <row r="1093" spans="1:7" ht="21" customHeight="1" x14ac:dyDescent="0.25">
      <c r="B1093" s="228" t="s">
        <v>2469</v>
      </c>
      <c r="C1093" s="233">
        <f t="shared" ca="1" si="239"/>
        <v>2277000</v>
      </c>
      <c r="D1093" s="250">
        <f t="shared" ca="1" si="240"/>
        <v>2070000</v>
      </c>
      <c r="E1093" s="233">
        <f t="shared" ca="1" si="241"/>
        <v>1153515</v>
      </c>
      <c r="F1093" s="555">
        <f t="shared" ca="1" si="242"/>
        <v>0.55725362318840577</v>
      </c>
      <c r="G1093" s="244">
        <f t="shared" ref="G1093:G1104" ca="1" si="243">E1093*20%</f>
        <v>230703</v>
      </c>
    </row>
    <row r="1094" spans="1:7" ht="21" customHeight="1" x14ac:dyDescent="0.25">
      <c r="B1094" s="228" t="s">
        <v>453</v>
      </c>
      <c r="C1094" s="233">
        <f t="shared" ca="1" si="239"/>
        <v>6856300</v>
      </c>
      <c r="D1094" s="250">
        <f t="shared" ca="1" si="240"/>
        <v>6233000</v>
      </c>
      <c r="E1094" s="233">
        <f t="shared" ca="1" si="241"/>
        <v>186860</v>
      </c>
      <c r="F1094" s="555">
        <f t="shared" ca="1" si="242"/>
        <v>2.9979143269693566E-2</v>
      </c>
      <c r="G1094" s="244">
        <f t="shared" ca="1" si="243"/>
        <v>37372</v>
      </c>
    </row>
    <row r="1095" spans="1:7" ht="21" customHeight="1" x14ac:dyDescent="0.25">
      <c r="B1095" s="228" t="s">
        <v>468</v>
      </c>
      <c r="C1095" s="233">
        <f t="shared" ca="1" si="239"/>
        <v>594000</v>
      </c>
      <c r="D1095" s="250">
        <f ca="1">(C1095/11*10)</f>
        <v>540000</v>
      </c>
      <c r="E1095" s="233">
        <f t="shared" ca="1" si="241"/>
        <v>260000</v>
      </c>
      <c r="F1095" s="555">
        <f ca="1">E1095/D1095</f>
        <v>0.48148148148148145</v>
      </c>
      <c r="G1095" s="244">
        <f ca="1">E1095*20%</f>
        <v>52000</v>
      </c>
    </row>
    <row r="1096" spans="1:7" ht="21" customHeight="1" x14ac:dyDescent="0.25">
      <c r="B1096" s="228" t="s">
        <v>523</v>
      </c>
      <c r="C1096" s="233">
        <f t="shared" ca="1" si="239"/>
        <v>1716000.0000000002</v>
      </c>
      <c r="D1096" s="250">
        <f ca="1">(C1096/11*10)</f>
        <v>1560000.0000000002</v>
      </c>
      <c r="E1096" s="233">
        <f t="shared" ca="1" si="241"/>
        <v>360000</v>
      </c>
      <c r="F1096" s="555">
        <f ca="1">E1096/D1096</f>
        <v>0.23076923076923073</v>
      </c>
      <c r="G1096" s="244">
        <f ca="1">E1096*20%</f>
        <v>72000</v>
      </c>
    </row>
    <row r="1097" spans="1:7" ht="21" customHeight="1" x14ac:dyDescent="0.25">
      <c r="B1097" s="228" t="s">
        <v>466</v>
      </c>
      <c r="C1097" s="233">
        <f t="shared" ca="1" si="239"/>
        <v>247500.00000000003</v>
      </c>
      <c r="D1097" s="250">
        <f t="shared" ca="1" si="240"/>
        <v>225000.00000000003</v>
      </c>
      <c r="E1097" s="233">
        <f t="shared" ca="1" si="241"/>
        <v>25000</v>
      </c>
      <c r="F1097" s="555">
        <f t="shared" ca="1" si="242"/>
        <v>0.11111111111111109</v>
      </c>
      <c r="G1097" s="244">
        <f t="shared" ca="1" si="243"/>
        <v>5000</v>
      </c>
    </row>
    <row r="1098" spans="1:7" ht="21" customHeight="1" x14ac:dyDescent="0.25">
      <c r="B1098" s="228" t="s">
        <v>411</v>
      </c>
      <c r="C1098" s="233">
        <f t="shared" ca="1" si="239"/>
        <v>1100000</v>
      </c>
      <c r="D1098" s="250">
        <f t="shared" ca="1" si="240"/>
        <v>1000000</v>
      </c>
      <c r="E1098" s="233">
        <f t="shared" ca="1" si="241"/>
        <v>500000</v>
      </c>
      <c r="F1098" s="555">
        <f t="shared" ca="1" si="242"/>
        <v>0.5</v>
      </c>
      <c r="G1098" s="244">
        <f t="shared" ca="1" si="243"/>
        <v>100000</v>
      </c>
    </row>
    <row r="1099" spans="1:7" ht="21" customHeight="1" x14ac:dyDescent="0.25">
      <c r="B1099" s="228" t="s">
        <v>2247</v>
      </c>
      <c r="C1099" s="233">
        <f t="shared" ca="1" si="239"/>
        <v>5559950</v>
      </c>
      <c r="D1099" s="250">
        <f t="shared" ca="1" si="240"/>
        <v>5054500</v>
      </c>
      <c r="E1099" s="233">
        <f t="shared" ca="1" si="241"/>
        <v>1176000</v>
      </c>
      <c r="F1099" s="555">
        <f t="shared" ca="1" si="242"/>
        <v>0.2326639628054209</v>
      </c>
      <c r="G1099" s="244">
        <f t="shared" ca="1" si="243"/>
        <v>235200</v>
      </c>
    </row>
    <row r="1100" spans="1:7" ht="21" customHeight="1" x14ac:dyDescent="0.25">
      <c r="B1100" s="228" t="s">
        <v>434</v>
      </c>
      <c r="C1100" s="233">
        <f t="shared" ca="1" si="239"/>
        <v>7590000.0000000009</v>
      </c>
      <c r="D1100" s="250">
        <f t="shared" ca="1" si="240"/>
        <v>6900000.0000000009</v>
      </c>
      <c r="E1100" s="233">
        <f t="shared" ca="1" si="241"/>
        <v>1800000</v>
      </c>
      <c r="F1100" s="555">
        <f t="shared" ca="1" si="242"/>
        <v>0.26086956521739124</v>
      </c>
      <c r="G1100" s="244">
        <f t="shared" ca="1" si="243"/>
        <v>360000</v>
      </c>
    </row>
    <row r="1101" spans="1:7" ht="21" customHeight="1" x14ac:dyDescent="0.25">
      <c r="B1101" s="228" t="s">
        <v>834</v>
      </c>
      <c r="C1101" s="233">
        <f t="shared" ca="1" si="239"/>
        <v>1918400.0000000002</v>
      </c>
      <c r="D1101" s="250">
        <f t="shared" ca="1" si="240"/>
        <v>1744000.0000000002</v>
      </c>
      <c r="E1101" s="233">
        <f t="shared" ca="1" si="241"/>
        <v>781920</v>
      </c>
      <c r="F1101" s="555">
        <f t="shared" ca="1" si="242"/>
        <v>0.44834862385321095</v>
      </c>
      <c r="G1101" s="244">
        <f t="shared" ca="1" si="243"/>
        <v>156384</v>
      </c>
    </row>
    <row r="1102" spans="1:7" ht="21" customHeight="1" x14ac:dyDescent="0.25">
      <c r="B1102" s="228" t="s">
        <v>465</v>
      </c>
      <c r="C1102" s="233">
        <f t="shared" ca="1" si="239"/>
        <v>2280300.0000000005</v>
      </c>
      <c r="D1102" s="250">
        <f t="shared" ca="1" si="240"/>
        <v>2073000.0000000002</v>
      </c>
      <c r="E1102" s="233">
        <f t="shared" ca="1" si="241"/>
        <v>457500</v>
      </c>
      <c r="F1102" s="555">
        <f t="shared" ca="1" si="242"/>
        <v>0.22069464544138925</v>
      </c>
      <c r="G1102" s="244">
        <f t="shared" ca="1" si="243"/>
        <v>91500</v>
      </c>
    </row>
    <row r="1103" spans="1:7" ht="21" customHeight="1" x14ac:dyDescent="0.25">
      <c r="B1103" s="228" t="s">
        <v>653</v>
      </c>
      <c r="C1103" s="233">
        <f t="shared" ca="1" si="239"/>
        <v>825000.00000000012</v>
      </c>
      <c r="D1103" s="250">
        <f t="shared" ca="1" si="240"/>
        <v>750000.00000000012</v>
      </c>
      <c r="E1103" s="233">
        <f t="shared" ca="1" si="241"/>
        <v>200000</v>
      </c>
      <c r="F1103" s="555">
        <f t="shared" ca="1" si="242"/>
        <v>0.26666666666666661</v>
      </c>
      <c r="G1103" s="244">
        <f t="shared" ca="1" si="243"/>
        <v>40000</v>
      </c>
    </row>
    <row r="1104" spans="1:7" ht="21" customHeight="1" x14ac:dyDescent="0.25">
      <c r="B1104" s="228" t="s">
        <v>1325</v>
      </c>
      <c r="C1104" s="233">
        <f t="shared" ca="1" si="239"/>
        <v>1320000</v>
      </c>
      <c r="D1104" s="250">
        <f t="shared" ca="1" si="240"/>
        <v>1200000</v>
      </c>
      <c r="E1104" s="233">
        <f t="shared" ca="1" si="241"/>
        <v>-1189305</v>
      </c>
      <c r="F1104" s="555">
        <f t="shared" ca="1" si="242"/>
        <v>-0.99108750000000001</v>
      </c>
      <c r="G1104" s="244">
        <f t="shared" ca="1" si="243"/>
        <v>-237861</v>
      </c>
    </row>
    <row r="1105" spans="1:10" ht="21" customHeight="1" x14ac:dyDescent="0.25">
      <c r="B1105" s="279" t="s">
        <v>2741</v>
      </c>
      <c r="C1105" s="544">
        <f ca="1">SUM(C1092:C1104)</f>
        <v>35265450</v>
      </c>
      <c r="D1105" s="544">
        <f ca="1">SUM(D1092:D1104)</f>
        <v>32059500</v>
      </c>
      <c r="E1105" s="544">
        <f ca="1">SUM(E1092:E1104)</f>
        <v>6871502</v>
      </c>
      <c r="F1105" s="567">
        <f t="shared" ref="F1105:F1116" ca="1" si="244">E1105/D1105</f>
        <v>0.21433590667352892</v>
      </c>
      <c r="G1105" s="972">
        <f ca="1">SUM(G1092:G1104)-24200</f>
        <v>1350100.4</v>
      </c>
      <c r="I1105" s="227">
        <f>120934*0.2</f>
        <v>24186.800000000003</v>
      </c>
      <c r="J1105" s="227" t="s">
        <v>2504</v>
      </c>
    </row>
    <row r="1106" spans="1:10" ht="21" customHeight="1" x14ac:dyDescent="0.25">
      <c r="A1106" s="247" t="s">
        <v>2525</v>
      </c>
      <c r="B1106" s="228" t="s">
        <v>444</v>
      </c>
      <c r="C1106" s="233">
        <f t="shared" ref="C1106:C1115" ca="1" si="245">SUMIFS(INDIRECT("Report!F100:F10000"),INDIRECT("Report!B100:B10000"),B1106,INDIRECT("report!H100:H10000"),"Consums",INDIRECT("Report!L100:L10000"),"20,8")</f>
        <v>3245000</v>
      </c>
      <c r="D1106" s="250">
        <f t="shared" ref="D1106:D1115" ca="1" si="246">(C1106/11*10)</f>
        <v>2950000</v>
      </c>
      <c r="E1106" s="233">
        <f t="shared" ref="E1106:E1115" ca="1" si="247">SUMIFS(INDIRECT("Report!J100:J10000"),INDIRECT("Report!B100:B10000"),B1106,INDIRECT("report!H100:H10000"),"Consums",INDIRECT("Report!L100:L10000"),"20,8")</f>
        <v>991008</v>
      </c>
      <c r="F1106" s="555">
        <f t="shared" ca="1" si="244"/>
        <v>0.3359349152542373</v>
      </c>
      <c r="G1106" s="244">
        <f t="shared" ref="G1106:G1115" ca="1" si="248">E1106*20%</f>
        <v>198201.60000000001</v>
      </c>
    </row>
    <row r="1107" spans="1:10" ht="21" customHeight="1" x14ac:dyDescent="0.25">
      <c r="B1107" s="228" t="s">
        <v>2526</v>
      </c>
      <c r="C1107" s="233">
        <f t="shared" ca="1" si="245"/>
        <v>242000.00000000003</v>
      </c>
      <c r="D1107" s="250">
        <f t="shared" ca="1" si="246"/>
        <v>220000.00000000003</v>
      </c>
      <c r="E1107" s="233">
        <f t="shared" ca="1" si="247"/>
        <v>30000</v>
      </c>
      <c r="F1107" s="555">
        <f t="shared" ca="1" si="244"/>
        <v>0.13636363636363635</v>
      </c>
      <c r="G1107" s="244">
        <f t="shared" ca="1" si="248"/>
        <v>6000</v>
      </c>
    </row>
    <row r="1108" spans="1:10" ht="21" customHeight="1" x14ac:dyDescent="0.25">
      <c r="B1108" s="228" t="s">
        <v>453</v>
      </c>
      <c r="C1108" s="233">
        <f t="shared" ca="1" si="245"/>
        <v>10217900</v>
      </c>
      <c r="D1108" s="250">
        <f t="shared" ca="1" si="246"/>
        <v>9289000</v>
      </c>
      <c r="E1108" s="233">
        <f t="shared" ca="1" si="247"/>
        <v>890860</v>
      </c>
      <c r="F1108" s="555">
        <f t="shared" ca="1" si="244"/>
        <v>9.5904833674238341E-2</v>
      </c>
      <c r="G1108" s="244">
        <f t="shared" ca="1" si="248"/>
        <v>178172</v>
      </c>
    </row>
    <row r="1109" spans="1:10" ht="21" customHeight="1" x14ac:dyDescent="0.25">
      <c r="B1109" s="228" t="s">
        <v>2125</v>
      </c>
      <c r="C1109" s="233">
        <f t="shared" ca="1" si="245"/>
        <v>1342440</v>
      </c>
      <c r="D1109" s="250">
        <f t="shared" ca="1" si="246"/>
        <v>1220400</v>
      </c>
      <c r="E1109" s="233">
        <f t="shared" ca="1" si="247"/>
        <v>1220400</v>
      </c>
      <c r="F1109" s="555">
        <f t="shared" ca="1" si="244"/>
        <v>1</v>
      </c>
      <c r="G1109" s="244">
        <f t="shared" ca="1" si="248"/>
        <v>244080</v>
      </c>
    </row>
    <row r="1110" spans="1:10" ht="21" customHeight="1" x14ac:dyDescent="0.25">
      <c r="B1110" s="228" t="s">
        <v>515</v>
      </c>
      <c r="C1110" s="233">
        <f t="shared" ca="1" si="245"/>
        <v>1617000.0000000002</v>
      </c>
      <c r="D1110" s="250">
        <f t="shared" ca="1" si="246"/>
        <v>1470000.0000000002</v>
      </c>
      <c r="E1110" s="233">
        <f t="shared" ca="1" si="247"/>
        <v>266000</v>
      </c>
      <c r="F1110" s="555">
        <f t="shared" ca="1" si="244"/>
        <v>0.18095238095238092</v>
      </c>
      <c r="G1110" s="244">
        <f t="shared" ca="1" si="248"/>
        <v>53200</v>
      </c>
    </row>
    <row r="1111" spans="1:10" ht="21" customHeight="1" x14ac:dyDescent="0.25">
      <c r="B1111" s="228" t="s">
        <v>466</v>
      </c>
      <c r="C1111" s="233">
        <f t="shared" ca="1" si="245"/>
        <v>962500</v>
      </c>
      <c r="D1111" s="250">
        <f t="shared" ca="1" si="246"/>
        <v>875000</v>
      </c>
      <c r="E1111" s="233">
        <f t="shared" ca="1" si="247"/>
        <v>175000</v>
      </c>
      <c r="F1111" s="555">
        <f t="shared" ca="1" si="244"/>
        <v>0.2</v>
      </c>
      <c r="G1111" s="244">
        <f t="shared" ca="1" si="248"/>
        <v>35000</v>
      </c>
    </row>
    <row r="1112" spans="1:10" ht="21" customHeight="1" x14ac:dyDescent="0.25">
      <c r="B1112" s="228" t="s">
        <v>411</v>
      </c>
      <c r="C1112" s="233">
        <f t="shared" ca="1" si="245"/>
        <v>1100000</v>
      </c>
      <c r="D1112" s="250">
        <f t="shared" ca="1" si="246"/>
        <v>1000000</v>
      </c>
      <c r="E1112" s="233">
        <f t="shared" ca="1" si="247"/>
        <v>500000</v>
      </c>
      <c r="F1112" s="555">
        <f t="shared" ca="1" si="244"/>
        <v>0.5</v>
      </c>
      <c r="G1112" s="244">
        <f t="shared" ca="1" si="248"/>
        <v>100000</v>
      </c>
    </row>
    <row r="1113" spans="1:10" ht="21" customHeight="1" x14ac:dyDescent="0.25">
      <c r="B1113" s="228" t="s">
        <v>2247</v>
      </c>
      <c r="C1113" s="233">
        <f t="shared" ca="1" si="245"/>
        <v>9557900</v>
      </c>
      <c r="D1113" s="250">
        <f t="shared" ca="1" si="246"/>
        <v>8689000</v>
      </c>
      <c r="E1113" s="233">
        <f t="shared" ca="1" si="247"/>
        <v>2282000</v>
      </c>
      <c r="F1113" s="555">
        <f t="shared" ca="1" si="244"/>
        <v>0.26263091264817584</v>
      </c>
      <c r="G1113" s="244">
        <f t="shared" ca="1" si="248"/>
        <v>456400</v>
      </c>
    </row>
    <row r="1114" spans="1:10" ht="21" customHeight="1" x14ac:dyDescent="0.25">
      <c r="B1114" s="228" t="s">
        <v>434</v>
      </c>
      <c r="C1114" s="233">
        <f t="shared" ca="1" si="245"/>
        <v>7590000.0000000009</v>
      </c>
      <c r="D1114" s="250">
        <f t="shared" ca="1" si="246"/>
        <v>6900000.0000000009</v>
      </c>
      <c r="E1114" s="233">
        <f t="shared" ca="1" si="247"/>
        <v>1800000</v>
      </c>
      <c r="F1114" s="555">
        <f t="shared" ca="1" si="244"/>
        <v>0.26086956521739124</v>
      </c>
      <c r="G1114" s="244">
        <f t="shared" ca="1" si="248"/>
        <v>360000</v>
      </c>
    </row>
    <row r="1115" spans="1:10" ht="21" customHeight="1" x14ac:dyDescent="0.25">
      <c r="B1115" s="228" t="s">
        <v>834</v>
      </c>
      <c r="C1115" s="233">
        <f t="shared" ca="1" si="245"/>
        <v>1918400.0000000002</v>
      </c>
      <c r="D1115" s="250">
        <f t="shared" ca="1" si="246"/>
        <v>1744000.0000000002</v>
      </c>
      <c r="E1115" s="233">
        <f t="shared" ca="1" si="247"/>
        <v>781920</v>
      </c>
      <c r="F1115" s="555">
        <f t="shared" ca="1" si="244"/>
        <v>0.44834862385321095</v>
      </c>
      <c r="G1115" s="244">
        <f t="shared" ca="1" si="248"/>
        <v>156384</v>
      </c>
    </row>
    <row r="1116" spans="1:10" ht="21" customHeight="1" x14ac:dyDescent="0.25">
      <c r="B1116" s="279" t="s">
        <v>2741</v>
      </c>
      <c r="C1116" s="544">
        <f ca="1">SUM(C1106:C1115)</f>
        <v>37793140</v>
      </c>
      <c r="D1116" s="544">
        <f ca="1">SUM(D1106:D1115)</f>
        <v>34357400</v>
      </c>
      <c r="E1116" s="544">
        <f ca="1">SUM(E1106:E1115)</f>
        <v>8937188</v>
      </c>
      <c r="F1116" s="567">
        <f t="shared" ca="1" si="244"/>
        <v>0.26012410717923939</v>
      </c>
      <c r="G1116" s="972">
        <f ca="1">SUM(G1106:G1115)-24200</f>
        <v>1763237.6</v>
      </c>
      <c r="I1116" s="227">
        <f>199100*0.2</f>
        <v>39820</v>
      </c>
      <c r="J1116" s="227" t="s">
        <v>2527</v>
      </c>
    </row>
    <row r="1117" spans="1:10" ht="21" customHeight="1" x14ac:dyDescent="0.25">
      <c r="A1117" s="247" t="s">
        <v>2551</v>
      </c>
      <c r="B1117" s="228" t="s">
        <v>444</v>
      </c>
      <c r="C1117" s="233">
        <f ca="1">SUMIFS(INDIRECT("Report!F100:F10000"),INDIRECT("Report!B100:B10000"),B1117,INDIRECT("report!H100:H10000"),"Consums",INDIRECT("Report!L100:L10000"),"20,9")</f>
        <v>9845000</v>
      </c>
      <c r="D1117" s="250">
        <f t="shared" ref="D1117:D1126" ca="1" si="249">(C1117/11*10)</f>
        <v>8950000</v>
      </c>
      <c r="E1117" s="233">
        <f ca="1">SUMIFS(INDIRECT("Report!J100:J10000"),INDIRECT("Report!B100:B10000"),B1117,INDIRECT("report!H100:H10000"),"Consums",INDIRECT("Report!L100:L10000"),"20,9")</f>
        <v>3252036</v>
      </c>
      <c r="F1117" s="555">
        <f t="shared" ref="F1117:F1127" ca="1" si="250">E1117/D1117</f>
        <v>0.36335597765363131</v>
      </c>
      <c r="G1117" s="244">
        <f t="shared" ref="G1117:G1126" ca="1" si="251">E1117*20%</f>
        <v>650407.20000000007</v>
      </c>
    </row>
    <row r="1118" spans="1:10" ht="21" customHeight="1" x14ac:dyDescent="0.25">
      <c r="B1118" s="228" t="s">
        <v>523</v>
      </c>
      <c r="C1118" s="233">
        <f ca="1">SUMIFS(INDIRECT("Report!F100:F10000"),INDIRECT("Report!B100:B10000"),B1118,INDIRECT("report!H100:H10000"),"Consums",INDIRECT("Report!L100:L10000"),"20,9")</f>
        <v>13640000.000000002</v>
      </c>
      <c r="D1118" s="250">
        <f t="shared" ca="1" si="249"/>
        <v>12400000.000000002</v>
      </c>
      <c r="E1118" s="233">
        <f t="shared" ref="E1118:E1126" ca="1" si="252">SUMIFS(INDIRECT("Report!J100:J10000"),INDIRECT("Report!B100:B10000"),B1118,INDIRECT("report!H100:H10000"),"Consums",INDIRECT("Report!L100:L10000"),"20,9")</f>
        <v>1281600</v>
      </c>
      <c r="F1118" s="555">
        <f t="shared" ca="1" si="250"/>
        <v>0.1033548387096774</v>
      </c>
      <c r="G1118" s="244">
        <f t="shared" ca="1" si="251"/>
        <v>256320</v>
      </c>
    </row>
    <row r="1119" spans="1:10" ht="21" customHeight="1" x14ac:dyDescent="0.25">
      <c r="B1119" s="228" t="s">
        <v>453</v>
      </c>
      <c r="C1119" s="233">
        <f t="shared" ref="C1119:C1126" ca="1" si="253">SUMIFS(INDIRECT("Report!F100:F10000"),INDIRECT("Report!B100:B10000"),B1119,INDIRECT("report!H100:H10000"),"Consums",INDIRECT("Report!L100:L10000"),"20,9")</f>
        <v>8787900</v>
      </c>
      <c r="D1119" s="250">
        <f t="shared" ca="1" si="249"/>
        <v>7989000</v>
      </c>
      <c r="E1119" s="233">
        <f t="shared" ca="1" si="252"/>
        <v>668860</v>
      </c>
      <c r="F1119" s="555">
        <f t="shared" ca="1" si="250"/>
        <v>8.3722618600575796E-2</v>
      </c>
      <c r="G1119" s="244">
        <f t="shared" ca="1" si="251"/>
        <v>133772</v>
      </c>
    </row>
    <row r="1120" spans="1:10" ht="21" customHeight="1" x14ac:dyDescent="0.25">
      <c r="B1120" s="228" t="s">
        <v>1757</v>
      </c>
      <c r="C1120" s="233">
        <f t="shared" ca="1" si="253"/>
        <v>16500000.000000002</v>
      </c>
      <c r="D1120" s="250">
        <f t="shared" ca="1" si="249"/>
        <v>15000000.000000002</v>
      </c>
      <c r="E1120" s="233">
        <f t="shared" ca="1" si="252"/>
        <v>5800000</v>
      </c>
      <c r="F1120" s="555">
        <f t="shared" ca="1" si="250"/>
        <v>0.3866666666666666</v>
      </c>
      <c r="G1120" s="244">
        <f t="shared" ca="1" si="251"/>
        <v>1160000</v>
      </c>
    </row>
    <row r="1121" spans="1:7" ht="21" customHeight="1" x14ac:dyDescent="0.25">
      <c r="B1121" s="228" t="s">
        <v>515</v>
      </c>
      <c r="C1121" s="233">
        <f t="shared" ca="1" si="253"/>
        <v>1386000</v>
      </c>
      <c r="D1121" s="250">
        <f t="shared" ca="1" si="249"/>
        <v>1260000</v>
      </c>
      <c r="E1121" s="233">
        <f t="shared" ca="1" si="252"/>
        <v>228000</v>
      </c>
      <c r="F1121" s="555">
        <f t="shared" ca="1" si="250"/>
        <v>0.18095238095238095</v>
      </c>
      <c r="G1121" s="244">
        <f t="shared" ca="1" si="251"/>
        <v>45600</v>
      </c>
    </row>
    <row r="1122" spans="1:7" ht="21" customHeight="1" x14ac:dyDescent="0.25">
      <c r="B1122" s="228" t="s">
        <v>466</v>
      </c>
      <c r="C1122" s="233">
        <f t="shared" ca="1" si="253"/>
        <v>962500</v>
      </c>
      <c r="D1122" s="250">
        <f t="shared" ca="1" si="249"/>
        <v>875000</v>
      </c>
      <c r="E1122" s="233">
        <f t="shared" ca="1" si="252"/>
        <v>175000</v>
      </c>
      <c r="F1122" s="555">
        <f t="shared" ca="1" si="250"/>
        <v>0.2</v>
      </c>
      <c r="G1122" s="244">
        <f t="shared" ca="1" si="251"/>
        <v>35000</v>
      </c>
    </row>
    <row r="1123" spans="1:7" ht="21" customHeight="1" x14ac:dyDescent="0.25">
      <c r="B1123" s="228" t="s">
        <v>526</v>
      </c>
      <c r="C1123" s="233">
        <f t="shared" ca="1" si="253"/>
        <v>9350000</v>
      </c>
      <c r="D1123" s="250">
        <f t="shared" ca="1" si="249"/>
        <v>8500000</v>
      </c>
      <c r="E1123" s="233">
        <f t="shared" ca="1" si="252"/>
        <v>1471000</v>
      </c>
      <c r="F1123" s="555">
        <f t="shared" ca="1" si="250"/>
        <v>0.17305882352941176</v>
      </c>
      <c r="G1123" s="244">
        <f t="shared" ca="1" si="251"/>
        <v>294200</v>
      </c>
    </row>
    <row r="1124" spans="1:7" ht="21" customHeight="1" x14ac:dyDescent="0.25">
      <c r="B1124" s="228" t="s">
        <v>2247</v>
      </c>
      <c r="C1124" s="233">
        <f t="shared" ca="1" si="253"/>
        <v>9046950</v>
      </c>
      <c r="D1124" s="250">
        <f t="shared" ca="1" si="249"/>
        <v>8224500</v>
      </c>
      <c r="E1124" s="233">
        <f t="shared" ca="1" si="252"/>
        <v>2043000</v>
      </c>
      <c r="F1124" s="555">
        <f t="shared" ca="1" si="250"/>
        <v>0.2484041583074959</v>
      </c>
      <c r="G1124" s="244">
        <f t="shared" ca="1" si="251"/>
        <v>408600</v>
      </c>
    </row>
    <row r="1125" spans="1:7" ht="21" customHeight="1" x14ac:dyDescent="0.25">
      <c r="B1125" s="228" t="s">
        <v>434</v>
      </c>
      <c r="C1125" s="233">
        <f t="shared" ca="1" si="253"/>
        <v>7590000.0000000009</v>
      </c>
      <c r="D1125" s="250">
        <f t="shared" ca="1" si="249"/>
        <v>6900000.0000000009</v>
      </c>
      <c r="E1125" s="233">
        <f t="shared" ca="1" si="252"/>
        <v>1800000</v>
      </c>
      <c r="F1125" s="555">
        <f t="shared" ca="1" si="250"/>
        <v>0.26086956521739124</v>
      </c>
      <c r="G1125" s="244">
        <f t="shared" ca="1" si="251"/>
        <v>360000</v>
      </c>
    </row>
    <row r="1126" spans="1:7" ht="21" customHeight="1" x14ac:dyDescent="0.25">
      <c r="B1126" s="228" t="s">
        <v>834</v>
      </c>
      <c r="C1126" s="233">
        <f t="shared" ca="1" si="253"/>
        <v>1918400.0000000002</v>
      </c>
      <c r="D1126" s="250">
        <f t="shared" ca="1" si="249"/>
        <v>1744000.0000000002</v>
      </c>
      <c r="E1126" s="233">
        <f t="shared" ca="1" si="252"/>
        <v>781920</v>
      </c>
      <c r="F1126" s="555">
        <f t="shared" ca="1" si="250"/>
        <v>0.44834862385321095</v>
      </c>
      <c r="G1126" s="244">
        <f t="shared" ca="1" si="251"/>
        <v>156384</v>
      </c>
    </row>
    <row r="1127" spans="1:7" ht="21" customHeight="1" x14ac:dyDescent="0.25">
      <c r="B1127" s="279" t="s">
        <v>2741</v>
      </c>
      <c r="C1127" s="544">
        <f ca="1">SUM(C1117:C1126)</f>
        <v>79026750</v>
      </c>
      <c r="D1127" s="544">
        <f ca="1">SUM(D1117:D1126)</f>
        <v>71842500</v>
      </c>
      <c r="E1127" s="544">
        <f ca="1">SUM(E1117:E1126)</f>
        <v>17501416</v>
      </c>
      <c r="F1127" s="567">
        <f t="shared" ca="1" si="250"/>
        <v>0.24360811497372725</v>
      </c>
      <c r="G1127" s="972">
        <f ca="1">SUM(G1117:G1126)-24200</f>
        <v>3476083.2</v>
      </c>
    </row>
    <row r="1128" spans="1:7" ht="21" customHeight="1" x14ac:dyDescent="0.25">
      <c r="A1128" s="247" t="s">
        <v>2594</v>
      </c>
      <c r="B1128" s="228" t="s">
        <v>444</v>
      </c>
      <c r="C1128" s="233">
        <f t="shared" ref="C1128:C1137" ca="1" si="254">SUMIFS(INDIRECT("Report!F100:F10000"),INDIRECT("Report!B100:B10000"),B1128,INDIRECT("report!H100:H10000"),"Consums",INDIRECT("Report!L100:L10000"),"20,10")</f>
        <v>3916000</v>
      </c>
      <c r="D1128" s="250">
        <f t="shared" ref="D1128:D1137" ca="1" si="255">(C1128/11*10)</f>
        <v>3560000</v>
      </c>
      <c r="E1128" s="233">
        <f t="shared" ref="E1128:E1137" ca="1" si="256">SUMIFS(INDIRECT("Report!J100:J10000"),INDIRECT("Report!B100:B10000"),B1128,INDIRECT("report!H100:H10000"),"Consums",INDIRECT("Report!L100:L10000"),"20,10")</f>
        <v>1267820</v>
      </c>
      <c r="F1128" s="555">
        <f t="shared" ref="F1128:F1138" ca="1" si="257">E1128/D1128</f>
        <v>0.35612921348314608</v>
      </c>
      <c r="G1128" s="244">
        <f t="shared" ref="G1128:G1137" ca="1" si="258">E1128*20%</f>
        <v>253564</v>
      </c>
    </row>
    <row r="1129" spans="1:7" ht="21" customHeight="1" x14ac:dyDescent="0.25">
      <c r="B1129" s="228" t="s">
        <v>523</v>
      </c>
      <c r="C1129" s="233">
        <f t="shared" ca="1" si="254"/>
        <v>16049000.000000002</v>
      </c>
      <c r="D1129" s="250">
        <f t="shared" ca="1" si="255"/>
        <v>14590000.000000002</v>
      </c>
      <c r="E1129" s="233">
        <f t="shared" ca="1" si="256"/>
        <v>1708100</v>
      </c>
      <c r="F1129" s="555">
        <f t="shared" ca="1" si="257"/>
        <v>0.11707333790267305</v>
      </c>
      <c r="G1129" s="244">
        <f t="shared" ca="1" si="258"/>
        <v>341620</v>
      </c>
    </row>
    <row r="1130" spans="1:7" ht="21" customHeight="1" x14ac:dyDescent="0.25">
      <c r="B1130" s="228" t="s">
        <v>453</v>
      </c>
      <c r="C1130" s="233">
        <f t="shared" ca="1" si="254"/>
        <v>9367600</v>
      </c>
      <c r="D1130" s="250">
        <f t="shared" ca="1" si="255"/>
        <v>8516000</v>
      </c>
      <c r="E1130" s="233">
        <f t="shared" ca="1" si="256"/>
        <v>910860</v>
      </c>
      <c r="F1130" s="555">
        <f t="shared" ca="1" si="257"/>
        <v>0.10695866604039456</v>
      </c>
      <c r="G1130" s="244">
        <f t="shared" ca="1" si="258"/>
        <v>182172</v>
      </c>
    </row>
    <row r="1131" spans="1:7" ht="21" customHeight="1" x14ac:dyDescent="0.25">
      <c r="B1131" s="228" t="s">
        <v>2595</v>
      </c>
      <c r="C1131" s="233">
        <f t="shared" ca="1" si="254"/>
        <v>2310000</v>
      </c>
      <c r="D1131" s="250">
        <f t="shared" ca="1" si="255"/>
        <v>2100000</v>
      </c>
      <c r="E1131" s="233">
        <f t="shared" ca="1" si="256"/>
        <v>1319514</v>
      </c>
      <c r="F1131" s="555">
        <f t="shared" ca="1" si="257"/>
        <v>0.62834000000000001</v>
      </c>
      <c r="G1131" s="244">
        <f t="shared" ca="1" si="258"/>
        <v>263902.8</v>
      </c>
    </row>
    <row r="1132" spans="1:7" ht="21" customHeight="1" x14ac:dyDescent="0.25">
      <c r="B1132" s="228" t="s">
        <v>515</v>
      </c>
      <c r="C1132" s="233">
        <f t="shared" ca="1" si="254"/>
        <v>1732500.0000000002</v>
      </c>
      <c r="D1132" s="250">
        <f t="shared" ca="1" si="255"/>
        <v>1575000.0000000002</v>
      </c>
      <c r="E1132" s="233">
        <f t="shared" ca="1" si="256"/>
        <v>285000</v>
      </c>
      <c r="F1132" s="555">
        <f t="shared" ca="1" si="257"/>
        <v>0.18095238095238092</v>
      </c>
      <c r="G1132" s="244">
        <f t="shared" ca="1" si="258"/>
        <v>57000</v>
      </c>
    </row>
    <row r="1133" spans="1:7" ht="21" customHeight="1" x14ac:dyDescent="0.25">
      <c r="B1133" s="228" t="s">
        <v>430</v>
      </c>
      <c r="C1133" s="233">
        <f t="shared" ca="1" si="254"/>
        <v>1100000</v>
      </c>
      <c r="D1133" s="250">
        <f t="shared" ca="1" si="255"/>
        <v>1000000</v>
      </c>
      <c r="E1133" s="233">
        <f t="shared" ca="1" si="256"/>
        <v>500000</v>
      </c>
      <c r="F1133" s="555">
        <f t="shared" ca="1" si="257"/>
        <v>0.5</v>
      </c>
      <c r="G1133" s="244">
        <f t="shared" ca="1" si="258"/>
        <v>100000</v>
      </c>
    </row>
    <row r="1134" spans="1:7" ht="21" customHeight="1" x14ac:dyDescent="0.25">
      <c r="B1134" s="228" t="s">
        <v>2125</v>
      </c>
      <c r="C1134" s="233">
        <f t="shared" ca="1" si="254"/>
        <v>1985500.0000000002</v>
      </c>
      <c r="D1134" s="250">
        <f t="shared" ca="1" si="255"/>
        <v>1805000.0000000002</v>
      </c>
      <c r="E1134" s="233">
        <f t="shared" ca="1" si="256"/>
        <v>1805000</v>
      </c>
      <c r="F1134" s="555">
        <f t="shared" ca="1" si="257"/>
        <v>0.99999999999999989</v>
      </c>
      <c r="G1134" s="244">
        <f t="shared" ca="1" si="258"/>
        <v>361000</v>
      </c>
    </row>
    <row r="1135" spans="1:7" ht="21" customHeight="1" x14ac:dyDescent="0.25">
      <c r="B1135" s="228" t="s">
        <v>2247</v>
      </c>
      <c r="C1135" s="233">
        <f t="shared" ca="1" si="254"/>
        <v>8885250</v>
      </c>
      <c r="D1135" s="250">
        <f t="shared" ca="1" si="255"/>
        <v>8077500</v>
      </c>
      <c r="E1135" s="233">
        <f t="shared" ca="1" si="256"/>
        <v>2295000</v>
      </c>
      <c r="F1135" s="555">
        <f t="shared" ca="1" si="257"/>
        <v>0.28412256267409469</v>
      </c>
      <c r="G1135" s="244">
        <f t="shared" ca="1" si="258"/>
        <v>459000</v>
      </c>
    </row>
    <row r="1136" spans="1:7" ht="21" customHeight="1" x14ac:dyDescent="0.25">
      <c r="B1136" s="228" t="s">
        <v>434</v>
      </c>
      <c r="C1136" s="233">
        <f t="shared" ca="1" si="254"/>
        <v>7590000.0000000009</v>
      </c>
      <c r="D1136" s="250">
        <f t="shared" ca="1" si="255"/>
        <v>6900000.0000000009</v>
      </c>
      <c r="E1136" s="233">
        <f t="shared" ca="1" si="256"/>
        <v>1800000</v>
      </c>
      <c r="F1136" s="555">
        <f t="shared" ca="1" si="257"/>
        <v>0.26086956521739124</v>
      </c>
      <c r="G1136" s="244">
        <f t="shared" ca="1" si="258"/>
        <v>360000</v>
      </c>
    </row>
    <row r="1137" spans="1:10" ht="21" customHeight="1" x14ac:dyDescent="0.25">
      <c r="B1137" s="228" t="s">
        <v>834</v>
      </c>
      <c r="C1137" s="233">
        <f t="shared" ca="1" si="254"/>
        <v>1918400.0000000002</v>
      </c>
      <c r="D1137" s="250">
        <f t="shared" ca="1" si="255"/>
        <v>1744000.0000000002</v>
      </c>
      <c r="E1137" s="233">
        <f t="shared" ca="1" si="256"/>
        <v>781920</v>
      </c>
      <c r="F1137" s="555">
        <f t="shared" ca="1" si="257"/>
        <v>0.44834862385321095</v>
      </c>
      <c r="G1137" s="244">
        <f t="shared" ca="1" si="258"/>
        <v>156384</v>
      </c>
    </row>
    <row r="1138" spans="1:10" ht="21" customHeight="1" x14ac:dyDescent="0.25">
      <c r="B1138" s="279" t="s">
        <v>2741</v>
      </c>
      <c r="C1138" s="544">
        <f ca="1">SUM(C1128:C1137)</f>
        <v>54854250</v>
      </c>
      <c r="D1138" s="544">
        <f ca="1">SUM(D1128:D1137)</f>
        <v>49867500</v>
      </c>
      <c r="E1138" s="544">
        <f ca="1">SUM(E1128:E1137)</f>
        <v>12673214</v>
      </c>
      <c r="F1138" s="567">
        <f t="shared" ca="1" si="257"/>
        <v>0.25413774502431441</v>
      </c>
      <c r="G1138" s="972">
        <f ca="1">SUM(G1128:G1137)-24200</f>
        <v>2510442.7999999998</v>
      </c>
      <c r="I1138" s="227">
        <f>122100*0.2</f>
        <v>24420</v>
      </c>
      <c r="J1138" s="227" t="s">
        <v>2602</v>
      </c>
    </row>
    <row r="1139" spans="1:10" ht="21" customHeight="1" x14ac:dyDescent="0.25">
      <c r="A1139" s="247" t="s">
        <v>2623</v>
      </c>
      <c r="B1139" s="228" t="s">
        <v>444</v>
      </c>
      <c r="C1139" s="233">
        <f t="shared" ref="C1139:C1148" ca="1" si="259">SUMIFS(INDIRECT("Report!F100:F10000"),INDIRECT("Report!B100:B10000"),B1139,INDIRECT("report!H100:H10000"),"Consums",INDIRECT("Report!L100:L10000"),"20,11")</f>
        <v>4004000</v>
      </c>
      <c r="D1139" s="250">
        <f t="shared" ref="D1139:D1148" ca="1" si="260">(C1139/11*10)</f>
        <v>3640000</v>
      </c>
      <c r="E1139" s="233">
        <f t="shared" ref="E1139:E1148" ca="1" si="261">SUMIFS(INDIRECT("Report!J100:J10000"),INDIRECT("Report!B100:B10000"),B1139,INDIRECT("report!H100:H10000"),"Consums",INDIRECT("Report!L100:L10000"),"20,11")</f>
        <v>1109940</v>
      </c>
      <c r="F1139" s="555">
        <f t="shared" ref="F1139:F1149" ca="1" si="262">E1139/D1139</f>
        <v>0.30492857142857144</v>
      </c>
      <c r="G1139" s="244">
        <f t="shared" ref="G1139:G1148" ca="1" si="263">E1139*20%</f>
        <v>221988</v>
      </c>
    </row>
    <row r="1140" spans="1:10" ht="21" customHeight="1" x14ac:dyDescent="0.25">
      <c r="B1140" s="228" t="s">
        <v>523</v>
      </c>
      <c r="C1140" s="233">
        <f t="shared" ca="1" si="259"/>
        <v>550000</v>
      </c>
      <c r="D1140" s="250">
        <f t="shared" ca="1" si="260"/>
        <v>500000</v>
      </c>
      <c r="E1140" s="233">
        <f t="shared" ca="1" si="261"/>
        <v>250000</v>
      </c>
      <c r="F1140" s="555">
        <f t="shared" ca="1" si="262"/>
        <v>0.5</v>
      </c>
      <c r="G1140" s="244">
        <f t="shared" ca="1" si="263"/>
        <v>50000</v>
      </c>
    </row>
    <row r="1141" spans="1:10" ht="21" customHeight="1" x14ac:dyDescent="0.25">
      <c r="B1141" s="228" t="s">
        <v>453</v>
      </c>
      <c r="C1141" s="233">
        <f t="shared" ca="1" si="259"/>
        <v>15900500</v>
      </c>
      <c r="D1141" s="250">
        <f t="shared" ca="1" si="260"/>
        <v>14455000</v>
      </c>
      <c r="E1141" s="233">
        <f t="shared" ca="1" si="261"/>
        <v>1665720</v>
      </c>
      <c r="F1141" s="555">
        <f t="shared" ca="1" si="262"/>
        <v>0.11523486682808717</v>
      </c>
      <c r="G1141" s="244">
        <f t="shared" ca="1" si="263"/>
        <v>333144</v>
      </c>
    </row>
    <row r="1142" spans="1:10" ht="21" customHeight="1" x14ac:dyDescent="0.25">
      <c r="B1142" s="228" t="s">
        <v>465</v>
      </c>
      <c r="C1142" s="233">
        <f t="shared" ca="1" si="259"/>
        <v>1265000</v>
      </c>
      <c r="D1142" s="250">
        <f t="shared" ca="1" si="260"/>
        <v>1150000</v>
      </c>
      <c r="E1142" s="233">
        <f t="shared" ca="1" si="261"/>
        <v>263000</v>
      </c>
      <c r="F1142" s="555">
        <f t="shared" ca="1" si="262"/>
        <v>0.22869565217391305</v>
      </c>
      <c r="G1142" s="244">
        <f t="shared" ca="1" si="263"/>
        <v>52600</v>
      </c>
    </row>
    <row r="1143" spans="1:10" ht="21" customHeight="1" x14ac:dyDescent="0.25">
      <c r="B1143" s="228" t="s">
        <v>515</v>
      </c>
      <c r="C1143" s="233">
        <f t="shared" ca="1" si="259"/>
        <v>3696000.0000000005</v>
      </c>
      <c r="D1143" s="250">
        <f t="shared" ca="1" si="260"/>
        <v>3360000.0000000005</v>
      </c>
      <c r="E1143" s="233">
        <f t="shared" ca="1" si="261"/>
        <v>608000</v>
      </c>
      <c r="F1143" s="555">
        <f t="shared" ca="1" si="262"/>
        <v>0.18095238095238092</v>
      </c>
      <c r="G1143" s="244">
        <f t="shared" ca="1" si="263"/>
        <v>121600</v>
      </c>
    </row>
    <row r="1144" spans="1:10" ht="21" customHeight="1" x14ac:dyDescent="0.25">
      <c r="B1144" s="228" t="s">
        <v>430</v>
      </c>
      <c r="C1144" s="233">
        <f t="shared" ca="1" si="259"/>
        <v>1100000</v>
      </c>
      <c r="D1144" s="250">
        <f t="shared" ca="1" si="260"/>
        <v>1000000</v>
      </c>
      <c r="E1144" s="233">
        <f t="shared" ca="1" si="261"/>
        <v>500000</v>
      </c>
      <c r="F1144" s="555">
        <f t="shared" ca="1" si="262"/>
        <v>0.5</v>
      </c>
      <c r="G1144" s="244">
        <f t="shared" ca="1" si="263"/>
        <v>100000</v>
      </c>
    </row>
    <row r="1145" spans="1:10" ht="21" customHeight="1" x14ac:dyDescent="0.25">
      <c r="B1145" s="228" t="s">
        <v>466</v>
      </c>
      <c r="C1145" s="233">
        <f t="shared" ca="1" si="259"/>
        <v>1210000</v>
      </c>
      <c r="D1145" s="250">
        <f t="shared" ca="1" si="260"/>
        <v>1100000</v>
      </c>
      <c r="E1145" s="233">
        <f t="shared" ca="1" si="261"/>
        <v>200000</v>
      </c>
      <c r="F1145" s="555">
        <f t="shared" ca="1" si="262"/>
        <v>0.18181818181818182</v>
      </c>
      <c r="G1145" s="244">
        <f t="shared" ca="1" si="263"/>
        <v>40000</v>
      </c>
    </row>
    <row r="1146" spans="1:10" ht="21" customHeight="1" x14ac:dyDescent="0.25">
      <c r="B1146" s="228" t="s">
        <v>2247</v>
      </c>
      <c r="C1146" s="233">
        <f t="shared" ca="1" si="259"/>
        <v>10793200</v>
      </c>
      <c r="D1146" s="250">
        <f t="shared" ca="1" si="260"/>
        <v>9812000</v>
      </c>
      <c r="E1146" s="233">
        <f t="shared" ca="1" si="261"/>
        <v>2944000</v>
      </c>
      <c r="F1146" s="555">
        <f t="shared" ca="1" si="262"/>
        <v>0.30004076640847943</v>
      </c>
      <c r="G1146" s="244">
        <f t="shared" ca="1" si="263"/>
        <v>588800</v>
      </c>
    </row>
    <row r="1147" spans="1:10" ht="21" customHeight="1" x14ac:dyDescent="0.25">
      <c r="B1147" s="228" t="s">
        <v>434</v>
      </c>
      <c r="C1147" s="233">
        <f t="shared" ca="1" si="259"/>
        <v>7590000.0000000009</v>
      </c>
      <c r="D1147" s="250">
        <f t="shared" ca="1" si="260"/>
        <v>6900000.0000000009</v>
      </c>
      <c r="E1147" s="233">
        <f t="shared" ca="1" si="261"/>
        <v>1800000</v>
      </c>
      <c r="F1147" s="555">
        <f t="shared" ca="1" si="262"/>
        <v>0.26086956521739124</v>
      </c>
      <c r="G1147" s="244">
        <f t="shared" ca="1" si="263"/>
        <v>360000</v>
      </c>
    </row>
    <row r="1148" spans="1:10" ht="21" customHeight="1" x14ac:dyDescent="0.25">
      <c r="B1148" s="228" t="s">
        <v>526</v>
      </c>
      <c r="C1148" s="233">
        <f t="shared" ca="1" si="259"/>
        <v>5962000.0000000009</v>
      </c>
      <c r="D1148" s="250">
        <f t="shared" ca="1" si="260"/>
        <v>5420000.0000000009</v>
      </c>
      <c r="E1148" s="233">
        <f t="shared" ca="1" si="261"/>
        <v>950000</v>
      </c>
      <c r="F1148" s="555">
        <f t="shared" ca="1" si="262"/>
        <v>0.17527675276752763</v>
      </c>
      <c r="G1148" s="244">
        <f t="shared" ca="1" si="263"/>
        <v>190000</v>
      </c>
      <c r="I1148" s="227">
        <f>122100*0.2</f>
        <v>24420</v>
      </c>
      <c r="J1148" s="227" t="s">
        <v>2602</v>
      </c>
    </row>
    <row r="1149" spans="1:10" ht="21" customHeight="1" x14ac:dyDescent="0.25">
      <c r="B1149" s="279" t="s">
        <v>2741</v>
      </c>
      <c r="C1149" s="544">
        <f ca="1">SUM(C1139:C1148)</f>
        <v>52070700</v>
      </c>
      <c r="D1149" s="544">
        <f ca="1">SUM(D1139:D1148)</f>
        <v>47337000</v>
      </c>
      <c r="E1149" s="544">
        <f ca="1">SUM(E1139:E1148)</f>
        <v>10290660</v>
      </c>
      <c r="F1149" s="567">
        <f t="shared" ca="1" si="262"/>
        <v>0.21739146967488435</v>
      </c>
      <c r="G1149" s="972">
        <f ca="1">SUM(G1139:G1148)-24200</f>
        <v>2033932</v>
      </c>
    </row>
    <row r="1150" spans="1:10" ht="21" customHeight="1" x14ac:dyDescent="0.25">
      <c r="A1150" s="247" t="s">
        <v>2658</v>
      </c>
      <c r="B1150" s="228" t="s">
        <v>444</v>
      </c>
      <c r="C1150" s="233">
        <f ca="1">SUMIFS(INDIRECT("Report!F100:F10000"),INDIRECT("Report!B100:B10000"),B1150,INDIRECT("report!H100:H10000"),"Consums",INDIRECT("Report!L100:L10000"),"20,12")</f>
        <v>6523000</v>
      </c>
      <c r="D1150" s="250">
        <f t="shared" ref="D1150:D1160" ca="1" si="264">(C1150/11*10)</f>
        <v>5930000</v>
      </c>
      <c r="E1150" s="233">
        <f ca="1">SUMIFS(INDIRECT("Report!J100:J10000"),INDIRECT("Report!B100:B10000"),B1150,INDIRECT("report!H100:H10000"),"Consums",INDIRECT("Report!L100:L10000"),"20,12")</f>
        <v>2986191.5359999998</v>
      </c>
      <c r="F1150" s="555">
        <f t="shared" ref="F1150:F1161" ca="1" si="265">E1150/D1150</f>
        <v>0.50357361483979757</v>
      </c>
      <c r="G1150" s="244">
        <f t="shared" ref="G1150:G1160" ca="1" si="266">E1150*20%</f>
        <v>597238.30720000004</v>
      </c>
    </row>
    <row r="1151" spans="1:10" ht="21" customHeight="1" x14ac:dyDescent="0.25">
      <c r="B1151" s="228" t="s">
        <v>2125</v>
      </c>
      <c r="C1151" s="233">
        <f t="shared" ref="C1151:C1160" ca="1" si="267">SUMIFS(INDIRECT("Report!F100:F10000"),INDIRECT("Report!B100:B10000"),B1151,INDIRECT("report!H100:H10000"),"Consums",INDIRECT("Report!L100:L10000"),"20,12")</f>
        <v>2277000</v>
      </c>
      <c r="D1151" s="250">
        <f t="shared" ca="1" si="264"/>
        <v>2070000</v>
      </c>
      <c r="E1151" s="233">
        <f t="shared" ref="E1151:E1160" ca="1" si="268">SUMIFS(INDIRECT("Report!J100:J10000"),INDIRECT("Report!B100:B10000"),B1151,INDIRECT("report!H100:H10000"),"Consums",INDIRECT("Report!L100:L10000"),"20,12")</f>
        <v>2070000</v>
      </c>
      <c r="F1151" s="555">
        <f t="shared" ca="1" si="265"/>
        <v>1</v>
      </c>
      <c r="G1151" s="244">
        <f t="shared" ca="1" si="266"/>
        <v>414000</v>
      </c>
    </row>
    <row r="1152" spans="1:10" ht="21" customHeight="1" x14ac:dyDescent="0.25">
      <c r="B1152" s="228" t="s">
        <v>453</v>
      </c>
      <c r="C1152" s="233">
        <f t="shared" ca="1" si="267"/>
        <v>13615800</v>
      </c>
      <c r="D1152" s="250">
        <f t="shared" ca="1" si="264"/>
        <v>12378000</v>
      </c>
      <c r="E1152" s="233">
        <f t="shared" ca="1" si="268"/>
        <v>1051720</v>
      </c>
      <c r="F1152" s="555">
        <f t="shared" ca="1" si="265"/>
        <v>8.4966876716755541E-2</v>
      </c>
      <c r="G1152" s="244">
        <f t="shared" ca="1" si="266"/>
        <v>210344</v>
      </c>
    </row>
    <row r="1153" spans="1:7" ht="21" customHeight="1" x14ac:dyDescent="0.25">
      <c r="B1153" s="228" t="s">
        <v>465</v>
      </c>
      <c r="C1153" s="233">
        <f t="shared" ca="1" si="267"/>
        <v>104500.00000000001</v>
      </c>
      <c r="D1153" s="250">
        <f t="shared" ca="1" si="264"/>
        <v>95000.000000000015</v>
      </c>
      <c r="E1153" s="233">
        <f t="shared" ca="1" si="268"/>
        <v>19000</v>
      </c>
      <c r="F1153" s="555">
        <f t="shared" ca="1" si="265"/>
        <v>0.19999999999999996</v>
      </c>
      <c r="G1153" s="244">
        <f t="shared" ca="1" si="266"/>
        <v>3800</v>
      </c>
    </row>
    <row r="1154" spans="1:7" ht="21" customHeight="1" x14ac:dyDescent="0.25">
      <c r="B1154" s="228" t="s">
        <v>515</v>
      </c>
      <c r="C1154" s="233">
        <f t="shared" ca="1" si="267"/>
        <v>4620000</v>
      </c>
      <c r="D1154" s="250">
        <f t="shared" ca="1" si="264"/>
        <v>4200000</v>
      </c>
      <c r="E1154" s="233">
        <f t="shared" ca="1" si="268"/>
        <v>760000</v>
      </c>
      <c r="F1154" s="555">
        <f t="shared" ca="1" si="265"/>
        <v>0.18095238095238095</v>
      </c>
      <c r="G1154" s="244">
        <f t="shared" ca="1" si="266"/>
        <v>152000</v>
      </c>
    </row>
    <row r="1155" spans="1:7" ht="21" customHeight="1" x14ac:dyDescent="0.25">
      <c r="B1155" s="228" t="s">
        <v>430</v>
      </c>
      <c r="C1155" s="233">
        <f t="shared" ca="1" si="267"/>
        <v>1100000</v>
      </c>
      <c r="D1155" s="250">
        <f t="shared" ca="1" si="264"/>
        <v>1000000</v>
      </c>
      <c r="E1155" s="233">
        <f t="shared" ca="1" si="268"/>
        <v>500000</v>
      </c>
      <c r="F1155" s="555">
        <f t="shared" ca="1" si="265"/>
        <v>0.5</v>
      </c>
      <c r="G1155" s="244">
        <f t="shared" ca="1" si="266"/>
        <v>100000</v>
      </c>
    </row>
    <row r="1156" spans="1:7" ht="21" customHeight="1" x14ac:dyDescent="0.25">
      <c r="B1156" s="228" t="s">
        <v>466</v>
      </c>
      <c r="C1156" s="233">
        <f t="shared" ca="1" si="267"/>
        <v>852500</v>
      </c>
      <c r="D1156" s="250">
        <f t="shared" ca="1" si="264"/>
        <v>775000</v>
      </c>
      <c r="E1156" s="233">
        <f t="shared" ca="1" si="268"/>
        <v>125000</v>
      </c>
      <c r="F1156" s="555">
        <f t="shared" ca="1" si="265"/>
        <v>0.16129032258064516</v>
      </c>
      <c r="G1156" s="244">
        <f t="shared" ca="1" si="266"/>
        <v>25000</v>
      </c>
    </row>
    <row r="1157" spans="1:7" ht="21" customHeight="1" x14ac:dyDescent="0.25">
      <c r="B1157" s="228" t="s">
        <v>2247</v>
      </c>
      <c r="C1157" s="233">
        <f t="shared" ca="1" si="267"/>
        <v>18474500</v>
      </c>
      <c r="D1157" s="250">
        <f t="shared" ca="1" si="264"/>
        <v>16795000</v>
      </c>
      <c r="E1157" s="233">
        <f t="shared" ca="1" si="268"/>
        <v>4885000</v>
      </c>
      <c r="F1157" s="555">
        <f t="shared" ca="1" si="265"/>
        <v>0.29086037511164037</v>
      </c>
      <c r="G1157" s="244">
        <f t="shared" ca="1" si="266"/>
        <v>977000</v>
      </c>
    </row>
    <row r="1158" spans="1:7" ht="21" customHeight="1" x14ac:dyDescent="0.25">
      <c r="B1158" s="228" t="s">
        <v>434</v>
      </c>
      <c r="C1158" s="233">
        <f t="shared" ca="1" si="267"/>
        <v>7590000.0000000009</v>
      </c>
      <c r="D1158" s="250">
        <f t="shared" ca="1" si="264"/>
        <v>6900000.0000000009</v>
      </c>
      <c r="E1158" s="233">
        <f t="shared" ca="1" si="268"/>
        <v>1800000</v>
      </c>
      <c r="F1158" s="555">
        <f t="shared" ca="1" si="265"/>
        <v>0.26086956521739124</v>
      </c>
      <c r="G1158" s="244">
        <f t="shared" ca="1" si="266"/>
        <v>360000</v>
      </c>
    </row>
    <row r="1159" spans="1:7" ht="21" customHeight="1" x14ac:dyDescent="0.25">
      <c r="B1159" s="228" t="s">
        <v>834</v>
      </c>
      <c r="C1159" s="233">
        <f t="shared" ca="1" si="267"/>
        <v>4479200</v>
      </c>
      <c r="D1159" s="250">
        <f t="shared" ca="1" si="264"/>
        <v>4072000</v>
      </c>
      <c r="E1159" s="233">
        <f t="shared" ca="1" si="268"/>
        <v>1802240</v>
      </c>
      <c r="F1159" s="555">
        <f t="shared" ca="1" si="265"/>
        <v>0.44259332023575637</v>
      </c>
      <c r="G1159" s="244">
        <f t="shared" ca="1" si="266"/>
        <v>360448</v>
      </c>
    </row>
    <row r="1160" spans="1:7" ht="21" customHeight="1" x14ac:dyDescent="0.25">
      <c r="B1160" s="228" t="s">
        <v>526</v>
      </c>
      <c r="C1160" s="233">
        <f t="shared" ca="1" si="267"/>
        <v>5588000</v>
      </c>
      <c r="D1160" s="250">
        <f t="shared" ca="1" si="264"/>
        <v>5080000</v>
      </c>
      <c r="E1160" s="233">
        <f t="shared" ca="1" si="268"/>
        <v>20000</v>
      </c>
      <c r="F1160" s="555">
        <f t="shared" ca="1" si="265"/>
        <v>3.937007874015748E-3</v>
      </c>
      <c r="G1160" s="244">
        <f t="shared" ca="1" si="266"/>
        <v>4000</v>
      </c>
    </row>
    <row r="1161" spans="1:7" ht="21" customHeight="1" x14ac:dyDescent="0.25">
      <c r="A1161" s="247"/>
      <c r="B1161" s="279" t="s">
        <v>2741</v>
      </c>
      <c r="C1161" s="544">
        <f ca="1">SUM(C1150:C1160)</f>
        <v>65224500</v>
      </c>
      <c r="D1161" s="544">
        <f ca="1">SUM(D1150:D1160)</f>
        <v>59295000</v>
      </c>
      <c r="E1161" s="544">
        <f ca="1">SUM(E1150:E1160)</f>
        <v>16019151.536</v>
      </c>
      <c r="F1161" s="567">
        <f t="shared" ca="1" si="265"/>
        <v>0.27016024177417997</v>
      </c>
      <c r="G1161" s="972">
        <f ca="1">SUM(G1150:G1160)</f>
        <v>3203830.3072000002</v>
      </c>
    </row>
    <row r="1162" spans="1:7" ht="21" customHeight="1" x14ac:dyDescent="0.25">
      <c r="A1162" s="247" t="s">
        <v>2831</v>
      </c>
      <c r="B1162" s="228" t="s">
        <v>444</v>
      </c>
      <c r="C1162" s="233">
        <f ca="1">SUMIFS(INDIRECT("Report!F100:F10000"),INDIRECT("Report!B100:B10000"),B1162,INDIRECT("report!H100:H10000"),"Consums",INDIRECT("Report!L100:L10000"),"21,1")</f>
        <v>4268000</v>
      </c>
      <c r="D1162" s="250">
        <f t="shared" ref="D1162:D1172" ca="1" si="269">(C1162/11*10)</f>
        <v>3880000</v>
      </c>
      <c r="E1162" s="233">
        <f ca="1">SUMIFS(INDIRECT("Report!J100:J10000"),INDIRECT("Report!B100:B10000"),B1162,INDIRECT("report!H100:H10000"),"Consums",INDIRECT("Report!L100:L10000"),"21,1")</f>
        <v>1012000</v>
      </c>
      <c r="F1162" s="555">
        <f t="shared" ref="F1162:F1173" ca="1" si="270">E1162/D1162</f>
        <v>0.26082474226804125</v>
      </c>
      <c r="G1162" s="244">
        <f t="shared" ref="G1162:G1172" ca="1" si="271">E1162*20%</f>
        <v>202400</v>
      </c>
    </row>
    <row r="1163" spans="1:7" ht="21" customHeight="1" x14ac:dyDescent="0.25">
      <c r="B1163" s="228" t="s">
        <v>523</v>
      </c>
      <c r="C1163" s="233">
        <f ca="1">SUMIFS(INDIRECT("Report!F100:F10000"),INDIRECT("Report!B100:B10000"),B1163,INDIRECT("report!H100:H10000"),"Consums",INDIRECT("Report!L100:L10000"),"21,1")</f>
        <v>990000.00000000012</v>
      </c>
      <c r="D1163" s="250">
        <f t="shared" ca="1" si="269"/>
        <v>900000.00000000012</v>
      </c>
      <c r="E1163" s="233">
        <f ca="1">SUMIFS(INDIRECT("Report!J100:J10000"),INDIRECT("Report!B100:B10000"),B1163,INDIRECT("report!H100:H10000"),"Consums",INDIRECT("Report!L100:L10000"),"21,1")</f>
        <v>95000</v>
      </c>
      <c r="F1163" s="555">
        <f t="shared" ca="1" si="270"/>
        <v>0.10555555555555554</v>
      </c>
      <c r="G1163" s="244">
        <f t="shared" ca="1" si="271"/>
        <v>19000</v>
      </c>
    </row>
    <row r="1164" spans="1:7" ht="21" customHeight="1" x14ac:dyDescent="0.25">
      <c r="B1164" s="228" t="s">
        <v>453</v>
      </c>
      <c r="C1164" s="233">
        <f t="shared" ref="C1164:C1172" ca="1" si="272">SUMIFS(INDIRECT("Report!F100:F10000"),INDIRECT("Report!B100:B10000"),B1164,INDIRECT("report!H100:H10000"),"Consums",INDIRECT("Report!L100:L10000"),"21,1")</f>
        <v>5820100</v>
      </c>
      <c r="D1164" s="250">
        <f t="shared" ca="1" si="269"/>
        <v>5291000</v>
      </c>
      <c r="E1164" s="233">
        <f ca="1">SUMIFS(INDIRECT("Report!J100:J10000"),INDIRECT("Report!B100:B10000"),B1164,INDIRECT("report!H100:H10000"),"Consums",INDIRECT("Report!L100:L10000"),"21,1")</f>
        <v>19880</v>
      </c>
      <c r="F1164" s="555">
        <f t="shared" ca="1" si="270"/>
        <v>3.7573237573237574E-3</v>
      </c>
      <c r="G1164" s="244">
        <f t="shared" ca="1" si="271"/>
        <v>3976</v>
      </c>
    </row>
    <row r="1165" spans="1:7" ht="21" customHeight="1" x14ac:dyDescent="0.25">
      <c r="B1165" s="228" t="s">
        <v>2469</v>
      </c>
      <c r="C1165" s="233">
        <f t="shared" ca="1" si="272"/>
        <v>4895000</v>
      </c>
      <c r="D1165" s="250">
        <f t="shared" ca="1" si="269"/>
        <v>4450000</v>
      </c>
      <c r="E1165" s="233">
        <f t="shared" ref="E1165:E1172" ca="1" si="273">SUMIFS(INDIRECT("Report!J100:J10000"),INDIRECT("Report!B100:B10000"),B1165,INDIRECT("report!H100:H10000"),"Consums",INDIRECT("Report!L100:L10000"),"21,1")</f>
        <v>1950000</v>
      </c>
      <c r="F1165" s="555">
        <f t="shared" ca="1" si="270"/>
        <v>0.43820224719101125</v>
      </c>
      <c r="G1165" s="244">
        <f t="shared" ca="1" si="271"/>
        <v>390000</v>
      </c>
    </row>
    <row r="1166" spans="1:7" ht="21" customHeight="1" x14ac:dyDescent="0.25">
      <c r="B1166" s="228" t="s">
        <v>515</v>
      </c>
      <c r="C1166" s="233">
        <f t="shared" ca="1" si="272"/>
        <v>6930000</v>
      </c>
      <c r="D1166" s="250">
        <f t="shared" ca="1" si="269"/>
        <v>6300000</v>
      </c>
      <c r="E1166" s="233">
        <f t="shared" ca="1" si="273"/>
        <v>1140000</v>
      </c>
      <c r="F1166" s="555">
        <f t="shared" ca="1" si="270"/>
        <v>0.18095238095238095</v>
      </c>
      <c r="G1166" s="244">
        <f t="shared" ca="1" si="271"/>
        <v>228000</v>
      </c>
    </row>
    <row r="1167" spans="1:7" ht="21" customHeight="1" x14ac:dyDescent="0.25">
      <c r="B1167" s="228" t="s">
        <v>430</v>
      </c>
      <c r="C1167" s="233">
        <f t="shared" ca="1" si="272"/>
        <v>1100000</v>
      </c>
      <c r="D1167" s="250">
        <f t="shared" ca="1" si="269"/>
        <v>1000000</v>
      </c>
      <c r="E1167" s="233">
        <f t="shared" ca="1" si="273"/>
        <v>500000</v>
      </c>
      <c r="F1167" s="555">
        <f t="shared" ca="1" si="270"/>
        <v>0.5</v>
      </c>
      <c r="G1167" s="244">
        <f t="shared" ca="1" si="271"/>
        <v>100000</v>
      </c>
    </row>
    <row r="1168" spans="1:7" ht="21" customHeight="1" x14ac:dyDescent="0.25">
      <c r="B1168" s="228" t="s">
        <v>466</v>
      </c>
      <c r="C1168" s="233">
        <f t="shared" ca="1" si="272"/>
        <v>962500</v>
      </c>
      <c r="D1168" s="250">
        <f t="shared" ca="1" si="269"/>
        <v>875000</v>
      </c>
      <c r="E1168" s="233">
        <f t="shared" ca="1" si="273"/>
        <v>175000</v>
      </c>
      <c r="F1168" s="555">
        <f t="shared" ca="1" si="270"/>
        <v>0.2</v>
      </c>
      <c r="G1168" s="244">
        <f t="shared" ca="1" si="271"/>
        <v>35000</v>
      </c>
    </row>
    <row r="1169" spans="1:7" ht="21" customHeight="1" x14ac:dyDescent="0.25">
      <c r="B1169" s="228" t="s">
        <v>2247</v>
      </c>
      <c r="C1169" s="233">
        <f t="shared" ca="1" si="272"/>
        <v>14758150</v>
      </c>
      <c r="D1169" s="250">
        <f t="shared" ca="1" si="269"/>
        <v>13416500</v>
      </c>
      <c r="E1169" s="233">
        <f t="shared" ca="1" si="273"/>
        <v>3857000</v>
      </c>
      <c r="F1169" s="555">
        <f t="shared" ca="1" si="270"/>
        <v>0.2874818320724481</v>
      </c>
      <c r="G1169" s="244">
        <f t="shared" ca="1" si="271"/>
        <v>771400</v>
      </c>
    </row>
    <row r="1170" spans="1:7" ht="21" customHeight="1" x14ac:dyDescent="0.25">
      <c r="B1170" s="228" t="s">
        <v>434</v>
      </c>
      <c r="C1170" s="233">
        <f t="shared" ca="1" si="272"/>
        <v>4554000</v>
      </c>
      <c r="D1170" s="250">
        <f t="shared" ca="1" si="269"/>
        <v>4140000</v>
      </c>
      <c r="E1170" s="233">
        <f t="shared" ca="1" si="273"/>
        <v>2340000</v>
      </c>
      <c r="F1170" s="555">
        <f t="shared" ca="1" si="270"/>
        <v>0.56521739130434778</v>
      </c>
      <c r="G1170" s="244">
        <f t="shared" ca="1" si="271"/>
        <v>468000</v>
      </c>
    </row>
    <row r="1171" spans="1:7" ht="21" customHeight="1" x14ac:dyDescent="0.25">
      <c r="B1171" s="228" t="s">
        <v>834</v>
      </c>
      <c r="C1171" s="233">
        <f t="shared" ca="1" si="272"/>
        <v>1918400.0000000002</v>
      </c>
      <c r="D1171" s="250">
        <f t="shared" ca="1" si="269"/>
        <v>1744000.0000000002</v>
      </c>
      <c r="E1171" s="233">
        <f t="shared" ca="1" si="273"/>
        <v>781920</v>
      </c>
      <c r="F1171" s="555">
        <f t="shared" ca="1" si="270"/>
        <v>0.44834862385321095</v>
      </c>
      <c r="G1171" s="244">
        <f t="shared" ca="1" si="271"/>
        <v>156384</v>
      </c>
    </row>
    <row r="1172" spans="1:7" ht="21" customHeight="1" x14ac:dyDescent="0.25">
      <c r="B1172" s="228" t="s">
        <v>1325</v>
      </c>
      <c r="C1172" s="233">
        <f t="shared" ca="1" si="272"/>
        <v>1320000</v>
      </c>
      <c r="D1172" s="250">
        <f t="shared" ca="1" si="269"/>
        <v>1200000</v>
      </c>
      <c r="E1172" s="233">
        <f t="shared" ca="1" si="273"/>
        <v>403565</v>
      </c>
      <c r="F1172" s="555">
        <f t="shared" ca="1" si="270"/>
        <v>0.33630416666666668</v>
      </c>
      <c r="G1172" s="244">
        <f t="shared" ca="1" si="271"/>
        <v>80713</v>
      </c>
    </row>
    <row r="1173" spans="1:7" ht="21" customHeight="1" x14ac:dyDescent="0.25">
      <c r="A1173" s="247"/>
      <c r="B1173" s="279" t="s">
        <v>2741</v>
      </c>
      <c r="C1173" s="544">
        <f ca="1">SUM(C1162:C1172)</f>
        <v>47516150</v>
      </c>
      <c r="D1173" s="544">
        <f ca="1">SUM(D1162:D1172)</f>
        <v>43196500</v>
      </c>
      <c r="E1173" s="544">
        <f ca="1">SUM(E1162:E1172)</f>
        <v>12274365</v>
      </c>
      <c r="F1173" s="567">
        <f t="shared" ca="1" si="270"/>
        <v>0.28415184100563701</v>
      </c>
      <c r="G1173" s="972">
        <f ca="1">SUM(G1162:G1172)</f>
        <v>2454873</v>
      </c>
    </row>
    <row r="1174" spans="1:7" ht="21" customHeight="1" x14ac:dyDescent="0.25">
      <c r="A1174" s="247" t="s">
        <v>2880</v>
      </c>
      <c r="B1174" s="228" t="s">
        <v>444</v>
      </c>
      <c r="C1174" s="233">
        <f ca="1">SUMIFS(INDIRECT("Report!F100:F10000"),INDIRECT("Report!B100:B10000"),B1174,INDIRECT("report!H100:H10000"),"Consums",INDIRECT("Report!L100:L10000"),"21,2")</f>
        <v>6281000</v>
      </c>
      <c r="D1174" s="250">
        <f t="shared" ref="D1174:D1186" ca="1" si="274">(C1174/11*10)</f>
        <v>5710000</v>
      </c>
      <c r="E1174" s="233">
        <f ca="1">SUMIFS(INDIRECT("Report!J100:J10000"),INDIRECT("Report!B100:B10000"),B1174,INDIRECT("report!H100:H10000"),"Consums",INDIRECT("Report!L100:L10000"),"21,2")</f>
        <v>3414095.7680000002</v>
      </c>
      <c r="F1174" s="555">
        <f t="shared" ref="F1174:F1187" ca="1" si="275">E1174/D1174</f>
        <v>0.59791519579684771</v>
      </c>
      <c r="G1174" s="244">
        <f t="shared" ref="G1174:G1186" ca="1" si="276">E1174*20%</f>
        <v>682819.15360000008</v>
      </c>
    </row>
    <row r="1175" spans="1:7" ht="21" customHeight="1" x14ac:dyDescent="0.25">
      <c r="B1175" s="228" t="s">
        <v>2882</v>
      </c>
      <c r="C1175" s="233">
        <f t="shared" ref="C1175:C1186" ca="1" si="277">SUMIFS(INDIRECT("Report!F100:F10000"),INDIRECT("Report!B100:B10000"),B1175,INDIRECT("report!H100:H10000"),"Consums",INDIRECT("Report!L100:L10000"),"21,2")</f>
        <v>264000</v>
      </c>
      <c r="D1175" s="250">
        <f t="shared" ca="1" si="274"/>
        <v>240000</v>
      </c>
      <c r="E1175" s="233">
        <f t="shared" ref="E1175:E1186" ca="1" si="278">SUMIFS(INDIRECT("Report!J100:J10000"),INDIRECT("Report!B100:B10000"),B1175,INDIRECT("report!H100:H10000"),"Consums",INDIRECT("Report!L100:L10000"),"21,2")</f>
        <v>16000</v>
      </c>
      <c r="F1175" s="555">
        <f t="shared" ca="1" si="275"/>
        <v>6.6666666666666666E-2</v>
      </c>
      <c r="G1175" s="244">
        <f t="shared" ca="1" si="276"/>
        <v>3200</v>
      </c>
    </row>
    <row r="1176" spans="1:7" ht="21" customHeight="1" x14ac:dyDescent="0.25">
      <c r="B1176" s="228" t="s">
        <v>453</v>
      </c>
      <c r="C1176" s="233">
        <f t="shared" ca="1" si="277"/>
        <v>13201100</v>
      </c>
      <c r="D1176" s="250">
        <f t="shared" ca="1" si="274"/>
        <v>12001000</v>
      </c>
      <c r="E1176" s="233">
        <f t="shared" ca="1" si="278"/>
        <v>1446720</v>
      </c>
      <c r="F1176" s="555">
        <f t="shared" ca="1" si="275"/>
        <v>0.12054995417048579</v>
      </c>
      <c r="G1176" s="244">
        <f t="shared" ca="1" si="276"/>
        <v>289344</v>
      </c>
    </row>
    <row r="1177" spans="1:7" ht="21" customHeight="1" x14ac:dyDescent="0.25">
      <c r="B1177" s="228" t="s">
        <v>2883</v>
      </c>
      <c r="C1177" s="233">
        <f t="shared" ca="1" si="277"/>
        <v>2530000</v>
      </c>
      <c r="D1177" s="250">
        <f t="shared" ca="1" si="274"/>
        <v>2300000</v>
      </c>
      <c r="E1177" s="233">
        <f t="shared" ca="1" si="278"/>
        <v>400000</v>
      </c>
      <c r="F1177" s="555">
        <f t="shared" ca="1" si="275"/>
        <v>0.17391304347826086</v>
      </c>
      <c r="G1177" s="244">
        <f t="shared" ca="1" si="276"/>
        <v>80000</v>
      </c>
    </row>
    <row r="1178" spans="1:7" ht="21" customHeight="1" x14ac:dyDescent="0.25">
      <c r="B1178" s="228" t="s">
        <v>515</v>
      </c>
      <c r="C1178" s="233">
        <f t="shared" ca="1" si="277"/>
        <v>4158000</v>
      </c>
      <c r="D1178" s="250">
        <f t="shared" ca="1" si="274"/>
        <v>3780000</v>
      </c>
      <c r="E1178" s="233">
        <f t="shared" ca="1" si="278"/>
        <v>684000</v>
      </c>
      <c r="F1178" s="555">
        <f t="shared" ca="1" si="275"/>
        <v>0.18095238095238095</v>
      </c>
      <c r="G1178" s="244">
        <f t="shared" ca="1" si="276"/>
        <v>136800</v>
      </c>
    </row>
    <row r="1179" spans="1:7" ht="21" customHeight="1" x14ac:dyDescent="0.25">
      <c r="B1179" s="228" t="s">
        <v>430</v>
      </c>
      <c r="C1179" s="233">
        <f t="shared" ca="1" si="277"/>
        <v>1100000</v>
      </c>
      <c r="D1179" s="250">
        <f t="shared" ca="1" si="274"/>
        <v>1000000</v>
      </c>
      <c r="E1179" s="233">
        <f t="shared" ca="1" si="278"/>
        <v>500000</v>
      </c>
      <c r="F1179" s="555">
        <f t="shared" ca="1" si="275"/>
        <v>0.5</v>
      </c>
      <c r="G1179" s="244">
        <f t="shared" ca="1" si="276"/>
        <v>100000</v>
      </c>
    </row>
    <row r="1180" spans="1:7" ht="21" customHeight="1" x14ac:dyDescent="0.25">
      <c r="B1180" s="228" t="s">
        <v>466</v>
      </c>
      <c r="C1180" s="233">
        <f t="shared" ca="1" si="277"/>
        <v>605000</v>
      </c>
      <c r="D1180" s="250">
        <f t="shared" ca="1" si="274"/>
        <v>550000</v>
      </c>
      <c r="E1180" s="233">
        <f t="shared" ca="1" si="278"/>
        <v>100000</v>
      </c>
      <c r="F1180" s="555">
        <f t="shared" ca="1" si="275"/>
        <v>0.18181818181818182</v>
      </c>
      <c r="G1180" s="244">
        <f t="shared" ca="1" si="276"/>
        <v>20000</v>
      </c>
    </row>
    <row r="1181" spans="1:7" ht="21" customHeight="1" x14ac:dyDescent="0.25">
      <c r="B1181" s="228" t="s">
        <v>2247</v>
      </c>
      <c r="C1181" s="233">
        <f t="shared" ca="1" si="277"/>
        <v>7005900</v>
      </c>
      <c r="D1181" s="250">
        <f t="shared" ca="1" si="274"/>
        <v>6369000</v>
      </c>
      <c r="E1181" s="233">
        <f t="shared" ca="1" si="278"/>
        <v>1904000</v>
      </c>
      <c r="F1181" s="555">
        <f t="shared" ca="1" si="275"/>
        <v>0.29894802951797772</v>
      </c>
      <c r="G1181" s="244">
        <f t="shared" ca="1" si="276"/>
        <v>380800</v>
      </c>
    </row>
    <row r="1182" spans="1:7" ht="21" customHeight="1" x14ac:dyDescent="0.25">
      <c r="B1182" s="228" t="s">
        <v>434</v>
      </c>
      <c r="C1182" s="233">
        <f t="shared" ca="1" si="277"/>
        <v>4554000</v>
      </c>
      <c r="D1182" s="250">
        <f t="shared" ca="1" si="274"/>
        <v>4140000</v>
      </c>
      <c r="E1182" s="233">
        <f t="shared" ca="1" si="278"/>
        <v>2340000</v>
      </c>
      <c r="F1182" s="555">
        <f t="shared" ca="1" si="275"/>
        <v>0.56521739130434778</v>
      </c>
      <c r="G1182" s="244">
        <f t="shared" ca="1" si="276"/>
        <v>468000</v>
      </c>
    </row>
    <row r="1183" spans="1:7" ht="21" customHeight="1" x14ac:dyDescent="0.25">
      <c r="B1183" s="228" t="s">
        <v>834</v>
      </c>
      <c r="C1183" s="233">
        <f t="shared" ca="1" si="277"/>
        <v>3836800.0000000005</v>
      </c>
      <c r="D1183" s="250">
        <f t="shared" ca="1" si="274"/>
        <v>3488000.0000000005</v>
      </c>
      <c r="E1183" s="233">
        <f t="shared" ca="1" si="278"/>
        <v>1563840</v>
      </c>
      <c r="F1183" s="555">
        <f t="shared" ca="1" si="275"/>
        <v>0.44834862385321095</v>
      </c>
      <c r="G1183" s="244">
        <f t="shared" ca="1" si="276"/>
        <v>312768</v>
      </c>
    </row>
    <row r="1184" spans="1:7" ht="21" customHeight="1" x14ac:dyDescent="0.25">
      <c r="B1184" s="228" t="s">
        <v>677</v>
      </c>
      <c r="C1184" s="233">
        <f t="shared" ca="1" si="277"/>
        <v>242000.00000000003</v>
      </c>
      <c r="D1184" s="250">
        <f t="shared" ca="1" si="274"/>
        <v>220000.00000000003</v>
      </c>
      <c r="E1184" s="233">
        <f t="shared" ca="1" si="278"/>
        <v>30000</v>
      </c>
      <c r="F1184" s="555">
        <f t="shared" ca="1" si="275"/>
        <v>0.13636363636363635</v>
      </c>
      <c r="G1184" s="244">
        <f t="shared" ca="1" si="276"/>
        <v>6000</v>
      </c>
    </row>
    <row r="1185" spans="1:10" ht="21" customHeight="1" x14ac:dyDescent="0.25">
      <c r="B1185" s="228" t="s">
        <v>2125</v>
      </c>
      <c r="C1185" s="233">
        <f t="shared" ca="1" si="277"/>
        <v>1677500.0000000002</v>
      </c>
      <c r="D1185" s="250">
        <f t="shared" ca="1" si="274"/>
        <v>1525000.0000000002</v>
      </c>
      <c r="E1185" s="233">
        <f t="shared" ca="1" si="278"/>
        <v>1525000</v>
      </c>
      <c r="F1185" s="555">
        <f t="shared" ca="1" si="275"/>
        <v>0.99999999999999989</v>
      </c>
      <c r="G1185" s="244">
        <f t="shared" ca="1" si="276"/>
        <v>305000</v>
      </c>
    </row>
    <row r="1186" spans="1:10" ht="21" customHeight="1" x14ac:dyDescent="0.25">
      <c r="B1186" s="228" t="s">
        <v>1325</v>
      </c>
      <c r="C1186" s="233">
        <f t="shared" ca="1" si="277"/>
        <v>1320000</v>
      </c>
      <c r="D1186" s="250">
        <f t="shared" ca="1" si="274"/>
        <v>1200000</v>
      </c>
      <c r="E1186" s="233">
        <f t="shared" ca="1" si="278"/>
        <v>1200000</v>
      </c>
      <c r="F1186" s="555">
        <f t="shared" ca="1" si="275"/>
        <v>1</v>
      </c>
      <c r="G1186" s="244">
        <f t="shared" ca="1" si="276"/>
        <v>240000</v>
      </c>
    </row>
    <row r="1187" spans="1:10" ht="21" customHeight="1" x14ac:dyDescent="0.25">
      <c r="A1187" s="247"/>
      <c r="B1187" s="279" t="s">
        <v>2741</v>
      </c>
      <c r="C1187" s="544">
        <f ca="1">SUM(C1174:C1186)</f>
        <v>46775300</v>
      </c>
      <c r="D1187" s="544">
        <f ca="1">SUM(D1174:D1186)</f>
        <v>42523000</v>
      </c>
      <c r="E1187" s="544">
        <f ca="1">SUM(E1174:E1186)</f>
        <v>15123655.767999999</v>
      </c>
      <c r="F1187" s="567">
        <f t="shared" ca="1" si="275"/>
        <v>0.35565825007642921</v>
      </c>
      <c r="G1187" s="972">
        <f ca="1">SUM(G1174:G1186)</f>
        <v>3024731.1535999998</v>
      </c>
    </row>
    <row r="1188" spans="1:10" ht="21" customHeight="1" x14ac:dyDescent="0.25">
      <c r="A1188" s="247" t="s">
        <v>2920</v>
      </c>
      <c r="B1188" s="228" t="s">
        <v>444</v>
      </c>
      <c r="C1188" s="233">
        <f t="shared" ref="C1188:C1197" ca="1" si="279">SUMIFS(INDIRECT("Report!F100:F10000"),INDIRECT("Report!B100:B10000"),B1188,INDIRECT("report!H100:H10000"),"Consums",INDIRECT("Report!L100:L10000"),"21,3")</f>
        <v>2640000</v>
      </c>
      <c r="D1188" s="250">
        <f t="shared" ref="D1188:D1197" ca="1" si="280">(C1188/11*10)</f>
        <v>2400000</v>
      </c>
      <c r="E1188" s="233">
        <f t="shared" ref="E1188:E1197" ca="1" si="281">SUMIFS(INDIRECT("Report!J100:J10000"),INDIRECT("Report!B100:B10000"),B1188,INDIRECT("report!H100:H10000"),"Consums",INDIRECT("Report!L100:L10000"),"21,3")</f>
        <v>704000</v>
      </c>
      <c r="F1188" s="555">
        <f t="shared" ref="F1188:F1198" ca="1" si="282">E1188/D1188</f>
        <v>0.29333333333333333</v>
      </c>
      <c r="G1188" s="244">
        <f t="shared" ref="G1188:G1197" ca="1" si="283">E1188*20%</f>
        <v>140800</v>
      </c>
    </row>
    <row r="1189" spans="1:10" ht="21" customHeight="1" x14ac:dyDescent="0.25">
      <c r="B1189" s="228" t="s">
        <v>523</v>
      </c>
      <c r="C1189" s="233">
        <f t="shared" ca="1" si="279"/>
        <v>1782000.0000000002</v>
      </c>
      <c r="D1189" s="250">
        <f t="shared" ca="1" si="280"/>
        <v>1620000.0000000002</v>
      </c>
      <c r="E1189" s="233">
        <f t="shared" ca="1" si="281"/>
        <v>275000</v>
      </c>
      <c r="F1189" s="555">
        <f t="shared" ca="1" si="282"/>
        <v>0.16975308641975306</v>
      </c>
      <c r="G1189" s="244">
        <f t="shared" ca="1" si="283"/>
        <v>55000</v>
      </c>
    </row>
    <row r="1190" spans="1:10" ht="21" customHeight="1" x14ac:dyDescent="0.25">
      <c r="B1190" s="228" t="s">
        <v>453</v>
      </c>
      <c r="C1190" s="233">
        <f t="shared" ca="1" si="279"/>
        <v>8822000</v>
      </c>
      <c r="D1190" s="250">
        <f t="shared" ca="1" si="280"/>
        <v>8020000</v>
      </c>
      <c r="E1190" s="233">
        <f t="shared" ca="1" si="281"/>
        <v>565860</v>
      </c>
      <c r="F1190" s="555">
        <f t="shared" ca="1" si="282"/>
        <v>7.0556109725685781E-2</v>
      </c>
      <c r="G1190" s="244">
        <f t="shared" ca="1" si="283"/>
        <v>113172</v>
      </c>
    </row>
    <row r="1191" spans="1:10" ht="21" customHeight="1" x14ac:dyDescent="0.25">
      <c r="B1191" s="228" t="s">
        <v>2921</v>
      </c>
      <c r="C1191" s="233">
        <f t="shared" ca="1" si="279"/>
        <v>957000</v>
      </c>
      <c r="D1191" s="250">
        <f t="shared" ca="1" si="280"/>
        <v>870000</v>
      </c>
      <c r="E1191" s="233">
        <f t="shared" ca="1" si="281"/>
        <v>320000</v>
      </c>
      <c r="F1191" s="555">
        <f t="shared" ca="1" si="282"/>
        <v>0.36781609195402298</v>
      </c>
      <c r="G1191" s="244">
        <f t="shared" ca="1" si="283"/>
        <v>64000</v>
      </c>
    </row>
    <row r="1192" spans="1:10" ht="21" customHeight="1" x14ac:dyDescent="0.25">
      <c r="B1192" s="228" t="s">
        <v>515</v>
      </c>
      <c r="C1192" s="233">
        <f t="shared" ca="1" si="279"/>
        <v>4620000</v>
      </c>
      <c r="D1192" s="250">
        <f t="shared" ca="1" si="280"/>
        <v>4200000</v>
      </c>
      <c r="E1192" s="233">
        <f t="shared" ca="1" si="281"/>
        <v>760000</v>
      </c>
      <c r="F1192" s="555">
        <f t="shared" ca="1" si="282"/>
        <v>0.18095238095238095</v>
      </c>
      <c r="G1192" s="244">
        <f t="shared" ca="1" si="283"/>
        <v>152000</v>
      </c>
    </row>
    <row r="1193" spans="1:10" ht="21" customHeight="1" x14ac:dyDescent="0.25">
      <c r="B1193" s="228" t="s">
        <v>430</v>
      </c>
      <c r="C1193" s="233">
        <f t="shared" ca="1" si="279"/>
        <v>1100000</v>
      </c>
      <c r="D1193" s="250">
        <f t="shared" ca="1" si="280"/>
        <v>1000000</v>
      </c>
      <c r="E1193" s="233">
        <f t="shared" ca="1" si="281"/>
        <v>500000</v>
      </c>
      <c r="F1193" s="555">
        <f t="shared" ca="1" si="282"/>
        <v>0.5</v>
      </c>
      <c r="G1193" s="244">
        <f t="shared" ca="1" si="283"/>
        <v>100000</v>
      </c>
    </row>
    <row r="1194" spans="1:10" ht="21" customHeight="1" x14ac:dyDescent="0.25">
      <c r="B1194" s="228" t="s">
        <v>466</v>
      </c>
      <c r="C1194" s="233">
        <f t="shared" ca="1" si="279"/>
        <v>715000</v>
      </c>
      <c r="D1194" s="250">
        <f t="shared" ca="1" si="280"/>
        <v>650000</v>
      </c>
      <c r="E1194" s="233">
        <f t="shared" ca="1" si="281"/>
        <v>150000</v>
      </c>
      <c r="F1194" s="555">
        <f t="shared" ca="1" si="282"/>
        <v>0.23076923076923078</v>
      </c>
      <c r="G1194" s="244">
        <f t="shared" ca="1" si="283"/>
        <v>30000</v>
      </c>
    </row>
    <row r="1195" spans="1:10" ht="21" customHeight="1" x14ac:dyDescent="0.25">
      <c r="B1195" s="228" t="s">
        <v>2247</v>
      </c>
      <c r="C1195" s="233">
        <f t="shared" ca="1" si="279"/>
        <v>10616100</v>
      </c>
      <c r="D1195" s="250">
        <f t="shared" ca="1" si="280"/>
        <v>9651000</v>
      </c>
      <c r="E1195" s="233">
        <f t="shared" ca="1" si="281"/>
        <v>2328000</v>
      </c>
      <c r="F1195" s="555">
        <f t="shared" ca="1" si="282"/>
        <v>0.24121852657755674</v>
      </c>
      <c r="G1195" s="244">
        <f t="shared" ca="1" si="283"/>
        <v>465600</v>
      </c>
    </row>
    <row r="1196" spans="1:10" ht="21" customHeight="1" x14ac:dyDescent="0.25">
      <c r="B1196" s="228" t="s">
        <v>434</v>
      </c>
      <c r="C1196" s="233">
        <f t="shared" ca="1" si="279"/>
        <v>7590000.0000000009</v>
      </c>
      <c r="D1196" s="250">
        <f t="shared" ca="1" si="280"/>
        <v>6900000.0000000009</v>
      </c>
      <c r="E1196" s="233">
        <f t="shared" ca="1" si="281"/>
        <v>2808000</v>
      </c>
      <c r="F1196" s="555">
        <f t="shared" ca="1" si="282"/>
        <v>0.40695652173913038</v>
      </c>
      <c r="G1196" s="244">
        <f t="shared" ca="1" si="283"/>
        <v>561600</v>
      </c>
      <c r="J1196" s="227" t="s">
        <v>2938</v>
      </c>
    </row>
    <row r="1197" spans="1:10" ht="21" customHeight="1" x14ac:dyDescent="0.25">
      <c r="B1197" s="228" t="s">
        <v>834</v>
      </c>
      <c r="C1197" s="233">
        <f t="shared" ca="1" si="279"/>
        <v>6468000.0000000009</v>
      </c>
      <c r="D1197" s="250">
        <f t="shared" ca="1" si="280"/>
        <v>5880000.0000000009</v>
      </c>
      <c r="E1197" s="233">
        <f t="shared" ca="1" si="281"/>
        <v>1500000</v>
      </c>
      <c r="F1197" s="555">
        <f t="shared" ca="1" si="282"/>
        <v>0.25510204081632648</v>
      </c>
      <c r="G1197" s="244">
        <f t="shared" ca="1" si="283"/>
        <v>300000</v>
      </c>
    </row>
    <row r="1198" spans="1:10" ht="21" customHeight="1" x14ac:dyDescent="0.25">
      <c r="A1198" s="247"/>
      <c r="B1198" s="279" t="s">
        <v>2741</v>
      </c>
      <c r="C1198" s="544">
        <f ca="1">SUM(C1188:C1197)</f>
        <v>45310100</v>
      </c>
      <c r="D1198" s="544">
        <f ca="1">SUM(D1188:D1197)</f>
        <v>41191000</v>
      </c>
      <c r="E1198" s="544">
        <f ca="1">SUM(E1188:E1197)</f>
        <v>9910860</v>
      </c>
      <c r="F1198" s="567">
        <f t="shared" ca="1" si="282"/>
        <v>0.24060741424097498</v>
      </c>
      <c r="G1198" s="972">
        <f ca="1">SUM(G1188:G1197)</f>
        <v>1982172</v>
      </c>
    </row>
    <row r="1199" spans="1:10" ht="21" customHeight="1" x14ac:dyDescent="0.25">
      <c r="A1199" s="247" t="s">
        <v>2960</v>
      </c>
      <c r="B1199" s="228" t="s">
        <v>444</v>
      </c>
      <c r="C1199" s="233">
        <f t="shared" ref="C1199:C1210" ca="1" si="284">SUMIFS(INDIRECT("Report!F100:F10000"),INDIRECT("Report!B100:B10000"),B1199,INDIRECT("report!H100:H10000"),"Consums",INDIRECT("Report!L100:L10000"),"21,4")</f>
        <v>3113000</v>
      </c>
      <c r="D1199" s="250">
        <f t="shared" ref="D1199:D1210" ca="1" si="285">(C1199/11*10)</f>
        <v>2830000</v>
      </c>
      <c r="E1199" s="233">
        <f ca="1">SUMIFS(INDIRECT("Report!J100:J10000"),INDIRECT("Report!B100:B10000"),B1199,INDIRECT("report!H100:H10000"),"Consums",INDIRECT("Report!L100:L10000"),"21,4")</f>
        <v>710000</v>
      </c>
      <c r="F1199" s="555">
        <f t="shared" ref="F1199:F1211" ca="1" si="286">E1199/D1199</f>
        <v>0.25088339222614842</v>
      </c>
      <c r="G1199" s="244">
        <f t="shared" ref="G1199:G1210" ca="1" si="287">E1199*20%</f>
        <v>142000</v>
      </c>
    </row>
    <row r="1200" spans="1:10" ht="21" customHeight="1" x14ac:dyDescent="0.25">
      <c r="B1200" s="228" t="s">
        <v>523</v>
      </c>
      <c r="C1200" s="233">
        <f t="shared" ca="1" si="284"/>
        <v>3085500.0000000005</v>
      </c>
      <c r="D1200" s="250">
        <f t="shared" ca="1" si="285"/>
        <v>2805000.0000000005</v>
      </c>
      <c r="E1200" s="233">
        <f t="shared" ref="E1200:E1210" ca="1" si="288">SUMIFS(INDIRECT("Report!J100:J10000"),INDIRECT("Report!B100:B10000"),B1200,INDIRECT("report!H100:H10000"),"Consums",INDIRECT("Report!L100:L10000"),"21,4")</f>
        <v>453000</v>
      </c>
      <c r="F1200" s="555">
        <f t="shared" ca="1" si="286"/>
        <v>0.16149732620320853</v>
      </c>
      <c r="G1200" s="244">
        <f t="shared" ca="1" si="287"/>
        <v>90600</v>
      </c>
    </row>
    <row r="1201" spans="1:10" ht="21" customHeight="1" x14ac:dyDescent="0.25">
      <c r="B1201" s="228" t="s">
        <v>453</v>
      </c>
      <c r="C1201" s="233">
        <f t="shared" ca="1" si="284"/>
        <v>9222400</v>
      </c>
      <c r="D1201" s="250">
        <f t="shared" ca="1" si="285"/>
        <v>8384000</v>
      </c>
      <c r="E1201" s="233">
        <f t="shared" ca="1" si="288"/>
        <v>753860</v>
      </c>
      <c r="F1201" s="555">
        <f t="shared" ca="1" si="286"/>
        <v>8.9916507633587786E-2</v>
      </c>
      <c r="G1201" s="244">
        <f t="shared" ca="1" si="287"/>
        <v>150772</v>
      </c>
    </row>
    <row r="1202" spans="1:10" ht="21" customHeight="1" x14ac:dyDescent="0.25">
      <c r="B1202" s="228" t="s">
        <v>2125</v>
      </c>
      <c r="C1202" s="233">
        <f t="shared" ca="1" si="284"/>
        <v>2529450</v>
      </c>
      <c r="D1202" s="250">
        <f t="shared" ca="1" si="285"/>
        <v>2299500</v>
      </c>
      <c r="E1202" s="233">
        <f t="shared" ca="1" si="288"/>
        <v>2299500</v>
      </c>
      <c r="F1202" s="555">
        <f t="shared" ca="1" si="286"/>
        <v>1</v>
      </c>
      <c r="G1202" s="244">
        <f t="shared" ca="1" si="287"/>
        <v>459900</v>
      </c>
    </row>
    <row r="1203" spans="1:10" ht="21" customHeight="1" x14ac:dyDescent="0.25">
      <c r="B1203" s="228" t="s">
        <v>515</v>
      </c>
      <c r="C1203" s="233">
        <f t="shared" ca="1" si="284"/>
        <v>2310000</v>
      </c>
      <c r="D1203" s="250">
        <f t="shared" ca="1" si="285"/>
        <v>2100000</v>
      </c>
      <c r="E1203" s="233">
        <f t="shared" ca="1" si="288"/>
        <v>380000</v>
      </c>
      <c r="F1203" s="555">
        <f t="shared" ca="1" si="286"/>
        <v>0.18095238095238095</v>
      </c>
      <c r="G1203" s="244">
        <f t="shared" ca="1" si="287"/>
        <v>76000</v>
      </c>
    </row>
    <row r="1204" spans="1:10" ht="21" customHeight="1" x14ac:dyDescent="0.25">
      <c r="B1204" s="228" t="s">
        <v>2961</v>
      </c>
      <c r="C1204" s="233">
        <f t="shared" ca="1" si="284"/>
        <v>8030000.0000000009</v>
      </c>
      <c r="D1204" s="250">
        <f t="shared" ca="1" si="285"/>
        <v>7300000.0000000009</v>
      </c>
      <c r="E1204" s="233">
        <f t="shared" ca="1" si="288"/>
        <v>1100000</v>
      </c>
      <c r="F1204" s="555">
        <f t="shared" ca="1" si="286"/>
        <v>0.15068493150684931</v>
      </c>
      <c r="G1204" s="244">
        <f t="shared" ca="1" si="287"/>
        <v>220000</v>
      </c>
    </row>
    <row r="1205" spans="1:10" ht="21" customHeight="1" x14ac:dyDescent="0.25">
      <c r="B1205" s="228" t="s">
        <v>430</v>
      </c>
      <c r="C1205" s="233">
        <f t="shared" ca="1" si="284"/>
        <v>1100000</v>
      </c>
      <c r="D1205" s="250">
        <f t="shared" ca="1" si="285"/>
        <v>1000000</v>
      </c>
      <c r="E1205" s="233">
        <f t="shared" ca="1" si="288"/>
        <v>500000</v>
      </c>
      <c r="F1205" s="555">
        <f t="shared" ca="1" si="286"/>
        <v>0.5</v>
      </c>
      <c r="G1205" s="244">
        <f t="shared" ca="1" si="287"/>
        <v>100000</v>
      </c>
    </row>
    <row r="1206" spans="1:10" ht="21" customHeight="1" x14ac:dyDescent="0.25">
      <c r="B1206" s="228" t="s">
        <v>466</v>
      </c>
      <c r="C1206" s="233">
        <f t="shared" ca="1" si="284"/>
        <v>1210000</v>
      </c>
      <c r="D1206" s="250">
        <f t="shared" ca="1" si="285"/>
        <v>1100000</v>
      </c>
      <c r="E1206" s="233">
        <f t="shared" ca="1" si="288"/>
        <v>200000</v>
      </c>
      <c r="F1206" s="555">
        <f t="shared" ca="1" si="286"/>
        <v>0.18181818181818182</v>
      </c>
      <c r="G1206" s="244">
        <f t="shared" ca="1" si="287"/>
        <v>40000</v>
      </c>
    </row>
    <row r="1207" spans="1:10" ht="21" customHeight="1" x14ac:dyDescent="0.25">
      <c r="B1207" s="228" t="s">
        <v>2247</v>
      </c>
      <c r="C1207" s="233">
        <f t="shared" ca="1" si="284"/>
        <v>3574450.0000000005</v>
      </c>
      <c r="D1207" s="250">
        <f t="shared" ca="1" si="285"/>
        <v>3249500.0000000005</v>
      </c>
      <c r="E1207" s="233">
        <f t="shared" ca="1" si="288"/>
        <v>946000</v>
      </c>
      <c r="F1207" s="555">
        <f t="shared" ca="1" si="286"/>
        <v>0.29112171103246648</v>
      </c>
      <c r="G1207" s="244">
        <f t="shared" ca="1" si="287"/>
        <v>189200</v>
      </c>
    </row>
    <row r="1208" spans="1:10" ht="21" customHeight="1" x14ac:dyDescent="0.25">
      <c r="B1208" s="228" t="s">
        <v>434</v>
      </c>
      <c r="C1208" s="233">
        <f t="shared" ca="1" si="284"/>
        <v>11233200</v>
      </c>
      <c r="D1208" s="250">
        <f t="shared" ca="1" si="285"/>
        <v>10212000</v>
      </c>
      <c r="E1208" s="233">
        <f t="shared" ca="1" si="288"/>
        <v>2664000</v>
      </c>
      <c r="F1208" s="555">
        <f t="shared" ca="1" si="286"/>
        <v>0.2608695652173913</v>
      </c>
      <c r="G1208" s="244">
        <f t="shared" ca="1" si="287"/>
        <v>532800</v>
      </c>
    </row>
    <row r="1209" spans="1:10" ht="21" customHeight="1" x14ac:dyDescent="0.25">
      <c r="B1209" s="228" t="s">
        <v>653</v>
      </c>
      <c r="C1209" s="233">
        <f t="shared" ca="1" si="284"/>
        <v>825000.00000000012</v>
      </c>
      <c r="D1209" s="250">
        <f t="shared" ca="1" si="285"/>
        <v>750000.00000000012</v>
      </c>
      <c r="E1209" s="233">
        <f t="shared" ca="1" si="288"/>
        <v>200000</v>
      </c>
      <c r="F1209" s="555">
        <f t="shared" ca="1" si="286"/>
        <v>0.26666666666666661</v>
      </c>
      <c r="G1209" s="244">
        <f t="shared" ca="1" si="287"/>
        <v>40000</v>
      </c>
    </row>
    <row r="1210" spans="1:10" ht="21" customHeight="1" x14ac:dyDescent="0.25">
      <c r="B1210" s="228" t="s">
        <v>834</v>
      </c>
      <c r="C1210" s="233">
        <f t="shared" ca="1" si="284"/>
        <v>1918400.0000000002</v>
      </c>
      <c r="D1210" s="250">
        <f t="shared" ca="1" si="285"/>
        <v>1744000.0000000002</v>
      </c>
      <c r="E1210" s="233">
        <f t="shared" ca="1" si="288"/>
        <v>781920</v>
      </c>
      <c r="F1210" s="555">
        <f t="shared" ca="1" si="286"/>
        <v>0.44834862385321095</v>
      </c>
      <c r="G1210" s="244">
        <f t="shared" ca="1" si="287"/>
        <v>156384</v>
      </c>
    </row>
    <row r="1211" spans="1:10" ht="21" customHeight="1" x14ac:dyDescent="0.25">
      <c r="A1211" s="247"/>
      <c r="B1211" s="279" t="s">
        <v>2741</v>
      </c>
      <c r="C1211" s="544">
        <f ca="1">SUM(C1199:C1210)</f>
        <v>48151400</v>
      </c>
      <c r="D1211" s="544">
        <f ca="1">SUM(D1199:D1210)</f>
        <v>43774000</v>
      </c>
      <c r="E1211" s="544">
        <f ca="1">SUM(E1199:E1210)</f>
        <v>10988280</v>
      </c>
      <c r="F1211" s="567">
        <f t="shared" ca="1" si="286"/>
        <v>0.25102298167862203</v>
      </c>
      <c r="G1211" s="972">
        <f ca="1">SUM(G1199:G1210)</f>
        <v>2197656</v>
      </c>
    </row>
    <row r="1212" spans="1:10" ht="21" customHeight="1" x14ac:dyDescent="0.25">
      <c r="A1212" s="247" t="s">
        <v>2994</v>
      </c>
      <c r="B1212" s="228" t="s">
        <v>444</v>
      </c>
      <c r="C1212" s="233">
        <f t="shared" ref="C1212:C1222" ca="1" si="289">SUMIFS(INDIRECT("Report!F100:F10000"),INDIRECT("Report!B100:B10000"),B1212,INDIRECT("report!H100:H10000"),"Consums",INDIRECT("Report!L100:L10000"),"21,5")</f>
        <v>2365000</v>
      </c>
      <c r="D1212" s="250">
        <f t="shared" ref="D1212:D1222" ca="1" si="290">(C1212/11*10)</f>
        <v>2150000</v>
      </c>
      <c r="E1212" s="233">
        <f t="shared" ref="E1212:E1222" ca="1" si="291">SUMIFS(INDIRECT("Report!J100:J10000"),INDIRECT("Report!B100:B10000"),B1212,INDIRECT("report!H100:H10000"),"Consums",INDIRECT("Report!L100:L10000"),"21,5")</f>
        <v>529000</v>
      </c>
      <c r="F1212" s="555">
        <f t="shared" ref="F1212:F1223" ca="1" si="292">E1212/D1212</f>
        <v>0.24604651162790697</v>
      </c>
      <c r="G1212" s="244">
        <f t="shared" ref="G1212:G1222" ca="1" si="293">E1212*20%</f>
        <v>105800</v>
      </c>
    </row>
    <row r="1213" spans="1:10" ht="21" customHeight="1" x14ac:dyDescent="0.25">
      <c r="B1213" s="228" t="s">
        <v>523</v>
      </c>
      <c r="C1213" s="233">
        <f t="shared" ca="1" si="289"/>
        <v>2090000</v>
      </c>
      <c r="D1213" s="250">
        <f t="shared" ca="1" si="290"/>
        <v>1900000</v>
      </c>
      <c r="E1213" s="233">
        <f t="shared" ca="1" si="291"/>
        <v>233000</v>
      </c>
      <c r="F1213" s="555">
        <f t="shared" ca="1" si="292"/>
        <v>0.12263157894736842</v>
      </c>
      <c r="G1213" s="244">
        <f t="shared" ca="1" si="293"/>
        <v>46600</v>
      </c>
    </row>
    <row r="1214" spans="1:10" ht="21" customHeight="1" x14ac:dyDescent="0.25">
      <c r="B1214" s="228" t="s">
        <v>453</v>
      </c>
      <c r="C1214" s="233">
        <f t="shared" ca="1" si="289"/>
        <v>5630900</v>
      </c>
      <c r="D1214" s="250">
        <f t="shared" ca="1" si="290"/>
        <v>5119000</v>
      </c>
      <c r="E1214" s="233">
        <f t="shared" ca="1" si="291"/>
        <v>13000</v>
      </c>
      <c r="F1214" s="555">
        <f t="shared" ca="1" si="292"/>
        <v>2.5395585075210004E-3</v>
      </c>
      <c r="G1214" s="244">
        <f t="shared" ca="1" si="293"/>
        <v>2600</v>
      </c>
    </row>
    <row r="1215" spans="1:10" ht="21" customHeight="1" x14ac:dyDescent="0.25">
      <c r="B1215" s="228" t="s">
        <v>2469</v>
      </c>
      <c r="C1215" s="233">
        <f t="shared" ca="1" si="289"/>
        <v>4895000</v>
      </c>
      <c r="D1215" s="250">
        <f t="shared" ca="1" si="290"/>
        <v>4450000</v>
      </c>
      <c r="E1215" s="233">
        <f t="shared" ca="1" si="291"/>
        <v>1950000</v>
      </c>
      <c r="F1215" s="555">
        <f t="shared" ca="1" si="292"/>
        <v>0.43820224719101125</v>
      </c>
      <c r="G1215" s="244">
        <f t="shared" ca="1" si="293"/>
        <v>390000</v>
      </c>
      <c r="J1215" s="227" t="s">
        <v>1676</v>
      </c>
    </row>
    <row r="1216" spans="1:10" ht="21" customHeight="1" x14ac:dyDescent="0.25">
      <c r="B1216" s="228" t="s">
        <v>515</v>
      </c>
      <c r="C1216" s="233">
        <f t="shared" ca="1" si="289"/>
        <v>4620000</v>
      </c>
      <c r="D1216" s="250">
        <f t="shared" ca="1" si="290"/>
        <v>4200000</v>
      </c>
      <c r="E1216" s="233">
        <f t="shared" ca="1" si="291"/>
        <v>760000</v>
      </c>
      <c r="F1216" s="555">
        <f t="shared" ca="1" si="292"/>
        <v>0.18095238095238095</v>
      </c>
      <c r="G1216" s="244">
        <f t="shared" ca="1" si="293"/>
        <v>152000</v>
      </c>
    </row>
    <row r="1217" spans="1:10" ht="21" customHeight="1" x14ac:dyDescent="0.25">
      <c r="B1217" s="228" t="s">
        <v>2995</v>
      </c>
      <c r="C1217" s="233">
        <f t="shared" ca="1" si="289"/>
        <v>33990000</v>
      </c>
      <c r="D1217" s="250">
        <f t="shared" ca="1" si="290"/>
        <v>30900000</v>
      </c>
      <c r="E1217" s="233">
        <f t="shared" ca="1" si="291"/>
        <v>5900000</v>
      </c>
      <c r="F1217" s="555">
        <f t="shared" ca="1" si="292"/>
        <v>0.19093851132686085</v>
      </c>
      <c r="G1217" s="244">
        <f t="shared" ca="1" si="293"/>
        <v>1180000</v>
      </c>
      <c r="J1217" s="227" t="s">
        <v>2996</v>
      </c>
    </row>
    <row r="1218" spans="1:10" ht="21" customHeight="1" x14ac:dyDescent="0.25">
      <c r="B1218" s="228" t="s">
        <v>430</v>
      </c>
      <c r="C1218" s="233">
        <f t="shared" ca="1" si="289"/>
        <v>2200000</v>
      </c>
      <c r="D1218" s="250">
        <f t="shared" ca="1" si="290"/>
        <v>2000000</v>
      </c>
      <c r="E1218" s="233">
        <f t="shared" ca="1" si="291"/>
        <v>1000000</v>
      </c>
      <c r="F1218" s="555">
        <f t="shared" ca="1" si="292"/>
        <v>0.5</v>
      </c>
      <c r="G1218" s="244">
        <f t="shared" ca="1" si="293"/>
        <v>200000</v>
      </c>
    </row>
    <row r="1219" spans="1:10" ht="21" customHeight="1" x14ac:dyDescent="0.25">
      <c r="B1219" s="228" t="s">
        <v>466</v>
      </c>
      <c r="C1219" s="233">
        <f t="shared" ca="1" si="289"/>
        <v>605000</v>
      </c>
      <c r="D1219" s="250">
        <f t="shared" ca="1" si="290"/>
        <v>550000</v>
      </c>
      <c r="E1219" s="233">
        <f t="shared" ca="1" si="291"/>
        <v>100000</v>
      </c>
      <c r="F1219" s="555">
        <f t="shared" ca="1" si="292"/>
        <v>0.18181818181818182</v>
      </c>
      <c r="G1219" s="244">
        <f t="shared" ca="1" si="293"/>
        <v>20000</v>
      </c>
    </row>
    <row r="1220" spans="1:10" ht="21" customHeight="1" x14ac:dyDescent="0.25">
      <c r="B1220" s="228" t="s">
        <v>2247</v>
      </c>
      <c r="C1220" s="233">
        <f t="shared" ca="1" si="289"/>
        <v>6376700</v>
      </c>
      <c r="D1220" s="250">
        <f t="shared" ca="1" si="290"/>
        <v>5797000</v>
      </c>
      <c r="E1220" s="233">
        <f t="shared" ca="1" si="291"/>
        <v>1586000</v>
      </c>
      <c r="F1220" s="555">
        <f t="shared" ca="1" si="292"/>
        <v>0.27358978782128685</v>
      </c>
      <c r="G1220" s="244">
        <f t="shared" ca="1" si="293"/>
        <v>317200</v>
      </c>
    </row>
    <row r="1221" spans="1:10" ht="21" customHeight="1" x14ac:dyDescent="0.25">
      <c r="B1221" s="228" t="s">
        <v>434</v>
      </c>
      <c r="C1221" s="233">
        <f t="shared" ca="1" si="289"/>
        <v>3643200.0000000005</v>
      </c>
      <c r="D1221" s="250">
        <f t="shared" ca="1" si="290"/>
        <v>3312000.0000000005</v>
      </c>
      <c r="E1221" s="233">
        <f t="shared" ca="1" si="291"/>
        <v>864000</v>
      </c>
      <c r="F1221" s="555">
        <f t="shared" ca="1" si="292"/>
        <v>0.26086956521739124</v>
      </c>
      <c r="G1221" s="244">
        <f t="shared" ca="1" si="293"/>
        <v>172800</v>
      </c>
    </row>
    <row r="1222" spans="1:10" ht="21" customHeight="1" x14ac:dyDescent="0.25">
      <c r="B1222" s="228" t="s">
        <v>834</v>
      </c>
      <c r="C1222" s="233">
        <f t="shared" ca="1" si="289"/>
        <v>1918400.0000000002</v>
      </c>
      <c r="D1222" s="250">
        <f t="shared" ca="1" si="290"/>
        <v>1744000.0000000002</v>
      </c>
      <c r="E1222" s="233">
        <f t="shared" ca="1" si="291"/>
        <v>781920</v>
      </c>
      <c r="F1222" s="555">
        <f t="shared" ca="1" si="292"/>
        <v>0.44834862385321095</v>
      </c>
      <c r="G1222" s="244">
        <f t="shared" ca="1" si="293"/>
        <v>156384</v>
      </c>
    </row>
    <row r="1223" spans="1:10" ht="21" customHeight="1" x14ac:dyDescent="0.25">
      <c r="A1223" s="247"/>
      <c r="B1223" s="279" t="s">
        <v>2741</v>
      </c>
      <c r="C1223" s="544">
        <f ca="1">SUM(C1212:C1222)</f>
        <v>68334200</v>
      </c>
      <c r="D1223" s="544">
        <f ca="1">SUM(D1212:D1222)</f>
        <v>62122000</v>
      </c>
      <c r="E1223" s="544">
        <f ca="1">SUM(E1212:E1222)</f>
        <v>13716920</v>
      </c>
      <c r="F1223" s="567">
        <f t="shared" ca="1" si="292"/>
        <v>0.22080615562924569</v>
      </c>
      <c r="G1223" s="972">
        <f ca="1">SUM(G1212:G1222)</f>
        <v>2743384</v>
      </c>
    </row>
    <row r="1224" spans="1:10" ht="21" customHeight="1" x14ac:dyDescent="0.25">
      <c r="A1224" s="247" t="s">
        <v>3037</v>
      </c>
      <c r="B1224" s="228" t="s">
        <v>444</v>
      </c>
      <c r="C1224" s="233">
        <f ca="1">SUMIFS(INDIRECT("Report!F100:F10000"),INDIRECT("Report!B100:B10000"),B1224,INDIRECT("report!H100:H10000"),"Consums",INDIRECT("Report!L100:L10000"),"21,6")</f>
        <v>2596000</v>
      </c>
      <c r="D1224" s="250">
        <f t="shared" ref="D1224:D1233" ca="1" si="294">(C1224/11*10)</f>
        <v>2360000</v>
      </c>
      <c r="E1224" s="233">
        <f ca="1">SUMIFS(INDIRECT("Report!J100:J10000"),INDIRECT("Report!B100:B10000"),B1224,INDIRECT("report!H100:H10000"),"Consums",INDIRECT("Report!L100:L10000"),"21,6")</f>
        <v>607000</v>
      </c>
      <c r="F1224" s="555">
        <f t="shared" ref="F1224:F1234" ca="1" si="295">E1224/D1224</f>
        <v>0.2572033898305085</v>
      </c>
      <c r="G1224" s="244">
        <f t="shared" ref="G1224:G1233" ca="1" si="296">E1224*20%</f>
        <v>121400</v>
      </c>
    </row>
    <row r="1225" spans="1:10" ht="21" customHeight="1" x14ac:dyDescent="0.25">
      <c r="B1225" s="228" t="s">
        <v>523</v>
      </c>
      <c r="C1225" s="233">
        <f t="shared" ref="C1225:C1233" ca="1" si="297">SUMIFS(INDIRECT("Report!F100:F10000"),INDIRECT("Report!B100:B10000"),B1225,INDIRECT("report!H100:H10000"),"Consums",INDIRECT("Report!L100:L10000"),"21,6")</f>
        <v>4928000</v>
      </c>
      <c r="D1225" s="250">
        <f t="shared" ca="1" si="294"/>
        <v>4480000</v>
      </c>
      <c r="E1225" s="233">
        <f t="shared" ref="E1225:E1233" ca="1" si="298">SUMIFS(INDIRECT("Report!J100:J10000"),INDIRECT("Report!B100:B10000"),B1225,INDIRECT("report!H100:H10000"),"Consums",INDIRECT("Report!L100:L10000"),"21,6")</f>
        <v>603000</v>
      </c>
      <c r="F1225" s="555">
        <f t="shared" ca="1" si="295"/>
        <v>0.13459821428571428</v>
      </c>
      <c r="G1225" s="244">
        <f t="shared" ca="1" si="296"/>
        <v>120600</v>
      </c>
    </row>
    <row r="1226" spans="1:10" ht="21" customHeight="1" x14ac:dyDescent="0.25">
      <c r="B1226" s="228" t="s">
        <v>453</v>
      </c>
      <c r="C1226" s="233">
        <f t="shared" ca="1" si="297"/>
        <v>20753700</v>
      </c>
      <c r="D1226" s="250">
        <f t="shared" ca="1" si="294"/>
        <v>18867000</v>
      </c>
      <c r="E1226" s="233">
        <f t="shared" ca="1" si="298"/>
        <v>1662690</v>
      </c>
      <c r="F1226" s="555">
        <f t="shared" ca="1" si="295"/>
        <v>8.8126888217522653E-2</v>
      </c>
      <c r="G1226" s="244">
        <f t="shared" ca="1" si="296"/>
        <v>332538</v>
      </c>
    </row>
    <row r="1227" spans="1:10" ht="21" customHeight="1" x14ac:dyDescent="0.25">
      <c r="B1227" s="228" t="s">
        <v>515</v>
      </c>
      <c r="C1227" s="233">
        <f t="shared" ca="1" si="297"/>
        <v>2310000</v>
      </c>
      <c r="D1227" s="250">
        <f t="shared" ca="1" si="294"/>
        <v>2100000</v>
      </c>
      <c r="E1227" s="233">
        <f t="shared" ca="1" si="298"/>
        <v>380000</v>
      </c>
      <c r="F1227" s="555">
        <f t="shared" ca="1" si="295"/>
        <v>0.18095238095238095</v>
      </c>
      <c r="G1227" s="244">
        <f t="shared" ca="1" si="296"/>
        <v>76000</v>
      </c>
    </row>
    <row r="1228" spans="1:10" ht="21" customHeight="1" x14ac:dyDescent="0.25">
      <c r="B1228" s="228" t="s">
        <v>3038</v>
      </c>
      <c r="C1228" s="233">
        <f t="shared" ca="1" si="297"/>
        <v>2240700</v>
      </c>
      <c r="D1228" s="250">
        <f t="shared" ca="1" si="294"/>
        <v>2037000</v>
      </c>
      <c r="E1228" s="233">
        <f t="shared" ca="1" si="298"/>
        <v>2037000</v>
      </c>
      <c r="F1228" s="555">
        <f t="shared" ca="1" si="295"/>
        <v>1</v>
      </c>
      <c r="G1228" s="244">
        <f t="shared" ca="1" si="296"/>
        <v>407400</v>
      </c>
      <c r="J1228" s="227" t="s">
        <v>3066</v>
      </c>
    </row>
    <row r="1229" spans="1:10" ht="21" customHeight="1" x14ac:dyDescent="0.25">
      <c r="B1229" s="228" t="s">
        <v>466</v>
      </c>
      <c r="C1229" s="233">
        <f t="shared" ca="1" si="297"/>
        <v>962500</v>
      </c>
      <c r="D1229" s="250">
        <f t="shared" ca="1" si="294"/>
        <v>875000</v>
      </c>
      <c r="E1229" s="233">
        <f t="shared" ca="1" si="298"/>
        <v>175000</v>
      </c>
      <c r="F1229" s="555">
        <f t="shared" ca="1" si="295"/>
        <v>0.2</v>
      </c>
      <c r="G1229" s="244">
        <f t="shared" ca="1" si="296"/>
        <v>35000</v>
      </c>
    </row>
    <row r="1230" spans="1:10" ht="21" customHeight="1" x14ac:dyDescent="0.25">
      <c r="B1230" s="228" t="s">
        <v>2247</v>
      </c>
      <c r="C1230" s="233">
        <f t="shared" ca="1" si="297"/>
        <v>11039050</v>
      </c>
      <c r="D1230" s="250">
        <f t="shared" ca="1" si="294"/>
        <v>10035500</v>
      </c>
      <c r="E1230" s="233">
        <f t="shared" ca="1" si="298"/>
        <v>2899000</v>
      </c>
      <c r="F1230" s="555">
        <f t="shared" ca="1" si="295"/>
        <v>0.28887449554083006</v>
      </c>
      <c r="G1230" s="244">
        <f t="shared" ca="1" si="296"/>
        <v>579800</v>
      </c>
    </row>
    <row r="1231" spans="1:10" ht="21" customHeight="1" x14ac:dyDescent="0.25">
      <c r="B1231" s="228" t="s">
        <v>434</v>
      </c>
      <c r="C1231" s="233">
        <f t="shared" ca="1" si="297"/>
        <v>4554000</v>
      </c>
      <c r="D1231" s="250">
        <f t="shared" ca="1" si="294"/>
        <v>4140000</v>
      </c>
      <c r="E1231" s="233">
        <f t="shared" ca="1" si="298"/>
        <v>1080000</v>
      </c>
      <c r="F1231" s="555">
        <f t="shared" ca="1" si="295"/>
        <v>0.2608695652173913</v>
      </c>
      <c r="G1231" s="244">
        <f t="shared" ca="1" si="296"/>
        <v>216000</v>
      </c>
    </row>
    <row r="1232" spans="1:10" ht="21" customHeight="1" x14ac:dyDescent="0.25">
      <c r="B1232" s="228" t="s">
        <v>526</v>
      </c>
      <c r="C1232" s="233">
        <f t="shared" ca="1" si="297"/>
        <v>9394000</v>
      </c>
      <c r="D1232" s="250">
        <f t="shared" ca="1" si="294"/>
        <v>8540000</v>
      </c>
      <c r="E1232" s="233">
        <f t="shared" ca="1" si="298"/>
        <v>2180000</v>
      </c>
      <c r="F1232" s="555">
        <f t="shared" ca="1" si="295"/>
        <v>0.25526932084309134</v>
      </c>
      <c r="G1232" s="244">
        <f t="shared" ca="1" si="296"/>
        <v>436000</v>
      </c>
    </row>
    <row r="1233" spans="1:7" ht="21" customHeight="1" x14ac:dyDescent="0.25">
      <c r="B1233" s="228" t="s">
        <v>834</v>
      </c>
      <c r="C1233" s="233">
        <f t="shared" ca="1" si="297"/>
        <v>1918400.0000000002</v>
      </c>
      <c r="D1233" s="250">
        <f t="shared" ca="1" si="294"/>
        <v>1744000.0000000002</v>
      </c>
      <c r="E1233" s="233">
        <f t="shared" ca="1" si="298"/>
        <v>781920</v>
      </c>
      <c r="F1233" s="555">
        <f t="shared" ca="1" si="295"/>
        <v>0.44834862385321095</v>
      </c>
      <c r="G1233" s="244">
        <f t="shared" ca="1" si="296"/>
        <v>156384</v>
      </c>
    </row>
    <row r="1234" spans="1:7" ht="21" customHeight="1" x14ac:dyDescent="0.25">
      <c r="A1234" s="247"/>
      <c r="B1234" s="279" t="s">
        <v>2741</v>
      </c>
      <c r="C1234" s="544">
        <f ca="1">SUM(C1224:C1233)</f>
        <v>60696350</v>
      </c>
      <c r="D1234" s="544">
        <f ca="1">SUM(D1224:D1233)</f>
        <v>55178500</v>
      </c>
      <c r="E1234" s="544">
        <f ca="1">SUM(E1224:E1233)</f>
        <v>12405610</v>
      </c>
      <c r="F1234" s="567">
        <f t="shared" ca="1" si="295"/>
        <v>0.22482688003479617</v>
      </c>
      <c r="G1234" s="972">
        <f ca="1">SUM(G1229:G1233,G1224:G1227)</f>
        <v>2073722</v>
      </c>
    </row>
    <row r="1235" spans="1:7" ht="21" customHeight="1" x14ac:dyDescent="0.25">
      <c r="A1235" s="247" t="s">
        <v>3057</v>
      </c>
      <c r="B1235" s="228" t="s">
        <v>444</v>
      </c>
      <c r="C1235" s="233">
        <f t="shared" ref="C1235:C1245" ca="1" si="299">SUMIFS(INDIRECT("Report!F100:F10000"),INDIRECT("Report!B100:B10000"),B1235,INDIRECT("report!H100:H10000"),"Consums",INDIRECT("Report!L100:L10000"),"21,7")</f>
        <v>7546000</v>
      </c>
      <c r="D1235" s="250">
        <f t="shared" ref="D1235:D1245" ca="1" si="300">(C1235/11*10)</f>
        <v>6860000</v>
      </c>
      <c r="E1235" s="233">
        <f t="shared" ref="E1235:E1245" ca="1" si="301">SUMIFS(INDIRECT("Report!J100:J10000"),INDIRECT("Report!B100:B10000"),B1235,INDIRECT("report!H100:H10000"),"Consums",INDIRECT("Report!L100:L10000"),"21,7")</f>
        <v>3121600</v>
      </c>
      <c r="F1235" s="555">
        <f t="shared" ref="F1235:F1246" ca="1" si="302">E1235/D1235</f>
        <v>0.45504373177842566</v>
      </c>
      <c r="G1235" s="244">
        <f t="shared" ref="G1235:G1245" ca="1" si="303">E1235*20%</f>
        <v>624320</v>
      </c>
    </row>
    <row r="1236" spans="1:7" ht="21" customHeight="1" x14ac:dyDescent="0.25">
      <c r="B1236" s="228" t="s">
        <v>523</v>
      </c>
      <c r="C1236" s="233">
        <f t="shared" ca="1" si="299"/>
        <v>3217500</v>
      </c>
      <c r="D1236" s="250">
        <f t="shared" ca="1" si="300"/>
        <v>2925000</v>
      </c>
      <c r="E1236" s="233">
        <f t="shared" ca="1" si="301"/>
        <v>361000</v>
      </c>
      <c r="F1236" s="555">
        <f t="shared" ca="1" si="302"/>
        <v>0.12341880341880342</v>
      </c>
      <c r="G1236" s="244">
        <f t="shared" ca="1" si="303"/>
        <v>72200</v>
      </c>
    </row>
    <row r="1237" spans="1:7" ht="21" customHeight="1" x14ac:dyDescent="0.25">
      <c r="B1237" s="228" t="s">
        <v>453</v>
      </c>
      <c r="C1237" s="233">
        <f t="shared" ca="1" si="299"/>
        <v>7408500</v>
      </c>
      <c r="D1237" s="250">
        <f t="shared" ca="1" si="300"/>
        <v>6735000</v>
      </c>
      <c r="E1237" s="233">
        <f t="shared" ca="1" si="301"/>
        <v>2010640</v>
      </c>
      <c r="F1237" s="555">
        <f t="shared" ca="1" si="302"/>
        <v>0.29853600593912399</v>
      </c>
      <c r="G1237" s="244">
        <f t="shared" ca="1" si="303"/>
        <v>402128</v>
      </c>
    </row>
    <row r="1238" spans="1:7" ht="21" customHeight="1" x14ac:dyDescent="0.25">
      <c r="B1238" s="228" t="s">
        <v>515</v>
      </c>
      <c r="C1238" s="233">
        <f t="shared" ca="1" si="299"/>
        <v>4620000</v>
      </c>
      <c r="D1238" s="250">
        <f t="shared" ca="1" si="300"/>
        <v>4200000</v>
      </c>
      <c r="E1238" s="233">
        <f t="shared" ca="1" si="301"/>
        <v>1040000</v>
      </c>
      <c r="F1238" s="555">
        <f t="shared" ca="1" si="302"/>
        <v>0.24761904761904763</v>
      </c>
      <c r="G1238" s="244">
        <f t="shared" ca="1" si="303"/>
        <v>208000</v>
      </c>
    </row>
    <row r="1239" spans="1:7" ht="21" customHeight="1" x14ac:dyDescent="0.25">
      <c r="B1239" s="228" t="s">
        <v>3038</v>
      </c>
      <c r="C1239" s="233">
        <f t="shared" ca="1" si="299"/>
        <v>2910600.0000000005</v>
      </c>
      <c r="D1239" s="250">
        <f t="shared" ca="1" si="300"/>
        <v>2646000.0000000005</v>
      </c>
      <c r="E1239" s="233">
        <f t="shared" ca="1" si="301"/>
        <v>2646000</v>
      </c>
      <c r="F1239" s="555">
        <f t="shared" ca="1" si="302"/>
        <v>0.99999999999999978</v>
      </c>
      <c r="G1239" s="244">
        <f t="shared" ca="1" si="303"/>
        <v>529200</v>
      </c>
    </row>
    <row r="1240" spans="1:7" ht="21" customHeight="1" x14ac:dyDescent="0.25">
      <c r="B1240" s="228" t="s">
        <v>466</v>
      </c>
      <c r="C1240" s="233">
        <f t="shared" ca="1" si="299"/>
        <v>605000</v>
      </c>
      <c r="D1240" s="250">
        <f t="shared" ca="1" si="300"/>
        <v>550000</v>
      </c>
      <c r="E1240" s="233">
        <f t="shared" ca="1" si="301"/>
        <v>100000</v>
      </c>
      <c r="F1240" s="555">
        <f t="shared" ca="1" si="302"/>
        <v>0.18181818181818182</v>
      </c>
      <c r="G1240" s="244">
        <f t="shared" ca="1" si="303"/>
        <v>20000</v>
      </c>
    </row>
    <row r="1241" spans="1:7" ht="21" customHeight="1" x14ac:dyDescent="0.25">
      <c r="B1241" s="228" t="s">
        <v>2247</v>
      </c>
      <c r="C1241" s="233">
        <f t="shared" ca="1" si="299"/>
        <v>10733250</v>
      </c>
      <c r="D1241" s="250">
        <f t="shared" ca="1" si="300"/>
        <v>9757500</v>
      </c>
      <c r="E1241" s="233">
        <f t="shared" ca="1" si="301"/>
        <v>2929000</v>
      </c>
      <c r="F1241" s="555">
        <f t="shared" ca="1" si="302"/>
        <v>0.30017934921854983</v>
      </c>
      <c r="G1241" s="244">
        <f t="shared" ca="1" si="303"/>
        <v>585800</v>
      </c>
    </row>
    <row r="1242" spans="1:7" ht="21" customHeight="1" x14ac:dyDescent="0.25">
      <c r="B1242" s="228" t="s">
        <v>434</v>
      </c>
      <c r="C1242" s="233">
        <f t="shared" ca="1" si="299"/>
        <v>7590000.0000000009</v>
      </c>
      <c r="D1242" s="250">
        <f t="shared" ca="1" si="300"/>
        <v>6900000.0000000009</v>
      </c>
      <c r="E1242" s="233">
        <f t="shared" ca="1" si="301"/>
        <v>1800000</v>
      </c>
      <c r="F1242" s="555">
        <f t="shared" ca="1" si="302"/>
        <v>0.26086956521739124</v>
      </c>
      <c r="G1242" s="244">
        <f t="shared" ca="1" si="303"/>
        <v>360000</v>
      </c>
    </row>
    <row r="1243" spans="1:7" ht="21" customHeight="1" x14ac:dyDescent="0.25">
      <c r="B1243" s="228" t="s">
        <v>430</v>
      </c>
      <c r="C1243" s="233">
        <f t="shared" ca="1" si="299"/>
        <v>1100000</v>
      </c>
      <c r="D1243" s="250">
        <f t="shared" ca="1" si="300"/>
        <v>1000000</v>
      </c>
      <c r="E1243" s="233">
        <f t="shared" ca="1" si="301"/>
        <v>500000</v>
      </c>
      <c r="F1243" s="555">
        <f t="shared" ca="1" si="302"/>
        <v>0.5</v>
      </c>
      <c r="G1243" s="244">
        <f t="shared" ca="1" si="303"/>
        <v>100000</v>
      </c>
    </row>
    <row r="1244" spans="1:7" ht="21" customHeight="1" x14ac:dyDescent="0.25">
      <c r="B1244" s="228" t="s">
        <v>834</v>
      </c>
      <c r="C1244" s="233">
        <f t="shared" ca="1" si="299"/>
        <v>22059400</v>
      </c>
      <c r="D1244" s="250">
        <f t="shared" ca="1" si="300"/>
        <v>20054000</v>
      </c>
      <c r="E1244" s="233">
        <f t="shared" ca="1" si="301"/>
        <v>4081920</v>
      </c>
      <c r="F1244" s="555">
        <f t="shared" ca="1" si="302"/>
        <v>0.20354642465343573</v>
      </c>
      <c r="G1244" s="244">
        <f t="shared" ca="1" si="303"/>
        <v>816384</v>
      </c>
    </row>
    <row r="1245" spans="1:7" ht="21" customHeight="1" x14ac:dyDescent="0.25">
      <c r="B1245" s="228" t="s">
        <v>679</v>
      </c>
      <c r="C1245" s="233">
        <f t="shared" ca="1" si="299"/>
        <v>9460000</v>
      </c>
      <c r="D1245" s="250">
        <f t="shared" ca="1" si="300"/>
        <v>8600000</v>
      </c>
      <c r="E1245" s="233">
        <f t="shared" ca="1" si="301"/>
        <v>1600000</v>
      </c>
      <c r="F1245" s="555">
        <f t="shared" ca="1" si="302"/>
        <v>0.18604651162790697</v>
      </c>
      <c r="G1245" s="244">
        <f t="shared" ca="1" si="303"/>
        <v>320000</v>
      </c>
    </row>
    <row r="1246" spans="1:7" ht="21" customHeight="1" x14ac:dyDescent="0.25">
      <c r="A1246" s="247"/>
      <c r="B1246" s="279" t="s">
        <v>2741</v>
      </c>
      <c r="C1246" s="544">
        <f ca="1">SUM(C1235:C1245)</f>
        <v>77250250</v>
      </c>
      <c r="D1246" s="544">
        <f ca="1">SUM(D1235:D1245)</f>
        <v>70227500</v>
      </c>
      <c r="E1246" s="544">
        <f ca="1">SUM(E1235:E1245)</f>
        <v>20190160</v>
      </c>
      <c r="F1246" s="567">
        <f t="shared" ca="1" si="302"/>
        <v>0.28749649353885587</v>
      </c>
      <c r="G1246" s="972">
        <f ca="1">SUM(G1235:G1245)</f>
        <v>4038032</v>
      </c>
    </row>
    <row r="1247" spans="1:7" ht="21" customHeight="1" x14ac:dyDescent="0.25">
      <c r="A1247" s="247" t="s">
        <v>3106</v>
      </c>
      <c r="B1247" s="228" t="s">
        <v>444</v>
      </c>
      <c r="C1247" s="233">
        <f t="shared" ref="C1247:C1260" ca="1" si="304">SUMIFS(INDIRECT("Report!F100:F10000"),INDIRECT("Report!B100:B10000"),B1247,INDIRECT("report!H100:H10000"),"Consums",INDIRECT("Report!L100:L10000"),"21,8")</f>
        <v>9031000</v>
      </c>
      <c r="D1247" s="250">
        <f t="shared" ref="D1247:D1260" ca="1" si="305">(C1247/11*10)</f>
        <v>8210000</v>
      </c>
      <c r="E1247" s="233">
        <f t="shared" ref="E1247:E1260" ca="1" si="306">SUMIFS(INDIRECT("Report!J100:J10000"),INDIRECT("Report!B100:B10000"),B1247,INDIRECT("report!H100:H10000"),"Consums",INDIRECT("Report!L100:L10000"),"21,8")</f>
        <v>3277400</v>
      </c>
      <c r="F1247" s="555">
        <f t="shared" ref="F1247:F1261" ca="1" si="307">E1247/D1247</f>
        <v>0.3991961023142509</v>
      </c>
      <c r="G1247" s="244">
        <f t="shared" ref="G1247:G1260" ca="1" si="308">E1247*20%</f>
        <v>655480</v>
      </c>
    </row>
    <row r="1248" spans="1:7" ht="21" customHeight="1" x14ac:dyDescent="0.25">
      <c r="B1248" s="228" t="s">
        <v>523</v>
      </c>
      <c r="C1248" s="233">
        <f t="shared" ca="1" si="304"/>
        <v>4576000</v>
      </c>
      <c r="D1248" s="250">
        <f t="shared" ca="1" si="305"/>
        <v>4160000</v>
      </c>
      <c r="E1248" s="233">
        <f t="shared" ca="1" si="306"/>
        <v>720000</v>
      </c>
      <c r="F1248" s="555">
        <f t="shared" ca="1" si="307"/>
        <v>0.17307692307692307</v>
      </c>
      <c r="G1248" s="244">
        <f t="shared" ca="1" si="308"/>
        <v>144000</v>
      </c>
    </row>
    <row r="1249" spans="1:7" ht="21" customHeight="1" x14ac:dyDescent="0.25">
      <c r="B1249" s="228" t="s">
        <v>453</v>
      </c>
      <c r="C1249" s="233">
        <f t="shared" ca="1" si="304"/>
        <v>9341750</v>
      </c>
      <c r="D1249" s="250">
        <f t="shared" ca="1" si="305"/>
        <v>8492500</v>
      </c>
      <c r="E1249" s="233">
        <f t="shared" ca="1" si="306"/>
        <v>1823000</v>
      </c>
      <c r="F1249" s="555">
        <f t="shared" ca="1" si="307"/>
        <v>0.21465999411245215</v>
      </c>
      <c r="G1249" s="244">
        <f t="shared" ca="1" si="308"/>
        <v>364600</v>
      </c>
    </row>
    <row r="1250" spans="1:7" ht="21" customHeight="1" x14ac:dyDescent="0.25">
      <c r="B1250" s="228" t="s">
        <v>515</v>
      </c>
      <c r="C1250" s="233">
        <f t="shared" ca="1" si="304"/>
        <v>2310000</v>
      </c>
      <c r="D1250" s="250">
        <f t="shared" ca="1" si="305"/>
        <v>2100000</v>
      </c>
      <c r="E1250" s="233">
        <f t="shared" ca="1" si="306"/>
        <v>484000</v>
      </c>
      <c r="F1250" s="555">
        <f t="shared" ca="1" si="307"/>
        <v>0.23047619047619047</v>
      </c>
      <c r="G1250" s="244">
        <f t="shared" ca="1" si="308"/>
        <v>96800</v>
      </c>
    </row>
    <row r="1251" spans="1:7" ht="21" customHeight="1" x14ac:dyDescent="0.25">
      <c r="B1251" s="228" t="s">
        <v>2469</v>
      </c>
      <c r="C1251" s="233">
        <f t="shared" ca="1" si="304"/>
        <v>2145000</v>
      </c>
      <c r="D1251" s="250">
        <f t="shared" ca="1" si="305"/>
        <v>1950000</v>
      </c>
      <c r="E1251" s="233">
        <f t="shared" ca="1" si="306"/>
        <v>1950000</v>
      </c>
      <c r="F1251" s="555">
        <f t="shared" ca="1" si="307"/>
        <v>1</v>
      </c>
      <c r="G1251" s="244">
        <f t="shared" ca="1" si="308"/>
        <v>390000</v>
      </c>
    </row>
    <row r="1252" spans="1:7" ht="21" customHeight="1" x14ac:dyDescent="0.25">
      <c r="B1252" s="228" t="s">
        <v>466</v>
      </c>
      <c r="C1252" s="233">
        <f t="shared" ca="1" si="304"/>
        <v>2750000</v>
      </c>
      <c r="D1252" s="250">
        <f t="shared" ca="1" si="305"/>
        <v>2500000</v>
      </c>
      <c r="E1252" s="233">
        <f t="shared" ca="1" si="306"/>
        <v>1059400</v>
      </c>
      <c r="F1252" s="555">
        <f t="shared" ca="1" si="307"/>
        <v>0.42376000000000003</v>
      </c>
      <c r="G1252" s="244">
        <f t="shared" ca="1" si="308"/>
        <v>211880</v>
      </c>
    </row>
    <row r="1253" spans="1:7" ht="21" customHeight="1" x14ac:dyDescent="0.25">
      <c r="B1253" s="228" t="s">
        <v>2247</v>
      </c>
      <c r="C1253" s="233">
        <f t="shared" ca="1" si="304"/>
        <v>8409500</v>
      </c>
      <c r="D1253" s="250">
        <f t="shared" ca="1" si="305"/>
        <v>7645000</v>
      </c>
      <c r="E1253" s="233">
        <f t="shared" ca="1" si="306"/>
        <v>2295000</v>
      </c>
      <c r="F1253" s="555">
        <f t="shared" ca="1" si="307"/>
        <v>0.30019620667102681</v>
      </c>
      <c r="G1253" s="244">
        <f t="shared" ca="1" si="308"/>
        <v>459000</v>
      </c>
    </row>
    <row r="1254" spans="1:7" ht="21" customHeight="1" x14ac:dyDescent="0.25">
      <c r="B1254" s="228" t="s">
        <v>434</v>
      </c>
      <c r="C1254" s="233">
        <f t="shared" ca="1" si="304"/>
        <v>4554000</v>
      </c>
      <c r="D1254" s="250">
        <f t="shared" ca="1" si="305"/>
        <v>4140000</v>
      </c>
      <c r="E1254" s="233">
        <f t="shared" ca="1" si="306"/>
        <v>1080000</v>
      </c>
      <c r="F1254" s="555">
        <f t="shared" ca="1" si="307"/>
        <v>0.2608695652173913</v>
      </c>
      <c r="G1254" s="244">
        <f t="shared" ca="1" si="308"/>
        <v>216000</v>
      </c>
    </row>
    <row r="1255" spans="1:7" ht="21" customHeight="1" x14ac:dyDescent="0.25">
      <c r="B1255" s="228" t="s">
        <v>2883</v>
      </c>
      <c r="C1255" s="233">
        <f t="shared" ca="1" si="304"/>
        <v>660000</v>
      </c>
      <c r="D1255" s="250">
        <f t="shared" ca="1" si="305"/>
        <v>600000</v>
      </c>
      <c r="E1255" s="233">
        <f t="shared" ca="1" si="306"/>
        <v>228000</v>
      </c>
      <c r="F1255" s="555">
        <f t="shared" ca="1" si="307"/>
        <v>0.38</v>
      </c>
      <c r="G1255" s="244">
        <f t="shared" ca="1" si="308"/>
        <v>45600</v>
      </c>
    </row>
    <row r="1256" spans="1:7" ht="21" customHeight="1" x14ac:dyDescent="0.25">
      <c r="B1256" s="228" t="s">
        <v>430</v>
      </c>
      <c r="C1256" s="233">
        <f t="shared" ca="1" si="304"/>
        <v>1100000</v>
      </c>
      <c r="D1256" s="250">
        <f t="shared" ca="1" si="305"/>
        <v>1000000</v>
      </c>
      <c r="E1256" s="233">
        <f t="shared" ca="1" si="306"/>
        <v>500000</v>
      </c>
      <c r="F1256" s="555">
        <f t="shared" ca="1" si="307"/>
        <v>0.5</v>
      </c>
      <c r="G1256" s="244">
        <f t="shared" ca="1" si="308"/>
        <v>100000</v>
      </c>
    </row>
    <row r="1257" spans="1:7" ht="21" customHeight="1" x14ac:dyDescent="0.25">
      <c r="B1257" s="228" t="s">
        <v>834</v>
      </c>
      <c r="C1257" s="233">
        <f t="shared" ca="1" si="304"/>
        <v>1918400.0000000002</v>
      </c>
      <c r="D1257" s="250">
        <f t="shared" ca="1" si="305"/>
        <v>1744000.0000000002</v>
      </c>
      <c r="E1257" s="233">
        <f t="shared" ca="1" si="306"/>
        <v>544000</v>
      </c>
      <c r="F1257" s="555">
        <f t="shared" ca="1" si="307"/>
        <v>0.31192660550458712</v>
      </c>
      <c r="G1257" s="244">
        <f t="shared" ca="1" si="308"/>
        <v>108800</v>
      </c>
    </row>
    <row r="1258" spans="1:7" ht="21" customHeight="1" x14ac:dyDescent="0.25">
      <c r="B1258" s="228" t="s">
        <v>3108</v>
      </c>
      <c r="C1258" s="233">
        <f t="shared" ca="1" si="304"/>
        <v>2475000</v>
      </c>
      <c r="D1258" s="250">
        <f t="shared" ca="1" si="305"/>
        <v>2250000</v>
      </c>
      <c r="E1258" s="233">
        <f t="shared" ca="1" si="306"/>
        <v>1259400</v>
      </c>
      <c r="F1258" s="555">
        <f t="shared" ca="1" si="307"/>
        <v>0.5597333333333333</v>
      </c>
      <c r="G1258" s="244">
        <f t="shared" ca="1" si="308"/>
        <v>251880</v>
      </c>
    </row>
    <row r="1259" spans="1:7" ht="21" customHeight="1" x14ac:dyDescent="0.25">
      <c r="B1259" s="228" t="s">
        <v>677</v>
      </c>
      <c r="C1259" s="233">
        <f t="shared" ca="1" si="304"/>
        <v>242000.00000000003</v>
      </c>
      <c r="D1259" s="250">
        <f t="shared" ca="1" si="305"/>
        <v>220000.00000000003</v>
      </c>
      <c r="E1259" s="233">
        <f t="shared" ca="1" si="306"/>
        <v>30000</v>
      </c>
      <c r="F1259" s="555">
        <f t="shared" ca="1" si="307"/>
        <v>0.13636363636363635</v>
      </c>
      <c r="G1259" s="244">
        <f t="shared" ca="1" si="308"/>
        <v>6000</v>
      </c>
    </row>
    <row r="1260" spans="1:7" ht="21" customHeight="1" x14ac:dyDescent="0.25">
      <c r="B1260" s="228" t="s">
        <v>3107</v>
      </c>
      <c r="C1260" s="233">
        <f t="shared" ca="1" si="304"/>
        <v>2475000</v>
      </c>
      <c r="D1260" s="250">
        <f t="shared" ca="1" si="305"/>
        <v>2250000</v>
      </c>
      <c r="E1260" s="233">
        <f t="shared" ca="1" si="306"/>
        <v>1259400</v>
      </c>
      <c r="F1260" s="555">
        <f t="shared" ca="1" si="307"/>
        <v>0.5597333333333333</v>
      </c>
      <c r="G1260" s="244">
        <f t="shared" ca="1" si="308"/>
        <v>251880</v>
      </c>
    </row>
    <row r="1261" spans="1:7" ht="21" customHeight="1" x14ac:dyDescent="0.25">
      <c r="A1261" s="247"/>
      <c r="B1261" s="279" t="s">
        <v>2741</v>
      </c>
      <c r="C1261" s="544">
        <f ca="1">SUM(C1247:C1260)</f>
        <v>51987650</v>
      </c>
      <c r="D1261" s="544">
        <f ca="1">SUM(D1247:D1260)</f>
        <v>47261500</v>
      </c>
      <c r="E1261" s="544">
        <f ca="1">SUM(E1247:E1260)</f>
        <v>16509600</v>
      </c>
      <c r="F1261" s="567">
        <f t="shared" ca="1" si="307"/>
        <v>0.34932450303100832</v>
      </c>
      <c r="G1261" s="972">
        <f ca="1">SUM(G1247:G1260)</f>
        <v>3301920</v>
      </c>
    </row>
    <row r="1262" spans="1:7" ht="21" customHeight="1" x14ac:dyDescent="0.25">
      <c r="A1262" s="247" t="s">
        <v>3149</v>
      </c>
      <c r="B1262" s="228" t="s">
        <v>444</v>
      </c>
      <c r="C1262" s="233">
        <f t="shared" ref="C1262:C1271" ca="1" si="309">SUMIFS(INDIRECT("Report!F100:F10000"),INDIRECT("Report!B100:B10000"),B1262,INDIRECT("report!H100:H10000"),"Consums",INDIRECT("Report!L100:L10000"),"21,9")</f>
        <v>3388000</v>
      </c>
      <c r="D1262" s="250">
        <f t="shared" ref="D1262:D1271" ca="1" si="310">(C1262/11*10)</f>
        <v>3080000</v>
      </c>
      <c r="E1262" s="233">
        <f t="shared" ref="E1262:E1271" ca="1" si="311">SUMIFS(INDIRECT("Report!J100:J10000"),INDIRECT("Report!B100:B10000"),B1262,INDIRECT("report!H100:H10000"),"Consums",INDIRECT("Report!L100:L10000"),"21,9")</f>
        <v>885000</v>
      </c>
      <c r="F1262" s="555">
        <f t="shared" ref="F1262:F1272" ca="1" si="312">E1262/D1262</f>
        <v>0.28733766233766234</v>
      </c>
      <c r="G1262" s="244">
        <f t="shared" ref="G1262:G1271" ca="1" si="313">E1262*20%</f>
        <v>177000</v>
      </c>
    </row>
    <row r="1263" spans="1:7" ht="21" customHeight="1" x14ac:dyDescent="0.25">
      <c r="B1263" s="228" t="s">
        <v>523</v>
      </c>
      <c r="C1263" s="233">
        <f t="shared" ca="1" si="309"/>
        <v>1617000</v>
      </c>
      <c r="D1263" s="250">
        <f t="shared" ca="1" si="310"/>
        <v>1470000</v>
      </c>
      <c r="E1263" s="233">
        <f t="shared" ca="1" si="311"/>
        <v>244000</v>
      </c>
      <c r="F1263" s="555">
        <f t="shared" ca="1" si="312"/>
        <v>0.16598639455782313</v>
      </c>
      <c r="G1263" s="244">
        <f t="shared" ca="1" si="313"/>
        <v>48800</v>
      </c>
    </row>
    <row r="1264" spans="1:7" ht="21" customHeight="1" x14ac:dyDescent="0.25">
      <c r="B1264" s="228" t="s">
        <v>453</v>
      </c>
      <c r="C1264" s="233">
        <f t="shared" ca="1" si="309"/>
        <v>9400600</v>
      </c>
      <c r="D1264" s="250">
        <f t="shared" ca="1" si="310"/>
        <v>8546000</v>
      </c>
      <c r="E1264" s="233">
        <f t="shared" ca="1" si="311"/>
        <v>412070</v>
      </c>
      <c r="F1264" s="555">
        <f t="shared" ca="1" si="312"/>
        <v>4.8217879709805754E-2</v>
      </c>
      <c r="G1264" s="244">
        <f t="shared" ca="1" si="313"/>
        <v>82414</v>
      </c>
    </row>
    <row r="1265" spans="1:7" ht="21" customHeight="1" x14ac:dyDescent="0.25">
      <c r="B1265" s="228" t="s">
        <v>515</v>
      </c>
      <c r="C1265" s="233">
        <f t="shared" ca="1" si="309"/>
        <v>3465000</v>
      </c>
      <c r="D1265" s="250">
        <f t="shared" ca="1" si="310"/>
        <v>3150000</v>
      </c>
      <c r="E1265" s="233">
        <f t="shared" ca="1" si="311"/>
        <v>420000</v>
      </c>
      <c r="F1265" s="555">
        <f t="shared" ca="1" si="312"/>
        <v>0.13333333333333333</v>
      </c>
      <c r="G1265" s="244">
        <f t="shared" ca="1" si="313"/>
        <v>84000</v>
      </c>
    </row>
    <row r="1266" spans="1:7" ht="21" customHeight="1" x14ac:dyDescent="0.25">
      <c r="B1266" s="228" t="s">
        <v>466</v>
      </c>
      <c r="C1266" s="233">
        <f t="shared" ca="1" si="309"/>
        <v>962500</v>
      </c>
      <c r="D1266" s="250">
        <f t="shared" ca="1" si="310"/>
        <v>875000</v>
      </c>
      <c r="E1266" s="233">
        <f t="shared" ca="1" si="311"/>
        <v>175000</v>
      </c>
      <c r="F1266" s="555">
        <f t="shared" ca="1" si="312"/>
        <v>0.2</v>
      </c>
      <c r="G1266" s="244">
        <f t="shared" ca="1" si="313"/>
        <v>35000</v>
      </c>
    </row>
    <row r="1267" spans="1:7" ht="21" customHeight="1" x14ac:dyDescent="0.25">
      <c r="B1267" s="228" t="s">
        <v>2247</v>
      </c>
      <c r="C1267" s="233">
        <f t="shared" ca="1" si="309"/>
        <v>7041100</v>
      </c>
      <c r="D1267" s="250">
        <f t="shared" ca="1" si="310"/>
        <v>6401000</v>
      </c>
      <c r="E1267" s="233">
        <f t="shared" ca="1" si="311"/>
        <v>1793000</v>
      </c>
      <c r="F1267" s="555">
        <f t="shared" ca="1" si="312"/>
        <v>0.28011248242462117</v>
      </c>
      <c r="G1267" s="244">
        <f t="shared" ca="1" si="313"/>
        <v>358600</v>
      </c>
    </row>
    <row r="1268" spans="1:7" ht="21" customHeight="1" x14ac:dyDescent="0.25">
      <c r="B1268" s="228" t="s">
        <v>434</v>
      </c>
      <c r="C1268" s="233">
        <f t="shared" ca="1" si="309"/>
        <v>4554000</v>
      </c>
      <c r="D1268" s="250">
        <f t="shared" ca="1" si="310"/>
        <v>4140000</v>
      </c>
      <c r="E1268" s="233">
        <f t="shared" ca="1" si="311"/>
        <v>1080000</v>
      </c>
      <c r="F1268" s="555">
        <f t="shared" ca="1" si="312"/>
        <v>0.2608695652173913</v>
      </c>
      <c r="G1268" s="244">
        <f t="shared" ca="1" si="313"/>
        <v>216000</v>
      </c>
    </row>
    <row r="1269" spans="1:7" ht="21" customHeight="1" x14ac:dyDescent="0.25">
      <c r="B1269" s="228" t="s">
        <v>430</v>
      </c>
      <c r="C1269" s="233">
        <f t="shared" ca="1" si="309"/>
        <v>1100000</v>
      </c>
      <c r="D1269" s="250">
        <f t="shared" ca="1" si="310"/>
        <v>1000000</v>
      </c>
      <c r="E1269" s="233">
        <f t="shared" ca="1" si="311"/>
        <v>500000</v>
      </c>
      <c r="F1269" s="555">
        <f t="shared" ca="1" si="312"/>
        <v>0.5</v>
      </c>
      <c r="G1269" s="244">
        <f t="shared" ca="1" si="313"/>
        <v>100000</v>
      </c>
    </row>
    <row r="1270" spans="1:7" ht="21" customHeight="1" x14ac:dyDescent="0.25">
      <c r="B1270" s="228" t="s">
        <v>834</v>
      </c>
      <c r="C1270" s="233">
        <f t="shared" ca="1" si="309"/>
        <v>1918400.0000000002</v>
      </c>
      <c r="D1270" s="250">
        <f t="shared" ca="1" si="310"/>
        <v>1744000.0000000002</v>
      </c>
      <c r="E1270" s="233">
        <f t="shared" ca="1" si="311"/>
        <v>544000</v>
      </c>
      <c r="F1270" s="555">
        <f t="shared" ca="1" si="312"/>
        <v>0.31192660550458712</v>
      </c>
      <c r="G1270" s="244">
        <f t="shared" ca="1" si="313"/>
        <v>108800</v>
      </c>
    </row>
    <row r="1271" spans="1:7" ht="21" customHeight="1" x14ac:dyDescent="0.25">
      <c r="B1271" s="228" t="s">
        <v>2125</v>
      </c>
      <c r="C1271" s="233">
        <f t="shared" ca="1" si="309"/>
        <v>3262160.0000000005</v>
      </c>
      <c r="D1271" s="250">
        <f t="shared" ca="1" si="310"/>
        <v>2965600.0000000005</v>
      </c>
      <c r="E1271" s="233">
        <f t="shared" ca="1" si="311"/>
        <v>2965600</v>
      </c>
      <c r="F1271" s="555">
        <f t="shared" ca="1" si="312"/>
        <v>0.99999999999999989</v>
      </c>
      <c r="G1271" s="244">
        <f t="shared" ca="1" si="313"/>
        <v>593120</v>
      </c>
    </row>
    <row r="1272" spans="1:7" ht="21" customHeight="1" x14ac:dyDescent="0.25">
      <c r="A1272" s="247"/>
      <c r="B1272" s="279" t="s">
        <v>2741</v>
      </c>
      <c r="C1272" s="544">
        <f ca="1">SUM(C1262:C1271)</f>
        <v>36708760</v>
      </c>
      <c r="D1272" s="544">
        <f ca="1">SUM(D1262:D1271)</f>
        <v>33371600</v>
      </c>
      <c r="E1272" s="544">
        <f ca="1">SUM(E1262:E1271)</f>
        <v>9018670</v>
      </c>
      <c r="F1272" s="567">
        <f t="shared" ca="1" si="312"/>
        <v>0.27024985316856248</v>
      </c>
      <c r="G1272" s="972">
        <f ca="1">SUM(G1262:G1271)</f>
        <v>1803734</v>
      </c>
    </row>
    <row r="1273" spans="1:7" ht="21" customHeight="1" x14ac:dyDescent="0.25">
      <c r="A1273" s="247" t="s">
        <v>3176</v>
      </c>
      <c r="B1273" s="228" t="s">
        <v>444</v>
      </c>
      <c r="C1273" s="233">
        <f ca="1">SUMIFS(INDIRECT("Report!F100:F10000"),INDIRECT("Report!B100:B10000"),B1273,INDIRECT("report!H100:H10000"),"Consums",INDIRECT("Report!L100:L10000"),"21,10")</f>
        <v>7722000</v>
      </c>
      <c r="D1273" s="250">
        <f ca="1">(C1273/11*10)</f>
        <v>7020000</v>
      </c>
      <c r="E1273" s="233">
        <f ca="1">SUMIFS(INDIRECT("Report!J100:J10000"),INDIRECT("Report!B100:B10000"),B1273,INDIRECT("report!H100:H10000"),"Consums",INDIRECT("Report!L100:L10000"),"21,10")</f>
        <v>2417555</v>
      </c>
      <c r="F1273" s="555">
        <f t="shared" ref="F1273:F1283" ca="1" si="314">E1273/D1273</f>
        <v>0.34438105413105413</v>
      </c>
      <c r="G1273" s="244">
        <f t="shared" ref="G1273:G1282" ca="1" si="315">E1273*20%</f>
        <v>483511</v>
      </c>
    </row>
    <row r="1274" spans="1:7" ht="21" customHeight="1" x14ac:dyDescent="0.25">
      <c r="B1274" s="228" t="s">
        <v>523</v>
      </c>
      <c r="C1274" s="233">
        <f t="shared" ref="C1274:C1282" ca="1" si="316">SUMIFS(INDIRECT("Report!F100:F10000"),INDIRECT("Report!B100:B10000"),B1274,INDIRECT("report!H100:H10000"),"Consums",INDIRECT("Report!L100:L10000"),"21,10")</f>
        <v>3828000.0000000005</v>
      </c>
      <c r="D1274" s="250">
        <f t="shared" ref="D1274:D1282" ca="1" si="317">(C1274/11*10)</f>
        <v>3480000.0000000005</v>
      </c>
      <c r="E1274" s="233">
        <f t="shared" ref="E1274:E1282" ca="1" si="318">SUMIFS(INDIRECT("Report!J100:J10000"),INDIRECT("Report!B100:B10000"),B1274,INDIRECT("report!H100:H10000"),"Consums",INDIRECT("Report!L100:L10000"),"21,10")</f>
        <v>465000</v>
      </c>
      <c r="F1274" s="555">
        <f t="shared" ca="1" si="314"/>
        <v>0.1336206896551724</v>
      </c>
      <c r="G1274" s="244">
        <f t="shared" ca="1" si="315"/>
        <v>93000</v>
      </c>
    </row>
    <row r="1275" spans="1:7" ht="21" customHeight="1" x14ac:dyDescent="0.25">
      <c r="B1275" s="228" t="s">
        <v>453</v>
      </c>
      <c r="C1275" s="233">
        <f t="shared" ca="1" si="316"/>
        <v>11114950</v>
      </c>
      <c r="D1275" s="250">
        <f t="shared" ca="1" si="317"/>
        <v>10104500</v>
      </c>
      <c r="E1275" s="233">
        <f t="shared" ca="1" si="318"/>
        <v>2738430</v>
      </c>
      <c r="F1275" s="555">
        <f t="shared" ca="1" si="314"/>
        <v>0.27101093572170815</v>
      </c>
      <c r="G1275" s="244">
        <f t="shared" ca="1" si="315"/>
        <v>547686</v>
      </c>
    </row>
    <row r="1276" spans="1:7" ht="21" customHeight="1" x14ac:dyDescent="0.25">
      <c r="B1276" s="228" t="s">
        <v>515</v>
      </c>
      <c r="C1276" s="233">
        <f t="shared" ca="1" si="316"/>
        <v>4620000</v>
      </c>
      <c r="D1276" s="250">
        <f t="shared" ca="1" si="317"/>
        <v>4200000</v>
      </c>
      <c r="E1276" s="233">
        <f t="shared" ca="1" si="318"/>
        <v>560000</v>
      </c>
      <c r="F1276" s="555">
        <f t="shared" ca="1" si="314"/>
        <v>0.13333333333333333</v>
      </c>
      <c r="G1276" s="244">
        <f t="shared" ca="1" si="315"/>
        <v>112000</v>
      </c>
    </row>
    <row r="1277" spans="1:7" ht="21" customHeight="1" x14ac:dyDescent="0.25">
      <c r="B1277" s="228" t="s">
        <v>466</v>
      </c>
      <c r="C1277" s="233">
        <f t="shared" ca="1" si="316"/>
        <v>962500</v>
      </c>
      <c r="D1277" s="250">
        <f t="shared" ca="1" si="317"/>
        <v>875000</v>
      </c>
      <c r="E1277" s="233">
        <f t="shared" ca="1" si="318"/>
        <v>175000</v>
      </c>
      <c r="F1277" s="555">
        <f t="shared" ca="1" si="314"/>
        <v>0.2</v>
      </c>
      <c r="G1277" s="244">
        <f t="shared" ca="1" si="315"/>
        <v>35000</v>
      </c>
    </row>
    <row r="1278" spans="1:7" ht="21" customHeight="1" x14ac:dyDescent="0.25">
      <c r="B1278" s="228" t="s">
        <v>2247</v>
      </c>
      <c r="C1278" s="233">
        <f t="shared" ca="1" si="316"/>
        <v>13316600</v>
      </c>
      <c r="D1278" s="250">
        <f t="shared" ca="1" si="317"/>
        <v>12106000</v>
      </c>
      <c r="E1278" s="233">
        <f t="shared" ca="1" si="318"/>
        <v>3528000</v>
      </c>
      <c r="F1278" s="555">
        <f t="shared" ca="1" si="314"/>
        <v>0.29142573930282506</v>
      </c>
      <c r="G1278" s="244">
        <f t="shared" ca="1" si="315"/>
        <v>705600</v>
      </c>
    </row>
    <row r="1279" spans="1:7" ht="21" customHeight="1" x14ac:dyDescent="0.25">
      <c r="B1279" s="228" t="s">
        <v>434</v>
      </c>
      <c r="C1279" s="233">
        <f t="shared" ca="1" si="316"/>
        <v>7590000.0000000009</v>
      </c>
      <c r="D1279" s="250">
        <f t="shared" ca="1" si="317"/>
        <v>6900000.0000000009</v>
      </c>
      <c r="E1279" s="233">
        <f t="shared" ca="1" si="318"/>
        <v>1800000</v>
      </c>
      <c r="F1279" s="555">
        <f t="shared" ca="1" si="314"/>
        <v>0.26086956521739124</v>
      </c>
      <c r="G1279" s="244">
        <f t="shared" ca="1" si="315"/>
        <v>360000</v>
      </c>
    </row>
    <row r="1280" spans="1:7" ht="21" customHeight="1" x14ac:dyDescent="0.25">
      <c r="B1280" s="228" t="s">
        <v>430</v>
      </c>
      <c r="C1280" s="233">
        <f t="shared" ca="1" si="316"/>
        <v>1100000</v>
      </c>
      <c r="D1280" s="250">
        <f t="shared" ca="1" si="317"/>
        <v>1000000</v>
      </c>
      <c r="E1280" s="233">
        <f t="shared" ca="1" si="318"/>
        <v>500000</v>
      </c>
      <c r="F1280" s="555">
        <f t="shared" ca="1" si="314"/>
        <v>0.5</v>
      </c>
      <c r="G1280" s="244">
        <f t="shared" ca="1" si="315"/>
        <v>100000</v>
      </c>
    </row>
    <row r="1281" spans="1:7" ht="21" customHeight="1" x14ac:dyDescent="0.25">
      <c r="B1281" s="228" t="s">
        <v>834</v>
      </c>
      <c r="C1281" s="233">
        <f t="shared" ca="1" si="316"/>
        <v>3836800.0000000005</v>
      </c>
      <c r="D1281" s="250">
        <f t="shared" ca="1" si="317"/>
        <v>3488000.0000000005</v>
      </c>
      <c r="E1281" s="233">
        <f t="shared" ca="1" si="318"/>
        <v>1088000</v>
      </c>
      <c r="F1281" s="555">
        <f t="shared" ca="1" si="314"/>
        <v>0.31192660550458712</v>
      </c>
      <c r="G1281" s="244">
        <f t="shared" ca="1" si="315"/>
        <v>217600</v>
      </c>
    </row>
    <row r="1282" spans="1:7" ht="21" customHeight="1" x14ac:dyDescent="0.25">
      <c r="B1282" s="228" t="s">
        <v>3177</v>
      </c>
      <c r="C1282" s="233">
        <f t="shared" ca="1" si="316"/>
        <v>1815000.0000000002</v>
      </c>
      <c r="D1282" s="250">
        <f t="shared" ca="1" si="317"/>
        <v>1650000.0000000002</v>
      </c>
      <c r="E1282" s="233">
        <f t="shared" ca="1" si="318"/>
        <v>519750</v>
      </c>
      <c r="F1282" s="555">
        <f t="shared" ca="1" si="314"/>
        <v>0.31499999999999995</v>
      </c>
      <c r="G1282" s="244">
        <f t="shared" ca="1" si="315"/>
        <v>103950</v>
      </c>
    </row>
    <row r="1283" spans="1:7" ht="21" customHeight="1" x14ac:dyDescent="0.25">
      <c r="A1283" s="247"/>
      <c r="B1283" s="279" t="s">
        <v>2741</v>
      </c>
      <c r="C1283" s="544">
        <f ca="1">SUM(C1273:C1282)</f>
        <v>55905850</v>
      </c>
      <c r="D1283" s="544">
        <f ca="1">SUM(D1273:D1282)</f>
        <v>50823500</v>
      </c>
      <c r="E1283" s="544">
        <f ca="1">SUM(E1273:E1282)</f>
        <v>13791735</v>
      </c>
      <c r="F1283" s="567">
        <f t="shared" ca="1" si="314"/>
        <v>0.27136531329011188</v>
      </c>
      <c r="G1283" s="972">
        <f ca="1">SUM(G1273:G1282)</f>
        <v>2758347</v>
      </c>
    </row>
    <row r="1284" spans="1:7" ht="21" customHeight="1" x14ac:dyDescent="0.25">
      <c r="A1284" s="247" t="s">
        <v>3209</v>
      </c>
      <c r="B1284" s="228" t="s">
        <v>444</v>
      </c>
      <c r="C1284" s="233">
        <f ca="1">SUMIFS(INDIRECT("Report!F100:F10000"),INDIRECT("Report!B100:B10000"),B1284,INDIRECT("report!H100:H10000"),"Consums",INDIRECT("Report!L100:L10000"),"21,11")</f>
        <v>2480500</v>
      </c>
      <c r="D1284" s="250">
        <f ca="1">(C1284/11*10)</f>
        <v>2255000</v>
      </c>
      <c r="E1284" s="233">
        <f ca="1">SUMIFS(INDIRECT("Report!J100:J10000"),INDIRECT("Report!B100:B10000"),B1284,INDIRECT("report!H100:H10000"),"Consums",INDIRECT("Report!L100:L10000"),"21,11")</f>
        <v>704000</v>
      </c>
      <c r="F1284" s="555">
        <f t="shared" ref="F1284:F1294" ca="1" si="319">E1284/D1284</f>
        <v>0.31219512195121951</v>
      </c>
      <c r="G1284" s="244">
        <f t="shared" ref="G1284:G1293" ca="1" si="320">E1284*20%</f>
        <v>140800</v>
      </c>
    </row>
    <row r="1285" spans="1:7" ht="21" customHeight="1" x14ac:dyDescent="0.25">
      <c r="B1285" s="228" t="s">
        <v>523</v>
      </c>
      <c r="C1285" s="233">
        <f t="shared" ref="C1285:C1293" ca="1" si="321">SUMIFS(INDIRECT("Report!F100:F10000"),INDIRECT("Report!B100:B10000"),B1285,INDIRECT("report!H100:H10000"),"Consums",INDIRECT("Report!L100:L10000"),"21,11")</f>
        <v>3641000</v>
      </c>
      <c r="D1285" s="250">
        <f t="shared" ref="D1285:D1293" ca="1" si="322">(C1285/11*10)</f>
        <v>3310000</v>
      </c>
      <c r="E1285" s="233">
        <f t="shared" ref="E1285:E1293" ca="1" si="323">SUMIFS(INDIRECT("Report!J100:J10000"),INDIRECT("Report!B100:B10000"),B1285,INDIRECT("report!H100:H10000"),"Consums",INDIRECT("Report!L100:L10000"),"21,11")</f>
        <v>649000</v>
      </c>
      <c r="F1285" s="555">
        <f t="shared" ca="1" si="319"/>
        <v>0.19607250755287009</v>
      </c>
      <c r="G1285" s="244">
        <f t="shared" ca="1" si="320"/>
        <v>129800</v>
      </c>
    </row>
    <row r="1286" spans="1:7" ht="21" customHeight="1" x14ac:dyDescent="0.25">
      <c r="B1286" s="228" t="s">
        <v>453</v>
      </c>
      <c r="C1286" s="233">
        <f t="shared" ca="1" si="321"/>
        <v>32380700</v>
      </c>
      <c r="D1286" s="250">
        <f t="shared" ca="1" si="322"/>
        <v>29437000</v>
      </c>
      <c r="E1286" s="233">
        <f t="shared" ca="1" si="323"/>
        <v>5107420</v>
      </c>
      <c r="F1286" s="555">
        <f t="shared" ca="1" si="319"/>
        <v>0.17350341407072731</v>
      </c>
      <c r="G1286" s="244">
        <f t="shared" ca="1" si="320"/>
        <v>1021484</v>
      </c>
    </row>
    <row r="1287" spans="1:7" ht="21" customHeight="1" x14ac:dyDescent="0.25">
      <c r="B1287" s="228" t="s">
        <v>515</v>
      </c>
      <c r="C1287" s="233">
        <f t="shared" ca="1" si="321"/>
        <v>6930000</v>
      </c>
      <c r="D1287" s="250">
        <f t="shared" ca="1" si="322"/>
        <v>6300000</v>
      </c>
      <c r="E1287" s="233">
        <f t="shared" ca="1" si="323"/>
        <v>840000</v>
      </c>
      <c r="F1287" s="555">
        <f t="shared" ca="1" si="319"/>
        <v>0.13333333333333333</v>
      </c>
      <c r="G1287" s="244">
        <f t="shared" ca="1" si="320"/>
        <v>168000</v>
      </c>
    </row>
    <row r="1288" spans="1:7" ht="21" customHeight="1" x14ac:dyDescent="0.25">
      <c r="B1288" s="228" t="s">
        <v>466</v>
      </c>
      <c r="C1288" s="233">
        <f t="shared" ca="1" si="321"/>
        <v>852500</v>
      </c>
      <c r="D1288" s="250">
        <f t="shared" ca="1" si="322"/>
        <v>775000</v>
      </c>
      <c r="E1288" s="233">
        <f t="shared" ca="1" si="323"/>
        <v>125000</v>
      </c>
      <c r="F1288" s="555">
        <f t="shared" ca="1" si="319"/>
        <v>0.16129032258064516</v>
      </c>
      <c r="G1288" s="244">
        <f t="shared" ca="1" si="320"/>
        <v>25000</v>
      </c>
    </row>
    <row r="1289" spans="1:7" ht="21" customHeight="1" x14ac:dyDescent="0.25">
      <c r="B1289" s="228" t="s">
        <v>2247</v>
      </c>
      <c r="C1289" s="233">
        <f t="shared" ca="1" si="321"/>
        <v>16670500</v>
      </c>
      <c r="D1289" s="250">
        <f t="shared" ca="1" si="322"/>
        <v>15155000</v>
      </c>
      <c r="E1289" s="233">
        <f t="shared" ca="1" si="323"/>
        <v>5025000</v>
      </c>
      <c r="F1289" s="555">
        <f t="shared" ca="1" si="319"/>
        <v>0.33157373804025075</v>
      </c>
      <c r="G1289" s="244">
        <f t="shared" ca="1" si="320"/>
        <v>1005000</v>
      </c>
    </row>
    <row r="1290" spans="1:7" ht="21" customHeight="1" x14ac:dyDescent="0.25">
      <c r="B1290" s="228" t="s">
        <v>434</v>
      </c>
      <c r="C1290" s="233">
        <f t="shared" ca="1" si="321"/>
        <v>7590000.0000000009</v>
      </c>
      <c r="D1290" s="250">
        <f t="shared" ca="1" si="322"/>
        <v>6900000.0000000009</v>
      </c>
      <c r="E1290" s="233">
        <f t="shared" ca="1" si="323"/>
        <v>1800000</v>
      </c>
      <c r="F1290" s="555">
        <f t="shared" ca="1" si="319"/>
        <v>0.26086956521739124</v>
      </c>
      <c r="G1290" s="244">
        <f t="shared" ca="1" si="320"/>
        <v>360000</v>
      </c>
    </row>
    <row r="1291" spans="1:7" ht="21" customHeight="1" x14ac:dyDescent="0.25">
      <c r="B1291" s="228" t="s">
        <v>430</v>
      </c>
      <c r="C1291" s="233">
        <f t="shared" ca="1" si="321"/>
        <v>1100000</v>
      </c>
      <c r="D1291" s="250">
        <f t="shared" ca="1" si="322"/>
        <v>1000000</v>
      </c>
      <c r="E1291" s="233">
        <f t="shared" ca="1" si="323"/>
        <v>500000</v>
      </c>
      <c r="F1291" s="555">
        <f t="shared" ca="1" si="319"/>
        <v>0.5</v>
      </c>
      <c r="G1291" s="244">
        <f t="shared" ca="1" si="320"/>
        <v>100000</v>
      </c>
    </row>
    <row r="1292" spans="1:7" ht="21" customHeight="1" x14ac:dyDescent="0.25">
      <c r="B1292" s="228" t="s">
        <v>834</v>
      </c>
      <c r="C1292" s="233">
        <f t="shared" ca="1" si="321"/>
        <v>11129800.000000002</v>
      </c>
      <c r="D1292" s="250">
        <f t="shared" ca="1" si="322"/>
        <v>10118000.000000002</v>
      </c>
      <c r="E1292" s="233">
        <f t="shared" ca="1" si="323"/>
        <v>2408000</v>
      </c>
      <c r="F1292" s="555">
        <f t="shared" ca="1" si="319"/>
        <v>0.23799169796402447</v>
      </c>
      <c r="G1292" s="244">
        <f t="shared" ca="1" si="320"/>
        <v>481600</v>
      </c>
    </row>
    <row r="1293" spans="1:7" ht="21" customHeight="1" x14ac:dyDescent="0.25">
      <c r="B1293" s="228" t="s">
        <v>2125</v>
      </c>
      <c r="C1293" s="233">
        <f t="shared" ca="1" si="321"/>
        <v>2288880</v>
      </c>
      <c r="D1293" s="250">
        <f t="shared" ca="1" si="322"/>
        <v>2080800</v>
      </c>
      <c r="E1293" s="233">
        <f t="shared" ca="1" si="323"/>
        <v>2080800</v>
      </c>
      <c r="F1293" s="555">
        <f t="shared" ca="1" si="319"/>
        <v>1</v>
      </c>
      <c r="G1293" s="244">
        <f t="shared" ca="1" si="320"/>
        <v>416160</v>
      </c>
    </row>
    <row r="1294" spans="1:7" ht="21" customHeight="1" x14ac:dyDescent="0.25">
      <c r="A1294" s="247"/>
      <c r="B1294" s="279" t="s">
        <v>2741</v>
      </c>
      <c r="C1294" s="544">
        <f ca="1">SUM(C1284:C1293)</f>
        <v>85063880</v>
      </c>
      <c r="D1294" s="544">
        <f ca="1">SUM(D1284:D1293)</f>
        <v>77330800</v>
      </c>
      <c r="E1294" s="544">
        <f ca="1">SUM(E1284:E1293)</f>
        <v>19239220</v>
      </c>
      <c r="F1294" s="567">
        <f t="shared" ca="1" si="319"/>
        <v>0.24879116729685971</v>
      </c>
      <c r="G1294" s="972">
        <f ca="1">SUM(G1284:G1293)</f>
        <v>3847844</v>
      </c>
    </row>
    <row r="1295" spans="1:7" ht="21" customHeight="1" x14ac:dyDescent="0.25">
      <c r="A1295" s="247" t="s">
        <v>3233</v>
      </c>
      <c r="B1295" s="228" t="s">
        <v>444</v>
      </c>
      <c r="C1295" s="233">
        <f t="shared" ref="C1295:C1305" ca="1" si="324">SUMIFS(INDIRECT("Report!F100:F10000"),INDIRECT("Report!B100:B10000"),B1295,INDIRECT("report!H100:H10000"),"Consums",INDIRECT("Report!L100:L10000"),"21,12")</f>
        <v>5368000</v>
      </c>
      <c r="D1295" s="250">
        <f t="shared" ref="D1295:D1305" ca="1" si="325">(C1295/11*10)</f>
        <v>4880000</v>
      </c>
      <c r="E1295" s="233">
        <f t="shared" ref="E1295:E1305" ca="1" si="326">SUMIFS(INDIRECT("Report!J100:J10000"),INDIRECT("Report!B100:B10000"),B1295,INDIRECT("report!H100:H10000"),"Consums",INDIRECT("Report!L100:L10000"),"21,12")</f>
        <v>1141000</v>
      </c>
      <c r="F1295" s="555">
        <f t="shared" ref="F1295:F1306" ca="1" si="327">E1295/D1295</f>
        <v>0.23381147540983607</v>
      </c>
      <c r="G1295" s="244">
        <f t="shared" ref="G1295:G1305" ca="1" si="328">E1295*20%</f>
        <v>228200</v>
      </c>
    </row>
    <row r="1296" spans="1:7" ht="21" customHeight="1" x14ac:dyDescent="0.25">
      <c r="B1296" s="228" t="s">
        <v>523</v>
      </c>
      <c r="C1296" s="233">
        <f t="shared" ca="1" si="324"/>
        <v>4477000</v>
      </c>
      <c r="D1296" s="250">
        <f t="shared" ca="1" si="325"/>
        <v>4070000</v>
      </c>
      <c r="E1296" s="233">
        <f t="shared" ca="1" si="326"/>
        <v>340000</v>
      </c>
      <c r="F1296" s="555">
        <f t="shared" ca="1" si="327"/>
        <v>8.3538083538083535E-2</v>
      </c>
      <c r="G1296" s="244">
        <f t="shared" ca="1" si="328"/>
        <v>68000</v>
      </c>
    </row>
    <row r="1297" spans="1:7" ht="21" customHeight="1" x14ac:dyDescent="0.25">
      <c r="B1297" s="228" t="s">
        <v>453</v>
      </c>
      <c r="C1297" s="233">
        <f t="shared" ca="1" si="324"/>
        <v>25419900</v>
      </c>
      <c r="D1297" s="250">
        <f t="shared" ca="1" si="325"/>
        <v>23109000</v>
      </c>
      <c r="E1297" s="233">
        <f t="shared" ca="1" si="326"/>
        <v>4994370</v>
      </c>
      <c r="F1297" s="555">
        <f t="shared" ca="1" si="327"/>
        <v>0.21612229001687655</v>
      </c>
      <c r="G1297" s="244">
        <f t="shared" ca="1" si="328"/>
        <v>998874</v>
      </c>
    </row>
    <row r="1298" spans="1:7" ht="21" customHeight="1" x14ac:dyDescent="0.25">
      <c r="B1298" s="228" t="s">
        <v>515</v>
      </c>
      <c r="C1298" s="233">
        <f t="shared" ca="1" si="324"/>
        <v>6930000</v>
      </c>
      <c r="D1298" s="250">
        <f t="shared" ca="1" si="325"/>
        <v>6300000</v>
      </c>
      <c r="E1298" s="233">
        <f t="shared" ca="1" si="326"/>
        <v>840000</v>
      </c>
      <c r="F1298" s="555">
        <f t="shared" ca="1" si="327"/>
        <v>0.13333333333333333</v>
      </c>
      <c r="G1298" s="244">
        <f t="shared" ca="1" si="328"/>
        <v>168000</v>
      </c>
    </row>
    <row r="1299" spans="1:7" ht="21" customHeight="1" x14ac:dyDescent="0.25">
      <c r="B1299" s="228" t="s">
        <v>466</v>
      </c>
      <c r="C1299" s="233">
        <f t="shared" ca="1" si="324"/>
        <v>962500</v>
      </c>
      <c r="D1299" s="250">
        <f t="shared" ca="1" si="325"/>
        <v>875000</v>
      </c>
      <c r="E1299" s="233">
        <f t="shared" ca="1" si="326"/>
        <v>175000</v>
      </c>
      <c r="F1299" s="555">
        <f t="shared" ca="1" si="327"/>
        <v>0.2</v>
      </c>
      <c r="G1299" s="244">
        <f t="shared" ca="1" si="328"/>
        <v>35000</v>
      </c>
    </row>
    <row r="1300" spans="1:7" ht="21" customHeight="1" x14ac:dyDescent="0.25">
      <c r="B1300" s="228" t="s">
        <v>2247</v>
      </c>
      <c r="C1300" s="233">
        <f t="shared" ca="1" si="324"/>
        <v>15128300</v>
      </c>
      <c r="D1300" s="250">
        <f t="shared" ca="1" si="325"/>
        <v>13753000</v>
      </c>
      <c r="E1300" s="233">
        <f t="shared" ca="1" si="326"/>
        <v>4295000</v>
      </c>
      <c r="F1300" s="555">
        <f t="shared" ca="1" si="327"/>
        <v>0.31229549916381882</v>
      </c>
      <c r="G1300" s="244">
        <f t="shared" ca="1" si="328"/>
        <v>859000</v>
      </c>
    </row>
    <row r="1301" spans="1:7" ht="21" customHeight="1" x14ac:dyDescent="0.25">
      <c r="B1301" s="228" t="s">
        <v>434</v>
      </c>
      <c r="C1301" s="233">
        <f t="shared" ca="1" si="324"/>
        <v>7590000.0000000009</v>
      </c>
      <c r="D1301" s="250">
        <f t="shared" ca="1" si="325"/>
        <v>6900000.0000000009</v>
      </c>
      <c r="E1301" s="233">
        <f t="shared" ca="1" si="326"/>
        <v>1800000</v>
      </c>
      <c r="F1301" s="555">
        <f t="shared" ca="1" si="327"/>
        <v>0.26086956521739124</v>
      </c>
      <c r="G1301" s="244">
        <f t="shared" ca="1" si="328"/>
        <v>360000</v>
      </c>
    </row>
    <row r="1302" spans="1:7" ht="21" customHeight="1" x14ac:dyDescent="0.25">
      <c r="B1302" s="228" t="s">
        <v>430</v>
      </c>
      <c r="C1302" s="233">
        <f t="shared" ca="1" si="324"/>
        <v>1100000</v>
      </c>
      <c r="D1302" s="250">
        <f t="shared" ca="1" si="325"/>
        <v>1000000</v>
      </c>
      <c r="E1302" s="233">
        <f t="shared" ca="1" si="326"/>
        <v>500000</v>
      </c>
      <c r="F1302" s="555">
        <f t="shared" ca="1" si="327"/>
        <v>0.5</v>
      </c>
      <c r="G1302" s="244">
        <f t="shared" ca="1" si="328"/>
        <v>100000</v>
      </c>
    </row>
    <row r="1303" spans="1:7" ht="21" customHeight="1" x14ac:dyDescent="0.25">
      <c r="B1303" s="228" t="s">
        <v>834</v>
      </c>
      <c r="C1303" s="233">
        <f t="shared" ca="1" si="324"/>
        <v>1918400.0000000002</v>
      </c>
      <c r="D1303" s="250">
        <f t="shared" ca="1" si="325"/>
        <v>1744000.0000000002</v>
      </c>
      <c r="E1303" s="233">
        <f t="shared" ca="1" si="326"/>
        <v>544000</v>
      </c>
      <c r="F1303" s="555">
        <f t="shared" ca="1" si="327"/>
        <v>0.31192660550458712</v>
      </c>
      <c r="G1303" s="244">
        <f t="shared" ca="1" si="328"/>
        <v>108800</v>
      </c>
    </row>
    <row r="1304" spans="1:7" ht="21" customHeight="1" x14ac:dyDescent="0.25">
      <c r="B1304" s="228" t="s">
        <v>526</v>
      </c>
      <c r="C1304" s="233">
        <f t="shared" ca="1" si="324"/>
        <v>5885000.0000000009</v>
      </c>
      <c r="D1304" s="250">
        <f t="shared" ca="1" si="325"/>
        <v>5350000.0000000009</v>
      </c>
      <c r="E1304" s="233">
        <f t="shared" ca="1" si="326"/>
        <v>1280000</v>
      </c>
      <c r="F1304" s="555">
        <f t="shared" ca="1" si="327"/>
        <v>0.23925233644859809</v>
      </c>
      <c r="G1304" s="244">
        <f t="shared" ca="1" si="328"/>
        <v>256000</v>
      </c>
    </row>
    <row r="1305" spans="1:7" ht="21" customHeight="1" x14ac:dyDescent="0.25">
      <c r="B1305" s="228" t="s">
        <v>677</v>
      </c>
      <c r="C1305" s="233">
        <f t="shared" ca="1" si="324"/>
        <v>363000.00000000006</v>
      </c>
      <c r="D1305" s="250">
        <f t="shared" ca="1" si="325"/>
        <v>330000.00000000006</v>
      </c>
      <c r="E1305" s="233">
        <f t="shared" ca="1" si="326"/>
        <v>45000</v>
      </c>
      <c r="F1305" s="555">
        <f t="shared" ca="1" si="327"/>
        <v>0.13636363636363633</v>
      </c>
      <c r="G1305" s="244">
        <f t="shared" ca="1" si="328"/>
        <v>9000</v>
      </c>
    </row>
    <row r="1306" spans="1:7" ht="21" customHeight="1" x14ac:dyDescent="0.25">
      <c r="A1306" s="247"/>
      <c r="B1306" s="279" t="s">
        <v>2741</v>
      </c>
      <c r="C1306" s="544">
        <f ca="1">SUM(C1295:C1305)</f>
        <v>75142100</v>
      </c>
      <c r="D1306" s="544">
        <f ca="1">SUM(D1295:D1305)</f>
        <v>68311000</v>
      </c>
      <c r="E1306" s="544">
        <f ca="1">SUM(E1295:E1305)</f>
        <v>15954370</v>
      </c>
      <c r="F1306" s="567">
        <f t="shared" ca="1" si="327"/>
        <v>0.23355491794879302</v>
      </c>
      <c r="G1306" s="972">
        <f ca="1">SUM(G1295:G1305)</f>
        <v>3190874</v>
      </c>
    </row>
    <row r="1307" spans="1:7" ht="21" customHeight="1" x14ac:dyDescent="0.25">
      <c r="A1307" s="247" t="s">
        <v>3250</v>
      </c>
      <c r="B1307" s="228" t="s">
        <v>444</v>
      </c>
      <c r="C1307" s="233">
        <f t="shared" ref="C1307:C1317" ca="1" si="329">SUMIFS(INDIRECT("Report!F100:F10000"),INDIRECT("Report!B100:B10000"),B1307,INDIRECT("report!H100:H10000"),"Consums",INDIRECT("Report!L100:L10000"),"22,1")</f>
        <v>3905000</v>
      </c>
      <c r="D1307" s="250">
        <f t="shared" ref="D1307:D1317" ca="1" si="330">(C1307/11*10)</f>
        <v>3550000</v>
      </c>
      <c r="E1307" s="233">
        <f t="shared" ref="E1307:E1317" ca="1" si="331">SUMIFS(INDIRECT("Report!J100:J10000"),INDIRECT("Report!B100:B10000"),B1307,INDIRECT("report!H100:H10000"),"Consums",INDIRECT("Report!L100:L10000"),"22,1")</f>
        <v>836000</v>
      </c>
      <c r="F1307" s="555">
        <f t="shared" ref="F1307:F1318" ca="1" si="332">E1307/D1307</f>
        <v>0.23549295774647888</v>
      </c>
      <c r="G1307" s="244">
        <f t="shared" ref="G1307:G1317" ca="1" si="333">E1307*20%</f>
        <v>167200</v>
      </c>
    </row>
    <row r="1308" spans="1:7" ht="21" customHeight="1" x14ac:dyDescent="0.25">
      <c r="B1308" s="228" t="s">
        <v>523</v>
      </c>
      <c r="C1308" s="233">
        <f t="shared" ca="1" si="329"/>
        <v>7645000</v>
      </c>
      <c r="D1308" s="250">
        <f t="shared" ca="1" si="330"/>
        <v>6950000</v>
      </c>
      <c r="E1308" s="233">
        <f t="shared" ca="1" si="331"/>
        <v>1160000</v>
      </c>
      <c r="F1308" s="555">
        <f t="shared" ca="1" si="332"/>
        <v>0.1669064748201439</v>
      </c>
      <c r="G1308" s="244">
        <f t="shared" ca="1" si="333"/>
        <v>232000</v>
      </c>
    </row>
    <row r="1309" spans="1:7" ht="21" customHeight="1" x14ac:dyDescent="0.25">
      <c r="B1309" s="228" t="s">
        <v>453</v>
      </c>
      <c r="C1309" s="233">
        <f t="shared" ca="1" si="329"/>
        <v>13311100.000000002</v>
      </c>
      <c r="D1309" s="250">
        <f t="shared" ca="1" si="330"/>
        <v>12101000.000000002</v>
      </c>
      <c r="E1309" s="233">
        <f t="shared" ca="1" si="331"/>
        <v>1966980</v>
      </c>
      <c r="F1309" s="555">
        <f t="shared" ca="1" si="332"/>
        <v>0.16254689695066521</v>
      </c>
      <c r="G1309" s="244">
        <f t="shared" ca="1" si="333"/>
        <v>393396</v>
      </c>
    </row>
    <row r="1310" spans="1:7" ht="21" customHeight="1" x14ac:dyDescent="0.25">
      <c r="B1310" s="228" t="s">
        <v>515</v>
      </c>
      <c r="C1310" s="233">
        <f t="shared" ca="1" si="329"/>
        <v>5544000</v>
      </c>
      <c r="D1310" s="250">
        <f t="shared" ca="1" si="330"/>
        <v>5040000</v>
      </c>
      <c r="E1310" s="233">
        <f t="shared" ca="1" si="331"/>
        <v>672000</v>
      </c>
      <c r="F1310" s="555">
        <f t="shared" ca="1" si="332"/>
        <v>0.13333333333333333</v>
      </c>
      <c r="G1310" s="244">
        <f t="shared" ca="1" si="333"/>
        <v>134400</v>
      </c>
    </row>
    <row r="1311" spans="1:7" ht="21" customHeight="1" x14ac:dyDescent="0.25">
      <c r="B1311" s="228" t="s">
        <v>466</v>
      </c>
      <c r="C1311" s="233">
        <f t="shared" ca="1" si="329"/>
        <v>247500.00000000003</v>
      </c>
      <c r="D1311" s="250">
        <f t="shared" ca="1" si="330"/>
        <v>225000.00000000003</v>
      </c>
      <c r="E1311" s="233">
        <f t="shared" ca="1" si="331"/>
        <v>25000</v>
      </c>
      <c r="F1311" s="555">
        <f t="shared" ca="1" si="332"/>
        <v>0.11111111111111109</v>
      </c>
      <c r="G1311" s="244">
        <f t="shared" ca="1" si="333"/>
        <v>5000</v>
      </c>
    </row>
    <row r="1312" spans="1:7" ht="21" customHeight="1" x14ac:dyDescent="0.25">
      <c r="B1312" s="228" t="s">
        <v>2247</v>
      </c>
      <c r="C1312" s="233">
        <f t="shared" ca="1" si="329"/>
        <v>12016400</v>
      </c>
      <c r="D1312" s="250">
        <f t="shared" ca="1" si="330"/>
        <v>10924000</v>
      </c>
      <c r="E1312" s="233">
        <f t="shared" ca="1" si="331"/>
        <v>3492000</v>
      </c>
      <c r="F1312" s="555">
        <f t="shared" ca="1" si="332"/>
        <v>0.31966312705968508</v>
      </c>
      <c r="G1312" s="244">
        <f t="shared" ca="1" si="333"/>
        <v>698400</v>
      </c>
    </row>
    <row r="1313" spans="1:7" ht="21" customHeight="1" x14ac:dyDescent="0.25">
      <c r="B1313" s="228" t="s">
        <v>468</v>
      </c>
      <c r="C1313" s="233">
        <f t="shared" ca="1" si="329"/>
        <v>957000</v>
      </c>
      <c r="D1313" s="250">
        <f t="shared" ca="1" si="330"/>
        <v>870000</v>
      </c>
      <c r="E1313" s="233">
        <f t="shared" ca="1" si="331"/>
        <v>320000</v>
      </c>
      <c r="F1313" s="555">
        <f t="shared" ca="1" si="332"/>
        <v>0.36781609195402298</v>
      </c>
      <c r="G1313" s="244">
        <f t="shared" ca="1" si="333"/>
        <v>64000</v>
      </c>
    </row>
    <row r="1314" spans="1:7" ht="21" customHeight="1" x14ac:dyDescent="0.25">
      <c r="B1314" s="228" t="s">
        <v>430</v>
      </c>
      <c r="C1314" s="233">
        <f t="shared" ca="1" si="329"/>
        <v>1100000</v>
      </c>
      <c r="D1314" s="250">
        <f t="shared" ca="1" si="330"/>
        <v>1000000</v>
      </c>
      <c r="E1314" s="233">
        <f t="shared" ca="1" si="331"/>
        <v>500000</v>
      </c>
      <c r="F1314" s="555">
        <f t="shared" ca="1" si="332"/>
        <v>0.5</v>
      </c>
      <c r="G1314" s="244">
        <f t="shared" ca="1" si="333"/>
        <v>100000</v>
      </c>
    </row>
    <row r="1315" spans="1:7" ht="21" customHeight="1" x14ac:dyDescent="0.25">
      <c r="B1315" s="228" t="s">
        <v>834</v>
      </c>
      <c r="C1315" s="233">
        <f t="shared" ca="1" si="329"/>
        <v>1918400.0000000002</v>
      </c>
      <c r="D1315" s="250">
        <f t="shared" ca="1" si="330"/>
        <v>1744000.0000000002</v>
      </c>
      <c r="E1315" s="233">
        <f t="shared" ca="1" si="331"/>
        <v>544000</v>
      </c>
      <c r="F1315" s="555">
        <f t="shared" ca="1" si="332"/>
        <v>0.31192660550458712</v>
      </c>
      <c r="G1315" s="244">
        <f t="shared" ca="1" si="333"/>
        <v>108800</v>
      </c>
    </row>
    <row r="1316" spans="1:7" ht="21" customHeight="1" x14ac:dyDescent="0.25">
      <c r="B1316" s="228" t="s">
        <v>526</v>
      </c>
      <c r="C1316" s="233">
        <f t="shared" ca="1" si="329"/>
        <v>4983000</v>
      </c>
      <c r="D1316" s="250">
        <f t="shared" ca="1" si="330"/>
        <v>4530000</v>
      </c>
      <c r="E1316" s="233">
        <f t="shared" ca="1" si="331"/>
        <v>1170000</v>
      </c>
      <c r="F1316" s="555">
        <f t="shared" ca="1" si="332"/>
        <v>0.25827814569536423</v>
      </c>
      <c r="G1316" s="244">
        <f t="shared" ca="1" si="333"/>
        <v>234000</v>
      </c>
    </row>
    <row r="1317" spans="1:7" ht="21" customHeight="1" x14ac:dyDescent="0.25">
      <c r="B1317" s="228" t="s">
        <v>2125</v>
      </c>
      <c r="C1317" s="233">
        <f t="shared" ca="1" si="329"/>
        <v>3998720.0000000005</v>
      </c>
      <c r="D1317" s="250">
        <f t="shared" ca="1" si="330"/>
        <v>3635200.0000000005</v>
      </c>
      <c r="E1317" s="233">
        <f t="shared" ca="1" si="331"/>
        <v>3635200</v>
      </c>
      <c r="F1317" s="555">
        <f t="shared" ca="1" si="332"/>
        <v>0.99999999999999989</v>
      </c>
      <c r="G1317" s="244">
        <f t="shared" ca="1" si="333"/>
        <v>727040</v>
      </c>
    </row>
    <row r="1318" spans="1:7" ht="21" customHeight="1" x14ac:dyDescent="0.25">
      <c r="A1318" s="247"/>
      <c r="B1318" s="279" t="s">
        <v>2741</v>
      </c>
      <c r="C1318" s="544">
        <f ca="1">SUM(C1307:C1317)</f>
        <v>55626120</v>
      </c>
      <c r="D1318" s="544">
        <f ca="1">SUM(D1307:D1317)</f>
        <v>50569200</v>
      </c>
      <c r="E1318" s="544">
        <f ca="1">SUM(E1307:E1317)</f>
        <v>14321180</v>
      </c>
      <c r="F1318" s="567">
        <f t="shared" ca="1" si="332"/>
        <v>0.28319965512604511</v>
      </c>
      <c r="G1318" s="972">
        <f ca="1">SUM(G1307:G1317)</f>
        <v>2864236</v>
      </c>
    </row>
    <row r="1319" spans="1:7" ht="21" customHeight="1" x14ac:dyDescent="0.25">
      <c r="A1319" s="247" t="s">
        <v>3280</v>
      </c>
      <c r="B1319" s="228" t="s">
        <v>444</v>
      </c>
      <c r="C1319" s="233">
        <f ca="1">SUMIFS(INDIRECT("Report!F100:F10000"),INDIRECT("Report!B100:B10000"),B1319,INDIRECT("report!H100:H10000"),"Consums",INDIRECT("Report!L100:L10000"),"22,2")</f>
        <v>5197500</v>
      </c>
      <c r="D1319" s="250">
        <f ca="1">(C1319/11*10)</f>
        <v>4725000</v>
      </c>
      <c r="E1319" s="233">
        <f ca="1">SUMIFS(INDIRECT("Report!J100:J10000"),INDIRECT("Report!B100:B10000"),B1319,INDIRECT("report!H100:H10000"),"Consums",INDIRECT("Report!L100:L10000"),"22,2")</f>
        <v>1150000</v>
      </c>
      <c r="F1319" s="555">
        <f t="shared" ref="F1319:F1330" ca="1" si="334">E1319/D1319</f>
        <v>0.24338624338624337</v>
      </c>
      <c r="G1319" s="244">
        <f t="shared" ref="G1319:G1329" ca="1" si="335">E1319*20%</f>
        <v>230000</v>
      </c>
    </row>
    <row r="1320" spans="1:7" ht="21" customHeight="1" x14ac:dyDescent="0.25">
      <c r="B1320" s="228" t="s">
        <v>523</v>
      </c>
      <c r="C1320" s="233">
        <f t="shared" ref="C1320:C1329" ca="1" si="336">SUMIFS(INDIRECT("Report!F100:F10000"),INDIRECT("Report!B100:B10000"),B1320,INDIRECT("report!H100:H10000"),"Consums",INDIRECT("Report!L100:L10000"),"22,2")</f>
        <v>6017000</v>
      </c>
      <c r="D1320" s="250">
        <f t="shared" ref="D1320:D1329" ca="1" si="337">(C1320/11*10)</f>
        <v>5470000</v>
      </c>
      <c r="E1320" s="233">
        <f t="shared" ref="E1320:E1329" ca="1" si="338">SUMIFS(INDIRECT("Report!J100:J10000"),INDIRECT("Report!B100:B10000"),B1320,INDIRECT("report!H100:H10000"),"Consums",INDIRECT("Report!L100:L10000"),"22,2")</f>
        <v>796000</v>
      </c>
      <c r="F1320" s="555">
        <f t="shared" ca="1" si="334"/>
        <v>0.14552102376599635</v>
      </c>
      <c r="G1320" s="244">
        <f t="shared" ca="1" si="335"/>
        <v>159200</v>
      </c>
    </row>
    <row r="1321" spans="1:7" ht="21" customHeight="1" x14ac:dyDescent="0.25">
      <c r="B1321" s="228" t="s">
        <v>453</v>
      </c>
      <c r="C1321" s="233">
        <f t="shared" ca="1" si="336"/>
        <v>10593000</v>
      </c>
      <c r="D1321" s="250">
        <f t="shared" ca="1" si="337"/>
        <v>9630000</v>
      </c>
      <c r="E1321" s="233">
        <f t="shared" ca="1" si="338"/>
        <v>1375000</v>
      </c>
      <c r="F1321" s="555">
        <f t="shared" ca="1" si="334"/>
        <v>0.14278296988577363</v>
      </c>
      <c r="G1321" s="244">
        <f t="shared" ca="1" si="335"/>
        <v>275000</v>
      </c>
    </row>
    <row r="1322" spans="1:7" ht="21" customHeight="1" x14ac:dyDescent="0.25">
      <c r="B1322" s="228" t="s">
        <v>515</v>
      </c>
      <c r="C1322" s="233">
        <f t="shared" ca="1" si="336"/>
        <v>4620000</v>
      </c>
      <c r="D1322" s="250">
        <f t="shared" ca="1" si="337"/>
        <v>4200000</v>
      </c>
      <c r="E1322" s="233">
        <f t="shared" ca="1" si="338"/>
        <v>560000</v>
      </c>
      <c r="F1322" s="555">
        <f t="shared" ca="1" si="334"/>
        <v>0.13333333333333333</v>
      </c>
      <c r="G1322" s="244">
        <f t="shared" ca="1" si="335"/>
        <v>112000</v>
      </c>
    </row>
    <row r="1323" spans="1:7" ht="21" customHeight="1" x14ac:dyDescent="0.25">
      <c r="B1323" s="228" t="s">
        <v>466</v>
      </c>
      <c r="C1323" s="233">
        <f t="shared" ca="1" si="336"/>
        <v>715000</v>
      </c>
      <c r="D1323" s="250">
        <f t="shared" ca="1" si="337"/>
        <v>650000</v>
      </c>
      <c r="E1323" s="233">
        <f t="shared" ca="1" si="338"/>
        <v>200000</v>
      </c>
      <c r="F1323" s="555">
        <f t="shared" ca="1" si="334"/>
        <v>0.30769230769230771</v>
      </c>
      <c r="G1323" s="244">
        <f t="shared" ca="1" si="335"/>
        <v>40000</v>
      </c>
    </row>
    <row r="1324" spans="1:7" ht="21" customHeight="1" x14ac:dyDescent="0.25">
      <c r="B1324" s="228" t="s">
        <v>2247</v>
      </c>
      <c r="C1324" s="233">
        <f t="shared" ca="1" si="336"/>
        <v>2395800</v>
      </c>
      <c r="D1324" s="250">
        <f t="shared" ca="1" si="337"/>
        <v>2178000</v>
      </c>
      <c r="E1324" s="233">
        <f t="shared" ca="1" si="338"/>
        <v>535000</v>
      </c>
      <c r="F1324" s="555">
        <f t="shared" ca="1" si="334"/>
        <v>0.24563820018365473</v>
      </c>
      <c r="G1324" s="244">
        <f t="shared" ca="1" si="335"/>
        <v>107000</v>
      </c>
    </row>
    <row r="1325" spans="1:7" ht="21" customHeight="1" x14ac:dyDescent="0.25">
      <c r="B1325" s="228" t="s">
        <v>434</v>
      </c>
      <c r="C1325" s="233">
        <f t="shared" ca="1" si="336"/>
        <v>7590000.0000000009</v>
      </c>
      <c r="D1325" s="250">
        <f t="shared" ca="1" si="337"/>
        <v>6900000.0000000009</v>
      </c>
      <c r="E1325" s="233">
        <f t="shared" ca="1" si="338"/>
        <v>1371000</v>
      </c>
      <c r="F1325" s="555">
        <f t="shared" ca="1" si="334"/>
        <v>0.19869565217391302</v>
      </c>
      <c r="G1325" s="244">
        <f t="shared" ca="1" si="335"/>
        <v>274200</v>
      </c>
    </row>
    <row r="1326" spans="1:7" ht="21" customHeight="1" x14ac:dyDescent="0.25">
      <c r="B1326" s="228" t="s">
        <v>834</v>
      </c>
      <c r="C1326" s="233">
        <f t="shared" ca="1" si="336"/>
        <v>1918400.0000000002</v>
      </c>
      <c r="D1326" s="250">
        <f t="shared" ca="1" si="337"/>
        <v>1744000.0000000002</v>
      </c>
      <c r="E1326" s="233">
        <f t="shared" ca="1" si="338"/>
        <v>544000</v>
      </c>
      <c r="F1326" s="555">
        <f t="shared" ca="1" si="334"/>
        <v>0.31192660550458712</v>
      </c>
      <c r="G1326" s="244">
        <f t="shared" ca="1" si="335"/>
        <v>108800</v>
      </c>
    </row>
    <row r="1327" spans="1:7" ht="21" customHeight="1" x14ac:dyDescent="0.25">
      <c r="B1327" s="228" t="s">
        <v>2469</v>
      </c>
      <c r="C1327" s="233">
        <f t="shared" ca="1" si="336"/>
        <v>4895000</v>
      </c>
      <c r="D1327" s="250">
        <f t="shared" ca="1" si="337"/>
        <v>4450000</v>
      </c>
      <c r="E1327" s="233">
        <f t="shared" ca="1" si="338"/>
        <v>1950000</v>
      </c>
      <c r="F1327" s="555">
        <f t="shared" ca="1" si="334"/>
        <v>0.43820224719101125</v>
      </c>
      <c r="G1327" s="244">
        <f t="shared" ca="1" si="335"/>
        <v>390000</v>
      </c>
    </row>
    <row r="1328" spans="1:7" ht="21" customHeight="1" x14ac:dyDescent="0.25">
      <c r="B1328" s="228" t="s">
        <v>972</v>
      </c>
      <c r="C1328" s="233">
        <f t="shared" ca="1" si="336"/>
        <v>1375000</v>
      </c>
      <c r="D1328" s="250">
        <f t="shared" ca="1" si="337"/>
        <v>1250000</v>
      </c>
      <c r="E1328" s="233">
        <f t="shared" ca="1" si="338"/>
        <v>340000</v>
      </c>
      <c r="F1328" s="555">
        <f t="shared" ca="1" si="334"/>
        <v>0.27200000000000002</v>
      </c>
      <c r="G1328" s="244">
        <f t="shared" ca="1" si="335"/>
        <v>68000</v>
      </c>
    </row>
    <row r="1329" spans="1:7" ht="21" customHeight="1" x14ac:dyDescent="0.25">
      <c r="B1329" s="228" t="s">
        <v>2125</v>
      </c>
      <c r="C1329" s="233">
        <f t="shared" ca="1" si="336"/>
        <v>1755600.0000000002</v>
      </c>
      <c r="D1329" s="250">
        <f t="shared" ca="1" si="337"/>
        <v>1596000.0000000002</v>
      </c>
      <c r="E1329" s="233">
        <f t="shared" ca="1" si="338"/>
        <v>1596000</v>
      </c>
      <c r="F1329" s="555">
        <f t="shared" ca="1" si="334"/>
        <v>0.99999999999999989</v>
      </c>
      <c r="G1329" s="244">
        <f t="shared" ca="1" si="335"/>
        <v>319200</v>
      </c>
    </row>
    <row r="1330" spans="1:7" ht="21" customHeight="1" x14ac:dyDescent="0.25">
      <c r="A1330" s="247"/>
      <c r="B1330" s="279" t="s">
        <v>2741</v>
      </c>
      <c r="C1330" s="544">
        <f ca="1">SUM(C1319:C1329)</f>
        <v>47072300</v>
      </c>
      <c r="D1330" s="544">
        <f ca="1">SUM(D1319:D1329)</f>
        <v>42793000</v>
      </c>
      <c r="E1330" s="544">
        <f ca="1">SUM(E1319:E1329)</f>
        <v>10417000</v>
      </c>
      <c r="F1330" s="567">
        <f t="shared" ca="1" si="334"/>
        <v>0.24342766340289299</v>
      </c>
      <c r="G1330" s="972">
        <f ca="1">SUM(G1319:G1329)</f>
        <v>2083400</v>
      </c>
    </row>
    <row r="1331" spans="1:7" ht="21" customHeight="1" x14ac:dyDescent="0.25">
      <c r="A1331" s="247" t="s">
        <v>3344</v>
      </c>
      <c r="B1331" s="228" t="s">
        <v>444</v>
      </c>
      <c r="C1331" s="233">
        <f ca="1">SUMIFS(INDIRECT("Report!F100:F10000"),INDIRECT("Report!B100:B10000"),B1331,INDIRECT("report!H100:H10000"),"Consums",INDIRECT("Report!L100:L10000"),"22,3")</f>
        <v>9031000</v>
      </c>
      <c r="D1331" s="250">
        <f ca="1">(C1331/11*10)</f>
        <v>8210000</v>
      </c>
      <c r="E1331" s="233">
        <f ca="1">SUMIFS(INDIRECT("Report!J100:J10000"),INDIRECT("Report!B100:B10000"),B1331,INDIRECT("report!H100:H10000"),"Consums",INDIRECT("Report!L100:L10000"),"22,3")</f>
        <v>3293500</v>
      </c>
      <c r="F1331" s="555">
        <f t="shared" ref="F1331:F1342" ca="1" si="339">E1331/D1331</f>
        <v>0.40115712545676002</v>
      </c>
      <c r="G1331" s="244">
        <f ca="1">E1331*15%</f>
        <v>494025</v>
      </c>
    </row>
    <row r="1332" spans="1:7" ht="21" customHeight="1" x14ac:dyDescent="0.25">
      <c r="B1332" s="228" t="s">
        <v>523</v>
      </c>
      <c r="C1332" s="233">
        <f t="shared" ref="C1332:C1341" ca="1" si="340">SUMIFS(INDIRECT("Report!F100:F10000"),INDIRECT("Report!B100:B10000"),B1332,INDIRECT("report!H100:H10000"),"Consums",INDIRECT("Report!L100:L10000"),"22,3")</f>
        <v>3256000</v>
      </c>
      <c r="D1332" s="250">
        <f t="shared" ref="D1332:D1341" ca="1" si="341">(C1332/11*10)</f>
        <v>2960000</v>
      </c>
      <c r="E1332" s="233">
        <f t="shared" ref="E1332:E1338" ca="1" si="342">SUMIFS(INDIRECT("Report!J100:J10000"),INDIRECT("Report!B100:B10000"),B1332,INDIRECT("report!H100:H10000"),"Consums",INDIRECT("Report!L100:L10000"),"22,3")</f>
        <v>466000</v>
      </c>
      <c r="F1332" s="555">
        <f t="shared" ca="1" si="339"/>
        <v>0.15743243243243243</v>
      </c>
      <c r="G1332" s="244">
        <f t="shared" ref="G1332:G1341" ca="1" si="343">E1332*15%</f>
        <v>69900</v>
      </c>
    </row>
    <row r="1333" spans="1:7" ht="21" customHeight="1" x14ac:dyDescent="0.25">
      <c r="B1333" s="228" t="s">
        <v>453</v>
      </c>
      <c r="C1333" s="233">
        <f t="shared" ca="1" si="340"/>
        <v>14863200</v>
      </c>
      <c r="D1333" s="250">
        <f t="shared" ca="1" si="341"/>
        <v>13512000</v>
      </c>
      <c r="E1333" s="233">
        <f t="shared" ca="1" si="342"/>
        <v>370000</v>
      </c>
      <c r="F1333" s="555">
        <f t="shared" ca="1" si="339"/>
        <v>2.7383066903493191E-2</v>
      </c>
      <c r="G1333" s="244">
        <f t="shared" ca="1" si="343"/>
        <v>55500</v>
      </c>
    </row>
    <row r="1334" spans="1:7" ht="21" customHeight="1" x14ac:dyDescent="0.25">
      <c r="B1334" s="228" t="s">
        <v>515</v>
      </c>
      <c r="C1334" s="233">
        <f t="shared" ca="1" si="340"/>
        <v>2310000</v>
      </c>
      <c r="D1334" s="250">
        <f t="shared" ca="1" si="341"/>
        <v>2100000</v>
      </c>
      <c r="E1334" s="233">
        <f t="shared" ca="1" si="342"/>
        <v>280000</v>
      </c>
      <c r="F1334" s="555">
        <f t="shared" ca="1" si="339"/>
        <v>0.13333333333333333</v>
      </c>
      <c r="G1334" s="244">
        <f t="shared" ca="1" si="343"/>
        <v>42000</v>
      </c>
    </row>
    <row r="1335" spans="1:7" ht="21" customHeight="1" x14ac:dyDescent="0.25">
      <c r="B1335" s="228" t="s">
        <v>466</v>
      </c>
      <c r="C1335" s="233">
        <f t="shared" ca="1" si="340"/>
        <v>1430000</v>
      </c>
      <c r="D1335" s="250">
        <f t="shared" ca="1" si="341"/>
        <v>1300000</v>
      </c>
      <c r="E1335" s="233">
        <f t="shared" ca="1" si="342"/>
        <v>400000</v>
      </c>
      <c r="F1335" s="555">
        <f t="shared" ca="1" si="339"/>
        <v>0.30769230769230771</v>
      </c>
      <c r="G1335" s="244">
        <f t="shared" ca="1" si="343"/>
        <v>60000</v>
      </c>
    </row>
    <row r="1336" spans="1:7" ht="21" customHeight="1" x14ac:dyDescent="0.25">
      <c r="B1336" s="228" t="s">
        <v>2247</v>
      </c>
      <c r="C1336" s="233">
        <f t="shared" ca="1" si="340"/>
        <v>13203850</v>
      </c>
      <c r="D1336" s="250">
        <f t="shared" ca="1" si="341"/>
        <v>12003500</v>
      </c>
      <c r="E1336" s="233">
        <f t="shared" ca="1" si="342"/>
        <v>3358000</v>
      </c>
      <c r="F1336" s="555">
        <f t="shared" ca="1" si="339"/>
        <v>0.27975173907610279</v>
      </c>
      <c r="G1336" s="244">
        <f t="shared" ca="1" si="343"/>
        <v>503700</v>
      </c>
    </row>
    <row r="1337" spans="1:7" ht="21" customHeight="1" x14ac:dyDescent="0.25">
      <c r="B1337" s="228" t="s">
        <v>434</v>
      </c>
      <c r="C1337" s="233">
        <f t="shared" ca="1" si="340"/>
        <v>20149800</v>
      </c>
      <c r="D1337" s="250">
        <f t="shared" ca="1" si="341"/>
        <v>18318000</v>
      </c>
      <c r="E1337" s="233">
        <f t="shared" ca="1" si="342"/>
        <v>4758400</v>
      </c>
      <c r="F1337" s="555">
        <f t="shared" ca="1" si="339"/>
        <v>0.2597663500382138</v>
      </c>
      <c r="G1337" s="244">
        <f t="shared" ca="1" si="343"/>
        <v>713760</v>
      </c>
    </row>
    <row r="1338" spans="1:7" ht="21" customHeight="1" x14ac:dyDescent="0.25">
      <c r="B1338" s="228" t="s">
        <v>834</v>
      </c>
      <c r="C1338" s="233">
        <f t="shared" ca="1" si="340"/>
        <v>1918400.0000000002</v>
      </c>
      <c r="D1338" s="250">
        <f t="shared" ca="1" si="341"/>
        <v>1744000.0000000002</v>
      </c>
      <c r="E1338" s="233">
        <f t="shared" ca="1" si="342"/>
        <v>544000</v>
      </c>
      <c r="F1338" s="555">
        <f t="shared" ca="1" si="339"/>
        <v>0.31192660550458712</v>
      </c>
      <c r="G1338" s="244">
        <f t="shared" ca="1" si="343"/>
        <v>81600</v>
      </c>
    </row>
    <row r="1339" spans="1:7" ht="21" customHeight="1" x14ac:dyDescent="0.25">
      <c r="B1339" s="228" t="s">
        <v>526</v>
      </c>
      <c r="C1339" s="233">
        <f t="shared" ca="1" si="340"/>
        <v>3025000.0000000005</v>
      </c>
      <c r="D1339" s="250">
        <f t="shared" ca="1" si="341"/>
        <v>2750000.0000000005</v>
      </c>
      <c r="E1339" s="233">
        <f ca="1">SUMIFS(INDIRECT("Report!J100:J10000"),INDIRECT("Report!B100:B10000"),B1339,INDIRECT("report!H100:H10000"),"Consums",INDIRECT("Report!L100:L10000"),"22,3")</f>
        <v>710000</v>
      </c>
      <c r="F1339" s="555">
        <f t="shared" ca="1" si="339"/>
        <v>0.25818181818181812</v>
      </c>
      <c r="G1339" s="244">
        <f t="shared" ca="1" si="343"/>
        <v>106500</v>
      </c>
    </row>
    <row r="1340" spans="1:7" ht="21" customHeight="1" x14ac:dyDescent="0.25">
      <c r="B1340" s="228" t="s">
        <v>430</v>
      </c>
      <c r="C1340" s="233">
        <f t="shared" ca="1" si="340"/>
        <v>2200000</v>
      </c>
      <c r="D1340" s="250">
        <f t="shared" ca="1" si="341"/>
        <v>2000000</v>
      </c>
      <c r="E1340" s="233">
        <f ca="1">SUMIFS(INDIRECT("Report!J100:J10000"),INDIRECT("Report!B100:B10000"),B1340,INDIRECT("report!H100:H10000"),"Consums",INDIRECT("Report!L100:L10000"),"22,3")</f>
        <v>1000000</v>
      </c>
      <c r="F1340" s="555">
        <f t="shared" ca="1" si="339"/>
        <v>0.5</v>
      </c>
      <c r="G1340" s="244">
        <f t="shared" ca="1" si="343"/>
        <v>150000</v>
      </c>
    </row>
    <row r="1341" spans="1:7" ht="21" customHeight="1" x14ac:dyDescent="0.25">
      <c r="B1341" s="228" t="s">
        <v>3345</v>
      </c>
      <c r="C1341" s="233">
        <f t="shared" ca="1" si="340"/>
        <v>638000</v>
      </c>
      <c r="D1341" s="250">
        <f t="shared" ca="1" si="341"/>
        <v>580000</v>
      </c>
      <c r="E1341" s="233">
        <f ca="1">SUMIFS(INDIRECT("Report!J100:J10000"),INDIRECT("Report!B100:B10000"),B1341,INDIRECT("report!H100:H10000"),"Consums",INDIRECT("Report!L100:L10000"),"22,3")</f>
        <v>146000</v>
      </c>
      <c r="F1341" s="555">
        <f t="shared" ca="1" si="339"/>
        <v>0.25172413793103449</v>
      </c>
      <c r="G1341" s="244">
        <f t="shared" ca="1" si="343"/>
        <v>21900</v>
      </c>
    </row>
    <row r="1342" spans="1:7" ht="21" customHeight="1" x14ac:dyDescent="0.25">
      <c r="A1342" s="247"/>
      <c r="B1342" s="279" t="s">
        <v>2741</v>
      </c>
      <c r="C1342" s="544">
        <f ca="1">SUM(C1331:C1341)</f>
        <v>72025250</v>
      </c>
      <c r="D1342" s="544">
        <f ca="1">SUM(D1331:D1341)</f>
        <v>65477500</v>
      </c>
      <c r="E1342" s="544">
        <f ca="1">SUM(E1331:E1341)</f>
        <v>15325900</v>
      </c>
      <c r="F1342" s="567">
        <f t="shared" ca="1" si="339"/>
        <v>0.23406360963689818</v>
      </c>
      <c r="G1342" s="972">
        <f ca="1">SUM(G1331:G1341)</f>
        <v>2298885</v>
      </c>
    </row>
    <row r="1343" spans="1:7" ht="21" customHeight="1" x14ac:dyDescent="0.25">
      <c r="A1343" s="247" t="s">
        <v>3376</v>
      </c>
      <c r="B1343" s="228" t="s">
        <v>444</v>
      </c>
      <c r="C1343" s="233">
        <f t="shared" ref="C1343:C1352" ca="1" si="344">SUMIFS(INDIRECT("Report!F100:F10000"),INDIRECT("Report!B100:B10000"),B1343,INDIRECT("report!H100:H10000"),"Consums",INDIRECT("Report!L100:L10000"),"22,4")</f>
        <v>3766400</v>
      </c>
      <c r="D1343" s="250">
        <f ca="1">(C1343/11*10)</f>
        <v>3424000</v>
      </c>
      <c r="E1343" s="233">
        <f t="shared" ref="E1343:E1352" ca="1" si="345">SUMIFS(INDIRECT("Report!J100:J10000"),INDIRECT("Report!B100:B10000"),B1343,INDIRECT("report!H100:H10000"),"Consums",INDIRECT("Report!L100:L10000"),"22,4")</f>
        <v>956000</v>
      </c>
      <c r="F1343" s="555">
        <f t="shared" ref="F1343:F1353" ca="1" si="346">E1343/D1343</f>
        <v>0.27920560747663553</v>
      </c>
      <c r="G1343" s="244">
        <f ca="1">E1343*15%</f>
        <v>143400</v>
      </c>
    </row>
    <row r="1344" spans="1:7" ht="21" customHeight="1" x14ac:dyDescent="0.25">
      <c r="B1344" s="228" t="s">
        <v>63</v>
      </c>
      <c r="C1344" s="233">
        <f t="shared" ca="1" si="344"/>
        <v>6600000</v>
      </c>
      <c r="D1344" s="250">
        <f t="shared" ref="D1344:D1352" ca="1" si="347">(C1344/11*10)</f>
        <v>6000000</v>
      </c>
      <c r="E1344" s="233">
        <f t="shared" ca="1" si="345"/>
        <v>3805290</v>
      </c>
      <c r="F1344" s="555">
        <f t="shared" ca="1" si="346"/>
        <v>0.63421499999999997</v>
      </c>
      <c r="G1344" s="244">
        <f t="shared" ref="G1344:G1352" ca="1" si="348">E1344*15%</f>
        <v>570793.5</v>
      </c>
    </row>
    <row r="1345" spans="1:7" ht="21" customHeight="1" x14ac:dyDescent="0.25">
      <c r="B1345" s="228" t="s">
        <v>453</v>
      </c>
      <c r="C1345" s="233">
        <f t="shared" ca="1" si="344"/>
        <v>6757850</v>
      </c>
      <c r="D1345" s="250">
        <f t="shared" ca="1" si="347"/>
        <v>6143500</v>
      </c>
      <c r="E1345" s="233">
        <f t="shared" ca="1" si="345"/>
        <v>182500</v>
      </c>
      <c r="F1345" s="555">
        <f t="shared" ca="1" si="346"/>
        <v>2.9706193537885572E-2</v>
      </c>
      <c r="G1345" s="244">
        <f t="shared" ca="1" si="348"/>
        <v>27375</v>
      </c>
    </row>
    <row r="1346" spans="1:7" ht="21" customHeight="1" x14ac:dyDescent="0.25">
      <c r="B1346" s="228" t="s">
        <v>515</v>
      </c>
      <c r="C1346" s="233">
        <f t="shared" ca="1" si="344"/>
        <v>6820000.0000000009</v>
      </c>
      <c r="D1346" s="250">
        <f t="shared" ca="1" si="347"/>
        <v>6200000.0000000009</v>
      </c>
      <c r="E1346" s="233">
        <f t="shared" ca="1" si="345"/>
        <v>2260000</v>
      </c>
      <c r="F1346" s="555">
        <f t="shared" ca="1" si="346"/>
        <v>0.364516129032258</v>
      </c>
      <c r="G1346" s="244">
        <f t="shared" ca="1" si="348"/>
        <v>339000</v>
      </c>
    </row>
    <row r="1347" spans="1:7" ht="21" customHeight="1" x14ac:dyDescent="0.25">
      <c r="B1347" s="228" t="s">
        <v>466</v>
      </c>
      <c r="C1347" s="233">
        <f t="shared" ca="1" si="344"/>
        <v>715000</v>
      </c>
      <c r="D1347" s="250">
        <f t="shared" ca="1" si="347"/>
        <v>650000</v>
      </c>
      <c r="E1347" s="233">
        <f t="shared" ca="1" si="345"/>
        <v>200000</v>
      </c>
      <c r="F1347" s="555">
        <f t="shared" ca="1" si="346"/>
        <v>0.30769230769230771</v>
      </c>
      <c r="G1347" s="244">
        <f t="shared" ca="1" si="348"/>
        <v>30000</v>
      </c>
    </row>
    <row r="1348" spans="1:7" ht="21" customHeight="1" x14ac:dyDescent="0.25">
      <c r="B1348" s="228" t="s">
        <v>2247</v>
      </c>
      <c r="C1348" s="233">
        <f t="shared" ca="1" si="344"/>
        <v>8627300</v>
      </c>
      <c r="D1348" s="250">
        <f t="shared" ca="1" si="347"/>
        <v>7843000</v>
      </c>
      <c r="E1348" s="233">
        <f t="shared" ca="1" si="345"/>
        <v>1942000</v>
      </c>
      <c r="F1348" s="555">
        <f t="shared" ca="1" si="346"/>
        <v>0.24760933316333036</v>
      </c>
      <c r="G1348" s="244">
        <f t="shared" ca="1" si="348"/>
        <v>291300</v>
      </c>
    </row>
    <row r="1349" spans="1:7" ht="21" customHeight="1" x14ac:dyDescent="0.25">
      <c r="B1349" s="228" t="s">
        <v>434</v>
      </c>
      <c r="C1349" s="233">
        <f t="shared" ca="1" si="344"/>
        <v>10917500</v>
      </c>
      <c r="D1349" s="250">
        <f t="shared" ca="1" si="347"/>
        <v>9925000</v>
      </c>
      <c r="E1349" s="233">
        <f t="shared" ca="1" si="345"/>
        <v>2603400</v>
      </c>
      <c r="F1349" s="555">
        <f t="shared" ca="1" si="346"/>
        <v>0.2623073047858942</v>
      </c>
      <c r="G1349" s="244">
        <f t="shared" ca="1" si="348"/>
        <v>390510</v>
      </c>
    </row>
    <row r="1350" spans="1:7" ht="21" customHeight="1" x14ac:dyDescent="0.25">
      <c r="B1350" s="859" t="s">
        <v>2125</v>
      </c>
      <c r="C1350" s="233">
        <f t="shared" ca="1" si="344"/>
        <v>4320030</v>
      </c>
      <c r="D1350" s="250">
        <f t="shared" ca="1" si="347"/>
        <v>3927300</v>
      </c>
      <c r="E1350" s="233">
        <f t="shared" ca="1" si="345"/>
        <v>3927300</v>
      </c>
      <c r="F1350" s="555">
        <f t="shared" ca="1" si="346"/>
        <v>1</v>
      </c>
      <c r="G1350" s="244">
        <f t="shared" ca="1" si="348"/>
        <v>589095</v>
      </c>
    </row>
    <row r="1351" spans="1:7" ht="21" customHeight="1" x14ac:dyDescent="0.25">
      <c r="B1351" s="228" t="s">
        <v>526</v>
      </c>
      <c r="C1351" s="233">
        <f t="shared" ca="1" si="344"/>
        <v>12089000</v>
      </c>
      <c r="D1351" s="250">
        <f t="shared" ca="1" si="347"/>
        <v>10990000</v>
      </c>
      <c r="E1351" s="233">
        <f t="shared" ca="1" si="345"/>
        <v>2290000</v>
      </c>
      <c r="F1351" s="555">
        <f t="shared" ca="1" si="346"/>
        <v>0.20837124658780709</v>
      </c>
      <c r="G1351" s="244">
        <f t="shared" ca="1" si="348"/>
        <v>343500</v>
      </c>
    </row>
    <row r="1352" spans="1:7" ht="21" customHeight="1" x14ac:dyDescent="0.25">
      <c r="B1352" s="228" t="s">
        <v>430</v>
      </c>
      <c r="C1352" s="233">
        <f t="shared" ca="1" si="344"/>
        <v>1100000</v>
      </c>
      <c r="D1352" s="250">
        <f t="shared" ca="1" si="347"/>
        <v>1000000</v>
      </c>
      <c r="E1352" s="233">
        <f t="shared" ca="1" si="345"/>
        <v>500000</v>
      </c>
      <c r="F1352" s="555">
        <f t="shared" ca="1" si="346"/>
        <v>0.5</v>
      </c>
      <c r="G1352" s="244">
        <f t="shared" ca="1" si="348"/>
        <v>75000</v>
      </c>
    </row>
    <row r="1353" spans="1:7" ht="21" customHeight="1" x14ac:dyDescent="0.25">
      <c r="A1353" s="247"/>
      <c r="B1353" s="279" t="s">
        <v>2741</v>
      </c>
      <c r="C1353" s="544">
        <f ca="1">SUM(C1343:C1352)</f>
        <v>61713080</v>
      </c>
      <c r="D1353" s="544">
        <f ca="1">SUM(D1343:D1352)</f>
        <v>56102800</v>
      </c>
      <c r="E1353" s="544">
        <f ca="1">SUM(E1343:E1352)</f>
        <v>18666490</v>
      </c>
      <c r="F1353" s="567">
        <f t="shared" ca="1" si="346"/>
        <v>0.33271940081421963</v>
      </c>
      <c r="G1353" s="972">
        <f ca="1">SUM(G1343:G1352)</f>
        <v>2799973.5</v>
      </c>
    </row>
    <row r="1354" spans="1:7" ht="21" customHeight="1" x14ac:dyDescent="0.25">
      <c r="A1354" s="247" t="s">
        <v>3380</v>
      </c>
      <c r="B1354" s="228" t="s">
        <v>444</v>
      </c>
      <c r="C1354" s="233">
        <f ca="1">SUMIFS(INDIRECT("Report!F100:F10000"),INDIRECT("Report!B100:B10000"),B1354,INDIRECT("report!H100:H10000"),"Consums",INDIRECT("Report!L100:L10000"),"22,5")</f>
        <v>4026000</v>
      </c>
      <c r="D1354" s="250">
        <f ca="1">(C1354/11*10)</f>
        <v>3660000</v>
      </c>
      <c r="E1354" s="233">
        <f ca="1">SUMIFS(INDIRECT("Report!J100:J10000"),INDIRECT("Report!B100:B10000"),B1354,INDIRECT("report!H100:H10000"),"Consums",INDIRECT("Report!L100:L10000"),"22,5")</f>
        <v>1004000</v>
      </c>
      <c r="F1354" s="555">
        <f t="shared" ref="F1354:F1363" ca="1" si="349">E1354/D1354</f>
        <v>0.27431693989071038</v>
      </c>
      <c r="G1354" s="244">
        <f ca="1">E1354*15%</f>
        <v>150600</v>
      </c>
    </row>
    <row r="1355" spans="1:7" ht="21" customHeight="1" x14ac:dyDescent="0.25">
      <c r="B1355" s="228" t="s">
        <v>523</v>
      </c>
      <c r="C1355" s="233">
        <f t="shared" ref="C1355:C1362" ca="1" si="350">SUMIFS(INDIRECT("Report!F100:F10000"),INDIRECT("Report!B100:B10000"),B1355,INDIRECT("report!H100:H10000"),"Consums",INDIRECT("Report!L100:L10000"),"22,5")</f>
        <v>6759500</v>
      </c>
      <c r="D1355" s="250">
        <f t="shared" ref="D1355:D1362" ca="1" si="351">(C1355/11*10)</f>
        <v>6145000</v>
      </c>
      <c r="E1355" s="233">
        <f t="shared" ref="E1355:E1362" ca="1" si="352">SUMIFS(INDIRECT("Report!J100:J10000"),INDIRECT("Report!B100:B10000"),B1355,INDIRECT("report!H100:H10000"),"Consums",INDIRECT("Report!L100:L10000"),"22,5")</f>
        <v>689000</v>
      </c>
      <c r="F1355" s="555">
        <f t="shared" ca="1" si="349"/>
        <v>0.11212367778681855</v>
      </c>
      <c r="G1355" s="244">
        <f t="shared" ref="G1355:G1362" ca="1" si="353">E1355*15%</f>
        <v>103350</v>
      </c>
    </row>
    <row r="1356" spans="1:7" ht="21" customHeight="1" x14ac:dyDescent="0.25">
      <c r="B1356" s="228" t="s">
        <v>453</v>
      </c>
      <c r="C1356" s="233">
        <f t="shared" ca="1" si="350"/>
        <v>20409400</v>
      </c>
      <c r="D1356" s="250">
        <f t="shared" ca="1" si="351"/>
        <v>18554000</v>
      </c>
      <c r="E1356" s="233">
        <f t="shared" ca="1" si="352"/>
        <v>3081860</v>
      </c>
      <c r="F1356" s="555">
        <f t="shared" ca="1" si="349"/>
        <v>0.16610218820739464</v>
      </c>
      <c r="G1356" s="244">
        <f t="shared" ca="1" si="353"/>
        <v>462279</v>
      </c>
    </row>
    <row r="1357" spans="1:7" ht="21" customHeight="1" x14ac:dyDescent="0.25">
      <c r="B1357" s="228" t="s">
        <v>515</v>
      </c>
      <c r="C1357" s="233">
        <f t="shared" ca="1" si="350"/>
        <v>6820000.0000000009</v>
      </c>
      <c r="D1357" s="250">
        <f t="shared" ca="1" si="351"/>
        <v>6200000.0000000009</v>
      </c>
      <c r="E1357" s="233">
        <f t="shared" ca="1" si="352"/>
        <v>2260000</v>
      </c>
      <c r="F1357" s="555">
        <f t="shared" ca="1" si="349"/>
        <v>0.364516129032258</v>
      </c>
      <c r="G1357" s="244">
        <f t="shared" ca="1" si="353"/>
        <v>339000</v>
      </c>
    </row>
    <row r="1358" spans="1:7" ht="21" customHeight="1" x14ac:dyDescent="0.25">
      <c r="B1358" s="228" t="s">
        <v>466</v>
      </c>
      <c r="C1358" s="233">
        <f t="shared" ca="1" si="350"/>
        <v>1430000</v>
      </c>
      <c r="D1358" s="250">
        <f t="shared" ca="1" si="351"/>
        <v>1300000</v>
      </c>
      <c r="E1358" s="233">
        <f t="shared" ca="1" si="352"/>
        <v>400000</v>
      </c>
      <c r="F1358" s="555">
        <f t="shared" ca="1" si="349"/>
        <v>0.30769230769230771</v>
      </c>
      <c r="G1358" s="244">
        <f t="shared" ca="1" si="353"/>
        <v>60000</v>
      </c>
    </row>
    <row r="1359" spans="1:7" ht="21" customHeight="1" x14ac:dyDescent="0.25">
      <c r="B1359" s="228" t="s">
        <v>2247</v>
      </c>
      <c r="C1359" s="233">
        <f t="shared" ca="1" si="350"/>
        <v>8409500</v>
      </c>
      <c r="D1359" s="250">
        <f t="shared" ca="1" si="351"/>
        <v>7645000</v>
      </c>
      <c r="E1359" s="233">
        <f t="shared" ca="1" si="352"/>
        <v>1844000</v>
      </c>
      <c r="F1359" s="555">
        <f t="shared" ca="1" si="349"/>
        <v>0.24120340091563114</v>
      </c>
      <c r="G1359" s="244">
        <f t="shared" ca="1" si="353"/>
        <v>276600</v>
      </c>
    </row>
    <row r="1360" spans="1:7" ht="21" customHeight="1" x14ac:dyDescent="0.25">
      <c r="B1360" s="228" t="s">
        <v>434</v>
      </c>
      <c r="C1360" s="233">
        <f t="shared" ca="1" si="350"/>
        <v>15833400</v>
      </c>
      <c r="D1360" s="250">
        <f t="shared" ca="1" si="351"/>
        <v>14394000</v>
      </c>
      <c r="E1360" s="233">
        <f t="shared" ca="1" si="352"/>
        <v>3326800</v>
      </c>
      <c r="F1360" s="555">
        <f t="shared" ca="1" si="349"/>
        <v>0.23112407947756008</v>
      </c>
      <c r="G1360" s="244">
        <f t="shared" ca="1" si="353"/>
        <v>499020</v>
      </c>
    </row>
    <row r="1361" spans="1:7" ht="21" customHeight="1" x14ac:dyDescent="0.25">
      <c r="B1361" s="228" t="s">
        <v>834</v>
      </c>
      <c r="C1361" s="233">
        <f t="shared" ca="1" si="350"/>
        <v>1918400.0000000002</v>
      </c>
      <c r="D1361" s="250">
        <f t="shared" ca="1" si="351"/>
        <v>1744000.0000000002</v>
      </c>
      <c r="E1361" s="233">
        <f t="shared" ca="1" si="352"/>
        <v>464000</v>
      </c>
      <c r="F1361" s="555">
        <f t="shared" ca="1" si="349"/>
        <v>0.26605504587155959</v>
      </c>
      <c r="G1361" s="244">
        <f t="shared" ca="1" si="353"/>
        <v>69600</v>
      </c>
    </row>
    <row r="1362" spans="1:7" ht="21" customHeight="1" x14ac:dyDescent="0.25">
      <c r="B1362" s="228" t="s">
        <v>430</v>
      </c>
      <c r="C1362" s="233">
        <f t="shared" ca="1" si="350"/>
        <v>1100000</v>
      </c>
      <c r="D1362" s="250">
        <f t="shared" ca="1" si="351"/>
        <v>1000000</v>
      </c>
      <c r="E1362" s="233">
        <f t="shared" ca="1" si="352"/>
        <v>500000</v>
      </c>
      <c r="F1362" s="555">
        <f t="shared" ca="1" si="349"/>
        <v>0.5</v>
      </c>
      <c r="G1362" s="244">
        <f t="shared" ca="1" si="353"/>
        <v>75000</v>
      </c>
    </row>
    <row r="1363" spans="1:7" ht="21" customHeight="1" x14ac:dyDescent="0.25">
      <c r="A1363" s="247"/>
      <c r="B1363" s="279" t="s">
        <v>2741</v>
      </c>
      <c r="C1363" s="544">
        <f ca="1">SUM(C1354:C1362)</f>
        <v>66706200</v>
      </c>
      <c r="D1363" s="544">
        <f ca="1">SUM(D1354:D1362)</f>
        <v>60642000</v>
      </c>
      <c r="E1363" s="544">
        <f ca="1">SUM(E1354:E1362)</f>
        <v>13569660</v>
      </c>
      <c r="F1363" s="567">
        <f t="shared" ca="1" si="349"/>
        <v>0.22376669634906501</v>
      </c>
      <c r="G1363" s="972">
        <f ca="1">SUM(G1354:G1362)</f>
        <v>2035449</v>
      </c>
    </row>
    <row r="1364" spans="1:7" ht="21" customHeight="1" x14ac:dyDescent="0.25">
      <c r="A1364" s="247" t="s">
        <v>3416</v>
      </c>
      <c r="B1364" s="228" t="s">
        <v>444</v>
      </c>
      <c r="C1364" s="233">
        <f ca="1">SUMIFS(INDIRECT("Report!F100:F10000"),INDIRECT("Report!B100:B10000"),B1364,INDIRECT("report!H100:H10000"),"Consums",INDIRECT("Report!L100:L10000"),"22,6")</f>
        <v>4785000</v>
      </c>
      <c r="D1364" s="250">
        <f ca="1">(C1364/11*10)</f>
        <v>4350000</v>
      </c>
      <c r="E1364" s="233">
        <f ca="1">SUMIFS(INDIRECT("Report!J100:J10000"),INDIRECT("Report!B100:B10000"),B1364,INDIRECT("report!H100:H10000"),"Consums",INDIRECT("Report!L100:L10000"),"22,6")</f>
        <v>1212000</v>
      </c>
      <c r="F1364" s="555">
        <f t="shared" ref="F1364:F1375" ca="1" si="354">E1364/D1364</f>
        <v>0.27862068965517239</v>
      </c>
      <c r="G1364" s="244">
        <f ca="1">E1364*15%</f>
        <v>181800</v>
      </c>
    </row>
    <row r="1365" spans="1:7" ht="21" customHeight="1" x14ac:dyDescent="0.25">
      <c r="B1365" s="228" t="s">
        <v>523</v>
      </c>
      <c r="C1365" s="233">
        <f t="shared" ref="C1365:C1374" ca="1" si="355">SUMIFS(INDIRECT("Report!F100:F10000"),INDIRECT("Report!B100:B10000"),B1365,INDIRECT("report!H100:H10000"),"Consums",INDIRECT("Report!L100:L10000"),"22,6")</f>
        <v>6645100.0000000009</v>
      </c>
      <c r="D1365" s="250">
        <f t="shared" ref="D1365:D1374" ca="1" si="356">(C1365/11*10)</f>
        <v>6041000.0000000009</v>
      </c>
      <c r="E1365" s="233">
        <f t="shared" ref="E1365:E1374" ca="1" si="357">SUMIFS(INDIRECT("Report!J100:J10000"),INDIRECT("Report!B100:B10000"),B1365,INDIRECT("report!H100:H10000"),"Consums",INDIRECT("Report!L100:L10000"),"22,6")</f>
        <v>609000</v>
      </c>
      <c r="F1365" s="555">
        <f t="shared" ca="1" si="354"/>
        <v>0.100811123986095</v>
      </c>
      <c r="G1365" s="244">
        <f t="shared" ref="G1365:G1374" ca="1" si="358">E1365*15%</f>
        <v>91350</v>
      </c>
    </row>
    <row r="1366" spans="1:7" ht="21" customHeight="1" x14ac:dyDescent="0.25">
      <c r="B1366" s="228" t="s">
        <v>453</v>
      </c>
      <c r="C1366" s="233">
        <f t="shared" ca="1" si="355"/>
        <v>6216100</v>
      </c>
      <c r="D1366" s="250">
        <f t="shared" ca="1" si="356"/>
        <v>5651000</v>
      </c>
      <c r="E1366" s="233">
        <f t="shared" ca="1" si="357"/>
        <v>2085280</v>
      </c>
      <c r="F1366" s="555">
        <f t="shared" ca="1" si="354"/>
        <v>0.36901079454963726</v>
      </c>
      <c r="G1366" s="244">
        <f t="shared" ca="1" si="358"/>
        <v>312792</v>
      </c>
    </row>
    <row r="1367" spans="1:7" ht="21" customHeight="1" x14ac:dyDescent="0.25">
      <c r="B1367" s="228" t="s">
        <v>515</v>
      </c>
      <c r="C1367" s="233">
        <f t="shared" ca="1" si="355"/>
        <v>3410000.0000000005</v>
      </c>
      <c r="D1367" s="250">
        <f t="shared" ca="1" si="356"/>
        <v>3100000.0000000005</v>
      </c>
      <c r="E1367" s="233">
        <f t="shared" ca="1" si="357"/>
        <v>1130000</v>
      </c>
      <c r="F1367" s="555">
        <f t="shared" ca="1" si="354"/>
        <v>0.364516129032258</v>
      </c>
      <c r="G1367" s="244">
        <f t="shared" ca="1" si="358"/>
        <v>169500</v>
      </c>
    </row>
    <row r="1368" spans="1:7" ht="21" customHeight="1" x14ac:dyDescent="0.25">
      <c r="B1368" s="228" t="s">
        <v>466</v>
      </c>
      <c r="C1368" s="233">
        <f t="shared" ca="1" si="355"/>
        <v>1127500</v>
      </c>
      <c r="D1368" s="250">
        <f t="shared" ca="1" si="356"/>
        <v>1025000</v>
      </c>
      <c r="E1368" s="233">
        <f t="shared" ca="1" si="357"/>
        <v>325000</v>
      </c>
      <c r="F1368" s="555">
        <f t="shared" ca="1" si="354"/>
        <v>0.31707317073170732</v>
      </c>
      <c r="G1368" s="244">
        <f t="shared" ca="1" si="358"/>
        <v>48750</v>
      </c>
    </row>
    <row r="1369" spans="1:7" ht="21" customHeight="1" x14ac:dyDescent="0.25">
      <c r="B1369" s="228" t="s">
        <v>2247</v>
      </c>
      <c r="C1369" s="233">
        <f t="shared" ca="1" si="355"/>
        <v>7857850.0000000009</v>
      </c>
      <c r="D1369" s="250">
        <f t="shared" ca="1" si="356"/>
        <v>7143500.0000000009</v>
      </c>
      <c r="E1369" s="233">
        <f t="shared" ca="1" si="357"/>
        <v>1912500</v>
      </c>
      <c r="F1369" s="555">
        <f t="shared" ca="1" si="354"/>
        <v>0.26772590466857982</v>
      </c>
      <c r="G1369" s="244">
        <f t="shared" ca="1" si="358"/>
        <v>286875</v>
      </c>
    </row>
    <row r="1370" spans="1:7" ht="21" customHeight="1" x14ac:dyDescent="0.25">
      <c r="B1370" s="228" t="s">
        <v>434</v>
      </c>
      <c r="C1370" s="233">
        <f t="shared" ca="1" si="355"/>
        <v>18906800.000000004</v>
      </c>
      <c r="D1370" s="250">
        <f t="shared" ca="1" si="356"/>
        <v>17188000.000000004</v>
      </c>
      <c r="E1370" s="233">
        <f t="shared" ca="1" si="357"/>
        <v>4908800</v>
      </c>
      <c r="F1370" s="555">
        <f t="shared" ca="1" si="354"/>
        <v>0.28559460088433786</v>
      </c>
      <c r="G1370" s="244">
        <f t="shared" ca="1" si="358"/>
        <v>736320</v>
      </c>
    </row>
    <row r="1371" spans="1:7" ht="21" customHeight="1" x14ac:dyDescent="0.25">
      <c r="B1371" s="228" t="s">
        <v>834</v>
      </c>
      <c r="C1371" s="233">
        <f t="shared" ca="1" si="355"/>
        <v>19512900</v>
      </c>
      <c r="D1371" s="250">
        <f t="shared" ca="1" si="356"/>
        <v>17739000</v>
      </c>
      <c r="E1371" s="233">
        <f t="shared" ca="1" si="357"/>
        <v>3989000</v>
      </c>
      <c r="F1371" s="555">
        <f t="shared" ca="1" si="354"/>
        <v>0.22487175150797678</v>
      </c>
      <c r="G1371" s="244">
        <f t="shared" ca="1" si="358"/>
        <v>598350</v>
      </c>
    </row>
    <row r="1372" spans="1:7" ht="21" customHeight="1" x14ac:dyDescent="0.25">
      <c r="B1372" s="228" t="s">
        <v>468</v>
      </c>
      <c r="C1372" s="233">
        <f t="shared" ca="1" si="355"/>
        <v>1100000</v>
      </c>
      <c r="D1372" s="250">
        <f t="shared" ca="1" si="356"/>
        <v>1000000</v>
      </c>
      <c r="E1372" s="233">
        <f t="shared" ca="1" si="357"/>
        <v>524000</v>
      </c>
      <c r="F1372" s="555">
        <f t="shared" ca="1" si="354"/>
        <v>0.52400000000000002</v>
      </c>
      <c r="G1372" s="244">
        <f t="shared" ca="1" si="358"/>
        <v>78600</v>
      </c>
    </row>
    <row r="1373" spans="1:7" ht="21" customHeight="1" x14ac:dyDescent="0.25">
      <c r="B1373" s="228" t="s">
        <v>3427</v>
      </c>
      <c r="C1373" s="233">
        <f t="shared" ca="1" si="355"/>
        <v>440000.00000000006</v>
      </c>
      <c r="D1373" s="250">
        <f t="shared" ca="1" si="356"/>
        <v>400000.00000000006</v>
      </c>
      <c r="E1373" s="233">
        <f t="shared" ca="1" si="357"/>
        <v>300000</v>
      </c>
      <c r="F1373" s="555">
        <f t="shared" ca="1" si="354"/>
        <v>0.74999999999999989</v>
      </c>
      <c r="G1373" s="244">
        <f t="shared" ca="1" si="358"/>
        <v>45000</v>
      </c>
    </row>
    <row r="1374" spans="1:7" ht="21" customHeight="1" x14ac:dyDescent="0.25">
      <c r="B1374" s="228" t="s">
        <v>2125</v>
      </c>
      <c r="C1374" s="233">
        <f t="shared" ca="1" si="355"/>
        <v>3845600.0000000005</v>
      </c>
      <c r="D1374" s="250">
        <f t="shared" ca="1" si="356"/>
        <v>3496000.0000000005</v>
      </c>
      <c r="E1374" s="233">
        <f t="shared" ca="1" si="357"/>
        <v>3496000</v>
      </c>
      <c r="F1374" s="555">
        <f t="shared" ca="1" si="354"/>
        <v>0.99999999999999989</v>
      </c>
      <c r="G1374" s="244">
        <f t="shared" ca="1" si="358"/>
        <v>524400</v>
      </c>
    </row>
    <row r="1375" spans="1:7" ht="21" customHeight="1" x14ac:dyDescent="0.25">
      <c r="A1375" s="247"/>
      <c r="B1375" s="279" t="s">
        <v>2741</v>
      </c>
      <c r="C1375" s="544">
        <f ca="1">SUM(C1364:C1372)</f>
        <v>69561250</v>
      </c>
      <c r="D1375" s="544">
        <f ca="1">SUM(D1364:D1372)</f>
        <v>63237500</v>
      </c>
      <c r="E1375" s="544">
        <f ca="1">SUM(E1364:E1372)</f>
        <v>16695580</v>
      </c>
      <c r="F1375" s="567">
        <f t="shared" ca="1" si="354"/>
        <v>0.26401391579363509</v>
      </c>
      <c r="G1375" s="972">
        <f ca="1">SUM(G1364:G1372)</f>
        <v>2504337</v>
      </c>
    </row>
    <row r="1376" spans="1:7" ht="21" customHeight="1" x14ac:dyDescent="0.25">
      <c r="A1376" s="247" t="s">
        <v>3429</v>
      </c>
      <c r="B1376" s="228" t="s">
        <v>444</v>
      </c>
      <c r="C1376" s="233">
        <f t="shared" ref="C1376:C1386" ca="1" si="359">SUMIFS(INDIRECT("Report!F100:F10000"),INDIRECT("Report!B100:B10000"),B1376,INDIRECT("report!H100:H10000"),"Consums",INDIRECT("Report!L100:L10000"),"22,7")</f>
        <v>4444000</v>
      </c>
      <c r="D1376" s="250">
        <f t="shared" ref="D1376:D1386" ca="1" si="360">(C1376/11*10)</f>
        <v>4040000</v>
      </c>
      <c r="E1376" s="233">
        <f t="shared" ref="E1376:E1386" ca="1" si="361">SUMIFS(INDIRECT("Report!J100:J10000"),INDIRECT("Report!B100:B10000"),B1376,INDIRECT("report!H100:H10000"),"Consums",INDIRECT("Report!L100:L10000"),"22,7")</f>
        <v>952000</v>
      </c>
      <c r="F1376" s="555">
        <f t="shared" ref="F1376:F1387" ca="1" si="362">E1376/D1376</f>
        <v>0.23564356435643563</v>
      </c>
      <c r="G1376" s="244">
        <f ca="1">E1376*15%</f>
        <v>142800</v>
      </c>
    </row>
    <row r="1377" spans="1:7" ht="21" customHeight="1" x14ac:dyDescent="0.25">
      <c r="B1377" s="228" t="s">
        <v>523</v>
      </c>
      <c r="C1377" s="233">
        <f t="shared" ca="1" si="359"/>
        <v>3768600</v>
      </c>
      <c r="D1377" s="250">
        <f t="shared" ca="1" si="360"/>
        <v>3426000</v>
      </c>
      <c r="E1377" s="233">
        <f t="shared" ca="1" si="361"/>
        <v>528000</v>
      </c>
      <c r="F1377" s="555">
        <f t="shared" ca="1" si="362"/>
        <v>0.15411558669001751</v>
      </c>
      <c r="G1377" s="244">
        <f t="shared" ref="G1377:G1386" ca="1" si="363">E1377*15%</f>
        <v>79200</v>
      </c>
    </row>
    <row r="1378" spans="1:7" ht="21" customHeight="1" x14ac:dyDescent="0.25">
      <c r="B1378" s="228" t="s">
        <v>453</v>
      </c>
      <c r="C1378" s="233">
        <f t="shared" ca="1" si="359"/>
        <v>8245600</v>
      </c>
      <c r="D1378" s="250">
        <f t="shared" ca="1" si="360"/>
        <v>7496000</v>
      </c>
      <c r="E1378" s="233">
        <f t="shared" ca="1" si="361"/>
        <v>1592520</v>
      </c>
      <c r="F1378" s="555">
        <f t="shared" ca="1" si="362"/>
        <v>0.21244930629669156</v>
      </c>
      <c r="G1378" s="244">
        <f t="shared" ca="1" si="363"/>
        <v>238878</v>
      </c>
    </row>
    <row r="1379" spans="1:7" ht="21" customHeight="1" x14ac:dyDescent="0.25">
      <c r="B1379" s="228" t="s">
        <v>515</v>
      </c>
      <c r="C1379" s="233">
        <f t="shared" ca="1" si="359"/>
        <v>3410000.0000000005</v>
      </c>
      <c r="D1379" s="250">
        <f t="shared" ca="1" si="360"/>
        <v>3100000.0000000005</v>
      </c>
      <c r="E1379" s="233">
        <f t="shared" ca="1" si="361"/>
        <v>1130000</v>
      </c>
      <c r="F1379" s="555">
        <f t="shared" ca="1" si="362"/>
        <v>0.364516129032258</v>
      </c>
      <c r="G1379" s="244">
        <f t="shared" ca="1" si="363"/>
        <v>169500</v>
      </c>
    </row>
    <row r="1380" spans="1:7" ht="21" customHeight="1" x14ac:dyDescent="0.25">
      <c r="B1380" s="228" t="s">
        <v>466</v>
      </c>
      <c r="C1380" s="233">
        <f t="shared" ca="1" si="359"/>
        <v>1017500</v>
      </c>
      <c r="D1380" s="250">
        <f t="shared" ca="1" si="360"/>
        <v>925000</v>
      </c>
      <c r="E1380" s="233">
        <f t="shared" ca="1" si="361"/>
        <v>275000</v>
      </c>
      <c r="F1380" s="555">
        <f t="shared" ca="1" si="362"/>
        <v>0.29729729729729731</v>
      </c>
      <c r="G1380" s="244">
        <f t="shared" ca="1" si="363"/>
        <v>41250</v>
      </c>
    </row>
    <row r="1381" spans="1:7" ht="21" customHeight="1" x14ac:dyDescent="0.25">
      <c r="B1381" s="228" t="s">
        <v>2247</v>
      </c>
      <c r="C1381" s="233">
        <f t="shared" ca="1" si="359"/>
        <v>8933100</v>
      </c>
      <c r="D1381" s="250">
        <f t="shared" ca="1" si="360"/>
        <v>8121000</v>
      </c>
      <c r="E1381" s="233">
        <f t="shared" ca="1" si="361"/>
        <v>1920000</v>
      </c>
      <c r="F1381" s="555">
        <f t="shared" ca="1" si="362"/>
        <v>0.23642408570373108</v>
      </c>
      <c r="G1381" s="244">
        <f t="shared" ca="1" si="363"/>
        <v>288000</v>
      </c>
    </row>
    <row r="1382" spans="1:7" ht="21" customHeight="1" x14ac:dyDescent="0.25">
      <c r="B1382" s="228" t="s">
        <v>2469</v>
      </c>
      <c r="C1382" s="233">
        <f t="shared" ca="1" si="359"/>
        <v>3795000</v>
      </c>
      <c r="D1382" s="250">
        <f t="shared" ca="1" si="360"/>
        <v>3450000</v>
      </c>
      <c r="E1382" s="233">
        <f t="shared" ca="1" si="361"/>
        <v>2270000</v>
      </c>
      <c r="F1382" s="555">
        <f t="shared" ca="1" si="362"/>
        <v>0.65797101449275364</v>
      </c>
      <c r="G1382" s="244">
        <f t="shared" ca="1" si="363"/>
        <v>340500</v>
      </c>
    </row>
    <row r="1383" spans="1:7" ht="21" customHeight="1" x14ac:dyDescent="0.25">
      <c r="B1383" s="228" t="s">
        <v>430</v>
      </c>
      <c r="C1383" s="233">
        <f t="shared" ca="1" si="359"/>
        <v>1100000</v>
      </c>
      <c r="D1383" s="250">
        <f t="shared" ca="1" si="360"/>
        <v>1000000</v>
      </c>
      <c r="E1383" s="233">
        <f t="shared" ca="1" si="361"/>
        <v>500000</v>
      </c>
      <c r="F1383" s="555">
        <f t="shared" ca="1" si="362"/>
        <v>0.5</v>
      </c>
      <c r="G1383" s="244">
        <f t="shared" ca="1" si="363"/>
        <v>75000</v>
      </c>
    </row>
    <row r="1384" spans="1:7" ht="21" customHeight="1" x14ac:dyDescent="0.25">
      <c r="B1384" s="228" t="s">
        <v>434</v>
      </c>
      <c r="C1384" s="233">
        <f t="shared" ca="1" si="359"/>
        <v>11817300</v>
      </c>
      <c r="D1384" s="250">
        <f t="shared" ca="1" si="360"/>
        <v>10743000</v>
      </c>
      <c r="E1384" s="233">
        <f t="shared" ca="1" si="361"/>
        <v>2564400</v>
      </c>
      <c r="F1384" s="555">
        <f t="shared" ca="1" si="362"/>
        <v>0.23870427254956716</v>
      </c>
      <c r="G1384" s="244">
        <f t="shared" ca="1" si="363"/>
        <v>384660</v>
      </c>
    </row>
    <row r="1385" spans="1:7" ht="21" customHeight="1" x14ac:dyDescent="0.25">
      <c r="B1385" s="228" t="s">
        <v>834</v>
      </c>
      <c r="C1385" s="233">
        <f t="shared" ca="1" si="359"/>
        <v>1918400.0000000002</v>
      </c>
      <c r="D1385" s="250">
        <f t="shared" ca="1" si="360"/>
        <v>1744000.0000000002</v>
      </c>
      <c r="E1385" s="233">
        <f t="shared" ca="1" si="361"/>
        <v>464000</v>
      </c>
      <c r="F1385" s="555">
        <f t="shared" ca="1" si="362"/>
        <v>0.26605504587155959</v>
      </c>
      <c r="G1385" s="244">
        <f t="shared" ca="1" si="363"/>
        <v>69600</v>
      </c>
    </row>
    <row r="1386" spans="1:7" ht="21" customHeight="1" x14ac:dyDescent="0.25">
      <c r="B1386" s="228" t="s">
        <v>2125</v>
      </c>
      <c r="C1386" s="233">
        <f t="shared" ca="1" si="359"/>
        <v>1356300</v>
      </c>
      <c r="D1386" s="250">
        <f t="shared" ca="1" si="360"/>
        <v>1233000</v>
      </c>
      <c r="E1386" s="233">
        <f t="shared" ca="1" si="361"/>
        <v>1233000</v>
      </c>
      <c r="F1386" s="555">
        <f t="shared" ca="1" si="362"/>
        <v>1</v>
      </c>
      <c r="G1386" s="244">
        <f t="shared" ca="1" si="363"/>
        <v>184950</v>
      </c>
    </row>
    <row r="1387" spans="1:7" ht="21" customHeight="1" x14ac:dyDescent="0.25">
      <c r="A1387" s="247"/>
      <c r="B1387" s="279" t="s">
        <v>2741</v>
      </c>
      <c r="C1387" s="544">
        <f ca="1">SUM(C1376:C1386)</f>
        <v>49805800</v>
      </c>
      <c r="D1387" s="544">
        <f ca="1">SUM(D1376:D1386)</f>
        <v>45278000</v>
      </c>
      <c r="E1387" s="544">
        <f ca="1">SUM(E1376:E1386)</f>
        <v>13428920</v>
      </c>
      <c r="F1387" s="567">
        <f t="shared" ca="1" si="362"/>
        <v>0.29658818852422808</v>
      </c>
      <c r="G1387" s="972">
        <f ca="1">SUM(G1376:G1386)</f>
        <v>2014338</v>
      </c>
    </row>
    <row r="1388" spans="1:7" ht="21" customHeight="1" x14ac:dyDescent="0.25">
      <c r="A1388" s="247" t="s">
        <v>3456</v>
      </c>
      <c r="B1388" s="228" t="s">
        <v>444</v>
      </c>
      <c r="C1388" s="233">
        <f ca="1">SUMIFS(INDIRECT("Report!F100:F10000"),INDIRECT("Report!B100:B10000"),B1388,INDIRECT("report!H100:H10000"),"Consums",INDIRECT("Report!L100:L10000"),"22,8")</f>
        <v>6776000</v>
      </c>
      <c r="D1388" s="250">
        <f ca="1">(C1388/11*10)</f>
        <v>6160000</v>
      </c>
      <c r="E1388" s="233">
        <f ca="1">SUMIFS(INDIRECT("Report!J100:J10000"),INDIRECT("Report!B100:B10000"),B1388,INDIRECT("report!H100:H10000"),"Consums",INDIRECT("Report!L100:L10000"),"22,8")</f>
        <v>1716000</v>
      </c>
      <c r="F1388" s="555">
        <f ca="1">E1388/D1388</f>
        <v>0.27857142857142858</v>
      </c>
      <c r="G1388" s="244">
        <f ca="1">E1388*15%</f>
        <v>257400</v>
      </c>
    </row>
    <row r="1389" spans="1:7" ht="21" customHeight="1" x14ac:dyDescent="0.25">
      <c r="B1389" s="228" t="s">
        <v>523</v>
      </c>
      <c r="C1389" s="233">
        <f t="shared" ref="C1389:C1397" ca="1" si="364">SUMIFS(INDIRECT("Report!F100:F10000"),INDIRECT("Report!B100:B10000"),B1389,INDIRECT("report!H100:H10000"),"Consums",INDIRECT("Report!L100:L10000"),"22,8")</f>
        <v>5269000</v>
      </c>
      <c r="D1389" s="250">
        <f t="shared" ref="D1389:D1397" ca="1" si="365">(C1389/11*10)</f>
        <v>4790000</v>
      </c>
      <c r="E1389" s="233">
        <f t="shared" ref="E1389:E1397" ca="1" si="366">SUMIFS(INDIRECT("Report!J100:J10000"),INDIRECT("Report!B100:B10000"),B1389,INDIRECT("report!H100:H10000"),"Consums",INDIRECT("Report!L100:L10000"),"22,8")</f>
        <v>469000</v>
      </c>
      <c r="F1389" s="555">
        <f t="shared" ref="F1389:F1397" ca="1" si="367">E1389/D1389</f>
        <v>9.7912317327766174E-2</v>
      </c>
      <c r="G1389" s="244">
        <f t="shared" ref="G1389:G1397" ca="1" si="368">E1389*15%</f>
        <v>70350</v>
      </c>
    </row>
    <row r="1390" spans="1:7" ht="21" customHeight="1" x14ac:dyDescent="0.25">
      <c r="B1390" s="228" t="s">
        <v>453</v>
      </c>
      <c r="C1390" s="233">
        <f t="shared" ca="1" si="364"/>
        <v>6843100</v>
      </c>
      <c r="D1390" s="250">
        <f t="shared" ca="1" si="365"/>
        <v>6221000</v>
      </c>
      <c r="E1390" s="233">
        <f t="shared" ca="1" si="366"/>
        <v>1997310</v>
      </c>
      <c r="F1390" s="555">
        <f t="shared" ca="1" si="367"/>
        <v>0.32105931522263303</v>
      </c>
      <c r="G1390" s="244">
        <f t="shared" ca="1" si="368"/>
        <v>299596.5</v>
      </c>
    </row>
    <row r="1391" spans="1:7" ht="21" customHeight="1" x14ac:dyDescent="0.25">
      <c r="B1391" s="228" t="s">
        <v>515</v>
      </c>
      <c r="C1391" s="233">
        <f t="shared" ca="1" si="364"/>
        <v>3410000.0000000005</v>
      </c>
      <c r="D1391" s="250">
        <f t="shared" ca="1" si="365"/>
        <v>3100000.0000000005</v>
      </c>
      <c r="E1391" s="233">
        <f t="shared" ca="1" si="366"/>
        <v>1130000</v>
      </c>
      <c r="F1391" s="555">
        <f t="shared" ca="1" si="367"/>
        <v>0.364516129032258</v>
      </c>
      <c r="G1391" s="244">
        <f t="shared" ca="1" si="368"/>
        <v>169500</v>
      </c>
    </row>
    <row r="1392" spans="1:7" ht="21" customHeight="1" x14ac:dyDescent="0.25">
      <c r="B1392" s="228" t="s">
        <v>466</v>
      </c>
      <c r="C1392" s="233">
        <f t="shared" ca="1" si="364"/>
        <v>1127500</v>
      </c>
      <c r="D1392" s="250">
        <f t="shared" ca="1" si="365"/>
        <v>1025000</v>
      </c>
      <c r="E1392" s="233">
        <f t="shared" ca="1" si="366"/>
        <v>325000</v>
      </c>
      <c r="F1392" s="555">
        <f t="shared" ca="1" si="367"/>
        <v>0.31707317073170732</v>
      </c>
      <c r="G1392" s="244">
        <f t="shared" ca="1" si="368"/>
        <v>48750</v>
      </c>
    </row>
    <row r="1393" spans="1:7" ht="21" customHeight="1" x14ac:dyDescent="0.25">
      <c r="B1393" s="228" t="s">
        <v>2247</v>
      </c>
      <c r="C1393" s="233">
        <f t="shared" ca="1" si="364"/>
        <v>8409500</v>
      </c>
      <c r="D1393" s="250">
        <f t="shared" ca="1" si="365"/>
        <v>7645000</v>
      </c>
      <c r="E1393" s="233">
        <f t="shared" ca="1" si="366"/>
        <v>1844000</v>
      </c>
      <c r="F1393" s="555">
        <f t="shared" ca="1" si="367"/>
        <v>0.24120340091563114</v>
      </c>
      <c r="G1393" s="244">
        <f t="shared" ca="1" si="368"/>
        <v>276600</v>
      </c>
    </row>
    <row r="1394" spans="1:7" ht="21" customHeight="1" x14ac:dyDescent="0.25">
      <c r="B1394" s="228" t="s">
        <v>2526</v>
      </c>
      <c r="C1394" s="233">
        <f t="shared" ca="1" si="364"/>
        <v>264000</v>
      </c>
      <c r="D1394" s="250">
        <f t="shared" ca="1" si="365"/>
        <v>240000</v>
      </c>
      <c r="E1394" s="233">
        <f t="shared" ca="1" si="366"/>
        <v>50000</v>
      </c>
      <c r="F1394" s="555">
        <f t="shared" ca="1" si="367"/>
        <v>0.20833333333333334</v>
      </c>
      <c r="G1394" s="244">
        <f t="shared" ca="1" si="368"/>
        <v>7500</v>
      </c>
    </row>
    <row r="1395" spans="1:7" ht="21" customHeight="1" x14ac:dyDescent="0.25">
      <c r="B1395" s="228" t="s">
        <v>434</v>
      </c>
      <c r="C1395" s="233">
        <f t="shared" ca="1" si="364"/>
        <v>11839300</v>
      </c>
      <c r="D1395" s="250">
        <f t="shared" ca="1" si="365"/>
        <v>10763000</v>
      </c>
      <c r="E1395" s="233">
        <f t="shared" ca="1" si="366"/>
        <v>2584400</v>
      </c>
      <c r="F1395" s="555">
        <f t="shared" ca="1" si="367"/>
        <v>0.24011892595001394</v>
      </c>
      <c r="G1395" s="244">
        <f t="shared" ca="1" si="368"/>
        <v>387660</v>
      </c>
    </row>
    <row r="1396" spans="1:7" ht="21" customHeight="1" x14ac:dyDescent="0.25">
      <c r="B1396" s="228" t="s">
        <v>834</v>
      </c>
      <c r="C1396" s="233">
        <f t="shared" ca="1" si="364"/>
        <v>1918400.0000000002</v>
      </c>
      <c r="D1396" s="250">
        <f t="shared" ca="1" si="365"/>
        <v>1744000.0000000002</v>
      </c>
      <c r="E1396" s="233">
        <f t="shared" ca="1" si="366"/>
        <v>464000</v>
      </c>
      <c r="F1396" s="555">
        <f t="shared" ca="1" si="367"/>
        <v>0.26605504587155959</v>
      </c>
      <c r="G1396" s="244">
        <f t="shared" ca="1" si="368"/>
        <v>69600</v>
      </c>
    </row>
    <row r="1397" spans="1:7" ht="21" customHeight="1" x14ac:dyDescent="0.25">
      <c r="B1397" s="228" t="s">
        <v>2125</v>
      </c>
      <c r="C1397" s="233">
        <f t="shared" ca="1" si="364"/>
        <v>1097250</v>
      </c>
      <c r="D1397" s="250">
        <f t="shared" ca="1" si="365"/>
        <v>997500</v>
      </c>
      <c r="E1397" s="233">
        <f t="shared" ca="1" si="366"/>
        <v>997500</v>
      </c>
      <c r="F1397" s="555">
        <f t="shared" ca="1" si="367"/>
        <v>1</v>
      </c>
      <c r="G1397" s="244">
        <f t="shared" ca="1" si="368"/>
        <v>149625</v>
      </c>
    </row>
    <row r="1398" spans="1:7" ht="21" customHeight="1" x14ac:dyDescent="0.25">
      <c r="A1398" s="247"/>
      <c r="B1398" s="279" t="s">
        <v>2741</v>
      </c>
      <c r="C1398" s="544">
        <f ca="1">SUM(C1388:C1397)</f>
        <v>46954050</v>
      </c>
      <c r="D1398" s="544">
        <f ca="1">SUM(D1388:D1397)</f>
        <v>42685500</v>
      </c>
      <c r="E1398" s="544">
        <f ca="1">SUM(E1388:E1397)</f>
        <v>11577210</v>
      </c>
      <c r="F1398" s="567">
        <f ca="1">E1398/D1398</f>
        <v>0.27122114066837683</v>
      </c>
      <c r="G1398" s="972">
        <f ca="1">SUM(G1388:G1397)</f>
        <v>1736581.5</v>
      </c>
    </row>
    <row r="1399" spans="1:7" ht="21" customHeight="1" x14ac:dyDescent="0.25">
      <c r="A1399" s="247" t="s">
        <v>3470</v>
      </c>
      <c r="B1399" s="228" t="s">
        <v>444</v>
      </c>
      <c r="C1399" s="233">
        <f ca="1">SUMIFS(INDIRECT("Report!F100:F10000"),INDIRECT("Report!B100:B10000"),B1399,INDIRECT("report!H100:H10000"),"Consums",INDIRECT("Report!L100:L10000"),"22,9")</f>
        <v>18722000</v>
      </c>
      <c r="D1399" s="250">
        <f ca="1">(C1399/11*10)</f>
        <v>17020000</v>
      </c>
      <c r="E1399" s="233">
        <f ca="1">SUMIFS(INDIRECT("Report!J100:J10000"),INDIRECT("Report!B100:B10000"),B1399,INDIRECT("report!H100:H10000"),"Consums",INDIRECT("Report!L100:L10000"),"22,9")</f>
        <v>7220555</v>
      </c>
      <c r="F1399" s="555">
        <f t="shared" ref="F1399:F1408" ca="1" si="369">E1399/D1399</f>
        <v>0.42423942420681549</v>
      </c>
      <c r="G1399" s="244">
        <f ca="1">E1399*15%</f>
        <v>1083083.25</v>
      </c>
    </row>
    <row r="1400" spans="1:7" ht="21" customHeight="1" x14ac:dyDescent="0.25">
      <c r="B1400" s="228" t="s">
        <v>523</v>
      </c>
      <c r="C1400" s="233">
        <f t="shared" ref="C1400:C1407" ca="1" si="370">SUMIFS(INDIRECT("Report!F100:F10000"),INDIRECT("Report!B100:B10000"),B1400,INDIRECT("report!H100:H10000"),"Consums",INDIRECT("Report!L100:L10000"),"22,9")</f>
        <v>11762300</v>
      </c>
      <c r="D1400" s="250">
        <f t="shared" ref="D1400:D1407" ca="1" si="371">(C1400/11*10)</f>
        <v>10693000</v>
      </c>
      <c r="E1400" s="233">
        <f t="shared" ref="E1400:E1407" ca="1" si="372">SUMIFS(INDIRECT("Report!J100:J10000"),INDIRECT("Report!B100:B10000"),B1400,INDIRECT("report!H100:H10000"),"Consums",INDIRECT("Report!L100:L10000"),"22,9")</f>
        <v>1383000</v>
      </c>
      <c r="F1400" s="555">
        <f t="shared" ca="1" si="369"/>
        <v>0.12933694940615356</v>
      </c>
      <c r="G1400" s="244">
        <f t="shared" ref="G1400:G1407" ca="1" si="373">E1400*15%</f>
        <v>207450</v>
      </c>
    </row>
    <row r="1401" spans="1:7" ht="21" customHeight="1" x14ac:dyDescent="0.25">
      <c r="B1401" s="228" t="s">
        <v>453</v>
      </c>
      <c r="C1401" s="233">
        <f t="shared" ca="1" si="370"/>
        <v>3403400</v>
      </c>
      <c r="D1401" s="250">
        <f t="shared" ca="1" si="371"/>
        <v>3094000</v>
      </c>
      <c r="E1401" s="233">
        <f t="shared" ca="1" si="372"/>
        <v>755260</v>
      </c>
      <c r="F1401" s="555">
        <f t="shared" ca="1" si="369"/>
        <v>0.24410471881060117</v>
      </c>
      <c r="G1401" s="244">
        <f t="shared" ca="1" si="373"/>
        <v>113289</v>
      </c>
    </row>
    <row r="1402" spans="1:7" ht="21" customHeight="1" x14ac:dyDescent="0.25">
      <c r="B1402" s="228" t="s">
        <v>515</v>
      </c>
      <c r="C1402" s="233">
        <f t="shared" ca="1" si="370"/>
        <v>6820000.0000000009</v>
      </c>
      <c r="D1402" s="250">
        <f t="shared" ca="1" si="371"/>
        <v>6200000.0000000009</v>
      </c>
      <c r="E1402" s="233">
        <f t="shared" ca="1" si="372"/>
        <v>2260000</v>
      </c>
      <c r="F1402" s="555">
        <f t="shared" ca="1" si="369"/>
        <v>0.364516129032258</v>
      </c>
      <c r="G1402" s="244">
        <f t="shared" ca="1" si="373"/>
        <v>339000</v>
      </c>
    </row>
    <row r="1403" spans="1:7" ht="21" customHeight="1" x14ac:dyDescent="0.25">
      <c r="B1403" s="228" t="s">
        <v>466</v>
      </c>
      <c r="C1403" s="233">
        <f t="shared" ca="1" si="370"/>
        <v>715000</v>
      </c>
      <c r="D1403" s="250">
        <f t="shared" ca="1" si="371"/>
        <v>650000</v>
      </c>
      <c r="E1403" s="233">
        <f t="shared" ca="1" si="372"/>
        <v>200000</v>
      </c>
      <c r="F1403" s="555">
        <f t="shared" ca="1" si="369"/>
        <v>0.30769230769230771</v>
      </c>
      <c r="G1403" s="244">
        <f t="shared" ca="1" si="373"/>
        <v>30000</v>
      </c>
    </row>
    <row r="1404" spans="1:7" ht="21" customHeight="1" x14ac:dyDescent="0.25">
      <c r="B1404" s="228" t="s">
        <v>2247</v>
      </c>
      <c r="C1404" s="233">
        <f t="shared" ca="1" si="370"/>
        <v>14285150</v>
      </c>
      <c r="D1404" s="250">
        <f t="shared" ca="1" si="371"/>
        <v>12986500</v>
      </c>
      <c r="E1404" s="233">
        <f t="shared" ca="1" si="372"/>
        <v>3535400</v>
      </c>
      <c r="F1404" s="555">
        <f t="shared" ca="1" si="369"/>
        <v>0.2722365533438571</v>
      </c>
      <c r="G1404" s="244">
        <f t="shared" ca="1" si="373"/>
        <v>530310</v>
      </c>
    </row>
    <row r="1405" spans="1:7" ht="21" customHeight="1" x14ac:dyDescent="0.25">
      <c r="B1405" s="228" t="s">
        <v>459</v>
      </c>
      <c r="C1405" s="233">
        <f t="shared" ca="1" si="370"/>
        <v>1100000</v>
      </c>
      <c r="D1405" s="250">
        <f t="shared" ca="1" si="371"/>
        <v>1000000</v>
      </c>
      <c r="E1405" s="233">
        <f t="shared" ca="1" si="372"/>
        <v>500000</v>
      </c>
      <c r="F1405" s="555">
        <f t="shared" ca="1" si="369"/>
        <v>0.5</v>
      </c>
      <c r="G1405" s="244">
        <f t="shared" ca="1" si="373"/>
        <v>75000</v>
      </c>
    </row>
    <row r="1406" spans="1:7" ht="21" customHeight="1" x14ac:dyDescent="0.25">
      <c r="B1406" s="228" t="s">
        <v>434</v>
      </c>
      <c r="C1406" s="233">
        <f t="shared" ca="1" si="370"/>
        <v>15913480</v>
      </c>
      <c r="D1406" s="250">
        <f t="shared" ca="1" si="371"/>
        <v>14466800</v>
      </c>
      <c r="E1406" s="233">
        <f t="shared" ca="1" si="372"/>
        <v>4079960</v>
      </c>
      <c r="F1406" s="555">
        <f t="shared" ca="1" si="369"/>
        <v>0.2820222855088893</v>
      </c>
      <c r="G1406" s="244">
        <f t="shared" ca="1" si="373"/>
        <v>611994</v>
      </c>
    </row>
    <row r="1407" spans="1:7" ht="21" customHeight="1" x14ac:dyDescent="0.25">
      <c r="B1407" s="228" t="s">
        <v>834</v>
      </c>
      <c r="C1407" s="233">
        <f t="shared" ca="1" si="370"/>
        <v>1918400.0000000002</v>
      </c>
      <c r="D1407" s="250">
        <f t="shared" ca="1" si="371"/>
        <v>1744000.0000000002</v>
      </c>
      <c r="E1407" s="233">
        <f t="shared" ca="1" si="372"/>
        <v>464000</v>
      </c>
      <c r="F1407" s="555">
        <f t="shared" ca="1" si="369"/>
        <v>0.26605504587155959</v>
      </c>
      <c r="G1407" s="244">
        <f t="shared" ca="1" si="373"/>
        <v>69600</v>
      </c>
    </row>
    <row r="1408" spans="1:7" ht="21" customHeight="1" x14ac:dyDescent="0.25">
      <c r="A1408" s="247"/>
      <c r="B1408" s="279" t="s">
        <v>2741</v>
      </c>
      <c r="C1408" s="544">
        <f ca="1">SUM(C1399:C1407)</f>
        <v>74639730</v>
      </c>
      <c r="D1408" s="544">
        <f ca="1">SUM(D1399:D1407)</f>
        <v>67854300</v>
      </c>
      <c r="E1408" s="544">
        <f ca="1">SUM(E1399:E1407)</f>
        <v>20398175</v>
      </c>
      <c r="F1408" s="567">
        <f t="shared" ca="1" si="369"/>
        <v>0.30061727849229897</v>
      </c>
      <c r="G1408" s="972">
        <f ca="1">SUM(G1399:G1407)</f>
        <v>3059726.25</v>
      </c>
    </row>
    <row r="1409" spans="1:7" ht="21" customHeight="1" x14ac:dyDescent="0.25">
      <c r="A1409" s="247" t="s">
        <v>3494</v>
      </c>
      <c r="B1409" s="228" t="s">
        <v>444</v>
      </c>
      <c r="C1409" s="233">
        <f t="shared" ref="C1409:C1418" ca="1" si="374">SUMIFS(INDIRECT("Report!F100:F10000"),INDIRECT("Report!B100:B10000"),B1409,INDIRECT("report!H100:H10000"),"Consums",INDIRECT("Report!L100:L10000"),"22,10")</f>
        <v>3201000.0000000005</v>
      </c>
      <c r="D1409" s="250">
        <f ca="1">(C1409/11*10)</f>
        <v>2910000.0000000005</v>
      </c>
      <c r="E1409" s="233">
        <f t="shared" ref="E1409:E1418" ca="1" si="375">SUMIFS(INDIRECT("Report!J100:J10000"),INDIRECT("Report!B100:B10000"),B1409,INDIRECT("report!H100:H10000"),"Consums",INDIRECT("Report!L100:L10000"),"22,10")</f>
        <v>998000</v>
      </c>
      <c r="F1409" s="555">
        <f t="shared" ref="F1409:F1419" ca="1" si="376">E1409/D1409</f>
        <v>0.34295532646048105</v>
      </c>
      <c r="G1409" s="244">
        <f ca="1">E1409*15%</f>
        <v>149700</v>
      </c>
    </row>
    <row r="1410" spans="1:7" ht="21" customHeight="1" x14ac:dyDescent="0.25">
      <c r="B1410" s="228" t="s">
        <v>523</v>
      </c>
      <c r="C1410" s="233">
        <f t="shared" ca="1" si="374"/>
        <v>3547500.0000000005</v>
      </c>
      <c r="D1410" s="250">
        <f t="shared" ref="D1410:D1418" ca="1" si="377">(C1410/11*10)</f>
        <v>3225000.0000000005</v>
      </c>
      <c r="E1410" s="233">
        <f t="shared" ca="1" si="375"/>
        <v>602000</v>
      </c>
      <c r="F1410" s="555">
        <f t="shared" ca="1" si="376"/>
        <v>0.18666666666666665</v>
      </c>
      <c r="G1410" s="244">
        <f t="shared" ref="G1410:G1418" ca="1" si="378">E1410*15%</f>
        <v>90300</v>
      </c>
    </row>
    <row r="1411" spans="1:7" ht="21" customHeight="1" x14ac:dyDescent="0.25">
      <c r="B1411" s="228" t="s">
        <v>453</v>
      </c>
      <c r="C1411" s="233">
        <f t="shared" ca="1" si="374"/>
        <v>17531800</v>
      </c>
      <c r="D1411" s="250">
        <f t="shared" ca="1" si="377"/>
        <v>15938000</v>
      </c>
      <c r="E1411" s="233">
        <f t="shared" ca="1" si="375"/>
        <v>4153070</v>
      </c>
      <c r="F1411" s="555">
        <f t="shared" ca="1" si="376"/>
        <v>0.26057660936127491</v>
      </c>
      <c r="G1411" s="244">
        <f t="shared" ca="1" si="378"/>
        <v>622960.5</v>
      </c>
    </row>
    <row r="1412" spans="1:7" ht="21" customHeight="1" x14ac:dyDescent="0.25">
      <c r="B1412" s="228" t="s">
        <v>515</v>
      </c>
      <c r="C1412" s="233">
        <f t="shared" ca="1" si="374"/>
        <v>6820000.0000000009</v>
      </c>
      <c r="D1412" s="250">
        <f t="shared" ca="1" si="377"/>
        <v>6200000.0000000009</v>
      </c>
      <c r="E1412" s="233">
        <f t="shared" ca="1" si="375"/>
        <v>2260000</v>
      </c>
      <c r="F1412" s="555">
        <f t="shared" ca="1" si="376"/>
        <v>0.364516129032258</v>
      </c>
      <c r="G1412" s="244">
        <f t="shared" ca="1" si="378"/>
        <v>339000</v>
      </c>
    </row>
    <row r="1413" spans="1:7" ht="21" customHeight="1" x14ac:dyDescent="0.25">
      <c r="B1413" s="228" t="s">
        <v>466</v>
      </c>
      <c r="C1413" s="233">
        <f t="shared" ca="1" si="374"/>
        <v>825000</v>
      </c>
      <c r="D1413" s="250">
        <f t="shared" ca="1" si="377"/>
        <v>750000</v>
      </c>
      <c r="E1413" s="233">
        <f t="shared" ca="1" si="375"/>
        <v>300000</v>
      </c>
      <c r="F1413" s="555">
        <f t="shared" ca="1" si="376"/>
        <v>0.4</v>
      </c>
      <c r="G1413" s="244">
        <f t="shared" ca="1" si="378"/>
        <v>45000</v>
      </c>
    </row>
    <row r="1414" spans="1:7" ht="21" customHeight="1" x14ac:dyDescent="0.25">
      <c r="B1414" s="228" t="s">
        <v>2247</v>
      </c>
      <c r="C1414" s="233">
        <f t="shared" ca="1" si="374"/>
        <v>11050600</v>
      </c>
      <c r="D1414" s="250">
        <f t="shared" ca="1" si="377"/>
        <v>10046000</v>
      </c>
      <c r="E1414" s="233">
        <f t="shared" ca="1" si="375"/>
        <v>2690000</v>
      </c>
      <c r="F1414" s="555">
        <f t="shared" ca="1" si="376"/>
        <v>0.26776826597650805</v>
      </c>
      <c r="G1414" s="244">
        <f t="shared" ca="1" si="378"/>
        <v>403500</v>
      </c>
    </row>
    <row r="1415" spans="1:7" ht="21" customHeight="1" x14ac:dyDescent="0.25">
      <c r="B1415" s="228" t="s">
        <v>2125</v>
      </c>
      <c r="C1415" s="233">
        <f t="shared" ca="1" si="374"/>
        <v>2306700</v>
      </c>
      <c r="D1415" s="250">
        <f t="shared" ca="1" si="377"/>
        <v>2097000</v>
      </c>
      <c r="E1415" s="233">
        <f t="shared" ca="1" si="375"/>
        <v>2097000</v>
      </c>
      <c r="F1415" s="555">
        <f t="shared" ca="1" si="376"/>
        <v>1</v>
      </c>
      <c r="G1415" s="244">
        <f t="shared" ca="1" si="378"/>
        <v>314550</v>
      </c>
    </row>
    <row r="1416" spans="1:7" ht="21" customHeight="1" x14ac:dyDescent="0.25">
      <c r="B1416" s="228" t="s">
        <v>459</v>
      </c>
      <c r="C1416" s="233">
        <f t="shared" ca="1" si="374"/>
        <v>1100000</v>
      </c>
      <c r="D1416" s="250">
        <f t="shared" ca="1" si="377"/>
        <v>1000000</v>
      </c>
      <c r="E1416" s="233">
        <f t="shared" ca="1" si="375"/>
        <v>500000</v>
      </c>
      <c r="F1416" s="555">
        <f t="shared" ca="1" si="376"/>
        <v>0.5</v>
      </c>
      <c r="G1416" s="244">
        <f t="shared" ca="1" si="378"/>
        <v>75000</v>
      </c>
    </row>
    <row r="1417" spans="1:7" ht="21" customHeight="1" x14ac:dyDescent="0.25">
      <c r="B1417" s="228" t="s">
        <v>434</v>
      </c>
      <c r="C1417" s="233">
        <f t="shared" ca="1" si="374"/>
        <v>16069900</v>
      </c>
      <c r="D1417" s="250">
        <f t="shared" ca="1" si="377"/>
        <v>14609000</v>
      </c>
      <c r="E1417" s="233">
        <f t="shared" ca="1" si="375"/>
        <v>5261816</v>
      </c>
      <c r="F1417" s="555">
        <f t="shared" ca="1" si="376"/>
        <v>0.36017632965979873</v>
      </c>
      <c r="G1417" s="244">
        <f t="shared" ca="1" si="378"/>
        <v>789272.4</v>
      </c>
    </row>
    <row r="1418" spans="1:7" ht="21" customHeight="1" x14ac:dyDescent="0.25">
      <c r="B1418" s="228" t="s">
        <v>834</v>
      </c>
      <c r="C1418" s="233">
        <f t="shared" ca="1" si="374"/>
        <v>1918400.0000000002</v>
      </c>
      <c r="D1418" s="250">
        <f t="shared" ca="1" si="377"/>
        <v>1744000.0000000002</v>
      </c>
      <c r="E1418" s="233">
        <f t="shared" ca="1" si="375"/>
        <v>464000</v>
      </c>
      <c r="F1418" s="555">
        <f t="shared" ca="1" si="376"/>
        <v>0.26605504587155959</v>
      </c>
      <c r="G1418" s="244">
        <f t="shared" ca="1" si="378"/>
        <v>69600</v>
      </c>
    </row>
    <row r="1419" spans="1:7" ht="21" customHeight="1" x14ac:dyDescent="0.25">
      <c r="A1419" s="247"/>
      <c r="B1419" s="279" t="s">
        <v>2741</v>
      </c>
      <c r="C1419" s="544">
        <f ca="1">SUM(C1409:C1418)</f>
        <v>64370900</v>
      </c>
      <c r="D1419" s="544">
        <f ca="1">SUM(D1409:D1418)</f>
        <v>58519000</v>
      </c>
      <c r="E1419" s="544">
        <f ca="1">SUM(E1409:E1418)</f>
        <v>19325886</v>
      </c>
      <c r="F1419" s="567">
        <f t="shared" ca="1" si="376"/>
        <v>0.33024976503357883</v>
      </c>
      <c r="G1419" s="972">
        <f ca="1">SUM(G1409:G1418)</f>
        <v>2898882.9</v>
      </c>
    </row>
    <row r="1420" spans="1:7" ht="21" customHeight="1" x14ac:dyDescent="0.25">
      <c r="A1420" s="247" t="s">
        <v>3587</v>
      </c>
      <c r="B1420" s="228" t="s">
        <v>444</v>
      </c>
      <c r="C1420" s="233">
        <f t="shared" ref="C1420:C1432" ca="1" si="379">SUMIFS(INDIRECT("Report!F100:F10000"),INDIRECT("Report!B100:B10000"),B1420,INDIRECT("report!H100:H10000"),"Consums",INDIRECT("Report!L100:L10000"),"22,11")</f>
        <v>4158000.0000000005</v>
      </c>
      <c r="D1420" s="250">
        <f ca="1">(C1420/11*10)</f>
        <v>3780000.0000000005</v>
      </c>
      <c r="E1420" s="233">
        <f t="shared" ref="E1420:E1432" ca="1" si="380">SUMIFS(INDIRECT("Report!J100:J10000"),INDIRECT("Report!B100:B10000"),B1420,INDIRECT("report!H100:H10000"),"Consums",INDIRECT("Report!L100:L10000"),"22,11")</f>
        <v>1312000</v>
      </c>
      <c r="F1420" s="555">
        <f ca="1">E1420/D1420</f>
        <v>0.34708994708994706</v>
      </c>
      <c r="G1420" s="244">
        <f t="shared" ref="G1420:G1432" ca="1" si="381">E1420*15%</f>
        <v>196800</v>
      </c>
    </row>
    <row r="1421" spans="1:7" ht="21" customHeight="1" x14ac:dyDescent="0.25">
      <c r="B1421" s="228" t="s">
        <v>523</v>
      </c>
      <c r="C1421" s="233">
        <f t="shared" ca="1" si="379"/>
        <v>3443000.0000000005</v>
      </c>
      <c r="D1421" s="250">
        <f t="shared" ref="D1421:D1432" ca="1" si="382">(C1421/11*10)</f>
        <v>3130000.0000000005</v>
      </c>
      <c r="E1421" s="233">
        <f t="shared" ca="1" si="380"/>
        <v>596000</v>
      </c>
      <c r="F1421" s="555">
        <f t="shared" ref="F1421:F1432" ca="1" si="383">E1421/D1421</f>
        <v>0.19041533546325876</v>
      </c>
      <c r="G1421" s="244">
        <f t="shared" ca="1" si="381"/>
        <v>89400</v>
      </c>
    </row>
    <row r="1422" spans="1:7" ht="21" customHeight="1" x14ac:dyDescent="0.25">
      <c r="B1422" s="228" t="s">
        <v>453</v>
      </c>
      <c r="C1422" s="233">
        <f t="shared" ca="1" si="379"/>
        <v>4218500</v>
      </c>
      <c r="D1422" s="250">
        <f t="shared" ca="1" si="382"/>
        <v>3835000</v>
      </c>
      <c r="E1422" s="233">
        <f t="shared" ca="1" si="380"/>
        <v>1236000</v>
      </c>
      <c r="F1422" s="555">
        <f t="shared" ca="1" si="383"/>
        <v>0.32229465449804434</v>
      </c>
      <c r="G1422" s="244">
        <f t="shared" ca="1" si="381"/>
        <v>185400</v>
      </c>
    </row>
    <row r="1423" spans="1:7" ht="21" customHeight="1" x14ac:dyDescent="0.25">
      <c r="B1423" s="228" t="s">
        <v>515</v>
      </c>
      <c r="C1423" s="233">
        <f t="shared" ca="1" si="379"/>
        <v>6820000.0000000009</v>
      </c>
      <c r="D1423" s="250">
        <f t="shared" ca="1" si="382"/>
        <v>6200000.0000000009</v>
      </c>
      <c r="E1423" s="233">
        <f t="shared" ca="1" si="380"/>
        <v>2260000</v>
      </c>
      <c r="F1423" s="555">
        <f t="shared" ca="1" si="383"/>
        <v>0.364516129032258</v>
      </c>
      <c r="G1423" s="244">
        <f t="shared" ca="1" si="381"/>
        <v>339000</v>
      </c>
    </row>
    <row r="1424" spans="1:7" ht="21" customHeight="1" x14ac:dyDescent="0.25">
      <c r="B1424" s="228" t="s">
        <v>466</v>
      </c>
      <c r="C1424" s="233">
        <f t="shared" ca="1" si="379"/>
        <v>1760000</v>
      </c>
      <c r="D1424" s="250">
        <f t="shared" ca="1" si="382"/>
        <v>1600000</v>
      </c>
      <c r="E1424" s="233">
        <f t="shared" ca="1" si="380"/>
        <v>650000</v>
      </c>
      <c r="F1424" s="555">
        <f t="shared" ca="1" si="383"/>
        <v>0.40625</v>
      </c>
      <c r="G1424" s="244">
        <f t="shared" ca="1" si="381"/>
        <v>97500</v>
      </c>
    </row>
    <row r="1425" spans="1:7" ht="21" customHeight="1" x14ac:dyDescent="0.25">
      <c r="B1425" s="228" t="s">
        <v>2247</v>
      </c>
      <c r="C1425" s="233">
        <f t="shared" ca="1" si="379"/>
        <v>17032950</v>
      </c>
      <c r="D1425" s="250">
        <f t="shared" ca="1" si="382"/>
        <v>15484500</v>
      </c>
      <c r="E1425" s="233">
        <f t="shared" ca="1" si="380"/>
        <v>3774000</v>
      </c>
      <c r="F1425" s="555">
        <f t="shared" ca="1" si="383"/>
        <v>0.24372759856630824</v>
      </c>
      <c r="G1425" s="244">
        <f t="shared" ca="1" si="381"/>
        <v>566100</v>
      </c>
    </row>
    <row r="1426" spans="1:7" ht="21" customHeight="1" x14ac:dyDescent="0.25">
      <c r="B1426" s="228" t="s">
        <v>3407</v>
      </c>
      <c r="C1426" s="233">
        <f ca="1">SUMIFS(INDIRECT("Report!F100:F10000"),INDIRECT("Report!B100:B10000"),B1426,INDIRECT("report!H100:H10000"),"Consums",INDIRECT("Report!L100:L10000"),"22,11")</f>
        <v>4950000</v>
      </c>
      <c r="D1426" s="250">
        <f ca="1">(C1426/11*10)</f>
        <v>4500000</v>
      </c>
      <c r="E1426" s="233">
        <f ca="1">SUMIFS(INDIRECT("Report!J100:J10000"),INDIRECT("Report!B100:B10000"),B1426,INDIRECT("report!H100:H10000"),"Consums",INDIRECT("Report!L100:L10000"),"22,11")</f>
        <v>2572500</v>
      </c>
      <c r="F1426" s="555">
        <f ca="1">E1426/D1426</f>
        <v>0.57166666666666666</v>
      </c>
      <c r="G1426" s="244">
        <f ca="1">E1426*15%</f>
        <v>385875</v>
      </c>
    </row>
    <row r="1427" spans="1:7" ht="21" customHeight="1" x14ac:dyDescent="0.25">
      <c r="B1427" s="228" t="s">
        <v>474</v>
      </c>
      <c r="C1427" s="233">
        <f t="shared" ca="1" si="379"/>
        <v>15180000.000000002</v>
      </c>
      <c r="D1427" s="250">
        <f t="shared" ca="1" si="382"/>
        <v>13800000.000000002</v>
      </c>
      <c r="E1427" s="233">
        <f t="shared" ca="1" si="380"/>
        <v>2900000</v>
      </c>
      <c r="F1427" s="555">
        <f t="shared" ca="1" si="383"/>
        <v>0.21014492753623185</v>
      </c>
      <c r="G1427" s="244">
        <f t="shared" ca="1" si="381"/>
        <v>435000</v>
      </c>
    </row>
    <row r="1428" spans="1:7" ht="21" customHeight="1" x14ac:dyDescent="0.25">
      <c r="B1428" s="228" t="s">
        <v>459</v>
      </c>
      <c r="C1428" s="233">
        <f t="shared" ca="1" si="379"/>
        <v>1100000</v>
      </c>
      <c r="D1428" s="250">
        <f t="shared" ca="1" si="382"/>
        <v>1000000</v>
      </c>
      <c r="E1428" s="233">
        <f t="shared" ca="1" si="380"/>
        <v>500000</v>
      </c>
      <c r="F1428" s="555">
        <f t="shared" ca="1" si="383"/>
        <v>0.5</v>
      </c>
      <c r="G1428" s="244">
        <f t="shared" ca="1" si="381"/>
        <v>75000</v>
      </c>
    </row>
    <row r="1429" spans="1:7" ht="21" customHeight="1" x14ac:dyDescent="0.25">
      <c r="B1429" s="228" t="s">
        <v>2352</v>
      </c>
      <c r="C1429" s="233">
        <f ca="1">SUMIFS(INDIRECT("Report!F100:F10000"),INDIRECT("Report!B100:B10000"),B1429,INDIRECT("report!H100:H10000"),"Consums",INDIRECT("Report!L100:L10000"),"22,11")</f>
        <v>5772800</v>
      </c>
      <c r="D1429" s="250">
        <f ca="1">(C1429/11*10)</f>
        <v>5248000</v>
      </c>
      <c r="E1429" s="233">
        <f ca="1">SUMIFS(INDIRECT("Report!J100:J10000"),INDIRECT("Report!B100:B10000"),B1429,INDIRECT("report!H100:H10000"),"Consums",INDIRECT("Report!L100:L10000"),"22,11")</f>
        <v>1833248</v>
      </c>
      <c r="F1429" s="555">
        <f ca="1">E1429/D1429</f>
        <v>0.34932317073170732</v>
      </c>
      <c r="G1429" s="244">
        <f ca="1">E1429*15%</f>
        <v>274987.2</v>
      </c>
    </row>
    <row r="1430" spans="1:7" ht="21" customHeight="1" x14ac:dyDescent="0.25">
      <c r="B1430" s="228" t="s">
        <v>2353</v>
      </c>
      <c r="C1430" s="233">
        <f ca="1">SUMIFS(INDIRECT("Report!F100:F10000"),INDIRECT("Report!B100:B10000"),B1430,INDIRECT("report!H100:H10000"),"Consums",INDIRECT("Report!L100:L10000"),"22,11")</f>
        <v>8531600</v>
      </c>
      <c r="D1430" s="250">
        <f ca="1">(C1430/11*10)</f>
        <v>7756000</v>
      </c>
      <c r="E1430" s="233">
        <f ca="1">SUMIFS(INDIRECT("Report!J100:J10000"),INDIRECT("Report!B100:B10000"),B1430,INDIRECT("report!H100:H10000"),"Consums",INDIRECT("Report!L100:L10000"),"22,11")</f>
        <v>1325000</v>
      </c>
      <c r="F1430" s="555">
        <f ca="1">E1430/D1430</f>
        <v>0.17083548220732336</v>
      </c>
      <c r="G1430" s="244">
        <f ca="1">E1430*15%</f>
        <v>198750</v>
      </c>
    </row>
    <row r="1431" spans="1:7" ht="21" customHeight="1" x14ac:dyDescent="0.25">
      <c r="B1431" s="228" t="s">
        <v>434</v>
      </c>
      <c r="C1431" s="233">
        <f t="shared" ca="1" si="379"/>
        <v>5868500</v>
      </c>
      <c r="D1431" s="250">
        <f t="shared" ca="1" si="382"/>
        <v>5335000</v>
      </c>
      <c r="E1431" s="233">
        <f t="shared" ca="1" si="380"/>
        <v>2068000</v>
      </c>
      <c r="F1431" s="555">
        <f t="shared" ca="1" si="383"/>
        <v>0.38762886597938145</v>
      </c>
      <c r="G1431" s="244">
        <f t="shared" ca="1" si="381"/>
        <v>310200</v>
      </c>
    </row>
    <row r="1432" spans="1:7" ht="21" customHeight="1" x14ac:dyDescent="0.25">
      <c r="B1432" s="228" t="s">
        <v>834</v>
      </c>
      <c r="C1432" s="233">
        <f t="shared" ca="1" si="379"/>
        <v>1918400.0000000002</v>
      </c>
      <c r="D1432" s="250">
        <f t="shared" ca="1" si="382"/>
        <v>1744000.0000000002</v>
      </c>
      <c r="E1432" s="233">
        <f t="shared" ca="1" si="380"/>
        <v>464000</v>
      </c>
      <c r="F1432" s="555">
        <f t="shared" ca="1" si="383"/>
        <v>0.26605504587155959</v>
      </c>
      <c r="G1432" s="244">
        <f t="shared" ca="1" si="381"/>
        <v>69600</v>
      </c>
    </row>
    <row r="1433" spans="1:7" ht="21" customHeight="1" x14ac:dyDescent="0.25">
      <c r="A1433" s="247"/>
      <c r="B1433" s="279" t="s">
        <v>2741</v>
      </c>
      <c r="C1433" s="544">
        <f ca="1">SUM(C1420:C1432)</f>
        <v>80753750</v>
      </c>
      <c r="D1433" s="544">
        <f ca="1">SUM(D1420:D1432)</f>
        <v>73412500</v>
      </c>
      <c r="E1433" s="544">
        <f ca="1">SUM(E1420:E1432)</f>
        <v>21490748</v>
      </c>
      <c r="F1433" s="567">
        <f t="shared" ref="F1433:F1446" ca="1" si="384">E1433/D1433</f>
        <v>0.29273962880980758</v>
      </c>
      <c r="G1433" s="972">
        <f ca="1">SUM(G1420:G1432)</f>
        <v>3223612.2</v>
      </c>
    </row>
    <row r="1434" spans="1:7" ht="21" customHeight="1" x14ac:dyDescent="0.25">
      <c r="A1434" s="247" t="s">
        <v>3622</v>
      </c>
      <c r="B1434" s="228" t="s">
        <v>453</v>
      </c>
      <c r="C1434" s="233">
        <f t="shared" ref="C1434:C1443" ca="1" si="385">SUMIFS(INDIRECT("Report!F100:F10000"),INDIRECT("Report!B100:B10000"),B1434,INDIRECT("report!H100:H10000"),"Consums",INDIRECT("Report!L100:L10000"),"22,12")</f>
        <v>8002500</v>
      </c>
      <c r="D1434" s="250">
        <f t="shared" ref="D1434:D1443" ca="1" si="386">(C1434/11*10)</f>
        <v>7275000</v>
      </c>
      <c r="E1434" s="233">
        <f t="shared" ref="E1434:E1443" ca="1" si="387">SUMIFS(INDIRECT("Report!J100:J10000"),INDIRECT("Report!B100:B10000"),B1434,INDIRECT("report!H100:H10000"),"Consums",INDIRECT("Report!L100:L10000"),"22,12")</f>
        <v>2573200</v>
      </c>
      <c r="F1434" s="555">
        <f t="shared" ca="1" si="384"/>
        <v>0.35370446735395189</v>
      </c>
      <c r="G1434" s="244">
        <f t="shared" ref="G1434:G1443" ca="1" si="388">E1434*15%</f>
        <v>385980</v>
      </c>
    </row>
    <row r="1435" spans="1:7" ht="21" customHeight="1" x14ac:dyDescent="0.25">
      <c r="B1435" s="228" t="s">
        <v>515</v>
      </c>
      <c r="C1435" s="233">
        <f t="shared" ca="1" si="385"/>
        <v>6820000.0000000009</v>
      </c>
      <c r="D1435" s="250">
        <f t="shared" ca="1" si="386"/>
        <v>6200000.0000000009</v>
      </c>
      <c r="E1435" s="233">
        <f t="shared" ca="1" si="387"/>
        <v>1866000</v>
      </c>
      <c r="F1435" s="555">
        <f t="shared" ca="1" si="384"/>
        <v>0.30096774193548381</v>
      </c>
      <c r="G1435" s="244">
        <f t="shared" ca="1" si="388"/>
        <v>279900</v>
      </c>
    </row>
    <row r="1436" spans="1:7" ht="21" customHeight="1" x14ac:dyDescent="0.25">
      <c r="B1436" s="228" t="s">
        <v>466</v>
      </c>
      <c r="C1436" s="233">
        <f t="shared" ca="1" si="385"/>
        <v>1292500</v>
      </c>
      <c r="D1436" s="250">
        <f t="shared" ca="1" si="386"/>
        <v>1175000</v>
      </c>
      <c r="E1436" s="233">
        <f t="shared" ca="1" si="387"/>
        <v>475000</v>
      </c>
      <c r="F1436" s="555">
        <f t="shared" ca="1" si="384"/>
        <v>0.40425531914893614</v>
      </c>
      <c r="G1436" s="244">
        <f t="shared" ca="1" si="388"/>
        <v>71250</v>
      </c>
    </row>
    <row r="1437" spans="1:7" ht="21" customHeight="1" x14ac:dyDescent="0.25">
      <c r="B1437" s="228" t="s">
        <v>2247</v>
      </c>
      <c r="C1437" s="233">
        <f t="shared" ca="1" si="385"/>
        <v>14626700</v>
      </c>
      <c r="D1437" s="250">
        <f t="shared" ca="1" si="386"/>
        <v>13297000</v>
      </c>
      <c r="E1437" s="233">
        <f t="shared" ca="1" si="387"/>
        <v>3585000</v>
      </c>
      <c r="F1437" s="555">
        <f t="shared" ca="1" si="384"/>
        <v>0.26960968639542754</v>
      </c>
      <c r="G1437" s="244">
        <f t="shared" ca="1" si="388"/>
        <v>537750</v>
      </c>
    </row>
    <row r="1438" spans="1:7" ht="21" customHeight="1" x14ac:dyDescent="0.25">
      <c r="B1438" s="228" t="s">
        <v>3639</v>
      </c>
      <c r="C1438" s="233">
        <f t="shared" ca="1" si="385"/>
        <v>6050000.0000000009</v>
      </c>
      <c r="D1438" s="250">
        <f t="shared" ca="1" si="386"/>
        <v>5500000.0000000009</v>
      </c>
      <c r="E1438" s="233">
        <f t="shared" ca="1" si="387"/>
        <v>1650000</v>
      </c>
      <c r="F1438" s="555">
        <f t="shared" ca="1" si="384"/>
        <v>0.29999999999999993</v>
      </c>
      <c r="G1438" s="244">
        <f t="shared" ca="1" si="388"/>
        <v>247500</v>
      </c>
    </row>
    <row r="1439" spans="1:7" ht="21" customHeight="1" x14ac:dyDescent="0.25">
      <c r="B1439" s="228" t="s">
        <v>459</v>
      </c>
      <c r="C1439" s="233">
        <f t="shared" ca="1" si="385"/>
        <v>1100000</v>
      </c>
      <c r="D1439" s="250">
        <f t="shared" ca="1" si="386"/>
        <v>1000000</v>
      </c>
      <c r="E1439" s="233">
        <f t="shared" ca="1" si="387"/>
        <v>500000</v>
      </c>
      <c r="F1439" s="555">
        <f t="shared" ca="1" si="384"/>
        <v>0.5</v>
      </c>
      <c r="G1439" s="244">
        <f t="shared" ca="1" si="388"/>
        <v>75000</v>
      </c>
    </row>
    <row r="1440" spans="1:7" ht="21" customHeight="1" x14ac:dyDescent="0.25">
      <c r="B1440" s="228" t="s">
        <v>2352</v>
      </c>
      <c r="C1440" s="233">
        <f t="shared" ca="1" si="385"/>
        <v>5458200</v>
      </c>
      <c r="D1440" s="250">
        <f t="shared" ca="1" si="386"/>
        <v>4962000</v>
      </c>
      <c r="E1440" s="233">
        <f t="shared" ca="1" si="387"/>
        <v>2345124</v>
      </c>
      <c r="F1440" s="555">
        <f t="shared" ca="1" si="384"/>
        <v>0.47261668681983071</v>
      </c>
      <c r="G1440" s="244">
        <f t="shared" ca="1" si="388"/>
        <v>351768.6</v>
      </c>
    </row>
    <row r="1441" spans="1:7" ht="21" customHeight="1" x14ac:dyDescent="0.25">
      <c r="B1441" s="228" t="s">
        <v>3644</v>
      </c>
      <c r="C1441" s="233">
        <f t="shared" ca="1" si="385"/>
        <v>13200000</v>
      </c>
      <c r="D1441" s="250">
        <f t="shared" ca="1" si="386"/>
        <v>12000000</v>
      </c>
      <c r="E1441" s="233">
        <f t="shared" ca="1" si="387"/>
        <v>4042880</v>
      </c>
      <c r="F1441" s="555">
        <f t="shared" ca="1" si="384"/>
        <v>0.33690666666666669</v>
      </c>
      <c r="G1441" s="244">
        <f t="shared" ca="1" si="388"/>
        <v>606432</v>
      </c>
    </row>
    <row r="1442" spans="1:7" ht="21" customHeight="1" x14ac:dyDescent="0.25">
      <c r="B1442" s="228" t="s">
        <v>434</v>
      </c>
      <c r="C1442" s="233">
        <f t="shared" ca="1" si="385"/>
        <v>5544000</v>
      </c>
      <c r="D1442" s="250">
        <f t="shared" ca="1" si="386"/>
        <v>5040000</v>
      </c>
      <c r="E1442" s="233">
        <f t="shared" ca="1" si="387"/>
        <v>1980000</v>
      </c>
      <c r="F1442" s="555">
        <f t="shared" ca="1" si="384"/>
        <v>0.39285714285714285</v>
      </c>
      <c r="G1442" s="244">
        <f t="shared" ca="1" si="388"/>
        <v>297000</v>
      </c>
    </row>
    <row r="1443" spans="1:7" ht="21" customHeight="1" x14ac:dyDescent="0.25">
      <c r="B1443" s="228" t="s">
        <v>834</v>
      </c>
      <c r="C1443" s="233">
        <f t="shared" ca="1" si="385"/>
        <v>3836800.0000000005</v>
      </c>
      <c r="D1443" s="250">
        <f t="shared" ca="1" si="386"/>
        <v>3488000.0000000005</v>
      </c>
      <c r="E1443" s="233">
        <f t="shared" ca="1" si="387"/>
        <v>928000</v>
      </c>
      <c r="F1443" s="555">
        <f t="shared" ca="1" si="384"/>
        <v>0.26605504587155959</v>
      </c>
      <c r="G1443" s="244">
        <f t="shared" ca="1" si="388"/>
        <v>139200</v>
      </c>
    </row>
    <row r="1444" spans="1:7" ht="21" customHeight="1" x14ac:dyDescent="0.25">
      <c r="A1444" s="247"/>
      <c r="B1444" s="279" t="s">
        <v>2741</v>
      </c>
      <c r="C1444" s="544">
        <f ca="1">SUM(C1434:C1443)</f>
        <v>65930700</v>
      </c>
      <c r="D1444" s="544">
        <f ca="1">SUM(D1434:D1443)</f>
        <v>59937000</v>
      </c>
      <c r="E1444" s="544">
        <f ca="1">SUM(E1434:E1443)</f>
        <v>19945204</v>
      </c>
      <c r="F1444" s="567">
        <f t="shared" ca="1" si="384"/>
        <v>0.33276947461501244</v>
      </c>
      <c r="G1444" s="972">
        <f ca="1">SUM(G1434:G1443)</f>
        <v>2991780.6</v>
      </c>
    </row>
    <row r="1445" spans="1:7" ht="21" customHeight="1" x14ac:dyDescent="0.25">
      <c r="A1445" s="247" t="s">
        <v>3633</v>
      </c>
      <c r="B1445" s="228" t="s">
        <v>453</v>
      </c>
      <c r="C1445" s="233">
        <f t="shared" ref="C1445:C1453" ca="1" si="389">SUMIFS(INDIRECT("Report!F100:F10000"),INDIRECT("Report!B100:B10000"),B1445,INDIRECT("report!H100:H10000"),"Consums",INDIRECT("Report!L100:L10000"),"23,1")</f>
        <v>8309400</v>
      </c>
      <c r="D1445" s="250">
        <f t="shared" ref="D1445:D1453" ca="1" si="390">(C1445/11*10)</f>
        <v>7554000</v>
      </c>
      <c r="E1445" s="233">
        <f t="shared" ref="E1445:E1453" ca="1" si="391">SUMIFS(INDIRECT("Report!J100:J10000"),INDIRECT("Report!B100:B10000"),B1445,INDIRECT("report!H100:H10000"),"Consums",INDIRECT("Report!L100:L10000"),"23,1")</f>
        <v>3299720</v>
      </c>
      <c r="F1445" s="555">
        <f t="shared" ca="1" si="384"/>
        <v>0.43681758009001853</v>
      </c>
      <c r="G1445" s="244">
        <f t="shared" ref="G1445:G1453" ca="1" si="392">E1445*15%</f>
        <v>494958</v>
      </c>
    </row>
    <row r="1446" spans="1:7" ht="21" customHeight="1" x14ac:dyDescent="0.25">
      <c r="B1446" s="228" t="s">
        <v>459</v>
      </c>
      <c r="C1446" s="233">
        <f t="shared" ca="1" si="389"/>
        <v>1100000</v>
      </c>
      <c r="D1446" s="250">
        <f t="shared" ca="1" si="390"/>
        <v>1000000</v>
      </c>
      <c r="E1446" s="233">
        <f t="shared" ca="1" si="391"/>
        <v>500000</v>
      </c>
      <c r="F1446" s="555">
        <f t="shared" ca="1" si="384"/>
        <v>0.5</v>
      </c>
      <c r="G1446" s="244">
        <f t="shared" ca="1" si="392"/>
        <v>75000</v>
      </c>
    </row>
    <row r="1447" spans="1:7" ht="21" customHeight="1" x14ac:dyDescent="0.25">
      <c r="B1447" s="228" t="s">
        <v>434</v>
      </c>
      <c r="C1447" s="233">
        <f t="shared" ca="1" si="389"/>
        <v>9240000</v>
      </c>
      <c r="D1447" s="250">
        <f t="shared" ca="1" si="390"/>
        <v>8400000</v>
      </c>
      <c r="E1447" s="233">
        <f t="shared" ca="1" si="391"/>
        <v>3300000</v>
      </c>
      <c r="F1447" s="555">
        <f t="shared" ref="F1447:F1456" ca="1" si="393">E1447/D1447</f>
        <v>0.39285714285714285</v>
      </c>
      <c r="G1447" s="244">
        <f t="shared" ca="1" si="392"/>
        <v>495000</v>
      </c>
    </row>
    <row r="1448" spans="1:7" ht="21" customHeight="1" x14ac:dyDescent="0.25">
      <c r="B1448" s="228" t="s">
        <v>3672</v>
      </c>
      <c r="C1448" s="233">
        <f t="shared" ca="1" si="389"/>
        <v>209000.00000000003</v>
      </c>
      <c r="D1448" s="250">
        <f t="shared" ca="1" si="390"/>
        <v>190000.00000000003</v>
      </c>
      <c r="E1448" s="233">
        <f t="shared" ca="1" si="391"/>
        <v>40000</v>
      </c>
      <c r="F1448" s="555">
        <f ca="1">E1448/D1448</f>
        <v>0.21052631578947364</v>
      </c>
      <c r="G1448" s="244">
        <f t="shared" ca="1" si="392"/>
        <v>6000</v>
      </c>
    </row>
    <row r="1449" spans="1:7" ht="21" customHeight="1" x14ac:dyDescent="0.25">
      <c r="B1449" s="228" t="s">
        <v>2125</v>
      </c>
      <c r="C1449" s="233">
        <f t="shared" ca="1" si="389"/>
        <v>3230700.0000000005</v>
      </c>
      <c r="D1449" s="250">
        <f t="shared" ca="1" si="390"/>
        <v>2937000.0000000005</v>
      </c>
      <c r="E1449" s="233">
        <f t="shared" ca="1" si="391"/>
        <v>2937000</v>
      </c>
      <c r="F1449" s="555">
        <f ca="1">E1449/D1449</f>
        <v>0.99999999999999989</v>
      </c>
      <c r="G1449" s="244">
        <f t="shared" ca="1" si="392"/>
        <v>440550</v>
      </c>
    </row>
    <row r="1450" spans="1:7" ht="21" customHeight="1" x14ac:dyDescent="0.25">
      <c r="B1450" s="228" t="s">
        <v>523</v>
      </c>
      <c r="C1450" s="233">
        <f t="shared" ca="1" si="389"/>
        <v>6011500</v>
      </c>
      <c r="D1450" s="250">
        <f t="shared" ca="1" si="390"/>
        <v>5465000</v>
      </c>
      <c r="E1450" s="233">
        <f t="shared" ca="1" si="391"/>
        <v>1313000</v>
      </c>
      <c r="F1450" s="555">
        <f ca="1">E1450/D1450</f>
        <v>0.24025617566331198</v>
      </c>
      <c r="G1450" s="244">
        <f t="shared" ca="1" si="392"/>
        <v>196950</v>
      </c>
    </row>
    <row r="1451" spans="1:7" ht="21" customHeight="1" x14ac:dyDescent="0.25">
      <c r="B1451" s="228" t="s">
        <v>467</v>
      </c>
      <c r="C1451" s="233">
        <f t="shared" ca="1" si="389"/>
        <v>2612500</v>
      </c>
      <c r="D1451" s="250">
        <f t="shared" ca="1" si="390"/>
        <v>2375000</v>
      </c>
      <c r="E1451" s="233">
        <f t="shared" ca="1" si="391"/>
        <v>525000</v>
      </c>
      <c r="F1451" s="555">
        <f ca="1">E1451/D1451</f>
        <v>0.22105263157894736</v>
      </c>
      <c r="G1451" s="244">
        <f t="shared" ca="1" si="392"/>
        <v>78750</v>
      </c>
    </row>
    <row r="1452" spans="1:7" ht="21" customHeight="1" x14ac:dyDescent="0.25">
      <c r="B1452" s="228" t="s">
        <v>526</v>
      </c>
      <c r="C1452" s="233">
        <f t="shared" ca="1" si="389"/>
        <v>12959100</v>
      </c>
      <c r="D1452" s="250">
        <f t="shared" ca="1" si="390"/>
        <v>11781000</v>
      </c>
      <c r="E1452" s="233">
        <f t="shared" ca="1" si="391"/>
        <v>2134500</v>
      </c>
      <c r="F1452" s="555">
        <f ca="1">E1452/D1452</f>
        <v>0.18118156353450471</v>
      </c>
      <c r="G1452" s="244">
        <f t="shared" ca="1" si="392"/>
        <v>320175</v>
      </c>
    </row>
    <row r="1453" spans="1:7" ht="21" customHeight="1" x14ac:dyDescent="0.25">
      <c r="B1453" s="228" t="s">
        <v>834</v>
      </c>
      <c r="C1453" s="233">
        <f t="shared" ca="1" si="389"/>
        <v>1918400.0000000002</v>
      </c>
      <c r="D1453" s="250">
        <f t="shared" ca="1" si="390"/>
        <v>1744000.0000000002</v>
      </c>
      <c r="E1453" s="233">
        <f t="shared" ca="1" si="391"/>
        <v>464000</v>
      </c>
      <c r="F1453" s="555">
        <f t="shared" ca="1" si="393"/>
        <v>0.26605504587155959</v>
      </c>
      <c r="G1453" s="244">
        <f t="shared" ca="1" si="392"/>
        <v>69600</v>
      </c>
    </row>
    <row r="1454" spans="1:7" ht="21" customHeight="1" x14ac:dyDescent="0.25">
      <c r="A1454" s="247"/>
      <c r="B1454" s="279" t="s">
        <v>2741</v>
      </c>
      <c r="C1454" s="544">
        <f ca="1">SUM(C1445:C1453)</f>
        <v>45590600</v>
      </c>
      <c r="D1454" s="544">
        <f ca="1">SUM(D1445:D1453)</f>
        <v>41446000</v>
      </c>
      <c r="E1454" s="544">
        <f ca="1">SUM(E1445:E1453)</f>
        <v>14513220</v>
      </c>
      <c r="F1454" s="567">
        <f t="shared" ca="1" si="393"/>
        <v>0.35017178979877434</v>
      </c>
      <c r="G1454" s="972">
        <f ca="1">SUM(G1445:G1453)</f>
        <v>2176983</v>
      </c>
    </row>
    <row r="1455" spans="1:7" ht="21" customHeight="1" x14ac:dyDescent="0.25">
      <c r="A1455" s="247" t="s">
        <v>3677</v>
      </c>
      <c r="B1455" s="228" t="s">
        <v>453</v>
      </c>
      <c r="C1455" s="233">
        <f t="shared" ref="C1455:C1462" ca="1" si="394">SUMIFS(INDIRECT("Report!F100:F10000"),INDIRECT("Report!B100:B10000"),B1455,INDIRECT("report!H100:H10000"),"Consums",INDIRECT("Report!L100:L10000"),"23,2")</f>
        <v>5412000</v>
      </c>
      <c r="D1455" s="250">
        <f ca="1">(C1455/11*10)</f>
        <v>4920000</v>
      </c>
      <c r="E1455" s="233">
        <f t="shared" ref="E1455:E1462" ca="1" si="395">SUMIFS(INDIRECT("Report!J100:J10000"),INDIRECT("Report!B100:B10000"),B1455,INDIRECT("report!H100:H10000"),"Consums",INDIRECT("Report!L100:L10000"),"23,2")</f>
        <v>1227740</v>
      </c>
      <c r="F1455" s="555">
        <f t="shared" ca="1" si="393"/>
        <v>0.24954065040650406</v>
      </c>
      <c r="G1455" s="244">
        <f t="shared" ref="G1455:G1462" ca="1" si="396">E1455*15%</f>
        <v>184161</v>
      </c>
    </row>
    <row r="1456" spans="1:7" ht="21" customHeight="1" x14ac:dyDescent="0.25">
      <c r="B1456" s="228" t="s">
        <v>466</v>
      </c>
      <c r="C1456" s="233">
        <f t="shared" ca="1" si="394"/>
        <v>1292500</v>
      </c>
      <c r="D1456" s="250">
        <f t="shared" ref="D1456:D1462" ca="1" si="397">(C1456/11*10)</f>
        <v>1175000</v>
      </c>
      <c r="E1456" s="233">
        <f t="shared" ca="1" si="395"/>
        <v>475000</v>
      </c>
      <c r="F1456" s="555">
        <f t="shared" ca="1" si="393"/>
        <v>0.40425531914893614</v>
      </c>
      <c r="G1456" s="244">
        <f t="shared" ca="1" si="396"/>
        <v>71250</v>
      </c>
    </row>
    <row r="1457" spans="1:7" ht="21" customHeight="1" x14ac:dyDescent="0.25">
      <c r="B1457" s="228" t="s">
        <v>434</v>
      </c>
      <c r="C1457" s="233">
        <f t="shared" ca="1" si="394"/>
        <v>5544000</v>
      </c>
      <c r="D1457" s="250">
        <f t="shared" ca="1" si="397"/>
        <v>5040000</v>
      </c>
      <c r="E1457" s="233">
        <f t="shared" ca="1" si="395"/>
        <v>1980000</v>
      </c>
      <c r="F1457" s="555">
        <f t="shared" ref="F1457:F1465" ca="1" si="398">E1457/D1457</f>
        <v>0.39285714285714285</v>
      </c>
      <c r="G1457" s="244">
        <f t="shared" ca="1" si="396"/>
        <v>297000</v>
      </c>
    </row>
    <row r="1458" spans="1:7" ht="21" customHeight="1" x14ac:dyDescent="0.25">
      <c r="B1458" s="228" t="s">
        <v>2247</v>
      </c>
      <c r="C1458" s="233">
        <f t="shared" ca="1" si="394"/>
        <v>19415000</v>
      </c>
      <c r="D1458" s="250">
        <f t="shared" ca="1" si="397"/>
        <v>17650000</v>
      </c>
      <c r="E1458" s="233">
        <f t="shared" ca="1" si="395"/>
        <v>4493000</v>
      </c>
      <c r="F1458" s="555">
        <f t="shared" ca="1" si="398"/>
        <v>0.25456090651558072</v>
      </c>
      <c r="G1458" s="244">
        <f t="shared" ca="1" si="396"/>
        <v>673950</v>
      </c>
    </row>
    <row r="1459" spans="1:7" ht="21" customHeight="1" x14ac:dyDescent="0.25">
      <c r="B1459" s="228" t="s">
        <v>515</v>
      </c>
      <c r="C1459" s="233">
        <f t="shared" ca="1" si="394"/>
        <v>10725000.000000002</v>
      </c>
      <c r="D1459" s="250">
        <f t="shared" ca="1" si="397"/>
        <v>9750000.0000000019</v>
      </c>
      <c r="E1459" s="233">
        <f t="shared" ca="1" si="395"/>
        <v>2550000</v>
      </c>
      <c r="F1459" s="555">
        <f t="shared" ca="1" si="398"/>
        <v>0.2615384615384615</v>
      </c>
      <c r="G1459" s="244">
        <f t="shared" ca="1" si="396"/>
        <v>382500</v>
      </c>
    </row>
    <row r="1460" spans="1:7" ht="21" customHeight="1" x14ac:dyDescent="0.25">
      <c r="B1460" s="228" t="s">
        <v>523</v>
      </c>
      <c r="C1460" s="233">
        <f t="shared" ca="1" si="394"/>
        <v>2170300</v>
      </c>
      <c r="D1460" s="250">
        <f t="shared" ca="1" si="397"/>
        <v>1973000</v>
      </c>
      <c r="E1460" s="233">
        <f t="shared" ca="1" si="395"/>
        <v>335000</v>
      </c>
      <c r="F1460" s="555">
        <f t="shared" ca="1" si="398"/>
        <v>0.16979219462747086</v>
      </c>
      <c r="G1460" s="244">
        <f t="shared" ca="1" si="396"/>
        <v>50250</v>
      </c>
    </row>
    <row r="1461" spans="1:7" ht="21" customHeight="1" x14ac:dyDescent="0.25">
      <c r="B1461" s="228" t="s">
        <v>467</v>
      </c>
      <c r="C1461" s="233">
        <f t="shared" ca="1" si="394"/>
        <v>2590500</v>
      </c>
      <c r="D1461" s="250">
        <f t="shared" ca="1" si="397"/>
        <v>2355000</v>
      </c>
      <c r="E1461" s="233">
        <f t="shared" ca="1" si="395"/>
        <v>693000</v>
      </c>
      <c r="F1461" s="555">
        <f t="shared" ca="1" si="398"/>
        <v>0.29426751592356687</v>
      </c>
      <c r="G1461" s="244">
        <f t="shared" ca="1" si="396"/>
        <v>103950</v>
      </c>
    </row>
    <row r="1462" spans="1:7" ht="21" customHeight="1" x14ac:dyDescent="0.25">
      <c r="B1462" s="228" t="s">
        <v>834</v>
      </c>
      <c r="C1462" s="233">
        <f t="shared" ca="1" si="394"/>
        <v>1918400.0000000002</v>
      </c>
      <c r="D1462" s="250">
        <f t="shared" ca="1" si="397"/>
        <v>1744000.0000000002</v>
      </c>
      <c r="E1462" s="233">
        <f t="shared" ca="1" si="395"/>
        <v>412000</v>
      </c>
      <c r="F1462" s="555">
        <f t="shared" ca="1" si="398"/>
        <v>0.23623853211009171</v>
      </c>
      <c r="G1462" s="244">
        <f t="shared" ca="1" si="396"/>
        <v>61800</v>
      </c>
    </row>
    <row r="1463" spans="1:7" ht="21" customHeight="1" x14ac:dyDescent="0.25">
      <c r="A1463" s="247"/>
      <c r="B1463" s="279" t="s">
        <v>2741</v>
      </c>
      <c r="C1463" s="544">
        <f ca="1">SUM(C1455:C1462)</f>
        <v>49067700</v>
      </c>
      <c r="D1463" s="544">
        <f ca="1">SUM(D1455:D1462)</f>
        <v>44607000</v>
      </c>
      <c r="E1463" s="544">
        <f ca="1">SUM(E1455:E1462)</f>
        <v>12165740</v>
      </c>
      <c r="F1463" s="567">
        <f t="shared" ca="1" si="398"/>
        <v>0.27273163404846773</v>
      </c>
      <c r="G1463" s="972">
        <f ca="1">SUM(G1455:G1462)</f>
        <v>1824861</v>
      </c>
    </row>
    <row r="1464" spans="1:7" ht="21" customHeight="1" x14ac:dyDescent="0.25">
      <c r="A1464" s="247" t="s">
        <v>3698</v>
      </c>
      <c r="B1464" s="228" t="s">
        <v>453</v>
      </c>
      <c r="C1464" s="233">
        <f t="shared" ref="C1464:C1474" ca="1" si="399">SUMIFS(INDIRECT("Report!F100:F10000"),INDIRECT("Report!B100:B10000"),B1464,INDIRECT("report!H100:H10000"),"Consums",INDIRECT("Report!L100:L10000"),"23,3")</f>
        <v>6638500</v>
      </c>
      <c r="D1464" s="250">
        <f ca="1">(C1464/11*10)</f>
        <v>6035000</v>
      </c>
      <c r="E1464" s="233">
        <f t="shared" ref="E1464:E1474" ca="1" si="400">SUMIFS(INDIRECT("Report!J100:J10000"),INDIRECT("Report!B100:B10000"),B1464,INDIRECT("report!H100:H10000"),"Consums",INDIRECT("Report!L100:L10000"),"23,3")</f>
        <v>630900</v>
      </c>
      <c r="F1464" s="555">
        <f t="shared" ca="1" si="398"/>
        <v>0.10454018227009114</v>
      </c>
      <c r="G1464" s="244">
        <f t="shared" ref="G1464:G1474" ca="1" si="401">E1464*15%</f>
        <v>94635</v>
      </c>
    </row>
    <row r="1465" spans="1:7" ht="21" customHeight="1" x14ac:dyDescent="0.25">
      <c r="B1465" s="228" t="s">
        <v>466</v>
      </c>
      <c r="C1465" s="233">
        <f t="shared" ca="1" si="399"/>
        <v>467500.00000000006</v>
      </c>
      <c r="D1465" s="250">
        <f t="shared" ref="D1465:D1474" ca="1" si="402">(C1465/11*10)</f>
        <v>425000.00000000006</v>
      </c>
      <c r="E1465" s="233">
        <f t="shared" ca="1" si="400"/>
        <v>175000</v>
      </c>
      <c r="F1465" s="555">
        <f t="shared" ca="1" si="398"/>
        <v>0.41176470588235287</v>
      </c>
      <c r="G1465" s="244">
        <f t="shared" ca="1" si="401"/>
        <v>26250</v>
      </c>
    </row>
    <row r="1466" spans="1:7" ht="21" customHeight="1" x14ac:dyDescent="0.25">
      <c r="B1466" s="228" t="s">
        <v>434</v>
      </c>
      <c r="C1466" s="233">
        <f t="shared" ca="1" si="399"/>
        <v>5544000</v>
      </c>
      <c r="D1466" s="250">
        <f t="shared" ca="1" si="402"/>
        <v>5040000</v>
      </c>
      <c r="E1466" s="233">
        <f t="shared" ca="1" si="400"/>
        <v>1980000</v>
      </c>
      <c r="F1466" s="555">
        <f t="shared" ref="F1466:F1477" ca="1" si="403">E1466/D1466</f>
        <v>0.39285714285714285</v>
      </c>
      <c r="G1466" s="244">
        <f t="shared" ca="1" si="401"/>
        <v>297000</v>
      </c>
    </row>
    <row r="1467" spans="1:7" ht="21" customHeight="1" x14ac:dyDescent="0.25">
      <c r="B1467" s="228" t="s">
        <v>2247</v>
      </c>
      <c r="C1467" s="233">
        <f t="shared" ca="1" si="399"/>
        <v>7540500</v>
      </c>
      <c r="D1467" s="250">
        <f t="shared" ca="1" si="402"/>
        <v>6855000</v>
      </c>
      <c r="E1467" s="233">
        <f t="shared" ca="1" si="400"/>
        <v>1860000</v>
      </c>
      <c r="F1467" s="555">
        <f t="shared" ca="1" si="403"/>
        <v>0.2713347921225383</v>
      </c>
      <c r="G1467" s="244">
        <f t="shared" ca="1" si="401"/>
        <v>279000</v>
      </c>
    </row>
    <row r="1468" spans="1:7" ht="21" customHeight="1" x14ac:dyDescent="0.25">
      <c r="B1468" s="228" t="s">
        <v>515</v>
      </c>
      <c r="C1468" s="233">
        <f t="shared" ca="1" si="399"/>
        <v>3575000.0000000005</v>
      </c>
      <c r="D1468" s="250">
        <f t="shared" ca="1" si="402"/>
        <v>3250000.0000000005</v>
      </c>
      <c r="E1468" s="233">
        <f t="shared" ca="1" si="400"/>
        <v>850000</v>
      </c>
      <c r="F1468" s="555">
        <f t="shared" ca="1" si="403"/>
        <v>0.2615384615384615</v>
      </c>
      <c r="G1468" s="244">
        <f t="shared" ca="1" si="401"/>
        <v>127500</v>
      </c>
    </row>
    <row r="1469" spans="1:7" ht="21" customHeight="1" x14ac:dyDescent="0.25">
      <c r="B1469" s="228" t="s">
        <v>677</v>
      </c>
      <c r="C1469" s="233">
        <f t="shared" ca="1" si="399"/>
        <v>264000</v>
      </c>
      <c r="D1469" s="250">
        <f t="shared" ca="1" si="402"/>
        <v>240000</v>
      </c>
      <c r="E1469" s="233">
        <f t="shared" ca="1" si="400"/>
        <v>50000</v>
      </c>
      <c r="F1469" s="555">
        <f t="shared" ca="1" si="403"/>
        <v>0.20833333333333334</v>
      </c>
      <c r="G1469" s="244">
        <f t="shared" ca="1" si="401"/>
        <v>7500</v>
      </c>
    </row>
    <row r="1470" spans="1:7" ht="21" customHeight="1" x14ac:dyDescent="0.25">
      <c r="B1470" s="228" t="s">
        <v>430</v>
      </c>
      <c r="C1470" s="233">
        <f t="shared" ca="1" si="399"/>
        <v>1100000</v>
      </c>
      <c r="D1470" s="250">
        <f t="shared" ca="1" si="402"/>
        <v>1000000</v>
      </c>
      <c r="E1470" s="233">
        <f t="shared" ca="1" si="400"/>
        <v>500000</v>
      </c>
      <c r="F1470" s="555">
        <f t="shared" ca="1" si="403"/>
        <v>0.5</v>
      </c>
      <c r="G1470" s="244">
        <f t="shared" ca="1" si="401"/>
        <v>75000</v>
      </c>
    </row>
    <row r="1471" spans="1:7" ht="21" customHeight="1" x14ac:dyDescent="0.25">
      <c r="B1471" s="228" t="s">
        <v>523</v>
      </c>
      <c r="C1471" s="233">
        <f t="shared" ca="1" si="399"/>
        <v>1889800</v>
      </c>
      <c r="D1471" s="250">
        <f t="shared" ca="1" si="402"/>
        <v>1718000</v>
      </c>
      <c r="E1471" s="233">
        <f t="shared" ca="1" si="400"/>
        <v>382000</v>
      </c>
      <c r="F1471" s="555">
        <f t="shared" ca="1" si="403"/>
        <v>0.22235157159487776</v>
      </c>
      <c r="G1471" s="244">
        <f t="shared" ca="1" si="401"/>
        <v>57300</v>
      </c>
    </row>
    <row r="1472" spans="1:7" ht="21" customHeight="1" x14ac:dyDescent="0.25">
      <c r="B1472" s="228" t="s">
        <v>467</v>
      </c>
      <c r="C1472" s="233">
        <f t="shared" ca="1" si="399"/>
        <v>9850500</v>
      </c>
      <c r="D1472" s="250">
        <f t="shared" ca="1" si="402"/>
        <v>8955000</v>
      </c>
      <c r="E1472" s="233">
        <f t="shared" ca="1" si="400"/>
        <v>4014033</v>
      </c>
      <c r="F1472" s="555">
        <f t="shared" ca="1" si="403"/>
        <v>0.44824489112227806</v>
      </c>
      <c r="G1472" s="244">
        <f t="shared" ca="1" si="401"/>
        <v>602104.94999999995</v>
      </c>
    </row>
    <row r="1473" spans="1:7" ht="21" customHeight="1" x14ac:dyDescent="0.25">
      <c r="B1473" s="228" t="s">
        <v>2125</v>
      </c>
      <c r="C1473" s="233">
        <f t="shared" ca="1" si="399"/>
        <v>2772000</v>
      </c>
      <c r="D1473" s="250">
        <f t="shared" ca="1" si="402"/>
        <v>2520000</v>
      </c>
      <c r="E1473" s="233">
        <f t="shared" ca="1" si="400"/>
        <v>2520000</v>
      </c>
      <c r="F1473" s="555">
        <f t="shared" ca="1" si="403"/>
        <v>1</v>
      </c>
      <c r="G1473" s="244">
        <f t="shared" ca="1" si="401"/>
        <v>378000</v>
      </c>
    </row>
    <row r="1474" spans="1:7" ht="21" customHeight="1" x14ac:dyDescent="0.25">
      <c r="B1474" s="228" t="s">
        <v>834</v>
      </c>
      <c r="C1474" s="233">
        <f t="shared" ca="1" si="399"/>
        <v>1918400.0000000002</v>
      </c>
      <c r="D1474" s="250">
        <f t="shared" ca="1" si="402"/>
        <v>1744000.0000000002</v>
      </c>
      <c r="E1474" s="233">
        <f t="shared" ca="1" si="400"/>
        <v>412000</v>
      </c>
      <c r="F1474" s="555">
        <f t="shared" ca="1" si="403"/>
        <v>0.23623853211009171</v>
      </c>
      <c r="G1474" s="244">
        <f t="shared" ca="1" si="401"/>
        <v>61800</v>
      </c>
    </row>
    <row r="1475" spans="1:7" ht="21" customHeight="1" x14ac:dyDescent="0.25">
      <c r="A1475" s="247"/>
      <c r="B1475" s="279" t="s">
        <v>2741</v>
      </c>
      <c r="C1475" s="544">
        <f ca="1">SUM(C1464:C1474)</f>
        <v>41560200</v>
      </c>
      <c r="D1475" s="544">
        <f ca="1">SUM(D1464:D1474)</f>
        <v>37782000</v>
      </c>
      <c r="E1475" s="544">
        <f ca="1">SUM(E1464:E1474)</f>
        <v>13373933</v>
      </c>
      <c r="F1475" s="567">
        <f t="shared" ca="1" si="403"/>
        <v>0.35397631147107089</v>
      </c>
      <c r="G1475" s="972">
        <f ca="1">SUM(G1464:G1474)</f>
        <v>2006089.95</v>
      </c>
    </row>
    <row r="1476" spans="1:7" ht="21" customHeight="1" x14ac:dyDescent="0.25">
      <c r="A1476" s="247" t="s">
        <v>3715</v>
      </c>
      <c r="B1476" s="228" t="s">
        <v>453</v>
      </c>
      <c r="C1476" s="233">
        <f t="shared" ref="C1476:C1484" ca="1" si="404">SUMIFS(INDIRECT("Report!F100:F10000"),INDIRECT("Report!B100:B10000"),B1476,INDIRECT("report!H100:H10000"),"Consums",INDIRECT("Report!L100:L10000"),"23,4")</f>
        <v>4837800</v>
      </c>
      <c r="D1476" s="250">
        <f ca="1">(C1476/11*10)</f>
        <v>4398000</v>
      </c>
      <c r="E1476" s="233">
        <f t="shared" ref="E1476:E1484" ca="1" si="405">SUMIFS(INDIRECT("Report!J100:J10000"),INDIRECT("Report!B100:B10000"),B1476,INDIRECT("report!H100:H10000"),"Consums",INDIRECT("Report!L100:L10000"),"23,4")</f>
        <v>924440</v>
      </c>
      <c r="F1476" s="555">
        <f t="shared" ca="1" si="403"/>
        <v>0.21019554342883129</v>
      </c>
      <c r="G1476" s="244">
        <f t="shared" ref="G1476:G1484" ca="1" si="406">E1476*15%</f>
        <v>138666</v>
      </c>
    </row>
    <row r="1477" spans="1:7" ht="21" customHeight="1" x14ac:dyDescent="0.25">
      <c r="B1477" s="228" t="s">
        <v>3744</v>
      </c>
      <c r="C1477" s="233">
        <f t="shared" ca="1" si="404"/>
        <v>6050000.0000000009</v>
      </c>
      <c r="D1477" s="250">
        <f t="shared" ref="D1477:D1484" ca="1" si="407">(C1477/11*10)</f>
        <v>5500000.0000000009</v>
      </c>
      <c r="E1477" s="233">
        <f t="shared" ca="1" si="405"/>
        <v>1650000</v>
      </c>
      <c r="F1477" s="555">
        <f t="shared" ca="1" si="403"/>
        <v>0.29999999999999993</v>
      </c>
      <c r="G1477" s="244">
        <f t="shared" ca="1" si="406"/>
        <v>247500</v>
      </c>
    </row>
    <row r="1478" spans="1:7" ht="21" customHeight="1" x14ac:dyDescent="0.25">
      <c r="B1478" s="228" t="s">
        <v>2247</v>
      </c>
      <c r="C1478" s="233">
        <f t="shared" ca="1" si="404"/>
        <v>10186000</v>
      </c>
      <c r="D1478" s="250">
        <f t="shared" ca="1" si="407"/>
        <v>9260000</v>
      </c>
      <c r="E1478" s="233">
        <f t="shared" ca="1" si="405"/>
        <v>1891000</v>
      </c>
      <c r="F1478" s="555">
        <f t="shared" ref="F1478:F1487" ca="1" si="408">E1478/D1478</f>
        <v>0.20421166306695465</v>
      </c>
      <c r="G1478" s="244">
        <f t="shared" ca="1" si="406"/>
        <v>283650</v>
      </c>
    </row>
    <row r="1479" spans="1:7" ht="21" customHeight="1" x14ac:dyDescent="0.25">
      <c r="B1479" s="228" t="s">
        <v>515</v>
      </c>
      <c r="C1479" s="233">
        <f t="shared" ca="1" si="404"/>
        <v>3575000.0000000005</v>
      </c>
      <c r="D1479" s="250">
        <f t="shared" ca="1" si="407"/>
        <v>3250000.0000000005</v>
      </c>
      <c r="E1479" s="233">
        <f t="shared" ca="1" si="405"/>
        <v>850000</v>
      </c>
      <c r="F1479" s="555">
        <f t="shared" ca="1" si="408"/>
        <v>0.2615384615384615</v>
      </c>
      <c r="G1479" s="244">
        <f t="shared" ca="1" si="406"/>
        <v>127500</v>
      </c>
    </row>
    <row r="1480" spans="1:7" ht="21" customHeight="1" x14ac:dyDescent="0.25">
      <c r="B1480" s="228" t="s">
        <v>430</v>
      </c>
      <c r="C1480" s="233">
        <f t="shared" ca="1" si="404"/>
        <v>1100000</v>
      </c>
      <c r="D1480" s="250">
        <f t="shared" ca="1" si="407"/>
        <v>1000000</v>
      </c>
      <c r="E1480" s="233">
        <f t="shared" ca="1" si="405"/>
        <v>500000</v>
      </c>
      <c r="F1480" s="555">
        <f t="shared" ca="1" si="408"/>
        <v>0.5</v>
      </c>
      <c r="G1480" s="244">
        <f t="shared" ca="1" si="406"/>
        <v>75000</v>
      </c>
    </row>
    <row r="1481" spans="1:7" ht="21" customHeight="1" x14ac:dyDescent="0.25">
      <c r="B1481" s="228" t="s">
        <v>523</v>
      </c>
      <c r="C1481" s="233">
        <f t="shared" ca="1" si="404"/>
        <v>1892000.0000000002</v>
      </c>
      <c r="D1481" s="250">
        <f t="shared" ca="1" si="407"/>
        <v>1720000.0000000002</v>
      </c>
      <c r="E1481" s="233">
        <f t="shared" ca="1" si="405"/>
        <v>320000</v>
      </c>
      <c r="F1481" s="555">
        <f t="shared" ca="1" si="408"/>
        <v>0.18604651162790695</v>
      </c>
      <c r="G1481" s="244">
        <f t="shared" ca="1" si="406"/>
        <v>48000</v>
      </c>
    </row>
    <row r="1482" spans="1:7" ht="21" customHeight="1" x14ac:dyDescent="0.25">
      <c r="B1482" s="228" t="s">
        <v>467</v>
      </c>
      <c r="C1482" s="233">
        <f t="shared" ca="1" si="404"/>
        <v>10384000</v>
      </c>
      <c r="D1482" s="250">
        <f t="shared" ca="1" si="407"/>
        <v>9440000</v>
      </c>
      <c r="E1482" s="233">
        <f t="shared" ca="1" si="405"/>
        <v>4039522</v>
      </c>
      <c r="F1482" s="555">
        <f t="shared" ca="1" si="408"/>
        <v>0.4279154661016949</v>
      </c>
      <c r="G1482" s="244">
        <f t="shared" ca="1" si="406"/>
        <v>605928.29999999993</v>
      </c>
    </row>
    <row r="1483" spans="1:7" ht="21" customHeight="1" x14ac:dyDescent="0.25">
      <c r="B1483" s="228" t="s">
        <v>2125</v>
      </c>
      <c r="C1483" s="233">
        <f t="shared" ca="1" si="404"/>
        <v>2691920</v>
      </c>
      <c r="D1483" s="250">
        <f t="shared" ca="1" si="407"/>
        <v>2447200</v>
      </c>
      <c r="E1483" s="233">
        <f t="shared" ca="1" si="405"/>
        <v>2447200</v>
      </c>
      <c r="F1483" s="555">
        <f t="shared" ca="1" si="408"/>
        <v>1</v>
      </c>
      <c r="G1483" s="244">
        <f t="shared" ca="1" si="406"/>
        <v>367080</v>
      </c>
    </row>
    <row r="1484" spans="1:7" ht="21" customHeight="1" x14ac:dyDescent="0.25">
      <c r="B1484" s="228" t="s">
        <v>526</v>
      </c>
      <c r="C1484" s="233">
        <f t="shared" ca="1" si="404"/>
        <v>7308400.0000000009</v>
      </c>
      <c r="D1484" s="250">
        <f t="shared" ca="1" si="407"/>
        <v>6644000.0000000009</v>
      </c>
      <c r="E1484" s="233">
        <f t="shared" ca="1" si="405"/>
        <v>2004000</v>
      </c>
      <c r="F1484" s="555">
        <f t="shared" ca="1" si="408"/>
        <v>0.30162552679108967</v>
      </c>
      <c r="G1484" s="244">
        <f t="shared" ca="1" si="406"/>
        <v>300600</v>
      </c>
    </row>
    <row r="1485" spans="1:7" ht="21" customHeight="1" x14ac:dyDescent="0.25">
      <c r="A1485" s="247"/>
      <c r="B1485" s="279" t="s">
        <v>2741</v>
      </c>
      <c r="C1485" s="544">
        <f ca="1">SUM(C1476:C1484)</f>
        <v>48025120</v>
      </c>
      <c r="D1485" s="544">
        <f ca="1">SUM(D1476:D1484)</f>
        <v>43659200</v>
      </c>
      <c r="E1485" s="544">
        <f ca="1">SUM(E1476:E1484)</f>
        <v>14626162</v>
      </c>
      <c r="F1485" s="567">
        <f t="shared" ca="1" si="408"/>
        <v>0.33500755854436176</v>
      </c>
      <c r="G1485" s="972">
        <f ca="1">SUM(G1476:G1484)</f>
        <v>2193924.2999999998</v>
      </c>
    </row>
    <row r="1486" spans="1:7" ht="21" customHeight="1" x14ac:dyDescent="0.25">
      <c r="A1486" s="247" t="s">
        <v>3746</v>
      </c>
      <c r="B1486" s="228" t="s">
        <v>453</v>
      </c>
      <c r="C1486" s="233">
        <f t="shared" ref="C1486:C1495" ca="1" si="409">SUMIFS(INDIRECT("Report!F100:F10000"),INDIRECT("Report!B100:B10000"),B1486,INDIRECT("report!H100:H10000"),"Consums",INDIRECT("Report!L100:L10000"),"23,5")</f>
        <v>9839500</v>
      </c>
      <c r="D1486" s="250">
        <f ca="1">(C1486/11*10)</f>
        <v>8945000</v>
      </c>
      <c r="E1486" s="233">
        <f t="shared" ref="E1486:E1495" ca="1" si="410">SUMIFS(INDIRECT("Report!J100:J10000"),INDIRECT("Report!B100:B10000"),B1486,INDIRECT("report!H100:H10000"),"Consums",INDIRECT("Report!L100:L10000"),"23,5")</f>
        <v>1756175</v>
      </c>
      <c r="F1486" s="555">
        <f t="shared" ca="1" si="408"/>
        <v>0.19633035215204026</v>
      </c>
      <c r="G1486" s="244">
        <f t="shared" ref="G1486:G1495" ca="1" si="411">E1486*15%</f>
        <v>263426.25</v>
      </c>
    </row>
    <row r="1487" spans="1:7" ht="21" customHeight="1" x14ac:dyDescent="0.25">
      <c r="B1487" s="228" t="s">
        <v>3672</v>
      </c>
      <c r="C1487" s="233">
        <f t="shared" ca="1" si="409"/>
        <v>1738000.0000000002</v>
      </c>
      <c r="D1487" s="250">
        <f t="shared" ref="D1487:D1495" ca="1" si="412">(C1487/11*10)</f>
        <v>1580000.0000000002</v>
      </c>
      <c r="E1487" s="233">
        <f t="shared" ca="1" si="410"/>
        <v>803201.12</v>
      </c>
      <c r="F1487" s="555">
        <f t="shared" ca="1" si="408"/>
        <v>0.50835513924050624</v>
      </c>
      <c r="G1487" s="244">
        <f t="shared" ca="1" si="411"/>
        <v>120480.16799999999</v>
      </c>
    </row>
    <row r="1488" spans="1:7" ht="21" customHeight="1" x14ac:dyDescent="0.25">
      <c r="B1488" s="228" t="s">
        <v>2247</v>
      </c>
      <c r="C1488" s="233">
        <f t="shared" ca="1" si="409"/>
        <v>13128500</v>
      </c>
      <c r="D1488" s="250">
        <f t="shared" ca="1" si="412"/>
        <v>11935000</v>
      </c>
      <c r="E1488" s="233">
        <f t="shared" ca="1" si="410"/>
        <v>2578000</v>
      </c>
      <c r="F1488" s="555">
        <f t="shared" ref="F1488:F1498" ca="1" si="413">E1488/D1488</f>
        <v>0.21600335148722247</v>
      </c>
      <c r="G1488" s="244">
        <f t="shared" ca="1" si="411"/>
        <v>386700</v>
      </c>
    </row>
    <row r="1489" spans="1:7" ht="21" customHeight="1" x14ac:dyDescent="0.25">
      <c r="B1489" s="228" t="s">
        <v>515</v>
      </c>
      <c r="C1489" s="233">
        <f t="shared" ca="1" si="409"/>
        <v>7150000.0000000009</v>
      </c>
      <c r="D1489" s="250">
        <f t="shared" ca="1" si="412"/>
        <v>6500000.0000000009</v>
      </c>
      <c r="E1489" s="233">
        <f t="shared" ca="1" si="410"/>
        <v>1700000</v>
      </c>
      <c r="F1489" s="555">
        <f t="shared" ca="1" si="413"/>
        <v>0.2615384615384615</v>
      </c>
      <c r="G1489" s="244">
        <f t="shared" ca="1" si="411"/>
        <v>255000</v>
      </c>
    </row>
    <row r="1490" spans="1:7" ht="21" customHeight="1" x14ac:dyDescent="0.25">
      <c r="B1490" s="228" t="s">
        <v>430</v>
      </c>
      <c r="C1490" s="233">
        <f t="shared" ca="1" si="409"/>
        <v>1100000</v>
      </c>
      <c r="D1490" s="250">
        <f t="shared" ca="1" si="412"/>
        <v>1000000</v>
      </c>
      <c r="E1490" s="233">
        <f t="shared" ca="1" si="410"/>
        <v>500000</v>
      </c>
      <c r="F1490" s="555">
        <f t="shared" ca="1" si="413"/>
        <v>0.5</v>
      </c>
      <c r="G1490" s="244">
        <f t="shared" ca="1" si="411"/>
        <v>75000</v>
      </c>
    </row>
    <row r="1491" spans="1:7" ht="21" customHeight="1" x14ac:dyDescent="0.25">
      <c r="B1491" s="228" t="s">
        <v>523</v>
      </c>
      <c r="C1491" s="233">
        <f t="shared" ca="1" si="409"/>
        <v>3844500</v>
      </c>
      <c r="D1491" s="250">
        <f t="shared" ca="1" si="412"/>
        <v>3495000</v>
      </c>
      <c r="E1491" s="233">
        <f t="shared" ca="1" si="410"/>
        <v>664000</v>
      </c>
      <c r="F1491" s="555">
        <f t="shared" ca="1" si="413"/>
        <v>0.18998569384835479</v>
      </c>
      <c r="G1491" s="244">
        <f t="shared" ca="1" si="411"/>
        <v>99600</v>
      </c>
    </row>
    <row r="1492" spans="1:7" ht="21" customHeight="1" x14ac:dyDescent="0.25">
      <c r="B1492" s="228" t="s">
        <v>467</v>
      </c>
      <c r="C1492" s="233">
        <f t="shared" ca="1" si="409"/>
        <v>5060000</v>
      </c>
      <c r="D1492" s="250">
        <f t="shared" ca="1" si="412"/>
        <v>4600000</v>
      </c>
      <c r="E1492" s="233">
        <f t="shared" ca="1" si="410"/>
        <v>1533000</v>
      </c>
      <c r="F1492" s="555">
        <f t="shared" ca="1" si="413"/>
        <v>0.33326086956521739</v>
      </c>
      <c r="G1492" s="244">
        <f t="shared" ca="1" si="411"/>
        <v>229950</v>
      </c>
    </row>
    <row r="1493" spans="1:7" ht="21" customHeight="1" x14ac:dyDescent="0.25">
      <c r="B1493" s="228" t="s">
        <v>466</v>
      </c>
      <c r="C1493" s="233">
        <f t="shared" ca="1" si="409"/>
        <v>357500</v>
      </c>
      <c r="D1493" s="250">
        <f t="shared" ca="1" si="412"/>
        <v>325000</v>
      </c>
      <c r="E1493" s="233">
        <f t="shared" ca="1" si="410"/>
        <v>75000</v>
      </c>
      <c r="F1493" s="555">
        <f t="shared" ca="1" si="413"/>
        <v>0.23076923076923078</v>
      </c>
      <c r="G1493" s="244">
        <f t="shared" ca="1" si="411"/>
        <v>11250</v>
      </c>
    </row>
    <row r="1494" spans="1:7" ht="21" customHeight="1" x14ac:dyDescent="0.25">
      <c r="B1494" s="228" t="s">
        <v>434</v>
      </c>
      <c r="C1494" s="233">
        <f t="shared" ca="1" si="409"/>
        <v>12936000.000000002</v>
      </c>
      <c r="D1494" s="250">
        <f t="shared" ca="1" si="412"/>
        <v>11760000.000000002</v>
      </c>
      <c r="E1494" s="233">
        <f t="shared" ca="1" si="410"/>
        <v>4620000</v>
      </c>
      <c r="F1494" s="555">
        <f t="shared" ca="1" si="413"/>
        <v>0.39285714285714279</v>
      </c>
      <c r="G1494" s="244">
        <f t="shared" ca="1" si="411"/>
        <v>693000</v>
      </c>
    </row>
    <row r="1495" spans="1:7" ht="21" customHeight="1" x14ac:dyDescent="0.25">
      <c r="B1495" s="228" t="s">
        <v>3771</v>
      </c>
      <c r="C1495" s="233">
        <f t="shared" ca="1" si="409"/>
        <v>26158000.000000004</v>
      </c>
      <c r="D1495" s="250">
        <f t="shared" ca="1" si="412"/>
        <v>23780000.000000004</v>
      </c>
      <c r="E1495" s="233">
        <f t="shared" ca="1" si="410"/>
        <v>3720000</v>
      </c>
      <c r="F1495" s="555">
        <f t="shared" ca="1" si="413"/>
        <v>0.15643397813288476</v>
      </c>
      <c r="G1495" s="244">
        <f t="shared" ca="1" si="411"/>
        <v>558000</v>
      </c>
    </row>
    <row r="1496" spans="1:7" ht="21" customHeight="1" x14ac:dyDescent="0.25">
      <c r="A1496" s="247"/>
      <c r="B1496" s="279" t="s">
        <v>2741</v>
      </c>
      <c r="C1496" s="544">
        <f ca="1">SUM(C1486:C1495)</f>
        <v>81312000</v>
      </c>
      <c r="D1496" s="544">
        <f ca="1">SUM(D1486:D1495)</f>
        <v>73920000</v>
      </c>
      <c r="E1496" s="544">
        <f ca="1">SUM(E1486:E1495)</f>
        <v>17949376.120000001</v>
      </c>
      <c r="F1496" s="567">
        <f t="shared" ca="1" si="413"/>
        <v>0.24282164664502165</v>
      </c>
      <c r="G1496" s="972">
        <f ca="1">SUM(G1486:G1495)</f>
        <v>2692406.4180000001</v>
      </c>
    </row>
    <row r="1497" spans="1:7" ht="21" customHeight="1" x14ac:dyDescent="0.25">
      <c r="A1497" s="247" t="s">
        <v>3776</v>
      </c>
      <c r="B1497" s="228" t="s">
        <v>453</v>
      </c>
      <c r="C1497" s="233">
        <f t="shared" ref="C1497:C1507" ca="1" si="414">SUMIFS(INDIRECT("Report!F100:F10000"),INDIRECT("Report!B100:B10000"),B1497,INDIRECT("report!H100:H10000"),"Consums",INDIRECT("Report!L100:L10000"),"23,6")</f>
        <v>11379500</v>
      </c>
      <c r="D1497" s="250">
        <f ca="1">(C1497/11*10)</f>
        <v>10345000</v>
      </c>
      <c r="E1497" s="233">
        <f t="shared" ref="E1497:E1507" ca="1" si="415">SUMIFS(INDIRECT("Report!J100:J10000"),INDIRECT("Report!B100:B10000"),B1497,INDIRECT("report!H100:H10000"),"Consums",INDIRECT("Report!L100:L10000"),"23,6")</f>
        <v>1804680</v>
      </c>
      <c r="F1497" s="555">
        <f t="shared" ca="1" si="413"/>
        <v>0.1744494925084582</v>
      </c>
      <c r="G1497" s="244">
        <f t="shared" ref="G1497:G1507" ca="1" si="416">E1497*15%</f>
        <v>270702</v>
      </c>
    </row>
    <row r="1498" spans="1:7" ht="21" customHeight="1" x14ac:dyDescent="0.25">
      <c r="B1498" s="228" t="s">
        <v>2125</v>
      </c>
      <c r="C1498" s="233">
        <f t="shared" ca="1" si="414"/>
        <v>2504040</v>
      </c>
      <c r="D1498" s="250">
        <f t="shared" ref="D1498:D1507" ca="1" si="417">(C1498/11*10)</f>
        <v>2276400</v>
      </c>
      <c r="E1498" s="233">
        <f t="shared" ca="1" si="415"/>
        <v>2276400</v>
      </c>
      <c r="F1498" s="555">
        <f t="shared" ca="1" si="413"/>
        <v>1</v>
      </c>
      <c r="G1498" s="244">
        <f t="shared" ca="1" si="416"/>
        <v>341460</v>
      </c>
    </row>
    <row r="1499" spans="1:7" ht="21" customHeight="1" x14ac:dyDescent="0.25">
      <c r="B1499" s="228" t="s">
        <v>2247</v>
      </c>
      <c r="C1499" s="233">
        <f t="shared" ca="1" si="414"/>
        <v>8459000</v>
      </c>
      <c r="D1499" s="250">
        <f t="shared" ca="1" si="417"/>
        <v>7690000</v>
      </c>
      <c r="E1499" s="233">
        <f t="shared" ca="1" si="415"/>
        <v>1640500</v>
      </c>
      <c r="F1499" s="555">
        <f t="shared" ref="F1499:F1509" ca="1" si="418">E1499/D1499</f>
        <v>0.21332899869960989</v>
      </c>
      <c r="G1499" s="244">
        <f t="shared" ca="1" si="416"/>
        <v>246075</v>
      </c>
    </row>
    <row r="1500" spans="1:7" ht="21" customHeight="1" x14ac:dyDescent="0.25">
      <c r="B1500" s="228" t="s">
        <v>515</v>
      </c>
      <c r="C1500" s="233">
        <f t="shared" ca="1" si="414"/>
        <v>3575000.0000000005</v>
      </c>
      <c r="D1500" s="250">
        <f t="shared" ca="1" si="417"/>
        <v>3250000.0000000005</v>
      </c>
      <c r="E1500" s="233">
        <f t="shared" ca="1" si="415"/>
        <v>850000</v>
      </c>
      <c r="F1500" s="555">
        <f t="shared" ca="1" si="418"/>
        <v>0.2615384615384615</v>
      </c>
      <c r="G1500" s="244">
        <f t="shared" ca="1" si="416"/>
        <v>127500</v>
      </c>
    </row>
    <row r="1501" spans="1:7" ht="21" customHeight="1" x14ac:dyDescent="0.25">
      <c r="B1501" s="228" t="s">
        <v>430</v>
      </c>
      <c r="C1501" s="233">
        <f t="shared" ca="1" si="414"/>
        <v>330000</v>
      </c>
      <c r="D1501" s="250">
        <f t="shared" ca="1" si="417"/>
        <v>300000</v>
      </c>
      <c r="E1501" s="233">
        <f t="shared" ca="1" si="415"/>
        <v>300000</v>
      </c>
      <c r="F1501" s="555">
        <f t="shared" ca="1" si="418"/>
        <v>1</v>
      </c>
      <c r="G1501" s="244">
        <f t="shared" ca="1" si="416"/>
        <v>45000</v>
      </c>
    </row>
    <row r="1502" spans="1:7" ht="21" customHeight="1" x14ac:dyDescent="0.25">
      <c r="B1502" s="228" t="s">
        <v>523</v>
      </c>
      <c r="C1502" s="233">
        <f t="shared" ca="1" si="414"/>
        <v>2967800</v>
      </c>
      <c r="D1502" s="250">
        <f t="shared" ca="1" si="417"/>
        <v>2698000</v>
      </c>
      <c r="E1502" s="233">
        <f t="shared" ca="1" si="415"/>
        <v>488000</v>
      </c>
      <c r="F1502" s="555">
        <f t="shared" ca="1" si="418"/>
        <v>0.18087472201630839</v>
      </c>
      <c r="G1502" s="244">
        <f t="shared" ca="1" si="416"/>
        <v>73200</v>
      </c>
    </row>
    <row r="1503" spans="1:7" ht="21" customHeight="1" x14ac:dyDescent="0.25">
      <c r="B1503" s="228" t="s">
        <v>834</v>
      </c>
      <c r="C1503" s="233">
        <f t="shared" ca="1" si="414"/>
        <v>1918400.0000000002</v>
      </c>
      <c r="D1503" s="250">
        <f t="shared" ca="1" si="417"/>
        <v>1744000.0000000002</v>
      </c>
      <c r="E1503" s="233">
        <f t="shared" ca="1" si="415"/>
        <v>412000</v>
      </c>
      <c r="F1503" s="555">
        <f t="shared" ca="1" si="418"/>
        <v>0.23623853211009171</v>
      </c>
      <c r="G1503" s="244">
        <f t="shared" ca="1" si="416"/>
        <v>61800</v>
      </c>
    </row>
    <row r="1504" spans="1:7" ht="21" customHeight="1" x14ac:dyDescent="0.25">
      <c r="B1504" s="228" t="s">
        <v>467</v>
      </c>
      <c r="C1504" s="233">
        <f t="shared" ca="1" si="414"/>
        <v>4576000.0000000009</v>
      </c>
      <c r="D1504" s="250">
        <f t="shared" ca="1" si="417"/>
        <v>4160000.0000000005</v>
      </c>
      <c r="E1504" s="233">
        <f t="shared" ca="1" si="415"/>
        <v>936000</v>
      </c>
      <c r="F1504" s="555">
        <f t="shared" ca="1" si="418"/>
        <v>0.22499999999999998</v>
      </c>
      <c r="G1504" s="244">
        <f t="shared" ca="1" si="416"/>
        <v>140400</v>
      </c>
    </row>
    <row r="1505" spans="1:7" ht="21" customHeight="1" x14ac:dyDescent="0.25">
      <c r="B1505" s="228" t="s">
        <v>466</v>
      </c>
      <c r="C1505" s="233">
        <f t="shared" ca="1" si="414"/>
        <v>715000</v>
      </c>
      <c r="D1505" s="250">
        <f t="shared" ca="1" si="417"/>
        <v>650000</v>
      </c>
      <c r="E1505" s="233">
        <f t="shared" ca="1" si="415"/>
        <v>150000</v>
      </c>
      <c r="F1505" s="555">
        <f t="shared" ca="1" si="418"/>
        <v>0.23076923076923078</v>
      </c>
      <c r="G1505" s="244">
        <f t="shared" ca="1" si="416"/>
        <v>22500</v>
      </c>
    </row>
    <row r="1506" spans="1:7" ht="21" customHeight="1" x14ac:dyDescent="0.25">
      <c r="B1506" s="228" t="s">
        <v>434</v>
      </c>
      <c r="C1506" s="233">
        <f t="shared" ca="1" si="414"/>
        <v>5544000</v>
      </c>
      <c r="D1506" s="250">
        <f t="shared" ca="1" si="417"/>
        <v>5040000</v>
      </c>
      <c r="E1506" s="233">
        <f t="shared" ca="1" si="415"/>
        <v>1980000</v>
      </c>
      <c r="F1506" s="555">
        <f t="shared" ca="1" si="418"/>
        <v>0.39285714285714285</v>
      </c>
      <c r="G1506" s="244">
        <f t="shared" ca="1" si="416"/>
        <v>297000</v>
      </c>
    </row>
    <row r="1507" spans="1:7" ht="21" customHeight="1" x14ac:dyDescent="0.25">
      <c r="B1507" s="228" t="s">
        <v>972</v>
      </c>
      <c r="C1507" s="233">
        <f t="shared" ca="1" si="414"/>
        <v>880000.00000000012</v>
      </c>
      <c r="D1507" s="250">
        <f t="shared" ca="1" si="417"/>
        <v>800000.00000000012</v>
      </c>
      <c r="E1507" s="233">
        <f t="shared" ca="1" si="415"/>
        <v>200000</v>
      </c>
      <c r="F1507" s="555">
        <f t="shared" ca="1" si="418"/>
        <v>0.24999999999999997</v>
      </c>
      <c r="G1507" s="244">
        <f t="shared" ca="1" si="416"/>
        <v>30000</v>
      </c>
    </row>
    <row r="1508" spans="1:7" ht="21" customHeight="1" x14ac:dyDescent="0.25">
      <c r="A1508" s="247"/>
      <c r="B1508" s="279" t="s">
        <v>2741</v>
      </c>
      <c r="C1508" s="544">
        <f ca="1">SUM(C1497:C1507)</f>
        <v>42848740</v>
      </c>
      <c r="D1508" s="544">
        <f ca="1">SUM(D1497:D1507)</f>
        <v>38953400</v>
      </c>
      <c r="E1508" s="544">
        <f ca="1">SUM(E1497:E1507)</f>
        <v>11037580</v>
      </c>
      <c r="F1508" s="567">
        <f t="shared" ca="1" si="418"/>
        <v>0.28335344283169123</v>
      </c>
      <c r="G1508" s="972">
        <f ca="1">SUM(G1497:G1507)</f>
        <v>1655637</v>
      </c>
    </row>
    <row r="1509" spans="1:7" ht="21" customHeight="1" x14ac:dyDescent="0.25">
      <c r="A1509" s="247" t="s">
        <v>3809</v>
      </c>
      <c r="B1509" s="228" t="s">
        <v>453</v>
      </c>
      <c r="C1509" s="233">
        <f t="shared" ref="C1509:C1517" ca="1" si="419">SUMIFS(INDIRECT("Report!F100:F10000"),INDIRECT("Report!B100:B10000"),B1509,INDIRECT("report!H100:H10000"),"Consums",INDIRECT("Report!L100:L10000"),"23,7")</f>
        <v>11006600</v>
      </c>
      <c r="D1509" s="250">
        <f ca="1">(C1509/11*10)</f>
        <v>10006000</v>
      </c>
      <c r="E1509" s="233">
        <f t="shared" ref="E1509:E1517" ca="1" si="420">SUMIFS(INDIRECT("Report!J100:J10000"),INDIRECT("Report!B100:B10000"),B1509,INDIRECT("report!H100:H10000"),"Consums",INDIRECT("Report!L100:L10000"),"23,7")</f>
        <v>1553240</v>
      </c>
      <c r="F1509" s="555">
        <f t="shared" ca="1" si="418"/>
        <v>0.15523086148311013</v>
      </c>
      <c r="G1509" s="244">
        <f ca="1">E1509*15%</f>
        <v>232986</v>
      </c>
    </row>
    <row r="1510" spans="1:7" ht="21" customHeight="1" x14ac:dyDescent="0.25">
      <c r="B1510" s="228" t="s">
        <v>3822</v>
      </c>
      <c r="C1510" s="233">
        <f t="shared" ca="1" si="419"/>
        <v>132000</v>
      </c>
      <c r="D1510" s="250">
        <f t="shared" ref="D1510:D1517" ca="1" si="421">(C1510/11*10)</f>
        <v>120000</v>
      </c>
      <c r="E1510" s="233">
        <f t="shared" ca="1" si="420"/>
        <v>21800</v>
      </c>
      <c r="F1510" s="555">
        <f t="shared" ref="F1510:F1517" ca="1" si="422">E1510/D1510</f>
        <v>0.18166666666666667</v>
      </c>
      <c r="G1510" s="244">
        <f t="shared" ref="G1510:G1517" ca="1" si="423">E1510*15%</f>
        <v>3270</v>
      </c>
    </row>
    <row r="1511" spans="1:7" ht="21" customHeight="1" x14ac:dyDescent="0.25">
      <c r="B1511" s="228" t="s">
        <v>2247</v>
      </c>
      <c r="C1511" s="233">
        <f t="shared" ca="1" si="419"/>
        <v>11896500</v>
      </c>
      <c r="D1511" s="250">
        <f t="shared" ca="1" si="421"/>
        <v>10815000</v>
      </c>
      <c r="E1511" s="233">
        <f t="shared" ca="1" si="420"/>
        <v>2360500</v>
      </c>
      <c r="F1511" s="555">
        <f t="shared" ca="1" si="422"/>
        <v>0.21826167360147944</v>
      </c>
      <c r="G1511" s="244">
        <f t="shared" ca="1" si="423"/>
        <v>354075</v>
      </c>
    </row>
    <row r="1512" spans="1:7" ht="21" customHeight="1" x14ac:dyDescent="0.25">
      <c r="B1512" s="228" t="s">
        <v>515</v>
      </c>
      <c r="C1512" s="233">
        <f t="shared" ca="1" si="419"/>
        <v>7150000.0000000009</v>
      </c>
      <c r="D1512" s="250">
        <f t="shared" ca="1" si="421"/>
        <v>6500000.0000000009</v>
      </c>
      <c r="E1512" s="233">
        <f t="shared" ca="1" si="420"/>
        <v>1700000</v>
      </c>
      <c r="F1512" s="555">
        <f t="shared" ca="1" si="422"/>
        <v>0.2615384615384615</v>
      </c>
      <c r="G1512" s="244">
        <f t="shared" ca="1" si="423"/>
        <v>255000</v>
      </c>
    </row>
    <row r="1513" spans="1:7" ht="21" customHeight="1" x14ac:dyDescent="0.25">
      <c r="B1513" s="228" t="s">
        <v>430</v>
      </c>
      <c r="C1513" s="233">
        <f t="shared" ca="1" si="419"/>
        <v>1100000</v>
      </c>
      <c r="D1513" s="250">
        <f t="shared" ca="1" si="421"/>
        <v>1000000</v>
      </c>
      <c r="E1513" s="233">
        <f t="shared" ca="1" si="420"/>
        <v>500000</v>
      </c>
      <c r="F1513" s="555">
        <f t="shared" ca="1" si="422"/>
        <v>0.5</v>
      </c>
      <c r="G1513" s="244">
        <f t="shared" ca="1" si="423"/>
        <v>75000</v>
      </c>
    </row>
    <row r="1514" spans="1:7" ht="21" customHeight="1" x14ac:dyDescent="0.25">
      <c r="B1514" s="228" t="s">
        <v>523</v>
      </c>
      <c r="C1514" s="233">
        <f t="shared" ca="1" si="419"/>
        <v>2882000</v>
      </c>
      <c r="D1514" s="250">
        <f t="shared" ca="1" si="421"/>
        <v>2620000</v>
      </c>
      <c r="E1514" s="233">
        <f t="shared" ca="1" si="420"/>
        <v>460000</v>
      </c>
      <c r="F1514" s="555">
        <f t="shared" ca="1" si="422"/>
        <v>0.17557251908396945</v>
      </c>
      <c r="G1514" s="244">
        <f t="shared" ca="1" si="423"/>
        <v>69000</v>
      </c>
    </row>
    <row r="1515" spans="1:7" ht="21" customHeight="1" x14ac:dyDescent="0.25">
      <c r="B1515" s="228" t="s">
        <v>834</v>
      </c>
      <c r="C1515" s="233">
        <f t="shared" ca="1" si="419"/>
        <v>1918400.0000000002</v>
      </c>
      <c r="D1515" s="250">
        <f t="shared" ca="1" si="421"/>
        <v>1744000.0000000002</v>
      </c>
      <c r="E1515" s="233">
        <f t="shared" ca="1" si="420"/>
        <v>412000</v>
      </c>
      <c r="F1515" s="555">
        <f t="shared" ca="1" si="422"/>
        <v>0.23623853211009171</v>
      </c>
      <c r="G1515" s="244">
        <f t="shared" ca="1" si="423"/>
        <v>61800</v>
      </c>
    </row>
    <row r="1516" spans="1:7" ht="21" customHeight="1" x14ac:dyDescent="0.25">
      <c r="B1516" s="228" t="s">
        <v>467</v>
      </c>
      <c r="C1516" s="233">
        <f t="shared" ca="1" si="419"/>
        <v>3448500.0000000005</v>
      </c>
      <c r="D1516" s="250">
        <f t="shared" ca="1" si="421"/>
        <v>3135000.0000000005</v>
      </c>
      <c r="E1516" s="233">
        <f t="shared" ca="1" si="420"/>
        <v>1011000</v>
      </c>
      <c r="F1516" s="555">
        <f t="shared" ca="1" si="422"/>
        <v>0.32248803827751193</v>
      </c>
      <c r="G1516" s="244">
        <f t="shared" ca="1" si="423"/>
        <v>151650</v>
      </c>
    </row>
    <row r="1517" spans="1:7" ht="21" customHeight="1" x14ac:dyDescent="0.25">
      <c r="B1517" s="228" t="s">
        <v>434</v>
      </c>
      <c r="C1517" s="233">
        <f t="shared" ca="1" si="419"/>
        <v>3696000.0000000005</v>
      </c>
      <c r="D1517" s="250">
        <f t="shared" ca="1" si="421"/>
        <v>3360000.0000000005</v>
      </c>
      <c r="E1517" s="233">
        <f t="shared" ca="1" si="420"/>
        <v>1320000</v>
      </c>
      <c r="F1517" s="555">
        <f t="shared" ca="1" si="422"/>
        <v>0.39285714285714279</v>
      </c>
      <c r="G1517" s="244">
        <f t="shared" ca="1" si="423"/>
        <v>198000</v>
      </c>
    </row>
    <row r="1518" spans="1:7" ht="21" customHeight="1" x14ac:dyDescent="0.25">
      <c r="A1518" s="247"/>
      <c r="B1518" s="279" t="s">
        <v>2741</v>
      </c>
      <c r="C1518" s="544">
        <f ca="1">SUM(C1509:C1517)</f>
        <v>43230000</v>
      </c>
      <c r="D1518" s="544">
        <f ca="1">SUM(D1509:D1517)</f>
        <v>39300000</v>
      </c>
      <c r="E1518" s="544">
        <f ca="1">SUM(E1509:E1517)</f>
        <v>9338540</v>
      </c>
      <c r="F1518" s="567">
        <f t="shared" ref="F1518:F1527" ca="1" si="424">E1518/D1518</f>
        <v>0.23762188295165396</v>
      </c>
      <c r="G1518" s="972">
        <f ca="1">SUM(G1509:G1517)</f>
        <v>1400781</v>
      </c>
    </row>
    <row r="1519" spans="1:7" ht="21" customHeight="1" x14ac:dyDescent="0.25">
      <c r="A1519" s="247" t="s">
        <v>3828</v>
      </c>
      <c r="B1519" s="228" t="s">
        <v>453</v>
      </c>
      <c r="C1519" s="233">
        <f t="shared" ref="C1519:C1527" ca="1" si="425">SUMIFS(INDIRECT("Report!F100:F10000"),INDIRECT("Report!B100:B10000"),B1519,INDIRECT("report!H100:H10000"),"Consums",INDIRECT("Report!L100:L10000"),"23,8")</f>
        <v>11590700</v>
      </c>
      <c r="D1519" s="250">
        <f ca="1">(C1519/11*10)</f>
        <v>10537000</v>
      </c>
      <c r="E1519" s="233">
        <f t="shared" ref="E1519:E1527" ca="1" si="426">SUMIFS(INDIRECT("Report!J100:J10000"),INDIRECT("Report!B100:B10000"),B1519,INDIRECT("report!H100:H10000"),"Consums",INDIRECT("Report!L100:L10000"),"23,8")</f>
        <v>1819340</v>
      </c>
      <c r="F1519" s="555">
        <f t="shared" ca="1" si="424"/>
        <v>0.17266204802125842</v>
      </c>
      <c r="G1519" s="244">
        <f t="shared" ref="G1519:G1527" ca="1" si="427">E1519*15%</f>
        <v>272901</v>
      </c>
    </row>
    <row r="1520" spans="1:7" ht="21" customHeight="1" x14ac:dyDescent="0.25">
      <c r="B1520" s="228" t="s">
        <v>2125</v>
      </c>
      <c r="C1520" s="233">
        <f t="shared" ca="1" si="425"/>
        <v>2584120</v>
      </c>
      <c r="D1520" s="250">
        <f t="shared" ref="D1520:D1527" ca="1" si="428">(C1520/11*10)</f>
        <v>2349200</v>
      </c>
      <c r="E1520" s="233">
        <f t="shared" ca="1" si="426"/>
        <v>2349200</v>
      </c>
      <c r="F1520" s="555">
        <f t="shared" ca="1" si="424"/>
        <v>1</v>
      </c>
      <c r="G1520" s="244">
        <f t="shared" ca="1" si="427"/>
        <v>352380</v>
      </c>
    </row>
    <row r="1521" spans="1:7" ht="21" customHeight="1" x14ac:dyDescent="0.25">
      <c r="B1521" s="228" t="s">
        <v>2247</v>
      </c>
      <c r="C1521" s="233">
        <f t="shared" ca="1" si="425"/>
        <v>12435500</v>
      </c>
      <c r="D1521" s="250">
        <f t="shared" ca="1" si="428"/>
        <v>11305000</v>
      </c>
      <c r="E1521" s="233">
        <f t="shared" ca="1" si="426"/>
        <v>2592500</v>
      </c>
      <c r="F1521" s="555">
        <f t="shared" ca="1" si="424"/>
        <v>0.22932330827067668</v>
      </c>
      <c r="G1521" s="244">
        <f t="shared" ca="1" si="427"/>
        <v>388875</v>
      </c>
    </row>
    <row r="1522" spans="1:7" ht="21" customHeight="1" x14ac:dyDescent="0.25">
      <c r="B1522" s="228" t="s">
        <v>515</v>
      </c>
      <c r="C1522" s="233">
        <f t="shared" ca="1" si="425"/>
        <v>7150000.0000000009</v>
      </c>
      <c r="D1522" s="250">
        <f t="shared" ca="1" si="428"/>
        <v>6500000.0000000009</v>
      </c>
      <c r="E1522" s="233">
        <f t="shared" ca="1" si="426"/>
        <v>1700000</v>
      </c>
      <c r="F1522" s="555">
        <f t="shared" ca="1" si="424"/>
        <v>0.2615384615384615</v>
      </c>
      <c r="G1522" s="244">
        <f t="shared" ca="1" si="427"/>
        <v>255000</v>
      </c>
    </row>
    <row r="1523" spans="1:7" ht="21" customHeight="1" x14ac:dyDescent="0.25">
      <c r="B1523" s="228" t="s">
        <v>466</v>
      </c>
      <c r="C1523" s="233">
        <f t="shared" ca="1" si="425"/>
        <v>357500</v>
      </c>
      <c r="D1523" s="250">
        <f t="shared" ca="1" si="428"/>
        <v>325000</v>
      </c>
      <c r="E1523" s="233">
        <f t="shared" ca="1" si="426"/>
        <v>75000</v>
      </c>
      <c r="F1523" s="555">
        <f t="shared" ca="1" si="424"/>
        <v>0.23076923076923078</v>
      </c>
      <c r="G1523" s="244">
        <f t="shared" ca="1" si="427"/>
        <v>11250</v>
      </c>
    </row>
    <row r="1524" spans="1:7" ht="21" customHeight="1" x14ac:dyDescent="0.25">
      <c r="B1524" s="228" t="s">
        <v>523</v>
      </c>
      <c r="C1524" s="233">
        <f t="shared" ca="1" si="425"/>
        <v>1328800.0000000002</v>
      </c>
      <c r="D1524" s="250">
        <f t="shared" ca="1" si="428"/>
        <v>1208000.0000000002</v>
      </c>
      <c r="E1524" s="233">
        <f t="shared" ca="1" si="426"/>
        <v>266000</v>
      </c>
      <c r="F1524" s="555">
        <f t="shared" ca="1" si="424"/>
        <v>0.2201986754966887</v>
      </c>
      <c r="G1524" s="244">
        <f t="shared" ca="1" si="427"/>
        <v>39900</v>
      </c>
    </row>
    <row r="1525" spans="1:7" ht="21" customHeight="1" x14ac:dyDescent="0.25">
      <c r="B1525" s="228" t="s">
        <v>834</v>
      </c>
      <c r="C1525" s="233">
        <f t="shared" ca="1" si="425"/>
        <v>1918400.0000000002</v>
      </c>
      <c r="D1525" s="250">
        <f t="shared" ca="1" si="428"/>
        <v>1744000.0000000002</v>
      </c>
      <c r="E1525" s="233">
        <f t="shared" ca="1" si="426"/>
        <v>412000</v>
      </c>
      <c r="F1525" s="555">
        <f t="shared" ca="1" si="424"/>
        <v>0.23623853211009171</v>
      </c>
      <c r="G1525" s="244">
        <f t="shared" ca="1" si="427"/>
        <v>61800</v>
      </c>
    </row>
    <row r="1526" spans="1:7" ht="21" customHeight="1" x14ac:dyDescent="0.25">
      <c r="B1526" s="228" t="s">
        <v>467</v>
      </c>
      <c r="C1526" s="233">
        <f t="shared" ca="1" si="425"/>
        <v>4554000.0000000009</v>
      </c>
      <c r="D1526" s="250">
        <f t="shared" ca="1" si="428"/>
        <v>4140000.0000000005</v>
      </c>
      <c r="E1526" s="233">
        <f t="shared" ca="1" si="426"/>
        <v>1104000</v>
      </c>
      <c r="F1526" s="555">
        <f t="shared" ca="1" si="424"/>
        <v>0.26666666666666666</v>
      </c>
      <c r="G1526" s="244">
        <f t="shared" ca="1" si="427"/>
        <v>165600</v>
      </c>
    </row>
    <row r="1527" spans="1:7" ht="21" customHeight="1" x14ac:dyDescent="0.25">
      <c r="B1527" s="228" t="s">
        <v>434</v>
      </c>
      <c r="C1527" s="233">
        <f t="shared" ca="1" si="425"/>
        <v>3696000.0000000005</v>
      </c>
      <c r="D1527" s="250">
        <f t="shared" ca="1" si="428"/>
        <v>3360000.0000000005</v>
      </c>
      <c r="E1527" s="233">
        <f t="shared" ca="1" si="426"/>
        <v>1320000</v>
      </c>
      <c r="F1527" s="555">
        <f t="shared" ca="1" si="424"/>
        <v>0.39285714285714279</v>
      </c>
      <c r="G1527" s="244">
        <f t="shared" ca="1" si="427"/>
        <v>198000</v>
      </c>
    </row>
    <row r="1528" spans="1:7" ht="21" customHeight="1" x14ac:dyDescent="0.25">
      <c r="A1528" s="247"/>
      <c r="B1528" s="279" t="s">
        <v>2741</v>
      </c>
      <c r="C1528" s="544">
        <f ca="1">SUM(C1519:C1527)</f>
        <v>45615020</v>
      </c>
      <c r="D1528" s="544">
        <f ca="1">SUM(D1519:D1527)</f>
        <v>41468200</v>
      </c>
      <c r="E1528" s="544">
        <f ca="1">SUM(E1519:E1527)</f>
        <v>11638040</v>
      </c>
      <c r="F1528" s="567">
        <f ca="1">E1528/D1528</f>
        <v>0.28064975089345573</v>
      </c>
      <c r="G1528" s="972">
        <f ca="1">SUM(G1519:G1527)</f>
        <v>1745706</v>
      </c>
    </row>
    <row r="1529" spans="1:7" ht="21" customHeight="1" x14ac:dyDescent="0.25">
      <c r="A1529" s="247" t="s">
        <v>3855</v>
      </c>
      <c r="B1529" s="228" t="s">
        <v>453</v>
      </c>
      <c r="C1529" s="233">
        <f t="shared" ref="C1529:C1537" ca="1" si="429">SUMIFS(INDIRECT("Report!F100:F10000"),INDIRECT("Report!B100:B10000"),B1529,INDIRECT("report!H100:H10000"),"Consums",INDIRECT("Report!L100:L10000"),"23,9")</f>
        <v>12680800</v>
      </c>
      <c r="D1529" s="250">
        <f t="shared" ref="D1529:D1547" ca="1" si="430">(C1529/11*10)</f>
        <v>11528000</v>
      </c>
      <c r="E1529" s="233">
        <f t="shared" ref="E1529:E1537" ca="1" si="431">SUMIFS(INDIRECT("Report!J100:J10000"),INDIRECT("Report!B100:B10000"),B1529,INDIRECT("report!H100:H10000"),"Consums",INDIRECT("Report!L100:L10000"),"23,9")</f>
        <v>1469840</v>
      </c>
      <c r="F1529" s="555">
        <f t="shared" ref="F1529:F1537" ca="1" si="432">E1529/D1529</f>
        <v>0.12750173490631506</v>
      </c>
      <c r="G1529" s="244">
        <f t="shared" ref="G1529:G1537" ca="1" si="433">E1529*15%</f>
        <v>220476</v>
      </c>
    </row>
    <row r="1530" spans="1:7" ht="21" customHeight="1" x14ac:dyDescent="0.25">
      <c r="B1530" s="228" t="s">
        <v>459</v>
      </c>
      <c r="C1530" s="233">
        <f t="shared" ca="1" si="429"/>
        <v>1100000</v>
      </c>
      <c r="D1530" s="250">
        <f t="shared" ca="1" si="430"/>
        <v>1000000</v>
      </c>
      <c r="E1530" s="233">
        <f t="shared" ca="1" si="431"/>
        <v>500000</v>
      </c>
      <c r="F1530" s="555">
        <f t="shared" ca="1" si="432"/>
        <v>0.5</v>
      </c>
      <c r="G1530" s="244">
        <f t="shared" ca="1" si="433"/>
        <v>75000</v>
      </c>
    </row>
    <row r="1531" spans="1:7" ht="21" customHeight="1" x14ac:dyDescent="0.25">
      <c r="B1531" s="228" t="s">
        <v>2247</v>
      </c>
      <c r="C1531" s="233">
        <f t="shared" ca="1" si="429"/>
        <v>10615000</v>
      </c>
      <c r="D1531" s="250">
        <f t="shared" ca="1" si="430"/>
        <v>9650000</v>
      </c>
      <c r="E1531" s="233">
        <f t="shared" ca="1" si="431"/>
        <v>1953500</v>
      </c>
      <c r="F1531" s="555">
        <f t="shared" ca="1" si="432"/>
        <v>0.20243523316062176</v>
      </c>
      <c r="G1531" s="244">
        <f t="shared" ca="1" si="433"/>
        <v>293025</v>
      </c>
    </row>
    <row r="1532" spans="1:7" ht="21" customHeight="1" x14ac:dyDescent="0.25">
      <c r="B1532" s="228" t="s">
        <v>515</v>
      </c>
      <c r="C1532" s="233">
        <f t="shared" ca="1" si="429"/>
        <v>3575000.0000000005</v>
      </c>
      <c r="D1532" s="250">
        <f t="shared" ca="1" si="430"/>
        <v>3250000.0000000005</v>
      </c>
      <c r="E1532" s="233">
        <f t="shared" ca="1" si="431"/>
        <v>850000</v>
      </c>
      <c r="F1532" s="555">
        <f t="shared" ca="1" si="432"/>
        <v>0.2615384615384615</v>
      </c>
      <c r="G1532" s="244">
        <f t="shared" ca="1" si="433"/>
        <v>127500</v>
      </c>
    </row>
    <row r="1533" spans="1:7" ht="21" customHeight="1" x14ac:dyDescent="0.25">
      <c r="B1533" s="228" t="s">
        <v>466</v>
      </c>
      <c r="C1533" s="233">
        <f t="shared" ca="1" si="429"/>
        <v>715000</v>
      </c>
      <c r="D1533" s="250">
        <f t="shared" ca="1" si="430"/>
        <v>650000</v>
      </c>
      <c r="E1533" s="233">
        <f t="shared" ca="1" si="431"/>
        <v>150000</v>
      </c>
      <c r="F1533" s="555">
        <f t="shared" ca="1" si="432"/>
        <v>0.23076923076923078</v>
      </c>
      <c r="G1533" s="244">
        <f t="shared" ca="1" si="433"/>
        <v>22500</v>
      </c>
    </row>
    <row r="1534" spans="1:7" ht="21" customHeight="1" x14ac:dyDescent="0.25">
      <c r="B1534" s="228" t="s">
        <v>523</v>
      </c>
      <c r="C1534" s="233">
        <f t="shared" ca="1" si="429"/>
        <v>2225300.0000000005</v>
      </c>
      <c r="D1534" s="250">
        <f t="shared" ca="1" si="430"/>
        <v>2023000.0000000002</v>
      </c>
      <c r="E1534" s="233">
        <f t="shared" ca="1" si="431"/>
        <v>407000</v>
      </c>
      <c r="F1534" s="555">
        <f t="shared" ca="1" si="432"/>
        <v>0.20118635689569944</v>
      </c>
      <c r="G1534" s="244">
        <f t="shared" ca="1" si="433"/>
        <v>61050</v>
      </c>
    </row>
    <row r="1535" spans="1:7" ht="21" customHeight="1" x14ac:dyDescent="0.25">
      <c r="B1535" s="228" t="s">
        <v>834</v>
      </c>
      <c r="C1535" s="233">
        <f t="shared" ca="1" si="429"/>
        <v>11332200</v>
      </c>
      <c r="D1535" s="250">
        <f t="shared" ca="1" si="430"/>
        <v>10302000</v>
      </c>
      <c r="E1535" s="233">
        <f t="shared" ca="1" si="431"/>
        <v>2235000</v>
      </c>
      <c r="F1535" s="555">
        <f t="shared" ca="1" si="432"/>
        <v>0.21694816540477577</v>
      </c>
      <c r="G1535" s="244">
        <f t="shared" ca="1" si="433"/>
        <v>335250</v>
      </c>
    </row>
    <row r="1536" spans="1:7" ht="21" customHeight="1" x14ac:dyDescent="0.25">
      <c r="B1536" s="228" t="s">
        <v>467</v>
      </c>
      <c r="C1536" s="233">
        <f t="shared" ca="1" si="429"/>
        <v>5060000</v>
      </c>
      <c r="D1536" s="250">
        <f t="shared" ca="1" si="430"/>
        <v>4600000</v>
      </c>
      <c r="E1536" s="233">
        <f t="shared" ca="1" si="431"/>
        <v>1333000</v>
      </c>
      <c r="F1536" s="555">
        <f t="shared" ca="1" si="432"/>
        <v>0.2897826086956522</v>
      </c>
      <c r="G1536" s="244">
        <f t="shared" ca="1" si="433"/>
        <v>199950</v>
      </c>
    </row>
    <row r="1537" spans="1:7" ht="21" customHeight="1" x14ac:dyDescent="0.25">
      <c r="B1537" s="228" t="s">
        <v>434</v>
      </c>
      <c r="C1537" s="233">
        <f t="shared" ca="1" si="429"/>
        <v>4804800</v>
      </c>
      <c r="D1537" s="250">
        <f t="shared" ca="1" si="430"/>
        <v>4368000</v>
      </c>
      <c r="E1537" s="233">
        <f t="shared" ca="1" si="431"/>
        <v>1716000</v>
      </c>
      <c r="F1537" s="555">
        <f t="shared" ca="1" si="432"/>
        <v>0.39285714285714285</v>
      </c>
      <c r="G1537" s="244">
        <f t="shared" ca="1" si="433"/>
        <v>257400</v>
      </c>
    </row>
    <row r="1538" spans="1:7" ht="21" customHeight="1" x14ac:dyDescent="0.25">
      <c r="A1538" s="247"/>
      <c r="B1538" s="279" t="s">
        <v>2741</v>
      </c>
      <c r="C1538" s="544">
        <f ca="1">SUM(C1529:C1537)</f>
        <v>52108100</v>
      </c>
      <c r="D1538" s="544">
        <f ca="1">SUM(D1529:D1537)</f>
        <v>47371000</v>
      </c>
      <c r="E1538" s="544">
        <f ca="1">SUM(E1529:E1537)</f>
        <v>10614340</v>
      </c>
      <c r="F1538" s="567">
        <f ca="1">E1538/D1538</f>
        <v>0.22406831183635559</v>
      </c>
      <c r="G1538" s="972">
        <f ca="1">SUM(G1529:G1537)</f>
        <v>1592151</v>
      </c>
    </row>
    <row r="1539" spans="1:7" ht="21" customHeight="1" x14ac:dyDescent="0.25">
      <c r="A1539" s="247" t="s">
        <v>3901</v>
      </c>
      <c r="B1539" s="228" t="s">
        <v>453</v>
      </c>
      <c r="C1539" s="233">
        <f t="shared" ref="C1539:C1547" ca="1" si="434">SUMIFS(INDIRECT("Report!F100:F10000"),INDIRECT("Report!B100:B10000"),B1539,INDIRECT("report!H100:H10000"),"Consums",INDIRECT("Report!L100:L10000"),"23,10")</f>
        <v>9683300</v>
      </c>
      <c r="D1539" s="250">
        <f t="shared" ca="1" si="430"/>
        <v>8803000</v>
      </c>
      <c r="E1539" s="233">
        <f t="shared" ref="E1539:E1547" ca="1" si="435">SUMIFS(INDIRECT("Report!J100:J10000"),INDIRECT("Report!B100:B10000"),B1539,INDIRECT("report!H100:H10000"),"Consums",INDIRECT("Report!L100:L10000"),"23,10")</f>
        <v>1498620</v>
      </c>
      <c r="F1539" s="555">
        <f t="shared" ref="F1539:F1547" ca="1" si="436">E1539/D1539</f>
        <v>0.1702396910144269</v>
      </c>
      <c r="G1539" s="244">
        <f t="shared" ref="G1539:G1547" ca="1" si="437">E1539*15%</f>
        <v>224793</v>
      </c>
    </row>
    <row r="1540" spans="1:7" ht="21" customHeight="1" x14ac:dyDescent="0.25">
      <c r="B1540" s="228" t="s">
        <v>459</v>
      </c>
      <c r="C1540" s="233">
        <f t="shared" ca="1" si="434"/>
        <v>1100000</v>
      </c>
      <c r="D1540" s="250">
        <f t="shared" ca="1" si="430"/>
        <v>1000000</v>
      </c>
      <c r="E1540" s="233">
        <f t="shared" ca="1" si="435"/>
        <v>500000</v>
      </c>
      <c r="F1540" s="555">
        <f t="shared" ca="1" si="436"/>
        <v>0.5</v>
      </c>
      <c r="G1540" s="244">
        <f t="shared" ca="1" si="437"/>
        <v>75000</v>
      </c>
    </row>
    <row r="1541" spans="1:7" ht="21" customHeight="1" x14ac:dyDescent="0.25">
      <c r="B1541" s="228" t="s">
        <v>2247</v>
      </c>
      <c r="C1541" s="233">
        <f t="shared" ca="1" si="434"/>
        <v>14619000</v>
      </c>
      <c r="D1541" s="250">
        <f t="shared" ca="1" si="430"/>
        <v>13290000</v>
      </c>
      <c r="E1541" s="233">
        <f t="shared" ca="1" si="435"/>
        <v>3510000</v>
      </c>
      <c r="F1541" s="555">
        <f t="shared" ca="1" si="436"/>
        <v>0.26410835214446954</v>
      </c>
      <c r="G1541" s="244">
        <f t="shared" ca="1" si="437"/>
        <v>526500</v>
      </c>
    </row>
    <row r="1542" spans="1:7" ht="21" customHeight="1" x14ac:dyDescent="0.25">
      <c r="B1542" s="228" t="s">
        <v>515</v>
      </c>
      <c r="C1542" s="233">
        <f t="shared" ca="1" si="434"/>
        <v>7150000.0000000009</v>
      </c>
      <c r="D1542" s="250">
        <f t="shared" ca="1" si="430"/>
        <v>6500000.0000000009</v>
      </c>
      <c r="E1542" s="233">
        <f t="shared" ca="1" si="435"/>
        <v>1700000</v>
      </c>
      <c r="F1542" s="555">
        <f t="shared" ca="1" si="436"/>
        <v>0.2615384615384615</v>
      </c>
      <c r="G1542" s="244">
        <f t="shared" ca="1" si="437"/>
        <v>255000</v>
      </c>
    </row>
    <row r="1543" spans="1:7" ht="21" customHeight="1" x14ac:dyDescent="0.25">
      <c r="B1543" s="228" t="s">
        <v>466</v>
      </c>
      <c r="C1543" s="233">
        <f t="shared" ca="1" si="434"/>
        <v>357500</v>
      </c>
      <c r="D1543" s="250">
        <f t="shared" ca="1" si="430"/>
        <v>325000</v>
      </c>
      <c r="E1543" s="233">
        <f t="shared" ca="1" si="435"/>
        <v>75000</v>
      </c>
      <c r="F1543" s="555">
        <f t="shared" ca="1" si="436"/>
        <v>0.23076923076923078</v>
      </c>
      <c r="G1543" s="244">
        <f t="shared" ca="1" si="437"/>
        <v>11250</v>
      </c>
    </row>
    <row r="1544" spans="1:7" ht="21" customHeight="1" x14ac:dyDescent="0.25">
      <c r="B1544" s="228" t="s">
        <v>523</v>
      </c>
      <c r="C1544" s="233">
        <f t="shared" ca="1" si="434"/>
        <v>2090000.0000000002</v>
      </c>
      <c r="D1544" s="250">
        <f t="shared" ca="1" si="430"/>
        <v>1900000.0000000002</v>
      </c>
      <c r="E1544" s="233">
        <f t="shared" ca="1" si="435"/>
        <v>372000</v>
      </c>
      <c r="F1544" s="555">
        <f t="shared" ca="1" si="436"/>
        <v>0.19578947368421051</v>
      </c>
      <c r="G1544" s="244">
        <f t="shared" ca="1" si="437"/>
        <v>55800</v>
      </c>
    </row>
    <row r="1545" spans="1:7" ht="21" customHeight="1" x14ac:dyDescent="0.25">
      <c r="B1545" s="228" t="s">
        <v>2125</v>
      </c>
      <c r="C1545" s="233">
        <f t="shared" ca="1" si="434"/>
        <v>2231955</v>
      </c>
      <c r="D1545" s="250">
        <f t="shared" ca="1" si="430"/>
        <v>2029050</v>
      </c>
      <c r="E1545" s="233">
        <f t="shared" ca="1" si="435"/>
        <v>2029050</v>
      </c>
      <c r="F1545" s="555">
        <f t="shared" ca="1" si="436"/>
        <v>1</v>
      </c>
      <c r="G1545" s="244">
        <f t="shared" ca="1" si="437"/>
        <v>304357.5</v>
      </c>
    </row>
    <row r="1546" spans="1:7" ht="21" customHeight="1" x14ac:dyDescent="0.25">
      <c r="B1546" s="228" t="s">
        <v>467</v>
      </c>
      <c r="C1546" s="233">
        <f t="shared" ca="1" si="434"/>
        <v>6699000.0000000009</v>
      </c>
      <c r="D1546" s="250">
        <f t="shared" ca="1" si="430"/>
        <v>6090000.0000000009</v>
      </c>
      <c r="E1546" s="233">
        <f t="shared" ca="1" si="435"/>
        <v>1554000</v>
      </c>
      <c r="F1546" s="555">
        <f t="shared" ca="1" si="436"/>
        <v>0.2551724137931034</v>
      </c>
      <c r="G1546" s="244">
        <f t="shared" ca="1" si="437"/>
        <v>233100</v>
      </c>
    </row>
    <row r="1547" spans="1:7" ht="21" customHeight="1" x14ac:dyDescent="0.25">
      <c r="B1547" s="228" t="s">
        <v>434</v>
      </c>
      <c r="C1547" s="233">
        <f t="shared" ca="1" si="434"/>
        <v>7392000.0000000009</v>
      </c>
      <c r="D1547" s="250">
        <f t="shared" ca="1" si="430"/>
        <v>6720000.0000000009</v>
      </c>
      <c r="E1547" s="233">
        <f t="shared" ca="1" si="435"/>
        <v>2640000</v>
      </c>
      <c r="F1547" s="555">
        <f t="shared" ca="1" si="436"/>
        <v>0.39285714285714279</v>
      </c>
      <c r="G1547" s="244">
        <f t="shared" ca="1" si="437"/>
        <v>396000</v>
      </c>
    </row>
    <row r="1548" spans="1:7" ht="21" customHeight="1" x14ac:dyDescent="0.25">
      <c r="A1548" s="247"/>
      <c r="B1548" s="279" t="s">
        <v>2741</v>
      </c>
      <c r="C1548" s="544">
        <f ca="1">SUM(C1539:C1547)</f>
        <v>51322755</v>
      </c>
      <c r="D1548" s="544">
        <f ca="1">SUM(D1539:D1547)</f>
        <v>46657050</v>
      </c>
      <c r="E1548" s="544">
        <f ca="1">SUM(E1539:E1547)</f>
        <v>13878670</v>
      </c>
      <c r="F1548" s="567">
        <f ca="1">E1548/D1548</f>
        <v>0.29746136971797404</v>
      </c>
      <c r="G1548" s="972">
        <f ca="1">SUM(G1539:G1547)</f>
        <v>2081800.5</v>
      </c>
    </row>
    <row r="1549" spans="1:7" ht="21" customHeight="1" x14ac:dyDescent="0.25">
      <c r="A1549" s="247" t="s">
        <v>3926</v>
      </c>
      <c r="B1549" s="228" t="s">
        <v>453</v>
      </c>
      <c r="C1549" s="233">
        <f t="shared" ref="C1549:C1558" ca="1" si="438">SUMIFS(INDIRECT("Report!F100:F10000"),INDIRECT("Report!B100:B10000"),B1549,INDIRECT("report!H100:H10000"),"Consums",INDIRECT("Report!L100:L10000"),"23,11")</f>
        <v>19107000</v>
      </c>
      <c r="D1549" s="250">
        <f t="shared" ref="D1549:D1550" ca="1" si="439">(C1549/11*10)</f>
        <v>17370000</v>
      </c>
      <c r="E1549" s="233">
        <f t="shared" ref="E1549:E1558" ca="1" si="440">SUMIFS(INDIRECT("Report!J100:J10000"),INDIRECT("Report!B100:B10000"),B1549,INDIRECT("report!H100:H10000"),"Consums",INDIRECT("Report!L100:L10000"),"23,11")</f>
        <v>3179485</v>
      </c>
      <c r="F1549" s="555">
        <f t="shared" ref="F1549:F1558" ca="1" si="441">E1549/D1549</f>
        <v>0.18304461715601611</v>
      </c>
      <c r="G1549" s="244">
        <f t="shared" ref="G1549:G1558" ca="1" si="442">E1549*15%</f>
        <v>476922.75</v>
      </c>
    </row>
    <row r="1550" spans="1:7" ht="21" customHeight="1" x14ac:dyDescent="0.25">
      <c r="A1550" s="247"/>
      <c r="B1550" s="228" t="s">
        <v>834</v>
      </c>
      <c r="C1550" s="233">
        <f t="shared" ca="1" si="438"/>
        <v>3836800.0000000005</v>
      </c>
      <c r="D1550" s="250">
        <f t="shared" ca="1" si="439"/>
        <v>3488000.0000000005</v>
      </c>
      <c r="E1550" s="233">
        <f t="shared" ca="1" si="440"/>
        <v>824000</v>
      </c>
      <c r="F1550" s="555">
        <f t="shared" ref="F1550" ca="1" si="443">E1550/D1550</f>
        <v>0.23623853211009171</v>
      </c>
      <c r="G1550" s="244">
        <f t="shared" ref="G1550" ca="1" si="444">E1550*15%</f>
        <v>123600</v>
      </c>
    </row>
    <row r="1551" spans="1:7" ht="21" customHeight="1" x14ac:dyDescent="0.25">
      <c r="B1551" s="228" t="s">
        <v>459</v>
      </c>
      <c r="C1551" s="233">
        <f t="shared" ca="1" si="438"/>
        <v>1100000</v>
      </c>
      <c r="D1551" s="250">
        <f t="shared" ref="D1551:D1558" ca="1" si="445">(C1551/11*10)</f>
        <v>1000000</v>
      </c>
      <c r="E1551" s="233">
        <f t="shared" ca="1" si="440"/>
        <v>500000</v>
      </c>
      <c r="F1551" s="555">
        <f t="shared" ca="1" si="441"/>
        <v>0.5</v>
      </c>
      <c r="G1551" s="244">
        <f t="shared" ca="1" si="442"/>
        <v>75000</v>
      </c>
    </row>
    <row r="1552" spans="1:7" ht="21" customHeight="1" x14ac:dyDescent="0.25">
      <c r="B1552" s="228" t="s">
        <v>2247</v>
      </c>
      <c r="C1552" s="233">
        <f t="shared" ca="1" si="438"/>
        <v>16687000</v>
      </c>
      <c r="D1552" s="250">
        <f t="shared" ca="1" si="445"/>
        <v>15170000</v>
      </c>
      <c r="E1552" s="233">
        <f t="shared" ca="1" si="440"/>
        <v>3181000</v>
      </c>
      <c r="F1552" s="555">
        <f t="shared" ca="1" si="441"/>
        <v>0.20969017798286091</v>
      </c>
      <c r="G1552" s="244">
        <f t="shared" ca="1" si="442"/>
        <v>477150</v>
      </c>
    </row>
    <row r="1553" spans="1:7" ht="21" customHeight="1" x14ac:dyDescent="0.25">
      <c r="B1553" s="228" t="s">
        <v>515</v>
      </c>
      <c r="C1553" s="233">
        <f t="shared" ca="1" si="438"/>
        <v>10725000.000000002</v>
      </c>
      <c r="D1553" s="250">
        <f t="shared" ca="1" si="445"/>
        <v>9750000.0000000019</v>
      </c>
      <c r="E1553" s="233">
        <f t="shared" ca="1" si="440"/>
        <v>2550000</v>
      </c>
      <c r="F1553" s="555">
        <f t="shared" ca="1" si="441"/>
        <v>0.2615384615384615</v>
      </c>
      <c r="G1553" s="244">
        <f t="shared" ca="1" si="442"/>
        <v>382500</v>
      </c>
    </row>
    <row r="1554" spans="1:7" ht="21" customHeight="1" x14ac:dyDescent="0.25">
      <c r="B1554" s="228" t="s">
        <v>466</v>
      </c>
      <c r="C1554" s="233">
        <f t="shared" ca="1" si="438"/>
        <v>1072500</v>
      </c>
      <c r="D1554" s="250">
        <f t="shared" ca="1" si="445"/>
        <v>975000</v>
      </c>
      <c r="E1554" s="233">
        <f t="shared" ca="1" si="440"/>
        <v>225000</v>
      </c>
      <c r="F1554" s="555">
        <f t="shared" ca="1" si="441"/>
        <v>0.23076923076923078</v>
      </c>
      <c r="G1554" s="244">
        <f t="shared" ca="1" si="442"/>
        <v>33750</v>
      </c>
    </row>
    <row r="1555" spans="1:7" ht="21" customHeight="1" x14ac:dyDescent="0.25">
      <c r="B1555" s="228" t="s">
        <v>523</v>
      </c>
      <c r="C1555" s="233">
        <f t="shared" ca="1" si="438"/>
        <v>2458500</v>
      </c>
      <c r="D1555" s="250">
        <f t="shared" ca="1" si="445"/>
        <v>2235000</v>
      </c>
      <c r="E1555" s="233">
        <f t="shared" ca="1" si="440"/>
        <v>393000</v>
      </c>
      <c r="F1555" s="555">
        <f t="shared" ca="1" si="441"/>
        <v>0.17583892617449665</v>
      </c>
      <c r="G1555" s="244">
        <f t="shared" ca="1" si="442"/>
        <v>58950</v>
      </c>
    </row>
    <row r="1556" spans="1:7" ht="21" customHeight="1" x14ac:dyDescent="0.25">
      <c r="B1556" s="228" t="s">
        <v>1654</v>
      </c>
      <c r="C1556" s="233">
        <f t="shared" ca="1" si="438"/>
        <v>396000.00000000006</v>
      </c>
      <c r="D1556" s="250">
        <f t="shared" ca="1" si="445"/>
        <v>360000.00000000006</v>
      </c>
      <c r="E1556" s="233">
        <f t="shared" ca="1" si="440"/>
        <v>40000</v>
      </c>
      <c r="F1556" s="555">
        <f t="shared" ca="1" si="441"/>
        <v>0.11111111111111109</v>
      </c>
      <c r="G1556" s="244">
        <f t="shared" ca="1" si="442"/>
        <v>6000</v>
      </c>
    </row>
    <row r="1557" spans="1:7" ht="21" customHeight="1" x14ac:dyDescent="0.25">
      <c r="B1557" s="228" t="s">
        <v>467</v>
      </c>
      <c r="C1557" s="233">
        <f t="shared" ca="1" si="438"/>
        <v>3916000.0000000009</v>
      </c>
      <c r="D1557" s="250">
        <f t="shared" ca="1" si="445"/>
        <v>3560000.0000000005</v>
      </c>
      <c r="E1557" s="233">
        <f t="shared" ca="1" si="440"/>
        <v>886000</v>
      </c>
      <c r="F1557" s="555">
        <f t="shared" ca="1" si="441"/>
        <v>0.248876404494382</v>
      </c>
      <c r="G1557" s="244">
        <f t="shared" ca="1" si="442"/>
        <v>132900</v>
      </c>
    </row>
    <row r="1558" spans="1:7" ht="21" customHeight="1" x14ac:dyDescent="0.25">
      <c r="B1558" s="228" t="s">
        <v>434</v>
      </c>
      <c r="C1558" s="233">
        <f t="shared" ca="1" si="438"/>
        <v>7392000.0000000009</v>
      </c>
      <c r="D1558" s="250">
        <f t="shared" ca="1" si="445"/>
        <v>6720000.0000000009</v>
      </c>
      <c r="E1558" s="233">
        <f t="shared" ca="1" si="440"/>
        <v>2640000</v>
      </c>
      <c r="F1558" s="555">
        <f t="shared" ca="1" si="441"/>
        <v>0.39285714285714279</v>
      </c>
      <c r="G1558" s="244">
        <f t="shared" ca="1" si="442"/>
        <v>396000</v>
      </c>
    </row>
    <row r="1559" spans="1:7" ht="21" customHeight="1" x14ac:dyDescent="0.25">
      <c r="A1559" s="247"/>
      <c r="B1559" s="279" t="s">
        <v>2741</v>
      </c>
      <c r="C1559" s="544">
        <f ca="1">SUM(C1549:C1558)</f>
        <v>66690800</v>
      </c>
      <c r="D1559" s="544">
        <f ca="1">SUM(D1549:D1558)</f>
        <v>60628000</v>
      </c>
      <c r="E1559" s="544">
        <f ca="1">SUM(E1549:E1558)</f>
        <v>14418485</v>
      </c>
      <c r="F1559" s="567">
        <f ca="1">E1559/D1559</f>
        <v>0.23781891205383651</v>
      </c>
      <c r="G1559" s="972">
        <f ca="1">SUM(G1549:G1558)</f>
        <v>2162772.75</v>
      </c>
    </row>
    <row r="1560" spans="1:7" ht="21" customHeight="1" x14ac:dyDescent="0.25">
      <c r="A1560" s="247" t="s">
        <v>3970</v>
      </c>
      <c r="B1560" s="228" t="s">
        <v>453</v>
      </c>
      <c r="C1560" s="233">
        <f t="shared" ref="C1560:C1570" ca="1" si="446">SUMIFS(INDIRECT("Report!F100:F10000"),INDIRECT("Report!B100:B10000"),B1560,INDIRECT("report!H100:H10000"),"Consums",INDIRECT("Report!L100:L10000"),"23,12")</f>
        <v>5806900</v>
      </c>
      <c r="D1560" s="250">
        <f t="shared" ref="D1560" ca="1" si="447">(C1560/11*10)</f>
        <v>5279000</v>
      </c>
      <c r="E1560" s="233">
        <f t="shared" ref="E1560:E1570" ca="1" si="448">SUMIFS(INDIRECT("Report!J100:J10000"),INDIRECT("Report!B100:B10000"),B1560,INDIRECT("report!H100:H10000"),"Consums",INDIRECT("Report!L100:L10000"),"23,12")</f>
        <v>1206440</v>
      </c>
      <c r="F1560" s="555">
        <f t="shared" ref="F1560:F1570" ca="1" si="449">E1560/D1560</f>
        <v>0.2285357075203637</v>
      </c>
      <c r="G1560" s="244">
        <f t="shared" ref="G1560:G1570" ca="1" si="450">E1560*15%</f>
        <v>180966</v>
      </c>
    </row>
    <row r="1561" spans="1:7" ht="21" customHeight="1" x14ac:dyDescent="0.25">
      <c r="A1561" s="247"/>
      <c r="B1561" s="228" t="s">
        <v>834</v>
      </c>
      <c r="C1561" s="233">
        <f t="shared" ca="1" si="446"/>
        <v>3836800.0000000005</v>
      </c>
      <c r="D1561" s="250">
        <f t="shared" ref="D1561:D1570" ca="1" si="451">(C1561/11*10)</f>
        <v>3488000.0000000005</v>
      </c>
      <c r="E1561" s="233">
        <f t="shared" ca="1" si="448"/>
        <v>824000</v>
      </c>
      <c r="F1561" s="555">
        <f t="shared" ca="1" si="449"/>
        <v>0.23623853211009171</v>
      </c>
      <c r="G1561" s="244">
        <f t="shared" ca="1" si="450"/>
        <v>123600</v>
      </c>
    </row>
    <row r="1562" spans="1:7" ht="21" customHeight="1" x14ac:dyDescent="0.25">
      <c r="B1562" s="228" t="s">
        <v>459</v>
      </c>
      <c r="C1562" s="233">
        <f t="shared" ca="1" si="446"/>
        <v>1100000</v>
      </c>
      <c r="D1562" s="250">
        <f t="shared" ca="1" si="451"/>
        <v>1000000</v>
      </c>
      <c r="E1562" s="233">
        <f t="shared" ca="1" si="448"/>
        <v>500000</v>
      </c>
      <c r="F1562" s="555">
        <f t="shared" ca="1" si="449"/>
        <v>0.5</v>
      </c>
      <c r="G1562" s="244">
        <f t="shared" ca="1" si="450"/>
        <v>75000</v>
      </c>
    </row>
    <row r="1563" spans="1:7" ht="21" customHeight="1" x14ac:dyDescent="0.25">
      <c r="B1563" s="228" t="s">
        <v>2247</v>
      </c>
      <c r="C1563" s="233">
        <f t="shared" ca="1" si="446"/>
        <v>14107500</v>
      </c>
      <c r="D1563" s="250">
        <f t="shared" ca="1" si="451"/>
        <v>12825000</v>
      </c>
      <c r="E1563" s="233">
        <f t="shared" ca="1" si="448"/>
        <v>3110500</v>
      </c>
      <c r="F1563" s="555">
        <f t="shared" ca="1" si="449"/>
        <v>0.24253411306042885</v>
      </c>
      <c r="G1563" s="244">
        <f t="shared" ca="1" si="450"/>
        <v>466575</v>
      </c>
    </row>
    <row r="1564" spans="1:7" ht="21" customHeight="1" x14ac:dyDescent="0.25">
      <c r="B1564" s="228" t="s">
        <v>515</v>
      </c>
      <c r="C1564" s="233">
        <f t="shared" ca="1" si="446"/>
        <v>7150000.0000000009</v>
      </c>
      <c r="D1564" s="250">
        <f t="shared" ca="1" si="451"/>
        <v>6500000.0000000009</v>
      </c>
      <c r="E1564" s="233">
        <f t="shared" ca="1" si="448"/>
        <v>1700000</v>
      </c>
      <c r="F1564" s="555">
        <f t="shared" ca="1" si="449"/>
        <v>0.2615384615384615</v>
      </c>
      <c r="G1564" s="244">
        <f t="shared" ca="1" si="450"/>
        <v>255000</v>
      </c>
    </row>
    <row r="1565" spans="1:7" ht="21" customHeight="1" x14ac:dyDescent="0.25">
      <c r="B1565" s="228" t="s">
        <v>466</v>
      </c>
      <c r="C1565" s="233">
        <f t="shared" ca="1" si="446"/>
        <v>715000</v>
      </c>
      <c r="D1565" s="250">
        <f t="shared" ca="1" si="451"/>
        <v>650000</v>
      </c>
      <c r="E1565" s="233">
        <f t="shared" ca="1" si="448"/>
        <v>150000</v>
      </c>
      <c r="F1565" s="555">
        <f t="shared" ca="1" si="449"/>
        <v>0.23076923076923078</v>
      </c>
      <c r="G1565" s="244">
        <f t="shared" ca="1" si="450"/>
        <v>22500</v>
      </c>
    </row>
    <row r="1566" spans="1:7" ht="21" customHeight="1" x14ac:dyDescent="0.25">
      <c r="B1566" s="228" t="s">
        <v>523</v>
      </c>
      <c r="C1566" s="233">
        <f t="shared" ca="1" si="446"/>
        <v>1933800</v>
      </c>
      <c r="D1566" s="250">
        <f t="shared" ca="1" si="451"/>
        <v>1758000</v>
      </c>
      <c r="E1566" s="233">
        <f t="shared" ca="1" si="448"/>
        <v>408000</v>
      </c>
      <c r="F1566" s="555">
        <f t="shared" ca="1" si="449"/>
        <v>0.23208191126279865</v>
      </c>
      <c r="G1566" s="244">
        <f t="shared" ca="1" si="450"/>
        <v>61200</v>
      </c>
    </row>
    <row r="1567" spans="1:7" ht="21" customHeight="1" x14ac:dyDescent="0.25">
      <c r="B1567" s="228" t="s">
        <v>3407</v>
      </c>
      <c r="C1567" s="233">
        <f t="shared" ca="1" si="446"/>
        <v>5115000</v>
      </c>
      <c r="D1567" s="250">
        <f t="shared" ca="1" si="451"/>
        <v>4650000</v>
      </c>
      <c r="E1567" s="233">
        <f t="shared" ca="1" si="448"/>
        <v>2722500</v>
      </c>
      <c r="F1567" s="555">
        <f t="shared" ca="1" si="449"/>
        <v>0.5854838709677419</v>
      </c>
      <c r="G1567" s="244">
        <f t="shared" ca="1" si="450"/>
        <v>408375</v>
      </c>
    </row>
    <row r="1568" spans="1:7" ht="21" customHeight="1" x14ac:dyDescent="0.25">
      <c r="B1568" s="228" t="s">
        <v>467</v>
      </c>
      <c r="C1568" s="233">
        <f t="shared" ca="1" si="446"/>
        <v>3663000</v>
      </c>
      <c r="D1568" s="250">
        <f t="shared" ca="1" si="451"/>
        <v>3330000</v>
      </c>
      <c r="E1568" s="233">
        <f t="shared" ca="1" si="448"/>
        <v>818000</v>
      </c>
      <c r="F1568" s="555">
        <f t="shared" ca="1" si="449"/>
        <v>0.24564564564564564</v>
      </c>
      <c r="G1568" s="244">
        <f t="shared" ca="1" si="450"/>
        <v>122700</v>
      </c>
    </row>
    <row r="1569" spans="1:7" ht="21" customHeight="1" x14ac:dyDescent="0.25">
      <c r="B1569" s="228" t="s">
        <v>2125</v>
      </c>
      <c r="C1569" s="233">
        <f t="shared" ca="1" si="446"/>
        <v>2673000</v>
      </c>
      <c r="D1569" s="250">
        <f t="shared" ca="1" si="451"/>
        <v>2430000</v>
      </c>
      <c r="E1569" s="233">
        <f t="shared" ca="1" si="448"/>
        <v>2430000</v>
      </c>
      <c r="F1569" s="555">
        <f t="shared" ca="1" si="449"/>
        <v>1</v>
      </c>
      <c r="G1569" s="244">
        <f t="shared" ca="1" si="450"/>
        <v>364500</v>
      </c>
    </row>
    <row r="1570" spans="1:7" ht="21" customHeight="1" x14ac:dyDescent="0.25">
      <c r="B1570" s="228" t="s">
        <v>434</v>
      </c>
      <c r="C1570" s="233">
        <f t="shared" ca="1" si="446"/>
        <v>11088000</v>
      </c>
      <c r="D1570" s="250">
        <f t="shared" ca="1" si="451"/>
        <v>10080000</v>
      </c>
      <c r="E1570" s="233">
        <f t="shared" ca="1" si="448"/>
        <v>3960000</v>
      </c>
      <c r="F1570" s="555">
        <f t="shared" ca="1" si="449"/>
        <v>0.39285714285714285</v>
      </c>
      <c r="G1570" s="244">
        <f t="shared" ca="1" si="450"/>
        <v>594000</v>
      </c>
    </row>
    <row r="1571" spans="1:7" ht="21" customHeight="1" x14ac:dyDescent="0.25">
      <c r="A1571" s="247"/>
      <c r="B1571" s="279" t="s">
        <v>2741</v>
      </c>
      <c r="C1571" s="544">
        <f ca="1">SUM(C1560:C1570)</f>
        <v>57189000</v>
      </c>
      <c r="D1571" s="544">
        <f ca="1">SUM(D1560:D1570)</f>
        <v>51990000</v>
      </c>
      <c r="E1571" s="544">
        <f ca="1">SUM(E1560:E1570)</f>
        <v>17829440</v>
      </c>
      <c r="F1571" s="567">
        <f ca="1">E1571/D1571</f>
        <v>0.34293979611463743</v>
      </c>
      <c r="G1571" s="972">
        <f ca="1">SUM(G1560:G1570)</f>
        <v>2674416</v>
      </c>
    </row>
    <row r="1572" spans="1:7" ht="21" customHeight="1" x14ac:dyDescent="0.25">
      <c r="A1572" s="247" t="s">
        <v>3998</v>
      </c>
      <c r="B1572" s="228" t="s">
        <v>453</v>
      </c>
      <c r="C1572" s="233">
        <f t="shared" ref="C1572:C1581" ca="1" si="452">SUMIFS(INDIRECT("Report!F100:F10000"),INDIRECT("Report!B100:B10000"),B1572,INDIRECT("report!H100:H10000"),"Consums",INDIRECT("Report!L100:L10000"),"24,1")</f>
        <v>14561800</v>
      </c>
      <c r="D1572" s="250">
        <f t="shared" ref="D1572" ca="1" si="453">(C1572/11*10)</f>
        <v>13238000</v>
      </c>
      <c r="E1572" s="233">
        <f t="shared" ref="E1572:E1581" ca="1" si="454">SUMIFS(INDIRECT("Report!J100:J10000"),INDIRECT("Report!B100:B10000"),B1572,INDIRECT("report!H100:H10000"),"Consums",INDIRECT("Report!L100:L10000"),"24,1")</f>
        <v>2490610</v>
      </c>
      <c r="F1572" s="555">
        <f t="shared" ref="F1572:F1581" ca="1" si="455">E1572/D1572</f>
        <v>0.18814095784861762</v>
      </c>
      <c r="G1572" s="244">
        <f t="shared" ref="G1572:G1581" ca="1" si="456">E1572*15%</f>
        <v>373591.5</v>
      </c>
    </row>
    <row r="1573" spans="1:7" ht="21" customHeight="1" x14ac:dyDescent="0.25">
      <c r="A1573" s="247"/>
      <c r="B1573" s="228" t="s">
        <v>834</v>
      </c>
      <c r="C1573" s="233">
        <f t="shared" ca="1" si="452"/>
        <v>1918400.0000000002</v>
      </c>
      <c r="D1573" s="250">
        <f t="shared" ref="D1573:D1581" ca="1" si="457">(C1573/11*10)</f>
        <v>1744000.0000000002</v>
      </c>
      <c r="E1573" s="233">
        <f t="shared" ca="1" si="454"/>
        <v>824000</v>
      </c>
      <c r="F1573" s="555">
        <f t="shared" ca="1" si="455"/>
        <v>0.47247706422018343</v>
      </c>
      <c r="G1573" s="244">
        <f t="shared" ca="1" si="456"/>
        <v>123600</v>
      </c>
    </row>
    <row r="1574" spans="1:7" ht="21" customHeight="1" x14ac:dyDescent="0.25">
      <c r="B1574" s="228" t="s">
        <v>459</v>
      </c>
      <c r="C1574" s="233">
        <f t="shared" ca="1" si="452"/>
        <v>1100000</v>
      </c>
      <c r="D1574" s="250">
        <f t="shared" ca="1" si="457"/>
        <v>1000000</v>
      </c>
      <c r="E1574" s="233">
        <f t="shared" ca="1" si="454"/>
        <v>500000</v>
      </c>
      <c r="F1574" s="555">
        <f t="shared" ca="1" si="455"/>
        <v>0.5</v>
      </c>
      <c r="G1574" s="244">
        <f t="shared" ca="1" si="456"/>
        <v>75000</v>
      </c>
    </row>
    <row r="1575" spans="1:7" ht="21" customHeight="1" x14ac:dyDescent="0.25">
      <c r="B1575" s="228" t="s">
        <v>2247</v>
      </c>
      <c r="C1575" s="233">
        <f t="shared" ca="1" si="452"/>
        <v>11665500</v>
      </c>
      <c r="D1575" s="250">
        <f t="shared" ca="1" si="457"/>
        <v>10605000</v>
      </c>
      <c r="E1575" s="233">
        <f t="shared" ca="1" si="454"/>
        <v>2775000</v>
      </c>
      <c r="F1575" s="555">
        <f t="shared" ca="1" si="455"/>
        <v>0.26166902404526166</v>
      </c>
      <c r="G1575" s="244">
        <f t="shared" ca="1" si="456"/>
        <v>416250</v>
      </c>
    </row>
    <row r="1576" spans="1:7" ht="21" customHeight="1" x14ac:dyDescent="0.25">
      <c r="B1576" s="228" t="s">
        <v>515</v>
      </c>
      <c r="C1576" s="233">
        <f t="shared" ca="1" si="452"/>
        <v>6435000</v>
      </c>
      <c r="D1576" s="250">
        <f t="shared" ca="1" si="457"/>
        <v>5850000</v>
      </c>
      <c r="E1576" s="233">
        <f t="shared" ca="1" si="454"/>
        <v>1530000</v>
      </c>
      <c r="F1576" s="555">
        <f t="shared" ca="1" si="455"/>
        <v>0.26153846153846155</v>
      </c>
      <c r="G1576" s="244">
        <f t="shared" ca="1" si="456"/>
        <v>229500</v>
      </c>
    </row>
    <row r="1577" spans="1:7" ht="21" customHeight="1" x14ac:dyDescent="0.25">
      <c r="B1577" s="228" t="s">
        <v>466</v>
      </c>
      <c r="C1577" s="233">
        <f t="shared" ca="1" si="452"/>
        <v>715000</v>
      </c>
      <c r="D1577" s="250">
        <f t="shared" ca="1" si="457"/>
        <v>650000</v>
      </c>
      <c r="E1577" s="233">
        <f t="shared" ca="1" si="454"/>
        <v>150000</v>
      </c>
      <c r="F1577" s="555">
        <f t="shared" ca="1" si="455"/>
        <v>0.23076923076923078</v>
      </c>
      <c r="G1577" s="244">
        <f t="shared" ca="1" si="456"/>
        <v>22500</v>
      </c>
    </row>
    <row r="1578" spans="1:7" ht="21" customHeight="1" x14ac:dyDescent="0.25">
      <c r="B1578" s="228" t="s">
        <v>523</v>
      </c>
      <c r="C1578" s="233">
        <f t="shared" ca="1" si="452"/>
        <v>3556300</v>
      </c>
      <c r="D1578" s="250">
        <f t="shared" ca="1" si="457"/>
        <v>3233000</v>
      </c>
      <c r="E1578" s="233">
        <f t="shared" ca="1" si="454"/>
        <v>1063000</v>
      </c>
      <c r="F1578" s="555">
        <f t="shared" ca="1" si="455"/>
        <v>0.32879678317352307</v>
      </c>
      <c r="G1578" s="244">
        <f t="shared" ca="1" si="456"/>
        <v>159450</v>
      </c>
    </row>
    <row r="1579" spans="1:7" ht="21" customHeight="1" x14ac:dyDescent="0.25">
      <c r="B1579" s="228" t="s">
        <v>3407</v>
      </c>
      <c r="C1579" s="233">
        <f t="shared" ca="1" si="452"/>
        <v>3960000</v>
      </c>
      <c r="D1579" s="250">
        <f t="shared" ca="1" si="457"/>
        <v>3600000</v>
      </c>
      <c r="E1579" s="233">
        <f t="shared" ca="1" si="454"/>
        <v>2421943</v>
      </c>
      <c r="F1579" s="555">
        <f t="shared" ca="1" si="455"/>
        <v>0.67276194444444448</v>
      </c>
      <c r="G1579" s="244">
        <f t="shared" ca="1" si="456"/>
        <v>363291.45</v>
      </c>
    </row>
    <row r="1580" spans="1:7" ht="21" customHeight="1" x14ac:dyDescent="0.25">
      <c r="B1580" s="228" t="s">
        <v>467</v>
      </c>
      <c r="C1580" s="233">
        <f t="shared" ca="1" si="452"/>
        <v>3773000</v>
      </c>
      <c r="D1580" s="250">
        <f t="shared" ca="1" si="457"/>
        <v>3430000</v>
      </c>
      <c r="E1580" s="233">
        <f t="shared" ca="1" si="454"/>
        <v>1201000</v>
      </c>
      <c r="F1580" s="555">
        <f t="shared" ca="1" si="455"/>
        <v>0.35014577259475221</v>
      </c>
      <c r="G1580" s="244">
        <f t="shared" ca="1" si="456"/>
        <v>180150</v>
      </c>
    </row>
    <row r="1581" spans="1:7" ht="21" customHeight="1" x14ac:dyDescent="0.25">
      <c r="B1581" s="228" t="s">
        <v>434</v>
      </c>
      <c r="C1581" s="233">
        <f t="shared" ca="1" si="452"/>
        <v>5544000</v>
      </c>
      <c r="D1581" s="250">
        <f t="shared" ca="1" si="457"/>
        <v>5040000</v>
      </c>
      <c r="E1581" s="233">
        <f t="shared" ca="1" si="454"/>
        <v>1980000</v>
      </c>
      <c r="F1581" s="555">
        <f t="shared" ca="1" si="455"/>
        <v>0.39285714285714285</v>
      </c>
      <c r="G1581" s="244">
        <f t="shared" ca="1" si="456"/>
        <v>297000</v>
      </c>
    </row>
    <row r="1582" spans="1:7" ht="21" customHeight="1" x14ac:dyDescent="0.25">
      <c r="A1582" s="247"/>
      <c r="B1582" s="279" t="s">
        <v>2741</v>
      </c>
      <c r="C1582" s="544">
        <f ca="1">SUM(C1572:C1581)</f>
        <v>53229000</v>
      </c>
      <c r="D1582" s="544">
        <f ca="1">SUM(D1572:D1581)</f>
        <v>48390000</v>
      </c>
      <c r="E1582" s="544">
        <f ca="1">SUM(E1572:E1581)</f>
        <v>14935553</v>
      </c>
      <c r="F1582" s="567">
        <f ca="1">E1582/D1582</f>
        <v>0.30864957635875179</v>
      </c>
      <c r="G1582" s="972">
        <f ca="1">SUM(G1572:G1581)</f>
        <v>2240332.9500000002</v>
      </c>
    </row>
    <row r="1583" spans="1:7" ht="21" customHeight="1" x14ac:dyDescent="0.25">
      <c r="A1583" s="247" t="s">
        <v>4022</v>
      </c>
      <c r="B1583" s="228" t="s">
        <v>453</v>
      </c>
      <c r="C1583" s="233">
        <f t="shared" ref="C1583:C1593" ca="1" si="458">SUMIFS(INDIRECT("Report!F100:F10000"),INDIRECT("Report!B100:B10000"),B1583,INDIRECT("report!H100:H10000"),"Consums",INDIRECT("Report!L100:L10000"),"24,2")</f>
        <v>10171700</v>
      </c>
      <c r="D1583" s="250">
        <f t="shared" ref="D1583" ca="1" si="459">(C1583/11*10)</f>
        <v>9247000</v>
      </c>
      <c r="E1583" s="233">
        <f t="shared" ref="E1583:E1593" ca="1" si="460">SUMIFS(INDIRECT("Report!J100:J10000"),INDIRECT("Report!B100:B10000"),B1583,INDIRECT("report!H100:H10000"),"Consums",INDIRECT("Report!L100:L10000"),"24,2")</f>
        <v>2834660</v>
      </c>
      <c r="F1583" s="555">
        <f t="shared" ref="F1583:F1593" ca="1" si="461">E1583/D1583</f>
        <v>0.30654915107602465</v>
      </c>
      <c r="G1583" s="244">
        <f t="shared" ref="G1583:G1593" ca="1" si="462">E1583*15%</f>
        <v>425199</v>
      </c>
    </row>
    <row r="1584" spans="1:7" ht="21" customHeight="1" x14ac:dyDescent="0.25">
      <c r="A1584" s="247"/>
      <c r="B1584" s="228" t="s">
        <v>834</v>
      </c>
      <c r="C1584" s="233">
        <f t="shared" ca="1" si="458"/>
        <v>8658100.0000000019</v>
      </c>
      <c r="D1584" s="250">
        <f t="shared" ref="D1584:D1593" ca="1" si="463">(C1584/11*10)</f>
        <v>7871000.0000000009</v>
      </c>
      <c r="E1584" s="233">
        <f t="shared" ca="1" si="460"/>
        <v>2336000</v>
      </c>
      <c r="F1584" s="555">
        <f t="shared" ca="1" si="461"/>
        <v>0.29678566891119296</v>
      </c>
      <c r="G1584" s="244">
        <f t="shared" ca="1" si="462"/>
        <v>350400</v>
      </c>
    </row>
    <row r="1585" spans="1:7" ht="21" customHeight="1" x14ac:dyDescent="0.25">
      <c r="B1585" s="228" t="s">
        <v>459</v>
      </c>
      <c r="C1585" s="233">
        <f t="shared" ca="1" si="458"/>
        <v>880000.00000000012</v>
      </c>
      <c r="D1585" s="250">
        <f t="shared" ca="1" si="463"/>
        <v>800000.00000000012</v>
      </c>
      <c r="E1585" s="233">
        <f t="shared" ca="1" si="460"/>
        <v>300000</v>
      </c>
      <c r="F1585" s="555">
        <f t="shared" ca="1" si="461"/>
        <v>0.37499999999999994</v>
      </c>
      <c r="G1585" s="244">
        <f t="shared" ca="1" si="462"/>
        <v>45000</v>
      </c>
    </row>
    <row r="1586" spans="1:7" ht="21" customHeight="1" x14ac:dyDescent="0.25">
      <c r="B1586" s="228" t="s">
        <v>2247</v>
      </c>
      <c r="C1586" s="233">
        <f t="shared" ca="1" si="458"/>
        <v>10890000</v>
      </c>
      <c r="D1586" s="250">
        <f t="shared" ca="1" si="463"/>
        <v>9900000</v>
      </c>
      <c r="E1586" s="233">
        <f t="shared" ca="1" si="460"/>
        <v>2452500</v>
      </c>
      <c r="F1586" s="555">
        <f t="shared" ca="1" si="461"/>
        <v>0.24772727272727274</v>
      </c>
      <c r="G1586" s="244">
        <f t="shared" ca="1" si="462"/>
        <v>367875</v>
      </c>
    </row>
    <row r="1587" spans="1:7" ht="21" customHeight="1" x14ac:dyDescent="0.25">
      <c r="B1587" s="228" t="s">
        <v>515</v>
      </c>
      <c r="C1587" s="233">
        <f t="shared" ca="1" si="458"/>
        <v>3575000.0000000005</v>
      </c>
      <c r="D1587" s="250">
        <f t="shared" ca="1" si="463"/>
        <v>3250000.0000000005</v>
      </c>
      <c r="E1587" s="233">
        <f t="shared" ca="1" si="460"/>
        <v>850000</v>
      </c>
      <c r="F1587" s="555">
        <f t="shared" ca="1" si="461"/>
        <v>0.2615384615384615</v>
      </c>
      <c r="G1587" s="244">
        <f t="shared" ca="1" si="462"/>
        <v>127500</v>
      </c>
    </row>
    <row r="1588" spans="1:7" ht="21" customHeight="1" x14ac:dyDescent="0.25">
      <c r="B1588" s="228" t="s">
        <v>466</v>
      </c>
      <c r="C1588" s="233">
        <f t="shared" ca="1" si="458"/>
        <v>1072500</v>
      </c>
      <c r="D1588" s="250">
        <f t="shared" ca="1" si="463"/>
        <v>975000</v>
      </c>
      <c r="E1588" s="233">
        <f t="shared" ca="1" si="460"/>
        <v>225000</v>
      </c>
      <c r="F1588" s="555">
        <f t="shared" ca="1" si="461"/>
        <v>0.23076923076923078</v>
      </c>
      <c r="G1588" s="244">
        <f t="shared" ca="1" si="462"/>
        <v>33750</v>
      </c>
    </row>
    <row r="1589" spans="1:7" ht="21" customHeight="1" x14ac:dyDescent="0.25">
      <c r="B1589" s="228" t="s">
        <v>523</v>
      </c>
      <c r="C1589" s="233">
        <f t="shared" ca="1" si="458"/>
        <v>7015800</v>
      </c>
      <c r="D1589" s="250">
        <f t="shared" ca="1" si="463"/>
        <v>6378000</v>
      </c>
      <c r="E1589" s="233">
        <f t="shared" ca="1" si="460"/>
        <v>1371000</v>
      </c>
      <c r="F1589" s="555">
        <f t="shared" ca="1" si="461"/>
        <v>0.2149576669802446</v>
      </c>
      <c r="G1589" s="244">
        <f t="shared" ca="1" si="462"/>
        <v>205650</v>
      </c>
    </row>
    <row r="1590" spans="1:7" ht="21" customHeight="1" x14ac:dyDescent="0.25">
      <c r="B1590" s="228" t="s">
        <v>2125</v>
      </c>
      <c r="C1590" s="233">
        <f t="shared" ca="1" si="458"/>
        <v>3063555.0000000005</v>
      </c>
      <c r="D1590" s="250">
        <f t="shared" ca="1" si="463"/>
        <v>2785050.0000000005</v>
      </c>
      <c r="E1590" s="233">
        <f t="shared" ca="1" si="460"/>
        <v>2785050</v>
      </c>
      <c r="F1590" s="555">
        <f t="shared" ca="1" si="461"/>
        <v>0.99999999999999978</v>
      </c>
      <c r="G1590" s="244">
        <f t="shared" ca="1" si="462"/>
        <v>417757.5</v>
      </c>
    </row>
    <row r="1591" spans="1:7" ht="21" customHeight="1" x14ac:dyDescent="0.25">
      <c r="B1591" s="228" t="s">
        <v>4040</v>
      </c>
      <c r="C1591" s="233">
        <f t="shared" ca="1" si="458"/>
        <v>528000</v>
      </c>
      <c r="D1591" s="250">
        <f t="shared" ca="1" si="463"/>
        <v>480000</v>
      </c>
      <c r="E1591" s="233">
        <f t="shared" ca="1" si="460"/>
        <v>50000</v>
      </c>
      <c r="F1591" s="555">
        <f t="shared" ca="1" si="461"/>
        <v>0.10416666666666667</v>
      </c>
      <c r="G1591" s="244">
        <f t="shared" ca="1" si="462"/>
        <v>7500</v>
      </c>
    </row>
    <row r="1592" spans="1:7" ht="21" customHeight="1" x14ac:dyDescent="0.25">
      <c r="B1592" s="228" t="s">
        <v>467</v>
      </c>
      <c r="C1592" s="233">
        <f t="shared" ca="1" si="458"/>
        <v>3003000</v>
      </c>
      <c r="D1592" s="250">
        <f t="shared" ca="1" si="463"/>
        <v>2730000</v>
      </c>
      <c r="E1592" s="233">
        <f t="shared" ca="1" si="460"/>
        <v>768000</v>
      </c>
      <c r="F1592" s="555">
        <f t="shared" ca="1" si="461"/>
        <v>0.28131868131868132</v>
      </c>
      <c r="G1592" s="244">
        <f t="shared" ca="1" si="462"/>
        <v>115200</v>
      </c>
    </row>
    <row r="1593" spans="1:7" ht="21" customHeight="1" x14ac:dyDescent="0.25">
      <c r="B1593" s="228" t="s">
        <v>434</v>
      </c>
      <c r="C1593" s="233">
        <f t="shared" ca="1" si="458"/>
        <v>9240000</v>
      </c>
      <c r="D1593" s="250">
        <f t="shared" ca="1" si="463"/>
        <v>8400000</v>
      </c>
      <c r="E1593" s="233">
        <f t="shared" ca="1" si="460"/>
        <v>3300000</v>
      </c>
      <c r="F1593" s="555">
        <f t="shared" ca="1" si="461"/>
        <v>0.39285714285714285</v>
      </c>
      <c r="G1593" s="244">
        <f t="shared" ca="1" si="462"/>
        <v>495000</v>
      </c>
    </row>
    <row r="1594" spans="1:7" ht="21" customHeight="1" x14ac:dyDescent="0.25">
      <c r="A1594" s="247"/>
      <c r="B1594" s="279" t="s">
        <v>2741</v>
      </c>
      <c r="C1594" s="544">
        <f ca="1">SUM(C1583:C1593)</f>
        <v>58097655</v>
      </c>
      <c r="D1594" s="544">
        <f ca="1">SUM(D1583:D1593)</f>
        <v>52816050</v>
      </c>
      <c r="E1594" s="544">
        <f ca="1">SUM(E1583:E1593)</f>
        <v>17272210</v>
      </c>
      <c r="F1594" s="567">
        <f ca="1">E1594/D1594</f>
        <v>0.32702578098892288</v>
      </c>
      <c r="G1594" s="972">
        <f ca="1">SUM(G1583:G1593)</f>
        <v>2590831.5</v>
      </c>
    </row>
    <row r="1595" spans="1:7" ht="21" customHeight="1" x14ac:dyDescent="0.25">
      <c r="A1595" s="247" t="s">
        <v>4053</v>
      </c>
      <c r="B1595" s="228" t="s">
        <v>453</v>
      </c>
      <c r="C1595" s="233">
        <f ca="1">SUMIFS(INDIRECT("Report!F100:F10000"),INDIRECT("Report!B100:B10000"),B1595,INDIRECT("report!H100:H10000"),"Consums",INDIRECT("Report!L100:L10000"),"24,3")</f>
        <v>9002400</v>
      </c>
      <c r="D1595" s="250">
        <f t="shared" ref="D1595" ca="1" si="464">(C1595/11*10)</f>
        <v>8184000</v>
      </c>
      <c r="E1595" s="233">
        <f ca="1">SUMIFS(INDIRECT("Report!J100:J10000"),INDIRECT("Report!B100:B10000"),B1595,INDIRECT("report!H100:H10000"),"Consums",INDIRECT("Report!L100:L10000"),"24,3")</f>
        <v>1875110</v>
      </c>
      <c r="F1595" s="555">
        <f t="shared" ref="F1595:F1604" ca="1" si="465">E1595/D1595</f>
        <v>0.22911901270772239</v>
      </c>
      <c r="G1595" s="244">
        <f t="shared" ref="G1595:G1604" ca="1" si="466">E1595*15%</f>
        <v>281266.5</v>
      </c>
    </row>
    <row r="1596" spans="1:7" ht="21" customHeight="1" x14ac:dyDescent="0.25">
      <c r="A1596" s="247"/>
      <c r="B1596" s="228" t="s">
        <v>834</v>
      </c>
      <c r="C1596" s="233">
        <f t="shared" ref="C1596:C1604" ca="1" si="467">SUMIFS(INDIRECT("Report!F100:F10000"),INDIRECT("Report!B100:B10000"),B1596,INDIRECT("report!H100:H10000"),"Consums",INDIRECT("Report!L100:L10000"),"24,3")</f>
        <v>1918400.0000000002</v>
      </c>
      <c r="D1596" s="250">
        <f t="shared" ref="D1596:D1604" ca="1" si="468">(C1596/11*10)</f>
        <v>1744000.0000000002</v>
      </c>
      <c r="E1596" s="233">
        <f t="shared" ref="E1596:E1604" ca="1" si="469">SUMIFS(INDIRECT("Report!J100:J10000"),INDIRECT("Report!B100:B10000"),B1596,INDIRECT("report!H100:H10000"),"Consums",INDIRECT("Report!L100:L10000"),"24,3")</f>
        <v>412000</v>
      </c>
      <c r="F1596" s="555">
        <f t="shared" ca="1" si="465"/>
        <v>0.23623853211009171</v>
      </c>
      <c r="G1596" s="244">
        <f t="shared" ca="1" si="466"/>
        <v>61800</v>
      </c>
    </row>
    <row r="1597" spans="1:7" ht="21" customHeight="1" x14ac:dyDescent="0.25">
      <c r="B1597" s="228" t="s">
        <v>459</v>
      </c>
      <c r="C1597" s="233">
        <f t="shared" ca="1" si="467"/>
        <v>1430000</v>
      </c>
      <c r="D1597" s="250">
        <f t="shared" ca="1" si="468"/>
        <v>1300000</v>
      </c>
      <c r="E1597" s="233">
        <f t="shared" ca="1" si="469"/>
        <v>300000</v>
      </c>
      <c r="F1597" s="555">
        <f t="shared" ca="1" si="465"/>
        <v>0.23076923076923078</v>
      </c>
      <c r="G1597" s="244">
        <f t="shared" ca="1" si="466"/>
        <v>45000</v>
      </c>
    </row>
    <row r="1598" spans="1:7" ht="21" customHeight="1" x14ac:dyDescent="0.25">
      <c r="B1598" s="228" t="s">
        <v>2247</v>
      </c>
      <c r="C1598" s="233">
        <f t="shared" ca="1" si="467"/>
        <v>10411500</v>
      </c>
      <c r="D1598" s="250">
        <f t="shared" ca="1" si="468"/>
        <v>9465000</v>
      </c>
      <c r="E1598" s="233">
        <f t="shared" ca="1" si="469"/>
        <v>1676000</v>
      </c>
      <c r="F1598" s="555">
        <f t="shared" ca="1" si="465"/>
        <v>0.17707342842049656</v>
      </c>
      <c r="G1598" s="244">
        <f t="shared" ca="1" si="466"/>
        <v>251400</v>
      </c>
    </row>
    <row r="1599" spans="1:7" ht="21" customHeight="1" x14ac:dyDescent="0.25">
      <c r="B1599" s="228" t="s">
        <v>515</v>
      </c>
      <c r="C1599" s="233">
        <f t="shared" ca="1" si="467"/>
        <v>3575000.0000000005</v>
      </c>
      <c r="D1599" s="250">
        <f t="shared" ca="1" si="468"/>
        <v>3250000.0000000005</v>
      </c>
      <c r="E1599" s="233">
        <f t="shared" ca="1" si="469"/>
        <v>850000</v>
      </c>
      <c r="F1599" s="555">
        <f t="shared" ca="1" si="465"/>
        <v>0.2615384615384615</v>
      </c>
      <c r="G1599" s="244">
        <f t="shared" ca="1" si="466"/>
        <v>127500</v>
      </c>
    </row>
    <row r="1600" spans="1:7" ht="21" customHeight="1" x14ac:dyDescent="0.25">
      <c r="B1600" s="228" t="s">
        <v>466</v>
      </c>
      <c r="C1600" s="233">
        <f t="shared" ca="1" si="467"/>
        <v>357500</v>
      </c>
      <c r="D1600" s="250">
        <f t="shared" ca="1" si="468"/>
        <v>325000</v>
      </c>
      <c r="E1600" s="233">
        <f t="shared" ca="1" si="469"/>
        <v>75000</v>
      </c>
      <c r="F1600" s="555">
        <f t="shared" ca="1" si="465"/>
        <v>0.23076923076923078</v>
      </c>
      <c r="G1600" s="244">
        <f t="shared" ca="1" si="466"/>
        <v>11250</v>
      </c>
    </row>
    <row r="1601" spans="1:7" ht="21" customHeight="1" x14ac:dyDescent="0.25">
      <c r="B1601" s="228" t="s">
        <v>523</v>
      </c>
      <c r="C1601" s="233">
        <f t="shared" ca="1" si="467"/>
        <v>5236000</v>
      </c>
      <c r="D1601" s="250">
        <f t="shared" ca="1" si="468"/>
        <v>4760000</v>
      </c>
      <c r="E1601" s="233">
        <f t="shared" ca="1" si="469"/>
        <v>731500</v>
      </c>
      <c r="F1601" s="555">
        <f t="shared" ca="1" si="465"/>
        <v>0.1536764705882353</v>
      </c>
      <c r="G1601" s="244">
        <f t="shared" ca="1" si="466"/>
        <v>109725</v>
      </c>
    </row>
    <row r="1602" spans="1:7" ht="21" customHeight="1" x14ac:dyDescent="0.25">
      <c r="B1602" s="228" t="s">
        <v>4076</v>
      </c>
      <c r="C1602" s="233">
        <f t="shared" ca="1" si="467"/>
        <v>8052000</v>
      </c>
      <c r="D1602" s="250">
        <f t="shared" ca="1" si="468"/>
        <v>7320000</v>
      </c>
      <c r="E1602" s="233">
        <f t="shared" ca="1" si="469"/>
        <v>930000</v>
      </c>
      <c r="F1602" s="555">
        <f t="shared" ca="1" si="465"/>
        <v>0.12704918032786885</v>
      </c>
      <c r="G1602" s="244">
        <f t="shared" ca="1" si="466"/>
        <v>139500</v>
      </c>
    </row>
    <row r="1603" spans="1:7" ht="21" customHeight="1" x14ac:dyDescent="0.25">
      <c r="B1603" s="228" t="s">
        <v>467</v>
      </c>
      <c r="C1603" s="233">
        <f t="shared" ca="1" si="467"/>
        <v>3663000</v>
      </c>
      <c r="D1603" s="250">
        <f t="shared" ca="1" si="468"/>
        <v>3330000</v>
      </c>
      <c r="E1603" s="233">
        <f t="shared" ca="1" si="469"/>
        <v>818000</v>
      </c>
      <c r="F1603" s="555">
        <f t="shared" ca="1" si="465"/>
        <v>0.24564564564564564</v>
      </c>
      <c r="G1603" s="244">
        <f t="shared" ca="1" si="466"/>
        <v>122700</v>
      </c>
    </row>
    <row r="1604" spans="1:7" ht="21" customHeight="1" x14ac:dyDescent="0.25">
      <c r="B1604" s="228" t="s">
        <v>434</v>
      </c>
      <c r="C1604" s="233">
        <f t="shared" ca="1" si="467"/>
        <v>5544000</v>
      </c>
      <c r="D1604" s="250">
        <f t="shared" ca="1" si="468"/>
        <v>5040000</v>
      </c>
      <c r="E1604" s="233">
        <f t="shared" ca="1" si="469"/>
        <v>1980000</v>
      </c>
      <c r="F1604" s="555">
        <f t="shared" ca="1" si="465"/>
        <v>0.39285714285714285</v>
      </c>
      <c r="G1604" s="244">
        <f t="shared" ca="1" si="466"/>
        <v>297000</v>
      </c>
    </row>
    <row r="1605" spans="1:7" ht="21" customHeight="1" x14ac:dyDescent="0.25">
      <c r="A1605" s="247"/>
      <c r="B1605" s="279" t="s">
        <v>2741</v>
      </c>
      <c r="C1605" s="544">
        <f ca="1">SUM(C1595:C1604)</f>
        <v>49189800</v>
      </c>
      <c r="D1605" s="544">
        <f ca="1">SUM(D1595:D1604)</f>
        <v>44718000</v>
      </c>
      <c r="E1605" s="544">
        <f ca="1">SUM(E1595:E1604)</f>
        <v>9647610</v>
      </c>
      <c r="F1605" s="567">
        <f ca="1">E1605/D1605</f>
        <v>0.21574332483563666</v>
      </c>
      <c r="G1605" s="972">
        <f ca="1">SUM(G1595:G1604)</f>
        <v>1447141.5</v>
      </c>
    </row>
    <row r="1606" spans="1:7" ht="21" customHeight="1" x14ac:dyDescent="0.25">
      <c r="A1606" s="247" t="s">
        <v>4081</v>
      </c>
      <c r="B1606" s="228" t="s">
        <v>453</v>
      </c>
      <c r="C1606" s="233">
        <f t="shared" ref="C1606:C1615" ca="1" si="470">SUMIFS(INDIRECT("Report!F100:F10000"),INDIRECT("Report!B100:B10000"),B1606,INDIRECT("report!H100:H10000"),"Consums",INDIRECT("Report!L100:L10000"),"24,4")</f>
        <v>16239300</v>
      </c>
      <c r="D1606" s="250">
        <f t="shared" ref="D1606" ca="1" si="471">(C1606/11*10)</f>
        <v>14763000</v>
      </c>
      <c r="E1606" s="233">
        <f t="shared" ref="E1606:E1615" ca="1" si="472">SUMIFS(INDIRECT("Report!J100:J10000"),INDIRECT("Report!B100:B10000"),B1606,INDIRECT("report!H100:H10000"),"Consums",INDIRECT("Report!L100:L10000"),"24,4")</f>
        <v>3063230</v>
      </c>
      <c r="F1606" s="555">
        <f t="shared" ref="F1606:F1615" ca="1" si="473">E1606/D1606</f>
        <v>0.20749373433583959</v>
      </c>
      <c r="G1606" s="244">
        <f t="shared" ref="G1606:G1615" ca="1" si="474">E1606*15%</f>
        <v>459484.5</v>
      </c>
    </row>
    <row r="1607" spans="1:7" ht="21" customHeight="1" x14ac:dyDescent="0.25">
      <c r="A1607" s="247"/>
      <c r="B1607" s="228" t="s">
        <v>834</v>
      </c>
      <c r="C1607" s="233">
        <f t="shared" ca="1" si="470"/>
        <v>1918400.0000000002</v>
      </c>
      <c r="D1607" s="250">
        <f t="shared" ref="D1607:D1615" ca="1" si="475">(C1607/11*10)</f>
        <v>1744000.0000000002</v>
      </c>
      <c r="E1607" s="233">
        <f t="shared" ca="1" si="472"/>
        <v>412000</v>
      </c>
      <c r="F1607" s="555">
        <f t="shared" ca="1" si="473"/>
        <v>0.23623853211009171</v>
      </c>
      <c r="G1607" s="244">
        <f t="shared" ca="1" si="474"/>
        <v>61800</v>
      </c>
    </row>
    <row r="1608" spans="1:7" ht="21" customHeight="1" x14ac:dyDescent="0.25">
      <c r="A1608" s="247"/>
      <c r="B1608" s="228" t="s">
        <v>526</v>
      </c>
      <c r="C1608" s="233">
        <f t="shared" ca="1" si="470"/>
        <v>5602300</v>
      </c>
      <c r="D1608" s="250">
        <f t="shared" ref="D1608" ca="1" si="476">(C1608/11*10)</f>
        <v>5093000</v>
      </c>
      <c r="E1608" s="233">
        <f t="shared" ca="1" si="472"/>
        <v>1028000</v>
      </c>
      <c r="F1608" s="555">
        <f t="shared" ref="F1608" ca="1" si="477">E1608/D1608</f>
        <v>0.20184567052817592</v>
      </c>
      <c r="G1608" s="244">
        <f t="shared" ref="G1608" ca="1" si="478">E1608*15%</f>
        <v>154200</v>
      </c>
    </row>
    <row r="1609" spans="1:7" ht="21" customHeight="1" x14ac:dyDescent="0.25">
      <c r="B1609" s="228" t="s">
        <v>4093</v>
      </c>
      <c r="C1609" s="233">
        <f t="shared" ca="1" si="470"/>
        <v>687500</v>
      </c>
      <c r="D1609" s="250">
        <f t="shared" ca="1" si="475"/>
        <v>625000</v>
      </c>
      <c r="E1609" s="233">
        <f t="shared" ca="1" si="472"/>
        <v>134000</v>
      </c>
      <c r="F1609" s="555">
        <f t="shared" ca="1" si="473"/>
        <v>0.21440000000000001</v>
      </c>
      <c r="G1609" s="244">
        <f t="shared" ca="1" si="474"/>
        <v>20100</v>
      </c>
    </row>
    <row r="1610" spans="1:7" ht="21" customHeight="1" x14ac:dyDescent="0.25">
      <c r="B1610" s="228" t="s">
        <v>2247</v>
      </c>
      <c r="C1610" s="233">
        <f t="shared" ca="1" si="470"/>
        <v>13068000</v>
      </c>
      <c r="D1610" s="250">
        <f t="shared" ca="1" si="475"/>
        <v>11880000</v>
      </c>
      <c r="E1610" s="233">
        <f t="shared" ca="1" si="472"/>
        <v>2865000</v>
      </c>
      <c r="F1610" s="555">
        <f t="shared" ca="1" si="473"/>
        <v>0.24116161616161616</v>
      </c>
      <c r="G1610" s="244">
        <f t="shared" ca="1" si="474"/>
        <v>429750</v>
      </c>
    </row>
    <row r="1611" spans="1:7" ht="21" customHeight="1" x14ac:dyDescent="0.25">
      <c r="B1611" s="228" t="s">
        <v>515</v>
      </c>
      <c r="C1611" s="233">
        <f t="shared" ca="1" si="470"/>
        <v>3575000.0000000005</v>
      </c>
      <c r="D1611" s="250">
        <f t="shared" ca="1" si="475"/>
        <v>3250000.0000000005</v>
      </c>
      <c r="E1611" s="233">
        <f t="shared" ca="1" si="472"/>
        <v>850000</v>
      </c>
      <c r="F1611" s="555">
        <f t="shared" ca="1" si="473"/>
        <v>0.2615384615384615</v>
      </c>
      <c r="G1611" s="244">
        <f t="shared" ca="1" si="474"/>
        <v>127500</v>
      </c>
    </row>
    <row r="1612" spans="1:7" ht="21" customHeight="1" x14ac:dyDescent="0.25">
      <c r="B1612" s="228" t="s">
        <v>466</v>
      </c>
      <c r="C1612" s="233">
        <f t="shared" ca="1" si="470"/>
        <v>715000</v>
      </c>
      <c r="D1612" s="250">
        <f t="shared" ca="1" si="475"/>
        <v>650000</v>
      </c>
      <c r="E1612" s="233">
        <f t="shared" ca="1" si="472"/>
        <v>150000</v>
      </c>
      <c r="F1612" s="555">
        <f t="shared" ca="1" si="473"/>
        <v>0.23076923076923078</v>
      </c>
      <c r="G1612" s="244">
        <f t="shared" ca="1" si="474"/>
        <v>22500</v>
      </c>
    </row>
    <row r="1613" spans="1:7" ht="21" customHeight="1" x14ac:dyDescent="0.25">
      <c r="B1613" s="228" t="s">
        <v>523</v>
      </c>
      <c r="C1613" s="233">
        <f t="shared" ca="1" si="470"/>
        <v>3437500.0000000005</v>
      </c>
      <c r="D1613" s="250">
        <f t="shared" ca="1" si="475"/>
        <v>3125000.0000000005</v>
      </c>
      <c r="E1613" s="233">
        <f t="shared" ca="1" si="472"/>
        <v>492500</v>
      </c>
      <c r="F1613" s="555">
        <f t="shared" ca="1" si="473"/>
        <v>0.15759999999999999</v>
      </c>
      <c r="G1613" s="244">
        <f t="shared" ca="1" si="474"/>
        <v>73875</v>
      </c>
    </row>
    <row r="1614" spans="1:7" ht="21" customHeight="1" x14ac:dyDescent="0.25">
      <c r="B1614" s="228" t="s">
        <v>467</v>
      </c>
      <c r="C1614" s="233">
        <f t="shared" ca="1" si="470"/>
        <v>9718500</v>
      </c>
      <c r="D1614" s="250">
        <f t="shared" ca="1" si="475"/>
        <v>8835000</v>
      </c>
      <c r="E1614" s="233">
        <f t="shared" ca="1" si="472"/>
        <v>3475500</v>
      </c>
      <c r="F1614" s="555">
        <f t="shared" ca="1" si="473"/>
        <v>0.39337860780984718</v>
      </c>
      <c r="G1614" s="244">
        <f t="shared" ca="1" si="474"/>
        <v>521325</v>
      </c>
    </row>
    <row r="1615" spans="1:7" ht="21" customHeight="1" x14ac:dyDescent="0.25">
      <c r="B1615" s="228" t="s">
        <v>434</v>
      </c>
      <c r="C1615" s="233">
        <f t="shared" ca="1" si="470"/>
        <v>5544000</v>
      </c>
      <c r="D1615" s="250">
        <f t="shared" ca="1" si="475"/>
        <v>5040000</v>
      </c>
      <c r="E1615" s="233">
        <f t="shared" ca="1" si="472"/>
        <v>1980000</v>
      </c>
      <c r="F1615" s="555">
        <f t="shared" ca="1" si="473"/>
        <v>0.39285714285714285</v>
      </c>
      <c r="G1615" s="244">
        <f t="shared" ca="1" si="474"/>
        <v>297000</v>
      </c>
    </row>
    <row r="1616" spans="1:7" ht="21" customHeight="1" x14ac:dyDescent="0.25">
      <c r="A1616" s="247"/>
      <c r="B1616" s="279" t="s">
        <v>2741</v>
      </c>
      <c r="C1616" s="544">
        <f ca="1">SUM(C1606:C1615)</f>
        <v>60505500</v>
      </c>
      <c r="D1616" s="544">
        <f ca="1">SUM(D1606:D1615)</f>
        <v>55005000</v>
      </c>
      <c r="E1616" s="544">
        <f ca="1">SUM(E1606:E1615)</f>
        <v>14450230</v>
      </c>
      <c r="F1616" s="567">
        <f ca="1">E1616/D1616</f>
        <v>0.26270757203890555</v>
      </c>
      <c r="G1616" s="972">
        <f ca="1">SUM(G1606:G1615)</f>
        <v>2167534.5</v>
      </c>
    </row>
    <row r="1617" spans="1:7" ht="21" customHeight="1" x14ac:dyDescent="0.25">
      <c r="A1617" s="247" t="s">
        <v>4096</v>
      </c>
      <c r="B1617" s="228" t="s">
        <v>453</v>
      </c>
      <c r="C1617" s="233">
        <f t="shared" ref="C1617:C1626" ca="1" si="479">SUMIFS(INDIRECT("Report!F100:F10000"),INDIRECT("Report!B100:B10000"),B1617,INDIRECT("report!H100:H10000"),"Consums",INDIRECT("Report!L100:L10000"),"24,5")</f>
        <v>6517500</v>
      </c>
      <c r="D1617" s="250">
        <f t="shared" ref="D1617" ca="1" si="480">(C1617/11*10)</f>
        <v>5925000</v>
      </c>
      <c r="E1617" s="233">
        <f t="shared" ref="E1617:E1626" ca="1" si="481">SUMIFS(INDIRECT("Report!J100:J10000"),INDIRECT("Report!B100:B10000"),B1617,INDIRECT("report!H100:H10000"),"Consums",INDIRECT("Report!L100:L10000"),"24,5")</f>
        <v>779260</v>
      </c>
      <c r="F1617" s="555">
        <f t="shared" ref="F1617:F1626" ca="1" si="482">E1617/D1617</f>
        <v>0.13152067510548524</v>
      </c>
      <c r="G1617" s="244">
        <f t="shared" ref="G1617:G1626" ca="1" si="483">E1617*15%</f>
        <v>116889</v>
      </c>
    </row>
    <row r="1618" spans="1:7" ht="21" customHeight="1" x14ac:dyDescent="0.25">
      <c r="A1618" s="247"/>
      <c r="B1618" s="228" t="s">
        <v>459</v>
      </c>
      <c r="C1618" s="233">
        <f t="shared" ca="1" si="479"/>
        <v>880000.00000000012</v>
      </c>
      <c r="D1618" s="250">
        <f t="shared" ref="D1618:D1626" ca="1" si="484">(C1618/11*10)</f>
        <v>800000.00000000012</v>
      </c>
      <c r="E1618" s="233">
        <f t="shared" ca="1" si="481"/>
        <v>300000</v>
      </c>
      <c r="F1618" s="555">
        <f t="shared" ca="1" si="482"/>
        <v>0.37499999999999994</v>
      </c>
      <c r="G1618" s="244">
        <f t="shared" ca="1" si="483"/>
        <v>45000</v>
      </c>
    </row>
    <row r="1619" spans="1:7" ht="21" customHeight="1" x14ac:dyDescent="0.25">
      <c r="A1619" s="247"/>
      <c r="B1619" s="228" t="s">
        <v>4076</v>
      </c>
      <c r="C1619" s="233">
        <f t="shared" ca="1" si="479"/>
        <v>2860000</v>
      </c>
      <c r="D1619" s="250">
        <f t="shared" ca="1" si="484"/>
        <v>2600000</v>
      </c>
      <c r="E1619" s="233">
        <f t="shared" ca="1" si="481"/>
        <v>360000</v>
      </c>
      <c r="F1619" s="555">
        <f t="shared" ca="1" si="482"/>
        <v>0.13846153846153847</v>
      </c>
      <c r="G1619" s="244">
        <f t="shared" ca="1" si="483"/>
        <v>54000</v>
      </c>
    </row>
    <row r="1620" spans="1:7" ht="21" customHeight="1" x14ac:dyDescent="0.25">
      <c r="B1620" s="228" t="s">
        <v>2125</v>
      </c>
      <c r="C1620" s="233">
        <f t="shared" ca="1" si="479"/>
        <v>3094300.0000000005</v>
      </c>
      <c r="D1620" s="250">
        <f t="shared" ca="1" si="484"/>
        <v>2813000.0000000005</v>
      </c>
      <c r="E1620" s="233">
        <f t="shared" ca="1" si="481"/>
        <v>2813000</v>
      </c>
      <c r="F1620" s="555">
        <f t="shared" ca="1" si="482"/>
        <v>0.99999999999999989</v>
      </c>
      <c r="G1620" s="244">
        <f t="shared" ca="1" si="483"/>
        <v>421950</v>
      </c>
    </row>
    <row r="1621" spans="1:7" ht="21" customHeight="1" x14ac:dyDescent="0.25">
      <c r="B1621" s="228" t="s">
        <v>2247</v>
      </c>
      <c r="C1621" s="233">
        <f t="shared" ca="1" si="479"/>
        <v>10274000</v>
      </c>
      <c r="D1621" s="250">
        <f t="shared" ca="1" si="484"/>
        <v>9340000</v>
      </c>
      <c r="E1621" s="233">
        <f t="shared" ca="1" si="481"/>
        <v>2037000</v>
      </c>
      <c r="F1621" s="555">
        <f t="shared" ca="1" si="482"/>
        <v>0.21809421841541757</v>
      </c>
      <c r="G1621" s="244">
        <f t="shared" ca="1" si="483"/>
        <v>305550</v>
      </c>
    </row>
    <row r="1622" spans="1:7" ht="21" customHeight="1" x14ac:dyDescent="0.25">
      <c r="B1622" s="228" t="s">
        <v>515</v>
      </c>
      <c r="C1622" s="233">
        <f t="shared" ca="1" si="479"/>
        <v>3575000.0000000005</v>
      </c>
      <c r="D1622" s="250">
        <f t="shared" ca="1" si="484"/>
        <v>3250000.0000000005</v>
      </c>
      <c r="E1622" s="233">
        <f t="shared" ca="1" si="481"/>
        <v>850000</v>
      </c>
      <c r="F1622" s="555">
        <f t="shared" ca="1" si="482"/>
        <v>0.2615384615384615</v>
      </c>
      <c r="G1622" s="244">
        <f t="shared" ca="1" si="483"/>
        <v>127500</v>
      </c>
    </row>
    <row r="1623" spans="1:7" ht="21" customHeight="1" x14ac:dyDescent="0.25">
      <c r="B1623" s="228" t="s">
        <v>466</v>
      </c>
      <c r="C1623" s="233">
        <f t="shared" ca="1" si="479"/>
        <v>1072500</v>
      </c>
      <c r="D1623" s="250">
        <f t="shared" ca="1" si="484"/>
        <v>975000</v>
      </c>
      <c r="E1623" s="233">
        <f t="shared" ca="1" si="481"/>
        <v>225000</v>
      </c>
      <c r="F1623" s="555">
        <f t="shared" ca="1" si="482"/>
        <v>0.23076923076923078</v>
      </c>
      <c r="G1623" s="244">
        <f t="shared" ca="1" si="483"/>
        <v>33750</v>
      </c>
    </row>
    <row r="1624" spans="1:7" ht="21" customHeight="1" x14ac:dyDescent="0.25">
      <c r="B1624" s="228" t="s">
        <v>523</v>
      </c>
      <c r="C1624" s="233">
        <f t="shared" ca="1" si="479"/>
        <v>4372500</v>
      </c>
      <c r="D1624" s="250">
        <f t="shared" ca="1" si="484"/>
        <v>3975000</v>
      </c>
      <c r="E1624" s="233">
        <f t="shared" ca="1" si="481"/>
        <v>1240737</v>
      </c>
      <c r="F1624" s="555">
        <f t="shared" ca="1" si="482"/>
        <v>0.31213509433962267</v>
      </c>
      <c r="G1624" s="244">
        <f t="shared" ca="1" si="483"/>
        <v>186110.55</v>
      </c>
    </row>
    <row r="1625" spans="1:7" ht="21" customHeight="1" x14ac:dyDescent="0.25">
      <c r="B1625" s="228" t="s">
        <v>467</v>
      </c>
      <c r="C1625" s="233">
        <f t="shared" ca="1" si="479"/>
        <v>4829000.0000000009</v>
      </c>
      <c r="D1625" s="250">
        <f t="shared" ca="1" si="484"/>
        <v>4390000.0000000009</v>
      </c>
      <c r="E1625" s="233">
        <f t="shared" ca="1" si="481"/>
        <v>1555000</v>
      </c>
      <c r="F1625" s="555">
        <f t="shared" ca="1" si="482"/>
        <v>0.35421412300683364</v>
      </c>
      <c r="G1625" s="244">
        <f t="shared" ca="1" si="483"/>
        <v>233250</v>
      </c>
    </row>
    <row r="1626" spans="1:7" ht="21" customHeight="1" x14ac:dyDescent="0.25">
      <c r="B1626" s="228" t="s">
        <v>434</v>
      </c>
      <c r="C1626" s="233">
        <f t="shared" ca="1" si="479"/>
        <v>5544000</v>
      </c>
      <c r="D1626" s="250">
        <f t="shared" ca="1" si="484"/>
        <v>5040000</v>
      </c>
      <c r="E1626" s="233">
        <f t="shared" ca="1" si="481"/>
        <v>1980000</v>
      </c>
      <c r="F1626" s="555">
        <f t="shared" ca="1" si="482"/>
        <v>0.39285714285714285</v>
      </c>
      <c r="G1626" s="244">
        <f t="shared" ca="1" si="483"/>
        <v>297000</v>
      </c>
    </row>
    <row r="1627" spans="1:7" ht="21" customHeight="1" x14ac:dyDescent="0.25">
      <c r="A1627" s="247"/>
      <c r="B1627" s="279" t="s">
        <v>2741</v>
      </c>
      <c r="C1627" s="544">
        <f ca="1">SUM(C1617:C1626)</f>
        <v>43018800</v>
      </c>
      <c r="D1627" s="544">
        <f ca="1">SUM(D1617:D1626)</f>
        <v>39108000</v>
      </c>
      <c r="E1627" s="544">
        <f ca="1">SUM(E1617:E1626)</f>
        <v>12139997</v>
      </c>
      <c r="F1627" s="567">
        <f ca="1">E1627/D1627</f>
        <v>0.31042234325457707</v>
      </c>
      <c r="G1627" s="972">
        <f ca="1">SUM(G1617:G1626)</f>
        <v>1820999.55</v>
      </c>
    </row>
    <row r="1628" spans="1:7" ht="21" customHeight="1" x14ac:dyDescent="0.25">
      <c r="A1628" s="247" t="s">
        <v>4120</v>
      </c>
      <c r="B1628" s="228" t="s">
        <v>453</v>
      </c>
      <c r="C1628" s="233">
        <f t="shared" ref="C1628:C1638" ca="1" si="485">SUMIFS(INDIRECT("Report!F100:F10000"),INDIRECT("Report!B100:B10000"),B1628,INDIRECT("report!H100:H10000"),"Consums",INDIRECT("Report!L100:L10000"),"24,6")</f>
        <v>8752700</v>
      </c>
      <c r="D1628" s="250">
        <f t="shared" ref="D1628" ca="1" si="486">(C1628/11*10)</f>
        <v>7957000</v>
      </c>
      <c r="E1628" s="233">
        <f t="shared" ref="E1628:E1638" ca="1" si="487">SUMIFS(INDIRECT("Report!J100:J10000"),INDIRECT("Report!B100:B10000"),B1628,INDIRECT("report!H100:H10000"),"Consums",INDIRECT("Report!L100:L10000"),"24,6")</f>
        <v>1769300</v>
      </c>
      <c r="F1628" s="555">
        <f t="shared" ref="F1628:F1638" ca="1" si="488">E1628/D1628</f>
        <v>0.22235767248963176</v>
      </c>
      <c r="G1628" s="244">
        <f t="shared" ref="G1628:G1638" ca="1" si="489">E1628*15%</f>
        <v>265395</v>
      </c>
    </row>
    <row r="1629" spans="1:7" ht="21" customHeight="1" x14ac:dyDescent="0.25">
      <c r="A1629" s="247"/>
      <c r="B1629" s="228" t="s">
        <v>459</v>
      </c>
      <c r="C1629" s="233">
        <f t="shared" ca="1" si="485"/>
        <v>880000.00000000012</v>
      </c>
      <c r="D1629" s="250">
        <f t="shared" ref="D1629:D1638" ca="1" si="490">(C1629/11*10)</f>
        <v>800000.00000000012</v>
      </c>
      <c r="E1629" s="233">
        <f t="shared" ca="1" si="487"/>
        <v>300000</v>
      </c>
      <c r="F1629" s="555">
        <f t="shared" ca="1" si="488"/>
        <v>0.37499999999999994</v>
      </c>
      <c r="G1629" s="244">
        <f t="shared" ca="1" si="489"/>
        <v>45000</v>
      </c>
    </row>
    <row r="1630" spans="1:7" ht="21" customHeight="1" x14ac:dyDescent="0.25">
      <c r="A1630" s="247"/>
      <c r="B1630" s="228" t="s">
        <v>4076</v>
      </c>
      <c r="C1630" s="233">
        <f t="shared" ca="1" si="485"/>
        <v>1430000</v>
      </c>
      <c r="D1630" s="250">
        <f t="shared" ca="1" si="490"/>
        <v>1300000</v>
      </c>
      <c r="E1630" s="233">
        <f t="shared" ca="1" si="487"/>
        <v>180000</v>
      </c>
      <c r="F1630" s="555">
        <f t="shared" ca="1" si="488"/>
        <v>0.13846153846153847</v>
      </c>
      <c r="G1630" s="244">
        <f t="shared" ca="1" si="489"/>
        <v>27000</v>
      </c>
    </row>
    <row r="1631" spans="1:7" ht="21" customHeight="1" x14ac:dyDescent="0.25">
      <c r="B1631" s="228" t="s">
        <v>2125</v>
      </c>
      <c r="C1631" s="233">
        <f t="shared" ca="1" si="485"/>
        <v>2862695</v>
      </c>
      <c r="D1631" s="250">
        <f t="shared" ca="1" si="490"/>
        <v>2602450</v>
      </c>
      <c r="E1631" s="233">
        <f t="shared" ca="1" si="487"/>
        <v>2602450</v>
      </c>
      <c r="F1631" s="555">
        <f t="shared" ca="1" si="488"/>
        <v>1</v>
      </c>
      <c r="G1631" s="244">
        <f t="shared" ca="1" si="489"/>
        <v>390367.5</v>
      </c>
    </row>
    <row r="1632" spans="1:7" ht="21" customHeight="1" x14ac:dyDescent="0.25">
      <c r="B1632" s="228" t="s">
        <v>2247</v>
      </c>
      <c r="C1632" s="233">
        <f t="shared" ca="1" si="485"/>
        <v>10142000</v>
      </c>
      <c r="D1632" s="250">
        <f t="shared" ca="1" si="490"/>
        <v>9220000</v>
      </c>
      <c r="E1632" s="233">
        <f t="shared" ca="1" si="487"/>
        <v>2220000</v>
      </c>
      <c r="F1632" s="555">
        <f t="shared" ca="1" si="488"/>
        <v>0.24078091106290672</v>
      </c>
      <c r="G1632" s="244">
        <f t="shared" ca="1" si="489"/>
        <v>333000</v>
      </c>
    </row>
    <row r="1633" spans="1:7" ht="21" customHeight="1" x14ac:dyDescent="0.25">
      <c r="B1633" s="228" t="s">
        <v>515</v>
      </c>
      <c r="C1633" s="233">
        <f t="shared" ca="1" si="485"/>
        <v>7150000.0000000009</v>
      </c>
      <c r="D1633" s="250">
        <f t="shared" ca="1" si="490"/>
        <v>6500000.0000000009</v>
      </c>
      <c r="E1633" s="233">
        <f t="shared" ca="1" si="487"/>
        <v>1700000</v>
      </c>
      <c r="F1633" s="555">
        <f t="shared" ca="1" si="488"/>
        <v>0.2615384615384615</v>
      </c>
      <c r="G1633" s="244">
        <f t="shared" ca="1" si="489"/>
        <v>255000</v>
      </c>
    </row>
    <row r="1634" spans="1:7" ht="21" customHeight="1" x14ac:dyDescent="0.25">
      <c r="B1634" s="228" t="s">
        <v>466</v>
      </c>
      <c r="C1634" s="233">
        <f t="shared" ca="1" si="485"/>
        <v>357500</v>
      </c>
      <c r="D1634" s="250">
        <f t="shared" ca="1" si="490"/>
        <v>325000</v>
      </c>
      <c r="E1634" s="233">
        <f t="shared" ca="1" si="487"/>
        <v>75000</v>
      </c>
      <c r="F1634" s="555">
        <f t="shared" ca="1" si="488"/>
        <v>0.23076923076923078</v>
      </c>
      <c r="G1634" s="244">
        <f t="shared" ca="1" si="489"/>
        <v>11250</v>
      </c>
    </row>
    <row r="1635" spans="1:7" ht="21" customHeight="1" x14ac:dyDescent="0.25">
      <c r="B1635" s="228" t="s">
        <v>523</v>
      </c>
      <c r="C1635" s="233">
        <f t="shared" ca="1" si="485"/>
        <v>3536500.0000000005</v>
      </c>
      <c r="D1635" s="250">
        <f t="shared" ca="1" si="490"/>
        <v>3215000.0000000005</v>
      </c>
      <c r="E1635" s="233">
        <f t="shared" ca="1" si="487"/>
        <v>518500</v>
      </c>
      <c r="F1635" s="555">
        <f t="shared" ca="1" si="488"/>
        <v>0.16127527216174181</v>
      </c>
      <c r="G1635" s="244">
        <f t="shared" ca="1" si="489"/>
        <v>77775</v>
      </c>
    </row>
    <row r="1636" spans="1:7" ht="21" customHeight="1" x14ac:dyDescent="0.25">
      <c r="B1636" s="228" t="s">
        <v>4040</v>
      </c>
      <c r="C1636" s="233">
        <f t="shared" ca="1" si="485"/>
        <v>1633500.0000000002</v>
      </c>
      <c r="D1636" s="250">
        <f t="shared" ca="1" si="490"/>
        <v>1485000.0000000002</v>
      </c>
      <c r="E1636" s="233">
        <f t="shared" ca="1" si="487"/>
        <v>195000</v>
      </c>
      <c r="F1636" s="555">
        <f t="shared" ca="1" si="488"/>
        <v>0.1313131313131313</v>
      </c>
      <c r="G1636" s="244">
        <f t="shared" ca="1" si="489"/>
        <v>29250</v>
      </c>
    </row>
    <row r="1637" spans="1:7" ht="21" customHeight="1" x14ac:dyDescent="0.25">
      <c r="B1637" s="228" t="s">
        <v>467</v>
      </c>
      <c r="C1637" s="233">
        <f t="shared" ca="1" si="485"/>
        <v>3003000</v>
      </c>
      <c r="D1637" s="250">
        <f t="shared" ca="1" si="490"/>
        <v>2730000</v>
      </c>
      <c r="E1637" s="233">
        <f t="shared" ca="1" si="487"/>
        <v>768000</v>
      </c>
      <c r="F1637" s="555">
        <f t="shared" ca="1" si="488"/>
        <v>0.28131868131868132</v>
      </c>
      <c r="G1637" s="244">
        <f t="shared" ca="1" si="489"/>
        <v>115200</v>
      </c>
    </row>
    <row r="1638" spans="1:7" ht="21" customHeight="1" x14ac:dyDescent="0.25">
      <c r="B1638" s="228" t="s">
        <v>434</v>
      </c>
      <c r="C1638" s="233">
        <f t="shared" ca="1" si="485"/>
        <v>5544000</v>
      </c>
      <c r="D1638" s="250">
        <f t="shared" ca="1" si="490"/>
        <v>5040000</v>
      </c>
      <c r="E1638" s="233">
        <f t="shared" ca="1" si="487"/>
        <v>1980000</v>
      </c>
      <c r="F1638" s="555">
        <f t="shared" ca="1" si="488"/>
        <v>0.39285714285714285</v>
      </c>
      <c r="G1638" s="244">
        <f t="shared" ca="1" si="489"/>
        <v>297000</v>
      </c>
    </row>
    <row r="1639" spans="1:7" ht="21" customHeight="1" x14ac:dyDescent="0.25">
      <c r="A1639" s="247"/>
      <c r="B1639" s="279" t="s">
        <v>2741</v>
      </c>
      <c r="C1639" s="544">
        <f ca="1">SUM(C1628:C1638)</f>
        <v>45291895</v>
      </c>
      <c r="D1639" s="544">
        <f ca="1">SUM(D1628:D1638)</f>
        <v>41174450</v>
      </c>
      <c r="E1639" s="544">
        <f ca="1">SUM(E1628:E1638)</f>
        <v>12308250</v>
      </c>
      <c r="F1639" s="567">
        <f ca="1">E1639/D1639</f>
        <v>0.29892931174551207</v>
      </c>
      <c r="G1639" s="972">
        <f ca="1">SUM(G1628:G1638)</f>
        <v>1846237.5</v>
      </c>
    </row>
    <row r="1640" spans="1:7" ht="21" customHeight="1" x14ac:dyDescent="0.25">
      <c r="A1640" s="247" t="s">
        <v>4148</v>
      </c>
      <c r="B1640" s="228" t="s">
        <v>453</v>
      </c>
      <c r="C1640" s="233">
        <f t="shared" ref="C1640:C1651" ca="1" si="491">SUMIFS(INDIRECT("Report!F100:F10000"),INDIRECT("Report!B100:B10000"),B1640,INDIRECT("report!H100:H10000"),"Consums",INDIRECT("Report!L100:L10000"),"24,7")</f>
        <v>13574000</v>
      </c>
      <c r="D1640" s="250">
        <f t="shared" ref="D1640" ca="1" si="492">(C1640/11*10)</f>
        <v>12340000</v>
      </c>
      <c r="E1640" s="233">
        <f t="shared" ref="E1640:E1651" ca="1" si="493">SUMIFS(INDIRECT("Report!J100:J10000"),INDIRECT("Report!B100:B10000"),B1640,INDIRECT("report!H100:H10000"),"Consums",INDIRECT("Report!L100:L10000"),"24,7")</f>
        <v>1979580</v>
      </c>
      <c r="F1640" s="555">
        <f t="shared" ref="F1640:F1651" ca="1" si="494">E1640/D1640</f>
        <v>0.160419773095624</v>
      </c>
      <c r="G1640" s="244">
        <f t="shared" ref="G1640:G1651" ca="1" si="495">E1640*15%</f>
        <v>296937</v>
      </c>
    </row>
    <row r="1641" spans="1:7" ht="21" customHeight="1" x14ac:dyDescent="0.25">
      <c r="A1641" s="247"/>
      <c r="B1641" s="228" t="s">
        <v>459</v>
      </c>
      <c r="C1641" s="233">
        <f t="shared" ca="1" si="491"/>
        <v>880000.00000000012</v>
      </c>
      <c r="D1641" s="250">
        <f t="shared" ref="D1641:D1651" ca="1" si="496">(C1641/11*10)</f>
        <v>800000.00000000012</v>
      </c>
      <c r="E1641" s="233">
        <f t="shared" ca="1" si="493"/>
        <v>300000</v>
      </c>
      <c r="F1641" s="555">
        <f t="shared" ca="1" si="494"/>
        <v>0.37499999999999994</v>
      </c>
      <c r="G1641" s="244">
        <f t="shared" ca="1" si="495"/>
        <v>45000</v>
      </c>
    </row>
    <row r="1642" spans="1:7" ht="21" customHeight="1" x14ac:dyDescent="0.25">
      <c r="A1642" s="247"/>
      <c r="B1642" s="228" t="s">
        <v>4076</v>
      </c>
      <c r="C1642" s="233">
        <f t="shared" ca="1" si="491"/>
        <v>3487000</v>
      </c>
      <c r="D1642" s="250">
        <f t="shared" ca="1" si="496"/>
        <v>3170000</v>
      </c>
      <c r="E1642" s="233">
        <f t="shared" ca="1" si="493"/>
        <v>350000</v>
      </c>
      <c r="F1642" s="555">
        <f t="shared" ca="1" si="494"/>
        <v>0.11041009463722397</v>
      </c>
      <c r="G1642" s="244">
        <f t="shared" ca="1" si="495"/>
        <v>52500</v>
      </c>
    </row>
    <row r="1643" spans="1:7" ht="21" customHeight="1" x14ac:dyDescent="0.25">
      <c r="B1643" s="228" t="s">
        <v>1099</v>
      </c>
      <c r="C1643" s="233">
        <f t="shared" ca="1" si="491"/>
        <v>7249000</v>
      </c>
      <c r="D1643" s="250">
        <f t="shared" ca="1" si="496"/>
        <v>6590000</v>
      </c>
      <c r="E1643" s="233">
        <f t="shared" ca="1" si="493"/>
        <v>2790000</v>
      </c>
      <c r="F1643" s="555">
        <f t="shared" ca="1" si="494"/>
        <v>0.42336874051593321</v>
      </c>
      <c r="G1643" s="244">
        <f t="shared" ca="1" si="495"/>
        <v>418500</v>
      </c>
    </row>
    <row r="1644" spans="1:7" ht="21" customHeight="1" x14ac:dyDescent="0.25">
      <c r="B1644" s="228" t="s">
        <v>2247</v>
      </c>
      <c r="C1644" s="233">
        <f t="shared" ca="1" si="491"/>
        <v>10263000</v>
      </c>
      <c r="D1644" s="250">
        <f t="shared" ca="1" si="496"/>
        <v>9330000</v>
      </c>
      <c r="E1644" s="233">
        <f t="shared" ca="1" si="493"/>
        <v>1991000</v>
      </c>
      <c r="F1644" s="555">
        <f t="shared" ca="1" si="494"/>
        <v>0.21339764201500536</v>
      </c>
      <c r="G1644" s="244">
        <f t="shared" ca="1" si="495"/>
        <v>298650</v>
      </c>
    </row>
    <row r="1645" spans="1:7" ht="21" customHeight="1" x14ac:dyDescent="0.25">
      <c r="B1645" s="228" t="s">
        <v>515</v>
      </c>
      <c r="C1645" s="233">
        <f t="shared" ca="1" si="491"/>
        <v>3575000.0000000005</v>
      </c>
      <c r="D1645" s="250">
        <f t="shared" ca="1" si="496"/>
        <v>3250000.0000000005</v>
      </c>
      <c r="E1645" s="233">
        <f t="shared" ca="1" si="493"/>
        <v>850000</v>
      </c>
      <c r="F1645" s="555">
        <f t="shared" ca="1" si="494"/>
        <v>0.2615384615384615</v>
      </c>
      <c r="G1645" s="244">
        <f t="shared" ca="1" si="495"/>
        <v>127500</v>
      </c>
    </row>
    <row r="1646" spans="1:7" ht="21" customHeight="1" x14ac:dyDescent="0.25">
      <c r="B1646" s="228" t="s">
        <v>466</v>
      </c>
      <c r="C1646" s="233">
        <f t="shared" ca="1" si="491"/>
        <v>1072500</v>
      </c>
      <c r="D1646" s="250">
        <f t="shared" ca="1" si="496"/>
        <v>975000</v>
      </c>
      <c r="E1646" s="233">
        <f t="shared" ca="1" si="493"/>
        <v>225000</v>
      </c>
      <c r="F1646" s="555">
        <f t="shared" ca="1" si="494"/>
        <v>0.23076923076923078</v>
      </c>
      <c r="G1646" s="244">
        <f t="shared" ca="1" si="495"/>
        <v>33750</v>
      </c>
    </row>
    <row r="1647" spans="1:7" ht="21" customHeight="1" x14ac:dyDescent="0.25">
      <c r="B1647" s="228" t="s">
        <v>523</v>
      </c>
      <c r="C1647" s="233">
        <f t="shared" ca="1" si="491"/>
        <v>1897500</v>
      </c>
      <c r="D1647" s="250">
        <f t="shared" ca="1" si="496"/>
        <v>1725000</v>
      </c>
      <c r="E1647" s="233">
        <f t="shared" ca="1" si="493"/>
        <v>749000</v>
      </c>
      <c r="F1647" s="555">
        <f t="shared" ca="1" si="494"/>
        <v>0.43420289855072464</v>
      </c>
      <c r="G1647" s="244">
        <f t="shared" ca="1" si="495"/>
        <v>112350</v>
      </c>
    </row>
    <row r="1648" spans="1:7" ht="21" customHeight="1" x14ac:dyDescent="0.25">
      <c r="B1648" s="228" t="s">
        <v>526</v>
      </c>
      <c r="C1648" s="233">
        <f t="shared" ca="1" si="491"/>
        <v>13503600.000000002</v>
      </c>
      <c r="D1648" s="250">
        <f t="shared" ca="1" si="496"/>
        <v>12276000.000000002</v>
      </c>
      <c r="E1648" s="233">
        <f t="shared" ca="1" si="493"/>
        <v>3081000</v>
      </c>
      <c r="F1648" s="555">
        <f t="shared" ca="1" si="494"/>
        <v>0.25097751710654931</v>
      </c>
      <c r="G1648" s="244">
        <f t="shared" ca="1" si="495"/>
        <v>462150</v>
      </c>
    </row>
    <row r="1649" spans="1:7" ht="21" customHeight="1" x14ac:dyDescent="0.25">
      <c r="B1649" s="228" t="s">
        <v>4163</v>
      </c>
      <c r="C1649" s="233">
        <f t="shared" ca="1" si="491"/>
        <v>165000</v>
      </c>
      <c r="D1649" s="250">
        <f t="shared" ca="1" si="496"/>
        <v>150000</v>
      </c>
      <c r="E1649" s="233">
        <f t="shared" ca="1" si="493"/>
        <v>86800</v>
      </c>
      <c r="F1649" s="555">
        <f t="shared" ca="1" si="494"/>
        <v>0.57866666666666666</v>
      </c>
      <c r="G1649" s="244">
        <f t="shared" ca="1" si="495"/>
        <v>13020</v>
      </c>
    </row>
    <row r="1650" spans="1:7" ht="21" customHeight="1" x14ac:dyDescent="0.25">
      <c r="B1650" s="228" t="s">
        <v>467</v>
      </c>
      <c r="C1650" s="233">
        <f t="shared" ca="1" si="491"/>
        <v>17182000.000000004</v>
      </c>
      <c r="D1650" s="250">
        <f t="shared" ca="1" si="496"/>
        <v>15620000.000000002</v>
      </c>
      <c r="E1650" s="233">
        <f t="shared" ca="1" si="493"/>
        <v>7078755</v>
      </c>
      <c r="F1650" s="555">
        <f t="shared" ca="1" si="494"/>
        <v>0.45318533930857868</v>
      </c>
      <c r="G1650" s="244">
        <f t="shared" ca="1" si="495"/>
        <v>1061813.25</v>
      </c>
    </row>
    <row r="1651" spans="1:7" ht="21" customHeight="1" x14ac:dyDescent="0.25">
      <c r="B1651" s="228" t="s">
        <v>434</v>
      </c>
      <c r="C1651" s="233">
        <f t="shared" ca="1" si="491"/>
        <v>7392000.0000000009</v>
      </c>
      <c r="D1651" s="250">
        <f t="shared" ca="1" si="496"/>
        <v>6720000.0000000009</v>
      </c>
      <c r="E1651" s="233">
        <f t="shared" ca="1" si="493"/>
        <v>2640000</v>
      </c>
      <c r="F1651" s="555">
        <f t="shared" ca="1" si="494"/>
        <v>0.39285714285714279</v>
      </c>
      <c r="G1651" s="244">
        <f t="shared" ca="1" si="495"/>
        <v>396000</v>
      </c>
    </row>
    <row r="1652" spans="1:7" ht="21" customHeight="1" x14ac:dyDescent="0.25">
      <c r="A1652" s="247"/>
      <c r="B1652" s="279" t="s">
        <v>2741</v>
      </c>
      <c r="C1652" s="544">
        <f ca="1">SUM(C1640:C1651)</f>
        <v>80240600</v>
      </c>
      <c r="D1652" s="544">
        <f ca="1">SUM(D1640:D1651)</f>
        <v>72946000</v>
      </c>
      <c r="E1652" s="544">
        <f ca="1">SUM(E1640:E1651)</f>
        <v>22121135</v>
      </c>
      <c r="F1652" s="567">
        <f ca="1">E1652/D1652</f>
        <v>0.30325357113481205</v>
      </c>
      <c r="G1652" s="972">
        <f ca="1">SUM(G1640:G1651)</f>
        <v>3318170.25</v>
      </c>
    </row>
    <row r="1653" spans="1:7" ht="21" customHeight="1" x14ac:dyDescent="0.25">
      <c r="A1653" s="247" t="s">
        <v>4170</v>
      </c>
      <c r="B1653" s="228" t="s">
        <v>453</v>
      </c>
      <c r="C1653" s="233">
        <f t="shared" ref="C1653:C1663" ca="1" si="497">SUMIFS(INDIRECT("Report!F100:F10000"),INDIRECT("Report!B100:B10000"),B1653,INDIRECT("report!H100:H10000"),"Consums",INDIRECT("Report!L100:L10000"),"24,8")</f>
        <v>5865200</v>
      </c>
      <c r="D1653" s="250">
        <f t="shared" ref="D1653" ca="1" si="498">(C1653/11*10)</f>
        <v>5332000</v>
      </c>
      <c r="E1653" s="233">
        <f t="shared" ref="E1653:E1663" ca="1" si="499">SUMIFS(INDIRECT("Report!J100:J10000"),INDIRECT("Report!B100:B10000"),B1653,INDIRECT("report!H100:H10000"),"Consums",INDIRECT("Report!L100:L10000"),"24,8")</f>
        <v>764080</v>
      </c>
      <c r="F1653" s="555">
        <f t="shared" ref="F1653:F1663" ca="1" si="500">E1653/D1653</f>
        <v>0.14330082520630158</v>
      </c>
      <c r="G1653" s="244">
        <f t="shared" ref="G1653:G1663" ca="1" si="501">E1653*15%</f>
        <v>114612</v>
      </c>
    </row>
    <row r="1654" spans="1:7" ht="21" customHeight="1" x14ac:dyDescent="0.25">
      <c r="A1654" s="247"/>
      <c r="B1654" s="228" t="s">
        <v>513</v>
      </c>
      <c r="C1654" s="233">
        <f t="shared" ca="1" si="497"/>
        <v>1918400.0000000002</v>
      </c>
      <c r="D1654" s="250">
        <f t="shared" ref="D1654:D1663" ca="1" si="502">(C1654/11*10)</f>
        <v>1744000.0000000002</v>
      </c>
      <c r="E1654" s="233">
        <f t="shared" ca="1" si="499"/>
        <v>412000</v>
      </c>
      <c r="F1654" s="555">
        <f t="shared" ca="1" si="500"/>
        <v>0.23623853211009171</v>
      </c>
      <c r="G1654" s="244">
        <f t="shared" ca="1" si="501"/>
        <v>61800</v>
      </c>
    </row>
    <row r="1655" spans="1:7" ht="21" customHeight="1" x14ac:dyDescent="0.25">
      <c r="A1655" s="247"/>
      <c r="B1655" s="228" t="s">
        <v>4076</v>
      </c>
      <c r="C1655" s="233">
        <f t="shared" ca="1" si="497"/>
        <v>1430000</v>
      </c>
      <c r="D1655" s="250">
        <f t="shared" ca="1" si="502"/>
        <v>1300000</v>
      </c>
      <c r="E1655" s="233">
        <f t="shared" ca="1" si="499"/>
        <v>180000</v>
      </c>
      <c r="F1655" s="555">
        <f t="shared" ca="1" si="500"/>
        <v>0.13846153846153847</v>
      </c>
      <c r="G1655" s="244">
        <f t="shared" ca="1" si="501"/>
        <v>27000</v>
      </c>
    </row>
    <row r="1656" spans="1:7" ht="21" customHeight="1" x14ac:dyDescent="0.25">
      <c r="B1656" s="228" t="s">
        <v>2247</v>
      </c>
      <c r="C1656" s="233">
        <f t="shared" ca="1" si="497"/>
        <v>9427000</v>
      </c>
      <c r="D1656" s="250">
        <f t="shared" ca="1" si="502"/>
        <v>8570000</v>
      </c>
      <c r="E1656" s="233">
        <f t="shared" ca="1" si="499"/>
        <v>1867500</v>
      </c>
      <c r="F1656" s="555">
        <f t="shared" ca="1" si="500"/>
        <v>0.21791131855309218</v>
      </c>
      <c r="G1656" s="244">
        <f t="shared" ca="1" si="501"/>
        <v>280125</v>
      </c>
    </row>
    <row r="1657" spans="1:7" ht="21" customHeight="1" x14ac:dyDescent="0.25">
      <c r="B1657" s="228" t="s">
        <v>515</v>
      </c>
      <c r="C1657" s="233">
        <f t="shared" ca="1" si="497"/>
        <v>3575000.0000000005</v>
      </c>
      <c r="D1657" s="250">
        <f t="shared" ca="1" si="502"/>
        <v>3250000.0000000005</v>
      </c>
      <c r="E1657" s="233">
        <f t="shared" ca="1" si="499"/>
        <v>850000</v>
      </c>
      <c r="F1657" s="555">
        <f t="shared" ca="1" si="500"/>
        <v>0.2615384615384615</v>
      </c>
      <c r="G1657" s="244">
        <f t="shared" ca="1" si="501"/>
        <v>127500</v>
      </c>
    </row>
    <row r="1658" spans="1:7" ht="21" customHeight="1" x14ac:dyDescent="0.25">
      <c r="B1658" s="228" t="s">
        <v>466</v>
      </c>
      <c r="C1658" s="233">
        <f t="shared" ca="1" si="497"/>
        <v>357500</v>
      </c>
      <c r="D1658" s="250">
        <f t="shared" ca="1" si="502"/>
        <v>325000</v>
      </c>
      <c r="E1658" s="233">
        <f t="shared" ca="1" si="499"/>
        <v>75000</v>
      </c>
      <c r="F1658" s="555">
        <f t="shared" ca="1" si="500"/>
        <v>0.23076923076923078</v>
      </c>
      <c r="G1658" s="244">
        <f t="shared" ca="1" si="501"/>
        <v>11250</v>
      </c>
    </row>
    <row r="1659" spans="1:7" ht="21" customHeight="1" x14ac:dyDescent="0.25">
      <c r="B1659" s="228" t="s">
        <v>523</v>
      </c>
      <c r="C1659" s="233">
        <f t="shared" ca="1" si="497"/>
        <v>3660800</v>
      </c>
      <c r="D1659" s="250">
        <f t="shared" ca="1" si="502"/>
        <v>3328000</v>
      </c>
      <c r="E1659" s="233">
        <f t="shared" ca="1" si="499"/>
        <v>550500</v>
      </c>
      <c r="F1659" s="555">
        <f t="shared" ca="1" si="500"/>
        <v>0.16541466346153846</v>
      </c>
      <c r="G1659" s="244">
        <f t="shared" ca="1" si="501"/>
        <v>82575</v>
      </c>
    </row>
    <row r="1660" spans="1:7" ht="21" customHeight="1" x14ac:dyDescent="0.25">
      <c r="B1660" s="228" t="s">
        <v>3407</v>
      </c>
      <c r="C1660" s="233">
        <f t="shared" ca="1" si="497"/>
        <v>5115000</v>
      </c>
      <c r="D1660" s="250">
        <f t="shared" ca="1" si="502"/>
        <v>4650000</v>
      </c>
      <c r="E1660" s="233">
        <f t="shared" ca="1" si="499"/>
        <v>2235720</v>
      </c>
      <c r="F1660" s="555">
        <f t="shared" ca="1" si="500"/>
        <v>0.48080000000000001</v>
      </c>
      <c r="G1660" s="244">
        <f t="shared" ca="1" si="501"/>
        <v>335358</v>
      </c>
    </row>
    <row r="1661" spans="1:7" ht="21" customHeight="1" x14ac:dyDescent="0.25">
      <c r="B1661" s="228" t="s">
        <v>2125</v>
      </c>
      <c r="C1661" s="233">
        <f t="shared" ca="1" si="497"/>
        <v>2564320</v>
      </c>
      <c r="D1661" s="250">
        <f t="shared" ca="1" si="502"/>
        <v>2331200</v>
      </c>
      <c r="E1661" s="233">
        <f t="shared" ca="1" si="499"/>
        <v>2331200</v>
      </c>
      <c r="F1661" s="555">
        <f t="shared" ca="1" si="500"/>
        <v>1</v>
      </c>
      <c r="G1661" s="244">
        <f t="shared" ca="1" si="501"/>
        <v>349680</v>
      </c>
    </row>
    <row r="1662" spans="1:7" ht="21" customHeight="1" x14ac:dyDescent="0.25">
      <c r="B1662" s="228" t="s">
        <v>467</v>
      </c>
      <c r="C1662" s="233">
        <f t="shared" ca="1" si="497"/>
        <v>4785000</v>
      </c>
      <c r="D1662" s="250">
        <f t="shared" ca="1" si="502"/>
        <v>4350000</v>
      </c>
      <c r="E1662" s="233">
        <f t="shared" ca="1" si="499"/>
        <v>1250000</v>
      </c>
      <c r="F1662" s="555">
        <f t="shared" ca="1" si="500"/>
        <v>0.28735632183908044</v>
      </c>
      <c r="G1662" s="244">
        <f t="shared" ca="1" si="501"/>
        <v>187500</v>
      </c>
    </row>
    <row r="1663" spans="1:7" ht="21" customHeight="1" x14ac:dyDescent="0.25">
      <c r="B1663" s="228" t="s">
        <v>434</v>
      </c>
      <c r="C1663" s="233">
        <f t="shared" ca="1" si="497"/>
        <v>5544000</v>
      </c>
      <c r="D1663" s="250">
        <f t="shared" ca="1" si="502"/>
        <v>5040000</v>
      </c>
      <c r="E1663" s="233">
        <f t="shared" ca="1" si="499"/>
        <v>1980000</v>
      </c>
      <c r="F1663" s="555">
        <f t="shared" ca="1" si="500"/>
        <v>0.39285714285714285</v>
      </c>
      <c r="G1663" s="244">
        <f t="shared" ca="1" si="501"/>
        <v>297000</v>
      </c>
    </row>
    <row r="1664" spans="1:7" ht="21" customHeight="1" x14ac:dyDescent="0.25">
      <c r="A1664" s="247"/>
      <c r="B1664" s="279" t="s">
        <v>2741</v>
      </c>
      <c r="C1664" s="544">
        <f ca="1">SUM(C1653:C1663)</f>
        <v>44242220</v>
      </c>
      <c r="D1664" s="544">
        <f ca="1">SUM(D1653:D1663)</f>
        <v>40220200</v>
      </c>
      <c r="E1664" s="544">
        <f ca="1">SUM(E1653:E1663)</f>
        <v>12496000</v>
      </c>
      <c r="F1664" s="567">
        <f ca="1">E1664/D1664</f>
        <v>0.31068965345771526</v>
      </c>
      <c r="G1664" s="972">
        <f ca="1">SUM(G1653:G1663)</f>
        <v>1874400</v>
      </c>
    </row>
    <row r="1665" spans="1:7" ht="21" customHeight="1" x14ac:dyDescent="0.25">
      <c r="A1665" s="247" t="s">
        <v>4203</v>
      </c>
      <c r="B1665" s="228" t="s">
        <v>453</v>
      </c>
      <c r="C1665" s="233">
        <f t="shared" ref="C1665:C1674" ca="1" si="503">SUMIFS(INDIRECT("Report!F100:F10000"),INDIRECT("Report!B100:B10000"),B1665,INDIRECT("report!H100:H10000"),"Consums",INDIRECT("Report!L100:L10000"),"24,9")</f>
        <v>21711690</v>
      </c>
      <c r="D1665" s="250">
        <f t="shared" ref="D1665" ca="1" si="504">(C1665/11*10)</f>
        <v>19737900</v>
      </c>
      <c r="E1665" s="233">
        <f t="shared" ref="E1665:E1674" ca="1" si="505">SUMIFS(INDIRECT("Report!J100:J10000"),INDIRECT("Report!B100:B10000"),B1665,INDIRECT("report!H100:H10000"),"Consums",INDIRECT("Report!L100:L10000"),"24,9")</f>
        <v>2496070</v>
      </c>
      <c r="F1665" s="555">
        <f t="shared" ref="F1665:F1674" ca="1" si="506">E1665/D1665</f>
        <v>0.12646076836948206</v>
      </c>
      <c r="G1665" s="244">
        <f t="shared" ref="G1665:G1674" ca="1" si="507">E1665*15%</f>
        <v>374410.5</v>
      </c>
    </row>
    <row r="1666" spans="1:7" ht="21" customHeight="1" x14ac:dyDescent="0.25">
      <c r="A1666" s="247"/>
      <c r="B1666" s="228" t="s">
        <v>513</v>
      </c>
      <c r="C1666" s="233">
        <f t="shared" ca="1" si="503"/>
        <v>1918400.0000000002</v>
      </c>
      <c r="D1666" s="250">
        <f t="shared" ref="D1666:D1671" ca="1" si="508">(C1666/11*10)</f>
        <v>1744000.0000000002</v>
      </c>
      <c r="E1666" s="233">
        <f t="shared" ca="1" si="505"/>
        <v>412000</v>
      </c>
      <c r="F1666" s="555">
        <f t="shared" ca="1" si="506"/>
        <v>0.23623853211009171</v>
      </c>
      <c r="G1666" s="244">
        <f t="shared" ca="1" si="507"/>
        <v>61800</v>
      </c>
    </row>
    <row r="1667" spans="1:7" ht="21" customHeight="1" x14ac:dyDescent="0.25">
      <c r="A1667" s="247"/>
      <c r="B1667" s="228" t="s">
        <v>4076</v>
      </c>
      <c r="C1667" s="233">
        <f t="shared" ca="1" si="503"/>
        <v>2860000</v>
      </c>
      <c r="D1667" s="250">
        <f t="shared" ca="1" si="508"/>
        <v>2600000</v>
      </c>
      <c r="E1667" s="233">
        <f t="shared" ca="1" si="505"/>
        <v>360000</v>
      </c>
      <c r="F1667" s="555">
        <f t="shared" ca="1" si="506"/>
        <v>0.13846153846153847</v>
      </c>
      <c r="G1667" s="244">
        <f t="shared" ca="1" si="507"/>
        <v>54000</v>
      </c>
    </row>
    <row r="1668" spans="1:7" ht="21" customHeight="1" x14ac:dyDescent="0.25">
      <c r="B1668" s="228" t="s">
        <v>2247</v>
      </c>
      <c r="C1668" s="233">
        <f t="shared" ca="1" si="503"/>
        <v>10950500</v>
      </c>
      <c r="D1668" s="250">
        <f t="shared" ca="1" si="508"/>
        <v>9955000</v>
      </c>
      <c r="E1668" s="233">
        <f t="shared" ca="1" si="505"/>
        <v>2186000</v>
      </c>
      <c r="F1668" s="555">
        <f t="shared" ca="1" si="506"/>
        <v>0.21958814665996987</v>
      </c>
      <c r="G1668" s="244">
        <f t="shared" ca="1" si="507"/>
        <v>327900</v>
      </c>
    </row>
    <row r="1669" spans="1:7" ht="21" customHeight="1" x14ac:dyDescent="0.25">
      <c r="B1669" s="228" t="s">
        <v>515</v>
      </c>
      <c r="C1669" s="233">
        <f t="shared" ca="1" si="503"/>
        <v>3575000.0000000005</v>
      </c>
      <c r="D1669" s="250">
        <f t="shared" ca="1" si="508"/>
        <v>3250000.0000000005</v>
      </c>
      <c r="E1669" s="233">
        <f t="shared" ca="1" si="505"/>
        <v>850000</v>
      </c>
      <c r="F1669" s="555">
        <f t="shared" ca="1" si="506"/>
        <v>0.2615384615384615</v>
      </c>
      <c r="G1669" s="244">
        <f t="shared" ca="1" si="507"/>
        <v>127500</v>
      </c>
    </row>
    <row r="1670" spans="1:7" ht="21" customHeight="1" x14ac:dyDescent="0.25">
      <c r="B1670" s="228" t="s">
        <v>466</v>
      </c>
      <c r="C1670" s="233">
        <f t="shared" ca="1" si="503"/>
        <v>715000</v>
      </c>
      <c r="D1670" s="250">
        <f t="shared" ca="1" si="508"/>
        <v>650000</v>
      </c>
      <c r="E1670" s="233">
        <f t="shared" ca="1" si="505"/>
        <v>150000</v>
      </c>
      <c r="F1670" s="555">
        <f t="shared" ca="1" si="506"/>
        <v>0.23076923076923078</v>
      </c>
      <c r="G1670" s="244">
        <f t="shared" ca="1" si="507"/>
        <v>22500</v>
      </c>
    </row>
    <row r="1671" spans="1:7" ht="21" customHeight="1" x14ac:dyDescent="0.25">
      <c r="B1671" s="228" t="s">
        <v>523</v>
      </c>
      <c r="C1671" s="233">
        <f t="shared" ca="1" si="503"/>
        <v>5973000</v>
      </c>
      <c r="D1671" s="250">
        <f t="shared" ca="1" si="508"/>
        <v>5430000</v>
      </c>
      <c r="E1671" s="233">
        <f t="shared" ca="1" si="505"/>
        <v>1338000</v>
      </c>
      <c r="F1671" s="555">
        <f t="shared" ca="1" si="506"/>
        <v>0.24640883977900552</v>
      </c>
      <c r="G1671" s="244">
        <f t="shared" ca="1" si="507"/>
        <v>200700</v>
      </c>
    </row>
    <row r="1672" spans="1:7" ht="21" customHeight="1" x14ac:dyDescent="0.25">
      <c r="B1672" s="228" t="s">
        <v>411</v>
      </c>
      <c r="C1672" s="233">
        <f t="shared" ca="1" si="503"/>
        <v>880000.00000000012</v>
      </c>
      <c r="D1672" s="250">
        <f t="shared" ref="D1672:D1674" ca="1" si="509">(C1672/11*10)</f>
        <v>800000.00000000012</v>
      </c>
      <c r="E1672" s="233">
        <f t="shared" ca="1" si="505"/>
        <v>300000</v>
      </c>
      <c r="F1672" s="555">
        <f t="shared" ca="1" si="506"/>
        <v>0.37499999999999994</v>
      </c>
      <c r="G1672" s="244">
        <f t="shared" ca="1" si="507"/>
        <v>45000</v>
      </c>
    </row>
    <row r="1673" spans="1:7" ht="21" customHeight="1" x14ac:dyDescent="0.25">
      <c r="B1673" s="228" t="s">
        <v>467</v>
      </c>
      <c r="C1673" s="233">
        <f t="shared" ca="1" si="503"/>
        <v>6259000</v>
      </c>
      <c r="D1673" s="250">
        <f t="shared" ca="1" si="509"/>
        <v>5690000</v>
      </c>
      <c r="E1673" s="233">
        <f t="shared" ca="1" si="505"/>
        <v>1825000</v>
      </c>
      <c r="F1673" s="555">
        <f t="shared" ca="1" si="506"/>
        <v>0.32073813708260107</v>
      </c>
      <c r="G1673" s="244">
        <f t="shared" ca="1" si="507"/>
        <v>273750</v>
      </c>
    </row>
    <row r="1674" spans="1:7" ht="21" customHeight="1" x14ac:dyDescent="0.25">
      <c r="B1674" s="228" t="s">
        <v>434</v>
      </c>
      <c r="C1674" s="233">
        <f t="shared" ca="1" si="503"/>
        <v>5544000</v>
      </c>
      <c r="D1674" s="250">
        <f t="shared" ca="1" si="509"/>
        <v>5040000</v>
      </c>
      <c r="E1674" s="233">
        <f t="shared" ca="1" si="505"/>
        <v>1980000</v>
      </c>
      <c r="F1674" s="555">
        <f t="shared" ca="1" si="506"/>
        <v>0.39285714285714285</v>
      </c>
      <c r="G1674" s="244">
        <f t="shared" ca="1" si="507"/>
        <v>297000</v>
      </c>
    </row>
    <row r="1675" spans="1:7" ht="21" customHeight="1" x14ac:dyDescent="0.25">
      <c r="A1675" s="247"/>
      <c r="B1675" s="279" t="s">
        <v>2741</v>
      </c>
      <c r="C1675" s="544">
        <f ca="1">SUM(C1665:C1674)</f>
        <v>60386590</v>
      </c>
      <c r="D1675" s="544">
        <f ca="1">SUM(D1665:D1674)</f>
        <v>54896900</v>
      </c>
      <c r="E1675" s="544">
        <f ca="1">SUM(E1665:E1674)</f>
        <v>11897070</v>
      </c>
      <c r="F1675" s="567">
        <f ca="1">E1675/D1675</f>
        <v>0.21671660877025842</v>
      </c>
      <c r="G1675" s="972">
        <f ca="1">SUM(G1665:G1674)</f>
        <v>1784560.5</v>
      </c>
    </row>
    <row r="1676" spans="1:7" ht="21" customHeight="1" x14ac:dyDescent="0.25">
      <c r="A1676" s="247" t="s">
        <v>4208</v>
      </c>
      <c r="B1676" s="228" t="s">
        <v>453</v>
      </c>
      <c r="C1676" s="233">
        <f t="shared" ref="C1676:C1687" ca="1" si="510">SUMIFS(INDIRECT("Report!F100:F10000"),INDIRECT("Report!B100:B10000"),B1676,INDIRECT("report!H100:H10000"),"Consums",INDIRECT("Report!L100:L10000"),"24,10")</f>
        <v>7991500</v>
      </c>
      <c r="D1676" s="250">
        <f t="shared" ref="D1676" ca="1" si="511">(C1676/11*10)</f>
        <v>7265000</v>
      </c>
      <c r="E1676" s="233">
        <f t="shared" ref="E1676:E1687" ca="1" si="512">SUMIFS(INDIRECT("Report!J100:J10000"),INDIRECT("Report!B100:B10000"),B1676,INDIRECT("report!H100:H10000"),"Consums",INDIRECT("Report!L100:L10000"),"24,10")</f>
        <v>1412540</v>
      </c>
      <c r="F1676" s="555">
        <f t="shared" ref="F1676:F1687" ca="1" si="513">E1676/D1676</f>
        <v>0.1944308327598073</v>
      </c>
      <c r="G1676" s="244">
        <f t="shared" ref="G1676:G1687" ca="1" si="514">E1676*15%</f>
        <v>211881</v>
      </c>
    </row>
    <row r="1677" spans="1:7" ht="21" customHeight="1" x14ac:dyDescent="0.25">
      <c r="A1677" s="247"/>
      <c r="B1677" s="228" t="s">
        <v>513</v>
      </c>
      <c r="C1677" s="233">
        <f t="shared" ca="1" si="510"/>
        <v>1918400.0000000002</v>
      </c>
      <c r="D1677" s="250">
        <f t="shared" ref="D1677:D1687" ca="1" si="515">(C1677/11*10)</f>
        <v>1744000.0000000002</v>
      </c>
      <c r="E1677" s="233">
        <f t="shared" ca="1" si="512"/>
        <v>412000</v>
      </c>
      <c r="F1677" s="555">
        <f t="shared" ca="1" si="513"/>
        <v>0.23623853211009171</v>
      </c>
      <c r="G1677" s="244">
        <f t="shared" ca="1" si="514"/>
        <v>61800</v>
      </c>
    </row>
    <row r="1678" spans="1:7" ht="21" customHeight="1" x14ac:dyDescent="0.25">
      <c r="A1678" s="247"/>
      <c r="B1678" s="228" t="s">
        <v>4076</v>
      </c>
      <c r="C1678" s="233">
        <f t="shared" ca="1" si="510"/>
        <v>3487000</v>
      </c>
      <c r="D1678" s="250">
        <f t="shared" ca="1" si="515"/>
        <v>3170000</v>
      </c>
      <c r="E1678" s="233">
        <f t="shared" ca="1" si="512"/>
        <v>350000</v>
      </c>
      <c r="F1678" s="555">
        <f t="shared" ca="1" si="513"/>
        <v>0.11041009463722397</v>
      </c>
      <c r="G1678" s="244">
        <f t="shared" ca="1" si="514"/>
        <v>52500</v>
      </c>
    </row>
    <row r="1679" spans="1:7" ht="21" customHeight="1" x14ac:dyDescent="0.25">
      <c r="B1679" s="228" t="s">
        <v>2247</v>
      </c>
      <c r="C1679" s="233">
        <f t="shared" ca="1" si="510"/>
        <v>16791500</v>
      </c>
      <c r="D1679" s="250">
        <f t="shared" ca="1" si="515"/>
        <v>15265000</v>
      </c>
      <c r="E1679" s="233">
        <f t="shared" ca="1" si="512"/>
        <v>3607500</v>
      </c>
      <c r="F1679" s="555">
        <f t="shared" ca="1" si="513"/>
        <v>0.23632492630199803</v>
      </c>
      <c r="G1679" s="244">
        <f t="shared" ca="1" si="514"/>
        <v>541125</v>
      </c>
    </row>
    <row r="1680" spans="1:7" ht="21" customHeight="1" x14ac:dyDescent="0.25">
      <c r="B1680" s="228" t="s">
        <v>515</v>
      </c>
      <c r="C1680" s="233">
        <f t="shared" ca="1" si="510"/>
        <v>7150000.0000000009</v>
      </c>
      <c r="D1680" s="250">
        <f t="shared" ca="1" si="515"/>
        <v>6500000.0000000009</v>
      </c>
      <c r="E1680" s="233">
        <f t="shared" ca="1" si="512"/>
        <v>1700000</v>
      </c>
      <c r="F1680" s="555">
        <f t="shared" ca="1" si="513"/>
        <v>0.2615384615384615</v>
      </c>
      <c r="G1680" s="244">
        <f t="shared" ca="1" si="514"/>
        <v>255000</v>
      </c>
    </row>
    <row r="1681" spans="1:7" ht="21" customHeight="1" x14ac:dyDescent="0.25">
      <c r="B1681" s="228" t="s">
        <v>466</v>
      </c>
      <c r="C1681" s="233">
        <f t="shared" ca="1" si="510"/>
        <v>1072500</v>
      </c>
      <c r="D1681" s="250">
        <f t="shared" ca="1" si="515"/>
        <v>975000</v>
      </c>
      <c r="E1681" s="233">
        <f t="shared" ca="1" si="512"/>
        <v>475000</v>
      </c>
      <c r="F1681" s="555">
        <f t="shared" ca="1" si="513"/>
        <v>0.48717948717948717</v>
      </c>
      <c r="G1681" s="244">
        <f t="shared" ca="1" si="514"/>
        <v>71250</v>
      </c>
    </row>
    <row r="1682" spans="1:7" ht="21" customHeight="1" x14ac:dyDescent="0.25">
      <c r="B1682" s="228" t="s">
        <v>526</v>
      </c>
      <c r="C1682" s="233">
        <f t="shared" ca="1" si="510"/>
        <v>10393900</v>
      </c>
      <c r="D1682" s="250">
        <f t="shared" ca="1" si="515"/>
        <v>9449000</v>
      </c>
      <c r="E1682" s="233">
        <f t="shared" ca="1" si="512"/>
        <v>1774000</v>
      </c>
      <c r="F1682" s="555">
        <f t="shared" ca="1" si="513"/>
        <v>0.18774473489258123</v>
      </c>
      <c r="G1682" s="244">
        <f t="shared" ca="1" si="514"/>
        <v>266100</v>
      </c>
    </row>
    <row r="1683" spans="1:7" ht="21" customHeight="1" x14ac:dyDescent="0.25">
      <c r="B1683" s="228" t="s">
        <v>411</v>
      </c>
      <c r="C1683" s="233">
        <f t="shared" ca="1" si="510"/>
        <v>880000.00000000012</v>
      </c>
      <c r="D1683" s="250">
        <f t="shared" ca="1" si="515"/>
        <v>800000.00000000012</v>
      </c>
      <c r="E1683" s="233">
        <f t="shared" ca="1" si="512"/>
        <v>300000</v>
      </c>
      <c r="F1683" s="555">
        <f t="shared" ca="1" si="513"/>
        <v>0.37499999999999994</v>
      </c>
      <c r="G1683" s="244">
        <f t="shared" ca="1" si="514"/>
        <v>45000</v>
      </c>
    </row>
    <row r="1684" spans="1:7" ht="21" customHeight="1" x14ac:dyDescent="0.25">
      <c r="B1684" s="228" t="s">
        <v>467</v>
      </c>
      <c r="C1684" s="233">
        <f t="shared" ca="1" si="510"/>
        <v>3663000</v>
      </c>
      <c r="D1684" s="250">
        <f t="shared" ca="1" si="515"/>
        <v>3330000</v>
      </c>
      <c r="E1684" s="233">
        <f t="shared" ca="1" si="512"/>
        <v>910000</v>
      </c>
      <c r="F1684" s="555">
        <f t="shared" ca="1" si="513"/>
        <v>0.27327327327327328</v>
      </c>
      <c r="G1684" s="244">
        <f t="shared" ca="1" si="514"/>
        <v>136500</v>
      </c>
    </row>
    <row r="1685" spans="1:7" ht="21" customHeight="1" x14ac:dyDescent="0.25">
      <c r="B1685" s="228" t="s">
        <v>2125</v>
      </c>
      <c r="C1685" s="233">
        <f t="shared" ca="1" si="510"/>
        <v>3727130.0000000005</v>
      </c>
      <c r="D1685" s="250">
        <f t="shared" ca="1" si="515"/>
        <v>3388300.0000000005</v>
      </c>
      <c r="E1685" s="233">
        <f t="shared" ca="1" si="512"/>
        <v>3388300</v>
      </c>
      <c r="F1685" s="555">
        <f t="shared" ca="1" si="513"/>
        <v>0.99999999999999989</v>
      </c>
      <c r="G1685" s="244">
        <f t="shared" ca="1" si="514"/>
        <v>508245</v>
      </c>
    </row>
    <row r="1686" spans="1:7" ht="21" customHeight="1" x14ac:dyDescent="0.25">
      <c r="B1686" s="228" t="s">
        <v>4222</v>
      </c>
      <c r="C1686" s="233">
        <f t="shared" ca="1" si="510"/>
        <v>7700000.0000000009</v>
      </c>
      <c r="D1686" s="250">
        <f t="shared" ca="1" si="515"/>
        <v>7000000.0000000009</v>
      </c>
      <c r="E1686" s="233">
        <f t="shared" ca="1" si="512"/>
        <v>1000000</v>
      </c>
      <c r="F1686" s="555">
        <f t="shared" ca="1" si="513"/>
        <v>0.14285714285714285</v>
      </c>
      <c r="G1686" s="244">
        <f t="shared" ca="1" si="514"/>
        <v>150000</v>
      </c>
    </row>
    <row r="1687" spans="1:7" ht="21" customHeight="1" x14ac:dyDescent="0.25">
      <c r="B1687" s="228" t="s">
        <v>434</v>
      </c>
      <c r="C1687" s="233">
        <f t="shared" ca="1" si="510"/>
        <v>3696000.0000000005</v>
      </c>
      <c r="D1687" s="250">
        <f t="shared" ca="1" si="515"/>
        <v>3360000.0000000005</v>
      </c>
      <c r="E1687" s="233">
        <f t="shared" ca="1" si="512"/>
        <v>1320000</v>
      </c>
      <c r="F1687" s="555">
        <f t="shared" ca="1" si="513"/>
        <v>0.39285714285714279</v>
      </c>
      <c r="G1687" s="244">
        <f t="shared" ca="1" si="514"/>
        <v>198000</v>
      </c>
    </row>
    <row r="1688" spans="1:7" ht="21" customHeight="1" x14ac:dyDescent="0.25">
      <c r="A1688" s="247"/>
      <c r="B1688" s="279" t="s">
        <v>2741</v>
      </c>
      <c r="C1688" s="544">
        <f ca="1">SUM(C1676:C1687)</f>
        <v>68470930</v>
      </c>
      <c r="D1688" s="544">
        <f ca="1">SUM(D1676:D1687)</f>
        <v>62246300</v>
      </c>
      <c r="E1688" s="544">
        <f ca="1">SUM(E1676:E1687)</f>
        <v>16649340</v>
      </c>
      <c r="F1688" s="567">
        <f ca="1">E1688/D1688</f>
        <v>0.26747517523129888</v>
      </c>
      <c r="G1688" s="972">
        <f ca="1">SUM(G1676:G1687)</f>
        <v>2497401</v>
      </c>
    </row>
    <row r="1689" spans="1:7" ht="21" customHeight="1" x14ac:dyDescent="0.25">
      <c r="A1689" s="247" t="s">
        <v>4229</v>
      </c>
      <c r="B1689" s="228" t="s">
        <v>442</v>
      </c>
      <c r="C1689" s="233">
        <f ca="1">SUMIFS(INDIRECT("Report!F100:F10000"),INDIRECT("Report!B100:B10000"),B1689,INDIRECT("report!H100:H10000"),"Consums",INDIRECT("Report!L100:L10000"),"24,11")</f>
        <v>15369695</v>
      </c>
      <c r="D1689" s="250">
        <f t="shared" ref="D1689:D1697" ca="1" si="516">(C1689/11*10)</f>
        <v>13972450</v>
      </c>
      <c r="E1689" s="233">
        <f ca="1">SUMIFS(INDIRECT("Report!J100:J10000"),INDIRECT("Report!B100:B10000"),B1689,INDIRECT("report!H100:H10000"),"Consums",INDIRECT("Report!L100:L10000"),"24,11")</f>
        <v>2840870</v>
      </c>
      <c r="F1689" s="555">
        <f t="shared" ref="F1689:F1697" ca="1" si="517">E1689/D1689</f>
        <v>0.20331938922665674</v>
      </c>
      <c r="G1689" s="244">
        <f t="shared" ref="G1689:G1697" ca="1" si="518">E1689*15%</f>
        <v>426130.5</v>
      </c>
    </row>
    <row r="1690" spans="1:7" ht="21" customHeight="1" x14ac:dyDescent="0.25">
      <c r="A1690" s="247"/>
      <c r="B1690" s="228" t="s">
        <v>443</v>
      </c>
      <c r="C1690" s="233">
        <f t="shared" ref="C1690:C1697" ca="1" si="519">SUMIFS(INDIRECT("Report!F100:F10000"),INDIRECT("Report!B100:B10000"),B1690,INDIRECT("report!H100:H10000"),"Consums",INDIRECT("Report!L100:L10000"),"24,11")</f>
        <v>1918400.0000000002</v>
      </c>
      <c r="D1690" s="250">
        <f t="shared" ca="1" si="516"/>
        <v>1744000.0000000002</v>
      </c>
      <c r="E1690" s="233">
        <f t="shared" ref="E1690:E1697" ca="1" si="520">SUMIFS(INDIRECT("Report!J100:J10000"),INDIRECT("Report!B100:B10000"),B1690,INDIRECT("report!H100:H10000"),"Consums",INDIRECT("Report!L100:L10000"),"24,11")</f>
        <v>412000</v>
      </c>
      <c r="F1690" s="555">
        <f t="shared" ca="1" si="517"/>
        <v>0.23623853211009171</v>
      </c>
      <c r="G1690" s="244">
        <f t="shared" ca="1" si="518"/>
        <v>61800</v>
      </c>
    </row>
    <row r="1691" spans="1:7" ht="21" customHeight="1" x14ac:dyDescent="0.25">
      <c r="A1691" s="247"/>
      <c r="B1691" s="228" t="s">
        <v>4266</v>
      </c>
      <c r="C1691" s="233">
        <f t="shared" ca="1" si="519"/>
        <v>2860000</v>
      </c>
      <c r="D1691" s="250">
        <f t="shared" ca="1" si="516"/>
        <v>2600000</v>
      </c>
      <c r="E1691" s="233">
        <f t="shared" ca="1" si="520"/>
        <v>360000</v>
      </c>
      <c r="F1691" s="555">
        <f t="shared" ca="1" si="517"/>
        <v>0.13846153846153847</v>
      </c>
      <c r="G1691" s="244">
        <f t="shared" ca="1" si="518"/>
        <v>54000</v>
      </c>
    </row>
    <row r="1692" spans="1:7" ht="21" customHeight="1" x14ac:dyDescent="0.25">
      <c r="B1692" s="228" t="s">
        <v>2261</v>
      </c>
      <c r="C1692" s="233">
        <f t="shared" ca="1" si="519"/>
        <v>13755500</v>
      </c>
      <c r="D1692" s="250">
        <f t="shared" ca="1" si="516"/>
        <v>12505000</v>
      </c>
      <c r="E1692" s="233">
        <f t="shared" ca="1" si="520"/>
        <v>3060000</v>
      </c>
      <c r="F1692" s="555">
        <f t="shared" ca="1" si="517"/>
        <v>0.24470211915233905</v>
      </c>
      <c r="G1692" s="244">
        <f t="shared" ca="1" si="518"/>
        <v>459000</v>
      </c>
    </row>
    <row r="1693" spans="1:7" ht="21" customHeight="1" x14ac:dyDescent="0.25">
      <c r="B1693" s="228" t="s">
        <v>446</v>
      </c>
      <c r="C1693" s="233">
        <f t="shared" ca="1" si="519"/>
        <v>7150000.0000000009</v>
      </c>
      <c r="D1693" s="250">
        <f t="shared" ca="1" si="516"/>
        <v>6500000.0000000009</v>
      </c>
      <c r="E1693" s="233">
        <f t="shared" ca="1" si="520"/>
        <v>1700000</v>
      </c>
      <c r="F1693" s="555">
        <f t="shared" ca="1" si="517"/>
        <v>0.2615384615384615</v>
      </c>
      <c r="G1693" s="244">
        <f t="shared" ca="1" si="518"/>
        <v>255000</v>
      </c>
    </row>
    <row r="1694" spans="1:7" ht="21" customHeight="1" x14ac:dyDescent="0.25">
      <c r="B1694" s="228" t="s">
        <v>548</v>
      </c>
      <c r="C1694" s="233">
        <f t="shared" ca="1" si="519"/>
        <v>7184100</v>
      </c>
      <c r="D1694" s="250">
        <f t="shared" ca="1" si="516"/>
        <v>6531000</v>
      </c>
      <c r="E1694" s="233">
        <f t="shared" ca="1" si="520"/>
        <v>1186500</v>
      </c>
      <c r="F1694" s="555">
        <f t="shared" ca="1" si="517"/>
        <v>0.18167202572347266</v>
      </c>
      <c r="G1694" s="244">
        <f t="shared" ca="1" si="518"/>
        <v>177975</v>
      </c>
    </row>
    <row r="1695" spans="1:7" ht="21" customHeight="1" x14ac:dyDescent="0.25">
      <c r="B1695" s="228" t="s">
        <v>411</v>
      </c>
      <c r="C1695" s="233">
        <f t="shared" ca="1" si="519"/>
        <v>990000.00000000012</v>
      </c>
      <c r="D1695" s="250">
        <f t="shared" ca="1" si="516"/>
        <v>900000.00000000012</v>
      </c>
      <c r="E1695" s="233">
        <f t="shared" ca="1" si="520"/>
        <v>400000</v>
      </c>
      <c r="F1695" s="555">
        <f t="shared" ca="1" si="517"/>
        <v>0.44444444444444436</v>
      </c>
      <c r="G1695" s="244">
        <f t="shared" ca="1" si="518"/>
        <v>60000</v>
      </c>
    </row>
    <row r="1696" spans="1:7" ht="21" customHeight="1" x14ac:dyDescent="0.25">
      <c r="B1696" s="228" t="s">
        <v>444</v>
      </c>
      <c r="C1696" s="233">
        <f t="shared" ca="1" si="519"/>
        <v>7631800</v>
      </c>
      <c r="D1696" s="250">
        <f t="shared" ca="1" si="516"/>
        <v>6938000</v>
      </c>
      <c r="E1696" s="233">
        <f t="shared" ca="1" si="520"/>
        <v>1444000</v>
      </c>
      <c r="F1696" s="555">
        <f t="shared" ca="1" si="517"/>
        <v>0.20812914384548861</v>
      </c>
      <c r="G1696" s="244">
        <f t="shared" ca="1" si="518"/>
        <v>216600</v>
      </c>
    </row>
    <row r="1697" spans="1:7" ht="21" customHeight="1" x14ac:dyDescent="0.25">
      <c r="B1697" s="228" t="s">
        <v>422</v>
      </c>
      <c r="C1697" s="233">
        <f t="shared" ca="1" si="519"/>
        <v>5544000</v>
      </c>
      <c r="D1697" s="250">
        <f t="shared" ca="1" si="516"/>
        <v>5040000</v>
      </c>
      <c r="E1697" s="233">
        <f t="shared" ca="1" si="520"/>
        <v>1980000</v>
      </c>
      <c r="F1697" s="555">
        <f t="shared" ca="1" si="517"/>
        <v>0.39285714285714285</v>
      </c>
      <c r="G1697" s="244">
        <f t="shared" ca="1" si="518"/>
        <v>297000</v>
      </c>
    </row>
    <row r="1698" spans="1:7" ht="21" customHeight="1" x14ac:dyDescent="0.25">
      <c r="A1698" s="247"/>
      <c r="B1698" s="279" t="s">
        <v>4267</v>
      </c>
      <c r="C1698" s="544">
        <f ca="1">SUM(C1689:C1697)</f>
        <v>62403495</v>
      </c>
      <c r="D1698" s="544">
        <f ca="1">SUM(D1689:D1697)</f>
        <v>56730450</v>
      </c>
      <c r="E1698" s="544">
        <f ca="1">SUM(E1689:E1697)</f>
        <v>13383370</v>
      </c>
      <c r="F1698" s="567">
        <f ca="1">E1698/D1698</f>
        <v>0.23591157834989851</v>
      </c>
      <c r="G1698" s="972">
        <f ca="1">SUM(G1689:G1697)</f>
        <v>2007505.5</v>
      </c>
    </row>
    <row r="1699" spans="1:7" ht="21" customHeight="1" x14ac:dyDescent="0.25">
      <c r="A1699" s="247" t="s">
        <v>4248</v>
      </c>
      <c r="B1699" s="228" t="s">
        <v>453</v>
      </c>
      <c r="C1699" s="233">
        <f t="shared" ref="C1699:C1709" ca="1" si="521">SUMIFS(INDIRECT("Report!F100:F10000"),INDIRECT("Report!B100:B10000"),B1699,INDIRECT("report!H100:H10000"),"Consums",INDIRECT("Report!L100:L10000"),"24,12")</f>
        <v>8020100</v>
      </c>
      <c r="D1699" s="250">
        <f t="shared" ref="D1699" ca="1" si="522">(C1699/11*10)</f>
        <v>7291000</v>
      </c>
      <c r="E1699" s="233">
        <f t="shared" ref="E1699:E1709" ca="1" si="523">SUMIFS(INDIRECT("Report!J100:J10000"),INDIRECT("Report!B100:B10000"),B1699,INDIRECT("report!H100:H10000"),"Consums",INDIRECT("Report!L100:L10000"),"24,12")</f>
        <v>1211220</v>
      </c>
      <c r="F1699" s="555">
        <f t="shared" ref="F1699:F1709" ca="1" si="524">E1699/D1699</f>
        <v>0.16612536003291731</v>
      </c>
      <c r="G1699" s="244">
        <f t="shared" ref="G1699:G1709" ca="1" si="525">E1699*15%</f>
        <v>181683</v>
      </c>
    </row>
    <row r="1700" spans="1:7" ht="21" customHeight="1" x14ac:dyDescent="0.25">
      <c r="A1700" s="247"/>
      <c r="B1700" s="228" t="s">
        <v>4076</v>
      </c>
      <c r="C1700" s="233">
        <f t="shared" ca="1" si="521"/>
        <v>7777000</v>
      </c>
      <c r="D1700" s="250">
        <f t="shared" ref="D1700:D1709" ca="1" si="526">(C1700/11*10)</f>
        <v>7070000</v>
      </c>
      <c r="E1700" s="233">
        <f t="shared" ca="1" si="523"/>
        <v>890000</v>
      </c>
      <c r="F1700" s="555">
        <f t="shared" ca="1" si="524"/>
        <v>0.12588401697312587</v>
      </c>
      <c r="G1700" s="244">
        <f t="shared" ca="1" si="525"/>
        <v>133500</v>
      </c>
    </row>
    <row r="1701" spans="1:7" ht="21" customHeight="1" x14ac:dyDescent="0.25">
      <c r="B1701" s="228" t="s">
        <v>2247</v>
      </c>
      <c r="C1701" s="233">
        <f t="shared" ca="1" si="521"/>
        <v>16753000</v>
      </c>
      <c r="D1701" s="250">
        <f t="shared" ca="1" si="526"/>
        <v>15230000</v>
      </c>
      <c r="E1701" s="233">
        <f t="shared" ca="1" si="523"/>
        <v>3832000</v>
      </c>
      <c r="F1701" s="555">
        <f t="shared" ca="1" si="524"/>
        <v>0.25160866710439922</v>
      </c>
      <c r="G1701" s="244">
        <f t="shared" ca="1" si="525"/>
        <v>574800</v>
      </c>
    </row>
    <row r="1702" spans="1:7" ht="21" customHeight="1" x14ac:dyDescent="0.25">
      <c r="B1702" s="228" t="s">
        <v>515</v>
      </c>
      <c r="C1702" s="233">
        <f t="shared" ca="1" si="521"/>
        <v>7150000.0000000009</v>
      </c>
      <c r="D1702" s="250">
        <f t="shared" ca="1" si="526"/>
        <v>6500000.0000000009</v>
      </c>
      <c r="E1702" s="233">
        <f t="shared" ca="1" si="523"/>
        <v>1700000</v>
      </c>
      <c r="F1702" s="555">
        <f t="shared" ca="1" si="524"/>
        <v>0.2615384615384615</v>
      </c>
      <c r="G1702" s="244">
        <f t="shared" ca="1" si="525"/>
        <v>255000</v>
      </c>
    </row>
    <row r="1703" spans="1:7" ht="21" customHeight="1" x14ac:dyDescent="0.25">
      <c r="B1703" s="228" t="s">
        <v>466</v>
      </c>
      <c r="C1703" s="233">
        <f t="shared" ca="1" si="521"/>
        <v>715000</v>
      </c>
      <c r="D1703" s="250">
        <f t="shared" ca="1" si="526"/>
        <v>650000</v>
      </c>
      <c r="E1703" s="233">
        <f t="shared" ca="1" si="523"/>
        <v>400000</v>
      </c>
      <c r="F1703" s="555">
        <f t="shared" ca="1" si="524"/>
        <v>0.61538461538461542</v>
      </c>
      <c r="G1703" s="244">
        <f t="shared" ca="1" si="525"/>
        <v>60000</v>
      </c>
    </row>
    <row r="1704" spans="1:7" ht="21" customHeight="1" x14ac:dyDescent="0.25">
      <c r="B1704" s="228" t="s">
        <v>526</v>
      </c>
      <c r="C1704" s="233">
        <f t="shared" ca="1" si="521"/>
        <v>8506300</v>
      </c>
      <c r="D1704" s="250">
        <f t="shared" ca="1" si="526"/>
        <v>7733000</v>
      </c>
      <c r="E1704" s="233">
        <f t="shared" ca="1" si="523"/>
        <v>2228000</v>
      </c>
      <c r="F1704" s="555">
        <f t="shared" ca="1" si="524"/>
        <v>0.2881158670632355</v>
      </c>
      <c r="G1704" s="244">
        <f t="shared" ca="1" si="525"/>
        <v>334200</v>
      </c>
    </row>
    <row r="1705" spans="1:7" ht="21" customHeight="1" x14ac:dyDescent="0.25">
      <c r="B1705" s="228" t="s">
        <v>411</v>
      </c>
      <c r="C1705" s="233">
        <f t="shared" ca="1" si="521"/>
        <v>990000.00000000012</v>
      </c>
      <c r="D1705" s="250">
        <f t="shared" ca="1" si="526"/>
        <v>900000.00000000012</v>
      </c>
      <c r="E1705" s="233">
        <f t="shared" ca="1" si="523"/>
        <v>400000</v>
      </c>
      <c r="F1705" s="555">
        <f t="shared" ca="1" si="524"/>
        <v>0.44444444444444436</v>
      </c>
      <c r="G1705" s="244">
        <f t="shared" ca="1" si="525"/>
        <v>60000</v>
      </c>
    </row>
    <row r="1706" spans="1:7" ht="21" customHeight="1" x14ac:dyDescent="0.25">
      <c r="B1706" s="228" t="s">
        <v>467</v>
      </c>
      <c r="C1706" s="233">
        <f t="shared" ca="1" si="521"/>
        <v>9116800.0000000019</v>
      </c>
      <c r="D1706" s="250">
        <f t="shared" ca="1" si="526"/>
        <v>8288000.0000000009</v>
      </c>
      <c r="E1706" s="233">
        <f t="shared" ca="1" si="523"/>
        <v>1624000</v>
      </c>
      <c r="F1706" s="555">
        <f t="shared" ca="1" si="524"/>
        <v>0.19594594594594592</v>
      </c>
      <c r="G1706" s="244">
        <f t="shared" ca="1" si="525"/>
        <v>243600</v>
      </c>
    </row>
    <row r="1707" spans="1:7" ht="21" customHeight="1" x14ac:dyDescent="0.25">
      <c r="B1707" s="228" t="s">
        <v>2125</v>
      </c>
      <c r="C1707" s="233">
        <f t="shared" ca="1" si="521"/>
        <v>4410450</v>
      </c>
      <c r="D1707" s="250">
        <f t="shared" ca="1" si="526"/>
        <v>4009500</v>
      </c>
      <c r="E1707" s="233">
        <f t="shared" ca="1" si="523"/>
        <v>4009500</v>
      </c>
      <c r="F1707" s="555">
        <f t="shared" ca="1" si="524"/>
        <v>1</v>
      </c>
      <c r="G1707" s="244">
        <f t="shared" ca="1" si="525"/>
        <v>601425</v>
      </c>
    </row>
    <row r="1708" spans="1:7" ht="21" customHeight="1" x14ac:dyDescent="0.25">
      <c r="B1708" s="228" t="s">
        <v>523</v>
      </c>
      <c r="C1708" s="233">
        <f t="shared" ca="1" si="521"/>
        <v>1188000.0000000002</v>
      </c>
      <c r="D1708" s="250">
        <f t="shared" ca="1" si="526"/>
        <v>1080000.0000000002</v>
      </c>
      <c r="E1708" s="233">
        <f t="shared" ca="1" si="523"/>
        <v>252000</v>
      </c>
      <c r="F1708" s="555">
        <f t="shared" ca="1" si="524"/>
        <v>0.23333333333333328</v>
      </c>
      <c r="G1708" s="244">
        <f t="shared" ca="1" si="525"/>
        <v>37800</v>
      </c>
    </row>
    <row r="1709" spans="1:7" ht="21" customHeight="1" x14ac:dyDescent="0.25">
      <c r="B1709" s="228" t="s">
        <v>434</v>
      </c>
      <c r="C1709" s="233">
        <f t="shared" ca="1" si="521"/>
        <v>7392000.0000000009</v>
      </c>
      <c r="D1709" s="250">
        <f t="shared" ca="1" si="526"/>
        <v>6720000.0000000009</v>
      </c>
      <c r="E1709" s="233">
        <f t="shared" ca="1" si="523"/>
        <v>2640000</v>
      </c>
      <c r="F1709" s="555">
        <f t="shared" ca="1" si="524"/>
        <v>0.39285714285714279</v>
      </c>
      <c r="G1709" s="244">
        <f t="shared" ca="1" si="525"/>
        <v>396000</v>
      </c>
    </row>
    <row r="1710" spans="1:7" ht="21" customHeight="1" x14ac:dyDescent="0.25">
      <c r="A1710" s="247"/>
      <c r="B1710" s="279" t="s">
        <v>2741</v>
      </c>
      <c r="C1710" s="544">
        <f ca="1">SUM(C1699:C1709)</f>
        <v>72018650</v>
      </c>
      <c r="D1710" s="544">
        <f ca="1">SUM(D1699:D1709)</f>
        <v>65471500</v>
      </c>
      <c r="E1710" s="544">
        <f ca="1">SUM(E1699:E1709)</f>
        <v>19186720</v>
      </c>
      <c r="F1710" s="567">
        <f ca="1">E1710/D1710</f>
        <v>0.2930545351794292</v>
      </c>
      <c r="G1710" s="972">
        <f ca="1">SUM(G1699:G1709)</f>
        <v>2878008</v>
      </c>
    </row>
    <row r="1711" spans="1:7" ht="21" customHeight="1" x14ac:dyDescent="0.25">
      <c r="A1711" s="247" t="s">
        <v>4274</v>
      </c>
      <c r="B1711" s="228" t="s">
        <v>453</v>
      </c>
      <c r="C1711" s="233">
        <f t="shared" ref="C1711:C1720" ca="1" si="527">SUMIFS(INDIRECT("Report!F100:F10000"),INDIRECT("Report!B100:B10000"),B1711,INDIRECT("report!H100:H10000"),"Consums",INDIRECT("Report!L100:L10000"),"25,1")</f>
        <v>17742824</v>
      </c>
      <c r="D1711" s="250">
        <f t="shared" ref="D1711" ca="1" si="528">(C1711/11*10)</f>
        <v>16129840</v>
      </c>
      <c r="E1711" s="233">
        <f t="shared" ref="E1711:E1720" ca="1" si="529">SUMIFS(INDIRECT("Report!J100:J10000"),INDIRECT("Report!B100:B10000"),B1711,INDIRECT("report!H100:H10000"),"Consums",INDIRECT("Report!L100:L10000"),"25,1")</f>
        <v>3143917</v>
      </c>
      <c r="F1711" s="555">
        <f t="shared" ref="F1711:F1720" ca="1" si="530">E1711/D1711</f>
        <v>0.19491309275231497</v>
      </c>
      <c r="G1711" s="244">
        <f t="shared" ref="G1711:G1720" ca="1" si="531">E1711*15%</f>
        <v>471587.55</v>
      </c>
    </row>
    <row r="1712" spans="1:7" ht="21" customHeight="1" x14ac:dyDescent="0.25">
      <c r="A1712" s="247"/>
      <c r="B1712" s="228" t="s">
        <v>4076</v>
      </c>
      <c r="C1712" s="233">
        <f t="shared" ca="1" si="527"/>
        <v>1430000</v>
      </c>
      <c r="D1712" s="250">
        <f t="shared" ref="D1712:D1720" ca="1" si="532">(C1712/11*10)</f>
        <v>1300000</v>
      </c>
      <c r="E1712" s="233">
        <f t="shared" ca="1" si="529"/>
        <v>180000</v>
      </c>
      <c r="F1712" s="555">
        <f t="shared" ca="1" si="530"/>
        <v>0.13846153846153847</v>
      </c>
      <c r="G1712" s="244">
        <f t="shared" ca="1" si="531"/>
        <v>27000</v>
      </c>
    </row>
    <row r="1713" spans="1:7" ht="21" customHeight="1" x14ac:dyDescent="0.25">
      <c r="B1713" s="228" t="s">
        <v>2247</v>
      </c>
      <c r="C1713" s="233">
        <f t="shared" ca="1" si="527"/>
        <v>14388000</v>
      </c>
      <c r="D1713" s="250">
        <f t="shared" ca="1" si="532"/>
        <v>13080000</v>
      </c>
      <c r="E1713" s="233">
        <f t="shared" ca="1" si="529"/>
        <v>3004500</v>
      </c>
      <c r="F1713" s="555">
        <f t="shared" ca="1" si="530"/>
        <v>0.22970183486238532</v>
      </c>
      <c r="G1713" s="244">
        <f t="shared" ca="1" si="531"/>
        <v>450675</v>
      </c>
    </row>
    <row r="1714" spans="1:7" ht="21" customHeight="1" x14ac:dyDescent="0.25">
      <c r="B1714" s="228" t="s">
        <v>515</v>
      </c>
      <c r="C1714" s="233">
        <f t="shared" ca="1" si="527"/>
        <v>10725000.000000002</v>
      </c>
      <c r="D1714" s="250">
        <f t="shared" ca="1" si="532"/>
        <v>9750000.0000000019</v>
      </c>
      <c r="E1714" s="233">
        <f t="shared" ca="1" si="529"/>
        <v>2550000</v>
      </c>
      <c r="F1714" s="555">
        <f t="shared" ca="1" si="530"/>
        <v>0.2615384615384615</v>
      </c>
      <c r="G1714" s="244">
        <f t="shared" ca="1" si="531"/>
        <v>382500</v>
      </c>
    </row>
    <row r="1715" spans="1:7" ht="21" customHeight="1" x14ac:dyDescent="0.25">
      <c r="B1715" s="228" t="s">
        <v>466</v>
      </c>
      <c r="C1715" s="233">
        <f t="shared" ca="1" si="527"/>
        <v>357500</v>
      </c>
      <c r="D1715" s="250">
        <f t="shared" ca="1" si="532"/>
        <v>325000</v>
      </c>
      <c r="E1715" s="233">
        <f t="shared" ca="1" si="529"/>
        <v>75000</v>
      </c>
      <c r="F1715" s="555">
        <f t="shared" ca="1" si="530"/>
        <v>0.23076923076923078</v>
      </c>
      <c r="G1715" s="244">
        <f t="shared" ca="1" si="531"/>
        <v>11250</v>
      </c>
    </row>
    <row r="1716" spans="1:7" ht="21" customHeight="1" x14ac:dyDescent="0.25">
      <c r="B1716" s="228" t="s">
        <v>834</v>
      </c>
      <c r="C1716" s="233">
        <f t="shared" ca="1" si="527"/>
        <v>3836800.0000000005</v>
      </c>
      <c r="D1716" s="250">
        <f t="shared" ca="1" si="532"/>
        <v>3488000.0000000005</v>
      </c>
      <c r="E1716" s="233">
        <f t="shared" ca="1" si="529"/>
        <v>824000</v>
      </c>
      <c r="F1716" s="555">
        <f t="shared" ca="1" si="530"/>
        <v>0.23623853211009171</v>
      </c>
      <c r="G1716" s="244">
        <f t="shared" ca="1" si="531"/>
        <v>123600</v>
      </c>
    </row>
    <row r="1717" spans="1:7" ht="21" customHeight="1" x14ac:dyDescent="0.25">
      <c r="B1717" s="228" t="s">
        <v>411</v>
      </c>
      <c r="C1717" s="233">
        <f t="shared" ca="1" si="527"/>
        <v>990000.00000000012</v>
      </c>
      <c r="D1717" s="250">
        <f t="shared" ca="1" si="532"/>
        <v>900000.00000000012</v>
      </c>
      <c r="E1717" s="233">
        <f t="shared" ca="1" si="529"/>
        <v>400000</v>
      </c>
      <c r="F1717" s="555">
        <f t="shared" ca="1" si="530"/>
        <v>0.44444444444444436</v>
      </c>
      <c r="G1717" s="244">
        <f t="shared" ca="1" si="531"/>
        <v>60000</v>
      </c>
    </row>
    <row r="1718" spans="1:7" ht="21" customHeight="1" x14ac:dyDescent="0.25">
      <c r="B1718" s="228" t="s">
        <v>467</v>
      </c>
      <c r="C1718" s="233">
        <f t="shared" ca="1" si="527"/>
        <v>4607900</v>
      </c>
      <c r="D1718" s="250">
        <f t="shared" ca="1" si="532"/>
        <v>4189000</v>
      </c>
      <c r="E1718" s="233">
        <f t="shared" ca="1" si="529"/>
        <v>1024000</v>
      </c>
      <c r="F1718" s="555">
        <f t="shared" ca="1" si="530"/>
        <v>0.24444974934351874</v>
      </c>
      <c r="G1718" s="244">
        <f t="shared" ca="1" si="531"/>
        <v>153600</v>
      </c>
    </row>
    <row r="1719" spans="1:7" ht="21" customHeight="1" x14ac:dyDescent="0.25">
      <c r="B1719" s="228" t="s">
        <v>523</v>
      </c>
      <c r="C1719" s="233">
        <f t="shared" ca="1" si="527"/>
        <v>5434000</v>
      </c>
      <c r="D1719" s="250">
        <f t="shared" ca="1" si="532"/>
        <v>4940000</v>
      </c>
      <c r="E1719" s="233">
        <f t="shared" ca="1" si="529"/>
        <v>802000</v>
      </c>
      <c r="F1719" s="555">
        <f t="shared" ca="1" si="530"/>
        <v>0.16234817813765182</v>
      </c>
      <c r="G1719" s="244">
        <f t="shared" ca="1" si="531"/>
        <v>120300</v>
      </c>
    </row>
    <row r="1720" spans="1:7" ht="21" customHeight="1" x14ac:dyDescent="0.25">
      <c r="B1720" s="228" t="s">
        <v>434</v>
      </c>
      <c r="C1720" s="233">
        <f t="shared" ca="1" si="527"/>
        <v>5544000</v>
      </c>
      <c r="D1720" s="250">
        <f t="shared" ca="1" si="532"/>
        <v>5040000</v>
      </c>
      <c r="E1720" s="233">
        <f t="shared" ca="1" si="529"/>
        <v>1980000</v>
      </c>
      <c r="F1720" s="555">
        <f t="shared" ca="1" si="530"/>
        <v>0.39285714285714285</v>
      </c>
      <c r="G1720" s="244">
        <f t="shared" ca="1" si="531"/>
        <v>297000</v>
      </c>
    </row>
    <row r="1721" spans="1:7" ht="21" customHeight="1" x14ac:dyDescent="0.25">
      <c r="A1721" s="247"/>
      <c r="B1721" s="279" t="s">
        <v>2741</v>
      </c>
      <c r="C1721" s="544">
        <f ca="1">SUM(C1711:C1720)</f>
        <v>65056024</v>
      </c>
      <c r="D1721" s="544">
        <f ca="1">SUM(D1711:D1720)</f>
        <v>59141840</v>
      </c>
      <c r="E1721" s="544">
        <f ca="1">SUM(E1711:E1720)</f>
        <v>13983417</v>
      </c>
      <c r="F1721" s="567">
        <f ca="1">E1721/D1721</f>
        <v>0.23643865324447125</v>
      </c>
      <c r="G1721" s="972">
        <f ca="1">SUM(G1711:G1720)</f>
        <v>2097512.5499999998</v>
      </c>
    </row>
    <row r="1722" spans="1:7" ht="21" customHeight="1" x14ac:dyDescent="0.25">
      <c r="A1722" s="247" t="s">
        <v>4295</v>
      </c>
      <c r="B1722" s="228" t="s">
        <v>453</v>
      </c>
      <c r="C1722" s="233">
        <f t="shared" ref="C1722:C1732" ca="1" si="533">SUMIFS(INDIRECT("Report!F100:F10000"),INDIRECT("Report!B100:B10000"),B1722,INDIRECT("report!H100:H10000"),"Consums",INDIRECT("Report!L100:L10000"),"25,2")</f>
        <v>7645000</v>
      </c>
      <c r="D1722" s="250">
        <f t="shared" ref="D1722" ca="1" si="534">(C1722/11*10)</f>
        <v>6950000</v>
      </c>
      <c r="E1722" s="233">
        <f t="shared" ref="E1722:E1732" ca="1" si="535">SUMIFS(INDIRECT("Report!J100:J10000"),INDIRECT("Report!B100:B10000"),B1722,INDIRECT("report!H100:H10000"),"Consums",INDIRECT("Report!L100:L10000"),"25,2")</f>
        <v>1578645</v>
      </c>
      <c r="F1722" s="555">
        <f t="shared" ref="F1722" ca="1" si="536">E1722/D1722</f>
        <v>0.22714316546762589</v>
      </c>
      <c r="G1722" s="244">
        <f t="shared" ref="G1722" ca="1" si="537">E1722*15%</f>
        <v>236796.75</v>
      </c>
    </row>
    <row r="1723" spans="1:7" ht="21" customHeight="1" x14ac:dyDescent="0.25">
      <c r="A1723" s="247"/>
      <c r="B1723" s="228" t="s">
        <v>4076</v>
      </c>
      <c r="C1723" s="233">
        <f t="shared" ca="1" si="533"/>
        <v>3487000</v>
      </c>
      <c r="D1723" s="250">
        <f t="shared" ref="D1723:D1732" ca="1" si="538">(C1723/11*10)</f>
        <v>3170000</v>
      </c>
      <c r="E1723" s="233">
        <f t="shared" ca="1" si="535"/>
        <v>350000</v>
      </c>
      <c r="F1723" s="555">
        <f t="shared" ref="F1723:F1732" ca="1" si="539">E1723/D1723</f>
        <v>0.11041009463722397</v>
      </c>
      <c r="G1723" s="244">
        <f t="shared" ref="G1723:G1732" ca="1" si="540">E1723*15%</f>
        <v>52500</v>
      </c>
    </row>
    <row r="1724" spans="1:7" ht="21" customHeight="1" x14ac:dyDescent="0.25">
      <c r="B1724" s="228" t="s">
        <v>2247</v>
      </c>
      <c r="C1724" s="233">
        <f t="shared" ca="1" si="533"/>
        <v>9894500</v>
      </c>
      <c r="D1724" s="250">
        <f t="shared" ca="1" si="538"/>
        <v>8995000</v>
      </c>
      <c r="E1724" s="233">
        <f t="shared" ca="1" si="535"/>
        <v>2236000</v>
      </c>
      <c r="F1724" s="555">
        <f t="shared" ca="1" si="539"/>
        <v>0.24858254585881046</v>
      </c>
      <c r="G1724" s="244">
        <f t="shared" ca="1" si="540"/>
        <v>335400</v>
      </c>
    </row>
    <row r="1725" spans="1:7" ht="21" customHeight="1" x14ac:dyDescent="0.25">
      <c r="B1725" s="228" t="s">
        <v>515</v>
      </c>
      <c r="C1725" s="233">
        <f t="shared" ca="1" si="533"/>
        <v>3575000.0000000005</v>
      </c>
      <c r="D1725" s="250">
        <f t="shared" ca="1" si="538"/>
        <v>3250000.0000000005</v>
      </c>
      <c r="E1725" s="233">
        <f t="shared" ca="1" si="535"/>
        <v>850000</v>
      </c>
      <c r="F1725" s="555">
        <f t="shared" ca="1" si="539"/>
        <v>0.2615384615384615</v>
      </c>
      <c r="G1725" s="244">
        <f t="shared" ca="1" si="540"/>
        <v>127500</v>
      </c>
    </row>
    <row r="1726" spans="1:7" ht="21" customHeight="1" x14ac:dyDescent="0.25">
      <c r="B1726" s="228" t="s">
        <v>466</v>
      </c>
      <c r="C1726" s="233">
        <f t="shared" ca="1" si="533"/>
        <v>11660000</v>
      </c>
      <c r="D1726" s="250">
        <f t="shared" ca="1" si="538"/>
        <v>10600000</v>
      </c>
      <c r="E1726" s="233">
        <f t="shared" ca="1" si="535"/>
        <v>2515580</v>
      </c>
      <c r="F1726" s="555">
        <f t="shared" ca="1" si="539"/>
        <v>0.2373188679245283</v>
      </c>
      <c r="G1726" s="244">
        <f t="shared" ca="1" si="540"/>
        <v>377337</v>
      </c>
    </row>
    <row r="1727" spans="1:7" ht="21" customHeight="1" x14ac:dyDescent="0.25">
      <c r="B1727" s="228" t="s">
        <v>526</v>
      </c>
      <c r="C1727" s="233">
        <f t="shared" ca="1" si="533"/>
        <v>4840000</v>
      </c>
      <c r="D1727" s="250">
        <f t="shared" ca="1" si="538"/>
        <v>4400000</v>
      </c>
      <c r="E1727" s="233">
        <f t="shared" ca="1" si="535"/>
        <v>1135000</v>
      </c>
      <c r="F1727" s="555">
        <f t="shared" ca="1" si="539"/>
        <v>0.25795454545454544</v>
      </c>
      <c r="G1727" s="244">
        <f t="shared" ca="1" si="540"/>
        <v>170250</v>
      </c>
    </row>
    <row r="1728" spans="1:7" ht="21" customHeight="1" x14ac:dyDescent="0.25">
      <c r="B1728" s="228" t="s">
        <v>2125</v>
      </c>
      <c r="C1728" s="233">
        <f t="shared" ca="1" si="533"/>
        <v>6074640.0000000009</v>
      </c>
      <c r="D1728" s="250">
        <f t="shared" ca="1" si="538"/>
        <v>5522400.0000000009</v>
      </c>
      <c r="E1728" s="233">
        <f t="shared" ca="1" si="535"/>
        <v>5522400</v>
      </c>
      <c r="F1728" s="555">
        <f t="shared" ca="1" si="539"/>
        <v>0.99999999999999978</v>
      </c>
      <c r="G1728" s="244">
        <f t="shared" ca="1" si="540"/>
        <v>828360</v>
      </c>
    </row>
    <row r="1729" spans="1:7" ht="21" customHeight="1" x14ac:dyDescent="0.25">
      <c r="B1729" s="228" t="s">
        <v>467</v>
      </c>
      <c r="C1729" s="233">
        <f t="shared" ca="1" si="533"/>
        <v>25891800</v>
      </c>
      <c r="D1729" s="250">
        <f t="shared" ca="1" si="538"/>
        <v>23538000</v>
      </c>
      <c r="E1729" s="233">
        <f t="shared" ca="1" si="535"/>
        <v>5202160</v>
      </c>
      <c r="F1729" s="555">
        <f t="shared" ca="1" si="539"/>
        <v>0.22101113093720792</v>
      </c>
      <c r="G1729" s="244">
        <f t="shared" ca="1" si="540"/>
        <v>780324</v>
      </c>
    </row>
    <row r="1730" spans="1:7" ht="21" customHeight="1" x14ac:dyDescent="0.25">
      <c r="B1730" s="228" t="s">
        <v>3108</v>
      </c>
      <c r="C1730" s="233">
        <f t="shared" ca="1" si="533"/>
        <v>11880000</v>
      </c>
      <c r="D1730" s="250">
        <f t="shared" ca="1" si="538"/>
        <v>10800000</v>
      </c>
      <c r="E1730" s="233">
        <f t="shared" ca="1" si="535"/>
        <v>2124766</v>
      </c>
      <c r="F1730" s="555">
        <f t="shared" ca="1" si="539"/>
        <v>0.1967375925925926</v>
      </c>
      <c r="G1730" s="244">
        <f t="shared" ca="1" si="540"/>
        <v>318714.89999999997</v>
      </c>
    </row>
    <row r="1731" spans="1:7" ht="21" customHeight="1" x14ac:dyDescent="0.25">
      <c r="B1731" s="228" t="s">
        <v>523</v>
      </c>
      <c r="C1731" s="233">
        <f t="shared" ca="1" si="533"/>
        <v>3875300</v>
      </c>
      <c r="D1731" s="250">
        <f t="shared" ca="1" si="538"/>
        <v>3523000</v>
      </c>
      <c r="E1731" s="233">
        <f t="shared" ca="1" si="535"/>
        <v>586500</v>
      </c>
      <c r="F1731" s="555">
        <f t="shared" ca="1" si="539"/>
        <v>0.16647743400510928</v>
      </c>
      <c r="G1731" s="244">
        <f t="shared" ca="1" si="540"/>
        <v>87975</v>
      </c>
    </row>
    <row r="1732" spans="1:7" ht="21" customHeight="1" x14ac:dyDescent="0.25">
      <c r="B1732" s="228" t="s">
        <v>434</v>
      </c>
      <c r="C1732" s="233">
        <f t="shared" ca="1" si="533"/>
        <v>5544000</v>
      </c>
      <c r="D1732" s="250">
        <f t="shared" ca="1" si="538"/>
        <v>5040000</v>
      </c>
      <c r="E1732" s="233">
        <f t="shared" ca="1" si="535"/>
        <v>1980000</v>
      </c>
      <c r="F1732" s="555">
        <f t="shared" ca="1" si="539"/>
        <v>0.39285714285714285</v>
      </c>
      <c r="G1732" s="244">
        <f t="shared" ca="1" si="540"/>
        <v>297000</v>
      </c>
    </row>
    <row r="1733" spans="1:7" ht="21" customHeight="1" x14ac:dyDescent="0.25">
      <c r="A1733" s="247"/>
      <c r="B1733" s="279" t="s">
        <v>2741</v>
      </c>
      <c r="C1733" s="544">
        <f ca="1">SUM(C1722:C1732)</f>
        <v>94367240</v>
      </c>
      <c r="D1733" s="544">
        <f ca="1">SUM(D1722:D1732)</f>
        <v>85788400</v>
      </c>
      <c r="E1733" s="544">
        <f ca="1">SUM(E1722:E1732)</f>
        <v>24081051</v>
      </c>
      <c r="F1733" s="567">
        <f ca="1">E1733/D1733</f>
        <v>0.28070288057592868</v>
      </c>
      <c r="G1733" s="972">
        <f ca="1">SUM(G1722:G1732)</f>
        <v>3612157.65</v>
      </c>
    </row>
    <row r="1734" spans="1:7" ht="21" customHeight="1" x14ac:dyDescent="0.25">
      <c r="A1734" s="247" t="s">
        <v>4330</v>
      </c>
      <c r="B1734" s="228" t="s">
        <v>453</v>
      </c>
      <c r="C1734" s="233">
        <f t="shared" ref="C1734:C1744" ca="1" si="541">SUMIFS(INDIRECT("Report!F100:F10000"),INDIRECT("Report!B100:B10000"),B1734,INDIRECT("report!H100:H10000"),"Consums",INDIRECT("Report!L100:L10000"),"25,3")</f>
        <v>20853360</v>
      </c>
      <c r="D1734" s="250">
        <f t="shared" ref="D1734" ca="1" si="542">(C1734/11*10)</f>
        <v>18957600</v>
      </c>
      <c r="E1734" s="233">
        <f t="shared" ref="E1734:E1744" ca="1" si="543">SUMIFS(INDIRECT("Report!J100:J10000"),INDIRECT("Report!B100:B10000"),B1734,INDIRECT("report!H100:H10000"),"Consums",INDIRECT("Report!L100:L10000"),"25,3")</f>
        <v>3233533</v>
      </c>
      <c r="F1734" s="555">
        <f t="shared" ref="F1734:F1744" ca="1" si="544">E1734/D1734</f>
        <v>0.17056658015782589</v>
      </c>
      <c r="G1734" s="244">
        <f t="shared" ref="G1734:G1744" ca="1" si="545">E1734*15%</f>
        <v>485029.94999999995</v>
      </c>
    </row>
    <row r="1735" spans="1:7" ht="21" customHeight="1" x14ac:dyDescent="0.25">
      <c r="A1735" s="247"/>
      <c r="B1735" s="228" t="s">
        <v>4076</v>
      </c>
      <c r="C1735" s="233">
        <f t="shared" ca="1" si="541"/>
        <v>1430000</v>
      </c>
      <c r="D1735" s="250">
        <f t="shared" ref="D1735:D1744" ca="1" si="546">(C1735/11*10)</f>
        <v>1300000</v>
      </c>
      <c r="E1735" s="233">
        <f t="shared" ca="1" si="543"/>
        <v>180000</v>
      </c>
      <c r="F1735" s="555">
        <f t="shared" ca="1" si="544"/>
        <v>0.13846153846153847</v>
      </c>
      <c r="G1735" s="244">
        <f t="shared" ca="1" si="545"/>
        <v>27000</v>
      </c>
    </row>
    <row r="1736" spans="1:7" ht="21" customHeight="1" x14ac:dyDescent="0.25">
      <c r="B1736" s="228" t="s">
        <v>2247</v>
      </c>
      <c r="C1736" s="233">
        <f t="shared" ca="1" si="541"/>
        <v>16632000</v>
      </c>
      <c r="D1736" s="250">
        <f t="shared" ca="1" si="546"/>
        <v>15120000</v>
      </c>
      <c r="E1736" s="233">
        <f t="shared" ca="1" si="543"/>
        <v>3487000</v>
      </c>
      <c r="F1736" s="555">
        <f t="shared" ca="1" si="544"/>
        <v>0.23062169312169312</v>
      </c>
      <c r="G1736" s="244">
        <f t="shared" ca="1" si="545"/>
        <v>523050</v>
      </c>
    </row>
    <row r="1737" spans="1:7" ht="21" customHeight="1" x14ac:dyDescent="0.25">
      <c r="B1737" s="228" t="s">
        <v>515</v>
      </c>
      <c r="C1737" s="233">
        <f t="shared" ca="1" si="541"/>
        <v>7150000.0000000009</v>
      </c>
      <c r="D1737" s="250">
        <f t="shared" ca="1" si="546"/>
        <v>6500000.0000000009</v>
      </c>
      <c r="E1737" s="233">
        <f t="shared" ca="1" si="543"/>
        <v>1700000</v>
      </c>
      <c r="F1737" s="555">
        <f t="shared" ca="1" si="544"/>
        <v>0.2615384615384615</v>
      </c>
      <c r="G1737" s="244">
        <f t="shared" ca="1" si="545"/>
        <v>255000</v>
      </c>
    </row>
    <row r="1738" spans="1:7" ht="21" customHeight="1" x14ac:dyDescent="0.25">
      <c r="B1738" s="228" t="s">
        <v>466</v>
      </c>
      <c r="C1738" s="233">
        <f t="shared" ca="1" si="541"/>
        <v>715000</v>
      </c>
      <c r="D1738" s="250">
        <f t="shared" ca="1" si="546"/>
        <v>650000</v>
      </c>
      <c r="E1738" s="233">
        <f t="shared" ca="1" si="543"/>
        <v>150000</v>
      </c>
      <c r="F1738" s="555">
        <f t="shared" ca="1" si="544"/>
        <v>0.23076923076923078</v>
      </c>
      <c r="G1738" s="244">
        <f t="shared" ca="1" si="545"/>
        <v>22500</v>
      </c>
    </row>
    <row r="1739" spans="1:7" ht="21" customHeight="1" x14ac:dyDescent="0.25">
      <c r="B1739" s="228" t="s">
        <v>430</v>
      </c>
      <c r="C1739" s="233">
        <f t="shared" ca="1" si="541"/>
        <v>880000.00000000012</v>
      </c>
      <c r="D1739" s="250">
        <f t="shared" ca="1" si="546"/>
        <v>800000.00000000012</v>
      </c>
      <c r="E1739" s="233">
        <f t="shared" ca="1" si="543"/>
        <v>300000</v>
      </c>
      <c r="F1739" s="555">
        <f t="shared" ca="1" si="544"/>
        <v>0.37499999999999994</v>
      </c>
      <c r="G1739" s="244">
        <f t="shared" ca="1" si="545"/>
        <v>45000</v>
      </c>
    </row>
    <row r="1740" spans="1:7" ht="21" customHeight="1" x14ac:dyDescent="0.25">
      <c r="B1740" s="228" t="s">
        <v>2125</v>
      </c>
      <c r="C1740" s="233">
        <f t="shared" ca="1" si="541"/>
        <v>3710850.0000000005</v>
      </c>
      <c r="D1740" s="250">
        <f t="shared" ca="1" si="546"/>
        <v>3373500.0000000005</v>
      </c>
      <c r="E1740" s="233">
        <f t="shared" ca="1" si="543"/>
        <v>3373500</v>
      </c>
      <c r="F1740" s="555">
        <f t="shared" ca="1" si="544"/>
        <v>0.99999999999999989</v>
      </c>
      <c r="G1740" s="244">
        <f t="shared" ca="1" si="545"/>
        <v>506025</v>
      </c>
    </row>
    <row r="1741" spans="1:7" ht="21" customHeight="1" x14ac:dyDescent="0.25">
      <c r="B1741" s="228" t="s">
        <v>467</v>
      </c>
      <c r="C1741" s="233">
        <f t="shared" ca="1" si="541"/>
        <v>19738400</v>
      </c>
      <c r="D1741" s="250">
        <f t="shared" ca="1" si="546"/>
        <v>17944000</v>
      </c>
      <c r="E1741" s="233">
        <f t="shared" ca="1" si="543"/>
        <v>6074400</v>
      </c>
      <c r="F1741" s="555">
        <f t="shared" ca="1" si="544"/>
        <v>0.33851983950066877</v>
      </c>
      <c r="G1741" s="244">
        <f t="shared" ca="1" si="545"/>
        <v>911160</v>
      </c>
    </row>
    <row r="1742" spans="1:7" ht="21" customHeight="1" x14ac:dyDescent="0.25">
      <c r="B1742" s="228" t="s">
        <v>834</v>
      </c>
      <c r="C1742" s="233">
        <f t="shared" ca="1" si="541"/>
        <v>1918400.0000000002</v>
      </c>
      <c r="D1742" s="250">
        <f t="shared" ca="1" si="546"/>
        <v>1744000.0000000002</v>
      </c>
      <c r="E1742" s="233">
        <f t="shared" ca="1" si="543"/>
        <v>824000</v>
      </c>
      <c r="F1742" s="555">
        <f t="shared" ca="1" si="544"/>
        <v>0.47247706422018343</v>
      </c>
      <c r="G1742" s="244">
        <f t="shared" ca="1" si="545"/>
        <v>123600</v>
      </c>
    </row>
    <row r="1743" spans="1:7" ht="21" customHeight="1" x14ac:dyDescent="0.25">
      <c r="B1743" s="228" t="s">
        <v>523</v>
      </c>
      <c r="C1743" s="233">
        <f t="shared" ca="1" si="541"/>
        <v>2194500</v>
      </c>
      <c r="D1743" s="250">
        <f t="shared" ca="1" si="546"/>
        <v>1995000</v>
      </c>
      <c r="E1743" s="233">
        <f t="shared" ca="1" si="543"/>
        <v>435000</v>
      </c>
      <c r="F1743" s="555">
        <f t="shared" ca="1" si="544"/>
        <v>0.21804511278195488</v>
      </c>
      <c r="G1743" s="244">
        <f t="shared" ca="1" si="545"/>
        <v>65250</v>
      </c>
    </row>
    <row r="1744" spans="1:7" ht="21" customHeight="1" x14ac:dyDescent="0.25">
      <c r="B1744" s="228" t="s">
        <v>434</v>
      </c>
      <c r="C1744" s="233">
        <f t="shared" ca="1" si="541"/>
        <v>5544000</v>
      </c>
      <c r="D1744" s="250">
        <f t="shared" ca="1" si="546"/>
        <v>5040000</v>
      </c>
      <c r="E1744" s="233">
        <f t="shared" ca="1" si="543"/>
        <v>1980000</v>
      </c>
      <c r="F1744" s="555">
        <f t="shared" ca="1" si="544"/>
        <v>0.39285714285714285</v>
      </c>
      <c r="G1744" s="244">
        <f t="shared" ca="1" si="545"/>
        <v>297000</v>
      </c>
    </row>
    <row r="1745" spans="1:7" ht="21" customHeight="1" x14ac:dyDescent="0.25">
      <c r="A1745" s="247"/>
      <c r="B1745" s="279" t="s">
        <v>2741</v>
      </c>
      <c r="C1745" s="544">
        <f ca="1">SUM(C1734:C1744)</f>
        <v>80766510</v>
      </c>
      <c r="D1745" s="544">
        <f ca="1">SUM(D1734:D1744)</f>
        <v>73424100</v>
      </c>
      <c r="E1745" s="544">
        <f ca="1">SUM(E1734:E1744)</f>
        <v>21737433</v>
      </c>
      <c r="F1745" s="567">
        <f ca="1">E1745/D1745</f>
        <v>0.29605310790326339</v>
      </c>
      <c r="G1745" s="972">
        <f ca="1">SUM(G1734:G1744)</f>
        <v>3260614.95</v>
      </c>
    </row>
    <row r="1746" spans="1:7" ht="21" customHeight="1" x14ac:dyDescent="0.25">
      <c r="A1746" s="247" t="s">
        <v>4346</v>
      </c>
      <c r="B1746" s="228" t="s">
        <v>453</v>
      </c>
      <c r="C1746" s="233">
        <f t="shared" ref="C1746:C1756" ca="1" si="547">SUMIFS(INDIRECT("Report!F100:F10000"),INDIRECT("Report!B100:B10000"),B1746,INDIRECT("report!H100:H10000"),"Consums",INDIRECT("Report!L100:L10000"),"25,4")</f>
        <v>11825000</v>
      </c>
      <c r="D1746" s="250">
        <f t="shared" ref="D1746" ca="1" si="548">(C1746/11*10)</f>
        <v>10750000</v>
      </c>
      <c r="E1746" s="233">
        <f t="shared" ref="E1746:E1756" ca="1" si="549">SUMIFS(INDIRECT("Report!J100:J10000"),INDIRECT("Report!B100:B10000"),B1746,INDIRECT("report!H100:H10000"),"Consums",INDIRECT("Report!L100:L10000"),"25,4")</f>
        <v>1703557</v>
      </c>
      <c r="F1746" s="555">
        <f t="shared" ref="F1746:F1756" ca="1" si="550">E1746/D1746</f>
        <v>0.15847041860465116</v>
      </c>
      <c r="G1746" s="244">
        <f t="shared" ref="G1746:G1756" ca="1" si="551">E1746*15%</f>
        <v>255533.55</v>
      </c>
    </row>
    <row r="1747" spans="1:7" ht="21" customHeight="1" x14ac:dyDescent="0.25">
      <c r="A1747" s="247"/>
      <c r="B1747" s="228" t="s">
        <v>4076</v>
      </c>
      <c r="C1747" s="233">
        <f t="shared" ca="1" si="547"/>
        <v>1430000</v>
      </c>
      <c r="D1747" s="250">
        <f t="shared" ref="D1747:D1756" ca="1" si="552">(C1747/11*10)</f>
        <v>1300000</v>
      </c>
      <c r="E1747" s="233">
        <f t="shared" ca="1" si="549"/>
        <v>180000</v>
      </c>
      <c r="F1747" s="555">
        <f t="shared" ca="1" si="550"/>
        <v>0.13846153846153847</v>
      </c>
      <c r="G1747" s="244">
        <f t="shared" ca="1" si="551"/>
        <v>27000</v>
      </c>
    </row>
    <row r="1748" spans="1:7" ht="21" customHeight="1" x14ac:dyDescent="0.25">
      <c r="B1748" s="228" t="s">
        <v>2247</v>
      </c>
      <c r="C1748" s="233">
        <f t="shared" ca="1" si="547"/>
        <v>11896500</v>
      </c>
      <c r="D1748" s="250">
        <f t="shared" ca="1" si="552"/>
        <v>10815000</v>
      </c>
      <c r="E1748" s="233">
        <f t="shared" ca="1" si="549"/>
        <v>2461000</v>
      </c>
      <c r="F1748" s="555">
        <f t="shared" ca="1" si="550"/>
        <v>0.22755432269995376</v>
      </c>
      <c r="G1748" s="244">
        <f t="shared" ca="1" si="551"/>
        <v>369150</v>
      </c>
    </row>
    <row r="1749" spans="1:7" ht="21" customHeight="1" x14ac:dyDescent="0.25">
      <c r="B1749" s="228" t="s">
        <v>515</v>
      </c>
      <c r="C1749" s="233">
        <f t="shared" ca="1" si="547"/>
        <v>7150000.0000000009</v>
      </c>
      <c r="D1749" s="250">
        <f t="shared" ca="1" si="552"/>
        <v>6500000.0000000009</v>
      </c>
      <c r="E1749" s="233">
        <f t="shared" ca="1" si="549"/>
        <v>1700000</v>
      </c>
      <c r="F1749" s="555">
        <f t="shared" ca="1" si="550"/>
        <v>0.2615384615384615</v>
      </c>
      <c r="G1749" s="244">
        <f t="shared" ca="1" si="551"/>
        <v>255000</v>
      </c>
    </row>
    <row r="1750" spans="1:7" ht="21" customHeight="1" x14ac:dyDescent="0.25">
      <c r="B1750" s="228" t="s">
        <v>466</v>
      </c>
      <c r="C1750" s="233">
        <f t="shared" ca="1" si="547"/>
        <v>715000</v>
      </c>
      <c r="D1750" s="250">
        <f t="shared" ca="1" si="552"/>
        <v>650000</v>
      </c>
      <c r="E1750" s="233">
        <f t="shared" ca="1" si="549"/>
        <v>150000</v>
      </c>
      <c r="F1750" s="555">
        <f t="shared" ca="1" si="550"/>
        <v>0.23076923076923078</v>
      </c>
      <c r="G1750" s="244">
        <f t="shared" ca="1" si="551"/>
        <v>22500</v>
      </c>
    </row>
    <row r="1751" spans="1:7" ht="21" customHeight="1" x14ac:dyDescent="0.25">
      <c r="B1751" s="228" t="s">
        <v>430</v>
      </c>
      <c r="C1751" s="233">
        <f t="shared" ca="1" si="547"/>
        <v>880000.00000000012</v>
      </c>
      <c r="D1751" s="250">
        <f t="shared" ca="1" si="552"/>
        <v>800000.00000000012</v>
      </c>
      <c r="E1751" s="233">
        <f t="shared" ca="1" si="549"/>
        <v>300000</v>
      </c>
      <c r="F1751" s="555">
        <f t="shared" ca="1" si="550"/>
        <v>0.37499999999999994</v>
      </c>
      <c r="G1751" s="244">
        <f t="shared" ca="1" si="551"/>
        <v>45000</v>
      </c>
    </row>
    <row r="1752" spans="1:7" ht="21" customHeight="1" x14ac:dyDescent="0.25">
      <c r="B1752" s="228" t="s">
        <v>2125</v>
      </c>
      <c r="C1752" s="233">
        <f t="shared" ca="1" si="547"/>
        <v>2737020</v>
      </c>
      <c r="D1752" s="250">
        <f t="shared" ca="1" si="552"/>
        <v>2488200</v>
      </c>
      <c r="E1752" s="233">
        <f t="shared" ca="1" si="549"/>
        <v>2488200</v>
      </c>
      <c r="F1752" s="555">
        <f t="shared" ca="1" si="550"/>
        <v>1</v>
      </c>
      <c r="G1752" s="244">
        <f t="shared" ca="1" si="551"/>
        <v>373230</v>
      </c>
    </row>
    <row r="1753" spans="1:7" ht="21" customHeight="1" x14ac:dyDescent="0.25">
      <c r="B1753" s="228" t="s">
        <v>467</v>
      </c>
      <c r="C1753" s="233">
        <f t="shared" ca="1" si="547"/>
        <v>5607800</v>
      </c>
      <c r="D1753" s="250">
        <f t="shared" ca="1" si="552"/>
        <v>5098000</v>
      </c>
      <c r="E1753" s="233">
        <f t="shared" ca="1" si="549"/>
        <v>1388000</v>
      </c>
      <c r="F1753" s="555">
        <f t="shared" ca="1" si="550"/>
        <v>0.27226363279717536</v>
      </c>
      <c r="G1753" s="244">
        <f t="shared" ca="1" si="551"/>
        <v>208200</v>
      </c>
    </row>
    <row r="1754" spans="1:7" ht="21" customHeight="1" x14ac:dyDescent="0.25">
      <c r="B1754" s="228" t="s">
        <v>526</v>
      </c>
      <c r="C1754" s="233">
        <f t="shared" ca="1" si="547"/>
        <v>445500.00000000006</v>
      </c>
      <c r="D1754" s="250">
        <f t="shared" ca="1" si="552"/>
        <v>405000.00000000006</v>
      </c>
      <c r="E1754" s="233">
        <f t="shared" ca="1" si="549"/>
        <v>125000</v>
      </c>
      <c r="F1754" s="555">
        <f t="shared" ca="1" si="550"/>
        <v>0.30864197530864196</v>
      </c>
      <c r="G1754" s="244">
        <f t="shared" ca="1" si="551"/>
        <v>18750</v>
      </c>
    </row>
    <row r="1755" spans="1:7" ht="21" customHeight="1" x14ac:dyDescent="0.25">
      <c r="B1755" s="228" t="s">
        <v>523</v>
      </c>
      <c r="C1755" s="233">
        <f t="shared" ca="1" si="547"/>
        <v>6985000</v>
      </c>
      <c r="D1755" s="250">
        <f t="shared" ca="1" si="552"/>
        <v>6350000</v>
      </c>
      <c r="E1755" s="233">
        <f t="shared" ca="1" si="549"/>
        <v>1129000</v>
      </c>
      <c r="F1755" s="555">
        <f t="shared" ca="1" si="550"/>
        <v>0.17779527559055119</v>
      </c>
      <c r="G1755" s="244">
        <f t="shared" ca="1" si="551"/>
        <v>169350</v>
      </c>
    </row>
    <row r="1756" spans="1:7" ht="21" customHeight="1" x14ac:dyDescent="0.25">
      <c r="B1756" s="228" t="s">
        <v>434</v>
      </c>
      <c r="C1756" s="233">
        <f t="shared" ca="1" si="547"/>
        <v>5544000</v>
      </c>
      <c r="D1756" s="250">
        <f t="shared" ca="1" si="552"/>
        <v>5040000</v>
      </c>
      <c r="E1756" s="233">
        <f t="shared" ca="1" si="549"/>
        <v>1980000</v>
      </c>
      <c r="F1756" s="555">
        <f t="shared" ca="1" si="550"/>
        <v>0.39285714285714285</v>
      </c>
      <c r="G1756" s="244">
        <f t="shared" ca="1" si="551"/>
        <v>297000</v>
      </c>
    </row>
    <row r="1757" spans="1:7" ht="21" customHeight="1" x14ac:dyDescent="0.25">
      <c r="A1757" s="247"/>
      <c r="B1757" s="279" t="s">
        <v>2741</v>
      </c>
      <c r="C1757" s="544">
        <f ca="1">SUM(C1746:C1756)</f>
        <v>55215820</v>
      </c>
      <c r="D1757" s="544">
        <f ca="1">SUM(D1746:D1756)</f>
        <v>50196200</v>
      </c>
      <c r="E1757" s="544">
        <f ca="1">SUM(E1746:E1756)</f>
        <v>13604757</v>
      </c>
      <c r="F1757" s="567">
        <f ca="1">E1757/D1757</f>
        <v>0.27103161195468978</v>
      </c>
      <c r="G1757" s="972">
        <f ca="1">SUM(G1746:G1756)</f>
        <v>2040713.55</v>
      </c>
    </row>
    <row r="1758" spans="1:7" ht="21" customHeight="1" x14ac:dyDescent="0.25">
      <c r="A1758" s="247" t="s">
        <v>4356</v>
      </c>
      <c r="B1758" s="228" t="s">
        <v>453</v>
      </c>
      <c r="C1758" s="233">
        <f t="shared" ref="C1758:C1773" ca="1" si="553">SUMIFS(INDIRECT("Report!F100:F10000"),INDIRECT("Report!B100:B10000"),B1758,INDIRECT("report!H100:H10000"),"Consums",INDIRECT("Report!L100:L10000"),"25,5")</f>
        <v>6587900</v>
      </c>
      <c r="D1758" s="250">
        <f t="shared" ref="D1758" ca="1" si="554">(C1758/11*10)</f>
        <v>5989000</v>
      </c>
      <c r="E1758" s="233">
        <f t="shared" ref="E1758:E1773" ca="1" si="555">SUMIFS(INDIRECT("Report!J100:J10000"),INDIRECT("Report!B100:B10000"),B1758,INDIRECT("report!H100:H10000"),"Consums",INDIRECT("Report!L100:L10000"),"25,5")</f>
        <v>1014723</v>
      </c>
      <c r="F1758" s="555">
        <f t="shared" ref="F1758:F1773" ca="1" si="556">E1758/D1758</f>
        <v>0.16943112372683253</v>
      </c>
      <c r="G1758" s="244">
        <f t="shared" ref="G1758:G1773" ca="1" si="557">E1758*15%</f>
        <v>152208.44999999998</v>
      </c>
    </row>
    <row r="1759" spans="1:7" ht="21" customHeight="1" x14ac:dyDescent="0.25">
      <c r="A1759" s="247"/>
      <c r="B1759" s="228" t="s">
        <v>4076</v>
      </c>
      <c r="C1759" s="233">
        <f t="shared" ca="1" si="553"/>
        <v>3487000</v>
      </c>
      <c r="D1759" s="250">
        <f t="shared" ref="D1759:D1760" ca="1" si="558">(C1759/11*10)</f>
        <v>3170000</v>
      </c>
      <c r="E1759" s="233">
        <f t="shared" ca="1" si="555"/>
        <v>350000</v>
      </c>
      <c r="F1759" s="555">
        <f t="shared" ca="1" si="556"/>
        <v>0.11041009463722397</v>
      </c>
      <c r="G1759" s="244">
        <f t="shared" ca="1" si="557"/>
        <v>52500</v>
      </c>
    </row>
    <row r="1760" spans="1:7" ht="21" customHeight="1" x14ac:dyDescent="0.25">
      <c r="B1760" s="228" t="s">
        <v>2247</v>
      </c>
      <c r="C1760" s="233">
        <f t="shared" ca="1" si="553"/>
        <v>13068000</v>
      </c>
      <c r="D1760" s="250">
        <f t="shared" ca="1" si="558"/>
        <v>11880000</v>
      </c>
      <c r="E1760" s="233">
        <f t="shared" ca="1" si="555"/>
        <v>2985000</v>
      </c>
      <c r="F1760" s="555">
        <f t="shared" ca="1" si="556"/>
        <v>0.25126262626262624</v>
      </c>
      <c r="G1760" s="244">
        <f t="shared" ca="1" si="557"/>
        <v>447750</v>
      </c>
    </row>
    <row r="1761" spans="1:7" ht="21" customHeight="1" x14ac:dyDescent="0.25">
      <c r="B1761" s="228" t="s">
        <v>515</v>
      </c>
      <c r="C1761" s="233">
        <f t="shared" ca="1" si="553"/>
        <v>7150000.0000000009</v>
      </c>
      <c r="D1761" s="250">
        <f t="shared" ref="D1761:D1773" ca="1" si="559">(C1761/11*10)</f>
        <v>6500000.0000000009</v>
      </c>
      <c r="E1761" s="233">
        <f t="shared" ca="1" si="555"/>
        <v>1700000</v>
      </c>
      <c r="F1761" s="555">
        <f t="shared" ca="1" si="556"/>
        <v>0.2615384615384615</v>
      </c>
      <c r="G1761" s="244">
        <f t="shared" ca="1" si="557"/>
        <v>255000</v>
      </c>
    </row>
    <row r="1762" spans="1:7" ht="21" customHeight="1" x14ac:dyDescent="0.25">
      <c r="B1762" s="228" t="s">
        <v>466</v>
      </c>
      <c r="C1762" s="233">
        <f t="shared" ca="1" si="553"/>
        <v>1072500</v>
      </c>
      <c r="D1762" s="250">
        <f t="shared" ca="1" si="559"/>
        <v>975000</v>
      </c>
      <c r="E1762" s="233">
        <f t="shared" ca="1" si="555"/>
        <v>225000</v>
      </c>
      <c r="F1762" s="555">
        <f t="shared" ca="1" si="556"/>
        <v>0.23076923076923078</v>
      </c>
      <c r="G1762" s="244">
        <f t="shared" ca="1" si="557"/>
        <v>33750</v>
      </c>
    </row>
    <row r="1763" spans="1:7" ht="21" customHeight="1" x14ac:dyDescent="0.25">
      <c r="B1763" s="228" t="s">
        <v>430</v>
      </c>
      <c r="C1763" s="233">
        <f t="shared" ca="1" si="553"/>
        <v>880000.00000000012</v>
      </c>
      <c r="D1763" s="250">
        <f t="shared" ca="1" si="559"/>
        <v>800000.00000000012</v>
      </c>
      <c r="E1763" s="233">
        <f t="shared" ca="1" si="555"/>
        <v>300000</v>
      </c>
      <c r="F1763" s="555">
        <f t="shared" ca="1" si="556"/>
        <v>0.37499999999999994</v>
      </c>
      <c r="G1763" s="244">
        <f t="shared" ca="1" si="557"/>
        <v>45000</v>
      </c>
    </row>
    <row r="1764" spans="1:7" ht="21" customHeight="1" x14ac:dyDescent="0.25">
      <c r="B1764" s="228" t="s">
        <v>2125</v>
      </c>
      <c r="C1764" s="233">
        <f t="shared" ca="1" si="553"/>
        <v>2320670</v>
      </c>
      <c r="D1764" s="250">
        <f t="shared" ca="1" si="559"/>
        <v>2109700</v>
      </c>
      <c r="E1764" s="233">
        <f t="shared" ca="1" si="555"/>
        <v>2109700</v>
      </c>
      <c r="F1764" s="555">
        <f t="shared" ca="1" si="556"/>
        <v>1</v>
      </c>
      <c r="G1764" s="244">
        <f t="shared" ca="1" si="557"/>
        <v>316455</v>
      </c>
    </row>
    <row r="1765" spans="1:7" ht="21" customHeight="1" x14ac:dyDescent="0.25">
      <c r="B1765" s="228" t="s">
        <v>467</v>
      </c>
      <c r="C1765" s="233">
        <f t="shared" ca="1" si="553"/>
        <v>9457800</v>
      </c>
      <c r="D1765" s="250">
        <f t="shared" ca="1" si="559"/>
        <v>8598000</v>
      </c>
      <c r="E1765" s="233">
        <f t="shared" ca="1" si="555"/>
        <v>1788000</v>
      </c>
      <c r="F1765" s="555">
        <f t="shared" ca="1" si="556"/>
        <v>0.20795533845080252</v>
      </c>
      <c r="G1765" s="244">
        <f t="shared" ca="1" si="557"/>
        <v>268200</v>
      </c>
    </row>
    <row r="1766" spans="1:7" ht="21" customHeight="1" x14ac:dyDescent="0.25">
      <c r="B1766" s="228" t="s">
        <v>526</v>
      </c>
      <c r="C1766" s="233">
        <f t="shared" ca="1" si="553"/>
        <v>3482600.0000000005</v>
      </c>
      <c r="D1766" s="250">
        <f t="shared" ca="1" si="559"/>
        <v>3166000.0000000005</v>
      </c>
      <c r="E1766" s="233">
        <f t="shared" ca="1" si="555"/>
        <v>961000</v>
      </c>
      <c r="F1766" s="555">
        <f t="shared" ca="1" si="556"/>
        <v>0.30353758686039162</v>
      </c>
      <c r="G1766" s="244">
        <f t="shared" ca="1" si="557"/>
        <v>144150</v>
      </c>
    </row>
    <row r="1767" spans="1:7" ht="21" customHeight="1" x14ac:dyDescent="0.25">
      <c r="B1767" s="228" t="s">
        <v>834</v>
      </c>
      <c r="C1767" s="233">
        <f t="shared" ca="1" si="553"/>
        <v>1918400.0000000002</v>
      </c>
      <c r="D1767" s="250">
        <f t="shared" ca="1" si="559"/>
        <v>1744000.0000000002</v>
      </c>
      <c r="E1767" s="233">
        <f t="shared" ca="1" si="555"/>
        <v>412000</v>
      </c>
      <c r="F1767" s="555">
        <f t="shared" ca="1" si="556"/>
        <v>0.23623853211009171</v>
      </c>
      <c r="G1767" s="244">
        <f t="shared" ca="1" si="557"/>
        <v>61800</v>
      </c>
    </row>
    <row r="1768" spans="1:7" ht="21" customHeight="1" x14ac:dyDescent="0.25">
      <c r="B1768" s="228" t="s">
        <v>523</v>
      </c>
      <c r="C1768" s="233">
        <f t="shared" ca="1" si="553"/>
        <v>2115300</v>
      </c>
      <c r="D1768" s="250">
        <f t="shared" ca="1" si="559"/>
        <v>1923000</v>
      </c>
      <c r="E1768" s="233">
        <f t="shared" ca="1" si="555"/>
        <v>548000</v>
      </c>
      <c r="F1768" s="555">
        <f t="shared" ca="1" si="556"/>
        <v>0.28497139885595424</v>
      </c>
      <c r="G1768" s="244">
        <f t="shared" ca="1" si="557"/>
        <v>82200</v>
      </c>
    </row>
    <row r="1769" spans="1:7" ht="21" customHeight="1" x14ac:dyDescent="0.25">
      <c r="B1769" s="228" t="s">
        <v>4386</v>
      </c>
      <c r="C1769" s="233">
        <f t="shared" ca="1" si="553"/>
        <v>28600000.000000004</v>
      </c>
      <c r="D1769" s="250">
        <f t="shared" ca="1" si="559"/>
        <v>26000000.000000004</v>
      </c>
      <c r="E1769" s="233">
        <f t="shared" ca="1" si="555"/>
        <v>9084565.2188990023</v>
      </c>
      <c r="F1769" s="555">
        <f t="shared" ca="1" si="556"/>
        <v>0.34940635457303848</v>
      </c>
      <c r="G1769" s="244">
        <f t="shared" ca="1" si="557"/>
        <v>1362684.7828348503</v>
      </c>
    </row>
    <row r="1770" spans="1:7" ht="21" customHeight="1" x14ac:dyDescent="0.25">
      <c r="B1770" s="228" t="s">
        <v>1757</v>
      </c>
      <c r="C1770" s="233">
        <f t="shared" ca="1" si="553"/>
        <v>16390000</v>
      </c>
      <c r="D1770" s="250">
        <f t="shared" ca="1" si="559"/>
        <v>14900000</v>
      </c>
      <c r="E1770" s="233">
        <f t="shared" ca="1" si="555"/>
        <v>3005498.0060684877</v>
      </c>
      <c r="F1770" s="555">
        <f t="shared" ca="1" si="556"/>
        <v>0.2017112755750663</v>
      </c>
      <c r="G1770" s="244">
        <f t="shared" ca="1" si="557"/>
        <v>450824.70091027312</v>
      </c>
    </row>
    <row r="1771" spans="1:7" ht="21" customHeight="1" x14ac:dyDescent="0.25">
      <c r="B1771" s="228" t="s">
        <v>4387</v>
      </c>
      <c r="C1771" s="233">
        <f t="shared" ca="1" si="553"/>
        <v>10010000</v>
      </c>
      <c r="D1771" s="250">
        <f t="shared" ca="1" si="559"/>
        <v>9100000</v>
      </c>
      <c r="E1771" s="233">
        <f t="shared" ca="1" si="555"/>
        <v>1501480.6675335942</v>
      </c>
      <c r="F1771" s="555">
        <f t="shared" ca="1" si="556"/>
        <v>0.16499787555314221</v>
      </c>
      <c r="G1771" s="244">
        <f t="shared" ca="1" si="557"/>
        <v>225222.10013003912</v>
      </c>
    </row>
    <row r="1772" spans="1:7" ht="21" customHeight="1" x14ac:dyDescent="0.25">
      <c r="B1772" s="228" t="s">
        <v>1099</v>
      </c>
      <c r="C1772" s="233">
        <f t="shared" ca="1" si="553"/>
        <v>13420000</v>
      </c>
      <c r="D1772" s="250">
        <f t="shared" ca="1" si="559"/>
        <v>12200000</v>
      </c>
      <c r="E1772" s="233">
        <f t="shared" ca="1" si="555"/>
        <v>2151428.0559167741</v>
      </c>
      <c r="F1772" s="555">
        <f t="shared" ca="1" si="556"/>
        <v>0.17634656196039131</v>
      </c>
      <c r="G1772" s="244">
        <f t="shared" ca="1" si="557"/>
        <v>322714.20838751609</v>
      </c>
    </row>
    <row r="1773" spans="1:7" ht="21" customHeight="1" x14ac:dyDescent="0.25">
      <c r="B1773" s="228" t="s">
        <v>434</v>
      </c>
      <c r="C1773" s="233">
        <f t="shared" ca="1" si="553"/>
        <v>7392000.0000000009</v>
      </c>
      <c r="D1773" s="250">
        <f t="shared" ca="1" si="559"/>
        <v>6720000.0000000009</v>
      </c>
      <c r="E1773" s="233">
        <f t="shared" ca="1" si="555"/>
        <v>2640000</v>
      </c>
      <c r="F1773" s="555">
        <f t="shared" ca="1" si="556"/>
        <v>0.39285714285714279</v>
      </c>
      <c r="G1773" s="244">
        <f t="shared" ca="1" si="557"/>
        <v>396000</v>
      </c>
    </row>
    <row r="1774" spans="1:7" ht="21" customHeight="1" x14ac:dyDescent="0.25">
      <c r="A1774" s="247"/>
      <c r="B1774" s="279" t="s">
        <v>2741</v>
      </c>
      <c r="C1774" s="544">
        <f ca="1">SUM(C1758:C1773)</f>
        <v>127352170</v>
      </c>
      <c r="D1774" s="544">
        <f ca="1">SUM(D1758:D1773)</f>
        <v>115774700</v>
      </c>
      <c r="E1774" s="544">
        <f ca="1">SUM(E1758:E1773)</f>
        <v>30776394.948417861</v>
      </c>
      <c r="F1774" s="567">
        <f ca="1">E1774/D1774</f>
        <v>0.26583005568935064</v>
      </c>
      <c r="G1774" s="972">
        <f ca="1">SUM(G1758:G1773)</f>
        <v>4616459.2422626792</v>
      </c>
    </row>
    <row r="1775" spans="1:7" ht="21" customHeight="1" x14ac:dyDescent="0.25">
      <c r="A1775" s="247" t="s">
        <v>4390</v>
      </c>
      <c r="B1775" s="228" t="s">
        <v>453</v>
      </c>
      <c r="C1775" s="233">
        <f t="shared" ref="C1775:C1786" ca="1" si="560">SUMIFS(INDIRECT("Report!F100:F10000"),INDIRECT("Report!B100:B10000"),B1775,INDIRECT("report!H100:H10000"),"Consums",INDIRECT("Report!L100:L10000"),"25,6")</f>
        <v>10114500</v>
      </c>
      <c r="D1775" s="250">
        <f t="shared" ref="D1775" ca="1" si="561">(C1775/11*10)</f>
        <v>9195000</v>
      </c>
      <c r="E1775" s="233">
        <f t="shared" ref="E1775:E1786" ca="1" si="562">SUMIFS(INDIRECT("Report!J100:J10000"),INDIRECT("Report!B100:B10000"),B1775,INDIRECT("report!H100:H10000"),"Consums",INDIRECT("Report!L100:L10000"),"25,6")</f>
        <v>1176890</v>
      </c>
      <c r="F1775" s="555">
        <f t="shared" ref="F1775:F1786" ca="1" si="563">E1775/D1775</f>
        <v>0.12799238716693856</v>
      </c>
      <c r="G1775" s="244">
        <f t="shared" ref="G1775:G1786" ca="1" si="564">E1775*15%</f>
        <v>176533.5</v>
      </c>
    </row>
    <row r="1776" spans="1:7" ht="21" customHeight="1" x14ac:dyDescent="0.25">
      <c r="A1776" s="247"/>
      <c r="B1776" s="228" t="s">
        <v>4076</v>
      </c>
      <c r="C1776" s="233">
        <f t="shared" ca="1" si="560"/>
        <v>3487000</v>
      </c>
      <c r="D1776" s="250">
        <f t="shared" ref="D1776:D1785" ca="1" si="565">(C1776/11*10)</f>
        <v>3170000</v>
      </c>
      <c r="E1776" s="233">
        <f t="shared" ca="1" si="562"/>
        <v>350000</v>
      </c>
      <c r="F1776" s="555">
        <f t="shared" ca="1" si="563"/>
        <v>0.11041009463722397</v>
      </c>
      <c r="G1776" s="244">
        <f t="shared" ca="1" si="564"/>
        <v>52500</v>
      </c>
    </row>
    <row r="1777" spans="1:7" ht="21" customHeight="1" x14ac:dyDescent="0.25">
      <c r="B1777" s="228" t="s">
        <v>2247</v>
      </c>
      <c r="C1777" s="233">
        <f t="shared" ca="1" si="560"/>
        <v>12265000</v>
      </c>
      <c r="D1777" s="250">
        <f t="shared" ca="1" si="565"/>
        <v>11150000</v>
      </c>
      <c r="E1777" s="233">
        <f t="shared" ca="1" si="562"/>
        <v>2296000</v>
      </c>
      <c r="F1777" s="555">
        <f t="shared" ca="1" si="563"/>
        <v>0.20591928251121075</v>
      </c>
      <c r="G1777" s="244">
        <f t="shared" ca="1" si="564"/>
        <v>344400</v>
      </c>
    </row>
    <row r="1778" spans="1:7" ht="21" customHeight="1" x14ac:dyDescent="0.25">
      <c r="B1778" s="228" t="s">
        <v>515</v>
      </c>
      <c r="C1778" s="233">
        <f t="shared" ca="1" si="560"/>
        <v>3575000.0000000005</v>
      </c>
      <c r="D1778" s="250">
        <f t="shared" ca="1" si="565"/>
        <v>3250000.0000000005</v>
      </c>
      <c r="E1778" s="233">
        <f t="shared" ca="1" si="562"/>
        <v>850000</v>
      </c>
      <c r="F1778" s="555">
        <f t="shared" ca="1" si="563"/>
        <v>0.2615384615384615</v>
      </c>
      <c r="G1778" s="244">
        <f t="shared" ca="1" si="564"/>
        <v>127500</v>
      </c>
    </row>
    <row r="1779" spans="1:7" ht="21" customHeight="1" x14ac:dyDescent="0.25">
      <c r="B1779" s="228" t="s">
        <v>466</v>
      </c>
      <c r="C1779" s="233">
        <f t="shared" ca="1" si="560"/>
        <v>357500</v>
      </c>
      <c r="D1779" s="250">
        <f t="shared" ca="1" si="565"/>
        <v>325000</v>
      </c>
      <c r="E1779" s="233">
        <f t="shared" ca="1" si="562"/>
        <v>75000</v>
      </c>
      <c r="F1779" s="555">
        <f t="shared" ca="1" si="563"/>
        <v>0.23076923076923078</v>
      </c>
      <c r="G1779" s="244">
        <f t="shared" ca="1" si="564"/>
        <v>11250</v>
      </c>
    </row>
    <row r="1780" spans="1:7" ht="21" customHeight="1" x14ac:dyDescent="0.25">
      <c r="B1780" s="228" t="s">
        <v>430</v>
      </c>
      <c r="C1780" s="233">
        <f t="shared" ca="1" si="560"/>
        <v>990000.00000000012</v>
      </c>
      <c r="D1780" s="250">
        <f t="shared" ca="1" si="565"/>
        <v>900000.00000000012</v>
      </c>
      <c r="E1780" s="233">
        <f t="shared" ca="1" si="562"/>
        <v>400000</v>
      </c>
      <c r="F1780" s="555">
        <f t="shared" ca="1" si="563"/>
        <v>0.44444444444444436</v>
      </c>
      <c r="G1780" s="244">
        <f t="shared" ca="1" si="564"/>
        <v>60000</v>
      </c>
    </row>
    <row r="1781" spans="1:7" ht="21" customHeight="1" x14ac:dyDescent="0.25">
      <c r="B1781" s="228" t="s">
        <v>2125</v>
      </c>
      <c r="C1781" s="233">
        <f t="shared" ca="1" si="560"/>
        <v>2548810</v>
      </c>
      <c r="D1781" s="250">
        <f t="shared" ca="1" si="565"/>
        <v>2317100</v>
      </c>
      <c r="E1781" s="233">
        <f t="shared" ca="1" si="562"/>
        <v>2317100</v>
      </c>
      <c r="F1781" s="555">
        <f t="shared" ca="1" si="563"/>
        <v>1</v>
      </c>
      <c r="G1781" s="244">
        <f t="shared" ca="1" si="564"/>
        <v>347565</v>
      </c>
    </row>
    <row r="1782" spans="1:7" ht="21" customHeight="1" x14ac:dyDescent="0.25">
      <c r="B1782" s="228" t="s">
        <v>467</v>
      </c>
      <c r="C1782" s="233">
        <f t="shared" ca="1" si="560"/>
        <v>9050800.0000000019</v>
      </c>
      <c r="D1782" s="250">
        <f t="shared" ca="1" si="565"/>
        <v>8228000.0000000009</v>
      </c>
      <c r="E1782" s="233">
        <f t="shared" ca="1" si="562"/>
        <v>2017000</v>
      </c>
      <c r="F1782" s="555">
        <f t="shared" ca="1" si="563"/>
        <v>0.24513855128828388</v>
      </c>
      <c r="G1782" s="244">
        <f t="shared" ca="1" si="564"/>
        <v>302550</v>
      </c>
    </row>
    <row r="1783" spans="1:7" ht="21" customHeight="1" x14ac:dyDescent="0.25">
      <c r="B1783" s="228" t="s">
        <v>834</v>
      </c>
      <c r="C1783" s="233">
        <f t="shared" ca="1" si="560"/>
        <v>1918400.0000000002</v>
      </c>
      <c r="D1783" s="250">
        <f t="shared" ca="1" si="565"/>
        <v>1744000.0000000002</v>
      </c>
      <c r="E1783" s="233">
        <f t="shared" ca="1" si="562"/>
        <v>412000</v>
      </c>
      <c r="F1783" s="555">
        <f t="shared" ca="1" si="563"/>
        <v>0.23623853211009171</v>
      </c>
      <c r="G1783" s="244">
        <f t="shared" ca="1" si="564"/>
        <v>61800</v>
      </c>
    </row>
    <row r="1784" spans="1:7" ht="21" customHeight="1" x14ac:dyDescent="0.25">
      <c r="B1784" s="228" t="s">
        <v>523</v>
      </c>
      <c r="C1784" s="233">
        <f t="shared" ca="1" si="560"/>
        <v>4944500</v>
      </c>
      <c r="D1784" s="250">
        <f t="shared" ca="1" si="565"/>
        <v>4495000</v>
      </c>
      <c r="E1784" s="233">
        <f t="shared" ca="1" si="562"/>
        <v>829000</v>
      </c>
      <c r="F1784" s="555">
        <f t="shared" ca="1" si="563"/>
        <v>0.18442714126807563</v>
      </c>
      <c r="G1784" s="244">
        <f t="shared" ca="1" si="564"/>
        <v>124350</v>
      </c>
    </row>
    <row r="1785" spans="1:7" ht="21" customHeight="1" x14ac:dyDescent="0.25">
      <c r="B1785" s="228" t="s">
        <v>3407</v>
      </c>
      <c r="C1785" s="233">
        <f t="shared" ca="1" si="560"/>
        <v>5280000</v>
      </c>
      <c r="D1785" s="250">
        <f t="shared" ca="1" si="565"/>
        <v>4800000</v>
      </c>
      <c r="E1785" s="233">
        <f t="shared" ca="1" si="562"/>
        <v>2385720</v>
      </c>
      <c r="F1785" s="555">
        <f t="shared" ca="1" si="563"/>
        <v>0.49702499999999999</v>
      </c>
      <c r="G1785" s="244">
        <f t="shared" ca="1" si="564"/>
        <v>357858</v>
      </c>
    </row>
    <row r="1786" spans="1:7" ht="21" customHeight="1" x14ac:dyDescent="0.25">
      <c r="B1786" s="228" t="s">
        <v>434</v>
      </c>
      <c r="C1786" s="233">
        <f t="shared" ca="1" si="560"/>
        <v>5544000</v>
      </c>
      <c r="D1786" s="250">
        <f t="shared" ref="D1786" ca="1" si="566">(C1786/11*10)</f>
        <v>5040000</v>
      </c>
      <c r="E1786" s="233">
        <f t="shared" ca="1" si="562"/>
        <v>1980000</v>
      </c>
      <c r="F1786" s="555">
        <f t="shared" ca="1" si="563"/>
        <v>0.39285714285714285</v>
      </c>
      <c r="G1786" s="244">
        <f t="shared" ca="1" si="564"/>
        <v>297000</v>
      </c>
    </row>
    <row r="1787" spans="1:7" ht="21" customHeight="1" x14ac:dyDescent="0.25">
      <c r="A1787" s="247"/>
      <c r="B1787" s="279" t="s">
        <v>2741</v>
      </c>
      <c r="C1787" s="544">
        <f ca="1">SUM(C1775:C1786)</f>
        <v>60075510</v>
      </c>
      <c r="D1787" s="544">
        <f ca="1">SUM(D1775:D1786)</f>
        <v>54614100</v>
      </c>
      <c r="E1787" s="544">
        <f ca="1">SUM(E1775:E1786)</f>
        <v>15088710</v>
      </c>
      <c r="F1787" s="567">
        <f ca="1">E1787/D1787</f>
        <v>0.27627865331480334</v>
      </c>
      <c r="G1787" s="972">
        <f ca="1">SUM(G1775:G1786)</f>
        <v>2263306.5</v>
      </c>
    </row>
    <row r="1788" spans="1:7" ht="21" customHeight="1" x14ac:dyDescent="0.25">
      <c r="A1788" s="247" t="s">
        <v>4417</v>
      </c>
      <c r="B1788" s="228" t="s">
        <v>453</v>
      </c>
      <c r="C1788" s="233">
        <f t="shared" ref="C1788:C1797" ca="1" si="567">SUMIFS(INDIRECT("Report!F100:F10000"),INDIRECT("Report!B100:B10000"),B1788,INDIRECT("report!H100:H10000"),"Consums",INDIRECT("Report!L100:L10000"),"25,7")</f>
        <v>12450812</v>
      </c>
      <c r="D1788" s="250">
        <f t="shared" ref="D1788" ca="1" si="568">(C1788/11*10)</f>
        <v>11318920</v>
      </c>
      <c r="E1788" s="233">
        <f t="shared" ref="E1788:E1797" ca="1" si="569">SUMIFS(INDIRECT("Report!J100:J10000"),INDIRECT("Report!B100:B10000"),B1788,INDIRECT("report!H100:H10000"),"Consums",INDIRECT("Report!L100:L10000"),"25,7")</f>
        <v>3121440</v>
      </c>
      <c r="F1788" s="555">
        <f t="shared" ref="F1788:F1797" ca="1" si="570">E1788/D1788</f>
        <v>0.2757718934315288</v>
      </c>
      <c r="G1788" s="244">
        <f t="shared" ref="G1788:G1797" ca="1" si="571">E1788*15%</f>
        <v>468216</v>
      </c>
    </row>
    <row r="1789" spans="1:7" ht="21" customHeight="1" x14ac:dyDescent="0.25">
      <c r="A1789" s="247"/>
      <c r="B1789" s="228" t="s">
        <v>4076</v>
      </c>
      <c r="C1789" s="233">
        <f t="shared" ca="1" si="567"/>
        <v>1430000</v>
      </c>
      <c r="D1789" s="250">
        <f t="shared" ref="D1789:D1797" ca="1" si="572">(C1789/11*10)</f>
        <v>1300000</v>
      </c>
      <c r="E1789" s="233">
        <f t="shared" ca="1" si="569"/>
        <v>180000</v>
      </c>
      <c r="F1789" s="555">
        <f t="shared" ca="1" si="570"/>
        <v>0.13846153846153847</v>
      </c>
      <c r="G1789" s="244">
        <f t="shared" ca="1" si="571"/>
        <v>27000</v>
      </c>
    </row>
    <row r="1790" spans="1:7" ht="21" customHeight="1" x14ac:dyDescent="0.25">
      <c r="B1790" s="228" t="s">
        <v>2247</v>
      </c>
      <c r="C1790" s="233">
        <f t="shared" ca="1" si="567"/>
        <v>11038500</v>
      </c>
      <c r="D1790" s="250">
        <f t="shared" ca="1" si="572"/>
        <v>10035000</v>
      </c>
      <c r="E1790" s="233">
        <f t="shared" ca="1" si="569"/>
        <v>2326000</v>
      </c>
      <c r="F1790" s="555">
        <f t="shared" ca="1" si="570"/>
        <v>0.2317887394120578</v>
      </c>
      <c r="G1790" s="244">
        <f t="shared" ca="1" si="571"/>
        <v>348900</v>
      </c>
    </row>
    <row r="1791" spans="1:7" ht="21" customHeight="1" x14ac:dyDescent="0.25">
      <c r="B1791" s="228" t="s">
        <v>515</v>
      </c>
      <c r="C1791" s="233">
        <f t="shared" ca="1" si="567"/>
        <v>3575000.0000000005</v>
      </c>
      <c r="D1791" s="250">
        <f t="shared" ca="1" si="572"/>
        <v>3250000.0000000005</v>
      </c>
      <c r="E1791" s="233">
        <f t="shared" ca="1" si="569"/>
        <v>850000</v>
      </c>
      <c r="F1791" s="555">
        <f t="shared" ca="1" si="570"/>
        <v>0.2615384615384615</v>
      </c>
      <c r="G1791" s="244">
        <f t="shared" ca="1" si="571"/>
        <v>127500</v>
      </c>
    </row>
    <row r="1792" spans="1:7" ht="21" customHeight="1" x14ac:dyDescent="0.25">
      <c r="B1792" s="228" t="s">
        <v>466</v>
      </c>
      <c r="C1792" s="233">
        <f t="shared" ca="1" si="567"/>
        <v>715000</v>
      </c>
      <c r="D1792" s="250">
        <f t="shared" ca="1" si="572"/>
        <v>650000</v>
      </c>
      <c r="E1792" s="233">
        <f t="shared" ca="1" si="569"/>
        <v>150000</v>
      </c>
      <c r="F1792" s="555">
        <f t="shared" ca="1" si="570"/>
        <v>0.23076923076923078</v>
      </c>
      <c r="G1792" s="244">
        <f t="shared" ca="1" si="571"/>
        <v>22500</v>
      </c>
    </row>
    <row r="1793" spans="1:7" ht="21" customHeight="1" x14ac:dyDescent="0.25">
      <c r="B1793" s="228" t="s">
        <v>430</v>
      </c>
      <c r="C1793" s="233">
        <f t="shared" ca="1" si="567"/>
        <v>990000.00000000012</v>
      </c>
      <c r="D1793" s="250">
        <f t="shared" ca="1" si="572"/>
        <v>900000.00000000012</v>
      </c>
      <c r="E1793" s="233">
        <f t="shared" ca="1" si="569"/>
        <v>400000</v>
      </c>
      <c r="F1793" s="555">
        <f t="shared" ca="1" si="570"/>
        <v>0.44444444444444436</v>
      </c>
      <c r="G1793" s="244">
        <f t="shared" ca="1" si="571"/>
        <v>60000</v>
      </c>
    </row>
    <row r="1794" spans="1:7" ht="21" customHeight="1" x14ac:dyDescent="0.25">
      <c r="B1794" s="228" t="s">
        <v>2125</v>
      </c>
      <c r="C1794" s="233">
        <f t="shared" ca="1" si="567"/>
        <v>2483360</v>
      </c>
      <c r="D1794" s="250">
        <f t="shared" ca="1" si="572"/>
        <v>2257600</v>
      </c>
      <c r="E1794" s="233">
        <f t="shared" ca="1" si="569"/>
        <v>2257600</v>
      </c>
      <c r="F1794" s="555">
        <f t="shared" ca="1" si="570"/>
        <v>1</v>
      </c>
      <c r="G1794" s="244">
        <f t="shared" ca="1" si="571"/>
        <v>338640</v>
      </c>
    </row>
    <row r="1795" spans="1:7" ht="21" customHeight="1" x14ac:dyDescent="0.25">
      <c r="B1795" s="228" t="s">
        <v>467</v>
      </c>
      <c r="C1795" s="233">
        <f t="shared" ca="1" si="567"/>
        <v>9237800</v>
      </c>
      <c r="D1795" s="250">
        <f t="shared" ca="1" si="572"/>
        <v>8398000</v>
      </c>
      <c r="E1795" s="233">
        <f t="shared" ca="1" si="569"/>
        <v>1748000</v>
      </c>
      <c r="F1795" s="555">
        <f t="shared" ca="1" si="570"/>
        <v>0.20814479638009051</v>
      </c>
      <c r="G1795" s="244">
        <f t="shared" ca="1" si="571"/>
        <v>262200</v>
      </c>
    </row>
    <row r="1796" spans="1:7" ht="21" customHeight="1" x14ac:dyDescent="0.25">
      <c r="B1796" s="228" t="s">
        <v>834</v>
      </c>
      <c r="C1796" s="233">
        <f t="shared" ca="1" si="567"/>
        <v>1918400.0000000002</v>
      </c>
      <c r="D1796" s="250">
        <f t="shared" ca="1" si="572"/>
        <v>1744000.0000000002</v>
      </c>
      <c r="E1796" s="233">
        <f t="shared" ca="1" si="569"/>
        <v>412000</v>
      </c>
      <c r="F1796" s="555">
        <f t="shared" ca="1" si="570"/>
        <v>0.23623853211009171</v>
      </c>
      <c r="G1796" s="244">
        <f t="shared" ca="1" si="571"/>
        <v>61800</v>
      </c>
    </row>
    <row r="1797" spans="1:7" ht="21" customHeight="1" x14ac:dyDescent="0.25">
      <c r="B1797" s="228" t="s">
        <v>523</v>
      </c>
      <c r="C1797" s="233">
        <f t="shared" ca="1" si="567"/>
        <v>2054800</v>
      </c>
      <c r="D1797" s="250">
        <f t="shared" ca="1" si="572"/>
        <v>1868000</v>
      </c>
      <c r="E1797" s="233">
        <f t="shared" ca="1" si="569"/>
        <v>483000</v>
      </c>
      <c r="F1797" s="555">
        <f t="shared" ca="1" si="570"/>
        <v>0.25856531049250536</v>
      </c>
      <c r="G1797" s="244">
        <f t="shared" ca="1" si="571"/>
        <v>72450</v>
      </c>
    </row>
    <row r="1798" spans="1:7" ht="21" customHeight="1" x14ac:dyDescent="0.25">
      <c r="A1798" s="247"/>
      <c r="B1798" s="279" t="s">
        <v>2741</v>
      </c>
      <c r="C1798" s="544">
        <f ca="1">SUM(C1788:C1797)</f>
        <v>45893672</v>
      </c>
      <c r="D1798" s="544">
        <f ca="1">SUM(D1788:D1797)</f>
        <v>41721520</v>
      </c>
      <c r="E1798" s="544">
        <f ca="1">SUM(E1788:E1797)</f>
        <v>11928040</v>
      </c>
      <c r="F1798" s="567">
        <f ca="1">E1798/D1798</f>
        <v>0.28589658286658781</v>
      </c>
      <c r="G1798" s="972">
        <f ca="1">SUM(G1788:G1797)</f>
        <v>1789206</v>
      </c>
    </row>
    <row r="1799" spans="1:7" ht="21" customHeight="1" x14ac:dyDescent="0.25">
      <c r="A1799" s="247" t="s">
        <v>4427</v>
      </c>
      <c r="B1799" s="228" t="s">
        <v>453</v>
      </c>
      <c r="C1799" s="233">
        <f t="shared" ref="C1799:C1809" ca="1" si="573">SUMIFS(INDIRECT("Report!F100:F10000"),INDIRECT("Report!B100:B10000"),B1799,INDIRECT("report!H100:H10000"),"Consums",INDIRECT("Report!L100:L10000"),"25,8")</f>
        <v>28141300</v>
      </c>
      <c r="D1799" s="250">
        <f t="shared" ref="D1799" ca="1" si="574">(C1799/11*10)</f>
        <v>25583000</v>
      </c>
      <c r="E1799" s="233">
        <f t="shared" ref="E1799:E1809" ca="1" si="575">SUMIFS(INDIRECT("Report!J100:J10000"),INDIRECT("Report!B100:B10000"),B1799,INDIRECT("report!H100:H10000"),"Consums",INDIRECT("Report!L100:L10000"),"25,8")</f>
        <v>4714946</v>
      </c>
      <c r="F1799" s="555">
        <f t="shared" ref="F1799:F1809" ca="1" si="576">E1799/D1799</f>
        <v>0.18429996482038855</v>
      </c>
      <c r="G1799" s="244">
        <f t="shared" ref="G1799:G1809" ca="1" si="577">E1799*15%</f>
        <v>707241.9</v>
      </c>
    </row>
    <row r="1800" spans="1:7" ht="21" customHeight="1" x14ac:dyDescent="0.25">
      <c r="A1800" s="247"/>
      <c r="B1800" s="228" t="s">
        <v>526</v>
      </c>
      <c r="C1800" s="233">
        <f t="shared" ca="1" si="573"/>
        <v>27442800.000000004</v>
      </c>
      <c r="D1800" s="250">
        <f t="shared" ref="D1800:D1809" ca="1" si="578">(C1800/11*10)</f>
        <v>24948000.000000004</v>
      </c>
      <c r="E1800" s="233">
        <f t="shared" ca="1" si="575"/>
        <v>4698000</v>
      </c>
      <c r="F1800" s="555">
        <f t="shared" ca="1" si="576"/>
        <v>0.18831168831168829</v>
      </c>
      <c r="G1800" s="244">
        <f t="shared" ca="1" si="577"/>
        <v>704700</v>
      </c>
    </row>
    <row r="1801" spans="1:7" ht="21" customHeight="1" x14ac:dyDescent="0.25">
      <c r="B1801" s="228" t="s">
        <v>2247</v>
      </c>
      <c r="C1801" s="233">
        <f t="shared" ca="1" si="573"/>
        <v>10895500</v>
      </c>
      <c r="D1801" s="250">
        <f t="shared" ca="1" si="578"/>
        <v>9905000</v>
      </c>
      <c r="E1801" s="233">
        <f t="shared" ca="1" si="575"/>
        <v>1897000</v>
      </c>
      <c r="F1801" s="555">
        <f t="shared" ca="1" si="576"/>
        <v>0.19151943462897528</v>
      </c>
      <c r="G1801" s="244">
        <f t="shared" ca="1" si="577"/>
        <v>284550</v>
      </c>
    </row>
    <row r="1802" spans="1:7" ht="21" customHeight="1" x14ac:dyDescent="0.25">
      <c r="B1802" s="228" t="s">
        <v>515</v>
      </c>
      <c r="C1802" s="233">
        <f t="shared" ca="1" si="573"/>
        <v>3575000.0000000005</v>
      </c>
      <c r="D1802" s="250">
        <f t="shared" ca="1" si="578"/>
        <v>3250000.0000000005</v>
      </c>
      <c r="E1802" s="233">
        <f t="shared" ca="1" si="575"/>
        <v>850000</v>
      </c>
      <c r="F1802" s="555">
        <f t="shared" ca="1" si="576"/>
        <v>0.2615384615384615</v>
      </c>
      <c r="G1802" s="244">
        <f t="shared" ca="1" si="577"/>
        <v>127500</v>
      </c>
    </row>
    <row r="1803" spans="1:7" ht="21" customHeight="1" x14ac:dyDescent="0.25">
      <c r="B1803" s="228" t="s">
        <v>434</v>
      </c>
      <c r="C1803" s="233">
        <f t="shared" ca="1" si="573"/>
        <v>2772000</v>
      </c>
      <c r="D1803" s="250">
        <f t="shared" ca="1" si="578"/>
        <v>2520000</v>
      </c>
      <c r="E1803" s="233">
        <f t="shared" ca="1" si="575"/>
        <v>990000</v>
      </c>
      <c r="F1803" s="555">
        <f t="shared" ca="1" si="576"/>
        <v>0.39285714285714285</v>
      </c>
      <c r="G1803" s="244">
        <f t="shared" ca="1" si="577"/>
        <v>148500</v>
      </c>
    </row>
    <row r="1804" spans="1:7" ht="21" customHeight="1" x14ac:dyDescent="0.25">
      <c r="B1804" s="228" t="s">
        <v>466</v>
      </c>
      <c r="C1804" s="233">
        <f t="shared" ca="1" si="573"/>
        <v>715000</v>
      </c>
      <c r="D1804" s="250">
        <f t="shared" ca="1" si="578"/>
        <v>650000</v>
      </c>
      <c r="E1804" s="233">
        <f t="shared" ca="1" si="575"/>
        <v>150000</v>
      </c>
      <c r="F1804" s="555">
        <f t="shared" ca="1" si="576"/>
        <v>0.23076923076923078</v>
      </c>
      <c r="G1804" s="244">
        <f t="shared" ca="1" si="577"/>
        <v>22500</v>
      </c>
    </row>
    <row r="1805" spans="1:7" ht="21" customHeight="1" x14ac:dyDescent="0.25">
      <c r="B1805" s="228" t="s">
        <v>430</v>
      </c>
      <c r="C1805" s="233">
        <f t="shared" ca="1" si="573"/>
        <v>990000.00000000012</v>
      </c>
      <c r="D1805" s="250">
        <f t="shared" ca="1" si="578"/>
        <v>900000.00000000012</v>
      </c>
      <c r="E1805" s="233">
        <f t="shared" ca="1" si="575"/>
        <v>400000</v>
      </c>
      <c r="F1805" s="555">
        <f t="shared" ca="1" si="576"/>
        <v>0.44444444444444436</v>
      </c>
      <c r="G1805" s="244">
        <f t="shared" ca="1" si="577"/>
        <v>60000</v>
      </c>
    </row>
    <row r="1806" spans="1:7" ht="21" customHeight="1" x14ac:dyDescent="0.25">
      <c r="B1806" s="228" t="s">
        <v>2125</v>
      </c>
      <c r="C1806" s="233">
        <f t="shared" ca="1" si="573"/>
        <v>2451570</v>
      </c>
      <c r="D1806" s="250">
        <f t="shared" ca="1" si="578"/>
        <v>2228700</v>
      </c>
      <c r="E1806" s="233">
        <f t="shared" ca="1" si="575"/>
        <v>2228700</v>
      </c>
      <c r="F1806" s="555">
        <f t="shared" ca="1" si="576"/>
        <v>1</v>
      </c>
      <c r="G1806" s="244">
        <f t="shared" ca="1" si="577"/>
        <v>334305</v>
      </c>
    </row>
    <row r="1807" spans="1:7" ht="21" customHeight="1" x14ac:dyDescent="0.25">
      <c r="B1807" s="228" t="s">
        <v>467</v>
      </c>
      <c r="C1807" s="233">
        <f t="shared" ca="1" si="573"/>
        <v>11290400.000000002</v>
      </c>
      <c r="D1807" s="250">
        <f t="shared" ca="1" si="578"/>
        <v>10264000.000000002</v>
      </c>
      <c r="E1807" s="233">
        <f t="shared" ca="1" si="575"/>
        <v>1855000</v>
      </c>
      <c r="F1807" s="555">
        <f t="shared" ca="1" si="576"/>
        <v>0.18072876071706934</v>
      </c>
      <c r="G1807" s="244">
        <f t="shared" ca="1" si="577"/>
        <v>278250</v>
      </c>
    </row>
    <row r="1808" spans="1:7" ht="21" customHeight="1" x14ac:dyDescent="0.25">
      <c r="B1808" s="228" t="s">
        <v>834</v>
      </c>
      <c r="C1808" s="233">
        <f t="shared" ca="1" si="573"/>
        <v>1918400.0000000002</v>
      </c>
      <c r="D1808" s="250">
        <f t="shared" ca="1" si="578"/>
        <v>1744000.0000000002</v>
      </c>
      <c r="E1808" s="233">
        <f t="shared" ca="1" si="575"/>
        <v>412000</v>
      </c>
      <c r="F1808" s="555">
        <f t="shared" ca="1" si="576"/>
        <v>0.23623853211009171</v>
      </c>
      <c r="G1808" s="244">
        <f t="shared" ca="1" si="577"/>
        <v>61800</v>
      </c>
    </row>
    <row r="1809" spans="1:7" ht="21" customHeight="1" x14ac:dyDescent="0.25">
      <c r="B1809" s="228" t="s">
        <v>523</v>
      </c>
      <c r="C1809" s="233">
        <f t="shared" ca="1" si="573"/>
        <v>4411000</v>
      </c>
      <c r="D1809" s="250">
        <f t="shared" ca="1" si="578"/>
        <v>4010000</v>
      </c>
      <c r="E1809" s="233">
        <f t="shared" ca="1" si="575"/>
        <v>726000</v>
      </c>
      <c r="F1809" s="555">
        <f t="shared" ca="1" si="576"/>
        <v>0.18104738154613467</v>
      </c>
      <c r="G1809" s="244">
        <f t="shared" ca="1" si="577"/>
        <v>108900</v>
      </c>
    </row>
    <row r="1810" spans="1:7" ht="21" customHeight="1" x14ac:dyDescent="0.25">
      <c r="A1810" s="247"/>
      <c r="B1810" s="279" t="s">
        <v>2741</v>
      </c>
      <c r="C1810" s="544">
        <f ca="1">SUM(C1799:C1809)</f>
        <v>94602970</v>
      </c>
      <c r="D1810" s="544">
        <f ca="1">SUM(D1799:D1809)</f>
        <v>86002700</v>
      </c>
      <c r="E1810" s="544">
        <f ca="1">SUM(E1799:E1809)</f>
        <v>18921646</v>
      </c>
      <c r="F1810" s="567">
        <f ca="1">E1810/D1810</f>
        <v>0.22001223217410615</v>
      </c>
      <c r="G1810" s="972">
        <f ca="1">SUM(G1799:G1809)</f>
        <v>2838246.9</v>
      </c>
    </row>
    <row r="1811" spans="1:7" ht="21" customHeight="1" x14ac:dyDescent="0.25">
      <c r="A1811" s="247" t="s">
        <v>4454</v>
      </c>
      <c r="B1811" s="228" t="s">
        <v>453</v>
      </c>
      <c r="C1811" s="233">
        <f t="shared" ref="C1811:C1821" ca="1" si="579">SUMIFS(INDIRECT("Report!F100:F10000"),INDIRECT("Report!B100:B10000"),B1811,INDIRECT("report!H100:H10000"),"Consums",INDIRECT("Report!L100:L10000"),"25,9")</f>
        <v>19723396</v>
      </c>
      <c r="D1811" s="250">
        <f t="shared" ref="D1811" ca="1" si="580">(C1811/11*10)</f>
        <v>17930360</v>
      </c>
      <c r="E1811" s="233">
        <f t="shared" ref="E1811:E1821" ca="1" si="581">SUMIFS(INDIRECT("Report!J100:J10000"),INDIRECT("Report!B100:B10000"),B1811,INDIRECT("report!H100:H10000"),"Consums",INDIRECT("Report!L100:L10000"),"25,9")</f>
        <v>4358486</v>
      </c>
      <c r="F1811" s="555">
        <f t="shared" ref="F1811:F1821" ca="1" si="582">E1811/D1811</f>
        <v>0.24307855503180081</v>
      </c>
      <c r="G1811" s="244">
        <f t="shared" ref="G1811:G1821" ca="1" si="583">E1811*15%</f>
        <v>653772.9</v>
      </c>
    </row>
    <row r="1812" spans="1:7" ht="21" customHeight="1" x14ac:dyDescent="0.25">
      <c r="A1812" s="247"/>
      <c r="B1812" s="228" t="s">
        <v>4076</v>
      </c>
      <c r="C1812" s="233">
        <f t="shared" ca="1" si="579"/>
        <v>4917000</v>
      </c>
      <c r="D1812" s="250">
        <f t="shared" ref="D1812:D1813" ca="1" si="584">(C1812/11*10)</f>
        <v>4470000</v>
      </c>
      <c r="E1812" s="233">
        <f t="shared" ca="1" si="581"/>
        <v>530000</v>
      </c>
      <c r="F1812" s="555">
        <f t="shared" ca="1" si="582"/>
        <v>0.11856823266219239</v>
      </c>
      <c r="G1812" s="244">
        <f t="shared" ca="1" si="583"/>
        <v>79500</v>
      </c>
    </row>
    <row r="1813" spans="1:7" ht="21" customHeight="1" x14ac:dyDescent="0.25">
      <c r="B1813" s="228" t="s">
        <v>2247</v>
      </c>
      <c r="C1813" s="233">
        <f t="shared" ca="1" si="579"/>
        <v>13722500</v>
      </c>
      <c r="D1813" s="250">
        <f t="shared" ca="1" si="584"/>
        <v>12475000</v>
      </c>
      <c r="E1813" s="233">
        <f t="shared" ca="1" si="581"/>
        <v>2775000</v>
      </c>
      <c r="F1813" s="555">
        <f t="shared" ca="1" si="582"/>
        <v>0.22244488977955912</v>
      </c>
      <c r="G1813" s="244">
        <f t="shared" ca="1" si="583"/>
        <v>416250</v>
      </c>
    </row>
    <row r="1814" spans="1:7" ht="21" customHeight="1" x14ac:dyDescent="0.25">
      <c r="B1814" s="228" t="s">
        <v>515</v>
      </c>
      <c r="C1814" s="233">
        <f t="shared" ca="1" si="579"/>
        <v>3575000.0000000005</v>
      </c>
      <c r="D1814" s="250">
        <f t="shared" ref="D1814:D1821" ca="1" si="585">(C1814/11*10)</f>
        <v>3250000.0000000005</v>
      </c>
      <c r="E1814" s="233">
        <f t="shared" ca="1" si="581"/>
        <v>850000</v>
      </c>
      <c r="F1814" s="555">
        <f t="shared" ca="1" si="582"/>
        <v>0.2615384615384615</v>
      </c>
      <c r="G1814" s="244">
        <f t="shared" ca="1" si="583"/>
        <v>127500</v>
      </c>
    </row>
    <row r="1815" spans="1:7" ht="21" customHeight="1" x14ac:dyDescent="0.25">
      <c r="B1815" s="228" t="s">
        <v>434</v>
      </c>
      <c r="C1815" s="233">
        <f t="shared" ca="1" si="579"/>
        <v>6652800.0000000009</v>
      </c>
      <c r="D1815" s="250">
        <f t="shared" ca="1" si="585"/>
        <v>6048000.0000000009</v>
      </c>
      <c r="E1815" s="233">
        <f t="shared" ca="1" si="581"/>
        <v>2376000</v>
      </c>
      <c r="F1815" s="555">
        <f t="shared" ca="1" si="582"/>
        <v>0.39285714285714279</v>
      </c>
      <c r="G1815" s="244">
        <f t="shared" ca="1" si="583"/>
        <v>356400</v>
      </c>
    </row>
    <row r="1816" spans="1:7" ht="21" customHeight="1" x14ac:dyDescent="0.25">
      <c r="B1816" s="228" t="s">
        <v>466</v>
      </c>
      <c r="C1816" s="233">
        <f t="shared" ca="1" si="579"/>
        <v>715000</v>
      </c>
      <c r="D1816" s="250">
        <f t="shared" ca="1" si="585"/>
        <v>650000</v>
      </c>
      <c r="E1816" s="233">
        <f t="shared" ca="1" si="581"/>
        <v>150000</v>
      </c>
      <c r="F1816" s="555">
        <f t="shared" ca="1" si="582"/>
        <v>0.23076923076923078</v>
      </c>
      <c r="G1816" s="244">
        <f t="shared" ca="1" si="583"/>
        <v>22500</v>
      </c>
    </row>
    <row r="1817" spans="1:7" ht="21" customHeight="1" x14ac:dyDescent="0.25">
      <c r="B1817" s="228" t="s">
        <v>430</v>
      </c>
      <c r="C1817" s="233">
        <f t="shared" ca="1" si="579"/>
        <v>990000.00000000012</v>
      </c>
      <c r="D1817" s="250">
        <f t="shared" ca="1" si="585"/>
        <v>900000.00000000012</v>
      </c>
      <c r="E1817" s="233">
        <f t="shared" ca="1" si="581"/>
        <v>400000</v>
      </c>
      <c r="F1817" s="555">
        <f t="shared" ca="1" si="582"/>
        <v>0.44444444444444436</v>
      </c>
      <c r="G1817" s="244">
        <f t="shared" ca="1" si="583"/>
        <v>60000</v>
      </c>
    </row>
    <row r="1818" spans="1:7" ht="21" customHeight="1" x14ac:dyDescent="0.25">
      <c r="B1818" s="228" t="s">
        <v>2125</v>
      </c>
      <c r="C1818" s="233">
        <f t="shared" ca="1" si="579"/>
        <v>3431450.0000000005</v>
      </c>
      <c r="D1818" s="250">
        <f t="shared" ca="1" si="585"/>
        <v>3119500.0000000005</v>
      </c>
      <c r="E1818" s="233">
        <f t="shared" ca="1" si="581"/>
        <v>0</v>
      </c>
      <c r="F1818" s="555">
        <f t="shared" ca="1" si="582"/>
        <v>0</v>
      </c>
      <c r="G1818" s="244">
        <f t="shared" ca="1" si="583"/>
        <v>0</v>
      </c>
    </row>
    <row r="1819" spans="1:7" ht="21" customHeight="1" x14ac:dyDescent="0.25">
      <c r="B1819" s="228" t="s">
        <v>467</v>
      </c>
      <c r="C1819" s="233">
        <f t="shared" ca="1" si="579"/>
        <v>11712800</v>
      </c>
      <c r="D1819" s="250">
        <f t="shared" ca="1" si="585"/>
        <v>10648000</v>
      </c>
      <c r="E1819" s="233">
        <f t="shared" ca="1" si="581"/>
        <v>2258980</v>
      </c>
      <c r="F1819" s="555">
        <f t="shared" ca="1" si="582"/>
        <v>0.21215063861758077</v>
      </c>
      <c r="G1819" s="244">
        <f t="shared" ca="1" si="583"/>
        <v>338847</v>
      </c>
    </row>
    <row r="1820" spans="1:7" ht="21" customHeight="1" x14ac:dyDescent="0.25">
      <c r="B1820" s="228" t="s">
        <v>834</v>
      </c>
      <c r="C1820" s="233">
        <f t="shared" ca="1" si="579"/>
        <v>3836800.0000000005</v>
      </c>
      <c r="D1820" s="250">
        <f t="shared" ca="1" si="585"/>
        <v>3488000.0000000005</v>
      </c>
      <c r="E1820" s="233">
        <f t="shared" ca="1" si="581"/>
        <v>824000</v>
      </c>
      <c r="F1820" s="555">
        <f t="shared" ca="1" si="582"/>
        <v>0.23623853211009171</v>
      </c>
      <c r="G1820" s="244">
        <f t="shared" ca="1" si="583"/>
        <v>123600</v>
      </c>
    </row>
    <row r="1821" spans="1:7" ht="21" customHeight="1" x14ac:dyDescent="0.25">
      <c r="B1821" s="228" t="s">
        <v>523</v>
      </c>
      <c r="C1821" s="233">
        <f t="shared" ca="1" si="579"/>
        <v>605000.00000000012</v>
      </c>
      <c r="D1821" s="250">
        <f t="shared" ca="1" si="585"/>
        <v>550000.00000000012</v>
      </c>
      <c r="E1821" s="233">
        <f t="shared" ca="1" si="581"/>
        <v>167000</v>
      </c>
      <c r="F1821" s="555">
        <f t="shared" ca="1" si="582"/>
        <v>0.30363636363636359</v>
      </c>
      <c r="G1821" s="244">
        <f t="shared" ca="1" si="583"/>
        <v>25050</v>
      </c>
    </row>
    <row r="1822" spans="1:7" ht="21" customHeight="1" x14ac:dyDescent="0.25">
      <c r="A1822" s="247"/>
      <c r="B1822" s="279" t="s">
        <v>2741</v>
      </c>
      <c r="C1822" s="544">
        <f ca="1">SUM(C1811:C1821)</f>
        <v>69881746</v>
      </c>
      <c r="D1822" s="544">
        <f ca="1">SUM(D1811:D1821)</f>
        <v>63528860</v>
      </c>
      <c r="E1822" s="544">
        <f ca="1">SUM(E1811:E1821)</f>
        <v>14689466</v>
      </c>
      <c r="F1822" s="567">
        <f ca="1">E1822/D1822</f>
        <v>0.2312250841586013</v>
      </c>
      <c r="G1822" s="972">
        <f ca="1">SUM(G1811:G1821)</f>
        <v>2203419.9</v>
      </c>
    </row>
    <row r="1823" spans="1:7" ht="21" customHeight="1" x14ac:dyDescent="0.25">
      <c r="A1823" s="247" t="s">
        <v>4470</v>
      </c>
      <c r="B1823" s="228" t="s">
        <v>453</v>
      </c>
      <c r="C1823" s="233">
        <f t="shared" ref="C1823:C1832" ca="1" si="586">SUMIFS(INDIRECT("Report!F100:F10000"),INDIRECT("Report!B100:B10000"),B1823,INDIRECT("report!H100:H10000"),"Consums",INDIRECT("Report!L100:L10000"),"25,10")</f>
        <v>5894900</v>
      </c>
      <c r="D1823" s="250">
        <f t="shared" ref="D1823" ca="1" si="587">(C1823/11*10)</f>
        <v>5359000</v>
      </c>
      <c r="E1823" s="233">
        <f t="shared" ref="E1823:E1832" ca="1" si="588">SUMIFS(INDIRECT("Report!J100:J10000"),INDIRECT("Report!B100:B10000"),B1823,INDIRECT("report!H100:H10000"),"Consums",INDIRECT("Report!L100:L10000"),"25,10")</f>
        <v>730723</v>
      </c>
      <c r="F1823" s="555">
        <f t="shared" ref="F1823:F1832" ca="1" si="589">E1823/D1823</f>
        <v>0.13635435715618585</v>
      </c>
      <c r="G1823" s="244">
        <f t="shared" ref="G1823:G1832" ca="1" si="590">E1823*15%</f>
        <v>109608.45</v>
      </c>
    </row>
    <row r="1824" spans="1:7" ht="21" customHeight="1" x14ac:dyDescent="0.25">
      <c r="A1824" s="247"/>
      <c r="B1824" s="228" t="s">
        <v>4076</v>
      </c>
      <c r="C1824" s="233">
        <f t="shared" ca="1" si="586"/>
        <v>1430000</v>
      </c>
      <c r="D1824" s="250">
        <f t="shared" ref="D1824:D1832" ca="1" si="591">(C1824/11*10)</f>
        <v>1300000</v>
      </c>
      <c r="E1824" s="233">
        <f t="shared" ca="1" si="588"/>
        <v>180000</v>
      </c>
      <c r="F1824" s="555">
        <f t="shared" ca="1" si="589"/>
        <v>0.13846153846153847</v>
      </c>
      <c r="G1824" s="244">
        <f t="shared" ca="1" si="590"/>
        <v>27000</v>
      </c>
    </row>
    <row r="1825" spans="1:7" ht="21" customHeight="1" x14ac:dyDescent="0.25">
      <c r="B1825" s="228" t="s">
        <v>2247</v>
      </c>
      <c r="C1825" s="233">
        <f t="shared" ca="1" si="586"/>
        <v>9889000</v>
      </c>
      <c r="D1825" s="250">
        <f t="shared" ca="1" si="591"/>
        <v>8990000</v>
      </c>
      <c r="E1825" s="233">
        <f t="shared" ca="1" si="588"/>
        <v>1901000</v>
      </c>
      <c r="F1825" s="555">
        <f t="shared" ca="1" si="589"/>
        <v>0.21145717463848721</v>
      </c>
      <c r="G1825" s="244">
        <f t="shared" ca="1" si="590"/>
        <v>285150</v>
      </c>
    </row>
    <row r="1826" spans="1:7" ht="21" customHeight="1" x14ac:dyDescent="0.25">
      <c r="B1826" s="228" t="s">
        <v>515</v>
      </c>
      <c r="C1826" s="233">
        <f t="shared" ca="1" si="586"/>
        <v>3575000.0000000005</v>
      </c>
      <c r="D1826" s="250">
        <f t="shared" ca="1" si="591"/>
        <v>3250000.0000000005</v>
      </c>
      <c r="E1826" s="233">
        <f t="shared" ca="1" si="588"/>
        <v>850000</v>
      </c>
      <c r="F1826" s="555">
        <f t="shared" ca="1" si="589"/>
        <v>0.2615384615384615</v>
      </c>
      <c r="G1826" s="244">
        <f t="shared" ca="1" si="590"/>
        <v>127500</v>
      </c>
    </row>
    <row r="1827" spans="1:7" ht="21" customHeight="1" x14ac:dyDescent="0.25">
      <c r="B1827" s="228" t="s">
        <v>434</v>
      </c>
      <c r="C1827" s="233">
        <f t="shared" ca="1" si="586"/>
        <v>1848000.0000000002</v>
      </c>
      <c r="D1827" s="250">
        <f t="shared" ca="1" si="591"/>
        <v>1680000.0000000002</v>
      </c>
      <c r="E1827" s="233">
        <f t="shared" ca="1" si="588"/>
        <v>660000</v>
      </c>
      <c r="F1827" s="555">
        <f t="shared" ca="1" si="589"/>
        <v>0.39285714285714279</v>
      </c>
      <c r="G1827" s="244">
        <f t="shared" ca="1" si="590"/>
        <v>99000</v>
      </c>
    </row>
    <row r="1828" spans="1:7" ht="21" customHeight="1" x14ac:dyDescent="0.25">
      <c r="B1828" s="228" t="s">
        <v>466</v>
      </c>
      <c r="C1828" s="233">
        <f t="shared" ca="1" si="586"/>
        <v>357500</v>
      </c>
      <c r="D1828" s="250">
        <f t="shared" ca="1" si="591"/>
        <v>325000</v>
      </c>
      <c r="E1828" s="233">
        <f t="shared" ca="1" si="588"/>
        <v>75000</v>
      </c>
      <c r="F1828" s="555">
        <f t="shared" ca="1" si="589"/>
        <v>0.23076923076923078</v>
      </c>
      <c r="G1828" s="244">
        <f t="shared" ca="1" si="590"/>
        <v>11250</v>
      </c>
    </row>
    <row r="1829" spans="1:7" ht="21" customHeight="1" x14ac:dyDescent="0.25">
      <c r="B1829" s="228" t="s">
        <v>526</v>
      </c>
      <c r="C1829" s="233">
        <f t="shared" ca="1" si="586"/>
        <v>8119100.0000000009</v>
      </c>
      <c r="D1829" s="250">
        <f t="shared" ca="1" si="591"/>
        <v>7381000.0000000009</v>
      </c>
      <c r="E1829" s="233">
        <f t="shared" ca="1" si="588"/>
        <v>2181000</v>
      </c>
      <c r="F1829" s="555">
        <f t="shared" ca="1" si="589"/>
        <v>0.29548841620376637</v>
      </c>
      <c r="G1829" s="244">
        <f t="shared" ca="1" si="590"/>
        <v>327150</v>
      </c>
    </row>
    <row r="1830" spans="1:7" ht="21" customHeight="1" x14ac:dyDescent="0.25">
      <c r="B1830" s="228" t="s">
        <v>2125</v>
      </c>
      <c r="C1830" s="233">
        <f t="shared" ca="1" si="586"/>
        <v>2027080.0000000002</v>
      </c>
      <c r="D1830" s="250">
        <f t="shared" ca="1" si="591"/>
        <v>1842800.0000000002</v>
      </c>
      <c r="E1830" s="233">
        <f t="shared" ca="1" si="588"/>
        <v>1842800</v>
      </c>
      <c r="F1830" s="555">
        <f t="shared" ca="1" si="589"/>
        <v>0.99999999999999989</v>
      </c>
      <c r="G1830" s="244">
        <f t="shared" ca="1" si="590"/>
        <v>276420</v>
      </c>
    </row>
    <row r="1831" spans="1:7" ht="21" customHeight="1" x14ac:dyDescent="0.25">
      <c r="B1831" s="228" t="s">
        <v>467</v>
      </c>
      <c r="C1831" s="233">
        <f t="shared" ca="1" si="586"/>
        <v>6835400.0000000009</v>
      </c>
      <c r="D1831" s="250">
        <f t="shared" ca="1" si="591"/>
        <v>6214000.0000000009</v>
      </c>
      <c r="E1831" s="233">
        <f t="shared" ca="1" si="588"/>
        <v>1570500</v>
      </c>
      <c r="F1831" s="555">
        <f t="shared" ca="1" si="589"/>
        <v>0.25273575796588343</v>
      </c>
      <c r="G1831" s="244">
        <f t="shared" ca="1" si="590"/>
        <v>235575</v>
      </c>
    </row>
    <row r="1832" spans="1:7" ht="21" customHeight="1" x14ac:dyDescent="0.25">
      <c r="B1832" s="228" t="s">
        <v>523</v>
      </c>
      <c r="C1832" s="233">
        <f t="shared" ca="1" si="586"/>
        <v>4931300</v>
      </c>
      <c r="D1832" s="250">
        <f t="shared" ca="1" si="591"/>
        <v>4483000</v>
      </c>
      <c r="E1832" s="233">
        <f t="shared" ca="1" si="588"/>
        <v>893500</v>
      </c>
      <c r="F1832" s="555">
        <f t="shared" ca="1" si="589"/>
        <v>0.19930849877314299</v>
      </c>
      <c r="G1832" s="244">
        <f t="shared" ca="1" si="590"/>
        <v>134025</v>
      </c>
    </row>
    <row r="1833" spans="1:7" ht="21" customHeight="1" x14ac:dyDescent="0.25">
      <c r="A1833" s="247"/>
      <c r="B1833" s="279" t="s">
        <v>2741</v>
      </c>
      <c r="C1833" s="544">
        <f ca="1">SUM(C1823:C1832)</f>
        <v>44907280</v>
      </c>
      <c r="D1833" s="544">
        <f ca="1">SUM(D1823:D1832)</f>
        <v>40824800</v>
      </c>
      <c r="E1833" s="544">
        <f ca="1">SUM(E1823:E1832)</f>
        <v>10884523</v>
      </c>
      <c r="F1833" s="567">
        <f ca="1">E1833/D1833</f>
        <v>0.26661546412964671</v>
      </c>
      <c r="G1833" s="972">
        <f ca="1">SUM(G1823:G1832)</f>
        <v>1632678.45</v>
      </c>
    </row>
    <row r="1834" spans="1:7" ht="21" customHeight="1" x14ac:dyDescent="0.25">
      <c r="A1834" s="247" t="s">
        <v>4488</v>
      </c>
      <c r="B1834" s="228" t="s">
        <v>453</v>
      </c>
      <c r="C1834" s="233">
        <f ca="1">SUMIFS(INDIRECT("Report!F100:F10000"),INDIRECT("Report!B100:B10000"),B1834,INDIRECT("report!H100:H10000"),"Consums",INDIRECT("Report!L100:L10000"),"25,11")</f>
        <v>10500600</v>
      </c>
      <c r="D1834" s="250">
        <f t="shared" ref="D1834" ca="1" si="592">(C1834/11*10)</f>
        <v>9546000</v>
      </c>
      <c r="E1834" s="233">
        <f ca="1">SUMIFS(INDIRECT("Report!J100:J10000"),INDIRECT("Report!B100:B10000"),B1834,INDIRECT("report!H100:H10000"),"Consums",INDIRECT("Report!L100:L10000"),"25,11")</f>
        <v>-14332</v>
      </c>
      <c r="F1834" s="555">
        <f t="shared" ref="F1834:F1845" ca="1" si="593">E1834/D1834</f>
        <v>-1.5013618269432223E-3</v>
      </c>
      <c r="G1834" s="244">
        <f t="shared" ref="G1834:G1845" ca="1" si="594">E1834*15%</f>
        <v>-2149.7999999999997</v>
      </c>
    </row>
    <row r="1835" spans="1:7" ht="21" customHeight="1" x14ac:dyDescent="0.25">
      <c r="A1835" s="247"/>
      <c r="B1835" s="228" t="s">
        <v>4076</v>
      </c>
      <c r="C1835" s="233">
        <f t="shared" ref="C1835:C1845" ca="1" si="595">SUMIFS(INDIRECT("Report!F100:F10000"),INDIRECT("Report!B100:B10000"),B1835,INDIRECT("report!H100:H10000"),"Consums",INDIRECT("Report!L100:L10000"),"25,11")</f>
        <v>3487000</v>
      </c>
      <c r="D1835" s="250">
        <f t="shared" ref="D1835:D1845" ca="1" si="596">(C1835/11*10)</f>
        <v>3170000</v>
      </c>
      <c r="E1835" s="233">
        <f t="shared" ref="E1835:E1845" ca="1" si="597">SUMIFS(INDIRECT("Report!J100:J10000"),INDIRECT("Report!B100:B10000"),B1835,INDIRECT("report!H100:H10000"),"Consums",INDIRECT("Report!L100:L10000"),"25,11")</f>
        <v>350000</v>
      </c>
      <c r="F1835" s="555">
        <f t="shared" ca="1" si="593"/>
        <v>0.11041009463722397</v>
      </c>
      <c r="G1835" s="244">
        <f t="shared" ca="1" si="594"/>
        <v>52500</v>
      </c>
    </row>
    <row r="1836" spans="1:7" ht="21" customHeight="1" x14ac:dyDescent="0.25">
      <c r="B1836" s="228" t="s">
        <v>2247</v>
      </c>
      <c r="C1836" s="233">
        <f t="shared" ca="1" si="595"/>
        <v>14443000</v>
      </c>
      <c r="D1836" s="250">
        <f t="shared" ca="1" si="596"/>
        <v>13130000</v>
      </c>
      <c r="E1836" s="233">
        <f t="shared" ca="1" si="597"/>
        <v>3260000</v>
      </c>
      <c r="F1836" s="555">
        <f t="shared" ca="1" si="593"/>
        <v>0.24828636709824828</v>
      </c>
      <c r="G1836" s="244">
        <f t="shared" ca="1" si="594"/>
        <v>489000</v>
      </c>
    </row>
    <row r="1837" spans="1:7" ht="21" customHeight="1" x14ac:dyDescent="0.25">
      <c r="B1837" s="228" t="s">
        <v>515</v>
      </c>
      <c r="C1837" s="233">
        <f t="shared" ca="1" si="595"/>
        <v>3575000.0000000005</v>
      </c>
      <c r="D1837" s="250">
        <f t="shared" ca="1" si="596"/>
        <v>3250000.0000000005</v>
      </c>
      <c r="E1837" s="233">
        <f t="shared" ca="1" si="597"/>
        <v>850000</v>
      </c>
      <c r="F1837" s="555">
        <f t="shared" ca="1" si="593"/>
        <v>0.2615384615384615</v>
      </c>
      <c r="G1837" s="244">
        <f t="shared" ca="1" si="594"/>
        <v>127500</v>
      </c>
    </row>
    <row r="1838" spans="1:7" ht="21" customHeight="1" x14ac:dyDescent="0.25">
      <c r="B1838" s="228" t="s">
        <v>434</v>
      </c>
      <c r="C1838" s="233">
        <f t="shared" ca="1" si="595"/>
        <v>3696000.0000000005</v>
      </c>
      <c r="D1838" s="250">
        <f t="shared" ca="1" si="596"/>
        <v>3360000.0000000005</v>
      </c>
      <c r="E1838" s="233">
        <f t="shared" ca="1" si="597"/>
        <v>1320000</v>
      </c>
      <c r="F1838" s="555">
        <f t="shared" ca="1" si="593"/>
        <v>0.39285714285714279</v>
      </c>
      <c r="G1838" s="244">
        <f t="shared" ca="1" si="594"/>
        <v>198000</v>
      </c>
    </row>
    <row r="1839" spans="1:7" ht="21" customHeight="1" x14ac:dyDescent="0.25">
      <c r="B1839" s="228" t="s">
        <v>466</v>
      </c>
      <c r="C1839" s="233">
        <f t="shared" ca="1" si="595"/>
        <v>1072500</v>
      </c>
      <c r="D1839" s="250">
        <f t="shared" ca="1" si="596"/>
        <v>975000</v>
      </c>
      <c r="E1839" s="233">
        <f t="shared" ca="1" si="597"/>
        <v>225000</v>
      </c>
      <c r="F1839" s="555">
        <f t="shared" ca="1" si="593"/>
        <v>0.23076923076923078</v>
      </c>
      <c r="G1839" s="244">
        <f t="shared" ca="1" si="594"/>
        <v>33750</v>
      </c>
    </row>
    <row r="1840" spans="1:7" ht="21" customHeight="1" x14ac:dyDescent="0.25">
      <c r="B1840" s="228" t="s">
        <v>4498</v>
      </c>
      <c r="C1840" s="233">
        <f t="shared" ca="1" si="595"/>
        <v>5280000</v>
      </c>
      <c r="D1840" s="250">
        <f t="shared" ca="1" si="596"/>
        <v>4800000</v>
      </c>
      <c r="E1840" s="233">
        <f t="shared" ca="1" si="597"/>
        <v>2385720</v>
      </c>
      <c r="F1840" s="555">
        <f t="shared" ca="1" si="593"/>
        <v>0.49702499999999999</v>
      </c>
      <c r="G1840" s="244">
        <f t="shared" ca="1" si="594"/>
        <v>357858</v>
      </c>
    </row>
    <row r="1841" spans="1:7" ht="21" customHeight="1" x14ac:dyDescent="0.25">
      <c r="B1841" s="228" t="s">
        <v>430</v>
      </c>
      <c r="C1841" s="233">
        <f t="shared" ca="1" si="595"/>
        <v>990000.00000000012</v>
      </c>
      <c r="D1841" s="250">
        <f t="shared" ca="1" si="596"/>
        <v>900000.00000000012</v>
      </c>
      <c r="E1841" s="233">
        <f t="shared" ca="1" si="597"/>
        <v>400000</v>
      </c>
      <c r="F1841" s="555">
        <f t="shared" ca="1" si="593"/>
        <v>0.44444444444444436</v>
      </c>
      <c r="G1841" s="244">
        <f t="shared" ca="1" si="594"/>
        <v>60000</v>
      </c>
    </row>
    <row r="1842" spans="1:7" ht="21" customHeight="1" x14ac:dyDescent="0.25">
      <c r="B1842" s="228" t="s">
        <v>2125</v>
      </c>
      <c r="C1842" s="233">
        <f t="shared" ca="1" si="595"/>
        <v>3876840.0000000005</v>
      </c>
      <c r="D1842" s="250">
        <f t="shared" ca="1" si="596"/>
        <v>3524400.0000000005</v>
      </c>
      <c r="E1842" s="233">
        <f t="shared" ca="1" si="597"/>
        <v>3524400</v>
      </c>
      <c r="F1842" s="555">
        <f t="shared" ca="1" si="593"/>
        <v>0.99999999999999989</v>
      </c>
      <c r="G1842" s="244">
        <f t="shared" ca="1" si="594"/>
        <v>528660</v>
      </c>
    </row>
    <row r="1843" spans="1:7" ht="21" customHeight="1" x14ac:dyDescent="0.25">
      <c r="B1843" s="228" t="s">
        <v>834</v>
      </c>
      <c r="C1843" s="233">
        <f t="shared" ca="1" si="595"/>
        <v>3836800.0000000005</v>
      </c>
      <c r="D1843" s="250">
        <f t="shared" ca="1" si="596"/>
        <v>3488000.0000000005</v>
      </c>
      <c r="E1843" s="233">
        <f t="shared" ca="1" si="597"/>
        <v>824000</v>
      </c>
      <c r="F1843" s="555">
        <f t="shared" ca="1" si="593"/>
        <v>0.23623853211009171</v>
      </c>
      <c r="G1843" s="244">
        <f t="shared" ca="1" si="594"/>
        <v>123600</v>
      </c>
    </row>
    <row r="1844" spans="1:7" ht="21" customHeight="1" x14ac:dyDescent="0.25">
      <c r="B1844" s="228" t="s">
        <v>467</v>
      </c>
      <c r="C1844" s="233">
        <f t="shared" ca="1" si="595"/>
        <v>11127600</v>
      </c>
      <c r="D1844" s="250">
        <f t="shared" ca="1" si="596"/>
        <v>10116000</v>
      </c>
      <c r="E1844" s="233">
        <f t="shared" ca="1" si="597"/>
        <v>3541500</v>
      </c>
      <c r="F1844" s="555">
        <f t="shared" ca="1" si="593"/>
        <v>0.35008896797153027</v>
      </c>
      <c r="G1844" s="244">
        <f t="shared" ca="1" si="594"/>
        <v>531225</v>
      </c>
    </row>
    <row r="1845" spans="1:7" ht="21" customHeight="1" x14ac:dyDescent="0.25">
      <c r="B1845" s="228" t="s">
        <v>4499</v>
      </c>
      <c r="C1845" s="233">
        <f t="shared" ca="1" si="595"/>
        <v>2024000.0000000002</v>
      </c>
      <c r="D1845" s="250">
        <f t="shared" ca="1" si="596"/>
        <v>1840000.0000000002</v>
      </c>
      <c r="E1845" s="233">
        <f t="shared" ca="1" si="597"/>
        <v>508000</v>
      </c>
      <c r="F1845" s="555">
        <f t="shared" ca="1" si="593"/>
        <v>0.27608695652173909</v>
      </c>
      <c r="G1845" s="244">
        <f t="shared" ca="1" si="594"/>
        <v>76200</v>
      </c>
    </row>
    <row r="1846" spans="1:7" ht="21" customHeight="1" x14ac:dyDescent="0.25">
      <c r="A1846" s="247"/>
      <c r="B1846" s="279" t="s">
        <v>2741</v>
      </c>
      <c r="C1846" s="544">
        <f ca="1">SUM(C1834:C1845)</f>
        <v>63909340</v>
      </c>
      <c r="D1846" s="544">
        <f ca="1">SUM(D1834:D1845)</f>
        <v>58099400</v>
      </c>
      <c r="E1846" s="544">
        <f ca="1">SUM(E1834:E1845)</f>
        <v>17174288</v>
      </c>
      <c r="F1846" s="567">
        <f ca="1">E1846/D1846</f>
        <v>0.29560181344385655</v>
      </c>
      <c r="G1846" s="972">
        <f ca="1">SUM(G1834:G1845)</f>
        <v>2576143.2000000002</v>
      </c>
    </row>
  </sheetData>
  <autoFilter ref="A2:J1272" xr:uid="{00000000-0009-0000-0000-000000000000}"/>
  <mergeCells count="1">
    <mergeCell ref="H1022:J1022"/>
  </mergeCells>
  <phoneticPr fontId="4" type="noConversion"/>
  <pageMargins left="0.15748031496062992" right="0.23622047244094491" top="0.15748031496062992" bottom="0.15748031496062992" header="0.15748031496062992" footer="0.15748031496062992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K494"/>
  <sheetViews>
    <sheetView zoomScale="85" zoomScaleNormal="85" zoomScaleSheetLayoutView="85" workbookViewId="0">
      <pane ySplit="1" topLeftCell="A461" activePane="bottomLeft" state="frozen"/>
      <selection activeCell="A1889" sqref="A1889"/>
      <selection pane="bottomLeft" activeCell="L470" sqref="L470"/>
    </sheetView>
  </sheetViews>
  <sheetFormatPr defaultColWidth="9.03515625" defaultRowHeight="21" customHeight="1" x14ac:dyDescent="0.25"/>
  <cols>
    <col min="1" max="1" width="11.6328125" style="227" bestFit="1" customWidth="1"/>
    <col min="2" max="2" width="22.28125" style="228" customWidth="1"/>
    <col min="3" max="4" width="20.796875" style="228" bestFit="1" customWidth="1"/>
    <col min="5" max="5" width="13.12109375" style="228" customWidth="1"/>
    <col min="6" max="6" width="11.015625" style="228" bestFit="1" customWidth="1"/>
    <col min="7" max="7" width="16.7109375" style="229" bestFit="1" customWidth="1"/>
    <col min="8" max="8" width="13.73828125" style="227" bestFit="1" customWidth="1"/>
    <col min="9" max="9" width="28.71875" style="227" customWidth="1"/>
    <col min="10" max="10" width="9.03515625" style="228"/>
    <col min="11" max="11" width="17.203125" style="228" bestFit="1" customWidth="1"/>
    <col min="12" max="16384" width="9.03515625" style="228"/>
  </cols>
  <sheetData>
    <row r="1" spans="1:9" ht="33" x14ac:dyDescent="0.25">
      <c r="A1" s="230" t="s">
        <v>6</v>
      </c>
      <c r="B1" s="231" t="s">
        <v>3</v>
      </c>
      <c r="C1" s="231" t="s">
        <v>10</v>
      </c>
      <c r="D1" s="230" t="s">
        <v>23</v>
      </c>
      <c r="E1" s="230" t="s">
        <v>4</v>
      </c>
      <c r="F1" s="230" t="s">
        <v>1</v>
      </c>
      <c r="G1" s="231" t="s">
        <v>3414</v>
      </c>
      <c r="H1" s="230" t="s">
        <v>12</v>
      </c>
      <c r="I1" s="230" t="s">
        <v>13</v>
      </c>
    </row>
    <row r="2" spans="1:9" s="249" customFormat="1" ht="21" customHeight="1" x14ac:dyDescent="0.25">
      <c r="A2" s="316" t="s">
        <v>308</v>
      </c>
      <c r="B2" s="290" t="s">
        <v>2</v>
      </c>
      <c r="C2" s="260">
        <v>42900000</v>
      </c>
      <c r="D2" s="260">
        <v>39000000</v>
      </c>
      <c r="E2" s="260"/>
      <c r="F2" s="291">
        <f t="shared" ref="F2:F59" si="0">E2/D2</f>
        <v>0</v>
      </c>
      <c r="G2" s="274">
        <f>E2*30%</f>
        <v>0</v>
      </c>
      <c r="H2" s="251"/>
      <c r="I2" s="317"/>
    </row>
    <row r="3" spans="1:9" s="249" customFormat="1" ht="21" customHeight="1" x14ac:dyDescent="0.25">
      <c r="A3" s="318"/>
      <c r="B3" s="319"/>
      <c r="C3" s="320">
        <f>SUM(C2:C2)</f>
        <v>42900000</v>
      </c>
      <c r="D3" s="320">
        <f>SUM(D2:D2)</f>
        <v>39000000</v>
      </c>
      <c r="E3" s="320">
        <f>SUM(E2:E2)</f>
        <v>0</v>
      </c>
      <c r="F3" s="321">
        <f t="shared" si="0"/>
        <v>0</v>
      </c>
      <c r="G3" s="285">
        <f>SUM(G2:G2)</f>
        <v>0</v>
      </c>
      <c r="H3" s="322"/>
      <c r="I3" s="323"/>
    </row>
    <row r="4" spans="1:9" s="249" customFormat="1" ht="21" customHeight="1" x14ac:dyDescent="0.25">
      <c r="A4" s="316" t="s">
        <v>310</v>
      </c>
      <c r="B4" s="290" t="s">
        <v>20</v>
      </c>
      <c r="C4" s="260">
        <v>2090000</v>
      </c>
      <c r="D4" s="260">
        <v>1900000</v>
      </c>
      <c r="E4" s="260">
        <v>500000</v>
      </c>
      <c r="F4" s="299">
        <f t="shared" si="0"/>
        <v>0.26315789473684209</v>
      </c>
      <c r="G4" s="274">
        <f>E4*30%</f>
        <v>150000</v>
      </c>
      <c r="I4" s="292"/>
    </row>
    <row r="5" spans="1:9" s="249" customFormat="1" ht="21" customHeight="1" x14ac:dyDescent="0.25">
      <c r="A5" s="324"/>
      <c r="B5" s="290" t="s">
        <v>350</v>
      </c>
      <c r="C5" s="260">
        <v>431200</v>
      </c>
      <c r="D5" s="260">
        <v>392000</v>
      </c>
      <c r="E5" s="260"/>
      <c r="F5" s="299">
        <f t="shared" si="0"/>
        <v>0</v>
      </c>
      <c r="G5" s="274">
        <f>E5*30%</f>
        <v>0</v>
      </c>
      <c r="H5" s="251"/>
      <c r="I5" s="292"/>
    </row>
    <row r="6" spans="1:9" s="249" customFormat="1" ht="21" customHeight="1" x14ac:dyDescent="0.25">
      <c r="A6" s="318"/>
      <c r="B6" s="319"/>
      <c r="C6" s="320">
        <f>SUM(C4:C5)</f>
        <v>2521200</v>
      </c>
      <c r="D6" s="320">
        <f>SUM(D4:D5)</f>
        <v>2292000</v>
      </c>
      <c r="E6" s="320">
        <f>SUM(E4:E5)</f>
        <v>500000</v>
      </c>
      <c r="F6" s="321">
        <f t="shared" si="0"/>
        <v>0.2181500872600349</v>
      </c>
      <c r="G6" s="285">
        <f>SUM(G4:G5)</f>
        <v>150000</v>
      </c>
      <c r="H6" s="322"/>
      <c r="I6" s="323"/>
    </row>
    <row r="7" spans="1:9" s="249" customFormat="1" ht="21" customHeight="1" x14ac:dyDescent="0.25">
      <c r="A7" s="316" t="s">
        <v>316</v>
      </c>
      <c r="B7" s="290" t="s">
        <v>21</v>
      </c>
      <c r="C7" s="260">
        <v>9515000</v>
      </c>
      <c r="D7" s="260">
        <v>8650000</v>
      </c>
      <c r="E7" s="260"/>
      <c r="F7" s="299">
        <f t="shared" si="0"/>
        <v>0</v>
      </c>
      <c r="G7" s="274">
        <f>E7*30%</f>
        <v>0</v>
      </c>
      <c r="I7" s="292"/>
    </row>
    <row r="8" spans="1:9" s="249" customFormat="1" ht="21" customHeight="1" x14ac:dyDescent="0.25">
      <c r="A8" s="318"/>
      <c r="B8" s="319"/>
      <c r="C8" s="320">
        <f>SUM(C7)</f>
        <v>9515000</v>
      </c>
      <c r="D8" s="320">
        <f>SUM(D7)</f>
        <v>8650000</v>
      </c>
      <c r="E8" s="320">
        <f>SUM(E7)</f>
        <v>0</v>
      </c>
      <c r="F8" s="321">
        <f t="shared" si="0"/>
        <v>0</v>
      </c>
      <c r="G8" s="285">
        <f>SUM(G6:G7)</f>
        <v>150000</v>
      </c>
      <c r="H8" s="322"/>
      <c r="I8" s="323"/>
    </row>
    <row r="9" spans="1:9" s="249" customFormat="1" ht="21" customHeight="1" x14ac:dyDescent="0.25">
      <c r="A9" s="316" t="s">
        <v>391</v>
      </c>
      <c r="B9" s="290" t="s">
        <v>323</v>
      </c>
      <c r="C9" s="260">
        <v>3850000</v>
      </c>
      <c r="D9" s="260">
        <v>3500000</v>
      </c>
      <c r="E9" s="260"/>
      <c r="F9" s="299">
        <f t="shared" si="0"/>
        <v>0</v>
      </c>
      <c r="G9" s="274">
        <f>E9*30%</f>
        <v>0</v>
      </c>
      <c r="H9" s="251"/>
      <c r="I9" s="292"/>
    </row>
    <row r="10" spans="1:9" s="249" customFormat="1" ht="21" customHeight="1" x14ac:dyDescent="0.25">
      <c r="A10" s="318"/>
      <c r="B10" s="319"/>
      <c r="C10" s="320">
        <f>SUM(C9:C9)</f>
        <v>3850000</v>
      </c>
      <c r="D10" s="320">
        <f>SUM(D9:D9)</f>
        <v>3500000</v>
      </c>
      <c r="E10" s="320">
        <f>SUM(E9:E9)</f>
        <v>0</v>
      </c>
      <c r="F10" s="321">
        <f t="shared" si="0"/>
        <v>0</v>
      </c>
      <c r="G10" s="285">
        <f>SUM(G9:G9)</f>
        <v>0</v>
      </c>
      <c r="H10" s="322"/>
      <c r="I10" s="323"/>
    </row>
    <row r="11" spans="1:9" s="249" customFormat="1" ht="21" customHeight="1" x14ac:dyDescent="0.25">
      <c r="A11" s="316" t="s">
        <v>392</v>
      </c>
      <c r="B11" s="290" t="s">
        <v>322</v>
      </c>
      <c r="C11" s="260">
        <v>1375000</v>
      </c>
      <c r="D11" s="260">
        <v>1250000</v>
      </c>
      <c r="E11" s="260"/>
      <c r="F11" s="299">
        <f t="shared" si="0"/>
        <v>0</v>
      </c>
      <c r="G11" s="274">
        <f>E11*30%</f>
        <v>0</v>
      </c>
      <c r="H11" s="251"/>
      <c r="I11" s="292"/>
    </row>
    <row r="12" spans="1:9" s="249" customFormat="1" ht="21" customHeight="1" x14ac:dyDescent="0.25">
      <c r="A12" s="318"/>
      <c r="B12" s="319"/>
      <c r="C12" s="320">
        <f>SUM(C11)</f>
        <v>1375000</v>
      </c>
      <c r="D12" s="320">
        <f>SUM(D11)</f>
        <v>1250000</v>
      </c>
      <c r="E12" s="320">
        <f>SUM(E11)</f>
        <v>0</v>
      </c>
      <c r="F12" s="321">
        <f t="shared" si="0"/>
        <v>0</v>
      </c>
      <c r="G12" s="285">
        <f>SUM(G10:G11)</f>
        <v>0</v>
      </c>
      <c r="H12" s="322"/>
      <c r="I12" s="323"/>
    </row>
    <row r="13" spans="1:9" s="249" customFormat="1" ht="21" customHeight="1" x14ac:dyDescent="0.25">
      <c r="A13" s="316" t="s">
        <v>395</v>
      </c>
      <c r="B13" s="290" t="s">
        <v>20</v>
      </c>
      <c r="C13" s="260">
        <v>2090000</v>
      </c>
      <c r="D13" s="260">
        <v>1900000</v>
      </c>
      <c r="E13" s="260">
        <v>789354</v>
      </c>
      <c r="F13" s="299">
        <f t="shared" si="0"/>
        <v>0.41544947368421054</v>
      </c>
      <c r="G13" s="274">
        <f>E13*30%</f>
        <v>236806.19999999998</v>
      </c>
      <c r="H13" s="251"/>
      <c r="I13" s="292"/>
    </row>
    <row r="14" spans="1:9" s="249" customFormat="1" ht="21" customHeight="1" x14ac:dyDescent="0.25">
      <c r="A14" s="324"/>
      <c r="B14" s="290" t="s">
        <v>322</v>
      </c>
      <c r="C14" s="260">
        <v>790900</v>
      </c>
      <c r="D14" s="260">
        <v>719000</v>
      </c>
      <c r="E14" s="260">
        <v>457622</v>
      </c>
      <c r="F14" s="301">
        <f t="shared" si="0"/>
        <v>0.63647009735744087</v>
      </c>
      <c r="G14" s="274"/>
      <c r="H14" s="251"/>
      <c r="I14" s="292"/>
    </row>
    <row r="15" spans="1:9" s="249" customFormat="1" ht="21" customHeight="1" x14ac:dyDescent="0.25">
      <c r="A15" s="324"/>
      <c r="B15" s="290" t="s">
        <v>17</v>
      </c>
      <c r="C15" s="260">
        <v>28490000</v>
      </c>
      <c r="D15" s="260">
        <v>25900000</v>
      </c>
      <c r="E15" s="260"/>
      <c r="F15" s="301">
        <f t="shared" si="0"/>
        <v>0</v>
      </c>
      <c r="G15" s="274"/>
      <c r="H15" s="251"/>
      <c r="I15" s="292"/>
    </row>
    <row r="16" spans="1:9" s="249" customFormat="1" ht="21" customHeight="1" x14ac:dyDescent="0.25">
      <c r="A16" s="318"/>
      <c r="B16" s="320"/>
      <c r="C16" s="320">
        <f>SUM(C13:C15)</f>
        <v>31370900</v>
      </c>
      <c r="D16" s="320">
        <f>SUM(D13:D15)</f>
        <v>28519000</v>
      </c>
      <c r="E16" s="325">
        <f>SUM(E13:E15)</f>
        <v>1246976</v>
      </c>
      <c r="F16" s="321">
        <f t="shared" si="0"/>
        <v>4.3724394263473472E-2</v>
      </c>
      <c r="G16" s="285">
        <f>SUM(G13:G15)</f>
        <v>236806.19999999998</v>
      </c>
      <c r="H16" s="322"/>
      <c r="I16" s="323"/>
    </row>
    <row r="17" spans="1:9" s="249" customFormat="1" ht="21" customHeight="1" x14ac:dyDescent="0.25">
      <c r="A17" s="316" t="s">
        <v>397</v>
      </c>
      <c r="B17" s="290" t="s">
        <v>325</v>
      </c>
      <c r="C17" s="260">
        <v>2090000</v>
      </c>
      <c r="D17" s="260">
        <v>1900000</v>
      </c>
      <c r="E17" s="260">
        <v>789354</v>
      </c>
      <c r="F17" s="299">
        <f t="shared" si="0"/>
        <v>0.41544947368421054</v>
      </c>
      <c r="G17" s="274"/>
      <c r="H17" s="251"/>
      <c r="I17" s="292"/>
    </row>
    <row r="18" spans="1:9" s="249" customFormat="1" ht="21" customHeight="1" x14ac:dyDescent="0.25">
      <c r="A18" s="324"/>
      <c r="B18" s="290" t="s">
        <v>5</v>
      </c>
      <c r="C18" s="260">
        <v>369600</v>
      </c>
      <c r="D18" s="260">
        <v>336000</v>
      </c>
      <c r="E18" s="260">
        <v>177712</v>
      </c>
      <c r="F18" s="301">
        <f t="shared" si="0"/>
        <v>0.52890476190476188</v>
      </c>
      <c r="G18" s="274">
        <f>E18*30%</f>
        <v>53313.599999999999</v>
      </c>
      <c r="H18" s="251"/>
      <c r="I18" s="292"/>
    </row>
    <row r="19" spans="1:9" s="249" customFormat="1" ht="21" customHeight="1" x14ac:dyDescent="0.25">
      <c r="A19" s="318"/>
      <c r="B19" s="320"/>
      <c r="C19" s="320">
        <f>SUM(C17:C18)</f>
        <v>2459600</v>
      </c>
      <c r="D19" s="320">
        <f>SUM(D17:D18)</f>
        <v>2236000</v>
      </c>
      <c r="E19" s="320">
        <f>SUM(E17:E18)</f>
        <v>967066</v>
      </c>
      <c r="F19" s="321">
        <f t="shared" si="0"/>
        <v>0.43249821109123437</v>
      </c>
      <c r="G19" s="285">
        <f>SUM(G17:G18)</f>
        <v>53313.599999999999</v>
      </c>
      <c r="H19" s="322"/>
      <c r="I19" s="323"/>
    </row>
    <row r="20" spans="1:9" s="249" customFormat="1" ht="21" customHeight="1" x14ac:dyDescent="0.25">
      <c r="A20" s="316" t="s">
        <v>398</v>
      </c>
      <c r="B20" s="290" t="s">
        <v>22</v>
      </c>
      <c r="C20" s="260">
        <v>583000</v>
      </c>
      <c r="D20" s="260">
        <v>530000</v>
      </c>
      <c r="E20" s="260">
        <v>216000</v>
      </c>
      <c r="F20" s="299">
        <f t="shared" si="0"/>
        <v>0.40754716981132078</v>
      </c>
      <c r="G20" s="274">
        <f>E20*30%</f>
        <v>64800</v>
      </c>
      <c r="H20" s="251"/>
      <c r="I20" s="292"/>
    </row>
    <row r="21" spans="1:9" s="249" customFormat="1" ht="21" customHeight="1" x14ac:dyDescent="0.25">
      <c r="A21" s="324"/>
      <c r="B21" s="290" t="s">
        <v>24</v>
      </c>
      <c r="C21" s="260">
        <v>577500</v>
      </c>
      <c r="D21" s="260">
        <v>525000</v>
      </c>
      <c r="E21" s="260">
        <v>228000</v>
      </c>
      <c r="F21" s="301">
        <f t="shared" si="0"/>
        <v>0.43428571428571427</v>
      </c>
      <c r="G21" s="274">
        <f>E21*30%</f>
        <v>68400</v>
      </c>
      <c r="H21" s="251"/>
      <c r="I21" s="292"/>
    </row>
    <row r="22" spans="1:9" ht="21" customHeight="1" x14ac:dyDescent="0.25">
      <c r="A22" s="273"/>
      <c r="B22" s="255" t="s">
        <v>24</v>
      </c>
      <c r="C22" s="256">
        <v>462000</v>
      </c>
      <c r="D22" s="256">
        <v>420000</v>
      </c>
      <c r="E22" s="256">
        <v>176500</v>
      </c>
      <c r="F22" s="264">
        <f t="shared" si="0"/>
        <v>0.42023809523809524</v>
      </c>
      <c r="G22" s="274">
        <f>E22*30%</f>
        <v>52950</v>
      </c>
      <c r="I22" s="275"/>
    </row>
    <row r="23" spans="1:9" s="249" customFormat="1" ht="21" customHeight="1" x14ac:dyDescent="0.25">
      <c r="A23" s="324"/>
      <c r="B23" s="290" t="s">
        <v>25</v>
      </c>
      <c r="C23" s="260">
        <v>198000</v>
      </c>
      <c r="D23" s="260">
        <v>180000</v>
      </c>
      <c r="E23" s="260">
        <v>100856</v>
      </c>
      <c r="F23" s="299">
        <f t="shared" si="0"/>
        <v>0.56031111111111109</v>
      </c>
      <c r="G23" s="274">
        <f>E23*30%</f>
        <v>30256.799999999999</v>
      </c>
      <c r="H23" s="251"/>
      <c r="I23" s="292"/>
    </row>
    <row r="24" spans="1:9" ht="21" customHeight="1" x14ac:dyDescent="0.25">
      <c r="A24" s="276"/>
      <c r="B24" s="283"/>
      <c r="C24" s="283">
        <f>SUM(C20:C23)</f>
        <v>1820500</v>
      </c>
      <c r="D24" s="283">
        <f>SUM(D20:D23)</f>
        <v>1655000</v>
      </c>
      <c r="E24" s="283">
        <f>SUM(E20:E23)</f>
        <v>721356</v>
      </c>
      <c r="F24" s="284">
        <f t="shared" si="0"/>
        <v>0.43586465256797585</v>
      </c>
      <c r="G24" s="285">
        <f>SUM(G20:G23)</f>
        <v>216406.8</v>
      </c>
      <c r="H24" s="241"/>
      <c r="I24" s="272"/>
    </row>
    <row r="25" spans="1:9" ht="21" customHeight="1" x14ac:dyDescent="0.25">
      <c r="A25" s="261" t="s">
        <v>328</v>
      </c>
      <c r="B25" s="255" t="s">
        <v>26</v>
      </c>
      <c r="C25" s="256">
        <v>440000</v>
      </c>
      <c r="D25" s="256">
        <v>400000</v>
      </c>
      <c r="E25" s="256">
        <v>202140</v>
      </c>
      <c r="F25" s="299">
        <f t="shared" si="0"/>
        <v>0.50534999999999997</v>
      </c>
      <c r="G25" s="274">
        <f>E25*30%</f>
        <v>60642</v>
      </c>
      <c r="I25" s="275"/>
    </row>
    <row r="26" spans="1:9" ht="21" customHeight="1" x14ac:dyDescent="0.25">
      <c r="A26" s="273"/>
      <c r="B26" s="255" t="s">
        <v>24</v>
      </c>
      <c r="C26" s="256">
        <v>1309000</v>
      </c>
      <c r="D26" s="256">
        <v>1190000</v>
      </c>
      <c r="E26" s="256">
        <v>413200</v>
      </c>
      <c r="F26" s="262">
        <f t="shared" si="0"/>
        <v>0.34722689075630253</v>
      </c>
      <c r="G26" s="274">
        <f>E26*30%</f>
        <v>123960</v>
      </c>
      <c r="I26" s="275"/>
    </row>
    <row r="27" spans="1:9" ht="21" customHeight="1" x14ac:dyDescent="0.25">
      <c r="A27" s="273"/>
      <c r="B27" s="255" t="s">
        <v>24</v>
      </c>
      <c r="C27" s="256">
        <v>577500</v>
      </c>
      <c r="D27" s="256">
        <v>525000</v>
      </c>
      <c r="E27" s="256">
        <v>228000</v>
      </c>
      <c r="F27" s="264">
        <f t="shared" si="0"/>
        <v>0.43428571428571427</v>
      </c>
      <c r="G27" s="274">
        <f>E27*30%</f>
        <v>68400</v>
      </c>
      <c r="I27" s="275"/>
    </row>
    <row r="28" spans="1:9" ht="21" customHeight="1" x14ac:dyDescent="0.25">
      <c r="A28" s="273"/>
      <c r="B28" s="255" t="s">
        <v>19</v>
      </c>
      <c r="C28" s="256">
        <v>297000</v>
      </c>
      <c r="D28" s="256">
        <v>270000</v>
      </c>
      <c r="E28" s="256">
        <v>151284</v>
      </c>
      <c r="F28" s="262">
        <f t="shared" si="0"/>
        <v>0.56031111111111109</v>
      </c>
      <c r="G28" s="274">
        <f>E28*30%</f>
        <v>45385.2</v>
      </c>
      <c r="I28" s="275"/>
    </row>
    <row r="29" spans="1:9" ht="21" customHeight="1" x14ac:dyDescent="0.25">
      <c r="A29" s="293"/>
      <c r="B29" s="277"/>
      <c r="C29" s="278">
        <f>SUM(C25:C28)</f>
        <v>2623500</v>
      </c>
      <c r="D29" s="278">
        <f>SUM(D25:D28)</f>
        <v>2385000</v>
      </c>
      <c r="E29" s="278">
        <f>SUM(E25:E28)</f>
        <v>994624</v>
      </c>
      <c r="F29" s="294">
        <f t="shared" si="0"/>
        <v>0.41703312368972745</v>
      </c>
      <c r="G29" s="280">
        <f>SUM(G25:G28)</f>
        <v>298387.20000000001</v>
      </c>
      <c r="H29" s="295"/>
      <c r="I29" s="296"/>
    </row>
    <row r="30" spans="1:9" ht="21" customHeight="1" x14ac:dyDescent="0.25">
      <c r="A30" s="261" t="s">
        <v>402</v>
      </c>
      <c r="B30" s="290" t="s">
        <v>28</v>
      </c>
      <c r="C30" s="260">
        <v>165000</v>
      </c>
      <c r="D30" s="260">
        <v>150000</v>
      </c>
      <c r="E30" s="260">
        <v>51070</v>
      </c>
      <c r="F30" s="299">
        <f t="shared" si="0"/>
        <v>0.34046666666666664</v>
      </c>
      <c r="G30" s="274">
        <f>E30*30%</f>
        <v>15321</v>
      </c>
      <c r="I30" s="275"/>
    </row>
    <row r="31" spans="1:9" ht="21" customHeight="1" x14ac:dyDescent="0.25">
      <c r="A31" s="273"/>
      <c r="B31" s="290" t="s">
        <v>25</v>
      </c>
      <c r="C31" s="260">
        <v>4950000</v>
      </c>
      <c r="D31" s="260">
        <v>4500000</v>
      </c>
      <c r="E31" s="260">
        <v>1700000</v>
      </c>
      <c r="F31" s="262">
        <f t="shared" si="0"/>
        <v>0.37777777777777777</v>
      </c>
      <c r="G31" s="274">
        <f>E31*30%</f>
        <v>510000</v>
      </c>
      <c r="I31" s="275"/>
    </row>
    <row r="32" spans="1:9" ht="21" customHeight="1" x14ac:dyDescent="0.25">
      <c r="A32" s="293"/>
      <c r="B32" s="277"/>
      <c r="C32" s="278">
        <f>SUM(C30:C31)</f>
        <v>5115000</v>
      </c>
      <c r="D32" s="278">
        <f>SUM(D30:D31)</f>
        <v>4650000</v>
      </c>
      <c r="E32" s="278">
        <f>SUM(E30:E31)</f>
        <v>1751070</v>
      </c>
      <c r="F32" s="294">
        <f t="shared" si="0"/>
        <v>0.37657419354838712</v>
      </c>
      <c r="G32" s="280">
        <f>SUM(G30:G31)</f>
        <v>525321</v>
      </c>
      <c r="H32" s="295"/>
      <c r="I32" s="296"/>
    </row>
    <row r="33" spans="1:10" ht="21" customHeight="1" x14ac:dyDescent="0.25">
      <c r="A33" s="261" t="s">
        <v>403</v>
      </c>
      <c r="B33" s="255" t="s">
        <v>351</v>
      </c>
      <c r="C33" s="256">
        <v>1342000</v>
      </c>
      <c r="D33" s="256">
        <v>1220000</v>
      </c>
      <c r="E33" s="256">
        <v>451800</v>
      </c>
      <c r="F33" s="299">
        <f t="shared" si="0"/>
        <v>0.370327868852459</v>
      </c>
      <c r="G33" s="274">
        <f>E33*30%</f>
        <v>135540</v>
      </c>
      <c r="I33" s="275"/>
    </row>
    <row r="34" spans="1:10" ht="21" customHeight="1" x14ac:dyDescent="0.25">
      <c r="A34" s="293"/>
      <c r="B34" s="277"/>
      <c r="C34" s="278">
        <f>SUM(C33:C33)</f>
        <v>1342000</v>
      </c>
      <c r="D34" s="278">
        <f>SUM(D33:D33)</f>
        <v>1220000</v>
      </c>
      <c r="E34" s="278">
        <f>SUM(E33:E33)</f>
        <v>451800</v>
      </c>
      <c r="F34" s="294">
        <f t="shared" si="0"/>
        <v>0.370327868852459</v>
      </c>
      <c r="G34" s="280">
        <f>SUM(G33:G33)</f>
        <v>135540</v>
      </c>
      <c r="H34" s="295"/>
      <c r="I34" s="296"/>
    </row>
    <row r="35" spans="1:10" ht="21" customHeight="1" x14ac:dyDescent="0.25">
      <c r="A35" s="261" t="s">
        <v>334</v>
      </c>
      <c r="B35" s="255" t="s">
        <v>411</v>
      </c>
      <c r="C35" s="256">
        <v>577500</v>
      </c>
      <c r="D35" s="256">
        <v>525000</v>
      </c>
      <c r="E35" s="256">
        <v>228000</v>
      </c>
      <c r="F35" s="299">
        <f t="shared" si="0"/>
        <v>0.43428571428571427</v>
      </c>
      <c r="G35" s="274">
        <f>E35*30%</f>
        <v>68400</v>
      </c>
      <c r="I35" s="275"/>
    </row>
    <row r="36" spans="1:10" ht="21" customHeight="1" x14ac:dyDescent="0.25">
      <c r="A36" s="273"/>
      <c r="B36" s="255" t="s">
        <v>411</v>
      </c>
      <c r="C36" s="256">
        <v>435600</v>
      </c>
      <c r="D36" s="256">
        <v>396000</v>
      </c>
      <c r="E36" s="256">
        <v>263800</v>
      </c>
      <c r="F36" s="262">
        <f t="shared" si="0"/>
        <v>0.66616161616161618</v>
      </c>
      <c r="G36" s="274">
        <f>E36*30%</f>
        <v>79140</v>
      </c>
      <c r="I36" s="275"/>
    </row>
    <row r="37" spans="1:10" ht="21" customHeight="1" x14ac:dyDescent="0.25">
      <c r="A37" s="273"/>
      <c r="B37" s="255" t="s">
        <v>352</v>
      </c>
      <c r="C37" s="256">
        <v>2310000</v>
      </c>
      <c r="D37" s="256">
        <v>2100000</v>
      </c>
      <c r="E37" s="256">
        <v>516600</v>
      </c>
      <c r="F37" s="264">
        <f t="shared" si="0"/>
        <v>0.246</v>
      </c>
      <c r="G37" s="274">
        <f>E37*30%</f>
        <v>154980</v>
      </c>
      <c r="I37" s="275"/>
    </row>
    <row r="38" spans="1:10" ht="21" customHeight="1" x14ac:dyDescent="0.25">
      <c r="A38" s="273"/>
      <c r="B38" s="255" t="s">
        <v>353</v>
      </c>
      <c r="C38" s="256">
        <v>418000</v>
      </c>
      <c r="D38" s="256">
        <v>380000</v>
      </c>
      <c r="E38" s="256">
        <v>36000</v>
      </c>
      <c r="F38" s="262">
        <f t="shared" si="0"/>
        <v>9.4736842105263161E-2</v>
      </c>
      <c r="G38" s="274"/>
      <c r="I38" s="275"/>
      <c r="J38" s="228" t="s">
        <v>469</v>
      </c>
    </row>
    <row r="39" spans="1:10" ht="21" customHeight="1" x14ac:dyDescent="0.25">
      <c r="A39" s="293"/>
      <c r="B39" s="277"/>
      <c r="C39" s="278">
        <f>SUM(C35:C38)</f>
        <v>3741100</v>
      </c>
      <c r="D39" s="278">
        <f>SUM(D35:D38)</f>
        <v>3401000</v>
      </c>
      <c r="E39" s="278">
        <f>SUM(E35:E38)</f>
        <v>1044400</v>
      </c>
      <c r="F39" s="294">
        <f t="shared" si="0"/>
        <v>0.30708615113201998</v>
      </c>
      <c r="G39" s="280">
        <f>SUM(G35:G38)</f>
        <v>302520</v>
      </c>
      <c r="H39" s="295"/>
      <c r="I39" s="296"/>
    </row>
    <row r="40" spans="1:10" ht="21" customHeight="1" x14ac:dyDescent="0.25">
      <c r="A40" s="261" t="s">
        <v>404</v>
      </c>
      <c r="B40" s="255" t="s">
        <v>411</v>
      </c>
      <c r="C40" s="256">
        <v>770000</v>
      </c>
      <c r="D40" s="256">
        <v>700000</v>
      </c>
      <c r="E40" s="256">
        <v>304000</v>
      </c>
      <c r="F40" s="299">
        <f t="shared" si="0"/>
        <v>0.43428571428571427</v>
      </c>
      <c r="G40" s="274">
        <f>E40*30%</f>
        <v>91200</v>
      </c>
      <c r="I40" s="275"/>
    </row>
    <row r="41" spans="1:10" ht="21" customHeight="1" x14ac:dyDescent="0.25">
      <c r="A41" s="273"/>
      <c r="B41" s="255" t="s">
        <v>354</v>
      </c>
      <c r="C41" s="256">
        <v>264000</v>
      </c>
      <c r="D41" s="256">
        <v>240000</v>
      </c>
      <c r="E41" s="256">
        <v>121284</v>
      </c>
      <c r="F41" s="262">
        <f t="shared" si="0"/>
        <v>0.50534999999999997</v>
      </c>
      <c r="G41" s="274">
        <f>E41*30%</f>
        <v>36385.199999999997</v>
      </c>
      <c r="I41" s="275"/>
    </row>
    <row r="42" spans="1:10" ht="21" customHeight="1" x14ac:dyDescent="0.25">
      <c r="A42" s="273"/>
      <c r="B42" s="255" t="s">
        <v>28</v>
      </c>
      <c r="C42" s="256">
        <v>330000</v>
      </c>
      <c r="D42" s="256">
        <v>300000</v>
      </c>
      <c r="E42" s="256">
        <v>102140</v>
      </c>
      <c r="F42" s="264">
        <f t="shared" si="0"/>
        <v>0.34046666666666664</v>
      </c>
      <c r="G42" s="274">
        <f>E42*30%</f>
        <v>30642</v>
      </c>
      <c r="I42" s="275"/>
    </row>
    <row r="43" spans="1:10" ht="21" customHeight="1" x14ac:dyDescent="0.25">
      <c r="A43" s="293"/>
      <c r="B43" s="277"/>
      <c r="C43" s="278">
        <f>SUM(C40:C42)</f>
        <v>1364000</v>
      </c>
      <c r="D43" s="278">
        <f>SUM(D40:D42)</f>
        <v>1240000</v>
      </c>
      <c r="E43" s="278">
        <f>SUM(E40:E42)</f>
        <v>527424</v>
      </c>
      <c r="F43" s="294">
        <f t="shared" si="0"/>
        <v>0.42534193548387095</v>
      </c>
      <c r="G43" s="280">
        <f>SUM(G40:G42)</f>
        <v>158227.20000000001</v>
      </c>
      <c r="H43" s="295"/>
      <c r="I43" s="296"/>
    </row>
    <row r="44" spans="1:10" ht="21" customHeight="1" x14ac:dyDescent="0.25">
      <c r="A44" s="261" t="s">
        <v>405</v>
      </c>
      <c r="B44" s="255" t="s">
        <v>17</v>
      </c>
      <c r="C44" s="256">
        <v>2310000</v>
      </c>
      <c r="D44" s="256">
        <v>2100000</v>
      </c>
      <c r="E44" s="256">
        <v>570000</v>
      </c>
      <c r="F44" s="299">
        <f t="shared" si="0"/>
        <v>0.27142857142857141</v>
      </c>
      <c r="G44" s="274"/>
      <c r="I44" s="275"/>
      <c r="J44" s="228" t="s">
        <v>469</v>
      </c>
    </row>
    <row r="45" spans="1:10" ht="21" customHeight="1" x14ac:dyDescent="0.25">
      <c r="A45" s="273"/>
      <c r="B45" s="255" t="s">
        <v>318</v>
      </c>
      <c r="C45" s="256">
        <v>176000</v>
      </c>
      <c r="D45" s="256">
        <v>160000</v>
      </c>
      <c r="E45" s="256">
        <v>80856</v>
      </c>
      <c r="F45" s="299">
        <f t="shared" si="0"/>
        <v>0.50534999999999997</v>
      </c>
      <c r="G45" s="274">
        <f>E45*30%</f>
        <v>24256.799999999999</v>
      </c>
      <c r="I45" s="275"/>
    </row>
    <row r="46" spans="1:10" ht="21" customHeight="1" x14ac:dyDescent="0.25">
      <c r="A46" s="273"/>
      <c r="B46" s="255" t="s">
        <v>411</v>
      </c>
      <c r="C46" s="256">
        <v>13530000</v>
      </c>
      <c r="D46" s="256">
        <v>12300000</v>
      </c>
      <c r="E46" s="256">
        <v>6990000</v>
      </c>
      <c r="F46" s="299">
        <f t="shared" si="0"/>
        <v>0.56829268292682922</v>
      </c>
      <c r="G46" s="274">
        <f>E46*15%</f>
        <v>1048500</v>
      </c>
      <c r="I46" s="275"/>
      <c r="J46" s="252" t="s">
        <v>470</v>
      </c>
    </row>
    <row r="47" spans="1:10" ht="21" customHeight="1" x14ac:dyDescent="0.25">
      <c r="A47" s="273"/>
      <c r="B47" s="255" t="s">
        <v>352</v>
      </c>
      <c r="C47" s="256">
        <v>2310000</v>
      </c>
      <c r="D47" s="256">
        <v>2100000</v>
      </c>
      <c r="E47" s="256">
        <v>570000</v>
      </c>
      <c r="F47" s="262">
        <f t="shared" si="0"/>
        <v>0.27142857142857141</v>
      </c>
      <c r="G47" s="274">
        <f>E47*30%</f>
        <v>171000</v>
      </c>
      <c r="I47" s="275"/>
    </row>
    <row r="48" spans="1:10" ht="21" customHeight="1" x14ac:dyDescent="0.25">
      <c r="A48" s="273"/>
      <c r="B48" s="255" t="s">
        <v>411</v>
      </c>
      <c r="C48" s="256">
        <v>1155000</v>
      </c>
      <c r="D48" s="256">
        <v>1050000</v>
      </c>
      <c r="E48" s="256">
        <v>456000</v>
      </c>
      <c r="F48" s="264">
        <f t="shared" si="0"/>
        <v>0.43428571428571427</v>
      </c>
      <c r="G48" s="274">
        <f>E48*30%</f>
        <v>136800</v>
      </c>
      <c r="I48" s="275"/>
    </row>
    <row r="49" spans="1:9" ht="21" customHeight="1" x14ac:dyDescent="0.25">
      <c r="A49" s="293"/>
      <c r="B49" s="277"/>
      <c r="C49" s="278">
        <f>SUM(C44:C48)</f>
        <v>19481000</v>
      </c>
      <c r="D49" s="278">
        <f>SUM(D44:D48)</f>
        <v>17710000</v>
      </c>
      <c r="E49" s="278">
        <f>SUM(E44:E48)</f>
        <v>8666856</v>
      </c>
      <c r="F49" s="294">
        <f t="shared" si="0"/>
        <v>0.48937639751552797</v>
      </c>
      <c r="G49" s="280">
        <f>SUM(G44:G48)</f>
        <v>1380556.8</v>
      </c>
      <c r="H49" s="295"/>
      <c r="I49" s="296"/>
    </row>
    <row r="50" spans="1:9" ht="21" customHeight="1" x14ac:dyDescent="0.25">
      <c r="A50" s="261" t="s">
        <v>406</v>
      </c>
      <c r="B50" s="255" t="s">
        <v>11</v>
      </c>
      <c r="C50" s="256">
        <v>220000</v>
      </c>
      <c r="D50" s="256">
        <v>200000</v>
      </c>
      <c r="E50" s="256">
        <v>160400</v>
      </c>
      <c r="F50" s="299">
        <f t="shared" si="0"/>
        <v>0.80200000000000005</v>
      </c>
      <c r="G50" s="274">
        <f>E50*30%</f>
        <v>48120</v>
      </c>
      <c r="I50" s="275"/>
    </row>
    <row r="51" spans="1:9" ht="21" customHeight="1" x14ac:dyDescent="0.25">
      <c r="A51" s="293"/>
      <c r="B51" s="277"/>
      <c r="C51" s="278">
        <f>SUM(C50:C50)</f>
        <v>220000</v>
      </c>
      <c r="D51" s="278">
        <f>SUM(D50:D50)</f>
        <v>200000</v>
      </c>
      <c r="E51" s="278">
        <f>SUM(E50:E50)</f>
        <v>160400</v>
      </c>
      <c r="F51" s="294">
        <f t="shared" si="0"/>
        <v>0.80200000000000005</v>
      </c>
      <c r="G51" s="280">
        <f>SUM(G50:G50)</f>
        <v>48120</v>
      </c>
      <c r="H51" s="295"/>
      <c r="I51" s="296"/>
    </row>
    <row r="52" spans="1:9" ht="21" customHeight="1" x14ac:dyDescent="0.25">
      <c r="A52" s="261" t="s">
        <v>407</v>
      </c>
      <c r="B52" s="255" t="s">
        <v>53</v>
      </c>
      <c r="C52" s="256">
        <v>429000</v>
      </c>
      <c r="D52" s="256">
        <v>390000</v>
      </c>
      <c r="E52" s="256">
        <v>75000</v>
      </c>
      <c r="F52" s="299">
        <f t="shared" si="0"/>
        <v>0.19230769230769232</v>
      </c>
      <c r="G52" s="274"/>
      <c r="I52" s="275"/>
    </row>
    <row r="53" spans="1:9" ht="21" customHeight="1" x14ac:dyDescent="0.25">
      <c r="A53" s="273"/>
      <c r="B53" s="255" t="s">
        <v>411</v>
      </c>
      <c r="C53" s="256">
        <v>577500</v>
      </c>
      <c r="D53" s="256">
        <v>525000</v>
      </c>
      <c r="E53" s="256">
        <v>228000</v>
      </c>
      <c r="F53" s="299">
        <f t="shared" si="0"/>
        <v>0.43428571428571427</v>
      </c>
      <c r="G53" s="274">
        <f>E53*30%</f>
        <v>68400</v>
      </c>
      <c r="I53" s="275"/>
    </row>
    <row r="54" spans="1:9" ht="21" customHeight="1" x14ac:dyDescent="0.25">
      <c r="A54" s="273"/>
      <c r="B54" s="255" t="s">
        <v>355</v>
      </c>
      <c r="C54" s="256">
        <v>1848000</v>
      </c>
      <c r="D54" s="256">
        <v>1680000</v>
      </c>
      <c r="E54" s="256">
        <v>888000</v>
      </c>
      <c r="F54" s="262">
        <f t="shared" si="0"/>
        <v>0.52857142857142858</v>
      </c>
      <c r="G54" s="274">
        <f>E54*30%</f>
        <v>266400</v>
      </c>
      <c r="I54" s="275"/>
    </row>
    <row r="55" spans="1:9" ht="21" customHeight="1" x14ac:dyDescent="0.25">
      <c r="A55" s="273"/>
      <c r="B55" s="255" t="s">
        <v>356</v>
      </c>
      <c r="C55" s="256">
        <v>2750000</v>
      </c>
      <c r="D55" s="256">
        <v>2500000</v>
      </c>
      <c r="E55" s="256">
        <v>700000</v>
      </c>
      <c r="F55" s="264">
        <f t="shared" si="0"/>
        <v>0.28000000000000003</v>
      </c>
      <c r="G55" s="274">
        <f>E55*30%</f>
        <v>210000</v>
      </c>
      <c r="I55" s="275"/>
    </row>
    <row r="56" spans="1:9" ht="21" customHeight="1" x14ac:dyDescent="0.25">
      <c r="A56" s="293"/>
      <c r="B56" s="277"/>
      <c r="C56" s="278">
        <f>SUM(C52:C55)</f>
        <v>5604500</v>
      </c>
      <c r="D56" s="278">
        <f>SUM(D52:D55)</f>
        <v>5095000</v>
      </c>
      <c r="E56" s="278">
        <f>SUM(E52:E55)</f>
        <v>1891000</v>
      </c>
      <c r="F56" s="294">
        <f t="shared" si="0"/>
        <v>0.37114818449460257</v>
      </c>
      <c r="G56" s="280">
        <f>SUM(G52:G55)</f>
        <v>544800</v>
      </c>
      <c r="H56" s="295"/>
      <c r="I56" s="296"/>
    </row>
    <row r="57" spans="1:9" ht="21" customHeight="1" x14ac:dyDescent="0.25">
      <c r="A57" s="261" t="s">
        <v>408</v>
      </c>
      <c r="B57" s="255" t="s">
        <v>354</v>
      </c>
      <c r="C57" s="256">
        <v>1247400</v>
      </c>
      <c r="D57" s="256">
        <v>1134000</v>
      </c>
      <c r="E57" s="256">
        <v>357376.61736842099</v>
      </c>
      <c r="F57" s="299">
        <f t="shared" si="0"/>
        <v>0.31514692889631479</v>
      </c>
      <c r="G57" s="274">
        <f>E57*30%</f>
        <v>107212.9852105263</v>
      </c>
      <c r="I57" s="275"/>
    </row>
    <row r="58" spans="1:9" ht="21" customHeight="1" x14ac:dyDescent="0.25">
      <c r="A58" s="273"/>
      <c r="B58" s="255" t="s">
        <v>411</v>
      </c>
      <c r="C58" s="256">
        <v>847000</v>
      </c>
      <c r="D58" s="256">
        <v>770000</v>
      </c>
      <c r="E58" s="256">
        <v>286300</v>
      </c>
      <c r="F58" s="299">
        <f t="shared" si="0"/>
        <v>0.37181818181818183</v>
      </c>
      <c r="G58" s="274">
        <f>E58*30%</f>
        <v>85890</v>
      </c>
      <c r="I58" s="275"/>
    </row>
    <row r="59" spans="1:9" ht="21" customHeight="1" x14ac:dyDescent="0.25">
      <c r="A59" s="293"/>
      <c r="B59" s="277"/>
      <c r="C59" s="278">
        <f>SUM(C57:C58)</f>
        <v>2094400</v>
      </c>
      <c r="D59" s="278">
        <f>SUM(D57:D58)</f>
        <v>1904000</v>
      </c>
      <c r="E59" s="278">
        <f>SUM(E57:E58)</f>
        <v>643676.61736842105</v>
      </c>
      <c r="F59" s="294">
        <f t="shared" si="0"/>
        <v>0.33806545029854046</v>
      </c>
      <c r="G59" s="280">
        <f>SUM(G57:G58)</f>
        <v>193102.9852105263</v>
      </c>
      <c r="H59" s="295"/>
      <c r="I59" s="296"/>
    </row>
    <row r="60" spans="1:9" ht="21" customHeight="1" x14ac:dyDescent="0.25">
      <c r="A60" s="261" t="s">
        <v>409</v>
      </c>
      <c r="B60" s="255" t="s">
        <v>411</v>
      </c>
      <c r="C60" s="256">
        <v>1661000</v>
      </c>
      <c r="D60" s="256">
        <v>1510000</v>
      </c>
      <c r="E60" s="256">
        <v>649700</v>
      </c>
      <c r="F60" s="299">
        <f>E60/D60</f>
        <v>0.43026490066225165</v>
      </c>
      <c r="G60" s="274">
        <f>E60*30%</f>
        <v>194910</v>
      </c>
      <c r="I60" s="275"/>
    </row>
    <row r="61" spans="1:9" ht="21" customHeight="1" x14ac:dyDescent="0.25">
      <c r="A61" s="273"/>
      <c r="B61" s="255" t="s">
        <v>25</v>
      </c>
      <c r="C61" s="256">
        <v>247500</v>
      </c>
      <c r="D61" s="256">
        <v>225000</v>
      </c>
      <c r="E61" s="256">
        <v>126070</v>
      </c>
      <c r="F61" s="299">
        <f>E61/D61</f>
        <v>0.56031111111111109</v>
      </c>
      <c r="G61" s="274">
        <f>E61*30%</f>
        <v>37821</v>
      </c>
      <c r="I61" s="275"/>
    </row>
    <row r="62" spans="1:9" ht="21" customHeight="1" x14ac:dyDescent="0.25">
      <c r="A62" s="293"/>
      <c r="B62" s="277"/>
      <c r="C62" s="278">
        <f>SUM(C60:C61)</f>
        <v>1908500</v>
      </c>
      <c r="D62" s="278">
        <f>SUM(D60:D61)</f>
        <v>1735000</v>
      </c>
      <c r="E62" s="278">
        <f>SUM(E60:E61)</f>
        <v>775770</v>
      </c>
      <c r="F62" s="294">
        <f>E62/D62</f>
        <v>0.44712968299711814</v>
      </c>
      <c r="G62" s="280">
        <f>SUM(G60:G61)</f>
        <v>232731</v>
      </c>
      <c r="H62" s="295"/>
      <c r="I62" s="296"/>
    </row>
    <row r="63" spans="1:9" ht="21" customHeight="1" x14ac:dyDescent="0.25">
      <c r="A63" s="261" t="s">
        <v>410</v>
      </c>
      <c r="B63" s="255" t="s">
        <v>355</v>
      </c>
      <c r="C63" s="256">
        <v>4730000</v>
      </c>
      <c r="D63" s="256">
        <v>4300000</v>
      </c>
      <c r="E63" s="256">
        <v>800000</v>
      </c>
      <c r="F63" s="299">
        <f>E63/D63</f>
        <v>0.18604651162790697</v>
      </c>
      <c r="G63" s="274">
        <f>E63*30%</f>
        <v>240000</v>
      </c>
      <c r="I63" s="275"/>
    </row>
    <row r="64" spans="1:9" ht="21" customHeight="1" x14ac:dyDescent="0.25">
      <c r="A64" s="273"/>
      <c r="B64" s="255" t="s">
        <v>411</v>
      </c>
      <c r="C64" s="256">
        <v>319000</v>
      </c>
      <c r="D64" s="256">
        <v>290000</v>
      </c>
      <c r="E64" s="256">
        <v>113000</v>
      </c>
      <c r="F64" s="299">
        <f t="shared" ref="F64:F79" si="1">E64/D64</f>
        <v>0.3896551724137931</v>
      </c>
      <c r="G64" s="274">
        <f t="shared" ref="G64:G69" si="2">E64*30%</f>
        <v>33900</v>
      </c>
      <c r="I64" s="275"/>
    </row>
    <row r="65" spans="1:10" ht="21" customHeight="1" x14ac:dyDescent="0.25">
      <c r="A65" s="273"/>
      <c r="B65" s="255" t="s">
        <v>25</v>
      </c>
      <c r="C65" s="256">
        <v>1210000</v>
      </c>
      <c r="D65" s="256">
        <v>1100000</v>
      </c>
      <c r="E65" s="256">
        <v>556000</v>
      </c>
      <c r="F65" s="299">
        <f t="shared" si="1"/>
        <v>0.50545454545454549</v>
      </c>
      <c r="G65" s="274">
        <f t="shared" si="2"/>
        <v>166800</v>
      </c>
      <c r="I65" s="275"/>
    </row>
    <row r="66" spans="1:10" ht="21" customHeight="1" x14ac:dyDescent="0.25">
      <c r="A66" s="273"/>
      <c r="B66" s="255" t="s">
        <v>411</v>
      </c>
      <c r="C66" s="256">
        <v>1463000</v>
      </c>
      <c r="D66" s="256">
        <v>1330000</v>
      </c>
      <c r="E66" s="256">
        <v>588000</v>
      </c>
      <c r="F66" s="299">
        <f t="shared" si="1"/>
        <v>0.44210526315789472</v>
      </c>
      <c r="G66" s="274">
        <f t="shared" si="2"/>
        <v>176400</v>
      </c>
      <c r="I66" s="275"/>
    </row>
    <row r="67" spans="1:10" ht="21" customHeight="1" x14ac:dyDescent="0.25">
      <c r="A67" s="273"/>
      <c r="B67" s="255" t="s">
        <v>28</v>
      </c>
      <c r="C67" s="256">
        <v>330000</v>
      </c>
      <c r="D67" s="256">
        <v>300000</v>
      </c>
      <c r="E67" s="256">
        <v>102140</v>
      </c>
      <c r="F67" s="299">
        <f t="shared" si="1"/>
        <v>0.34046666666666664</v>
      </c>
      <c r="G67" s="274">
        <f t="shared" si="2"/>
        <v>30642</v>
      </c>
      <c r="I67" s="275"/>
    </row>
    <row r="68" spans="1:10" ht="21" customHeight="1" x14ac:dyDescent="0.25">
      <c r="A68" s="273"/>
      <c r="B68" s="255" t="s">
        <v>20</v>
      </c>
      <c r="C68" s="256">
        <v>1540000</v>
      </c>
      <c r="D68" s="256">
        <v>1400000</v>
      </c>
      <c r="E68" s="256">
        <v>658000</v>
      </c>
      <c r="F68" s="299">
        <f t="shared" si="1"/>
        <v>0.47</v>
      </c>
      <c r="G68" s="274">
        <f t="shared" si="2"/>
        <v>197400</v>
      </c>
      <c r="I68" s="275"/>
    </row>
    <row r="69" spans="1:10" ht="21" customHeight="1" x14ac:dyDescent="0.25">
      <c r="A69" s="273"/>
      <c r="B69" s="255" t="s">
        <v>17</v>
      </c>
      <c r="C69" s="256">
        <v>880000</v>
      </c>
      <c r="D69" s="256">
        <v>800000</v>
      </c>
      <c r="E69" s="256">
        <v>256000</v>
      </c>
      <c r="F69" s="299">
        <f t="shared" si="1"/>
        <v>0.32</v>
      </c>
      <c r="G69" s="274">
        <f t="shared" si="2"/>
        <v>76800</v>
      </c>
      <c r="I69" s="275"/>
    </row>
    <row r="70" spans="1:10" ht="21" customHeight="1" x14ac:dyDescent="0.25">
      <c r="A70" s="293"/>
      <c r="B70" s="277"/>
      <c r="C70" s="278">
        <f>SUM(C63:C69)</f>
        <v>10472000</v>
      </c>
      <c r="D70" s="278">
        <f>SUM(D63:D69)</f>
        <v>9520000</v>
      </c>
      <c r="E70" s="278">
        <f>SUM(E63:E69)</f>
        <v>3073140</v>
      </c>
      <c r="F70" s="294">
        <f t="shared" si="1"/>
        <v>0.32280882352941176</v>
      </c>
      <c r="G70" s="280">
        <f>SUM(G63:G69)</f>
        <v>921942</v>
      </c>
      <c r="H70" s="295"/>
      <c r="I70" s="296"/>
    </row>
    <row r="71" spans="1:10" ht="21" customHeight="1" x14ac:dyDescent="0.25">
      <c r="A71" s="261" t="s">
        <v>414</v>
      </c>
      <c r="B71" s="255" t="s">
        <v>411</v>
      </c>
      <c r="C71" s="256">
        <v>3190000</v>
      </c>
      <c r="D71" s="256">
        <v>2900000</v>
      </c>
      <c r="E71" s="256">
        <v>1555000</v>
      </c>
      <c r="F71" s="299">
        <f t="shared" si="1"/>
        <v>0.53620689655172415</v>
      </c>
      <c r="G71" s="274">
        <f>E71*30%</f>
        <v>466500</v>
      </c>
      <c r="I71" s="275"/>
    </row>
    <row r="72" spans="1:10" ht="21" customHeight="1" x14ac:dyDescent="0.25">
      <c r="A72" s="273"/>
      <c r="B72" s="255" t="s">
        <v>17</v>
      </c>
      <c r="C72" s="256">
        <v>52580000</v>
      </c>
      <c r="D72" s="256">
        <v>47800000</v>
      </c>
      <c r="E72" s="256">
        <v>13320000</v>
      </c>
      <c r="F72" s="291">
        <f t="shared" si="1"/>
        <v>0.27866108786610877</v>
      </c>
      <c r="G72" s="274"/>
      <c r="H72" s="227" t="s">
        <v>471</v>
      </c>
      <c r="I72" s="275"/>
    </row>
    <row r="73" spans="1:10" ht="21" customHeight="1" x14ac:dyDescent="0.25">
      <c r="A73" s="273"/>
      <c r="B73" s="255" t="s">
        <v>21</v>
      </c>
      <c r="C73" s="256">
        <v>148500</v>
      </c>
      <c r="D73" s="256">
        <v>135000</v>
      </c>
      <c r="E73" s="256">
        <v>75600</v>
      </c>
      <c r="F73" s="299">
        <f t="shared" si="1"/>
        <v>0.56000000000000005</v>
      </c>
      <c r="G73" s="274">
        <f>E73*30%</f>
        <v>22680</v>
      </c>
      <c r="I73" s="275"/>
    </row>
    <row r="74" spans="1:10" ht="21" customHeight="1" x14ac:dyDescent="0.25">
      <c r="A74" s="293"/>
      <c r="B74" s="277"/>
      <c r="C74" s="278">
        <f>SUM(C71:C73)</f>
        <v>55918500</v>
      </c>
      <c r="D74" s="278">
        <f>SUM(D71:D73)</f>
        <v>50835000</v>
      </c>
      <c r="E74" s="278">
        <f>SUM(E71:E73)</f>
        <v>14950600</v>
      </c>
      <c r="F74" s="294">
        <f t="shared" si="1"/>
        <v>0.2941005212943838</v>
      </c>
      <c r="G74" s="280">
        <f>SUM(G71:G73)</f>
        <v>489180</v>
      </c>
      <c r="H74" s="295"/>
      <c r="I74" s="296"/>
    </row>
    <row r="75" spans="1:10" ht="21" customHeight="1" x14ac:dyDescent="0.25">
      <c r="A75" s="261" t="s">
        <v>417</v>
      </c>
      <c r="B75" s="255" t="s">
        <v>411</v>
      </c>
      <c r="C75" s="256">
        <v>3289000</v>
      </c>
      <c r="D75" s="256">
        <v>2990000</v>
      </c>
      <c r="E75" s="256">
        <v>2203800</v>
      </c>
      <c r="F75" s="299">
        <f t="shared" si="1"/>
        <v>0.737056856187291</v>
      </c>
      <c r="G75" s="274">
        <f>E75*30%</f>
        <v>661140</v>
      </c>
      <c r="I75" s="275"/>
    </row>
    <row r="76" spans="1:10" ht="21" customHeight="1" x14ac:dyDescent="0.25">
      <c r="A76" s="273"/>
      <c r="B76" s="255" t="s">
        <v>5</v>
      </c>
      <c r="C76" s="256">
        <v>17600000</v>
      </c>
      <c r="D76" s="256">
        <v>16000000</v>
      </c>
      <c r="E76" s="256">
        <v>5400000</v>
      </c>
      <c r="F76" s="299">
        <f t="shared" si="1"/>
        <v>0.33750000000000002</v>
      </c>
      <c r="G76" s="274">
        <f>E76*15%</f>
        <v>810000</v>
      </c>
      <c r="J76" s="309" t="s">
        <v>472</v>
      </c>
    </row>
    <row r="77" spans="1:10" ht="21" customHeight="1" x14ac:dyDescent="0.25">
      <c r="A77" s="273"/>
      <c r="B77" s="255" t="s">
        <v>2</v>
      </c>
      <c r="C77" s="256">
        <v>330000</v>
      </c>
      <c r="D77" s="256">
        <v>300000</v>
      </c>
      <c r="E77" s="256">
        <v>102000</v>
      </c>
      <c r="F77" s="299">
        <f t="shared" si="1"/>
        <v>0.34</v>
      </c>
      <c r="G77" s="274">
        <f>E77*30%</f>
        <v>30600</v>
      </c>
      <c r="I77" s="275"/>
    </row>
    <row r="78" spans="1:10" ht="21" customHeight="1" x14ac:dyDescent="0.25">
      <c r="A78" s="273"/>
      <c r="B78" s="255" t="s">
        <v>325</v>
      </c>
      <c r="C78" s="256">
        <v>2090000</v>
      </c>
      <c r="D78" s="256">
        <v>1900000</v>
      </c>
      <c r="E78" s="256">
        <v>789000</v>
      </c>
      <c r="F78" s="299">
        <f t="shared" si="1"/>
        <v>0.41526315789473683</v>
      </c>
      <c r="G78" s="274">
        <f>E78*30%</f>
        <v>236700</v>
      </c>
      <c r="I78" s="275"/>
    </row>
    <row r="79" spans="1:10" ht="21" customHeight="1" x14ac:dyDescent="0.25">
      <c r="A79" s="293"/>
      <c r="B79" s="277"/>
      <c r="C79" s="278">
        <f>SUM(C75:C78)</f>
        <v>23309000</v>
      </c>
      <c r="D79" s="278">
        <f>SUM(D75:D78)</f>
        <v>21190000</v>
      </c>
      <c r="E79" s="278">
        <f>SUM(E75:E78)</f>
        <v>8494800</v>
      </c>
      <c r="F79" s="294">
        <f t="shared" si="1"/>
        <v>0.40088721094856067</v>
      </c>
      <c r="G79" s="280">
        <f>SUM(G75:G78)</f>
        <v>1738440</v>
      </c>
      <c r="H79" s="295"/>
      <c r="I79" s="296"/>
    </row>
    <row r="80" spans="1:10" ht="21" customHeight="1" x14ac:dyDescent="0.25">
      <c r="A80" s="261" t="s">
        <v>418</v>
      </c>
      <c r="B80" s="255" t="s">
        <v>352</v>
      </c>
      <c r="C80" s="256">
        <v>9680000</v>
      </c>
      <c r="D80" s="256">
        <v>8800000</v>
      </c>
      <c r="E80" s="256">
        <v>2730000</v>
      </c>
      <c r="F80" s="299">
        <f>E80/D80</f>
        <v>0.31022727272727274</v>
      </c>
      <c r="G80" s="274">
        <f>E80*30%</f>
        <v>819000</v>
      </c>
      <c r="I80" s="275"/>
    </row>
    <row r="81" spans="1:9" ht="21" customHeight="1" x14ac:dyDescent="0.25">
      <c r="A81" s="273"/>
      <c r="B81" s="255" t="s">
        <v>411</v>
      </c>
      <c r="C81" s="256">
        <v>1155000</v>
      </c>
      <c r="D81" s="256">
        <v>1050000</v>
      </c>
      <c r="E81" s="256">
        <v>456000</v>
      </c>
      <c r="F81" s="299">
        <f t="shared" ref="F81:F99" si="3">E81/D81</f>
        <v>0.43428571428571427</v>
      </c>
      <c r="G81" s="274">
        <f>E81*30%</f>
        <v>136800</v>
      </c>
      <c r="I81" s="275"/>
    </row>
    <row r="82" spans="1:9" ht="21" customHeight="1" x14ac:dyDescent="0.25">
      <c r="A82" s="273"/>
      <c r="B82" s="255" t="s">
        <v>411</v>
      </c>
      <c r="C82" s="256">
        <v>1199000</v>
      </c>
      <c r="D82" s="256">
        <v>1090000</v>
      </c>
      <c r="E82" s="256">
        <v>210000</v>
      </c>
      <c r="F82" s="299">
        <f t="shared" si="3"/>
        <v>0.19266055045871561</v>
      </c>
      <c r="G82" s="274">
        <f>E82*30%</f>
        <v>63000</v>
      </c>
      <c r="I82" s="275"/>
    </row>
    <row r="83" spans="1:9" ht="21" customHeight="1" x14ac:dyDescent="0.25">
      <c r="A83" s="273"/>
      <c r="B83" s="255" t="s">
        <v>411</v>
      </c>
      <c r="C83" s="256">
        <v>577500</v>
      </c>
      <c r="D83" s="256">
        <v>525000</v>
      </c>
      <c r="E83" s="256">
        <v>228000</v>
      </c>
      <c r="F83" s="299">
        <f t="shared" si="3"/>
        <v>0.43428571428571427</v>
      </c>
      <c r="G83" s="274">
        <f>E83*30%</f>
        <v>68400</v>
      </c>
      <c r="I83" s="275"/>
    </row>
    <row r="84" spans="1:9" ht="21" customHeight="1" x14ac:dyDescent="0.25">
      <c r="A84" s="273"/>
      <c r="B84" s="255" t="s">
        <v>52</v>
      </c>
      <c r="C84" s="256">
        <v>660000</v>
      </c>
      <c r="D84" s="256">
        <v>600000</v>
      </c>
      <c r="E84" s="256">
        <v>204000</v>
      </c>
      <c r="F84" s="299">
        <f t="shared" si="3"/>
        <v>0.34</v>
      </c>
      <c r="G84" s="274">
        <f>E84*30%</f>
        <v>61200</v>
      </c>
      <c r="I84" s="275"/>
    </row>
    <row r="85" spans="1:9" ht="21" customHeight="1" x14ac:dyDescent="0.25">
      <c r="A85" s="273"/>
      <c r="B85" s="255" t="s">
        <v>473</v>
      </c>
      <c r="C85" s="256">
        <v>1111000</v>
      </c>
      <c r="D85" s="256">
        <v>1010000</v>
      </c>
      <c r="E85" s="256">
        <v>510000</v>
      </c>
      <c r="F85" s="299">
        <f t="shared" si="3"/>
        <v>0.50495049504950495</v>
      </c>
      <c r="G85" s="274"/>
      <c r="I85" s="275"/>
    </row>
    <row r="86" spans="1:9" ht="21" customHeight="1" x14ac:dyDescent="0.25">
      <c r="A86" s="293"/>
      <c r="B86" s="277"/>
      <c r="C86" s="278">
        <f>SUM(C80:C85)</f>
        <v>14382500</v>
      </c>
      <c r="D86" s="278">
        <f>SUM(D80:D85)</f>
        <v>13075000</v>
      </c>
      <c r="E86" s="278">
        <f>SUM(E80:E85)</f>
        <v>4338000</v>
      </c>
      <c r="F86" s="294">
        <f t="shared" si="3"/>
        <v>0.33177820267686425</v>
      </c>
      <c r="G86" s="280">
        <f>SUM(G80:G85)</f>
        <v>1148400</v>
      </c>
      <c r="H86" s="295"/>
      <c r="I86" s="296"/>
    </row>
    <row r="87" spans="1:9" ht="21" customHeight="1" x14ac:dyDescent="0.25">
      <c r="A87" s="261" t="s">
        <v>421</v>
      </c>
      <c r="B87" s="253" t="s">
        <v>25</v>
      </c>
      <c r="C87" s="254">
        <v>247500</v>
      </c>
      <c r="D87" s="254">
        <v>225000</v>
      </c>
      <c r="E87" s="254">
        <v>126070</v>
      </c>
      <c r="F87" s="299">
        <f t="shared" si="3"/>
        <v>0.56031111111111109</v>
      </c>
      <c r="G87" s="274">
        <f>E87*30%</f>
        <v>37821</v>
      </c>
      <c r="I87" s="275"/>
    </row>
    <row r="88" spans="1:9" ht="21" customHeight="1" x14ac:dyDescent="0.25">
      <c r="A88" s="273"/>
      <c r="B88" s="255" t="s">
        <v>411</v>
      </c>
      <c r="C88" s="256">
        <v>8712000</v>
      </c>
      <c r="D88" s="256">
        <v>7920000</v>
      </c>
      <c r="E88" s="256">
        <v>1808920.1452639999</v>
      </c>
      <c r="F88" s="299">
        <f t="shared" si="3"/>
        <v>0.22839900824040404</v>
      </c>
      <c r="G88" s="274">
        <f>E88*30%</f>
        <v>542676.04357919993</v>
      </c>
      <c r="I88" s="275"/>
    </row>
    <row r="89" spans="1:9" ht="21" customHeight="1" x14ac:dyDescent="0.25">
      <c r="A89" s="273"/>
      <c r="B89" s="255" t="s">
        <v>28</v>
      </c>
      <c r="C89" s="256">
        <v>330000</v>
      </c>
      <c r="D89" s="256">
        <v>300000</v>
      </c>
      <c r="E89" s="256">
        <v>102140</v>
      </c>
      <c r="F89" s="299">
        <f t="shared" si="3"/>
        <v>0.34046666666666664</v>
      </c>
      <c r="G89" s="274">
        <f>E89*30%</f>
        <v>30642</v>
      </c>
      <c r="I89" s="275"/>
    </row>
    <row r="90" spans="1:9" ht="21" customHeight="1" x14ac:dyDescent="0.25">
      <c r="A90" s="273"/>
      <c r="B90" s="290" t="s">
        <v>50</v>
      </c>
      <c r="C90" s="260">
        <v>7360980</v>
      </c>
      <c r="D90" s="260">
        <v>6691800</v>
      </c>
      <c r="E90" s="260">
        <v>2491800</v>
      </c>
      <c r="F90" s="299">
        <f t="shared" si="3"/>
        <v>0.37236617950327267</v>
      </c>
      <c r="G90" s="274"/>
      <c r="I90" s="275"/>
    </row>
    <row r="91" spans="1:9" ht="21" customHeight="1" x14ac:dyDescent="0.25">
      <c r="A91" s="293"/>
      <c r="B91" s="277"/>
      <c r="C91" s="278">
        <f>SUM(C87:C90)</f>
        <v>16650480</v>
      </c>
      <c r="D91" s="278">
        <f>SUM(D87:D90)</f>
        <v>15136800</v>
      </c>
      <c r="E91" s="278">
        <f>SUM(E87:E90)</f>
        <v>4528930.1452639997</v>
      </c>
      <c r="F91" s="294">
        <f t="shared" si="3"/>
        <v>0.29919997260081388</v>
      </c>
      <c r="G91" s="280">
        <f>SUM(G87:G90)</f>
        <v>611139.04357919993</v>
      </c>
      <c r="H91" s="295"/>
      <c r="I91" s="296"/>
    </row>
    <row r="92" spans="1:9" ht="21" customHeight="1" x14ac:dyDescent="0.25">
      <c r="A92" s="261" t="s">
        <v>424</v>
      </c>
      <c r="B92" s="255" t="s">
        <v>474</v>
      </c>
      <c r="C92" s="256">
        <v>6050000</v>
      </c>
      <c r="D92" s="256">
        <v>5500000</v>
      </c>
      <c r="E92" s="256">
        <v>2068000</v>
      </c>
      <c r="F92" s="299">
        <f t="shared" si="3"/>
        <v>0.376</v>
      </c>
      <c r="G92" s="274">
        <f t="shared" ref="G92:G97" si="4">E92*30%</f>
        <v>620400</v>
      </c>
      <c r="I92" s="275"/>
    </row>
    <row r="93" spans="1:9" ht="21" customHeight="1" x14ac:dyDescent="0.25">
      <c r="A93" s="273"/>
      <c r="B93" s="255" t="s">
        <v>17</v>
      </c>
      <c r="C93" s="256">
        <v>2277000</v>
      </c>
      <c r="D93" s="256">
        <v>2070000</v>
      </c>
      <c r="E93" s="256">
        <v>549000</v>
      </c>
      <c r="F93" s="299">
        <f t="shared" si="3"/>
        <v>0.26521739130434785</v>
      </c>
      <c r="G93" s="274">
        <f t="shared" si="4"/>
        <v>164700</v>
      </c>
      <c r="I93" s="275"/>
    </row>
    <row r="94" spans="1:9" ht="21" customHeight="1" x14ac:dyDescent="0.25">
      <c r="A94" s="273"/>
      <c r="B94" s="255" t="s">
        <v>411</v>
      </c>
      <c r="C94" s="256">
        <v>770000</v>
      </c>
      <c r="D94" s="256">
        <v>700000</v>
      </c>
      <c r="E94" s="256">
        <v>304000</v>
      </c>
      <c r="F94" s="299">
        <f t="shared" si="3"/>
        <v>0.43428571428571427</v>
      </c>
      <c r="G94" s="274">
        <f t="shared" si="4"/>
        <v>91200</v>
      </c>
      <c r="I94" s="275"/>
    </row>
    <row r="95" spans="1:9" ht="21" customHeight="1" x14ac:dyDescent="0.25">
      <c r="A95" s="273"/>
      <c r="B95" s="255" t="s">
        <v>357</v>
      </c>
      <c r="C95" s="256">
        <v>165000</v>
      </c>
      <c r="D95" s="256">
        <v>150000</v>
      </c>
      <c r="E95" s="256">
        <v>51000</v>
      </c>
      <c r="F95" s="299">
        <f t="shared" si="3"/>
        <v>0.34</v>
      </c>
      <c r="G95" s="274">
        <f t="shared" si="4"/>
        <v>15300</v>
      </c>
      <c r="I95" s="275"/>
    </row>
    <row r="96" spans="1:9" ht="21" customHeight="1" x14ac:dyDescent="0.25">
      <c r="A96" s="273"/>
      <c r="B96" s="255" t="s">
        <v>358</v>
      </c>
      <c r="C96" s="256">
        <v>330000</v>
      </c>
      <c r="D96" s="256">
        <v>300000</v>
      </c>
      <c r="E96" s="256">
        <v>102000</v>
      </c>
      <c r="F96" s="299">
        <f t="shared" si="3"/>
        <v>0.34</v>
      </c>
      <c r="G96" s="274">
        <f t="shared" si="4"/>
        <v>30600</v>
      </c>
      <c r="I96" s="275"/>
    </row>
    <row r="97" spans="1:9" ht="21" customHeight="1" x14ac:dyDescent="0.25">
      <c r="A97" s="273"/>
      <c r="B97" s="255" t="s">
        <v>61</v>
      </c>
      <c r="C97" s="256">
        <v>110000</v>
      </c>
      <c r="D97" s="256">
        <v>100000</v>
      </c>
      <c r="E97" s="256">
        <v>60400</v>
      </c>
      <c r="F97" s="299">
        <f t="shared" si="3"/>
        <v>0.60399999999999998</v>
      </c>
      <c r="G97" s="274">
        <f t="shared" si="4"/>
        <v>18120</v>
      </c>
      <c r="I97" s="275"/>
    </row>
    <row r="98" spans="1:9" ht="21" customHeight="1" x14ac:dyDescent="0.25">
      <c r="A98" s="293"/>
      <c r="B98" s="277"/>
      <c r="C98" s="278">
        <f>SUM(C92:C97)</f>
        <v>9702000</v>
      </c>
      <c r="D98" s="278">
        <f>SUM(D92:D97)</f>
        <v>8820000</v>
      </c>
      <c r="E98" s="278">
        <f>SUM(E92:E97)</f>
        <v>3134400</v>
      </c>
      <c r="F98" s="294">
        <f t="shared" si="3"/>
        <v>0.35537414965986397</v>
      </c>
      <c r="G98" s="280">
        <f>SUM(G92:G97)</f>
        <v>940320</v>
      </c>
      <c r="H98" s="295"/>
      <c r="I98" s="296"/>
    </row>
    <row r="99" spans="1:9" ht="21" customHeight="1" x14ac:dyDescent="0.25">
      <c r="A99" s="261" t="s">
        <v>425</v>
      </c>
      <c r="B99" s="255" t="s">
        <v>21</v>
      </c>
      <c r="C99" s="256">
        <v>148500</v>
      </c>
      <c r="D99" s="256">
        <v>135000</v>
      </c>
      <c r="E99" s="256">
        <v>75600</v>
      </c>
      <c r="F99" s="299">
        <f t="shared" si="3"/>
        <v>0.56000000000000005</v>
      </c>
      <c r="G99" s="274">
        <f>E99*30%</f>
        <v>22680</v>
      </c>
      <c r="I99" s="275"/>
    </row>
    <row r="100" spans="1:9" ht="21" customHeight="1" x14ac:dyDescent="0.25">
      <c r="A100" s="273"/>
      <c r="B100" s="255" t="s">
        <v>475</v>
      </c>
      <c r="C100" s="256">
        <v>440000</v>
      </c>
      <c r="D100" s="256">
        <v>400000</v>
      </c>
      <c r="E100" s="256">
        <v>202000</v>
      </c>
      <c r="F100" s="299">
        <f>E100/D100</f>
        <v>0.505</v>
      </c>
      <c r="G100" s="274">
        <f>E100*30%</f>
        <v>60600</v>
      </c>
      <c r="I100" s="275"/>
    </row>
    <row r="101" spans="1:9" ht="21" customHeight="1" x14ac:dyDescent="0.25">
      <c r="A101" s="273"/>
      <c r="B101" s="255" t="s">
        <v>411</v>
      </c>
      <c r="C101" s="256">
        <v>1155000</v>
      </c>
      <c r="D101" s="256">
        <v>1050000</v>
      </c>
      <c r="E101" s="256">
        <v>456000</v>
      </c>
      <c r="F101" s="299">
        <f>E101/D101</f>
        <v>0.43428571428571427</v>
      </c>
      <c r="G101" s="274">
        <f>E101*30%</f>
        <v>136800</v>
      </c>
      <c r="I101" s="275"/>
    </row>
    <row r="102" spans="1:9" ht="21" customHeight="1" x14ac:dyDescent="0.25">
      <c r="A102" s="273"/>
      <c r="B102" s="255" t="s">
        <v>325</v>
      </c>
      <c r="C102" s="256">
        <v>7700000</v>
      </c>
      <c r="D102" s="256">
        <v>7000000</v>
      </c>
      <c r="E102" s="256">
        <v>2474000</v>
      </c>
      <c r="F102" s="299">
        <f>E102/D102</f>
        <v>0.35342857142857143</v>
      </c>
      <c r="G102" s="274">
        <f>E102*30%</f>
        <v>742200</v>
      </c>
      <c r="I102" s="275"/>
    </row>
    <row r="103" spans="1:9" ht="21" customHeight="1" x14ac:dyDescent="0.25">
      <c r="A103" s="273"/>
      <c r="B103" s="255" t="s">
        <v>476</v>
      </c>
      <c r="C103" s="256">
        <v>550000</v>
      </c>
      <c r="D103" s="256">
        <v>500000</v>
      </c>
      <c r="E103" s="256">
        <v>401000</v>
      </c>
      <c r="F103" s="299">
        <f>E103/D103</f>
        <v>0.80200000000000005</v>
      </c>
      <c r="G103" s="274">
        <f>E103*30%</f>
        <v>120300</v>
      </c>
      <c r="I103" s="275"/>
    </row>
    <row r="104" spans="1:9" ht="21" customHeight="1" x14ac:dyDescent="0.25">
      <c r="A104" s="293"/>
      <c r="B104" s="277"/>
      <c r="C104" s="278">
        <f>SUM(C99:C103)</f>
        <v>9993500</v>
      </c>
      <c r="D104" s="278">
        <f>SUM(D99:D103)</f>
        <v>9085000</v>
      </c>
      <c r="E104" s="278">
        <f>SUM(E99:E103)</f>
        <v>3608600</v>
      </c>
      <c r="F104" s="294">
        <f>E104/D104</f>
        <v>0.39720418271876717</v>
      </c>
      <c r="G104" s="280">
        <f>SUM(G99:G103)</f>
        <v>1082580</v>
      </c>
      <c r="H104" s="295"/>
      <c r="I104" s="296"/>
    </row>
    <row r="105" spans="1:9" ht="21" customHeight="1" x14ac:dyDescent="0.25">
      <c r="A105" s="261" t="s">
        <v>427</v>
      </c>
      <c r="B105" s="255" t="s">
        <v>477</v>
      </c>
      <c r="C105" s="256">
        <v>7535000</v>
      </c>
      <c r="D105" s="256">
        <v>6850000</v>
      </c>
      <c r="E105" s="256">
        <v>1890000</v>
      </c>
      <c r="F105" s="299">
        <f t="shared" ref="F105:F112" si="5">E105/D105</f>
        <v>0.27591240875912409</v>
      </c>
      <c r="G105" s="274">
        <f>E105*30%</f>
        <v>567000</v>
      </c>
      <c r="I105" s="275"/>
    </row>
    <row r="106" spans="1:9" ht="21" customHeight="1" x14ac:dyDescent="0.25">
      <c r="A106" s="273"/>
      <c r="B106" s="255" t="s">
        <v>5</v>
      </c>
      <c r="C106" s="256">
        <v>462000</v>
      </c>
      <c r="D106" s="256">
        <v>420000</v>
      </c>
      <c r="E106" s="256">
        <v>222140</v>
      </c>
      <c r="F106" s="299">
        <f>E106/D106</f>
        <v>0.52890476190476188</v>
      </c>
      <c r="G106" s="274">
        <f>E106*30%</f>
        <v>66642</v>
      </c>
      <c r="I106" s="275"/>
    </row>
    <row r="107" spans="1:9" ht="21" customHeight="1" x14ac:dyDescent="0.25">
      <c r="A107" s="273"/>
      <c r="B107" s="255" t="s">
        <v>478</v>
      </c>
      <c r="C107" s="256">
        <v>148500</v>
      </c>
      <c r="D107" s="256">
        <v>135000</v>
      </c>
      <c r="E107" s="256">
        <v>75642</v>
      </c>
      <c r="F107" s="299">
        <f>E107/D107</f>
        <v>0.56031111111111109</v>
      </c>
      <c r="G107" s="274">
        <f>E107*30%</f>
        <v>22692.6</v>
      </c>
      <c r="I107" s="275"/>
    </row>
    <row r="108" spans="1:9" ht="21" customHeight="1" x14ac:dyDescent="0.25">
      <c r="A108" s="273"/>
      <c r="B108" s="255" t="s">
        <v>26</v>
      </c>
      <c r="C108" s="256">
        <v>440000</v>
      </c>
      <c r="D108" s="256">
        <v>400000</v>
      </c>
      <c r="E108" s="256">
        <v>202140</v>
      </c>
      <c r="F108" s="299">
        <f t="shared" si="5"/>
        <v>0.50534999999999997</v>
      </c>
      <c r="G108" s="274">
        <f>E108*30%</f>
        <v>60642</v>
      </c>
      <c r="I108" s="275"/>
    </row>
    <row r="109" spans="1:9" ht="21" customHeight="1" x14ac:dyDescent="0.25">
      <c r="A109" s="273"/>
      <c r="B109" s="255" t="s">
        <v>28</v>
      </c>
      <c r="C109" s="256">
        <v>330000</v>
      </c>
      <c r="D109" s="256">
        <v>300000</v>
      </c>
      <c r="E109" s="256">
        <v>102140</v>
      </c>
      <c r="F109" s="299">
        <f t="shared" si="5"/>
        <v>0.34046666666666664</v>
      </c>
      <c r="G109" s="274">
        <f>E109*30%</f>
        <v>30642</v>
      </c>
      <c r="I109" s="275"/>
    </row>
    <row r="110" spans="1:9" ht="21" customHeight="1" x14ac:dyDescent="0.25">
      <c r="A110" s="273"/>
      <c r="B110" s="281" t="s">
        <v>64</v>
      </c>
      <c r="C110" s="265">
        <v>907500</v>
      </c>
      <c r="D110" s="265">
        <v>825000</v>
      </c>
      <c r="E110" s="265">
        <v>102000</v>
      </c>
      <c r="F110" s="289">
        <f>E110/D110</f>
        <v>0.12363636363636364</v>
      </c>
      <c r="G110" s="274"/>
      <c r="I110" s="275"/>
    </row>
    <row r="111" spans="1:9" ht="21" customHeight="1" x14ac:dyDescent="0.25">
      <c r="A111" s="273"/>
      <c r="B111" s="281" t="s">
        <v>65</v>
      </c>
      <c r="C111" s="265">
        <v>2475000</v>
      </c>
      <c r="D111" s="265">
        <v>2250000</v>
      </c>
      <c r="E111" s="265">
        <v>934500</v>
      </c>
      <c r="F111" s="289">
        <f>E111/D111</f>
        <v>0.41533333333333333</v>
      </c>
      <c r="G111" s="274"/>
      <c r="I111" s="275"/>
    </row>
    <row r="112" spans="1:9" ht="21" customHeight="1" x14ac:dyDescent="0.25">
      <c r="A112" s="293"/>
      <c r="B112" s="277" t="s">
        <v>2749</v>
      </c>
      <c r="C112" s="278">
        <f>SUM(C105:C111)</f>
        <v>12298000</v>
      </c>
      <c r="D112" s="278">
        <f>SUM(D105:D111)</f>
        <v>11180000</v>
      </c>
      <c r="E112" s="278">
        <f>SUM(E105:E111)</f>
        <v>3528562</v>
      </c>
      <c r="F112" s="294">
        <f t="shared" si="5"/>
        <v>0.31561377459749551</v>
      </c>
      <c r="G112" s="280">
        <f>SUM(G105:G111)</f>
        <v>747618.6</v>
      </c>
      <c r="H112" s="295"/>
      <c r="I112" s="296"/>
    </row>
    <row r="113" spans="1:9" ht="21" customHeight="1" x14ac:dyDescent="0.25">
      <c r="A113" s="261" t="s">
        <v>435</v>
      </c>
      <c r="B113" s="281" t="s">
        <v>479</v>
      </c>
      <c r="C113" s="265">
        <v>1441000</v>
      </c>
      <c r="D113" s="265">
        <v>1310000</v>
      </c>
      <c r="E113" s="265">
        <v>587000</v>
      </c>
      <c r="F113" s="299">
        <f t="shared" ref="F113:F120" si="6">E113/D113</f>
        <v>0.44809160305343509</v>
      </c>
      <c r="G113" s="274"/>
      <c r="I113" s="275"/>
    </row>
    <row r="114" spans="1:9" ht="21" customHeight="1" x14ac:dyDescent="0.25">
      <c r="A114" s="273"/>
      <c r="B114" s="281" t="s">
        <v>64</v>
      </c>
      <c r="C114" s="265">
        <v>1069200</v>
      </c>
      <c r="D114" s="265">
        <v>972000</v>
      </c>
      <c r="E114" s="265">
        <v>477898.88</v>
      </c>
      <c r="F114" s="299">
        <f t="shared" si="6"/>
        <v>0.4916655144032922</v>
      </c>
      <c r="G114" s="274"/>
      <c r="I114" s="275"/>
    </row>
    <row r="115" spans="1:9" ht="21" customHeight="1" x14ac:dyDescent="0.25">
      <c r="A115" s="293"/>
      <c r="B115" s="277"/>
      <c r="C115" s="278">
        <f>SUM(C113:C114)</f>
        <v>2510200</v>
      </c>
      <c r="D115" s="278">
        <f>SUM(D113:D114)</f>
        <v>2282000</v>
      </c>
      <c r="E115" s="278">
        <f>SUM(E113:E114)</f>
        <v>1064898.8799999999</v>
      </c>
      <c r="F115" s="294">
        <f t="shared" si="6"/>
        <v>0.46665156879929881</v>
      </c>
      <c r="G115" s="280">
        <f>SUM(G113:G114)</f>
        <v>0</v>
      </c>
      <c r="H115" s="295"/>
      <c r="I115" s="296"/>
    </row>
    <row r="116" spans="1:9" ht="21" customHeight="1" x14ac:dyDescent="0.25">
      <c r="A116" s="261" t="s">
        <v>438</v>
      </c>
      <c r="B116" s="253" t="s">
        <v>477</v>
      </c>
      <c r="C116" s="254">
        <v>770000</v>
      </c>
      <c r="D116" s="254">
        <v>700000</v>
      </c>
      <c r="E116" s="254">
        <v>304000</v>
      </c>
      <c r="F116" s="299">
        <f t="shared" si="6"/>
        <v>0.43428571428571427</v>
      </c>
      <c r="G116" s="274">
        <f>E116*30%</f>
        <v>91200</v>
      </c>
      <c r="I116" s="275"/>
    </row>
    <row r="117" spans="1:9" ht="21" customHeight="1" x14ac:dyDescent="0.25">
      <c r="A117" s="273"/>
      <c r="B117" s="288" t="s">
        <v>64</v>
      </c>
      <c r="C117" s="271">
        <v>980100</v>
      </c>
      <c r="D117" s="271">
        <v>891000</v>
      </c>
      <c r="E117" s="271">
        <v>312600</v>
      </c>
      <c r="F117" s="299">
        <f t="shared" si="6"/>
        <v>0.35084175084175084</v>
      </c>
      <c r="G117" s="274"/>
      <c r="I117" s="275"/>
    </row>
    <row r="118" spans="1:9" ht="21" customHeight="1" x14ac:dyDescent="0.25">
      <c r="A118" s="273"/>
      <c r="B118" s="253" t="s">
        <v>25</v>
      </c>
      <c r="C118" s="254">
        <v>247500</v>
      </c>
      <c r="D118" s="254">
        <v>225000</v>
      </c>
      <c r="E118" s="254">
        <v>126070</v>
      </c>
      <c r="F118" s="299">
        <f t="shared" si="6"/>
        <v>0.56031111111111109</v>
      </c>
      <c r="G118" s="274">
        <f>E118*30%</f>
        <v>37821</v>
      </c>
      <c r="I118" s="275"/>
    </row>
    <row r="119" spans="1:9" ht="21" customHeight="1" x14ac:dyDescent="0.25">
      <c r="A119" s="293"/>
      <c r="B119" s="277"/>
      <c r="C119" s="278">
        <f>SUM(C116:C118)</f>
        <v>1997600</v>
      </c>
      <c r="D119" s="278">
        <f>SUM(D116:D118)</f>
        <v>1816000</v>
      </c>
      <c r="E119" s="278">
        <f>SUM(E116:E118)</f>
        <v>742670</v>
      </c>
      <c r="F119" s="294">
        <f t="shared" si="6"/>
        <v>0.40895925110132159</v>
      </c>
      <c r="G119" s="280">
        <f>SUM(G116:G118)</f>
        <v>129021</v>
      </c>
      <c r="H119" s="295"/>
      <c r="I119" s="296"/>
    </row>
    <row r="120" spans="1:9" ht="21" customHeight="1" x14ac:dyDescent="0.25">
      <c r="A120" s="261" t="s">
        <v>440</v>
      </c>
      <c r="B120" s="326" t="s">
        <v>477</v>
      </c>
      <c r="C120" s="327">
        <v>56734524</v>
      </c>
      <c r="D120" s="327">
        <v>51576840</v>
      </c>
      <c r="E120" s="327">
        <f>(21170721*(C120/(SUM(C120+C129+C137))))</f>
        <v>6160485.1669188971</v>
      </c>
      <c r="F120" s="299">
        <f t="shared" si="6"/>
        <v>0.11944285781988383</v>
      </c>
      <c r="G120" s="274"/>
      <c r="H120" s="328" t="s">
        <v>480</v>
      </c>
      <c r="I120" s="275"/>
    </row>
    <row r="121" spans="1:9" ht="21" customHeight="1" x14ac:dyDescent="0.25">
      <c r="A121" s="273"/>
      <c r="B121" s="297" t="s">
        <v>481</v>
      </c>
      <c r="C121" s="298">
        <v>247500</v>
      </c>
      <c r="D121" s="298">
        <v>225000</v>
      </c>
      <c r="E121" s="298">
        <v>126070</v>
      </c>
      <c r="F121" s="299">
        <f t="shared" ref="F121:F137" si="7">E121/D121</f>
        <v>0.56031111111111109</v>
      </c>
      <c r="G121" s="274">
        <f>E121*30%</f>
        <v>37821</v>
      </c>
      <c r="I121" s="275"/>
    </row>
    <row r="122" spans="1:9" ht="21" customHeight="1" x14ac:dyDescent="0.25">
      <c r="A122" s="273"/>
      <c r="B122" s="297" t="s">
        <v>477</v>
      </c>
      <c r="C122" s="298">
        <v>577500</v>
      </c>
      <c r="D122" s="298">
        <v>525000</v>
      </c>
      <c r="E122" s="298">
        <v>228000</v>
      </c>
      <c r="F122" s="299">
        <f t="shared" si="7"/>
        <v>0.43428571428571427</v>
      </c>
      <c r="G122" s="274">
        <f>E122*30%</f>
        <v>68400</v>
      </c>
      <c r="I122" s="275"/>
    </row>
    <row r="123" spans="1:9" ht="21" customHeight="1" x14ac:dyDescent="0.25">
      <c r="A123" s="273"/>
      <c r="B123" s="297" t="s">
        <v>61</v>
      </c>
      <c r="C123" s="298">
        <v>55000</v>
      </c>
      <c r="D123" s="298">
        <v>50000</v>
      </c>
      <c r="E123" s="298">
        <v>30200</v>
      </c>
      <c r="F123" s="299">
        <f t="shared" si="7"/>
        <v>0.60399999999999998</v>
      </c>
      <c r="G123" s="274">
        <f>E123*30%</f>
        <v>9060</v>
      </c>
      <c r="I123" s="275"/>
    </row>
    <row r="124" spans="1:9" ht="21" customHeight="1" x14ac:dyDescent="0.25">
      <c r="A124" s="293"/>
      <c r="B124" s="279"/>
      <c r="C124" s="278">
        <f>SUM(C120:C123)</f>
        <v>57614524</v>
      </c>
      <c r="D124" s="278">
        <f>SUM(D120:D123)</f>
        <v>52376840</v>
      </c>
      <c r="E124" s="278">
        <f>SUM(E120:E123)</f>
        <v>6544755.1669188971</v>
      </c>
      <c r="F124" s="294">
        <f t="shared" si="7"/>
        <v>0.1249551360280402</v>
      </c>
      <c r="G124" s="280">
        <f>SUM(G120:G123)</f>
        <v>115281</v>
      </c>
      <c r="H124" s="295"/>
      <c r="I124" s="296"/>
    </row>
    <row r="125" spans="1:9" ht="21" customHeight="1" x14ac:dyDescent="0.25">
      <c r="A125" s="329">
        <v>2017.5</v>
      </c>
      <c r="B125" s="462" t="s">
        <v>595</v>
      </c>
      <c r="C125" s="313">
        <f ca="1">SUMIFS(INDIRECT("Report!F3:F55"),INDIRECT("Report!B3:B55"),B125,INDIRECT("report!H3:H55"), "Technotrans")</f>
        <v>1870000.0000000002</v>
      </c>
      <c r="D125" s="236">
        <f ca="1">(C125/11*10)</f>
        <v>1700000.0000000002</v>
      </c>
      <c r="E125" s="313">
        <f ca="1">SUMIFS(INDIRECT("Report!J3:J55"),INDIRECT("Report!B3:B55"),B125,INDIRECT("report!H3:H55"), "Technotrans")</f>
        <v>600000</v>
      </c>
      <c r="F125" s="330">
        <f t="shared" ca="1" si="7"/>
        <v>0.3529411764705882</v>
      </c>
      <c r="G125" s="274">
        <f ca="1">E125*10%</f>
        <v>60000</v>
      </c>
    </row>
    <row r="126" spans="1:9" ht="20.25" customHeight="1" x14ac:dyDescent="0.25">
      <c r="B126" s="462" t="s">
        <v>594</v>
      </c>
      <c r="C126" s="313">
        <f ca="1">SUMIFS(INDIRECT("Report!F3:F55"),INDIRECT("Report!B3:B55"),B126,INDIRECT("report!H3:H55"), "Technotrans")</f>
        <v>198000</v>
      </c>
      <c r="D126" s="236">
        <f ca="1">(C126/11*10)</f>
        <v>180000</v>
      </c>
      <c r="E126" s="313">
        <f ca="1">SUMIFS(INDIRECT("Report!J3:J55"),INDIRECT("Report!B3:B55"),B126,INDIRECT("report!H3:H55"), "Technotrans")</f>
        <v>45234</v>
      </c>
      <c r="F126" s="330">
        <f t="shared" ca="1" si="7"/>
        <v>0.25130000000000002</v>
      </c>
      <c r="G126" s="274">
        <f ca="1">E126*10%</f>
        <v>4523.4000000000005</v>
      </c>
    </row>
    <row r="127" spans="1:9" ht="21" customHeight="1" x14ac:dyDescent="0.25">
      <c r="B127" s="462" t="s">
        <v>593</v>
      </c>
      <c r="C127" s="313">
        <f ca="1">SUMIFS(INDIRECT("Report!F3:F55"),INDIRECT("Report!B3:B55"),B127,INDIRECT("report!H3:H55"), "Technotrans")</f>
        <v>77000</v>
      </c>
      <c r="D127" s="236">
        <f ca="1">(C127/11*10)</f>
        <v>70000</v>
      </c>
      <c r="E127" s="313">
        <f ca="1">SUMIFS(INDIRECT("Report!J3:J55"),INDIRECT("Report!B3:B55"),B127,INDIRECT("report!H3:H55"), "Technotrans")</f>
        <v>25078</v>
      </c>
      <c r="F127" s="330">
        <f t="shared" ca="1" si="7"/>
        <v>0.35825714285714283</v>
      </c>
      <c r="G127" s="274">
        <f ca="1">E127*10%</f>
        <v>2507.8000000000002</v>
      </c>
    </row>
    <row r="128" spans="1:9" ht="21" customHeight="1" x14ac:dyDescent="0.25">
      <c r="B128" s="309" t="s">
        <v>482</v>
      </c>
      <c r="C128" s="313">
        <f ca="1">SUMIFS(INDIRECT("Report!F3:F55"),INDIRECT("Report!B3:B55"),B128,INDIRECT("report!H3:H55"), "Technotrans")</f>
        <v>1210000</v>
      </c>
      <c r="D128" s="236">
        <f ca="1">(C128/11*10)</f>
        <v>1100000</v>
      </c>
      <c r="E128" s="313">
        <f ca="1">SUMIFS(INDIRECT("Report!J3:J55"),INDIRECT("Report!B3:B55"),B128,INDIRECT("report!H3:H55"), "Technotrans")</f>
        <v>556000</v>
      </c>
      <c r="F128" s="330">
        <f t="shared" ca="1" si="7"/>
        <v>0.50545454545454549</v>
      </c>
      <c r="G128" s="274">
        <f ca="1">E128*30%</f>
        <v>166800</v>
      </c>
    </row>
    <row r="129" spans="1:8" ht="21" customHeight="1" x14ac:dyDescent="0.25">
      <c r="B129" s="331" t="s">
        <v>477</v>
      </c>
      <c r="C129" s="332">
        <v>97671420</v>
      </c>
      <c r="D129" s="332">
        <f>(C129/11*10)</f>
        <v>88792200</v>
      </c>
      <c r="E129" s="327">
        <f>(21170721*(C129/(SUM(C129+C137+C120))))</f>
        <v>10605594.120114688</v>
      </c>
      <c r="F129" s="330">
        <f t="shared" si="7"/>
        <v>0.11944285781988381</v>
      </c>
      <c r="H129" s="328" t="s">
        <v>483</v>
      </c>
    </row>
    <row r="130" spans="1:8" ht="21" customHeight="1" x14ac:dyDescent="0.25">
      <c r="A130" s="293"/>
      <c r="B130" s="279"/>
      <c r="C130" s="278">
        <f ca="1">SUM(C125:C129)</f>
        <v>101026420</v>
      </c>
      <c r="D130" s="278">
        <f ca="1">SUM(D125:D129)</f>
        <v>91842200</v>
      </c>
      <c r="E130" s="278">
        <f ca="1">SUM(E125:E129)</f>
        <v>11831906.120114688</v>
      </c>
      <c r="F130" s="294">
        <f t="shared" ca="1" si="7"/>
        <v>0.12882864434992505</v>
      </c>
      <c r="G130" s="280">
        <f ca="1">SUM(G125:G128)</f>
        <v>233831.2</v>
      </c>
    </row>
    <row r="131" spans="1:8" ht="21" customHeight="1" x14ac:dyDescent="0.25">
      <c r="A131" s="329">
        <v>2017.6</v>
      </c>
      <c r="B131" s="309" t="s">
        <v>484</v>
      </c>
      <c r="C131" s="313">
        <f t="shared" ref="C131:C136" ca="1" si="8">SUMIFS(INDIRECT("Report!F58:F120"),INDIRECT("Report!B58:B120"),B131,INDIRECT("report!H58:H120"), "Technotrans")</f>
        <v>264000</v>
      </c>
      <c r="D131" s="236">
        <f t="shared" ref="D131:D137" ca="1" si="9">(C131/11*10)</f>
        <v>240000</v>
      </c>
      <c r="E131" s="313">
        <f t="shared" ref="E131:E136" ca="1" si="10">SUMIFS(INDIRECT("Report!J58:J120"),INDIRECT("Report!B58:B120"),B131,INDIRECT("report!H58:H120"), "Technotrans")</f>
        <v>60312</v>
      </c>
      <c r="F131" s="330">
        <f t="shared" ca="1" si="7"/>
        <v>0.25130000000000002</v>
      </c>
      <c r="G131" s="274">
        <f ca="1">E131*30%</f>
        <v>18093.599999999999</v>
      </c>
    </row>
    <row r="132" spans="1:8" ht="21" customHeight="1" x14ac:dyDescent="0.25">
      <c r="B132" s="309" t="s">
        <v>485</v>
      </c>
      <c r="C132" s="313">
        <f t="shared" ca="1" si="8"/>
        <v>198000.00000000003</v>
      </c>
      <c r="D132" s="236">
        <f t="shared" ca="1" si="9"/>
        <v>180000.00000000003</v>
      </c>
      <c r="E132" s="313">
        <f t="shared" ca="1" si="10"/>
        <v>90156</v>
      </c>
      <c r="F132" s="330">
        <f t="shared" ca="1" si="7"/>
        <v>0.50086666666666657</v>
      </c>
      <c r="G132" s="274">
        <f ca="1">E132*30%</f>
        <v>27046.799999999999</v>
      </c>
    </row>
    <row r="133" spans="1:8" ht="21" customHeight="1" x14ac:dyDescent="0.25">
      <c r="B133" s="309" t="s">
        <v>486</v>
      </c>
      <c r="C133" s="313">
        <f t="shared" ca="1" si="8"/>
        <v>5500000</v>
      </c>
      <c r="D133" s="236">
        <f t="shared" ca="1" si="9"/>
        <v>5000000</v>
      </c>
      <c r="E133" s="313">
        <f t="shared" ca="1" si="10"/>
        <v>1610000</v>
      </c>
      <c r="F133" s="330">
        <f t="shared" ca="1" si="7"/>
        <v>0.32200000000000001</v>
      </c>
      <c r="G133" s="274">
        <f ca="1">E133*30%</f>
        <v>483000</v>
      </c>
    </row>
    <row r="134" spans="1:8" ht="21" customHeight="1" x14ac:dyDescent="0.25">
      <c r="B134" s="309" t="s">
        <v>601</v>
      </c>
      <c r="C134" s="313">
        <f t="shared" ca="1" si="8"/>
        <v>1045000.0000000001</v>
      </c>
      <c r="D134" s="236">
        <f t="shared" ca="1" si="9"/>
        <v>950000.00000000012</v>
      </c>
      <c r="E134" s="313">
        <f t="shared" ca="1" si="10"/>
        <v>406000</v>
      </c>
      <c r="F134" s="330">
        <f t="shared" ca="1" si="7"/>
        <v>0.42736842105263151</v>
      </c>
      <c r="G134" s="274">
        <f ca="1">E134*30%</f>
        <v>121800</v>
      </c>
    </row>
    <row r="135" spans="1:8" ht="21" customHeight="1" x14ac:dyDescent="0.25">
      <c r="B135" s="462" t="s">
        <v>592</v>
      </c>
      <c r="C135" s="313">
        <f t="shared" ca="1" si="8"/>
        <v>803000.00000000012</v>
      </c>
      <c r="D135" s="236">
        <f t="shared" ca="1" si="9"/>
        <v>730000.00000000012</v>
      </c>
      <c r="E135" s="313">
        <f t="shared" ca="1" si="10"/>
        <v>730000</v>
      </c>
      <c r="F135" s="330">
        <f t="shared" ca="1" si="7"/>
        <v>0.99999999999999989</v>
      </c>
      <c r="G135" s="274">
        <f ca="1">E135*10%</f>
        <v>73000</v>
      </c>
    </row>
    <row r="136" spans="1:8" ht="21" customHeight="1" x14ac:dyDescent="0.25">
      <c r="B136" s="309" t="s">
        <v>477</v>
      </c>
      <c r="C136" s="313">
        <f t="shared" ca="1" si="8"/>
        <v>770000.00000000012</v>
      </c>
      <c r="D136" s="236">
        <f t="shared" ca="1" si="9"/>
        <v>700000.00000000012</v>
      </c>
      <c r="E136" s="313">
        <f t="shared" ca="1" si="10"/>
        <v>250780</v>
      </c>
      <c r="F136" s="330">
        <f t="shared" ca="1" si="7"/>
        <v>0.35825714285714277</v>
      </c>
      <c r="G136" s="274">
        <f ca="1">E136*30%</f>
        <v>75234</v>
      </c>
    </row>
    <row r="137" spans="1:8" ht="21" customHeight="1" x14ac:dyDescent="0.25">
      <c r="B137" s="331" t="s">
        <v>477</v>
      </c>
      <c r="C137" s="332">
        <v>40564216</v>
      </c>
      <c r="D137" s="332">
        <f t="shared" si="9"/>
        <v>36876560</v>
      </c>
      <c r="E137" s="327">
        <f>(21170721*(C137/(SUM(C137+C120+C129))))</f>
        <v>4404641.7129664151</v>
      </c>
      <c r="F137" s="330">
        <f t="shared" si="7"/>
        <v>0.11944285781988383</v>
      </c>
      <c r="G137" s="274"/>
      <c r="H137" s="328" t="s">
        <v>630</v>
      </c>
    </row>
    <row r="138" spans="1:8" ht="21" customHeight="1" x14ac:dyDescent="0.25">
      <c r="A138" s="293"/>
      <c r="B138" s="279"/>
      <c r="C138" s="278">
        <f ca="1">SUM(C131:C137)</f>
        <v>49144216</v>
      </c>
      <c r="D138" s="278">
        <f ca="1">SUM(D131:D137)</f>
        <v>44676560</v>
      </c>
      <c r="E138" s="278">
        <f ca="1">SUM(E131:E137)</f>
        <v>7551889.7129664151</v>
      </c>
      <c r="F138" s="294">
        <f t="shared" ref="F138:F146" ca="1" si="11">E138/D138</f>
        <v>0.16903471782443444</v>
      </c>
      <c r="G138" s="280">
        <f ca="1">SUM(G131:G136)</f>
        <v>798174.4</v>
      </c>
    </row>
    <row r="139" spans="1:8" ht="21" customHeight="1" x14ac:dyDescent="0.25">
      <c r="A139" s="329">
        <v>2017.7</v>
      </c>
      <c r="B139" s="228" t="s">
        <v>674</v>
      </c>
      <c r="C139" s="250">
        <f ca="1">SUMIFS(INDIRECT("Report!F100:F1000"),INDIRECT("Report!B100:B1000"),B139,INDIRECT("report!H100:H1000"),"Technotrans",INDIRECT("Report!L100:L1000"),"17.7")</f>
        <v>198000.00000000003</v>
      </c>
      <c r="D139" s="549">
        <f ca="1">(C139/11*10)</f>
        <v>180000.00000000003</v>
      </c>
      <c r="E139" s="250">
        <f ca="1">SUMIFS(INDIRECT("Report!J100:J1000"),INDIRECT("Report!B100:B1000"),B139,INDIRECT("report!H100:H1000"),"Technotrans",INDIRECT("Report!L100:L1000"),"17.7")</f>
        <v>135078</v>
      </c>
      <c r="F139" s="314">
        <f t="shared" ca="1" si="11"/>
        <v>0.75043333333333317</v>
      </c>
      <c r="G139" s="274">
        <f ca="1">E139*30%</f>
        <v>40523.4</v>
      </c>
    </row>
    <row r="140" spans="1:8" ht="21" customHeight="1" x14ac:dyDescent="0.25">
      <c r="B140" s="228" t="s">
        <v>675</v>
      </c>
      <c r="C140" s="250">
        <f ca="1">SUMIFS(INDIRECT("Report!F100:F1000"),INDIRECT("Report!B100:B1000"),B140,INDIRECT("report!H100:H1000"),"Technotrans",INDIRECT("Report!L100:L1000"),"17.7")</f>
        <v>440000.00000000006</v>
      </c>
      <c r="D140" s="549">
        <f ca="1">(C140/11*10)</f>
        <v>400000.00000000006</v>
      </c>
      <c r="E140" s="250">
        <f ca="1">SUMIFS(INDIRECT("Report!J100:J1000"),INDIRECT("Report!B100:B1000"),B140,INDIRECT("report!H100:H1000"),"Technotrans",INDIRECT("Report!L100:L1000"),"17.7")</f>
        <v>175390</v>
      </c>
      <c r="F140" s="314">
        <f t="shared" ca="1" si="11"/>
        <v>0.43847499999999995</v>
      </c>
      <c r="G140" s="274">
        <f ca="1">E140*30%</f>
        <v>52617</v>
      </c>
    </row>
    <row r="141" spans="1:8" ht="21" customHeight="1" x14ac:dyDescent="0.25">
      <c r="A141" s="293"/>
      <c r="B141" s="279"/>
      <c r="C141" s="278">
        <f ca="1">SUM(C139:C140)</f>
        <v>638000.00000000012</v>
      </c>
      <c r="D141" s="278">
        <f ca="1">SUM(D139:D140)</f>
        <v>580000.00000000012</v>
      </c>
      <c r="E141" s="278">
        <f ca="1">SUM(E139:E140)</f>
        <v>310468</v>
      </c>
      <c r="F141" s="294">
        <f t="shared" ca="1" si="11"/>
        <v>0.53528965517241367</v>
      </c>
      <c r="G141" s="280">
        <f ca="1">SUM(G139:G140)</f>
        <v>93140.4</v>
      </c>
    </row>
    <row r="142" spans="1:8" ht="21" customHeight="1" x14ac:dyDescent="0.25">
      <c r="A142" s="329">
        <v>2017.8</v>
      </c>
      <c r="B142" s="228" t="s">
        <v>486</v>
      </c>
      <c r="C142" s="250">
        <f ca="1">SUMIFS(INDIRECT("Report!F100:F1000"),INDIRECT("Report!B100:B1000"),B142,INDIRECT("report!H100:H1000"),"Technotrans",INDIRECT("Report!L100:L1000"),"17.8")</f>
        <v>99000.000000000015</v>
      </c>
      <c r="D142" s="549">
        <f ca="1">(C142/11*10)</f>
        <v>90000.000000000015</v>
      </c>
      <c r="E142" s="250">
        <f ca="1">SUMIFS(INDIRECT("Report!J100:J1000"),INDIRECT("Report!B100:B1000"),B142,INDIRECT("report!H100:H1000"),"Technotrans",INDIRECT("Report!L100:L1000"),"17.8")</f>
        <v>45078</v>
      </c>
      <c r="F142" s="314">
        <f t="shared" ca="1" si="11"/>
        <v>0.50086666666666657</v>
      </c>
      <c r="G142" s="274">
        <f ca="1">E142*30%</f>
        <v>13523.4</v>
      </c>
    </row>
    <row r="143" spans="1:8" ht="21" customHeight="1" x14ac:dyDescent="0.25">
      <c r="B143" s="732" t="s">
        <v>761</v>
      </c>
      <c r="C143" s="250">
        <f ca="1">SUMIFS(INDIRECT("Report!F100:F1000"),INDIRECT("Report!B100:B1000"),B143,INDIRECT("report!H100:H1000"),"Technotrans",INDIRECT("Report!L100:L1000"),"17.8")</f>
        <v>4862000.0000000009</v>
      </c>
      <c r="D143" s="549">
        <f ca="1">(C143/11*10)</f>
        <v>4420000.0000000009</v>
      </c>
      <c r="E143" s="250">
        <f ca="1">SUMIFS(INDIRECT("Report!J100:J1000"),INDIRECT("Report!B100:B1000"),B143,INDIRECT("report!H100:H1000"),"Technotrans",INDIRECT("Report!L100:L1000"),"17.8")</f>
        <v>4419820.46</v>
      </c>
      <c r="F143" s="314">
        <f t="shared" ca="1" si="11"/>
        <v>0.99995938009049756</v>
      </c>
      <c r="G143" s="274">
        <f ca="1">E143*10%</f>
        <v>441982.04600000003</v>
      </c>
    </row>
    <row r="144" spans="1:8" ht="21" customHeight="1" x14ac:dyDescent="0.25">
      <c r="B144" s="228" t="s">
        <v>411</v>
      </c>
      <c r="C144" s="250">
        <f ca="1">SUMIFS(INDIRECT("Report!F100:F1000"),INDIRECT("Report!B100:B1000"),B144,INDIRECT("report!H100:H1000"),"Technotrans",INDIRECT("Report!L100:L1000"),"17.8")</f>
        <v>1400300.0000000002</v>
      </c>
      <c r="D144" s="549">
        <f ca="1">(C144/11*10)</f>
        <v>1273000.0000000002</v>
      </c>
      <c r="E144" s="250">
        <f ca="1">SUMIFS(INDIRECT("Report!J100:J1000"),INDIRECT("Report!B100:B1000"),B144,INDIRECT("report!H100:H1000"),"Technotrans",INDIRECT("Report!L100:L1000"),"17.8")</f>
        <v>823780</v>
      </c>
      <c r="F144" s="314">
        <f t="shared" ca="1" si="11"/>
        <v>0.64711704634721123</v>
      </c>
      <c r="G144" s="274">
        <f ca="1">E144*30%</f>
        <v>247134</v>
      </c>
    </row>
    <row r="145" spans="1:7" ht="21" customHeight="1" x14ac:dyDescent="0.25">
      <c r="B145" s="228" t="s">
        <v>762</v>
      </c>
      <c r="C145" s="250">
        <f ca="1">SUMIFS(INDIRECT("Report!F100:F1000"),INDIRECT("Report!B100:B1000"),B145,INDIRECT("report!H100:H1000"),"Technotrans",INDIRECT("Report!L100:L1000"),"17.8")</f>
        <v>165000</v>
      </c>
      <c r="D145" s="549">
        <f ca="1">(C145/11*10)</f>
        <v>150000</v>
      </c>
      <c r="E145" s="250">
        <f ca="1">SUMIFS(INDIRECT("Report!J100:J1000"),INDIRECT("Report!B100:B1000"),B145,INDIRECT("report!H100:H1000"),"Technotrans",INDIRECT("Report!L100:L1000"),"17.8")</f>
        <v>37695</v>
      </c>
      <c r="F145" s="314">
        <f t="shared" ca="1" si="11"/>
        <v>0.25130000000000002</v>
      </c>
      <c r="G145" s="274">
        <f ca="1">E145*30%</f>
        <v>11308.5</v>
      </c>
    </row>
    <row r="146" spans="1:7" ht="21" customHeight="1" x14ac:dyDescent="0.25">
      <c r="A146" s="293"/>
      <c r="B146" s="279"/>
      <c r="C146" s="278">
        <f ca="1">SUM(C142:C145)</f>
        <v>6526300.0000000009</v>
      </c>
      <c r="D146" s="278">
        <f ca="1">SUM(D142:D145)</f>
        <v>5933000.0000000009</v>
      </c>
      <c r="E146" s="278">
        <f ca="1">SUM(E142:E145)</f>
        <v>5326373.46</v>
      </c>
      <c r="F146" s="294">
        <f t="shared" ca="1" si="11"/>
        <v>0.89775382774313151</v>
      </c>
      <c r="G146" s="280">
        <f ca="1">SUM(G142:G145)</f>
        <v>713947.946</v>
      </c>
    </row>
    <row r="147" spans="1:7" ht="21" customHeight="1" x14ac:dyDescent="0.25">
      <c r="A147" s="329">
        <v>2017.9</v>
      </c>
      <c r="B147" s="228" t="s">
        <v>835</v>
      </c>
      <c r="C147" s="250">
        <f t="shared" ref="C147:C152" ca="1" si="12">SUMIFS(INDIRECT("Report!F100:F1000"),INDIRECT("Report!B100:B1000"),B147,INDIRECT("report!H100:H1000"),"Technotrans",INDIRECT("Report!L100:L1000"),"17.9")</f>
        <v>715000</v>
      </c>
      <c r="D147" s="549">
        <f t="shared" ref="D147:D152" ca="1" si="13">(C147/11*10)</f>
        <v>650000</v>
      </c>
      <c r="E147" s="250">
        <f t="shared" ref="E147:E152" ca="1" si="14">SUMIFS(INDIRECT("Report!J100:J1000"),INDIRECT("Report!B100:B1000"),B147,INDIRECT("report!H100:H1000"),"Technotrans",INDIRECT("Report!L100:L1000"),"17.9")</f>
        <v>208090</v>
      </c>
      <c r="F147" s="314">
        <f ca="1">E147/D147</f>
        <v>0.32013846153846154</v>
      </c>
      <c r="G147" s="274">
        <f t="shared" ref="G147:G152" ca="1" si="15">E147*30%</f>
        <v>62427</v>
      </c>
    </row>
    <row r="148" spans="1:7" ht="21" customHeight="1" x14ac:dyDescent="0.25">
      <c r="B148" s="228" t="s">
        <v>836</v>
      </c>
      <c r="C148" s="250">
        <f t="shared" ca="1" si="12"/>
        <v>5995000.0000000009</v>
      </c>
      <c r="D148" s="549">
        <f t="shared" ca="1" si="13"/>
        <v>5450000.0000000009</v>
      </c>
      <c r="E148" s="250">
        <f t="shared" ca="1" si="14"/>
        <v>2137036</v>
      </c>
      <c r="F148" s="314">
        <f t="shared" ref="F148:F153" ca="1" si="16">E148/D148</f>
        <v>0.39211669724770637</v>
      </c>
      <c r="G148" s="274">
        <f t="shared" ca="1" si="15"/>
        <v>641110.79999999993</v>
      </c>
    </row>
    <row r="149" spans="1:7" ht="21" customHeight="1" x14ac:dyDescent="0.25">
      <c r="B149" s="228" t="s">
        <v>837</v>
      </c>
      <c r="C149" s="250">
        <f t="shared" ca="1" si="12"/>
        <v>330000</v>
      </c>
      <c r="D149" s="549">
        <f t="shared" ca="1" si="13"/>
        <v>300000</v>
      </c>
      <c r="E149" s="250">
        <f t="shared" ca="1" si="14"/>
        <v>75390</v>
      </c>
      <c r="F149" s="314">
        <f t="shared" ca="1" si="16"/>
        <v>0.25130000000000002</v>
      </c>
      <c r="G149" s="274">
        <f t="shared" ca="1" si="15"/>
        <v>22617</v>
      </c>
    </row>
    <row r="150" spans="1:7" ht="21" customHeight="1" x14ac:dyDescent="0.25">
      <c r="B150" s="228" t="s">
        <v>838</v>
      </c>
      <c r="C150" s="250">
        <f t="shared" ca="1" si="12"/>
        <v>7040000.0000000009</v>
      </c>
      <c r="D150" s="549">
        <f t="shared" ca="1" si="13"/>
        <v>6400000.0000000009</v>
      </c>
      <c r="E150" s="250">
        <f t="shared" ca="1" si="14"/>
        <v>2590000</v>
      </c>
      <c r="F150" s="314">
        <f t="shared" ca="1" si="16"/>
        <v>0.40468749999999992</v>
      </c>
      <c r="G150" s="274">
        <f t="shared" ca="1" si="15"/>
        <v>777000</v>
      </c>
    </row>
    <row r="151" spans="1:7" ht="21" customHeight="1" x14ac:dyDescent="0.25">
      <c r="B151" s="228" t="s">
        <v>839</v>
      </c>
      <c r="C151" s="250">
        <f t="shared" ca="1" si="12"/>
        <v>1617000.0000000002</v>
      </c>
      <c r="D151" s="549">
        <f t="shared" ca="1" si="13"/>
        <v>1470000.0000000002</v>
      </c>
      <c r="E151" s="250">
        <f t="shared" ca="1" si="14"/>
        <v>345000</v>
      </c>
      <c r="F151" s="314">
        <f t="shared" ca="1" si="16"/>
        <v>0.23469387755102036</v>
      </c>
      <c r="G151" s="274">
        <f t="shared" ca="1" si="15"/>
        <v>103500</v>
      </c>
    </row>
    <row r="152" spans="1:7" ht="21" customHeight="1" x14ac:dyDescent="0.25">
      <c r="B152" s="228" t="s">
        <v>411</v>
      </c>
      <c r="C152" s="250">
        <f t="shared" ca="1" si="12"/>
        <v>1153900.0000000002</v>
      </c>
      <c r="D152" s="549">
        <f t="shared" ca="1" si="13"/>
        <v>1049000.0000000002</v>
      </c>
      <c r="E152" s="250">
        <f t="shared" ca="1" si="14"/>
        <v>393146</v>
      </c>
      <c r="F152" s="314">
        <f t="shared" ca="1" si="16"/>
        <v>0.37478169685414675</v>
      </c>
      <c r="G152" s="274">
        <f t="shared" ca="1" si="15"/>
        <v>117943.8</v>
      </c>
    </row>
    <row r="153" spans="1:7" ht="21" customHeight="1" x14ac:dyDescent="0.25">
      <c r="A153" s="293"/>
      <c r="B153" s="279"/>
      <c r="C153" s="278">
        <f ca="1">SUM(C147:C152)</f>
        <v>16850900.000000004</v>
      </c>
      <c r="D153" s="278">
        <f ca="1">SUM(D147:D152)</f>
        <v>15319000.000000002</v>
      </c>
      <c r="E153" s="278">
        <f ca="1">SUM(E147:E152)</f>
        <v>5748662</v>
      </c>
      <c r="F153" s="294">
        <f t="shared" ca="1" si="16"/>
        <v>0.37526352895097587</v>
      </c>
      <c r="G153" s="280">
        <f ca="1">SUM(G147:G152)</f>
        <v>1724598.5999999999</v>
      </c>
    </row>
    <row r="154" spans="1:7" ht="21" customHeight="1" x14ac:dyDescent="0.25">
      <c r="A154" s="798">
        <v>2017.1</v>
      </c>
      <c r="B154" s="228" t="s">
        <v>835</v>
      </c>
      <c r="C154" s="250">
        <f ca="1">SUMIFS(INDIRECT("Report!F100:F1000"),INDIRECT("Report!B100:B1000"),B154,INDIRECT("report!H100:H1000"),"Technotrans",INDIRECT("Report!L100:L1000"),"17.10")</f>
        <v>770000.00000000012</v>
      </c>
      <c r="D154" s="549">
        <f ca="1">(C154/11*10)</f>
        <v>700000.00000000012</v>
      </c>
      <c r="E154" s="250">
        <f ca="1">SUMIFS(INDIRECT("Report!J100:J1000"),INDIRECT("Report!B100:B1000"),B154,INDIRECT("report!H100:H1000"),"Technotrans",INDIRECT("Report!L100:L1000"),"17.10")</f>
        <v>700000</v>
      </c>
      <c r="F154" s="314">
        <f t="shared" ref="F154:F161" ca="1" si="17">E154/D154</f>
        <v>0.99999999999999989</v>
      </c>
      <c r="G154" s="274">
        <f ca="1">E154*30%</f>
        <v>210000</v>
      </c>
    </row>
    <row r="155" spans="1:7" ht="21" customHeight="1" x14ac:dyDescent="0.25">
      <c r="A155" s="817"/>
      <c r="B155" s="228" t="s">
        <v>478</v>
      </c>
      <c r="C155" s="250">
        <f ca="1">SUMIFS(INDIRECT("Report!F100:F1000"),INDIRECT("Report!B100:B1000"),B155,INDIRECT("report!H100:H1000"),"Technotrans",INDIRECT("Report!L100:L1000"),"17.10")</f>
        <v>247500.00000000003</v>
      </c>
      <c r="D155" s="549">
        <f ca="1">(C155/11*10)</f>
        <v>225000.00000000003</v>
      </c>
      <c r="E155" s="250">
        <f ca="1">SUMIFS(INDIRECT("Report!J100:J1000"),INDIRECT("Report!B100:B1000"),B155,INDIRECT("report!H100:H1000"),"Technotrans",INDIRECT("Report!L100:L1000"),"17.10")</f>
        <v>112695</v>
      </c>
      <c r="F155" s="314">
        <f t="shared" ca="1" si="17"/>
        <v>0.50086666666666657</v>
      </c>
      <c r="G155" s="274">
        <f ca="1">E155*30%</f>
        <v>33808.5</v>
      </c>
    </row>
    <row r="156" spans="1:7" ht="21" customHeight="1" x14ac:dyDescent="0.25">
      <c r="A156" s="293"/>
      <c r="B156" s="279"/>
      <c r="C156" s="278">
        <f ca="1">SUM(C154:C155)</f>
        <v>1017500.0000000001</v>
      </c>
      <c r="D156" s="278">
        <f ca="1">SUM(D154:D155)</f>
        <v>925000.00000000012</v>
      </c>
      <c r="E156" s="278">
        <f ca="1">SUM(E154:E155)</f>
        <v>812695</v>
      </c>
      <c r="F156" s="294">
        <f t="shared" ca="1" si="17"/>
        <v>0.87858918918918905</v>
      </c>
      <c r="G156" s="280">
        <f ca="1">SUM(G154:G155)</f>
        <v>243808.5</v>
      </c>
    </row>
    <row r="157" spans="1:7" ht="21" customHeight="1" x14ac:dyDescent="0.25">
      <c r="A157" s="798">
        <v>2017.11</v>
      </c>
      <c r="B157" s="228" t="s">
        <v>937</v>
      </c>
      <c r="C157" s="250">
        <f ca="1">SUMIFS(INDIRECT("Report!F100:F1000"),INDIRECT("Report!B100:B1000"),B157,INDIRECT("report!H100:H1000"),"Technotrans",INDIRECT("Report!L100:L1000"),"17.11")</f>
        <v>275000</v>
      </c>
      <c r="D157" s="549">
        <f ca="1">(C157/11*10)</f>
        <v>250000</v>
      </c>
      <c r="E157" s="250">
        <f ca="1">SUMIFS(INDIRECT("Report!J100:J1000"),INDIRECT("Report!B100:B1000"),B157,INDIRECT("report!H100:H1000"),"Technotrans",INDIRECT("Report!L100:L1000"),"17.11")</f>
        <v>250000</v>
      </c>
      <c r="F157" s="314">
        <f t="shared" ca="1" si="17"/>
        <v>1</v>
      </c>
      <c r="G157" s="274">
        <f ca="1">E157*10%</f>
        <v>25000</v>
      </c>
    </row>
    <row r="158" spans="1:7" ht="21" customHeight="1" x14ac:dyDescent="0.25">
      <c r="B158" s="228" t="s">
        <v>411</v>
      </c>
      <c r="C158" s="250">
        <f ca="1">SUMIFS(INDIRECT("Report!F100:F1000"),INDIRECT("Report!B100:B1000"),B158,INDIRECT("report!H100:H1000"),"Technotrans",INDIRECT("Report!L100:L1000"),"17.11")</f>
        <v>770000.00000000012</v>
      </c>
      <c r="D158" s="549">
        <f ca="1">(C158/11*10)</f>
        <v>700000.00000000012</v>
      </c>
      <c r="E158" s="250">
        <f ca="1">SUMIFS(INDIRECT("Report!J100:J1000"),INDIRECT("Report!B100:B1000"),B158,INDIRECT("report!H100:H1000"),"Technotrans",INDIRECT("Report!L100:L1000"),"17.11")</f>
        <v>700000</v>
      </c>
      <c r="F158" s="314">
        <f t="shared" ca="1" si="17"/>
        <v>0.99999999999999989</v>
      </c>
      <c r="G158" s="274">
        <f ca="1">E158*30%</f>
        <v>210000</v>
      </c>
    </row>
    <row r="159" spans="1:7" ht="21" customHeight="1" x14ac:dyDescent="0.25">
      <c r="B159" s="228" t="s">
        <v>762</v>
      </c>
      <c r="C159" s="250">
        <f ca="1">SUMIFS(INDIRECT("Report!F100:F1000"),INDIRECT("Report!B100:B1000"),B159,INDIRECT("report!H100:H1000"),"Technotrans",INDIRECT("Report!L100:L1000"),"17.11")</f>
        <v>165000</v>
      </c>
      <c r="D159" s="549">
        <f ca="1">(C159/11*10)</f>
        <v>150000</v>
      </c>
      <c r="E159" s="250">
        <f ca="1">SUMIFS(INDIRECT("Report!J100:J1000"),INDIRECT("Report!B100:B1000"),B159,INDIRECT("report!H100:H1000"),"Technotrans",INDIRECT("Report!L100:L1000"),"17.11")</f>
        <v>150000</v>
      </c>
      <c r="F159" s="314">
        <f t="shared" ca="1" si="17"/>
        <v>1</v>
      </c>
      <c r="G159" s="274">
        <f ca="1">E159*30%</f>
        <v>45000</v>
      </c>
    </row>
    <row r="160" spans="1:7" ht="21" customHeight="1" x14ac:dyDescent="0.25">
      <c r="B160" s="228" t="s">
        <v>938</v>
      </c>
      <c r="C160" s="250">
        <f ca="1">SUMIFS(INDIRECT("Report!F100:F1000"),INDIRECT("Report!B100:B1000"),B160,INDIRECT("report!H100:H1000"),"Technotrans",INDIRECT("Report!L100:L1000"),"17.11")</f>
        <v>330000</v>
      </c>
      <c r="D160" s="549">
        <f ca="1">(C160/11*10)</f>
        <v>300000</v>
      </c>
      <c r="E160" s="250">
        <f ca="1">SUMIFS(INDIRECT("Report!J100:J1000"),INDIRECT("Report!B100:B1000"),B160,INDIRECT("report!H100:H1000"),"Technotrans",INDIRECT("Report!L100:L1000"),"17.11")</f>
        <v>300000</v>
      </c>
      <c r="F160" s="314">
        <f t="shared" ca="1" si="17"/>
        <v>1</v>
      </c>
      <c r="G160" s="274">
        <f ca="1">E160*30%</f>
        <v>90000</v>
      </c>
    </row>
    <row r="161" spans="1:11" ht="21" customHeight="1" x14ac:dyDescent="0.25">
      <c r="B161" s="228" t="s">
        <v>838</v>
      </c>
      <c r="C161" s="250">
        <f ca="1">SUMIFS(INDIRECT("Report!F100:F1000"),INDIRECT("Report!B100:B1000"),B161,INDIRECT("report!H100:H1000"),"Technotrans",INDIRECT("Report!L100:L1000"),"17.11")</f>
        <v>1078000</v>
      </c>
      <c r="D161" s="549">
        <f ca="1">(C161/11*10)</f>
        <v>980000</v>
      </c>
      <c r="E161" s="250">
        <f ca="1">SUMIFS(INDIRECT("Report!J100:J1000"),INDIRECT("Report!B100:B1000"),B161,INDIRECT("report!H100:H1000"),"Technotrans",INDIRECT("Report!L100:L1000"),"17.11")</f>
        <v>980000</v>
      </c>
      <c r="F161" s="314">
        <f t="shared" ca="1" si="17"/>
        <v>1</v>
      </c>
      <c r="G161" s="274">
        <f ca="1">E161*30%</f>
        <v>294000</v>
      </c>
    </row>
    <row r="162" spans="1:11" ht="21" customHeight="1" x14ac:dyDescent="0.25">
      <c r="A162" s="293"/>
      <c r="B162" s="279"/>
      <c r="C162" s="278">
        <f ca="1">SUM(C157:C161)</f>
        <v>2618000</v>
      </c>
      <c r="D162" s="278">
        <f ca="1">SUM(D157:D161)</f>
        <v>2380000</v>
      </c>
      <c r="E162" s="278">
        <f ca="1">SUM(E157:E161)</f>
        <v>2380000</v>
      </c>
      <c r="F162" s="294">
        <f ca="1">E162/D162</f>
        <v>1</v>
      </c>
      <c r="G162" s="280">
        <f ca="1">SUM(G157:G161)</f>
        <v>664000</v>
      </c>
    </row>
    <row r="163" spans="1:11" ht="21" customHeight="1" x14ac:dyDescent="0.25">
      <c r="A163" s="798">
        <v>2017.12</v>
      </c>
      <c r="B163" s="228" t="s">
        <v>996</v>
      </c>
      <c r="C163" s="250">
        <f ca="1">SUMIFS(INDIRECT("Report!F100:F1000"),INDIRECT("Report!B100:B1000"),B163,INDIRECT("report!H100:H1000"),"Technotrans",INDIRECT("Report!L100:L1000"),"17.12")</f>
        <v>330000</v>
      </c>
      <c r="D163" s="549">
        <f ca="1">(C163/11*10)</f>
        <v>300000</v>
      </c>
      <c r="E163" s="250">
        <f ca="1">SUMIFS(INDIRECT("Report!J100:J1000"),INDIRECT("Report!B100:B1000"),B163,INDIRECT("report!H100:H1000"),"Technotrans",INDIRECT("Report!L100:L1000"),"17.12")</f>
        <v>300000</v>
      </c>
      <c r="F163" s="314">
        <f t="shared" ref="F163:F168" ca="1" si="18">E163/D163</f>
        <v>1</v>
      </c>
      <c r="G163" s="274">
        <f ca="1">E163*30%</f>
        <v>90000</v>
      </c>
      <c r="H163" s="1227"/>
      <c r="I163" s="1227"/>
      <c r="J163" s="1227"/>
      <c r="K163" s="1227"/>
    </row>
    <row r="164" spans="1:11" ht="21" customHeight="1" x14ac:dyDescent="0.25">
      <c r="B164" s="228" t="s">
        <v>601</v>
      </c>
      <c r="C164" s="250">
        <f ca="1">SUMIFS(INDIRECT("Report!F100:F1000"),INDIRECT("Report!B100:B1000"),B164,INDIRECT("report!H100:H1000"),"Technotrans",INDIRECT("Report!L100:L1000"),"17.12")</f>
        <v>231000.00000000003</v>
      </c>
      <c r="D164" s="549">
        <f ca="1">(C164/11*10)</f>
        <v>210000.00000000003</v>
      </c>
      <c r="E164" s="250">
        <f ca="1">SUMIFS(INDIRECT("Report!J100:J1000"),INDIRECT("Report!B100:B1000"),B164,INDIRECT("report!H100:H1000"),"Technotrans",INDIRECT("Report!L100:L1000"),"17.12")</f>
        <v>210000</v>
      </c>
      <c r="F164" s="314">
        <f t="shared" ca="1" si="18"/>
        <v>0.99999999999999989</v>
      </c>
      <c r="G164" s="274">
        <f ca="1">E164*30%</f>
        <v>63000</v>
      </c>
    </row>
    <row r="165" spans="1:11" ht="21" customHeight="1" x14ac:dyDescent="0.25">
      <c r="B165" s="228" t="s">
        <v>938</v>
      </c>
      <c r="C165" s="250">
        <f ca="1">SUMIFS(INDIRECT("Report!F100:F1000"),INDIRECT("Report!B100:B1000"),B165,INDIRECT("report!H100:H1000"),"Technotrans",INDIRECT("Report!L100:L1000"),"17.12")</f>
        <v>352000</v>
      </c>
      <c r="D165" s="549">
        <f ca="1">(C165/11*10)</f>
        <v>320000</v>
      </c>
      <c r="E165" s="250">
        <f ca="1">SUMIFS(INDIRECT("Report!J100:J1000"),INDIRECT("Report!B100:B1000"),B165,INDIRECT("report!H100:H1000"),"Technotrans",INDIRECT("Report!L100:L1000"),"17.12")</f>
        <v>320000</v>
      </c>
      <c r="F165" s="314">
        <f t="shared" ca="1" si="18"/>
        <v>1</v>
      </c>
      <c r="G165" s="274">
        <f ca="1">E165*30%</f>
        <v>96000</v>
      </c>
    </row>
    <row r="166" spans="1:11" ht="21" customHeight="1" x14ac:dyDescent="0.25">
      <c r="B166" s="228" t="s">
        <v>486</v>
      </c>
      <c r="C166" s="250">
        <f ca="1">SUMIFS(INDIRECT("Report!F100:F1000"),INDIRECT("Report!B100:B1000"),B166,INDIRECT("report!H100:H1000"),"Technotrans",INDIRECT("Report!L100:L1000"),"17.12")</f>
        <v>1529000</v>
      </c>
      <c r="D166" s="549">
        <f ca="1">(C166/11*10)</f>
        <v>1390000</v>
      </c>
      <c r="E166" s="250">
        <f ca="1">SUMIFS(INDIRECT("Report!J100:J1000"),INDIRECT("Report!B100:B1000"),B166,INDIRECT("report!H100:H1000"),"Technotrans",INDIRECT("Report!L100:L1000"),"17.12")</f>
        <v>1390000</v>
      </c>
      <c r="F166" s="314">
        <f t="shared" ca="1" si="18"/>
        <v>1</v>
      </c>
      <c r="G166" s="274">
        <f ca="1">E166*30%</f>
        <v>417000</v>
      </c>
    </row>
    <row r="167" spans="1:11" ht="21" customHeight="1" x14ac:dyDescent="0.25">
      <c r="B167" s="228" t="s">
        <v>997</v>
      </c>
      <c r="C167" s="250">
        <f ca="1">SUMIFS(INDIRECT("Report!F100:F1000"),INDIRECT("Report!B100:B1000"),B167,INDIRECT("report!H100:H1000"),"Technotrans",INDIRECT("Report!L100:L1000"),"17.12")</f>
        <v>115500.00000000001</v>
      </c>
      <c r="D167" s="540">
        <f ca="1">(C167/11*10)</f>
        <v>105000.00000000001</v>
      </c>
      <c r="E167" s="250">
        <f ca="1">SUMIFS(INDIRECT("Report!J100:J1000"),INDIRECT("Report!B100:B1000"),B167,INDIRECT("report!H100:H1000"),"Technotrans",INDIRECT("Report!L100:L1000"),"17.12")</f>
        <v>105000</v>
      </c>
      <c r="F167" s="314">
        <f t="shared" ca="1" si="18"/>
        <v>0.99999999999999989</v>
      </c>
      <c r="G167" s="274">
        <f ca="1">E167*30%</f>
        <v>31500</v>
      </c>
      <c r="H167" s="228"/>
      <c r="I167" s="228"/>
    </row>
    <row r="168" spans="1:11" ht="21" customHeight="1" x14ac:dyDescent="0.25">
      <c r="A168" s="293"/>
      <c r="B168" s="279"/>
      <c r="C168" s="278">
        <f ca="1">SUM(C163:C167)</f>
        <v>2557500</v>
      </c>
      <c r="D168" s="278">
        <f ca="1">SUM(D163:D167)</f>
        <v>2325000</v>
      </c>
      <c r="E168" s="278">
        <f ca="1">SUM(E163:E166)</f>
        <v>2220000</v>
      </c>
      <c r="F168" s="294">
        <f t="shared" ca="1" si="18"/>
        <v>0.95483870967741935</v>
      </c>
      <c r="G168" s="280">
        <f ca="1">SUM(G163:G167)</f>
        <v>697500</v>
      </c>
    </row>
    <row r="169" spans="1:11" ht="21" customHeight="1" x14ac:dyDescent="0.25">
      <c r="A169" s="911">
        <v>2018.1</v>
      </c>
      <c r="B169" s="228" t="s">
        <v>411</v>
      </c>
      <c r="C169" s="250">
        <f ca="1">SUMIFS(INDIRECT("Report!F100:F1000"),INDIRECT("Report!B100:B1000"),B169,INDIRECT("report!H100:H1000"),"Technotrans",INDIRECT("Report!L100:L1000"),"18.1")</f>
        <v>3932500</v>
      </c>
      <c r="D169" s="549">
        <f ca="1">(C169/11*10)</f>
        <v>3575000</v>
      </c>
      <c r="E169" s="250">
        <f ca="1">SUMIFS(INDIRECT("Report!J100:J1000"),INDIRECT("Report!B100:B1000"),B169,INDIRECT("report!H100:H1000"),"Technotrans",INDIRECT("Report!L100:L1000"),"18.1")</f>
        <v>1539666.5347584102</v>
      </c>
      <c r="F169" s="314">
        <f t="shared" ref="F169:F174" ca="1" si="19">E169/D169</f>
        <v>0.43067595377857626</v>
      </c>
      <c r="G169" s="274">
        <f ca="1">E169*20%</f>
        <v>307933.30695168203</v>
      </c>
    </row>
    <row r="170" spans="1:11" ht="21" customHeight="1" x14ac:dyDescent="0.25">
      <c r="B170" s="740" t="s">
        <v>601</v>
      </c>
      <c r="C170" s="912">
        <f ca="1">SUMIFS(INDIRECT("Report!F100:F1000"),INDIRECT("Report!B100:B1000"),B170,INDIRECT("report!H100:H1000"),"Technotrans",INDIRECT("Report!L100:L1000"),"18.1")</f>
        <v>50600000.000000007</v>
      </c>
      <c r="D170" s="913">
        <f ca="1">(C170/11*10)</f>
        <v>46000000.000000007</v>
      </c>
      <c r="E170" s="912">
        <f ca="1">SUMIFS(INDIRECT("Report!J100:J1000"),INDIRECT("Report!B100:B1000"),B170,INDIRECT("report!H100:H1000"),"Technotrans",INDIRECT("Report!L100:L1000"),"18.1")</f>
        <v>12606469.110623363</v>
      </c>
      <c r="F170" s="314">
        <f t="shared" ca="1" si="19"/>
        <v>0.27405367631789918</v>
      </c>
      <c r="G170" s="274"/>
      <c r="H170" s="328" t="s">
        <v>1174</v>
      </c>
    </row>
    <row r="171" spans="1:11" ht="21" customHeight="1" x14ac:dyDescent="0.25">
      <c r="B171" s="228" t="s">
        <v>484</v>
      </c>
      <c r="C171" s="250">
        <f ca="1">SUMIFS(INDIRECT("Report!F100:F1000"),INDIRECT("Report!B100:B1000"),B171,INDIRECT("report!H100:H1000"),"Technotrans",INDIRECT("Report!L100:L1000"),"18.1")</f>
        <v>660000</v>
      </c>
      <c r="D171" s="549">
        <f ca="1">(C171/11*10)</f>
        <v>600000</v>
      </c>
      <c r="E171" s="250">
        <f ca="1">SUMIFS(INDIRECT("Report!J100:J1000"),INDIRECT("Report!B100:B1000"),B171,INDIRECT("report!H100:H1000"),"Technotrans",INDIRECT("Report!L100:L1000"),"18.1")</f>
        <v>150780</v>
      </c>
      <c r="F171" s="314">
        <f t="shared" ca="1" si="19"/>
        <v>0.25130000000000002</v>
      </c>
      <c r="G171" s="274">
        <f ca="1">E171*20%</f>
        <v>30156</v>
      </c>
    </row>
    <row r="172" spans="1:11" ht="21" customHeight="1" x14ac:dyDescent="0.25">
      <c r="B172" s="228" t="s">
        <v>485</v>
      </c>
      <c r="C172" s="250">
        <f ca="1">SUMIFS(INDIRECT("Report!F100:F1000"),INDIRECT("Report!B100:B1000"),B172,INDIRECT("report!H100:H1000"),"Technotrans",INDIRECT("Report!L100:L1000"),"18.1")</f>
        <v>495000.00000000006</v>
      </c>
      <c r="D172" s="549">
        <f ca="1">(C172/11*10)</f>
        <v>450000.00000000006</v>
      </c>
      <c r="E172" s="250">
        <f ca="1">SUMIFS(INDIRECT("Report!J100:J1000"),INDIRECT("Report!B100:B1000"),B172,INDIRECT("report!H100:H1000"),"Technotrans",INDIRECT("Report!L100:L1000"),"18.1")</f>
        <v>450000</v>
      </c>
      <c r="F172" s="314">
        <f t="shared" ca="1" si="19"/>
        <v>0.99999999999999989</v>
      </c>
      <c r="G172" s="274">
        <f ca="1">E172*20%</f>
        <v>90000</v>
      </c>
    </row>
    <row r="173" spans="1:11" ht="21" customHeight="1" x14ac:dyDescent="0.25">
      <c r="B173" s="228" t="s">
        <v>1046</v>
      </c>
      <c r="C173" s="250">
        <f ca="1">SUMIFS(INDIRECT("Report!F100:F1000"),INDIRECT("Report!B100:B1000"),B173,INDIRECT("report!H100:H1000"),"Technotrans",INDIRECT("Report!L100:L1000"),"18.1")</f>
        <v>115500.00000000001</v>
      </c>
      <c r="D173" s="540">
        <f ca="1">(C173/11*10)</f>
        <v>105000.00000000001</v>
      </c>
      <c r="E173" s="250">
        <f ca="1">SUMIFS(INDIRECT("Report!J100:J1000"),INDIRECT("Report!B100:B1000"),B173,INDIRECT("report!H100:H1000"),"Technotrans",INDIRECT("Report!L100:L1000"),"18.1")</f>
        <v>105000</v>
      </c>
      <c r="F173" s="314">
        <f t="shared" ca="1" si="19"/>
        <v>0.99999999999999989</v>
      </c>
      <c r="G173" s="274">
        <f ca="1">E173*20%</f>
        <v>21000</v>
      </c>
    </row>
    <row r="174" spans="1:11" ht="21" customHeight="1" x14ac:dyDescent="0.25">
      <c r="A174" s="293"/>
      <c r="B174" s="279"/>
      <c r="C174" s="278">
        <f ca="1">SUM(C169:C173)</f>
        <v>55803000.000000007</v>
      </c>
      <c r="D174" s="278">
        <f ca="1">SUM(D169:D173)</f>
        <v>50730000.000000007</v>
      </c>
      <c r="E174" s="278">
        <f ca="1">SUM(E169:E173)</f>
        <v>14851915.645381773</v>
      </c>
      <c r="F174" s="294">
        <f t="shared" ca="1" si="19"/>
        <v>0.29276395910470671</v>
      </c>
      <c r="G174" s="280">
        <f ca="1">SUM(G169:G173)</f>
        <v>449089.30695168203</v>
      </c>
    </row>
    <row r="175" spans="1:11" ht="21" customHeight="1" x14ac:dyDescent="0.25">
      <c r="A175" s="911">
        <v>2018.2</v>
      </c>
      <c r="B175" s="228" t="s">
        <v>550</v>
      </c>
      <c r="C175" s="250">
        <f ca="1">SUMIFS(INDIRECT("Report!F100:F1000"),INDIRECT("Report!B100:B1000"),B175,INDIRECT("report!H100:H1000"),"Technotrans",INDIRECT("Report!L100:L1000"),"18.2")</f>
        <v>2200000</v>
      </c>
      <c r="D175" s="549">
        <f ca="1">(C175/11*10)</f>
        <v>2000000</v>
      </c>
      <c r="E175" s="250">
        <f ca="1">SUMIFS(INDIRECT("Report!J100:J1000"),INDIRECT("Report!B100:B1000"),B175,INDIRECT("report!H100:H1000"),"Technotrans",INDIRECT("Report!L100:L1000"),"18.2")</f>
        <v>844929.63448435429</v>
      </c>
      <c r="F175" s="314">
        <f t="shared" ref="F175:F180" ca="1" si="20">E175/D175</f>
        <v>0.42246481724217716</v>
      </c>
      <c r="G175" s="274">
        <f ca="1">E175*20%</f>
        <v>168985.92689687086</v>
      </c>
    </row>
    <row r="176" spans="1:11" ht="21" customHeight="1" x14ac:dyDescent="0.25">
      <c r="B176" s="228" t="s">
        <v>478</v>
      </c>
      <c r="C176" s="250">
        <f ca="1">SUMIFS(INDIRECT("Report!F100:F1000"),INDIRECT("Report!B100:B1000"),B176,INDIRECT("report!H100:H1000"),"Technotrans",INDIRECT("Report!L100:L1000"),"18.2")</f>
        <v>247500.00000000003</v>
      </c>
      <c r="D176" s="549">
        <f ca="1">(C176/11*10)</f>
        <v>225000.00000000003</v>
      </c>
      <c r="E176" s="250">
        <f ca="1">SUMIFS(INDIRECT("Report!J100:J1000"),INDIRECT("Report!B100:B1000"),B176,INDIRECT("report!H100:H1000"),"Technotrans",INDIRECT("Report!L100:L1000"),"18.2")</f>
        <v>112695</v>
      </c>
      <c r="F176" s="314">
        <f t="shared" ca="1" si="20"/>
        <v>0.50086666666666657</v>
      </c>
      <c r="G176" s="274">
        <f ca="1">E176*20%</f>
        <v>22539</v>
      </c>
    </row>
    <row r="177" spans="1:9" ht="21" customHeight="1" x14ac:dyDescent="0.25">
      <c r="B177" s="228" t="s">
        <v>411</v>
      </c>
      <c r="C177" s="250">
        <f ca="1">SUMIFS(INDIRECT("Report!F100:F1000"),INDIRECT("Report!B100:B1000"),B177,INDIRECT("report!H100:H1000"),"Technotrans",INDIRECT("Report!L100:L1000"),"18.2")</f>
        <v>2054800.0000000005</v>
      </c>
      <c r="D177" s="549">
        <f ca="1">(C177/11*10)</f>
        <v>1868000.0000000002</v>
      </c>
      <c r="E177" s="250">
        <f ca="1">SUMIFS(INDIRECT("Report!J100:J1000"),INDIRECT("Report!B100:B1000"),B177,INDIRECT("report!H100:H1000"),"Technotrans",INDIRECT("Report!L100:L1000"),"18.2")</f>
        <v>969560</v>
      </c>
      <c r="F177" s="314">
        <f t="shared" ca="1" si="20"/>
        <v>0.51903640256959305</v>
      </c>
      <c r="G177" s="274">
        <f ca="1">E177*20%</f>
        <v>193912</v>
      </c>
    </row>
    <row r="178" spans="1:9" ht="21" customHeight="1" x14ac:dyDescent="0.25">
      <c r="B178" s="228" t="s">
        <v>838</v>
      </c>
      <c r="C178" s="250">
        <f ca="1">SUMIFS(INDIRECT("Report!F100:F1000"),INDIRECT("Report!B100:B1000"),B178,INDIRECT("report!H100:H1000"),"Technotrans",INDIRECT("Report!L100:L1000"),"18.2")</f>
        <v>440000.00000000006</v>
      </c>
      <c r="D178" s="549">
        <f ca="1">(C178/11*10)</f>
        <v>400000.00000000006</v>
      </c>
      <c r="E178" s="250">
        <f ca="1">SUMIFS(INDIRECT("Report!J100:J1000"),INDIRECT("Report!B100:B1000"),B178,INDIRECT("report!H100:H1000"),"Technotrans",INDIRECT("Report!L100:L1000"),"18.2")</f>
        <v>175390</v>
      </c>
      <c r="F178" s="314">
        <f t="shared" ca="1" si="20"/>
        <v>0.43847499999999995</v>
      </c>
      <c r="G178" s="274">
        <f ca="1">E178*20%</f>
        <v>35078</v>
      </c>
    </row>
    <row r="179" spans="1:9" ht="21" customHeight="1" x14ac:dyDescent="0.25">
      <c r="B179" s="228" t="s">
        <v>839</v>
      </c>
      <c r="C179" s="250">
        <f ca="1">SUMIFS(INDIRECT("Report!F100:F1000"),INDIRECT("Report!B100:B1000"),B179,INDIRECT("report!H100:H1000"),"Technotrans",INDIRECT("Report!L100:L1000"),"18.2")</f>
        <v>7480000.0000000009</v>
      </c>
      <c r="D179" s="540">
        <f ca="1">(C179/11*10)</f>
        <v>6800000.0000000009</v>
      </c>
      <c r="E179" s="250">
        <f ca="1">SUMIFS(INDIRECT("Report!J100:J1000"),INDIRECT("Report!B100:B1000"),B179,INDIRECT("report!H100:H1000"),"Technotrans",INDIRECT("Report!L100:L1000"),"18.2")</f>
        <v>6200000</v>
      </c>
      <c r="F179" s="314">
        <f t="shared" ca="1" si="20"/>
        <v>0.91176470588235281</v>
      </c>
      <c r="G179" s="274">
        <f ca="1">E179*20%</f>
        <v>1240000</v>
      </c>
      <c r="H179" s="1227" t="s">
        <v>1101</v>
      </c>
      <c r="I179" s="1227"/>
    </row>
    <row r="180" spans="1:9" ht="21" customHeight="1" x14ac:dyDescent="0.25">
      <c r="A180" s="293"/>
      <c r="B180" s="279"/>
      <c r="C180" s="278">
        <f ca="1">SUM(C175:C179)</f>
        <v>12422300</v>
      </c>
      <c r="D180" s="278">
        <f ca="1">SUM(D175:D179)</f>
        <v>11293000</v>
      </c>
      <c r="E180" s="278">
        <f ca="1">SUM(E175:E179)</f>
        <v>8302574.6344843544</v>
      </c>
      <c r="F180" s="294">
        <f t="shared" ca="1" si="20"/>
        <v>0.7351965495868551</v>
      </c>
      <c r="G180" s="280">
        <f ca="1">SUM(G175:G178)</f>
        <v>420514.92689687083</v>
      </c>
      <c r="H180" s="1227" t="s">
        <v>1102</v>
      </c>
      <c r="I180" s="1227"/>
    </row>
    <row r="181" spans="1:9" ht="21" customHeight="1" x14ac:dyDescent="0.25">
      <c r="A181" s="911">
        <v>2018.3</v>
      </c>
      <c r="B181" s="228" t="s">
        <v>411</v>
      </c>
      <c r="C181" s="250">
        <f ca="1">SUMIFS(INDIRECT("Report!F100:F1000"),INDIRECT("Report!B100:B1000"),B181,INDIRECT("report!H100:H1000"),"Technotrans",INDIRECT("Report!L100:L1000"),"18.3")</f>
        <v>2464000</v>
      </c>
      <c r="D181" s="549">
        <f ca="1">(C181/11*10)</f>
        <v>2240000</v>
      </c>
      <c r="E181" s="250">
        <f ca="1">SUMIFS(INDIRECT("Report!J100:J1000"),INDIRECT("Report!B100:B1000"),B181,INDIRECT("report!H100:H1000"),"Technotrans",INDIRECT("Report!L100:L1000"),"18.3")</f>
        <v>1229763.4304051346</v>
      </c>
      <c r="F181" s="314">
        <f t="shared" ref="F181:F186" ca="1" si="21">E181/D181</f>
        <v>0.54900153143086361</v>
      </c>
      <c r="G181" s="274">
        <f ca="1">E181*20%</f>
        <v>245952.68608102691</v>
      </c>
    </row>
    <row r="182" spans="1:9" ht="21" customHeight="1" x14ac:dyDescent="0.25">
      <c r="B182" s="228" t="s">
        <v>1162</v>
      </c>
      <c r="C182" s="250">
        <f ca="1">SUMIFS(INDIRECT("Report!F100:F1000"),INDIRECT("Report!B100:B1000"),B182,INDIRECT("report!H100:H1000"),"Technotrans",INDIRECT("Report!L100:L1000"),"18.3")</f>
        <v>4950000</v>
      </c>
      <c r="D182" s="549">
        <f ca="1">(C182/11*10)</f>
        <v>4500000</v>
      </c>
      <c r="E182" s="250">
        <f ca="1">SUMIFS(INDIRECT("Report!J100:J1000"),INDIRECT("Report!B100:B1000"),B182,INDIRECT("report!H100:H1000"),"Technotrans",INDIRECT("Report!L100:L1000"),"18.3")</f>
        <v>1357075.1313373195</v>
      </c>
      <c r="F182" s="314">
        <f t="shared" ca="1" si="21"/>
        <v>0.30157225140829325</v>
      </c>
      <c r="G182" s="274">
        <f ca="1">E182*20%</f>
        <v>271415.02626746392</v>
      </c>
    </row>
    <row r="183" spans="1:9" ht="21" customHeight="1" x14ac:dyDescent="0.25">
      <c r="B183" s="228" t="s">
        <v>593</v>
      </c>
      <c r="C183" s="250">
        <f ca="1">SUMIFS(INDIRECT("Report!F100:F1000"),INDIRECT("Report!B100:B1000"),B183,INDIRECT("report!H100:H1000"),"Technotrans",INDIRECT("Report!L100:L1000"),"18.3")</f>
        <v>192500.00000000003</v>
      </c>
      <c r="D183" s="549">
        <f ca="1">(C183/11*10)</f>
        <v>175000.00000000003</v>
      </c>
      <c r="E183" s="250">
        <f ca="1">SUMIFS(INDIRECT("Report!J100:J1000"),INDIRECT("Report!B100:B1000"),B183,INDIRECT("report!H100:H1000"),"Technotrans",INDIRECT("Report!L100:L1000"),"18.3")</f>
        <v>175000</v>
      </c>
      <c r="F183" s="314">
        <f t="shared" ca="1" si="21"/>
        <v>0.99999999999999989</v>
      </c>
      <c r="G183" s="274">
        <f ca="1">E183*20%</f>
        <v>35000</v>
      </c>
    </row>
    <row r="184" spans="1:9" ht="21" customHeight="1" x14ac:dyDescent="0.25">
      <c r="B184" s="228" t="s">
        <v>1163</v>
      </c>
      <c r="C184" s="250">
        <f ca="1">SUMIFS(INDIRECT("Report!F100:F1000"),INDIRECT("Report!B100:B1000"),B184,INDIRECT("report!H100:H1000"),"Technotrans",INDIRECT("Report!L100:L1000"),"18.3")</f>
        <v>176000</v>
      </c>
      <c r="D184" s="549">
        <f ca="1">(C184/11*10)</f>
        <v>160000</v>
      </c>
      <c r="E184" s="250">
        <f ca="1">SUMIFS(INDIRECT("Report!J100:J1000"),INDIRECT("Report!B100:B1000"),B184,INDIRECT("report!H100:H1000"),"Technotrans",INDIRECT("Report!L100:L1000"),"18.3")</f>
        <v>160000</v>
      </c>
      <c r="F184" s="314">
        <f t="shared" ca="1" si="21"/>
        <v>1</v>
      </c>
      <c r="G184" s="274">
        <f ca="1">E184*20%</f>
        <v>32000</v>
      </c>
    </row>
    <row r="185" spans="1:9" ht="21" customHeight="1" x14ac:dyDescent="0.25">
      <c r="B185" s="228" t="s">
        <v>762</v>
      </c>
      <c r="C185" s="250">
        <f ca="1">SUMIFS(INDIRECT("Report!F100:F1000"),INDIRECT("Report!B100:B1000"),B185,INDIRECT("report!H100:H1000"),"Technotrans",INDIRECT("Report!L100:L1000"),"18.3")</f>
        <v>165000</v>
      </c>
      <c r="D185" s="540">
        <f ca="1">(C185/11*10)</f>
        <v>150000</v>
      </c>
      <c r="E185" s="250">
        <f ca="1">SUMIFS(INDIRECT("Report!J100:J1000"),INDIRECT("Report!B100:B1000"),B185,INDIRECT("report!H100:H1000"),"Technotrans",INDIRECT("Report!L100:L1000"),"18.3")</f>
        <v>150000</v>
      </c>
      <c r="F185" s="314">
        <f t="shared" ca="1" si="21"/>
        <v>1</v>
      </c>
      <c r="G185" s="274">
        <f ca="1">E185*20%</f>
        <v>30000</v>
      </c>
    </row>
    <row r="186" spans="1:9" ht="21" customHeight="1" x14ac:dyDescent="0.25">
      <c r="A186" s="293"/>
      <c r="B186" s="279"/>
      <c r="C186" s="278">
        <f ca="1">SUM(C181:C185)</f>
        <v>7947500</v>
      </c>
      <c r="D186" s="278">
        <f ca="1">SUM(D181:D185)</f>
        <v>7225000</v>
      </c>
      <c r="E186" s="278">
        <f ca="1">SUM(E181:E185)</f>
        <v>3071838.5617424538</v>
      </c>
      <c r="F186" s="294">
        <f t="shared" ca="1" si="21"/>
        <v>0.425167967023177</v>
      </c>
      <c r="G186" s="280">
        <f ca="1">SUM(G181:G185)</f>
        <v>614367.71234849084</v>
      </c>
    </row>
    <row r="187" spans="1:9" ht="21" customHeight="1" x14ac:dyDescent="0.25">
      <c r="A187" s="911">
        <v>2018.4</v>
      </c>
      <c r="B187" s="228" t="s">
        <v>411</v>
      </c>
      <c r="C187" s="250">
        <f ca="1">SUMIFS(INDIRECT("Report!F100:F1000"),INDIRECT("Report!B100:B1000"),B187,INDIRECT("report!H100:H1000"),"Technotrans",INDIRECT("Report!L100:L1000"),"18.4")</f>
        <v>1155000</v>
      </c>
      <c r="D187" s="549">
        <f ca="1">(C187/11*10)</f>
        <v>1050000</v>
      </c>
      <c r="E187" s="250">
        <f ca="1">SUMIFS(INDIRECT("Report!J100:J1000"),INDIRECT("Report!B100:B1000"),B187,INDIRECT("report!H100:H1000"),"Technotrans",INDIRECT("Report!L100:L1000"),"18.4")</f>
        <v>376170</v>
      </c>
      <c r="F187" s="314">
        <f ca="1">E187/D187</f>
        <v>0.35825714285714283</v>
      </c>
      <c r="G187" s="274">
        <f ca="1">E187*20%</f>
        <v>75234</v>
      </c>
    </row>
    <row r="188" spans="1:9" ht="21" customHeight="1" x14ac:dyDescent="0.25">
      <c r="A188" s="293"/>
      <c r="B188" s="279"/>
      <c r="C188" s="278">
        <f ca="1">SUM(C187:C187)</f>
        <v>1155000</v>
      </c>
      <c r="D188" s="278">
        <f ca="1">SUM(D187:D187)</f>
        <v>1050000</v>
      </c>
      <c r="E188" s="278">
        <f ca="1">SUM(E187:E187)</f>
        <v>376170</v>
      </c>
      <c r="F188" s="294">
        <f ca="1">E188/D188</f>
        <v>0.35825714285714283</v>
      </c>
      <c r="G188" s="280">
        <f ca="1">SUM(G187:G187)</f>
        <v>75234</v>
      </c>
    </row>
    <row r="189" spans="1:9" ht="21" customHeight="1" x14ac:dyDescent="0.25">
      <c r="A189" s="911">
        <v>2018.5</v>
      </c>
      <c r="B189" s="228" t="s">
        <v>556</v>
      </c>
      <c r="C189" s="250">
        <f ca="1">SUMIFS(INDIRECT("Report!F100:F1000"),INDIRECT("Report!B100:B1000"),B189,INDIRECT("report!H100:H1000"),"Technotrans",INDIRECT("Report!L100:L1000"),"18.5")</f>
        <v>363000.00000000006</v>
      </c>
      <c r="D189" s="549">
        <f ca="1">(C189/11*10)</f>
        <v>330000.00000000006</v>
      </c>
      <c r="E189" s="250">
        <f ca="1">SUMIFS(INDIRECT("Report!J100:J1000"),INDIRECT("Report!B100:B1000"),B189,INDIRECT("report!H100:H1000"),"Technotrans",INDIRECT("Report!L100:L1000"),"18.5")</f>
        <v>105390</v>
      </c>
      <c r="F189" s="314">
        <f t="shared" ref="F189:F194" ca="1" si="22">E189/D189</f>
        <v>0.31936363636363629</v>
      </c>
      <c r="G189" s="274">
        <f ca="1">E189*20%</f>
        <v>21078</v>
      </c>
    </row>
    <row r="190" spans="1:9" ht="21" customHeight="1" x14ac:dyDescent="0.25">
      <c r="B190" s="228" t="s">
        <v>411</v>
      </c>
      <c r="C190" s="250">
        <f ca="1">SUMIFS(INDIRECT("Report!F100:F1000"),INDIRECT("Report!B100:B1000"),B190,INDIRECT("report!H100:H1000"),"Technotrans",INDIRECT("Report!L100:L1000"),"18.5")</f>
        <v>2310000</v>
      </c>
      <c r="D190" s="549">
        <f ca="1">(C190/11*10)</f>
        <v>2100000</v>
      </c>
      <c r="E190" s="250">
        <f ca="1">SUMIFS(INDIRECT("Report!J100:J1000"),INDIRECT("Report!B100:B1000"),B190,INDIRECT("report!H100:H1000"),"Technotrans",INDIRECT("Report!L100:L1000"),"18.5")</f>
        <v>692172.51674166834</v>
      </c>
      <c r="F190" s="314">
        <f t="shared" ca="1" si="22"/>
        <v>0.32960596035317541</v>
      </c>
      <c r="G190" s="274">
        <f ca="1">E190*20%</f>
        <v>138434.50334833367</v>
      </c>
    </row>
    <row r="191" spans="1:9" ht="21" customHeight="1" x14ac:dyDescent="0.25">
      <c r="B191" s="228" t="s">
        <v>1245</v>
      </c>
      <c r="C191" s="250">
        <f ca="1">SUMIFS(INDIRECT("Report!F100:F1000"),INDIRECT("Report!B100:B1000"),B191,INDIRECT("report!H100:H1000"),"Technotrans",INDIRECT("Report!L100:L1000"),"18.5")</f>
        <v>462000.00000000006</v>
      </c>
      <c r="D191" s="549">
        <f ca="1">(C191/11*10)</f>
        <v>420000.00000000006</v>
      </c>
      <c r="E191" s="250">
        <f ca="1">SUMIFS(INDIRECT("Report!J100:J1000"),INDIRECT("Report!B100:B1000"),B191,INDIRECT("report!H100:H1000"),"Technotrans",INDIRECT("Report!L100:L1000"),"18.5")</f>
        <v>420000</v>
      </c>
      <c r="F191" s="314">
        <f t="shared" ca="1" si="22"/>
        <v>0.99999999999999989</v>
      </c>
      <c r="G191" s="274">
        <f ca="1">E191*20%</f>
        <v>84000</v>
      </c>
    </row>
    <row r="192" spans="1:9" ht="21" customHeight="1" x14ac:dyDescent="0.25">
      <c r="B192" s="228" t="s">
        <v>484</v>
      </c>
      <c r="C192" s="250">
        <f ca="1">SUMIFS(INDIRECT("Report!F100:F1000"),INDIRECT("Report!B100:B1000"),B192,INDIRECT("report!H100:H1000"),"Technotrans",INDIRECT("Report!L100:L1000"),"18.5")</f>
        <v>660000</v>
      </c>
      <c r="D192" s="549">
        <f ca="1">(C192/11*10)</f>
        <v>600000</v>
      </c>
      <c r="E192" s="250">
        <f ca="1">SUMIFS(INDIRECT("Report!J100:J1000"),INDIRECT("Report!B100:B1000"),B192,INDIRECT("report!H100:H1000"),"Technotrans",INDIRECT("Report!L100:L1000"),"18.5")</f>
        <v>150780</v>
      </c>
      <c r="F192" s="314">
        <f t="shared" ca="1" si="22"/>
        <v>0.25130000000000002</v>
      </c>
      <c r="G192" s="274">
        <f ca="1">E192*20%</f>
        <v>30156</v>
      </c>
    </row>
    <row r="193" spans="1:7" ht="21" customHeight="1" x14ac:dyDescent="0.25">
      <c r="B193" s="228" t="s">
        <v>1246</v>
      </c>
      <c r="C193" s="250">
        <f ca="1">SUMIFS(INDIRECT("Report!F100:F1000"),INDIRECT("Report!B100:B1000"),B193,INDIRECT("report!H100:H1000"),"Technotrans",INDIRECT("Report!L100:L1000"),"18.5")</f>
        <v>192500.00000000003</v>
      </c>
      <c r="D193" s="540">
        <f ca="1">(C193/11*10)</f>
        <v>175000.00000000003</v>
      </c>
      <c r="E193" s="250">
        <f ca="1">SUMIFS(INDIRECT("Report!J100:J1000"),INDIRECT("Report!B100:B1000"),B193,INDIRECT("report!H100:H1000"),"Technotrans",INDIRECT("Report!L100:L1000"),"18.5")</f>
        <v>175000</v>
      </c>
      <c r="F193" s="314">
        <f t="shared" ca="1" si="22"/>
        <v>0.99999999999999989</v>
      </c>
      <c r="G193" s="274">
        <f ca="1">E193*20%</f>
        <v>35000</v>
      </c>
    </row>
    <row r="194" spans="1:7" ht="21" customHeight="1" x14ac:dyDescent="0.25">
      <c r="A194" s="293"/>
      <c r="B194" s="279"/>
      <c r="C194" s="278">
        <f ca="1">SUM(C189:C193)</f>
        <v>3987500</v>
      </c>
      <c r="D194" s="278">
        <f ca="1">SUM(D189:D193)</f>
        <v>3625000</v>
      </c>
      <c r="E194" s="278">
        <f ca="1">SUM(E189:E193)</f>
        <v>1543342.5167416683</v>
      </c>
      <c r="F194" s="294">
        <f t="shared" ca="1" si="22"/>
        <v>0.42574965979080504</v>
      </c>
      <c r="G194" s="280">
        <f ca="1">SUM(G189:G193)</f>
        <v>308668.50334833364</v>
      </c>
    </row>
    <row r="195" spans="1:7" ht="21" customHeight="1" x14ac:dyDescent="0.25">
      <c r="A195" s="911">
        <v>2018.6</v>
      </c>
      <c r="B195" s="228" t="s">
        <v>24</v>
      </c>
      <c r="C195" s="250">
        <f ca="1">SUMIFS(INDIRECT("Report!F100:F10000"),INDIRECT("Report!B100:B10000"),B195,INDIRECT("report!H100:H10000"),"Technotrans",INDIRECT("Report!L100:L10000"),"18.6")</f>
        <v>1155000</v>
      </c>
      <c r="D195" s="549">
        <f ca="1">(C195/11*10)</f>
        <v>1050000</v>
      </c>
      <c r="E195" s="250">
        <f ca="1">SUMIFS(INDIRECT("Report!J100:J10000"),INDIRECT("Report!B100:B10000"),B195,INDIRECT("report!H100:H10000"),"Technotrans",INDIRECT("Report!L100:L10000"),"18.6")</f>
        <v>376170</v>
      </c>
      <c r="F195" s="314">
        <f t="shared" ref="F195:F200" ca="1" si="23">E195/D195</f>
        <v>0.35825714285714283</v>
      </c>
      <c r="G195" s="274">
        <f ca="1">E195*20%</f>
        <v>75234</v>
      </c>
    </row>
    <row r="196" spans="1:7" ht="21" customHeight="1" x14ac:dyDescent="0.25">
      <c r="B196" s="228" t="s">
        <v>1279</v>
      </c>
      <c r="C196" s="250">
        <f ca="1">SUMIFS(INDIRECT("Report!F100:F10000"),INDIRECT("Report!B100:B10000"),B196,INDIRECT("report!H100:H10000"),"Technotrans",INDIRECT("Report!L100:L10000"),"18.6")</f>
        <v>115500.00000000001</v>
      </c>
      <c r="D196" s="549">
        <f ca="1">(C196/11*10)</f>
        <v>105000.00000000001</v>
      </c>
      <c r="E196" s="250">
        <f ca="1">SUMIFS(INDIRECT("Report!J100:J10000"),INDIRECT("Report!B100:B10000"),B196,INDIRECT("report!H100:H10000"),"Technotrans",INDIRECT("Report!L100:L10000"),"18.6")</f>
        <v>105000</v>
      </c>
      <c r="F196" s="314">
        <f t="shared" ca="1" si="23"/>
        <v>0.99999999999999989</v>
      </c>
      <c r="G196" s="274">
        <f ca="1">E196*20%</f>
        <v>21000</v>
      </c>
    </row>
    <row r="197" spans="1:7" ht="21" customHeight="1" x14ac:dyDescent="0.25">
      <c r="B197" s="228" t="s">
        <v>1280</v>
      </c>
      <c r="C197" s="250">
        <f ca="1">SUMIFS(INDIRECT("Report!F100:F10000"),INDIRECT("Report!B100:B10000"),B197,INDIRECT("report!H100:H10000"),"Technotrans",INDIRECT("Report!L100:L10000"),"18.6")</f>
        <v>108900.00000000001</v>
      </c>
      <c r="D197" s="549">
        <f ca="1">(C197/11*10)</f>
        <v>99000.000000000015</v>
      </c>
      <c r="E197" s="250">
        <f ca="1">SUMIFS(INDIRECT("Report!J100:J10000"),INDIRECT("Report!B100:B10000"),B197,INDIRECT("report!H100:H10000"),"Technotrans",INDIRECT("Report!L100:L10000"),"18.6")</f>
        <v>31617</v>
      </c>
      <c r="F197" s="314">
        <f t="shared" ca="1" si="23"/>
        <v>0.31936363636363629</v>
      </c>
      <c r="G197" s="274">
        <f ca="1">E197*20%</f>
        <v>6323.4000000000005</v>
      </c>
    </row>
    <row r="198" spans="1:7" ht="21" customHeight="1" x14ac:dyDescent="0.25">
      <c r="B198" s="228" t="s">
        <v>325</v>
      </c>
      <c r="C198" s="250">
        <f ca="1">SUMIFS(INDIRECT("Report!F100:F10000"),INDIRECT("Report!B100:B10000"),B198,INDIRECT("report!H100:H10000"),"Technotrans",INDIRECT("Report!L100:L10000"),"18.6")</f>
        <v>165000</v>
      </c>
      <c r="D198" s="973">
        <f ca="1">(C198/11*10)</f>
        <v>150000</v>
      </c>
      <c r="E198" s="250">
        <f ca="1">SUMIFS(INDIRECT("Report!J100:J10000"),INDIRECT("Report!B100:B10000"),B198,INDIRECT("report!H100:H10000"),"Technotrans",INDIRECT("Report!L100:L10000"),"18.6")</f>
        <v>150000</v>
      </c>
      <c r="F198" s="314">
        <f t="shared" ca="1" si="23"/>
        <v>1</v>
      </c>
      <c r="G198" s="274">
        <f ca="1">E198*20%</f>
        <v>30000</v>
      </c>
    </row>
    <row r="199" spans="1:7" ht="21" customHeight="1" x14ac:dyDescent="0.25">
      <c r="B199" s="228" t="s">
        <v>1281</v>
      </c>
      <c r="C199" s="250">
        <f ca="1">SUMIFS(INDIRECT("Report!F100:F10000"),INDIRECT("Report!B100:B10000"),B199,INDIRECT("report!H100:H10000"),"Technotrans",INDIRECT("Report!L100:L10000"),"18.6")</f>
        <v>275000</v>
      </c>
      <c r="D199" s="973">
        <f ca="1">(C199/11*10)</f>
        <v>250000</v>
      </c>
      <c r="E199" s="250">
        <f ca="1">SUMIFS(INDIRECT("Report!J100:J10000"),INDIRECT("Report!B100:B10000"),B199,INDIRECT("report!H100:H10000"),"Technotrans",INDIRECT("Report!L100:L10000"),"18.6")</f>
        <v>25390</v>
      </c>
      <c r="F199" s="314">
        <f t="shared" ca="1" si="23"/>
        <v>0.10156</v>
      </c>
      <c r="G199" s="274">
        <f ca="1">E199*20%</f>
        <v>5078</v>
      </c>
    </row>
    <row r="200" spans="1:7" ht="21" customHeight="1" x14ac:dyDescent="0.25">
      <c r="A200" s="293"/>
      <c r="B200" s="279"/>
      <c r="C200" s="278">
        <f ca="1">SUM(C195:C199)</f>
        <v>1819400</v>
      </c>
      <c r="D200" s="278">
        <f ca="1">SUM(D195:D199)</f>
        <v>1654000</v>
      </c>
      <c r="E200" s="278">
        <f ca="1">SUM(E195:E199)</f>
        <v>688177</v>
      </c>
      <c r="F200" s="294">
        <f t="shared" ca="1" si="23"/>
        <v>0.41606831922611848</v>
      </c>
      <c r="G200" s="280">
        <f ca="1">SUM(G195:G199)</f>
        <v>137635.4</v>
      </c>
    </row>
    <row r="201" spans="1:7" ht="21" customHeight="1" x14ac:dyDescent="0.25">
      <c r="A201" s="911">
        <v>2018.7</v>
      </c>
      <c r="B201" s="228" t="s">
        <v>478</v>
      </c>
      <c r="C201" s="250">
        <f ca="1">SUMIFS(INDIRECT("Report!F100:F10000"),INDIRECT("Report!B100:B10000"),B201,INDIRECT("report!H100:H10000"),"Technotrans",INDIRECT("Report!L100:L10000"),"18.7")</f>
        <v>148500</v>
      </c>
      <c r="D201" s="549">
        <f ca="1">(C201/11*10)</f>
        <v>135000</v>
      </c>
      <c r="E201" s="250">
        <f ca="1">SUMIFS(INDIRECT("Report!J100:J10000"),INDIRECT("Report!B100:B10000"),B201,INDIRECT("report!H100:H10000"),"Technotrans",INDIRECT("Report!L100:L10000"),"18.7")</f>
        <v>67617</v>
      </c>
      <c r="F201" s="314">
        <f t="shared" ref="F201:F206" ca="1" si="24">E201/D201</f>
        <v>0.50086666666666668</v>
      </c>
      <c r="G201" s="274">
        <f ca="1">E201*20%</f>
        <v>13523.400000000001</v>
      </c>
    </row>
    <row r="202" spans="1:7" ht="21" customHeight="1" x14ac:dyDescent="0.25">
      <c r="B202" s="228" t="s">
        <v>675</v>
      </c>
      <c r="C202" s="250">
        <f ca="1">SUMIFS(INDIRECT("Report!F100:F10000"),INDIRECT("Report!B100:B10000"),B202,INDIRECT("report!H100:H10000"),"Technotrans",INDIRECT("Report!L100:L10000"),"18.7")</f>
        <v>440000.00000000006</v>
      </c>
      <c r="D202" s="549">
        <f ca="1">(C202/11*10)</f>
        <v>400000.00000000006</v>
      </c>
      <c r="E202" s="250">
        <f ca="1">SUMIFS(INDIRECT("Report!J100:J10000"),INDIRECT("Report!B100:B10000"),B202,INDIRECT("report!H100:H10000"),"Technotrans",INDIRECT("Report!L100:L10000"),"18.7")</f>
        <v>175390</v>
      </c>
      <c r="F202" s="314">
        <f t="shared" ca="1" si="24"/>
        <v>0.43847499999999995</v>
      </c>
      <c r="G202" s="274">
        <f ca="1">E202*20%</f>
        <v>35078</v>
      </c>
    </row>
    <row r="203" spans="1:7" ht="21" customHeight="1" x14ac:dyDescent="0.25">
      <c r="B203" s="228" t="s">
        <v>838</v>
      </c>
      <c r="C203" s="250">
        <f ca="1">SUMIFS(INDIRECT("Report!F100:F10000"),INDIRECT("Report!B100:B10000"),B203,INDIRECT("report!H100:H10000"),"Technotrans",INDIRECT("Report!L100:L10000"),"18.7")</f>
        <v>880000.00000000012</v>
      </c>
      <c r="D203" s="549">
        <f ca="1">(C203/11*10)</f>
        <v>800000.00000000012</v>
      </c>
      <c r="E203" s="250">
        <f ca="1">SUMIFS(INDIRECT("Report!J100:J10000"),INDIRECT("Report!B100:B10000"),B203,INDIRECT("report!H100:H10000"),"Technotrans",INDIRECT("Report!L100:L10000"),"18.7")</f>
        <v>350780</v>
      </c>
      <c r="F203" s="314">
        <f t="shared" ca="1" si="24"/>
        <v>0.43847499999999995</v>
      </c>
      <c r="G203" s="274">
        <f ca="1">E203*20%</f>
        <v>70156</v>
      </c>
    </row>
    <row r="204" spans="1:7" ht="21" customHeight="1" x14ac:dyDescent="0.25">
      <c r="B204" s="228" t="s">
        <v>477</v>
      </c>
      <c r="C204" s="250">
        <f ca="1">SUMIFS(INDIRECT("Report!F100:F10000"),INDIRECT("Report!B100:B10000"),B204,INDIRECT("report!H100:H10000"),"Technotrans",INDIRECT("Report!L100:L10000"),"18.7")</f>
        <v>1155000</v>
      </c>
      <c r="D204" s="549">
        <f ca="1">(C204/11*10)</f>
        <v>1050000</v>
      </c>
      <c r="E204" s="250">
        <f ca="1">SUMIFS(INDIRECT("Report!J100:J10000"),INDIRECT("Report!B100:B10000"),B204,INDIRECT("report!H100:H10000"),"Technotrans",INDIRECT("Report!L100:L10000"),"18.7")</f>
        <v>376170</v>
      </c>
      <c r="F204" s="314">
        <f t="shared" ca="1" si="24"/>
        <v>0.35825714285714283</v>
      </c>
      <c r="G204" s="274">
        <f ca="1">E204*20%</f>
        <v>75234</v>
      </c>
    </row>
    <row r="205" spans="1:7" ht="21" customHeight="1" x14ac:dyDescent="0.25">
      <c r="B205" s="228" t="s">
        <v>1344</v>
      </c>
      <c r="C205" s="250">
        <f ca="1">(SUMIFS(INDIRECT("Report!F100:F10000"),INDIRECT("Report!B100:B10000"),B205,INDIRECT("report!H100:H10000"),"Technotrans",INDIRECT("Report!L100:L10000"),"18.7"))/2</f>
        <v>1210000</v>
      </c>
      <c r="D205" s="540">
        <f ca="1">(C205/11*10)</f>
        <v>1100000</v>
      </c>
      <c r="E205" s="250">
        <f ca="1">(SUMIFS(INDIRECT("Report!J100:J10000"),INDIRECT("Report!B100:B10000"),B205,INDIRECT("report!H100:H10000"),"Technotrans",INDIRECT("Report!L100:L10000"),"18.7"))/2</f>
        <v>687442.84210374835</v>
      </c>
      <c r="F205" s="314">
        <f t="shared" ca="1" si="24"/>
        <v>0.62494803827613488</v>
      </c>
      <c r="G205" s="274">
        <f ca="1">E205*20%</f>
        <v>137488.56842074968</v>
      </c>
    </row>
    <row r="206" spans="1:7" ht="21" customHeight="1" x14ac:dyDescent="0.25">
      <c r="A206" s="293"/>
      <c r="B206" s="279"/>
      <c r="C206" s="278">
        <f ca="1">SUM(C201:C205)</f>
        <v>3833500</v>
      </c>
      <c r="D206" s="278">
        <f ca="1">SUM(D201:D205)</f>
        <v>3485000</v>
      </c>
      <c r="E206" s="278">
        <f ca="1">SUM(E201:E205)</f>
        <v>1657399.8421037483</v>
      </c>
      <c r="F206" s="294">
        <f t="shared" ca="1" si="24"/>
        <v>0.47558101638558059</v>
      </c>
      <c r="G206" s="280">
        <f ca="1">SUM(G201:G205)</f>
        <v>331479.96842074965</v>
      </c>
    </row>
    <row r="207" spans="1:7" ht="21" customHeight="1" x14ac:dyDescent="0.25">
      <c r="A207" s="911">
        <v>2018.8</v>
      </c>
      <c r="B207" s="228" t="s">
        <v>1163</v>
      </c>
      <c r="C207" s="250">
        <f ca="1">SUMIFS(INDIRECT("Report!F100:F10000"),INDIRECT("Report!B100:B10000"),B207,INDIRECT("report!H100:H10000"),"Technotrans",INDIRECT("Report!L100:L10000"),"18.8")</f>
        <v>220000.00000000003</v>
      </c>
      <c r="D207" s="549">
        <f ca="1">(C207/11*10)</f>
        <v>200000.00000000003</v>
      </c>
      <c r="E207" s="250">
        <f ca="1">SUMIFS(INDIRECT("Report!J100:J10000"),INDIRECT("Report!B100:B10000"),B207,INDIRECT("report!H100:H10000"),"Technotrans",INDIRECT("Report!L100:L10000"),"18.8")</f>
        <v>200000</v>
      </c>
      <c r="F207" s="314">
        <f t="shared" ref="F207:F217" ca="1" si="25">E207/D207</f>
        <v>0.99999999999999989</v>
      </c>
      <c r="G207" s="274">
        <f ca="1">E207*20%</f>
        <v>40000</v>
      </c>
    </row>
    <row r="208" spans="1:7" ht="21" customHeight="1" x14ac:dyDescent="0.25">
      <c r="B208" s="228" t="s">
        <v>1373</v>
      </c>
      <c r="C208" s="250">
        <f ca="1">SUMIFS(INDIRECT("Report!F100:F10000"),INDIRECT("Report!B100:B10000"),B208,INDIRECT("report!H100:H10000"),"Technotrans",INDIRECT("Report!L100:L10000"),"18.8")</f>
        <v>220000.00000000003</v>
      </c>
      <c r="D208" s="549">
        <f ca="1">(C208/11*10)</f>
        <v>200000.00000000003</v>
      </c>
      <c r="E208" s="250">
        <f ca="1">SUMIFS(INDIRECT("Report!J100:J10000"),INDIRECT("Report!B100:B10000"),B208,INDIRECT("report!H100:H10000"),"Technotrans",INDIRECT("Report!L100:L10000"),"18.8")</f>
        <v>87695</v>
      </c>
      <c r="F208" s="314">
        <f t="shared" ca="1" si="25"/>
        <v>0.43847499999999995</v>
      </c>
      <c r="G208" s="274">
        <f ca="1">E208*20%</f>
        <v>17539</v>
      </c>
    </row>
    <row r="209" spans="1:8" ht="21" customHeight="1" x14ac:dyDescent="0.25">
      <c r="A209" s="293"/>
      <c r="B209" s="279"/>
      <c r="C209" s="278">
        <f ca="1">SUM(C207:C208)</f>
        <v>440000.00000000006</v>
      </c>
      <c r="D209" s="278">
        <f ca="1">SUM(D207:D208)</f>
        <v>400000.00000000006</v>
      </c>
      <c r="E209" s="278">
        <f ca="1">SUM(E207:E208)</f>
        <v>287695</v>
      </c>
      <c r="F209" s="294">
        <f t="shared" ca="1" si="25"/>
        <v>0.71923749999999986</v>
      </c>
      <c r="G209" s="280">
        <f ca="1">SUM(G207:G208)</f>
        <v>57539</v>
      </c>
    </row>
    <row r="210" spans="1:8" ht="21" customHeight="1" x14ac:dyDescent="0.25">
      <c r="A210" s="911">
        <v>2018.9</v>
      </c>
      <c r="B210" s="228" t="s">
        <v>1414</v>
      </c>
      <c r="C210" s="250">
        <f t="shared" ref="C210:C216" ca="1" si="26">SUMIFS(INDIRECT("Report!F100:F10000"),INDIRECT("Report!B100:B10000"),B210,INDIRECT("report!H100:H10000"),"Technotrans",INDIRECT("Report!L100:L10000"),"18.9")</f>
        <v>2750000</v>
      </c>
      <c r="D210" s="549">
        <f t="shared" ref="D210:D216" ca="1" si="27">(C210/11*10)</f>
        <v>2500000</v>
      </c>
      <c r="E210" s="250">
        <f t="shared" ref="E210:E216" ca="1" si="28">SUMIFS(INDIRECT("Report!J100:J10000"),INDIRECT("Report!B100:B10000"),B210,INDIRECT("report!H100:H10000"),"Technotrans",INDIRECT("Report!L100:L10000"),"18.9")</f>
        <v>1044813.0783584102</v>
      </c>
      <c r="F210" s="314">
        <f t="shared" ca="1" si="25"/>
        <v>0.41792523134336407</v>
      </c>
      <c r="G210" s="274">
        <f t="shared" ref="G210:G216" ca="1" si="29">E210*20%</f>
        <v>208962.61567168206</v>
      </c>
    </row>
    <row r="211" spans="1:8" ht="21" customHeight="1" x14ac:dyDescent="0.25">
      <c r="B211" s="228" t="s">
        <v>485</v>
      </c>
      <c r="C211" s="250">
        <f t="shared" ca="1" si="26"/>
        <v>56347500.000000007</v>
      </c>
      <c r="D211" s="549">
        <f t="shared" ca="1" si="27"/>
        <v>51225000.000000007</v>
      </c>
      <c r="E211" s="250">
        <f t="shared" ca="1" si="28"/>
        <v>20138664.363800641</v>
      </c>
      <c r="F211" s="314">
        <f t="shared" ca="1" si="25"/>
        <v>0.39314132481797243</v>
      </c>
      <c r="G211" s="274">
        <f t="shared" ca="1" si="29"/>
        <v>4027732.8727601282</v>
      </c>
      <c r="H211" s="227" t="s">
        <v>1422</v>
      </c>
    </row>
    <row r="212" spans="1:8" ht="21" customHeight="1" x14ac:dyDescent="0.25">
      <c r="B212" s="228" t="s">
        <v>478</v>
      </c>
      <c r="C212" s="250">
        <f t="shared" ca="1" si="26"/>
        <v>148500</v>
      </c>
      <c r="D212" s="540">
        <f t="shared" ca="1" si="27"/>
        <v>135000</v>
      </c>
      <c r="E212" s="250">
        <f t="shared" ca="1" si="28"/>
        <v>67617</v>
      </c>
      <c r="F212" s="314">
        <f t="shared" ca="1" si="25"/>
        <v>0.50086666666666668</v>
      </c>
      <c r="G212" s="274">
        <f t="shared" ca="1" si="29"/>
        <v>13523.400000000001</v>
      </c>
    </row>
    <row r="213" spans="1:8" ht="21" customHeight="1" x14ac:dyDescent="0.25">
      <c r="B213" s="228" t="s">
        <v>550</v>
      </c>
      <c r="C213" s="250">
        <f t="shared" ca="1" si="26"/>
        <v>330000</v>
      </c>
      <c r="D213" s="540">
        <f t="shared" ca="1" si="27"/>
        <v>300000</v>
      </c>
      <c r="E213" s="250">
        <f t="shared" ca="1" si="28"/>
        <v>75390</v>
      </c>
      <c r="F213" s="314">
        <f t="shared" ca="1" si="25"/>
        <v>0.25130000000000002</v>
      </c>
      <c r="G213" s="274">
        <f t="shared" ca="1" si="29"/>
        <v>15078</v>
      </c>
    </row>
    <row r="214" spans="1:8" ht="21" customHeight="1" x14ac:dyDescent="0.25">
      <c r="B214" s="228" t="s">
        <v>1415</v>
      </c>
      <c r="C214" s="250">
        <f t="shared" ca="1" si="26"/>
        <v>12870000.000000002</v>
      </c>
      <c r="D214" s="540">
        <f t="shared" ca="1" si="27"/>
        <v>11700000.000000002</v>
      </c>
      <c r="E214" s="250">
        <f t="shared" ca="1" si="28"/>
        <v>10739694.876182403</v>
      </c>
      <c r="F214" s="314">
        <f t="shared" ca="1" si="25"/>
        <v>0.91792263898994886</v>
      </c>
      <c r="G214" s="274">
        <f t="shared" ca="1" si="29"/>
        <v>2147938.9752364806</v>
      </c>
      <c r="H214" s="227" t="s">
        <v>1422</v>
      </c>
    </row>
    <row r="215" spans="1:8" ht="21" customHeight="1" x14ac:dyDescent="0.25">
      <c r="B215" s="228" t="s">
        <v>477</v>
      </c>
      <c r="C215" s="250">
        <f t="shared" ca="1" si="26"/>
        <v>1155000</v>
      </c>
      <c r="D215" s="540">
        <f t="shared" ca="1" si="27"/>
        <v>1050000</v>
      </c>
      <c r="E215" s="250">
        <f t="shared" ca="1" si="28"/>
        <v>376170</v>
      </c>
      <c r="F215" s="314">
        <f t="shared" ca="1" si="25"/>
        <v>0.35825714285714283</v>
      </c>
      <c r="G215" s="274">
        <f t="shared" ca="1" si="29"/>
        <v>75234</v>
      </c>
    </row>
    <row r="216" spans="1:8" ht="21" customHeight="1" x14ac:dyDescent="0.25">
      <c r="B216" s="228" t="s">
        <v>486</v>
      </c>
      <c r="C216" s="250">
        <f t="shared" ca="1" si="26"/>
        <v>4950000</v>
      </c>
      <c r="D216" s="540">
        <f t="shared" ca="1" si="27"/>
        <v>4500000</v>
      </c>
      <c r="E216" s="250">
        <f t="shared" ca="1" si="28"/>
        <v>1265332.6958844382</v>
      </c>
      <c r="F216" s="314">
        <f t="shared" ca="1" si="25"/>
        <v>0.28118504352987517</v>
      </c>
      <c r="G216" s="274">
        <f t="shared" ca="1" si="29"/>
        <v>253066.53917688766</v>
      </c>
    </row>
    <row r="217" spans="1:8" ht="21" customHeight="1" x14ac:dyDescent="0.25">
      <c r="A217" s="293"/>
      <c r="B217" s="279"/>
      <c r="C217" s="278">
        <f ca="1">SUM(C210:C216)</f>
        <v>78551000.000000015</v>
      </c>
      <c r="D217" s="278">
        <f ca="1">SUM(D210:D216)</f>
        <v>71410000</v>
      </c>
      <c r="E217" s="278">
        <f ca="1">SUM(E210:E216)</f>
        <v>33707682.014225893</v>
      </c>
      <c r="F217" s="294">
        <f t="shared" ca="1" si="25"/>
        <v>0.47203027607094095</v>
      </c>
      <c r="G217" s="280">
        <f ca="1">SUM(G210:G216)</f>
        <v>6741536.4028451787</v>
      </c>
    </row>
    <row r="218" spans="1:8" ht="21" customHeight="1" x14ac:dyDescent="0.25">
      <c r="A218" s="798">
        <v>2018.1</v>
      </c>
      <c r="B218" s="228" t="s">
        <v>762</v>
      </c>
      <c r="C218" s="250">
        <f t="shared" ref="C218:C224" ca="1" si="30">SUMIFS(INDIRECT("Report!F100:F10000"),INDIRECT("Report!B100:B10000"),B218,INDIRECT("report!H100:H10000"),"Technotrans",INDIRECT("Report!L100:L10000"),"18,10")</f>
        <v>330000</v>
      </c>
      <c r="D218" s="549">
        <f t="shared" ref="D218:D224" ca="1" si="31">(C218/11*10)</f>
        <v>300000</v>
      </c>
      <c r="E218" s="250">
        <f t="shared" ref="E218:E224" ca="1" si="32">SUMIFS(INDIRECT("Report!J100:J10000"),INDIRECT("Report!B100:B10000"),B218,INDIRECT("report!H100:H10000"),"Technotrans",INDIRECT("Report!L100:L10000"),"18,10")</f>
        <v>300000</v>
      </c>
      <c r="F218" s="314">
        <f t="shared" ref="F218:F225" ca="1" si="33">E218/D218</f>
        <v>1</v>
      </c>
      <c r="G218" s="274">
        <f t="shared" ref="G218:G224" ca="1" si="34">E218*20%</f>
        <v>60000</v>
      </c>
    </row>
    <row r="219" spans="1:8" ht="21" customHeight="1" x14ac:dyDescent="0.25">
      <c r="B219" s="228" t="s">
        <v>485</v>
      </c>
      <c r="C219" s="250">
        <f t="shared" ca="1" si="30"/>
        <v>6765000.0000000009</v>
      </c>
      <c r="D219" s="549">
        <f t="shared" ca="1" si="31"/>
        <v>6150000.0000000009</v>
      </c>
      <c r="E219" s="250">
        <f t="shared" ca="1" si="32"/>
        <v>2480507.1908982368</v>
      </c>
      <c r="F219" s="314">
        <f t="shared" ca="1" si="33"/>
        <v>0.40333450258507908</v>
      </c>
      <c r="G219" s="274">
        <f t="shared" ca="1" si="34"/>
        <v>496101.43817964738</v>
      </c>
    </row>
    <row r="220" spans="1:8" ht="21" customHeight="1" x14ac:dyDescent="0.25">
      <c r="B220" s="228" t="s">
        <v>594</v>
      </c>
      <c r="C220" s="250">
        <f t="shared" ca="1" si="30"/>
        <v>165000</v>
      </c>
      <c r="D220" s="540">
        <f t="shared" ca="1" si="31"/>
        <v>150000</v>
      </c>
      <c r="E220" s="250">
        <f t="shared" ca="1" si="32"/>
        <v>37695</v>
      </c>
      <c r="F220" s="314">
        <f t="shared" ca="1" si="33"/>
        <v>0.25130000000000002</v>
      </c>
      <c r="G220" s="274">
        <f t="shared" ca="1" si="34"/>
        <v>7539</v>
      </c>
    </row>
    <row r="221" spans="1:8" ht="21" customHeight="1" x14ac:dyDescent="0.25">
      <c r="B221" s="228" t="s">
        <v>1046</v>
      </c>
      <c r="C221" s="250">
        <f t="shared" ca="1" si="30"/>
        <v>115500.00000000001</v>
      </c>
      <c r="D221" s="540">
        <f t="shared" ca="1" si="31"/>
        <v>105000.00000000001</v>
      </c>
      <c r="E221" s="250">
        <f t="shared" ca="1" si="32"/>
        <v>105000</v>
      </c>
      <c r="F221" s="314">
        <f t="shared" ca="1" si="33"/>
        <v>0.99999999999999989</v>
      </c>
      <c r="G221" s="274">
        <f t="shared" ca="1" si="34"/>
        <v>21000</v>
      </c>
    </row>
    <row r="222" spans="1:8" ht="21" customHeight="1" x14ac:dyDescent="0.25">
      <c r="B222" s="228" t="s">
        <v>601</v>
      </c>
      <c r="C222" s="250">
        <f t="shared" ca="1" si="30"/>
        <v>462000.00000000006</v>
      </c>
      <c r="D222" s="540">
        <f t="shared" ca="1" si="31"/>
        <v>420000.00000000006</v>
      </c>
      <c r="E222" s="250">
        <f t="shared" ca="1" si="32"/>
        <v>420000</v>
      </c>
      <c r="F222" s="314">
        <f t="shared" ca="1" si="33"/>
        <v>0.99999999999999989</v>
      </c>
      <c r="G222" s="274">
        <f t="shared" ca="1" si="34"/>
        <v>84000</v>
      </c>
    </row>
    <row r="223" spans="1:8" ht="21" customHeight="1" x14ac:dyDescent="0.25">
      <c r="B223" s="228" t="s">
        <v>477</v>
      </c>
      <c r="C223" s="250">
        <f t="shared" ca="1" si="30"/>
        <v>5720000</v>
      </c>
      <c r="D223" s="540">
        <f t="shared" ca="1" si="31"/>
        <v>5200000</v>
      </c>
      <c r="E223" s="250">
        <f t="shared" ca="1" si="32"/>
        <v>1700764.6449741432</v>
      </c>
      <c r="F223" s="314">
        <f t="shared" ca="1" si="33"/>
        <v>0.32707012403348906</v>
      </c>
      <c r="G223" s="274">
        <f t="shared" ca="1" si="34"/>
        <v>340152.92899482866</v>
      </c>
    </row>
    <row r="224" spans="1:8" ht="21" customHeight="1" x14ac:dyDescent="0.25">
      <c r="B224" s="228" t="s">
        <v>837</v>
      </c>
      <c r="C224" s="250">
        <f t="shared" ca="1" si="30"/>
        <v>99000.000000000015</v>
      </c>
      <c r="D224" s="540">
        <f t="shared" ca="1" si="31"/>
        <v>90000.000000000015</v>
      </c>
      <c r="E224" s="250">
        <f t="shared" ca="1" si="32"/>
        <v>22617</v>
      </c>
      <c r="F224" s="314">
        <f t="shared" ca="1" si="33"/>
        <v>0.25129999999999997</v>
      </c>
      <c r="G224" s="274">
        <f t="shared" ca="1" si="34"/>
        <v>4523.4000000000005</v>
      </c>
    </row>
    <row r="225" spans="1:7" ht="21" customHeight="1" x14ac:dyDescent="0.25">
      <c r="B225" s="279"/>
      <c r="C225" s="278">
        <f ca="1">SUM(C218:C224)</f>
        <v>13656500</v>
      </c>
      <c r="D225" s="278">
        <f ca="1">SUM(D218:D224)</f>
        <v>12415000</v>
      </c>
      <c r="E225" s="278">
        <f ca="1">SUM(E218:E224)</f>
        <v>5066583.8358723801</v>
      </c>
      <c r="F225" s="294">
        <f t="shared" ca="1" si="33"/>
        <v>0.40810179910369554</v>
      </c>
      <c r="G225" s="280">
        <f ca="1">SUM(G218:G224)</f>
        <v>1013316.7671744759</v>
      </c>
    </row>
    <row r="226" spans="1:7" ht="21" customHeight="1" x14ac:dyDescent="0.25">
      <c r="A226" s="798">
        <v>2018.11</v>
      </c>
      <c r="B226" s="228" t="s">
        <v>478</v>
      </c>
      <c r="C226" s="250">
        <f ca="1">SUMIFS(INDIRECT("Report!F100:F10000"),INDIRECT("Report!B100:B10000"),B226,INDIRECT("report!H100:H10000"),"Technotrans",INDIRECT("Report!L100:L10000"),"18.11")</f>
        <v>115500.00000000001</v>
      </c>
      <c r="D226" s="549">
        <f ca="1">(C226/11*10)</f>
        <v>105000.00000000001</v>
      </c>
      <c r="E226" s="250">
        <f ca="1">SUMIFS(INDIRECT("Report!J100:J10000"),INDIRECT("Report!B100:B10000"),B226,INDIRECT("report!H100:H10000"),"Technotrans",INDIRECT("Report!L100:L10000"),"18.11")</f>
        <v>37617</v>
      </c>
      <c r="F226" s="314">
        <f ca="1">E226/D226</f>
        <v>0.35825714285714283</v>
      </c>
      <c r="G226" s="274">
        <f ca="1">E226*20%</f>
        <v>7523.4000000000005</v>
      </c>
    </row>
    <row r="227" spans="1:7" ht="21" customHeight="1" x14ac:dyDescent="0.25">
      <c r="B227" s="228" t="s">
        <v>477</v>
      </c>
      <c r="C227" s="250">
        <f ca="1">SUMIFS(INDIRECT("Report!F100:F10000"),INDIRECT("Report!B100:B10000"),B227,INDIRECT("report!H100:H10000"),"Technotrans",INDIRECT("Report!L100:L10000"),"18.11")</f>
        <v>9837300</v>
      </c>
      <c r="D227" s="549">
        <f ca="1">(C227/11*10)</f>
        <v>8943000</v>
      </c>
      <c r="E227" s="250">
        <f ca="1">SUMIFS(INDIRECT("Report!J100:J10000"),INDIRECT("Report!B100:B10000"),B227,INDIRECT("report!H100:H10000"),"Technotrans",INDIRECT("Report!L100:L10000"),"18.11")</f>
        <v>4098084.2522055116</v>
      </c>
      <c r="F227" s="314">
        <f ca="1">E227/D227</f>
        <v>0.45824491246846827</v>
      </c>
      <c r="G227" s="274">
        <f ca="1">E227*20%</f>
        <v>819616.8504411024</v>
      </c>
    </row>
    <row r="228" spans="1:7" ht="21" customHeight="1" x14ac:dyDescent="0.25">
      <c r="B228" s="228" t="s">
        <v>1586</v>
      </c>
      <c r="C228" s="250">
        <f ca="1">SUMIFS(INDIRECT("Report!F100:F10000"),INDIRECT("Report!B100:B10000"),B228,INDIRECT("report!H100:H10000"),"Technotrans",INDIRECT("Report!L100:L10000"),"18.11")</f>
        <v>1452000.0000000002</v>
      </c>
      <c r="D228" s="540">
        <f ca="1">(C228/11*10)</f>
        <v>1320000.0000000002</v>
      </c>
      <c r="E228" s="250">
        <f ca="1">SUMIFS(INDIRECT("Report!J100:J10000"),INDIRECT("Report!B100:B10000"),B228,INDIRECT("report!H100:H10000"),"Technotrans",INDIRECT("Report!L100:L10000"),"18.11")</f>
        <v>321464.00575966935</v>
      </c>
      <c r="F228" s="314">
        <f ca="1">E228/D228</f>
        <v>0.24353333769671917</v>
      </c>
      <c r="G228" s="274">
        <f ca="1">E228*20%</f>
        <v>64292.801151933876</v>
      </c>
    </row>
    <row r="229" spans="1:7" ht="21" customHeight="1" x14ac:dyDescent="0.25">
      <c r="B229" s="279"/>
      <c r="C229" s="278">
        <f ca="1">SUM(C226:C228)</f>
        <v>11404800</v>
      </c>
      <c r="D229" s="278">
        <f ca="1">SUM(D226:D228)</f>
        <v>10368000</v>
      </c>
      <c r="E229" s="278">
        <f ca="1">SUM(E226:E228)</f>
        <v>4457165.257965181</v>
      </c>
      <c r="F229" s="294">
        <f ca="1">E229/D229</f>
        <v>0.42989634046732073</v>
      </c>
      <c r="G229" s="280">
        <f ca="1">SUM(G226:G228)</f>
        <v>891433.05159303627</v>
      </c>
    </row>
    <row r="230" spans="1:7" ht="21" customHeight="1" x14ac:dyDescent="0.25">
      <c r="A230" s="798">
        <v>2018.12</v>
      </c>
      <c r="B230" s="228" t="s">
        <v>478</v>
      </c>
      <c r="C230" s="250">
        <f t="shared" ref="C230:C235" ca="1" si="35">SUMIFS(INDIRECT("Report!F100:F10000"),INDIRECT("Report!B100:B10000"),B230,INDIRECT("report!H100:H10000"),"Technotrans",INDIRECT("Report!L100:L10000"),"18,12")</f>
        <v>115500.00000000001</v>
      </c>
      <c r="D230" s="549">
        <f t="shared" ref="D230:D235" ca="1" si="36">(C230/11*10)</f>
        <v>105000.00000000001</v>
      </c>
      <c r="E230" s="250">
        <f t="shared" ref="E230:E235" ca="1" si="37">SUMIFS(INDIRECT("Report!J100:J10000"),INDIRECT("Report!B100:B10000"),B230,INDIRECT("report!H100:H10000"),"Technotrans",INDIRECT("Report!L100:L10000"),"18,12")</f>
        <v>37617</v>
      </c>
      <c r="F230" s="314">
        <f t="shared" ref="F230:F236" ca="1" si="38">E230/D230</f>
        <v>0.35825714285714283</v>
      </c>
      <c r="G230" s="274">
        <f t="shared" ref="G230:G235" ca="1" si="39">E230*20%</f>
        <v>7523.4000000000005</v>
      </c>
    </row>
    <row r="231" spans="1:7" ht="21" customHeight="1" x14ac:dyDescent="0.25">
      <c r="B231" s="228" t="s">
        <v>675</v>
      </c>
      <c r="C231" s="250">
        <f t="shared" ca="1" si="35"/>
        <v>440000.00000000006</v>
      </c>
      <c r="D231" s="540">
        <f t="shared" ca="1" si="36"/>
        <v>400000.00000000006</v>
      </c>
      <c r="E231" s="250">
        <f t="shared" ca="1" si="37"/>
        <v>175390</v>
      </c>
      <c r="F231" s="314">
        <f t="shared" ca="1" si="38"/>
        <v>0.43847499999999995</v>
      </c>
      <c r="G231" s="274">
        <f t="shared" ca="1" si="39"/>
        <v>35078</v>
      </c>
    </row>
    <row r="232" spans="1:7" ht="21" customHeight="1" x14ac:dyDescent="0.25">
      <c r="B232" s="228" t="s">
        <v>1629</v>
      </c>
      <c r="C232" s="250">
        <f t="shared" ca="1" si="35"/>
        <v>3322000</v>
      </c>
      <c r="D232" s="540">
        <f t="shared" ca="1" si="36"/>
        <v>3020000</v>
      </c>
      <c r="E232" s="250">
        <f t="shared" ca="1" si="37"/>
        <v>968070.23368033452</v>
      </c>
      <c r="F232" s="314">
        <f t="shared" ca="1" si="38"/>
        <v>0.32055305751004454</v>
      </c>
      <c r="G232" s="274">
        <f t="shared" ca="1" si="39"/>
        <v>193614.04673606693</v>
      </c>
    </row>
    <row r="233" spans="1:7" ht="21" customHeight="1" x14ac:dyDescent="0.25">
      <c r="B233" s="228" t="s">
        <v>1246</v>
      </c>
      <c r="C233" s="250">
        <f t="shared" ca="1" si="35"/>
        <v>192500.00000000003</v>
      </c>
      <c r="D233" s="540">
        <f t="shared" ca="1" si="36"/>
        <v>175000.00000000003</v>
      </c>
      <c r="E233" s="250">
        <f t="shared" ca="1" si="37"/>
        <v>64730</v>
      </c>
      <c r="F233" s="314">
        <f t="shared" ca="1" si="38"/>
        <v>0.36988571428571421</v>
      </c>
      <c r="G233" s="274">
        <f t="shared" ca="1" si="39"/>
        <v>12946</v>
      </c>
    </row>
    <row r="234" spans="1:7" ht="21" customHeight="1" x14ac:dyDescent="0.25">
      <c r="B234" s="228" t="s">
        <v>477</v>
      </c>
      <c r="C234" s="250">
        <f t="shared" ca="1" si="35"/>
        <v>6539500</v>
      </c>
      <c r="D234" s="540">
        <f t="shared" ca="1" si="36"/>
        <v>5945000</v>
      </c>
      <c r="E234" s="250">
        <f t="shared" ca="1" si="37"/>
        <v>2283040.9012815217</v>
      </c>
      <c r="F234" s="314">
        <f t="shared" ca="1" si="38"/>
        <v>0.3840270649758657</v>
      </c>
      <c r="G234" s="274">
        <f t="shared" ca="1" si="39"/>
        <v>456608.18025630433</v>
      </c>
    </row>
    <row r="235" spans="1:7" ht="21" customHeight="1" x14ac:dyDescent="0.25">
      <c r="B235" s="228" t="s">
        <v>837</v>
      </c>
      <c r="C235" s="250">
        <f t="shared" ca="1" si="35"/>
        <v>330000</v>
      </c>
      <c r="D235" s="540">
        <f t="shared" ca="1" si="36"/>
        <v>300000</v>
      </c>
      <c r="E235" s="250">
        <f t="shared" ca="1" si="37"/>
        <v>75390</v>
      </c>
      <c r="F235" s="314">
        <f t="shared" ca="1" si="38"/>
        <v>0.25130000000000002</v>
      </c>
      <c r="G235" s="274">
        <f t="shared" ca="1" si="39"/>
        <v>15078</v>
      </c>
    </row>
    <row r="236" spans="1:7" ht="21" customHeight="1" x14ac:dyDescent="0.25">
      <c r="B236" s="279"/>
      <c r="C236" s="278">
        <f ca="1">SUM(C230:C235)</f>
        <v>10939500</v>
      </c>
      <c r="D236" s="278">
        <f ca="1">SUM(D230:D235)</f>
        <v>9945000</v>
      </c>
      <c r="E236" s="278">
        <f ca="1">SUM(E230:E235)</f>
        <v>3604238.1349618561</v>
      </c>
      <c r="F236" s="294">
        <f t="shared" ca="1" si="38"/>
        <v>0.36241710758791917</v>
      </c>
      <c r="G236" s="280">
        <f ca="1">SUM(G230:G235)</f>
        <v>720847.62699237128</v>
      </c>
    </row>
    <row r="237" spans="1:7" ht="21" customHeight="1" x14ac:dyDescent="0.25">
      <c r="A237" s="798" t="s">
        <v>1655</v>
      </c>
      <c r="B237" s="228" t="s">
        <v>478</v>
      </c>
      <c r="C237" s="250">
        <f t="shared" ref="C237:C242" ca="1" si="40">SUMIFS(INDIRECT("Report!F100:F10000"),INDIRECT("Report!B100:B10000"),B237,INDIRECT("report!H100:H10000"),"Technotrans",INDIRECT("Report!L100:L10000"),"19,1")</f>
        <v>154000</v>
      </c>
      <c r="D237" s="549">
        <f t="shared" ref="D237:D242" ca="1" si="41">(C237/11*10)</f>
        <v>140000</v>
      </c>
      <c r="E237" s="250">
        <f t="shared" ref="E237:E242" ca="1" si="42">SUMIFS(INDIRECT("Report!J100:J10000"),INDIRECT("Report!B100:B10000"),B237,INDIRECT("report!H100:H10000"),"Technotrans",INDIRECT("Report!L100:L10000"),"19,1")</f>
        <v>50156</v>
      </c>
      <c r="F237" s="314">
        <f t="shared" ref="F237:F243" ca="1" si="43">E237/D237</f>
        <v>0.35825714285714283</v>
      </c>
      <c r="G237" s="274">
        <f t="shared" ref="G237:G242" ca="1" si="44">E237*20%</f>
        <v>10031.200000000001</v>
      </c>
    </row>
    <row r="238" spans="1:7" ht="21" customHeight="1" x14ac:dyDescent="0.25">
      <c r="B238" s="228" t="s">
        <v>1046</v>
      </c>
      <c r="C238" s="250">
        <f t="shared" ca="1" si="40"/>
        <v>115500.00000000001</v>
      </c>
      <c r="D238" s="540">
        <f t="shared" ca="1" si="41"/>
        <v>105000.00000000001</v>
      </c>
      <c r="E238" s="250">
        <f t="shared" ca="1" si="42"/>
        <v>105000</v>
      </c>
      <c r="F238" s="314">
        <f t="shared" ca="1" si="43"/>
        <v>0.99999999999999989</v>
      </c>
      <c r="G238" s="274">
        <f t="shared" ca="1" si="44"/>
        <v>21000</v>
      </c>
    </row>
    <row r="239" spans="1:7" ht="21" customHeight="1" x14ac:dyDescent="0.25">
      <c r="B239" s="228" t="s">
        <v>485</v>
      </c>
      <c r="C239" s="250">
        <f t="shared" ca="1" si="40"/>
        <v>495000.00000000006</v>
      </c>
      <c r="D239" s="540">
        <f t="shared" ca="1" si="41"/>
        <v>450000.00000000006</v>
      </c>
      <c r="E239" s="250">
        <f t="shared" ca="1" si="42"/>
        <v>450000</v>
      </c>
      <c r="F239" s="314">
        <f t="shared" ca="1" si="43"/>
        <v>0.99999999999999989</v>
      </c>
      <c r="G239" s="274">
        <f t="shared" ca="1" si="44"/>
        <v>90000</v>
      </c>
    </row>
    <row r="240" spans="1:7" ht="21" customHeight="1" x14ac:dyDescent="0.25">
      <c r="B240" s="228" t="s">
        <v>838</v>
      </c>
      <c r="C240" s="250">
        <f t="shared" ca="1" si="40"/>
        <v>880000.00000000012</v>
      </c>
      <c r="D240" s="540">
        <f t="shared" ca="1" si="41"/>
        <v>800000.00000000012</v>
      </c>
      <c r="E240" s="250">
        <f t="shared" ca="1" si="42"/>
        <v>350780</v>
      </c>
      <c r="F240" s="314">
        <f t="shared" ca="1" si="43"/>
        <v>0.43847499999999995</v>
      </c>
      <c r="G240" s="274">
        <f t="shared" ca="1" si="44"/>
        <v>70156</v>
      </c>
    </row>
    <row r="241" spans="1:7" ht="21" customHeight="1" x14ac:dyDescent="0.25">
      <c r="B241" s="228" t="s">
        <v>477</v>
      </c>
      <c r="C241" s="250">
        <f t="shared" ca="1" si="40"/>
        <v>2992000</v>
      </c>
      <c r="D241" s="540">
        <f t="shared" ca="1" si="41"/>
        <v>2720000</v>
      </c>
      <c r="E241" s="250">
        <f t="shared" ca="1" si="42"/>
        <v>1033356.7587277332</v>
      </c>
      <c r="F241" s="314">
        <f t="shared" ca="1" si="43"/>
        <v>0.37991057306166659</v>
      </c>
      <c r="G241" s="274">
        <f t="shared" ca="1" si="44"/>
        <v>206671.35174554665</v>
      </c>
    </row>
    <row r="242" spans="1:7" ht="21" customHeight="1" x14ac:dyDescent="0.25">
      <c r="B242" s="228" t="s">
        <v>601</v>
      </c>
      <c r="C242" s="250">
        <f t="shared" ca="1" si="40"/>
        <v>462000.00000000006</v>
      </c>
      <c r="D242" s="540">
        <f t="shared" ca="1" si="41"/>
        <v>420000.00000000006</v>
      </c>
      <c r="E242" s="250">
        <f t="shared" ca="1" si="42"/>
        <v>420000</v>
      </c>
      <c r="F242" s="314">
        <f t="shared" ca="1" si="43"/>
        <v>0.99999999999999989</v>
      </c>
      <c r="G242" s="274">
        <f t="shared" ca="1" si="44"/>
        <v>84000</v>
      </c>
    </row>
    <row r="243" spans="1:7" ht="21" customHeight="1" x14ac:dyDescent="0.25">
      <c r="B243" s="279"/>
      <c r="C243" s="278">
        <f ca="1">SUM(C237:C242)</f>
        <v>5098500</v>
      </c>
      <c r="D243" s="278">
        <f ca="1">SUM(D237:D242)</f>
        <v>4635000</v>
      </c>
      <c r="E243" s="278">
        <f ca="1">SUM(E237:E242)</f>
        <v>2409292.758727733</v>
      </c>
      <c r="F243" s="294">
        <f t="shared" ca="1" si="43"/>
        <v>0.51980426294017978</v>
      </c>
      <c r="G243" s="280">
        <f ca="1">SUM(G237:G242)</f>
        <v>481858.55174554663</v>
      </c>
    </row>
    <row r="244" spans="1:7" ht="21" customHeight="1" x14ac:dyDescent="0.25">
      <c r="A244" s="798" t="s">
        <v>1758</v>
      </c>
      <c r="B244" s="228" t="s">
        <v>550</v>
      </c>
      <c r="C244" s="250">
        <f ca="1">SUMIFS(INDIRECT("Report!F100:F10000"),INDIRECT("Report!B100:B10000"),B244,INDIRECT("report!H100:H10000"),"Technotrans",INDIRECT("Report!L100:L10000"),"19,2")</f>
        <v>330000</v>
      </c>
      <c r="D244" s="549">
        <f ca="1">(C244/11*10)</f>
        <v>300000</v>
      </c>
      <c r="E244" s="250">
        <f ca="1">SUMIFS(INDIRECT("Report!J100:J10000"),INDIRECT("Report!B100:B10000"),B244,INDIRECT("report!H100:H10000"),"Technotrans",INDIRECT("Report!L100:L10000"),"19,2")</f>
        <v>75390</v>
      </c>
      <c r="F244" s="314">
        <f t="shared" ref="F244:F251" ca="1" si="45">E244/D244</f>
        <v>0.25130000000000002</v>
      </c>
      <c r="G244" s="274">
        <f ca="1">E244*20%</f>
        <v>15078</v>
      </c>
    </row>
    <row r="245" spans="1:7" ht="21" customHeight="1" x14ac:dyDescent="0.25">
      <c r="B245" s="228" t="s">
        <v>1759</v>
      </c>
      <c r="C245" s="250">
        <f ca="1">SUMIFS(INDIRECT("Report!F100:F10000"),INDIRECT("Report!B100:B10000"),B245,INDIRECT("report!H100:H10000"),"Technotrans",INDIRECT("Report!L100:L10000"),"19,2")</f>
        <v>902000</v>
      </c>
      <c r="D245" s="540">
        <f ca="1">(C245/11*10)</f>
        <v>820000</v>
      </c>
      <c r="E245" s="250">
        <f ca="1">SUMIFS(INDIRECT("Report!J100:J10000"),INDIRECT("Report!B100:B10000"),B245,INDIRECT("report!H100:H10000"),"Technotrans",INDIRECT("Report!L100:L10000"),"19,2")</f>
        <v>385879.27960000001</v>
      </c>
      <c r="F245" s="314">
        <f t="shared" ca="1" si="45"/>
        <v>0.4705844873170732</v>
      </c>
      <c r="G245" s="274">
        <f ca="1">E245*20%</f>
        <v>77175.855920000002</v>
      </c>
    </row>
    <row r="246" spans="1:7" ht="21" customHeight="1" x14ac:dyDescent="0.25">
      <c r="B246" s="228" t="s">
        <v>477</v>
      </c>
      <c r="C246" s="250">
        <f ca="1">SUMIFS(INDIRECT("Report!F100:F10000"),INDIRECT("Report!B100:B10000"),B246,INDIRECT("report!H100:H10000"),"Technotrans",INDIRECT("Report!L100:L10000"),"19,2")</f>
        <v>962500.00000000012</v>
      </c>
      <c r="D246" s="540">
        <f ca="1">(C246/11*10)</f>
        <v>875000.00000000012</v>
      </c>
      <c r="E246" s="250">
        <f ca="1">SUMIFS(INDIRECT("Report!J100:J10000"),INDIRECT("Report!B100:B10000"),B246,INDIRECT("report!H100:H10000"),"Technotrans",INDIRECT("Report!L100:L10000"),"19,2")</f>
        <v>313475</v>
      </c>
      <c r="F246" s="314">
        <f t="shared" ca="1" si="45"/>
        <v>0.35825714285714283</v>
      </c>
      <c r="G246" s="274">
        <f ca="1">E246*20%</f>
        <v>62695</v>
      </c>
    </row>
    <row r="247" spans="1:7" ht="21" customHeight="1" x14ac:dyDescent="0.25">
      <c r="B247" s="279"/>
      <c r="C247" s="278">
        <f ca="1">SUM(C244:C246)</f>
        <v>2194500</v>
      </c>
      <c r="D247" s="278">
        <f ca="1">SUM(D244:D246)</f>
        <v>1995000</v>
      </c>
      <c r="E247" s="278">
        <f ca="1">SUM(E244:E246)</f>
        <v>774744.27960000001</v>
      </c>
      <c r="F247" s="294">
        <f t="shared" ca="1" si="45"/>
        <v>0.38834299729323307</v>
      </c>
      <c r="G247" s="280">
        <f ca="1">SUM(G244:G246)</f>
        <v>154948.85592</v>
      </c>
    </row>
    <row r="248" spans="1:7" ht="21" customHeight="1" x14ac:dyDescent="0.25">
      <c r="A248" s="798" t="s">
        <v>1828</v>
      </c>
      <c r="B248" s="228" t="s">
        <v>1829</v>
      </c>
      <c r="C248" s="250">
        <f ca="1">SUMIFS(INDIRECT("Report!F100:F10000"),INDIRECT("Report!B100:B10000"),B248,INDIRECT("report!H100:H10000"),"Technotrans",INDIRECT("Report!L100:L10000"),"19,3")</f>
        <v>192500.00000000003</v>
      </c>
      <c r="D248" s="549">
        <f ca="1">(C248/11*10)</f>
        <v>175000.00000000003</v>
      </c>
      <c r="E248" s="250">
        <f ca="1">SUMIFS(INDIRECT("Report!J100:J10000"),INDIRECT("Report!B100:B10000"),B248,INDIRECT("report!H100:H10000"),"Technotrans",INDIRECT("Report!L100:L10000"),"19,3")</f>
        <v>85962.503969614758</v>
      </c>
      <c r="F248" s="314">
        <f t="shared" ca="1" si="45"/>
        <v>0.49121430839779856</v>
      </c>
      <c r="G248" s="274">
        <f ca="1">E248*20%</f>
        <v>17192.500793922951</v>
      </c>
    </row>
    <row r="249" spans="1:7" ht="21" customHeight="1" x14ac:dyDescent="0.25">
      <c r="B249" s="228" t="s">
        <v>1046</v>
      </c>
      <c r="C249" s="250">
        <f ca="1">SUMIFS(INDIRECT("Report!F100:F10000"),INDIRECT("Report!B100:B10000"),B249,INDIRECT("report!H100:H10000"),"Technotrans",INDIRECT("Report!L100:L10000"),"19,3")</f>
        <v>115500.00000000001</v>
      </c>
      <c r="D249" s="540">
        <f ca="1">(C249/11*10)</f>
        <v>105000.00000000001</v>
      </c>
      <c r="E249" s="250">
        <f ca="1">SUMIFS(INDIRECT("Report!J100:J10000"),INDIRECT("Report!B100:B10000"),B249,INDIRECT("report!H100:H10000"),"Technotrans",INDIRECT("Report!L100:L10000"),"19,3")</f>
        <v>105000</v>
      </c>
      <c r="F249" s="314">
        <f t="shared" ca="1" si="45"/>
        <v>0.99999999999999989</v>
      </c>
      <c r="G249" s="274">
        <f ca="1">E249*20%</f>
        <v>21000</v>
      </c>
    </row>
    <row r="250" spans="1:7" ht="21" customHeight="1" x14ac:dyDescent="0.25">
      <c r="B250" s="228" t="s">
        <v>477</v>
      </c>
      <c r="C250" s="250">
        <f ca="1">SUMIFS(INDIRECT("Report!F100:F10000"),INDIRECT("Report!B100:B10000"),B250,INDIRECT("report!H100:H10000"),"Technotrans",INDIRECT("Report!L100:L10000"),"19,3")</f>
        <v>962500.00000000012</v>
      </c>
      <c r="D250" s="540">
        <f ca="1">(C250/11*10)</f>
        <v>875000.00000000012</v>
      </c>
      <c r="E250" s="250">
        <f ca="1">SUMIFS(INDIRECT("Report!J100:J10000"),INDIRECT("Report!B100:B10000"),B250,INDIRECT("report!H100:H10000"),"Technotrans",INDIRECT("Report!L100:L10000"),"19,3")</f>
        <v>313475</v>
      </c>
      <c r="F250" s="314">
        <f t="shared" ca="1" si="45"/>
        <v>0.35825714285714283</v>
      </c>
      <c r="G250" s="274">
        <f ca="1">E250*20%</f>
        <v>62695</v>
      </c>
    </row>
    <row r="251" spans="1:7" ht="21" customHeight="1" x14ac:dyDescent="0.25">
      <c r="B251" s="279"/>
      <c r="C251" s="278">
        <f ca="1">SUM(C248:C250)</f>
        <v>1270500.0000000002</v>
      </c>
      <c r="D251" s="278">
        <f ca="1">SUM(D248:D250)</f>
        <v>1155000.0000000002</v>
      </c>
      <c r="E251" s="278">
        <f ca="1">SUM(E248:E250)</f>
        <v>504437.50396961474</v>
      </c>
      <c r="F251" s="294">
        <f t="shared" ca="1" si="45"/>
        <v>0.43674242767932003</v>
      </c>
      <c r="G251" s="280">
        <f ca="1">SUM(G248:G250)</f>
        <v>100887.50079392295</v>
      </c>
    </row>
    <row r="252" spans="1:7" ht="21" customHeight="1" x14ac:dyDescent="0.25">
      <c r="A252" s="798" t="s">
        <v>1879</v>
      </c>
      <c r="B252" s="228" t="s">
        <v>446</v>
      </c>
      <c r="C252" s="250">
        <f ca="1">SUMIFS(INDIRECT("Report!F100:F10000"),INDIRECT("Report!B100:B10000"),B252,INDIRECT("report!H100:H10000"),"Technotrans",INDIRECT("Report!L100:L10000"),"19,4")</f>
        <v>1864500.0000000002</v>
      </c>
      <c r="D252" s="549">
        <f ca="1">(C252/11*10)</f>
        <v>1695000.0000000002</v>
      </c>
      <c r="E252" s="250">
        <f ca="1">SUMIFS(INDIRECT("Report!J100:J10000"),INDIRECT("Report!B100:B10000"),B252,INDIRECT("report!H100:H10000"),"Technotrans",INDIRECT("Report!L100:L10000"),"19,4")</f>
        <v>477298.20631892188</v>
      </c>
      <c r="F252" s="314">
        <f t="shared" ref="F252:F259" ca="1" si="46">E252/D252</f>
        <v>0.2815918621350571</v>
      </c>
      <c r="G252" s="274">
        <f ca="1">E252*20%</f>
        <v>95459.641263784375</v>
      </c>
    </row>
    <row r="253" spans="1:7" ht="21" customHeight="1" x14ac:dyDescent="0.25">
      <c r="B253" s="228" t="s">
        <v>478</v>
      </c>
      <c r="C253" s="250">
        <f ca="1">SUMIFS(INDIRECT("Report!F100:F10000"),INDIRECT("Report!B100:B10000"),B253,INDIRECT("report!H100:H10000"),"Technotrans",INDIRECT("Report!L100:L10000"),"19,4")</f>
        <v>115500.00000000001</v>
      </c>
      <c r="D253" s="540">
        <f ca="1">(C253/11*10)</f>
        <v>105000.00000000001</v>
      </c>
      <c r="E253" s="250">
        <f ca="1">SUMIFS(INDIRECT("Report!J100:J10000"),INDIRECT("Report!B100:B10000"),B253,INDIRECT("report!H100:H10000"),"Technotrans",INDIRECT("Report!L100:L10000"),"19,4")</f>
        <v>37617</v>
      </c>
      <c r="F253" s="314">
        <f t="shared" ca="1" si="46"/>
        <v>0.35825714285714283</v>
      </c>
      <c r="G253" s="274">
        <f ca="1">E253*20%</f>
        <v>7523.4000000000005</v>
      </c>
    </row>
    <row r="254" spans="1:7" ht="21" customHeight="1" x14ac:dyDescent="0.25">
      <c r="B254" s="228" t="s">
        <v>486</v>
      </c>
      <c r="C254" s="250">
        <f ca="1">SUMIFS(INDIRECT("Report!F100:F10000"),INDIRECT("Report!B100:B10000"),B254,INDIRECT("report!H100:H10000"),"Technotrans",INDIRECT("Report!L100:L10000"),"19,4")</f>
        <v>880000.00000000012</v>
      </c>
      <c r="D254" s="540">
        <f ca="1">(C254/11*10)</f>
        <v>800000.00000000012</v>
      </c>
      <c r="E254" s="250">
        <f ca="1">SUMIFS(INDIRECT("Report!J100:J10000"),INDIRECT("Report!B100:B10000"),B254,INDIRECT("report!H100:H10000"),"Technotrans",INDIRECT("Report!L100:L10000"),"19,4")</f>
        <v>350780</v>
      </c>
      <c r="F254" s="314">
        <f t="shared" ca="1" si="46"/>
        <v>0.43847499999999995</v>
      </c>
      <c r="G254" s="274">
        <f ca="1">E254*20%</f>
        <v>70156</v>
      </c>
    </row>
    <row r="255" spans="1:7" ht="21" customHeight="1" x14ac:dyDescent="0.25">
      <c r="B255" s="228" t="s">
        <v>477</v>
      </c>
      <c r="C255" s="250">
        <f ca="1">SUMIFS(INDIRECT("Report!F100:F10000"),INDIRECT("Report!B100:B10000"),B255,INDIRECT("report!H100:H10000"),"Technotrans",INDIRECT("Report!L100:L10000"),"19,4")</f>
        <v>962500.00000000012</v>
      </c>
      <c r="D255" s="540">
        <f ca="1">(C255/11*10)</f>
        <v>875000.00000000012</v>
      </c>
      <c r="E255" s="250">
        <f ca="1">SUMIFS(INDIRECT("Report!J100:J10000"),INDIRECT("Report!B100:B10000"),B255,INDIRECT("report!H100:H10000"),"Technotrans",INDIRECT("Report!L100:L10000"),"19,4")</f>
        <v>313475</v>
      </c>
      <c r="F255" s="314">
        <f t="shared" ca="1" si="46"/>
        <v>0.35825714285714283</v>
      </c>
      <c r="G255" s="274">
        <f ca="1">E255*20%</f>
        <v>62695</v>
      </c>
    </row>
    <row r="256" spans="1:7" ht="21" customHeight="1" x14ac:dyDescent="0.25">
      <c r="B256" s="279"/>
      <c r="C256" s="278">
        <f ca="1">SUM(C252:C255)</f>
        <v>3822500.0000000005</v>
      </c>
      <c r="D256" s="278">
        <f ca="1">SUM(D252:D255)</f>
        <v>3475000.0000000005</v>
      </c>
      <c r="E256" s="278">
        <f ca="1">SUM(E252:E255)</f>
        <v>1179170.2063189219</v>
      </c>
      <c r="F256" s="294">
        <f t="shared" ca="1" si="46"/>
        <v>0.33932955577522927</v>
      </c>
      <c r="G256" s="280">
        <f ca="1">SUM(G252:G255)</f>
        <v>235834.04126378437</v>
      </c>
    </row>
    <row r="257" spans="1:10" ht="21" customHeight="1" x14ac:dyDescent="0.25">
      <c r="A257" s="798" t="s">
        <v>1902</v>
      </c>
      <c r="B257" s="228" t="s">
        <v>1629</v>
      </c>
      <c r="C257" s="250">
        <f ca="1">SUMIFS(INDIRECT("Report!F100:F10000"),INDIRECT("Report!B100:B10000"),B257,INDIRECT("report!H100:H10000"),"Technotrans",INDIRECT("Report!L100:L10000"),"19,5")</f>
        <v>440000.00000000006</v>
      </c>
      <c r="D257" s="549">
        <f ca="1">(C257/11*10)</f>
        <v>400000.00000000006</v>
      </c>
      <c r="E257" s="250">
        <f ca="1">SUMIFS(INDIRECT("Report!J100:J10000"),INDIRECT("Report!B100:B10000"),B257,INDIRECT("report!H100:H10000"),"Technotrans",INDIRECT("Report!L100:L10000"),"19,5")</f>
        <v>175390</v>
      </c>
      <c r="F257" s="314">
        <f t="shared" ca="1" si="46"/>
        <v>0.43847499999999995</v>
      </c>
      <c r="G257" s="274">
        <f ca="1">E257*20%</f>
        <v>35078</v>
      </c>
    </row>
    <row r="258" spans="1:10" ht="21" customHeight="1" x14ac:dyDescent="0.25">
      <c r="B258" s="228" t="s">
        <v>477</v>
      </c>
      <c r="C258" s="250">
        <f ca="1">SUMIFS(INDIRECT("Report!F100:F10000"),INDIRECT("Report!B100:B10000"),B258,INDIRECT("report!H100:H10000"),"Technotrans",INDIRECT("Report!L100:L10000"),"19,5")</f>
        <v>962500.00000000012</v>
      </c>
      <c r="D258" s="540">
        <f ca="1">(C258/11*10)</f>
        <v>875000.00000000012</v>
      </c>
      <c r="E258" s="250">
        <f ca="1">SUMIFS(INDIRECT("Report!J100:J10000"),INDIRECT("Report!B100:B10000"),B258,INDIRECT("report!H100:H10000"),"Technotrans",INDIRECT("Report!L100:L10000"),"19,5")</f>
        <v>313475</v>
      </c>
      <c r="F258" s="314">
        <f t="shared" ca="1" si="46"/>
        <v>0.35825714285714283</v>
      </c>
      <c r="G258" s="274">
        <f ca="1">E258*20%</f>
        <v>62695</v>
      </c>
    </row>
    <row r="259" spans="1:10" ht="21" customHeight="1" x14ac:dyDescent="0.25">
      <c r="B259" s="279"/>
      <c r="C259" s="278">
        <f ca="1">SUM(C257:C258)</f>
        <v>1402500.0000000002</v>
      </c>
      <c r="D259" s="278">
        <f ca="1">SUM(D257:D258)</f>
        <v>1275000.0000000002</v>
      </c>
      <c r="E259" s="278">
        <f ca="1">SUM(E257:E258)</f>
        <v>488865</v>
      </c>
      <c r="F259" s="294">
        <f t="shared" ca="1" si="46"/>
        <v>0.38342352941176466</v>
      </c>
      <c r="G259" s="280">
        <f ca="1">SUM(G257:G258)</f>
        <v>97773</v>
      </c>
    </row>
    <row r="260" spans="1:10" ht="21" customHeight="1" x14ac:dyDescent="0.25">
      <c r="A260" s="798" t="s">
        <v>1994</v>
      </c>
      <c r="B260" s="228" t="s">
        <v>550</v>
      </c>
      <c r="C260" s="250">
        <f ca="1">SUMIFS(INDIRECT("Report!F100:F10000"),INDIRECT("Report!B100:B10000"),B260,INDIRECT("report!H100:H10000"),"Technotrans",INDIRECT("Report!L100:L10000"),"19,6")</f>
        <v>330000</v>
      </c>
      <c r="D260" s="549">
        <f ca="1">(C260/11*10)</f>
        <v>300000</v>
      </c>
      <c r="E260" s="250">
        <f ca="1">SUMIFS(INDIRECT("Report!J100:J10000"),INDIRECT("Report!B100:B10000"),B260,INDIRECT("report!H100:H10000"),"Technotrans",INDIRECT("Report!L100:L10000"),"19,6")</f>
        <v>75390</v>
      </c>
      <c r="F260" s="314">
        <f t="shared" ref="F260:F265" ca="1" si="47">E260/D260</f>
        <v>0.25130000000000002</v>
      </c>
      <c r="G260" s="274">
        <f ca="1">E260*20%</f>
        <v>15078</v>
      </c>
    </row>
    <row r="261" spans="1:10" ht="21" customHeight="1" x14ac:dyDescent="0.25">
      <c r="B261" s="228" t="s">
        <v>477</v>
      </c>
      <c r="C261" s="250">
        <f ca="1">SUMIFS(INDIRECT("Report!F100:F10000"),INDIRECT("Report!B100:B10000"),B261,INDIRECT("report!H100:H10000"),"Technotrans",INDIRECT("Report!L100:L10000"),"19,6")</f>
        <v>2612500.0000000005</v>
      </c>
      <c r="D261" s="540">
        <f ca="1">(C261/11*10)</f>
        <v>2375000.0000000005</v>
      </c>
      <c r="E261" s="250">
        <f ca="1">SUMIFS(INDIRECT("Report!J100:J10000"),INDIRECT("Report!B100:B10000"),B261,INDIRECT("report!H100:H10000"),"Technotrans",INDIRECT("Report!L100:L10000"),"19,6")</f>
        <v>796708.99999999988</v>
      </c>
      <c r="F261" s="314">
        <f t="shared" ca="1" si="47"/>
        <v>0.33545642105263146</v>
      </c>
      <c r="G261" s="274">
        <f ca="1">E261*20%</f>
        <v>159341.79999999999</v>
      </c>
    </row>
    <row r="262" spans="1:10" ht="21" customHeight="1" x14ac:dyDescent="0.25">
      <c r="B262" s="228" t="s">
        <v>675</v>
      </c>
      <c r="C262" s="250">
        <f ca="1">SUMIFS(INDIRECT("Report!F100:F10000"),INDIRECT("Report!B100:B10000"),B262,INDIRECT("report!H100:H10000"),"Technotrans",INDIRECT("Report!L100:L10000"),"19,6")</f>
        <v>440000.00000000006</v>
      </c>
      <c r="D262" s="540">
        <f ca="1">(C262/11*10)</f>
        <v>400000.00000000006</v>
      </c>
      <c r="E262" s="250">
        <f ca="1">SUMIFS(INDIRECT("Report!J100:J10000"),INDIRECT("Report!B100:B10000"),B262,INDIRECT("report!H100:H10000"),"Technotrans",INDIRECT("Report!L100:L10000"),"19,6")</f>
        <v>175390</v>
      </c>
      <c r="F262" s="314">
        <f ca="1">E262/D262</f>
        <v>0.43847499999999995</v>
      </c>
      <c r="G262" s="274">
        <f ca="1">E262*20%</f>
        <v>35078</v>
      </c>
    </row>
    <row r="263" spans="1:10" ht="21" customHeight="1" x14ac:dyDescent="0.25">
      <c r="B263" s="228" t="s">
        <v>601</v>
      </c>
      <c r="C263" s="250">
        <f ca="1">SUMIFS(INDIRECT("Report!F100:F10000"),INDIRECT("Report!B100:B10000"),B263,INDIRECT("report!H100:H10000"),"Technotrans",INDIRECT("Report!L100:L10000"),"19,6")</f>
        <v>462000.00000000006</v>
      </c>
      <c r="D263" s="540">
        <f ca="1">(C263/11*10)</f>
        <v>420000.00000000006</v>
      </c>
      <c r="E263" s="250">
        <f ca="1">SUMIFS(INDIRECT("Report!J100:J10000"),INDIRECT("Report!B100:B10000"),B263,INDIRECT("report!H100:H10000"),"Technotrans",INDIRECT("Report!L100:L10000"),"19,6")</f>
        <v>195390</v>
      </c>
      <c r="F263" s="314">
        <f ca="1">E263/D263</f>
        <v>0.46521428571428564</v>
      </c>
      <c r="G263" s="274">
        <f ca="1">E263*20%</f>
        <v>39078</v>
      </c>
    </row>
    <row r="264" spans="1:10" ht="21" customHeight="1" x14ac:dyDescent="0.25">
      <c r="B264" s="228" t="s">
        <v>478</v>
      </c>
      <c r="C264" s="250">
        <f ca="1">SUMIFS(INDIRECT("Report!F100:F10000"),INDIRECT("Report!B100:B10000"),B264,INDIRECT("report!H100:H10000"),"Technotrans",INDIRECT("Report!L100:L10000"),"19,6")</f>
        <v>154000</v>
      </c>
      <c r="D264" s="540">
        <f ca="1">(C264/11*10)</f>
        <v>140000</v>
      </c>
      <c r="E264" s="250">
        <f ca="1">SUMIFS(INDIRECT("Report!J100:J10000"),INDIRECT("Report!B100:B10000"),B264,INDIRECT("report!H100:H10000"),"Technotrans",INDIRECT("Report!L100:L10000"),"19,6")</f>
        <v>50156</v>
      </c>
      <c r="F264" s="314">
        <f ca="1">E264/D264</f>
        <v>0.35825714285714283</v>
      </c>
      <c r="G264" s="274">
        <f ca="1">E264*20%</f>
        <v>10031.200000000001</v>
      </c>
    </row>
    <row r="265" spans="1:10" ht="21" customHeight="1" x14ac:dyDescent="0.25">
      <c r="B265" s="279"/>
      <c r="C265" s="278">
        <f ca="1">SUM(C260:C264)</f>
        <v>3998500.0000000005</v>
      </c>
      <c r="D265" s="278">
        <f ca="1">SUM(D260:D264)</f>
        <v>3635000.0000000005</v>
      </c>
      <c r="E265" s="278">
        <f ca="1">SUM(E260:E264)</f>
        <v>1293035</v>
      </c>
      <c r="F265" s="294">
        <f t="shared" ca="1" si="47"/>
        <v>0.35571801925722141</v>
      </c>
      <c r="G265" s="280">
        <f ca="1">SUM(G260:G264)</f>
        <v>258607</v>
      </c>
    </row>
    <row r="266" spans="1:10" ht="21" customHeight="1" x14ac:dyDescent="0.25">
      <c r="A266" s="798" t="s">
        <v>2751</v>
      </c>
      <c r="B266" s="279"/>
      <c r="C266" s="1184"/>
      <c r="D266" s="278"/>
      <c r="E266" s="1184"/>
      <c r="F266" s="294"/>
      <c r="G266" s="280"/>
    </row>
    <row r="267" spans="1:10" ht="21" customHeight="1" x14ac:dyDescent="0.25">
      <c r="A267" s="798" t="s">
        <v>2062</v>
      </c>
      <c r="B267" s="228" t="s">
        <v>550</v>
      </c>
      <c r="C267" s="250">
        <f t="shared" ref="C267:C272" ca="1" si="48">SUMIFS(INDIRECT("Report!F100:F10000"),INDIRECT("Report!B100:B10000"),B267,INDIRECT("report!H100:H10000"),"Technotrans",INDIRECT("Report!L100:L10000"),"19,8")</f>
        <v>1265000</v>
      </c>
      <c r="D267" s="549">
        <f t="shared" ref="D267:D272" ca="1" si="49">(C267/11*10)</f>
        <v>1150000</v>
      </c>
      <c r="E267" s="250">
        <f t="shared" ref="E267:E272" ca="1" si="50">SUMIFS(INDIRECT("Report!J100:J10000"),INDIRECT("Report!B100:B10000"),B267,INDIRECT("report!H100:H10000"),"Technotrans",INDIRECT("Report!L100:L10000"),"19,8")</f>
        <v>519489.40210630727</v>
      </c>
      <c r="F267" s="314">
        <f t="shared" ref="F267:F274" ca="1" si="51">E267/D267</f>
        <v>0.45172991487504982</v>
      </c>
      <c r="G267" s="274">
        <f t="shared" ref="G267:G272" ca="1" si="52">E267*20%</f>
        <v>103897.88042126146</v>
      </c>
    </row>
    <row r="268" spans="1:10" ht="21" customHeight="1" x14ac:dyDescent="0.25">
      <c r="B268" s="228" t="s">
        <v>477</v>
      </c>
      <c r="C268" s="250">
        <f t="shared" ca="1" si="48"/>
        <v>4730000</v>
      </c>
      <c r="D268" s="540">
        <f t="shared" ca="1" si="49"/>
        <v>4300000</v>
      </c>
      <c r="E268" s="250">
        <f t="shared" ca="1" si="50"/>
        <v>3001560</v>
      </c>
      <c r="F268" s="314">
        <f t="shared" ca="1" si="51"/>
        <v>0.6980372093023256</v>
      </c>
      <c r="G268" s="274">
        <f t="shared" ca="1" si="52"/>
        <v>600312</v>
      </c>
      <c r="I268" s="1029">
        <f ca="1">G268-172312</f>
        <v>428000</v>
      </c>
      <c r="J268" s="228" t="s">
        <v>2099</v>
      </c>
    </row>
    <row r="269" spans="1:10" ht="21" customHeight="1" x14ac:dyDescent="0.25">
      <c r="B269" s="228" t="s">
        <v>2063</v>
      </c>
      <c r="C269" s="250">
        <f t="shared" ca="1" si="48"/>
        <v>418000.00000000006</v>
      </c>
      <c r="D269" s="540">
        <f t="shared" ca="1" si="49"/>
        <v>380000.00000000006</v>
      </c>
      <c r="E269" s="250">
        <f t="shared" ca="1" si="50"/>
        <v>155390</v>
      </c>
      <c r="F269" s="314">
        <f t="shared" ca="1" si="51"/>
        <v>0.40892105263157891</v>
      </c>
      <c r="G269" s="274">
        <f t="shared" ca="1" si="52"/>
        <v>31078</v>
      </c>
    </row>
    <row r="270" spans="1:10" ht="21" customHeight="1" x14ac:dyDescent="0.25">
      <c r="B270" s="228" t="s">
        <v>2064</v>
      </c>
      <c r="C270" s="250">
        <f t="shared" ca="1" si="48"/>
        <v>418000.00000000006</v>
      </c>
      <c r="D270" s="540">
        <f t="shared" ca="1" si="49"/>
        <v>380000.00000000006</v>
      </c>
      <c r="E270" s="250">
        <f t="shared" ca="1" si="50"/>
        <v>155390</v>
      </c>
      <c r="F270" s="314">
        <f t="shared" ca="1" si="51"/>
        <v>0.40892105263157891</v>
      </c>
      <c r="G270" s="274">
        <f t="shared" ca="1" si="52"/>
        <v>31078</v>
      </c>
    </row>
    <row r="271" spans="1:10" ht="21" customHeight="1" x14ac:dyDescent="0.25">
      <c r="B271" s="228" t="s">
        <v>762</v>
      </c>
      <c r="C271" s="250">
        <f t="shared" ca="1" si="48"/>
        <v>198000.00000000003</v>
      </c>
      <c r="D271" s="540">
        <f t="shared" ca="1" si="49"/>
        <v>180000.00000000003</v>
      </c>
      <c r="E271" s="250">
        <f t="shared" ca="1" si="50"/>
        <v>45234</v>
      </c>
      <c r="F271" s="314">
        <f t="shared" ca="1" si="51"/>
        <v>0.25129999999999997</v>
      </c>
      <c r="G271" s="274">
        <f t="shared" ca="1" si="52"/>
        <v>9046.8000000000011</v>
      </c>
    </row>
    <row r="272" spans="1:10" ht="21" customHeight="1" x14ac:dyDescent="0.25">
      <c r="B272" s="228" t="s">
        <v>478</v>
      </c>
      <c r="C272" s="250">
        <f t="shared" ca="1" si="48"/>
        <v>154000</v>
      </c>
      <c r="D272" s="540">
        <f t="shared" ca="1" si="49"/>
        <v>140000</v>
      </c>
      <c r="E272" s="250">
        <f t="shared" ca="1" si="50"/>
        <v>50156</v>
      </c>
      <c r="F272" s="314">
        <f t="shared" ca="1" si="51"/>
        <v>0.35825714285714283</v>
      </c>
      <c r="G272" s="274">
        <f t="shared" ca="1" si="52"/>
        <v>10031.200000000001</v>
      </c>
    </row>
    <row r="273" spans="1:9" ht="21" customHeight="1" x14ac:dyDescent="0.25">
      <c r="B273" s="279"/>
      <c r="C273" s="278">
        <f ca="1">SUM(C267:C272)</f>
        <v>7183000</v>
      </c>
      <c r="D273" s="278">
        <f ca="1">SUM(D267:D272)</f>
        <v>6530000</v>
      </c>
      <c r="E273" s="278">
        <f ca="1">SUM(E267:E272)</f>
        <v>3927219.4021063074</v>
      </c>
      <c r="F273" s="294">
        <f t="shared" ca="1" si="51"/>
        <v>0.601411853308776</v>
      </c>
      <c r="G273" s="280">
        <f ca="1">SUM(G267:G272)</f>
        <v>785443.88042126142</v>
      </c>
    </row>
    <row r="274" spans="1:9" ht="21" customHeight="1" x14ac:dyDescent="0.25">
      <c r="A274" s="798" t="s">
        <v>2094</v>
      </c>
      <c r="B274" s="228" t="s">
        <v>477</v>
      </c>
      <c r="C274" s="250">
        <f ca="1">SUMIFS(INDIRECT("Report!F100:F10000"),INDIRECT("Report!B100:B10000"),B274,INDIRECT("report!H100:H10000"),"Technotrans",INDIRECT("Report!L100:L10000"),"19,9")</f>
        <v>962500.00000000012</v>
      </c>
      <c r="D274" s="540">
        <f ca="1">(C274/11*10)</f>
        <v>875000.00000000012</v>
      </c>
      <c r="E274" s="250">
        <f ca="1">SUMIFS(INDIRECT("Report!J100:J10000"),INDIRECT("Report!B100:B10000"),B274,INDIRECT("report!H100:H10000"),"Technotrans",INDIRECT("Report!L100:L10000"),"19,9")</f>
        <v>313475</v>
      </c>
      <c r="F274" s="314">
        <f t="shared" ca="1" si="51"/>
        <v>0.35825714285714283</v>
      </c>
      <c r="G274" s="274">
        <f ca="1">E274*20%</f>
        <v>62695</v>
      </c>
    </row>
    <row r="275" spans="1:9" ht="21" customHeight="1" x14ac:dyDescent="0.25">
      <c r="B275" s="279"/>
      <c r="C275" s="278">
        <f ca="1">SUM(C274:C274)</f>
        <v>962500.00000000012</v>
      </c>
      <c r="D275" s="278">
        <f ca="1">SUM(D274:D274)</f>
        <v>875000.00000000012</v>
      </c>
      <c r="E275" s="278">
        <f ca="1">SUM(E274:E274)</f>
        <v>313475</v>
      </c>
      <c r="F275" s="294">
        <f ca="1">E275/D275</f>
        <v>0.35825714285714283</v>
      </c>
      <c r="G275" s="280">
        <f ca="1">SUM(G274:G274)</f>
        <v>62695</v>
      </c>
    </row>
    <row r="276" spans="1:9" ht="21" customHeight="1" x14ac:dyDescent="0.25">
      <c r="A276" s="798" t="s">
        <v>2129</v>
      </c>
      <c r="B276" s="228" t="s">
        <v>485</v>
      </c>
      <c r="C276" s="250">
        <f ca="1">SUMIFS(INDIRECT("Report!F100:F10000"),INDIRECT("Report!B100:B10000"),B276,INDIRECT("report!H100:H10000"),"Technotrans",INDIRECT("Report!L100:L10000"),"19,10")</f>
        <v>3630000.0000000005</v>
      </c>
      <c r="D276" s="549">
        <f ca="1">(C276/11*10)</f>
        <v>3300000.0000000005</v>
      </c>
      <c r="E276" s="250">
        <f ca="1">SUMIFS(INDIRECT("Report!J100:J10000"),INDIRECT("Report!B100:B10000"),B276,INDIRECT("report!H100:H10000"),"Technotrans",INDIRECT("Report!L100:L10000"),"19,10")</f>
        <v>2082297</v>
      </c>
      <c r="F276" s="314">
        <f t="shared" ref="F276:F290" ca="1" si="53">E276/D276</f>
        <v>0.63099909090909079</v>
      </c>
      <c r="G276" s="274">
        <f ca="1">E276*20%</f>
        <v>416459.4</v>
      </c>
    </row>
    <row r="277" spans="1:9" ht="21" customHeight="1" x14ac:dyDescent="0.25">
      <c r="B277" s="228" t="s">
        <v>477</v>
      </c>
      <c r="C277" s="250">
        <f ca="1">SUMIFS(INDIRECT("Report!F100:F10000"),INDIRECT("Report!B100:B10000"),B277,INDIRECT("report!H100:H10000"),"Technotrans",INDIRECT("Report!L100:L10000"),"19,10")</f>
        <v>962500.00000000012</v>
      </c>
      <c r="D277" s="540">
        <f ca="1">(C277/11*10)</f>
        <v>875000.00000000012</v>
      </c>
      <c r="E277" s="250">
        <f ca="1">SUMIFS(INDIRECT("Report!J100:J10000"),INDIRECT("Report!B100:B10000"),B277,INDIRECT("report!H100:H10000"),"Technotrans",INDIRECT("Report!L100:L10000"),"19,10")</f>
        <v>313475</v>
      </c>
      <c r="F277" s="314">
        <f t="shared" ca="1" si="53"/>
        <v>0.35825714285714283</v>
      </c>
      <c r="G277" s="274">
        <f ca="1">E277*20%</f>
        <v>62695</v>
      </c>
    </row>
    <row r="278" spans="1:9" ht="21" customHeight="1" x14ac:dyDescent="0.25">
      <c r="B278" s="228" t="s">
        <v>2127</v>
      </c>
      <c r="C278" s="250">
        <f ca="1">SUMIFS(INDIRECT("Report!F100:F10000"),INDIRECT("Report!B100:B10000"),B278,INDIRECT("report!H100:H10000"),"Technotrans",INDIRECT("Report!L100:L10000"),"19,10")</f>
        <v>8470000</v>
      </c>
      <c r="D278" s="540">
        <f ca="1">(C278/11*10)</f>
        <v>7700000</v>
      </c>
      <c r="E278" s="250">
        <f ca="1">SUMIFS(INDIRECT("Report!J100:J10000"),INDIRECT("Report!B100:B10000"),B278,INDIRECT("report!H100:H10000"),"Technotrans",INDIRECT("Report!L100:L10000"),"19,10")</f>
        <v>3161840.0856571002</v>
      </c>
      <c r="F278" s="314">
        <f t="shared" ca="1" si="53"/>
        <v>0.41062858255287016</v>
      </c>
      <c r="G278" s="274">
        <f ca="1">E278*20%</f>
        <v>632368.01713142009</v>
      </c>
      <c r="I278" s="227" t="s">
        <v>2130</v>
      </c>
    </row>
    <row r="279" spans="1:9" ht="21" customHeight="1" x14ac:dyDescent="0.25">
      <c r="B279" s="228" t="s">
        <v>2128</v>
      </c>
      <c r="C279" s="250">
        <f ca="1">SUMIFS(INDIRECT("Report!F100:F10000"),INDIRECT("Report!B100:B10000"),B279,INDIRECT("report!H100:H10000"),"Technotrans",INDIRECT("Report!L100:L10000"),"19,10")</f>
        <v>192500.00000000003</v>
      </c>
      <c r="D279" s="540">
        <f ca="1">(C279/11*10)</f>
        <v>175000.00000000003</v>
      </c>
      <c r="E279" s="250">
        <f ca="1">SUMIFS(INDIRECT("Report!J100:J10000"),INDIRECT("Report!B100:B10000"),B279,INDIRECT("report!H100:H10000"),"Technotrans",INDIRECT("Report!L100:L10000"),"19,10")</f>
        <v>175000</v>
      </c>
      <c r="F279" s="314">
        <f t="shared" ca="1" si="53"/>
        <v>0.99999999999999989</v>
      </c>
      <c r="G279" s="274">
        <f ca="1">E279*20%</f>
        <v>35000</v>
      </c>
    </row>
    <row r="280" spans="1:9" ht="21" customHeight="1" x14ac:dyDescent="0.25">
      <c r="B280" s="228" t="s">
        <v>838</v>
      </c>
      <c r="C280" s="250">
        <f ca="1">SUMIFS(INDIRECT("Report!F100:F10000"),INDIRECT("Report!B100:B10000"),B280,INDIRECT("report!H100:H10000"),"Technotrans",INDIRECT("Report!L100:L10000"),"19,10")</f>
        <v>1320000</v>
      </c>
      <c r="D280" s="540">
        <f ca="1">(C280/11*10)</f>
        <v>1200000</v>
      </c>
      <c r="E280" s="250">
        <f ca="1">SUMIFS(INDIRECT("Report!J100:J10000"),INDIRECT("Report!B100:B10000"),B280,INDIRECT("report!H100:H10000"),"Technotrans",INDIRECT("Report!L100:L10000"),"19,10")</f>
        <v>526170</v>
      </c>
      <c r="F280" s="314">
        <f t="shared" ca="1" si="53"/>
        <v>0.438475</v>
      </c>
      <c r="G280" s="274">
        <f ca="1">E280*20%</f>
        <v>105234</v>
      </c>
    </row>
    <row r="281" spans="1:9" ht="21" customHeight="1" x14ac:dyDescent="0.25">
      <c r="B281" s="279"/>
      <c r="C281" s="278">
        <f ca="1">SUM(C276:C280)</f>
        <v>14575000</v>
      </c>
      <c r="D281" s="278">
        <f ca="1">SUM(D276:D280)</f>
        <v>13250000</v>
      </c>
      <c r="E281" s="278">
        <f ca="1">SUM(E276:E280)</f>
        <v>6258782.0856571002</v>
      </c>
      <c r="F281" s="294">
        <f t="shared" ca="1" si="53"/>
        <v>0.47236091212506415</v>
      </c>
      <c r="G281" s="280">
        <f ca="1">SUM(G276:G280)</f>
        <v>1251756.4171314202</v>
      </c>
    </row>
    <row r="282" spans="1:9" ht="21" customHeight="1" x14ac:dyDescent="0.25">
      <c r="A282" s="798" t="s">
        <v>2248</v>
      </c>
      <c r="B282" s="228" t="s">
        <v>2249</v>
      </c>
      <c r="C282" s="250">
        <f t="shared" ref="C282:C289" ca="1" si="54">SUMIFS(INDIRECT("Report!F100:F10000"),INDIRECT("Report!B100:B10000"),B282,INDIRECT("report!H100:H10000"),"Technotrans",INDIRECT("Report!L100:L10000"),"19,11")</f>
        <v>880000.00000000012</v>
      </c>
      <c r="D282" s="549">
        <f t="shared" ref="D282:D297" ca="1" si="55">(C282/11*10)</f>
        <v>800000.00000000012</v>
      </c>
      <c r="E282" s="250">
        <f t="shared" ref="E282:E289" ca="1" si="56">SUMIFS(INDIRECT("Report!J100:J10000"),INDIRECT("Report!B100:B10000"),B282,INDIRECT("report!H100:H10000"),"Technotrans",INDIRECT("Report!L100:L10000"),"19,11")</f>
        <v>310920</v>
      </c>
      <c r="F282" s="314">
        <f t="shared" ca="1" si="53"/>
        <v>0.38864999999999994</v>
      </c>
      <c r="G282" s="274">
        <f t="shared" ref="G282:G289" ca="1" si="57">E282*20%</f>
        <v>62184</v>
      </c>
    </row>
    <row r="283" spans="1:9" ht="21" customHeight="1" x14ac:dyDescent="0.25">
      <c r="B283" s="228" t="s">
        <v>411</v>
      </c>
      <c r="C283" s="250">
        <f t="shared" ca="1" si="54"/>
        <v>962500.00000000012</v>
      </c>
      <c r="D283" s="540">
        <f t="shared" ca="1" si="55"/>
        <v>875000.00000000012</v>
      </c>
      <c r="E283" s="250">
        <f t="shared" ca="1" si="56"/>
        <v>263650</v>
      </c>
      <c r="F283" s="314">
        <f t="shared" ca="1" si="53"/>
        <v>0.3013142857142857</v>
      </c>
      <c r="G283" s="274">
        <f t="shared" ca="1" si="57"/>
        <v>52730</v>
      </c>
    </row>
    <row r="284" spans="1:9" ht="21" customHeight="1" x14ac:dyDescent="0.25">
      <c r="B284" s="228" t="s">
        <v>2250</v>
      </c>
      <c r="C284" s="250">
        <f t="shared" ca="1" si="54"/>
        <v>330000</v>
      </c>
      <c r="D284" s="540">
        <f t="shared" ca="1" si="55"/>
        <v>300000</v>
      </c>
      <c r="E284" s="250">
        <f t="shared" ca="1" si="56"/>
        <v>55460</v>
      </c>
      <c r="F284" s="314">
        <f t="shared" ca="1" si="53"/>
        <v>0.18486666666666668</v>
      </c>
      <c r="G284" s="274">
        <f t="shared" ca="1" si="57"/>
        <v>11092</v>
      </c>
    </row>
    <row r="285" spans="1:9" ht="21" customHeight="1" x14ac:dyDescent="0.25">
      <c r="B285" s="228" t="s">
        <v>556</v>
      </c>
      <c r="C285" s="250">
        <f t="shared" ca="1" si="54"/>
        <v>165000</v>
      </c>
      <c r="D285" s="540">
        <f t="shared" ca="1" si="55"/>
        <v>150000</v>
      </c>
      <c r="E285" s="250">
        <f t="shared" ca="1" si="56"/>
        <v>27730</v>
      </c>
      <c r="F285" s="314">
        <f t="shared" ca="1" si="53"/>
        <v>0.18486666666666668</v>
      </c>
      <c r="G285" s="274">
        <f t="shared" ca="1" si="57"/>
        <v>5546</v>
      </c>
    </row>
    <row r="286" spans="1:9" ht="21" customHeight="1" x14ac:dyDescent="0.25">
      <c r="B286" s="228" t="s">
        <v>1829</v>
      </c>
      <c r="C286" s="250">
        <f t="shared" ca="1" si="54"/>
        <v>192500.00000000003</v>
      </c>
      <c r="D286" s="540">
        <f t="shared" ca="1" si="55"/>
        <v>175000.00000000003</v>
      </c>
      <c r="E286" s="250">
        <f t="shared" ca="1" si="56"/>
        <v>52730</v>
      </c>
      <c r="F286" s="314">
        <f t="shared" ca="1" si="53"/>
        <v>0.30131428571428565</v>
      </c>
      <c r="G286" s="274">
        <f t="shared" ca="1" si="57"/>
        <v>10546</v>
      </c>
    </row>
    <row r="287" spans="1:9" ht="21" customHeight="1" x14ac:dyDescent="0.25">
      <c r="B287" s="228" t="s">
        <v>444</v>
      </c>
      <c r="C287" s="250">
        <f t="shared" ca="1" si="54"/>
        <v>924000.00000000012</v>
      </c>
      <c r="D287" s="540">
        <f t="shared" ca="1" si="55"/>
        <v>840000.00000000012</v>
      </c>
      <c r="E287" s="250">
        <f t="shared" ca="1" si="56"/>
        <v>350920</v>
      </c>
      <c r="F287" s="314">
        <f t="shared" ca="1" si="53"/>
        <v>0.41776190476190472</v>
      </c>
      <c r="G287" s="274">
        <f t="shared" ca="1" si="57"/>
        <v>70184</v>
      </c>
    </row>
    <row r="288" spans="1:9" ht="21" customHeight="1" x14ac:dyDescent="0.25">
      <c r="B288" s="228" t="s">
        <v>422</v>
      </c>
      <c r="C288" s="250">
        <f t="shared" ca="1" si="54"/>
        <v>115500.00000000001</v>
      </c>
      <c r="D288" s="540">
        <f t="shared" ca="1" si="55"/>
        <v>105000.00000000001</v>
      </c>
      <c r="E288" s="250">
        <f t="shared" ca="1" si="56"/>
        <v>37617</v>
      </c>
      <c r="F288" s="314">
        <f t="shared" ca="1" si="53"/>
        <v>0.35825714285714283</v>
      </c>
      <c r="G288" s="274">
        <f t="shared" ca="1" si="57"/>
        <v>7523.4000000000005</v>
      </c>
    </row>
    <row r="289" spans="1:9" ht="21" customHeight="1" x14ac:dyDescent="0.25">
      <c r="B289" s="228" t="s">
        <v>442</v>
      </c>
      <c r="C289" s="250">
        <f t="shared" ca="1" si="54"/>
        <v>495000</v>
      </c>
      <c r="D289" s="540">
        <f t="shared" ca="1" si="55"/>
        <v>450000</v>
      </c>
      <c r="E289" s="250">
        <f t="shared" ca="1" si="56"/>
        <v>90460</v>
      </c>
      <c r="F289" s="314">
        <f ca="1">E289/D289</f>
        <v>0.20102222222222221</v>
      </c>
      <c r="G289" s="274">
        <f t="shared" ca="1" si="57"/>
        <v>18092</v>
      </c>
    </row>
    <row r="290" spans="1:9" ht="21" customHeight="1" x14ac:dyDescent="0.25">
      <c r="B290" s="279"/>
      <c r="C290" s="278">
        <f ca="1">SUM(C282:C289)</f>
        <v>4064500</v>
      </c>
      <c r="D290" s="278">
        <f ca="1">SUM(D282:D289)</f>
        <v>3695000</v>
      </c>
      <c r="E290" s="278">
        <f ca="1">SUM(E282:E289)</f>
        <v>1189487</v>
      </c>
      <c r="F290" s="294">
        <f t="shared" ca="1" si="53"/>
        <v>0.32191799729364007</v>
      </c>
      <c r="G290" s="280">
        <f ca="1">SUM(G282:G289)</f>
        <v>237897.4</v>
      </c>
    </row>
    <row r="291" spans="1:9" ht="21" customHeight="1" x14ac:dyDescent="0.25">
      <c r="A291" s="798" t="s">
        <v>2252</v>
      </c>
      <c r="B291" s="228" t="s">
        <v>443</v>
      </c>
      <c r="C291" s="250">
        <f t="shared" ref="C291:C297" ca="1" si="58">SUMIFS(INDIRECT("Report!F100:F10000"),INDIRECT("Report!B100:B10000"),B291,INDIRECT("report!H100:H10000"),"Technotrans",INDIRECT("Report!L100:L10000"),"19,12")</f>
        <v>1452000.0000000002</v>
      </c>
      <c r="D291" s="549">
        <f t="shared" ca="1" si="55"/>
        <v>1320000.0000000002</v>
      </c>
      <c r="E291" s="250">
        <f t="shared" ref="E291:E297" ca="1" si="59">SUMIFS(INDIRECT("Report!J100:J10000"),INDIRECT("Report!B100:B10000"),B291,INDIRECT("report!H100:H10000"),"Technotrans",INDIRECT("Report!L100:L10000"),"19,12")</f>
        <v>195000</v>
      </c>
      <c r="F291" s="314">
        <f t="shared" ref="F291:F298" ca="1" si="60">E291/D291</f>
        <v>0.14772727272727271</v>
      </c>
      <c r="G291" s="274">
        <f t="shared" ref="G291:G297" ca="1" si="61">E291*20%</f>
        <v>39000</v>
      </c>
    </row>
    <row r="292" spans="1:9" ht="21" customHeight="1" x14ac:dyDescent="0.25">
      <c r="B292" s="228" t="s">
        <v>411</v>
      </c>
      <c r="C292" s="250">
        <f t="shared" ca="1" si="58"/>
        <v>1721500.0000000002</v>
      </c>
      <c r="D292" s="540">
        <f t="shared" ca="1" si="55"/>
        <v>1565000.0000000002</v>
      </c>
      <c r="E292" s="250">
        <f t="shared" ca="1" si="59"/>
        <v>467650</v>
      </c>
      <c r="F292" s="314">
        <f t="shared" ca="1" si="60"/>
        <v>0.29881789137380188</v>
      </c>
      <c r="G292" s="274">
        <f t="shared" ca="1" si="61"/>
        <v>93530</v>
      </c>
    </row>
    <row r="293" spans="1:9" ht="21" customHeight="1" x14ac:dyDescent="0.25">
      <c r="B293" s="228" t="s">
        <v>2265</v>
      </c>
      <c r="C293" s="250">
        <f t="shared" ca="1" si="58"/>
        <v>11770000.000000002</v>
      </c>
      <c r="D293" s="540">
        <f ca="1">(C293/11*10)</f>
        <v>10700000.000000002</v>
      </c>
      <c r="E293" s="250">
        <f t="shared" ca="1" si="59"/>
        <v>2366193</v>
      </c>
      <c r="F293" s="314">
        <f t="shared" ca="1" si="60"/>
        <v>0.22113953271028033</v>
      </c>
      <c r="G293" s="274">
        <f t="shared" ca="1" si="61"/>
        <v>473238.60000000003</v>
      </c>
    </row>
    <row r="294" spans="1:9" ht="21" customHeight="1" x14ac:dyDescent="0.25">
      <c r="B294" s="228" t="s">
        <v>937</v>
      </c>
      <c r="C294" s="250">
        <f t="shared" ca="1" si="58"/>
        <v>1331000</v>
      </c>
      <c r="D294" s="540">
        <f ca="1">(C294/11*10)</f>
        <v>1210000</v>
      </c>
      <c r="E294" s="250">
        <f t="shared" ca="1" si="59"/>
        <v>910000</v>
      </c>
      <c r="F294" s="314">
        <f t="shared" ca="1" si="60"/>
        <v>0.75206611570247939</v>
      </c>
      <c r="G294" s="274">
        <f t="shared" ca="1" si="61"/>
        <v>182000</v>
      </c>
    </row>
    <row r="295" spans="1:9" ht="21" customHeight="1" x14ac:dyDescent="0.25">
      <c r="B295" s="228" t="s">
        <v>2264</v>
      </c>
      <c r="C295" s="250">
        <f t="shared" ca="1" si="58"/>
        <v>2310000</v>
      </c>
      <c r="D295" s="540">
        <f ca="1">(C295/11*10)</f>
        <v>2100000</v>
      </c>
      <c r="E295" s="250">
        <f t="shared" ca="1" si="59"/>
        <v>673238</v>
      </c>
      <c r="F295" s="314">
        <f t="shared" ca="1" si="60"/>
        <v>0.32058952380952382</v>
      </c>
      <c r="G295" s="274">
        <f t="shared" ca="1" si="61"/>
        <v>134647.6</v>
      </c>
    </row>
    <row r="296" spans="1:9" ht="21" customHeight="1" x14ac:dyDescent="0.25">
      <c r="B296" s="228" t="s">
        <v>1046</v>
      </c>
      <c r="C296" s="250">
        <f t="shared" ca="1" si="58"/>
        <v>115500.00000000001</v>
      </c>
      <c r="D296" s="540">
        <f ca="1">(C296/11*10)</f>
        <v>105000.00000000001</v>
      </c>
      <c r="E296" s="250">
        <f t="shared" ca="1" si="59"/>
        <v>105000</v>
      </c>
      <c r="F296" s="314">
        <f t="shared" ca="1" si="60"/>
        <v>0.99999999999999989</v>
      </c>
      <c r="G296" s="274">
        <f t="shared" ca="1" si="61"/>
        <v>21000</v>
      </c>
    </row>
    <row r="297" spans="1:9" ht="21" customHeight="1" x14ac:dyDescent="0.25">
      <c r="B297" s="228" t="s">
        <v>2353</v>
      </c>
      <c r="C297" s="250">
        <f t="shared" ca="1" si="58"/>
        <v>0</v>
      </c>
      <c r="D297" s="540">
        <f t="shared" ca="1" si="55"/>
        <v>0</v>
      </c>
      <c r="E297" s="250">
        <f t="shared" ca="1" si="59"/>
        <v>0</v>
      </c>
      <c r="F297" s="314" t="e">
        <f t="shared" ca="1" si="60"/>
        <v>#DIV/0!</v>
      </c>
      <c r="G297" s="274">
        <f t="shared" ca="1" si="61"/>
        <v>0</v>
      </c>
    </row>
    <row r="298" spans="1:9" ht="21" customHeight="1" x14ac:dyDescent="0.25">
      <c r="B298" s="279"/>
      <c r="C298" s="278">
        <f ca="1">SUM(C291:C297)</f>
        <v>18700000</v>
      </c>
      <c r="D298" s="278">
        <f ca="1">SUM(D291:D297)</f>
        <v>17000000</v>
      </c>
      <c r="E298" s="278">
        <f ca="1">SUM(E291:E297)</f>
        <v>4717081</v>
      </c>
      <c r="F298" s="294">
        <f t="shared" ca="1" si="60"/>
        <v>0.27747535294117648</v>
      </c>
      <c r="G298" s="280">
        <f ca="1">SUM(G291:G297)</f>
        <v>943416.20000000007</v>
      </c>
    </row>
    <row r="299" spans="1:9" ht="21" customHeight="1" x14ac:dyDescent="0.25">
      <c r="A299" s="798" t="s">
        <v>2294</v>
      </c>
      <c r="B299" s="228" t="s">
        <v>485</v>
      </c>
      <c r="C299" s="250">
        <f ca="1">SUMIFS(INDIRECT("Report!F100:F10000"),INDIRECT("Report!B100:B10000"),B299,INDIRECT("report!H100:H10000"),"Technotrans",INDIRECT("Report!L100:L10000"),"20,1")</f>
        <v>495000.00000000006</v>
      </c>
      <c r="D299" s="549">
        <f ca="1">(C299/11*10)</f>
        <v>450000.00000000006</v>
      </c>
      <c r="E299" s="250">
        <f ca="1">SUMIFS(INDIRECT("Report!J100:J10000"),INDIRECT("Report!B100:B10000"),B299,INDIRECT("report!H100:H10000"),"Technotrans",INDIRECT("Report!L100:L10000"),"20,1")</f>
        <v>226590</v>
      </c>
      <c r="F299" s="314">
        <f t="shared" ref="F299:F304" ca="1" si="62">E299/D299</f>
        <v>0.50353333333333328</v>
      </c>
      <c r="G299" s="274">
        <f ca="1">E299*20%</f>
        <v>45318</v>
      </c>
    </row>
    <row r="300" spans="1:9" ht="21" customHeight="1" x14ac:dyDescent="0.25">
      <c r="B300" s="228" t="s">
        <v>2295</v>
      </c>
      <c r="C300" s="250">
        <f ca="1">SUMIFS(INDIRECT("Report!F100:F10000"),INDIRECT("Report!B100:B10000"),B300,INDIRECT("report!H100:H10000"),"Technotrans",INDIRECT("Report!L100:L10000"),"20,1")</f>
        <v>2145000</v>
      </c>
      <c r="D300" s="540">
        <f ca="1">(C300/11*10)</f>
        <v>1950000</v>
      </c>
      <c r="E300" s="250">
        <f ca="1">SUMIFS(INDIRECT("Report!J100:J10000"),INDIRECT("Report!B100:B10000"),B300,INDIRECT("report!H100:H10000"),"Technotrans",INDIRECT("Report!L100:L10000"),"20,1")</f>
        <v>-143091</v>
      </c>
      <c r="F300" s="314">
        <f t="shared" ca="1" si="62"/>
        <v>-7.3380000000000001E-2</v>
      </c>
      <c r="G300" s="274">
        <f ca="1">E300*20%</f>
        <v>-28618.2</v>
      </c>
      <c r="I300" s="227" t="s">
        <v>2296</v>
      </c>
    </row>
    <row r="301" spans="1:9" ht="21" customHeight="1" x14ac:dyDescent="0.25">
      <c r="B301" s="279"/>
      <c r="C301" s="278">
        <f ca="1">SUM(C299:C300)</f>
        <v>2640000</v>
      </c>
      <c r="D301" s="278">
        <f ca="1">SUM(D299:D300)</f>
        <v>2400000</v>
      </c>
      <c r="E301" s="278">
        <f ca="1">SUM(E299:E300)</f>
        <v>83499</v>
      </c>
      <c r="F301" s="294">
        <f t="shared" ca="1" si="62"/>
        <v>3.4791250000000003E-2</v>
      </c>
      <c r="G301" s="280">
        <f ca="1">SUM(G299:G300)</f>
        <v>16699.8</v>
      </c>
    </row>
    <row r="302" spans="1:9" ht="21" customHeight="1" x14ac:dyDescent="0.25">
      <c r="A302" s="798" t="s">
        <v>2326</v>
      </c>
      <c r="B302" s="228" t="s">
        <v>675</v>
      </c>
      <c r="C302" s="250">
        <f ca="1">SUMIFS(INDIRECT("Report!F100:F10000"),INDIRECT("Report!B100:B10000"),B302,INDIRECT("report!H100:H10000"),"Technotrans",INDIRECT("Report!L100:L10000"),"20,2")</f>
        <v>440000.00000000006</v>
      </c>
      <c r="D302" s="549">
        <f ca="1">(C302/11*10)</f>
        <v>400000.00000000006</v>
      </c>
      <c r="E302" s="250">
        <f ca="1">SUMIFS(INDIRECT("Report!J100:J10000"),INDIRECT("Report!B100:B10000"),B302,INDIRECT("report!H100:H10000"),"Technotrans",INDIRECT("Report!L100:L10000"),"20,2")</f>
        <v>175390</v>
      </c>
      <c r="F302" s="314">
        <f t="shared" ca="1" si="62"/>
        <v>0.43847499999999995</v>
      </c>
      <c r="G302" s="274">
        <f ca="1">E302*20%</f>
        <v>35078</v>
      </c>
    </row>
    <row r="303" spans="1:9" ht="21" customHeight="1" x14ac:dyDescent="0.25">
      <c r="B303" s="228" t="s">
        <v>2353</v>
      </c>
      <c r="C303" s="250">
        <f ca="1">SUMIFS(INDIRECT("Report!F100:F10000"),INDIRECT("Report!B100:B10000"),B303,INDIRECT("report!H100:H10000"),"Technotrans",INDIRECT("Report!L100:L10000"),"20,2")</f>
        <v>0</v>
      </c>
      <c r="D303" s="540">
        <f ca="1">(C303/11*10)</f>
        <v>0</v>
      </c>
      <c r="E303" s="250">
        <f ca="1">SUMIFS(INDIRECT("Report!J100:J10000"),INDIRECT("Report!B100:B10000"),B303,INDIRECT("report!H100:H10000"),"Technotrans",INDIRECT("Report!L100:L10000"),"20,2")</f>
        <v>0</v>
      </c>
      <c r="F303" s="314" t="e">
        <f t="shared" ca="1" si="62"/>
        <v>#DIV/0!</v>
      </c>
      <c r="G303" s="274">
        <f ca="1">E303*20%</f>
        <v>0</v>
      </c>
    </row>
    <row r="304" spans="1:9" ht="21" customHeight="1" x14ac:dyDescent="0.25">
      <c r="B304" s="279"/>
      <c r="C304" s="278">
        <f ca="1">SUM(C302:C303)</f>
        <v>440000.00000000006</v>
      </c>
      <c r="D304" s="278">
        <f ca="1">SUM(D302:D303)</f>
        <v>400000.00000000006</v>
      </c>
      <c r="E304" s="278">
        <f ca="1">SUM(E302:E303)</f>
        <v>175390</v>
      </c>
      <c r="F304" s="294">
        <f t="shared" ca="1" si="62"/>
        <v>0.43847499999999995</v>
      </c>
      <c r="G304" s="280">
        <f ca="1">SUM(G302:G303)</f>
        <v>35078</v>
      </c>
    </row>
    <row r="305" spans="1:7" ht="21" customHeight="1" x14ac:dyDescent="0.25">
      <c r="A305" s="798" t="s">
        <v>2356</v>
      </c>
      <c r="B305" s="228" t="s">
        <v>762</v>
      </c>
      <c r="C305" s="250">
        <f ca="1">SUMIFS(INDIRECT("Report!F100:F10000"),INDIRECT("Report!B100:B10000"),B305,INDIRECT("report!H100:H10000"),"Technotrans",INDIRECT("Report!L100:L10000"),"20,3")</f>
        <v>5445000</v>
      </c>
      <c r="D305" s="549">
        <f ca="1">(C305/11*10)</f>
        <v>4950000</v>
      </c>
      <c r="E305" s="250">
        <f ca="1">SUMIFS(INDIRECT("Report!J100:J10000"),INDIRECT("Report!B100:B10000"),B305,INDIRECT("report!H100:H10000"),"Technotrans",INDIRECT("Report!L100:L10000"),"20,3")</f>
        <v>1648872</v>
      </c>
      <c r="F305" s="314">
        <f t="shared" ref="F305:F310" ca="1" si="63">E305/D305</f>
        <v>0.33310545454545454</v>
      </c>
      <c r="G305" s="274">
        <f ca="1">E305*20%</f>
        <v>329774.40000000002</v>
      </c>
    </row>
    <row r="306" spans="1:7" ht="21" customHeight="1" x14ac:dyDescent="0.25">
      <c r="B306" s="228" t="s">
        <v>444</v>
      </c>
      <c r="C306" s="250">
        <f ca="1">SUMIFS(INDIRECT("Report!F100:F10000"),INDIRECT("Report!B100:B10000"),B306,INDIRECT("report!H100:H10000"),"Technotrans",INDIRECT("Report!L100:L10000"),"20,3")</f>
        <v>3135000.0000000005</v>
      </c>
      <c r="D306" s="540">
        <f ca="1">(C306/11*10)</f>
        <v>2850000.0000000005</v>
      </c>
      <c r="E306" s="250">
        <f ca="1">SUMIFS(INDIRECT("Report!J100:J10000"),INDIRECT("Report!B100:B10000"),B306,INDIRECT("report!H100:H10000"),"Technotrans",INDIRECT("Report!L100:L10000"),"20,3")</f>
        <v>1218000</v>
      </c>
      <c r="F306" s="314">
        <f t="shared" ca="1" si="63"/>
        <v>0.42736842105263151</v>
      </c>
      <c r="G306" s="274">
        <f ca="1">E306*20%</f>
        <v>243600</v>
      </c>
    </row>
    <row r="307" spans="1:7" ht="21" customHeight="1" x14ac:dyDescent="0.25">
      <c r="B307" s="228" t="s">
        <v>2361</v>
      </c>
      <c r="C307" s="250">
        <f ca="1">SUMIFS(INDIRECT("Report!F100:F10000"),INDIRECT("Report!B100:B10000"),B307,INDIRECT("report!H100:H10000"),"Technotrans",INDIRECT("Report!L100:L10000"),"20,3")</f>
        <v>0</v>
      </c>
      <c r="D307" s="540">
        <f ca="1">(C307/11*10)</f>
        <v>0</v>
      </c>
      <c r="E307" s="250">
        <f ca="1">SUMIFS(INDIRECT("Report!J100:J10000"),INDIRECT("Report!B100:B10000"),B307,INDIRECT("report!H100:H10000"),"Technotrans",INDIRECT("Report!L100:L10000"),"20,3")</f>
        <v>0</v>
      </c>
      <c r="F307" s="314" t="e">
        <f t="shared" ca="1" si="63"/>
        <v>#DIV/0!</v>
      </c>
      <c r="G307" s="274">
        <f ca="1">E307*20%</f>
        <v>0</v>
      </c>
    </row>
    <row r="308" spans="1:7" ht="21" customHeight="1" x14ac:dyDescent="0.25">
      <c r="B308" s="279"/>
      <c r="C308" s="278">
        <f ca="1">SUM(C305:C307)</f>
        <v>8580000</v>
      </c>
      <c r="D308" s="278">
        <f ca="1">SUM(D305:D307)</f>
        <v>7800000</v>
      </c>
      <c r="E308" s="278">
        <f ca="1">SUM(E305:E307)</f>
        <v>2866872</v>
      </c>
      <c r="F308" s="294">
        <f t="shared" ca="1" si="63"/>
        <v>0.3675476923076923</v>
      </c>
      <c r="G308" s="280">
        <f ca="1">SUM(G305:G307)</f>
        <v>573374.4</v>
      </c>
    </row>
    <row r="309" spans="1:7" ht="21" customHeight="1" x14ac:dyDescent="0.25">
      <c r="A309" s="798" t="s">
        <v>2447</v>
      </c>
      <c r="B309" s="228" t="s">
        <v>762</v>
      </c>
      <c r="C309" s="250">
        <f ca="1">SUMIFS(INDIRECT("Report!F100:F10000"),INDIRECT("Report!B100:B10000"),B309,INDIRECT("report!H100:H10000"),"Technotrans",INDIRECT("Report!L100:L10000"),"20,5")</f>
        <v>330000</v>
      </c>
      <c r="D309" s="549">
        <f ca="1">(C309/11*10)</f>
        <v>300000</v>
      </c>
      <c r="E309" s="250">
        <f ca="1">SUMIFS(INDIRECT("Report!J100:J10000"),INDIRECT("Report!B100:B10000"),B309,INDIRECT("report!H100:H10000"),"Technotrans",INDIRECT("Report!L100:L10000"),"20,5")</f>
        <v>75000</v>
      </c>
      <c r="F309" s="314">
        <f t="shared" ca="1" si="63"/>
        <v>0.25</v>
      </c>
      <c r="G309" s="274">
        <f ca="1">E309*20%</f>
        <v>15000</v>
      </c>
    </row>
    <row r="310" spans="1:7" ht="21" customHeight="1" x14ac:dyDescent="0.25">
      <c r="B310" s="279"/>
      <c r="C310" s="278">
        <f ca="1">SUM(C309:C309)</f>
        <v>330000</v>
      </c>
      <c r="D310" s="278">
        <f ca="1">SUM(D309:D309)</f>
        <v>300000</v>
      </c>
      <c r="E310" s="278">
        <f ca="1">SUM(E309:E309)</f>
        <v>75000</v>
      </c>
      <c r="F310" s="294">
        <f t="shared" ca="1" si="63"/>
        <v>0.25</v>
      </c>
      <c r="G310" s="280">
        <f ca="1">SUM(G309:G309)</f>
        <v>15000</v>
      </c>
    </row>
    <row r="311" spans="1:7" ht="21" customHeight="1" x14ac:dyDescent="0.25">
      <c r="A311" s="798" t="s">
        <v>2467</v>
      </c>
      <c r="B311" s="228" t="s">
        <v>486</v>
      </c>
      <c r="C311" s="250">
        <f ca="1">SUMIFS(INDIRECT("Report!F100:F10000"),INDIRECT("Report!B100:B10000"),B311,INDIRECT("report!H100:H10000"),"Technotrans",INDIRECT("Report!L100:L10000"),"20,6")</f>
        <v>880000.00000000012</v>
      </c>
      <c r="D311" s="549">
        <f ca="1">(C311/11*10)</f>
        <v>800000.00000000012</v>
      </c>
      <c r="E311" s="250">
        <f ca="1">SUMIFS(INDIRECT("Report!J100:J10000"),INDIRECT("Report!B100:B10000"),B311,INDIRECT("report!H100:H10000"),"Technotrans",INDIRECT("Report!L100:L10000"),"20,6")</f>
        <v>360000</v>
      </c>
      <c r="F311" s="314">
        <f t="shared" ref="F311:F316" ca="1" si="64">E311/D311</f>
        <v>0.44999999999999996</v>
      </c>
      <c r="G311" s="274">
        <f ca="1">E311*20%</f>
        <v>72000</v>
      </c>
    </row>
    <row r="312" spans="1:7" ht="21" customHeight="1" x14ac:dyDescent="0.25">
      <c r="B312" s="228" t="s">
        <v>550</v>
      </c>
      <c r="C312" s="250">
        <f ca="1">SUMIFS(INDIRECT("Report!F100:F10000"),INDIRECT("Report!B100:B10000"),B312,INDIRECT("report!H100:H10000"),"Technotrans",INDIRECT("Report!L100:L10000"),"20,6")</f>
        <v>330000</v>
      </c>
      <c r="D312" s="549">
        <f ca="1">(C312/11*10)</f>
        <v>300000</v>
      </c>
      <c r="E312" s="250">
        <f ca="1">SUMIFS(INDIRECT("Report!J100:J10000"),INDIRECT("Report!B100:B10000"),B312,INDIRECT("report!H100:H10000"),"Technotrans",INDIRECT("Report!L100:L10000"),"20,6")</f>
        <v>75390</v>
      </c>
      <c r="F312" s="314">
        <f t="shared" ca="1" si="64"/>
        <v>0.25130000000000002</v>
      </c>
      <c r="G312" s="274">
        <f ca="1">E312*20%</f>
        <v>15078</v>
      </c>
    </row>
    <row r="313" spans="1:7" ht="21" customHeight="1" x14ac:dyDescent="0.25">
      <c r="B313" s="279"/>
      <c r="C313" s="278">
        <f ca="1">SUM(C311:C312)</f>
        <v>1210000</v>
      </c>
      <c r="D313" s="278">
        <f ca="1">SUM(D311:D312)</f>
        <v>1100000</v>
      </c>
      <c r="E313" s="278">
        <f ca="1">SUM(E311:E312)</f>
        <v>435390</v>
      </c>
      <c r="F313" s="294">
        <f t="shared" ca="1" si="64"/>
        <v>0.39580909090909089</v>
      </c>
      <c r="G313" s="280">
        <f ca="1">SUM(G311:G312)</f>
        <v>87078</v>
      </c>
    </row>
    <row r="314" spans="1:7" ht="21" customHeight="1" x14ac:dyDescent="0.25">
      <c r="A314" s="798" t="s">
        <v>2502</v>
      </c>
      <c r="B314" s="228" t="s">
        <v>2503</v>
      </c>
      <c r="C314" s="250">
        <f ca="1">SUMIFS(INDIRECT("Report!F100:F10000"),INDIRECT("Report!B100:B10000"),B314,INDIRECT("report!H100:H10000"),"Technotrans",INDIRECT("Report!L100:L10000"),"20,7")</f>
        <v>2310000</v>
      </c>
      <c r="D314" s="549">
        <f ca="1">(C314/11*10)</f>
        <v>2100000</v>
      </c>
      <c r="E314" s="250">
        <f ca="1">SUMIFS(INDIRECT("Report!J100:J10000"),INDIRECT("Report!B100:B10000"),B314,INDIRECT("report!H100:H10000"),"Technotrans",INDIRECT("Report!L100:L10000"),"20,7")</f>
        <v>597981</v>
      </c>
      <c r="F314" s="314">
        <f t="shared" ca="1" si="64"/>
        <v>0.28475285714285714</v>
      </c>
      <c r="G314" s="274">
        <f ca="1">E314*20%</f>
        <v>119596.20000000001</v>
      </c>
    </row>
    <row r="315" spans="1:7" ht="21" customHeight="1" x14ac:dyDescent="0.25">
      <c r="B315" s="228" t="s">
        <v>675</v>
      </c>
      <c r="C315" s="250">
        <f ca="1">SUMIFS(INDIRECT("Report!F100:F10000"),INDIRECT("Report!B100:B10000"),B315,INDIRECT("report!H100:H10000"),"Technotrans",INDIRECT("Report!L100:L10000"),"20,7")</f>
        <v>440000.00000000006</v>
      </c>
      <c r="D315" s="549">
        <f ca="1">(C315/11*10)</f>
        <v>400000.00000000006</v>
      </c>
      <c r="E315" s="250">
        <f ca="1">SUMIFS(INDIRECT("Report!J100:J10000"),INDIRECT("Report!B100:B10000"),B315,INDIRECT("report!H100:H10000"),"Technotrans",INDIRECT("Report!L100:L10000"),"20,7")</f>
        <v>175390</v>
      </c>
      <c r="F315" s="314">
        <f t="shared" ca="1" si="64"/>
        <v>0.43847499999999995</v>
      </c>
      <c r="G315" s="274">
        <f ca="1">E315*20%</f>
        <v>35078</v>
      </c>
    </row>
    <row r="316" spans="1:7" ht="21" customHeight="1" x14ac:dyDescent="0.25">
      <c r="B316" s="279"/>
      <c r="C316" s="278">
        <f ca="1">SUM(C314:C315)</f>
        <v>2750000</v>
      </c>
      <c r="D316" s="278">
        <f ca="1">SUM(D314:D315)</f>
        <v>2500000</v>
      </c>
      <c r="E316" s="278">
        <f ca="1">SUM(E314:E315)</f>
        <v>773371</v>
      </c>
      <c r="F316" s="294">
        <f t="shared" ca="1" si="64"/>
        <v>0.30934840000000002</v>
      </c>
      <c r="G316" s="280">
        <f ca="1">SUM(G314:G315)</f>
        <v>154674.20000000001</v>
      </c>
    </row>
    <row r="317" spans="1:7" ht="21" customHeight="1" x14ac:dyDescent="0.25">
      <c r="A317" s="798" t="s">
        <v>2525</v>
      </c>
      <c r="B317" s="228" t="s">
        <v>594</v>
      </c>
      <c r="C317" s="250">
        <f ca="1">SUMIFS(INDIRECT("Report!F100:F10000"),INDIRECT("Report!B100:B10000"),B317,INDIRECT("report!H100:H10000"),"Technotrans",INDIRECT("Report!L100:L10000"),"20,8")</f>
        <v>165000</v>
      </c>
      <c r="D317" s="549">
        <f ca="1">(C317/11*10)</f>
        <v>150000</v>
      </c>
      <c r="E317" s="250">
        <f ca="1">SUMIFS(INDIRECT("Report!J100:J10000"),INDIRECT("Report!B100:B10000"),B317,INDIRECT("report!H100:H10000"),"Technotrans",INDIRECT("Report!L100:L10000"),"20,8")</f>
        <v>27730</v>
      </c>
      <c r="F317" s="314">
        <f t="shared" ref="F317:F323" ca="1" si="65">E317/D317</f>
        <v>0.18486666666666668</v>
      </c>
      <c r="G317" s="274">
        <f ca="1">E317*20%</f>
        <v>5546</v>
      </c>
    </row>
    <row r="318" spans="1:7" ht="21" customHeight="1" x14ac:dyDescent="0.25">
      <c r="B318" s="228" t="s">
        <v>1629</v>
      </c>
      <c r="C318" s="250">
        <f ca="1">SUMIFS(INDIRECT("Report!F100:F10000"),INDIRECT("Report!B100:B10000"),B318,INDIRECT("report!H100:H10000"),"Technotrans",INDIRECT("Report!L100:L10000"),"20,8")</f>
        <v>440000.00000000006</v>
      </c>
      <c r="D318" s="549">
        <f ca="1">(C318/11*10)</f>
        <v>400000.00000000006</v>
      </c>
      <c r="E318" s="250">
        <f ca="1">SUMIFS(INDIRECT("Report!J100:J10000"),INDIRECT("Report!B100:B10000"),B318,INDIRECT("report!H100:H10000"),"Technotrans",INDIRECT("Report!L100:L10000"),"20,8")</f>
        <v>155460</v>
      </c>
      <c r="F318" s="314">
        <f t="shared" ca="1" si="65"/>
        <v>0.38864999999999994</v>
      </c>
      <c r="G318" s="274">
        <f ca="1">E318*20%</f>
        <v>31092</v>
      </c>
    </row>
    <row r="319" spans="1:7" ht="21" customHeight="1" x14ac:dyDescent="0.25">
      <c r="B319" s="228" t="s">
        <v>601</v>
      </c>
      <c r="C319" s="250">
        <f ca="1">SUMIFS(INDIRECT("Report!F100:F10000"),INDIRECT("Report!B100:B10000"),B319,INDIRECT("report!H100:H10000"),"Technotrans",INDIRECT("Report!L100:L10000"),"20,8")</f>
        <v>924000.00000000012</v>
      </c>
      <c r="D319" s="540">
        <f ca="1">(C319/11*10)</f>
        <v>840000.00000000012</v>
      </c>
      <c r="E319" s="250">
        <f ca="1">SUMIFS(INDIRECT("Report!J100:J10000"),INDIRECT("Report!B100:B10000"),B319,INDIRECT("report!H100:H10000"),"Technotrans",INDIRECT("Report!L100:L10000"),"20,8")</f>
        <v>350920</v>
      </c>
      <c r="F319" s="314">
        <f t="shared" ca="1" si="65"/>
        <v>0.41776190476190472</v>
      </c>
      <c r="G319" s="274">
        <f ca="1">E319*20%</f>
        <v>70184</v>
      </c>
    </row>
    <row r="320" spans="1:7" ht="21" customHeight="1" x14ac:dyDescent="0.25">
      <c r="B320" s="279"/>
      <c r="C320" s="278">
        <f ca="1">SUM(C317:C319)</f>
        <v>1529000</v>
      </c>
      <c r="D320" s="278">
        <f ca="1">SUM(D317:D319)</f>
        <v>1390000</v>
      </c>
      <c r="E320" s="278">
        <f ca="1">SUM(E317:E319)</f>
        <v>534110</v>
      </c>
      <c r="F320" s="294">
        <f t="shared" ca="1" si="65"/>
        <v>0.3842517985611511</v>
      </c>
      <c r="G320" s="280">
        <f ca="1">SUM(G317:G319)</f>
        <v>106822</v>
      </c>
    </row>
    <row r="321" spans="1:7" ht="21" customHeight="1" x14ac:dyDescent="0.25">
      <c r="A321" s="798" t="s">
        <v>2551</v>
      </c>
      <c r="B321" s="228" t="s">
        <v>762</v>
      </c>
      <c r="C321" s="250">
        <f ca="1">SUMIFS(INDIRECT("Report!F100:F10000"),INDIRECT("Report!B100:B10000"),B321,INDIRECT("report!H100:H10000"),"Technotrans",INDIRECT("Report!L100:L10000"),"20,9")</f>
        <v>330000</v>
      </c>
      <c r="D321" s="549">
        <f ca="1">(C321/11*10)</f>
        <v>300000</v>
      </c>
      <c r="E321" s="250">
        <f ca="1">SUMIFS(INDIRECT("Report!J100:J10000"),INDIRECT("Report!B100:B10000"),B321,INDIRECT("report!H100:H10000"),"Technotrans",INDIRECT("Report!L100:L10000"),"20,9")</f>
        <v>75000</v>
      </c>
      <c r="F321" s="314">
        <f t="shared" ca="1" si="65"/>
        <v>0.25</v>
      </c>
      <c r="G321" s="274">
        <f ca="1">E321*20%</f>
        <v>15000</v>
      </c>
    </row>
    <row r="322" spans="1:7" ht="21" customHeight="1" x14ac:dyDescent="0.25">
      <c r="B322" s="228" t="s">
        <v>442</v>
      </c>
      <c r="C322" s="250">
        <f ca="1">SUMIFS(INDIRECT("Report!F100:F10000"),INDIRECT("Report!B100:B10000"),B322,INDIRECT("report!H100:H10000"),"Technotrans",INDIRECT("Report!L100:L10000"),"20,9")</f>
        <v>330000</v>
      </c>
      <c r="D322" s="549">
        <f ca="1">(C322/11*10)</f>
        <v>300000</v>
      </c>
      <c r="E322" s="250">
        <f ca="1">SUMIFS(INDIRECT("Report!J100:J10000"),INDIRECT("Report!B100:B10000"),B322,INDIRECT("report!H100:H10000"),"Technotrans",INDIRECT("Report!L100:L10000"),"20,9")</f>
        <v>55460</v>
      </c>
      <c r="F322" s="314">
        <f t="shared" ca="1" si="65"/>
        <v>0.18486666666666668</v>
      </c>
      <c r="G322" s="274">
        <f ca="1">E322*20%</f>
        <v>11092</v>
      </c>
    </row>
    <row r="323" spans="1:7" ht="21" customHeight="1" x14ac:dyDescent="0.25">
      <c r="B323" s="279"/>
      <c r="C323" s="278">
        <f ca="1">SUM(C321:C322)</f>
        <v>660000</v>
      </c>
      <c r="D323" s="278">
        <f ca="1">SUM(D321:D322)</f>
        <v>600000</v>
      </c>
      <c r="E323" s="278">
        <f ca="1">SUM(E321:E322)</f>
        <v>130460</v>
      </c>
      <c r="F323" s="294">
        <f t="shared" ca="1" si="65"/>
        <v>0.21743333333333334</v>
      </c>
      <c r="G323" s="280">
        <f ca="1">SUM(G321:G322)</f>
        <v>26092</v>
      </c>
    </row>
    <row r="324" spans="1:7" ht="21" customHeight="1" x14ac:dyDescent="0.25">
      <c r="A324" s="798" t="s">
        <v>2551</v>
      </c>
      <c r="B324" s="228" t="s">
        <v>762</v>
      </c>
      <c r="C324" s="250">
        <f ca="1">SUMIFS(INDIRECT("Report!F100:F10000"),INDIRECT("Report!B100:B10000"),B324,INDIRECT("report!H100:H10000"),"Technotrans",INDIRECT("Report!L100:L10000"),"20,9")</f>
        <v>330000</v>
      </c>
      <c r="D324" s="549">
        <f ca="1">(C324/11*10)</f>
        <v>300000</v>
      </c>
      <c r="E324" s="250">
        <f ca="1">SUMIFS(INDIRECT("Report!J100:J10000"),INDIRECT("Report!B100:B10000"),B324,INDIRECT("report!H100:H10000"),"Technotrans",INDIRECT("Report!L100:L10000"),"20,9")</f>
        <v>75000</v>
      </c>
      <c r="F324" s="314">
        <f t="shared" ref="F324:F334" ca="1" si="66">E324/D324</f>
        <v>0.25</v>
      </c>
      <c r="G324" s="274">
        <f ca="1">E324*20%</f>
        <v>15000</v>
      </c>
    </row>
    <row r="325" spans="1:7" ht="21" customHeight="1" x14ac:dyDescent="0.25">
      <c r="B325" s="228" t="s">
        <v>442</v>
      </c>
      <c r="C325" s="250">
        <f ca="1">SUMIFS(INDIRECT("Report!F100:F10000"),INDIRECT("Report!B100:B10000"),B325,INDIRECT("report!H100:H10000"),"Technotrans",INDIRECT("Report!L100:L10000"),"20,9")</f>
        <v>330000</v>
      </c>
      <c r="D325" s="549">
        <f ca="1">(C325/11*10)</f>
        <v>300000</v>
      </c>
      <c r="E325" s="250">
        <f ca="1">SUMIFS(INDIRECT("Report!J100:J10000"),INDIRECT("Report!B100:B10000"),B325,INDIRECT("report!H100:H10000"),"Technotrans",INDIRECT("Report!L100:L10000"),"20,9")</f>
        <v>55460</v>
      </c>
      <c r="F325" s="314">
        <f t="shared" ca="1" si="66"/>
        <v>0.18486666666666668</v>
      </c>
      <c r="G325" s="274">
        <f ca="1">E325*20%</f>
        <v>11092</v>
      </c>
    </row>
    <row r="326" spans="1:7" ht="21" customHeight="1" x14ac:dyDescent="0.25">
      <c r="B326" s="279"/>
      <c r="C326" s="278">
        <f ca="1">SUM(C324:C325)</f>
        <v>660000</v>
      </c>
      <c r="D326" s="278">
        <f ca="1">SUM(D324:D325)</f>
        <v>600000</v>
      </c>
      <c r="E326" s="278">
        <f ca="1">SUM(E324:E325)</f>
        <v>130460</v>
      </c>
      <c r="F326" s="294">
        <f t="shared" ca="1" si="66"/>
        <v>0.21743333333333334</v>
      </c>
      <c r="G326" s="280">
        <f ca="1">SUM(G324:G325)</f>
        <v>26092</v>
      </c>
    </row>
    <row r="327" spans="1:7" ht="21" customHeight="1" x14ac:dyDescent="0.25">
      <c r="A327" s="798" t="s">
        <v>2594</v>
      </c>
      <c r="B327" s="228" t="s">
        <v>762</v>
      </c>
      <c r="C327" s="250">
        <f ca="1">SUMIFS(INDIRECT("Report!F100:F10000"),INDIRECT("Report!B100:B10000"),B327,INDIRECT("report!H100:H10000"),"Technotrans",INDIRECT("Report!L100:L10000"),"20,10")</f>
        <v>4400000</v>
      </c>
      <c r="D327" s="549">
        <f ca="1">(C327/11*10)</f>
        <v>4000000</v>
      </c>
      <c r="E327" s="250">
        <f ca="1">SUMIFS(INDIRECT("Report!J100:J10000"),INDIRECT("Report!B100:B10000"),B327,INDIRECT("report!H100:H10000"),"Technotrans",INDIRECT("Report!L100:L10000"),"20,10")</f>
        <v>1018957</v>
      </c>
      <c r="F327" s="314">
        <f t="shared" ca="1" si="66"/>
        <v>0.25473924999999997</v>
      </c>
      <c r="G327" s="274">
        <f ca="1">E327*20%</f>
        <v>203791.40000000002</v>
      </c>
    </row>
    <row r="328" spans="1:7" ht="21" customHeight="1" x14ac:dyDescent="0.25">
      <c r="B328" s="279"/>
      <c r="C328" s="278">
        <f ca="1">SUM(C327:C327)</f>
        <v>4400000</v>
      </c>
      <c r="D328" s="278">
        <f ca="1">SUM(D327:D327)</f>
        <v>4000000</v>
      </c>
      <c r="E328" s="278">
        <f ca="1">SUM(E327:E327)</f>
        <v>1018957</v>
      </c>
      <c r="F328" s="294">
        <f t="shared" ca="1" si="66"/>
        <v>0.25473924999999997</v>
      </c>
      <c r="G328" s="280">
        <f ca="1">SUM(G327:G327)</f>
        <v>203791.40000000002</v>
      </c>
    </row>
    <row r="329" spans="1:7" ht="21" customHeight="1" x14ac:dyDescent="0.25">
      <c r="A329" s="798" t="s">
        <v>2623</v>
      </c>
      <c r="B329" s="228" t="s">
        <v>485</v>
      </c>
      <c r="C329" s="250">
        <f ca="1">SUMIFS(INDIRECT("Report!F100:F10000"),INDIRECT("Report!B100:B10000"),B329,INDIRECT("report!H100:H10000"),"Technotrans",INDIRECT("Report!L100:L10000"),"20,11")</f>
        <v>990000.00000000012</v>
      </c>
      <c r="D329" s="549">
        <f ca="1">(C329/11*10)</f>
        <v>900000.00000000012</v>
      </c>
      <c r="E329" s="250">
        <f ca="1">SUMIFS(INDIRECT("Report!J100:J10000"),INDIRECT("Report!B100:B10000"),B329,INDIRECT("report!H100:H10000"),"Technotrans",INDIRECT("Report!L100:L10000"),"20,11")</f>
        <v>438940</v>
      </c>
      <c r="F329" s="314">
        <f t="shared" ca="1" si="66"/>
        <v>0.48771111111111104</v>
      </c>
      <c r="G329" s="274">
        <f ca="1">E329*20%</f>
        <v>87788</v>
      </c>
    </row>
    <row r="330" spans="1:7" ht="21" customHeight="1" x14ac:dyDescent="0.25">
      <c r="A330" s="1018"/>
      <c r="B330" s="228" t="s">
        <v>2063</v>
      </c>
      <c r="C330" s="250">
        <f ca="1">SUMIFS(INDIRECT("Report!F100:F10000"),INDIRECT("Report!B100:B10000"),B330,INDIRECT("report!H100:H10000"),"Technotrans",INDIRECT("Report!L100:L10000"),"20,11")</f>
        <v>418000.00000000006</v>
      </c>
      <c r="D330" s="549">
        <f ca="1">(C330/11*10)</f>
        <v>380000.00000000006</v>
      </c>
      <c r="E330" s="250">
        <f ca="1">SUMIFS(INDIRECT("Report!J100:J10000"),INDIRECT("Report!B100:B10000"),B330,INDIRECT("report!H100:H10000"),"Technotrans",INDIRECT("Report!L100:L10000"),"20,11")</f>
        <v>145000</v>
      </c>
      <c r="F330" s="314">
        <f t="shared" ca="1" si="66"/>
        <v>0.38157894736842102</v>
      </c>
      <c r="G330" s="274">
        <f ca="1">E330*20%</f>
        <v>29000</v>
      </c>
    </row>
    <row r="331" spans="1:7" ht="21" customHeight="1" x14ac:dyDescent="0.25">
      <c r="A331" s="1018"/>
      <c r="B331" s="228" t="s">
        <v>2295</v>
      </c>
      <c r="C331" s="250">
        <f ca="1">SUMIFS(INDIRECT("Report!F100:F10000"),INDIRECT("Report!B100:B10000"),B331,INDIRECT("report!H100:H10000"),"Technotrans",INDIRECT("Report!L100:L10000"),"20,11")</f>
        <v>1100000</v>
      </c>
      <c r="D331" s="549">
        <f ca="1">(C331/11*10)</f>
        <v>1000000</v>
      </c>
      <c r="E331" s="250">
        <f ca="1">SUMIFS(INDIRECT("Report!J100:J10000"),INDIRECT("Report!B100:B10000"),B331,INDIRECT("report!H100:H10000"),"Technotrans",INDIRECT("Report!L100:L10000"),"20,11")</f>
        <v>750000</v>
      </c>
      <c r="F331" s="314">
        <f t="shared" ca="1" si="66"/>
        <v>0.75</v>
      </c>
      <c r="G331" s="274">
        <f ca="1">E331*20%</f>
        <v>150000</v>
      </c>
    </row>
    <row r="332" spans="1:7" ht="21" customHeight="1" x14ac:dyDescent="0.25">
      <c r="A332" s="1018"/>
      <c r="B332" s="228" t="s">
        <v>442</v>
      </c>
      <c r="C332" s="250">
        <f ca="1">SUMIFS(INDIRECT("Report!F100:F10000"),INDIRECT("Report!B100:B10000"),B332,INDIRECT("report!H100:H10000"),"Technotrans",INDIRECT("Report!L100:L10000"),"20,11")</f>
        <v>440000.00000000006</v>
      </c>
      <c r="D332" s="549">
        <f ca="1">(C332/11*10)</f>
        <v>400000.00000000006</v>
      </c>
      <c r="E332" s="250">
        <f ca="1">SUMIFS(INDIRECT("Report!J100:J10000"),INDIRECT("Report!B100:B10000"),B332,INDIRECT("report!H100:H10000"),"Technotrans",INDIRECT("Report!L100:L10000"),"20,11")</f>
        <v>165000</v>
      </c>
      <c r="F332" s="314">
        <f t="shared" ca="1" si="66"/>
        <v>0.41249999999999992</v>
      </c>
      <c r="G332" s="274">
        <f ca="1">E332*20%</f>
        <v>33000</v>
      </c>
    </row>
    <row r="333" spans="1:7" ht="21" customHeight="1" x14ac:dyDescent="0.25">
      <c r="A333" s="1018"/>
      <c r="B333" s="228" t="s">
        <v>675</v>
      </c>
      <c r="C333" s="250">
        <f ca="1">SUMIFS(INDIRECT("Report!F100:F10000"),INDIRECT("Report!B100:B10000"),B333,INDIRECT("report!H100:H10000"),"Technotrans",INDIRECT("Report!L100:L10000"),"20,11")</f>
        <v>440000.00000000006</v>
      </c>
      <c r="D333" s="549">
        <f ca="1">(C333/11*10)</f>
        <v>400000.00000000006</v>
      </c>
      <c r="E333" s="250">
        <f ca="1">SUMIFS(INDIRECT("Report!J100:J10000"),INDIRECT("Report!B100:B10000"),B333,INDIRECT("report!H100:H10000"),"Technotrans",INDIRECT("Report!L100:L10000"),"20,11")</f>
        <v>175390</v>
      </c>
      <c r="F333" s="314">
        <f t="shared" ca="1" si="66"/>
        <v>0.43847499999999995</v>
      </c>
      <c r="G333" s="274">
        <f ca="1">E333*20%</f>
        <v>35078</v>
      </c>
    </row>
    <row r="334" spans="1:7" ht="21" customHeight="1" x14ac:dyDescent="0.25">
      <c r="B334" s="279" t="s">
        <v>2750</v>
      </c>
      <c r="C334" s="278">
        <f ca="1">SUM(C329:C333)</f>
        <v>3388000</v>
      </c>
      <c r="D334" s="278">
        <f ca="1">SUM(D329:D333)</f>
        <v>3080000</v>
      </c>
      <c r="E334" s="278">
        <f ca="1">SUM(E329:E333)</f>
        <v>1674330</v>
      </c>
      <c r="F334" s="294">
        <f t="shared" ca="1" si="66"/>
        <v>0.54361363636363635</v>
      </c>
      <c r="G334" s="280">
        <f ca="1">SUM(G329:G333)</f>
        <v>334866</v>
      </c>
    </row>
    <row r="335" spans="1:7" ht="21" customHeight="1" x14ac:dyDescent="0.25">
      <c r="A335" s="798" t="s">
        <v>2658</v>
      </c>
      <c r="B335" s="228" t="s">
        <v>2760</v>
      </c>
      <c r="C335" s="250">
        <f ca="1">SUMIFS(INDIRECT("Report!F100:F10000"),INDIRECT("Report!B100:B10000"),B335,INDIRECT("report!H100:H10000"),"Technotrans",INDIRECT("Report!L100:L10000"),"20,12")</f>
        <v>2860000</v>
      </c>
      <c r="D335" s="549">
        <f ca="1">(C335/11*10)</f>
        <v>2600000</v>
      </c>
      <c r="E335" s="250">
        <f ca="1">SUMIFS(INDIRECT("Report!J100:J10000"),INDIRECT("Report!B100:B10000"),B335,INDIRECT("report!H100:H10000"),"Technotrans",INDIRECT("Report!L100:L10000"),"20,12")</f>
        <v>440000</v>
      </c>
      <c r="F335" s="314">
        <f t="shared" ref="F335:F341" ca="1" si="67">E335/D335</f>
        <v>0.16923076923076924</v>
      </c>
      <c r="G335" s="274">
        <f ca="1">E335*20%</f>
        <v>88000</v>
      </c>
    </row>
    <row r="336" spans="1:7" ht="21" customHeight="1" x14ac:dyDescent="0.25">
      <c r="A336" s="1018"/>
      <c r="B336" s="228" t="s">
        <v>1163</v>
      </c>
      <c r="C336" s="250">
        <f ca="1">SUMIFS(INDIRECT("Report!F100:F10000"),INDIRECT("Report!B100:B10000"),B336,INDIRECT("report!H100:H10000"),"Technotrans",INDIRECT("Report!L100:L10000"),"20,12")</f>
        <v>220000.00000000003</v>
      </c>
      <c r="D336" s="549">
        <f ca="1">(C336/11*10)</f>
        <v>200000.00000000003</v>
      </c>
      <c r="E336" s="250">
        <f ca="1">SUMIFS(INDIRECT("Report!J100:J10000"),INDIRECT("Report!B100:B10000"),B336,INDIRECT("report!H100:H10000"),"Technotrans",INDIRECT("Report!L100:L10000"),"20,12")</f>
        <v>80000</v>
      </c>
      <c r="F336" s="314">
        <f t="shared" ca="1" si="67"/>
        <v>0.39999999999999997</v>
      </c>
      <c r="G336" s="274">
        <f ca="1">E336*20%</f>
        <v>16000</v>
      </c>
    </row>
    <row r="337" spans="1:10" ht="21" customHeight="1" x14ac:dyDescent="0.25">
      <c r="A337" s="1018"/>
      <c r="B337" s="228" t="s">
        <v>837</v>
      </c>
      <c r="C337" s="250">
        <f ca="1">SUMIFS(INDIRECT("Report!F100:F10000"),INDIRECT("Report!B100:B10000"),B337,INDIRECT("report!H100:H10000"),"Technotrans",INDIRECT("Report!L100:L10000"),"20,12")</f>
        <v>1760000.0000000002</v>
      </c>
      <c r="D337" s="549">
        <f ca="1">(C337/11*10)</f>
        <v>1600000.0000000002</v>
      </c>
      <c r="E337" s="250">
        <f ca="1">SUMIFS(INDIRECT("Report!J100:J10000"),INDIRECT("Report!B100:B10000"),B337,INDIRECT("report!H100:H10000"),"Technotrans",INDIRECT("Report!L100:L10000"),"20,12")</f>
        <v>780000</v>
      </c>
      <c r="F337" s="314">
        <f t="shared" ca="1" si="67"/>
        <v>0.48749999999999993</v>
      </c>
      <c r="G337" s="274">
        <f ca="1">E337*20%</f>
        <v>156000</v>
      </c>
    </row>
    <row r="338" spans="1:10" ht="21" customHeight="1" x14ac:dyDescent="0.25">
      <c r="B338" s="279" t="s">
        <v>2759</v>
      </c>
      <c r="C338" s="278">
        <f ca="1">SUM(C335:C337)</f>
        <v>4840000</v>
      </c>
      <c r="D338" s="278">
        <f ca="1">SUM(D335:D337)</f>
        <v>4400000</v>
      </c>
      <c r="E338" s="278">
        <f ca="1">SUM(E335:E337)</f>
        <v>1300000</v>
      </c>
      <c r="F338" s="294">
        <f t="shared" ca="1" si="67"/>
        <v>0.29545454545454547</v>
      </c>
      <c r="G338" s="280">
        <f ca="1">SUM(G335:G337)</f>
        <v>260000</v>
      </c>
    </row>
    <row r="339" spans="1:10" ht="21" customHeight="1" x14ac:dyDescent="0.25">
      <c r="A339" s="798" t="s">
        <v>2831</v>
      </c>
      <c r="B339" s="228" t="s">
        <v>550</v>
      </c>
      <c r="C339" s="250">
        <f ca="1">SUMIFS(INDIRECT("Report!F100:F10000"),INDIRECT("Report!B100:B10000"),B339,INDIRECT("report!H100:H10000"),"Technotrans",INDIRECT("Report!L100:L10000"),"21,1")</f>
        <v>330000</v>
      </c>
      <c r="D339" s="549">
        <f ca="1">(C339/11*10)</f>
        <v>300000</v>
      </c>
      <c r="E339" s="250">
        <f ca="1">SUMIFS(INDIRECT("Report!J100:J10000"),INDIRECT("Report!B100:B10000"),B339,INDIRECT("report!H100:H10000"),"Technotrans",INDIRECT("Report!L100:L10000"),"21,1")</f>
        <v>60000</v>
      </c>
      <c r="F339" s="314">
        <f t="shared" ca="1" si="67"/>
        <v>0.2</v>
      </c>
      <c r="G339" s="274">
        <f ca="1">E339*20%</f>
        <v>12000</v>
      </c>
    </row>
    <row r="340" spans="1:10" ht="21" customHeight="1" x14ac:dyDescent="0.25">
      <c r="A340" s="1018"/>
      <c r="B340" s="228" t="s">
        <v>2760</v>
      </c>
      <c r="C340" s="250">
        <f ca="1">SUMIFS(INDIRECT("Report!F100:F10000"),INDIRECT("Report!B100:B10000"),B340,INDIRECT("report!H100:H10000"),"Technotrans",INDIRECT("Report!L100:L10000"),"21,1")</f>
        <v>2860000</v>
      </c>
      <c r="D340" s="549">
        <f ca="1">(C340/11*10)</f>
        <v>2600000</v>
      </c>
      <c r="E340" s="250">
        <f ca="1">SUMIFS(INDIRECT("Report!J100:J10000"),INDIRECT("Report!B100:B10000"),B340,INDIRECT("report!H100:H10000"),"Technotrans",INDIRECT("Report!L100:L10000"),"21,1")</f>
        <v>500000</v>
      </c>
      <c r="F340" s="314">
        <f t="shared" ca="1" si="67"/>
        <v>0.19230769230769232</v>
      </c>
      <c r="G340" s="274">
        <f ca="1">E340*20%</f>
        <v>100000</v>
      </c>
    </row>
    <row r="341" spans="1:10" ht="21" customHeight="1" x14ac:dyDescent="0.25">
      <c r="B341" s="279" t="s">
        <v>2833</v>
      </c>
      <c r="C341" s="278">
        <f ca="1">SUM(C339:C340)</f>
        <v>3190000</v>
      </c>
      <c r="D341" s="278">
        <f ca="1">SUM(D339:D340)</f>
        <v>2900000</v>
      </c>
      <c r="E341" s="278">
        <f ca="1">SUM(E339:E340)</f>
        <v>560000</v>
      </c>
      <c r="F341" s="294">
        <f t="shared" ca="1" si="67"/>
        <v>0.19310344827586207</v>
      </c>
      <c r="G341" s="280">
        <f ca="1">SUM(G339:G340)</f>
        <v>112000</v>
      </c>
    </row>
    <row r="342" spans="1:10" ht="21" customHeight="1" x14ac:dyDescent="0.25">
      <c r="A342" s="798" t="s">
        <v>2880</v>
      </c>
      <c r="B342" s="228" t="s">
        <v>550</v>
      </c>
      <c r="C342" s="250">
        <f ca="1">SUMIFS(INDIRECT("Report!F100:F10000"),INDIRECT("Report!B100:B10000"),B342,INDIRECT("report!H100:H10000"),"Technotrans",INDIRECT("Report!L100:L10000"),"21,2")</f>
        <v>330000</v>
      </c>
      <c r="D342" s="549">
        <f ca="1">(C342/11*10)</f>
        <v>300000</v>
      </c>
      <c r="E342" s="250">
        <f ca="1">SUMIFS(INDIRECT("Report!J100:J10000"),INDIRECT("Report!B100:B10000"),B342,INDIRECT("report!H100:H10000"),"Technotrans",INDIRECT("Report!L100:L10000"),"21,2")</f>
        <v>60000</v>
      </c>
      <c r="F342" s="314">
        <f t="shared" ref="F342:F349" ca="1" si="68">E342/D342</f>
        <v>0.2</v>
      </c>
      <c r="G342" s="274">
        <f ca="1">E342*20%</f>
        <v>12000</v>
      </c>
    </row>
    <row r="343" spans="1:10" ht="21" customHeight="1" x14ac:dyDescent="0.25">
      <c r="A343" s="1018"/>
      <c r="B343" s="228" t="s">
        <v>762</v>
      </c>
      <c r="C343" s="250">
        <f ca="1">SUMIFS(INDIRECT("Report!F100:F10000"),INDIRECT("Report!B100:B10000"),B343,INDIRECT("report!H100:H10000"),"Technotrans",INDIRECT("Report!L100:L10000"),"21,2")</f>
        <v>330000</v>
      </c>
      <c r="D343" s="549">
        <f ca="1">(C343/11*10)</f>
        <v>300000</v>
      </c>
      <c r="E343" s="250">
        <f ca="1">SUMIFS(INDIRECT("Report!J100:J10000"),INDIRECT("Report!B100:B10000"),B343,INDIRECT("report!H100:H10000"),"Technotrans",INDIRECT("Report!L100:L10000"),"21,2")</f>
        <v>75000</v>
      </c>
      <c r="F343" s="314">
        <f t="shared" ca="1" si="68"/>
        <v>0.25</v>
      </c>
      <c r="G343" s="274">
        <f ca="1">E343*20%</f>
        <v>15000</v>
      </c>
    </row>
    <row r="344" spans="1:10" ht="21" customHeight="1" x14ac:dyDescent="0.25">
      <c r="A344" s="1018"/>
      <c r="B344" s="228" t="s">
        <v>2884</v>
      </c>
      <c r="C344" s="250">
        <f ca="1">SUMIFS(INDIRECT("Report!F100:F10000"),INDIRECT("Report!B100:B10000"),B344,INDIRECT("report!H100:H10000"),"Technotrans",INDIRECT("Report!L100:L10000"),"21,2")</f>
        <v>2420000</v>
      </c>
      <c r="D344" s="549">
        <f ca="1">(C344/11*10)</f>
        <v>2200000</v>
      </c>
      <c r="E344" s="250">
        <f ca="1">SUMIFS(INDIRECT("Report!J100:J10000"),INDIRECT("Report!B100:B10000"),B344,INDIRECT("report!H100:H10000"),"Technotrans",INDIRECT("Report!L100:L10000"),"21,2")</f>
        <v>600000</v>
      </c>
      <c r="F344" s="314">
        <f t="shared" ca="1" si="68"/>
        <v>0.27272727272727271</v>
      </c>
      <c r="G344" s="274">
        <f ca="1">E344*20%</f>
        <v>120000</v>
      </c>
    </row>
    <row r="345" spans="1:10" ht="21" customHeight="1" x14ac:dyDescent="0.25">
      <c r="A345" s="1018"/>
      <c r="B345" s="228" t="s">
        <v>675</v>
      </c>
      <c r="C345" s="250">
        <f ca="1">SUMIFS(INDIRECT("Report!F100:F10000"),INDIRECT("Report!B100:B10000"),B345,INDIRECT("report!H100:H10000"),"Technotrans",INDIRECT("Report!L100:L10000"),"21,2")</f>
        <v>440000.00000000006</v>
      </c>
      <c r="D345" s="549">
        <f ca="1">(C345/11*10)</f>
        <v>400000.00000000006</v>
      </c>
      <c r="E345" s="250">
        <f ca="1">SUMIFS(INDIRECT("Report!J100:J10000"),INDIRECT("Report!B100:B10000"),B345,INDIRECT("report!H100:H10000"),"Technotrans",INDIRECT("Report!L100:L10000"),"21,2")</f>
        <v>175390</v>
      </c>
      <c r="F345" s="314">
        <f t="shared" ca="1" si="68"/>
        <v>0.43847499999999995</v>
      </c>
      <c r="G345" s="274">
        <f ca="1">E345*20%</f>
        <v>35078</v>
      </c>
    </row>
    <row r="346" spans="1:10" ht="21" customHeight="1" x14ac:dyDescent="0.25">
      <c r="B346" s="279" t="s">
        <v>2885</v>
      </c>
      <c r="C346" s="278">
        <f ca="1">SUM(C342:C345)</f>
        <v>3520000</v>
      </c>
      <c r="D346" s="278">
        <f ca="1">SUM(D342:D345)</f>
        <v>3200000</v>
      </c>
      <c r="E346" s="278">
        <f ca="1">SUM(E342:E345)</f>
        <v>910390</v>
      </c>
      <c r="F346" s="294">
        <f t="shared" ca="1" si="68"/>
        <v>0.28449687499999998</v>
      </c>
      <c r="G346" s="280">
        <f ca="1">SUM(G342:G345)</f>
        <v>182078</v>
      </c>
    </row>
    <row r="347" spans="1:10" ht="21" customHeight="1" x14ac:dyDescent="0.25">
      <c r="A347" s="798" t="s">
        <v>2920</v>
      </c>
      <c r="B347" s="228" t="s">
        <v>550</v>
      </c>
      <c r="C347" s="250">
        <f ca="1">SUMIFS(INDIRECT("Report!F100:F10000"),INDIRECT("Report!B100:B10000"),B347,INDIRECT("report!H100:H10000"),"Technotrans",INDIRECT("Report!L100:L10000"),"21,3")</f>
        <v>18150000</v>
      </c>
      <c r="D347" s="549">
        <f ca="1">(C347/11*10)</f>
        <v>16500000</v>
      </c>
      <c r="E347" s="250">
        <f ca="1">SUMIFS(INDIRECT("Report!J100:J10000"),INDIRECT("Report!B100:B10000"),B347,INDIRECT("report!H100:H10000"),"Technotrans",INDIRECT("Report!L100:L10000"),"21,3")</f>
        <v>6286000</v>
      </c>
      <c r="F347" s="314">
        <f t="shared" ca="1" si="68"/>
        <v>0.38096969696969696</v>
      </c>
      <c r="G347" s="274">
        <f ca="1">E347*10%</f>
        <v>628600</v>
      </c>
      <c r="H347" s="376"/>
      <c r="I347" s="1196" t="s">
        <v>2935</v>
      </c>
      <c r="J347" s="379"/>
    </row>
    <row r="348" spans="1:10" ht="21" customHeight="1" x14ac:dyDescent="0.25">
      <c r="A348" s="1018"/>
      <c r="B348" s="228" t="s">
        <v>2922</v>
      </c>
      <c r="C348" s="250">
        <f ca="1">SUMIFS(INDIRECT("Report!F100:F10000"),INDIRECT("Report!B100:B10000"),B348,INDIRECT("report!H100:H10000"),"Technotrans",INDIRECT("Report!L100:L10000"),"21,3")</f>
        <v>1875500</v>
      </c>
      <c r="D348" s="549">
        <f ca="1">(C348/11*10)</f>
        <v>1705000</v>
      </c>
      <c r="E348" s="250">
        <f ca="1">SUMIFS(INDIRECT("Report!J100:J10000"),INDIRECT("Report!B100:B10000"),B348,INDIRECT("report!H100:H10000"),"Technotrans",INDIRECT("Report!L100:L10000"),"21,3")</f>
        <v>535000</v>
      </c>
      <c r="F348" s="314">
        <f t="shared" ca="1" si="68"/>
        <v>0.31378299120234604</v>
      </c>
      <c r="G348" s="274">
        <f ca="1">E348*20%</f>
        <v>107000</v>
      </c>
    </row>
    <row r="349" spans="1:10" ht="21" customHeight="1" x14ac:dyDescent="0.25">
      <c r="B349" s="279" t="s">
        <v>2923</v>
      </c>
      <c r="C349" s="278">
        <f ca="1">SUM(C347:C348)</f>
        <v>20025500</v>
      </c>
      <c r="D349" s="278">
        <f ca="1">SUM(D347:D348)</f>
        <v>18205000</v>
      </c>
      <c r="E349" s="278">
        <f ca="1">SUM(E347:E348)</f>
        <v>6821000</v>
      </c>
      <c r="F349" s="294">
        <f t="shared" ca="1" si="68"/>
        <v>0.37467728645976378</v>
      </c>
      <c r="G349" s="280">
        <f ca="1">SUM(G347:G348)</f>
        <v>735600</v>
      </c>
    </row>
    <row r="350" spans="1:10" ht="21" customHeight="1" x14ac:dyDescent="0.25">
      <c r="A350" s="798" t="s">
        <v>2960</v>
      </c>
      <c r="B350" s="228" t="s">
        <v>2249</v>
      </c>
      <c r="C350" s="250">
        <f ca="1">SUMIFS(INDIRECT("Report!F100:F10000"),INDIRECT("Report!B100:B10000"),B350,INDIRECT("report!H100:H10000"),"Technotrans",INDIRECT("Report!L100:L10000"),"21,4")</f>
        <v>880000.00000000012</v>
      </c>
      <c r="D350" s="549">
        <f ca="1">(C350/11*10)</f>
        <v>800000.00000000012</v>
      </c>
      <c r="E350" s="250">
        <f ca="1">SUMIFS(INDIRECT("Report!J100:J10000"),INDIRECT("Report!B100:B10000"),B350,INDIRECT("report!H100:H10000"),"Technotrans",INDIRECT("Report!L100:L10000"),"21,4")</f>
        <v>320000</v>
      </c>
      <c r="F350" s="314">
        <f t="shared" ref="F350:F355" ca="1" si="69">E350/D350</f>
        <v>0.39999999999999997</v>
      </c>
      <c r="G350" s="274">
        <f ca="1">E350*20%</f>
        <v>64000</v>
      </c>
    </row>
    <row r="351" spans="1:10" ht="21" customHeight="1" x14ac:dyDescent="0.25">
      <c r="A351" s="1018"/>
      <c r="B351" s="228" t="s">
        <v>601</v>
      </c>
      <c r="C351" s="250">
        <f ca="1">SUMIFS(INDIRECT("Report!F100:F10000"),INDIRECT("Report!B100:B10000"),B351,INDIRECT("report!H100:H10000"),"Technotrans",INDIRECT("Report!L100:L10000"),"21,4")</f>
        <v>924000.00000000012</v>
      </c>
      <c r="D351" s="549">
        <f ca="1">(C351/11*10)</f>
        <v>840000.00000000012</v>
      </c>
      <c r="E351" s="250">
        <f ca="1">SUMIFS(INDIRECT("Report!J100:J10000"),INDIRECT("Report!B100:B10000"),B351,INDIRECT("report!H100:H10000"),"Technotrans",INDIRECT("Report!L100:L10000"),"21,4")</f>
        <v>350920</v>
      </c>
      <c r="F351" s="314">
        <f t="shared" ca="1" si="69"/>
        <v>0.41776190476190472</v>
      </c>
      <c r="G351" s="274">
        <f ca="1">E351*20%</f>
        <v>70184</v>
      </c>
    </row>
    <row r="352" spans="1:10" ht="21" customHeight="1" x14ac:dyDescent="0.25">
      <c r="B352" s="279" t="s">
        <v>2962</v>
      </c>
      <c r="C352" s="278">
        <f ca="1">SUM(C350:C351)</f>
        <v>1804000.0000000002</v>
      </c>
      <c r="D352" s="278">
        <f ca="1">SUM(D350:D351)</f>
        <v>1640000.0000000002</v>
      </c>
      <c r="E352" s="278">
        <f ca="1">SUM(E350:E351)</f>
        <v>670920</v>
      </c>
      <c r="F352" s="294">
        <f t="shared" ca="1" si="69"/>
        <v>0.40909756097560968</v>
      </c>
      <c r="G352" s="280">
        <f ca="1">SUM(G350:G351)</f>
        <v>134184</v>
      </c>
    </row>
    <row r="353" spans="1:9" ht="21" customHeight="1" x14ac:dyDescent="0.25">
      <c r="A353" s="798" t="s">
        <v>2994</v>
      </c>
      <c r="B353" s="228" t="s">
        <v>442</v>
      </c>
      <c r="C353" s="250">
        <f ca="1">SUMIFS(INDIRECT("Report!F100:F10000"),INDIRECT("Report!B100:B10000"),B353,INDIRECT("report!H100:H10000"),"Technotrans",INDIRECT("Report!L100:L10000"),"21,5")</f>
        <v>220000.00000000003</v>
      </c>
      <c r="D353" s="549">
        <f ca="1">(C353/11*10)</f>
        <v>200000.00000000003</v>
      </c>
      <c r="E353" s="250">
        <f ca="1">SUMIFS(INDIRECT("Report!J100:J10000"),INDIRECT("Report!B100:B10000"),B353,INDIRECT("report!H100:H10000"),"Technotrans",INDIRECT("Report!L100:L10000"),"21,5")</f>
        <v>20000</v>
      </c>
      <c r="F353" s="314">
        <f t="shared" ca="1" si="69"/>
        <v>9.9999999999999992E-2</v>
      </c>
      <c r="G353" s="274">
        <f ca="1">E353*20%</f>
        <v>4000</v>
      </c>
    </row>
    <row r="354" spans="1:9" ht="21" customHeight="1" x14ac:dyDescent="0.25">
      <c r="A354" s="1018"/>
      <c r="B354" s="228" t="s">
        <v>2997</v>
      </c>
      <c r="C354" s="250">
        <f ca="1">SUMIFS(INDIRECT("Report!F100:F10000"),INDIRECT("Report!B100:B10000"),B354,INDIRECT("report!H100:H10000"),"Technotrans",INDIRECT("Report!L100:L10000"),"21,5")</f>
        <v>44550000</v>
      </c>
      <c r="D354" s="549">
        <f ca="1">(C354/11*10)</f>
        <v>40500000</v>
      </c>
      <c r="E354" s="250">
        <f ca="1">SUMIFS(INDIRECT("Report!J100:J10000"),INDIRECT("Report!B100:B10000"),B354,INDIRECT("report!H100:H10000"),"Technotrans",INDIRECT("Report!L100:L10000"),"21,5")</f>
        <v>10350000</v>
      </c>
      <c r="F354" s="314">
        <f t="shared" ca="1" si="69"/>
        <v>0.25555555555555554</v>
      </c>
      <c r="G354" s="274">
        <f ca="1">E354*10%</f>
        <v>1035000</v>
      </c>
      <c r="I354" s="1196" t="s">
        <v>2998</v>
      </c>
    </row>
    <row r="355" spans="1:9" ht="21" customHeight="1" x14ac:dyDescent="0.25">
      <c r="B355" s="279" t="s">
        <v>2999</v>
      </c>
      <c r="C355" s="278">
        <f ca="1">SUM(C353:C354)</f>
        <v>44770000</v>
      </c>
      <c r="D355" s="278">
        <f ca="1">SUM(D353:D354)</f>
        <v>40700000</v>
      </c>
      <c r="E355" s="278">
        <f ca="1">SUM(E353:E354)</f>
        <v>10370000</v>
      </c>
      <c r="F355" s="294">
        <f t="shared" ca="1" si="69"/>
        <v>0.25479115479115477</v>
      </c>
      <c r="G355" s="280">
        <f ca="1">SUM(G353:G354)</f>
        <v>1039000</v>
      </c>
    </row>
    <row r="356" spans="1:9" ht="21" customHeight="1" x14ac:dyDescent="0.25">
      <c r="A356" s="798" t="s">
        <v>3037</v>
      </c>
      <c r="B356" s="228" t="s">
        <v>675</v>
      </c>
      <c r="C356" s="250">
        <f ca="1">SUMIFS(INDIRECT("Report!F100:F10000"),INDIRECT("Report!B100:B10000"),B356,INDIRECT("report!H100:H10000"),"Technotrans",INDIRECT("Report!L100:L10000"),"21,6")</f>
        <v>440000.00000000006</v>
      </c>
      <c r="D356" s="549">
        <f ca="1">(C356/11*10)</f>
        <v>400000.00000000006</v>
      </c>
      <c r="E356" s="250">
        <f ca="1">SUMIFS(INDIRECT("Report!J100:J10000"),INDIRECT("Report!B100:B10000"),B356,INDIRECT("report!H100:H10000"),"Technotrans",INDIRECT("Report!L100:L10000"),"21,6")</f>
        <v>159300</v>
      </c>
      <c r="F356" s="314">
        <f t="shared" ref="F356:F362" ca="1" si="70">E356/D356</f>
        <v>0.39824999999999994</v>
      </c>
      <c r="G356" s="274">
        <f ca="1">E356*20%</f>
        <v>31860</v>
      </c>
    </row>
    <row r="357" spans="1:9" ht="21" customHeight="1" x14ac:dyDescent="0.25">
      <c r="A357" s="1018"/>
      <c r="B357" s="228" t="s">
        <v>3040</v>
      </c>
      <c r="C357" s="250">
        <f ca="1">SUMIFS(INDIRECT("Report!F100:F10000"),INDIRECT("Report!B100:B10000"),B357,INDIRECT("report!H100:H10000"),"Technotrans",INDIRECT("Report!L100:L10000"),"21,6")</f>
        <v>495000.00000000006</v>
      </c>
      <c r="D357" s="549">
        <f ca="1">(C357/11*10)</f>
        <v>450000.00000000006</v>
      </c>
      <c r="E357" s="250">
        <f ca="1">SUMIFS(INDIRECT("Report!J100:J10000"),INDIRECT("Report!B100:B10000"),B357,INDIRECT("report!H100:H10000"),"Technotrans",INDIRECT("Report!L100:L10000"),"21,6")</f>
        <v>209300</v>
      </c>
      <c r="F357" s="314">
        <f t="shared" ca="1" si="70"/>
        <v>0.46511111111111103</v>
      </c>
      <c r="G357" s="274">
        <f ca="1">E357*10%</f>
        <v>20930</v>
      </c>
    </row>
    <row r="358" spans="1:9" ht="21" customHeight="1" x14ac:dyDescent="0.25">
      <c r="B358" s="279" t="s">
        <v>3039</v>
      </c>
      <c r="C358" s="278">
        <f ca="1">SUM(C356:C357)</f>
        <v>935000.00000000012</v>
      </c>
      <c r="D358" s="278">
        <f ca="1">SUM(D356:D357)</f>
        <v>850000.00000000012</v>
      </c>
      <c r="E358" s="278">
        <f ca="1">SUM(E356:E357)</f>
        <v>368600</v>
      </c>
      <c r="F358" s="294">
        <f t="shared" ca="1" si="70"/>
        <v>0.43364705882352933</v>
      </c>
      <c r="G358" s="280">
        <f ca="1">SUM(G356:G357)</f>
        <v>52790</v>
      </c>
    </row>
    <row r="359" spans="1:9" ht="21" customHeight="1" x14ac:dyDescent="0.25">
      <c r="A359" s="798" t="s">
        <v>3057</v>
      </c>
      <c r="B359" s="228" t="s">
        <v>3058</v>
      </c>
      <c r="C359" s="250">
        <f ca="1">SUMIFS(INDIRECT("Report!F100:F10000"),INDIRECT("Report!B100:B10000"),B359,INDIRECT("report!H100:H10000"),"Technotrans",INDIRECT("Report!L100:L10000"),"21,7")</f>
        <v>220000.00000000003</v>
      </c>
      <c r="D359" s="549">
        <f ca="1">(C359/11*10)</f>
        <v>200000.00000000003</v>
      </c>
      <c r="E359" s="250">
        <f ca="1">SUMIFS(INDIRECT("Report!J100:J10000"),INDIRECT("Report!B100:B10000"),B359,INDIRECT("report!H100:H10000"),"Technotrans",INDIRECT("Report!L100:L10000"),"21,7")</f>
        <v>80000</v>
      </c>
      <c r="F359" s="314">
        <f t="shared" ca="1" si="70"/>
        <v>0.39999999999999997</v>
      </c>
      <c r="G359" s="274">
        <f ca="1">E359*20%</f>
        <v>16000</v>
      </c>
    </row>
    <row r="360" spans="1:9" ht="21" customHeight="1" x14ac:dyDescent="0.25">
      <c r="A360" s="1018"/>
      <c r="B360" s="228" t="s">
        <v>485</v>
      </c>
      <c r="C360" s="250">
        <f ca="1">SUMIFS(INDIRECT("Report!F100:F10000"),INDIRECT("Report!B100:B10000"),B360,INDIRECT("report!H100:H10000"),"Technotrans",INDIRECT("Report!L100:L10000"),"21,7")</f>
        <v>990000.00000000012</v>
      </c>
      <c r="D360" s="549">
        <f ca="1">(C360/11*10)</f>
        <v>900000.00000000012</v>
      </c>
      <c r="E360" s="250">
        <f ca="1">SUMIFS(INDIRECT("Report!J100:J10000"),INDIRECT("Report!B100:B10000"),B360,INDIRECT("report!H100:H10000"),"Technotrans",INDIRECT("Report!L100:L10000"),"21,7")</f>
        <v>420000</v>
      </c>
      <c r="F360" s="314">
        <f t="shared" ca="1" si="70"/>
        <v>0.46666666666666662</v>
      </c>
      <c r="G360" s="274">
        <f ca="1">E360*10%</f>
        <v>42000</v>
      </c>
    </row>
    <row r="361" spans="1:9" ht="21" customHeight="1" x14ac:dyDescent="0.25">
      <c r="A361" s="1018"/>
      <c r="B361" s="228" t="s">
        <v>550</v>
      </c>
      <c r="C361" s="250">
        <f ca="1">SUMIFS(INDIRECT("Report!F100:F10000"),INDIRECT("Report!B100:B10000"),B361,INDIRECT("report!H100:H10000"),"Technotrans",INDIRECT("Report!L100:L10000"),"21,7")</f>
        <v>363000.00000000006</v>
      </c>
      <c r="D361" s="549">
        <f ca="1">(C361/11*10)</f>
        <v>330000.00000000006</v>
      </c>
      <c r="E361" s="250">
        <f ca="1">SUMIFS(INDIRECT("Report!J100:J10000"),INDIRECT("Report!B100:B10000"),B361,INDIRECT("report!H100:H10000"),"Technotrans",INDIRECT("Report!L100:L10000"),"21,7")</f>
        <v>90000</v>
      </c>
      <c r="F361" s="314">
        <f t="shared" ca="1" si="70"/>
        <v>0.27272727272727265</v>
      </c>
      <c r="G361" s="274">
        <f ca="1">E361*10%</f>
        <v>9000</v>
      </c>
    </row>
    <row r="362" spans="1:9" ht="21" customHeight="1" x14ac:dyDescent="0.25">
      <c r="B362" s="279" t="s">
        <v>3059</v>
      </c>
      <c r="C362" s="278">
        <f ca="1">SUM(C359:C361)</f>
        <v>1573000.0000000002</v>
      </c>
      <c r="D362" s="278">
        <f ca="1">SUM(D359:D361)</f>
        <v>1430000.0000000002</v>
      </c>
      <c r="E362" s="278">
        <f ca="1">SUM(E359:E361)</f>
        <v>590000</v>
      </c>
      <c r="F362" s="294">
        <f t="shared" ca="1" si="70"/>
        <v>0.41258741258741249</v>
      </c>
      <c r="G362" s="280">
        <f ca="1">SUM(G359:G361)</f>
        <v>67000</v>
      </c>
    </row>
    <row r="363" spans="1:9" ht="21" customHeight="1" x14ac:dyDescent="0.25">
      <c r="A363" s="798" t="s">
        <v>3176</v>
      </c>
      <c r="B363" s="228" t="s">
        <v>1629</v>
      </c>
      <c r="C363" s="250">
        <f ca="1">SUMIFS(INDIRECT("Report!F100:F10000"),INDIRECT("Report!B100:B10000"),B363,INDIRECT("report!H100:H10000"),"Technotrans",INDIRECT("Report!L100:L10000"),"21,10")</f>
        <v>880000.00000000012</v>
      </c>
      <c r="D363" s="549">
        <f ca="1">(C363/11*10)</f>
        <v>800000.00000000012</v>
      </c>
      <c r="E363" s="250">
        <f ca="1">SUMIFS(INDIRECT("Report!J100:J10000"),INDIRECT("Report!B100:B10000"),B363,INDIRECT("report!H100:H10000"),"Technotrans",INDIRECT("Report!L100:L10000"),"21,10")</f>
        <v>320000</v>
      </c>
      <c r="F363" s="314">
        <f t="shared" ref="F363:F368" ca="1" si="71">E363/D363</f>
        <v>0.39999999999999997</v>
      </c>
      <c r="G363" s="274">
        <f ca="1">E363*20%</f>
        <v>64000</v>
      </c>
    </row>
    <row r="364" spans="1:9" ht="21" customHeight="1" x14ac:dyDescent="0.25">
      <c r="B364" s="279" t="s">
        <v>3178</v>
      </c>
      <c r="C364" s="278">
        <f ca="1">SUM(C363:C363)</f>
        <v>880000.00000000012</v>
      </c>
      <c r="D364" s="278">
        <f ca="1">SUM(D363:D363)</f>
        <v>800000.00000000012</v>
      </c>
      <c r="E364" s="278">
        <f ca="1">SUM(E363:E363)</f>
        <v>320000</v>
      </c>
      <c r="F364" s="294">
        <f t="shared" ca="1" si="71"/>
        <v>0.39999999999999997</v>
      </c>
      <c r="G364" s="280">
        <f ca="1">SUM(G363:G363)</f>
        <v>64000</v>
      </c>
    </row>
    <row r="365" spans="1:9" ht="21" customHeight="1" x14ac:dyDescent="0.25">
      <c r="A365" s="798" t="s">
        <v>3209</v>
      </c>
      <c r="B365" s="228" t="s">
        <v>3058</v>
      </c>
      <c r="C365" s="250">
        <f ca="1">SUMIFS(INDIRECT("Report!F100:F10000"),INDIRECT("Report!B100:B10000"),B365,INDIRECT("report!H100:H10000"),"Technotrans",INDIRECT("Report!L100:L10000"),"21,11")</f>
        <v>440000.00000000006</v>
      </c>
      <c r="D365" s="549">
        <f ca="1">(C365/11*10)</f>
        <v>400000.00000000006</v>
      </c>
      <c r="E365" s="250">
        <f ca="1">SUMIFS(INDIRECT("Report!J100:J10000"),INDIRECT("Report!B100:B10000"),B365,INDIRECT("report!H100:H10000"),"Technotrans",INDIRECT("Report!L100:L10000"),"21,11")</f>
        <v>159300</v>
      </c>
      <c r="F365" s="314">
        <f t="shared" ca="1" si="71"/>
        <v>0.39824999999999994</v>
      </c>
      <c r="G365" s="274">
        <f ca="1">E365*20%</f>
        <v>31860</v>
      </c>
    </row>
    <row r="366" spans="1:9" ht="21" customHeight="1" x14ac:dyDescent="0.25">
      <c r="A366" s="1018"/>
      <c r="B366" s="228" t="s">
        <v>838</v>
      </c>
      <c r="C366" s="250">
        <f ca="1">SUMIFS(INDIRECT("Report!F100:F10000"),INDIRECT("Report!B100:B10000"),B366,INDIRECT("report!H100:H10000"),"Technotrans",INDIRECT("Report!L100:L10000"),"21,11")</f>
        <v>1320000</v>
      </c>
      <c r="D366" s="549">
        <f ca="1">(C366/11*10)</f>
        <v>1200000</v>
      </c>
      <c r="E366" s="250">
        <f ca="1">SUMIFS(INDIRECT("Report!J100:J10000"),INDIRECT("Report!B100:B10000"),B366,INDIRECT("report!H100:H10000"),"Technotrans",INDIRECT("Report!L100:L10000"),"21,11")</f>
        <v>477900</v>
      </c>
      <c r="F366" s="314">
        <f t="shared" ca="1" si="71"/>
        <v>0.39824999999999999</v>
      </c>
      <c r="G366" s="274">
        <f ca="1">E366*10%</f>
        <v>47790</v>
      </c>
    </row>
    <row r="367" spans="1:9" ht="21" customHeight="1" x14ac:dyDescent="0.25">
      <c r="A367" s="1018"/>
      <c r="B367" s="228" t="s">
        <v>675</v>
      </c>
      <c r="C367" s="250">
        <f ca="1">SUMIFS(INDIRECT("Report!F100:F10000"),INDIRECT("Report!B100:B10000"),B367,INDIRECT("report!H100:H10000"),"Technotrans",INDIRECT("Report!L100:L10000"),"21,11")</f>
        <v>440000.00000000006</v>
      </c>
      <c r="D367" s="549">
        <f ca="1">(C367/11*10)</f>
        <v>400000.00000000006</v>
      </c>
      <c r="E367" s="250">
        <f ca="1">SUMIFS(INDIRECT("Report!J100:J10000"),INDIRECT("Report!B100:B10000"),B367,INDIRECT("report!H100:H10000"),"Technotrans",INDIRECT("Report!L100:L10000"),"21,11")</f>
        <v>159300</v>
      </c>
      <c r="F367" s="314">
        <f t="shared" ca="1" si="71"/>
        <v>0.39824999999999994</v>
      </c>
      <c r="G367" s="274">
        <f ca="1">E367*10%</f>
        <v>15930</v>
      </c>
    </row>
    <row r="368" spans="1:9" ht="21" customHeight="1" x14ac:dyDescent="0.25">
      <c r="B368" s="279" t="s">
        <v>3210</v>
      </c>
      <c r="C368" s="278">
        <f ca="1">SUM(C365:C367)</f>
        <v>2200000</v>
      </c>
      <c r="D368" s="278">
        <f ca="1">SUM(D365:D367)</f>
        <v>2000000</v>
      </c>
      <c r="E368" s="278">
        <f ca="1">SUM(E365:E367)</f>
        <v>796500</v>
      </c>
      <c r="F368" s="294">
        <f t="shared" ca="1" si="71"/>
        <v>0.39824999999999999</v>
      </c>
      <c r="G368" s="280">
        <f ca="1">SUM(G365:G367)</f>
        <v>95580</v>
      </c>
    </row>
    <row r="369" spans="1:7" ht="21" customHeight="1" x14ac:dyDescent="0.25">
      <c r="A369" s="798" t="s">
        <v>3233</v>
      </c>
      <c r="B369" s="228" t="s">
        <v>762</v>
      </c>
      <c r="C369" s="250">
        <f ca="1">SUMIFS(INDIRECT("Report!F100:F10000"),INDIRECT("Report!B100:B10000"),B369,INDIRECT("report!H100:H10000"),"Technotrans",INDIRECT("Report!L100:L10000"),"21,12")</f>
        <v>770000.00000000012</v>
      </c>
      <c r="D369" s="549">
        <f ca="1">(C369/11*10)</f>
        <v>700000.00000000012</v>
      </c>
      <c r="E369" s="250">
        <f ca="1">SUMIFS(INDIRECT("Report!J100:J10000"),INDIRECT("Report!B100:B10000"),B369,INDIRECT("report!H100:H10000"),"Technotrans",INDIRECT("Report!L100:L10000"),"21,12")</f>
        <v>218600</v>
      </c>
      <c r="F369" s="314">
        <f t="shared" ref="F369:F375" ca="1" si="72">E369/D369</f>
        <v>0.31228571428571422</v>
      </c>
      <c r="G369" s="274">
        <f ca="1">E369*20%</f>
        <v>43720</v>
      </c>
    </row>
    <row r="370" spans="1:7" ht="21" customHeight="1" x14ac:dyDescent="0.25">
      <c r="B370" s="279" t="s">
        <v>3234</v>
      </c>
      <c r="C370" s="278">
        <f ca="1">SUM(C369:C369)</f>
        <v>770000.00000000012</v>
      </c>
      <c r="D370" s="278">
        <f ca="1">SUM(D369:D369)</f>
        <v>700000.00000000012</v>
      </c>
      <c r="E370" s="278">
        <f ca="1">SUM(E369:E369)</f>
        <v>218600</v>
      </c>
      <c r="F370" s="294">
        <f t="shared" ca="1" si="72"/>
        <v>0.31228571428571422</v>
      </c>
      <c r="G370" s="280">
        <f ca="1">SUM(G369:G369)</f>
        <v>43720</v>
      </c>
    </row>
    <row r="371" spans="1:7" ht="21" customHeight="1" x14ac:dyDescent="0.25">
      <c r="A371" s="798" t="s">
        <v>3250</v>
      </c>
      <c r="B371" s="228" t="s">
        <v>442</v>
      </c>
      <c r="C371" s="250">
        <f ca="1">SUMIFS(INDIRECT("Report!F100:F10000"),INDIRECT("Report!B100:B10000"),B371,INDIRECT("report!H100:H10000"),"Technotrans",INDIRECT("Report!L100:L10000"),"22,1")</f>
        <v>880000.00000000012</v>
      </c>
      <c r="D371" s="549">
        <f ca="1">(C371/11*10)</f>
        <v>800000.00000000012</v>
      </c>
      <c r="E371" s="250">
        <f ca="1">SUMIFS(INDIRECT("Report!J100:J10000"),INDIRECT("Report!B100:B10000"),B371,INDIRECT("report!H100:H10000"),"Technotrans",INDIRECT("Report!L100:L10000"),"22,1")</f>
        <v>320000</v>
      </c>
      <c r="F371" s="314">
        <f t="shared" ca="1" si="72"/>
        <v>0.39999999999999997</v>
      </c>
      <c r="G371" s="274">
        <f ca="1">E371*20%</f>
        <v>64000</v>
      </c>
    </row>
    <row r="372" spans="1:7" ht="21" customHeight="1" x14ac:dyDescent="0.25">
      <c r="B372" s="279" t="s">
        <v>3281</v>
      </c>
      <c r="C372" s="278">
        <f ca="1">SUM(C371:C371)</f>
        <v>880000.00000000012</v>
      </c>
      <c r="D372" s="278">
        <f ca="1">SUM(D371:D371)</f>
        <v>800000.00000000012</v>
      </c>
      <c r="E372" s="278">
        <f ca="1">SUM(E371:E371)</f>
        <v>320000</v>
      </c>
      <c r="F372" s="294">
        <f t="shared" ca="1" si="72"/>
        <v>0.39999999999999997</v>
      </c>
      <c r="G372" s="280">
        <f ca="1">SUM(G371:G371)</f>
        <v>64000</v>
      </c>
    </row>
    <row r="373" spans="1:7" ht="21" customHeight="1" x14ac:dyDescent="0.25">
      <c r="A373" s="798" t="s">
        <v>3280</v>
      </c>
      <c r="B373" s="228" t="s">
        <v>550</v>
      </c>
      <c r="C373" s="250">
        <f ca="1">SUMIFS(INDIRECT("Report!F100:F10000"),INDIRECT("Report!B100:B10000"),B373,INDIRECT("report!H100:H10000"),"Technotrans",INDIRECT("Report!L100:L10000"),"22,2")</f>
        <v>544500</v>
      </c>
      <c r="D373" s="549">
        <f ca="1">(C373/11*10)</f>
        <v>495000</v>
      </c>
      <c r="E373" s="250">
        <f ca="1">SUMIFS(INDIRECT("Report!J100:J10000"),INDIRECT("Report!B100:B10000"),B373,INDIRECT("report!H100:H10000"),"Technotrans",INDIRECT("Report!L100:L10000"),"22,2")</f>
        <v>135000</v>
      </c>
      <c r="F373" s="314">
        <f t="shared" ca="1" si="72"/>
        <v>0.27272727272727271</v>
      </c>
      <c r="G373" s="274">
        <f ca="1">E373*20%</f>
        <v>27000</v>
      </c>
    </row>
    <row r="374" spans="1:7" ht="21" customHeight="1" x14ac:dyDescent="0.25">
      <c r="A374" s="1018"/>
      <c r="B374" s="228" t="s">
        <v>556</v>
      </c>
      <c r="C374" s="250">
        <f ca="1">SUMIFS(INDIRECT("Report!F100:F10000"),INDIRECT("Report!B100:B10000"),B374,INDIRECT("report!H100:H10000"),"Technotrans",INDIRECT("Report!L100:L10000"),"22,2")</f>
        <v>181500.00000000003</v>
      </c>
      <c r="D374" s="549">
        <f ca="1">(C374/11*10)</f>
        <v>165000.00000000003</v>
      </c>
      <c r="E374" s="250">
        <f ca="1">SUMIFS(INDIRECT("Report!J100:J10000"),INDIRECT("Report!B100:B10000"),B374,INDIRECT("report!H100:H10000"),"Technotrans",INDIRECT("Report!L100:L10000"),"22,2")</f>
        <v>45000</v>
      </c>
      <c r="F374" s="314">
        <f t="shared" ca="1" si="72"/>
        <v>0.27272727272727265</v>
      </c>
      <c r="G374" s="274">
        <f ca="1">E374*20%</f>
        <v>9000</v>
      </c>
    </row>
    <row r="375" spans="1:7" ht="21" customHeight="1" x14ac:dyDescent="0.25">
      <c r="B375" s="279" t="s">
        <v>3282</v>
      </c>
      <c r="C375" s="278">
        <f ca="1">SUM(C373:C374)</f>
        <v>726000</v>
      </c>
      <c r="D375" s="278">
        <f ca="1">SUM(D373:D374)</f>
        <v>660000</v>
      </c>
      <c r="E375" s="278">
        <f ca="1">SUM(E373:E374)</f>
        <v>180000</v>
      </c>
      <c r="F375" s="294">
        <f t="shared" ca="1" si="72"/>
        <v>0.27272727272727271</v>
      </c>
      <c r="G375" s="280">
        <f ca="1">SUM(G373:G374)</f>
        <v>36000</v>
      </c>
    </row>
    <row r="376" spans="1:7" ht="21" customHeight="1" x14ac:dyDescent="0.25">
      <c r="A376" s="798" t="s">
        <v>3344</v>
      </c>
      <c r="B376" s="228" t="s">
        <v>2262</v>
      </c>
      <c r="C376" s="250">
        <f ca="1">SUMIFS(INDIRECT("Report!F100:F10000"),INDIRECT("Report!B100:B10000"),B376,INDIRECT("report!H100:H10000"),"Technotrans",INDIRECT("Report!L100:L10000"),"22,3")</f>
        <v>550000</v>
      </c>
      <c r="D376" s="549">
        <f ca="1">(C376/11*10)</f>
        <v>500000</v>
      </c>
      <c r="E376" s="250">
        <f ca="1">SUMIFS(INDIRECT("Report!J100:J10000"),INDIRECT("Report!B100:B10000"),B376,INDIRECT("report!H100:H10000"),"Technotrans",INDIRECT("Report!L100:L10000"),"22,3")</f>
        <v>260000</v>
      </c>
      <c r="F376" s="314">
        <f t="shared" ref="F376:F385" ca="1" si="73">E376/D376</f>
        <v>0.52</v>
      </c>
      <c r="G376" s="274">
        <f ca="1">E376*15%</f>
        <v>39000</v>
      </c>
    </row>
    <row r="377" spans="1:7" ht="21" customHeight="1" x14ac:dyDescent="0.25">
      <c r="A377" s="1018"/>
      <c r="B377" s="228" t="s">
        <v>485</v>
      </c>
      <c r="C377" s="250">
        <f ca="1">SUMIFS(INDIRECT("Report!F100:F10000"),INDIRECT("Report!B100:B10000"),B377,INDIRECT("report!H100:H10000"),"Technotrans",INDIRECT("Report!L100:L10000"),"22,3")</f>
        <v>1100000</v>
      </c>
      <c r="D377" s="549">
        <f ca="1">(C377/11*10)</f>
        <v>1000000</v>
      </c>
      <c r="E377" s="250">
        <f ca="1">SUMIFS(INDIRECT("Report!J100:J10000"),INDIRECT("Report!B100:B10000"),B377,INDIRECT("report!H100:H10000"),"Technotrans",INDIRECT("Report!L100:L10000"),"22,3")</f>
        <v>520000</v>
      </c>
      <c r="F377" s="314">
        <f t="shared" ca="1" si="73"/>
        <v>0.52</v>
      </c>
      <c r="G377" s="274">
        <f ca="1">E377*15%</f>
        <v>78000</v>
      </c>
    </row>
    <row r="378" spans="1:7" ht="21" customHeight="1" x14ac:dyDescent="0.25">
      <c r="A378" s="1018"/>
      <c r="B378" s="228" t="s">
        <v>3346</v>
      </c>
      <c r="C378" s="250">
        <f ca="1">SUMIFS(INDIRECT("Report!F100:F10000"),INDIRECT("Report!B100:B10000"),B378,INDIRECT("report!H100:H10000"),"Technotrans",INDIRECT("Report!L100:L10000"),"22,3")</f>
        <v>5500000</v>
      </c>
      <c r="D378" s="549">
        <f ca="1">(C378/11*10)</f>
        <v>5000000</v>
      </c>
      <c r="E378" s="250">
        <f ca="1">SUMIFS(INDIRECT("Report!J100:J10000"),INDIRECT("Report!B100:B10000"),B378,INDIRECT("report!H100:H10000"),"Technotrans",INDIRECT("Report!L100:L10000"),"22,3")</f>
        <v>1698872</v>
      </c>
      <c r="F378" s="314">
        <f t="shared" ca="1" si="73"/>
        <v>0.33977439999999998</v>
      </c>
      <c r="G378" s="274">
        <f ca="1">E378*15%</f>
        <v>254830.8</v>
      </c>
    </row>
    <row r="379" spans="1:7" ht="21" customHeight="1" x14ac:dyDescent="0.25">
      <c r="B379" s="279" t="s">
        <v>3348</v>
      </c>
      <c r="C379" s="278">
        <f ca="1">SUM(C376:C378)</f>
        <v>7150000</v>
      </c>
      <c r="D379" s="278">
        <f ca="1">SUM(D376:D378)</f>
        <v>6500000</v>
      </c>
      <c r="E379" s="278">
        <f ca="1">SUM(E376:E378)</f>
        <v>2478872</v>
      </c>
      <c r="F379" s="294">
        <f t="shared" ca="1" si="73"/>
        <v>0.3813649230769231</v>
      </c>
      <c r="G379" s="280">
        <f ca="1">SUM(G376:G378)</f>
        <v>371830.8</v>
      </c>
    </row>
    <row r="380" spans="1:7" ht="21" customHeight="1" x14ac:dyDescent="0.25">
      <c r="A380" s="798" t="s">
        <v>3376</v>
      </c>
      <c r="B380" s="228" t="s">
        <v>318</v>
      </c>
      <c r="C380" s="250">
        <f ca="1">SUMIFS(INDIRECT("Report!F100:F10000"),INDIRECT("Report!B100:B10000"),B380,INDIRECT("report!H100:H10000"),"Technotrans",INDIRECT("Report!L100:L10000"),"22,4")</f>
        <v>247500.00000000003</v>
      </c>
      <c r="D380" s="549">
        <f ca="1">(C380/11*10)</f>
        <v>225000.00000000003</v>
      </c>
      <c r="E380" s="250">
        <f ca="1">SUMIFS(INDIRECT("Report!J100:J10000"),INDIRECT("Report!B100:B10000"),B380,INDIRECT("report!H100:H10000"),"Technotrans",INDIRECT("Report!L100:L10000"),"22,4")</f>
        <v>105000</v>
      </c>
      <c r="F380" s="314">
        <f t="shared" ca="1" si="73"/>
        <v>0.46666666666666662</v>
      </c>
      <c r="G380" s="274">
        <f ca="1">E380*15%</f>
        <v>15750</v>
      </c>
    </row>
    <row r="381" spans="1:7" ht="21" customHeight="1" x14ac:dyDescent="0.25">
      <c r="B381" s="279" t="s">
        <v>3377</v>
      </c>
      <c r="C381" s="278">
        <f ca="1">SUM(C380:C380)</f>
        <v>247500.00000000003</v>
      </c>
      <c r="D381" s="278">
        <f ca="1">SUM(D380:D380)</f>
        <v>225000.00000000003</v>
      </c>
      <c r="E381" s="278">
        <f ca="1">SUM(E380:E380)</f>
        <v>105000</v>
      </c>
      <c r="F381" s="294">
        <f t="shared" ca="1" si="73"/>
        <v>0.46666666666666662</v>
      </c>
      <c r="G381" s="280">
        <f ca="1">SUM(G380:G380)</f>
        <v>15750</v>
      </c>
    </row>
    <row r="382" spans="1:7" ht="21" customHeight="1" x14ac:dyDescent="0.25">
      <c r="A382" s="798" t="s">
        <v>3380</v>
      </c>
      <c r="B382" s="228" t="s">
        <v>444</v>
      </c>
      <c r="C382" s="250">
        <f ca="1">SUMIFS(INDIRECT("Report!F100:F10000"),INDIRECT("Report!B100:B10000"),B382,INDIRECT("report!H100:H10000"),"Technotrans",INDIRECT("Report!L100:L10000"),"22,5")</f>
        <v>924000.00000000012</v>
      </c>
      <c r="D382" s="549">
        <f ca="1">(C382/11*10)</f>
        <v>840000.00000000012</v>
      </c>
      <c r="E382" s="250">
        <f ca="1">SUMIFS(INDIRECT("Report!J100:J10000"),INDIRECT("Report!B100:B10000"),B382,INDIRECT("report!H100:H10000"),"Technotrans",INDIRECT("Report!L100:L10000"),"22,5")</f>
        <v>360000</v>
      </c>
      <c r="F382" s="314">
        <f t="shared" ca="1" si="73"/>
        <v>0.42857142857142849</v>
      </c>
      <c r="G382" s="274">
        <f ca="1">E382*15%</f>
        <v>54000</v>
      </c>
    </row>
    <row r="383" spans="1:7" ht="21" customHeight="1" x14ac:dyDescent="0.25">
      <c r="A383" s="1018"/>
      <c r="B383" s="228" t="s">
        <v>937</v>
      </c>
      <c r="C383" s="250">
        <f ca="1">SUMIFS(INDIRECT("Report!F100:F10000"),INDIRECT("Report!B100:B10000"),B383,INDIRECT("report!H100:H10000"),"Technotrans",INDIRECT("Report!L100:L10000"),"22,5")</f>
        <v>5500000</v>
      </c>
      <c r="D383" s="549">
        <f ca="1">(C383/11*10)</f>
        <v>5000000</v>
      </c>
      <c r="E383" s="250">
        <f ca="1">SUMIFS(INDIRECT("Report!J100:J10000"),INDIRECT("Report!B100:B10000"),B383,INDIRECT("report!H100:H10000"),"Technotrans",INDIRECT("Report!L100:L10000"),"22,5")</f>
        <v>2146476</v>
      </c>
      <c r="F383" s="314">
        <f t="shared" ca="1" si="73"/>
        <v>0.42929519999999999</v>
      </c>
      <c r="G383" s="274">
        <f ca="1">E383*15%</f>
        <v>321971.39999999997</v>
      </c>
    </row>
    <row r="384" spans="1:7" ht="21" customHeight="1" x14ac:dyDescent="0.25">
      <c r="A384" s="1018"/>
      <c r="B384" s="228" t="s">
        <v>3409</v>
      </c>
      <c r="C384" s="250">
        <f ca="1">SUMIFS(INDIRECT("Report!F100:F10000"),INDIRECT("Report!B100:B10000"),B384,INDIRECT("report!H100:H10000"),"Technotrans",INDIRECT("Report!L100:L10000"),"22,5")</f>
        <v>275000</v>
      </c>
      <c r="D384" s="549">
        <f ca="1">(C384/11*10)</f>
        <v>250000</v>
      </c>
      <c r="E384" s="250">
        <f ca="1">SUMIFS(INDIRECT("Report!J100:J10000"),INDIRECT("Report!B100:B10000"),B384,INDIRECT("report!H100:H10000"),"Technotrans",INDIRECT("Report!L100:L10000"),"22,5")</f>
        <v>129650</v>
      </c>
      <c r="F384" s="314">
        <f t="shared" ca="1" si="73"/>
        <v>0.51859999999999995</v>
      </c>
      <c r="G384" s="274">
        <f ca="1">E384*15%</f>
        <v>19447.5</v>
      </c>
    </row>
    <row r="385" spans="1:9" ht="21" customHeight="1" x14ac:dyDescent="0.25">
      <c r="B385" s="279" t="s">
        <v>3445</v>
      </c>
      <c r="C385" s="278">
        <f ca="1">SUM(C382:C384)</f>
        <v>6699000</v>
      </c>
      <c r="D385" s="278">
        <f ca="1">SUM(D382:D384)</f>
        <v>6090000</v>
      </c>
      <c r="E385" s="278">
        <f ca="1">SUM(E382:E384)</f>
        <v>2636126</v>
      </c>
      <c r="F385" s="294">
        <f t="shared" ca="1" si="73"/>
        <v>0.43286141215106733</v>
      </c>
      <c r="G385" s="280">
        <f ca="1">SUM(G382:G384)</f>
        <v>395418.89999999997</v>
      </c>
    </row>
    <row r="386" spans="1:9" ht="21" customHeight="1" x14ac:dyDescent="0.25">
      <c r="A386" s="798" t="s">
        <v>3416</v>
      </c>
      <c r="B386" s="228" t="s">
        <v>2249</v>
      </c>
      <c r="C386" s="250">
        <f ca="1">SUMIFS(INDIRECT("Report!F100:F10000"),INDIRECT("Report!B100:B10000"),B386,INDIRECT("report!H100:H10000"),"Technotrans",INDIRECT("Report!L100:L10000"),"22,6")</f>
        <v>990000.00000000012</v>
      </c>
      <c r="D386" s="549">
        <f ca="1">(C386/11*10)</f>
        <v>900000.00000000012</v>
      </c>
      <c r="E386" s="250">
        <f ca="1">SUMIFS(INDIRECT("Report!J100:J10000"),INDIRECT("Report!B100:B10000"),B386,INDIRECT("report!H100:H10000"),"Technotrans",INDIRECT("Report!L100:L10000"),"22,6")</f>
        <v>420000</v>
      </c>
      <c r="F386" s="314">
        <f t="shared" ref="F386:F405" ca="1" si="74">E386/D386</f>
        <v>0.46666666666666662</v>
      </c>
      <c r="G386" s="274">
        <f ca="1">E386*15%</f>
        <v>63000</v>
      </c>
    </row>
    <row r="387" spans="1:9" ht="21" customHeight="1" x14ac:dyDescent="0.25">
      <c r="A387" s="1018"/>
      <c r="B387" s="228" t="s">
        <v>937</v>
      </c>
      <c r="C387" s="250">
        <f ca="1">SUMIFS(INDIRECT("Report!F100:F10000"),INDIRECT("Report!B100:B10000"),B387,INDIRECT("report!H100:H10000"),"Technotrans",INDIRECT("Report!L100:L10000"),"22,6")</f>
        <v>5500000</v>
      </c>
      <c r="D387" s="549">
        <f ca="1">(C387/11*10)</f>
        <v>5000000</v>
      </c>
      <c r="E387" s="250">
        <f ca="1">SUMIFS(INDIRECT("Report!J100:J10000"),INDIRECT("Report!B100:B10000"),B387,INDIRECT("report!H100:H10000"),"Technotrans",INDIRECT("Report!L100:L10000"),"22,6")</f>
        <v>2146476</v>
      </c>
      <c r="F387" s="314">
        <f t="shared" ca="1" si="74"/>
        <v>0.42929519999999999</v>
      </c>
      <c r="G387" s="274">
        <f ca="1">E387*15%</f>
        <v>321971.39999999997</v>
      </c>
    </row>
    <row r="388" spans="1:9" ht="21" customHeight="1" x14ac:dyDescent="0.25">
      <c r="B388" s="279" t="s">
        <v>3446</v>
      </c>
      <c r="C388" s="278">
        <f ca="1">SUM(C386:C387)</f>
        <v>6490000</v>
      </c>
      <c r="D388" s="278">
        <f ca="1">SUM(D386:D387)</f>
        <v>5900000</v>
      </c>
      <c r="E388" s="278">
        <f ca="1">SUM(E386:E387)</f>
        <v>2566476</v>
      </c>
      <c r="F388" s="294">
        <f t="shared" ca="1" si="74"/>
        <v>0.43499593220338983</v>
      </c>
      <c r="G388" s="280">
        <f ca="1">SUM(G386:G387)</f>
        <v>384971.39999999997</v>
      </c>
    </row>
    <row r="389" spans="1:9" ht="21" customHeight="1" x14ac:dyDescent="0.25">
      <c r="A389" s="798" t="s">
        <v>3429</v>
      </c>
      <c r="B389" s="228" t="s">
        <v>444</v>
      </c>
      <c r="C389" s="250">
        <f ca="1">SUMIFS(INDIRECT("Report!F100:F10000"),INDIRECT("Report!B100:B10000"),B389,INDIRECT("report!H100:H10000"),"Technotrans",INDIRECT("Report!L100:L10000"),"22,7")</f>
        <v>3135000.0000000005</v>
      </c>
      <c r="D389" s="549">
        <f ca="1">(C389/11*10)</f>
        <v>2850000.0000000005</v>
      </c>
      <c r="E389" s="250">
        <f ca="1">SUMIFS(INDIRECT("Report!J100:J10000"),INDIRECT("Report!B100:B10000"),B389,INDIRECT("report!H100:H10000"),"Technotrans",INDIRECT("Report!L100:L10000"),"22,7")</f>
        <v>1620000</v>
      </c>
      <c r="F389" s="314">
        <f t="shared" ca="1" si="74"/>
        <v>0.56842105263157883</v>
      </c>
      <c r="G389" s="274">
        <f ca="1">E389*15%</f>
        <v>243000</v>
      </c>
    </row>
    <row r="390" spans="1:9" ht="21" customHeight="1" x14ac:dyDescent="0.25">
      <c r="A390" s="1018"/>
      <c r="B390" s="228" t="s">
        <v>478</v>
      </c>
      <c r="C390" s="250">
        <f ca="1">SUMIFS(INDIRECT("Report!F100:F10000"),INDIRECT("Report!B100:B10000"),B390,INDIRECT("report!H100:H10000"),"Technotrans",INDIRECT("Report!L100:L10000"),"22,7")</f>
        <v>148500</v>
      </c>
      <c r="D390" s="549">
        <f ca="1">(C390/11*10)</f>
        <v>135000</v>
      </c>
      <c r="E390" s="250">
        <f ca="1">SUMIFS(INDIRECT("Report!J100:J10000"),INDIRECT("Report!B100:B10000"),B390,INDIRECT("report!H100:H10000"),"Technotrans",INDIRECT("Report!L100:L10000"),"22,7")</f>
        <v>63000</v>
      </c>
      <c r="F390" s="314">
        <f t="shared" ca="1" si="74"/>
        <v>0.46666666666666667</v>
      </c>
      <c r="G390" s="274">
        <f ca="1">E390*15%</f>
        <v>9450</v>
      </c>
    </row>
    <row r="391" spans="1:9" ht="21" customHeight="1" x14ac:dyDescent="0.25">
      <c r="A391" s="1018"/>
      <c r="B391" s="228" t="s">
        <v>3058</v>
      </c>
      <c r="C391" s="250">
        <f ca="1">SUMIFS(INDIRECT("Report!F100:F10000"),INDIRECT("Report!B100:B10000"),B391,INDIRECT("report!H100:H10000"),"Technotrans",INDIRECT("Report!L100:L10000"),"22,7")</f>
        <v>495000.00000000006</v>
      </c>
      <c r="D391" s="549">
        <f ca="1">(C391/11*10)</f>
        <v>450000.00000000006</v>
      </c>
      <c r="E391" s="250">
        <f ca="1">SUMIFS(INDIRECT("Report!J100:J10000"),INDIRECT("Report!B100:B10000"),B391,INDIRECT("report!H100:H10000"),"Technotrans",INDIRECT("Report!L100:L10000"),"22,7")</f>
        <v>210000</v>
      </c>
      <c r="F391" s="314">
        <f t="shared" ca="1" si="74"/>
        <v>0.46666666666666662</v>
      </c>
      <c r="G391" s="274">
        <f ca="1">E391*15%</f>
        <v>31500</v>
      </c>
    </row>
    <row r="392" spans="1:9" ht="21" customHeight="1" x14ac:dyDescent="0.25">
      <c r="B392" s="279" t="s">
        <v>3463</v>
      </c>
      <c r="C392" s="278">
        <f ca="1">SUM(C389:C391)</f>
        <v>3778500.0000000005</v>
      </c>
      <c r="D392" s="278">
        <f ca="1">SUM(D389:D391)</f>
        <v>3435000.0000000005</v>
      </c>
      <c r="E392" s="278">
        <f ca="1">SUM(E389:E391)</f>
        <v>1893000</v>
      </c>
      <c r="F392" s="294">
        <f t="shared" ca="1" si="74"/>
        <v>0.55109170305676847</v>
      </c>
      <c r="G392" s="280">
        <f ca="1">SUM(G389:G391)</f>
        <v>283950</v>
      </c>
    </row>
    <row r="393" spans="1:9" ht="21" customHeight="1" x14ac:dyDescent="0.25">
      <c r="A393" s="798" t="s">
        <v>3456</v>
      </c>
      <c r="B393" s="228" t="s">
        <v>2997</v>
      </c>
      <c r="C393" s="250">
        <f ca="1">SUMIFS(INDIRECT("Report!F100:F10000"),INDIRECT("Report!B100:B10000"),B393,INDIRECT("report!H100:H10000"),"Technotrans",INDIRECT("Report!L100:L10000"),"22,8")</f>
        <v>3135000.0000000005</v>
      </c>
      <c r="D393" s="549">
        <f ca="1">(C393/11*10)</f>
        <v>2850000.0000000005</v>
      </c>
      <c r="E393" s="250">
        <f ca="1">SUMIFS(INDIRECT("Report!J100:J10000"),INDIRECT("Report!B100:B10000"),B393,INDIRECT("report!H100:H10000"),"Technotrans",INDIRECT("Report!L100:L10000"),"22,8")</f>
        <v>1620000</v>
      </c>
      <c r="F393" s="314">
        <f t="shared" ca="1" si="74"/>
        <v>0.56842105263157883</v>
      </c>
      <c r="G393" s="274">
        <f ca="1">E393*15%</f>
        <v>243000</v>
      </c>
      <c r="I393" s="227" t="s">
        <v>3469</v>
      </c>
    </row>
    <row r="394" spans="1:9" ht="21" customHeight="1" x14ac:dyDescent="0.25">
      <c r="A394" s="1018"/>
      <c r="B394" s="228" t="s">
        <v>442</v>
      </c>
      <c r="C394" s="250">
        <f ca="1">SUMIFS(INDIRECT("Report!F100:F10000"),INDIRECT("Report!B100:B10000"),B394,INDIRECT("report!H100:H10000"),"Technotrans",INDIRECT("Report!L100:L10000"),"22,8")</f>
        <v>550000</v>
      </c>
      <c r="D394" s="549">
        <f ca="1">(C394/11*10)</f>
        <v>500000</v>
      </c>
      <c r="E394" s="250">
        <f ca="1">SUMIFS(INDIRECT("Report!J100:J10000"),INDIRECT("Report!B100:B10000"),B394,INDIRECT("report!H100:H10000"),"Technotrans",INDIRECT("Report!L100:L10000"),"22,8")</f>
        <v>260000</v>
      </c>
      <c r="F394" s="314">
        <f t="shared" ca="1" si="74"/>
        <v>0.52</v>
      </c>
      <c r="G394" s="274">
        <f ca="1">E394*15%</f>
        <v>39000</v>
      </c>
    </row>
    <row r="395" spans="1:9" ht="21" customHeight="1" x14ac:dyDescent="0.25">
      <c r="A395" s="1018"/>
      <c r="B395" s="228" t="s">
        <v>478</v>
      </c>
      <c r="C395" s="250">
        <f ca="1">SUMIFS(INDIRECT("Report!F100:F10000"),INDIRECT("Report!B100:B10000"),B395,INDIRECT("report!H100:H10000"),"Technotrans",INDIRECT("Report!L100:L10000"),"22,8")</f>
        <v>198000.00000000003</v>
      </c>
      <c r="D395" s="549">
        <f ca="1">(C395/11*10)</f>
        <v>180000.00000000003</v>
      </c>
      <c r="E395" s="250">
        <f ca="1">SUMIFS(INDIRECT("Report!J100:J10000"),INDIRECT("Report!B100:B10000"),B395,INDIRECT("report!H100:H10000"),"Technotrans",INDIRECT("Report!L100:L10000"),"22,8")</f>
        <v>84000</v>
      </c>
      <c r="F395" s="314">
        <f t="shared" ca="1" si="74"/>
        <v>0.46666666666666662</v>
      </c>
      <c r="G395" s="274">
        <f ca="1">E395*15%</f>
        <v>12600</v>
      </c>
    </row>
    <row r="396" spans="1:9" ht="21" customHeight="1" x14ac:dyDescent="0.25">
      <c r="A396" s="1018"/>
      <c r="B396" s="228" t="s">
        <v>485</v>
      </c>
      <c r="C396" s="250">
        <f ca="1">SUMIFS(INDIRECT("Report!F100:F10000"),INDIRECT("Report!B100:B10000"),B396,INDIRECT("report!H100:H10000"),"Technotrans",INDIRECT("Report!L100:L10000"),"22,8")</f>
        <v>1100000</v>
      </c>
      <c r="D396" s="549">
        <f ca="1">(C396/11*10)</f>
        <v>1000000</v>
      </c>
      <c r="E396" s="250">
        <f ca="1">SUMIFS(INDIRECT("Report!J100:J10000"),INDIRECT("Report!B100:B10000"),B396,INDIRECT("report!H100:H10000"),"Technotrans",INDIRECT("Report!L100:L10000"),"22,8")</f>
        <v>520000</v>
      </c>
      <c r="F396" s="314">
        <f t="shared" ca="1" si="74"/>
        <v>0.52</v>
      </c>
      <c r="G396" s="274">
        <f ca="1">E396*15%</f>
        <v>78000</v>
      </c>
    </row>
    <row r="397" spans="1:9" ht="21" customHeight="1" x14ac:dyDescent="0.25">
      <c r="B397" s="279" t="s">
        <v>3464</v>
      </c>
      <c r="C397" s="278">
        <f ca="1">SUM(C393:C396)</f>
        <v>4983000</v>
      </c>
      <c r="D397" s="278">
        <f ca="1">SUM(D393:D396)</f>
        <v>4530000</v>
      </c>
      <c r="E397" s="278">
        <f ca="1">SUM(E393:E396)</f>
        <v>2484000</v>
      </c>
      <c r="F397" s="294">
        <f t="shared" ca="1" si="74"/>
        <v>0.54834437086092713</v>
      </c>
      <c r="G397" s="280">
        <f ca="1">SUM(G393:G396)</f>
        <v>372600</v>
      </c>
    </row>
    <row r="398" spans="1:9" ht="21" customHeight="1" x14ac:dyDescent="0.25">
      <c r="A398" s="798" t="s">
        <v>3470</v>
      </c>
      <c r="B398" s="228" t="s">
        <v>485</v>
      </c>
      <c r="C398" s="250">
        <f ca="1">SUMIFS(INDIRECT("Report!F100:F10000"),INDIRECT("Report!B100:B10000"),B398,INDIRECT("report!H100:H10000"),"Technotrans",INDIRECT("Report!L100:L10000"),"22,9")</f>
        <v>2420000</v>
      </c>
      <c r="D398" s="549">
        <f ca="1">(C398/11*10)</f>
        <v>2200000</v>
      </c>
      <c r="E398" s="250">
        <f ca="1">SUMIFS(INDIRECT("Report!J100:J10000"),INDIRECT("Report!B100:B10000"),B398,INDIRECT("report!H100:H10000"),"Technotrans",INDIRECT("Report!L100:L10000"),"22,9")</f>
        <v>1112000</v>
      </c>
      <c r="F398" s="314">
        <f t="shared" ca="1" si="74"/>
        <v>0.50545454545454549</v>
      </c>
      <c r="G398" s="274">
        <f ca="1">E398*15%</f>
        <v>166800</v>
      </c>
    </row>
    <row r="399" spans="1:9" ht="21" customHeight="1" x14ac:dyDescent="0.25">
      <c r="A399" s="1018"/>
      <c r="B399" s="228" t="s">
        <v>442</v>
      </c>
      <c r="C399" s="250">
        <f ca="1">SUMIFS(INDIRECT("Report!F100:F10000"),INDIRECT("Report!B100:B10000"),B399,INDIRECT("report!H100:H10000"),"Technotrans",INDIRECT("Report!L100:L10000"),"22,9")</f>
        <v>550000</v>
      </c>
      <c r="D399" s="549">
        <f ca="1">(C399/11*10)</f>
        <v>500000</v>
      </c>
      <c r="E399" s="250">
        <f ca="1">SUMIFS(INDIRECT("Report!J100:J10000"),INDIRECT("Report!B100:B10000"),B399,INDIRECT("report!H100:H10000"),"Technotrans",INDIRECT("Report!L100:L10000"),"22,9")</f>
        <v>260000</v>
      </c>
      <c r="F399" s="314">
        <f t="shared" ca="1" si="74"/>
        <v>0.52</v>
      </c>
      <c r="G399" s="274">
        <f ca="1">E399*15%</f>
        <v>39000</v>
      </c>
    </row>
    <row r="400" spans="1:9" ht="21" customHeight="1" x14ac:dyDescent="0.25">
      <c r="B400" s="279" t="s">
        <v>3492</v>
      </c>
      <c r="C400" s="278">
        <f ca="1">SUM(C398:C399)</f>
        <v>2970000</v>
      </c>
      <c r="D400" s="278">
        <f ca="1">SUM(D398:D399)</f>
        <v>2700000</v>
      </c>
      <c r="E400" s="278">
        <f ca="1">SUM(E398:E399)</f>
        <v>1372000</v>
      </c>
      <c r="F400" s="294">
        <f t="shared" ca="1" si="74"/>
        <v>0.50814814814814813</v>
      </c>
      <c r="G400" s="280">
        <f ca="1">SUM(G398:G399)</f>
        <v>205800</v>
      </c>
    </row>
    <row r="401" spans="1:7" ht="21" customHeight="1" x14ac:dyDescent="0.25">
      <c r="A401" s="798" t="s">
        <v>3494</v>
      </c>
      <c r="B401" s="228" t="s">
        <v>3502</v>
      </c>
      <c r="C401" s="250">
        <f ca="1">SUMIFS(INDIRECT("Report!F100:F10000"),INDIRECT("Report!B100:B10000"),B401,INDIRECT("report!H100:H10000"),"Technotrans",INDIRECT("Report!L100:L10000"),"22,10")</f>
        <v>550000</v>
      </c>
      <c r="D401" s="549">
        <f ca="1">(C401/11*10)</f>
        <v>500000</v>
      </c>
      <c r="E401" s="250">
        <f ca="1">SUMIFS(INDIRECT("Report!J100:J10000"),INDIRECT("Report!B100:B10000"),B401,INDIRECT("report!H100:H10000"),"Technotrans",INDIRECT("Report!L100:L10000"),"22,10")</f>
        <v>97500</v>
      </c>
      <c r="F401" s="314">
        <f t="shared" ca="1" si="74"/>
        <v>0.19500000000000001</v>
      </c>
      <c r="G401" s="274">
        <f ca="1">E401*15%</f>
        <v>14625</v>
      </c>
    </row>
    <row r="402" spans="1:7" ht="21" customHeight="1" x14ac:dyDescent="0.25">
      <c r="A402" s="1018"/>
      <c r="B402" s="228" t="s">
        <v>478</v>
      </c>
      <c r="C402" s="250">
        <f ca="1">SUMIFS(INDIRECT("Report!F100:F10000"),INDIRECT("Report!B100:B10000"),B402,INDIRECT("report!H100:H10000"),"Technotrans",INDIRECT("Report!L100:L10000"),"22,10")</f>
        <v>220000.00000000003</v>
      </c>
      <c r="D402" s="549">
        <f ca="1">(C402/11*10)</f>
        <v>200000.00000000003</v>
      </c>
      <c r="E402" s="250">
        <f ca="1">SUMIFS(INDIRECT("Report!J100:J10000"),INDIRECT("Report!B100:B10000"),B402,INDIRECT("report!H100:H10000"),"Technotrans",INDIRECT("Report!L100:L10000"),"22,10")</f>
        <v>104000</v>
      </c>
      <c r="F402" s="314">
        <f t="shared" ca="1" si="74"/>
        <v>0.51999999999999991</v>
      </c>
      <c r="G402" s="274">
        <f ca="1">E402*15%</f>
        <v>15600</v>
      </c>
    </row>
    <row r="403" spans="1:7" ht="21" customHeight="1" x14ac:dyDescent="0.25">
      <c r="A403" s="1018"/>
      <c r="B403" s="228" t="s">
        <v>675</v>
      </c>
      <c r="C403" s="250">
        <f ca="1">SUMIFS(INDIRECT("Report!F100:F10000"),INDIRECT("Report!B100:B10000"),B403,INDIRECT("report!H100:H10000"),"Technotrans",INDIRECT("Report!L100:L10000"),"22,10")</f>
        <v>1633500</v>
      </c>
      <c r="D403" s="549">
        <f ca="1">(C403/11*10)</f>
        <v>1485000</v>
      </c>
      <c r="E403" s="250">
        <f ca="1">SUMIFS(INDIRECT("Report!J100:J10000"),INDIRECT("Report!B100:B10000"),B403,INDIRECT("report!H100:H10000"),"Technotrans",INDIRECT("Report!L100:L10000"),"22,10")</f>
        <v>701000</v>
      </c>
      <c r="F403" s="314">
        <f t="shared" ca="1" si="74"/>
        <v>0.47205387205387206</v>
      </c>
      <c r="G403" s="274">
        <f ca="1">E403*15%</f>
        <v>105150</v>
      </c>
    </row>
    <row r="404" spans="1:7" ht="21" customHeight="1" x14ac:dyDescent="0.25">
      <c r="A404" s="1018"/>
      <c r="B404" s="228" t="s">
        <v>550</v>
      </c>
      <c r="C404" s="250">
        <f ca="1">SUMIFS(INDIRECT("Report!F100:F10000"),INDIRECT("Report!B100:B10000"),B404,INDIRECT("report!H100:H10000"),"Technotrans",INDIRECT("Report!L100:L10000"),"22,10")</f>
        <v>407000.00000000006</v>
      </c>
      <c r="D404" s="549">
        <f ca="1">(C404/11*10)</f>
        <v>370000.00000000006</v>
      </c>
      <c r="E404" s="250">
        <f ca="1">SUMIFS(INDIRECT("Report!J100:J10000"),INDIRECT("Report!B100:B10000"),B404,INDIRECT("report!H100:H10000"),"Technotrans",INDIRECT("Report!L100:L10000"),"22,10")</f>
        <v>317000</v>
      </c>
      <c r="F404" s="314">
        <f t="shared" ca="1" si="74"/>
        <v>0.85675675675675667</v>
      </c>
      <c r="G404" s="274">
        <f ca="1">E404*15%</f>
        <v>47550</v>
      </c>
    </row>
    <row r="405" spans="1:7" ht="21" customHeight="1" x14ac:dyDescent="0.25">
      <c r="B405" s="279" t="s">
        <v>3501</v>
      </c>
      <c r="C405" s="278">
        <f ca="1">SUM(C401:C404)</f>
        <v>2810500</v>
      </c>
      <c r="D405" s="278">
        <f ca="1">SUM(D401:D404)</f>
        <v>2555000</v>
      </c>
      <c r="E405" s="278">
        <f ca="1">SUM(E401:E404)</f>
        <v>1219500</v>
      </c>
      <c r="F405" s="294">
        <f t="shared" ca="1" si="74"/>
        <v>0.47729941291585126</v>
      </c>
      <c r="G405" s="280">
        <f ca="1">SUM(G401:G404)</f>
        <v>182925</v>
      </c>
    </row>
    <row r="406" spans="1:7" ht="21" customHeight="1" x14ac:dyDescent="0.25">
      <c r="A406" s="798" t="s">
        <v>3587</v>
      </c>
      <c r="B406" s="228" t="s">
        <v>3618</v>
      </c>
      <c r="C406" s="536">
        <f ca="1">SUMIFS(INDIRECT("Report!F100:F10000"),INDIRECT("Report!B100:B10000"),B406,INDIRECT("report!H100:H10000"),"Technotrans",INDIRECT("Report!L100:L10000"),"22,11")</f>
        <v>275000</v>
      </c>
      <c r="D406" s="549">
        <f ca="1">(C406/11*10)</f>
        <v>250000</v>
      </c>
      <c r="E406" s="536">
        <f ca="1">SUMIFS(INDIRECT("Report!J100:J10000"),INDIRECT("Report!B100:B10000"),B406,INDIRECT("report!H100:H10000"),"Technotrans",INDIRECT("Report!L100:L10000"),"22,11")</f>
        <v>130000</v>
      </c>
      <c r="F406" s="314">
        <f t="shared" ref="F406:F412" ca="1" si="75">E406/D406</f>
        <v>0.52</v>
      </c>
      <c r="G406" s="274">
        <f ca="1">E406*15%</f>
        <v>19500</v>
      </c>
    </row>
    <row r="407" spans="1:7" ht="21" customHeight="1" x14ac:dyDescent="0.25">
      <c r="A407" s="1018"/>
      <c r="B407" s="228" t="s">
        <v>2250</v>
      </c>
      <c r="C407" s="536">
        <f ca="1">SUMIFS(INDIRECT("Report!F100:F10000"),INDIRECT("Report!B100:B10000"),B407,INDIRECT("report!H100:H10000"),"Technotrans",INDIRECT("Report!L100:L10000"),"22,11")</f>
        <v>5995000.0000000009</v>
      </c>
      <c r="D407" s="549">
        <f ca="1">(C407/11*10)</f>
        <v>5450000.0000000009</v>
      </c>
      <c r="E407" s="536">
        <f ca="1">SUMIFS(INDIRECT("Report!J100:J10000"),INDIRECT("Report!B100:B10000"),B407,INDIRECT("report!H100:H10000"),"Technotrans",INDIRECT("Report!L100:L10000"),"22,11")</f>
        <v>1950000</v>
      </c>
      <c r="F407" s="314">
        <f t="shared" ca="1" si="75"/>
        <v>0.35779816513761464</v>
      </c>
      <c r="G407" s="274">
        <f ca="1">E407*15%</f>
        <v>292500</v>
      </c>
    </row>
    <row r="408" spans="1:7" ht="21" customHeight="1" x14ac:dyDescent="0.25">
      <c r="B408" s="279" t="s">
        <v>3588</v>
      </c>
      <c r="C408" s="278">
        <f ca="1">SUM(C406:C407)</f>
        <v>6270000.0000000009</v>
      </c>
      <c r="D408" s="278">
        <f ca="1">SUM(D406:D407)</f>
        <v>5700000.0000000009</v>
      </c>
      <c r="E408" s="278">
        <f ca="1">SUM(E406:E407)</f>
        <v>2080000</v>
      </c>
      <c r="F408" s="294">
        <f t="shared" ca="1" si="75"/>
        <v>0.3649122807017543</v>
      </c>
      <c r="G408" s="280">
        <f ca="1">SUM(G406:G407)</f>
        <v>312000</v>
      </c>
    </row>
    <row r="409" spans="1:7" ht="21" customHeight="1" x14ac:dyDescent="0.25">
      <c r="A409" s="798" t="s">
        <v>3622</v>
      </c>
      <c r="B409" s="228" t="s">
        <v>837</v>
      </c>
      <c r="C409" s="536">
        <f ca="1">SUMIFS(INDIRECT("Report!F100:F10000"),INDIRECT("Report!B100:B10000"),B409,INDIRECT("report!H100:H10000"),"Technotrans",INDIRECT("Report!L100:L10000"),"22,12")</f>
        <v>1760000.0000000002</v>
      </c>
      <c r="D409" s="549">
        <f ca="1">(C409/11*10)</f>
        <v>1600000.0000000002</v>
      </c>
      <c r="E409" s="536">
        <f ca="1">SUMIFS(INDIRECT("Report!J100:J10000"),INDIRECT("Report!B100:B10000"),B409,INDIRECT("report!H100:H10000"),"Technotrans",INDIRECT("Report!L100:L10000"),"22,12")</f>
        <v>512000</v>
      </c>
      <c r="F409" s="314">
        <f t="shared" ca="1" si="75"/>
        <v>0.31999999999999995</v>
      </c>
      <c r="G409" s="274">
        <f ca="1">E409*15%</f>
        <v>76800</v>
      </c>
    </row>
    <row r="410" spans="1:7" ht="21" customHeight="1" x14ac:dyDescent="0.25">
      <c r="A410" s="1018"/>
      <c r="B410" s="228" t="s">
        <v>442</v>
      </c>
      <c r="C410" s="536">
        <f ca="1">SUMIFS(INDIRECT("Report!F100:F10000"),INDIRECT("Report!B100:B10000"),B410,INDIRECT("report!H100:H10000"),"Technotrans",INDIRECT("Report!L100:L10000"),"22,12")</f>
        <v>550000</v>
      </c>
      <c r="D410" s="549">
        <f ca="1">(C410/11*10)</f>
        <v>500000</v>
      </c>
      <c r="E410" s="536">
        <f ca="1">SUMIFS(INDIRECT("Report!J100:J10000"),INDIRECT("Report!B100:B10000"),B410,INDIRECT("report!H100:H10000"),"Technotrans",INDIRECT("Report!L100:L10000"),"22,12")</f>
        <v>260000</v>
      </c>
      <c r="F410" s="314">
        <f t="shared" ca="1" si="75"/>
        <v>0.52</v>
      </c>
      <c r="G410" s="274">
        <f ca="1">E410*15%</f>
        <v>39000</v>
      </c>
    </row>
    <row r="411" spans="1:7" ht="21" customHeight="1" x14ac:dyDescent="0.25">
      <c r="A411" s="1018"/>
      <c r="B411" s="228" t="s">
        <v>2250</v>
      </c>
      <c r="C411" s="536">
        <f ca="1">SUMIFS(INDIRECT("Report!F100:F10000"),INDIRECT("Report!B100:B10000"),B411,INDIRECT("report!H100:H10000"),"Technotrans",INDIRECT("Report!L100:L10000"),"22,12")</f>
        <v>418000.00000000006</v>
      </c>
      <c r="D411" s="549">
        <f ca="1">(C411/11*10)</f>
        <v>380000.00000000006</v>
      </c>
      <c r="E411" s="536">
        <f ca="1">SUMIFS(INDIRECT("Report!J100:J10000"),INDIRECT("Report!B100:B10000"),B411,INDIRECT("report!H100:H10000"),"Technotrans",INDIRECT("Report!L100:L10000"),"22,12")</f>
        <v>140000</v>
      </c>
      <c r="F411" s="314">
        <f t="shared" ca="1" si="75"/>
        <v>0.36842105263157887</v>
      </c>
      <c r="G411" s="274">
        <f ca="1">E411*15%</f>
        <v>21000</v>
      </c>
    </row>
    <row r="412" spans="1:7" ht="21" customHeight="1" x14ac:dyDescent="0.25">
      <c r="B412" s="279" t="s">
        <v>3623</v>
      </c>
      <c r="C412" s="278">
        <f ca="1">SUM(C409:C411)</f>
        <v>2728000</v>
      </c>
      <c r="D412" s="278">
        <f ca="1">SUM(D409:D411)</f>
        <v>2480000</v>
      </c>
      <c r="E412" s="278">
        <f ca="1">SUM(E409:E411)</f>
        <v>912000</v>
      </c>
      <c r="F412" s="294">
        <f t="shared" ca="1" si="75"/>
        <v>0.36774193548387096</v>
      </c>
      <c r="G412" s="280">
        <f ca="1">SUM(G409:G411)</f>
        <v>136800</v>
      </c>
    </row>
    <row r="413" spans="1:7" ht="21" customHeight="1" x14ac:dyDescent="0.25">
      <c r="A413" s="798" t="s">
        <v>3633</v>
      </c>
      <c r="B413" s="228" t="s">
        <v>675</v>
      </c>
      <c r="C413" s="536">
        <f ca="1">SUMIFS(INDIRECT("Report!F100:F10000"),INDIRECT("Report!B100:B10000"),B413,INDIRECT("report!H100:H10000"),"Technotrans",INDIRECT("Report!L100:L10000"),"23,1")</f>
        <v>550000</v>
      </c>
      <c r="D413" s="549">
        <f ca="1">(C413/11*10)</f>
        <v>500000</v>
      </c>
      <c r="E413" s="536">
        <f ca="1">SUMIFS(INDIRECT("Report!J100:J10000"),INDIRECT("Report!B100:B10000"),B413,INDIRECT("report!H100:H10000"),"Technotrans",INDIRECT("Report!L100:L10000"),"23,1")</f>
        <v>260000</v>
      </c>
      <c r="F413" s="314">
        <f t="shared" ref="F413:F432" ca="1" si="76">E413/D413</f>
        <v>0.52</v>
      </c>
      <c r="G413" s="274">
        <f ca="1">E413*15%</f>
        <v>39000</v>
      </c>
    </row>
    <row r="414" spans="1:7" ht="21" customHeight="1" x14ac:dyDescent="0.25">
      <c r="A414" s="1018"/>
      <c r="B414" s="228" t="s">
        <v>2250</v>
      </c>
      <c r="C414" s="536">
        <f ca="1">SUMIFS(INDIRECT("Report!F100:F10000"),INDIRECT("Report!B100:B10000"),B414,INDIRECT("report!H100:H10000"),"Technotrans",INDIRECT("Report!L100:L10000"),"23,1")</f>
        <v>2607000</v>
      </c>
      <c r="D414" s="549">
        <f ca="1">(C414/11*10)</f>
        <v>2370000</v>
      </c>
      <c r="E414" s="536">
        <f ca="1">SUMIFS(INDIRECT("Report!J100:J10000"),INDIRECT("Report!B100:B10000"),B414,INDIRECT("report!H100:H10000"),"Technotrans",INDIRECT("Report!L100:L10000"),"23,1")</f>
        <v>747819</v>
      </c>
      <c r="F414" s="314">
        <f t="shared" ca="1" si="76"/>
        <v>0.31553544303797471</v>
      </c>
      <c r="G414" s="274">
        <f ca="1">E414*15%</f>
        <v>112172.84999999999</v>
      </c>
    </row>
    <row r="415" spans="1:7" ht="21" customHeight="1" x14ac:dyDescent="0.25">
      <c r="B415" s="279" t="s">
        <v>3634</v>
      </c>
      <c r="C415" s="278">
        <f ca="1">SUM(C413:C414)</f>
        <v>3157000</v>
      </c>
      <c r="D415" s="278">
        <f ca="1">SUM(D413:D414)</f>
        <v>2870000</v>
      </c>
      <c r="E415" s="278">
        <f ca="1">SUM(E413:E414)</f>
        <v>1007819</v>
      </c>
      <c r="F415" s="294">
        <f t="shared" ca="1" si="76"/>
        <v>0.35115644599303136</v>
      </c>
      <c r="G415" s="280">
        <f ca="1">SUM(G413:G414)</f>
        <v>151172.84999999998</v>
      </c>
    </row>
    <row r="416" spans="1:7" ht="21" customHeight="1" x14ac:dyDescent="0.25">
      <c r="A416" s="798" t="s">
        <v>3677</v>
      </c>
      <c r="B416" s="228" t="s">
        <v>411</v>
      </c>
      <c r="C416" s="536">
        <f ca="1">SUMIFS(INDIRECT("Report!F100:F10000"),INDIRECT("Report!B100:B10000"),B416,INDIRECT("report!H100:H10000"),"Technotrans",INDIRECT("Report!L100:L10000"),"23,2")</f>
        <v>2183500</v>
      </c>
      <c r="D416" s="549">
        <f ca="1">(C416/11*10)</f>
        <v>1985000</v>
      </c>
      <c r="E416" s="536">
        <f ca="1">SUMIFS(INDIRECT("Report!J100:J10000"),INDIRECT("Report!B100:B10000"),B416,INDIRECT("report!H100:H10000"),"Technotrans",INDIRECT("Report!L100:L10000"),"23,2")</f>
        <v>1122800</v>
      </c>
      <c r="F416" s="314">
        <f t="shared" ca="1" si="76"/>
        <v>0.56564231738035264</v>
      </c>
      <c r="G416" s="274">
        <f ca="1">E416*15%</f>
        <v>168420</v>
      </c>
    </row>
    <row r="417" spans="1:7" ht="21" customHeight="1" x14ac:dyDescent="0.25">
      <c r="B417" s="279" t="s">
        <v>3679</v>
      </c>
      <c r="C417" s="278">
        <f ca="1">SUM(C416:C416)</f>
        <v>2183500</v>
      </c>
      <c r="D417" s="278">
        <f ca="1">SUM(D416:D416)</f>
        <v>1985000</v>
      </c>
      <c r="E417" s="278">
        <f ca="1">SUM(E416:E416)</f>
        <v>1122800</v>
      </c>
      <c r="F417" s="294">
        <f t="shared" ca="1" si="76"/>
        <v>0.56564231738035264</v>
      </c>
      <c r="G417" s="280">
        <f ca="1">SUM(G416:G416)</f>
        <v>168420</v>
      </c>
    </row>
    <row r="418" spans="1:7" ht="21" customHeight="1" x14ac:dyDescent="0.25">
      <c r="A418" s="798" t="s">
        <v>3698</v>
      </c>
      <c r="B418" s="228" t="s">
        <v>2250</v>
      </c>
      <c r="C418" s="536">
        <f ca="1">SUMIFS(INDIRECT("Report!F100:F10000"),INDIRECT("Report!B100:B10000"),B418,INDIRECT("report!H100:H10000"),"Technotrans",INDIRECT("Report!L100:L10000"),"23,3")</f>
        <v>418000.00000000006</v>
      </c>
      <c r="D418" s="549">
        <f ca="1">(C418/11*10)</f>
        <v>380000.00000000006</v>
      </c>
      <c r="E418" s="536">
        <f ca="1">SUMIFS(INDIRECT("Report!J100:J10000"),INDIRECT("Report!B100:B10000"),B418,INDIRECT("report!H100:H10000"),"Technotrans",INDIRECT("Report!L100:L10000"),"23,3")</f>
        <v>140000</v>
      </c>
      <c r="F418" s="314">
        <f t="shared" ca="1" si="76"/>
        <v>0.36842105263157887</v>
      </c>
      <c r="G418" s="274">
        <f ca="1">E418*15%</f>
        <v>21000</v>
      </c>
    </row>
    <row r="419" spans="1:7" ht="21" customHeight="1" x14ac:dyDescent="0.25">
      <c r="B419" s="228" t="s">
        <v>2997</v>
      </c>
      <c r="C419" s="536">
        <f ca="1">SUMIFS(INDIRECT("Report!F100:F10000"),INDIRECT("Report!B100:B10000"),B419,INDIRECT("report!H100:H10000"),"Technotrans",INDIRECT("Report!L100:L10000"),"23,3")</f>
        <v>3135000.0000000005</v>
      </c>
      <c r="D419" s="549">
        <f ca="1">(C419/11*10)</f>
        <v>2850000.0000000005</v>
      </c>
      <c r="E419" s="536">
        <f ca="1">SUMIFS(INDIRECT("Report!J100:J10000"),INDIRECT("Report!B100:B10000"),B419,INDIRECT("report!H100:H10000"),"Technotrans",INDIRECT("Report!L100:L10000"),"23,3")</f>
        <v>1218000</v>
      </c>
      <c r="F419" s="314">
        <f t="shared" ca="1" si="76"/>
        <v>0.42736842105263151</v>
      </c>
      <c r="G419" s="274">
        <f ca="1">E419*15%</f>
        <v>182700</v>
      </c>
    </row>
    <row r="420" spans="1:7" ht="21" customHeight="1" x14ac:dyDescent="0.25">
      <c r="A420" s="228"/>
      <c r="B420" s="228" t="s">
        <v>550</v>
      </c>
      <c r="C420" s="536">
        <f ca="1">SUMIFS(INDIRECT("Report!F100:F10000"),INDIRECT("Report!B100:B10000"),B420,INDIRECT("report!H100:H10000"),"Technotrans",INDIRECT("Report!L100:L10000"),"23,3")</f>
        <v>1342000.0000000002</v>
      </c>
      <c r="D420" s="549">
        <f ca="1">(C420/11*10)</f>
        <v>1220000.0000000002</v>
      </c>
      <c r="E420" s="536">
        <f ca="1">SUMIFS(INDIRECT("Report!J100:J10000"),INDIRECT("Report!B100:B10000"),B420,INDIRECT("report!H100:H10000"),"Technotrans",INDIRECT("Report!L100:L10000"),"23,3")</f>
        <v>436000</v>
      </c>
      <c r="F420" s="314">
        <f t="shared" ca="1" si="76"/>
        <v>0.35737704918032781</v>
      </c>
      <c r="G420" s="274">
        <f ca="1">E420*15%</f>
        <v>65400</v>
      </c>
    </row>
    <row r="421" spans="1:7" ht="21" customHeight="1" x14ac:dyDescent="0.25">
      <c r="B421" s="279" t="s">
        <v>3700</v>
      </c>
      <c r="C421" s="278">
        <f ca="1">SUM(C418:C420)</f>
        <v>4895000.0000000009</v>
      </c>
      <c r="D421" s="278">
        <f ca="1">SUM(D418:D420)</f>
        <v>4450000.0000000009</v>
      </c>
      <c r="E421" s="278">
        <f ca="1">SUM(E418:E420)</f>
        <v>1794000</v>
      </c>
      <c r="F421" s="294">
        <f t="shared" ca="1" si="76"/>
        <v>0.40314606741573028</v>
      </c>
      <c r="G421" s="280">
        <f ca="1">SUM(G418:G420)</f>
        <v>269100</v>
      </c>
    </row>
    <row r="422" spans="1:7" ht="21" customHeight="1" x14ac:dyDescent="0.25">
      <c r="A422" s="798" t="s">
        <v>3746</v>
      </c>
      <c r="B422" s="228" t="s">
        <v>675</v>
      </c>
      <c r="C422" s="536">
        <f ca="1">SUMIFS(INDIRECT("Report!F100:F10000"),INDIRECT("Report!B100:B10000"),B422,INDIRECT("report!H100:H10000"),"Technotrans",INDIRECT("Report!L100:L10000"),"23,5")</f>
        <v>550000</v>
      </c>
      <c r="D422" s="549">
        <f ca="1">(C422/11*10)</f>
        <v>500000</v>
      </c>
      <c r="E422" s="536">
        <f ca="1">SUMIFS(INDIRECT("Report!J100:J10000"),INDIRECT("Report!B100:B10000"),B422,INDIRECT("report!H100:H10000"),"Technotrans",INDIRECT("Report!L100:L10000"),"23,5")</f>
        <v>260000</v>
      </c>
      <c r="F422" s="314">
        <f t="shared" ca="1" si="76"/>
        <v>0.52</v>
      </c>
      <c r="G422" s="274">
        <f ca="1">E422*15%</f>
        <v>39000</v>
      </c>
    </row>
    <row r="423" spans="1:7" ht="21" customHeight="1" x14ac:dyDescent="0.25">
      <c r="B423" s="279" t="s">
        <v>3747</v>
      </c>
      <c r="C423" s="278">
        <f ca="1">SUM(C422:C422)</f>
        <v>550000</v>
      </c>
      <c r="D423" s="278">
        <f ca="1">SUM(D422:D422)</f>
        <v>500000</v>
      </c>
      <c r="E423" s="278">
        <f ca="1">SUM(E422:E422)</f>
        <v>260000</v>
      </c>
      <c r="F423" s="294">
        <f t="shared" ca="1" si="76"/>
        <v>0.52</v>
      </c>
      <c r="G423" s="280">
        <f ca="1">SUM(G422:G422)</f>
        <v>39000</v>
      </c>
    </row>
    <row r="424" spans="1:7" ht="21" customHeight="1" x14ac:dyDescent="0.25">
      <c r="A424" s="798" t="s">
        <v>3776</v>
      </c>
      <c r="B424" s="228" t="s">
        <v>2997</v>
      </c>
      <c r="C424" s="536">
        <f ca="1">SUMIFS(INDIRECT("Report!F100:F10000"),INDIRECT("Report!B100:B10000"),B424,INDIRECT("report!H100:H10000"),"Technotrans",INDIRECT("Report!L100:L10000"),"23,6")</f>
        <v>3135000.0000000005</v>
      </c>
      <c r="D424" s="549">
        <f ca="1">(C424/11*10)</f>
        <v>2850000.0000000005</v>
      </c>
      <c r="E424" s="536">
        <f ca="1">SUMIFS(INDIRECT("Report!J100:J10000"),INDIRECT("Report!B100:B10000"),B424,INDIRECT("report!H100:H10000"),"Technotrans",INDIRECT("Report!L100:L10000"),"23,6")</f>
        <v>2071230</v>
      </c>
      <c r="F424" s="314">
        <f t="shared" ca="1" si="76"/>
        <v>0.72674736842105248</v>
      </c>
      <c r="G424" s="274">
        <f ca="1">E424*15%</f>
        <v>310684.5</v>
      </c>
    </row>
    <row r="425" spans="1:7" ht="21" customHeight="1" x14ac:dyDescent="0.25">
      <c r="A425" s="1018"/>
      <c r="B425" s="228" t="s">
        <v>762</v>
      </c>
      <c r="C425" s="536">
        <f ca="1">SUMIFS(INDIRECT("Report!F100:F10000"),INDIRECT("Report!B100:B10000"),B425,INDIRECT("report!H100:H10000"),"Technotrans",INDIRECT("Report!L100:L10000"),"23,6")</f>
        <v>418000.00000000006</v>
      </c>
      <c r="D425" s="549">
        <f ca="1">(C425/11*10)</f>
        <v>380000.00000000006</v>
      </c>
      <c r="E425" s="536">
        <f ca="1">SUMIFS(INDIRECT("Report!J100:J10000"),INDIRECT("Report!B100:B10000"),B425,INDIRECT("report!H100:H10000"),"Technotrans",INDIRECT("Report!L100:L10000"),"23,6")</f>
        <v>139300</v>
      </c>
      <c r="F425" s="314">
        <f t="shared" ca="1" si="76"/>
        <v>0.366578947368421</v>
      </c>
      <c r="G425" s="274">
        <f ca="1">E425*15%</f>
        <v>20895</v>
      </c>
    </row>
    <row r="426" spans="1:7" ht="21" customHeight="1" x14ac:dyDescent="0.25">
      <c r="B426" s="279" t="s">
        <v>3789</v>
      </c>
      <c r="C426" s="278">
        <f ca="1">SUM(C424:C425)</f>
        <v>3553000.0000000005</v>
      </c>
      <c r="D426" s="278">
        <f ca="1">SUM(D424:D425)</f>
        <v>3230000.0000000005</v>
      </c>
      <c r="E426" s="278">
        <f ca="1">SUM(E424:E425)</f>
        <v>2210530</v>
      </c>
      <c r="F426" s="294">
        <f t="shared" ca="1" si="76"/>
        <v>0.68437461300309588</v>
      </c>
      <c r="G426" s="280">
        <f ca="1">SUM(G424:G425)</f>
        <v>331579.5</v>
      </c>
    </row>
    <row r="427" spans="1:7" ht="21" customHeight="1" x14ac:dyDescent="0.25">
      <c r="A427" s="798" t="s">
        <v>3809</v>
      </c>
      <c r="B427" s="228" t="s">
        <v>550</v>
      </c>
      <c r="C427" s="536">
        <f ca="1">SUMIFS(INDIRECT("Report!F100:F10000"),INDIRECT("Report!B100:B10000"),B427,INDIRECT("report!H100:H10000"),"Technotrans",INDIRECT("Report!L100:L10000"),"23,7")</f>
        <v>1342000.0000000002</v>
      </c>
      <c r="D427" s="549">
        <f ca="1">(C427/11*10)</f>
        <v>1220000.0000000002</v>
      </c>
      <c r="E427" s="536">
        <f ca="1">SUMIFS(INDIRECT("Report!J100:J10000"),INDIRECT("Report!B100:B10000"),B427,INDIRECT("report!H100:H10000"),"Technotrans",INDIRECT("Report!L100:L10000"),"23,7")</f>
        <v>719710</v>
      </c>
      <c r="F427" s="314">
        <f t="shared" ca="1" si="76"/>
        <v>0.58992622950819662</v>
      </c>
      <c r="G427" s="274">
        <f ca="1">E427*15%</f>
        <v>107956.5</v>
      </c>
    </row>
    <row r="428" spans="1:7" ht="21" customHeight="1" x14ac:dyDescent="0.25">
      <c r="A428" s="1018"/>
      <c r="B428" s="228" t="s">
        <v>3823</v>
      </c>
      <c r="C428" s="536">
        <f ca="1">SUMIFS(INDIRECT("Report!F100:F10000"),INDIRECT("Report!B100:B10000"),B428,INDIRECT("report!H100:H10000"),"Technotrans",INDIRECT("Report!L100:L10000"),"23,7")</f>
        <v>880000.00000000012</v>
      </c>
      <c r="D428" s="549">
        <f ca="1">(C428/11*10)</f>
        <v>800000.00000000012</v>
      </c>
      <c r="E428" s="536">
        <f ca="1">SUMIFS(INDIRECT("Report!J100:J10000"),INDIRECT("Report!B100:B10000"),B428,INDIRECT("report!H100:H10000"),"Technotrans",INDIRECT("Report!L100:L10000"),"23,7")</f>
        <v>540410</v>
      </c>
      <c r="F428" s="314">
        <f t="shared" ca="1" si="76"/>
        <v>0.67551249999999985</v>
      </c>
      <c r="G428" s="274">
        <f ca="1">E428*15%</f>
        <v>81061.5</v>
      </c>
    </row>
    <row r="429" spans="1:7" ht="21" customHeight="1" x14ac:dyDescent="0.25">
      <c r="B429" s="279" t="s">
        <v>3811</v>
      </c>
      <c r="C429" s="278">
        <f ca="1">SUM(C427:C428)</f>
        <v>2222000.0000000005</v>
      </c>
      <c r="D429" s="278">
        <f ca="1">SUM(D427:D428)</f>
        <v>2020000.0000000005</v>
      </c>
      <c r="E429" s="278">
        <f ca="1">SUM(E427:E428)</f>
        <v>1260120</v>
      </c>
      <c r="F429" s="294">
        <f t="shared" ca="1" si="76"/>
        <v>0.62382178217821771</v>
      </c>
      <c r="G429" s="280">
        <f ca="1">SUM(G427:G428)</f>
        <v>189018</v>
      </c>
    </row>
    <row r="430" spans="1:7" ht="21" customHeight="1" x14ac:dyDescent="0.25">
      <c r="A430" s="798" t="s">
        <v>3828</v>
      </c>
      <c r="B430" s="228" t="s">
        <v>1163</v>
      </c>
      <c r="C430" s="536">
        <f ca="1">SUMIFS(INDIRECT("Report!F100:F10000"),INDIRECT("Report!B100:B10000"),B430,INDIRECT("report!H100:H10000"),"Technotrans",INDIRECT("Report!L100:L10000"),"23,8")</f>
        <v>275000</v>
      </c>
      <c r="D430" s="549">
        <f ca="1">(C430/11*10)</f>
        <v>250000</v>
      </c>
      <c r="E430" s="536">
        <f ca="1">SUMIFS(INDIRECT("Report!J100:J10000"),INDIRECT("Report!B100:B10000"),B430,INDIRECT("report!H100:H10000"),"Technotrans",INDIRECT("Report!L100:L10000"),"23,8")</f>
        <v>130000</v>
      </c>
      <c r="F430" s="314">
        <f t="shared" ca="1" si="76"/>
        <v>0.52</v>
      </c>
      <c r="G430" s="274">
        <f ca="1">E430*15%</f>
        <v>19500</v>
      </c>
    </row>
    <row r="431" spans="1:7" ht="21" customHeight="1" x14ac:dyDescent="0.25">
      <c r="A431" s="1018"/>
      <c r="B431" s="228" t="s">
        <v>442</v>
      </c>
      <c r="C431" s="536">
        <f ca="1">SUMIFS(INDIRECT("Report!F100:F10000"),INDIRECT("Report!B100:B10000"),B431,INDIRECT("report!H100:H10000"),"Technotrans",INDIRECT("Report!L100:L10000"),"23,8")</f>
        <v>550000</v>
      </c>
      <c r="D431" s="549">
        <f ca="1">(C431/11*10)</f>
        <v>500000</v>
      </c>
      <c r="E431" s="536">
        <f ca="1">SUMIFS(INDIRECT("Report!J100:J10000"),INDIRECT("Report!B100:B10000"),B431,INDIRECT("report!H100:H10000"),"Technotrans",INDIRECT("Report!L100:L10000"),"23,8")</f>
        <v>260000</v>
      </c>
      <c r="F431" s="314">
        <f t="shared" ca="1" si="76"/>
        <v>0.52</v>
      </c>
      <c r="G431" s="274">
        <f ca="1">E431*15%</f>
        <v>39000</v>
      </c>
    </row>
    <row r="432" spans="1:7" ht="21" customHeight="1" x14ac:dyDescent="0.25">
      <c r="B432" s="279" t="s">
        <v>3829</v>
      </c>
      <c r="C432" s="278">
        <f ca="1">SUM(C430:C431)</f>
        <v>825000</v>
      </c>
      <c r="D432" s="278">
        <f ca="1">SUM(D430:D431)</f>
        <v>750000</v>
      </c>
      <c r="E432" s="278">
        <f ca="1">SUM(E430:E431)</f>
        <v>390000</v>
      </c>
      <c r="F432" s="294">
        <f t="shared" ca="1" si="76"/>
        <v>0.52</v>
      </c>
      <c r="G432" s="280">
        <f ca="1">SUM(G430:G431)</f>
        <v>58500</v>
      </c>
    </row>
    <row r="433" spans="1:7" ht="21" customHeight="1" x14ac:dyDescent="0.25">
      <c r="A433" s="798" t="s">
        <v>3855</v>
      </c>
      <c r="B433" s="228" t="s">
        <v>601</v>
      </c>
      <c r="C433" s="536">
        <f ca="1">SUMIFS(INDIRECT("Report!F100:F10000"),INDIRECT("Report!B100:B10000"),B433,INDIRECT("report!H100:H10000"),"Technotrans",INDIRECT("Report!L100:L10000"),"23,9")</f>
        <v>924000.00000000012</v>
      </c>
      <c r="D433" s="549">
        <f ca="1">(C433/11*10)</f>
        <v>840000.00000000012</v>
      </c>
      <c r="E433" s="536">
        <f ca="1">SUMIFS(INDIRECT("Report!J100:J10000"),INDIRECT("Report!B100:B10000"),B433,INDIRECT("report!H100:H10000"),"Technotrans",INDIRECT("Report!L100:L10000"),"23,9")</f>
        <v>360000</v>
      </c>
      <c r="F433" s="314">
        <f t="shared" ref="F433:F437" ca="1" si="77">E433/D433</f>
        <v>0.42857142857142849</v>
      </c>
      <c r="G433" s="274">
        <f ca="1">E433*15%</f>
        <v>54000</v>
      </c>
    </row>
    <row r="434" spans="1:7" ht="21" customHeight="1" x14ac:dyDescent="0.25">
      <c r="B434" s="279" t="s">
        <v>3857</v>
      </c>
      <c r="C434" s="278">
        <f ca="1">SUM(C433:C433)</f>
        <v>924000.00000000012</v>
      </c>
      <c r="D434" s="278">
        <f ca="1">SUM(D433:D433)</f>
        <v>840000.00000000012</v>
      </c>
      <c r="E434" s="278">
        <f ca="1">SUM(E433:E433)</f>
        <v>360000</v>
      </c>
      <c r="F434" s="294">
        <f t="shared" ca="1" si="77"/>
        <v>0.42857142857142849</v>
      </c>
      <c r="G434" s="280">
        <f ca="1">SUM(G433:G433)</f>
        <v>54000</v>
      </c>
    </row>
    <row r="435" spans="1:7" ht="21" customHeight="1" x14ac:dyDescent="0.25">
      <c r="A435" s="798" t="s">
        <v>3926</v>
      </c>
      <c r="B435" s="228" t="s">
        <v>675</v>
      </c>
      <c r="C435" s="536">
        <f ca="1">SUMIFS(INDIRECT("Report!F100:F10000"),INDIRECT("Report!B100:B10000"),B435,INDIRECT("report!H100:H10000"),"Technotrans",INDIRECT("Report!L100:L10000"),"23,11")</f>
        <v>1083500</v>
      </c>
      <c r="D435" s="549">
        <f ca="1">(C435/11*10)</f>
        <v>985000</v>
      </c>
      <c r="E435" s="536">
        <f ca="1">SUMIFS(INDIRECT("Report!J100:J10000"),INDIRECT("Report!B100:B10000"),B435,INDIRECT("report!H100:H10000"),"Technotrans",INDIRECT("Report!L100:L10000"),"23,11")</f>
        <v>725410</v>
      </c>
      <c r="F435" s="314">
        <f t="shared" ca="1" si="77"/>
        <v>0.73645685279187822</v>
      </c>
      <c r="G435" s="274">
        <f ca="1">E435*15%</f>
        <v>108811.5</v>
      </c>
    </row>
    <row r="436" spans="1:7" ht="21" customHeight="1" x14ac:dyDescent="0.25">
      <c r="A436" s="1018"/>
      <c r="B436" s="228" t="s">
        <v>762</v>
      </c>
      <c r="C436" s="536">
        <f ca="1">SUMIFS(INDIRECT("Report!F100:F10000"),INDIRECT("Report!B100:B10000"),B436,INDIRECT("report!H100:H10000"),"Technotrans",INDIRECT("Report!L100:L10000"),"23,11")</f>
        <v>418000.00000000006</v>
      </c>
      <c r="D436" s="549">
        <f ca="1">(C436/11*10)</f>
        <v>380000.00000000006</v>
      </c>
      <c r="E436" s="536">
        <f ca="1">SUMIFS(INDIRECT("Report!J100:J10000"),INDIRECT("Report!B100:B10000"),B436,INDIRECT("report!H100:H10000"),"Technotrans",INDIRECT("Report!L100:L10000"),"23,11")</f>
        <v>160000</v>
      </c>
      <c r="F436" s="314">
        <f t="shared" ca="1" si="77"/>
        <v>0.42105263157894729</v>
      </c>
      <c r="G436" s="274">
        <f ca="1">E436*15%</f>
        <v>24000</v>
      </c>
    </row>
    <row r="437" spans="1:7" ht="21" customHeight="1" x14ac:dyDescent="0.25">
      <c r="B437" s="279" t="s">
        <v>3928</v>
      </c>
      <c r="C437" s="278">
        <f ca="1">SUM(C435:C436)</f>
        <v>1501500</v>
      </c>
      <c r="D437" s="278">
        <f ca="1">SUM(D435:D436)</f>
        <v>1365000</v>
      </c>
      <c r="E437" s="278">
        <f ca="1">SUM(E435:E436)</f>
        <v>885410</v>
      </c>
      <c r="F437" s="294">
        <f t="shared" ca="1" si="77"/>
        <v>0.64865201465201461</v>
      </c>
      <c r="G437" s="280">
        <f ca="1">SUM(G435:G436)</f>
        <v>132811.5</v>
      </c>
    </row>
    <row r="438" spans="1:7" ht="21" customHeight="1" x14ac:dyDescent="0.25">
      <c r="A438" s="798" t="s">
        <v>3970</v>
      </c>
      <c r="B438" s="228" t="s">
        <v>675</v>
      </c>
      <c r="C438" s="536">
        <f ca="1">SUMIFS(INDIRECT("Report!F100:F10000"),INDIRECT("Report!B100:B10000"),B438,INDIRECT("report!H100:H10000"),"Technotrans",INDIRECT("Report!L100:L10000"),"23,12")</f>
        <v>550000</v>
      </c>
      <c r="D438" s="549">
        <f ca="1">(C438/11*10)</f>
        <v>500000</v>
      </c>
      <c r="E438" s="536">
        <f ca="1">SUMIFS(INDIRECT("Report!J100:J10000"),INDIRECT("Report!B100:B10000"),B438,INDIRECT("report!H100:H10000"),"Technotrans",INDIRECT("Report!L100:L10000"),"23,12")</f>
        <v>260000</v>
      </c>
      <c r="F438" s="314">
        <f t="shared" ref="F438:F440" ca="1" si="78">E438/D438</f>
        <v>0.52</v>
      </c>
      <c r="G438" s="274">
        <f ca="1">E438*15%</f>
        <v>39000</v>
      </c>
    </row>
    <row r="439" spans="1:7" ht="21" customHeight="1" x14ac:dyDescent="0.25">
      <c r="A439" s="1018"/>
      <c r="B439" s="228" t="s">
        <v>442</v>
      </c>
      <c r="C439" s="536">
        <f ca="1">SUMIFS(INDIRECT("Report!F100:F10000"),INDIRECT("Report!B100:B10000"),B439,INDIRECT("report!H100:H10000"),"Technotrans",INDIRECT("Report!L100:L10000"),"23,12")</f>
        <v>1100000</v>
      </c>
      <c r="D439" s="549">
        <f ca="1">(C439/11*10)</f>
        <v>1000000</v>
      </c>
      <c r="E439" s="536">
        <f ca="1">SUMIFS(INDIRECT("Report!J100:J10000"),INDIRECT("Report!B100:B10000"),B439,INDIRECT("report!H100:H10000"),"Technotrans",INDIRECT("Report!L100:L10000"),"23,12")</f>
        <v>520000</v>
      </c>
      <c r="F439" s="314">
        <f t="shared" ca="1" si="78"/>
        <v>0.52</v>
      </c>
      <c r="G439" s="274">
        <f ca="1">E439*15%</f>
        <v>78000</v>
      </c>
    </row>
    <row r="440" spans="1:7" ht="21" customHeight="1" x14ac:dyDescent="0.25">
      <c r="B440" s="279" t="s">
        <v>3968</v>
      </c>
      <c r="C440" s="278">
        <f ca="1">SUM(C438:C439)</f>
        <v>1650000</v>
      </c>
      <c r="D440" s="278">
        <f ca="1">SUM(D438:D439)</f>
        <v>1500000</v>
      </c>
      <c r="E440" s="278">
        <f ca="1">SUM(E438:E439)</f>
        <v>780000</v>
      </c>
      <c r="F440" s="294">
        <f t="shared" ca="1" si="78"/>
        <v>0.52</v>
      </c>
      <c r="G440" s="280">
        <f ca="1">SUM(G438:G439)</f>
        <v>117000</v>
      </c>
    </row>
    <row r="441" spans="1:7" ht="21" customHeight="1" x14ac:dyDescent="0.25">
      <c r="A441" s="798" t="s">
        <v>3998</v>
      </c>
      <c r="B441" s="228" t="s">
        <v>762</v>
      </c>
      <c r="C441" s="536">
        <f ca="1">SUMIFS(INDIRECT("Report!F100:F10000"),INDIRECT("Report!B100:B10000"),B441,INDIRECT("report!H100:H10000"),"Technotrans",INDIRECT("Report!L100:L10000"),"24,1")</f>
        <v>418000.00000000006</v>
      </c>
      <c r="D441" s="549">
        <f ca="1">(C441/11*10)</f>
        <v>380000.00000000006</v>
      </c>
      <c r="E441" s="536">
        <f ca="1">SUMIFS(INDIRECT("Report!J100:J10000"),INDIRECT("Report!B100:B10000"),B441,INDIRECT("report!H100:H10000"),"Technotrans",INDIRECT("Report!L100:L10000"),"24,1")</f>
        <v>160000</v>
      </c>
      <c r="F441" s="314">
        <f t="shared" ref="F441:F443" ca="1" si="79">E441/D441</f>
        <v>0.42105263157894729</v>
      </c>
      <c r="G441" s="274">
        <f ca="1">E441*15%</f>
        <v>24000</v>
      </c>
    </row>
    <row r="442" spans="1:7" ht="21" customHeight="1" x14ac:dyDescent="0.25">
      <c r="A442" s="1018"/>
      <c r="B442" s="228" t="s">
        <v>2295</v>
      </c>
      <c r="C442" s="536">
        <f ca="1">SUMIFS(INDIRECT("Report!F100:F10000"),INDIRECT("Report!B100:B10000"),B442,INDIRECT("report!H100:H10000"),"Technotrans",INDIRECT("Report!L100:L10000"),"24,1")</f>
        <v>110000.00000000001</v>
      </c>
      <c r="D442" s="549">
        <f ca="1">(C442/11*10)</f>
        <v>100000.00000000001</v>
      </c>
      <c r="E442" s="536">
        <f ca="1">SUMIFS(INDIRECT("Report!J100:J10000"),INDIRECT("Report!B100:B10000"),B442,INDIRECT("report!H100:H10000"),"Technotrans",INDIRECT("Report!L100:L10000"),"24,1")</f>
        <v>56000</v>
      </c>
      <c r="F442" s="314">
        <f t="shared" ca="1" si="79"/>
        <v>0.55999999999999994</v>
      </c>
      <c r="G442" s="274">
        <f ca="1">E442*15%</f>
        <v>8400</v>
      </c>
    </row>
    <row r="443" spans="1:7" ht="21" customHeight="1" x14ac:dyDescent="0.25">
      <c r="B443" s="279" t="s">
        <v>4000</v>
      </c>
      <c r="C443" s="278">
        <f ca="1">SUM(C441:C442)</f>
        <v>528000.00000000012</v>
      </c>
      <c r="D443" s="278">
        <f ca="1">SUM(D441:D442)</f>
        <v>480000.00000000006</v>
      </c>
      <c r="E443" s="278">
        <f ca="1">SUM(E441:E442)</f>
        <v>216000</v>
      </c>
      <c r="F443" s="294">
        <f t="shared" ca="1" si="79"/>
        <v>0.44999999999999996</v>
      </c>
      <c r="G443" s="280">
        <f ca="1">SUM(G441:G442)</f>
        <v>32400</v>
      </c>
    </row>
    <row r="444" spans="1:7" ht="21" customHeight="1" x14ac:dyDescent="0.25">
      <c r="A444" s="798" t="s">
        <v>4053</v>
      </c>
      <c r="B444" s="228" t="s">
        <v>762</v>
      </c>
      <c r="C444" s="536">
        <f ca="1">SUMIFS(INDIRECT("Report!F100:F10000"),INDIRECT("Report!B100:B10000"),B444,INDIRECT("report!H100:H10000"),"Technotrans",INDIRECT("Report!L100:L10000"),"24,3")</f>
        <v>418000.00000000006</v>
      </c>
      <c r="D444" s="549">
        <f ca="1">(C444/11*10)</f>
        <v>380000.00000000006</v>
      </c>
      <c r="E444" s="536">
        <f ca="1">SUMIFS(INDIRECT("Report!J100:J10000"),INDIRECT("Report!B100:B10000"),B444,INDIRECT("report!H100:H10000"),"Technotrans",INDIRECT("Report!L100:L10000"),"24,3")</f>
        <v>160000</v>
      </c>
      <c r="F444" s="314">
        <f t="shared" ref="F444:F447" ca="1" si="80">E444/D444</f>
        <v>0.42105263157894729</v>
      </c>
      <c r="G444" s="274">
        <f ca="1">E444*15%</f>
        <v>24000</v>
      </c>
    </row>
    <row r="445" spans="1:7" ht="21" customHeight="1" x14ac:dyDescent="0.25">
      <c r="A445" s="1018"/>
      <c r="B445" s="228" t="s">
        <v>550</v>
      </c>
      <c r="C445" s="536">
        <f ca="1">SUMIFS(INDIRECT("Report!F100:F10000"),INDIRECT("Report!B100:B10000"),B445,INDIRECT("report!H100:H10000"),"Technotrans",INDIRECT("Report!L100:L10000"),"24,3")</f>
        <v>407000.00000000006</v>
      </c>
      <c r="D445" s="549">
        <f ca="1">(C445/11*10)</f>
        <v>370000.00000000006</v>
      </c>
      <c r="E445" s="536">
        <f ca="1">SUMIFS(INDIRECT("Report!J100:J10000"),INDIRECT("Report!B100:B10000"),B445,INDIRECT("report!H100:H10000"),"Technotrans",INDIRECT("Report!L100:L10000"),"24,3")</f>
        <v>129300</v>
      </c>
      <c r="F445" s="314">
        <f t="shared" ref="F445" ca="1" si="81">E445/D445</f>
        <v>0.34945945945945939</v>
      </c>
      <c r="G445" s="274">
        <f ca="1">E445*15%</f>
        <v>19395</v>
      </c>
    </row>
    <row r="446" spans="1:7" ht="21" customHeight="1" x14ac:dyDescent="0.25">
      <c r="A446" s="1018"/>
      <c r="B446" s="228" t="s">
        <v>548</v>
      </c>
      <c r="C446" s="536">
        <f ca="1">SUMIFS(INDIRECT("Report!F100:F10000"),INDIRECT("Report!B100:B10000"),B446,INDIRECT("report!H100:H10000"),"Technotrans",INDIRECT("Report!L100:L10000"),"24,3")</f>
        <v>770000.00000000012</v>
      </c>
      <c r="D446" s="549">
        <f ca="1">(C446/11*10)</f>
        <v>700000.00000000012</v>
      </c>
      <c r="E446" s="536">
        <f ca="1">SUMIFS(INDIRECT("Report!J100:J10000"),INDIRECT("Report!B100:B10000"),B446,INDIRECT("report!H100:H10000"),"Technotrans",INDIRECT("Report!L100:L10000"),"24,3")</f>
        <v>440410</v>
      </c>
      <c r="F446" s="314">
        <f t="shared" ca="1" si="80"/>
        <v>0.62915714285714275</v>
      </c>
      <c r="G446" s="274">
        <f ca="1">E446*15%</f>
        <v>66061.5</v>
      </c>
    </row>
    <row r="447" spans="1:7" ht="21" customHeight="1" x14ac:dyDescent="0.25">
      <c r="B447" s="279" t="s">
        <v>4055</v>
      </c>
      <c r="C447" s="278">
        <f ca="1">SUM(C444:C446)</f>
        <v>1595000.0000000002</v>
      </c>
      <c r="D447" s="278">
        <f ca="1">SUM(D444:D446)</f>
        <v>1450000.0000000002</v>
      </c>
      <c r="E447" s="278">
        <f ca="1">SUM(E444:E446)</f>
        <v>729710</v>
      </c>
      <c r="F447" s="294">
        <f t="shared" ca="1" si="80"/>
        <v>0.50324827586206888</v>
      </c>
      <c r="G447" s="280">
        <f ca="1">SUM(G444:G446)</f>
        <v>109456.5</v>
      </c>
    </row>
    <row r="448" spans="1:7" ht="21" customHeight="1" x14ac:dyDescent="0.25">
      <c r="A448" s="798" t="s">
        <v>4081</v>
      </c>
      <c r="B448" s="228" t="s">
        <v>1163</v>
      </c>
      <c r="C448" s="536">
        <f ca="1">SUMIFS(INDIRECT("Report!F100:F10000"),INDIRECT("Report!B100:B10000"),B448,INDIRECT("report!H100:H10000"),"Technotrans",INDIRECT("Report!L100:L10000"),"24,4")</f>
        <v>275000</v>
      </c>
      <c r="D448" s="549">
        <f ca="1">(C448/11*10)</f>
        <v>250000</v>
      </c>
      <c r="E448" s="536">
        <f ca="1">SUMIFS(INDIRECT("Report!J100:J10000"),INDIRECT("Report!B100:B10000"),B448,INDIRECT("report!H100:H10000"),"Technotrans",INDIRECT("Report!L100:L10000"),"24,4")</f>
        <v>140000</v>
      </c>
      <c r="F448" s="314">
        <f t="shared" ref="F448:F451" ca="1" si="82">E448/D448</f>
        <v>0.56000000000000005</v>
      </c>
      <c r="G448" s="274">
        <f ca="1">E448*15%</f>
        <v>21000</v>
      </c>
    </row>
    <row r="449" spans="1:7" ht="21" customHeight="1" x14ac:dyDescent="0.25">
      <c r="A449" s="1018"/>
      <c r="B449" s="228" t="s">
        <v>550</v>
      </c>
      <c r="C449" s="536">
        <f ca="1">SUMIFS(INDIRECT("Report!F100:F10000"),INDIRECT("Report!B100:B10000"),B449,INDIRECT("report!H100:H10000"),"Technotrans",INDIRECT("Report!L100:L10000"),"24,4")</f>
        <v>935000.00000000012</v>
      </c>
      <c r="D449" s="549">
        <f ca="1">(C449/11*10)</f>
        <v>850000.00000000012</v>
      </c>
      <c r="E449" s="536">
        <f ca="1">SUMIFS(INDIRECT("Report!J100:J10000"),INDIRECT("Report!B100:B10000"),B449,INDIRECT("report!H100:H10000"),"Technotrans",INDIRECT("Report!L100:L10000"),"24,4")</f>
        <v>590410</v>
      </c>
      <c r="F449" s="314">
        <f t="shared" ca="1" si="82"/>
        <v>0.69459999999999988</v>
      </c>
      <c r="G449" s="274">
        <f ca="1">E449*15%</f>
        <v>88561.5</v>
      </c>
    </row>
    <row r="450" spans="1:7" ht="21" customHeight="1" x14ac:dyDescent="0.25">
      <c r="A450" s="1018"/>
      <c r="C450" s="536"/>
      <c r="D450" s="549"/>
      <c r="E450" s="536"/>
      <c r="F450" s="314"/>
      <c r="G450" s="274"/>
    </row>
    <row r="451" spans="1:7" ht="21" customHeight="1" x14ac:dyDescent="0.25">
      <c r="B451" s="279" t="s">
        <v>4083</v>
      </c>
      <c r="C451" s="278">
        <f ca="1">SUM(C448:C450)</f>
        <v>1210000</v>
      </c>
      <c r="D451" s="278">
        <f ca="1">SUM(D448:D450)</f>
        <v>1100000</v>
      </c>
      <c r="E451" s="278">
        <f ca="1">SUM(E448:E450)</f>
        <v>730410</v>
      </c>
      <c r="F451" s="294">
        <f t="shared" ca="1" si="82"/>
        <v>0.66400909090909088</v>
      </c>
      <c r="G451" s="280">
        <f ca="1">SUM(G448:G450)</f>
        <v>109561.5</v>
      </c>
    </row>
    <row r="452" spans="1:7" ht="21" customHeight="1" x14ac:dyDescent="0.25">
      <c r="A452" s="798" t="s">
        <v>4096</v>
      </c>
      <c r="B452" s="228" t="s">
        <v>675</v>
      </c>
      <c r="C452" s="536">
        <f ca="1">SUMIFS(INDIRECT("Report!F100:F10000"),INDIRECT("Report!B100:B10000"),B452,INDIRECT("report!H100:H10000"),"Technotrans",INDIRECT("Report!L100:L10000"),"24,5")</f>
        <v>550000</v>
      </c>
      <c r="D452" s="549">
        <f ca="1">(C452/11*10)</f>
        <v>500000</v>
      </c>
      <c r="E452" s="536">
        <f ca="1">SUMIFS(INDIRECT("Report!J100:J10000"),INDIRECT("Report!B100:B10000"),B452,INDIRECT("report!H100:H10000"),"Technotrans",INDIRECT("Report!L100:L10000"),"24,5")</f>
        <v>260000</v>
      </c>
      <c r="F452" s="314">
        <f t="shared" ref="F452" ca="1" si="83">E452/D452</f>
        <v>0.52</v>
      </c>
      <c r="G452" s="274">
        <f ca="1">E452*15%</f>
        <v>39000</v>
      </c>
    </row>
    <row r="453" spans="1:7" ht="21" customHeight="1" x14ac:dyDescent="0.25">
      <c r="A453" s="1018"/>
      <c r="C453" s="536"/>
      <c r="D453" s="549"/>
      <c r="E453" s="536"/>
      <c r="F453" s="314"/>
      <c r="G453" s="274"/>
    </row>
    <row r="454" spans="1:7" ht="21" customHeight="1" x14ac:dyDescent="0.25">
      <c r="B454" s="279" t="s">
        <v>4098</v>
      </c>
      <c r="C454" s="278">
        <f ca="1">SUM(C452:C453)</f>
        <v>550000</v>
      </c>
      <c r="D454" s="278">
        <f ca="1">SUM(D452:D453)</f>
        <v>500000</v>
      </c>
      <c r="E454" s="278">
        <f ca="1">SUM(E452:E453)</f>
        <v>260000</v>
      </c>
      <c r="F454" s="294">
        <f t="shared" ref="F454:F455" ca="1" si="84">E454/D454</f>
        <v>0.52</v>
      </c>
      <c r="G454" s="280">
        <f ca="1">SUM(G452:G453)</f>
        <v>39000</v>
      </c>
    </row>
    <row r="455" spans="1:7" ht="21" customHeight="1" x14ac:dyDescent="0.25">
      <c r="A455" s="798" t="s">
        <v>4148</v>
      </c>
      <c r="B455" s="228" t="s">
        <v>2503</v>
      </c>
      <c r="C455" s="536">
        <f ca="1">SUMIFS(INDIRECT("Report!F100:F10000"),INDIRECT("Report!B100:B10000"),B455,INDIRECT("report!H100:H10000"),"Technotrans",INDIRECT("Report!L100:L10000"),"24,7")</f>
        <v>1320000</v>
      </c>
      <c r="D455" s="549">
        <f ca="1">(C455/11*10)</f>
        <v>1200000</v>
      </c>
      <c r="E455" s="536">
        <f ca="1">SUMIFS(INDIRECT("Report!J100:J10000"),INDIRECT("Report!B100:B10000"),B455,INDIRECT("report!H100:H10000"),"Technotrans",INDIRECT("Report!L100:L10000"),"24,7")</f>
        <v>477900</v>
      </c>
      <c r="F455" s="314">
        <f t="shared" ca="1" si="84"/>
        <v>0.39824999999999999</v>
      </c>
      <c r="G455" s="274">
        <f ca="1">E455*15%</f>
        <v>71685</v>
      </c>
    </row>
    <row r="456" spans="1:7" ht="21" customHeight="1" x14ac:dyDescent="0.25">
      <c r="A456" s="1018"/>
      <c r="B456" s="228" t="s">
        <v>4164</v>
      </c>
      <c r="C456" s="536">
        <f ca="1">SUMIFS(INDIRECT("Report!F100:F10000"),INDIRECT("Report!B100:B10000"),B456,INDIRECT("report!H100:H10000"),"Technotrans",INDIRECT("Report!L100:L10000"),"24,7")</f>
        <v>407000.00000000006</v>
      </c>
      <c r="D456" s="549">
        <f ca="1">(C456/11*10)</f>
        <v>370000.00000000006</v>
      </c>
      <c r="E456" s="536">
        <f ca="1">SUMIFS(INDIRECT("Report!J100:J10000"),INDIRECT("Report!B100:B10000"),B456,INDIRECT("report!H100:H10000"),"Technotrans",INDIRECT("Report!L100:L10000"),"24,7")</f>
        <v>129300</v>
      </c>
      <c r="F456" s="314">
        <f t="shared" ref="F456" ca="1" si="85">E456/D456</f>
        <v>0.34945945945945939</v>
      </c>
      <c r="G456" s="274">
        <f ca="1">E456*15%</f>
        <v>19395</v>
      </c>
    </row>
    <row r="457" spans="1:7" ht="21" customHeight="1" x14ac:dyDescent="0.25">
      <c r="B457" s="279" t="s">
        <v>4150</v>
      </c>
      <c r="C457" s="278">
        <f ca="1">SUM(C455:C456)</f>
        <v>1727000</v>
      </c>
      <c r="D457" s="278">
        <f ca="1">SUM(D455:D456)</f>
        <v>1570000</v>
      </c>
      <c r="E457" s="278">
        <f ca="1">SUM(E455:E456)</f>
        <v>607200</v>
      </c>
      <c r="F457" s="294">
        <f t="shared" ref="F457:F459" ca="1" si="86">E457/D457</f>
        <v>0.38675159235668788</v>
      </c>
      <c r="G457" s="280">
        <f ca="1">SUM(G455:G456)</f>
        <v>91080</v>
      </c>
    </row>
    <row r="458" spans="1:7" ht="21" customHeight="1" x14ac:dyDescent="0.25">
      <c r="A458" s="798" t="s">
        <v>4170</v>
      </c>
      <c r="B458" s="228" t="s">
        <v>762</v>
      </c>
      <c r="C458" s="536">
        <f ca="1">SUMIFS(INDIRECT("Report!F100:F10000"),INDIRECT("Report!B100:B10000"),B458,INDIRECT("report!H100:H10000"),"Technotrans",INDIRECT("Report!L100:L10000"),"24,8")</f>
        <v>418000.00000000006</v>
      </c>
      <c r="D458" s="549">
        <f ca="1">(C458/11*10)</f>
        <v>380000.00000000006</v>
      </c>
      <c r="E458" s="536">
        <f ca="1">SUMIFS(INDIRECT("Report!J100:J10000"),INDIRECT("Report!B100:B10000"),B458,INDIRECT("report!H100:H10000"),"Technotrans",INDIRECT("Report!L100:L10000"),"24,8")</f>
        <v>160000</v>
      </c>
      <c r="F458" s="314">
        <f t="shared" ca="1" si="86"/>
        <v>0.42105263157894729</v>
      </c>
      <c r="G458" s="274">
        <f ca="1">E458*15%</f>
        <v>24000</v>
      </c>
    </row>
    <row r="459" spans="1:7" ht="21" customHeight="1" x14ac:dyDescent="0.25">
      <c r="A459" s="1018"/>
      <c r="B459" s="228" t="s">
        <v>601</v>
      </c>
      <c r="C459" s="536">
        <f ca="1">SUMIFS(INDIRECT("Report!F100:F10000"),INDIRECT("Report!B100:B10000"),B459,INDIRECT("report!H100:H10000"),"Technotrans",INDIRECT("Report!L100:L10000"),"24,8")</f>
        <v>1386000</v>
      </c>
      <c r="D459" s="549">
        <f ca="1">(C459/11*10)</f>
        <v>1260000</v>
      </c>
      <c r="E459" s="536">
        <f ca="1">SUMIFS(INDIRECT("Report!J100:J10000"),INDIRECT("Report!B100:B10000"),B459,INDIRECT("report!H100:H10000"),"Technotrans",INDIRECT("Report!L100:L10000"),"24,8")</f>
        <v>540000</v>
      </c>
      <c r="F459" s="314">
        <f t="shared" ca="1" si="86"/>
        <v>0.42857142857142855</v>
      </c>
      <c r="G459" s="274">
        <f ca="1">E459*15%</f>
        <v>81000</v>
      </c>
    </row>
    <row r="460" spans="1:7" ht="21" customHeight="1" x14ac:dyDescent="0.25">
      <c r="B460" s="1222" t="s">
        <v>4189</v>
      </c>
      <c r="C460" s="278">
        <f ca="1">SUM(C458:C459)</f>
        <v>1804000</v>
      </c>
      <c r="D460" s="278">
        <f ca="1">SUM(D458:D459)</f>
        <v>1640000</v>
      </c>
      <c r="E460" s="278">
        <f ca="1">SUM(E458:E459)</f>
        <v>700000</v>
      </c>
      <c r="F460" s="294">
        <f t="shared" ref="F460:F462" ca="1" si="87">E460/D460</f>
        <v>0.42682926829268292</v>
      </c>
      <c r="G460" s="280">
        <f ca="1">SUM(G458:G459)</f>
        <v>105000</v>
      </c>
    </row>
    <row r="461" spans="1:7" ht="21" customHeight="1" x14ac:dyDescent="0.25">
      <c r="A461" s="798" t="s">
        <v>4193</v>
      </c>
      <c r="B461" s="228" t="s">
        <v>938</v>
      </c>
      <c r="C461" s="536">
        <f ca="1">SUMIFS(INDIRECT("Report!F100:F10000"),INDIRECT("Report!B100:B10000"),B461,INDIRECT("report!H100:H10000"),"Technotrans",INDIRECT("Report!L100:L10000"),"24,9")</f>
        <v>825000.00000000012</v>
      </c>
      <c r="D461" s="549">
        <f ca="1">(C461/11*10)</f>
        <v>750000.00000000012</v>
      </c>
      <c r="E461" s="536">
        <f ca="1">SUMIFS(INDIRECT("Report!J100:J10000"),INDIRECT("Report!B100:B10000"),B461,INDIRECT("report!H100:H10000"),"Technotrans",INDIRECT("Report!L100:L10000"),"24,9")</f>
        <v>390000</v>
      </c>
      <c r="F461" s="314">
        <f t="shared" ca="1" si="87"/>
        <v>0.51999999999999991</v>
      </c>
      <c r="G461" s="274">
        <f ca="1">E461*15%</f>
        <v>58500</v>
      </c>
    </row>
    <row r="462" spans="1:7" ht="21" customHeight="1" x14ac:dyDescent="0.25">
      <c r="A462" s="1018"/>
      <c r="B462" s="228" t="s">
        <v>484</v>
      </c>
      <c r="C462" s="536">
        <f ca="1">SUMIFS(INDIRECT("Report!F100:F10000"),INDIRECT("Report!B100:B10000"),B462,INDIRECT("report!H100:H10000"),"Technotrans",INDIRECT("Report!L100:L10000"),"24,9")</f>
        <v>2475000</v>
      </c>
      <c r="D462" s="549">
        <f ca="1">(C462/11*10)</f>
        <v>2250000</v>
      </c>
      <c r="E462" s="536">
        <f ca="1">SUMIFS(INDIRECT("Report!J100:J10000"),INDIRECT("Report!B100:B10000"),B462,INDIRECT("report!H100:H10000"),"Technotrans",INDIRECT("Report!L100:L10000"),"24,9")</f>
        <v>1471230</v>
      </c>
      <c r="F462" s="314">
        <f t="shared" ca="1" si="87"/>
        <v>0.65388000000000002</v>
      </c>
      <c r="G462" s="274">
        <f ca="1">E462*15%</f>
        <v>220684.5</v>
      </c>
    </row>
    <row r="463" spans="1:7" ht="21" customHeight="1" x14ac:dyDescent="0.25">
      <c r="B463" s="1222" t="s">
        <v>4205</v>
      </c>
      <c r="C463" s="278">
        <f ca="1">SUM(C461:C462)</f>
        <v>3300000</v>
      </c>
      <c r="D463" s="278">
        <f ca="1">SUM(D461:D462)</f>
        <v>3000000</v>
      </c>
      <c r="E463" s="278">
        <f ca="1">SUM(E461:E462)</f>
        <v>1861230</v>
      </c>
      <c r="F463" s="294">
        <f t="shared" ref="F463:F466" ca="1" si="88">E463/D463</f>
        <v>0.62041000000000002</v>
      </c>
      <c r="G463" s="280">
        <f ca="1">SUM(G461:G462)</f>
        <v>279184.5</v>
      </c>
    </row>
    <row r="464" spans="1:7" ht="21" customHeight="1" x14ac:dyDescent="0.25">
      <c r="A464" s="798" t="s">
        <v>4208</v>
      </c>
      <c r="B464" s="228" t="s">
        <v>4164</v>
      </c>
      <c r="C464" s="536">
        <f ca="1">SUMIFS(INDIRECT("Report!F100:F10000"),INDIRECT("Report!B100:B10000"),B464,INDIRECT("report!H100:H10000"),"Technotrans",INDIRECT("Report!L100:L10000"),"24,10")</f>
        <v>2420000</v>
      </c>
      <c r="D464" s="549">
        <f ca="1">(C464/11*10)</f>
        <v>2200000</v>
      </c>
      <c r="E464" s="536">
        <f ca="1">SUMIFS(INDIRECT("Report!J100:J10000"),INDIRECT("Report!B100:B10000"),B464,INDIRECT("report!H100:H10000"),"Technotrans",INDIRECT("Report!L100:L10000"),"24,10")</f>
        <v>577819</v>
      </c>
      <c r="F464" s="314">
        <f t="shared" ca="1" si="88"/>
        <v>0.26264500000000002</v>
      </c>
      <c r="G464" s="274">
        <f ca="1">E464*15%</f>
        <v>86672.849999999991</v>
      </c>
    </row>
    <row r="465" spans="1:7" ht="21" customHeight="1" x14ac:dyDescent="0.25">
      <c r="A465" s="1018"/>
      <c r="B465" s="228" t="s">
        <v>675</v>
      </c>
      <c r="C465" s="536">
        <f ca="1">SUMIFS(INDIRECT("Report!F100:F10000"),INDIRECT("Report!B100:B10000"),B465,INDIRECT("report!H100:H10000"),"Technotrans",INDIRECT("Report!L100:L10000"),"24,10")</f>
        <v>550000</v>
      </c>
      <c r="D465" s="549">
        <f ca="1">(C465/11*10)</f>
        <v>500000</v>
      </c>
      <c r="E465" s="536">
        <f ca="1">SUMIFS(INDIRECT("Report!J100:J10000"),INDIRECT("Report!B100:B10000"),B465,INDIRECT("report!H100:H10000"),"Technotrans",INDIRECT("Report!L100:L10000"),"24,10")</f>
        <v>260000</v>
      </c>
      <c r="F465" s="314"/>
      <c r="G465" s="274">
        <f ca="1">E465*15%</f>
        <v>39000</v>
      </c>
    </row>
    <row r="466" spans="1:7" ht="21" customHeight="1" x14ac:dyDescent="0.25">
      <c r="A466" s="1018"/>
      <c r="B466" s="228" t="s">
        <v>762</v>
      </c>
      <c r="C466" s="536">
        <f ca="1">SUMIFS(INDIRECT("Report!F100:F10000"),INDIRECT("Report!B100:B10000"),B466,INDIRECT("report!H100:H10000"),"Technotrans",INDIRECT("Report!L100:L10000"),"24,10")</f>
        <v>418000.00000000006</v>
      </c>
      <c r="D466" s="549">
        <f ca="1">(C466/11*10)</f>
        <v>380000.00000000006</v>
      </c>
      <c r="E466" s="536">
        <f ca="1">SUMIFS(INDIRECT("Report!J100:J10000"),INDIRECT("Report!B100:B10000"),B466,INDIRECT("report!H100:H10000"),"Technotrans",INDIRECT("Report!L100:L10000"),"24,10")</f>
        <v>160000</v>
      </c>
      <c r="F466" s="314">
        <f t="shared" ca="1" si="88"/>
        <v>0.42105263157894729</v>
      </c>
      <c r="G466" s="274">
        <f ca="1">E466*15%</f>
        <v>24000</v>
      </c>
    </row>
    <row r="467" spans="1:7" ht="21" customHeight="1" x14ac:dyDescent="0.25">
      <c r="B467" s="1222" t="s">
        <v>4223</v>
      </c>
      <c r="C467" s="278">
        <f ca="1">SUM(C464:C466)</f>
        <v>3388000</v>
      </c>
      <c r="D467" s="278">
        <f ca="1">SUM(D464:D466)</f>
        <v>3080000</v>
      </c>
      <c r="E467" s="278">
        <f ca="1">SUM(E464:E466)</f>
        <v>997819</v>
      </c>
      <c r="F467" s="294">
        <f t="shared" ref="F467:F468" ca="1" si="89">E467/D467</f>
        <v>0.32396720779220778</v>
      </c>
      <c r="G467" s="280">
        <f ca="1">SUM(G464:G466)</f>
        <v>149672.84999999998</v>
      </c>
    </row>
    <row r="468" spans="1:7" ht="21" customHeight="1" x14ac:dyDescent="0.25">
      <c r="A468" s="798" t="s">
        <v>4229</v>
      </c>
      <c r="B468" s="228" t="s">
        <v>550</v>
      </c>
      <c r="C468" s="536">
        <f ca="1">SUMIFS(INDIRECT("Report!F100:F10000"),INDIRECT("Report!B100:B10000"),B468,INDIRECT("report!H100:H10000"),"Technotrans",INDIRECT("Report!L100:L10000"),"24,11")</f>
        <v>407000.00000000006</v>
      </c>
      <c r="D468" s="549">
        <f ca="1">(C468/11*10)</f>
        <v>370000.00000000006</v>
      </c>
      <c r="E468" s="536">
        <f ca="1">SUMIFS(INDIRECT("Report!J100:J10000"),INDIRECT("Report!B100:B10000"),B468,INDIRECT("report!H100:H10000"),"Technotrans",INDIRECT("Report!L100:L10000"),"24,11")</f>
        <v>129300</v>
      </c>
      <c r="F468" s="314">
        <f t="shared" ca="1" si="89"/>
        <v>0.34945945945945939</v>
      </c>
      <c r="G468" s="274">
        <f ca="1">E468*15%</f>
        <v>19395</v>
      </c>
    </row>
    <row r="469" spans="1:7" ht="21" customHeight="1" x14ac:dyDescent="0.25">
      <c r="A469" s="1018"/>
      <c r="B469" s="228" t="s">
        <v>442</v>
      </c>
      <c r="C469" s="536">
        <f ca="1">SUMIFS(INDIRECT("Report!F100:F10000"),INDIRECT("Report!B100:B10000"),B469,INDIRECT("report!H100:H10000"),"Technotrans",INDIRECT("Report!L100:L10000"),"24,11")</f>
        <v>550000</v>
      </c>
      <c r="D469" s="549">
        <f ca="1">(C469/11*10)</f>
        <v>500000</v>
      </c>
      <c r="E469" s="536">
        <f ca="1">SUMIFS(INDIRECT("Report!J100:J10000"),INDIRECT("Report!B100:B10000"),B469,INDIRECT("report!H100:H10000"),"Technotrans",INDIRECT("Report!L100:L10000"),"24,11")</f>
        <v>500000</v>
      </c>
      <c r="F469" s="314"/>
      <c r="G469" s="274">
        <f ca="1">E469*15%</f>
        <v>75000</v>
      </c>
    </row>
    <row r="470" spans="1:7" ht="21" customHeight="1" x14ac:dyDescent="0.25">
      <c r="A470" s="1018"/>
      <c r="B470" s="228" t="s">
        <v>548</v>
      </c>
      <c r="C470" s="536">
        <f ca="1">SUMIFS(INDIRECT("Report!F100:F10000"),INDIRECT("Report!B100:B10000"),B470,INDIRECT("report!H100:H10000"),"Technotrans",INDIRECT("Report!L100:L10000"),"24,11")</f>
        <v>1144000</v>
      </c>
      <c r="D470" s="549">
        <f ca="1">(C470/11*10)</f>
        <v>1040000</v>
      </c>
      <c r="E470" s="536">
        <f ca="1">SUMIFS(INDIRECT("Report!J100:J10000"),INDIRECT("Report!B100:B10000"),B470,INDIRECT("report!H100:H10000"),"Technotrans",INDIRECT("Report!L100:L10000"),"24,11")</f>
        <v>385040</v>
      </c>
      <c r="F470" s="314">
        <f t="shared" ref="F470:F473" ca="1" si="90">E470/D470</f>
        <v>0.37023076923076925</v>
      </c>
      <c r="G470" s="274">
        <f ca="1">E470*15%</f>
        <v>57756</v>
      </c>
    </row>
    <row r="471" spans="1:7" ht="21" customHeight="1" x14ac:dyDescent="0.25">
      <c r="B471" s="1222" t="s">
        <v>4228</v>
      </c>
      <c r="C471" s="278">
        <f ca="1">SUM(C468:C470)</f>
        <v>2101000</v>
      </c>
      <c r="D471" s="278">
        <f ca="1">SUM(D468:D470)</f>
        <v>1910000</v>
      </c>
      <c r="E471" s="278">
        <f ca="1">SUM(E468:E470)</f>
        <v>1014340</v>
      </c>
      <c r="F471" s="294">
        <f t="shared" ca="1" si="90"/>
        <v>0.53106806282722518</v>
      </c>
      <c r="G471" s="280">
        <f ca="1">SUM(G468:G470)</f>
        <v>152151</v>
      </c>
    </row>
    <row r="472" spans="1:7" ht="21" customHeight="1" x14ac:dyDescent="0.25">
      <c r="A472" s="798" t="s">
        <v>4295</v>
      </c>
      <c r="B472" s="228" t="s">
        <v>762</v>
      </c>
      <c r="C472" s="536">
        <f ca="1">SUMIFS(INDIRECT("Report!F100:F10000"),INDIRECT("Report!B100:B10000"),B472,INDIRECT("report!H100:H10000"),"Technotrans",INDIRECT("Report!L100:L10000"),"25,2")</f>
        <v>418000.00000000006</v>
      </c>
      <c r="D472" s="549">
        <f ca="1">(C472/11*10)</f>
        <v>380000.00000000006</v>
      </c>
      <c r="E472" s="536">
        <f ca="1">SUMIFS(INDIRECT("Report!J100:J10000"),INDIRECT("Report!B100:B10000"),B472,INDIRECT("report!H100:H10000"),"Technotrans",INDIRECT("Report!L100:L10000"),"25,2")</f>
        <v>160000</v>
      </c>
      <c r="F472" s="314">
        <f t="shared" ca="1" si="90"/>
        <v>0.42105263157894729</v>
      </c>
      <c r="G472" s="274">
        <f ca="1">E472*15%</f>
        <v>24000</v>
      </c>
    </row>
    <row r="473" spans="1:7" ht="21" customHeight="1" x14ac:dyDescent="0.25">
      <c r="A473" s="1018"/>
      <c r="B473" s="228" t="s">
        <v>675</v>
      </c>
      <c r="C473" s="536">
        <f ca="1">SUMIFS(INDIRECT("Report!F100:F10000"),INDIRECT("Report!B100:B10000"),B473,INDIRECT("report!H100:H10000"),"Technotrans",INDIRECT("Report!L100:L10000"),"25,2")</f>
        <v>550000</v>
      </c>
      <c r="D473" s="549">
        <f ca="1">(C473/11*10)</f>
        <v>500000</v>
      </c>
      <c r="E473" s="536">
        <f ca="1">SUMIFS(INDIRECT("Report!J100:J10000"),INDIRECT("Report!B100:B10000"),B473,INDIRECT("report!H100:H10000"),"Technotrans",INDIRECT("Report!L100:L10000"),"25,2")</f>
        <v>260000</v>
      </c>
      <c r="F473" s="314">
        <f t="shared" ca="1" si="90"/>
        <v>0.52</v>
      </c>
      <c r="G473" s="274">
        <f ca="1">E473*15%</f>
        <v>39000</v>
      </c>
    </row>
    <row r="474" spans="1:7" ht="21" customHeight="1" x14ac:dyDescent="0.25">
      <c r="B474" s="1222" t="s">
        <v>4294</v>
      </c>
      <c r="C474" s="278">
        <f ca="1">SUM(C472:C473)</f>
        <v>968000</v>
      </c>
      <c r="D474" s="278">
        <f ca="1">SUM(D472:D473)</f>
        <v>880000</v>
      </c>
      <c r="E474" s="278">
        <f ca="1">SUM(E472:E473)</f>
        <v>420000</v>
      </c>
      <c r="F474" s="294">
        <f t="shared" ref="F474:F475" ca="1" si="91">E474/D474</f>
        <v>0.47727272727272729</v>
      </c>
      <c r="G474" s="280">
        <f ca="1">SUM(G472:G473)</f>
        <v>63000</v>
      </c>
    </row>
    <row r="475" spans="1:7" ht="21" customHeight="1" x14ac:dyDescent="0.25">
      <c r="A475" s="798" t="s">
        <v>4330</v>
      </c>
      <c r="B475" s="228" t="s">
        <v>4164</v>
      </c>
      <c r="C475" s="536">
        <f ca="1">SUMIFS(INDIRECT("Report!F100:F10000"),INDIRECT("Report!B100:B10000"),B475,INDIRECT("report!H100:H10000"),"Technotrans",INDIRECT("Report!L100:L10000"),"25,3")</f>
        <v>610500</v>
      </c>
      <c r="D475" s="549">
        <f ca="1">(C475/11*10)</f>
        <v>555000</v>
      </c>
      <c r="E475" s="536">
        <f ca="1">SUMIFS(INDIRECT("Report!J100:J10000"),INDIRECT("Report!B100:B10000"),B475,INDIRECT("report!H100:H10000"),"Technotrans",INDIRECT("Report!L100:L10000"),"25,3")</f>
        <v>193950</v>
      </c>
      <c r="F475" s="314">
        <f t="shared" ca="1" si="91"/>
        <v>0.34945945945945944</v>
      </c>
      <c r="G475" s="274">
        <f ca="1">E475*15%</f>
        <v>29092.5</v>
      </c>
    </row>
    <row r="476" spans="1:7" ht="21" customHeight="1" x14ac:dyDescent="0.25">
      <c r="B476" s="1222" t="s">
        <v>4334</v>
      </c>
      <c r="C476" s="278">
        <f ca="1">SUM(C475:C475)</f>
        <v>610500</v>
      </c>
      <c r="D476" s="278">
        <f ca="1">SUM(D475:D475)</f>
        <v>555000</v>
      </c>
      <c r="E476" s="278">
        <f ca="1">SUM(E475:E475)</f>
        <v>193950</v>
      </c>
      <c r="F476" s="294">
        <f t="shared" ref="F476:F477" ca="1" si="92">E476/D476</f>
        <v>0.34945945945945944</v>
      </c>
      <c r="G476" s="280">
        <f ca="1">SUM(G475:G475)</f>
        <v>29092.5</v>
      </c>
    </row>
    <row r="477" spans="1:7" ht="21" customHeight="1" x14ac:dyDescent="0.25">
      <c r="A477" s="798" t="s">
        <v>4346</v>
      </c>
      <c r="B477" s="228" t="s">
        <v>4353</v>
      </c>
      <c r="C477" s="536">
        <f ca="1">SUMIFS(INDIRECT("Report!F100:F10000"),INDIRECT("Report!B100:B10000"),B477,INDIRECT("report!H100:H10000"),"Technotrans",INDIRECT("Report!L100:L10000"),"25,4")</f>
        <v>418000.00000000006</v>
      </c>
      <c r="D477" s="549">
        <f ca="1">(C477/11*10)</f>
        <v>380000.00000000006</v>
      </c>
      <c r="E477" s="536">
        <f ca="1">SUMIFS(INDIRECT("Report!J100:J10000"),INDIRECT("Report!B100:B10000"),B477,INDIRECT("report!H100:H10000"),"Technotrans",INDIRECT("Report!L100:L10000"),"25,4")</f>
        <v>180000</v>
      </c>
      <c r="F477" s="314">
        <f t="shared" ca="1" si="92"/>
        <v>0.47368421052631571</v>
      </c>
      <c r="G477" s="274">
        <f ca="1">E477*15%</f>
        <v>27000</v>
      </c>
    </row>
    <row r="478" spans="1:7" ht="21" customHeight="1" x14ac:dyDescent="0.25">
      <c r="B478" s="1222" t="s">
        <v>4348</v>
      </c>
      <c r="C478" s="278">
        <f ca="1">SUM(C477:C477)</f>
        <v>418000.00000000006</v>
      </c>
      <c r="D478" s="278">
        <f ca="1">SUM(D477:D477)</f>
        <v>380000.00000000006</v>
      </c>
      <c r="E478" s="278">
        <f ca="1">SUM(E477:E477)</f>
        <v>180000</v>
      </c>
      <c r="F478" s="294">
        <f t="shared" ref="F478:F479" ca="1" si="93">E478/D478</f>
        <v>0.47368421052631571</v>
      </c>
      <c r="G478" s="280">
        <f ca="1">SUM(G477:G477)</f>
        <v>27000</v>
      </c>
    </row>
    <row r="479" spans="1:7" ht="21" customHeight="1" x14ac:dyDescent="0.25">
      <c r="A479" s="798" t="s">
        <v>4356</v>
      </c>
      <c r="B479" s="228" t="s">
        <v>938</v>
      </c>
      <c r="C479" s="536">
        <f ca="1">SUMIFS(INDIRECT("Report!F100:F10000"),INDIRECT("Report!B100:B10000"),B479,INDIRECT("report!H100:H10000"),"Technotrans",INDIRECT("Report!L100:L10000"),"25,5")</f>
        <v>550000</v>
      </c>
      <c r="D479" s="549">
        <f ca="1">(C479/11*10)</f>
        <v>500000</v>
      </c>
      <c r="E479" s="536">
        <f ca="1">SUMIFS(INDIRECT("Report!J100:J10000"),INDIRECT("Report!B100:B10000"),B479,INDIRECT("report!H100:H10000"),"Technotrans",INDIRECT("Report!L100:L10000"),"25,5")</f>
        <v>260000</v>
      </c>
      <c r="F479" s="314">
        <f t="shared" ca="1" si="93"/>
        <v>0.52</v>
      </c>
      <c r="G479" s="274">
        <f ca="1">E479*15%</f>
        <v>39000</v>
      </c>
    </row>
    <row r="480" spans="1:7" ht="21" customHeight="1" x14ac:dyDescent="0.25">
      <c r="B480" s="1222" t="s">
        <v>4358</v>
      </c>
      <c r="C480" s="278">
        <f ca="1">SUM(C479:C479)</f>
        <v>550000</v>
      </c>
      <c r="D480" s="278">
        <f ca="1">SUM(D479:D479)</f>
        <v>500000</v>
      </c>
      <c r="E480" s="278">
        <f ca="1">SUM(E479:E479)</f>
        <v>260000</v>
      </c>
      <c r="F480" s="294">
        <f t="shared" ref="F480:F481" ca="1" si="94">E480/D480</f>
        <v>0.52</v>
      </c>
      <c r="G480" s="280">
        <f ca="1">SUM(G479:G479)</f>
        <v>39000</v>
      </c>
    </row>
    <row r="481" spans="1:7" ht="21" customHeight="1" x14ac:dyDescent="0.25">
      <c r="A481" s="798" t="s">
        <v>4390</v>
      </c>
      <c r="B481" s="228" t="s">
        <v>675</v>
      </c>
      <c r="C481" s="536">
        <f ca="1">SUMIFS(INDIRECT("Report!F100:F10000"),INDIRECT("Report!B100:B10000"),B481,INDIRECT("report!H100:H10000"),"Technotrans",INDIRECT("Report!L100:L10000"),"25,6")</f>
        <v>550000</v>
      </c>
      <c r="D481" s="549">
        <f ca="1">(C481/11*10)</f>
        <v>500000</v>
      </c>
      <c r="E481" s="536">
        <f ca="1">SUMIFS(INDIRECT("Report!J100:J10000"),INDIRECT("Report!B100:B10000"),B481,INDIRECT("report!H100:H10000"),"Technotrans",INDIRECT("Report!L100:L10000"),"25,6")</f>
        <v>260000</v>
      </c>
      <c r="F481" s="314">
        <f t="shared" ca="1" si="94"/>
        <v>0.52</v>
      </c>
      <c r="G481" s="274">
        <f ca="1">E481*15%</f>
        <v>39000</v>
      </c>
    </row>
    <row r="482" spans="1:7" ht="21" customHeight="1" x14ac:dyDescent="0.25">
      <c r="B482" s="1222" t="s">
        <v>4392</v>
      </c>
      <c r="C482" s="278">
        <f ca="1">SUM(C481:C481)</f>
        <v>550000</v>
      </c>
      <c r="D482" s="278">
        <f ca="1">SUM(D481:D481)</f>
        <v>500000</v>
      </c>
      <c r="E482" s="278">
        <f ca="1">SUM(E481:E481)</f>
        <v>260000</v>
      </c>
      <c r="F482" s="294">
        <f t="shared" ref="F482:F483" ca="1" si="95">E482/D482</f>
        <v>0.52</v>
      </c>
      <c r="G482" s="280">
        <f ca="1">SUM(G481:G481)</f>
        <v>39000</v>
      </c>
    </row>
    <row r="483" spans="1:7" ht="21" customHeight="1" x14ac:dyDescent="0.25">
      <c r="A483" s="798" t="s">
        <v>4417</v>
      </c>
      <c r="B483" s="228" t="s">
        <v>2997</v>
      </c>
      <c r="C483" s="536">
        <f ca="1">SUMIFS(INDIRECT("Report!F100:F10000"),INDIRECT("Report!B100:B10000"),B483,INDIRECT("report!H100:H10000"),"Technotrans",INDIRECT("Report!L100:L10000"),"25,7")</f>
        <v>4620000</v>
      </c>
      <c r="D483" s="549">
        <f ca="1">(C483/11*10)</f>
        <v>4200000</v>
      </c>
      <c r="E483" s="536">
        <f ca="1">SUMIFS(INDIRECT("Report!J100:J10000"),INDIRECT("Report!B100:B10000"),B483,INDIRECT("report!H100:H10000"),"Technotrans",INDIRECT("Report!L100:L10000"),"25,7")</f>
        <v>3000000</v>
      </c>
      <c r="F483" s="314">
        <f t="shared" ca="1" si="95"/>
        <v>0.7142857142857143</v>
      </c>
      <c r="G483" s="274">
        <f ca="1">E483*15%</f>
        <v>450000</v>
      </c>
    </row>
    <row r="484" spans="1:7" ht="21" customHeight="1" x14ac:dyDescent="0.25">
      <c r="A484" s="1018"/>
      <c r="B484" s="228" t="s">
        <v>3823</v>
      </c>
      <c r="C484" s="536">
        <f ca="1">SUMIFS(INDIRECT("Report!F100:F10000"),INDIRECT("Report!B100:B10000"),B484,INDIRECT("report!H100:H10000"),"Technotrans",INDIRECT("Report!L100:L10000"),"25,7")</f>
        <v>99000.000000000015</v>
      </c>
      <c r="D484" s="549">
        <f ca="1">(C484/11*10)</f>
        <v>90000.000000000015</v>
      </c>
      <c r="E484" s="536">
        <f ca="1">SUMIFS(INDIRECT("Report!J100:J10000"),INDIRECT("Report!B100:B10000"),B484,INDIRECT("report!H100:H10000"),"Technotrans",INDIRECT("Report!L100:L10000"),"25,7")</f>
        <v>40000</v>
      </c>
      <c r="F484" s="314">
        <f t="shared" ref="F484" ca="1" si="96">E484/D484</f>
        <v>0.44444444444444436</v>
      </c>
      <c r="G484" s="274">
        <f ca="1">E484*15%</f>
        <v>6000</v>
      </c>
    </row>
    <row r="485" spans="1:7" ht="21" customHeight="1" x14ac:dyDescent="0.25">
      <c r="B485" s="1222" t="s">
        <v>4416</v>
      </c>
      <c r="C485" s="278">
        <f ca="1">SUM(C483:C484)</f>
        <v>4719000</v>
      </c>
      <c r="D485" s="278">
        <f ca="1">SUM(D483:D484)</f>
        <v>4290000</v>
      </c>
      <c r="E485" s="278">
        <f ca="1">SUM(E483:E484)</f>
        <v>3040000</v>
      </c>
      <c r="F485" s="294">
        <f t="shared" ref="F485:F487" ca="1" si="97">E485/D485</f>
        <v>0.70862470862470861</v>
      </c>
      <c r="G485" s="280">
        <f ca="1">SUM(G483:G484)</f>
        <v>456000</v>
      </c>
    </row>
    <row r="486" spans="1:7" ht="21" customHeight="1" x14ac:dyDescent="0.25">
      <c r="A486" s="798" t="s">
        <v>4454</v>
      </c>
      <c r="B486" s="228" t="s">
        <v>675</v>
      </c>
      <c r="C486" s="536">
        <f ca="1">SUMIFS(INDIRECT("Report!F100:F10000"),INDIRECT("Report!B100:B10000"),B486,INDIRECT("report!H100:H10000"),"Technotrans",INDIRECT("Report!L100:L10000"),"25,9")</f>
        <v>550000</v>
      </c>
      <c r="D486" s="549">
        <f ca="1">(C486/11*10)</f>
        <v>500000</v>
      </c>
      <c r="E486" s="536">
        <f ca="1">SUMIFS(INDIRECT("Report!J100:J10000"),INDIRECT("Report!B100:B10000"),B486,INDIRECT("report!H100:H10000"),"Technotrans",INDIRECT("Report!L100:L10000"),"25,9")</f>
        <v>260000</v>
      </c>
      <c r="F486" s="314">
        <f t="shared" ca="1" si="97"/>
        <v>0.52</v>
      </c>
      <c r="G486" s="274">
        <f ca="1">E486*15%</f>
        <v>39000</v>
      </c>
    </row>
    <row r="487" spans="1:7" ht="21" customHeight="1" x14ac:dyDescent="0.25">
      <c r="A487" s="1018"/>
      <c r="B487" s="228" t="s">
        <v>4164</v>
      </c>
      <c r="C487" s="536">
        <f ca="1">SUMIFS(INDIRECT("Report!F100:F10000"),INDIRECT("Report!B100:B10000"),B487,INDIRECT("report!H100:H10000"),"Technotrans",INDIRECT("Report!L100:L10000"),"25,9")</f>
        <v>407000.00000000006</v>
      </c>
      <c r="D487" s="549">
        <f ca="1">(C487/11*10)</f>
        <v>370000.00000000006</v>
      </c>
      <c r="E487" s="536">
        <f ca="1">SUMIFS(INDIRECT("Report!J100:J10000"),INDIRECT("Report!B100:B10000"),B487,INDIRECT("report!H100:H10000"),"Technotrans",INDIRECT("Report!L100:L10000"),"25,9")</f>
        <v>129300</v>
      </c>
      <c r="F487" s="314">
        <f t="shared" ca="1" si="97"/>
        <v>0.34945945945945939</v>
      </c>
      <c r="G487" s="274">
        <f ca="1">E487*15%</f>
        <v>19395</v>
      </c>
    </row>
    <row r="488" spans="1:7" ht="21" customHeight="1" x14ac:dyDescent="0.25">
      <c r="B488" s="1222" t="s">
        <v>4456</v>
      </c>
      <c r="C488" s="278">
        <f ca="1">SUM(C486:C487)</f>
        <v>957000</v>
      </c>
      <c r="D488" s="278">
        <f ca="1">SUM(D486:D487)</f>
        <v>870000</v>
      </c>
      <c r="E488" s="278">
        <f ca="1">SUM(E486:E487)</f>
        <v>389300</v>
      </c>
      <c r="F488" s="294">
        <f t="shared" ref="F488:F490" ca="1" si="98">E488/D488</f>
        <v>0.44747126436781609</v>
      </c>
      <c r="G488" s="280">
        <f ca="1">SUM(G486:G487)</f>
        <v>58395</v>
      </c>
    </row>
    <row r="489" spans="1:7" ht="21" customHeight="1" x14ac:dyDescent="0.25">
      <c r="A489" s="798" t="s">
        <v>4470</v>
      </c>
      <c r="B489" s="228" t="s">
        <v>4483</v>
      </c>
      <c r="C489" s="536">
        <f ca="1">SUMIFS(INDIRECT("Report!F100:F10000"),INDIRECT("Report!B100:B10000"),B489,INDIRECT("report!H100:H10000"),"Technotrans",INDIRECT("Report!L100:L10000"),"25,10")</f>
        <v>2860000</v>
      </c>
      <c r="D489" s="549">
        <f ca="1">(C489/11*10)</f>
        <v>2600000</v>
      </c>
      <c r="E489" s="536">
        <f ca="1">SUMIFS(INDIRECT("Report!J100:J10000"),INDIRECT("Report!B100:B10000"),B489,INDIRECT("report!H100:H10000"),"Technotrans",INDIRECT("Report!L100:L10000"),"25,10")</f>
        <v>550000</v>
      </c>
      <c r="F489" s="314">
        <f t="shared" ca="1" si="98"/>
        <v>0.21153846153846154</v>
      </c>
      <c r="G489" s="274">
        <f ca="1">E489*15%</f>
        <v>82500</v>
      </c>
    </row>
    <row r="490" spans="1:7" ht="21" customHeight="1" x14ac:dyDescent="0.25">
      <c r="A490" s="1018"/>
      <c r="B490" s="228" t="s">
        <v>938</v>
      </c>
      <c r="C490" s="536">
        <f ca="1">SUMIFS(INDIRECT("Report!F100:F10000"),INDIRECT("Report!B100:B10000"),B490,INDIRECT("report!H100:H10000"),"Technotrans",INDIRECT("Report!L100:L10000"),"25,10")</f>
        <v>825000.00000000012</v>
      </c>
      <c r="D490" s="549">
        <f ca="1">(C490/11*10)</f>
        <v>750000.00000000012</v>
      </c>
      <c r="E490" s="536">
        <f ca="1">SUMIFS(INDIRECT("Report!J100:J10000"),INDIRECT("Report!B100:B10000"),B490,INDIRECT("report!H100:H10000"),"Technotrans",INDIRECT("Report!L100:L10000"),"25,10")</f>
        <v>390000</v>
      </c>
      <c r="F490" s="314">
        <f t="shared" ca="1" si="98"/>
        <v>0.51999999999999991</v>
      </c>
      <c r="G490" s="274">
        <f ca="1">E490*15%</f>
        <v>58500</v>
      </c>
    </row>
    <row r="491" spans="1:7" ht="21" customHeight="1" x14ac:dyDescent="0.25">
      <c r="B491" s="1222" t="s">
        <v>4472</v>
      </c>
      <c r="C491" s="278">
        <f ca="1">SUM(C489:C490)</f>
        <v>3685000</v>
      </c>
      <c r="D491" s="278">
        <f ca="1">SUM(D489:D490)</f>
        <v>3350000</v>
      </c>
      <c r="E491" s="278">
        <f ca="1">SUM(E489:E490)</f>
        <v>940000</v>
      </c>
      <c r="F491" s="294">
        <f t="shared" ref="F491:F493" ca="1" si="99">E491/D491</f>
        <v>0.28059701492537314</v>
      </c>
      <c r="G491" s="280">
        <f ca="1">SUM(G489:G490)</f>
        <v>141000</v>
      </c>
    </row>
    <row r="492" spans="1:7" ht="21" customHeight="1" x14ac:dyDescent="0.25">
      <c r="A492" s="798" t="s">
        <v>4488</v>
      </c>
      <c r="B492" s="228" t="s">
        <v>4353</v>
      </c>
      <c r="C492" s="536">
        <f ca="1">SUMIFS(INDIRECT("Report!F100:F10000"),INDIRECT("Report!B100:B10000"),B492,INDIRECT("report!H100:H10000"),"Technotrans",INDIRECT("Report!L100:L10000"),"25,11")</f>
        <v>418000.00000000006</v>
      </c>
      <c r="D492" s="549">
        <f ca="1">(C492/11*10)</f>
        <v>380000.00000000006</v>
      </c>
      <c r="E492" s="536">
        <f ca="1">SUMIFS(INDIRECT("Report!J100:J10000"),INDIRECT("Report!B100:B10000"),B492,INDIRECT("report!H100:H10000"),"Technotrans",INDIRECT("Report!L100:L10000"),"25,11")</f>
        <v>130000</v>
      </c>
      <c r="F492" s="314">
        <f t="shared" ca="1" si="99"/>
        <v>0.34210526315789469</v>
      </c>
      <c r="G492" s="274">
        <f ca="1">E492*15%</f>
        <v>19500</v>
      </c>
    </row>
    <row r="493" spans="1:7" ht="21" customHeight="1" x14ac:dyDescent="0.25">
      <c r="A493" s="1018"/>
      <c r="B493" s="228" t="s">
        <v>4164</v>
      </c>
      <c r="C493" s="536">
        <f ca="1">SUMIFS(INDIRECT("Report!F100:F10000"),INDIRECT("Report!B100:B10000"),B493,INDIRECT("report!H100:H10000"),"Technotrans",INDIRECT("Report!L100:L10000"),"25,11")</f>
        <v>407000.00000000006</v>
      </c>
      <c r="D493" s="549">
        <f ca="1">(C493/11*10)</f>
        <v>370000.00000000006</v>
      </c>
      <c r="E493" s="536">
        <f ca="1">SUMIFS(INDIRECT("Report!J100:J10000"),INDIRECT("Report!B100:B10000"),B493,INDIRECT("report!H100:H10000"),"Technotrans",INDIRECT("Report!L100:L10000"),"25,11")</f>
        <v>120000</v>
      </c>
      <c r="F493" s="314">
        <f t="shared" ca="1" si="99"/>
        <v>0.32432432432432429</v>
      </c>
      <c r="G493" s="274">
        <f ca="1">E493*15%</f>
        <v>18000</v>
      </c>
    </row>
    <row r="494" spans="1:7" ht="21" customHeight="1" x14ac:dyDescent="0.25">
      <c r="B494" s="1222" t="s">
        <v>4490</v>
      </c>
      <c r="C494" s="278">
        <f ca="1">SUM(C492:C493)</f>
        <v>825000.00000000012</v>
      </c>
      <c r="D494" s="278">
        <f ca="1">SUM(D492:D493)</f>
        <v>750000.00000000012</v>
      </c>
      <c r="E494" s="278">
        <f ca="1">SUM(E492:E493)</f>
        <v>250000</v>
      </c>
      <c r="F494" s="294">
        <f t="shared" ref="F494" ca="1" si="100">E494/D494</f>
        <v>0.33333333333333326</v>
      </c>
      <c r="G494" s="280">
        <f ca="1">SUM(G492:G493)</f>
        <v>37500</v>
      </c>
    </row>
  </sheetData>
  <autoFilter ref="A1:I362" xr:uid="{00000000-0009-0000-0000-000001000000}"/>
  <mergeCells count="3">
    <mergeCell ref="H163:K163"/>
    <mergeCell ref="H180:I180"/>
    <mergeCell ref="H179:I179"/>
  </mergeCells>
  <phoneticPr fontId="7" type="noConversion"/>
  <pageMargins left="0.15748031496062992" right="0.23622047244094491" top="0.15748031496062992" bottom="0.15748031496062992" header="0.15748031496062992" footer="0.15748031496062992"/>
  <pageSetup paperSize="9" scale="1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J788"/>
  <sheetViews>
    <sheetView zoomScale="85" zoomScaleNormal="85" workbookViewId="0">
      <pane xSplit="2" ySplit="1" topLeftCell="C750" activePane="bottomRight" state="frozen"/>
      <selection activeCell="A1889" sqref="A1889"/>
      <selection pane="bottomLeft" activeCell="A1889" sqref="A1889"/>
      <selection pane="topRight" activeCell="A1889" sqref="A1889"/>
      <selection pane="bottomRight" activeCell="J761" sqref="J761:J762"/>
    </sheetView>
  </sheetViews>
  <sheetFormatPr defaultColWidth="9.03515625" defaultRowHeight="21" customHeight="1" x14ac:dyDescent="0.25"/>
  <cols>
    <col min="1" max="1" width="12.25390625" style="228" customWidth="1"/>
    <col min="2" max="2" width="28.22265625" style="228" customWidth="1"/>
    <col min="3" max="3" width="21.2890625" style="236" customWidth="1"/>
    <col min="4" max="4" width="20.546875" style="236" customWidth="1"/>
    <col min="5" max="5" width="14.60546875" style="236" customWidth="1"/>
    <col min="6" max="6" width="9.53125" style="595" customWidth="1"/>
    <col min="7" max="7" width="18.69140625" style="228" customWidth="1"/>
    <col min="8" max="8" width="12.12890625" style="228" customWidth="1"/>
    <col min="9" max="9" width="13.12109375" style="228" customWidth="1"/>
    <col min="10" max="10" width="34.0390625" style="227" customWidth="1"/>
    <col min="11" max="16384" width="9.03515625" style="228"/>
  </cols>
  <sheetData>
    <row r="1" spans="1:10" ht="45" customHeight="1" x14ac:dyDescent="0.25">
      <c r="A1" s="230" t="s">
        <v>6</v>
      </c>
      <c r="B1" s="231" t="s">
        <v>3</v>
      </c>
      <c r="C1" s="532" t="s">
        <v>10</v>
      </c>
      <c r="D1" s="533" t="s">
        <v>23</v>
      </c>
      <c r="E1" s="533" t="s">
        <v>4</v>
      </c>
      <c r="F1" s="588" t="s">
        <v>1</v>
      </c>
      <c r="G1" s="231" t="s">
        <v>3287</v>
      </c>
      <c r="H1" s="230" t="s">
        <v>12</v>
      </c>
      <c r="I1" s="230" t="s">
        <v>13</v>
      </c>
      <c r="J1" s="230" t="s">
        <v>240</v>
      </c>
    </row>
    <row r="2" spans="1:10" ht="21" customHeight="1" x14ac:dyDescent="0.25">
      <c r="A2" s="261" t="s">
        <v>328</v>
      </c>
      <c r="B2" s="297" t="s">
        <v>331</v>
      </c>
      <c r="C2" s="549">
        <v>2508000</v>
      </c>
      <c r="D2" s="549">
        <v>2280000</v>
      </c>
      <c r="E2" s="549">
        <v>620300</v>
      </c>
      <c r="F2" s="589">
        <f t="shared" ref="F2:F7" si="0">E2/D2</f>
        <v>0.27206140350877195</v>
      </c>
      <c r="G2" s="333"/>
      <c r="H2" s="227"/>
      <c r="I2" s="275"/>
    </row>
    <row r="3" spans="1:10" ht="21" customHeight="1" x14ac:dyDescent="0.25">
      <c r="A3" s="293"/>
      <c r="B3" s="334"/>
      <c r="C3" s="587">
        <f>SUM(C2:C2)</f>
        <v>2508000</v>
      </c>
      <c r="D3" s="587">
        <f>SUM(D2:D2)</f>
        <v>2280000</v>
      </c>
      <c r="E3" s="587">
        <f>SUM(E2:E2)</f>
        <v>620300</v>
      </c>
      <c r="F3" s="590">
        <f t="shared" si="0"/>
        <v>0.27206140350877195</v>
      </c>
      <c r="G3" s="336">
        <f>SUM(G2:G2)</f>
        <v>0</v>
      </c>
      <c r="H3" s="295"/>
      <c r="I3" s="296"/>
    </row>
    <row r="4" spans="1:10" ht="21" customHeight="1" x14ac:dyDescent="0.25">
      <c r="A4" s="261" t="s">
        <v>334</v>
      </c>
      <c r="B4" s="255" t="s">
        <v>22</v>
      </c>
      <c r="C4" s="538">
        <v>4400000</v>
      </c>
      <c r="D4" s="538">
        <v>4000000</v>
      </c>
      <c r="E4" s="538">
        <v>2073198.0884799999</v>
      </c>
      <c r="F4" s="589">
        <f t="shared" si="0"/>
        <v>0.51829952211999997</v>
      </c>
      <c r="G4" s="333"/>
      <c r="H4" s="227"/>
      <c r="I4" s="275"/>
    </row>
    <row r="5" spans="1:10" ht="21" customHeight="1" x14ac:dyDescent="0.25">
      <c r="A5" s="273"/>
      <c r="B5" s="255" t="s">
        <v>17</v>
      </c>
      <c r="C5" s="538">
        <v>1980000</v>
      </c>
      <c r="D5" s="538">
        <v>1800000</v>
      </c>
      <c r="E5" s="538">
        <v>892000</v>
      </c>
      <c r="F5" s="591">
        <f t="shared" si="0"/>
        <v>0.49555555555555558</v>
      </c>
      <c r="G5" s="333"/>
      <c r="H5" s="227"/>
      <c r="I5" s="275"/>
    </row>
    <row r="6" spans="1:10" ht="21" customHeight="1" x14ac:dyDescent="0.25">
      <c r="A6" s="273"/>
      <c r="B6" s="255" t="s">
        <v>15</v>
      </c>
      <c r="C6" s="538">
        <v>418000</v>
      </c>
      <c r="D6" s="538">
        <v>380000</v>
      </c>
      <c r="E6" s="538">
        <v>205120</v>
      </c>
      <c r="F6" s="592">
        <f t="shared" si="0"/>
        <v>0.53978947368421049</v>
      </c>
      <c r="G6" s="333"/>
      <c r="H6" s="227"/>
      <c r="I6" s="275"/>
    </row>
    <row r="7" spans="1:10" ht="21" customHeight="1" x14ac:dyDescent="0.25">
      <c r="A7" s="293"/>
      <c r="B7" s="277"/>
      <c r="C7" s="543">
        <f>SUM(C4:C6)</f>
        <v>6798000</v>
      </c>
      <c r="D7" s="543">
        <f>SUM(D4:D6)</f>
        <v>6180000</v>
      </c>
      <c r="E7" s="543">
        <f>SUM(E4:E6)</f>
        <v>3170318.0884799999</v>
      </c>
      <c r="F7" s="593">
        <f t="shared" si="0"/>
        <v>0.51299645444660191</v>
      </c>
      <c r="G7" s="336">
        <f>SUM(G4:G6)</f>
        <v>0</v>
      </c>
      <c r="H7" s="295"/>
      <c r="I7" s="296"/>
    </row>
    <row r="8" spans="1:10" ht="17.25" x14ac:dyDescent="0.25">
      <c r="A8" s="261" t="s">
        <v>404</v>
      </c>
      <c r="B8" s="255" t="s">
        <v>15</v>
      </c>
      <c r="C8" s="538">
        <v>1166000</v>
      </c>
      <c r="D8" s="538">
        <v>1060000</v>
      </c>
      <c r="E8" s="538">
        <v>677120</v>
      </c>
      <c r="F8" s="589">
        <f>E8/D8</f>
        <v>0.63879245283018871</v>
      </c>
      <c r="G8" s="333"/>
      <c r="H8" s="227"/>
      <c r="I8" s="275"/>
    </row>
    <row r="9" spans="1:10" ht="17.25" x14ac:dyDescent="0.25">
      <c r="A9" s="273"/>
      <c r="B9" s="255" t="s">
        <v>45</v>
      </c>
      <c r="C9" s="538">
        <v>1694000</v>
      </c>
      <c r="D9" s="538">
        <v>1540000</v>
      </c>
      <c r="E9" s="538">
        <v>764720</v>
      </c>
      <c r="F9" s="591">
        <f>E9/D9</f>
        <v>0.49657142857142855</v>
      </c>
      <c r="G9" s="333"/>
      <c r="H9" s="227"/>
      <c r="I9" s="275"/>
    </row>
    <row r="10" spans="1:10" ht="17.25" x14ac:dyDescent="0.25">
      <c r="A10" s="273"/>
      <c r="B10" s="255" t="s">
        <v>48</v>
      </c>
      <c r="C10" s="538">
        <v>946000</v>
      </c>
      <c r="D10" s="538">
        <v>860000</v>
      </c>
      <c r="E10" s="538">
        <v>382000</v>
      </c>
      <c r="F10" s="592">
        <f>E10/D10</f>
        <v>0.44418604651162791</v>
      </c>
      <c r="G10" s="333"/>
      <c r="H10" s="227"/>
      <c r="I10" s="275"/>
    </row>
    <row r="11" spans="1:10" ht="17.25" x14ac:dyDescent="0.25">
      <c r="A11" s="293"/>
      <c r="B11" s="277"/>
      <c r="C11" s="543">
        <f>SUM(C8:C10)</f>
        <v>3806000</v>
      </c>
      <c r="D11" s="543">
        <f>SUM(D8:D10)</f>
        <v>3460000</v>
      </c>
      <c r="E11" s="543">
        <f>SUM(E8:E10)</f>
        <v>1823840</v>
      </c>
      <c r="F11" s="593">
        <f>E11/D11</f>
        <v>0.52712138728323699</v>
      </c>
      <c r="G11" s="336">
        <f>SUM(G8:G10)</f>
        <v>0</v>
      </c>
      <c r="H11" s="295"/>
      <c r="I11" s="296"/>
    </row>
    <row r="12" spans="1:10" ht="17.25" x14ac:dyDescent="0.25">
      <c r="A12" s="261" t="s">
        <v>405</v>
      </c>
      <c r="B12" s="255" t="s">
        <v>17</v>
      </c>
      <c r="C12" s="538">
        <v>570900</v>
      </c>
      <c r="D12" s="538">
        <v>519000</v>
      </c>
      <c r="E12" s="538">
        <v>231000</v>
      </c>
      <c r="F12" s="589">
        <f>E12/D12</f>
        <v>0.44508670520231214</v>
      </c>
      <c r="G12" s="333"/>
      <c r="H12" s="227"/>
      <c r="I12" s="275"/>
    </row>
    <row r="13" spans="1:10" ht="17.25" x14ac:dyDescent="0.25">
      <c r="A13" s="273"/>
      <c r="B13" s="255" t="s">
        <v>45</v>
      </c>
      <c r="C13" s="538">
        <v>409200</v>
      </c>
      <c r="D13" s="538">
        <v>372000</v>
      </c>
      <c r="E13" s="538">
        <v>102000</v>
      </c>
      <c r="F13" s="589">
        <f t="shared" ref="F13:F31" si="1">E13/D13</f>
        <v>0.27419354838709675</v>
      </c>
      <c r="G13" s="333"/>
      <c r="H13" s="227"/>
      <c r="I13" s="275"/>
    </row>
    <row r="14" spans="1:10" ht="17.25" x14ac:dyDescent="0.25">
      <c r="A14" s="273"/>
      <c r="B14" s="255" t="s">
        <v>359</v>
      </c>
      <c r="C14" s="538">
        <v>464200</v>
      </c>
      <c r="D14" s="538">
        <v>422000</v>
      </c>
      <c r="E14" s="538">
        <v>150000</v>
      </c>
      <c r="F14" s="589">
        <f t="shared" si="1"/>
        <v>0.35545023696682465</v>
      </c>
      <c r="G14" s="333"/>
      <c r="H14" s="227"/>
      <c r="I14" s="275"/>
    </row>
    <row r="15" spans="1:10" ht="17.25" x14ac:dyDescent="0.25">
      <c r="A15" s="273"/>
      <c r="B15" s="255" t="s">
        <v>22</v>
      </c>
      <c r="C15" s="538">
        <v>165000</v>
      </c>
      <c r="D15" s="538">
        <v>150000</v>
      </c>
      <c r="E15" s="538">
        <v>150000</v>
      </c>
      <c r="F15" s="589">
        <f t="shared" si="1"/>
        <v>1</v>
      </c>
      <c r="G15" s="333"/>
      <c r="H15" s="227"/>
      <c r="I15" s="275"/>
    </row>
    <row r="16" spans="1:10" ht="17.25" x14ac:dyDescent="0.25">
      <c r="A16" s="273"/>
      <c r="B16" s="290" t="s">
        <v>20</v>
      </c>
      <c r="C16" s="540">
        <v>759000</v>
      </c>
      <c r="D16" s="540">
        <v>690000</v>
      </c>
      <c r="E16" s="540">
        <v>482000</v>
      </c>
      <c r="F16" s="589">
        <f t="shared" si="1"/>
        <v>0.6985507246376812</v>
      </c>
      <c r="G16" s="333"/>
      <c r="H16" s="227"/>
      <c r="I16" s="275"/>
    </row>
    <row r="17" spans="1:9" ht="17.25" x14ac:dyDescent="0.25">
      <c r="A17" s="273"/>
      <c r="B17" s="290" t="s">
        <v>47</v>
      </c>
      <c r="C17" s="540">
        <v>880000</v>
      </c>
      <c r="D17" s="540">
        <v>800000</v>
      </c>
      <c r="E17" s="540">
        <v>320000</v>
      </c>
      <c r="F17" s="589">
        <f t="shared" si="1"/>
        <v>0.4</v>
      </c>
      <c r="G17" s="333"/>
      <c r="H17" s="227"/>
      <c r="I17" s="275"/>
    </row>
    <row r="18" spans="1:9" ht="17.25" x14ac:dyDescent="0.25">
      <c r="A18" s="273"/>
      <c r="B18" s="290" t="s">
        <v>15</v>
      </c>
      <c r="C18" s="540">
        <v>418000</v>
      </c>
      <c r="D18" s="540">
        <v>380000</v>
      </c>
      <c r="E18" s="540">
        <v>205120</v>
      </c>
      <c r="F18" s="589">
        <f t="shared" si="1"/>
        <v>0.53978947368421049</v>
      </c>
      <c r="G18" s="333"/>
      <c r="H18" s="227"/>
      <c r="I18" s="275"/>
    </row>
    <row r="19" spans="1:9" ht="17.25" x14ac:dyDescent="0.25">
      <c r="A19" s="273"/>
      <c r="B19" s="290" t="s">
        <v>50</v>
      </c>
      <c r="C19" s="540">
        <v>20680000</v>
      </c>
      <c r="D19" s="540">
        <v>18800000</v>
      </c>
      <c r="E19" s="540">
        <v>2100000</v>
      </c>
      <c r="F19" s="589">
        <f t="shared" si="1"/>
        <v>0.11170212765957446</v>
      </c>
      <c r="G19" s="333"/>
      <c r="H19" s="227"/>
      <c r="I19" s="275"/>
    </row>
    <row r="20" spans="1:9" ht="17.25" x14ac:dyDescent="0.25">
      <c r="A20" s="273"/>
      <c r="B20" s="290" t="s">
        <v>20</v>
      </c>
      <c r="C20" s="540">
        <v>440000</v>
      </c>
      <c r="D20" s="540">
        <v>400000</v>
      </c>
      <c r="E20" s="540">
        <v>207000</v>
      </c>
      <c r="F20" s="589">
        <f t="shared" si="1"/>
        <v>0.51749999999999996</v>
      </c>
      <c r="G20" s="333"/>
      <c r="H20" s="227"/>
      <c r="I20" s="275"/>
    </row>
    <row r="21" spans="1:9" ht="17.25" x14ac:dyDescent="0.25">
      <c r="A21" s="273"/>
      <c r="B21" s="255" t="s">
        <v>22</v>
      </c>
      <c r="C21" s="538">
        <v>1485000</v>
      </c>
      <c r="D21" s="538">
        <v>1350000</v>
      </c>
      <c r="E21" s="538">
        <v>804000</v>
      </c>
      <c r="F21" s="589">
        <f t="shared" si="1"/>
        <v>0.5955555555555555</v>
      </c>
      <c r="G21" s="333"/>
      <c r="H21" s="227"/>
      <c r="I21" s="275"/>
    </row>
    <row r="22" spans="1:9" ht="17.25" x14ac:dyDescent="0.25">
      <c r="A22" s="273"/>
      <c r="B22" s="255" t="s">
        <v>48</v>
      </c>
      <c r="C22" s="538">
        <v>990000</v>
      </c>
      <c r="D22" s="538">
        <v>900000</v>
      </c>
      <c r="E22" s="538">
        <v>442500</v>
      </c>
      <c r="F22" s="589">
        <f t="shared" si="1"/>
        <v>0.49166666666666664</v>
      </c>
      <c r="G22" s="333"/>
      <c r="H22" s="227"/>
      <c r="I22" s="275"/>
    </row>
    <row r="23" spans="1:9" ht="17.25" x14ac:dyDescent="0.25">
      <c r="A23" s="273"/>
      <c r="B23" s="255" t="s">
        <v>45</v>
      </c>
      <c r="C23" s="538">
        <v>5060000</v>
      </c>
      <c r="D23" s="538">
        <v>4600000</v>
      </c>
      <c r="E23" s="538">
        <v>1792000</v>
      </c>
      <c r="F23" s="589">
        <f t="shared" si="1"/>
        <v>0.38956521739130434</v>
      </c>
      <c r="G23" s="333"/>
      <c r="H23" s="227"/>
      <c r="I23" s="275"/>
    </row>
    <row r="24" spans="1:9" ht="17.25" x14ac:dyDescent="0.25">
      <c r="A24" s="293"/>
      <c r="B24" s="277"/>
      <c r="C24" s="543">
        <f>SUM(C12:C23)</f>
        <v>32321300</v>
      </c>
      <c r="D24" s="543">
        <f>SUM(D12:D23)</f>
        <v>29383000</v>
      </c>
      <c r="E24" s="543">
        <f>SUM(E12:E23)</f>
        <v>6985620</v>
      </c>
      <c r="F24" s="593">
        <f t="shared" si="1"/>
        <v>0.23774359323418304</v>
      </c>
      <c r="G24" s="336">
        <f>SUM(G12:G23)</f>
        <v>0</v>
      </c>
      <c r="H24" s="295"/>
      <c r="I24" s="296"/>
    </row>
    <row r="25" spans="1:9" ht="17.25" x14ac:dyDescent="0.25">
      <c r="A25" s="261" t="s">
        <v>406</v>
      </c>
      <c r="B25" s="255" t="s">
        <v>20</v>
      </c>
      <c r="C25" s="538">
        <v>9350000</v>
      </c>
      <c r="D25" s="538">
        <v>8500000</v>
      </c>
      <c r="E25" s="538">
        <v>4170000</v>
      </c>
      <c r="F25" s="589">
        <f t="shared" si="1"/>
        <v>0.49058823529411766</v>
      </c>
      <c r="G25" s="333"/>
      <c r="H25" s="227"/>
      <c r="I25" s="275"/>
    </row>
    <row r="26" spans="1:9" ht="17.25" x14ac:dyDescent="0.25">
      <c r="A26" s="273"/>
      <c r="B26" s="337" t="s">
        <v>360</v>
      </c>
      <c r="C26" s="546">
        <v>11000000</v>
      </c>
      <c r="D26" s="546">
        <v>10000000</v>
      </c>
      <c r="E26" s="546">
        <v>-1436000</v>
      </c>
      <c r="F26" s="594">
        <f t="shared" si="1"/>
        <v>-0.14360000000000001</v>
      </c>
      <c r="G26" s="333"/>
      <c r="H26" s="227"/>
      <c r="I26" s="275"/>
    </row>
    <row r="27" spans="1:9" ht="17.25" x14ac:dyDescent="0.25">
      <c r="A27" s="273"/>
      <c r="B27" s="255" t="s">
        <v>52</v>
      </c>
      <c r="C27" s="538">
        <v>990000</v>
      </c>
      <c r="D27" s="538">
        <v>900000</v>
      </c>
      <c r="E27" s="538">
        <v>275000</v>
      </c>
      <c r="F27" s="589">
        <f t="shared" si="1"/>
        <v>0.30555555555555558</v>
      </c>
      <c r="G27" s="333"/>
      <c r="H27" s="227"/>
      <c r="I27" s="275"/>
    </row>
    <row r="28" spans="1:9" ht="17.25" x14ac:dyDescent="0.25">
      <c r="A28" s="273"/>
      <c r="B28" s="255" t="s">
        <v>15</v>
      </c>
      <c r="C28" s="538">
        <v>264000</v>
      </c>
      <c r="D28" s="538">
        <v>240000</v>
      </c>
      <c r="E28" s="538">
        <v>188000</v>
      </c>
      <c r="F28" s="589">
        <f t="shared" si="1"/>
        <v>0.78333333333333333</v>
      </c>
      <c r="G28" s="333"/>
      <c r="H28" s="227"/>
      <c r="I28" s="275"/>
    </row>
    <row r="29" spans="1:9" ht="17.25" x14ac:dyDescent="0.25">
      <c r="A29" s="273"/>
      <c r="B29" s="290" t="s">
        <v>48</v>
      </c>
      <c r="C29" s="540">
        <v>3102000</v>
      </c>
      <c r="D29" s="540">
        <v>2820000</v>
      </c>
      <c r="E29" s="540">
        <v>1322500</v>
      </c>
      <c r="F29" s="589">
        <f t="shared" si="1"/>
        <v>0.46897163120567376</v>
      </c>
      <c r="G29" s="333"/>
      <c r="H29" s="227"/>
      <c r="I29" s="275"/>
    </row>
    <row r="30" spans="1:9" ht="17.25" x14ac:dyDescent="0.25">
      <c r="A30" s="273"/>
      <c r="B30" s="290" t="s">
        <v>344</v>
      </c>
      <c r="C30" s="540">
        <v>1178650</v>
      </c>
      <c r="D30" s="540">
        <v>1071500</v>
      </c>
      <c r="E30" s="540">
        <v>1071500</v>
      </c>
      <c r="F30" s="589">
        <f t="shared" si="1"/>
        <v>1</v>
      </c>
      <c r="G30" s="333"/>
      <c r="H30" s="227"/>
      <c r="I30" s="275"/>
    </row>
    <row r="31" spans="1:9" ht="17.25" x14ac:dyDescent="0.25">
      <c r="A31" s="293"/>
      <c r="B31" s="277"/>
      <c r="C31" s="543">
        <f>SUM(C25:C30)</f>
        <v>25884650</v>
      </c>
      <c r="D31" s="543">
        <f>SUM(D25:D30)</f>
        <v>23531500</v>
      </c>
      <c r="E31" s="543">
        <f>SUM(E25:E30)</f>
        <v>5591000</v>
      </c>
      <c r="F31" s="593">
        <f t="shared" si="1"/>
        <v>0.23759641331831799</v>
      </c>
      <c r="G31" s="336">
        <f>SUM(G25:G30)</f>
        <v>0</v>
      </c>
      <c r="H31" s="295"/>
      <c r="I31" s="296"/>
    </row>
    <row r="32" spans="1:9" ht="17.25" x14ac:dyDescent="0.25">
      <c r="A32" s="261" t="s">
        <v>407</v>
      </c>
      <c r="B32" s="255" t="s">
        <v>344</v>
      </c>
      <c r="C32" s="538">
        <v>6457000</v>
      </c>
      <c r="D32" s="538">
        <v>5870000</v>
      </c>
      <c r="E32" s="538">
        <v>1170000</v>
      </c>
      <c r="F32" s="589">
        <f>E32/D32</f>
        <v>0.19931856899488926</v>
      </c>
      <c r="G32" s="333"/>
      <c r="H32" s="227"/>
      <c r="I32" s="275"/>
    </row>
    <row r="33" spans="1:9" ht="17.25" x14ac:dyDescent="0.25">
      <c r="A33" s="273"/>
      <c r="B33" s="255" t="s">
        <v>52</v>
      </c>
      <c r="C33" s="538">
        <v>676500</v>
      </c>
      <c r="D33" s="538">
        <v>615000</v>
      </c>
      <c r="E33" s="538">
        <v>243000</v>
      </c>
      <c r="F33" s="589">
        <f t="shared" ref="F33:F58" si="2">E33/D33</f>
        <v>0.39512195121951221</v>
      </c>
      <c r="G33" s="333"/>
      <c r="H33" s="227"/>
      <c r="I33" s="275"/>
    </row>
    <row r="34" spans="1:9" ht="17.25" x14ac:dyDescent="0.25">
      <c r="A34" s="273"/>
      <c r="B34" s="255" t="s">
        <v>53</v>
      </c>
      <c r="C34" s="538">
        <v>660000</v>
      </c>
      <c r="D34" s="538">
        <v>600000</v>
      </c>
      <c r="E34" s="538">
        <v>327600</v>
      </c>
      <c r="F34" s="589">
        <f t="shared" si="2"/>
        <v>0.54600000000000004</v>
      </c>
      <c r="G34" s="333"/>
      <c r="H34" s="227"/>
      <c r="I34" s="275"/>
    </row>
    <row r="35" spans="1:9" ht="17.25" x14ac:dyDescent="0.25">
      <c r="A35" s="273"/>
      <c r="B35" s="255" t="s">
        <v>22</v>
      </c>
      <c r="C35" s="538">
        <v>891000</v>
      </c>
      <c r="D35" s="538">
        <v>810000</v>
      </c>
      <c r="E35" s="538">
        <v>332000</v>
      </c>
      <c r="F35" s="589">
        <f t="shared" si="2"/>
        <v>0.40987654320987654</v>
      </c>
      <c r="G35" s="333"/>
      <c r="H35" s="227"/>
      <c r="I35" s="275"/>
    </row>
    <row r="36" spans="1:9" ht="17.25" x14ac:dyDescent="0.25">
      <c r="A36" s="273"/>
      <c r="B36" s="290" t="s">
        <v>17</v>
      </c>
      <c r="C36" s="540">
        <v>1584000</v>
      </c>
      <c r="D36" s="540">
        <v>1440000</v>
      </c>
      <c r="E36" s="540">
        <v>713600</v>
      </c>
      <c r="F36" s="589">
        <f t="shared" si="2"/>
        <v>0.49555555555555558</v>
      </c>
      <c r="G36" s="333"/>
      <c r="H36" s="227"/>
      <c r="I36" s="275"/>
    </row>
    <row r="37" spans="1:9" ht="17.25" x14ac:dyDescent="0.25">
      <c r="A37" s="273"/>
      <c r="B37" s="290" t="s">
        <v>48</v>
      </c>
      <c r="C37" s="540">
        <v>500500</v>
      </c>
      <c r="D37" s="540">
        <v>455000</v>
      </c>
      <c r="E37" s="540">
        <v>171000</v>
      </c>
      <c r="F37" s="589">
        <f t="shared" si="2"/>
        <v>0.37582417582417582</v>
      </c>
      <c r="G37" s="333"/>
      <c r="H37" s="227"/>
      <c r="I37" s="275"/>
    </row>
    <row r="38" spans="1:9" ht="17.25" x14ac:dyDescent="0.25">
      <c r="A38" s="293"/>
      <c r="B38" s="277"/>
      <c r="C38" s="543">
        <f>SUM(C32:C37)</f>
        <v>10769000</v>
      </c>
      <c r="D38" s="543">
        <f>SUM(D32:D37)</f>
        <v>9790000</v>
      </c>
      <c r="E38" s="543">
        <f>SUM(E32:E37)</f>
        <v>2957200</v>
      </c>
      <c r="F38" s="593">
        <f t="shared" si="2"/>
        <v>0.30206332992849849</v>
      </c>
      <c r="G38" s="336">
        <f>SUM(G32:G37)</f>
        <v>0</v>
      </c>
      <c r="H38" s="295"/>
      <c r="I38" s="296"/>
    </row>
    <row r="39" spans="1:9" ht="17.25" x14ac:dyDescent="0.25">
      <c r="A39" s="261" t="s">
        <v>408</v>
      </c>
      <c r="B39" s="255" t="s">
        <v>361</v>
      </c>
      <c r="C39" s="538">
        <v>1650000</v>
      </c>
      <c r="D39" s="538">
        <v>1650000</v>
      </c>
      <c r="E39" s="538">
        <v>630000</v>
      </c>
      <c r="F39" s="589">
        <f t="shared" si="2"/>
        <v>0.38181818181818183</v>
      </c>
      <c r="G39" s="333"/>
      <c r="H39" s="227"/>
      <c r="I39" s="275"/>
    </row>
    <row r="40" spans="1:9" ht="17.25" x14ac:dyDescent="0.25">
      <c r="A40" s="273"/>
      <c r="B40" s="255" t="s">
        <v>17</v>
      </c>
      <c r="C40" s="538">
        <v>2772000</v>
      </c>
      <c r="D40" s="538">
        <v>2520000</v>
      </c>
      <c r="E40" s="538">
        <v>1229000</v>
      </c>
      <c r="F40" s="589">
        <f t="shared" si="2"/>
        <v>0.48769841269841269</v>
      </c>
      <c r="G40" s="333"/>
      <c r="H40" s="227"/>
      <c r="I40" s="275"/>
    </row>
    <row r="41" spans="1:9" ht="17.25" x14ac:dyDescent="0.25">
      <c r="A41" s="273"/>
      <c r="B41" s="255" t="s">
        <v>45</v>
      </c>
      <c r="C41" s="538">
        <v>1100000</v>
      </c>
      <c r="D41" s="538">
        <v>1000000</v>
      </c>
      <c r="E41" s="538">
        <v>372000</v>
      </c>
      <c r="F41" s="589">
        <f t="shared" si="2"/>
        <v>0.372</v>
      </c>
      <c r="G41" s="333"/>
      <c r="H41" s="227"/>
      <c r="I41" s="275"/>
    </row>
    <row r="42" spans="1:9" ht="17.25" x14ac:dyDescent="0.25">
      <c r="A42" s="273"/>
      <c r="B42" s="255" t="s">
        <v>15</v>
      </c>
      <c r="C42" s="538">
        <v>5500000</v>
      </c>
      <c r="D42" s="538">
        <v>5000000</v>
      </c>
      <c r="E42" s="538">
        <v>2776000</v>
      </c>
      <c r="F42" s="589">
        <f t="shared" si="2"/>
        <v>0.55520000000000003</v>
      </c>
      <c r="G42" s="333"/>
      <c r="H42" s="227"/>
      <c r="I42" s="275"/>
    </row>
    <row r="43" spans="1:9" ht="17.25" x14ac:dyDescent="0.25">
      <c r="A43" s="293"/>
      <c r="B43" s="277"/>
      <c r="C43" s="543">
        <f>SUM(C39:C42)</f>
        <v>11022000</v>
      </c>
      <c r="D43" s="543">
        <f>SUM(D39:D42)</f>
        <v>10170000</v>
      </c>
      <c r="E43" s="543">
        <f>SUM(E39:E42)</f>
        <v>5007000</v>
      </c>
      <c r="F43" s="593">
        <f t="shared" si="2"/>
        <v>0.49233038348082597</v>
      </c>
      <c r="G43" s="336">
        <f>SUM(G39:G42)</f>
        <v>0</v>
      </c>
      <c r="H43" s="295"/>
      <c r="I43" s="296"/>
    </row>
    <row r="44" spans="1:9" ht="17.25" x14ac:dyDescent="0.25">
      <c r="A44" s="261" t="s">
        <v>409</v>
      </c>
      <c r="B44" s="297" t="s">
        <v>17</v>
      </c>
      <c r="C44" s="549">
        <v>660000</v>
      </c>
      <c r="D44" s="549">
        <v>600000</v>
      </c>
      <c r="E44" s="549">
        <v>496000</v>
      </c>
      <c r="F44" s="589">
        <f t="shared" si="2"/>
        <v>0.82666666666666666</v>
      </c>
      <c r="G44" s="333"/>
      <c r="H44" s="227"/>
      <c r="I44" s="275"/>
    </row>
    <row r="45" spans="1:9" ht="17.25" x14ac:dyDescent="0.25">
      <c r="A45" s="273"/>
      <c r="B45" s="290" t="s">
        <v>22</v>
      </c>
      <c r="C45" s="540">
        <v>5500000</v>
      </c>
      <c r="D45" s="540">
        <v>5000000</v>
      </c>
      <c r="E45" s="540">
        <v>1990000</v>
      </c>
      <c r="F45" s="589">
        <f t="shared" si="2"/>
        <v>0.39800000000000002</v>
      </c>
      <c r="G45" s="333"/>
      <c r="H45" s="227"/>
      <c r="I45" s="275"/>
    </row>
    <row r="46" spans="1:9" ht="17.25" x14ac:dyDescent="0.25">
      <c r="A46" s="273"/>
      <c r="B46" s="290" t="s">
        <v>15</v>
      </c>
      <c r="C46" s="540">
        <v>418000</v>
      </c>
      <c r="D46" s="540">
        <v>380000</v>
      </c>
      <c r="E46" s="540">
        <v>205120</v>
      </c>
      <c r="F46" s="589">
        <f t="shared" si="2"/>
        <v>0.53978947368421049</v>
      </c>
      <c r="G46" s="333"/>
      <c r="H46" s="227"/>
      <c r="I46" s="275"/>
    </row>
    <row r="47" spans="1:9" ht="17.25" x14ac:dyDescent="0.25">
      <c r="A47" s="273"/>
      <c r="B47" s="255" t="s">
        <v>48</v>
      </c>
      <c r="C47" s="538">
        <v>17710000</v>
      </c>
      <c r="D47" s="538">
        <v>16100000</v>
      </c>
      <c r="E47" s="538">
        <v>3642500</v>
      </c>
      <c r="F47" s="589">
        <f t="shared" si="2"/>
        <v>0.22624223602484472</v>
      </c>
      <c r="G47" s="333"/>
      <c r="H47" s="227"/>
      <c r="I47" s="275"/>
    </row>
    <row r="48" spans="1:9" ht="17.25" x14ac:dyDescent="0.25">
      <c r="A48" s="293"/>
      <c r="B48" s="277"/>
      <c r="C48" s="543">
        <f>SUM(C44:C47)</f>
        <v>24288000</v>
      </c>
      <c r="D48" s="543">
        <f>SUM(D44:D47)</f>
        <v>22080000</v>
      </c>
      <c r="E48" s="543">
        <f>SUM(E44:E47)</f>
        <v>6333620</v>
      </c>
      <c r="F48" s="593">
        <f t="shared" si="2"/>
        <v>0.28684873188405796</v>
      </c>
      <c r="G48" s="336">
        <f>SUM(G44:G47)</f>
        <v>0</v>
      </c>
      <c r="H48" s="295"/>
      <c r="I48" s="296"/>
    </row>
    <row r="49" spans="1:9" ht="17.25" x14ac:dyDescent="0.25">
      <c r="A49" s="261" t="s">
        <v>410</v>
      </c>
      <c r="B49" s="255" t="s">
        <v>17</v>
      </c>
      <c r="C49" s="538">
        <v>2200000</v>
      </c>
      <c r="D49" s="538">
        <v>2000000</v>
      </c>
      <c r="E49" s="538">
        <v>952000</v>
      </c>
      <c r="F49" s="589">
        <f t="shared" si="2"/>
        <v>0.47599999999999998</v>
      </c>
      <c r="G49" s="333"/>
      <c r="H49" s="227"/>
      <c r="I49" s="275"/>
    </row>
    <row r="50" spans="1:9" ht="17.25" x14ac:dyDescent="0.25">
      <c r="A50" s="273"/>
      <c r="B50" s="255" t="s">
        <v>22</v>
      </c>
      <c r="C50" s="538">
        <v>1848000</v>
      </c>
      <c r="D50" s="538">
        <v>1680000</v>
      </c>
      <c r="E50" s="538">
        <v>840000</v>
      </c>
      <c r="F50" s="589">
        <f t="shared" si="2"/>
        <v>0.5</v>
      </c>
      <c r="G50" s="333"/>
      <c r="H50" s="227"/>
      <c r="I50" s="275"/>
    </row>
    <row r="51" spans="1:9" ht="17.25" x14ac:dyDescent="0.25">
      <c r="A51" s="273"/>
      <c r="B51" s="255" t="s">
        <v>15</v>
      </c>
      <c r="C51" s="538">
        <v>418000</v>
      </c>
      <c r="D51" s="538">
        <v>380000</v>
      </c>
      <c r="E51" s="538">
        <v>205120</v>
      </c>
      <c r="F51" s="589">
        <f t="shared" si="2"/>
        <v>0.53978947368421049</v>
      </c>
      <c r="G51" s="333"/>
      <c r="H51" s="227"/>
      <c r="I51" s="275"/>
    </row>
    <row r="52" spans="1:9" ht="17.25" x14ac:dyDescent="0.25">
      <c r="A52" s="273"/>
      <c r="B52" s="255" t="s">
        <v>53</v>
      </c>
      <c r="C52" s="538">
        <v>3905000</v>
      </c>
      <c r="D52" s="538">
        <v>3550000</v>
      </c>
      <c r="E52" s="538">
        <v>990000</v>
      </c>
      <c r="F52" s="589">
        <f t="shared" si="2"/>
        <v>0.27887323943661974</v>
      </c>
      <c r="G52" s="333"/>
      <c r="H52" s="227"/>
      <c r="I52" s="275"/>
    </row>
    <row r="53" spans="1:9" ht="17.25" x14ac:dyDescent="0.25">
      <c r="A53" s="293"/>
      <c r="B53" s="277"/>
      <c r="C53" s="543">
        <f>SUM(C49:C52)</f>
        <v>8371000</v>
      </c>
      <c r="D53" s="543">
        <f>SUM(D49:D52)</f>
        <v>7610000</v>
      </c>
      <c r="E53" s="543">
        <f>SUM(E49:E52)</f>
        <v>2987120</v>
      </c>
      <c r="F53" s="593">
        <f t="shared" si="2"/>
        <v>0.39252562417871223</v>
      </c>
      <c r="G53" s="336">
        <f>SUM(G49:G52)</f>
        <v>0</v>
      </c>
      <c r="H53" s="295"/>
      <c r="I53" s="296"/>
    </row>
    <row r="54" spans="1:9" ht="17.25" x14ac:dyDescent="0.25">
      <c r="A54" s="261" t="s">
        <v>414</v>
      </c>
      <c r="B54" s="255" t="s">
        <v>22</v>
      </c>
      <c r="C54" s="538">
        <v>4730000</v>
      </c>
      <c r="D54" s="538">
        <v>4300000</v>
      </c>
      <c r="E54" s="538">
        <v>1300000</v>
      </c>
      <c r="F54" s="589">
        <f t="shared" si="2"/>
        <v>0.30232558139534882</v>
      </c>
      <c r="G54" s="333"/>
      <c r="H54" s="227"/>
      <c r="I54" s="275"/>
    </row>
    <row r="55" spans="1:9" ht="17.25" x14ac:dyDescent="0.25">
      <c r="A55" s="273"/>
      <c r="B55" s="255" t="s">
        <v>53</v>
      </c>
      <c r="C55" s="538">
        <v>594000</v>
      </c>
      <c r="D55" s="538">
        <v>540000</v>
      </c>
      <c r="E55" s="538">
        <v>312000</v>
      </c>
      <c r="F55" s="589">
        <f t="shared" si="2"/>
        <v>0.57777777777777772</v>
      </c>
      <c r="G55" s="333"/>
      <c r="H55" s="227"/>
      <c r="I55" s="275"/>
    </row>
    <row r="56" spans="1:9" ht="17.25" x14ac:dyDescent="0.25">
      <c r="A56" s="273"/>
      <c r="B56" s="255" t="s">
        <v>15</v>
      </c>
      <c r="C56" s="538">
        <v>2596000</v>
      </c>
      <c r="D56" s="538">
        <v>2360000</v>
      </c>
      <c r="E56" s="538">
        <v>2185120</v>
      </c>
      <c r="F56" s="589">
        <f t="shared" si="2"/>
        <v>0.9258983050847458</v>
      </c>
      <c r="G56" s="333"/>
      <c r="H56" s="227"/>
      <c r="I56" s="275"/>
    </row>
    <row r="57" spans="1:9" ht="17.25" x14ac:dyDescent="0.25">
      <c r="A57" s="273"/>
      <c r="B57" s="255" t="s">
        <v>48</v>
      </c>
      <c r="C57" s="538">
        <v>2475000</v>
      </c>
      <c r="D57" s="538">
        <v>2250000</v>
      </c>
      <c r="E57" s="538">
        <v>910000</v>
      </c>
      <c r="F57" s="589">
        <f t="shared" si="2"/>
        <v>0.40444444444444444</v>
      </c>
      <c r="G57" s="333"/>
      <c r="H57" s="227"/>
      <c r="I57" s="275"/>
    </row>
    <row r="58" spans="1:9" ht="17.25" x14ac:dyDescent="0.25">
      <c r="A58" s="293"/>
      <c r="B58" s="277"/>
      <c r="C58" s="543">
        <f>SUM(C54:C57)</f>
        <v>10395000</v>
      </c>
      <c r="D58" s="543">
        <f>SUM(D54:D57)</f>
        <v>9450000</v>
      </c>
      <c r="E58" s="543">
        <f>SUM(E54:E57)</f>
        <v>4707120</v>
      </c>
      <c r="F58" s="593">
        <f t="shared" si="2"/>
        <v>0.4981079365079365</v>
      </c>
      <c r="G58" s="336">
        <f>SUM(G54:G57)</f>
        <v>0</v>
      </c>
      <c r="H58" s="295"/>
      <c r="I58" s="296"/>
    </row>
    <row r="59" spans="1:9" ht="17.25" x14ac:dyDescent="0.25">
      <c r="A59" s="261" t="s">
        <v>417</v>
      </c>
      <c r="B59" s="255" t="s">
        <v>45</v>
      </c>
      <c r="C59" s="538">
        <v>1100000</v>
      </c>
      <c r="D59" s="538">
        <v>1000000</v>
      </c>
      <c r="E59" s="538">
        <v>470000</v>
      </c>
      <c r="F59" s="589">
        <f>E59/D59</f>
        <v>0.47</v>
      </c>
      <c r="G59" s="333"/>
      <c r="H59" s="227"/>
      <c r="I59" s="275"/>
    </row>
    <row r="60" spans="1:9" ht="17.25" x14ac:dyDescent="0.25">
      <c r="A60" s="273"/>
      <c r="B60" s="255" t="s">
        <v>48</v>
      </c>
      <c r="C60" s="538">
        <v>2090000</v>
      </c>
      <c r="D60" s="538">
        <v>1900000</v>
      </c>
      <c r="E60" s="538">
        <v>912500</v>
      </c>
      <c r="F60" s="589">
        <f>E60/D60</f>
        <v>0.48026315789473684</v>
      </c>
      <c r="G60" s="333"/>
      <c r="H60" s="227"/>
      <c r="I60" s="275"/>
    </row>
    <row r="61" spans="1:9" ht="17.25" x14ac:dyDescent="0.25">
      <c r="A61" s="273"/>
      <c r="B61" s="255" t="s">
        <v>344</v>
      </c>
      <c r="C61" s="538">
        <v>7590000</v>
      </c>
      <c r="D61" s="538">
        <v>6900000</v>
      </c>
      <c r="E61" s="538">
        <v>900000</v>
      </c>
      <c r="F61" s="589">
        <f>E61/D61</f>
        <v>0.13043478260869565</v>
      </c>
      <c r="G61" s="333"/>
      <c r="H61" s="227"/>
      <c r="I61" s="275"/>
    </row>
    <row r="62" spans="1:9" ht="17.25" x14ac:dyDescent="0.25">
      <c r="A62" s="293"/>
      <c r="B62" s="277"/>
      <c r="C62" s="543">
        <f>SUM(C59:C61)</f>
        <v>10780000</v>
      </c>
      <c r="D62" s="543">
        <f>SUM(D59:D61)</f>
        <v>9800000</v>
      </c>
      <c r="E62" s="543">
        <f>SUM(E59:E61)</f>
        <v>2282500</v>
      </c>
      <c r="F62" s="593">
        <f>E62/D62</f>
        <v>0.23290816326530611</v>
      </c>
      <c r="G62" s="336">
        <f>SUM(G59:G61)</f>
        <v>0</v>
      </c>
      <c r="H62" s="295"/>
      <c r="I62" s="296"/>
    </row>
    <row r="63" spans="1:9" ht="17.25" x14ac:dyDescent="0.25">
      <c r="A63" s="261" t="s">
        <v>418</v>
      </c>
      <c r="B63" s="255" t="s">
        <v>22</v>
      </c>
      <c r="C63" s="538">
        <v>2970000</v>
      </c>
      <c r="D63" s="538">
        <v>2700000</v>
      </c>
      <c r="E63" s="538">
        <v>938000</v>
      </c>
      <c r="F63" s="589">
        <f>E63/D63</f>
        <v>0.34740740740740739</v>
      </c>
      <c r="G63" s="333"/>
      <c r="H63" s="227"/>
      <c r="I63" s="275"/>
    </row>
    <row r="64" spans="1:9" ht="17.25" x14ac:dyDescent="0.25">
      <c r="A64" s="273"/>
      <c r="B64" s="255" t="s">
        <v>57</v>
      </c>
      <c r="C64" s="538">
        <v>9570000</v>
      </c>
      <c r="D64" s="538">
        <v>8700000</v>
      </c>
      <c r="E64" s="538">
        <v>3090000</v>
      </c>
      <c r="F64" s="589">
        <f t="shared" ref="F64:F71" si="3">E64/D64</f>
        <v>0.35517241379310344</v>
      </c>
      <c r="G64" s="333"/>
      <c r="H64" s="227"/>
      <c r="I64" s="275"/>
    </row>
    <row r="65" spans="1:9" ht="17.25" x14ac:dyDescent="0.25">
      <c r="A65" s="273"/>
      <c r="B65" s="255" t="s">
        <v>17</v>
      </c>
      <c r="C65" s="538">
        <v>8360000</v>
      </c>
      <c r="D65" s="538">
        <v>7600000</v>
      </c>
      <c r="E65" s="538">
        <v>1620000</v>
      </c>
      <c r="F65" s="589">
        <f t="shared" si="3"/>
        <v>0.2131578947368421</v>
      </c>
      <c r="G65" s="333"/>
      <c r="H65" s="227"/>
      <c r="I65" s="275"/>
    </row>
    <row r="66" spans="1:9" ht="17.25" x14ac:dyDescent="0.25">
      <c r="A66" s="273"/>
      <c r="B66" s="255" t="s">
        <v>344</v>
      </c>
      <c r="C66" s="538">
        <v>24926000</v>
      </c>
      <c r="D66" s="538">
        <v>22660000</v>
      </c>
      <c r="E66" s="538">
        <v>6081000</v>
      </c>
      <c r="F66" s="589">
        <f t="shared" si="3"/>
        <v>0.26835834068843778</v>
      </c>
      <c r="G66" s="333"/>
      <c r="H66" s="227"/>
      <c r="I66" s="275"/>
    </row>
    <row r="67" spans="1:9" ht="17.25" x14ac:dyDescent="0.25">
      <c r="A67" s="273"/>
      <c r="B67" s="255" t="s">
        <v>48</v>
      </c>
      <c r="C67" s="538">
        <v>2651000</v>
      </c>
      <c r="D67" s="538">
        <v>2410000</v>
      </c>
      <c r="E67" s="538">
        <v>1705500</v>
      </c>
      <c r="F67" s="589">
        <f t="shared" si="3"/>
        <v>0.70767634854771788</v>
      </c>
      <c r="G67" s="333"/>
      <c r="H67" s="227"/>
      <c r="I67" s="275"/>
    </row>
    <row r="68" spans="1:9" ht="17.25" x14ac:dyDescent="0.25">
      <c r="A68" s="273"/>
      <c r="B68" s="255" t="s">
        <v>344</v>
      </c>
      <c r="C68" s="538">
        <v>1650000</v>
      </c>
      <c r="D68" s="538">
        <v>1500000</v>
      </c>
      <c r="E68" s="538">
        <v>500000</v>
      </c>
      <c r="F68" s="589">
        <f t="shared" si="3"/>
        <v>0.33333333333333331</v>
      </c>
      <c r="G68" s="333"/>
      <c r="H68" s="227"/>
      <c r="I68" s="275"/>
    </row>
    <row r="69" spans="1:9" ht="17.25" x14ac:dyDescent="0.25">
      <c r="A69" s="273"/>
      <c r="B69" s="290" t="s">
        <v>15</v>
      </c>
      <c r="C69" s="540">
        <v>1870000</v>
      </c>
      <c r="D69" s="540">
        <v>1700000</v>
      </c>
      <c r="E69" s="540">
        <v>1170000</v>
      </c>
      <c r="F69" s="589">
        <f t="shared" si="3"/>
        <v>0.68823529411764706</v>
      </c>
      <c r="G69" s="333"/>
      <c r="H69" s="227"/>
      <c r="I69" s="275"/>
    </row>
    <row r="70" spans="1:9" ht="17.25" x14ac:dyDescent="0.25">
      <c r="A70" s="273"/>
      <c r="B70" s="290" t="s">
        <v>15</v>
      </c>
      <c r="C70" s="540">
        <v>1738000</v>
      </c>
      <c r="D70" s="540">
        <v>1580000</v>
      </c>
      <c r="E70" s="540">
        <v>1204000</v>
      </c>
      <c r="F70" s="589">
        <f t="shared" si="3"/>
        <v>0.76202531645569616</v>
      </c>
      <c r="G70" s="333"/>
      <c r="H70" s="227"/>
      <c r="I70" s="275"/>
    </row>
    <row r="71" spans="1:9" ht="17.25" x14ac:dyDescent="0.25">
      <c r="A71" s="293"/>
      <c r="B71" s="277"/>
      <c r="C71" s="543">
        <f>SUM(C63:C70)</f>
        <v>53735000</v>
      </c>
      <c r="D71" s="543">
        <f>SUM(D63:D70)</f>
        <v>48850000</v>
      </c>
      <c r="E71" s="543">
        <f>SUM(E63:E70)</f>
        <v>16308500</v>
      </c>
      <c r="F71" s="593">
        <f t="shared" si="3"/>
        <v>0.3338485158648925</v>
      </c>
      <c r="G71" s="336">
        <f>SUM(G63:G70)</f>
        <v>0</v>
      </c>
      <c r="H71" s="295"/>
      <c r="I71" s="296"/>
    </row>
    <row r="72" spans="1:9" ht="17.25" x14ac:dyDescent="0.25">
      <c r="A72" s="261" t="s">
        <v>419</v>
      </c>
      <c r="B72" s="255" t="s">
        <v>17</v>
      </c>
      <c r="C72" s="538">
        <v>22000000</v>
      </c>
      <c r="D72" s="538">
        <v>20000000</v>
      </c>
      <c r="E72" s="538">
        <v>7000000</v>
      </c>
      <c r="F72" s="589">
        <f>E72/D72</f>
        <v>0.35</v>
      </c>
      <c r="G72" s="333"/>
      <c r="H72" s="227"/>
      <c r="I72" s="275"/>
    </row>
    <row r="73" spans="1:9" ht="17.25" x14ac:dyDescent="0.25">
      <c r="A73" s="273"/>
      <c r="B73" s="255" t="s">
        <v>53</v>
      </c>
      <c r="C73" s="538">
        <v>7040000</v>
      </c>
      <c r="D73" s="538">
        <v>6400000</v>
      </c>
      <c r="E73" s="538">
        <v>3292000</v>
      </c>
      <c r="F73" s="589">
        <f t="shared" ref="F73:F92" si="4">E73/D73</f>
        <v>0.51437500000000003</v>
      </c>
      <c r="G73" s="333"/>
      <c r="H73" s="227"/>
      <c r="I73" s="275"/>
    </row>
    <row r="74" spans="1:9" ht="17.25" x14ac:dyDescent="0.25">
      <c r="A74" s="273"/>
      <c r="B74" s="255" t="s">
        <v>344</v>
      </c>
      <c r="C74" s="538">
        <v>1650000</v>
      </c>
      <c r="D74" s="538">
        <v>1500000</v>
      </c>
      <c r="E74" s="538">
        <v>450000</v>
      </c>
      <c r="F74" s="589">
        <f t="shared" si="4"/>
        <v>0.3</v>
      </c>
      <c r="G74" s="333"/>
      <c r="H74" s="227"/>
      <c r="I74" s="275"/>
    </row>
    <row r="75" spans="1:9" ht="17.25" x14ac:dyDescent="0.25">
      <c r="A75" s="273"/>
      <c r="B75" s="255" t="s">
        <v>344</v>
      </c>
      <c r="C75" s="538">
        <v>6600000</v>
      </c>
      <c r="D75" s="538">
        <v>6000000</v>
      </c>
      <c r="E75" s="538">
        <v>2000000</v>
      </c>
      <c r="F75" s="589">
        <f t="shared" si="4"/>
        <v>0.33333333333333331</v>
      </c>
      <c r="G75" s="333"/>
      <c r="H75" s="227"/>
      <c r="I75" s="275"/>
    </row>
    <row r="76" spans="1:9" ht="17.25" x14ac:dyDescent="0.25">
      <c r="A76" s="273"/>
      <c r="B76" s="255" t="s">
        <v>15</v>
      </c>
      <c r="C76" s="538">
        <v>2191200</v>
      </c>
      <c r="D76" s="538">
        <v>1992000</v>
      </c>
      <c r="E76" s="538">
        <v>1352000</v>
      </c>
      <c r="F76" s="589">
        <f t="shared" si="4"/>
        <v>0.67871485943775101</v>
      </c>
      <c r="G76" s="333"/>
      <c r="H76" s="227"/>
      <c r="I76" s="275"/>
    </row>
    <row r="77" spans="1:9" ht="17.25" x14ac:dyDescent="0.25">
      <c r="A77" s="273"/>
      <c r="B77" s="255" t="s">
        <v>487</v>
      </c>
      <c r="C77" s="538">
        <v>3272500</v>
      </c>
      <c r="D77" s="538">
        <v>2975000</v>
      </c>
      <c r="E77" s="538">
        <v>883000</v>
      </c>
      <c r="F77" s="589">
        <f t="shared" si="4"/>
        <v>0.29680672268907565</v>
      </c>
      <c r="G77" s="333"/>
      <c r="H77" s="227"/>
      <c r="I77" s="275"/>
    </row>
    <row r="78" spans="1:9" ht="17.25" x14ac:dyDescent="0.25">
      <c r="A78" s="273"/>
      <c r="B78" s="290" t="s">
        <v>488</v>
      </c>
      <c r="C78" s="540">
        <v>4807000</v>
      </c>
      <c r="D78" s="540">
        <v>4370000</v>
      </c>
      <c r="E78" s="540">
        <v>2003000</v>
      </c>
      <c r="F78" s="589">
        <f t="shared" si="4"/>
        <v>0.45835240274599542</v>
      </c>
      <c r="G78" s="333"/>
      <c r="H78" s="227"/>
      <c r="I78" s="275"/>
    </row>
    <row r="79" spans="1:9" ht="17.25" x14ac:dyDescent="0.25">
      <c r="A79" s="293"/>
      <c r="B79" s="277"/>
      <c r="C79" s="543">
        <f>SUM(C72:C78)</f>
        <v>47560700</v>
      </c>
      <c r="D79" s="543">
        <f>SUM(D72:D78)</f>
        <v>43237000</v>
      </c>
      <c r="E79" s="543">
        <f>SUM(E72:E78)</f>
        <v>16980000</v>
      </c>
      <c r="F79" s="593">
        <f t="shared" si="4"/>
        <v>0.39271919883433171</v>
      </c>
      <c r="G79" s="336">
        <f>SUM(G72:G78)</f>
        <v>0</v>
      </c>
      <c r="H79" s="295"/>
      <c r="I79" s="296"/>
    </row>
    <row r="80" spans="1:9" ht="17.25" x14ac:dyDescent="0.25">
      <c r="A80" s="261" t="s">
        <v>421</v>
      </c>
      <c r="B80" s="253" t="s">
        <v>22</v>
      </c>
      <c r="C80" s="537">
        <v>3080000</v>
      </c>
      <c r="D80" s="537">
        <v>2800000</v>
      </c>
      <c r="E80" s="537">
        <v>1269646.9544390133</v>
      </c>
      <c r="F80" s="589">
        <f t="shared" si="4"/>
        <v>0.45344534087107619</v>
      </c>
      <c r="G80" s="333"/>
      <c r="H80" s="227"/>
      <c r="I80" s="275"/>
    </row>
    <row r="81" spans="1:9" ht="17.25" x14ac:dyDescent="0.25">
      <c r="A81" s="273"/>
      <c r="B81" s="255" t="s">
        <v>487</v>
      </c>
      <c r="C81" s="538">
        <v>990000</v>
      </c>
      <c r="D81" s="538">
        <v>900000</v>
      </c>
      <c r="E81" s="538">
        <v>459440</v>
      </c>
      <c r="F81" s="589">
        <f t="shared" si="4"/>
        <v>0.51048888888888888</v>
      </c>
      <c r="G81" s="333"/>
      <c r="H81" s="227"/>
      <c r="I81" s="275"/>
    </row>
    <row r="82" spans="1:9" ht="17.25" x14ac:dyDescent="0.25">
      <c r="A82" s="273"/>
      <c r="B82" s="290" t="s">
        <v>488</v>
      </c>
      <c r="C82" s="538">
        <v>990000</v>
      </c>
      <c r="D82" s="538">
        <v>900000</v>
      </c>
      <c r="E82" s="538">
        <v>442500</v>
      </c>
      <c r="F82" s="589">
        <f t="shared" si="4"/>
        <v>0.49166666666666664</v>
      </c>
      <c r="G82" s="333"/>
      <c r="H82" s="227"/>
      <c r="I82" s="275"/>
    </row>
    <row r="83" spans="1:9" ht="17.25" x14ac:dyDescent="0.25">
      <c r="A83" s="293"/>
      <c r="B83" s="277"/>
      <c r="C83" s="543">
        <f>SUM(C80:C82)</f>
        <v>5060000</v>
      </c>
      <c r="D83" s="543">
        <f>SUM(D80:D82)</f>
        <v>4600000</v>
      </c>
      <c r="E83" s="543">
        <f>SUM(E80:E82)</f>
        <v>2171586.9544390133</v>
      </c>
      <c r="F83" s="593">
        <f t="shared" si="4"/>
        <v>0.47208412053022025</v>
      </c>
      <c r="G83" s="336">
        <f>SUM(G80:G82)</f>
        <v>0</v>
      </c>
      <c r="H83" s="295"/>
      <c r="I83" s="296"/>
    </row>
    <row r="84" spans="1:9" ht="17.25" x14ac:dyDescent="0.25">
      <c r="A84" s="261" t="s">
        <v>424</v>
      </c>
      <c r="B84" s="255" t="s">
        <v>57</v>
      </c>
      <c r="C84" s="538">
        <v>6512000</v>
      </c>
      <c r="D84" s="538">
        <v>5920000</v>
      </c>
      <c r="E84" s="538">
        <v>2562576.3843999999</v>
      </c>
      <c r="F84" s="589">
        <f t="shared" si="4"/>
        <v>0.43286763249999999</v>
      </c>
      <c r="G84" s="333"/>
      <c r="H84" s="227"/>
      <c r="I84" s="275"/>
    </row>
    <row r="85" spans="1:9" ht="17.25" x14ac:dyDescent="0.25">
      <c r="A85" s="273"/>
      <c r="B85" s="255" t="s">
        <v>22</v>
      </c>
      <c r="C85" s="538">
        <v>1386000</v>
      </c>
      <c r="D85" s="538">
        <v>1260000</v>
      </c>
      <c r="E85" s="538">
        <v>600000</v>
      </c>
      <c r="F85" s="589">
        <f t="shared" si="4"/>
        <v>0.47619047619047616</v>
      </c>
      <c r="G85" s="333"/>
      <c r="H85" s="227"/>
      <c r="I85" s="275"/>
    </row>
    <row r="86" spans="1:9" ht="17.25" x14ac:dyDescent="0.25">
      <c r="A86" s="273"/>
      <c r="B86" s="255" t="s">
        <v>15</v>
      </c>
      <c r="C86" s="538">
        <v>418000</v>
      </c>
      <c r="D86" s="538">
        <v>380000</v>
      </c>
      <c r="E86" s="538">
        <v>205120</v>
      </c>
      <c r="F86" s="589">
        <f t="shared" si="4"/>
        <v>0.53978947368421049</v>
      </c>
      <c r="G86" s="333"/>
      <c r="H86" s="227"/>
      <c r="I86" s="275"/>
    </row>
    <row r="87" spans="1:9" ht="17.25" x14ac:dyDescent="0.25">
      <c r="A87" s="273"/>
      <c r="B87" s="290" t="s">
        <v>488</v>
      </c>
      <c r="C87" s="538">
        <v>990000</v>
      </c>
      <c r="D87" s="538">
        <v>900000</v>
      </c>
      <c r="E87" s="538">
        <v>442500</v>
      </c>
      <c r="F87" s="589">
        <f t="shared" si="4"/>
        <v>0.49166666666666664</v>
      </c>
      <c r="G87" s="333"/>
      <c r="H87" s="227"/>
      <c r="I87" s="275"/>
    </row>
    <row r="88" spans="1:9" ht="17.25" x14ac:dyDescent="0.25">
      <c r="A88" s="293"/>
      <c r="B88" s="277"/>
      <c r="C88" s="543">
        <f>SUM(C84:C87)</f>
        <v>9306000</v>
      </c>
      <c r="D88" s="543">
        <f>SUM(D84:D87)</f>
        <v>8460000</v>
      </c>
      <c r="E88" s="543">
        <f>SUM(E84:E87)</f>
        <v>3810196.3843999999</v>
      </c>
      <c r="F88" s="593">
        <f t="shared" si="4"/>
        <v>0.45037782321512998</v>
      </c>
      <c r="G88" s="336">
        <f>SUM(G84:G87)</f>
        <v>0</v>
      </c>
      <c r="H88" s="295"/>
      <c r="I88" s="296"/>
    </row>
    <row r="89" spans="1:9" ht="17.25" x14ac:dyDescent="0.25">
      <c r="A89" s="261" t="s">
        <v>425</v>
      </c>
      <c r="B89" s="255" t="s">
        <v>487</v>
      </c>
      <c r="C89" s="538">
        <v>12100000</v>
      </c>
      <c r="D89" s="538">
        <v>11000000</v>
      </c>
      <c r="E89" s="538">
        <v>5040000</v>
      </c>
      <c r="F89" s="589">
        <f t="shared" si="4"/>
        <v>0.45818181818181819</v>
      </c>
      <c r="G89" s="333"/>
      <c r="H89" s="227"/>
      <c r="I89" s="275"/>
    </row>
    <row r="90" spans="1:9" ht="17.25" x14ac:dyDescent="0.25">
      <c r="A90" s="273"/>
      <c r="B90" s="255" t="s">
        <v>489</v>
      </c>
      <c r="C90" s="538">
        <v>9685500</v>
      </c>
      <c r="D90" s="538">
        <v>8805000</v>
      </c>
      <c r="E90" s="538">
        <v>1755000</v>
      </c>
      <c r="F90" s="589">
        <f t="shared" si="4"/>
        <v>0.19931856899488926</v>
      </c>
      <c r="G90" s="333"/>
      <c r="H90" s="227"/>
      <c r="I90" s="275"/>
    </row>
    <row r="91" spans="1:9" ht="17.25" x14ac:dyDescent="0.25">
      <c r="A91" s="273"/>
      <c r="B91" s="255" t="s">
        <v>362</v>
      </c>
      <c r="C91" s="538">
        <v>5450500</v>
      </c>
      <c r="D91" s="538">
        <v>4955000</v>
      </c>
      <c r="E91" s="538">
        <v>1238000</v>
      </c>
      <c r="F91" s="589">
        <f t="shared" si="4"/>
        <v>0.2498486377396569</v>
      </c>
      <c r="G91" s="333"/>
      <c r="H91" s="227"/>
      <c r="I91" s="275"/>
    </row>
    <row r="92" spans="1:9" ht="17.25" x14ac:dyDescent="0.25">
      <c r="A92" s="293"/>
      <c r="B92" s="277"/>
      <c r="C92" s="543">
        <f>SUM(C89:C91)</f>
        <v>27236000</v>
      </c>
      <c r="D92" s="543">
        <f>SUM(D89:D91)</f>
        <v>24760000</v>
      </c>
      <c r="E92" s="543">
        <f>SUM(E89:E91)</f>
        <v>8033000</v>
      </c>
      <c r="F92" s="593">
        <f t="shared" si="4"/>
        <v>0.32443457189014541</v>
      </c>
      <c r="G92" s="336">
        <f>SUM(G89:G91)</f>
        <v>0</v>
      </c>
      <c r="H92" s="295"/>
      <c r="I92" s="296"/>
    </row>
    <row r="93" spans="1:9" ht="21" customHeight="1" x14ac:dyDescent="0.25">
      <c r="A93" s="261" t="s">
        <v>427</v>
      </c>
      <c r="B93" s="255" t="s">
        <v>52</v>
      </c>
      <c r="C93" s="538">
        <v>2035000</v>
      </c>
      <c r="D93" s="538">
        <v>1850000</v>
      </c>
      <c r="E93" s="538">
        <v>935000</v>
      </c>
      <c r="F93" s="589">
        <f>E93/D93</f>
        <v>0.50540540540540535</v>
      </c>
      <c r="G93" s="333"/>
      <c r="H93" s="227"/>
      <c r="I93" s="275"/>
    </row>
    <row r="94" spans="1:9" ht="21" customHeight="1" x14ac:dyDescent="0.25">
      <c r="A94" s="273"/>
      <c r="B94" s="255" t="s">
        <v>17</v>
      </c>
      <c r="C94" s="538">
        <v>5940000</v>
      </c>
      <c r="D94" s="538">
        <v>5400000</v>
      </c>
      <c r="E94" s="538">
        <v>2463000</v>
      </c>
      <c r="F94" s="589">
        <f>E94/D94</f>
        <v>0.45611111111111113</v>
      </c>
      <c r="G94" s="333"/>
      <c r="H94" s="227"/>
      <c r="I94" s="275"/>
    </row>
    <row r="95" spans="1:9" ht="21" customHeight="1" x14ac:dyDescent="0.25">
      <c r="A95" s="273"/>
      <c r="B95" s="255" t="s">
        <v>15</v>
      </c>
      <c r="C95" s="538">
        <v>836000</v>
      </c>
      <c r="D95" s="538">
        <v>760000</v>
      </c>
      <c r="E95" s="538">
        <v>410240</v>
      </c>
      <c r="F95" s="589">
        <f>E95/D95</f>
        <v>0.53978947368421049</v>
      </c>
      <c r="G95" s="333"/>
      <c r="H95" s="227"/>
      <c r="I95" s="275"/>
    </row>
    <row r="96" spans="1:9" ht="21" customHeight="1" x14ac:dyDescent="0.25">
      <c r="A96" s="273"/>
      <c r="B96" s="255" t="s">
        <v>48</v>
      </c>
      <c r="C96" s="538">
        <v>990000</v>
      </c>
      <c r="D96" s="538">
        <v>900000</v>
      </c>
      <c r="E96" s="538">
        <v>442500</v>
      </c>
      <c r="F96" s="589">
        <f>E96/D96</f>
        <v>0.49166666666666664</v>
      </c>
      <c r="G96" s="333"/>
      <c r="H96" s="227"/>
      <c r="I96" s="275"/>
    </row>
    <row r="97" spans="1:9" ht="21" customHeight="1" x14ac:dyDescent="0.25">
      <c r="A97" s="293"/>
      <c r="B97" s="277" t="s">
        <v>2752</v>
      </c>
      <c r="C97" s="543">
        <f>SUM(C93:C96)</f>
        <v>9801000</v>
      </c>
      <c r="D97" s="543">
        <f>SUM(D93:D96)</f>
        <v>8910000</v>
      </c>
      <c r="E97" s="543">
        <f>SUM(E93:E96)</f>
        <v>4250740</v>
      </c>
      <c r="F97" s="593">
        <f>E97/D97</f>
        <v>0.47707519640852974</v>
      </c>
      <c r="G97" s="336">
        <f>SUM(G93:G96)</f>
        <v>0</v>
      </c>
      <c r="H97" s="295"/>
      <c r="I97" s="296"/>
    </row>
    <row r="98" spans="1:9" ht="21" customHeight="1" x14ac:dyDescent="0.25">
      <c r="A98" s="261" t="s">
        <v>435</v>
      </c>
      <c r="B98" s="255" t="s">
        <v>57</v>
      </c>
      <c r="C98" s="538">
        <v>11440000</v>
      </c>
      <c r="D98" s="538">
        <v>10400000</v>
      </c>
      <c r="E98" s="538">
        <v>5320000</v>
      </c>
      <c r="F98" s="589">
        <f t="shared" ref="F98:F105" si="5">E98/D98</f>
        <v>0.5115384615384615</v>
      </c>
      <c r="G98" s="333"/>
      <c r="H98" s="227"/>
      <c r="I98" s="275"/>
    </row>
    <row r="99" spans="1:9" ht="21" customHeight="1" x14ac:dyDescent="0.25">
      <c r="A99" s="273"/>
      <c r="B99" s="255" t="s">
        <v>50</v>
      </c>
      <c r="C99" s="538">
        <v>1958000</v>
      </c>
      <c r="D99" s="538">
        <v>1780000</v>
      </c>
      <c r="E99" s="538">
        <v>896000</v>
      </c>
      <c r="F99" s="589">
        <f t="shared" si="5"/>
        <v>0.50337078651685396</v>
      </c>
      <c r="G99" s="333"/>
      <c r="H99" s="227"/>
      <c r="I99" s="275"/>
    </row>
    <row r="100" spans="1:9" ht="21" customHeight="1" x14ac:dyDescent="0.25">
      <c r="A100" s="273"/>
      <c r="B100" s="255" t="s">
        <v>17</v>
      </c>
      <c r="C100" s="538">
        <v>550000</v>
      </c>
      <c r="D100" s="538">
        <v>500000</v>
      </c>
      <c r="E100" s="538">
        <v>318000</v>
      </c>
      <c r="F100" s="589">
        <f t="shared" si="5"/>
        <v>0.63600000000000001</v>
      </c>
      <c r="G100" s="333"/>
      <c r="H100" s="227"/>
      <c r="I100" s="275"/>
    </row>
    <row r="101" spans="1:9" ht="21" customHeight="1" x14ac:dyDescent="0.25">
      <c r="A101" s="273"/>
      <c r="B101" s="255" t="s">
        <v>48</v>
      </c>
      <c r="C101" s="538">
        <v>25879700</v>
      </c>
      <c r="D101" s="538">
        <v>23527000</v>
      </c>
      <c r="E101" s="538">
        <v>11122412.864</v>
      </c>
      <c r="F101" s="589">
        <f t="shared" si="5"/>
        <v>0.47275100369787904</v>
      </c>
      <c r="G101" s="333"/>
      <c r="H101" s="227"/>
      <c r="I101" s="275"/>
    </row>
    <row r="102" spans="1:9" ht="21" customHeight="1" x14ac:dyDescent="0.25">
      <c r="A102" s="293"/>
      <c r="B102" s="277"/>
      <c r="C102" s="543">
        <f>SUM(C98:C101)</f>
        <v>39827700</v>
      </c>
      <c r="D102" s="543">
        <f>SUM(D98:D101)</f>
        <v>36207000</v>
      </c>
      <c r="E102" s="543">
        <f>SUM(E98:E101)</f>
        <v>17656412.864</v>
      </c>
      <c r="F102" s="593">
        <f t="shared" si="5"/>
        <v>0.48765191438119698</v>
      </c>
      <c r="G102" s="336">
        <f>SUM(G98:G101)</f>
        <v>0</v>
      </c>
      <c r="H102" s="295"/>
      <c r="I102" s="296"/>
    </row>
    <row r="103" spans="1:9" ht="21" customHeight="1" x14ac:dyDescent="0.25">
      <c r="A103" s="261" t="s">
        <v>438</v>
      </c>
      <c r="B103" s="297" t="s">
        <v>17</v>
      </c>
      <c r="C103" s="549">
        <v>7865000</v>
      </c>
      <c r="D103" s="549">
        <v>7150000</v>
      </c>
      <c r="E103" s="549">
        <v>2865000</v>
      </c>
      <c r="F103" s="589">
        <f t="shared" si="5"/>
        <v>0.40069930069930071</v>
      </c>
      <c r="G103" s="333"/>
      <c r="H103" s="227"/>
      <c r="I103" s="275"/>
    </row>
    <row r="104" spans="1:9" ht="21" customHeight="1" x14ac:dyDescent="0.25">
      <c r="A104" s="273"/>
      <c r="B104" s="253" t="s">
        <v>490</v>
      </c>
      <c r="C104" s="537">
        <v>4202000</v>
      </c>
      <c r="D104" s="537">
        <v>3820000</v>
      </c>
      <c r="E104" s="537">
        <v>1826140</v>
      </c>
      <c r="F104" s="589">
        <f t="shared" si="5"/>
        <v>0.47804712041884817</v>
      </c>
      <c r="G104" s="333"/>
      <c r="H104" s="227"/>
      <c r="I104" s="275"/>
    </row>
    <row r="105" spans="1:9" ht="21" customHeight="1" x14ac:dyDescent="0.25">
      <c r="A105" s="293"/>
      <c r="B105" s="277"/>
      <c r="C105" s="543">
        <f>SUM(C103:C104)</f>
        <v>12067000</v>
      </c>
      <c r="D105" s="543">
        <f>SUM(D103:D104)</f>
        <v>10970000</v>
      </c>
      <c r="E105" s="543">
        <f>SUM(E103:E104)</f>
        <v>4691140</v>
      </c>
      <c r="F105" s="593">
        <f t="shared" si="5"/>
        <v>0.42763354603463993</v>
      </c>
      <c r="G105" s="336">
        <f>SUM(G103:G104)</f>
        <v>0</v>
      </c>
      <c r="H105" s="295"/>
      <c r="I105" s="296"/>
    </row>
    <row r="106" spans="1:9" ht="21" customHeight="1" x14ac:dyDescent="0.25">
      <c r="A106" s="261" t="s">
        <v>440</v>
      </c>
      <c r="B106" s="253" t="s">
        <v>101</v>
      </c>
      <c r="C106" s="537">
        <v>13200000</v>
      </c>
      <c r="D106" s="537">
        <v>12000000</v>
      </c>
      <c r="E106" s="537">
        <v>6474000</v>
      </c>
      <c r="F106" s="589">
        <f t="shared" ref="F106:F142" si="6">E106/D106</f>
        <v>0.53949999999999998</v>
      </c>
      <c r="G106" s="333"/>
      <c r="H106" s="227"/>
      <c r="I106" s="275"/>
    </row>
    <row r="107" spans="1:9" ht="21" customHeight="1" x14ac:dyDescent="0.25">
      <c r="A107" s="273"/>
      <c r="B107" s="297" t="s">
        <v>17</v>
      </c>
      <c r="C107" s="549">
        <v>1100000</v>
      </c>
      <c r="D107" s="549">
        <v>1000000</v>
      </c>
      <c r="E107" s="549">
        <v>610000</v>
      </c>
      <c r="F107" s="589">
        <f t="shared" si="6"/>
        <v>0.61</v>
      </c>
      <c r="G107" s="333"/>
      <c r="H107" s="227"/>
      <c r="I107" s="275"/>
    </row>
    <row r="108" spans="1:9" ht="21" customHeight="1" x14ac:dyDescent="0.25">
      <c r="A108" s="293"/>
      <c r="B108" s="277"/>
      <c r="C108" s="543">
        <f>SUM(C106:C107)</f>
        <v>14300000</v>
      </c>
      <c r="D108" s="543">
        <f>SUM(D106:D107)</f>
        <v>13000000</v>
      </c>
      <c r="E108" s="543">
        <f>SUM(E106:E107)</f>
        <v>7084000</v>
      </c>
      <c r="F108" s="593">
        <f t="shared" si="6"/>
        <v>0.54492307692307695</v>
      </c>
      <c r="G108" s="336">
        <f>SUM(G106:G107)</f>
        <v>0</v>
      </c>
      <c r="H108" s="295"/>
      <c r="I108" s="296"/>
    </row>
    <row r="109" spans="1:9" ht="21" customHeight="1" x14ac:dyDescent="0.25">
      <c r="A109" s="261" t="s">
        <v>452</v>
      </c>
      <c r="B109" s="309" t="s">
        <v>491</v>
      </c>
      <c r="C109" s="233">
        <f t="shared" ref="C109:C114" ca="1" si="7">SUMIFS(INDIRECT("Report!F3:F55"),INDIRECT("Report!B3:B55"),B109,INDIRECT("report!H3:H55"), "Goss")</f>
        <v>770000.00000000012</v>
      </c>
      <c r="D109" s="236">
        <f t="shared" ref="D109:D114" ca="1" si="8">(C109/11*10)</f>
        <v>700000.00000000012</v>
      </c>
      <c r="E109" s="233">
        <f t="shared" ref="E109:E114" ca="1" si="9">SUMIFS(INDIRECT("Report!J3:J55"),INDIRECT("Report!B3:B55"),B109,INDIRECT("report!H3:H55"), "Goss")</f>
        <v>379360</v>
      </c>
      <c r="F109" s="589">
        <f t="shared" ca="1" si="6"/>
        <v>0.54194285714285706</v>
      </c>
    </row>
    <row r="110" spans="1:9" ht="21" customHeight="1" x14ac:dyDescent="0.25">
      <c r="B110" s="309" t="s">
        <v>492</v>
      </c>
      <c r="C110" s="233">
        <f t="shared" ca="1" si="7"/>
        <v>836000.00000000012</v>
      </c>
      <c r="D110" s="236">
        <f t="shared" ca="1" si="8"/>
        <v>760000.00000000012</v>
      </c>
      <c r="E110" s="233">
        <f t="shared" ca="1" si="9"/>
        <v>400000</v>
      </c>
      <c r="F110" s="589">
        <f t="shared" ca="1" si="6"/>
        <v>0.52631578947368418</v>
      </c>
    </row>
    <row r="111" spans="1:9" ht="21" customHeight="1" x14ac:dyDescent="0.25">
      <c r="B111" s="309" t="s">
        <v>493</v>
      </c>
      <c r="C111" s="233">
        <f t="shared" ca="1" si="7"/>
        <v>990000.00000000012</v>
      </c>
      <c r="D111" s="236">
        <f t="shared" ca="1" si="8"/>
        <v>900000.00000000012</v>
      </c>
      <c r="E111" s="233">
        <f t="shared" ca="1" si="9"/>
        <v>450000</v>
      </c>
      <c r="F111" s="589">
        <f t="shared" ca="1" si="6"/>
        <v>0.49999999999999994</v>
      </c>
    </row>
    <row r="112" spans="1:9" ht="21" customHeight="1" x14ac:dyDescent="0.25">
      <c r="B112" s="309" t="s">
        <v>494</v>
      </c>
      <c r="C112" s="233">
        <f t="shared" ca="1" si="7"/>
        <v>935000.00000000012</v>
      </c>
      <c r="D112" s="236">
        <f t="shared" ca="1" si="8"/>
        <v>850000.00000000012</v>
      </c>
      <c r="E112" s="233">
        <f t="shared" ca="1" si="9"/>
        <v>423630</v>
      </c>
      <c r="F112" s="589">
        <f t="shared" ca="1" si="6"/>
        <v>0.49838823529411758</v>
      </c>
    </row>
    <row r="113" spans="1:7" ht="21" customHeight="1" x14ac:dyDescent="0.25">
      <c r="B113" s="309" t="s">
        <v>495</v>
      </c>
      <c r="C113" s="233">
        <f t="shared" ca="1" si="7"/>
        <v>5940000.0000000009</v>
      </c>
      <c r="D113" s="236">
        <f t="shared" ca="1" si="8"/>
        <v>5400000.0000000009</v>
      </c>
      <c r="E113" s="233">
        <f t="shared" ca="1" si="9"/>
        <v>2221350</v>
      </c>
      <c r="F113" s="589">
        <f t="shared" ca="1" si="6"/>
        <v>0.41136111111111107</v>
      </c>
    </row>
    <row r="114" spans="1:7" ht="21" customHeight="1" x14ac:dyDescent="0.25">
      <c r="B114" s="309" t="s">
        <v>496</v>
      </c>
      <c r="C114" s="233">
        <f t="shared" ca="1" si="7"/>
        <v>660000</v>
      </c>
      <c r="D114" s="236">
        <f t="shared" ca="1" si="8"/>
        <v>600000</v>
      </c>
      <c r="E114" s="233">
        <f t="shared" ca="1" si="9"/>
        <v>150000</v>
      </c>
      <c r="F114" s="589">
        <f t="shared" ca="1" si="6"/>
        <v>0.25</v>
      </c>
    </row>
    <row r="115" spans="1:7" ht="21" customHeight="1" x14ac:dyDescent="0.25">
      <c r="A115" s="293"/>
      <c r="B115" s="277"/>
      <c r="C115" s="543">
        <f ca="1">SUM(C109:C114)</f>
        <v>10131000.000000002</v>
      </c>
      <c r="D115" s="543">
        <f ca="1">SUM(D109:D114)</f>
        <v>9210000.0000000019</v>
      </c>
      <c r="E115" s="543">
        <f ca="1">SUM(E109:E114)</f>
        <v>4024340</v>
      </c>
      <c r="F115" s="593">
        <f t="shared" ca="1" si="6"/>
        <v>0.43695331161780665</v>
      </c>
      <c r="G115" s="336">
        <f>SUM(G114:G114)</f>
        <v>0</v>
      </c>
    </row>
    <row r="116" spans="1:7" ht="21" customHeight="1" x14ac:dyDescent="0.25">
      <c r="A116" s="261" t="s">
        <v>462</v>
      </c>
      <c r="B116" s="309" t="s">
        <v>497</v>
      </c>
      <c r="C116" s="233">
        <f ca="1">SUMIFS(INDIRECT("Report!F58:F120"),INDIRECT("Report!B58:B120"),B116,INDIRECT("report!H58:H120"), "Goss")</f>
        <v>1732500</v>
      </c>
      <c r="D116" s="236">
        <f ca="1">(C116/11*10)</f>
        <v>1575000</v>
      </c>
      <c r="E116" s="233">
        <f ca="1">SUMIFS(INDIRECT("Report!J58:J120"),INDIRECT("Report!B58:B120"),B116,INDIRECT("report!H58:H120"), "Goss")</f>
        <v>1575000</v>
      </c>
      <c r="F116" s="589">
        <f t="shared" ca="1" si="6"/>
        <v>1</v>
      </c>
    </row>
    <row r="117" spans="1:7" ht="21" customHeight="1" x14ac:dyDescent="0.25">
      <c r="B117" s="309" t="s">
        <v>498</v>
      </c>
      <c r="C117" s="233">
        <f ca="1">SUMIFS(INDIRECT("Report!F58:F120"),INDIRECT("Report!B58:B120"),B117,INDIRECT("report!H58:H120"), "Goss")</f>
        <v>1056000</v>
      </c>
      <c r="D117" s="236">
        <f ca="1">(C117/11*10)</f>
        <v>960000</v>
      </c>
      <c r="E117" s="233">
        <f ca="1">SUMIFS(INDIRECT("Report!J58:J120"),INDIRECT("Report!B58:B120"),B117,INDIRECT("report!H58:H120"), "Goss")</f>
        <v>960000</v>
      </c>
      <c r="F117" s="589">
        <f t="shared" ca="1" si="6"/>
        <v>1</v>
      </c>
    </row>
    <row r="118" spans="1:7" ht="21" customHeight="1" x14ac:dyDescent="0.25">
      <c r="B118" s="309" t="s">
        <v>600</v>
      </c>
      <c r="C118" s="233">
        <f ca="1">SUMIFS(INDIRECT("Report!F58:F120"),INDIRECT("Report!B58:B120"),B118,INDIRECT("report!H58:H120"), "Goss")</f>
        <v>2640000</v>
      </c>
      <c r="D118" s="236">
        <f ca="1">(C118/11*10)</f>
        <v>2400000</v>
      </c>
      <c r="E118" s="233">
        <f ca="1">SUMIFS(INDIRECT("Report!J58:J120"),INDIRECT("Report!B58:B120"),B118,INDIRECT("report!H58:H120"), "Goss")</f>
        <v>2400000</v>
      </c>
      <c r="F118" s="589">
        <f t="shared" ca="1" si="6"/>
        <v>1</v>
      </c>
    </row>
    <row r="119" spans="1:7" ht="21" customHeight="1" x14ac:dyDescent="0.25">
      <c r="B119" s="309" t="s">
        <v>610</v>
      </c>
      <c r="C119" s="233">
        <f ca="1">SUMIFS(INDIRECT("Report!F58:F120"),INDIRECT("Report!B58:B120"),B119,INDIRECT("report!H58:H120"), "Goss")</f>
        <v>2200000</v>
      </c>
      <c r="D119" s="236">
        <f ca="1">(C119/11*10)</f>
        <v>2000000</v>
      </c>
      <c r="E119" s="233">
        <f ca="1">SUMIFS(INDIRECT("Report!J58:J120"),INDIRECT("Report!B58:B120"),B119,INDIRECT("report!H58:H120"), "Goss")</f>
        <v>1700000</v>
      </c>
      <c r="F119" s="589">
        <f t="shared" ca="1" si="6"/>
        <v>0.85</v>
      </c>
    </row>
    <row r="120" spans="1:7" ht="21" customHeight="1" x14ac:dyDescent="0.25">
      <c r="A120" s="293"/>
      <c r="B120" s="277"/>
      <c r="C120" s="543">
        <f ca="1">SUM(C116:C119)</f>
        <v>7628500</v>
      </c>
      <c r="D120" s="543">
        <f ca="1">SUM(D116:D119)</f>
        <v>6935000</v>
      </c>
      <c r="E120" s="543">
        <f ca="1">SUM(E116:E119)</f>
        <v>6635000</v>
      </c>
      <c r="F120" s="593">
        <f t="shared" ca="1" si="6"/>
        <v>0.95674116798846431</v>
      </c>
      <c r="G120" s="336">
        <f>SUM(G119)</f>
        <v>0</v>
      </c>
    </row>
    <row r="121" spans="1:7" ht="21" customHeight="1" x14ac:dyDescent="0.25">
      <c r="A121" s="261" t="s">
        <v>642</v>
      </c>
      <c r="B121" s="228" t="s">
        <v>600</v>
      </c>
      <c r="C121" s="250">
        <f ca="1">SUMIFS(INDIRECT("Report!F100:F1000"),INDIRECT("Report!B100:B1000"),B121,INDIRECT("report!H100:H1000"),"Goss",INDIRECT("Report!L100:L1000"),"17.7")</f>
        <v>660000</v>
      </c>
      <c r="D121" s="236">
        <f ca="1">(C121/11*10)</f>
        <v>600000</v>
      </c>
      <c r="E121" s="250">
        <f ca="1">SUMIFS(INDIRECT("Report!J100:J1000"),INDIRECT("Report!B100:B1000"),B121,INDIRECT("report!H100:H1000"),"Goss",INDIRECT("Report!L100:L1000"),"17.7")</f>
        <v>354000</v>
      </c>
      <c r="F121" s="589">
        <f t="shared" ca="1" si="6"/>
        <v>0.59</v>
      </c>
    </row>
    <row r="122" spans="1:7" ht="21" customHeight="1" x14ac:dyDescent="0.25">
      <c r="B122" s="228" t="s">
        <v>498</v>
      </c>
      <c r="C122" s="250">
        <f ca="1">SUMIFS(INDIRECT("Report!F100:F1000"),INDIRECT("Report!B100:B1000"),B122,INDIRECT("report!H100:H1000"),"Goss",INDIRECT("Report!L100:L1000"),"17.7")</f>
        <v>1056000</v>
      </c>
      <c r="D122" s="236">
        <f ca="1">(C122/11*10)</f>
        <v>960000</v>
      </c>
      <c r="E122" s="250">
        <f ca="1">SUMIFS(INDIRECT("Report!J100:J1000"),INDIRECT("Report!B100:B1000"),B122,INDIRECT("report!H100:H1000"),"Goss",INDIRECT("Report!L100:L1000"),"17.7")</f>
        <v>960000</v>
      </c>
      <c r="F122" s="589">
        <f t="shared" ca="1" si="6"/>
        <v>1</v>
      </c>
    </row>
    <row r="123" spans="1:7" ht="21" customHeight="1" x14ac:dyDescent="0.25">
      <c r="B123" s="228" t="s">
        <v>643</v>
      </c>
      <c r="C123" s="250">
        <f ca="1">SUMIFS(INDIRECT("Report!F100:F1000"),INDIRECT("Report!B100:B1000"),B123,INDIRECT("report!H100:H1000"),"Goss",INDIRECT("Report!L100:L1000"),"17.7")</f>
        <v>14256000.000000002</v>
      </c>
      <c r="D123" s="236">
        <f ca="1">(C123/11*10)</f>
        <v>12960000.000000002</v>
      </c>
      <c r="E123" s="250">
        <f ca="1">SUMIFS(INDIRECT("Report!J100:J1000"),INDIRECT("Report!B100:B1000"),B123,INDIRECT("report!H100:H1000"),"Goss",INDIRECT("Report!L100:L1000"),"17.7")</f>
        <v>12960000</v>
      </c>
      <c r="F123" s="595">
        <f t="shared" ca="1" si="6"/>
        <v>0.99999999999999989</v>
      </c>
    </row>
    <row r="124" spans="1:7" ht="21" customHeight="1" x14ac:dyDescent="0.25">
      <c r="B124" s="228" t="s">
        <v>644</v>
      </c>
      <c r="C124" s="250">
        <f ca="1">SUMIFS(INDIRECT("Report!F100:F1000"),INDIRECT("Report!B100:B1000"),B124,INDIRECT("report!H100:H1000"),"Goss",INDIRECT("Report!L100:L1000"),"17.7")</f>
        <v>40700000</v>
      </c>
      <c r="D124" s="236">
        <f ca="1">(C124/11*10)</f>
        <v>37000000</v>
      </c>
      <c r="E124" s="250">
        <f ca="1">SUMIFS(INDIRECT("Report!J100:J1000"),INDIRECT("Report!B100:B1000"),B124,INDIRECT("report!H100:H1000"),"Goss",INDIRECT("Report!L100:L1000"),"17.7")</f>
        <v>36880000</v>
      </c>
      <c r="F124" s="595">
        <f t="shared" ca="1" si="6"/>
        <v>0.99675675675675679</v>
      </c>
    </row>
    <row r="125" spans="1:7" ht="21" customHeight="1" x14ac:dyDescent="0.25">
      <c r="A125" s="293"/>
      <c r="B125" s="277"/>
      <c r="C125" s="543">
        <f ca="1">SUM(C121:C124)</f>
        <v>56672000</v>
      </c>
      <c r="D125" s="543">
        <f ca="1">SUM(D121:D124)</f>
        <v>51520000</v>
      </c>
      <c r="E125" s="543">
        <f ca="1">SUM(E121:E124)</f>
        <v>51154000</v>
      </c>
      <c r="F125" s="593">
        <f t="shared" ca="1" si="6"/>
        <v>0.99289596273291925</v>
      </c>
      <c r="G125" s="336">
        <f>SUM(G124)</f>
        <v>0</v>
      </c>
    </row>
    <row r="126" spans="1:7" ht="21" customHeight="1" x14ac:dyDescent="0.25">
      <c r="A126" s="261" t="s">
        <v>709</v>
      </c>
      <c r="B126" s="228" t="s">
        <v>760</v>
      </c>
      <c r="C126" s="250">
        <f ca="1">SUMIFS(INDIRECT("Report!F100:F1000"),INDIRECT("Report!B100:B1000"),B126,INDIRECT("report!H100:H1000"),"Goss",INDIRECT("Report!L100:L1000"),"17.8")</f>
        <v>15994000</v>
      </c>
      <c r="D126" s="236">
        <f ca="1">(C126/11*10)</f>
        <v>14540000</v>
      </c>
      <c r="E126" s="250">
        <f ca="1">SUMIFS(INDIRECT("Report!J100:J1000"),INDIRECT("Report!B100:B1000"),B126,INDIRECT("report!H100:H1000"),"Goss",INDIRECT("Report!L100:L1000"),"17.8")</f>
        <v>11540000</v>
      </c>
      <c r="F126" s="589">
        <f t="shared" ca="1" si="6"/>
        <v>0.79367262723521326</v>
      </c>
    </row>
    <row r="127" spans="1:7" ht="21" customHeight="1" x14ac:dyDescent="0.25">
      <c r="B127" s="228" t="s">
        <v>497</v>
      </c>
      <c r="C127" s="250">
        <f ca="1">SUMIFS(INDIRECT("Report!F100:F1000"),INDIRECT("Report!B100:B1000"),B127,INDIRECT("report!H100:H1000"),"Goss",INDIRECT("Report!L100:L1000"),"17.8")</f>
        <v>2662000</v>
      </c>
      <c r="D127" s="236">
        <f ca="1">(C127/11*10)</f>
        <v>2420000</v>
      </c>
      <c r="E127" s="250">
        <f ca="1">SUMIFS(INDIRECT("Report!J100:J1000"),INDIRECT("Report!B100:B1000"),B127,INDIRECT("report!H100:H1000"),"Goss",INDIRECT("Report!L100:L1000"),"17.8")</f>
        <v>2420000</v>
      </c>
      <c r="F127" s="595">
        <f t="shared" ca="1" si="6"/>
        <v>1</v>
      </c>
    </row>
    <row r="128" spans="1:7" ht="21" customHeight="1" x14ac:dyDescent="0.25">
      <c r="B128" s="228" t="s">
        <v>770</v>
      </c>
      <c r="C128" s="250">
        <f ca="1">SUMIFS(INDIRECT("Report!F100:F1000"),INDIRECT("Report!B100:B1000"),B128,INDIRECT("report!H100:H1000"),"Goss",INDIRECT("Report!L100:L1000"),"17.8")</f>
        <v>1650000.0000000002</v>
      </c>
      <c r="D128" s="236">
        <f ca="1">(C128/11*10)</f>
        <v>1500000.0000000002</v>
      </c>
      <c r="E128" s="250">
        <f ca="1">SUMIFS(INDIRECT("Report!J100:J1000"),INDIRECT("Report!B100:B1000"),B128,INDIRECT("report!H100:H1000"),"Goss",INDIRECT("Report!L100:L1000"),"17.8")</f>
        <v>1200000</v>
      </c>
      <c r="F128" s="595">
        <f t="shared" ca="1" si="6"/>
        <v>0.79999999999999982</v>
      </c>
    </row>
    <row r="129" spans="1:7" ht="21" customHeight="1" x14ac:dyDescent="0.25">
      <c r="A129" s="293"/>
      <c r="B129" s="277"/>
      <c r="C129" s="543">
        <f ca="1">SUM(C126:C128)</f>
        <v>20306000</v>
      </c>
      <c r="D129" s="543">
        <f ca="1">SUM(D126:D128)</f>
        <v>18460000</v>
      </c>
      <c r="E129" s="543">
        <f ca="1">SUM(E126:E128)</f>
        <v>15160000</v>
      </c>
      <c r="F129" s="593">
        <f t="shared" ca="1" si="6"/>
        <v>0.82123510292524382</v>
      </c>
      <c r="G129" s="336">
        <f>SUM(G127)</f>
        <v>0</v>
      </c>
    </row>
    <row r="130" spans="1:7" ht="21" customHeight="1" x14ac:dyDescent="0.25">
      <c r="A130" s="261" t="s">
        <v>832</v>
      </c>
      <c r="B130" s="228" t="s">
        <v>770</v>
      </c>
      <c r="C130" s="250">
        <f ca="1">SUMIFS(INDIRECT("Report!F100:F1000"),INDIRECT("Report!B100:B1000"),B130,INDIRECT("report!H100:H1000"),"Goss",INDIRECT("Report!L100:L1000"),"17.9")</f>
        <v>584100</v>
      </c>
      <c r="D130" s="236">
        <f ca="1">(C130/11*10)</f>
        <v>531000</v>
      </c>
      <c r="E130" s="250">
        <f ca="1">SUMIFS(INDIRECT("Report!J100:J1000"),INDIRECT("Report!B100:B1000"),B130,INDIRECT("report!H100:H1000"),"Goss",INDIRECT("Report!L100:L1000"),"17.9")</f>
        <v>531000</v>
      </c>
      <c r="F130" s="595">
        <f t="shared" ca="1" si="6"/>
        <v>1</v>
      </c>
    </row>
    <row r="131" spans="1:7" ht="21" customHeight="1" x14ac:dyDescent="0.25">
      <c r="B131" s="228" t="s">
        <v>493</v>
      </c>
      <c r="C131" s="250">
        <f ca="1">SUMIFS(INDIRECT("Report!F100:F1000"),INDIRECT("Report!B100:B1000"),B131,INDIRECT("report!H100:H1000"),"Goss",INDIRECT("Report!L100:L1000"),"17.9")</f>
        <v>990000.00000000012</v>
      </c>
      <c r="D131" s="236">
        <f ca="1">(C131/11*10)</f>
        <v>900000.00000000012</v>
      </c>
      <c r="E131" s="250">
        <f ca="1">SUMIFS(INDIRECT("Report!J100:J1000"),INDIRECT("Report!B100:B1000"),B131,INDIRECT("report!H100:H1000"),"Goss",INDIRECT("Report!L100:L1000"),"17.9")</f>
        <v>450000</v>
      </c>
      <c r="F131" s="595">
        <f t="shared" ca="1" si="6"/>
        <v>0.49999999999999994</v>
      </c>
    </row>
    <row r="132" spans="1:7" ht="21" customHeight="1" x14ac:dyDescent="0.25">
      <c r="B132" s="228" t="s">
        <v>644</v>
      </c>
      <c r="C132" s="250">
        <f ca="1">SUMIFS(INDIRECT("Report!F100:F1000"),INDIRECT("Report!B100:B1000"),B132,INDIRECT("report!H100:H1000"),"Goss",INDIRECT("Report!L100:L1000"),"17.9")</f>
        <v>1210000</v>
      </c>
      <c r="D132" s="236">
        <f ca="1">(C132/11*10)</f>
        <v>1100000</v>
      </c>
      <c r="E132" s="250">
        <f ca="1">SUMIFS(INDIRECT("Report!J100:J1000"),INDIRECT("Report!B100:B1000"),B132,INDIRECT("report!H100:H1000"),"Goss",INDIRECT("Report!L100:L1000"),"17.9")</f>
        <v>902000</v>
      </c>
      <c r="F132" s="595">
        <f t="shared" ca="1" si="6"/>
        <v>0.82</v>
      </c>
    </row>
    <row r="133" spans="1:7" ht="21" customHeight="1" x14ac:dyDescent="0.25">
      <c r="A133" s="293"/>
      <c r="B133" s="277"/>
      <c r="C133" s="543">
        <f ca="1">SUM(C130:C132)</f>
        <v>2784100</v>
      </c>
      <c r="D133" s="543">
        <f ca="1">SUM(D130:D132)</f>
        <v>2531000</v>
      </c>
      <c r="E133" s="543">
        <f ca="1">SUM(E130:E132)</f>
        <v>1883000</v>
      </c>
      <c r="F133" s="593">
        <f t="shared" ca="1" si="6"/>
        <v>0.74397471355195577</v>
      </c>
      <c r="G133" s="336">
        <f>SUM(G130)</f>
        <v>0</v>
      </c>
    </row>
    <row r="134" spans="1:7" ht="21" customHeight="1" x14ac:dyDescent="0.25">
      <c r="A134" s="798">
        <v>2017.1</v>
      </c>
      <c r="B134" s="228" t="s">
        <v>610</v>
      </c>
      <c r="C134" s="250">
        <f ca="1">SUMIFS(INDIRECT("Report!F100:F1000"),INDIRECT("Report!B100:B1000"),B134,INDIRECT("report!H100:H1000"),"Goss",INDIRECT("Report!L100:L1000"),"17.10")</f>
        <v>2574000</v>
      </c>
      <c r="D134" s="236">
        <f ca="1">(C134/11*10)</f>
        <v>2340000</v>
      </c>
      <c r="E134" s="250">
        <f ca="1">SUMIFS(INDIRECT("Report!J100:J1000"),INDIRECT("Report!B100:B1000"),B134,INDIRECT("report!H100:H1000"),"Goss",INDIRECT("Report!L100:L1000"),"17.10")</f>
        <v>2340000</v>
      </c>
      <c r="F134" s="595">
        <f t="shared" ca="1" si="6"/>
        <v>1</v>
      </c>
    </row>
    <row r="135" spans="1:7" ht="21" customHeight="1" x14ac:dyDescent="0.25">
      <c r="B135" s="228" t="s">
        <v>760</v>
      </c>
      <c r="C135" s="250">
        <f ca="1">SUMIFS(INDIRECT("Report!F100:F1000"),INDIRECT("Report!B100:B1000"),B135,INDIRECT("report!H100:H1000"),"Goss",INDIRECT("Report!L100:L1000"),"17.10")</f>
        <v>5467000</v>
      </c>
      <c r="D135" s="236">
        <f ca="1">(C135/11*10)</f>
        <v>4970000</v>
      </c>
      <c r="E135" s="250">
        <f ca="1">SUMIFS(INDIRECT("Report!J100:J1000"),INDIRECT("Report!B100:B1000"),B135,INDIRECT("report!H100:H1000"),"Goss",INDIRECT("Report!L100:L1000"),"17.10")</f>
        <v>3817288.7674617725</v>
      </c>
      <c r="F135" s="595">
        <f t="shared" ca="1" si="6"/>
        <v>0.76806615039472281</v>
      </c>
    </row>
    <row r="136" spans="1:7" ht="21" customHeight="1" x14ac:dyDescent="0.25">
      <c r="B136" s="228" t="s">
        <v>498</v>
      </c>
      <c r="C136" s="250">
        <f ca="1">SUMIFS(INDIRECT("Report!F100:F1000"),INDIRECT("Report!B100:B1000"),B136,INDIRECT("report!H100:H1000"),"Goss",INDIRECT("Report!L100:L1000"),"17.10")</f>
        <v>990000.00000000012</v>
      </c>
      <c r="D136" s="236">
        <f ca="1">(C136/11*10)</f>
        <v>900000.00000000012</v>
      </c>
      <c r="E136" s="250">
        <f ca="1">SUMIFS(INDIRECT("Report!J100:J1000"),INDIRECT("Report!B100:B1000"),B136,INDIRECT("report!H100:H1000"),"Goss",INDIRECT("Report!L100:L1000"),"17.10")</f>
        <v>450000</v>
      </c>
      <c r="F136" s="595">
        <f t="shared" ca="1" si="6"/>
        <v>0.49999999999999994</v>
      </c>
    </row>
    <row r="137" spans="1:7" ht="21" customHeight="1" x14ac:dyDescent="0.25">
      <c r="B137" s="228" t="s">
        <v>497</v>
      </c>
      <c r="C137" s="250">
        <f ca="1">SUMIFS(INDIRECT("Report!F100:F1000"),INDIRECT("Report!B100:B1000"),B137,INDIRECT("report!H100:H1000"),"Goss",INDIRECT("Report!L100:L1000"),"17.10")</f>
        <v>2750000</v>
      </c>
      <c r="D137" s="236">
        <f ca="1">(C137/11*10)</f>
        <v>2500000</v>
      </c>
      <c r="E137" s="250">
        <f ca="1">SUMIFS(INDIRECT("Report!J100:J1000"),INDIRECT("Report!B100:B1000"),B137,INDIRECT("report!H100:H1000"),"Goss",INDIRECT("Report!L100:L1000"),"17.10")</f>
        <v>1800000</v>
      </c>
      <c r="F137" s="595">
        <f t="shared" ca="1" si="6"/>
        <v>0.72</v>
      </c>
    </row>
    <row r="138" spans="1:7" ht="21" customHeight="1" x14ac:dyDescent="0.25">
      <c r="A138" s="293"/>
      <c r="B138" s="277"/>
      <c r="C138" s="543">
        <f ca="1">SUM(C134:C137)</f>
        <v>11781000</v>
      </c>
      <c r="D138" s="543">
        <f ca="1">SUM(D134:D137)</f>
        <v>10710000</v>
      </c>
      <c r="E138" s="543">
        <f ca="1">SUM(E134:E137)</f>
        <v>8407288.767461773</v>
      </c>
      <c r="F138" s="593">
        <f t="shared" ca="1" si="6"/>
        <v>0.78499428267616933</v>
      </c>
      <c r="G138" s="336">
        <f>SUM(G135)</f>
        <v>0</v>
      </c>
    </row>
    <row r="139" spans="1:7" ht="21" customHeight="1" x14ac:dyDescent="0.25">
      <c r="A139" s="798">
        <v>2017.11</v>
      </c>
      <c r="B139" s="228" t="s">
        <v>610</v>
      </c>
      <c r="C139" s="250">
        <f ca="1">SUMIFS(INDIRECT("Report!F100:F1000"),INDIRECT("Report!B100:B1000"),B139,INDIRECT("report!H100:H1000"),"Goss",INDIRECT("Report!L100:L1000"),"17.11")</f>
        <v>5256900</v>
      </c>
      <c r="D139" s="236">
        <f ca="1">(C139/11*10)</f>
        <v>4779000</v>
      </c>
      <c r="E139" s="250">
        <f ca="1">SUMIFS(INDIRECT("Report!J100:J1000"),INDIRECT("Report!B100:B1000"),B139,INDIRECT("report!H100:H1000"),"Goss",INDIRECT("Report!L100:L1000"),"17.11")</f>
        <v>4711000</v>
      </c>
      <c r="F139" s="595">
        <f t="shared" ca="1" si="6"/>
        <v>0.98577108181627959</v>
      </c>
    </row>
    <row r="140" spans="1:7" ht="21" customHeight="1" x14ac:dyDescent="0.25">
      <c r="B140" s="228" t="s">
        <v>497</v>
      </c>
      <c r="C140" s="250">
        <f ca="1">SUMIFS(INDIRECT("Report!F100:F1000"),INDIRECT("Report!B100:B1000"),B140,INDIRECT("report!H100:H1000"),"Goss",INDIRECT("Report!L100:L1000"),"17.11")</f>
        <v>1490500</v>
      </c>
      <c r="D140" s="236">
        <f ca="1">(C140/11*10)</f>
        <v>1355000</v>
      </c>
      <c r="E140" s="250">
        <f ca="1">SUMIFS(INDIRECT("Report!J100:J1000"),INDIRECT("Report!B100:B1000"),B140,INDIRECT("report!H100:H1000"),"Goss",INDIRECT("Report!L100:L1000"),"17.11")</f>
        <v>905000</v>
      </c>
      <c r="F140" s="595">
        <f t="shared" ca="1" si="6"/>
        <v>0.66789667896678961</v>
      </c>
    </row>
    <row r="141" spans="1:7" ht="21" customHeight="1" x14ac:dyDescent="0.25">
      <c r="B141" s="228" t="s">
        <v>770</v>
      </c>
      <c r="C141" s="250">
        <f ca="1">SUMIFS(INDIRECT("Report!F100:F1000"),INDIRECT("Report!B100:B1000"),B141,INDIRECT("report!H100:H1000"),"Goss",INDIRECT("Report!L100:L1000"),"17.11")</f>
        <v>2035000.0000000002</v>
      </c>
      <c r="D141" s="236">
        <f ca="1">(C141/11*10)</f>
        <v>1850000.0000000002</v>
      </c>
      <c r="E141" s="250">
        <f ca="1">SUMIFS(INDIRECT("Report!J100:J1000"),INDIRECT("Report!B100:B1000"),B141,INDIRECT("report!H100:H1000"),"Goss",INDIRECT("Report!L100:L1000"),"17.11")</f>
        <v>950000</v>
      </c>
      <c r="F141" s="595">
        <f t="shared" ca="1" si="6"/>
        <v>0.51351351351351349</v>
      </c>
    </row>
    <row r="142" spans="1:7" ht="21" customHeight="1" x14ac:dyDescent="0.25">
      <c r="A142" s="293"/>
      <c r="B142" s="277"/>
      <c r="C142" s="543">
        <f ca="1">SUM(C139:C141)</f>
        <v>8782400</v>
      </c>
      <c r="D142" s="543">
        <f ca="1">SUM(D139:D141)</f>
        <v>7984000</v>
      </c>
      <c r="E142" s="543">
        <f ca="1">SUM(E139:E141)</f>
        <v>6566000</v>
      </c>
      <c r="F142" s="593">
        <f t="shared" ca="1" si="6"/>
        <v>0.82239478957915835</v>
      </c>
      <c r="G142" s="336">
        <f>SUM(G140)</f>
        <v>0</v>
      </c>
    </row>
    <row r="143" spans="1:7" ht="21" customHeight="1" x14ac:dyDescent="0.25">
      <c r="A143" s="798">
        <v>2017.12</v>
      </c>
      <c r="B143" s="228" t="s">
        <v>493</v>
      </c>
      <c r="C143" s="250">
        <f ca="1">SUMIFS(INDIRECT("Report!F100:F1000"),INDIRECT("Report!B100:B1000"),B143,INDIRECT("report!H100:H1000"),"Goss",INDIRECT("Report!L100:L1000"),"17.12")</f>
        <v>2574000.0000000005</v>
      </c>
      <c r="D143" s="236">
        <f ca="1">(C143/11*10)</f>
        <v>2340000.0000000005</v>
      </c>
      <c r="E143" s="250">
        <f ca="1">SUMIFS(INDIRECT("Report!J100:J1000"),INDIRECT("Report!B100:B1000"),B143,INDIRECT("report!H100:H1000"),"Goss",INDIRECT("Report!L100:L1000"),"17.12")</f>
        <v>1890000</v>
      </c>
      <c r="F143" s="595">
        <f t="shared" ref="F143:F151" ca="1" si="10">E143/D143</f>
        <v>0.80769230769230749</v>
      </c>
    </row>
    <row r="144" spans="1:7" ht="21" customHeight="1" x14ac:dyDescent="0.25">
      <c r="B144" s="228" t="s">
        <v>600</v>
      </c>
      <c r="C144" s="250">
        <f ca="1">SUMIFS(INDIRECT("Report!F100:F1000"),INDIRECT("Report!B100:B1000"),B144,INDIRECT("report!H100:H1000"),"Goss",INDIRECT("Report!L100:L1000"),"17.12")</f>
        <v>1320000</v>
      </c>
      <c r="D144" s="236">
        <f ca="1">(C144/11*10)</f>
        <v>1200000</v>
      </c>
      <c r="E144" s="250">
        <f ca="1">SUMIFS(INDIRECT("Report!J100:J1000"),INDIRECT("Report!B100:B1000"),B144,INDIRECT("report!H100:H1000"),"Goss",INDIRECT("Report!L100:L1000"),"17.12")</f>
        <v>660000</v>
      </c>
      <c r="F144" s="595">
        <f t="shared" ca="1" si="10"/>
        <v>0.55000000000000004</v>
      </c>
    </row>
    <row r="145" spans="1:10" ht="21" customHeight="1" x14ac:dyDescent="0.25">
      <c r="B145" s="228" t="s">
        <v>610</v>
      </c>
      <c r="C145" s="250">
        <f ca="1">SUMIFS(INDIRECT("Report!F100:F1000"),INDIRECT("Report!B100:B1000"),B145,INDIRECT("report!H100:H1000"),"Goss",INDIRECT("Report!L100:L1000"),"17.12")</f>
        <v>5500000</v>
      </c>
      <c r="D145" s="236">
        <f ca="1">(C145/11*10)</f>
        <v>5000000</v>
      </c>
      <c r="E145" s="250">
        <f ca="1">SUMIFS(INDIRECT("Report!J100:J1000"),INDIRECT("Report!B100:B1000"),B145,INDIRECT("report!H100:H1000"),"Goss",INDIRECT("Report!L100:L1000"),"17.12")</f>
        <v>5000000</v>
      </c>
      <c r="F145" s="595">
        <f t="shared" ca="1" si="10"/>
        <v>1</v>
      </c>
    </row>
    <row r="146" spans="1:10" ht="21" customHeight="1" x14ac:dyDescent="0.25">
      <c r="A146" s="293"/>
      <c r="B146" s="277"/>
      <c r="C146" s="543">
        <f ca="1">SUM(C143:C145)</f>
        <v>9394000</v>
      </c>
      <c r="D146" s="543">
        <f ca="1">SUM(D143:D145)</f>
        <v>8540000</v>
      </c>
      <c r="E146" s="543">
        <f ca="1">SUM(E143:E145)</f>
        <v>7550000</v>
      </c>
      <c r="F146" s="593">
        <f t="shared" ca="1" si="10"/>
        <v>0.88407494145199061</v>
      </c>
      <c r="G146" s="336">
        <f>SUM(G144)</f>
        <v>0</v>
      </c>
    </row>
    <row r="147" spans="1:10" ht="21" customHeight="1" x14ac:dyDescent="0.25">
      <c r="A147" s="911">
        <v>2018.1</v>
      </c>
      <c r="B147" s="228" t="s">
        <v>644</v>
      </c>
      <c r="C147" s="250">
        <f ca="1">SUMIFS(INDIRECT("Report!F100:F1000"),INDIRECT("Report!B100:B1000"),B147,INDIRECT("report!H100:H1000"),"Goss",INDIRECT("Report!L100:L1000"),"18.1")</f>
        <v>12922800</v>
      </c>
      <c r="D147" s="236">
        <f ca="1">(C147/11*10)</f>
        <v>11748000</v>
      </c>
      <c r="E147" s="250">
        <f ca="1">SUMIFS(INDIRECT("Report!J100:J1000"),INDIRECT("Report!B100:B1000"),B147,INDIRECT("report!H100:H1000"),"Goss",INDIRECT("Report!L100:L1000"),"18.1")</f>
        <v>11085461.6381</v>
      </c>
      <c r="F147" s="595">
        <f t="shared" ca="1" si="10"/>
        <v>0.94360415714164114</v>
      </c>
    </row>
    <row r="148" spans="1:10" ht="21" customHeight="1" x14ac:dyDescent="0.25">
      <c r="A148" s="919"/>
      <c r="B148" s="228" t="s">
        <v>610</v>
      </c>
      <c r="C148" s="250">
        <f ca="1">SUMIFS(INDIRECT("Report!F100:F1000"),INDIRECT("Report!B100:B1000"),B148,INDIRECT("report!H100:H1000"),"Goss",INDIRECT("Report!L100:L1000"),"18.1")</f>
        <v>2832500</v>
      </c>
      <c r="D148" s="236">
        <f ca="1">(C148/11*10)</f>
        <v>2575000</v>
      </c>
      <c r="E148" s="250">
        <f ca="1">SUMIFS(INDIRECT("Report!J100:J1000"),INDIRECT("Report!B100:B1000"),B148,INDIRECT("report!H100:H1000"),"Goss",INDIRECT("Report!L100:L1000"),"18.1")</f>
        <v>1293668.8678729702</v>
      </c>
      <c r="F148" s="595">
        <f t="shared" ca="1" si="10"/>
        <v>0.50239567684387187</v>
      </c>
      <c r="J148" s="227" t="s">
        <v>1048</v>
      </c>
    </row>
    <row r="149" spans="1:10" ht="21" customHeight="1" x14ac:dyDescent="0.25">
      <c r="A149" s="919"/>
      <c r="B149" s="228" t="s">
        <v>497</v>
      </c>
      <c r="C149" s="250">
        <f ca="1">SUMIFS(INDIRECT("Report!F100:F1000"),INDIRECT("Report!B100:B1000"),B149,INDIRECT("report!H100:H1000"),"Goss",INDIRECT("Report!L100:L1000"),"18.1")</f>
        <v>891000.00000000012</v>
      </c>
      <c r="D149" s="236">
        <f ca="1">(C149/11*10)</f>
        <v>810000.00000000012</v>
      </c>
      <c r="E149" s="250">
        <f ca="1">SUMIFS(INDIRECT("Report!J100:J1000"),INDIRECT("Report!B100:B1000"),B149,INDIRECT("report!H100:H1000"),"Goss",INDIRECT("Report!L100:L1000"),"18.1")</f>
        <v>476305.43470772577</v>
      </c>
      <c r="F149" s="595">
        <f t="shared" ca="1" si="10"/>
        <v>0.5880314008737354</v>
      </c>
      <c r="J149" s="227" t="s">
        <v>1049</v>
      </c>
    </row>
    <row r="150" spans="1:10" ht="21" customHeight="1" x14ac:dyDescent="0.25">
      <c r="A150" s="919"/>
      <c r="B150" s="228" t="s">
        <v>1047</v>
      </c>
      <c r="C150" s="250">
        <f ca="1">SUMIFS(INDIRECT("Report!F100:F1000"),INDIRECT("Report!B100:B1000"),B150,INDIRECT("report!H100:H1000"),"Goss",INDIRECT("Report!L100:L1000"),"18.1")</f>
        <v>2733500</v>
      </c>
      <c r="D150" s="236">
        <f ca="1">(C150/11*10)</f>
        <v>2485000</v>
      </c>
      <c r="E150" s="250">
        <f ca="1">SUMIFS(INDIRECT("Report!J100:J1000"),INDIRECT("Report!B100:B1000"),B150,INDIRECT("report!H100:H1000"),"Goss",INDIRECT("Report!L100:L1000"),"18.1")</f>
        <v>485000</v>
      </c>
      <c r="F150" s="595">
        <f t="shared" ca="1" si="10"/>
        <v>0.19517102615694165</v>
      </c>
    </row>
    <row r="151" spans="1:10" ht="21" customHeight="1" x14ac:dyDescent="0.25">
      <c r="A151" s="920"/>
      <c r="B151" s="277"/>
      <c r="C151" s="543">
        <f ca="1">SUM(C147:C150)</f>
        <v>19379800</v>
      </c>
      <c r="D151" s="543">
        <f ca="1">SUM(D147:D150)</f>
        <v>17618000</v>
      </c>
      <c r="E151" s="543">
        <f ca="1">SUM(E147:E150)</f>
        <v>13340435.940680696</v>
      </c>
      <c r="F151" s="593">
        <f t="shared" ca="1" si="10"/>
        <v>0.75720490070840596</v>
      </c>
      <c r="G151" s="336">
        <f>SUM(G149)</f>
        <v>0</v>
      </c>
    </row>
    <row r="152" spans="1:10" ht="21" customHeight="1" x14ac:dyDescent="0.25">
      <c r="A152" s="911">
        <v>2018.2</v>
      </c>
      <c r="C152" s="250"/>
      <c r="E152" s="250"/>
    </row>
    <row r="153" spans="1:10" ht="21" customHeight="1" x14ac:dyDescent="0.25">
      <c r="B153" s="228" t="s">
        <v>498</v>
      </c>
      <c r="C153" s="250">
        <f ca="1">SUMIFS(INDIRECT("Report!F100:F1000"),INDIRECT("Report!B100:B1000"),B153,INDIRECT("report!H100:H1000"),"Goss",INDIRECT("Report!L100:L1000"),"18.2")</f>
        <v>1738000</v>
      </c>
      <c r="D153" s="236">
        <f ca="1">(C153/11*10)</f>
        <v>1580000</v>
      </c>
      <c r="E153" s="250">
        <f ca="1">SUMIFS(INDIRECT("Report!J100:J1000"),INDIRECT("Report!B100:B1000"),B153,INDIRECT("report!H100:H1000"),"Goss",INDIRECT("Report!L100:L1000"),"18.2")</f>
        <v>612478.7367842216</v>
      </c>
      <c r="F153" s="595">
        <f ca="1">E153/D153</f>
        <v>0.38764477011659593</v>
      </c>
    </row>
    <row r="154" spans="1:10" ht="21" customHeight="1" x14ac:dyDescent="0.25">
      <c r="B154" s="228" t="s">
        <v>497</v>
      </c>
      <c r="C154" s="250">
        <f ca="1">SUMIFS(INDIRECT("Report!F100:F1000"),INDIRECT("Report!B100:B1000"),B154,INDIRECT("report!H100:H1000"),"Goss",INDIRECT("Report!L100:L1000"),"18.2")</f>
        <v>1870000.0000000002</v>
      </c>
      <c r="D154" s="236">
        <f ca="1">(C154/11*10)</f>
        <v>1700000.0000000002</v>
      </c>
      <c r="E154" s="250">
        <f ca="1">SUMIFS(INDIRECT("Report!J100:J1000"),INDIRECT("Report!B100:B1000"),B154,INDIRECT("report!H100:H1000"),"Goss",INDIRECT("Report!L100:L1000"),"18.2")</f>
        <v>1127326.3006022922</v>
      </c>
      <c r="F154" s="595">
        <f ca="1">E154/D154</f>
        <v>0.66313311800134822</v>
      </c>
    </row>
    <row r="155" spans="1:10" ht="21" customHeight="1" x14ac:dyDescent="0.25">
      <c r="B155" s="228" t="s">
        <v>1047</v>
      </c>
      <c r="C155" s="250">
        <f ca="1">SUMIFS(INDIRECT("Report!F100:F1000"),INDIRECT("Report!B100:B1000"),B155,INDIRECT("report!H100:H1000"),"Goss",INDIRECT("Report!L100:L1000"),"18.2")</f>
        <v>3586000</v>
      </c>
      <c r="D155" s="236">
        <f ca="1">(C155/11*10)</f>
        <v>3260000</v>
      </c>
      <c r="E155" s="250">
        <f ca="1">SUMIFS(INDIRECT("Report!J100:J1000"),INDIRECT("Report!B100:B1000"),B155,INDIRECT("report!H100:H1000"),"Goss",INDIRECT("Report!L100:L1000"),"18.2")</f>
        <v>1648737.4419279967</v>
      </c>
      <c r="F155" s="595">
        <f ca="1">E155/D155</f>
        <v>0.50574768157300509</v>
      </c>
    </row>
    <row r="156" spans="1:10" ht="21" customHeight="1" x14ac:dyDescent="0.25">
      <c r="B156" s="228" t="s">
        <v>770</v>
      </c>
      <c r="C156" s="250">
        <f ca="1">SUMIFS(INDIRECT("Report!F100:F1000"),INDIRECT("Report!B100:B1000"),B156,INDIRECT("report!H100:H1000"),"Goss",INDIRECT("Report!L100:L1000"),"18.2")</f>
        <v>3102000</v>
      </c>
      <c r="D156" s="236">
        <f ca="1">(C156/11*10)</f>
        <v>2820000</v>
      </c>
      <c r="E156" s="250">
        <f ca="1">SUMIFS(INDIRECT("Report!J100:J1000"),INDIRECT("Report!B100:B1000"),B156,INDIRECT("report!H100:H1000"),"Goss",INDIRECT("Report!L100:L1000"),"18.2")</f>
        <v>1203087.7427501492</v>
      </c>
      <c r="F156" s="595">
        <f ca="1">E156/D156</f>
        <v>0.42662685913125858</v>
      </c>
    </row>
    <row r="157" spans="1:10" ht="21" customHeight="1" x14ac:dyDescent="0.25">
      <c r="A157" s="293"/>
      <c r="B157" s="277"/>
      <c r="C157" s="543">
        <f ca="1">SUM(C152:C156)</f>
        <v>10296000</v>
      </c>
      <c r="D157" s="543">
        <f ca="1">SUM(D152:D156)</f>
        <v>9360000</v>
      </c>
      <c r="E157" s="543">
        <f ca="1">SUM(E152:E156)</f>
        <v>4591630.2220646599</v>
      </c>
      <c r="F157" s="593">
        <f ca="1">E157/D157</f>
        <v>0.4905587844086175</v>
      </c>
      <c r="G157" s="336">
        <f>SUM(G154)</f>
        <v>0</v>
      </c>
    </row>
    <row r="158" spans="1:10" ht="21" customHeight="1" x14ac:dyDescent="0.25">
      <c r="A158" s="911">
        <v>2018.3</v>
      </c>
      <c r="C158" s="250"/>
      <c r="E158" s="250"/>
    </row>
    <row r="159" spans="1:10" ht="21" customHeight="1" x14ac:dyDescent="0.25">
      <c r="B159" s="228" t="s">
        <v>497</v>
      </c>
      <c r="C159" s="250">
        <f ca="1">SUMIFS(INDIRECT("Report!F100:F1000"),INDIRECT("Report!B100:B1000"),B159,INDIRECT("report!H100:H1000"),"Goss",INDIRECT("Report!L100:L1000"),"18.3")</f>
        <v>1732500.0000000002</v>
      </c>
      <c r="D159" s="236">
        <f ca="1">(C159/11*10)</f>
        <v>1575000.0000000002</v>
      </c>
      <c r="E159" s="250">
        <f ca="1">SUMIFS(INDIRECT("Report!J100:J1000"),INDIRECT("Report!B100:B1000"),B159,INDIRECT("report!H100:H1000"),"Goss",INDIRECT("Report!L100:L1000"),"18.3")</f>
        <v>734031.52179438004</v>
      </c>
      <c r="F159" s="595">
        <f ca="1">E159/D159</f>
        <v>0.46605175986944758</v>
      </c>
    </row>
    <row r="160" spans="1:10" ht="21" customHeight="1" x14ac:dyDescent="0.25">
      <c r="B160" s="228" t="s">
        <v>1164</v>
      </c>
      <c r="C160" s="250">
        <f ca="1">SUMIFS(INDIRECT("Report!F100:F1000"),INDIRECT("Report!B100:B1000"),B160,INDIRECT("report!H100:H1000"),"Goss",INDIRECT("Report!L100:L1000"),"18.3")</f>
        <v>7700000.0000000009</v>
      </c>
      <c r="D160" s="236">
        <f ca="1">(C160/11*10)</f>
        <v>7000000.0000000009</v>
      </c>
      <c r="E160" s="250">
        <f ca="1">SUMIFS(INDIRECT("Report!J100:J1000"),INDIRECT("Report!B100:B1000"),B160,INDIRECT("report!H100:H1000"),"Goss",INDIRECT("Report!L100:L1000"),"18.3")-330000</f>
        <v>3630170.2044847142</v>
      </c>
      <c r="F160" s="595">
        <f ca="1">E160/D160</f>
        <v>0.51859574349781623</v>
      </c>
      <c r="J160" s="227" t="s">
        <v>1180</v>
      </c>
    </row>
    <row r="161" spans="1:10" ht="21" customHeight="1" x14ac:dyDescent="0.25">
      <c r="B161" s="228" t="s">
        <v>495</v>
      </c>
      <c r="C161" s="250">
        <f ca="1">SUMIFS(INDIRECT("Report!F100:F1000"),INDIRECT("Report!B100:B1000"),B161,INDIRECT("report!H100:H1000"),"Goss",INDIRECT("Report!L100:L1000"),"18.3")</f>
        <v>1320000</v>
      </c>
      <c r="D161" s="236">
        <f ca="1">(C161/11*10)</f>
        <v>1200000</v>
      </c>
      <c r="E161" s="250">
        <f ca="1">SUMIFS(INDIRECT("Report!J100:J1000"),INDIRECT("Report!B100:B1000"),B161,INDIRECT("report!H100:H1000"),"Goss",INDIRECT("Report!L100:L1000"),"18.3")</f>
        <v>609628.10347481398</v>
      </c>
      <c r="F161" s="595">
        <f ca="1">E161/D161</f>
        <v>0.50802341956234498</v>
      </c>
      <c r="J161" s="227" t="s">
        <v>1165</v>
      </c>
    </row>
    <row r="162" spans="1:10" ht="21" customHeight="1" x14ac:dyDescent="0.25">
      <c r="B162" s="228" t="s">
        <v>610</v>
      </c>
      <c r="C162" s="250">
        <f>SUM(Report!F448,Report!F804,Report!F805)</f>
        <v>98891045</v>
      </c>
      <c r="D162" s="250">
        <f>SUM(Report!G448,Report!G804,Report!G805)</f>
        <v>89900950</v>
      </c>
      <c r="E162" s="250">
        <f>SUM(Report!J448,Report!J804,Report!J805)</f>
        <v>17599757.999999996</v>
      </c>
      <c r="F162" s="595">
        <f>E162/D162</f>
        <v>0.19576832057948215</v>
      </c>
      <c r="J162" s="227" t="s">
        <v>1173</v>
      </c>
    </row>
    <row r="163" spans="1:10" ht="21" customHeight="1" x14ac:dyDescent="0.25">
      <c r="A163" s="293"/>
      <c r="B163" s="277"/>
      <c r="C163" s="543">
        <f ca="1">SUM(C158:C162)</f>
        <v>109643545</v>
      </c>
      <c r="D163" s="543">
        <f ca="1">SUM(D158:D162)</f>
        <v>99675950</v>
      </c>
      <c r="E163" s="543">
        <f ca="1">SUM(E158:E162)</f>
        <v>22573587.829753906</v>
      </c>
      <c r="F163" s="593">
        <f ca="1">E163/D163</f>
        <v>0.22646975353386556</v>
      </c>
      <c r="G163" s="336">
        <f>SUM(G160)</f>
        <v>0</v>
      </c>
    </row>
    <row r="164" spans="1:10" ht="21" customHeight="1" x14ac:dyDescent="0.25">
      <c r="A164" s="911">
        <v>2018.4</v>
      </c>
      <c r="C164" s="250"/>
      <c r="E164" s="250"/>
    </row>
    <row r="165" spans="1:10" ht="21" customHeight="1" x14ac:dyDescent="0.25">
      <c r="B165" s="228" t="s">
        <v>497</v>
      </c>
      <c r="C165" s="250">
        <f ca="1">SUMIFS(INDIRECT("Report!F100:F1000"),INDIRECT("Report!B100:B1000"),B165,INDIRECT("report!H100:H1000"),"Goss",INDIRECT("Report!L100:L1000"),"18.4")</f>
        <v>3993000</v>
      </c>
      <c r="D165" s="236">
        <f ca="1">(C165/11*10)</f>
        <v>3630000</v>
      </c>
      <c r="E165" s="250">
        <f ca="1">SUMIFS(INDIRECT("Report!J100:J1000"),INDIRECT("Report!B100:B1000"),B165,INDIRECT("report!H100:H1000"),"Goss",INDIRECT("Report!L100:L1000"),"18.4")</f>
        <v>1699779.9962815742</v>
      </c>
      <c r="F165" s="595">
        <f ca="1">E165/D165</f>
        <v>0.46825895214368435</v>
      </c>
    </row>
    <row r="166" spans="1:10" ht="21" customHeight="1" x14ac:dyDescent="0.25">
      <c r="B166" s="228" t="s">
        <v>760</v>
      </c>
      <c r="C166" s="250">
        <f ca="1">SUMIFS(INDIRECT("Report!F100:F1000"),INDIRECT("Report!B100:B1000"),B166,INDIRECT("report!H100:H1000"),"Goss",INDIRECT("Report!L100:L1000"),"18.4")</f>
        <v>418000.00000000006</v>
      </c>
      <c r="D166" s="236">
        <f ca="1">(C166/11*10)</f>
        <v>380000.00000000006</v>
      </c>
      <c r="E166" s="250">
        <f ca="1">SUMIFS(INDIRECT("Report!J100:J1000"),INDIRECT("Report!B100:B1000"),B166,INDIRECT("report!H100:H1000"),"Goss",INDIRECT("Report!L100:L1000"),"18.4")</f>
        <v>200000</v>
      </c>
      <c r="F166" s="595">
        <f ca="1">E166/D166</f>
        <v>0.52631578947368418</v>
      </c>
    </row>
    <row r="167" spans="1:10" ht="21" customHeight="1" x14ac:dyDescent="0.25">
      <c r="B167" s="228" t="s">
        <v>495</v>
      </c>
      <c r="C167" s="250">
        <f ca="1">SUMIFS(INDIRECT("Report!F100:F1000"),INDIRECT("Report!B100:B1000"),B167,INDIRECT("report!H100:H1000"),"Goss",INDIRECT("Report!L100:L1000"),"18.4")</f>
        <v>1782000</v>
      </c>
      <c r="D167" s="236">
        <f ca="1">(C167/11*10)</f>
        <v>1620000</v>
      </c>
      <c r="E167" s="250">
        <f ca="1">SUMIFS(INDIRECT("Report!J100:J1000"),INDIRECT("Report!B100:B1000"),B167,INDIRECT("report!H100:H1000"),"Goss",INDIRECT("Report!L100:L1000"),"18.4")</f>
        <v>810000</v>
      </c>
      <c r="F167" s="595">
        <f ca="1">E167/D167</f>
        <v>0.5</v>
      </c>
    </row>
    <row r="168" spans="1:10" ht="21" customHeight="1" x14ac:dyDescent="0.25">
      <c r="B168" s="228" t="s">
        <v>1047</v>
      </c>
      <c r="C168" s="250">
        <f ca="1">SUMIFS(INDIRECT("Report!F100:F1000"),INDIRECT("Report!B100:B1000"),B168,INDIRECT("report!H100:H1000"),"Goss",INDIRECT("Report!L100:L1000"),"18.4")</f>
        <v>363000.00000000006</v>
      </c>
      <c r="D168" s="236">
        <f ca="1">(C168/11*10)</f>
        <v>330000.00000000006</v>
      </c>
      <c r="E168" s="250">
        <f ca="1">SUMIFS(INDIRECT("Report!J100:J1000"),INDIRECT("Report!B100:B1000"),B168,INDIRECT("report!H100:H1000"),"Goss",INDIRECT("Report!L100:L1000"),"18.4")</f>
        <v>145913.35162741336</v>
      </c>
      <c r="F168" s="595">
        <f ca="1">E168/D168</f>
        <v>0.44216167159822223</v>
      </c>
    </row>
    <row r="169" spans="1:10" ht="21" customHeight="1" x14ac:dyDescent="0.25">
      <c r="A169" s="293"/>
      <c r="B169" s="277"/>
      <c r="C169" s="543">
        <f ca="1">SUM(C164:C168)</f>
        <v>6556000</v>
      </c>
      <c r="D169" s="543">
        <f ca="1">SUM(D165:D168)</f>
        <v>5960000</v>
      </c>
      <c r="E169" s="543">
        <f ca="1">SUM(E164:E168)</f>
        <v>2855693.3479089877</v>
      </c>
      <c r="F169" s="593">
        <f ca="1">E169/D169</f>
        <v>0.47914317917936033</v>
      </c>
      <c r="G169" s="336">
        <f>SUM(G166)</f>
        <v>0</v>
      </c>
      <c r="J169" s="227" t="s">
        <v>1285</v>
      </c>
    </row>
    <row r="170" spans="1:10" ht="21" customHeight="1" x14ac:dyDescent="0.25">
      <c r="A170" s="911">
        <v>2018.5</v>
      </c>
      <c r="C170" s="250"/>
      <c r="E170" s="250"/>
    </row>
    <row r="171" spans="1:10" ht="21" customHeight="1" x14ac:dyDescent="0.25">
      <c r="B171" s="228" t="s">
        <v>600</v>
      </c>
      <c r="C171" s="250">
        <f ca="1">SUMIFS(INDIRECT("Report!F100:F1000"),INDIRECT("Report!B100:B1000"),B171,INDIRECT("report!H100:H1000"),"Goss",INDIRECT("Report!L100:L1000"),"18.5")</f>
        <v>4312000</v>
      </c>
      <c r="D171" s="236">
        <f ca="1">(C171/11*10)</f>
        <v>3920000</v>
      </c>
      <c r="E171" s="250">
        <f ca="1">SUMIFS(INDIRECT("Report!J100:J1000"),INDIRECT("Report!B100:B1000"),B171,INDIRECT("report!H100:H1000"),"Goss",INDIRECT("Report!L100:L1000"),"18.5")</f>
        <v>2182561.0499999998</v>
      </c>
      <c r="F171" s="595">
        <f ca="1">E171/D171</f>
        <v>0.55677577806122447</v>
      </c>
    </row>
    <row r="172" spans="1:10" ht="21" customHeight="1" x14ac:dyDescent="0.25">
      <c r="B172" s="228" t="s">
        <v>770</v>
      </c>
      <c r="C172" s="250">
        <f ca="1">SUMIFS(INDIRECT("Report!F100:F1000"),INDIRECT("Report!B100:B1000"),B172,INDIRECT("report!H100:H1000"),"Goss",INDIRECT("Report!L100:L1000"),"18.5")</f>
        <v>990000.00000000012</v>
      </c>
      <c r="D172" s="236">
        <f ca="1">(C172/11*10)</f>
        <v>900000.00000000012</v>
      </c>
      <c r="E172" s="250">
        <f ca="1">SUMIFS(INDIRECT("Report!J100:J1000"),INDIRECT("Report!B100:B1000"),B172,INDIRECT("report!H100:H1000"),"Goss",INDIRECT("Report!L100:L1000"),"18.5")</f>
        <v>450000</v>
      </c>
      <c r="F172" s="595">
        <f ca="1">E172/D172</f>
        <v>0.49999999999999994</v>
      </c>
    </row>
    <row r="173" spans="1:10" ht="21" customHeight="1" x14ac:dyDescent="0.25">
      <c r="B173" s="228" t="s">
        <v>1247</v>
      </c>
      <c r="C173" s="250">
        <f ca="1">SUMIFS(INDIRECT("Report!F100:F1000"),INDIRECT("Report!B100:B1000"),B173,INDIRECT("report!H100:H1000"),"Goss",INDIRECT("Report!L100:L1000"),"18.5")</f>
        <v>990000.00000000012</v>
      </c>
      <c r="D173" s="236">
        <f ca="1">(C173/11*10)</f>
        <v>900000.00000000012</v>
      </c>
      <c r="E173" s="250">
        <f ca="1">SUMIFS(INDIRECT("Report!J100:J1000"),INDIRECT("Report!B100:B1000"),B173,INDIRECT("report!H100:H1000"),"Goss",INDIRECT("Report!L100:L1000"),"18.5")</f>
        <v>450000</v>
      </c>
      <c r="F173" s="595">
        <f ca="1">E173/D173</f>
        <v>0.49999999999999994</v>
      </c>
    </row>
    <row r="174" spans="1:10" ht="21" customHeight="1" x14ac:dyDescent="0.25">
      <c r="A174" s="293"/>
      <c r="B174" s="277"/>
      <c r="C174" s="543">
        <f ca="1">SUM(C170:C173)</f>
        <v>6292000</v>
      </c>
      <c r="D174" s="543">
        <f ca="1">SUM(D171:D173)</f>
        <v>5720000</v>
      </c>
      <c r="E174" s="543">
        <f ca="1">SUM(E170:E173)</f>
        <v>3082561.05</v>
      </c>
      <c r="F174" s="593">
        <f ca="1">E174/D174</f>
        <v>0.53890927447552439</v>
      </c>
      <c r="G174" s="336">
        <f>SUM(G172)</f>
        <v>0</v>
      </c>
    </row>
    <row r="175" spans="1:10" ht="21" customHeight="1" x14ac:dyDescent="0.25">
      <c r="A175" s="911">
        <v>2018.6</v>
      </c>
      <c r="C175" s="250"/>
      <c r="E175" s="250"/>
    </row>
    <row r="176" spans="1:10" ht="21" customHeight="1" x14ac:dyDescent="0.25">
      <c r="B176" s="228" t="s">
        <v>600</v>
      </c>
      <c r="C176" s="250">
        <f ca="1">SUMIFS(INDIRECT("Report!F100:F10000"),INDIRECT("Report!B100:B10000"),B176,INDIRECT("report!H100:H10000"),"Goss",INDIRECT("Report!L100:L10000"),"18.6")</f>
        <v>6600000</v>
      </c>
      <c r="D176" s="236">
        <f ca="1">(C176/11*10)</f>
        <v>6000000</v>
      </c>
      <c r="E176" s="250">
        <f ca="1">SUMIFS(INDIRECT("Report!J100:J10000"),INDIRECT("Report!B100:B10000"),B176,INDIRECT("report!H100:H10000"),"Goss",INDIRECT("Report!L100:L10000"),"18.6")</f>
        <v>1437981.0499999998</v>
      </c>
      <c r="F176" s="595">
        <f ca="1">E176/D176</f>
        <v>0.2396635083333333</v>
      </c>
    </row>
    <row r="177" spans="1:10" ht="21" customHeight="1" x14ac:dyDescent="0.25">
      <c r="B177" s="228" t="s">
        <v>770</v>
      </c>
      <c r="C177" s="250">
        <f ca="1">SUMIFS(INDIRECT("Report!F100:F10000"),INDIRECT("Report!B100:B10000"),B177,INDIRECT("report!H100:H10000"),"Goss",INDIRECT("Report!L100:L10000"),"18.6")</f>
        <v>4400000</v>
      </c>
      <c r="D177" s="236">
        <f ca="1">(C177/11*10)</f>
        <v>4000000</v>
      </c>
      <c r="E177" s="250">
        <f ca="1">SUMIFS(INDIRECT("Report!J100:J10000"),INDIRECT("Report!B100:B10000"),B177,INDIRECT("report!H100:H10000"),"Goss",INDIRECT("Report!L100:L10000"),"18.6")</f>
        <v>2235962.0999999996</v>
      </c>
      <c r="F177" s="595">
        <f ca="1">E177/D177</f>
        <v>0.5589905249999999</v>
      </c>
    </row>
    <row r="178" spans="1:10" ht="21" customHeight="1" x14ac:dyDescent="0.25">
      <c r="B178" s="228" t="s">
        <v>644</v>
      </c>
      <c r="C178" s="250">
        <f ca="1">SUMIFS(INDIRECT("Report!F100:F10000"),INDIRECT("Report!B100:B10000"),B178,INDIRECT("report!H100:H10000"),"Goss",INDIRECT("Report!L100:L10000"),"18.6")</f>
        <v>69300000</v>
      </c>
      <c r="D178" s="236">
        <f ca="1">(C178/11*10)</f>
        <v>63000000</v>
      </c>
      <c r="E178" s="250">
        <f ca="1">SUMIFS(INDIRECT("Report!J100:J10000"),INDIRECT("Report!B100:B10000"),B178,INDIRECT("report!H100:H10000"),"Goss",INDIRECT("Report!L100:L10000"),"18.6")</f>
        <v>31097581</v>
      </c>
      <c r="F178" s="595">
        <f ca="1">E178/D178</f>
        <v>0.49361239682539682</v>
      </c>
      <c r="J178" s="227" t="s">
        <v>1282</v>
      </c>
    </row>
    <row r="179" spans="1:10" ht="21" customHeight="1" x14ac:dyDescent="0.25">
      <c r="A179" s="293"/>
      <c r="B179" s="277"/>
      <c r="C179" s="543">
        <f ca="1">SUM(C175:C178)</f>
        <v>80300000</v>
      </c>
      <c r="D179" s="543">
        <f ca="1">SUM(D176:D178)</f>
        <v>73000000</v>
      </c>
      <c r="E179" s="543">
        <f ca="1">SUM(E175:E178)</f>
        <v>34771524.149999999</v>
      </c>
      <c r="F179" s="593">
        <f ca="1">E179/D179</f>
        <v>0.47632224863013695</v>
      </c>
      <c r="G179" s="336">
        <f>SUM(G177)</f>
        <v>0</v>
      </c>
    </row>
    <row r="180" spans="1:10" ht="21" customHeight="1" x14ac:dyDescent="0.25">
      <c r="A180" s="911">
        <v>2018.7</v>
      </c>
      <c r="C180" s="250"/>
      <c r="E180" s="250"/>
    </row>
    <row r="181" spans="1:10" ht="21" customHeight="1" x14ac:dyDescent="0.25">
      <c r="B181" s="228" t="s">
        <v>600</v>
      </c>
      <c r="C181" s="250">
        <f ca="1">SUMIFS(INDIRECT("Report!F100:F10000"),INDIRECT("Report!B100:B10000"),B181,INDIRECT("report!H100:H10000"),"Goss",INDIRECT("Report!L100:L10000"),"18.7")</f>
        <v>1540000</v>
      </c>
      <c r="D181" s="236">
        <f ca="1">(C181/11*10)</f>
        <v>1400000</v>
      </c>
      <c r="E181" s="250">
        <f ca="1">SUMIFS(INDIRECT("Report!J100:J10000"),INDIRECT("Report!B100:B10000"),B181,INDIRECT("report!H100:H10000"),"Goss",INDIRECT("Report!L100:L10000"),"18.7")</f>
        <v>642961.47890812182</v>
      </c>
      <c r="F181" s="595">
        <f t="shared" ref="F181:F186" ca="1" si="11">E181/D181</f>
        <v>0.45925819922008704</v>
      </c>
    </row>
    <row r="182" spans="1:10" ht="21" customHeight="1" x14ac:dyDescent="0.25">
      <c r="B182" s="228" t="s">
        <v>495</v>
      </c>
      <c r="C182" s="250">
        <f ca="1">SUMIFS(INDIRECT("Report!F100:F10000"),INDIRECT("Report!B100:B10000"),B182,INDIRECT("report!H100:H10000"),"Goss",INDIRECT("Report!L100:L10000"),"18.7")</f>
        <v>660000</v>
      </c>
      <c r="D182" s="236">
        <f ca="1">(C182/11*10)</f>
        <v>600000</v>
      </c>
      <c r="E182" s="250">
        <f ca="1">SUMIFS(INDIRECT("Report!J100:J10000"),INDIRECT("Report!B100:B10000"),B182,INDIRECT("report!H100:H10000"),"Goss",INDIRECT("Report!L100:L10000"),"18.7")</f>
        <v>300262.52590996964</v>
      </c>
      <c r="F182" s="595">
        <f t="shared" ca="1" si="11"/>
        <v>0.50043754318328271</v>
      </c>
    </row>
    <row r="183" spans="1:10" ht="21" customHeight="1" x14ac:dyDescent="0.25">
      <c r="B183" s="228" t="s">
        <v>1329</v>
      </c>
      <c r="C183" s="250">
        <f ca="1">SUMIFS(INDIRECT("Report!F100:F10000"),INDIRECT("Report!B100:B10000"),B183,INDIRECT("report!H100:H10000"),"Goss",INDIRECT("Report!L100:L10000"),"18.7")</f>
        <v>1760000.0000000002</v>
      </c>
      <c r="D183" s="236">
        <f ca="1">(C183/11*10)</f>
        <v>1600000.0000000002</v>
      </c>
      <c r="E183" s="250">
        <f ca="1">SUMIFS(INDIRECT("Report!J100:J10000"),INDIRECT("Report!B100:B10000"),B183,INDIRECT("report!H100:H10000"),"Goss",INDIRECT("Report!L100:L10000"),"18.7")</f>
        <v>345313.992729672</v>
      </c>
      <c r="F183" s="595">
        <f t="shared" ca="1" si="11"/>
        <v>0.21582124545604497</v>
      </c>
    </row>
    <row r="184" spans="1:10" ht="21" customHeight="1" x14ac:dyDescent="0.25">
      <c r="B184" s="228" t="s">
        <v>760</v>
      </c>
      <c r="C184" s="250">
        <f ca="1">SUMIFS(INDIRECT("Report!F100:F10000"),INDIRECT("Report!B100:B10000"),B184,INDIRECT("report!H100:H10000"),"Goss",INDIRECT("Report!L100:L10000"),"18.7")</f>
        <v>352000</v>
      </c>
      <c r="D184" s="236">
        <f ca="1">(C184/11*10)</f>
        <v>320000</v>
      </c>
      <c r="E184" s="250">
        <f ca="1">SUMIFS(INDIRECT("Report!J100:J10000"),INDIRECT("Report!B100:B10000"),B184,INDIRECT("report!H100:H10000"),"Goss",INDIRECT("Report!L100:L10000"),"18.7")</f>
        <v>130000</v>
      </c>
      <c r="F184" s="595">
        <f t="shared" ca="1" si="11"/>
        <v>0.40625</v>
      </c>
    </row>
    <row r="185" spans="1:10" ht="21" customHeight="1" x14ac:dyDescent="0.25">
      <c r="B185" s="228" t="s">
        <v>1345</v>
      </c>
      <c r="C185" s="250">
        <f ca="1">(SUMIFS(INDIRECT("Report!F100:F10000"),INDIRECT("Report!B100:B10000"),B185,INDIRECT("report!H100:H10000"),"Technotrans",INDIRECT("Report!L100:L10000"),"18.7"))/2</f>
        <v>1210000</v>
      </c>
      <c r="D185" s="236">
        <f ca="1">(C185/11*10)</f>
        <v>1100000</v>
      </c>
      <c r="E185" s="250">
        <f ca="1">(SUMIFS(INDIRECT("Report!J100:J10000"),INDIRECT("Report!B100:B10000"),B185,INDIRECT("report!H100:H10000"),"Technotrans",INDIRECT("Report!L100:L10000"),"18.7"))/2</f>
        <v>687442.84210374835</v>
      </c>
      <c r="F185" s="595">
        <f t="shared" ca="1" si="11"/>
        <v>0.62494803827613488</v>
      </c>
    </row>
    <row r="186" spans="1:10" ht="21" customHeight="1" x14ac:dyDescent="0.25">
      <c r="A186" s="293"/>
      <c r="B186" s="277"/>
      <c r="C186" s="543">
        <f ca="1">SUM(C180:C185)</f>
        <v>5522000</v>
      </c>
      <c r="D186" s="543">
        <f ca="1">SUM(D180:D185)</f>
        <v>5020000</v>
      </c>
      <c r="E186" s="543">
        <f ca="1">SUM(E180:E185)</f>
        <v>2105980.839651512</v>
      </c>
      <c r="F186" s="593">
        <f t="shared" ca="1" si="11"/>
        <v>0.41951809554810998</v>
      </c>
      <c r="G186" s="336">
        <f>SUM(G182)</f>
        <v>0</v>
      </c>
    </row>
    <row r="187" spans="1:10" ht="21" customHeight="1" x14ac:dyDescent="0.25">
      <c r="A187" s="911">
        <v>2018.9</v>
      </c>
      <c r="C187" s="250"/>
      <c r="E187" s="250"/>
    </row>
    <row r="188" spans="1:10" ht="21" customHeight="1" x14ac:dyDescent="0.25">
      <c r="B188" s="228" t="s">
        <v>610</v>
      </c>
      <c r="C188" s="250">
        <f ca="1">SUMIFS(INDIRECT("Report!F100:F10000"),INDIRECT("Report!B100:B10000"),B188,INDIRECT("report!H100:H10000"),"Goss",INDIRECT("Report!L100:L10000"),"18.9")</f>
        <v>3115200</v>
      </c>
      <c r="D188" s="236">
        <f ca="1">(C188/11*10)</f>
        <v>2832000</v>
      </c>
      <c r="E188" s="250">
        <f ca="1">SUMIFS(INDIRECT("Report!J100:J10000"),INDIRECT("Report!B100:B10000"),B188,INDIRECT("report!H100:H10000"),"Goss",INDIRECT("Report!L100:L10000"),"18.9")</f>
        <v>1940225.5639999998</v>
      </c>
      <c r="F188" s="595">
        <f ca="1">E188/D188</f>
        <v>0.68510789689265528</v>
      </c>
    </row>
    <row r="189" spans="1:10" ht="21" customHeight="1" x14ac:dyDescent="0.25">
      <c r="B189" s="228" t="s">
        <v>760</v>
      </c>
      <c r="C189" s="250">
        <f ca="1">SUMIFS(INDIRECT("Report!F100:F10000"),INDIRECT("Report!B100:B10000"),B189,INDIRECT("report!H100:H10000"),"Goss",INDIRECT("Report!L100:L10000"),"18.9")</f>
        <v>418000.00000000006</v>
      </c>
      <c r="D189" s="236">
        <f ca="1">(C189/11*10)</f>
        <v>380000.00000000006</v>
      </c>
      <c r="E189" s="250">
        <f ca="1">SUMIFS(INDIRECT("Report!J100:J10000"),INDIRECT("Report!B100:B10000"),B189,INDIRECT("report!H100:H10000"),"Goss",INDIRECT("Report!L100:L10000"),"18.9")</f>
        <v>200000</v>
      </c>
      <c r="F189" s="595">
        <f ca="1">E189/D189</f>
        <v>0.52631578947368418</v>
      </c>
    </row>
    <row r="190" spans="1:10" ht="21" customHeight="1" x14ac:dyDescent="0.25">
      <c r="A190" s="293"/>
      <c r="B190" s="277"/>
      <c r="C190" s="543">
        <f ca="1">SUM(C187:C189)</f>
        <v>3533200</v>
      </c>
      <c r="D190" s="543">
        <f ca="1">SUM(D187:D189)</f>
        <v>3212000</v>
      </c>
      <c r="E190" s="543">
        <f ca="1">SUM(E187:E189)</f>
        <v>2140225.5639999998</v>
      </c>
      <c r="F190" s="593">
        <f ca="1">E190/D190</f>
        <v>0.66632178206724779</v>
      </c>
      <c r="G190" s="336" t="e">
        <f>SUM(#REF!)</f>
        <v>#REF!</v>
      </c>
    </row>
    <row r="191" spans="1:10" ht="21" customHeight="1" x14ac:dyDescent="0.25">
      <c r="A191" s="798">
        <v>2018.1</v>
      </c>
      <c r="C191" s="250"/>
      <c r="E191" s="250"/>
    </row>
    <row r="192" spans="1:10" ht="21" customHeight="1" x14ac:dyDescent="0.25">
      <c r="A192" s="1018"/>
      <c r="B192" s="228" t="s">
        <v>610</v>
      </c>
      <c r="C192" s="250">
        <f ca="1">SUMIFS(INDIRECT("Report!F100:F10000"),INDIRECT("Report!B100:B10000"),B192,INDIRECT("report!H100:H10000"),"Goss",INDIRECT("Report!L100:L10000"),"18,10")</f>
        <v>44000000</v>
      </c>
      <c r="D192" s="236">
        <f ca="1">(C192/11*10)</f>
        <v>40000000</v>
      </c>
      <c r="E192" s="250">
        <f ca="1">SUMIFS(INDIRECT("Report!J100:J10000"),INDIRECT("Report!B100:B10000"),B192,INDIRECT("report!H100:H10000"),"Goss",INDIRECT("Report!L100:L10000"),"18,10")</f>
        <v>12111833</v>
      </c>
      <c r="F192" s="595">
        <f t="shared" ref="F192:F197" ca="1" si="12">E192/D192</f>
        <v>0.30279582500000002</v>
      </c>
      <c r="J192" s="227" t="s">
        <v>1483</v>
      </c>
    </row>
    <row r="193" spans="1:7" ht="21" customHeight="1" x14ac:dyDescent="0.25">
      <c r="B193" s="228" t="s">
        <v>497</v>
      </c>
      <c r="C193" s="250">
        <f ca="1">SUMIFS(INDIRECT("Report!F100:F10000"),INDIRECT("Report!B100:B10000"),B193,INDIRECT("report!H100:H10000"),"Goss",INDIRECT("Report!L100:L10000"),"18,10")</f>
        <v>1188000.0000000002</v>
      </c>
      <c r="D193" s="236">
        <f ca="1">(C193/11*10)</f>
        <v>1080000.0000000002</v>
      </c>
      <c r="E193" s="250">
        <f ca="1">SUMIFS(INDIRECT("Report!J100:J10000"),INDIRECT("Report!B100:B10000"),B193,INDIRECT("report!H100:H10000"),"Goss",INDIRECT("Report!L100:L10000"),"18,10")</f>
        <v>540000</v>
      </c>
      <c r="F193" s="595">
        <f t="shared" ca="1" si="12"/>
        <v>0.49999999999999989</v>
      </c>
    </row>
    <row r="194" spans="1:7" ht="21" customHeight="1" x14ac:dyDescent="0.25">
      <c r="B194" s="228" t="s">
        <v>495</v>
      </c>
      <c r="C194" s="250">
        <f ca="1">SUMIFS(INDIRECT("Report!F100:F10000"),INDIRECT("Report!B100:B10000"),B194,INDIRECT("report!H100:H10000"),"Goss",INDIRECT("Report!L100:L10000"),"18,10")</f>
        <v>6050000.0000000009</v>
      </c>
      <c r="D194" s="236">
        <f ca="1">(C194/11*10)</f>
        <v>5500000.0000000009</v>
      </c>
      <c r="E194" s="250">
        <f ca="1">SUMIFS(INDIRECT("Report!J100:J10000"),INDIRECT("Report!B100:B10000"),B194,INDIRECT("report!H100:H10000"),"Goss",INDIRECT("Report!L100:L10000"),"18,10")</f>
        <v>997232.5</v>
      </c>
      <c r="F194" s="595">
        <f t="shared" ca="1" si="12"/>
        <v>0.18131499999999998</v>
      </c>
    </row>
    <row r="195" spans="1:7" ht="21" customHeight="1" x14ac:dyDescent="0.25">
      <c r="B195" s="228" t="s">
        <v>491</v>
      </c>
      <c r="C195" s="250">
        <f ca="1">SUMIFS(INDIRECT("Report!F100:F10000"),INDIRECT("Report!B100:B10000"),B195,INDIRECT("report!H100:H10000"),"Goss",INDIRECT("Report!L100:L10000"),"18,10")</f>
        <v>990000.00000000012</v>
      </c>
      <c r="D195" s="236">
        <f ca="1">(C195/11*10)</f>
        <v>900000.00000000012</v>
      </c>
      <c r="E195" s="250">
        <f ca="1">SUMIFS(INDIRECT("Report!J100:J10000"),INDIRECT("Report!B100:B10000"),B195,INDIRECT("report!H100:H10000"),"Goss",INDIRECT("Report!L100:L10000"),"18,10")</f>
        <v>450000</v>
      </c>
      <c r="F195" s="595">
        <f t="shared" ca="1" si="12"/>
        <v>0.49999999999999994</v>
      </c>
    </row>
    <row r="196" spans="1:7" ht="21" customHeight="1" x14ac:dyDescent="0.25">
      <c r="B196" s="228" t="s">
        <v>1047</v>
      </c>
      <c r="C196" s="250">
        <f ca="1">SUMIFS(INDIRECT("Report!F100:F10000"),INDIRECT("Report!B100:B10000"),B196,INDIRECT("report!H100:H10000"),"Goss",INDIRECT("Report!L100:L10000"),"18,10")</f>
        <v>1640100.0000000002</v>
      </c>
      <c r="D196" s="236">
        <f ca="1">(C196/11*10)</f>
        <v>1491000.0000000002</v>
      </c>
      <c r="E196" s="250">
        <f ca="1">SUMIFS(INDIRECT("Report!J100:J10000"),INDIRECT("Report!B100:B10000"),B196,INDIRECT("report!H100:H10000"),"Goss",INDIRECT("Report!L100:L10000"),"18,10")</f>
        <v>291000</v>
      </c>
      <c r="F196" s="595">
        <f t="shared" ca="1" si="12"/>
        <v>0.19517102615694162</v>
      </c>
    </row>
    <row r="197" spans="1:7" ht="21" customHeight="1" x14ac:dyDescent="0.25">
      <c r="A197" s="293"/>
      <c r="B197" s="277"/>
      <c r="C197" s="543">
        <f ca="1">SUM(C191:C196)</f>
        <v>53868100</v>
      </c>
      <c r="D197" s="543">
        <f ca="1">SUM(D191:D196)</f>
        <v>48971000</v>
      </c>
      <c r="E197" s="543">
        <f ca="1">SUM(E191:E196)</f>
        <v>14390065.5</v>
      </c>
      <c r="F197" s="593">
        <f t="shared" ca="1" si="12"/>
        <v>0.29384871658736805</v>
      </c>
      <c r="G197" s="336" t="e">
        <f>SUM(#REF!)</f>
        <v>#REF!</v>
      </c>
    </row>
    <row r="198" spans="1:7" ht="21" customHeight="1" x14ac:dyDescent="0.25">
      <c r="A198" s="798">
        <v>2018.11</v>
      </c>
      <c r="C198" s="250"/>
      <c r="E198" s="250"/>
    </row>
    <row r="199" spans="1:7" ht="21" customHeight="1" x14ac:dyDescent="0.25">
      <c r="A199" s="1018"/>
      <c r="B199" s="228" t="s">
        <v>610</v>
      </c>
      <c r="C199" s="250">
        <f t="shared" ref="C199:C206" ca="1" si="13">SUMIFS(INDIRECT("Report!F100:F10000"),INDIRECT("Report!B100:B10000"),B199,INDIRECT("report!H100:H10000"),"Goss",INDIRECT("Report!L100:L10000"),"18.11")</f>
        <v>7535000</v>
      </c>
      <c r="D199" s="236">
        <f t="shared" ref="D199:D206" ca="1" si="14">(C199/11*10)</f>
        <v>6850000</v>
      </c>
      <c r="E199" s="250">
        <f t="shared" ref="E199:E206" ca="1" si="15">SUMIFS(INDIRECT("Report!J100:J10000"),INDIRECT("Report!B100:B10000"),B199,INDIRECT("report!H100:H10000"),"Goss",INDIRECT("Report!L100:L10000"),"18.11")</f>
        <v>2529517.4684128985</v>
      </c>
      <c r="F199" s="595">
        <f t="shared" ref="F199:F207" ca="1" si="16">E199/D199</f>
        <v>0.36927262312597059</v>
      </c>
    </row>
    <row r="200" spans="1:7" ht="21" customHeight="1" x14ac:dyDescent="0.25">
      <c r="B200" s="228" t="s">
        <v>497</v>
      </c>
      <c r="C200" s="250">
        <f t="shared" ca="1" si="13"/>
        <v>1188000.0000000002</v>
      </c>
      <c r="D200" s="236">
        <f t="shared" ca="1" si="14"/>
        <v>1080000.0000000002</v>
      </c>
      <c r="E200" s="250">
        <f t="shared" ca="1" si="15"/>
        <v>540000</v>
      </c>
      <c r="F200" s="595">
        <f t="shared" ca="1" si="16"/>
        <v>0.49999999999999989</v>
      </c>
    </row>
    <row r="201" spans="1:7" ht="21" customHeight="1" x14ac:dyDescent="0.25">
      <c r="B201" s="228" t="s">
        <v>1587</v>
      </c>
      <c r="C201" s="250">
        <f t="shared" ca="1" si="13"/>
        <v>770000.00000000012</v>
      </c>
      <c r="D201" s="236">
        <f t="shared" ca="1" si="14"/>
        <v>700000.00000000012</v>
      </c>
      <c r="E201" s="250">
        <f t="shared" ca="1" si="15"/>
        <v>464424.8069334004</v>
      </c>
      <c r="F201" s="595">
        <f t="shared" ca="1" si="16"/>
        <v>0.66346400990485754</v>
      </c>
    </row>
    <row r="202" spans="1:7" ht="21" customHeight="1" x14ac:dyDescent="0.25">
      <c r="B202" s="228" t="s">
        <v>1588</v>
      </c>
      <c r="C202" s="250">
        <f t="shared" ca="1" si="13"/>
        <v>990000.00000000012</v>
      </c>
      <c r="D202" s="236">
        <f t="shared" ca="1" si="14"/>
        <v>900000.00000000012</v>
      </c>
      <c r="E202" s="250">
        <f t="shared" ca="1" si="15"/>
        <v>410893.26058356493</v>
      </c>
      <c r="F202" s="595">
        <f t="shared" ca="1" si="16"/>
        <v>0.45654806731507208</v>
      </c>
    </row>
    <row r="203" spans="1:7" ht="21" customHeight="1" x14ac:dyDescent="0.25">
      <c r="B203" s="228" t="s">
        <v>600</v>
      </c>
      <c r="C203" s="250">
        <f t="shared" ca="1" si="13"/>
        <v>8096000</v>
      </c>
      <c r="D203" s="236">
        <f t="shared" ca="1" si="14"/>
        <v>7360000</v>
      </c>
      <c r="E203" s="250">
        <f t="shared" ca="1" si="15"/>
        <v>4233985.0687846225</v>
      </c>
      <c r="F203" s="595">
        <f t="shared" ca="1" si="16"/>
        <v>0.57526971043269326</v>
      </c>
    </row>
    <row r="204" spans="1:7" ht="21" customHeight="1" x14ac:dyDescent="0.25">
      <c r="B204" s="228" t="s">
        <v>760</v>
      </c>
      <c r="C204" s="250">
        <f t="shared" ca="1" si="13"/>
        <v>418000.00000000006</v>
      </c>
      <c r="D204" s="236">
        <f t="shared" ca="1" si="14"/>
        <v>380000.00000000006</v>
      </c>
      <c r="E204" s="250">
        <f t="shared" ca="1" si="15"/>
        <v>200000</v>
      </c>
      <c r="F204" s="595">
        <f t="shared" ca="1" si="16"/>
        <v>0.52631578947368418</v>
      </c>
    </row>
    <row r="205" spans="1:7" ht="21" customHeight="1" x14ac:dyDescent="0.25">
      <c r="B205" s="228" t="s">
        <v>1345</v>
      </c>
      <c r="C205" s="250">
        <f t="shared" ca="1" si="13"/>
        <v>770000.00000000012</v>
      </c>
      <c r="D205" s="236">
        <f t="shared" ca="1" si="14"/>
        <v>700000.00000000012</v>
      </c>
      <c r="E205" s="250">
        <f t="shared" ca="1" si="15"/>
        <v>359370.41529387661</v>
      </c>
      <c r="F205" s="595">
        <f t="shared" ca="1" si="16"/>
        <v>0.51338630756268078</v>
      </c>
    </row>
    <row r="206" spans="1:7" ht="21" customHeight="1" x14ac:dyDescent="0.25">
      <c r="B206" s="228" t="s">
        <v>491</v>
      </c>
      <c r="C206" s="250">
        <f t="shared" ca="1" si="13"/>
        <v>1870000.0000000002</v>
      </c>
      <c r="D206" s="236">
        <f t="shared" ca="1" si="14"/>
        <v>1700000.0000000002</v>
      </c>
      <c r="E206" s="250">
        <f t="shared" ca="1" si="15"/>
        <v>800000</v>
      </c>
      <c r="F206" s="595">
        <f t="shared" ca="1" si="16"/>
        <v>0.47058823529411759</v>
      </c>
    </row>
    <row r="207" spans="1:7" ht="21" customHeight="1" x14ac:dyDescent="0.25">
      <c r="A207" s="293"/>
      <c r="B207" s="277"/>
      <c r="C207" s="543">
        <f ca="1">SUM(C198:C206)</f>
        <v>21637000</v>
      </c>
      <c r="D207" s="543">
        <f ca="1">SUM(D198:D206)</f>
        <v>19670000</v>
      </c>
      <c r="E207" s="543">
        <f ca="1">SUM(E198:E206)</f>
        <v>9538191.0200083628</v>
      </c>
      <c r="F207" s="593">
        <f t="shared" ca="1" si="16"/>
        <v>0.48491057549610384</v>
      </c>
      <c r="G207" s="336" t="e">
        <f>SUM(#REF!)</f>
        <v>#REF!</v>
      </c>
    </row>
    <row r="208" spans="1:7" ht="21" customHeight="1" x14ac:dyDescent="0.25">
      <c r="A208" s="798">
        <v>2018.12</v>
      </c>
      <c r="C208" s="250"/>
      <c r="E208" s="250"/>
    </row>
    <row r="209" spans="1:10" ht="21" customHeight="1" x14ac:dyDescent="0.25">
      <c r="A209" s="1018"/>
      <c r="B209" s="228" t="s">
        <v>610</v>
      </c>
      <c r="C209" s="250">
        <f ca="1">SUMIFS(INDIRECT("Report!F100:F10000"),INDIRECT("Report!B100:B10000"),B209,INDIRECT("report!H100:H10000"),"Goss",INDIRECT("Report!L100:L10000"),"18,12")</f>
        <v>10054000</v>
      </c>
      <c r="D209" s="236">
        <f ca="1">(C209/11*10)</f>
        <v>9140000</v>
      </c>
      <c r="E209" s="250">
        <f ca="1">SUMIFS(INDIRECT("Report!J100:J10000"),INDIRECT("Report!B100:B10000"),B209,INDIRECT("report!H100:H10000"),"Goss",INDIRECT("Report!L100:L10000"),"18,12")</f>
        <v>1655338.4096987143</v>
      </c>
      <c r="F209" s="595">
        <f ca="1">E209/D209</f>
        <v>0.18110923519679586</v>
      </c>
    </row>
    <row r="210" spans="1:10" ht="21" customHeight="1" x14ac:dyDescent="0.25">
      <c r="B210" s="228" t="s">
        <v>497</v>
      </c>
      <c r="C210" s="250">
        <f ca="1">SUMIFS(INDIRECT("Report!F100:F10000"),INDIRECT("Report!B100:B10000"),B210,INDIRECT("report!H100:H10000"),"Goss",INDIRECT("Report!L100:L10000"),"18,12")</f>
        <v>891000.00000000012</v>
      </c>
      <c r="D210" s="236">
        <f ca="1">(C210/11*10)</f>
        <v>810000.00000000012</v>
      </c>
      <c r="E210" s="250">
        <f ca="1">SUMIFS(INDIRECT("Report!J100:J10000"),INDIRECT("Report!B100:B10000"),B210,INDIRECT("report!H100:H10000"),"Goss",INDIRECT("Report!L100:L10000"),"18,12")</f>
        <v>430624.21473847347</v>
      </c>
      <c r="F210" s="595">
        <f ca="1">E210/D210</f>
        <v>0.53163483301046099</v>
      </c>
    </row>
    <row r="211" spans="1:10" ht="21" customHeight="1" x14ac:dyDescent="0.25">
      <c r="B211" s="228" t="s">
        <v>600</v>
      </c>
      <c r="C211" s="250">
        <f ca="1">SUMIFS(INDIRECT("Report!F100:F10000"),INDIRECT("Report!B100:B10000"),B211,INDIRECT("report!H100:H10000"),"Goss",INDIRECT("Report!L100:L10000"),"18,12")</f>
        <v>385000.00000000006</v>
      </c>
      <c r="D211" s="236">
        <f ca="1">(C211/11*10)</f>
        <v>350000.00000000006</v>
      </c>
      <c r="E211" s="250">
        <f ca="1">SUMIFS(INDIRECT("Report!J100:J10000"),INDIRECT("Report!B100:B10000"),B211,INDIRECT("report!H100:H10000"),"Goss",INDIRECT("Report!L100:L10000"),"18,12")</f>
        <v>188188.30601924093</v>
      </c>
      <c r="F211" s="595">
        <f ca="1">E211/D211</f>
        <v>0.53768087434068834</v>
      </c>
    </row>
    <row r="212" spans="1:10" ht="21" customHeight="1" x14ac:dyDescent="0.25">
      <c r="B212" s="228" t="s">
        <v>760</v>
      </c>
      <c r="C212" s="250">
        <f ca="1">SUMIFS(INDIRECT("Report!F100:F10000"),INDIRECT("Report!B100:B10000"),B212,INDIRECT("report!H100:H10000"),"Goss",INDIRECT("Report!L100:L10000"),"18,12")</f>
        <v>418000.00000000006</v>
      </c>
      <c r="D212" s="236">
        <f ca="1">(C212/11*10)</f>
        <v>380000.00000000006</v>
      </c>
      <c r="E212" s="250">
        <f ca="1">SUMIFS(INDIRECT("Report!J100:J10000"),INDIRECT("Report!B100:B10000"),B212,INDIRECT("report!H100:H10000"),"Goss",INDIRECT("Report!L100:L10000"),"18,12")</f>
        <v>200000</v>
      </c>
      <c r="F212" s="595">
        <f ca="1">E212/D212</f>
        <v>0.52631578947368418</v>
      </c>
    </row>
    <row r="213" spans="1:10" ht="21" customHeight="1" x14ac:dyDescent="0.25">
      <c r="A213" s="293"/>
      <c r="B213" s="277"/>
      <c r="C213" s="543">
        <f ca="1">SUM(C208:C212)</f>
        <v>11748000</v>
      </c>
      <c r="D213" s="543">
        <f ca="1">SUM(D208:D212)</f>
        <v>10680000</v>
      </c>
      <c r="E213" s="543">
        <f ca="1">SUM(E208:E212)</f>
        <v>2474150.9304564288</v>
      </c>
      <c r="F213" s="593">
        <f ca="1">E213/D213</f>
        <v>0.23166207214011506</v>
      </c>
      <c r="G213" s="336" t="e">
        <f>SUM(#REF!)</f>
        <v>#REF!</v>
      </c>
    </row>
    <row r="214" spans="1:10" ht="21" customHeight="1" x14ac:dyDescent="0.25">
      <c r="A214" s="798" t="s">
        <v>1908</v>
      </c>
      <c r="C214" s="250"/>
      <c r="E214" s="250"/>
    </row>
    <row r="215" spans="1:10" ht="21" customHeight="1" x14ac:dyDescent="0.25">
      <c r="A215" s="1018"/>
      <c r="B215" s="228" t="s">
        <v>1329</v>
      </c>
      <c r="C215" s="250">
        <f ca="1">SUMIFS(INDIRECT("Report!F100:F10000"),INDIRECT("Report!B100:B10000"),B215,INDIRECT("report!H100:H10000"),"Goss",INDIRECT("Report!L100:L10000"),"19,1")</f>
        <v>23045000.000000004</v>
      </c>
      <c r="D215" s="236">
        <f ca="1">(C215/11*10)</f>
        <v>20950000.000000004</v>
      </c>
      <c r="E215" s="250">
        <f ca="1">SUMIFS(INDIRECT("Report!J100:J10000"),INDIRECT("Report!B100:B10000"),B215,INDIRECT("report!H100:H10000"),"Goss",INDIRECT("Report!L100:L10000"),"19,1")</f>
        <v>12009474.972803146</v>
      </c>
      <c r="F215" s="595">
        <f ca="1">E215/D215</f>
        <v>0.57324462877341975</v>
      </c>
      <c r="J215" s="227" t="s">
        <v>1678</v>
      </c>
    </row>
    <row r="216" spans="1:10" ht="21" customHeight="1" x14ac:dyDescent="0.25">
      <c r="B216" s="228" t="s">
        <v>770</v>
      </c>
      <c r="C216" s="250">
        <f ca="1">SUMIFS(INDIRECT("Report!F100:F10000"),INDIRECT("Report!B100:B10000"),B216,INDIRECT("report!H100:H10000"),"Goss",INDIRECT("Report!L100:L10000"),"19,1")</f>
        <v>726000.00000000012</v>
      </c>
      <c r="D216" s="236">
        <f ca="1">(C216/11*10)</f>
        <v>660000.00000000012</v>
      </c>
      <c r="E216" s="250">
        <f ca="1">SUMIFS(INDIRECT("Report!J100:J10000"),INDIRECT("Report!B100:B10000"),B216,INDIRECT("report!H100:H10000"),"Goss",INDIRECT("Report!L100:L10000"),"19,1")</f>
        <v>397878.52133291133</v>
      </c>
      <c r="F216" s="595">
        <f ca="1">E216/D216</f>
        <v>0.60284624444380497</v>
      </c>
    </row>
    <row r="217" spans="1:10" ht="21" customHeight="1" x14ac:dyDescent="0.25">
      <c r="B217" s="228" t="s">
        <v>498</v>
      </c>
      <c r="C217" s="250">
        <f ca="1">SUMIFS(INDIRECT("Report!F100:F10000"),INDIRECT("Report!B100:B10000"),B217,INDIRECT("report!H100:H10000"),"Goss",INDIRECT("Report!L100:L10000"),"19,1")</f>
        <v>7425000.0000000009</v>
      </c>
      <c r="D217" s="236">
        <f ca="1">(C217/11*10)</f>
        <v>6750000.0000000009</v>
      </c>
      <c r="E217" s="250">
        <f ca="1">SUMIFS(INDIRECT("Report!J100:J10000"),INDIRECT("Report!B100:B10000"),B217,INDIRECT("report!H100:H10000"),"Goss",INDIRECT("Report!L100:L10000"),"19,1")</f>
        <v>3820222.7449606289</v>
      </c>
      <c r="F217" s="595">
        <f ca="1">E217/D217</f>
        <v>0.56595892517935231</v>
      </c>
      <c r="J217" s="227" t="s">
        <v>1678</v>
      </c>
    </row>
    <row r="218" spans="1:10" ht="21" customHeight="1" x14ac:dyDescent="0.25">
      <c r="B218" s="228" t="s">
        <v>600</v>
      </c>
      <c r="C218" s="250">
        <f ca="1">SUMIFS(INDIRECT("Report!F100:F10000"),INDIRECT("Report!B100:B10000"),B218,INDIRECT("report!H100:H10000"),"Goss",INDIRECT("Report!L100:L10000"),"19,1")</f>
        <v>3520000</v>
      </c>
      <c r="D218" s="236">
        <f ca="1">(C218/11*10)</f>
        <v>3200000</v>
      </c>
      <c r="E218" s="250">
        <f ca="1">SUMIFS(INDIRECT("Report!J100:J10000"),INDIRECT("Report!B100:B10000"),B218,INDIRECT("report!H100:H10000"),"Goss",INDIRECT("Report!L100:L10000"),"19,1")</f>
        <v>1382020.5840843471</v>
      </c>
      <c r="F218" s="595">
        <f ca="1">E218/D218</f>
        <v>0.43188143252635847</v>
      </c>
    </row>
    <row r="219" spans="1:10" ht="21" customHeight="1" x14ac:dyDescent="0.25">
      <c r="A219" s="293"/>
      <c r="B219" s="277"/>
      <c r="C219" s="543">
        <f ca="1">SUM(C214:C218)</f>
        <v>34716000</v>
      </c>
      <c r="D219" s="543">
        <f ca="1">SUM(D214:D218)</f>
        <v>31560000.000000004</v>
      </c>
      <c r="E219" s="543">
        <f ca="1">SUM(E214:E218)</f>
        <v>17609596.823181033</v>
      </c>
      <c r="F219" s="593">
        <f ca="1">E219/D219</f>
        <v>0.55797201594363222</v>
      </c>
      <c r="G219" s="336" t="e">
        <f>SUM(#REF!)</f>
        <v>#REF!</v>
      </c>
    </row>
    <row r="220" spans="1:10" ht="21" customHeight="1" x14ac:dyDescent="0.25">
      <c r="A220" s="798" t="s">
        <v>1909</v>
      </c>
      <c r="C220" s="250"/>
      <c r="E220" s="250"/>
    </row>
    <row r="221" spans="1:10" ht="21" customHeight="1" x14ac:dyDescent="0.25">
      <c r="A221" s="1018"/>
      <c r="B221" s="228" t="s">
        <v>497</v>
      </c>
      <c r="C221" s="250">
        <f ca="1">SUMIFS(INDIRECT("Report!F100:F10000"),INDIRECT("Report!B100:B10000"),B221,INDIRECT("report!H100:H10000"),"Goss",INDIRECT("Report!L100:L10000"),"19,2")</f>
        <v>4840000</v>
      </c>
      <c r="D221" s="236">
        <f ca="1">(C221/11*10)</f>
        <v>4400000</v>
      </c>
      <c r="E221" s="250">
        <f ca="1">SUMIFS(INDIRECT("Report!J100:J10000"),INDIRECT("Report!B100:B10000"),B221,INDIRECT("report!H100:H10000"),"Goss",INDIRECT("Report!L100:L10000"),"19,2")</f>
        <v>1990303.5296420364</v>
      </c>
      <c r="F221" s="595">
        <f ca="1">E221/D221</f>
        <v>0.45234171128228101</v>
      </c>
    </row>
    <row r="222" spans="1:10" ht="21" customHeight="1" x14ac:dyDescent="0.25">
      <c r="B222" s="228" t="s">
        <v>760</v>
      </c>
      <c r="C222" s="250">
        <f ca="1">SUMIFS(INDIRECT("Report!F100:F10000"),INDIRECT("Report!B100:B10000"),B222,INDIRECT("report!H100:H10000"),"Goss",INDIRECT("Report!L100:L10000"),"19,2")</f>
        <v>418000.00000000006</v>
      </c>
      <c r="D222" s="236">
        <f ca="1">(C222/11*10)</f>
        <v>380000.00000000006</v>
      </c>
      <c r="E222" s="250">
        <f ca="1">SUMIFS(INDIRECT("Report!J100:J10000"),INDIRECT("Report!B100:B10000"),B222,INDIRECT("report!H100:H10000"),"Goss",INDIRECT("Report!L100:L10000"),"19,2")</f>
        <v>200000</v>
      </c>
      <c r="F222" s="595">
        <f ca="1">E222/D222</f>
        <v>0.52631578947368418</v>
      </c>
    </row>
    <row r="223" spans="1:10" ht="21" customHeight="1" x14ac:dyDescent="0.25">
      <c r="B223" s="228" t="s">
        <v>1830</v>
      </c>
      <c r="C223" s="250">
        <f ca="1">SUMIFS(INDIRECT("Report!F100:F10000"),INDIRECT("Report!B100:B10000"),B223,INDIRECT("report!H100:H10000"),"Goss",INDIRECT("Report!L100:L10000"),"19,2")</f>
        <v>1936000.0000000002</v>
      </c>
      <c r="D223" s="236">
        <f ca="1">(C223/11*10)</f>
        <v>1760000.0000000002</v>
      </c>
      <c r="E223" s="250">
        <f ca="1">SUMIFS(INDIRECT("Report!J100:J10000"),INDIRECT("Report!B100:B10000"),B223,INDIRECT("report!H100:H10000"),"Goss",INDIRECT("Report!L100:L10000"),"19,2")</f>
        <v>520000</v>
      </c>
      <c r="F223" s="595">
        <f ca="1">E223/D223</f>
        <v>0.29545454545454541</v>
      </c>
    </row>
    <row r="224" spans="1:10" ht="21" customHeight="1" x14ac:dyDescent="0.25">
      <c r="B224" s="228" t="s">
        <v>610</v>
      </c>
      <c r="C224" s="250">
        <f ca="1">SUMIFS(INDIRECT("Report!F100:F10000"),INDIRECT("Report!B100:B10000"),B224,INDIRECT("report!H100:H10000"),"Goss",INDIRECT("Report!L100:L10000"),"19,2")</f>
        <v>22880000</v>
      </c>
      <c r="D224" s="236">
        <f ca="1">(C224/11*10)</f>
        <v>20800000</v>
      </c>
      <c r="E224" s="250">
        <f ca="1">SUMIFS(INDIRECT("Report!J100:J10000"),INDIRECT("Report!B100:B10000"),B224,INDIRECT("report!H100:H10000"),"Goss",INDIRECT("Report!L100:L10000"),"19,2")</f>
        <v>7322133.4817406218</v>
      </c>
      <c r="F224" s="595">
        <f ca="1">E224/D224</f>
        <v>0.35202564816060683</v>
      </c>
    </row>
    <row r="225" spans="1:7" ht="21" customHeight="1" x14ac:dyDescent="0.25">
      <c r="A225" s="293"/>
      <c r="B225" s="277"/>
      <c r="C225" s="543">
        <f ca="1">SUM(C220:C224)</f>
        <v>30074000</v>
      </c>
      <c r="D225" s="543">
        <f ca="1">SUM(D220:D224)</f>
        <v>27340000</v>
      </c>
      <c r="E225" s="543">
        <f ca="1">SUM(E220:E224)</f>
        <v>10032437.011382658</v>
      </c>
      <c r="F225" s="593">
        <f ca="1">E225/D225</f>
        <v>0.36695087825101164</v>
      </c>
      <c r="G225" s="336" t="e">
        <f>SUM(#REF!)</f>
        <v>#REF!</v>
      </c>
    </row>
    <row r="226" spans="1:7" ht="21" customHeight="1" x14ac:dyDescent="0.25">
      <c r="A226" s="798" t="s">
        <v>1910</v>
      </c>
      <c r="C226" s="250"/>
      <c r="E226" s="250"/>
    </row>
    <row r="227" spans="1:7" ht="21" customHeight="1" x14ac:dyDescent="0.25">
      <c r="A227" s="1018"/>
      <c r="B227" s="228" t="s">
        <v>497</v>
      </c>
      <c r="C227" s="250">
        <f ca="1">SUMIFS(INDIRECT("Report!F100:F10000"),INDIRECT("Report!B100:B10000"),B227,INDIRECT("report!H100:H10000"),"Goss",INDIRECT("Report!L100:L10000"),"19,3")</f>
        <v>4895000</v>
      </c>
      <c r="D227" s="236">
        <f ca="1">(C227/11*10)</f>
        <v>4450000</v>
      </c>
      <c r="E227" s="250">
        <f ca="1">SUMIFS(INDIRECT("Report!J100:J10000"),INDIRECT("Report!B100:B10000"),B227,INDIRECT("report!H100:H10000"),"Goss",INDIRECT("Report!L100:L10000"),"19,3")</f>
        <v>1829354.0389794789</v>
      </c>
      <c r="F227" s="595">
        <f ca="1">E227/D227</f>
        <v>0.41109079527628739</v>
      </c>
    </row>
    <row r="228" spans="1:7" ht="21" customHeight="1" x14ac:dyDescent="0.25">
      <c r="B228" s="228" t="s">
        <v>1345</v>
      </c>
      <c r="C228" s="250">
        <f ca="1">SUMIFS(INDIRECT("Report!F100:F10000"),INDIRECT("Report!B100:B10000"),B228,INDIRECT("report!H100:H10000"),"Goss",INDIRECT("Report!L100:L10000"),"19,3")</f>
        <v>825000.00000000012</v>
      </c>
      <c r="D228" s="236">
        <f ca="1">(C228/11*10)</f>
        <v>750000.00000000012</v>
      </c>
      <c r="E228" s="250">
        <f ca="1">SUMIFS(INDIRECT("Report!J100:J10000"),INDIRECT("Report!B100:B10000"),B228,INDIRECT("report!H100:H10000"),"Goss",INDIRECT("Report!L100:L10000"),"19,3")</f>
        <v>199794.79547602939</v>
      </c>
      <c r="F228" s="595">
        <f ca="1">E228/D228</f>
        <v>0.2663930606347058</v>
      </c>
    </row>
    <row r="229" spans="1:7" ht="21" customHeight="1" x14ac:dyDescent="0.25">
      <c r="B229" s="228" t="s">
        <v>1830</v>
      </c>
      <c r="C229" s="250">
        <f ca="1">SUMIFS(INDIRECT("Report!F100:F10000"),INDIRECT("Report!B100:B10000"),B229,INDIRECT("report!H100:H10000"),"Goss",INDIRECT("Report!L100:L10000"),"19,3")</f>
        <v>1650000.0000000002</v>
      </c>
      <c r="D229" s="236">
        <f ca="1">(C229/11*10)</f>
        <v>1500000.0000000002</v>
      </c>
      <c r="E229" s="250">
        <f ca="1">SUMIFS(INDIRECT("Report!J100:J10000"),INDIRECT("Report!B100:B10000"),B229,INDIRECT("report!H100:H10000"),"Goss",INDIRECT("Report!L100:L10000"),"19,3")</f>
        <v>463734.59562288516</v>
      </c>
      <c r="F229" s="595">
        <f ca="1">E229/D229</f>
        <v>0.30915639708192338</v>
      </c>
    </row>
    <row r="230" spans="1:7" ht="21" customHeight="1" x14ac:dyDescent="0.25">
      <c r="B230" s="228" t="s">
        <v>610</v>
      </c>
      <c r="C230" s="250">
        <f ca="1">SUMIFS(INDIRECT("Report!F100:F10000"),INDIRECT("Report!B100:B10000"),B230,INDIRECT("report!H100:H10000"),"Goss",INDIRECT("Report!L100:L10000"),"19,3")</f>
        <v>41910000</v>
      </c>
      <c r="D230" s="236">
        <f ca="1">(C230/11*10)</f>
        <v>38100000</v>
      </c>
      <c r="E230" s="250">
        <f ca="1">SUMIFS(INDIRECT("Report!J100:J10000"),INDIRECT("Report!B100:B10000"),B230,INDIRECT("report!H100:H10000"),"Goss",INDIRECT("Report!L100:L10000"),"19,3")</f>
        <v>14049072.621525373</v>
      </c>
      <c r="F230" s="595">
        <f ca="1">E230/D230</f>
        <v>0.36874206355709643</v>
      </c>
    </row>
    <row r="231" spans="1:7" ht="21" customHeight="1" x14ac:dyDescent="0.25">
      <c r="A231" s="293"/>
      <c r="B231" s="277"/>
      <c r="C231" s="543">
        <f ca="1">SUM(C226:C230)</f>
        <v>49280000</v>
      </c>
      <c r="D231" s="543">
        <f ca="1">SUM(D226:D230)</f>
        <v>44800000</v>
      </c>
      <c r="E231" s="543">
        <f ca="1">SUM(E226:E230)</f>
        <v>16541956.051603766</v>
      </c>
      <c r="F231" s="593">
        <f ca="1">E231/D231</f>
        <v>0.36924009043758405</v>
      </c>
      <c r="G231" s="336" t="e">
        <f>SUM(#REF!)</f>
        <v>#REF!</v>
      </c>
    </row>
    <row r="232" spans="1:7" ht="21" customHeight="1" x14ac:dyDescent="0.25">
      <c r="A232" s="798" t="s">
        <v>1911</v>
      </c>
      <c r="C232" s="250"/>
      <c r="E232" s="250"/>
    </row>
    <row r="233" spans="1:7" ht="21" customHeight="1" x14ac:dyDescent="0.25">
      <c r="A233" s="1018"/>
      <c r="B233" s="228" t="s">
        <v>497</v>
      </c>
      <c r="C233" s="250">
        <f ca="1">SUMIFS(INDIRECT("Report!F100:F10000"),INDIRECT("Report!B100:B10000"),B233,INDIRECT("report!H100:H10000"),"Goss",INDIRECT("Report!L100:L10000"),"19,4")</f>
        <v>3058000</v>
      </c>
      <c r="D233" s="236">
        <f ca="1">(C233/11*10)</f>
        <v>2780000</v>
      </c>
      <c r="E233" s="250">
        <f ca="1">SUMIFS(INDIRECT("Report!J100:J10000"),INDIRECT("Report!B100:B10000"),B233,INDIRECT("report!H100:H10000"),"Goss",INDIRECT("Report!L100:L10000"),"19,4")</f>
        <v>1129290</v>
      </c>
      <c r="F233" s="595">
        <f ca="1">E233/D233</f>
        <v>0.40621942446043163</v>
      </c>
    </row>
    <row r="234" spans="1:7" ht="21" customHeight="1" x14ac:dyDescent="0.25">
      <c r="B234" s="228" t="s">
        <v>498</v>
      </c>
      <c r="C234" s="250">
        <f ca="1">SUMIFS(INDIRECT("Report!F100:F10000"),INDIRECT("Report!B100:B10000"),B234,INDIRECT("report!H100:H10000"),"Goss",INDIRECT("Report!L100:L10000"),"19,4")</f>
        <v>2200000</v>
      </c>
      <c r="D234" s="236">
        <f ca="1">(C234/11*10)</f>
        <v>2000000</v>
      </c>
      <c r="E234" s="250">
        <f ca="1">SUMIFS(INDIRECT("Report!J100:J10000"),INDIRECT("Report!B100:B10000"),B234,INDIRECT("report!H100:H10000"),"Goss",INDIRECT("Report!L100:L10000"),"19,4")</f>
        <v>800000</v>
      </c>
      <c r="F234" s="595">
        <f ca="1">E234/D234</f>
        <v>0.4</v>
      </c>
    </row>
    <row r="235" spans="1:7" ht="21" customHeight="1" x14ac:dyDescent="0.25">
      <c r="B235" s="228" t="s">
        <v>1047</v>
      </c>
      <c r="C235" s="250">
        <f ca="1">SUMIFS(INDIRECT("Report!F100:F10000"),INDIRECT("Report!B100:B10000"),B235,INDIRECT("report!H100:H10000"),"Goss",INDIRECT("Report!L100:L10000"),"19,4")</f>
        <v>1093400</v>
      </c>
      <c r="D235" s="236">
        <f ca="1">(C235/11*10)</f>
        <v>994000</v>
      </c>
      <c r="E235" s="250">
        <f ca="1">SUMIFS(INDIRECT("Report!J100:J10000"),INDIRECT("Report!B100:B10000"),B235,INDIRECT("report!H100:H10000"),"Goss",INDIRECT("Report!L100:L10000"),"19,4")</f>
        <v>194000</v>
      </c>
      <c r="F235" s="595">
        <f ca="1">E235/D235</f>
        <v>0.19517102615694165</v>
      </c>
    </row>
    <row r="236" spans="1:7" ht="21" customHeight="1" x14ac:dyDescent="0.25">
      <c r="B236" s="228" t="s">
        <v>610</v>
      </c>
      <c r="C236" s="250">
        <f ca="1">SUMIFS(INDIRECT("Report!F100:F10000"),INDIRECT("Report!B100:B10000"),B236,INDIRECT("report!H100:H10000"),"Goss",INDIRECT("Report!L100:L10000"),"19,4")</f>
        <v>8140000.0000000009</v>
      </c>
      <c r="D236" s="236">
        <f ca="1">(C236/11*10)</f>
        <v>7400000.0000000009</v>
      </c>
      <c r="E236" s="250">
        <f ca="1">SUMIFS(INDIRECT("Report!J100:J10000"),INDIRECT("Report!B100:B10000"),B236,INDIRECT("report!H100:H10000"),"Goss",INDIRECT("Report!L100:L10000"),"19,4")</f>
        <v>2954852.1315062502</v>
      </c>
      <c r="F236" s="595">
        <f ca="1">E236/D236</f>
        <v>0.39930434209543919</v>
      </c>
    </row>
    <row r="237" spans="1:7" ht="21" customHeight="1" x14ac:dyDescent="0.25">
      <c r="A237" s="293"/>
      <c r="B237" s="277"/>
      <c r="C237" s="543">
        <f ca="1">SUM(C232:C236)</f>
        <v>14491400</v>
      </c>
      <c r="D237" s="543">
        <f ca="1">SUM(D232:D236)</f>
        <v>13174000</v>
      </c>
      <c r="E237" s="543">
        <f ca="1">SUM(E232:E236)</f>
        <v>5078142.1315062502</v>
      </c>
      <c r="F237" s="593">
        <f ca="1">E237/D237</f>
        <v>0.38546699039822757</v>
      </c>
      <c r="G237" s="336" t="e">
        <f>SUM(#REF!)</f>
        <v>#REF!</v>
      </c>
    </row>
    <row r="238" spans="1:7" ht="21" customHeight="1" x14ac:dyDescent="0.25">
      <c r="A238" s="798" t="s">
        <v>1912</v>
      </c>
      <c r="C238" s="250"/>
      <c r="E238" s="250"/>
    </row>
    <row r="239" spans="1:7" ht="21" customHeight="1" x14ac:dyDescent="0.25">
      <c r="A239" s="1018"/>
      <c r="B239" s="228" t="s">
        <v>497</v>
      </c>
      <c r="C239" s="250">
        <f t="shared" ref="C239:C245" ca="1" si="17">SUMIFS(INDIRECT("Report!F100:F10000"),INDIRECT("Report!B100:B10000"),B239,INDIRECT("report!H100:H10000"),"Goss",INDIRECT("Report!L100:L10000"),"19,5")</f>
        <v>891000.00000000012</v>
      </c>
      <c r="D239" s="236">
        <f t="shared" ref="D239:D245" ca="1" si="18">(C239/11*10)</f>
        <v>810000.00000000012</v>
      </c>
      <c r="E239" s="250">
        <f t="shared" ref="E239:E245" ca="1" si="19">SUMIFS(INDIRECT("Report!J100:J10000"),INDIRECT("Report!B100:B10000"),B239,INDIRECT("report!H100:H10000"),"Goss",INDIRECT("Report!L100:L10000"),"19,5")</f>
        <v>166236.98619389767</v>
      </c>
      <c r="F239" s="595">
        <f t="shared" ref="F239:F246" ca="1" si="20">E239/D239</f>
        <v>0.20523084715296006</v>
      </c>
    </row>
    <row r="240" spans="1:7" ht="21" customHeight="1" x14ac:dyDescent="0.25">
      <c r="B240" s="228" t="s">
        <v>498</v>
      </c>
      <c r="C240" s="250">
        <f t="shared" ca="1" si="17"/>
        <v>1584000</v>
      </c>
      <c r="D240" s="236">
        <f t="shared" ca="1" si="18"/>
        <v>1440000</v>
      </c>
      <c r="E240" s="250">
        <f t="shared" ca="1" si="19"/>
        <v>560824</v>
      </c>
      <c r="F240" s="595">
        <f t="shared" ca="1" si="20"/>
        <v>0.38946111111111109</v>
      </c>
    </row>
    <row r="241" spans="1:7" ht="21" customHeight="1" x14ac:dyDescent="0.25">
      <c r="B241" s="228" t="s">
        <v>1329</v>
      </c>
      <c r="C241" s="250">
        <f t="shared" ca="1" si="17"/>
        <v>594000</v>
      </c>
      <c r="D241" s="236">
        <f t="shared" ca="1" si="18"/>
        <v>540000</v>
      </c>
      <c r="E241" s="250">
        <f t="shared" ca="1" si="19"/>
        <v>110824</v>
      </c>
      <c r="F241" s="595">
        <f t="shared" ca="1" si="20"/>
        <v>0.20522962962962962</v>
      </c>
    </row>
    <row r="242" spans="1:7" ht="21" customHeight="1" x14ac:dyDescent="0.25">
      <c r="B242" s="228" t="s">
        <v>1903</v>
      </c>
      <c r="C242" s="250">
        <f t="shared" ca="1" si="17"/>
        <v>88000</v>
      </c>
      <c r="D242" s="236">
        <f t="shared" ca="1" si="18"/>
        <v>80000</v>
      </c>
      <c r="E242" s="250">
        <f t="shared" ca="1" si="19"/>
        <v>35078</v>
      </c>
      <c r="F242" s="595">
        <f t="shared" ca="1" si="20"/>
        <v>0.438475</v>
      </c>
    </row>
    <row r="243" spans="1:7" ht="21" customHeight="1" x14ac:dyDescent="0.25">
      <c r="B243" s="228" t="s">
        <v>610</v>
      </c>
      <c r="C243" s="250">
        <f t="shared" ca="1" si="17"/>
        <v>6050000.0000000009</v>
      </c>
      <c r="D243" s="236">
        <f t="shared" ca="1" si="18"/>
        <v>5500000.0000000009</v>
      </c>
      <c r="E243" s="250">
        <f t="shared" ca="1" si="19"/>
        <v>802793.73356170394</v>
      </c>
      <c r="F243" s="595">
        <f t="shared" ca="1" si="20"/>
        <v>0.14596249701121888</v>
      </c>
    </row>
    <row r="244" spans="1:7" ht="21" customHeight="1" x14ac:dyDescent="0.25">
      <c r="B244" s="228" t="s">
        <v>1830</v>
      </c>
      <c r="C244" s="250">
        <f t="shared" ca="1" si="17"/>
        <v>1267200</v>
      </c>
      <c r="D244" s="236">
        <f t="shared" ca="1" si="18"/>
        <v>1152000</v>
      </c>
      <c r="E244" s="250">
        <f t="shared" ca="1" si="19"/>
        <v>345082.1499327888</v>
      </c>
      <c r="F244" s="595">
        <f t="shared" ca="1" si="20"/>
        <v>0.29955047737221252</v>
      </c>
    </row>
    <row r="245" spans="1:7" ht="21" customHeight="1" x14ac:dyDescent="0.25">
      <c r="B245" s="228" t="s">
        <v>600</v>
      </c>
      <c r="C245" s="250">
        <f t="shared" ca="1" si="17"/>
        <v>1771000.0000000002</v>
      </c>
      <c r="D245" s="236">
        <f t="shared" ca="1" si="18"/>
        <v>1610000.0000000002</v>
      </c>
      <c r="E245" s="250">
        <f t="shared" ca="1" si="19"/>
        <v>791003.15884878405</v>
      </c>
      <c r="F245" s="595">
        <f t="shared" ca="1" si="20"/>
        <v>0.49130630984396517</v>
      </c>
    </row>
    <row r="246" spans="1:7" ht="21" customHeight="1" x14ac:dyDescent="0.25">
      <c r="A246" s="293"/>
      <c r="B246" s="277"/>
      <c r="C246" s="543">
        <f ca="1">SUM(C238:C245)</f>
        <v>12245200</v>
      </c>
      <c r="D246" s="543">
        <f ca="1">SUM(D238:D245)</f>
        <v>11132000</v>
      </c>
      <c r="E246" s="543">
        <f ca="1">SUM(E238:E245)</f>
        <v>2811842.0285371742</v>
      </c>
      <c r="F246" s="593">
        <f t="shared" ca="1" si="20"/>
        <v>0.25259091165443537</v>
      </c>
      <c r="G246" s="336" t="e">
        <f>SUM(#REF!)</f>
        <v>#REF!</v>
      </c>
    </row>
    <row r="247" spans="1:7" ht="21" customHeight="1" x14ac:dyDescent="0.25">
      <c r="A247" s="798" t="s">
        <v>1995</v>
      </c>
      <c r="C247" s="250"/>
      <c r="E247" s="250"/>
    </row>
    <row r="248" spans="1:7" ht="21" customHeight="1" x14ac:dyDescent="0.25">
      <c r="A248" s="1018"/>
      <c r="B248" s="228" t="s">
        <v>497</v>
      </c>
      <c r="C248" s="250">
        <f ca="1">SUMIFS(INDIRECT("Report!F100:F10000"),INDIRECT("Report!B100:B10000"),B248,INDIRECT("report!H100:H10000"),"Goss",INDIRECT("Report!L100:L10000"),"19,6")</f>
        <v>43890000</v>
      </c>
      <c r="D248" s="236">
        <f ca="1">(C248/11*10)</f>
        <v>39900000</v>
      </c>
      <c r="E248" s="250">
        <f ca="1">SUMIFS(INDIRECT("Report!J100:J10000"),INDIRECT("Report!B100:B10000"),B248,INDIRECT("report!H100:H10000"),"Goss",INDIRECT("Report!L100:L10000"),"19,6")</f>
        <v>19915500</v>
      </c>
      <c r="F248" s="595">
        <f ca="1">E248/D248</f>
        <v>0.49913533834586465</v>
      </c>
    </row>
    <row r="249" spans="1:7" ht="21" customHeight="1" x14ac:dyDescent="0.25">
      <c r="B249" s="228" t="s">
        <v>1996</v>
      </c>
      <c r="C249" s="250">
        <f ca="1">SUMIFS(INDIRECT("Report!F100:F10000"),INDIRECT("Report!B100:B10000"),B249,INDIRECT("report!H100:H10000"),"Goss",INDIRECT("Report!L100:L10000"),"19,6")</f>
        <v>6018100</v>
      </c>
      <c r="D249" s="236">
        <f ca="1">(C249/11*10)</f>
        <v>5471000</v>
      </c>
      <c r="E249" s="250">
        <f ca="1">SUMIFS(INDIRECT("Report!J100:J10000"),INDIRECT("Report!B100:B10000"),B249,INDIRECT("report!H100:H10000"),"Goss",INDIRECT("Report!L100:L10000"),"19,6")</f>
        <v>3274942.336154406</v>
      </c>
      <c r="F249" s="595">
        <f ca="1">E249/D249</f>
        <v>0.59860031733767249</v>
      </c>
    </row>
    <row r="250" spans="1:7" ht="21" customHeight="1" x14ac:dyDescent="0.25">
      <c r="B250" s="228" t="s">
        <v>600</v>
      </c>
      <c r="C250" s="250">
        <f ca="1">SUMIFS(INDIRECT("Report!F100:F10000"),INDIRECT("Report!B100:B10000"),B250,INDIRECT("report!H100:H10000"),"Goss",INDIRECT("Report!L100:L10000"),"19,6")</f>
        <v>1980000</v>
      </c>
      <c r="D250" s="236">
        <f ca="1">(C250/11*10)</f>
        <v>1800000</v>
      </c>
      <c r="E250" s="250">
        <f ca="1">SUMIFS(INDIRECT("Report!J100:J10000"),INDIRECT("Report!B100:B10000"),B250,INDIRECT("report!H100:H10000"),"Goss",INDIRECT("Report!L100:L10000"),"19,6")</f>
        <v>906984.54792632023</v>
      </c>
      <c r="F250" s="595">
        <f ca="1">E250/D250</f>
        <v>0.50388030440351128</v>
      </c>
    </row>
    <row r="251" spans="1:7" ht="21" customHeight="1" x14ac:dyDescent="0.25">
      <c r="A251" s="293"/>
      <c r="B251" s="277"/>
      <c r="C251" s="543">
        <f ca="1">SUM(C247:C250)</f>
        <v>51888100</v>
      </c>
      <c r="D251" s="543">
        <f ca="1">SUM(D247:D250)</f>
        <v>47171000</v>
      </c>
      <c r="E251" s="543">
        <f ca="1">SUM(E247:E250)</f>
        <v>24097426.884080727</v>
      </c>
      <c r="F251" s="593">
        <f ca="1">E251/D251</f>
        <v>0.51085257645758464</v>
      </c>
      <c r="G251" s="336" t="e">
        <f>SUM(#REF!)</f>
        <v>#REF!</v>
      </c>
    </row>
    <row r="252" spans="1:7" ht="21" customHeight="1" x14ac:dyDescent="0.25">
      <c r="A252" s="798" t="s">
        <v>2017</v>
      </c>
      <c r="C252" s="250"/>
      <c r="E252" s="250"/>
    </row>
    <row r="253" spans="1:7" ht="21" customHeight="1" x14ac:dyDescent="0.25">
      <c r="A253" s="1018"/>
      <c r="B253" s="228" t="s">
        <v>497</v>
      </c>
      <c r="C253" s="250">
        <f t="shared" ref="C253:C258" ca="1" si="21">SUMIFS(INDIRECT("Report!F100:F10000"),INDIRECT("Report!B100:B10000"),B253,INDIRECT("report!H100:H10000"),"Goss",INDIRECT("Report!L100:L10000"),"19,7")</f>
        <v>1881000.0000000002</v>
      </c>
      <c r="D253" s="236">
        <f t="shared" ref="D253:D258" ca="1" si="22">(C253/11*10)</f>
        <v>1710000.0000000002</v>
      </c>
      <c r="E253" s="250">
        <f t="shared" ref="E253:E258" ca="1" si="23">SUMIFS(INDIRECT("Report!J100:J10000"),INDIRECT("Report!B100:B10000"),B253,INDIRECT("report!H100:H10000"),"Goss",INDIRECT("Report!L100:L10000"),"19,7")</f>
        <v>799652.48918163369</v>
      </c>
      <c r="F253" s="595">
        <f t="shared" ref="F253:F259" ca="1" si="24">E253/D253</f>
        <v>0.46763303460914246</v>
      </c>
    </row>
    <row r="254" spans="1:7" ht="21" customHeight="1" x14ac:dyDescent="0.25">
      <c r="B254" s="228" t="s">
        <v>610</v>
      </c>
      <c r="C254" s="250">
        <f t="shared" ca="1" si="21"/>
        <v>9449000</v>
      </c>
      <c r="D254" s="236">
        <f t="shared" ca="1" si="22"/>
        <v>8590000</v>
      </c>
      <c r="E254" s="250">
        <f t="shared" ca="1" si="23"/>
        <v>2456133.4033461181</v>
      </c>
      <c r="F254" s="595">
        <f t="shared" ca="1" si="24"/>
        <v>0.28592938339302887</v>
      </c>
    </row>
    <row r="255" spans="1:7" ht="21" customHeight="1" x14ac:dyDescent="0.25">
      <c r="B255" s="228" t="s">
        <v>770</v>
      </c>
      <c r="C255" s="250">
        <f t="shared" ca="1" si="21"/>
        <v>825000.00000000012</v>
      </c>
      <c r="D255" s="236">
        <f t="shared" ca="1" si="22"/>
        <v>750000.00000000012</v>
      </c>
      <c r="E255" s="250">
        <f t="shared" ca="1" si="23"/>
        <v>237114.89361702121</v>
      </c>
      <c r="F255" s="595">
        <f t="shared" ca="1" si="24"/>
        <v>0.31615319148936155</v>
      </c>
    </row>
    <row r="256" spans="1:7" ht="21" customHeight="1" x14ac:dyDescent="0.25">
      <c r="B256" s="228" t="s">
        <v>1329</v>
      </c>
      <c r="C256" s="250">
        <f t="shared" ca="1" si="21"/>
        <v>770000.00000000012</v>
      </c>
      <c r="D256" s="236">
        <f t="shared" ca="1" si="22"/>
        <v>700000.00000000012</v>
      </c>
      <c r="E256" s="250">
        <f t="shared" ca="1" si="23"/>
        <v>199650</v>
      </c>
      <c r="F256" s="595">
        <f t="shared" ca="1" si="24"/>
        <v>0.28521428571428564</v>
      </c>
    </row>
    <row r="257" spans="1:7" ht="21" customHeight="1" x14ac:dyDescent="0.25">
      <c r="B257" s="228" t="s">
        <v>760</v>
      </c>
      <c r="C257" s="250">
        <f t="shared" ca="1" si="21"/>
        <v>418000.00000000006</v>
      </c>
      <c r="D257" s="236">
        <f t="shared" ca="1" si="22"/>
        <v>380000.00000000006</v>
      </c>
      <c r="E257" s="250">
        <f t="shared" ca="1" si="23"/>
        <v>200000</v>
      </c>
      <c r="F257" s="595">
        <f t="shared" ca="1" si="24"/>
        <v>0.52631578947368418</v>
      </c>
    </row>
    <row r="258" spans="1:7" ht="21" customHeight="1" x14ac:dyDescent="0.25">
      <c r="B258" s="228" t="s">
        <v>600</v>
      </c>
      <c r="C258" s="250">
        <f t="shared" ca="1" si="21"/>
        <v>1100000</v>
      </c>
      <c r="D258" s="236">
        <f t="shared" ca="1" si="22"/>
        <v>1000000</v>
      </c>
      <c r="E258" s="250">
        <f t="shared" ca="1" si="23"/>
        <v>499627.32954374596</v>
      </c>
      <c r="F258" s="595">
        <f t="shared" ca="1" si="24"/>
        <v>0.49962732954374595</v>
      </c>
    </row>
    <row r="259" spans="1:7" ht="21" customHeight="1" x14ac:dyDescent="0.25">
      <c r="A259" s="293"/>
      <c r="B259" s="277"/>
      <c r="C259" s="543">
        <f ca="1">SUM(C252:C258)</f>
        <v>14443000</v>
      </c>
      <c r="D259" s="543">
        <f ca="1">SUM(D252:D258)</f>
        <v>13130000</v>
      </c>
      <c r="E259" s="543">
        <f ca="1">SUM(E252:E258)</f>
        <v>4392178.1156885186</v>
      </c>
      <c r="F259" s="593">
        <f t="shared" ca="1" si="24"/>
        <v>0.33451470797323068</v>
      </c>
      <c r="G259" s="336" t="e">
        <f>SUM(#REF!)</f>
        <v>#REF!</v>
      </c>
    </row>
    <row r="260" spans="1:7" ht="21" customHeight="1" x14ac:dyDescent="0.25">
      <c r="A260" s="798" t="s">
        <v>2065</v>
      </c>
      <c r="C260" s="250"/>
      <c r="E260" s="250"/>
    </row>
    <row r="261" spans="1:7" ht="21" customHeight="1" x14ac:dyDescent="0.25">
      <c r="A261" s="1018"/>
      <c r="B261" s="228" t="s">
        <v>497</v>
      </c>
      <c r="C261" s="250">
        <f ca="1">SUMIFS(INDIRECT("Report!F100:F10000"),INDIRECT("Report!B100:B10000"),B261,INDIRECT("report!H100:H10000"),"Goss",INDIRECT("Report!L100:L10000"),"19,8")</f>
        <v>0</v>
      </c>
      <c r="D261" s="236">
        <f ca="1">(C261/11*10)</f>
        <v>0</v>
      </c>
      <c r="E261" s="250">
        <f ca="1">SUMIFS(INDIRECT("Report!J100:J10000"),INDIRECT("Report!B100:B10000"),B261,INDIRECT("report!H100:H10000"),"Goss",INDIRECT("Report!L100:L10000"),"19,8")</f>
        <v>0</v>
      </c>
      <c r="F261" s="595" t="e">
        <f t="shared" ref="F261:F266" ca="1" si="25">E261/D261</f>
        <v>#DIV/0!</v>
      </c>
    </row>
    <row r="262" spans="1:7" ht="21" customHeight="1" x14ac:dyDescent="0.25">
      <c r="B262" s="228" t="s">
        <v>610</v>
      </c>
      <c r="C262" s="250">
        <f ca="1">SUMIFS(INDIRECT("Report!F100:F10000"),INDIRECT("Report!B100:B10000"),B262,INDIRECT("report!H100:H10000"),"Goss",INDIRECT("Report!L100:L10000"),"19,8")</f>
        <v>6600000.0000000009</v>
      </c>
      <c r="D262" s="236">
        <f ca="1">(C262/11*10)</f>
        <v>6000000.0000000009</v>
      </c>
      <c r="E262" s="250">
        <f ca="1">SUMIFS(INDIRECT("Report!J100:J10000"),INDIRECT("Report!B100:B10000"),B262,INDIRECT("report!H100:H10000"),"Goss",INDIRECT("Report!L100:L10000"),"19,8")</f>
        <v>246515.14829308167</v>
      </c>
      <c r="F262" s="595">
        <f t="shared" ca="1" si="25"/>
        <v>4.1085858048846936E-2</v>
      </c>
    </row>
    <row r="263" spans="1:7" ht="21" customHeight="1" x14ac:dyDescent="0.25">
      <c r="B263" s="228" t="s">
        <v>1830</v>
      </c>
      <c r="C263" s="250">
        <f ca="1">SUMIFS(INDIRECT("Report!F100:F10000"),INDIRECT("Report!B100:B10000"),B263,INDIRECT("report!H100:H10000"),"Goss",INDIRECT("Report!L100:L10000"),"19,8")</f>
        <v>1738000.0000000002</v>
      </c>
      <c r="D263" s="236">
        <f ca="1">(C263/11*10)</f>
        <v>1580000.0000000002</v>
      </c>
      <c r="E263" s="250">
        <f ca="1">SUMIFS(INDIRECT("Report!J100:J10000"),INDIRECT("Report!B100:B10000"),B263,INDIRECT("report!H100:H10000"),"Goss",INDIRECT("Report!L100:L10000"),"19,8")</f>
        <v>140000</v>
      </c>
      <c r="F263" s="595">
        <f t="shared" ca="1" si="25"/>
        <v>8.8607594936708847E-2</v>
      </c>
    </row>
    <row r="264" spans="1:7" ht="21" customHeight="1" x14ac:dyDescent="0.25">
      <c r="B264" s="228" t="s">
        <v>1996</v>
      </c>
      <c r="C264" s="250">
        <f ca="1">SUMIFS(INDIRECT("Report!F100:F10000"),INDIRECT("Report!B100:B10000"),B264,INDIRECT("report!H100:H10000"),"Goss",INDIRECT("Report!L100:L10000"),"19,8")</f>
        <v>7117000</v>
      </c>
      <c r="D264" s="236">
        <f ca="1">(C264/11*10)</f>
        <v>6470000</v>
      </c>
      <c r="E264" s="250">
        <f ca="1">SUMIFS(INDIRECT("Report!J100:J10000"),INDIRECT("Report!B100:B10000"),B264,INDIRECT("report!H100:H10000"),"Goss",INDIRECT("Report!L100:L10000"),"19,8")</f>
        <v>3786998.7505058367</v>
      </c>
      <c r="F264" s="595">
        <f t="shared" ca="1" si="25"/>
        <v>0.58531665386488974</v>
      </c>
    </row>
    <row r="265" spans="1:7" ht="21" customHeight="1" x14ac:dyDescent="0.25">
      <c r="B265" s="228" t="s">
        <v>600</v>
      </c>
      <c r="C265" s="250">
        <f ca="1">SUMIFS(INDIRECT("Report!F100:F10000"),INDIRECT("Report!B100:B10000"),B265,INDIRECT("report!H100:H10000"),"Goss",INDIRECT("Report!L100:L10000"),"19,8")</f>
        <v>5445000</v>
      </c>
      <c r="D265" s="236">
        <f ca="1">(C265/11*10)</f>
        <v>4950000</v>
      </c>
      <c r="E265" s="250">
        <f ca="1">SUMIFS(INDIRECT("Report!J100:J10000"),INDIRECT("Report!B100:B10000"),B265,INDIRECT("report!H100:H10000"),"Goss",INDIRECT("Report!L100:L10000"),"19,8")</f>
        <v>1691392</v>
      </c>
      <c r="F265" s="595">
        <f t="shared" ca="1" si="25"/>
        <v>0.34169535353535352</v>
      </c>
    </row>
    <row r="266" spans="1:7" ht="21" customHeight="1" x14ac:dyDescent="0.25">
      <c r="A266" s="293"/>
      <c r="B266" s="277"/>
      <c r="C266" s="543">
        <f ca="1">SUM(C260:C265)</f>
        <v>20900000</v>
      </c>
      <c r="D266" s="543">
        <f ca="1">SUM(D260:D265)</f>
        <v>19000000</v>
      </c>
      <c r="E266" s="543">
        <f ca="1">SUM(E260:E265)</f>
        <v>5864905.8987989184</v>
      </c>
      <c r="F266" s="593">
        <f t="shared" ca="1" si="25"/>
        <v>0.308679257831522</v>
      </c>
      <c r="G266" s="336" t="e">
        <f>SUM(#REF!)</f>
        <v>#REF!</v>
      </c>
    </row>
    <row r="267" spans="1:7" ht="21" customHeight="1" x14ac:dyDescent="0.25">
      <c r="A267" s="798" t="s">
        <v>2095</v>
      </c>
      <c r="C267" s="250"/>
      <c r="E267" s="250"/>
    </row>
    <row r="268" spans="1:7" ht="21" customHeight="1" x14ac:dyDescent="0.25">
      <c r="A268" s="1018"/>
      <c r="B268" s="228" t="s">
        <v>497</v>
      </c>
      <c r="C268" s="250">
        <f ca="1">SUMIFS(INDIRECT("Report!F100:F10000"),INDIRECT("Report!B100:B10000"),B268,INDIRECT("report!H100:H10000"),"Goss",INDIRECT("Report!L100:L10000"),"19,9")</f>
        <v>2200000</v>
      </c>
      <c r="D268" s="236">
        <f ca="1">(C268/11*10)</f>
        <v>2000000</v>
      </c>
      <c r="E268" s="250">
        <f ca="1">SUMIFS(INDIRECT("Report!J100:J10000"),INDIRECT("Report!B100:B10000"),B268,INDIRECT("report!H100:H10000"),"Goss",INDIRECT("Report!L100:L10000"),"19,9")</f>
        <v>713567.77345481399</v>
      </c>
      <c r="F268" s="595">
        <f ca="1">E268/D268</f>
        <v>0.35678388672740702</v>
      </c>
    </row>
    <row r="269" spans="1:7" ht="21" customHeight="1" x14ac:dyDescent="0.25">
      <c r="B269" s="228" t="s">
        <v>1329</v>
      </c>
      <c r="C269" s="250">
        <f ca="1">SUMIFS(INDIRECT("Report!F100:F10000"),INDIRECT("Report!B100:B10000"),B269,INDIRECT("report!H100:H10000"),"Goss",INDIRECT("Report!L100:L10000"),"19,9")</f>
        <v>770000.00000000012</v>
      </c>
      <c r="D269" s="236">
        <f ca="1">(C269/11*10)</f>
        <v>700000.00000000012</v>
      </c>
      <c r="E269" s="250">
        <f ca="1">SUMIFS(INDIRECT("Report!J100:J10000"),INDIRECT("Report!B100:B10000"),B269,INDIRECT("report!H100:H10000"),"Goss",INDIRECT("Report!L100:L10000"),"19,9")</f>
        <v>179216.11327259295</v>
      </c>
      <c r="F269" s="595">
        <f ca="1">E269/D269</f>
        <v>0.256023018960847</v>
      </c>
    </row>
    <row r="270" spans="1:7" ht="21" customHeight="1" x14ac:dyDescent="0.25">
      <c r="B270" s="228" t="s">
        <v>1996</v>
      </c>
      <c r="C270" s="250">
        <f ca="1">SUMIFS(INDIRECT("Report!F100:F10000"),INDIRECT("Report!B100:B10000"),B270,INDIRECT("report!H100:H10000"),"Goss",INDIRECT("Report!L100:L10000"),"19,9")</f>
        <v>2376000.0000000005</v>
      </c>
      <c r="D270" s="236">
        <f ca="1">(C270/11*10)</f>
        <v>2160000.0000000005</v>
      </c>
      <c r="E270" s="250">
        <f ca="1">SUMIFS(INDIRECT("Report!J100:J10000"),INDIRECT("Report!B100:B10000"),B270,INDIRECT("report!H100:H10000"),"Goss",INDIRECT("Report!L100:L10000"),"19,9")</f>
        <v>920804.10000000009</v>
      </c>
      <c r="F270" s="595">
        <f ca="1">E270/D270</f>
        <v>0.42629819444444439</v>
      </c>
    </row>
    <row r="271" spans="1:7" ht="21" customHeight="1" x14ac:dyDescent="0.25">
      <c r="B271" s="228" t="s">
        <v>1164</v>
      </c>
      <c r="C271" s="250">
        <f ca="1">SUMIFS(INDIRECT("Report!F100:F10000"),INDIRECT("Report!B100:B10000"),B271,INDIRECT("report!H100:H10000"),"Goss",INDIRECT("Report!L100:L10000"),"19,9")</f>
        <v>220000.00000000003</v>
      </c>
      <c r="D271" s="236">
        <f ca="1">(C271/11*10)</f>
        <v>200000.00000000003</v>
      </c>
      <c r="E271" s="250">
        <f ca="1">SUMIFS(INDIRECT("Report!J100:J10000"),INDIRECT("Report!B100:B10000"),B271,INDIRECT("report!H100:H10000"),"Goss",INDIRECT("Report!L100:L10000"),"19,9")</f>
        <v>87695</v>
      </c>
      <c r="F271" s="595">
        <f ca="1">E271/D271</f>
        <v>0.43847499999999995</v>
      </c>
    </row>
    <row r="272" spans="1:7" ht="21" customHeight="1" x14ac:dyDescent="0.25">
      <c r="A272" s="293"/>
      <c r="B272" s="277"/>
      <c r="C272" s="543">
        <f ca="1">SUM(C267:C271)</f>
        <v>5566000</v>
      </c>
      <c r="D272" s="543">
        <f ca="1">SUM(D267:D271)</f>
        <v>5060000</v>
      </c>
      <c r="E272" s="543">
        <f ca="1">SUM(E267:E271)</f>
        <v>1901282.986727407</v>
      </c>
      <c r="F272" s="593">
        <f ca="1">E272/D272</f>
        <v>0.3757476258354559</v>
      </c>
      <c r="G272" s="336" t="e">
        <f>SUM(#REF!)</f>
        <v>#REF!</v>
      </c>
    </row>
    <row r="273" spans="1:7" ht="21" customHeight="1" x14ac:dyDescent="0.25">
      <c r="A273" s="798" t="s">
        <v>2126</v>
      </c>
      <c r="C273" s="250"/>
      <c r="E273" s="250"/>
    </row>
    <row r="274" spans="1:7" ht="21" customHeight="1" x14ac:dyDescent="0.25">
      <c r="A274" s="1018"/>
      <c r="B274" s="228" t="s">
        <v>497</v>
      </c>
      <c r="C274" s="250">
        <f ca="1">SUMIFS(INDIRECT("Report!F100:F10000"),INDIRECT("Report!B100:B10000"),B274,INDIRECT("report!H100:H10000"),"Goss",INDIRECT("Report!L100:L10000"),"19,10")</f>
        <v>990000.00000000012</v>
      </c>
      <c r="D274" s="236">
        <f ca="1">(C274/11*10)</f>
        <v>900000.00000000012</v>
      </c>
      <c r="E274" s="250">
        <f ca="1">SUMIFS(INDIRECT("Report!J100:J10000"),INDIRECT("Report!B100:B10000"),B274,INDIRECT("report!H100:H10000"),"Goss",INDIRECT("Report!L100:L10000"),"19,10")</f>
        <v>450000</v>
      </c>
      <c r="F274" s="595">
        <f ca="1">E274/D274</f>
        <v>0.49999999999999994</v>
      </c>
    </row>
    <row r="275" spans="1:7" ht="21" customHeight="1" x14ac:dyDescent="0.25">
      <c r="B275" s="228" t="s">
        <v>1996</v>
      </c>
      <c r="C275" s="250">
        <f ca="1">SUMIFS(INDIRECT("Report!F100:F10000"),INDIRECT("Report!B100:B10000"),B275,INDIRECT("report!H100:H10000"),"Goss",INDIRECT("Report!L100:L10000"),"19,10")</f>
        <v>396000.00000000006</v>
      </c>
      <c r="D275" s="236">
        <f ca="1">(C275/11*10)</f>
        <v>360000.00000000006</v>
      </c>
      <c r="E275" s="250">
        <f ca="1">SUMIFS(INDIRECT("Report!J100:J10000"),INDIRECT("Report!B100:B10000"),B275,INDIRECT("report!H100:H10000"),"Goss",INDIRECT("Report!L100:L10000"),"19,10")</f>
        <v>60000</v>
      </c>
      <c r="F275" s="595">
        <f ca="1">E275/D275</f>
        <v>0.16666666666666663</v>
      </c>
    </row>
    <row r="276" spans="1:7" ht="21" customHeight="1" x14ac:dyDescent="0.25">
      <c r="A276" s="293"/>
      <c r="B276" s="277"/>
      <c r="C276" s="543">
        <f ca="1">SUM(C273:C275)</f>
        <v>1386000.0000000002</v>
      </c>
      <c r="D276" s="543">
        <f ca="1">SUM(D273:D275)</f>
        <v>1260000.0000000002</v>
      </c>
      <c r="E276" s="543">
        <f ca="1">SUM(E273:E275)</f>
        <v>510000</v>
      </c>
      <c r="F276" s="593">
        <f ca="1">E276/D276</f>
        <v>0.40476190476190471</v>
      </c>
      <c r="G276" s="336" t="e">
        <f>SUM(#REF!)</f>
        <v>#REF!</v>
      </c>
    </row>
    <row r="277" spans="1:7" ht="21" customHeight="1" x14ac:dyDescent="0.25">
      <c r="A277" s="798" t="s">
        <v>2248</v>
      </c>
      <c r="C277" s="250"/>
      <c r="E277" s="250"/>
    </row>
    <row r="278" spans="1:7" ht="21" customHeight="1" x14ac:dyDescent="0.25">
      <c r="A278" s="1018"/>
      <c r="B278" s="228" t="s">
        <v>555</v>
      </c>
      <c r="C278" s="250">
        <f t="shared" ref="C278:C283" ca="1" si="26">SUMIFS(INDIRECT("Report!F100:F10000"),INDIRECT("Report!B100:B10000"),B278,INDIRECT("report!H100:H10000"),"Goss",INDIRECT("Report!L100:L10000"),"19,11")</f>
        <v>3157000.0000000005</v>
      </c>
      <c r="D278" s="236">
        <f t="shared" ref="D278:D283" ca="1" si="27">(C278/11*10)</f>
        <v>2870000.0000000005</v>
      </c>
      <c r="E278" s="250">
        <f t="shared" ref="E278:E283" ca="1" si="28">SUMIFS(INDIRECT("Report!J100:J10000"),INDIRECT("Report!B100:B10000"),B278,INDIRECT("report!H100:H10000"),"Goss",INDIRECT("Report!L100:L10000"),"19,11")</f>
        <v>1234200</v>
      </c>
      <c r="F278" s="595">
        <f ca="1">E278/D278</f>
        <v>0.43003484320557483</v>
      </c>
    </row>
    <row r="279" spans="1:7" ht="21" customHeight="1" x14ac:dyDescent="0.25">
      <c r="A279" s="1018"/>
      <c r="B279" s="228" t="s">
        <v>422</v>
      </c>
      <c r="C279" s="250">
        <f t="shared" ca="1" si="26"/>
        <v>1320000</v>
      </c>
      <c r="D279" s="236">
        <f t="shared" ca="1" si="27"/>
        <v>1200000</v>
      </c>
      <c r="E279" s="250">
        <f t="shared" ca="1" si="28"/>
        <v>443480</v>
      </c>
    </row>
    <row r="280" spans="1:7" ht="21" customHeight="1" x14ac:dyDescent="0.25">
      <c r="A280" s="1018"/>
      <c r="B280" s="228" t="s">
        <v>446</v>
      </c>
      <c r="C280" s="250">
        <f t="shared" ca="1" si="26"/>
        <v>19580000</v>
      </c>
      <c r="D280" s="236">
        <f t="shared" ca="1" si="27"/>
        <v>17800000</v>
      </c>
      <c r="E280" s="250">
        <f t="shared" ca="1" si="28"/>
        <v>8800000</v>
      </c>
    </row>
    <row r="281" spans="1:7" ht="21" customHeight="1" x14ac:dyDescent="0.25">
      <c r="A281" s="1018"/>
      <c r="B281" s="228" t="s">
        <v>1829</v>
      </c>
      <c r="C281" s="250">
        <f t="shared" ca="1" si="26"/>
        <v>2695000</v>
      </c>
      <c r="D281" s="236">
        <f t="shared" ca="1" si="27"/>
        <v>2450000</v>
      </c>
      <c r="E281" s="250">
        <f t="shared" ca="1" si="28"/>
        <v>550000</v>
      </c>
    </row>
    <row r="282" spans="1:7" ht="21" customHeight="1" x14ac:dyDescent="0.25">
      <c r="A282" s="1018"/>
      <c r="B282" s="228" t="s">
        <v>443</v>
      </c>
      <c r="C282" s="250">
        <f t="shared" ca="1" si="26"/>
        <v>5995000</v>
      </c>
      <c r="D282" s="236">
        <f t="shared" ca="1" si="27"/>
        <v>5450000</v>
      </c>
      <c r="E282" s="250">
        <f t="shared" ca="1" si="28"/>
        <v>370000</v>
      </c>
    </row>
    <row r="283" spans="1:7" ht="21" customHeight="1" x14ac:dyDescent="0.25">
      <c r="B283" s="228" t="s">
        <v>550</v>
      </c>
      <c r="C283" s="250">
        <f t="shared" ca="1" si="26"/>
        <v>3470500</v>
      </c>
      <c r="D283" s="236">
        <f t="shared" ca="1" si="27"/>
        <v>3155000</v>
      </c>
      <c r="E283" s="250">
        <f t="shared" ca="1" si="28"/>
        <v>655000</v>
      </c>
      <c r="F283" s="595">
        <f ca="1">E283/D283</f>
        <v>0.2076069730586371</v>
      </c>
    </row>
    <row r="284" spans="1:7" ht="21" customHeight="1" x14ac:dyDescent="0.25">
      <c r="A284" s="293"/>
      <c r="B284" s="277"/>
      <c r="C284" s="543">
        <f ca="1">SUM(C277:C283)</f>
        <v>36217500</v>
      </c>
      <c r="D284" s="543">
        <f ca="1">SUM(D277:D283)</f>
        <v>32925000</v>
      </c>
      <c r="E284" s="543">
        <f ca="1">SUM(E277:E283)</f>
        <v>12052680</v>
      </c>
      <c r="F284" s="593">
        <f ca="1">E284/D284</f>
        <v>0.36606469248291573</v>
      </c>
      <c r="G284" s="336" t="e">
        <f>SUM(#REF!)</f>
        <v>#REF!</v>
      </c>
    </row>
    <row r="285" spans="1:7" ht="21" customHeight="1" x14ac:dyDescent="0.25">
      <c r="A285" s="798" t="s">
        <v>2252</v>
      </c>
      <c r="C285" s="250"/>
      <c r="E285" s="250"/>
    </row>
    <row r="286" spans="1:7" ht="21" customHeight="1" x14ac:dyDescent="0.25">
      <c r="A286" s="1018"/>
      <c r="B286" s="228" t="s">
        <v>2253</v>
      </c>
      <c r="C286" s="250">
        <f t="shared" ref="C286:C294" ca="1" si="29">SUMIFS(INDIRECT("Report!F100:F10000"),INDIRECT("Report!B100:B10000"),B286,INDIRECT("report!H100:H10000"),"Goss",INDIRECT("Report!L100:L10000"),"19,12")</f>
        <v>770000</v>
      </c>
      <c r="D286" s="236">
        <f t="shared" ref="D286:D294" ca="1" si="30">(C286/11*10)</f>
        <v>700000</v>
      </c>
      <c r="E286" s="250">
        <f t="shared" ref="E286:E294" ca="1" si="31">SUMIFS(INDIRECT("Report!J100:J10000"),INDIRECT("Report!B100:B10000"),B286,INDIRECT("report!H100:H10000"),"Goss",INDIRECT("Report!L100:L10000"),"19,12")</f>
        <v>383525</v>
      </c>
      <c r="F286" s="595">
        <f t="shared" ref="F286:F294" ca="1" si="32">E286/D286</f>
        <v>0.54789285714285718</v>
      </c>
    </row>
    <row r="287" spans="1:7" ht="21" customHeight="1" x14ac:dyDescent="0.25">
      <c r="A287" s="1018"/>
      <c r="B287" s="228" t="s">
        <v>495</v>
      </c>
      <c r="C287" s="250">
        <f t="shared" ca="1" si="29"/>
        <v>6286500</v>
      </c>
      <c r="D287" s="236">
        <f t="shared" ca="1" si="30"/>
        <v>5715000</v>
      </c>
      <c r="E287" s="250">
        <f t="shared" ca="1" si="31"/>
        <v>2741770</v>
      </c>
      <c r="F287" s="595">
        <f t="shared" ca="1" si="32"/>
        <v>0.47974978127734036</v>
      </c>
    </row>
    <row r="288" spans="1:7" ht="21" customHeight="1" x14ac:dyDescent="0.25">
      <c r="A288" s="1018"/>
      <c r="B288" s="228" t="s">
        <v>491</v>
      </c>
      <c r="C288" s="250">
        <f t="shared" ca="1" si="29"/>
        <v>550000</v>
      </c>
      <c r="D288" s="236">
        <f t="shared" ca="1" si="30"/>
        <v>500000</v>
      </c>
      <c r="E288" s="250">
        <f t="shared" ca="1" si="31"/>
        <v>243940</v>
      </c>
      <c r="F288" s="595">
        <f t="shared" ca="1" si="32"/>
        <v>0.48787999999999998</v>
      </c>
    </row>
    <row r="289" spans="1:10" ht="21" customHeight="1" x14ac:dyDescent="0.25">
      <c r="A289" s="1018"/>
      <c r="B289" s="228" t="s">
        <v>1830</v>
      </c>
      <c r="C289" s="250">
        <f t="shared" ca="1" si="29"/>
        <v>1904100.0000000002</v>
      </c>
      <c r="D289" s="236">
        <f t="shared" ca="1" si="30"/>
        <v>1731000.0000000002</v>
      </c>
      <c r="E289" s="250">
        <f t="shared" ca="1" si="31"/>
        <v>530260</v>
      </c>
      <c r="F289" s="595">
        <f t="shared" ca="1" si="32"/>
        <v>0.30633160023108025</v>
      </c>
    </row>
    <row r="290" spans="1:10" ht="21" customHeight="1" x14ac:dyDescent="0.25">
      <c r="A290" s="1018"/>
      <c r="B290" s="228" t="s">
        <v>1996</v>
      </c>
      <c r="C290" s="250">
        <f t="shared" ca="1" si="29"/>
        <v>1870000.0000000002</v>
      </c>
      <c r="D290" s="236">
        <f t="shared" ca="1" si="30"/>
        <v>1700000.0000000002</v>
      </c>
      <c r="E290" s="250">
        <f t="shared" ca="1" si="31"/>
        <v>824000</v>
      </c>
      <c r="F290" s="595">
        <f t="shared" ca="1" si="32"/>
        <v>0.4847058823529411</v>
      </c>
    </row>
    <row r="291" spans="1:10" ht="21" customHeight="1" x14ac:dyDescent="0.25">
      <c r="A291" s="1018"/>
      <c r="B291" s="228" t="s">
        <v>497</v>
      </c>
      <c r="C291" s="250">
        <f t="shared" ca="1" si="29"/>
        <v>9515000</v>
      </c>
      <c r="D291" s="236">
        <f t="shared" ca="1" si="30"/>
        <v>8650000</v>
      </c>
      <c r="E291" s="250">
        <f t="shared" ca="1" si="31"/>
        <v>6288674</v>
      </c>
      <c r="F291" s="595">
        <f t="shared" ca="1" si="32"/>
        <v>0.72701433526011561</v>
      </c>
    </row>
    <row r="292" spans="1:10" ht="21" customHeight="1" x14ac:dyDescent="0.25">
      <c r="A292" s="1018"/>
      <c r="B292" s="228" t="s">
        <v>760</v>
      </c>
      <c r="C292" s="250">
        <f t="shared" ca="1" si="29"/>
        <v>7348000.0000000009</v>
      </c>
      <c r="D292" s="236">
        <f t="shared" ca="1" si="30"/>
        <v>6680000.0000000009</v>
      </c>
      <c r="E292" s="250">
        <f t="shared" ca="1" si="31"/>
        <v>3349791</v>
      </c>
      <c r="F292" s="595">
        <f t="shared" ca="1" si="32"/>
        <v>0.50146571856287414</v>
      </c>
    </row>
    <row r="293" spans="1:10" ht="21" customHeight="1" x14ac:dyDescent="0.25">
      <c r="A293" s="1018"/>
      <c r="B293" s="228" t="s">
        <v>422</v>
      </c>
      <c r="C293" s="250">
        <f t="shared" ca="1" si="29"/>
        <v>616000</v>
      </c>
      <c r="D293" s="236">
        <f t="shared" ca="1" si="30"/>
        <v>560000</v>
      </c>
      <c r="E293" s="250">
        <f t="shared" ca="1" si="31"/>
        <v>284292</v>
      </c>
      <c r="F293" s="595">
        <f t="shared" ca="1" si="32"/>
        <v>0.50766428571428568</v>
      </c>
    </row>
    <row r="294" spans="1:10" ht="21" customHeight="1" x14ac:dyDescent="0.25">
      <c r="A294" s="1018"/>
      <c r="B294" s="228" t="s">
        <v>445</v>
      </c>
      <c r="C294" s="250">
        <f t="shared" ca="1" si="29"/>
        <v>1650000.0000000002</v>
      </c>
      <c r="D294" s="236">
        <f t="shared" ca="1" si="30"/>
        <v>1500000.0000000002</v>
      </c>
      <c r="E294" s="250">
        <f t="shared" ca="1" si="31"/>
        <v>446530</v>
      </c>
      <c r="F294" s="595">
        <f t="shared" ca="1" si="32"/>
        <v>0.2976866666666666</v>
      </c>
    </row>
    <row r="295" spans="1:10" ht="21" customHeight="1" x14ac:dyDescent="0.25">
      <c r="A295" s="293"/>
      <c r="B295" s="277"/>
      <c r="C295" s="543">
        <f ca="1">SUM(C285:C294)</f>
        <v>30509600</v>
      </c>
      <c r="D295" s="543">
        <f ca="1">SUM(D285:D294)</f>
        <v>27736000</v>
      </c>
      <c r="E295" s="543">
        <f ca="1">SUM(E285:E294)</f>
        <v>15092782</v>
      </c>
      <c r="F295" s="593">
        <f ca="1">E295/D295</f>
        <v>0.54415856648399197</v>
      </c>
      <c r="G295" s="336" t="e">
        <f>SUM(#REF!)</f>
        <v>#REF!</v>
      </c>
    </row>
    <row r="296" spans="1:10" ht="21" customHeight="1" x14ac:dyDescent="0.25">
      <c r="A296" s="798" t="s">
        <v>2294</v>
      </c>
    </row>
    <row r="297" spans="1:10" ht="21" customHeight="1" x14ac:dyDescent="0.25">
      <c r="B297" s="228" t="s">
        <v>2297</v>
      </c>
      <c r="C297" s="250">
        <f ca="1">SUMIFS(INDIRECT("Report!F100:F10000"),INDIRECT("Report!B100:B10000"),B297,INDIRECT("report!H100:H10000"),"Goss",INDIRECT("Report!L100:L10000"),"20,1")</f>
        <v>715000</v>
      </c>
      <c r="D297" s="236">
        <f ca="1">(C297/11*10)</f>
        <v>650000</v>
      </c>
      <c r="E297" s="250">
        <f ca="1">SUMIFS(INDIRECT("Report!J100:J10000"),INDIRECT("Report!B100:B10000"),B297,INDIRECT("report!H100:H10000"),"Goss",INDIRECT("Report!L100:L10000"),"20,1")</f>
        <v>42415</v>
      </c>
      <c r="F297" s="595">
        <f ca="1">E297/D297</f>
        <v>6.5253846153846148E-2</v>
      </c>
      <c r="J297" s="227" t="s">
        <v>2298</v>
      </c>
    </row>
    <row r="298" spans="1:10" ht="21" customHeight="1" x14ac:dyDescent="0.25">
      <c r="B298" s="228" t="s">
        <v>555</v>
      </c>
      <c r="C298" s="250">
        <f ca="1">SUMIFS(INDIRECT("Report!F100:F10000"),INDIRECT("Report!B100:B10000"),B298,INDIRECT("report!H100:H10000"),"Goss",INDIRECT("Report!L100:L10000"),"20,1")</f>
        <v>6490000</v>
      </c>
      <c r="D298" s="236">
        <f ca="1">(C298/11*10)</f>
        <v>5900000</v>
      </c>
      <c r="E298" s="250">
        <f ca="1">SUMIFS(INDIRECT("Report!J100:J10000"),INDIRECT("Report!B100:B10000"),B298,INDIRECT("report!H100:H10000"),"Goss",INDIRECT("Report!L100:L10000"),"20,1")</f>
        <v>1051755</v>
      </c>
      <c r="F298" s="595">
        <f ca="1">E298/D298</f>
        <v>0.17826355932203389</v>
      </c>
    </row>
    <row r="299" spans="1:10" ht="21" customHeight="1" x14ac:dyDescent="0.25">
      <c r="A299" s="293"/>
      <c r="B299" s="277" t="s">
        <v>2770</v>
      </c>
      <c r="C299" s="543">
        <f ca="1">SUM(C297:C298)</f>
        <v>7205000</v>
      </c>
      <c r="D299" s="543">
        <f ca="1">SUM(D297:D298)</f>
        <v>6550000</v>
      </c>
      <c r="E299" s="543">
        <f ca="1">SUM(E297:E298)</f>
        <v>1094170</v>
      </c>
      <c r="F299" s="593">
        <f ca="1">E299/D299</f>
        <v>0.16704885496183206</v>
      </c>
      <c r="G299" s="336" t="e">
        <f>SUM(#REF!)</f>
        <v>#REF!</v>
      </c>
    </row>
    <row r="300" spans="1:10" ht="21" customHeight="1" x14ac:dyDescent="0.25">
      <c r="A300" s="798" t="s">
        <v>2326</v>
      </c>
      <c r="C300" s="250"/>
      <c r="E300" s="250"/>
    </row>
    <row r="301" spans="1:10" ht="21" customHeight="1" x14ac:dyDescent="0.25">
      <c r="A301" s="1018"/>
      <c r="B301" s="228" t="s">
        <v>443</v>
      </c>
      <c r="C301" s="250">
        <f t="shared" ref="C301:C306" ca="1" si="33">SUMIFS(INDIRECT("Report!F100:F10000"),INDIRECT("Report!B100:B10000"),B301,INDIRECT("report!H100:H10000"),"Goss",INDIRECT("Report!L100:L10000"),"20,2")</f>
        <v>29590000</v>
      </c>
      <c r="D301" s="236">
        <f t="shared" ref="D301:D306" ca="1" si="34">(C301/11*10)</f>
        <v>26900000</v>
      </c>
      <c r="E301" s="250">
        <f t="shared" ref="E301:E306" ca="1" si="35">SUMIFS(INDIRECT("Report!J100:J10000"),INDIRECT("Report!B100:B10000"),B301,INDIRECT("report!H100:H10000"),"Goss",INDIRECT("Report!L100:L10000"),"20,2")</f>
        <v>3775000</v>
      </c>
      <c r="F301" s="595">
        <f t="shared" ref="F301:F306" ca="1" si="36">E301/D301</f>
        <v>0.14033457249070633</v>
      </c>
    </row>
    <row r="302" spans="1:10" ht="21" customHeight="1" x14ac:dyDescent="0.25">
      <c r="A302" s="1018"/>
      <c r="B302" s="228" t="s">
        <v>2340</v>
      </c>
      <c r="C302" s="250">
        <f t="shared" ca="1" si="33"/>
        <v>1620300.0000000002</v>
      </c>
      <c r="D302" s="236">
        <f t="shared" ca="1" si="34"/>
        <v>1473000.0000000002</v>
      </c>
      <c r="E302" s="250">
        <f t="shared" ca="1" si="35"/>
        <v>327000</v>
      </c>
      <c r="F302" s="595">
        <f t="shared" ca="1" si="36"/>
        <v>0.22199592668024437</v>
      </c>
    </row>
    <row r="303" spans="1:10" ht="21" customHeight="1" x14ac:dyDescent="0.25">
      <c r="A303" s="1018"/>
      <c r="B303" s="228" t="s">
        <v>1588</v>
      </c>
      <c r="C303" s="250">
        <f t="shared" ca="1" si="33"/>
        <v>594000</v>
      </c>
      <c r="D303" s="236">
        <f t="shared" ca="1" si="34"/>
        <v>540000</v>
      </c>
      <c r="E303" s="250">
        <f t="shared" ca="1" si="35"/>
        <v>140000</v>
      </c>
      <c r="F303" s="595">
        <f t="shared" ca="1" si="36"/>
        <v>0.25925925925925924</v>
      </c>
    </row>
    <row r="304" spans="1:10" ht="21" customHeight="1" x14ac:dyDescent="0.25">
      <c r="A304" s="1018"/>
      <c r="B304" s="228" t="s">
        <v>2341</v>
      </c>
      <c r="C304" s="250">
        <f t="shared" ca="1" si="33"/>
        <v>297000</v>
      </c>
      <c r="D304" s="236">
        <f t="shared" ca="1" si="34"/>
        <v>270000</v>
      </c>
      <c r="E304" s="250">
        <f t="shared" ca="1" si="35"/>
        <v>70000</v>
      </c>
      <c r="F304" s="595">
        <f t="shared" ca="1" si="36"/>
        <v>0.25925925925925924</v>
      </c>
    </row>
    <row r="305" spans="1:7" ht="21" customHeight="1" x14ac:dyDescent="0.25">
      <c r="A305" s="1018"/>
      <c r="B305" s="228" t="s">
        <v>497</v>
      </c>
      <c r="C305" s="250">
        <f t="shared" ca="1" si="33"/>
        <v>2739000.0000000005</v>
      </c>
      <c r="D305" s="236">
        <f t="shared" ca="1" si="34"/>
        <v>2490000.0000000005</v>
      </c>
      <c r="E305" s="250">
        <f t="shared" ca="1" si="35"/>
        <v>990000</v>
      </c>
      <c r="F305" s="595">
        <f t="shared" ca="1" si="36"/>
        <v>0.39759036144578308</v>
      </c>
    </row>
    <row r="306" spans="1:7" ht="21" customHeight="1" x14ac:dyDescent="0.25">
      <c r="A306" s="1018"/>
      <c r="B306" s="228" t="s">
        <v>2359</v>
      </c>
      <c r="C306" s="250">
        <f t="shared" ca="1" si="33"/>
        <v>880000.00000000012</v>
      </c>
      <c r="D306" s="236">
        <f t="shared" ca="1" si="34"/>
        <v>800000.00000000012</v>
      </c>
      <c r="E306" s="250">
        <f t="shared" ca="1" si="35"/>
        <v>356985</v>
      </c>
      <c r="F306" s="595">
        <f t="shared" ca="1" si="36"/>
        <v>0.44623124999999991</v>
      </c>
    </row>
    <row r="307" spans="1:7" ht="21" customHeight="1" x14ac:dyDescent="0.25">
      <c r="A307" s="293"/>
      <c r="B307" s="277"/>
      <c r="C307" s="543">
        <f ca="1">SUM(C300:C306)</f>
        <v>35720300</v>
      </c>
      <c r="D307" s="543">
        <f ca="1">SUM(D300:D306)</f>
        <v>32473000</v>
      </c>
      <c r="E307" s="543">
        <f ca="1">SUM(E300:E306)</f>
        <v>5658985</v>
      </c>
      <c r="F307" s="593">
        <f ca="1">E307/D307</f>
        <v>0.17426739137129307</v>
      </c>
      <c r="G307" s="336" t="e">
        <f>SUM(#REF!)</f>
        <v>#REF!</v>
      </c>
    </row>
    <row r="308" spans="1:7" ht="21" customHeight="1" x14ac:dyDescent="0.25">
      <c r="A308" s="798" t="s">
        <v>2356</v>
      </c>
    </row>
    <row r="309" spans="1:7" ht="21" customHeight="1" x14ac:dyDescent="0.25">
      <c r="B309" s="228" t="s">
        <v>443</v>
      </c>
      <c r="C309" s="250">
        <f ca="1">SUMIFS(INDIRECT("Report!F100:F10000"),INDIRECT("Report!B100:B10000"),B309,INDIRECT("report!H100:H10000"),"Goss",INDIRECT("Report!L100:L10000"),"20,3")</f>
        <v>7101600</v>
      </c>
      <c r="D309" s="236">
        <f ca="1">(C309/11*10)</f>
        <v>6456000</v>
      </c>
      <c r="E309" s="250">
        <f ca="1">SUMIFS(INDIRECT("Report!J100:J10000"),INDIRECT("Report!B100:B10000"),B309,INDIRECT("report!H100:H10000"),"Goss",INDIRECT("Report!L100:L10000"),"20,3")</f>
        <v>2527000</v>
      </c>
      <c r="F309" s="595">
        <f ca="1">E309/D309</f>
        <v>0.39141883519206938</v>
      </c>
    </row>
    <row r="310" spans="1:7" ht="21" customHeight="1" x14ac:dyDescent="0.25">
      <c r="B310" s="228" t="s">
        <v>2253</v>
      </c>
      <c r="C310" s="250">
        <f ca="1">SUMIFS(INDIRECT("Report!F100:F10000"),INDIRECT("Report!B100:B10000"),B310,INDIRECT("report!H100:H10000"),"Goss",INDIRECT("Report!L100:L10000"),"20,3")</f>
        <v>3905000.0000000005</v>
      </c>
      <c r="D310" s="236">
        <f ca="1">(C310/11*10)</f>
        <v>3550000.0000000005</v>
      </c>
      <c r="E310" s="250">
        <f ca="1">SUMIFS(INDIRECT("Report!J100:J10000"),INDIRECT("Report!B100:B10000"),B310,INDIRECT("report!H100:H10000"),"Goss",INDIRECT("Report!L100:L10000"),"20,3")</f>
        <v>1258610</v>
      </c>
      <c r="F310" s="595">
        <f ca="1">E310/D310</f>
        <v>0.35453802816901403</v>
      </c>
    </row>
    <row r="311" spans="1:7" ht="21" customHeight="1" x14ac:dyDescent="0.25">
      <c r="A311" s="293"/>
      <c r="B311" s="277"/>
      <c r="C311" s="543">
        <f ca="1">SUM(C309:C310)</f>
        <v>11006600</v>
      </c>
      <c r="D311" s="543">
        <f ca="1">SUM(D309:D310)</f>
        <v>10006000</v>
      </c>
      <c r="E311" s="543">
        <f ca="1">SUM(E309:E310)</f>
        <v>3785610</v>
      </c>
      <c r="F311" s="593">
        <f ca="1">E311/D311</f>
        <v>0.37833399960023983</v>
      </c>
      <c r="G311" s="336" t="e">
        <f>SUM(#REF!)</f>
        <v>#REF!</v>
      </c>
    </row>
    <row r="312" spans="1:7" ht="21" customHeight="1" x14ac:dyDescent="0.25">
      <c r="A312" s="798" t="s">
        <v>2424</v>
      </c>
    </row>
    <row r="313" spans="1:7" ht="21" customHeight="1" x14ac:dyDescent="0.25">
      <c r="B313" s="228" t="s">
        <v>1829</v>
      </c>
      <c r="C313" s="250">
        <f t="shared" ref="C313:C318" ca="1" si="37">SUMIFS(INDIRECT("Report!F100:F10000"),INDIRECT("Report!B100:B10000"),B313,INDIRECT("report!H100:H10000"),"Goss",INDIRECT("Report!L100:L10000"),"20,4")</f>
        <v>3487000.0000000005</v>
      </c>
      <c r="D313" s="236">
        <f t="shared" ref="D313:D318" ca="1" si="38">(C313/11*10)</f>
        <v>3170000.0000000005</v>
      </c>
      <c r="E313" s="250">
        <f t="shared" ref="E313:E318" ca="1" si="39">SUMIFS(INDIRECT("Report!J100:J10000"),INDIRECT("Report!B100:B10000"),B313,INDIRECT("report!H100:H10000"),"Goss",INDIRECT("Report!L100:L10000"),"20,4")</f>
        <v>731638.33245915058</v>
      </c>
      <c r="F313" s="595">
        <f t="shared" ref="F313:F319" ca="1" si="40">E313/D313</f>
        <v>0.23080073579153013</v>
      </c>
    </row>
    <row r="314" spans="1:7" ht="21" customHeight="1" x14ac:dyDescent="0.25">
      <c r="B314" s="228" t="s">
        <v>2359</v>
      </c>
      <c r="C314" s="250">
        <f t="shared" ca="1" si="37"/>
        <v>9680000</v>
      </c>
      <c r="D314" s="236">
        <f t="shared" ca="1" si="38"/>
        <v>8800000</v>
      </c>
      <c r="E314" s="250">
        <f t="shared" ca="1" si="39"/>
        <v>2435225.6415508473</v>
      </c>
      <c r="F314" s="595">
        <f t="shared" ca="1" si="40"/>
        <v>0.27673018653986903</v>
      </c>
    </row>
    <row r="315" spans="1:7" ht="21" customHeight="1" x14ac:dyDescent="0.25">
      <c r="B315" s="228" t="s">
        <v>497</v>
      </c>
      <c r="C315" s="250">
        <f t="shared" ca="1" si="37"/>
        <v>2398000</v>
      </c>
      <c r="D315" s="236">
        <f t="shared" ca="1" si="38"/>
        <v>2180000</v>
      </c>
      <c r="E315" s="250">
        <f t="shared" ca="1" si="39"/>
        <v>407647.72401918157</v>
      </c>
      <c r="F315" s="595">
        <f t="shared" ca="1" si="40"/>
        <v>0.18699436881613835</v>
      </c>
    </row>
    <row r="316" spans="1:7" ht="21" customHeight="1" x14ac:dyDescent="0.25">
      <c r="B316" s="228" t="s">
        <v>1996</v>
      </c>
      <c r="C316" s="250">
        <f t="shared" ca="1" si="37"/>
        <v>2750000.0000000005</v>
      </c>
      <c r="D316" s="236">
        <f t="shared" ca="1" si="38"/>
        <v>2500000.0000000005</v>
      </c>
      <c r="E316" s="250">
        <f t="shared" ca="1" si="39"/>
        <v>995016.15417533054</v>
      </c>
      <c r="F316" s="595">
        <f t="shared" ca="1" si="40"/>
        <v>0.39800646167013215</v>
      </c>
    </row>
    <row r="317" spans="1:7" ht="21" customHeight="1" x14ac:dyDescent="0.25">
      <c r="B317" s="228" t="s">
        <v>557</v>
      </c>
      <c r="C317" s="250">
        <f t="shared" ca="1" si="37"/>
        <v>69999999.300000012</v>
      </c>
      <c r="D317" s="236">
        <f t="shared" ca="1" si="38"/>
        <v>63636363.000000007</v>
      </c>
      <c r="E317" s="250">
        <f t="shared" ca="1" si="39"/>
        <v>29481804</v>
      </c>
      <c r="F317" s="595">
        <f t="shared" ca="1" si="40"/>
        <v>0.46328549606142633</v>
      </c>
      <c r="G317" s="228" t="s">
        <v>2428</v>
      </c>
    </row>
    <row r="318" spans="1:7" ht="21" customHeight="1" x14ac:dyDescent="0.25">
      <c r="B318" s="228" t="s">
        <v>550</v>
      </c>
      <c r="C318" s="250">
        <f t="shared" ca="1" si="37"/>
        <v>825000.00000000012</v>
      </c>
      <c r="D318" s="236">
        <f t="shared" ca="1" si="38"/>
        <v>750000.00000000012</v>
      </c>
      <c r="E318" s="250">
        <f t="shared" ca="1" si="39"/>
        <v>0</v>
      </c>
      <c r="F318" s="595">
        <f t="shared" ca="1" si="40"/>
        <v>0</v>
      </c>
    </row>
    <row r="319" spans="1:7" ht="21" customHeight="1" x14ac:dyDescent="0.25">
      <c r="A319" s="293"/>
      <c r="B319" s="277"/>
      <c r="C319" s="543">
        <f ca="1">SUM(C313:C318)</f>
        <v>89139999.300000012</v>
      </c>
      <c r="D319" s="543">
        <f ca="1">SUM(D313:D318)</f>
        <v>81036363</v>
      </c>
      <c r="E319" s="543">
        <f ca="1">SUM(E313:E318)</f>
        <v>34051331.852204509</v>
      </c>
      <c r="F319" s="593">
        <f t="shared" ca="1" si="40"/>
        <v>0.42019817513533408</v>
      </c>
      <c r="G319" s="336" t="e">
        <f>SUM(#REF!)</f>
        <v>#REF!</v>
      </c>
    </row>
    <row r="320" spans="1:7" ht="21" customHeight="1" x14ac:dyDescent="0.25">
      <c r="A320" s="798" t="s">
        <v>2447</v>
      </c>
    </row>
    <row r="321" spans="1:7" ht="21" customHeight="1" x14ac:dyDescent="0.25">
      <c r="B321" s="228" t="s">
        <v>443</v>
      </c>
      <c r="C321" s="250">
        <f ca="1">SUMIFS(INDIRECT("Report!F100:F10000"),INDIRECT("Report!B100:B10000"),B321,INDIRECT("report!H100:H10000"),"Goss",INDIRECT("Report!L100:L10000"),"20,5")</f>
        <v>11946000</v>
      </c>
      <c r="D321" s="236">
        <f ca="1">(C321/11*10)</f>
        <v>10860000</v>
      </c>
      <c r="E321" s="250">
        <f ca="1">SUMIFS(INDIRECT("Report!J100:J10000"),INDIRECT("Report!B100:B10000"),B321,INDIRECT("report!H100:H10000"),"Goss",INDIRECT("Report!L100:L10000"),"20,5")</f>
        <v>4833032</v>
      </c>
      <c r="F321" s="595">
        <f t="shared" ref="F321:F326" ca="1" si="41">E321/D321</f>
        <v>0.44503057090239412</v>
      </c>
    </row>
    <row r="322" spans="1:7" ht="21" customHeight="1" x14ac:dyDescent="0.25">
      <c r="B322" s="228" t="s">
        <v>1329</v>
      </c>
      <c r="C322" s="250">
        <f ca="1">SUMIFS(INDIRECT("Report!F100:F10000"),INDIRECT("Report!B100:B10000"),B322,INDIRECT("report!H100:H10000"),"Goss",INDIRECT("Report!L100:L10000"),"20,5")</f>
        <v>3190000.0000000005</v>
      </c>
      <c r="D322" s="236">
        <f ca="1">(C322/11*10)</f>
        <v>2900000.0000000005</v>
      </c>
      <c r="E322" s="250">
        <f ca="1">SUMIFS(INDIRECT("Report!J100:J10000"),INDIRECT("Report!B100:B10000"),B322,INDIRECT("report!H100:H10000"),"Goss",INDIRECT("Report!L100:L10000"),"20,5")</f>
        <v>1348181</v>
      </c>
      <c r="F322" s="595">
        <f t="shared" ca="1" si="41"/>
        <v>0.46488999999999991</v>
      </c>
    </row>
    <row r="323" spans="1:7" ht="21" customHeight="1" x14ac:dyDescent="0.25">
      <c r="B323" s="228" t="s">
        <v>497</v>
      </c>
      <c r="C323" s="250">
        <f ca="1">SUMIFS(INDIRECT("Report!F100:F10000"),INDIRECT("Report!B100:B10000"),B323,INDIRECT("report!H100:H10000"),"Goss",INDIRECT("Report!L100:L10000"),"20,5")</f>
        <v>2167000</v>
      </c>
      <c r="D323" s="236">
        <f ca="1">(C323/11*10)</f>
        <v>1970000</v>
      </c>
      <c r="E323" s="250">
        <f ca="1">SUMIFS(INDIRECT("Report!J100:J10000"),INDIRECT("Report!B100:B10000"),B323,INDIRECT("report!H100:H10000"),"Goss",INDIRECT("Report!L100:L10000"),"20,5")</f>
        <v>601826</v>
      </c>
      <c r="F323" s="595">
        <f t="shared" ca="1" si="41"/>
        <v>0.30549543147208119</v>
      </c>
    </row>
    <row r="324" spans="1:7" ht="21" customHeight="1" x14ac:dyDescent="0.25">
      <c r="B324" s="228" t="s">
        <v>770</v>
      </c>
      <c r="C324" s="250">
        <f ca="1">SUMIFS(INDIRECT("Report!F100:F10000"),INDIRECT("Report!B100:B10000"),B324,INDIRECT("report!H100:H10000"),"Goss",INDIRECT("Report!L100:L10000"),"20,5")</f>
        <v>3575000</v>
      </c>
      <c r="D324" s="236">
        <f ca="1">(C324/11*10)</f>
        <v>3250000</v>
      </c>
      <c r="E324" s="250">
        <f ca="1">SUMIFS(INDIRECT("Report!J100:J10000"),INDIRECT("Report!B100:B10000"),B324,INDIRECT("report!H100:H10000"),"Goss",INDIRECT("Report!L100:L10000"),"20,5")</f>
        <v>1375781</v>
      </c>
      <c r="F324" s="595">
        <f t="shared" ca="1" si="41"/>
        <v>0.42331723076923078</v>
      </c>
    </row>
    <row r="325" spans="1:7" ht="21" customHeight="1" x14ac:dyDescent="0.25">
      <c r="B325" s="228" t="s">
        <v>557</v>
      </c>
      <c r="C325" s="250">
        <f ca="1">SUMIFS(INDIRECT("Report!F100:F10000"),INDIRECT("Report!B100:B10000"),B325,INDIRECT("report!H100:H10000"),"Goss",INDIRECT("Report!L100:L10000"),"20,5")</f>
        <v>1650000.0000000002</v>
      </c>
      <c r="D325" s="236">
        <f ca="1">(C325/11*10)</f>
        <v>1500000.0000000002</v>
      </c>
      <c r="E325" s="250">
        <f ca="1">SUMIFS(INDIRECT("Report!J100:J10000"),INDIRECT("Report!B100:B10000"),B325,INDIRECT("report!H100:H10000"),"Goss",INDIRECT("Report!L100:L10000"),"20,5")</f>
        <v>547280</v>
      </c>
      <c r="F325" s="595">
        <f t="shared" ca="1" si="41"/>
        <v>0.36485333333333325</v>
      </c>
    </row>
    <row r="326" spans="1:7" ht="21" customHeight="1" x14ac:dyDescent="0.25">
      <c r="A326" s="293"/>
      <c r="B326" s="277"/>
      <c r="C326" s="543">
        <f ca="1">SUM(C321:C325)</f>
        <v>22528000</v>
      </c>
      <c r="D326" s="543">
        <f ca="1">SUM(D321:D325)</f>
        <v>20480000</v>
      </c>
      <c r="E326" s="543">
        <f ca="1">SUM(E321:E325)</f>
        <v>8706100</v>
      </c>
      <c r="F326" s="593">
        <f t="shared" ca="1" si="41"/>
        <v>0.42510253906250001</v>
      </c>
      <c r="G326" s="336" t="e">
        <f>SUM(#REF!)</f>
        <v>#REF!</v>
      </c>
    </row>
    <row r="327" spans="1:7" ht="21" customHeight="1" x14ac:dyDescent="0.25">
      <c r="A327" s="798" t="s">
        <v>2467</v>
      </c>
    </row>
    <row r="328" spans="1:7" ht="21" customHeight="1" x14ac:dyDescent="0.25">
      <c r="B328" s="228" t="s">
        <v>550</v>
      </c>
      <c r="C328" s="250">
        <f ca="1">SUMIFS(INDIRECT("Report!F100:F10000"),INDIRECT("Report!B100:B10000"),B328,INDIRECT("report!H100:H10000"),"Goss",INDIRECT("Report!L100:L10000"),"20,6")</f>
        <v>15620000</v>
      </c>
      <c r="D328" s="236">
        <f ca="1">(C328/11*10)</f>
        <v>14200000</v>
      </c>
      <c r="E328" s="250">
        <f ca="1">SUMIFS(INDIRECT("Report!J100:J10000"),INDIRECT("Report!B100:B10000"),B328,INDIRECT("report!H100:H10000"),"Goss",INDIRECT("Report!L100:L10000"),"20,6")</f>
        <v>3748880</v>
      </c>
      <c r="F328" s="595">
        <f ca="1">E328/D328</f>
        <v>0.26400563380281689</v>
      </c>
    </row>
    <row r="329" spans="1:7" ht="21" customHeight="1" x14ac:dyDescent="0.25">
      <c r="B329" s="228" t="s">
        <v>2484</v>
      </c>
      <c r="C329" s="250">
        <f ca="1">SUMIFS(INDIRECT("Report!F100:F10000"),INDIRECT("Report!B100:B10000"),B329,INDIRECT("report!H100:H10000"),"Goss",INDIRECT("Report!L100:L10000"),"20,6")</f>
        <v>7546000.0000000009</v>
      </c>
      <c r="D329" s="236">
        <f ca="1">(C329/11*10)</f>
        <v>6860000.0000000009</v>
      </c>
      <c r="E329" s="250">
        <f ca="1">SUMIFS(INDIRECT("Report!J100:J10000"),INDIRECT("Report!B100:B10000"),B329,INDIRECT("report!H100:H10000"),"Goss",INDIRECT("Report!L100:L10000"),"20,6")</f>
        <v>2553317</v>
      </c>
      <c r="F329" s="595">
        <f ca="1">E329/D329</f>
        <v>0.37220364431486874</v>
      </c>
    </row>
    <row r="330" spans="1:7" ht="21" customHeight="1" x14ac:dyDescent="0.25">
      <c r="B330" s="228" t="s">
        <v>644</v>
      </c>
      <c r="C330" s="250">
        <f ca="1">SUMIFS(INDIRECT("Report!F100:F10000"),INDIRECT("Report!B100:B10000"),B330,INDIRECT("report!H100:H10000"),"Goss",INDIRECT("Report!L100:L10000"),"20,6")</f>
        <v>12672000</v>
      </c>
      <c r="D330" s="236">
        <f ca="1">(C330/11*10)</f>
        <v>11520000</v>
      </c>
      <c r="E330" s="250">
        <f ca="1">SUMIFS(INDIRECT("Report!J100:J10000"),INDIRECT("Report!B100:B10000"),B330,INDIRECT("report!H100:H10000"),"Goss",INDIRECT("Report!L100:L10000"),"20,6")</f>
        <v>6463600</v>
      </c>
      <c r="F330" s="595">
        <f ca="1">E330/D330</f>
        <v>0.56107638888888889</v>
      </c>
    </row>
    <row r="331" spans="1:7" ht="21" customHeight="1" x14ac:dyDescent="0.25">
      <c r="A331" s="293"/>
      <c r="B331" s="277"/>
      <c r="C331" s="543">
        <f ca="1">SUM(C328:C330)</f>
        <v>35838000</v>
      </c>
      <c r="D331" s="543">
        <f ca="1">SUM(D328:D330)</f>
        <v>32580000</v>
      </c>
      <c r="E331" s="543">
        <f ca="1">SUM(E328:E330)</f>
        <v>12765797</v>
      </c>
      <c r="F331" s="593">
        <f ca="1">E331/D331</f>
        <v>0.39182925107427868</v>
      </c>
      <c r="G331" s="336" t="e">
        <f>SUM(#REF!)</f>
        <v>#REF!</v>
      </c>
    </row>
    <row r="332" spans="1:7" ht="21" customHeight="1" x14ac:dyDescent="0.25">
      <c r="A332" s="798" t="s">
        <v>2502</v>
      </c>
    </row>
    <row r="333" spans="1:7" ht="21" customHeight="1" x14ac:dyDescent="0.25">
      <c r="B333" s="228" t="s">
        <v>443</v>
      </c>
      <c r="C333" s="250">
        <f ca="1">SUMIFS(INDIRECT("Report!F100:F10000"),INDIRECT("Report!B100:B10000"),B333,INDIRECT("report!H100:H10000"),"Goss",INDIRECT("Report!L100:L10000"),"20,7")</f>
        <v>7359000</v>
      </c>
      <c r="D333" s="236">
        <f ca="1">(C333/11*10)</f>
        <v>6690000</v>
      </c>
      <c r="E333" s="250">
        <f ca="1">SUMIFS(INDIRECT("Report!J100:J10000"),INDIRECT("Report!B100:B10000"),B333,INDIRECT("report!H100:H10000"),"Goss",INDIRECT("Report!L100:L10000"),"20,7")</f>
        <v>2653698</v>
      </c>
      <c r="F333" s="595">
        <f ca="1">E333/D333</f>
        <v>0.39666636771300451</v>
      </c>
    </row>
    <row r="334" spans="1:7" ht="21" customHeight="1" x14ac:dyDescent="0.25">
      <c r="B334" s="228" t="s">
        <v>2484</v>
      </c>
      <c r="C334" s="250">
        <f ca="1">SUMIFS(INDIRECT("Report!F100:F10000"),INDIRECT("Report!B100:B10000"),B334,INDIRECT("report!H100:H10000"),"Goss",INDIRECT("Report!L100:L10000"),"20,7")</f>
        <v>15400000.000000002</v>
      </c>
      <c r="D334" s="236">
        <f ca="1">(C334/11*10)</f>
        <v>14000000.000000002</v>
      </c>
      <c r="E334" s="250">
        <f ca="1">SUMIFS(INDIRECT("Report!J100:J10000"),INDIRECT("Report!B100:B10000"),B334,INDIRECT("report!H100:H10000"),"Goss",INDIRECT("Report!L100:L10000"),"20,7")</f>
        <v>6845040</v>
      </c>
      <c r="F334" s="595">
        <f ca="1">E334/D334</f>
        <v>0.48893142857142852</v>
      </c>
    </row>
    <row r="335" spans="1:7" ht="21" customHeight="1" x14ac:dyDescent="0.25">
      <c r="B335" s="228" t="s">
        <v>497</v>
      </c>
      <c r="C335" s="250">
        <f ca="1">SUMIFS(INDIRECT("Report!F100:F10000"),INDIRECT("Report!B100:B10000"),B335,INDIRECT("report!H100:H10000"),"Goss",INDIRECT("Report!L100:L10000"),"20,7")</f>
        <v>1980000.0000000002</v>
      </c>
      <c r="D335" s="236">
        <f ca="1">(C335/11*10)</f>
        <v>1800000.0000000002</v>
      </c>
      <c r="E335" s="250">
        <f ca="1">SUMIFS(INDIRECT("Report!J100:J10000"),INDIRECT("Report!B100:B10000"),B335,INDIRECT("report!H100:H10000"),"Goss",INDIRECT("Report!L100:L10000"),"20,7")</f>
        <v>900000</v>
      </c>
      <c r="F335" s="595">
        <f ca="1">E335/D335</f>
        <v>0.49999999999999994</v>
      </c>
    </row>
    <row r="336" spans="1:7" ht="21" customHeight="1" x14ac:dyDescent="0.25">
      <c r="A336" s="293"/>
      <c r="B336" s="277"/>
      <c r="C336" s="543">
        <f ca="1">SUM(C333:C335)</f>
        <v>24739000</v>
      </c>
      <c r="D336" s="543">
        <f ca="1">SUM(D333:D335)</f>
        <v>22490000</v>
      </c>
      <c r="E336" s="543">
        <f ca="1">SUM(E333:E335)</f>
        <v>10398738</v>
      </c>
      <c r="F336" s="593">
        <f ca="1">E336/D336</f>
        <v>0.4623716318363717</v>
      </c>
      <c r="G336" s="336" t="e">
        <f>SUM(#REF!)</f>
        <v>#REF!</v>
      </c>
    </row>
    <row r="337" spans="1:7" ht="21" customHeight="1" x14ac:dyDescent="0.25">
      <c r="A337" s="798" t="s">
        <v>2525</v>
      </c>
    </row>
    <row r="338" spans="1:7" ht="21" customHeight="1" x14ac:dyDescent="0.25">
      <c r="B338" s="228" t="s">
        <v>1829</v>
      </c>
      <c r="C338" s="250">
        <f ca="1">SUMIFS(INDIRECT("Report!F100:F10000"),INDIRECT("Report!B100:B10000"),B338,INDIRECT("report!H100:H10000"),"Goss",INDIRECT("Report!L100:L10000"),"20,8")</f>
        <v>451000.00000000006</v>
      </c>
      <c r="D338" s="236">
        <f ca="1">(C338/11*10)</f>
        <v>410000.00000000006</v>
      </c>
      <c r="E338" s="250">
        <f ca="1">SUMIFS(INDIRECT("Report!J100:J10000"),INDIRECT("Report!B100:B10000"),B338,INDIRECT("report!H100:H10000"),"Goss",INDIRECT("Report!L100:L10000"),"20,8")</f>
        <v>200000</v>
      </c>
      <c r="F338" s="595">
        <f ca="1">E338/D338</f>
        <v>0.48780487804878042</v>
      </c>
    </row>
    <row r="339" spans="1:7" ht="21" customHeight="1" x14ac:dyDescent="0.25">
      <c r="B339" s="228" t="s">
        <v>770</v>
      </c>
      <c r="C339" s="250">
        <f ca="1">SUMIFS(INDIRECT("Report!F100:F10000"),INDIRECT("Report!B100:B10000"),B339,INDIRECT("report!H100:H10000"),"Goss",INDIRECT("Report!L100:L10000"),"20,8")</f>
        <v>1716000.0000000002</v>
      </c>
      <c r="D339" s="236">
        <f ca="1">(C339/11*10)</f>
        <v>1560000.0000000002</v>
      </c>
      <c r="E339" s="250">
        <f ca="1">SUMIFS(INDIRECT("Report!J100:J10000"),INDIRECT("Report!B100:B10000"),B339,INDIRECT("report!H100:H10000"),"Goss",INDIRECT("Report!L100:L10000"),"20,8")</f>
        <v>560000</v>
      </c>
      <c r="F339" s="595">
        <f ca="1">E339/D339</f>
        <v>0.35897435897435892</v>
      </c>
    </row>
    <row r="340" spans="1:7" ht="21" customHeight="1" x14ac:dyDescent="0.25">
      <c r="B340" s="228" t="s">
        <v>550</v>
      </c>
      <c r="C340" s="250">
        <f ca="1">SUMIFS(INDIRECT("Report!F100:F10000"),INDIRECT("Report!B100:B10000"),B340,INDIRECT("report!H100:H10000"),"Goss",INDIRECT("Report!L100:L10000"),"20,8")</f>
        <v>693000.00000000012</v>
      </c>
      <c r="D340" s="236">
        <f ca="1">(C340/11*10)</f>
        <v>630000.00000000012</v>
      </c>
      <c r="E340" s="250">
        <f ca="1">SUMIFS(INDIRECT("Report!J100:J10000"),INDIRECT("Report!B100:B10000"),B340,INDIRECT("report!H100:H10000"),"Goss",INDIRECT("Report!L100:L10000"),"20,8")</f>
        <v>220000</v>
      </c>
      <c r="F340" s="595">
        <f ca="1">E340/D340</f>
        <v>0.34920634920634913</v>
      </c>
    </row>
    <row r="341" spans="1:7" ht="21" customHeight="1" x14ac:dyDescent="0.25">
      <c r="A341" s="293"/>
      <c r="B341" s="277"/>
      <c r="C341" s="543">
        <f ca="1">SUM(C338:C340)</f>
        <v>2860000.0000000005</v>
      </c>
      <c r="D341" s="543">
        <f ca="1">SUM(D338:D340)</f>
        <v>2600000.0000000005</v>
      </c>
      <c r="E341" s="543">
        <f ca="1">SUM(E338:E340)</f>
        <v>980000</v>
      </c>
      <c r="F341" s="593">
        <f ca="1">E341/D341</f>
        <v>0.37692307692307686</v>
      </c>
      <c r="G341" s="336" t="e">
        <f>SUM(#REF!)</f>
        <v>#REF!</v>
      </c>
    </row>
    <row r="342" spans="1:7" ht="21" customHeight="1" x14ac:dyDescent="0.25">
      <c r="A342" s="798" t="s">
        <v>2551</v>
      </c>
    </row>
    <row r="343" spans="1:7" ht="21" customHeight="1" x14ac:dyDescent="0.25">
      <c r="B343" s="228" t="s">
        <v>446</v>
      </c>
      <c r="C343" s="250">
        <f ca="1">SUMIFS(INDIRECT("Report!F100:F10000"),INDIRECT("Report!B100:B10000"),B343,INDIRECT("report!H100:H10000"),"Goss",INDIRECT("Report!L100:L10000"),"20,9")</f>
        <v>660000</v>
      </c>
      <c r="D343" s="236">
        <f ca="1">(C343/11*10)</f>
        <v>600000</v>
      </c>
      <c r="E343" s="250">
        <f ca="1">SUMIFS(INDIRECT("Report!J100:J10000"),INDIRECT("Report!B100:B10000"),B343,INDIRECT("report!H100:H10000"),"Goss",INDIRECT("Report!L100:L10000"),"20,9")</f>
        <v>180000</v>
      </c>
      <c r="F343" s="595">
        <f ca="1">E343/D343</f>
        <v>0.3</v>
      </c>
    </row>
    <row r="344" spans="1:7" ht="21" customHeight="1" x14ac:dyDescent="0.25">
      <c r="B344" s="228" t="s">
        <v>770</v>
      </c>
      <c r="C344" s="250">
        <f ca="1">SUMIFS(INDIRECT("Report!F100:F10000"),INDIRECT("Report!B100:B10000"),B344,INDIRECT("report!H100:H10000"),"Goss",INDIRECT("Report!L100:L10000"),"20,9")</f>
        <v>1027400</v>
      </c>
      <c r="D344" s="236">
        <f ca="1">(C344/11*10)</f>
        <v>934000</v>
      </c>
      <c r="E344" s="250">
        <f ca="1">SUMIFS(INDIRECT("Report!J100:J10000"),INDIRECT("Report!B100:B10000"),B344,INDIRECT("report!H100:H10000"),"Goss",INDIRECT("Report!L100:L10000"),"20,9")</f>
        <v>222397</v>
      </c>
      <c r="F344" s="595">
        <f ca="1">E344/D344</f>
        <v>0.23811241970021413</v>
      </c>
    </row>
    <row r="345" spans="1:7" ht="21" customHeight="1" x14ac:dyDescent="0.25">
      <c r="B345" s="228" t="s">
        <v>1996</v>
      </c>
      <c r="C345" s="250">
        <f ca="1">SUMIFS(INDIRECT("Report!F100:F10000"),INDIRECT("Report!B100:B10000"),B345,INDIRECT("report!H100:H10000"),"Goss",INDIRECT("Report!L100:L10000"),"20,9")</f>
        <v>25300000.000000004</v>
      </c>
      <c r="D345" s="236">
        <f ca="1">(C345/11*10)</f>
        <v>23000000.000000004</v>
      </c>
      <c r="E345" s="250">
        <f ca="1">SUMIFS(INDIRECT("Report!J100:J10000"),INDIRECT("Report!B100:B10000"),B345,INDIRECT("report!H100:H10000"),"Goss",INDIRECT("Report!L100:L10000"),"20,9")</f>
        <v>10000000</v>
      </c>
      <c r="F345" s="595">
        <f ca="1">E345/D345</f>
        <v>0.43478260869565211</v>
      </c>
      <c r="G345" s="228" t="s">
        <v>2769</v>
      </c>
    </row>
    <row r="346" spans="1:7" ht="21" customHeight="1" x14ac:dyDescent="0.25">
      <c r="A346" s="293"/>
      <c r="B346" s="277"/>
      <c r="C346" s="543">
        <f ca="1">SUM(C343:C344)</f>
        <v>1687400</v>
      </c>
      <c r="D346" s="543">
        <f ca="1">SUM(D343:D345)</f>
        <v>24534000.000000004</v>
      </c>
      <c r="E346" s="543">
        <f ca="1">SUM(E343:E345)</f>
        <v>10402397</v>
      </c>
      <c r="F346" s="593">
        <f ca="1">E346/D346</f>
        <v>0.42399922556452263</v>
      </c>
      <c r="G346" s="336" t="e">
        <f>SUM(#REF!)</f>
        <v>#REF!</v>
      </c>
    </row>
    <row r="347" spans="1:7" ht="21" customHeight="1" x14ac:dyDescent="0.25">
      <c r="A347" s="798" t="s">
        <v>2594</v>
      </c>
    </row>
    <row r="348" spans="1:7" ht="21" customHeight="1" x14ac:dyDescent="0.25">
      <c r="B348" s="228" t="s">
        <v>446</v>
      </c>
      <c r="C348" s="250">
        <f t="shared" ref="C348:C353" ca="1" si="42">SUMIFS(INDIRECT("Report!F100:F10000"),INDIRECT("Report!B100:B10000"),B348,INDIRECT("report!H100:H10000"),"Goss",INDIRECT("Report!L100:L10000"),"20,10")</f>
        <v>2211000</v>
      </c>
      <c r="D348" s="236">
        <f t="shared" ref="D348:D353" ca="1" si="43">(C348/11*10)</f>
        <v>2010000</v>
      </c>
      <c r="E348" s="250">
        <f t="shared" ref="E348:E353" ca="1" si="44">SUMIFS(INDIRECT("Report!J100:J10000"),INDIRECT("Report!B100:B10000"),B348,INDIRECT("report!H100:H10000"),"Goss",INDIRECT("Report!L100:L10000"),"20,10")</f>
        <v>993557</v>
      </c>
      <c r="F348" s="595">
        <f t="shared" ref="F348:F354" ca="1" si="45">E348/D348</f>
        <v>0.49430696517412936</v>
      </c>
    </row>
    <row r="349" spans="1:7" ht="21" customHeight="1" x14ac:dyDescent="0.25">
      <c r="B349" s="228" t="s">
        <v>2261</v>
      </c>
      <c r="C349" s="250">
        <f t="shared" ca="1" si="42"/>
        <v>1760000.0000000002</v>
      </c>
      <c r="D349" s="236">
        <f t="shared" ca="1" si="43"/>
        <v>1600000.0000000002</v>
      </c>
      <c r="E349" s="250">
        <f t="shared" ca="1" si="44"/>
        <v>616400</v>
      </c>
      <c r="F349" s="595">
        <f t="shared" ca="1" si="45"/>
        <v>0.38524999999999993</v>
      </c>
    </row>
    <row r="350" spans="1:7" ht="21" customHeight="1" x14ac:dyDescent="0.25">
      <c r="B350" s="228" t="s">
        <v>770</v>
      </c>
      <c r="C350" s="250">
        <f t="shared" ca="1" si="42"/>
        <v>5011600</v>
      </c>
      <c r="D350" s="236">
        <f t="shared" ca="1" si="43"/>
        <v>4556000</v>
      </c>
      <c r="E350" s="250">
        <f t="shared" ca="1" si="44"/>
        <v>2123920</v>
      </c>
      <c r="F350" s="595">
        <f t="shared" ca="1" si="45"/>
        <v>0.46618086040386303</v>
      </c>
    </row>
    <row r="351" spans="1:7" ht="21" customHeight="1" x14ac:dyDescent="0.25">
      <c r="B351" s="228" t="s">
        <v>760</v>
      </c>
      <c r="C351" s="250">
        <f t="shared" ca="1" si="42"/>
        <v>1716000.0000000002</v>
      </c>
      <c r="D351" s="236">
        <f t="shared" ca="1" si="43"/>
        <v>1560000.0000000002</v>
      </c>
      <c r="E351" s="250">
        <f t="shared" ca="1" si="44"/>
        <v>907258</v>
      </c>
      <c r="F351" s="595">
        <f t="shared" ca="1" si="45"/>
        <v>0.58157564102564097</v>
      </c>
    </row>
    <row r="352" spans="1:7" ht="21" customHeight="1" x14ac:dyDescent="0.25">
      <c r="B352" s="228" t="s">
        <v>2352</v>
      </c>
      <c r="C352" s="250">
        <f t="shared" ca="1" si="42"/>
        <v>1980000</v>
      </c>
      <c r="D352" s="236">
        <f t="shared" ca="1" si="43"/>
        <v>1800000</v>
      </c>
      <c r="E352" s="250">
        <f t="shared" ca="1" si="44"/>
        <v>1048898</v>
      </c>
      <c r="F352" s="595">
        <f t="shared" ca="1" si="45"/>
        <v>0.58272111111111113</v>
      </c>
    </row>
    <row r="353" spans="1:7" ht="21" customHeight="1" x14ac:dyDescent="0.25">
      <c r="B353" s="228" t="s">
        <v>1830</v>
      </c>
      <c r="C353" s="250">
        <f t="shared" ca="1" si="42"/>
        <v>4914250</v>
      </c>
      <c r="D353" s="236">
        <f t="shared" ca="1" si="43"/>
        <v>4467500</v>
      </c>
      <c r="E353" s="250">
        <f t="shared" ca="1" si="44"/>
        <v>2627500</v>
      </c>
      <c r="F353" s="595">
        <f t="shared" ca="1" si="45"/>
        <v>0.58813654168998319</v>
      </c>
    </row>
    <row r="354" spans="1:7" ht="21" customHeight="1" x14ac:dyDescent="0.25">
      <c r="A354" s="293"/>
      <c r="B354" s="277"/>
      <c r="C354" s="543">
        <f ca="1">SUM(C348:C353)</f>
        <v>17592850</v>
      </c>
      <c r="D354" s="543">
        <f ca="1">SUM(D348:D353)</f>
        <v>15993500</v>
      </c>
      <c r="E354" s="543">
        <f ca="1">SUM(E348:E353)</f>
        <v>8317533</v>
      </c>
      <c r="F354" s="593">
        <f t="shared" ca="1" si="45"/>
        <v>0.52005708569106202</v>
      </c>
      <c r="G354" s="336" t="e">
        <f>SUM(#REF!)</f>
        <v>#REF!</v>
      </c>
    </row>
    <row r="355" spans="1:7" ht="21" customHeight="1" x14ac:dyDescent="0.25">
      <c r="A355" s="798" t="s">
        <v>2623</v>
      </c>
    </row>
    <row r="356" spans="1:7" ht="21" customHeight="1" x14ac:dyDescent="0.25">
      <c r="B356" s="228" t="s">
        <v>446</v>
      </c>
      <c r="C356" s="250">
        <f ca="1">SUMIFS(INDIRECT("Report!F100:F10000"),INDIRECT("Report!B100:B10000"),B356,INDIRECT("report!H100:H10000"),"Goss",INDIRECT("Report!L100:L10000"),"20,11")</f>
        <v>19800000</v>
      </c>
      <c r="D356" s="236">
        <f ca="1">(C356/11*10)</f>
        <v>18000000</v>
      </c>
      <c r="E356" s="250">
        <f ca="1">SUMIFS(INDIRECT("Report!J100:J10000"),INDIRECT("Report!B100:B10000"),B356,INDIRECT("report!H100:H10000"),"Goss",INDIRECT("Report!L100:L10000"),"20,11")</f>
        <v>3188500</v>
      </c>
      <c r="F356" s="595">
        <f ca="1">E356/D356</f>
        <v>0.1771388888888889</v>
      </c>
    </row>
    <row r="357" spans="1:7" ht="21" customHeight="1" x14ac:dyDescent="0.25">
      <c r="B357" s="228" t="s">
        <v>2261</v>
      </c>
      <c r="C357" s="250">
        <f ca="1">SUMIFS(INDIRECT("Report!F100:F10000"),INDIRECT("Report!B100:B10000"),B357,INDIRECT("report!H100:H10000"),"Goss",INDIRECT("Report!L100:L10000"),"20,11")</f>
        <v>1320000</v>
      </c>
      <c r="D357" s="236">
        <f ca="1">(C357/11*10)</f>
        <v>1200000</v>
      </c>
      <c r="E357" s="250">
        <f ca="1">SUMIFS(INDIRECT("Report!J100:J10000"),INDIRECT("Report!B100:B10000"),B357,INDIRECT("report!H100:H10000"),"Goss",INDIRECT("Report!L100:L10000"),"20,11")</f>
        <v>440000</v>
      </c>
      <c r="F357" s="595">
        <f ca="1">E357/D357</f>
        <v>0.36666666666666664</v>
      </c>
    </row>
    <row r="358" spans="1:7" ht="21" customHeight="1" x14ac:dyDescent="0.25">
      <c r="B358" s="228" t="s">
        <v>1830</v>
      </c>
      <c r="C358" s="250">
        <f ca="1">SUMIFS(INDIRECT("Report!F100:F10000"),INDIRECT("Report!B100:B10000"),B358,INDIRECT("report!H100:H10000"),"Goss",INDIRECT("Report!L100:L10000"),"20,11")</f>
        <v>699600</v>
      </c>
      <c r="D358" s="236">
        <f ca="1">(C358/11*10)</f>
        <v>636000</v>
      </c>
      <c r="E358" s="250">
        <f ca="1">SUMIFS(INDIRECT("Report!J100:J10000"),INDIRECT("Report!B100:B10000"),B358,INDIRECT("report!H100:H10000"),"Goss",INDIRECT("Report!L100:L10000"),"20,11")</f>
        <v>300000</v>
      </c>
      <c r="F358" s="595">
        <f ca="1">E358/D358</f>
        <v>0.47169811320754718</v>
      </c>
    </row>
    <row r="359" spans="1:7" ht="21" customHeight="1" x14ac:dyDescent="0.25">
      <c r="B359" s="228" t="s">
        <v>610</v>
      </c>
      <c r="C359" s="250">
        <f ca="1">SUMIFS(INDIRECT("Report!F100:F10000"),INDIRECT("Report!B100:B10000"),B359,INDIRECT("report!H100:H10000"),"Goss",INDIRECT("Report!L100:L10000"),"20,11")</f>
        <v>15485800</v>
      </c>
      <c r="D359" s="236">
        <f ca="1">(C359/11*10)</f>
        <v>14078000</v>
      </c>
      <c r="E359" s="250">
        <f ca="1">SUMIFS(INDIRECT("Report!J100:J10000"),INDIRECT("Report!B100:B10000"),B359,INDIRECT("report!H100:H10000"),"Goss",INDIRECT("Report!L100:L10000"),"20,11")</f>
        <v>8303000</v>
      </c>
      <c r="F359" s="595">
        <f ca="1">E359/D359</f>
        <v>0.5897854808921722</v>
      </c>
    </row>
    <row r="360" spans="1:7" ht="21" customHeight="1" x14ac:dyDescent="0.25">
      <c r="A360" s="293"/>
      <c r="B360" s="277" t="s">
        <v>2753</v>
      </c>
      <c r="C360" s="543">
        <f ca="1">SUM(C356:C359)</f>
        <v>37305400</v>
      </c>
      <c r="D360" s="543">
        <f ca="1">SUM(D356:D359)</f>
        <v>33914000</v>
      </c>
      <c r="E360" s="543">
        <f ca="1">SUM(E356:E359)</f>
        <v>12231500</v>
      </c>
      <c r="F360" s="593">
        <f ca="1">E360/D360</f>
        <v>0.36066226337205876</v>
      </c>
      <c r="G360" s="336" t="e">
        <f>SUM(#REF!)</f>
        <v>#REF!</v>
      </c>
    </row>
    <row r="361" spans="1:7" ht="21" customHeight="1" x14ac:dyDescent="0.25">
      <c r="A361" s="798" t="s">
        <v>2658</v>
      </c>
    </row>
    <row r="362" spans="1:7" ht="21" customHeight="1" x14ac:dyDescent="0.25">
      <c r="B362" s="228" t="s">
        <v>557</v>
      </c>
      <c r="C362" s="250">
        <f t="shared" ref="C362:C367" ca="1" si="46">SUMIFS(INDIRECT("Report!F100:F10000"),INDIRECT("Report!B100:B10000"),B362,INDIRECT("report!H100:H10000"),"Goss",INDIRECT("Report!L100:L10000"),"20,12")</f>
        <v>2090000.0000000002</v>
      </c>
      <c r="D362" s="236">
        <f t="shared" ref="D362:D367" ca="1" si="47">(C362/11*10)</f>
        <v>1900000.0000000002</v>
      </c>
      <c r="E362" s="250">
        <f t="shared" ref="E362:E367" ca="1" si="48">SUMIFS(INDIRECT("Report!J100:J10000"),INDIRECT("Report!B100:B10000"),B362,INDIRECT("report!H100:H10000"),"Goss",INDIRECT("Report!L100:L10000"),"20,12")</f>
        <v>860000</v>
      </c>
      <c r="F362" s="595">
        <f ca="1">E362/D362</f>
        <v>0.45263157894736838</v>
      </c>
    </row>
    <row r="363" spans="1:7" ht="21" customHeight="1" x14ac:dyDescent="0.25">
      <c r="B363" s="228" t="s">
        <v>446</v>
      </c>
      <c r="C363" s="250">
        <f t="shared" ca="1" si="46"/>
        <v>4345000</v>
      </c>
      <c r="D363" s="236">
        <f t="shared" ca="1" si="47"/>
        <v>3950000</v>
      </c>
      <c r="E363" s="250">
        <f t="shared" ca="1" si="48"/>
        <v>1909000</v>
      </c>
      <c r="F363" s="595">
        <f ca="1">E363/D363</f>
        <v>0.48329113924050632</v>
      </c>
    </row>
    <row r="364" spans="1:7" ht="21" customHeight="1" x14ac:dyDescent="0.25">
      <c r="B364" s="228" t="s">
        <v>2484</v>
      </c>
      <c r="C364" s="250">
        <f t="shared" ca="1" si="46"/>
        <v>3575000</v>
      </c>
      <c r="D364" s="236">
        <f t="shared" ca="1" si="47"/>
        <v>3250000</v>
      </c>
      <c r="E364" s="250">
        <f t="shared" ca="1" si="48"/>
        <v>1460000</v>
      </c>
    </row>
    <row r="365" spans="1:7" ht="21" customHeight="1" x14ac:dyDescent="0.25">
      <c r="B365" s="228" t="s">
        <v>2359</v>
      </c>
      <c r="C365" s="250">
        <f t="shared" ca="1" si="46"/>
        <v>1485000.0000000002</v>
      </c>
      <c r="D365" s="236">
        <f t="shared" ca="1" si="47"/>
        <v>1350000.0000000002</v>
      </c>
      <c r="E365" s="250">
        <f t="shared" ca="1" si="48"/>
        <v>600000</v>
      </c>
      <c r="F365" s="595">
        <f ca="1">E365/D365</f>
        <v>0.44444444444444436</v>
      </c>
    </row>
    <row r="366" spans="1:7" ht="21" customHeight="1" x14ac:dyDescent="0.25">
      <c r="B366" s="228" t="s">
        <v>1830</v>
      </c>
      <c r="C366" s="250">
        <f t="shared" ca="1" si="46"/>
        <v>2365000.0000000005</v>
      </c>
      <c r="D366" s="236">
        <f t="shared" ca="1" si="47"/>
        <v>2150000.0000000005</v>
      </c>
      <c r="E366" s="250">
        <f t="shared" ca="1" si="48"/>
        <v>340000</v>
      </c>
    </row>
    <row r="367" spans="1:7" ht="21" customHeight="1" x14ac:dyDescent="0.25">
      <c r="B367" s="228" t="s">
        <v>555</v>
      </c>
      <c r="C367" s="250">
        <f t="shared" ca="1" si="46"/>
        <v>880000.00000000012</v>
      </c>
      <c r="D367" s="236">
        <f t="shared" ca="1" si="47"/>
        <v>800000.00000000012</v>
      </c>
      <c r="E367" s="250">
        <f t="shared" ca="1" si="48"/>
        <v>280000</v>
      </c>
      <c r="F367" s="595">
        <f ca="1">E367/D367</f>
        <v>0.34999999999999992</v>
      </c>
    </row>
    <row r="368" spans="1:7" ht="21" customHeight="1" x14ac:dyDescent="0.25">
      <c r="A368" s="293"/>
      <c r="B368" s="277" t="s">
        <v>2761</v>
      </c>
      <c r="C368" s="543">
        <f ca="1">SUM(C362:C367)</f>
        <v>14740000</v>
      </c>
      <c r="D368" s="543">
        <f ca="1">SUM(D362:D367)</f>
        <v>13400000</v>
      </c>
      <c r="E368" s="543">
        <f ca="1">SUM(E362:E367)</f>
        <v>5449000</v>
      </c>
      <c r="F368" s="593">
        <f ca="1">E368/D368</f>
        <v>0.4066417910447761</v>
      </c>
      <c r="G368" s="336" t="e">
        <f>SUM(#REF!)</f>
        <v>#REF!</v>
      </c>
    </row>
    <row r="369" spans="1:7" ht="21" customHeight="1" x14ac:dyDescent="0.25">
      <c r="A369" s="798" t="s">
        <v>2831</v>
      </c>
    </row>
    <row r="370" spans="1:7" ht="21" customHeight="1" x14ac:dyDescent="0.25">
      <c r="B370" s="228" t="s">
        <v>557</v>
      </c>
      <c r="C370" s="250">
        <f ca="1">SUMIFS(INDIRECT("Report!F100:F10000"),INDIRECT("Report!B100:B10000"),B370,INDIRECT("report!H100:H10000"),"Goss",INDIRECT("Report!L100:L10000"),"21,1")</f>
        <v>7700000.0000000009</v>
      </c>
      <c r="D370" s="236">
        <f ca="1">(C370/11*10)</f>
        <v>7000000.0000000009</v>
      </c>
      <c r="E370" s="250">
        <f ca="1">SUMIFS(INDIRECT("Report!J100:J10000"),INDIRECT("Report!B100:B10000"),B370,INDIRECT("report!H100:H10000"),"Goss",INDIRECT("Report!L100:L10000"),"21,1")</f>
        <v>3297125</v>
      </c>
      <c r="F370" s="595">
        <f ca="1">E370/D370</f>
        <v>0.4710178571428571</v>
      </c>
    </row>
    <row r="371" spans="1:7" ht="21" customHeight="1" x14ac:dyDescent="0.25">
      <c r="B371" s="228" t="s">
        <v>446</v>
      </c>
      <c r="C371" s="250">
        <f ca="1">SUMIFS(INDIRECT("Report!F100:F10000"),INDIRECT("Report!B100:B10000"),B371,INDIRECT("report!H100:H10000"),"Goss",INDIRECT("Report!L100:L10000"),"21,1")</f>
        <v>1881000.0000000002</v>
      </c>
      <c r="D371" s="236">
        <f ca="1">(C371/11*10)</f>
        <v>1710000.0000000002</v>
      </c>
      <c r="E371" s="250">
        <f ca="1">SUMIFS(INDIRECT("Report!J100:J10000"),INDIRECT("Report!B100:B10000"),B371,INDIRECT("report!H100:H10000"),"Goss",INDIRECT("Report!L100:L10000"),"21,1")</f>
        <v>840000</v>
      </c>
      <c r="F371" s="595">
        <f ca="1">E371/D371</f>
        <v>0.49122807017543851</v>
      </c>
    </row>
    <row r="372" spans="1:7" ht="21" customHeight="1" x14ac:dyDescent="0.25">
      <c r="B372" s="228" t="s">
        <v>2484</v>
      </c>
      <c r="C372" s="250">
        <f ca="1">SUMIFS(INDIRECT("Report!F100:F10000"),INDIRECT("Report!B100:B10000"),B372,INDIRECT("report!H100:H10000"),"Goss",INDIRECT("Report!L100:L10000"),"21,1")</f>
        <v>770000.00000000012</v>
      </c>
      <c r="D372" s="236">
        <f ca="1">(C372/11*10)</f>
        <v>700000.00000000012</v>
      </c>
      <c r="E372" s="250">
        <f ca="1">SUMIFS(INDIRECT("Report!J100:J10000"),INDIRECT("Report!B100:B10000"),B372,INDIRECT("report!H100:H10000"),"Goss",INDIRECT("Report!L100:L10000"),"21,1")</f>
        <v>250000</v>
      </c>
    </row>
    <row r="373" spans="1:7" ht="21" customHeight="1" x14ac:dyDescent="0.25">
      <c r="B373" s="228" t="s">
        <v>770</v>
      </c>
      <c r="C373" s="250">
        <f ca="1">SUMIFS(INDIRECT("Report!F100:F10000"),INDIRECT("Report!B100:B10000"),B373,INDIRECT("report!H100:H10000"),"Goss",INDIRECT("Report!L100:L10000"),"21,1")</f>
        <v>990000.00000000012</v>
      </c>
      <c r="D373" s="236">
        <f ca="1">(C373/11*10)</f>
        <v>900000.00000000012</v>
      </c>
      <c r="E373" s="250">
        <f ca="1">SUMIFS(INDIRECT("Report!J100:J10000"),INDIRECT("Report!B100:B10000"),B373,INDIRECT("report!H100:H10000"),"Goss",INDIRECT("Report!L100:L10000"),"21,1")</f>
        <v>450000</v>
      </c>
      <c r="F373" s="595">
        <f ca="1">E373/D373</f>
        <v>0.49999999999999994</v>
      </c>
    </row>
    <row r="374" spans="1:7" ht="21" customHeight="1" x14ac:dyDescent="0.25">
      <c r="A374" s="293"/>
      <c r="B374" s="277" t="s">
        <v>2832</v>
      </c>
      <c r="C374" s="543">
        <f ca="1">SUM(C370:C373)</f>
        <v>11341000.000000002</v>
      </c>
      <c r="D374" s="543">
        <f ca="1">SUM(D370:D373)</f>
        <v>10310000.000000002</v>
      </c>
      <c r="E374" s="543">
        <f ca="1">SUM(E370:E373)</f>
        <v>4837125</v>
      </c>
      <c r="F374" s="593">
        <f ca="1">E374/D374</f>
        <v>0.46916828322017451</v>
      </c>
      <c r="G374" s="336" t="e">
        <f>SUM(#REF!)</f>
        <v>#REF!</v>
      </c>
    </row>
    <row r="375" spans="1:7" ht="21" customHeight="1" x14ac:dyDescent="0.25">
      <c r="A375" s="798" t="s">
        <v>2880</v>
      </c>
    </row>
    <row r="376" spans="1:7" ht="21" customHeight="1" x14ac:dyDescent="0.25">
      <c r="B376" s="228" t="s">
        <v>557</v>
      </c>
      <c r="C376" s="250">
        <f ca="1">SUMIFS(INDIRECT("Report!F100:F10000"),INDIRECT("Report!B100:B10000"),B376,INDIRECT("report!H100:H10000"),"Goss",INDIRECT("Report!L100:L10000"),"21,2")</f>
        <v>19000000</v>
      </c>
      <c r="D376" s="236">
        <f ca="1">(C376/11*10)</f>
        <v>17272727.272727273</v>
      </c>
      <c r="E376" s="250">
        <f ca="1">SUMIFS(INDIRECT("Report!J100:J10000"),INDIRECT("Report!B100:B10000"),B376,INDIRECT("report!H100:H10000"),"Goss",INDIRECT("Report!L100:L10000"),"21,2")</f>
        <v>10464327.272727273</v>
      </c>
      <c r="F376" s="595">
        <f ca="1">E376/D376</f>
        <v>0.60582947368421058</v>
      </c>
    </row>
    <row r="377" spans="1:7" ht="21" customHeight="1" x14ac:dyDescent="0.25">
      <c r="B377" s="228" t="s">
        <v>550</v>
      </c>
      <c r="C377" s="250">
        <f ca="1">SUMIFS(INDIRECT("Report!F100:F10000"),INDIRECT("Report!B100:B10000"),B377,INDIRECT("report!H100:H10000"),"Goss",INDIRECT("Report!L100:L10000"),"21,2")</f>
        <v>924000</v>
      </c>
      <c r="D377" s="236">
        <f ca="1">(C377/11*10)</f>
        <v>840000</v>
      </c>
      <c r="E377" s="250">
        <f ca="1">SUMIFS(INDIRECT("Report!J100:J10000"),INDIRECT("Report!B100:B10000"),B377,INDIRECT("report!H100:H10000"),"Goss",INDIRECT("Report!L100:L10000"),"21,2")</f>
        <v>350000</v>
      </c>
      <c r="F377" s="595">
        <f ca="1">E377/D377</f>
        <v>0.41666666666666669</v>
      </c>
    </row>
    <row r="378" spans="1:7" ht="21" customHeight="1" x14ac:dyDescent="0.25">
      <c r="B378" s="228" t="s">
        <v>491</v>
      </c>
      <c r="C378" s="250">
        <f ca="1">SUMIFS(INDIRECT("Report!F100:F10000"),INDIRECT("Report!B100:B10000"),B378,INDIRECT("report!H100:H10000"),"Goss",INDIRECT("Report!L100:L10000"),"21,2")</f>
        <v>2695000.0000000005</v>
      </c>
      <c r="D378" s="236">
        <f ca="1">(C378/11*10)</f>
        <v>2450000.0000000005</v>
      </c>
      <c r="E378" s="250">
        <f ca="1">SUMIFS(INDIRECT("Report!J100:J10000"),INDIRECT("Report!B100:B10000"),B378,INDIRECT("report!H100:H10000"),"Goss",INDIRECT("Report!L100:L10000"),"21,2")</f>
        <v>2030000</v>
      </c>
      <c r="F378" s="595">
        <f ca="1">E378/D378</f>
        <v>0.8285714285714284</v>
      </c>
    </row>
    <row r="379" spans="1:7" ht="21" customHeight="1" x14ac:dyDescent="0.25">
      <c r="B379" s="228" t="s">
        <v>497</v>
      </c>
      <c r="C379" s="250">
        <f ca="1">SUMIFS(INDIRECT("Report!F100:F10000"),INDIRECT("Report!B100:B10000"),B379,INDIRECT("report!H100:H10000"),"Goss",INDIRECT("Report!L100:L10000"),"21,2")</f>
        <v>572000</v>
      </c>
      <c r="D379" s="236">
        <f ca="1">(C379/11*10)</f>
        <v>520000</v>
      </c>
      <c r="E379" s="250">
        <f ca="1">SUMIFS(INDIRECT("Report!J100:J10000"),INDIRECT("Report!B100:B10000"),B379,INDIRECT("report!H100:H10000"),"Goss",INDIRECT("Report!L100:L10000"),"21,2")</f>
        <v>220000</v>
      </c>
      <c r="F379" s="595">
        <f ca="1">E379/D379</f>
        <v>0.42307692307692307</v>
      </c>
    </row>
    <row r="380" spans="1:7" ht="21" customHeight="1" x14ac:dyDescent="0.25">
      <c r="A380" s="293"/>
      <c r="B380" s="277" t="s">
        <v>2887</v>
      </c>
      <c r="C380" s="543">
        <f ca="1">SUM(C376:C379)</f>
        <v>23191000</v>
      </c>
      <c r="D380" s="543">
        <f ca="1">SUM(D376:D379)</f>
        <v>21082727.272727273</v>
      </c>
      <c r="E380" s="543">
        <f ca="1">SUM(E376:E379)</f>
        <v>13064327.272727273</v>
      </c>
      <c r="F380" s="593">
        <f ca="1">E380/D380</f>
        <v>0.61966969945237382</v>
      </c>
      <c r="G380" s="336" t="e">
        <f>SUM(#REF!)</f>
        <v>#REF!</v>
      </c>
    </row>
    <row r="381" spans="1:7" ht="21" customHeight="1" x14ac:dyDescent="0.25">
      <c r="A381" s="798" t="s">
        <v>2920</v>
      </c>
    </row>
    <row r="382" spans="1:7" ht="21" customHeight="1" x14ac:dyDescent="0.25">
      <c r="B382" s="228" t="s">
        <v>443</v>
      </c>
      <c r="C382" s="250">
        <f ca="1">SUMIFS(INDIRECT("Report!F100:F10000"),INDIRECT("Report!B100:B10000"),B382,INDIRECT("report!H100:H10000"),"Goss",INDIRECT("Report!L100:L10000"),"21,3")</f>
        <v>1694000</v>
      </c>
      <c r="D382" s="236">
        <f ca="1">(C382/11*10)</f>
        <v>1540000</v>
      </c>
      <c r="E382" s="250">
        <f ca="1">SUMIFS(INDIRECT("Report!J100:J10000"),INDIRECT("Report!B100:B10000"),B382,INDIRECT("report!H100:H10000"),"Goss",INDIRECT("Report!L100:L10000"),"21,3")</f>
        <v>449000</v>
      </c>
      <c r="F382" s="595">
        <f ca="1">E382/D382</f>
        <v>0.29155844155844157</v>
      </c>
    </row>
    <row r="383" spans="1:7" ht="21" customHeight="1" x14ac:dyDescent="0.25">
      <c r="B383" s="228" t="s">
        <v>1829</v>
      </c>
      <c r="C383" s="250">
        <f ca="1">SUMIFS(INDIRECT("Report!F100:F10000"),INDIRECT("Report!B100:B10000"),B383,INDIRECT("report!H100:H10000"),"Goss",INDIRECT("Report!L100:L10000"),"21,3")</f>
        <v>30701000.000000004</v>
      </c>
      <c r="D383" s="236">
        <f ca="1">(C383/11*10)</f>
        <v>27910000.000000004</v>
      </c>
      <c r="E383" s="250">
        <f ca="1">SUMIFS(INDIRECT("Report!J100:J10000"),INDIRECT("Report!B100:B10000"),B383,INDIRECT("report!H100:H10000"),"Goss",INDIRECT("Report!L100:L10000"),"21,3")</f>
        <v>4895000</v>
      </c>
      <c r="F383" s="595">
        <f ca="1">E383/D383</f>
        <v>0.17538516660695089</v>
      </c>
    </row>
    <row r="384" spans="1:7" ht="21" customHeight="1" x14ac:dyDescent="0.25">
      <c r="B384" s="228" t="s">
        <v>2925</v>
      </c>
      <c r="C384" s="250">
        <f ca="1">SUMIFS(INDIRECT("Report!F100:F10000"),INDIRECT("Report!B100:B10000"),B384,INDIRECT("report!H100:H10000"),"Goss",INDIRECT("Report!L100:L10000"),"21,3")</f>
        <v>2475000</v>
      </c>
      <c r="D384" s="236">
        <f ca="1">(C384/11*10)</f>
        <v>2250000</v>
      </c>
      <c r="E384" s="250">
        <f ca="1">SUMIFS(INDIRECT("Report!J100:J10000"),INDIRECT("Report!B100:B10000"),B384,INDIRECT("report!H100:H10000"),"Goss",INDIRECT("Report!L100:L10000"),"21,3")</f>
        <v>250000</v>
      </c>
      <c r="F384" s="595">
        <f ca="1">E384/D384</f>
        <v>0.1111111111111111</v>
      </c>
    </row>
    <row r="385" spans="1:7" ht="21" customHeight="1" x14ac:dyDescent="0.25">
      <c r="B385" s="228" t="s">
        <v>497</v>
      </c>
      <c r="C385" s="250">
        <f ca="1">SUMIFS(INDIRECT("Report!F100:F10000"),INDIRECT("Report!B100:B10000"),B385,INDIRECT("report!H100:H10000"),"Goss",INDIRECT("Report!L100:L10000"),"21,3")</f>
        <v>1881000.0000000002</v>
      </c>
      <c r="D385" s="236">
        <f ca="1">(C385/11*10)</f>
        <v>1710000.0000000002</v>
      </c>
      <c r="E385" s="250">
        <f ca="1">SUMIFS(INDIRECT("Report!J100:J10000"),INDIRECT("Report!B100:B10000"),B385,INDIRECT("report!H100:H10000"),"Goss",INDIRECT("Report!L100:L10000"),"21,3")</f>
        <v>810000</v>
      </c>
      <c r="F385" s="595">
        <f ca="1">E385/D385</f>
        <v>0.47368421052631571</v>
      </c>
    </row>
    <row r="386" spans="1:7" ht="21" customHeight="1" x14ac:dyDescent="0.25">
      <c r="A386" s="293"/>
      <c r="B386" s="277" t="s">
        <v>2924</v>
      </c>
      <c r="C386" s="543">
        <f ca="1">SUM(C382:C385)</f>
        <v>36751000</v>
      </c>
      <c r="D386" s="543">
        <f ca="1">SUM(D382:D385)</f>
        <v>33410000.000000004</v>
      </c>
      <c r="E386" s="543">
        <f ca="1">SUM(E382:E385)</f>
        <v>6404000</v>
      </c>
      <c r="F386" s="593">
        <f ca="1">E386/D386</f>
        <v>0.19167913798263991</v>
      </c>
      <c r="G386" s="336" t="e">
        <f>SUM(#REF!)</f>
        <v>#REF!</v>
      </c>
    </row>
    <row r="387" spans="1:7" ht="21" customHeight="1" x14ac:dyDescent="0.25">
      <c r="A387" s="798" t="s">
        <v>2960</v>
      </c>
    </row>
    <row r="388" spans="1:7" ht="21" customHeight="1" x14ac:dyDescent="0.25">
      <c r="B388" s="228" t="s">
        <v>443</v>
      </c>
      <c r="C388" s="250">
        <f ca="1">SUMIFS(INDIRECT("Report!F100:F10000"),INDIRECT("Report!B100:B10000"),B388,INDIRECT("report!H100:H10000"),"Goss",INDIRECT("Report!L100:L10000"),"21,4")</f>
        <v>20515000</v>
      </c>
      <c r="D388" s="236">
        <f ca="1">(C388/11*10)</f>
        <v>18650000</v>
      </c>
      <c r="E388" s="250">
        <f ca="1">SUMIFS(INDIRECT("Report!J100:J10000"),INDIRECT("Report!B100:B10000"),B388,INDIRECT("report!H100:H10000"),"Goss",INDIRECT("Report!L100:L10000"),"21,4")</f>
        <v>5040000</v>
      </c>
      <c r="F388" s="595">
        <f t="shared" ref="F388:F393" ca="1" si="49">E388/D388</f>
        <v>0.27024128686327076</v>
      </c>
    </row>
    <row r="389" spans="1:7" ht="21" customHeight="1" x14ac:dyDescent="0.25">
      <c r="B389" s="228" t="s">
        <v>2352</v>
      </c>
      <c r="C389" s="250">
        <f ca="1">SUMIFS(INDIRECT("Report!F100:F10000"),INDIRECT("Report!B100:B10000"),B389,INDIRECT("report!H100:H10000"),"Goss",INDIRECT("Report!L100:L10000"),"21,4")</f>
        <v>4466000</v>
      </c>
      <c r="D389" s="236">
        <f ca="1">(C389/11*10)</f>
        <v>4060000</v>
      </c>
      <c r="E389" s="250">
        <f ca="1">SUMIFS(INDIRECT("Report!J100:J10000"),INDIRECT("Report!B100:B10000"),B389,INDIRECT("report!H100:H10000"),"Goss",INDIRECT("Report!L100:L10000"),"21,4")</f>
        <v>1501000</v>
      </c>
      <c r="F389" s="595">
        <f t="shared" ca="1" si="49"/>
        <v>0.36970443349753696</v>
      </c>
    </row>
    <row r="390" spans="1:7" ht="21" customHeight="1" x14ac:dyDescent="0.25">
      <c r="B390" s="228" t="s">
        <v>1830</v>
      </c>
      <c r="C390" s="250">
        <f ca="1">SUMIFS(INDIRECT("Report!F100:F10000"),INDIRECT("Report!B100:B10000"),B390,INDIRECT("report!H100:H10000"),"Goss",INDIRECT("Report!L100:L10000"),"21,4")</f>
        <v>3520000.0000000005</v>
      </c>
      <c r="D390" s="236">
        <f ca="1">(C390/11*10)</f>
        <v>3200000.0000000005</v>
      </c>
      <c r="E390" s="250">
        <f ca="1">SUMIFS(INDIRECT("Report!J100:J10000"),INDIRECT("Report!B100:B10000"),B390,INDIRECT("report!H100:H10000"),"Goss",INDIRECT("Report!L100:L10000"),"21,4")</f>
        <v>1000000</v>
      </c>
      <c r="F390" s="595">
        <f t="shared" ca="1" si="49"/>
        <v>0.31249999999999994</v>
      </c>
    </row>
    <row r="391" spans="1:7" ht="21" customHeight="1" x14ac:dyDescent="0.25">
      <c r="B391" s="228" t="s">
        <v>2925</v>
      </c>
      <c r="C391" s="250">
        <f ca="1">SUMIFS(INDIRECT("Report!F100:F10000"),INDIRECT("Report!B100:B10000"),B391,INDIRECT("report!H100:H10000"),"Goss",INDIRECT("Report!L100:L10000"),"21,4")</f>
        <v>357500</v>
      </c>
      <c r="D391" s="236">
        <f ca="1">(C391/11*10)</f>
        <v>325000</v>
      </c>
      <c r="E391" s="250">
        <f ca="1">SUMIFS(INDIRECT("Report!J100:J10000"),INDIRECT("Report!B100:B10000"),B391,INDIRECT("report!H100:H10000"),"Goss",INDIRECT("Report!L100:L10000"),"21,4")</f>
        <v>208595</v>
      </c>
      <c r="F391" s="595">
        <f t="shared" ca="1" si="49"/>
        <v>0.6418307692307692</v>
      </c>
    </row>
    <row r="392" spans="1:7" ht="21" customHeight="1" x14ac:dyDescent="0.25">
      <c r="B392" s="228" t="s">
        <v>497</v>
      </c>
      <c r="C392" s="250">
        <f ca="1">SUMIFS(INDIRECT("Report!F100:F10000"),INDIRECT("Report!B100:B10000"),B392,INDIRECT("report!H100:H10000"),"Goss",INDIRECT("Report!L100:L10000"),"21,4")</f>
        <v>990000.00000000012</v>
      </c>
      <c r="D392" s="236">
        <f ca="1">(C392/11*10)</f>
        <v>900000.00000000012</v>
      </c>
      <c r="E392" s="250">
        <f ca="1">SUMIFS(INDIRECT("Report!J100:J10000"),INDIRECT("Report!B100:B10000"),B392,INDIRECT("report!H100:H10000"),"Goss",INDIRECT("Report!L100:L10000"),"21,4")</f>
        <v>450000</v>
      </c>
      <c r="F392" s="595">
        <f t="shared" ca="1" si="49"/>
        <v>0.49999999999999994</v>
      </c>
    </row>
    <row r="393" spans="1:7" ht="21" customHeight="1" x14ac:dyDescent="0.25">
      <c r="A393" s="293"/>
      <c r="B393" s="277" t="s">
        <v>2963</v>
      </c>
      <c r="C393" s="543">
        <f ca="1">SUM(C388:C392)</f>
        <v>29848500</v>
      </c>
      <c r="D393" s="543">
        <f ca="1">SUM(D388:D392)</f>
        <v>27135000</v>
      </c>
      <c r="E393" s="543">
        <f ca="1">SUM(E388:E392)</f>
        <v>8199595</v>
      </c>
      <c r="F393" s="593">
        <f t="shared" ca="1" si="49"/>
        <v>0.30217781463055093</v>
      </c>
      <c r="G393" s="336" t="e">
        <f>SUM(#REF!)</f>
        <v>#REF!</v>
      </c>
    </row>
    <row r="394" spans="1:7" ht="21" customHeight="1" x14ac:dyDescent="0.25">
      <c r="A394" s="798" t="s">
        <v>2994</v>
      </c>
    </row>
    <row r="395" spans="1:7" ht="21" customHeight="1" x14ac:dyDescent="0.25">
      <c r="B395" s="228" t="s">
        <v>443</v>
      </c>
      <c r="C395" s="250">
        <f ca="1">SUMIFS(INDIRECT("Report!F100:F10000"),INDIRECT("Report!B100:B10000"),B395,INDIRECT("report!H100:H10000"),"Goss",INDIRECT("Report!L100:L10000"),"21,5")</f>
        <v>25278000</v>
      </c>
      <c r="D395" s="236">
        <f ca="1">(C395/11*10)</f>
        <v>22980000</v>
      </c>
      <c r="E395" s="250">
        <f ca="1">SUMIFS(INDIRECT("Report!J100:J10000"),INDIRECT("Report!B100:B10000"),B395,INDIRECT("report!H100:H10000"),"Goss",INDIRECT("Report!L100:L10000"),"21,5")</f>
        <v>8150313</v>
      </c>
      <c r="F395" s="595">
        <f ca="1">E395/D395</f>
        <v>0.35466984334203655</v>
      </c>
    </row>
    <row r="396" spans="1:7" ht="21" customHeight="1" x14ac:dyDescent="0.25">
      <c r="B396" s="228" t="s">
        <v>2352</v>
      </c>
      <c r="C396" s="250">
        <f ca="1">SUMIFS(INDIRECT("Report!F100:F10000"),INDIRECT("Report!B100:B10000"),B396,INDIRECT("report!H100:H10000"),"Goss",INDIRECT("Report!L100:L10000"),"21,5")</f>
        <v>1100000</v>
      </c>
      <c r="D396" s="236">
        <f ca="1">(C396/11*10)</f>
        <v>1000000</v>
      </c>
      <c r="E396" s="250">
        <f ca="1">SUMIFS(INDIRECT("Report!J100:J10000"),INDIRECT("Report!B100:B10000"),B396,INDIRECT("report!H100:H10000"),"Goss",INDIRECT("Report!L100:L10000"),"21,5")</f>
        <v>379000</v>
      </c>
      <c r="F396" s="595">
        <f ca="1">E396/D396</f>
        <v>0.379</v>
      </c>
    </row>
    <row r="397" spans="1:7" ht="21" customHeight="1" x14ac:dyDescent="0.25">
      <c r="B397" s="228" t="s">
        <v>550</v>
      </c>
      <c r="C397" s="250">
        <f ca="1">SUMIFS(INDIRECT("Report!F100:F10000"),INDIRECT("Report!B100:B10000"),B397,INDIRECT("report!H100:H10000"),"Goss",INDIRECT("Report!L100:L10000"),"21,5")</f>
        <v>1210000</v>
      </c>
      <c r="D397" s="236">
        <f ca="1">(C397/11*10)</f>
        <v>1100000</v>
      </c>
      <c r="E397" s="250">
        <f ca="1">SUMIFS(INDIRECT("Report!J100:J10000"),INDIRECT("Report!B100:B10000"),B397,INDIRECT("report!H100:H10000"),"Goss",INDIRECT("Report!L100:L10000"),"21,5")</f>
        <v>603150</v>
      </c>
      <c r="F397" s="595">
        <f ca="1">E397/D397</f>
        <v>0.54831818181818182</v>
      </c>
    </row>
    <row r="398" spans="1:7" ht="21" customHeight="1" x14ac:dyDescent="0.25">
      <c r="B398" s="228" t="s">
        <v>2925</v>
      </c>
      <c r="C398" s="250">
        <f ca="1">SUMIFS(INDIRECT("Report!F100:F10000"),INDIRECT("Report!B100:B10000"),B398,INDIRECT("report!H100:H10000"),"Goss",INDIRECT("Report!L100:L10000"),"21,5")</f>
        <v>7040000.0000000009</v>
      </c>
      <c r="D398" s="236">
        <f ca="1">(C398/11*10)</f>
        <v>6400000.0000000009</v>
      </c>
      <c r="E398" s="250">
        <f ca="1">SUMIFS(INDIRECT("Report!J100:J10000"),INDIRECT("Report!B100:B10000"),B398,INDIRECT("report!H100:H10000"),"Goss",INDIRECT("Report!L100:L10000"),"21,5")</f>
        <v>2903150</v>
      </c>
      <c r="F398" s="595">
        <f ca="1">E398/D398</f>
        <v>0.45361718749999991</v>
      </c>
    </row>
    <row r="399" spans="1:7" ht="21" customHeight="1" x14ac:dyDescent="0.25">
      <c r="A399" s="293"/>
      <c r="B399" s="277" t="s">
        <v>3000</v>
      </c>
      <c r="C399" s="543">
        <f ca="1">SUM(C395:C398)</f>
        <v>34628000</v>
      </c>
      <c r="D399" s="543">
        <f ca="1">SUM(D395:D398)</f>
        <v>31480000</v>
      </c>
      <c r="E399" s="543">
        <f ca="1">SUM(E395:E398)</f>
        <v>12035613</v>
      </c>
      <c r="F399" s="593">
        <f ca="1">E399/D399</f>
        <v>0.38232569885641676</v>
      </c>
      <c r="G399" s="336" t="e">
        <f>SUM(#REF!)</f>
        <v>#REF!</v>
      </c>
    </row>
    <row r="400" spans="1:7" ht="21" customHeight="1" x14ac:dyDescent="0.25">
      <c r="A400" s="798" t="s">
        <v>3037</v>
      </c>
    </row>
    <row r="401" spans="1:7" ht="21" customHeight="1" x14ac:dyDescent="0.25">
      <c r="B401" s="228" t="s">
        <v>3041</v>
      </c>
      <c r="C401" s="250">
        <f ca="1">SUMIFS(INDIRECT("Report!F100:F10000"),INDIRECT("Report!B100:B10000"),B401,INDIRECT("report!H100:H10000"),"Goss",INDIRECT("Report!L100:L10000"),"21,6")</f>
        <v>2805000</v>
      </c>
      <c r="D401" s="236">
        <f ca="1">(C401/11*10)</f>
        <v>2550000</v>
      </c>
      <c r="E401" s="250">
        <f ca="1">SUMIFS(INDIRECT("Report!J100:J10000"),INDIRECT("Report!B100:B10000"),B401,INDIRECT("report!H100:H10000"),"Goss",INDIRECT("Report!L100:L10000"),"21,6")</f>
        <v>1462089</v>
      </c>
      <c r="F401" s="595">
        <f ca="1">E401/D401</f>
        <v>0.57336823529411762</v>
      </c>
    </row>
    <row r="402" spans="1:7" ht="21" customHeight="1" x14ac:dyDescent="0.25">
      <c r="B402" s="228" t="s">
        <v>557</v>
      </c>
      <c r="C402" s="250">
        <f ca="1">SUMIFS(INDIRECT("Report!F100:F10000"),INDIRECT("Report!B100:B10000"),B402,INDIRECT("report!H100:H10000"),"Goss",INDIRECT("Report!L100:L10000"),"21,6")</f>
        <v>8294000.0000000009</v>
      </c>
      <c r="D402" s="236">
        <f ca="1">(C402/11*10)</f>
        <v>7540000.0000000009</v>
      </c>
      <c r="E402" s="250">
        <f ca="1">SUMIFS(INDIRECT("Report!J100:J10000"),INDIRECT("Report!B100:B10000"),B402,INDIRECT("report!H100:H10000"),"Goss",INDIRECT("Report!L100:L10000"),"21,6")</f>
        <v>3864000</v>
      </c>
      <c r="F402" s="595">
        <f ca="1">E402/D402</f>
        <v>0.51246684350132621</v>
      </c>
    </row>
    <row r="403" spans="1:7" ht="21" customHeight="1" x14ac:dyDescent="0.25">
      <c r="B403" s="228" t="s">
        <v>446</v>
      </c>
      <c r="C403" s="250">
        <f ca="1">SUMIFS(INDIRECT("Report!F100:F10000"),INDIRECT("Report!B100:B10000"),B403,INDIRECT("report!H100:H10000"),"Goss",INDIRECT("Report!L100:L10000"),"21,6")</f>
        <v>3630000.0000000005</v>
      </c>
      <c r="D403" s="236">
        <f ca="1">(C403/11*10)</f>
        <v>3300000.0000000005</v>
      </c>
      <c r="E403" s="250">
        <f ca="1">SUMIFS(INDIRECT("Report!J100:J10000"),INDIRECT("Report!B100:B10000"),B403,INDIRECT("report!H100:H10000"),"Goss",INDIRECT("Report!L100:L10000"),"21,6")</f>
        <v>1500000</v>
      </c>
      <c r="F403" s="595">
        <f ca="1">E403/D403</f>
        <v>0.45454545454545447</v>
      </c>
    </row>
    <row r="404" spans="1:7" ht="21" customHeight="1" x14ac:dyDescent="0.25">
      <c r="B404" s="228" t="s">
        <v>2925</v>
      </c>
      <c r="C404" s="250">
        <f ca="1">SUMIFS(INDIRECT("Report!F100:F10000"),INDIRECT("Report!B100:B10000"),B404,INDIRECT("report!H100:H10000"),"Goss",INDIRECT("Report!L100:L10000"),"21,6")</f>
        <v>770000.00000000012</v>
      </c>
      <c r="D404" s="236">
        <f ca="1">(C404/11*10)</f>
        <v>700000.00000000012</v>
      </c>
      <c r="E404" s="250">
        <f ca="1">SUMIFS(INDIRECT("Report!J100:J10000"),INDIRECT("Report!B100:B10000"),B404,INDIRECT("report!H100:H10000"),"Goss",INDIRECT("Report!L100:L10000"),"21,6")</f>
        <v>211500</v>
      </c>
      <c r="F404" s="595">
        <f ca="1">E404/D404</f>
        <v>0.3021428571428571</v>
      </c>
    </row>
    <row r="405" spans="1:7" ht="21" customHeight="1" x14ac:dyDescent="0.25">
      <c r="B405" s="228" t="s">
        <v>1830</v>
      </c>
      <c r="C405" s="250">
        <f ca="1">SUMIFS(INDIRECT("Report!F100:F10000"),INDIRECT("Report!B100:B10000"),B405,INDIRECT("report!H100:H10000"),"Goss",INDIRECT("Report!L100:L10000"),"21,6")</f>
        <v>1930500.0000000002</v>
      </c>
      <c r="D405" s="236">
        <f ca="1">(C405/11*10)</f>
        <v>1755000.0000000002</v>
      </c>
      <c r="E405" s="250">
        <f ca="1">SUMIFS(INDIRECT("Report!J100:J10000"),INDIRECT("Report!B100:B10000"),B405,INDIRECT("report!H100:H10000"),"Goss",INDIRECT("Report!L100:L10000"),"21,6")</f>
        <v>245000</v>
      </c>
    </row>
    <row r="406" spans="1:7" ht="21" customHeight="1" x14ac:dyDescent="0.25">
      <c r="A406" s="293"/>
      <c r="B406" s="277" t="s">
        <v>3045</v>
      </c>
      <c r="C406" s="543">
        <f ca="1">SUM(C401:C405)</f>
        <v>17429500</v>
      </c>
      <c r="D406" s="543">
        <f ca="1">SUM(D401:D405)</f>
        <v>15845000</v>
      </c>
      <c r="E406" s="543">
        <f ca="1">SUM(E401:E405)</f>
        <v>7282589</v>
      </c>
      <c r="F406" s="593">
        <f ca="1">E406/D406</f>
        <v>0.4596143262858946</v>
      </c>
      <c r="G406" s="336" t="e">
        <f>SUM(#REF!)</f>
        <v>#REF!</v>
      </c>
    </row>
    <row r="407" spans="1:7" ht="21" customHeight="1" x14ac:dyDescent="0.25">
      <c r="A407" s="798" t="s">
        <v>3057</v>
      </c>
    </row>
    <row r="408" spans="1:7" ht="21" customHeight="1" x14ac:dyDescent="0.25">
      <c r="B408" s="228" t="s">
        <v>443</v>
      </c>
      <c r="C408" s="250">
        <f t="shared" ref="C408:C413" ca="1" si="50">SUMIFS(INDIRECT("Report!F100:F10000"),INDIRECT("Report!B100:B10000"),B408,INDIRECT("report!H100:H10000"),"Goss",INDIRECT("Report!L100:L10000"),"21,7")</f>
        <v>3685000</v>
      </c>
      <c r="D408" s="236">
        <f t="shared" ref="D408:D413" ca="1" si="51">(C408/11*10)</f>
        <v>3350000</v>
      </c>
      <c r="E408" s="250">
        <f t="shared" ref="E408:E413" ca="1" si="52">SUMIFS(INDIRECT("Report!J100:J10000"),INDIRECT("Report!B100:B10000"),B408,INDIRECT("report!H100:H10000"),"Goss",INDIRECT("Report!L100:L10000"),"21,7")</f>
        <v>1143653</v>
      </c>
      <c r="F408" s="595">
        <f t="shared" ref="F408:F414" ca="1" si="53">E408/D408</f>
        <v>0.34138895522388057</v>
      </c>
    </row>
    <row r="409" spans="1:7" ht="21" customHeight="1" x14ac:dyDescent="0.25">
      <c r="B409" s="228" t="s">
        <v>770</v>
      </c>
      <c r="C409" s="250">
        <f t="shared" ca="1" si="50"/>
        <v>990000.00000000012</v>
      </c>
      <c r="D409" s="236">
        <f t="shared" ca="1" si="51"/>
        <v>900000.00000000012</v>
      </c>
      <c r="E409" s="250">
        <f t="shared" ca="1" si="52"/>
        <v>403150</v>
      </c>
      <c r="F409" s="595">
        <f t="shared" ca="1" si="53"/>
        <v>0.44794444444444437</v>
      </c>
    </row>
    <row r="410" spans="1:7" ht="21" customHeight="1" x14ac:dyDescent="0.25">
      <c r="B410" s="228" t="s">
        <v>446</v>
      </c>
      <c r="C410" s="250">
        <f t="shared" ca="1" si="50"/>
        <v>3674000</v>
      </c>
      <c r="D410" s="236">
        <f t="shared" ca="1" si="51"/>
        <v>3340000</v>
      </c>
      <c r="E410" s="250">
        <f t="shared" ca="1" si="52"/>
        <v>1200137</v>
      </c>
      <c r="F410" s="595">
        <f t="shared" ca="1" si="53"/>
        <v>0.35932245508982036</v>
      </c>
    </row>
    <row r="411" spans="1:7" ht="21" customHeight="1" x14ac:dyDescent="0.25">
      <c r="B411" s="228" t="s">
        <v>2925</v>
      </c>
      <c r="C411" s="250">
        <f t="shared" ca="1" si="50"/>
        <v>1540000.0000000002</v>
      </c>
      <c r="D411" s="236">
        <f t="shared" ca="1" si="51"/>
        <v>1400000.0000000002</v>
      </c>
      <c r="E411" s="250">
        <f t="shared" ca="1" si="52"/>
        <v>654205</v>
      </c>
      <c r="F411" s="595">
        <f t="shared" ca="1" si="53"/>
        <v>0.46728928571428563</v>
      </c>
    </row>
    <row r="412" spans="1:7" ht="21" customHeight="1" x14ac:dyDescent="0.25">
      <c r="B412" s="228" t="s">
        <v>2359</v>
      </c>
      <c r="C412" s="250">
        <f t="shared" ca="1" si="50"/>
        <v>660000</v>
      </c>
      <c r="D412" s="236">
        <f t="shared" ca="1" si="51"/>
        <v>600000</v>
      </c>
      <c r="E412" s="250">
        <f t="shared" ca="1" si="52"/>
        <v>300000</v>
      </c>
      <c r="F412" s="595">
        <f t="shared" ca="1" si="53"/>
        <v>0.5</v>
      </c>
    </row>
    <row r="413" spans="1:7" ht="21" customHeight="1" x14ac:dyDescent="0.25">
      <c r="B413" s="228" t="s">
        <v>1996</v>
      </c>
      <c r="C413" s="250">
        <f t="shared" ca="1" si="50"/>
        <v>4840000</v>
      </c>
      <c r="D413" s="236">
        <f t="shared" ca="1" si="51"/>
        <v>4400000</v>
      </c>
      <c r="E413" s="250">
        <f t="shared" ca="1" si="52"/>
        <v>2756000</v>
      </c>
      <c r="F413" s="595">
        <f t="shared" ca="1" si="53"/>
        <v>0.62636363636363634</v>
      </c>
    </row>
    <row r="414" spans="1:7" ht="21" customHeight="1" x14ac:dyDescent="0.25">
      <c r="A414" s="293"/>
      <c r="B414" s="277" t="s">
        <v>3060</v>
      </c>
      <c r="C414" s="543">
        <f ca="1">SUM(C408:C413)</f>
        <v>15389000</v>
      </c>
      <c r="D414" s="543">
        <f ca="1">SUM(D408:D413)</f>
        <v>13990000</v>
      </c>
      <c r="E414" s="543">
        <f ca="1">SUM(E408:E413)</f>
        <v>6457145</v>
      </c>
      <c r="F414" s="593">
        <f t="shared" ca="1" si="53"/>
        <v>0.46155432451751249</v>
      </c>
      <c r="G414" s="336" t="e">
        <f>SUM(#REF!)</f>
        <v>#REF!</v>
      </c>
    </row>
    <row r="415" spans="1:7" ht="21" customHeight="1" x14ac:dyDescent="0.25">
      <c r="A415" s="798" t="s">
        <v>3106</v>
      </c>
    </row>
    <row r="416" spans="1:7" ht="21" customHeight="1" x14ac:dyDescent="0.25">
      <c r="B416" s="228" t="s">
        <v>550</v>
      </c>
      <c r="C416" s="250">
        <f ca="1">SUMIFS(INDIRECT("Report!F100:F10000"),INDIRECT("Report!B100:B10000"),B416,INDIRECT("report!H100:H10000"),"Goss",INDIRECT("Report!L100:L10000"),"21,8")</f>
        <v>1430000</v>
      </c>
      <c r="D416" s="236">
        <f ca="1">(C416/11*10)</f>
        <v>1300000</v>
      </c>
      <c r="E416" s="250">
        <f ca="1">SUMIFS(INDIRECT("Report!J100:J10000"),INDIRECT("Report!B100:B10000"),B416,INDIRECT("report!H100:H10000"),"Goss",INDIRECT("Report!L100:L10000"),"21,8")</f>
        <v>520000</v>
      </c>
      <c r="F416" s="595">
        <f ca="1">E416/D416</f>
        <v>0.4</v>
      </c>
    </row>
    <row r="417" spans="1:10" ht="21" customHeight="1" x14ac:dyDescent="0.25">
      <c r="B417" s="228" t="s">
        <v>770</v>
      </c>
      <c r="C417" s="250">
        <f ca="1">SUMIFS(INDIRECT("Report!F100:F10000"),INDIRECT("Report!B100:B10000"),B417,INDIRECT("report!H100:H10000"),"Goss",INDIRECT("Report!L100:L10000"),"21,8")</f>
        <v>6050000.0000000009</v>
      </c>
      <c r="D417" s="236">
        <f ca="1">(C417/11*10)</f>
        <v>5500000.0000000009</v>
      </c>
      <c r="E417" s="250">
        <f ca="1">SUMIFS(INDIRECT("Report!J100:J10000"),INDIRECT("Report!B100:B10000"),B417,INDIRECT("report!H100:H10000"),"Goss",INDIRECT("Report!L100:L10000"),"21,8")</f>
        <v>777856</v>
      </c>
      <c r="F417" s="595">
        <f ca="1">E417/D417</f>
        <v>0.1414283636363636</v>
      </c>
      <c r="J417" s="227" t="s">
        <v>3110</v>
      </c>
    </row>
    <row r="418" spans="1:10" ht="21" customHeight="1" x14ac:dyDescent="0.25">
      <c r="B418" s="228" t="s">
        <v>1996</v>
      </c>
      <c r="C418" s="250">
        <f ca="1">SUMIFS(INDIRECT("Report!F100:F10000"),INDIRECT("Report!B100:B10000"),B418,INDIRECT("report!H100:H10000"),"Goss",INDIRECT("Report!L100:L10000"),"21,8")</f>
        <v>2499999.7000000002</v>
      </c>
      <c r="D418" s="236">
        <f ca="1">(C418/11*10)</f>
        <v>2272727</v>
      </c>
      <c r="E418" s="250">
        <f ca="1">SUMIFS(INDIRECT("Report!J100:J10000"),INDIRECT("Report!B100:B10000"),B418,INDIRECT("report!H100:H10000"),"Goss",INDIRECT("Report!L100:L10000"),"21,8")</f>
        <v>472727</v>
      </c>
      <c r="F418" s="595">
        <f ca="1">E418/D418</f>
        <v>0.2079999049599886</v>
      </c>
      <c r="J418" s="227" t="s">
        <v>3109</v>
      </c>
    </row>
    <row r="419" spans="1:10" ht="21" customHeight="1" x14ac:dyDescent="0.25">
      <c r="A419" s="293"/>
      <c r="B419" s="277" t="s">
        <v>3111</v>
      </c>
      <c r="C419" s="543">
        <f ca="1">SUM(C416:C418)</f>
        <v>9979999.7000000011</v>
      </c>
      <c r="D419" s="543">
        <f ca="1">SUM(D416:D418)</f>
        <v>9072727</v>
      </c>
      <c r="E419" s="543">
        <f ca="1">SUM(E416:E418)</f>
        <v>1770583</v>
      </c>
      <c r="F419" s="593">
        <f ca="1">E419/D419</f>
        <v>0.19515444474412158</v>
      </c>
      <c r="G419" s="336" t="e">
        <f>SUM(#REF!)</f>
        <v>#REF!</v>
      </c>
    </row>
    <row r="420" spans="1:10" ht="21" customHeight="1" x14ac:dyDescent="0.25">
      <c r="A420" s="798" t="s">
        <v>3149</v>
      </c>
    </row>
    <row r="421" spans="1:10" ht="21" customHeight="1" x14ac:dyDescent="0.25">
      <c r="B421" s="228" t="s">
        <v>2261</v>
      </c>
      <c r="C421" s="250">
        <f ca="1">SUMIFS(INDIRECT("Report!F100:F10000"),INDIRECT("Report!B100:B10000"),B421,INDIRECT("report!H100:H10000"),"Goss",INDIRECT("Report!L100:L10000"),"21,9")</f>
        <v>990000.00000000012</v>
      </c>
      <c r="D421" s="236">
        <f ca="1">(C421/11*10)</f>
        <v>900000.00000000012</v>
      </c>
      <c r="E421" s="250">
        <f ca="1">SUMIFS(INDIRECT("Report!J100:J10000"),INDIRECT("Report!B100:B10000"),B421,INDIRECT("report!H100:H10000"),"Goss",INDIRECT("Report!L100:L10000"),"21,9")</f>
        <v>411500</v>
      </c>
      <c r="F421" s="595">
        <f ca="1">E421/D421</f>
        <v>0.45722222222222214</v>
      </c>
    </row>
    <row r="422" spans="1:10" ht="21" customHeight="1" x14ac:dyDescent="0.25">
      <c r="B422" s="228" t="s">
        <v>497</v>
      </c>
      <c r="C422" s="250">
        <f ca="1">SUMIFS(INDIRECT("Report!F100:F10000"),INDIRECT("Report!B100:B10000"),B422,INDIRECT("report!H100:H10000"),"Goss",INDIRECT("Report!L100:L10000"),"21,9")</f>
        <v>11550000</v>
      </c>
      <c r="D422" s="236">
        <f ca="1">(C422/11*10)</f>
        <v>10500000</v>
      </c>
      <c r="E422" s="250">
        <f ca="1">SUMIFS(INDIRECT("Report!J100:J10000"),INDIRECT("Report!B100:B10000"),B422,INDIRECT("report!H100:H10000"),"Goss",INDIRECT("Report!L100:L10000"),"21,9")</f>
        <v>0</v>
      </c>
      <c r="F422" s="595">
        <f ca="1">E422/D422</f>
        <v>0</v>
      </c>
      <c r="J422" s="227" t="s">
        <v>3153</v>
      </c>
    </row>
    <row r="423" spans="1:10" ht="21" customHeight="1" x14ac:dyDescent="0.25">
      <c r="A423" s="293"/>
      <c r="B423" s="277" t="s">
        <v>3150</v>
      </c>
      <c r="C423" s="543">
        <f ca="1">SUM(C421:C422)</f>
        <v>12540000</v>
      </c>
      <c r="D423" s="543">
        <f ca="1">SUM(D421:D422)</f>
        <v>11400000</v>
      </c>
      <c r="E423" s="543">
        <f ca="1">SUM(E421:E422)</f>
        <v>411500</v>
      </c>
      <c r="F423" s="593">
        <f ca="1">E423/D423</f>
        <v>3.6096491228070175E-2</v>
      </c>
      <c r="G423" s="336" t="e">
        <f>SUM(#REF!)</f>
        <v>#REF!</v>
      </c>
    </row>
    <row r="424" spans="1:10" ht="21" customHeight="1" x14ac:dyDescent="0.25">
      <c r="A424" s="798" t="s">
        <v>3176</v>
      </c>
    </row>
    <row r="425" spans="1:10" ht="21" customHeight="1" x14ac:dyDescent="0.25">
      <c r="B425" s="228" t="s">
        <v>2261</v>
      </c>
      <c r="C425" s="250">
        <f ca="1">SUMIFS(INDIRECT("Report!F100:F10000"),INDIRECT("Report!B100:B10000"),B425,INDIRECT("report!H100:H10000"),"Goss",INDIRECT("Report!L100:L10000"),"21,10")</f>
        <v>1562000</v>
      </c>
      <c r="D425" s="236">
        <f ca="1">(C425/11*10)</f>
        <v>1420000</v>
      </c>
      <c r="E425" s="250">
        <f ca="1">SUMIFS(INDIRECT("Report!J100:J10000"),INDIRECT("Report!B100:B10000"),B425,INDIRECT("report!H100:H10000"),"Goss",INDIRECT("Report!L100:L10000"),"21,10")</f>
        <v>739517</v>
      </c>
      <c r="F425" s="595">
        <f ca="1">E425/D425</f>
        <v>0.52078661971830986</v>
      </c>
    </row>
    <row r="426" spans="1:10" ht="21" customHeight="1" x14ac:dyDescent="0.25">
      <c r="B426" s="228" t="s">
        <v>497</v>
      </c>
      <c r="C426" s="250">
        <f ca="1">SUMIFS(INDIRECT("Report!F100:F10000"),INDIRECT("Report!B100:B10000"),B426,INDIRECT("report!H100:H10000"),"Goss",INDIRECT("Report!L100:L10000"),"21,10")</f>
        <v>5027000</v>
      </c>
      <c r="D426" s="236">
        <f ca="1">(C426/11*10)</f>
        <v>4570000</v>
      </c>
      <c r="E426" s="250">
        <f ca="1">SUMIFS(INDIRECT("Report!J100:J10000"),INDIRECT("Report!B100:B10000"),B426,INDIRECT("report!H100:H10000"),"Goss",INDIRECT("Report!L100:L10000"),"21,10")</f>
        <v>2474590.8763959371</v>
      </c>
      <c r="F426" s="595">
        <f ca="1">E426/D426</f>
        <v>0.54148596857679143</v>
      </c>
    </row>
    <row r="427" spans="1:10" ht="21" customHeight="1" x14ac:dyDescent="0.25">
      <c r="B427" s="228" t="s">
        <v>2352</v>
      </c>
      <c r="C427" s="250">
        <f ca="1">SUMIFS(INDIRECT("Report!F100:F10000"),INDIRECT("Report!B100:B10000"),B427,INDIRECT("report!H100:H10000"),"Goss",INDIRECT("Report!L100:L10000"),"21,10")</f>
        <v>1650000.0000000002</v>
      </c>
      <c r="D427" s="236">
        <f ca="1">(C427/11*10)</f>
        <v>1500000.0000000002</v>
      </c>
      <c r="E427" s="250">
        <f ca="1">SUMIFS(INDIRECT("Report!J100:J10000"),INDIRECT("Report!B100:B10000"),B427,INDIRECT("report!H100:H10000"),"Goss",INDIRECT("Report!L100:L10000"),"21,10")</f>
        <v>400000</v>
      </c>
      <c r="F427" s="595">
        <f ca="1">E427/D427</f>
        <v>0.26666666666666661</v>
      </c>
    </row>
    <row r="428" spans="1:10" ht="21" customHeight="1" x14ac:dyDescent="0.25">
      <c r="B428" s="228" t="s">
        <v>1829</v>
      </c>
      <c r="C428" s="250">
        <f ca="1">SUMIFS(INDIRECT("Report!F100:F10000"),INDIRECT("Report!B100:B10000"),B428,INDIRECT("report!H100:H10000"),"Goss",INDIRECT("Report!L100:L10000"),"21,10")</f>
        <v>891000.00000000012</v>
      </c>
      <c r="D428" s="236">
        <f ca="1">(C428/11*10)</f>
        <v>810000.00000000012</v>
      </c>
      <c r="E428" s="250">
        <f ca="1">SUMIFS(INDIRECT("Report!J100:J10000"),INDIRECT("Report!B100:B10000"),B428,INDIRECT("report!H100:H10000"),"Goss",INDIRECT("Report!L100:L10000"),"21,10")</f>
        <v>220311</v>
      </c>
      <c r="F428" s="595">
        <f ca="1">E428/D428</f>
        <v>0.27198888888888884</v>
      </c>
    </row>
    <row r="429" spans="1:10" ht="21" customHeight="1" x14ac:dyDescent="0.25">
      <c r="A429" s="293"/>
      <c r="B429" s="277" t="s">
        <v>3179</v>
      </c>
      <c r="C429" s="543">
        <f ca="1">SUM(C425:C428)</f>
        <v>9130000</v>
      </c>
      <c r="D429" s="543">
        <f ca="1">SUM(D425:D428)</f>
        <v>8300000</v>
      </c>
      <c r="E429" s="543">
        <f ca="1">SUM(E425:E428)</f>
        <v>3834418.8763959371</v>
      </c>
      <c r="F429" s="593">
        <f ca="1">E429/D429</f>
        <v>0.46197817787902856</v>
      </c>
      <c r="G429" s="336" t="e">
        <f>SUM(#REF!)</f>
        <v>#REF!</v>
      </c>
    </row>
    <row r="430" spans="1:10" ht="21" customHeight="1" x14ac:dyDescent="0.25">
      <c r="A430" s="798" t="s">
        <v>3209</v>
      </c>
    </row>
    <row r="431" spans="1:10" ht="21" customHeight="1" x14ac:dyDescent="0.25">
      <c r="B431" s="228" t="s">
        <v>2261</v>
      </c>
      <c r="C431" s="250">
        <f ca="1">SUMIFS(INDIRECT("Report!F100:F10000"),INDIRECT("Report!B100:B10000"),B431,INDIRECT("report!H100:H10000"),"Goss",INDIRECT("Report!L100:L10000"),"21,11")</f>
        <v>3586000</v>
      </c>
      <c r="D431" s="236">
        <f ca="1">(C431/11*10)</f>
        <v>3260000</v>
      </c>
      <c r="E431" s="250">
        <f ca="1">SUMIFS(INDIRECT("Report!J100:J10000"),INDIRECT("Report!B100:B10000"),B431,INDIRECT("report!H100:H10000"),"Goss",INDIRECT("Report!L100:L10000"),"21,11")</f>
        <v>770752</v>
      </c>
      <c r="F431" s="595">
        <f ca="1">E431/D431</f>
        <v>0.23642699386503069</v>
      </c>
    </row>
    <row r="432" spans="1:10" ht="21" customHeight="1" x14ac:dyDescent="0.25">
      <c r="B432" s="228" t="s">
        <v>497</v>
      </c>
      <c r="C432" s="250">
        <f ca="1">SUMIFS(INDIRECT("Report!F100:F10000"),INDIRECT("Report!B100:B10000"),B432,INDIRECT("report!H100:H10000"),"Goss",INDIRECT("Report!L100:L10000"),"21,11")</f>
        <v>30248988.000000004</v>
      </c>
      <c r="D432" s="236">
        <f ca="1">(C432/11*10)</f>
        <v>27499080.000000004</v>
      </c>
      <c r="E432" s="250">
        <f ca="1">SUMIFS(INDIRECT("Report!J100:J10000"),INDIRECT("Report!B100:B10000"),B432,INDIRECT("report!H100:H10000"),"Goss",INDIRECT("Report!L100:L10000"),"21,11")</f>
        <v>658170</v>
      </c>
      <c r="F432" s="595">
        <f ca="1">E432/D432</f>
        <v>2.3934255255084896E-2</v>
      </c>
      <c r="J432" s="227" t="s">
        <v>3212</v>
      </c>
    </row>
    <row r="433" spans="1:10" ht="21" customHeight="1" x14ac:dyDescent="0.25">
      <c r="A433" s="293"/>
      <c r="B433" s="277" t="s">
        <v>3211</v>
      </c>
      <c r="C433" s="543">
        <f ca="1">SUM(C431:C432)</f>
        <v>33834988</v>
      </c>
      <c r="D433" s="543">
        <f ca="1">SUM(D431:D432)</f>
        <v>30759080.000000004</v>
      </c>
      <c r="E433" s="543">
        <f ca="1">SUM(E431:E432)</f>
        <v>1428922</v>
      </c>
      <c r="F433" s="593">
        <f ca="1">E433/D433</f>
        <v>4.6455290600369056E-2</v>
      </c>
      <c r="G433" s="336" t="e">
        <f>SUM(#REF!)</f>
        <v>#REF!</v>
      </c>
    </row>
    <row r="434" spans="1:10" ht="21" customHeight="1" x14ac:dyDescent="0.25">
      <c r="A434" s="798" t="s">
        <v>3233</v>
      </c>
    </row>
    <row r="435" spans="1:10" ht="21" customHeight="1" x14ac:dyDescent="0.25">
      <c r="B435" s="228" t="s">
        <v>443</v>
      </c>
      <c r="C435" s="250">
        <f ca="1">SUMIFS(INDIRECT("Report!F100:F10000"),INDIRECT("Report!B100:B10000"),B435,INDIRECT("report!H100:H10000"),"Goss",INDIRECT("Report!L100:L10000"),"21,12")</f>
        <v>38126000</v>
      </c>
      <c r="D435" s="236">
        <f ca="1">(C435/11*10)</f>
        <v>34660000</v>
      </c>
      <c r="E435" s="250">
        <f ca="1">SUMIFS(INDIRECT("Report!J100:J10000"),INDIRECT("Report!B100:B10000"),B435,INDIRECT("report!H100:H10000"),"Goss",INDIRECT("Report!L100:L10000"),"21,12")</f>
        <v>13128072</v>
      </c>
      <c r="F435" s="595">
        <f t="shared" ref="F435:F440" ca="1" si="54">E435/D435</f>
        <v>0.3787672244662435</v>
      </c>
    </row>
    <row r="436" spans="1:10" ht="21" customHeight="1" x14ac:dyDescent="0.25">
      <c r="B436" s="228" t="s">
        <v>1830</v>
      </c>
      <c r="C436" s="250">
        <f ca="1">SUMIFS(INDIRECT("Report!F100:F10000"),INDIRECT("Report!B100:B10000"),B436,INDIRECT("report!H100:H10000"),"Goss",INDIRECT("Report!L100:L10000"),"21,12")</f>
        <v>192500.00000000003</v>
      </c>
      <c r="D436" s="236">
        <f ca="1">(C436/11*10)</f>
        <v>175000.00000000003</v>
      </c>
      <c r="E436" s="250">
        <f ca="1">SUMIFS(INDIRECT("Report!J100:J10000"),INDIRECT("Report!B100:B10000"),B436,INDIRECT("report!H100:H10000"),"Goss",INDIRECT("Report!L100:L10000"),"21,12")</f>
        <v>54650</v>
      </c>
      <c r="F436" s="595">
        <f t="shared" ca="1" si="54"/>
        <v>0.31228571428571422</v>
      </c>
    </row>
    <row r="437" spans="1:10" ht="21" customHeight="1" x14ac:dyDescent="0.25">
      <c r="B437" s="228" t="s">
        <v>550</v>
      </c>
      <c r="C437" s="250">
        <f ca="1">SUMIFS(INDIRECT("Report!F100:F10000"),INDIRECT("Report!B100:B10000"),B437,INDIRECT("report!H100:H10000"),"Goss",INDIRECT("Report!L100:L10000"),"21,12")</f>
        <v>1815000</v>
      </c>
      <c r="D437" s="236">
        <f ca="1">(C437/11*10)</f>
        <v>1650000</v>
      </c>
      <c r="E437" s="250">
        <f ca="1">SUMIFS(INDIRECT("Report!J100:J10000"),INDIRECT("Report!B100:B10000"),B437,INDIRECT("report!H100:H10000"),"Goss",INDIRECT("Report!L100:L10000"),"21,12")</f>
        <v>928850</v>
      </c>
      <c r="F437" s="595">
        <f t="shared" ca="1" si="54"/>
        <v>0.56293939393939396</v>
      </c>
    </row>
    <row r="438" spans="1:10" ht="21" customHeight="1" x14ac:dyDescent="0.25">
      <c r="B438" s="228" t="s">
        <v>760</v>
      </c>
      <c r="C438" s="250">
        <f ca="1">SUMIFS(INDIRECT("Report!F100:F10000"),INDIRECT("Report!B100:B10000"),B438,INDIRECT("report!H100:H10000"),"Goss",INDIRECT("Report!L100:L10000"),"21,12")</f>
        <v>418000.00000000006</v>
      </c>
      <c r="D438" s="236">
        <f ca="1">(C438/11*10)</f>
        <v>380000.00000000006</v>
      </c>
      <c r="E438" s="250">
        <f ca="1">SUMIFS(INDIRECT("Report!J100:J10000"),INDIRECT("Report!B100:B10000"),B438,INDIRECT("report!H100:H10000"),"Goss",INDIRECT("Report!L100:L10000"),"21,12")</f>
        <v>200000</v>
      </c>
      <c r="F438" s="595">
        <f t="shared" ca="1" si="54"/>
        <v>0.52631578947368418</v>
      </c>
    </row>
    <row r="439" spans="1:10" ht="21" customHeight="1" x14ac:dyDescent="0.25">
      <c r="B439" s="228" t="s">
        <v>497</v>
      </c>
      <c r="C439" s="250">
        <f ca="1">SUMIFS(INDIRECT("Report!F100:F10000"),INDIRECT("Report!B100:B10000"),B439,INDIRECT("report!H100:H10000"),"Goss",INDIRECT("Report!L100:L10000"),"21,12")</f>
        <v>64570000.000000007</v>
      </c>
      <c r="D439" s="236">
        <f ca="1">(C439/11*10)</f>
        <v>58700000.000000007</v>
      </c>
      <c r="E439" s="250">
        <f ca="1">SUMIFS(INDIRECT("Report!J100:J10000"),INDIRECT("Report!B100:B10000"),B439,INDIRECT("report!H100:H10000"),"Goss",INDIRECT("Report!L100:L10000"),"21,12")</f>
        <v>2300000</v>
      </c>
      <c r="F439" s="595">
        <f t="shared" ca="1" si="54"/>
        <v>3.9182282793867117E-2</v>
      </c>
      <c r="J439" s="227" t="s">
        <v>3235</v>
      </c>
    </row>
    <row r="440" spans="1:10" ht="21" customHeight="1" x14ac:dyDescent="0.25">
      <c r="A440" s="293"/>
      <c r="B440" s="277" t="s">
        <v>3236</v>
      </c>
      <c r="C440" s="543">
        <f ca="1">SUM(C435:C439)</f>
        <v>105121500</v>
      </c>
      <c r="D440" s="543">
        <f ca="1">SUM(D435:D439)</f>
        <v>95565000</v>
      </c>
      <c r="E440" s="543">
        <f ca="1">SUM(E435:E439)</f>
        <v>16611572</v>
      </c>
      <c r="F440" s="593">
        <f t="shared" ca="1" si="54"/>
        <v>0.1738248521948412</v>
      </c>
      <c r="G440" s="336" t="e">
        <f>SUM(#REF!)</f>
        <v>#REF!</v>
      </c>
    </row>
    <row r="441" spans="1:10" ht="21" customHeight="1" x14ac:dyDescent="0.25">
      <c r="A441" s="798" t="s">
        <v>3250</v>
      </c>
    </row>
    <row r="442" spans="1:10" ht="21" customHeight="1" x14ac:dyDescent="0.25">
      <c r="B442" s="228" t="s">
        <v>422</v>
      </c>
      <c r="C442" s="250">
        <f ca="1">SUMIFS(INDIRECT("Report!F100:F10000"),INDIRECT("Report!B100:B10000"),B442,INDIRECT("report!H100:H10000"),"Goss",INDIRECT("Report!L100:L10000"),"22,1")</f>
        <v>528000</v>
      </c>
      <c r="D442" s="236">
        <f ca="1">(C442/11*10)</f>
        <v>480000</v>
      </c>
      <c r="E442" s="250">
        <f ca="1">SUMIFS(INDIRECT("Report!J100:J10000"),INDIRECT("Report!B100:B10000"),B442,INDIRECT("report!H100:H10000"),"Goss",INDIRECT("Report!L100:L10000"),"22,1")</f>
        <v>167508</v>
      </c>
      <c r="F442" s="595">
        <f ca="1">E442/D442</f>
        <v>0.34897499999999998</v>
      </c>
    </row>
    <row r="443" spans="1:10" ht="21" customHeight="1" x14ac:dyDescent="0.25">
      <c r="B443" s="228" t="s">
        <v>770</v>
      </c>
      <c r="C443" s="250">
        <f ca="1">SUMIFS(INDIRECT("Report!F100:F10000"),INDIRECT("Report!B100:B10000"),B443,INDIRECT("report!H100:H10000"),"Goss",INDIRECT("Report!L100:L10000"),"22,1")</f>
        <v>6292000</v>
      </c>
      <c r="D443" s="236">
        <f ca="1">(C443/11*10)</f>
        <v>5720000</v>
      </c>
      <c r="E443" s="250">
        <f ca="1">SUMIFS(INDIRECT("Report!J100:J10000"),INDIRECT("Report!B100:B10000"),B443,INDIRECT("report!H100:H10000"),"Goss",INDIRECT("Report!L100:L10000"),"22,1")</f>
        <v>2233042</v>
      </c>
      <c r="F443" s="595">
        <f ca="1">E443/D443</f>
        <v>0.39039195804195803</v>
      </c>
    </row>
    <row r="444" spans="1:10" ht="21" customHeight="1" x14ac:dyDescent="0.25">
      <c r="B444" s="228" t="s">
        <v>550</v>
      </c>
      <c r="C444" s="250">
        <f ca="1">SUMIFS(INDIRECT("Report!F100:F10000"),INDIRECT("Report!B100:B10000"),B444,INDIRECT("report!H100:H10000"),"Goss",INDIRECT("Report!L100:L10000"),"22,1")</f>
        <v>2035000</v>
      </c>
      <c r="D444" s="236">
        <f ca="1">(C444/11*10)</f>
        <v>1850000</v>
      </c>
      <c r="E444" s="250">
        <f ca="1">SUMIFS(INDIRECT("Report!J100:J10000"),INDIRECT("Report!B100:B10000"),B444,INDIRECT("report!H100:H10000"),"Goss",INDIRECT("Report!L100:L10000"),"22,1")</f>
        <v>917358</v>
      </c>
      <c r="F444" s="595">
        <f ca="1">E444/D444</f>
        <v>0.49586918918918921</v>
      </c>
    </row>
    <row r="445" spans="1:10" ht="21" customHeight="1" x14ac:dyDescent="0.25">
      <c r="B445" s="228" t="s">
        <v>2261</v>
      </c>
      <c r="C445" s="250">
        <f ca="1">SUMIFS(INDIRECT("Report!F100:F10000"),INDIRECT("Report!B100:B10000"),B445,INDIRECT("report!H100:H10000"),"Goss",INDIRECT("Report!L100:L10000"),"22,1")</f>
        <v>990000.00000000012</v>
      </c>
      <c r="D445" s="236">
        <f ca="1">(C445/11*10)</f>
        <v>900000.00000000012</v>
      </c>
      <c r="E445" s="250">
        <f ca="1">SUMIFS(INDIRECT("Report!J100:J10000"),INDIRECT("Report!B100:B10000"),B445,INDIRECT("report!H100:H10000"),"Goss",INDIRECT("Report!L100:L10000"),"22,1")</f>
        <v>396300</v>
      </c>
      <c r="F445" s="595">
        <f ca="1">E445/D445</f>
        <v>0.4403333333333333</v>
      </c>
    </row>
    <row r="446" spans="1:10" ht="21" customHeight="1" x14ac:dyDescent="0.25">
      <c r="A446" s="293"/>
      <c r="B446" s="277" t="s">
        <v>3284</v>
      </c>
      <c r="C446" s="543">
        <f ca="1">SUM(C442:C445)</f>
        <v>9845000</v>
      </c>
      <c r="D446" s="543">
        <f ca="1">SUM(D442:D445)</f>
        <v>8950000</v>
      </c>
      <c r="E446" s="543">
        <f ca="1">SUM(E442:E445)</f>
        <v>3714208</v>
      </c>
      <c r="F446" s="593">
        <f ca="1">E446/D446</f>
        <v>0.41499530726256983</v>
      </c>
      <c r="G446" s="336"/>
    </row>
    <row r="447" spans="1:10" ht="21" customHeight="1" x14ac:dyDescent="0.25">
      <c r="A447" s="798" t="s">
        <v>3280</v>
      </c>
    </row>
    <row r="448" spans="1:10" ht="21" customHeight="1" x14ac:dyDescent="0.25">
      <c r="B448" s="228" t="s">
        <v>422</v>
      </c>
      <c r="C448" s="250">
        <f ca="1">SUMIFS(INDIRECT("Report!F100:F10000"),INDIRECT("Report!B100:B10000"),B448,INDIRECT("report!H100:H10000"),"Goss",INDIRECT("Report!L100:L10000"),"22,2")</f>
        <v>2117500</v>
      </c>
      <c r="D448" s="236">
        <f ca="1">(C448/11*10)</f>
        <v>1925000</v>
      </c>
      <c r="E448" s="250">
        <f ca="1">SUMIFS(INDIRECT("Report!J100:J10000"),INDIRECT("Report!B100:B10000"),B448,INDIRECT("report!H100:H10000"),"Goss",INDIRECT("Report!L100:L10000"),"22,2")</f>
        <v>514641.35999999993</v>
      </c>
      <c r="F448" s="595">
        <f t="shared" ref="F448:F453" ca="1" si="55">E448/D448</f>
        <v>0.26734616103896103</v>
      </c>
    </row>
    <row r="449" spans="1:7" ht="21" customHeight="1" x14ac:dyDescent="0.25">
      <c r="B449" s="228" t="s">
        <v>770</v>
      </c>
      <c r="C449" s="250">
        <f ca="1">SUMIFS(INDIRECT("Report!F100:F10000"),INDIRECT("Report!B100:B10000"),B449,INDIRECT("report!H100:H10000"),"Goss",INDIRECT("Report!L100:L10000"),"22,2")</f>
        <v>880000.00000000012</v>
      </c>
      <c r="D449" s="236">
        <f ca="1">(C449/11*10)</f>
        <v>800000.00000000012</v>
      </c>
      <c r="E449" s="250">
        <f ca="1">SUMIFS(INDIRECT("Report!J100:J10000"),INDIRECT("Report!B100:B10000"),B449,INDIRECT("report!H100:H10000"),"Goss",INDIRECT("Report!L100:L10000"),"22,2")</f>
        <v>789926</v>
      </c>
      <c r="F449" s="595">
        <f t="shared" ca="1" si="55"/>
        <v>0.98740749999999988</v>
      </c>
    </row>
    <row r="450" spans="1:7" ht="21" customHeight="1" x14ac:dyDescent="0.25">
      <c r="B450" s="228" t="s">
        <v>3283</v>
      </c>
      <c r="C450" s="250">
        <f ca="1">SUMIFS(INDIRECT("Report!F100:F10000"),INDIRECT("Report!B100:B10000"),B450,INDIRECT("report!H100:H10000"),"Goss",INDIRECT("Report!L100:L10000"),"22,2")</f>
        <v>11396000</v>
      </c>
      <c r="D450" s="236">
        <f ca="1">(C450/11*10)</f>
        <v>10360000</v>
      </c>
      <c r="E450" s="250">
        <f ca="1">SUMIFS(INDIRECT("Report!J100:J10000"),INDIRECT("Report!B100:B10000"),B450,INDIRECT("report!H100:H10000"),"Goss",INDIRECT("Report!L100:L10000"),"22,2")</f>
        <v>10346276</v>
      </c>
      <c r="F450" s="595">
        <f t="shared" ca="1" si="55"/>
        <v>0.99867528957528962</v>
      </c>
    </row>
    <row r="451" spans="1:7" ht="21" customHeight="1" x14ac:dyDescent="0.25">
      <c r="B451" s="228" t="s">
        <v>497</v>
      </c>
      <c r="C451" s="250">
        <f ca="1">SUMIFS(INDIRECT("Report!F100:F10000"),INDIRECT("Report!B100:B10000"),B451,INDIRECT("report!H100:H10000"),"Goss",INDIRECT("Report!L100:L10000"),"22,2")</f>
        <v>858000.00000000012</v>
      </c>
      <c r="D451" s="236">
        <f ca="1">(C451/11*10)</f>
        <v>780000.00000000012</v>
      </c>
      <c r="E451" s="250">
        <f ca="1">SUMIFS(INDIRECT("Report!J100:J10000"),INDIRECT("Report!B100:B10000"),B451,INDIRECT("report!H100:H10000"),"Goss",INDIRECT("Report!L100:L10000"),"22,2")</f>
        <v>477780</v>
      </c>
      <c r="F451" s="595">
        <f t="shared" ca="1" si="55"/>
        <v>0.61253846153846148</v>
      </c>
    </row>
    <row r="452" spans="1:7" ht="21" customHeight="1" x14ac:dyDescent="0.25">
      <c r="B452" s="228" t="s">
        <v>2261</v>
      </c>
      <c r="C452" s="250">
        <f ca="1">SUMIFS(INDIRECT("Report!F100:F10000"),INDIRECT("Report!B100:B10000"),B452,INDIRECT("report!H100:H10000"),"Goss",INDIRECT("Report!L100:L10000"),"22,2")</f>
        <v>23650000.000000004</v>
      </c>
      <c r="D452" s="236">
        <f ca="1">(C452/11*10)</f>
        <v>21500000.000000004</v>
      </c>
      <c r="E452" s="250">
        <f ca="1">SUMIFS(INDIRECT("Report!J100:J10000"),INDIRECT("Report!B100:B10000"),B452,INDIRECT("report!H100:H10000"),"Goss",INDIRECT("Report!L100:L10000"),"22,2")</f>
        <v>8830420</v>
      </c>
      <c r="F452" s="595">
        <f t="shared" ca="1" si="55"/>
        <v>0.41071720930232553</v>
      </c>
    </row>
    <row r="453" spans="1:7" ht="21" customHeight="1" x14ac:dyDescent="0.25">
      <c r="A453" s="293"/>
      <c r="B453" s="277" t="s">
        <v>3349</v>
      </c>
      <c r="C453" s="543">
        <f ca="1">SUM(C448:C452)</f>
        <v>38901500</v>
      </c>
      <c r="D453" s="543">
        <f ca="1">SUM(D448:D452)</f>
        <v>35365000</v>
      </c>
      <c r="E453" s="543">
        <f ca="1">SUM(E448:E452)</f>
        <v>20959043.359999999</v>
      </c>
      <c r="F453" s="593">
        <f t="shared" ca="1" si="55"/>
        <v>0.59264932447334939</v>
      </c>
      <c r="G453" s="336"/>
    </row>
    <row r="454" spans="1:7" ht="21" customHeight="1" x14ac:dyDescent="0.25">
      <c r="A454" s="798" t="s">
        <v>3344</v>
      </c>
    </row>
    <row r="455" spans="1:7" ht="21" customHeight="1" x14ac:dyDescent="0.25">
      <c r="B455" s="228" t="s">
        <v>610</v>
      </c>
      <c r="C455" s="250">
        <f ca="1">SUMIFS(INDIRECT("Report!F100:F10000"),INDIRECT("Report!B100:B10000"),B455,INDIRECT("report!H100:H10000"),"Goss",INDIRECT("Report!L100:L10000"),"22,3")</f>
        <v>17985000</v>
      </c>
      <c r="D455" s="236">
        <f ca="1">(C455/11*10)</f>
        <v>16350000</v>
      </c>
      <c r="E455" s="250">
        <f ca="1">SUMIFS(INDIRECT("Report!J100:J10000"),INDIRECT("Report!B100:B10000"),B455,INDIRECT("report!H100:H10000"),"Goss",INDIRECT("Report!L100:L10000"),"22,3")</f>
        <v>4350000</v>
      </c>
      <c r="F455" s="595">
        <f ca="1">E455/D455</f>
        <v>0.26605504587155965</v>
      </c>
    </row>
    <row r="456" spans="1:7" ht="21" customHeight="1" x14ac:dyDescent="0.25">
      <c r="B456" s="228" t="s">
        <v>497</v>
      </c>
      <c r="C456" s="250">
        <f ca="1">SUMIFS(INDIRECT("Report!F100:F10000"),INDIRECT("Report!B100:B10000"),B456,INDIRECT("report!H100:H10000"),"Goss",INDIRECT("Report!L100:L10000"),"22,3")</f>
        <v>4175600.0000000005</v>
      </c>
      <c r="D456" s="236">
        <f ca="1">(C456/11*10)</f>
        <v>3796000.0000000005</v>
      </c>
      <c r="E456" s="250">
        <f ca="1">SUMIFS(INDIRECT("Report!J100:J10000"),INDIRECT("Report!B100:B10000"),B456,INDIRECT("report!H100:H10000"),"Goss",INDIRECT("Report!L100:L10000"),"22,3")</f>
        <v>1296000</v>
      </c>
      <c r="F456" s="595">
        <f ca="1">E456/D456</f>
        <v>0.3414120126448893</v>
      </c>
    </row>
    <row r="457" spans="1:7" ht="21" customHeight="1" x14ac:dyDescent="0.25">
      <c r="B457" s="228" t="s">
        <v>2261</v>
      </c>
      <c r="C457" s="250">
        <f ca="1">SUMIFS(INDIRECT("Report!F100:F10000"),INDIRECT("Report!B100:B10000"),B457,INDIRECT("report!H100:H10000"),"Goss",INDIRECT("Report!L100:L10000"),"22,3")</f>
        <v>715000</v>
      </c>
      <c r="D457" s="236">
        <f ca="1">(C457/11*10)</f>
        <v>650000</v>
      </c>
      <c r="E457" s="250">
        <f ca="1">SUMIFS(INDIRECT("Report!J100:J10000"),INDIRECT("Report!B100:B10000"),B457,INDIRECT("report!H100:H10000"),"Goss",INDIRECT("Report!L100:L10000"),"22,3")</f>
        <v>150000</v>
      </c>
      <c r="F457" s="595">
        <f ca="1">E457/D457</f>
        <v>0.23076923076923078</v>
      </c>
    </row>
    <row r="458" spans="1:7" ht="21" customHeight="1" x14ac:dyDescent="0.25">
      <c r="B458" s="228" t="s">
        <v>3347</v>
      </c>
      <c r="C458" s="250">
        <f ca="1">SUMIFS(INDIRECT("Report!F100:F10000"),INDIRECT("Report!B100:B10000"),B458,INDIRECT("report!H100:H10000"),"Goss",INDIRECT("Report!L100:L10000"),"22,3")</f>
        <v>1650000.0000000002</v>
      </c>
      <c r="D458" s="236">
        <f ca="1">(C458/11*10)</f>
        <v>1500000.0000000002</v>
      </c>
      <c r="E458" s="250">
        <f ca="1">SUMIFS(INDIRECT("Report!J100:J10000"),INDIRECT("Report!B100:B10000"),B458,INDIRECT("report!H100:H10000"),"Goss",INDIRECT("Report!L100:L10000"),"22,3")</f>
        <v>500000</v>
      </c>
      <c r="F458" s="595">
        <f ca="1">E458/D458</f>
        <v>0.33333333333333326</v>
      </c>
    </row>
    <row r="459" spans="1:7" ht="21" customHeight="1" x14ac:dyDescent="0.25">
      <c r="A459" s="293"/>
      <c r="B459" s="277" t="s">
        <v>3350</v>
      </c>
      <c r="C459" s="543">
        <f ca="1">SUM(C455:C458)</f>
        <v>24525600</v>
      </c>
      <c r="D459" s="543">
        <f ca="1">SUM(D455:D458)</f>
        <v>22296000</v>
      </c>
      <c r="E459" s="543">
        <f ca="1">SUM(E455:E458)</f>
        <v>6296000</v>
      </c>
      <c r="F459" s="593">
        <f ca="1">E459/D459</f>
        <v>0.28238249013275923</v>
      </c>
      <c r="G459" s="336"/>
    </row>
    <row r="460" spans="1:7" ht="21" customHeight="1" x14ac:dyDescent="0.25">
      <c r="A460" s="798" t="s">
        <v>3376</v>
      </c>
    </row>
    <row r="461" spans="1:7" ht="21" customHeight="1" x14ac:dyDescent="0.25">
      <c r="A461" s="1218"/>
      <c r="B461" s="228" t="s">
        <v>15</v>
      </c>
      <c r="C461" s="250">
        <f ca="1">SUMIFS(INDIRECT("Report!F100:F10000"),INDIRECT("Report!B100:B10000"),B461,INDIRECT("report!H100:H10000"),"Goss",INDIRECT("Report!L100:L10000"),"22,4")</f>
        <v>7700000.0000000009</v>
      </c>
      <c r="D461" s="236">
        <f ca="1">(C461/11*10)</f>
        <v>7000000.0000000009</v>
      </c>
      <c r="E461" s="250">
        <f ca="1">SUMIFS(INDIRECT("Report!J100:J10000"),INDIRECT("Report!B100:B10000"),B461,INDIRECT("report!H100:H10000"),"Goss",INDIRECT("Report!L100:L10000"),"22,4")</f>
        <v>2480385</v>
      </c>
      <c r="F461" s="595">
        <f t="shared" ref="F461:F466" ca="1" si="56">E461/D461</f>
        <v>0.35434071428571423</v>
      </c>
    </row>
    <row r="462" spans="1:7" ht="21" customHeight="1" x14ac:dyDescent="0.25">
      <c r="A462" s="1218"/>
      <c r="B462" s="228" t="s">
        <v>497</v>
      </c>
      <c r="C462" s="250">
        <f ca="1">SUMIFS(INDIRECT("Report!F100:F10000"),INDIRECT("Report!B100:B10000"),B462,INDIRECT("report!H100:H10000"),"Goss",INDIRECT("Report!L100:L10000"),"22,4")</f>
        <v>660000</v>
      </c>
      <c r="D462" s="236">
        <f ca="1">(C462/11*10)</f>
        <v>600000</v>
      </c>
      <c r="E462" s="250">
        <f ca="1">SUMIFS(INDIRECT("Report!J100:J10000"),INDIRECT("Report!B100:B10000"),B462,INDIRECT("report!H100:H10000"),"Goss",INDIRECT("Report!L100:L10000"),"22,4")</f>
        <v>240210</v>
      </c>
      <c r="F462" s="595">
        <f t="shared" ca="1" si="56"/>
        <v>0.40034999999999998</v>
      </c>
    </row>
    <row r="463" spans="1:7" ht="21" customHeight="1" x14ac:dyDescent="0.25">
      <c r="A463" s="1218"/>
      <c r="B463" s="228" t="s">
        <v>52</v>
      </c>
      <c r="C463" s="250">
        <f ca="1">SUMIFS(INDIRECT("Report!F100:F10000"),INDIRECT("Report!B100:B10000"),B463,INDIRECT("report!H100:H10000"),"Goss",INDIRECT("Report!L100:L10000"),"22,4")</f>
        <v>990000.00000000012</v>
      </c>
      <c r="D463" s="236">
        <f ca="1">(C463/11*10)</f>
        <v>900000.00000000012</v>
      </c>
      <c r="E463" s="250">
        <f ca="1">SUMIFS(INDIRECT("Report!J100:J10000"),INDIRECT("Report!B100:B10000"),B463,INDIRECT("report!H100:H10000"),"Goss",INDIRECT("Report!L100:L10000"),"22,4")</f>
        <v>396300</v>
      </c>
      <c r="F463" s="595">
        <f t="shared" ca="1" si="56"/>
        <v>0.4403333333333333</v>
      </c>
    </row>
    <row r="464" spans="1:7" ht="21" customHeight="1" x14ac:dyDescent="0.25">
      <c r="A464" s="1218"/>
      <c r="B464" s="1214" t="s">
        <v>3577</v>
      </c>
      <c r="C464" s="1215">
        <f ca="1">SUM(C461:C463)</f>
        <v>9350000.0000000019</v>
      </c>
      <c r="D464" s="1215">
        <f ca="1">SUM(D461:D463)</f>
        <v>8500000.0000000019</v>
      </c>
      <c r="E464" s="1215">
        <f ca="1">SUM(E461:E463)</f>
        <v>3116895</v>
      </c>
      <c r="F464" s="1217">
        <f t="shared" ca="1" si="56"/>
        <v>0.36669352941176464</v>
      </c>
      <c r="G464" s="1216"/>
    </row>
    <row r="465" spans="1:7" ht="21" customHeight="1" x14ac:dyDescent="0.25">
      <c r="A465" s="1218"/>
      <c r="B465" s="228" t="s">
        <v>3576</v>
      </c>
      <c r="C465" s="250">
        <f ca="1">SUMIFS(INDIRECT("Report!F100:F10000"),INDIRECT("Report!B100:B10000"),B465,INDIRECT("report!H100:H10000"),"Goss",INDIRECT("Report!L100:L10000"),"22,4")</f>
        <v>38940000.000000007</v>
      </c>
      <c r="D465" s="236">
        <f ca="1">(C465/11*10)</f>
        <v>35400000.000000007</v>
      </c>
      <c r="E465" s="250">
        <f ca="1">SUMIFS(INDIRECT("Report!J100:J10000"),INDIRECT("Report!B100:B10000"),B465,INDIRECT("report!H100:H10000"),"Goss",INDIRECT("Report!L100:L10000"),"22,4")</f>
        <v>0</v>
      </c>
      <c r="F465" s="595">
        <f t="shared" ca="1" si="56"/>
        <v>0</v>
      </c>
    </row>
    <row r="466" spans="1:7" ht="21" customHeight="1" x14ac:dyDescent="0.25">
      <c r="A466" s="1218"/>
      <c r="B466" s="228" t="s">
        <v>3575</v>
      </c>
      <c r="C466" s="250">
        <f ca="1">SUMIFS(INDIRECT("Report!F100:F10000"),INDIRECT("Report!B100:B10000"),B466,INDIRECT("report!H100:H10000"),"Goss",INDIRECT("Report!L100:L10000"),"22,4")</f>
        <v>22770000</v>
      </c>
      <c r="D466" s="236">
        <f ca="1">(C466/11*10)</f>
        <v>20700000</v>
      </c>
      <c r="E466" s="250">
        <f ca="1">SUMIFS(INDIRECT("Report!J100:J10000"),INDIRECT("Report!B100:B10000"),B466,INDIRECT("report!H100:H10000"),"Goss",INDIRECT("Report!L100:L10000"),"22,4")</f>
        <v>0</v>
      </c>
      <c r="F466" s="595">
        <f t="shared" ca="1" si="56"/>
        <v>0</v>
      </c>
    </row>
    <row r="467" spans="1:7" ht="21" customHeight="1" x14ac:dyDescent="0.25">
      <c r="A467" s="293"/>
      <c r="B467" s="277" t="s">
        <v>3578</v>
      </c>
      <c r="C467" s="543">
        <f ca="1">SUM(C461:C463,C465:C466)</f>
        <v>71060000</v>
      </c>
      <c r="D467" s="543">
        <f ca="1">SUM(D461:D466)</f>
        <v>73100000.000000015</v>
      </c>
      <c r="E467" s="543"/>
      <c r="F467" s="593"/>
      <c r="G467" s="336"/>
    </row>
    <row r="468" spans="1:7" ht="21" customHeight="1" x14ac:dyDescent="0.25">
      <c r="A468" s="798" t="s">
        <v>3380</v>
      </c>
    </row>
    <row r="469" spans="1:7" ht="21" customHeight="1" x14ac:dyDescent="0.25">
      <c r="A469" s="1218"/>
      <c r="B469" s="228" t="s">
        <v>497</v>
      </c>
      <c r="C469" s="250">
        <f ca="1">SUMIFS(INDIRECT("Report!F100:F10000"),INDIRECT("Report!B100:B10000"),B469,INDIRECT("report!H100:H10000"),"Goss",INDIRECT("Report!L100:L10000"),"22,5")</f>
        <v>15862000.000000002</v>
      </c>
      <c r="D469" s="236">
        <f ca="1">(C469/11*10)</f>
        <v>14420000.000000002</v>
      </c>
      <c r="E469" s="250">
        <f ca="1">SUMIFS(INDIRECT("Report!J100:J10000"),INDIRECT("Report!B100:B10000"),B469,INDIRECT("report!H100:H10000"),"Goss",INDIRECT("Report!L100:L10000"),"22,5")</f>
        <v>6652002</v>
      </c>
      <c r="F469" s="595">
        <f ca="1">E469/D469</f>
        <v>0.46130388349514556</v>
      </c>
    </row>
    <row r="470" spans="1:7" ht="21" customHeight="1" x14ac:dyDescent="0.25">
      <c r="A470" s="1218"/>
      <c r="B470" s="1214" t="s">
        <v>3577</v>
      </c>
      <c r="C470" s="1215">
        <f ca="1">SUM(C469)</f>
        <v>15862000.000000002</v>
      </c>
      <c r="D470" s="1215">
        <f ca="1">SUM(D469)</f>
        <v>14420000.000000002</v>
      </c>
      <c r="E470" s="1215">
        <f ca="1">SUM(E467:E469)</f>
        <v>6652002</v>
      </c>
      <c r="F470" s="1217">
        <f ca="1">E470/D470</f>
        <v>0.46130388349514556</v>
      </c>
      <c r="G470" s="1216"/>
    </row>
    <row r="471" spans="1:7" ht="21" customHeight="1" x14ac:dyDescent="0.25">
      <c r="A471" s="1218"/>
      <c r="B471" s="228" t="s">
        <v>3575</v>
      </c>
      <c r="C471" s="250">
        <f ca="1">SUMIFS(INDIRECT("Report!F100:F10000"),INDIRECT("Report!B100:B10000"),B471,INDIRECT("report!H100:H10000"),"Goss",INDIRECT("Report!L100:L10000"),"22,5")</f>
        <v>28050000.000000004</v>
      </c>
      <c r="D471" s="236">
        <f ca="1">(C471/11*10)</f>
        <v>25500000.000000004</v>
      </c>
      <c r="E471" s="250">
        <f ca="1">SUMIFS(INDIRECT("Report!J100:J10000"),INDIRECT("Report!B100:B10000"),B471,INDIRECT("report!H100:H10000"),"Goss",INDIRECT("Report!L100:L10000"),"22,5")</f>
        <v>0</v>
      </c>
    </row>
    <row r="472" spans="1:7" ht="21" customHeight="1" x14ac:dyDescent="0.25">
      <c r="A472" s="293"/>
      <c r="B472" s="277" t="s">
        <v>3579</v>
      </c>
      <c r="C472" s="543">
        <f ca="1">SUM(C469:C471)</f>
        <v>59774000.000000007</v>
      </c>
      <c r="D472" s="543">
        <f ca="1">SUM(D469:D471)</f>
        <v>54340000.000000007</v>
      </c>
      <c r="E472" s="543"/>
      <c r="F472" s="593"/>
      <c r="G472" s="336"/>
    </row>
    <row r="473" spans="1:7" ht="21" customHeight="1" x14ac:dyDescent="0.25">
      <c r="A473" s="798" t="s">
        <v>3416</v>
      </c>
    </row>
    <row r="474" spans="1:7" ht="21" customHeight="1" x14ac:dyDescent="0.25">
      <c r="A474" s="1218"/>
      <c r="B474" s="228" t="s">
        <v>497</v>
      </c>
      <c r="C474" s="250">
        <f ca="1">SUMIFS(INDIRECT("Report!F100:F10000"),INDIRECT("Report!B100:B10000"),B474,INDIRECT("report!H100:H10000"),"Goss",INDIRECT("Report!L100:L10000"),"22,6")</f>
        <v>10296000</v>
      </c>
      <c r="D474" s="236">
        <f ca="1">(C474/11*10)</f>
        <v>9360000</v>
      </c>
      <c r="E474" s="250">
        <f ca="1">SUMIFS(INDIRECT("Report!J100:J10000"),INDIRECT("Report!B100:B10000"),B474,INDIRECT("report!H100:H10000"),"Goss",INDIRECT("Report!L100:L10000"),"22,6")</f>
        <v>3067692</v>
      </c>
      <c r="F474" s="595">
        <f ca="1">E474/D474</f>
        <v>0.32774487179487177</v>
      </c>
    </row>
    <row r="475" spans="1:7" ht="21" customHeight="1" x14ac:dyDescent="0.25">
      <c r="A475" s="1218"/>
      <c r="B475" s="228" t="s">
        <v>2261</v>
      </c>
      <c r="C475" s="250">
        <f ca="1">SUMIFS(INDIRECT("Report!F100:F10000"),INDIRECT("Report!B100:B10000"),B475,INDIRECT("report!H100:H10000"),"Goss",INDIRECT("Report!L100:L10000"),"22,6")</f>
        <v>8057500.0000000009</v>
      </c>
      <c r="D475" s="236">
        <f ca="1">(C475/11*10)</f>
        <v>7325000.0000000009</v>
      </c>
      <c r="E475" s="250">
        <f ca="1">SUMIFS(INDIRECT("Report!J100:J10000"),INDIRECT("Report!B100:B10000"),B475,INDIRECT("report!H100:H10000"),"Goss",INDIRECT("Report!L100:L10000"),"22,6")</f>
        <v>2584053</v>
      </c>
      <c r="F475" s="595">
        <f ca="1">E475/D475</f>
        <v>0.35277174061433442</v>
      </c>
    </row>
    <row r="476" spans="1:7" ht="21" customHeight="1" x14ac:dyDescent="0.25">
      <c r="A476" s="1218"/>
      <c r="B476" s="228" t="s">
        <v>443</v>
      </c>
      <c r="C476" s="250">
        <f ca="1">SUMIFS(INDIRECT("Report!F100:F10000"),INDIRECT("Report!B100:B10000"),B476,INDIRECT("report!H100:H10000"),"Goss",INDIRECT("Report!L100:L10000"),"22,6")</f>
        <v>9394000</v>
      </c>
      <c r="D476" s="236">
        <f ca="1">(C476/11*10)</f>
        <v>8540000</v>
      </c>
      <c r="E476" s="250">
        <f ca="1">SUMIFS(INDIRECT("Report!J100:J10000"),INDIRECT("Report!B100:B10000"),B476,INDIRECT("report!H100:H10000"),"Goss",INDIRECT("Report!L100:L10000"),"22,6")</f>
        <v>2927207</v>
      </c>
      <c r="F476" s="595">
        <f ca="1">E476/D476</f>
        <v>0.34276428571428569</v>
      </c>
    </row>
    <row r="477" spans="1:7" ht="21" customHeight="1" x14ac:dyDescent="0.25">
      <c r="A477" s="293"/>
      <c r="B477" s="277" t="s">
        <v>3447</v>
      </c>
      <c r="C477" s="543">
        <f ca="1">SUM(C474:C476)</f>
        <v>27747500</v>
      </c>
      <c r="D477" s="543">
        <f ca="1">SUM(D474:D476)</f>
        <v>25225000</v>
      </c>
      <c r="E477" s="543">
        <f ca="1">SUM(E474:E476)</f>
        <v>8578952</v>
      </c>
      <c r="F477" s="593">
        <f ca="1">E477/D477</f>
        <v>0.34009720515361747</v>
      </c>
      <c r="G477" s="336"/>
    </row>
    <row r="478" spans="1:7" ht="21" customHeight="1" x14ac:dyDescent="0.25">
      <c r="A478" s="798" t="s">
        <v>3429</v>
      </c>
    </row>
    <row r="479" spans="1:7" ht="21" customHeight="1" x14ac:dyDescent="0.25">
      <c r="A479" s="1218"/>
      <c r="B479" s="228" t="s">
        <v>443</v>
      </c>
      <c r="C479" s="250">
        <f ca="1">SUMIFS(INDIRECT("Report!F100:F10000"),INDIRECT("Report!B100:B10000"),B479,INDIRECT("report!H100:H10000"),"Goss",INDIRECT("Report!L100:L10000"),"22,7")</f>
        <v>1045000.0000000001</v>
      </c>
      <c r="D479" s="236">
        <f ca="1">(C479/11*10)</f>
        <v>950000.00000000012</v>
      </c>
      <c r="E479" s="250">
        <f ca="1">SUMIFS(INDIRECT("Report!J100:J10000"),INDIRECT("Report!B100:B10000"),B479,INDIRECT("report!H100:H10000"),"Goss",INDIRECT("Report!L100:L10000"),"22,7")</f>
        <v>125000</v>
      </c>
      <c r="F479" s="595">
        <f ca="1">E479/D479</f>
        <v>0.13157894736842105</v>
      </c>
    </row>
    <row r="480" spans="1:7" ht="21" customHeight="1" x14ac:dyDescent="0.25">
      <c r="A480" s="1218"/>
      <c r="B480" s="1214" t="s">
        <v>3577</v>
      </c>
      <c r="C480" s="1215">
        <f ca="1">SUM(C479)</f>
        <v>1045000.0000000001</v>
      </c>
      <c r="D480" s="1215">
        <f ca="1">SUM(D479)</f>
        <v>950000.00000000012</v>
      </c>
      <c r="E480" s="1215">
        <f ca="1">SUM(E479)</f>
        <v>125000</v>
      </c>
      <c r="F480" s="1217">
        <f ca="1">E480/D480</f>
        <v>0.13157894736842105</v>
      </c>
      <c r="G480" s="1216"/>
    </row>
    <row r="481" spans="1:7" ht="21" customHeight="1" x14ac:dyDescent="0.25">
      <c r="A481" s="1218"/>
      <c r="B481" s="228" t="s">
        <v>3576</v>
      </c>
      <c r="C481" s="250">
        <f ca="1">SUMIFS(INDIRECT("Report!F100:F10000"),INDIRECT("Report!B100:B10000"),B481,INDIRECT("report!H100:H10000"),"Goss",INDIRECT("Report!L100:L10000"),"22,7")</f>
        <v>35200000</v>
      </c>
      <c r="D481" s="236">
        <f ca="1">(C481/11*10)</f>
        <v>32000000</v>
      </c>
      <c r="E481" s="250">
        <f ca="1">SUMIFS(INDIRECT("Report!J100:J10000"),INDIRECT("Report!B100:B10000"),B481,INDIRECT("report!H100:H10000"),"Goss",INDIRECT("Report!L100:L10000"),"22,4")</f>
        <v>0</v>
      </c>
      <c r="F481" s="595">
        <f ca="1">E481/D481</f>
        <v>0</v>
      </c>
    </row>
    <row r="482" spans="1:7" ht="21" customHeight="1" x14ac:dyDescent="0.25">
      <c r="A482" s="293"/>
      <c r="B482" s="277" t="s">
        <v>3448</v>
      </c>
      <c r="C482" s="543">
        <f ca="1">SUM(C479:C479)</f>
        <v>1045000.0000000001</v>
      </c>
      <c r="D482" s="543">
        <f ca="1">SUM(D479:D479)</f>
        <v>950000.00000000012</v>
      </c>
      <c r="E482" s="543">
        <f ca="1">SUM(E479:E479)</f>
        <v>125000</v>
      </c>
      <c r="F482" s="593">
        <f ca="1">E482/D482</f>
        <v>0.13157894736842105</v>
      </c>
      <c r="G482" s="336"/>
    </row>
    <row r="483" spans="1:7" ht="21" customHeight="1" x14ac:dyDescent="0.25">
      <c r="A483" s="798" t="s">
        <v>3456</v>
      </c>
    </row>
    <row r="484" spans="1:7" ht="21" customHeight="1" x14ac:dyDescent="0.25">
      <c r="A484" s="1218"/>
      <c r="B484" s="228" t="s">
        <v>497</v>
      </c>
      <c r="C484" s="250">
        <f ca="1">SUMIFS(INDIRECT("Report!F100:F10000"),INDIRECT("Report!B100:B10000"),B484,INDIRECT("report!H100:H10000"),"Goss",INDIRECT("Report!L100:L10000"),"22,8")</f>
        <v>5538500.0000000009</v>
      </c>
      <c r="D484" s="236">
        <f ca="1">(C484/11*10)</f>
        <v>5035000.0000000009</v>
      </c>
      <c r="E484" s="250">
        <f ca="1">SUMIFS(INDIRECT("Report!J100:J10000"),INDIRECT("Report!B100:B10000"),B484,INDIRECT("report!H100:H10000"),"Goss",INDIRECT("Report!L100:L10000"),"22,8")</f>
        <v>4228638</v>
      </c>
      <c r="F484" s="595">
        <f ca="1">E484/D484</f>
        <v>0.83984865938430964</v>
      </c>
    </row>
    <row r="485" spans="1:7" ht="21" customHeight="1" x14ac:dyDescent="0.25">
      <c r="A485" s="1218"/>
      <c r="B485" s="228" t="s">
        <v>3041</v>
      </c>
      <c r="C485" s="250">
        <f ca="1">SUMIFS(INDIRECT("Report!F100:F10000"),INDIRECT("Report!B100:B10000"),B485,INDIRECT("report!H100:H10000"),"Goss",INDIRECT("Report!L100:L10000"),"22,8")</f>
        <v>17050000</v>
      </c>
      <c r="D485" s="236">
        <f ca="1">(C485/11*10)</f>
        <v>15500000</v>
      </c>
      <c r="E485" s="250">
        <f ca="1">SUMIFS(INDIRECT("Report!J100:J10000"),INDIRECT("Report!B100:B10000"),B485,INDIRECT("report!H100:H10000"),"Goss",INDIRECT("Report!L100:L10000"),"22,8")</f>
        <v>6761650</v>
      </c>
      <c r="F485" s="595">
        <f ca="1">E485/D485</f>
        <v>0.43623548387096772</v>
      </c>
    </row>
    <row r="486" spans="1:7" ht="21" customHeight="1" x14ac:dyDescent="0.25">
      <c r="A486" s="1218"/>
      <c r="B486" s="228" t="s">
        <v>2484</v>
      </c>
      <c r="C486" s="250">
        <f ca="1">SUMIFS(INDIRECT("Report!F100:F10000"),INDIRECT("Report!B100:B10000"),B486,INDIRECT("report!H100:H10000"),"Goss",INDIRECT("Report!L100:L10000"),"22,8")</f>
        <v>1210000</v>
      </c>
      <c r="D486" s="236">
        <f ca="1">(C486/11*10)</f>
        <v>1100000</v>
      </c>
      <c r="E486" s="250">
        <f ca="1">SUMIFS(INDIRECT("Report!J100:J10000"),INDIRECT("Report!B100:B10000"),B486,INDIRECT("report!H100:H10000"),"Goss",INDIRECT("Report!L100:L10000"),"22,8")</f>
        <v>88500</v>
      </c>
      <c r="F486" s="595">
        <f ca="1">E486/D486</f>
        <v>8.0454545454545459E-2</v>
      </c>
    </row>
    <row r="487" spans="1:7" ht="21" customHeight="1" x14ac:dyDescent="0.25">
      <c r="A487" s="1218"/>
      <c r="B487" s="228" t="s">
        <v>443</v>
      </c>
      <c r="C487" s="250">
        <f ca="1">SUMIFS(INDIRECT("Report!F100:F10000"),INDIRECT("Report!B100:B10000"),B487,INDIRECT("report!H100:H10000"),"Goss",INDIRECT("Report!L100:L10000"),"22,8")</f>
        <v>13145000.000000002</v>
      </c>
      <c r="D487" s="236">
        <f ca="1">(C487/11*10)</f>
        <v>11950000.000000002</v>
      </c>
      <c r="E487" s="250">
        <f ca="1">SUMIFS(INDIRECT("Report!J100:J10000"),INDIRECT("Report!B100:B10000"),B487,INDIRECT("report!H100:H10000"),"Goss",INDIRECT("Report!L100:L10000"),"22,8")</f>
        <v>2054970</v>
      </c>
      <c r="F487" s="595">
        <f ca="1">E487/D487</f>
        <v>0.17196401673640166</v>
      </c>
    </row>
    <row r="488" spans="1:7" ht="21" customHeight="1" x14ac:dyDescent="0.25">
      <c r="A488" s="293"/>
      <c r="B488" s="277" t="s">
        <v>3465</v>
      </c>
      <c r="C488" s="543">
        <f ca="1">SUM(C484:C487)</f>
        <v>36943500</v>
      </c>
      <c r="D488" s="543">
        <f ca="1">SUM(D484:D487)</f>
        <v>33585000</v>
      </c>
      <c r="E488" s="543">
        <f ca="1">SUM(E484:E487)</f>
        <v>13133758</v>
      </c>
      <c r="F488" s="593">
        <f ca="1">E488/D488</f>
        <v>0.39106023522405836</v>
      </c>
      <c r="G488" s="336"/>
    </row>
    <row r="489" spans="1:7" ht="21" customHeight="1" x14ac:dyDescent="0.25">
      <c r="A489" s="798" t="s">
        <v>3470</v>
      </c>
    </row>
    <row r="490" spans="1:7" ht="21" customHeight="1" x14ac:dyDescent="0.25">
      <c r="A490" s="1218"/>
      <c r="B490" s="228" t="s">
        <v>1830</v>
      </c>
      <c r="C490" s="250">
        <f ca="1">SUMIFS(INDIRECT("Report!F100:F10000"),INDIRECT("Report!B100:B10000"),B490,INDIRECT("report!H100:H10000"),"Goss",INDIRECT("Report!L100:L10000"),"22,9")</f>
        <v>990000.00000000012</v>
      </c>
      <c r="D490" s="236">
        <f ca="1">(C490/11*10)</f>
        <v>900000.00000000012</v>
      </c>
      <c r="E490" s="250">
        <f ca="1">SUMIFS(INDIRECT("Report!J100:J10000"),INDIRECT("Report!B100:B10000"),B490,INDIRECT("report!H100:H10000"),"Goss",INDIRECT("Report!L100:L10000"),"22,9")</f>
        <v>165149</v>
      </c>
      <c r="F490" s="595">
        <f ca="1">E490/D490</f>
        <v>0.18349888888888888</v>
      </c>
    </row>
    <row r="491" spans="1:7" ht="21" customHeight="1" x14ac:dyDescent="0.25">
      <c r="A491" s="1218"/>
      <c r="B491" s="228" t="s">
        <v>3041</v>
      </c>
      <c r="C491" s="250">
        <f ca="1">SUMIFS(INDIRECT("Report!F100:F10000"),INDIRECT("Report!B100:B10000"),B491,INDIRECT("report!H100:H10000"),"Goss",INDIRECT("Report!L100:L10000"),"22,9")</f>
        <v>660000</v>
      </c>
      <c r="D491" s="236">
        <f ca="1">(C491/11*10)</f>
        <v>600000</v>
      </c>
      <c r="E491" s="250">
        <f ca="1">SUMIFS(INDIRECT("Report!J100:J10000"),INDIRECT("Report!B100:B10000"),B491,INDIRECT("report!H100:H10000"),"Goss",INDIRECT("Report!L100:L10000"),"22,9")</f>
        <v>120000</v>
      </c>
      <c r="F491" s="595">
        <f ca="1">E491/D491</f>
        <v>0.2</v>
      </c>
    </row>
    <row r="492" spans="1:7" ht="21" customHeight="1" x14ac:dyDescent="0.25">
      <c r="A492" s="1218"/>
      <c r="B492" s="228" t="s">
        <v>610</v>
      </c>
      <c r="C492" s="250">
        <f ca="1">SUMIFS(INDIRECT("Report!F100:F10000"),INDIRECT("Report!B100:B10000"),B492,INDIRECT("report!H100:H10000"),"Goss",INDIRECT("Report!L100:L10000"),"22,9")</f>
        <v>4521000</v>
      </c>
      <c r="D492" s="236">
        <f ca="1">(C492/11*10)</f>
        <v>4110000</v>
      </c>
      <c r="E492" s="250">
        <f ca="1">SUMIFS(INDIRECT("Report!J100:J10000"),INDIRECT("Report!B100:B10000"),B492,INDIRECT("report!H100:H10000"),"Goss",INDIRECT("Report!L100:L10000"),"22,9")</f>
        <v>1000000</v>
      </c>
      <c r="F492" s="595">
        <f ca="1">E492/D492</f>
        <v>0.24330900243309003</v>
      </c>
    </row>
    <row r="493" spans="1:7" ht="21" customHeight="1" x14ac:dyDescent="0.25">
      <c r="A493" s="1218"/>
      <c r="B493" s="1214" t="s">
        <v>3577</v>
      </c>
      <c r="C493" s="1215">
        <f ca="1">SUM(C490:C492)</f>
        <v>6171000</v>
      </c>
      <c r="D493" s="1215">
        <f ca="1">SUM(D490:D492)</f>
        <v>5610000</v>
      </c>
      <c r="E493" s="1215">
        <f ca="1">SUM(E490:E492)</f>
        <v>1285149</v>
      </c>
      <c r="F493" s="1217">
        <f ca="1">E493/D493</f>
        <v>0.22908181818181819</v>
      </c>
      <c r="G493" s="1216"/>
    </row>
    <row r="494" spans="1:7" ht="21" customHeight="1" x14ac:dyDescent="0.25">
      <c r="A494" s="1218"/>
      <c r="B494" s="228" t="s">
        <v>3580</v>
      </c>
      <c r="C494" s="250">
        <f ca="1">SUMIFS(INDIRECT("Report!F100:F10000"),INDIRECT("Report!B100:B10000"),B494,INDIRECT("report!H100:H10000"),"Goss",INDIRECT("Report!L100:L10000"),"22,9")</f>
        <v>66000000</v>
      </c>
      <c r="D494" s="236">
        <f ca="1">(C494/11*10)</f>
        <v>60000000</v>
      </c>
      <c r="E494" s="250">
        <f ca="1">SUMIFS(INDIRECT("Report!J100:J10000"),INDIRECT("Report!B100:B10000"),B494,INDIRECT("report!H100:H10000"),"Goss",INDIRECT("Report!L100:L10000"),"22,9")</f>
        <v>0</v>
      </c>
    </row>
    <row r="495" spans="1:7" ht="21" customHeight="1" x14ac:dyDescent="0.25">
      <c r="A495" s="1218"/>
      <c r="B495" s="228" t="s">
        <v>3581</v>
      </c>
      <c r="C495" s="250">
        <f ca="1">SUMIFS(INDIRECT("Report!F100:F10000"),INDIRECT("Report!B100:B10000"),B495,INDIRECT("report!H100:H10000"),"Goss",INDIRECT("Report!L100:L10000"),"22,9")</f>
        <v>53130000.000000007</v>
      </c>
      <c r="D495" s="236">
        <f ca="1">(C495/11*10)</f>
        <v>48300000.000000007</v>
      </c>
      <c r="E495" s="250">
        <f ca="1">SUMIFS(INDIRECT("Report!J100:J10000"),INDIRECT("Report!B100:B10000"),B495,INDIRECT("report!H100:H10000"),"Goss",INDIRECT("Report!L100:L10000"),"22,9")</f>
        <v>0</v>
      </c>
    </row>
    <row r="496" spans="1:7" ht="21" customHeight="1" x14ac:dyDescent="0.25">
      <c r="A496" s="293"/>
      <c r="B496" s="277" t="s">
        <v>3582</v>
      </c>
      <c r="C496" s="543">
        <f ca="1">SUM(C490:C492)+SUM(C494:C495)</f>
        <v>125301000</v>
      </c>
      <c r="D496" s="543">
        <f ca="1">SUM(D490:D492)+SUM(D494:D495)</f>
        <v>113910000</v>
      </c>
      <c r="E496" s="543"/>
      <c r="F496" s="593"/>
      <c r="G496" s="336"/>
    </row>
    <row r="497" spans="1:7" ht="21" customHeight="1" x14ac:dyDescent="0.25">
      <c r="A497" s="798" t="s">
        <v>3494</v>
      </c>
    </row>
    <row r="498" spans="1:7" ht="21" customHeight="1" x14ac:dyDescent="0.25">
      <c r="A498" s="1218"/>
      <c r="B498" s="228" t="s">
        <v>3041</v>
      </c>
      <c r="C498" s="250">
        <f ca="1">SUMIFS(INDIRECT("Report!F100:F10000"),INDIRECT("Report!B100:B10000"),B498,INDIRECT("report!H100:H10000"),"Goss",INDIRECT("Report!L100:L10000"),"22,10")</f>
        <v>4023000.3000000003</v>
      </c>
      <c r="D498" s="236">
        <f ca="1">(C498/11*10)</f>
        <v>3657273.0000000005</v>
      </c>
      <c r="E498" s="250">
        <f ca="1">SUMIFS(INDIRECT("Report!J100:J10000"),INDIRECT("Report!B100:B10000"),B498,INDIRECT("report!H100:H10000"),"Goss",INDIRECT("Report!L100:L10000"),"22,10")</f>
        <v>257273</v>
      </c>
      <c r="F498" s="595">
        <f t="shared" ref="F498:F503" ca="1" si="57">E498/D498</f>
        <v>7.0345582623993333E-2</v>
      </c>
    </row>
    <row r="499" spans="1:7" ht="21" customHeight="1" x14ac:dyDescent="0.25">
      <c r="A499" s="1218"/>
      <c r="B499" s="228" t="s">
        <v>2352</v>
      </c>
      <c r="C499" s="250">
        <f ca="1">SUMIFS(INDIRECT("Report!F100:F10000"),INDIRECT("Report!B100:B10000"),B499,INDIRECT("report!H100:H10000"),"Goss",INDIRECT("Report!L100:L10000"),"22,10")</f>
        <v>2838000</v>
      </c>
      <c r="D499" s="236">
        <f ca="1">(C499/11*10)</f>
        <v>2580000</v>
      </c>
      <c r="E499" s="250">
        <f ca="1">SUMIFS(INDIRECT("Report!J100:J10000"),INDIRECT("Report!B100:B10000"),B499,INDIRECT("report!H100:H10000"),"Goss",INDIRECT("Report!L100:L10000"),"22,10")</f>
        <v>1085778</v>
      </c>
      <c r="F499" s="595">
        <f t="shared" ca="1" si="57"/>
        <v>0.42084418604651164</v>
      </c>
    </row>
    <row r="500" spans="1:7" ht="21" customHeight="1" x14ac:dyDescent="0.25">
      <c r="A500" s="1218"/>
      <c r="B500" s="228" t="s">
        <v>2925</v>
      </c>
      <c r="C500" s="250">
        <f ca="1">SUMIFS(INDIRECT("Report!F100:F10000"),INDIRECT("Report!B100:B10000"),B500,INDIRECT("report!H100:H10000"),"Goss",INDIRECT("Report!L100:L10000"),"22,10")</f>
        <v>12347500</v>
      </c>
      <c r="D500" s="236">
        <f ca="1">(C500/11*10)</f>
        <v>11225000</v>
      </c>
      <c r="E500" s="250">
        <f ca="1">SUMIFS(INDIRECT("Report!J100:J10000"),INDIRECT("Report!B100:B10000"),B500,INDIRECT("report!H100:H10000"),"Goss",INDIRECT("Report!L100:L10000"),"22,10")</f>
        <v>3082070</v>
      </c>
      <c r="F500" s="595">
        <f t="shared" ca="1" si="57"/>
        <v>0.27457193763919824</v>
      </c>
    </row>
    <row r="501" spans="1:7" ht="21" customHeight="1" x14ac:dyDescent="0.25">
      <c r="A501" s="1218"/>
      <c r="B501" s="228" t="s">
        <v>770</v>
      </c>
      <c r="C501" s="250">
        <f ca="1">SUMIFS(INDIRECT("Report!F100:F10000"),INDIRECT("Report!B100:B10000"),B501,INDIRECT("report!H100:H10000"),"Goss",INDIRECT("Report!L100:L10000"),"22,10")</f>
        <v>12650000.000000002</v>
      </c>
      <c r="D501" s="236">
        <f ca="1">(C501/11*10)</f>
        <v>11500000.000000002</v>
      </c>
      <c r="E501" s="250">
        <f ca="1">SUMIFS(INDIRECT("Report!J100:J10000"),INDIRECT("Report!B100:B10000"),B501,INDIRECT("report!H100:H10000"),"Goss",INDIRECT("Report!L100:L10000"),"22,10")</f>
        <v>3193426</v>
      </c>
      <c r="F501" s="595">
        <f t="shared" ca="1" si="57"/>
        <v>0.27768921739130431</v>
      </c>
    </row>
    <row r="502" spans="1:7" ht="21" customHeight="1" x14ac:dyDescent="0.25">
      <c r="A502" s="1218"/>
      <c r="B502" s="1214" t="s">
        <v>3577</v>
      </c>
      <c r="C502" s="1215">
        <f ca="1">SUM(C498:C501)</f>
        <v>31858500.300000004</v>
      </c>
      <c r="D502" s="1215">
        <f ca="1">SUM(D498:D501)</f>
        <v>28962273</v>
      </c>
      <c r="E502" s="1215">
        <f ca="1">SUM(E498:E501)</f>
        <v>7618547</v>
      </c>
      <c r="F502" s="1217">
        <f t="shared" ca="1" si="57"/>
        <v>0.26305072809720426</v>
      </c>
      <c r="G502" s="1216"/>
    </row>
    <row r="503" spans="1:7" ht="21" customHeight="1" x14ac:dyDescent="0.25">
      <c r="A503" s="1218"/>
      <c r="B503" s="228" t="s">
        <v>3576</v>
      </c>
      <c r="C503" s="250">
        <f ca="1">SUMIFS(INDIRECT("Report!F100:F10000"),INDIRECT("Report!B100:B10000"),B503,INDIRECT("report!H100:H10000"),"Goss",INDIRECT("Report!L100:L10000"),"22,10")</f>
        <v>79200000</v>
      </c>
      <c r="D503" s="236">
        <f ca="1">(C503/11*10)</f>
        <v>72000000</v>
      </c>
      <c r="E503" s="250">
        <f ca="1">SUMIFS(INDIRECT("Report!J100:J10000"),INDIRECT("Report!B100:B10000"),B503,INDIRECT("report!H100:H10000"),"Goss",INDIRECT("Report!L100:L10000"),"22,10")</f>
        <v>0</v>
      </c>
      <c r="F503" s="595">
        <f t="shared" ca="1" si="57"/>
        <v>0</v>
      </c>
    </row>
    <row r="504" spans="1:7" ht="21" customHeight="1" x14ac:dyDescent="0.25">
      <c r="A504" s="293"/>
      <c r="B504" s="277" t="s">
        <v>3586</v>
      </c>
      <c r="C504" s="543">
        <f ca="1">SUM(C498:C501)+SUM(C503)</f>
        <v>111058500.30000001</v>
      </c>
      <c r="D504" s="543">
        <f ca="1">SUM(D498:D501)+SUM(D503)</f>
        <v>100962273</v>
      </c>
      <c r="E504" s="543"/>
      <c r="F504" s="593"/>
      <c r="G504" s="336"/>
    </row>
    <row r="505" spans="1:7" ht="21" customHeight="1" x14ac:dyDescent="0.25">
      <c r="A505" s="798" t="s">
        <v>3587</v>
      </c>
    </row>
    <row r="506" spans="1:7" ht="21" customHeight="1" x14ac:dyDescent="0.25">
      <c r="A506" s="1218"/>
      <c r="B506" s="228" t="s">
        <v>446</v>
      </c>
      <c r="C506" s="536">
        <f ca="1">SUMIFS(INDIRECT("Report!F100:F10000"),INDIRECT("Report!B100:B10000"),B506,INDIRECT("report!H100:H10000"),"Goss",INDIRECT("Report!L100:L10000"),"22,11")</f>
        <v>2915000</v>
      </c>
      <c r="D506" s="236">
        <f ca="1">(C506/11*10)</f>
        <v>2650000</v>
      </c>
      <c r="E506" s="536">
        <f ca="1">SUMIFS(INDIRECT("Report!J100:J10000"),INDIRECT("Report!B100:B10000"),B506,INDIRECT("report!H100:H10000"),"Goss",INDIRECT("Report!L100:L10000"),"22,11")</f>
        <v>0</v>
      </c>
      <c r="F506" s="595">
        <f ca="1">E506/D506</f>
        <v>0</v>
      </c>
    </row>
    <row r="507" spans="1:7" ht="21" customHeight="1" x14ac:dyDescent="0.25">
      <c r="A507" s="1218"/>
      <c r="B507" s="228" t="s">
        <v>2352</v>
      </c>
      <c r="C507" s="536">
        <f ca="1">SUMIFS(INDIRECT("Report!F100:F10000"),INDIRECT("Report!B100:B10000"),B507,INDIRECT("report!H100:H10000"),"Goss",INDIRECT("Report!L100:L10000"),"22,11")</f>
        <v>528000</v>
      </c>
      <c r="D507" s="236">
        <f ca="1">(C507/11*10)</f>
        <v>480000</v>
      </c>
      <c r="E507" s="536">
        <f ca="1">SUMIFS(INDIRECT("Report!J100:J10000"),INDIRECT("Report!B100:B10000"),B507,INDIRECT("report!H100:H10000"),"Goss",INDIRECT("Report!L100:L10000"),"22,11")</f>
        <v>0</v>
      </c>
      <c r="F507" s="595">
        <f ca="1">E507/D507</f>
        <v>0</v>
      </c>
    </row>
    <row r="508" spans="1:7" ht="21" customHeight="1" x14ac:dyDescent="0.25">
      <c r="A508" s="1218"/>
      <c r="B508" s="228" t="s">
        <v>443</v>
      </c>
      <c r="C508" s="536">
        <f ca="1">SUMIFS(INDIRECT("Report!F100:F10000"),INDIRECT("Report!B100:B10000"),B508,INDIRECT("report!H100:H10000"),"Goss",INDIRECT("Report!L100:L10000"),"22,11")</f>
        <v>2970000.0000000005</v>
      </c>
      <c r="D508" s="236">
        <f ca="1">(C508/11*10)</f>
        <v>2700000.0000000005</v>
      </c>
      <c r="E508" s="536">
        <f ca="1">SUMIFS(INDIRECT("Report!J100:J10000"),INDIRECT("Report!B100:B10000"),B508,INDIRECT("report!H100:H10000"),"Goss",INDIRECT("Report!L100:L10000"),"22,11")</f>
        <v>1198500</v>
      </c>
      <c r="F508" s="595">
        <f ca="1">E508/D508</f>
        <v>0.44388888888888883</v>
      </c>
    </row>
    <row r="509" spans="1:7" ht="21" customHeight="1" x14ac:dyDescent="0.25">
      <c r="A509" s="1218"/>
      <c r="B509" s="1214" t="s">
        <v>3619</v>
      </c>
      <c r="C509" s="1220">
        <f ca="1">SUM(C506:C508)</f>
        <v>6413000</v>
      </c>
      <c r="D509" s="1220">
        <f ca="1">SUM(D506:D508)</f>
        <v>5830000</v>
      </c>
      <c r="E509" s="1220">
        <f ca="1">SUM(E506:E508)</f>
        <v>1198500</v>
      </c>
      <c r="F509" s="1217">
        <f ca="1">E509/D509</f>
        <v>0.2055746140651801</v>
      </c>
      <c r="G509" s="1216"/>
    </row>
    <row r="510" spans="1:7" ht="21" customHeight="1" x14ac:dyDescent="0.25">
      <c r="A510" s="1218"/>
      <c r="B510" s="228" t="s">
        <v>3575</v>
      </c>
      <c r="C510" s="536">
        <f ca="1">SUMIFS(INDIRECT("Report!F100:F10000"),INDIRECT("Report!B100:B10000"),B510,INDIRECT("report!H100:H10000"),"Goss",INDIRECT("Report!L100:L10000"),"22,11")</f>
        <v>65450000.000000007</v>
      </c>
      <c r="D510" s="236">
        <f ca="1">(C510/11*10)</f>
        <v>59500000.000000007</v>
      </c>
      <c r="E510" s="536">
        <f ca="1">SUMIFS(INDIRECT("Report!J100:J10000"),INDIRECT("Report!B100:B10000"),B510,INDIRECT("report!H100:H10000"),"Goss",INDIRECT("Report!L100:L10000"),"22,11")</f>
        <v>0</v>
      </c>
      <c r="F510" s="595">
        <f ca="1">E510/D510</f>
        <v>0</v>
      </c>
    </row>
    <row r="511" spans="1:7" ht="21" customHeight="1" x14ac:dyDescent="0.25">
      <c r="A511" s="1218"/>
      <c r="B511" s="228" t="s">
        <v>3620</v>
      </c>
      <c r="C511" s="536">
        <f ca="1">SUMIFS(INDIRECT("Report!F100:F10000"),INDIRECT("Report!B100:B10000"),B511,INDIRECT("report!H100:H10000"),"Goss",INDIRECT("Report!L100:L10000"),"22,11")</f>
        <v>57200000.000000007</v>
      </c>
      <c r="D511" s="236">
        <f ca="1">(C511/11*10)</f>
        <v>52000000.000000007</v>
      </c>
      <c r="E511" s="536">
        <f ca="1">SUMIFS(INDIRECT("Report!J100:J10000"),INDIRECT("Report!B100:B10000"),B511,INDIRECT("report!H100:H10000"),"Goss",INDIRECT("Report!L100:L10000"),"22,11")</f>
        <v>0</v>
      </c>
    </row>
    <row r="512" spans="1:7" ht="21" customHeight="1" x14ac:dyDescent="0.25">
      <c r="A512" s="1218"/>
      <c r="B512" s="228" t="s">
        <v>3581</v>
      </c>
      <c r="C512" s="536">
        <f ca="1">SUMIFS(INDIRECT("Report!F100:F10000"),INDIRECT("Report!B100:B10000"),B512,INDIRECT("report!H100:H10000"),"Goss",INDIRECT("Report!L100:L10000"),"22,11")</f>
        <v>32340000.000000004</v>
      </c>
      <c r="D512" s="236">
        <f ca="1">(C512/11*10)</f>
        <v>29400000.000000004</v>
      </c>
      <c r="E512" s="536">
        <f ca="1">SUMIFS(INDIRECT("Report!J100:J10000"),INDIRECT("Report!B100:B10000"),B512,INDIRECT("report!H100:H10000"),"Goss",INDIRECT("Report!L100:L10000"),"22,11")</f>
        <v>0</v>
      </c>
      <c r="F512" s="595">
        <f ca="1">E512/D512</f>
        <v>0</v>
      </c>
    </row>
    <row r="513" spans="1:10" ht="21" customHeight="1" x14ac:dyDescent="0.25">
      <c r="A513" s="293"/>
      <c r="B513" s="277" t="s">
        <v>3640</v>
      </c>
      <c r="C513" s="543">
        <f ca="1">SUM(C506:C508)+SUM(C510:C512)</f>
        <v>161403000.00000003</v>
      </c>
      <c r="D513" s="543">
        <f ca="1">SUM(D506:D508)+SUM(D510:D512)</f>
        <v>146730000.00000003</v>
      </c>
      <c r="E513" s="543"/>
      <c r="F513" s="593"/>
      <c r="G513" s="336"/>
    </row>
    <row r="514" spans="1:10" ht="21" customHeight="1" x14ac:dyDescent="0.25">
      <c r="A514" s="798" t="s">
        <v>3622</v>
      </c>
    </row>
    <row r="515" spans="1:10" ht="21" customHeight="1" x14ac:dyDescent="0.25">
      <c r="A515" s="1218"/>
      <c r="B515" s="228" t="s">
        <v>446</v>
      </c>
      <c r="C515" s="536">
        <f ca="1">SUMIFS(INDIRECT("Report!F100:F10000"),INDIRECT("Report!B100:B10000"),B515,INDIRECT("report!H100:H10000"),"Goss",INDIRECT("Report!L100:L10000"),"22,12")</f>
        <v>1628000.0000000002</v>
      </c>
      <c r="D515" s="236">
        <f ca="1">(C515/11*10)</f>
        <v>1480000.0000000002</v>
      </c>
      <c r="E515" s="536">
        <f ca="1">SUMIFS(INDIRECT("Report!J100:J10000"),INDIRECT("Report!B100:B10000"),B515,INDIRECT("report!H100:H10000"),"Goss",INDIRECT("Report!L100:L10000"),"22,12")</f>
        <v>800630</v>
      </c>
      <c r="F515" s="595">
        <f ca="1">E515/D515</f>
        <v>0.5409662162162161</v>
      </c>
    </row>
    <row r="516" spans="1:10" ht="21" customHeight="1" x14ac:dyDescent="0.25">
      <c r="A516" s="1218"/>
      <c r="B516" s="1214" t="s">
        <v>3619</v>
      </c>
      <c r="C516" s="1220">
        <f ca="1">SUM(C515:C515)</f>
        <v>1628000.0000000002</v>
      </c>
      <c r="D516" s="1220">
        <f ca="1">SUM(D515:D515)</f>
        <v>1480000.0000000002</v>
      </c>
      <c r="E516" s="1220">
        <f ca="1">SUM(E515:E515)</f>
        <v>800630</v>
      </c>
      <c r="F516" s="1217">
        <f ca="1">E516/D516</f>
        <v>0.5409662162162161</v>
      </c>
      <c r="G516" s="1216"/>
    </row>
    <row r="517" spans="1:10" ht="21" customHeight="1" x14ac:dyDescent="0.25">
      <c r="A517" s="1218"/>
      <c r="B517" s="228" t="s">
        <v>3620</v>
      </c>
      <c r="C517" s="536">
        <f ca="1">SUMIFS(INDIRECT("Report!F100:F10000"),INDIRECT("Report!B100:B10000"),B517,INDIRECT("report!H100:H10000"),"Goss",INDIRECT("Report!L100:L10000"),"22,12")</f>
        <v>122419000.00000001</v>
      </c>
      <c r="D517" s="236">
        <f ca="1">(C517/11*10)</f>
        <v>111290000.00000001</v>
      </c>
      <c r="E517" s="536">
        <f ca="1">SUMIFS(INDIRECT("Report!J100:J10000"),INDIRECT("Report!B100:B10000"),B517,INDIRECT("report!H100:H10000"),"Goss",INDIRECT("Report!L100:L10000"),"22,11")</f>
        <v>0</v>
      </c>
      <c r="J517" s="227" t="s">
        <v>3642</v>
      </c>
    </row>
    <row r="518" spans="1:10" ht="21" customHeight="1" x14ac:dyDescent="0.25">
      <c r="A518" s="1218"/>
      <c r="B518" s="228" t="s">
        <v>3581</v>
      </c>
      <c r="C518" s="536">
        <f ca="1">SUMIFS(INDIRECT("Report!F100:F10000"),INDIRECT("Report!B100:B10000"),B518,INDIRECT("report!H100:H10000"),"Goss",INDIRECT("Report!L100:L10000"),"22,12")</f>
        <v>50721000.000000007</v>
      </c>
      <c r="D518" s="236">
        <f ca="1">(C518/11*10)</f>
        <v>46110000.000000007</v>
      </c>
      <c r="E518" s="536">
        <f ca="1">SUMIFS(INDIRECT("Report!J100:J10000"),INDIRECT("Report!B100:B10000"),B518,INDIRECT("report!H100:H10000"),"Goss",INDIRECT("Report!L100:L10000"),"22,11")</f>
        <v>0</v>
      </c>
      <c r="F518" s="595">
        <f ca="1">E518/D518</f>
        <v>0</v>
      </c>
      <c r="J518" s="227" t="s">
        <v>3643</v>
      </c>
    </row>
    <row r="519" spans="1:10" ht="21" customHeight="1" x14ac:dyDescent="0.25">
      <c r="A519" s="293"/>
      <c r="B519" s="277" t="s">
        <v>3641</v>
      </c>
      <c r="C519" s="543">
        <f ca="1">SUM(C515:C515)+SUM(C517:C518)</f>
        <v>174768000.00000003</v>
      </c>
      <c r="D519" s="543">
        <f ca="1">SUM(D515:D515)+SUM(D517:D518)</f>
        <v>158880000.00000003</v>
      </c>
      <c r="E519" s="543"/>
      <c r="F519" s="593"/>
      <c r="G519" s="336"/>
    </row>
    <row r="520" spans="1:10" ht="21" customHeight="1" x14ac:dyDescent="0.25">
      <c r="A520" s="798" t="s">
        <v>3633</v>
      </c>
    </row>
    <row r="521" spans="1:10" ht="21" customHeight="1" x14ac:dyDescent="0.25">
      <c r="A521" s="1018"/>
      <c r="B521" s="228" t="s">
        <v>610</v>
      </c>
      <c r="C521" s="536">
        <f ca="1">SUMIFS(INDIRECT("Report!F100:F10000"),INDIRECT("Report!B100:B10000"),B521,INDIRECT("report!H100:H10000"),"Goss",INDIRECT("Report!L100:L10000"),"23,1")</f>
        <v>220000.00000000003</v>
      </c>
      <c r="D521" s="236">
        <f ca="1">(C521/11*10)</f>
        <v>200000.00000000003</v>
      </c>
      <c r="E521" s="536">
        <f ca="1">SUMIFS(INDIRECT("Report!J100:J10000"),INDIRECT("Report!B100:B10000"),B521,INDIRECT("report!H100:H10000"),"Goss",INDIRECT("Report!L100:L10000"),"23,1")</f>
        <v>140000</v>
      </c>
      <c r="F521" s="595">
        <f t="shared" ref="F521:F526" ca="1" si="58">E521/D521</f>
        <v>0.69999999999999984</v>
      </c>
    </row>
    <row r="522" spans="1:10" ht="21" customHeight="1" x14ac:dyDescent="0.25">
      <c r="A522" s="1018"/>
      <c r="B522" s="228" t="s">
        <v>2359</v>
      </c>
      <c r="C522" s="536">
        <f ca="1">SUMIFS(INDIRECT("Report!F100:F10000"),INDIRECT("Report!B100:B10000"),B522,INDIRECT("report!H100:H10000"),"Goss",INDIRECT("Report!L100:L10000"),"23,1")</f>
        <v>1738000</v>
      </c>
      <c r="D522" s="236">
        <f ca="1">(C522/11*10)</f>
        <v>1580000</v>
      </c>
      <c r="E522" s="536">
        <f ca="1">SUMIFS(INDIRECT("Report!J100:J10000"),INDIRECT("Report!B100:B10000"),B522,INDIRECT("report!H100:H10000"),"Goss",INDIRECT("Report!L100:L10000"),"23,1")</f>
        <v>260000</v>
      </c>
      <c r="F522" s="595">
        <f t="shared" ca="1" si="58"/>
        <v>0.16455696202531644</v>
      </c>
    </row>
    <row r="523" spans="1:10" ht="21" customHeight="1" x14ac:dyDescent="0.25">
      <c r="A523" s="1018"/>
      <c r="B523" s="228" t="s">
        <v>2484</v>
      </c>
      <c r="C523" s="536">
        <f ca="1">SUMIFS(INDIRECT("Report!F100:F10000"),INDIRECT("Report!B100:B10000"),B523,INDIRECT("report!H100:H10000"),"Goss",INDIRECT("Report!L100:L10000"),"23,1")</f>
        <v>3080000.0000000005</v>
      </c>
      <c r="D523" s="236">
        <f ca="1">(C523/11*10)</f>
        <v>2800000.0000000005</v>
      </c>
      <c r="E523" s="536">
        <f ca="1">SUMIFS(INDIRECT("Report!J100:J10000"),INDIRECT("Report!B100:B10000"),B523,INDIRECT("report!H100:H10000"),"Goss",INDIRECT("Report!L100:L10000"),"23,1")</f>
        <v>938568</v>
      </c>
      <c r="F523" s="595">
        <f t="shared" ca="1" si="58"/>
        <v>0.33520285714285708</v>
      </c>
    </row>
    <row r="524" spans="1:10" ht="21" customHeight="1" x14ac:dyDescent="0.25">
      <c r="A524" s="1018"/>
      <c r="B524" s="228" t="s">
        <v>770</v>
      </c>
      <c r="C524" s="536">
        <f ca="1">SUMIFS(INDIRECT("Report!F100:F10000"),INDIRECT("Report!B100:B10000"),B524,INDIRECT("report!H100:H10000"),"Goss",INDIRECT("Report!L100:L10000"),"23,1")</f>
        <v>6655000</v>
      </c>
      <c r="D524" s="236">
        <f ca="1">(C524/11*10)</f>
        <v>6050000</v>
      </c>
      <c r="E524" s="536">
        <f ca="1">SUMIFS(INDIRECT("Report!J100:J10000"),INDIRECT("Report!B100:B10000"),B524,INDIRECT("report!H100:H10000"),"Goss",INDIRECT("Report!L100:L10000"),"23,1")</f>
        <v>2578432</v>
      </c>
      <c r="F524" s="595">
        <f t="shared" ca="1" si="58"/>
        <v>0.42618710743801652</v>
      </c>
    </row>
    <row r="525" spans="1:10" ht="21" customHeight="1" x14ac:dyDescent="0.25">
      <c r="A525" s="1018"/>
      <c r="B525" s="228" t="s">
        <v>446</v>
      </c>
      <c r="C525" s="536">
        <f ca="1">SUMIFS(INDIRECT("Report!F100:F10000"),INDIRECT("Report!B100:B10000"),B525,INDIRECT("report!H100:H10000"),"Goss",INDIRECT("Report!L100:L10000"),"23,1")</f>
        <v>990000.00000000012</v>
      </c>
      <c r="D525" s="236">
        <f ca="1">(C525/11*10)</f>
        <v>900000.00000000012</v>
      </c>
      <c r="E525" s="536">
        <f ca="1">SUMIFS(INDIRECT("Report!J100:J10000"),INDIRECT("Report!B100:B10000"),B525,INDIRECT("report!H100:H10000"),"Goss",INDIRECT("Report!L100:L10000"),"23,1")</f>
        <v>361200</v>
      </c>
      <c r="F525" s="595">
        <f t="shared" ca="1" si="58"/>
        <v>0.40133333333333326</v>
      </c>
    </row>
    <row r="526" spans="1:10" ht="21" customHeight="1" x14ac:dyDescent="0.25">
      <c r="A526" s="1218"/>
      <c r="B526" s="1214" t="s">
        <v>3619</v>
      </c>
      <c r="C526" s="1220">
        <f ca="1">SUM(C521:C525)</f>
        <v>12683000</v>
      </c>
      <c r="D526" s="1220">
        <f ca="1">SUM(D521:D525)</f>
        <v>11530000</v>
      </c>
      <c r="E526" s="1220">
        <f ca="1">SUM(E521:E525)</f>
        <v>4278200</v>
      </c>
      <c r="F526" s="1217">
        <f t="shared" ca="1" si="58"/>
        <v>0.37104943625325237</v>
      </c>
      <c r="G526" s="1216"/>
    </row>
    <row r="527" spans="1:10" ht="21" customHeight="1" x14ac:dyDescent="0.25">
      <c r="A527" s="1218"/>
      <c r="C527" s="536"/>
      <c r="E527" s="536"/>
    </row>
    <row r="528" spans="1:10" ht="21" customHeight="1" x14ac:dyDescent="0.25">
      <c r="A528" s="293"/>
      <c r="B528" s="277" t="s">
        <v>3673</v>
      </c>
      <c r="C528" s="543">
        <f ca="1">SUM(C526)+SUM(C527:C527)</f>
        <v>12683000</v>
      </c>
      <c r="D528" s="543">
        <f ca="1">SUM(D526)+SUM(D527:D527)</f>
        <v>11530000</v>
      </c>
      <c r="E528" s="543">
        <f ca="1">SUM(E526)+SUM(E527:E527)</f>
        <v>4278200</v>
      </c>
      <c r="F528" s="593"/>
      <c r="G528" s="336"/>
    </row>
    <row r="529" spans="1:6" ht="21" customHeight="1" x14ac:dyDescent="0.25">
      <c r="A529" s="798" t="s">
        <v>3677</v>
      </c>
    </row>
    <row r="530" spans="1:6" ht="21" customHeight="1" x14ac:dyDescent="0.25">
      <c r="A530" s="1018"/>
      <c r="B530" s="228" t="s">
        <v>610</v>
      </c>
      <c r="C530" s="536">
        <f ca="1">SUMIFS(INDIRECT("Report!F100:F10000"),INDIRECT("Report!B100:B10000"),B530,INDIRECT("report!H100:H10000"),"Goss",INDIRECT("Report!L100:L10000"),"23,2")</f>
        <v>6402000</v>
      </c>
      <c r="D530" s="236">
        <f ca="1">(C530/11*10)</f>
        <v>5820000</v>
      </c>
      <c r="E530" s="536">
        <f ca="1">SUMIFS(INDIRECT("Report!J100:J10000"),INDIRECT("Report!B100:B10000"),B530,INDIRECT("report!H100:H10000"),"Goss",INDIRECT("Report!L100:L10000"),"23,2")</f>
        <v>1728670.5341380532</v>
      </c>
      <c r="F530" s="595">
        <f t="shared" ref="F530:F535" ca="1" si="59">E530/D530</f>
        <v>0.29702242854605726</v>
      </c>
    </row>
    <row r="531" spans="1:6" ht="21" customHeight="1" x14ac:dyDescent="0.25">
      <c r="A531" s="1018"/>
      <c r="B531" s="228" t="s">
        <v>2359</v>
      </c>
      <c r="C531" s="536">
        <f ca="1">SUMIFS(INDIRECT("Report!F100:F10000"),INDIRECT("Report!B100:B10000"),B531,INDIRECT("report!H100:H10000"),"Goss",INDIRECT("Report!L100:L10000"),"23,2")</f>
        <v>1210000</v>
      </c>
      <c r="D531" s="236">
        <f ca="1">(C531/11*10)</f>
        <v>1100000</v>
      </c>
      <c r="E531" s="536">
        <f ca="1">SUMIFS(INDIRECT("Report!J100:J10000"),INDIRECT("Report!B100:B10000"),B531,INDIRECT("report!H100:H10000"),"Goss",INDIRECT("Report!L100:L10000"),"23,2")</f>
        <v>561200</v>
      </c>
      <c r="F531" s="595">
        <f t="shared" ca="1" si="59"/>
        <v>0.51018181818181818</v>
      </c>
    </row>
    <row r="532" spans="1:6" ht="21" customHeight="1" x14ac:dyDescent="0.25">
      <c r="A532" s="1018"/>
      <c r="B532" s="228" t="s">
        <v>1996</v>
      </c>
      <c r="C532" s="536">
        <f ca="1">SUMIFS(INDIRECT("Report!F100:F10000"),INDIRECT("Report!B100:B10000"),B532,INDIRECT("report!H100:H10000"),"Goss",INDIRECT("Report!L100:L10000"),"23,2")</f>
        <v>770000.00000000012</v>
      </c>
      <c r="D532" s="236">
        <f ca="1">(C532/11*10)</f>
        <v>700000.00000000012</v>
      </c>
      <c r="E532" s="536">
        <f ca="1">SUMIFS(INDIRECT("Report!J100:J10000"),INDIRECT("Report!B100:B10000"),B532,INDIRECT("report!H100:H10000"),"Goss",INDIRECT("Report!L100:L10000"),"23,2")</f>
        <v>300000</v>
      </c>
      <c r="F532" s="595">
        <f t="shared" ca="1" si="59"/>
        <v>0.42857142857142849</v>
      </c>
    </row>
    <row r="533" spans="1:6" ht="21" customHeight="1" x14ac:dyDescent="0.25">
      <c r="A533" s="1018"/>
      <c r="B533" s="228" t="s">
        <v>760</v>
      </c>
      <c r="C533" s="536">
        <f ca="1">SUMIFS(INDIRECT("Report!F100:F10000"),INDIRECT("Report!B100:B10000"),B533,INDIRECT("report!H100:H10000"),"Goss",INDIRECT("Report!L100:L10000"),"23,2")</f>
        <v>484000.00000000006</v>
      </c>
      <c r="D533" s="236">
        <f ca="1">(C533/11*10)</f>
        <v>440000.00000000006</v>
      </c>
      <c r="E533" s="536">
        <f ca="1">SUMIFS(INDIRECT("Report!J100:J10000"),INDIRECT("Report!B100:B10000"),B533,INDIRECT("report!H100:H10000"),"Goss",INDIRECT("Report!L100:L10000"),"23,2")</f>
        <v>224480</v>
      </c>
      <c r="F533" s="595">
        <f t="shared" ca="1" si="59"/>
        <v>0.51018181818181807</v>
      </c>
    </row>
    <row r="534" spans="1:6" ht="21" customHeight="1" x14ac:dyDescent="0.25">
      <c r="A534" s="1018"/>
      <c r="B534" s="228" t="s">
        <v>446</v>
      </c>
      <c r="C534" s="536">
        <f ca="1">SUMIFS(INDIRECT("Report!F100:F10000"),INDIRECT("Report!B100:B10000"),B534,INDIRECT("report!H100:H10000"),"Goss",INDIRECT("Report!L100:L10000"),"23,2")</f>
        <v>37180000</v>
      </c>
      <c r="D534" s="236">
        <f ca="1">(C534/11*10)</f>
        <v>33800000</v>
      </c>
      <c r="E534" s="536">
        <f ca="1">SUMIFS(INDIRECT("Report!J100:J10000"),INDIRECT("Report!B100:B10000"),B534,INDIRECT("report!H100:H10000"),"Goss",INDIRECT("Report!L100:L10000"),"23,2")</f>
        <v>13379128</v>
      </c>
      <c r="F534" s="595">
        <f t="shared" ca="1" si="59"/>
        <v>0.39583218934911241</v>
      </c>
    </row>
    <row r="535" spans="1:6" ht="21" customHeight="1" x14ac:dyDescent="0.25">
      <c r="A535" s="1218"/>
      <c r="B535" s="1214" t="s">
        <v>3619</v>
      </c>
      <c r="C535" s="1220">
        <f ca="1">SUM(C530:C534)</f>
        <v>46046000</v>
      </c>
      <c r="D535" s="1220">
        <f ca="1">SUM(D530:D534)</f>
        <v>41860000</v>
      </c>
      <c r="E535" s="1220">
        <f ca="1">SUM(E530:E534)</f>
        <v>16193478.534138054</v>
      </c>
      <c r="F535" s="1217">
        <f t="shared" ca="1" si="59"/>
        <v>0.38684850774338397</v>
      </c>
    </row>
    <row r="536" spans="1:6" ht="21" customHeight="1" x14ac:dyDescent="0.25">
      <c r="A536" s="1218"/>
      <c r="C536" s="536"/>
      <c r="E536" s="536"/>
    </row>
    <row r="537" spans="1:6" ht="21" customHeight="1" x14ac:dyDescent="0.25">
      <c r="A537" s="293"/>
      <c r="B537" s="277" t="s">
        <v>3692</v>
      </c>
      <c r="C537" s="543">
        <f ca="1">SUM(C535)+SUM(C536:C536)</f>
        <v>46046000</v>
      </c>
      <c r="D537" s="543">
        <f ca="1">SUM(D535)+SUM(D536:D536)</f>
        <v>41860000</v>
      </c>
      <c r="E537" s="543">
        <f ca="1">SUM(E535)+SUM(E536:E536)</f>
        <v>16193478.534138054</v>
      </c>
      <c r="F537" s="593"/>
    </row>
    <row r="539" spans="1:6" ht="21" customHeight="1" x14ac:dyDescent="0.25">
      <c r="A539" s="798" t="s">
        <v>3698</v>
      </c>
    </row>
    <row r="540" spans="1:6" ht="21" customHeight="1" x14ac:dyDescent="0.25">
      <c r="A540" s="1018"/>
      <c r="B540" s="228" t="s">
        <v>610</v>
      </c>
      <c r="C540" s="536">
        <f ca="1">SUMIFS(INDIRECT("Report!F100:F10000"),INDIRECT("Report!B100:B10000"),B540,INDIRECT("report!H100:H10000"),"Goss",INDIRECT("Report!L100:L10000"),"23,3")</f>
        <v>11616000</v>
      </c>
      <c r="D540" s="236">
        <f ca="1">(C540/11*10)</f>
        <v>10560000</v>
      </c>
      <c r="E540" s="536">
        <f ca="1">SUMIFS(INDIRECT("Report!J100:J10000"),INDIRECT("Report!B100:B10000"),B540,INDIRECT("report!H100:H10000"),"Goss",INDIRECT("Report!L100:L10000"),"23,3")</f>
        <v>3259056</v>
      </c>
      <c r="F540" s="595">
        <f ca="1">E540/D540</f>
        <v>0.30862272727272727</v>
      </c>
    </row>
    <row r="541" spans="1:6" ht="21" customHeight="1" x14ac:dyDescent="0.25">
      <c r="A541" s="1018"/>
      <c r="B541" s="228" t="s">
        <v>497</v>
      </c>
      <c r="C541" s="536">
        <f ca="1">SUMIFS(INDIRECT("Report!F100:F10000"),INDIRECT("Report!B100:B10000"),B541,INDIRECT("report!H100:H10000"),"Goss",INDIRECT("Report!L100:L10000"),"23,3")</f>
        <v>10725000</v>
      </c>
      <c r="D541" s="236">
        <f ca="1">(C541/11*10)</f>
        <v>9750000</v>
      </c>
      <c r="E541" s="536">
        <f ca="1">SUMIFS(INDIRECT("Report!J100:J10000"),INDIRECT("Report!B100:B10000"),B541,INDIRECT("report!H100:H10000"),"Goss",INDIRECT("Report!L100:L10000"),"23,3")</f>
        <v>4112614</v>
      </c>
      <c r="F541" s="595">
        <f ca="1">E541/D541</f>
        <v>0.42180656410256412</v>
      </c>
    </row>
    <row r="542" spans="1:6" ht="21" customHeight="1" x14ac:dyDescent="0.25">
      <c r="A542" s="1018"/>
      <c r="B542" s="228" t="s">
        <v>2484</v>
      </c>
      <c r="C542" s="536">
        <f ca="1">SUMIFS(INDIRECT("Report!F100:F10000"),INDIRECT("Report!B100:B10000"),B542,INDIRECT("report!H100:H10000"),"Goss",INDIRECT("Report!L100:L10000"),"23,3")</f>
        <v>385000.00000000006</v>
      </c>
      <c r="D542" s="236">
        <f ca="1">(C542/11*10)</f>
        <v>350000.00000000006</v>
      </c>
      <c r="E542" s="536">
        <f ca="1">SUMIFS(INDIRECT("Report!J100:J10000"),INDIRECT("Report!B100:B10000"),B542,INDIRECT("report!H100:H10000"),"Goss",INDIRECT("Report!L100:L10000"),"23,3")</f>
        <v>200000</v>
      </c>
      <c r="F542" s="595">
        <f ca="1">E542/D542</f>
        <v>0.57142857142857129</v>
      </c>
    </row>
    <row r="543" spans="1:6" ht="21" customHeight="1" x14ac:dyDescent="0.25">
      <c r="A543" s="1218"/>
      <c r="B543" s="1214" t="s">
        <v>3619</v>
      </c>
      <c r="C543" s="1220">
        <f ca="1">SUM(C540:C542)</f>
        <v>22726000</v>
      </c>
      <c r="D543" s="1220">
        <f ca="1">SUM(D540:D542)</f>
        <v>20660000</v>
      </c>
      <c r="E543" s="1220">
        <f ca="1">SUM(E540:E542)</f>
        <v>7571670</v>
      </c>
      <c r="F543" s="1217">
        <f ca="1">E543/D543</f>
        <v>0.36648935140367861</v>
      </c>
    </row>
    <row r="545" spans="1:6" ht="21" customHeight="1" x14ac:dyDescent="0.25">
      <c r="A545" s="293"/>
      <c r="B545" s="277" t="s">
        <v>3714</v>
      </c>
      <c r="C545" s="543">
        <f ca="1">SUM(C543)+SUM(C544:C544)</f>
        <v>22726000</v>
      </c>
      <c r="D545" s="543">
        <f ca="1">SUM(D543)+SUM(D544:D544)</f>
        <v>20660000</v>
      </c>
      <c r="E545" s="543">
        <f ca="1">SUM(E543)+SUM(E544:E544)</f>
        <v>7571670</v>
      </c>
      <c r="F545" s="593"/>
    </row>
    <row r="546" spans="1:6" ht="21" customHeight="1" x14ac:dyDescent="0.25">
      <c r="A546" s="798" t="s">
        <v>3715</v>
      </c>
    </row>
    <row r="547" spans="1:6" ht="21" customHeight="1" x14ac:dyDescent="0.25">
      <c r="A547" s="1218"/>
      <c r="B547" s="228" t="s">
        <v>446</v>
      </c>
      <c r="C547" s="536">
        <f ca="1">SUMIFS(INDIRECT("Report!F100:F10000"),INDIRECT("Report!B100:B10000"),B547,INDIRECT("report!H100:H10000"),"Goss",INDIRECT("Report!L100:L10000"),"23,4")</f>
        <v>3935800</v>
      </c>
      <c r="D547" s="236">
        <f ca="1">(C547/11*10)</f>
        <v>3578000</v>
      </c>
      <c r="E547" s="536">
        <f ca="1">SUMIFS(INDIRECT("Report!J100:J10000"),INDIRECT("Report!B100:B10000"),B547,INDIRECT("report!H100:H10000"),"Goss",INDIRECT("Report!L100:L10000"),"23,4")</f>
        <v>1853073</v>
      </c>
      <c r="F547" s="595">
        <f ca="1">E547/D547</f>
        <v>0.51790749021799887</v>
      </c>
    </row>
    <row r="548" spans="1:6" ht="21" customHeight="1" x14ac:dyDescent="0.25">
      <c r="A548" s="1218"/>
      <c r="B548" s="228" t="s">
        <v>3041</v>
      </c>
      <c r="C548" s="536">
        <f ca="1">SUMIFS(INDIRECT("Report!F100:F10000"),INDIRECT("Report!B100:B10000"),B548,INDIRECT("report!H100:H10000"),"Goss",INDIRECT("Report!L100:L10000"),"23,4")</f>
        <v>6655000.0000000009</v>
      </c>
      <c r="D548" s="236">
        <f ca="1">(C548/11*10)</f>
        <v>6050000.0000000009</v>
      </c>
      <c r="E548" s="536">
        <f ca="1">SUMIFS(INDIRECT("Report!J100:J10000"),INDIRECT("Report!B100:B10000"),B548,INDIRECT("report!H100:H10000"),"Goss",INDIRECT("Report!L100:L10000"),"23,4")</f>
        <v>3050000</v>
      </c>
      <c r="F548" s="595">
        <f ca="1">E548/D548</f>
        <v>0.50413223140495855</v>
      </c>
    </row>
    <row r="549" spans="1:6" ht="21" customHeight="1" x14ac:dyDescent="0.25">
      <c r="A549" s="1218"/>
      <c r="B549" s="228" t="s">
        <v>443</v>
      </c>
      <c r="C549" s="536">
        <f ca="1">SUMIFS(INDIRECT("Report!F100:F10000"),INDIRECT("Report!B100:B10000"),B549,INDIRECT("report!H100:H10000"),"Goss",INDIRECT("Report!L100:L10000"),"23,4")</f>
        <v>1980000.0000000002</v>
      </c>
      <c r="D549" s="236">
        <f ca="1">(C549/11*10)</f>
        <v>1800000.0000000002</v>
      </c>
      <c r="E549" s="536">
        <f ca="1">SUMIFS(INDIRECT("Report!J100:J10000"),INDIRECT("Report!B100:B10000"),B549,INDIRECT("report!H100:H10000"),"Goss",INDIRECT("Report!L100:L10000"),"23,4")</f>
        <v>300000</v>
      </c>
      <c r="F549" s="595">
        <f ca="1">E549/D549</f>
        <v>0.16666666666666666</v>
      </c>
    </row>
    <row r="550" spans="1:6" ht="21" customHeight="1" x14ac:dyDescent="0.25">
      <c r="A550" s="1218"/>
      <c r="B550" s="1214" t="s">
        <v>3619</v>
      </c>
      <c r="C550" s="1220">
        <f ca="1">SUM(C547:C549)</f>
        <v>12570800</v>
      </c>
      <c r="D550" s="1220">
        <f ca="1">SUM(D547:D549)</f>
        <v>11428000</v>
      </c>
      <c r="E550" s="1220">
        <f ca="1">SUM(E547:E549)</f>
        <v>5203073</v>
      </c>
      <c r="F550" s="1217">
        <f ca="1">E550/D550</f>
        <v>0.45529165208260414</v>
      </c>
    </row>
    <row r="551" spans="1:6" ht="21" customHeight="1" x14ac:dyDescent="0.25">
      <c r="A551" s="1218"/>
      <c r="B551" s="228" t="s">
        <v>3620</v>
      </c>
      <c r="C551" s="536">
        <f ca="1">SUMIFS(INDIRECT("Report!F100:F10000"),INDIRECT("Report!B100:B10000"),B551,INDIRECT("report!H100:H10000"),"Goss",INDIRECT("Report!L100:L10000"),"23,4")</f>
        <v>456500000</v>
      </c>
      <c r="D551" s="236">
        <f ca="1">(C551/11*10)</f>
        <v>415000000</v>
      </c>
      <c r="E551" s="536">
        <f ca="1">SUMIFS(INDIRECT("Report!J100:J10000"),INDIRECT("Report!B100:B10000"),B551,INDIRECT("report!H100:H10000"),"Goss",INDIRECT("Report!L100:L10000"),"22,11")</f>
        <v>0</v>
      </c>
    </row>
    <row r="552" spans="1:6" ht="21" customHeight="1" x14ac:dyDescent="0.25">
      <c r="A552" s="293"/>
      <c r="B552" s="277" t="s">
        <v>3772</v>
      </c>
      <c r="C552" s="543">
        <f ca="1">SUM(C547:C549)+SUM(C551:C551)</f>
        <v>469070800</v>
      </c>
      <c r="D552" s="543">
        <f ca="1">SUM(D547:D549)+SUM(D551:D551)</f>
        <v>426428000</v>
      </c>
      <c r="E552" s="543"/>
      <c r="F552" s="593"/>
    </row>
    <row r="553" spans="1:6" ht="21" customHeight="1" x14ac:dyDescent="0.25">
      <c r="A553" s="798" t="s">
        <v>3746</v>
      </c>
    </row>
    <row r="554" spans="1:6" ht="21" customHeight="1" x14ac:dyDescent="0.25">
      <c r="A554" s="1218"/>
      <c r="B554" s="228" t="s">
        <v>550</v>
      </c>
      <c r="C554" s="536">
        <f ca="1">SUMIFS(INDIRECT("Report!F100:F10000"),INDIRECT("Report!B100:B10000"),B554,INDIRECT("report!H100:H10000"),"Goss",INDIRECT("Report!L100:L10000"),"23,5")</f>
        <v>17710000</v>
      </c>
      <c r="D554" s="236">
        <f ca="1">(C554/11*10)</f>
        <v>16100000</v>
      </c>
      <c r="E554" s="536">
        <f ca="1">SUMIFS(INDIRECT("Report!J100:J10000"),INDIRECT("Report!B100:B10000"),B554,INDIRECT("report!H100:H10000"),"Goss",INDIRECT("Report!L100:L10000"),"23,5")</f>
        <v>6920500</v>
      </c>
      <c r="F554" s="595">
        <f ca="1">E554/D554</f>
        <v>0.42984472049689443</v>
      </c>
    </row>
    <row r="555" spans="1:6" ht="21" customHeight="1" x14ac:dyDescent="0.25">
      <c r="A555" s="1218"/>
      <c r="B555" s="228" t="s">
        <v>446</v>
      </c>
      <c r="C555" s="536">
        <f ca="1">SUMIFS(INDIRECT("Report!F100:F10000"),INDIRECT("Report!B100:B10000"),B555,INDIRECT("report!H100:H10000"),"Goss",INDIRECT("Report!L100:L10000"),"23,5")</f>
        <v>5170000.0000000009</v>
      </c>
      <c r="D555" s="236">
        <f ca="1">(C555/11*10)</f>
        <v>4700000.0000000009</v>
      </c>
      <c r="E555" s="536">
        <f ca="1">SUMIFS(INDIRECT("Report!J100:J10000"),INDIRECT("Report!B100:B10000"),B555,INDIRECT("report!H100:H10000"),"Goss",INDIRECT("Report!L100:L10000"),"23,5")</f>
        <v>1665540</v>
      </c>
      <c r="F555" s="595">
        <f ca="1">E555/D555</f>
        <v>0.35437021276595737</v>
      </c>
    </row>
    <row r="556" spans="1:6" ht="21" customHeight="1" x14ac:dyDescent="0.25">
      <c r="A556" s="1218"/>
      <c r="B556" s="1214" t="s">
        <v>3619</v>
      </c>
      <c r="C556" s="1220">
        <f ca="1">SUM(C554:C555)</f>
        <v>22880000</v>
      </c>
      <c r="D556" s="1220">
        <f ca="1">SUM(D554:D555)</f>
        <v>20800000</v>
      </c>
      <c r="E556" s="1220">
        <f ca="1">SUM(E554:E555)</f>
        <v>8586040</v>
      </c>
      <c r="F556" s="1217">
        <f ca="1">E556/D556</f>
        <v>0.41279038461538464</v>
      </c>
    </row>
    <row r="557" spans="1:6" ht="21" customHeight="1" x14ac:dyDescent="0.25">
      <c r="A557" s="1218"/>
      <c r="C557" s="536"/>
      <c r="E557" s="536"/>
    </row>
    <row r="558" spans="1:6" ht="21" customHeight="1" x14ac:dyDescent="0.25">
      <c r="A558" s="293"/>
      <c r="B558" s="277" t="s">
        <v>3773</v>
      </c>
      <c r="C558" s="543">
        <f ca="1">SUM(C554:C555)+SUM(C557:C557)</f>
        <v>22880000</v>
      </c>
      <c r="D558" s="543">
        <f ca="1">SUM(D554:D555)+SUM(D557:D557)</f>
        <v>20800000</v>
      </c>
      <c r="E558" s="543"/>
      <c r="F558" s="593"/>
    </row>
    <row r="559" spans="1:6" ht="21" customHeight="1" x14ac:dyDescent="0.25">
      <c r="A559" s="798" t="s">
        <v>3776</v>
      </c>
    </row>
    <row r="560" spans="1:6" ht="21" customHeight="1" x14ac:dyDescent="0.25">
      <c r="A560" s="1218"/>
      <c r="B560" s="228" t="s">
        <v>446</v>
      </c>
      <c r="C560" s="536">
        <f ca="1">SUMIFS(INDIRECT("Report!F100:F10000"),INDIRECT("Report!B100:B10000"),B560,INDIRECT("report!H100:H10000"),"Goss",INDIRECT("Report!L100:L10000"),"23,6")</f>
        <v>5544000.0000000009</v>
      </c>
      <c r="D560" s="236">
        <f ca="1">(C560/11*10)</f>
        <v>5040000.0000000009</v>
      </c>
      <c r="E560" s="536">
        <f ca="1">SUMIFS(INDIRECT("Report!J100:J10000"),INDIRECT("Report!B100:B10000"),B560,INDIRECT("report!H100:H10000"),"Goss",INDIRECT("Report!L100:L10000"),"23,6")</f>
        <v>1688152</v>
      </c>
      <c r="F560" s="595">
        <f ca="1">E560/D560</f>
        <v>0.33495079365079361</v>
      </c>
    </row>
    <row r="561" spans="1:6" ht="21" customHeight="1" x14ac:dyDescent="0.25">
      <c r="A561" s="1218"/>
      <c r="B561" s="228" t="s">
        <v>2261</v>
      </c>
      <c r="C561" s="536">
        <f ca="1">SUMIFS(INDIRECT("Report!F100:F10000"),INDIRECT("Report!B100:B10000"),B561,INDIRECT("report!H100:H10000"),"Goss",INDIRECT("Report!L100:L10000"),"23,6")</f>
        <v>1320000</v>
      </c>
      <c r="D561" s="236">
        <f ca="1">(C561/11*10)</f>
        <v>1200000</v>
      </c>
      <c r="E561" s="536">
        <f ca="1">SUMIFS(INDIRECT("Report!J100:J10000"),INDIRECT("Report!B100:B10000"),B561,INDIRECT("report!H100:H10000"),"Goss",INDIRECT("Report!L100:L10000"),"23,6")</f>
        <v>649886</v>
      </c>
      <c r="F561" s="595">
        <f ca="1">E561/D561</f>
        <v>0.54157166666666667</v>
      </c>
    </row>
    <row r="562" spans="1:6" ht="21" customHeight="1" x14ac:dyDescent="0.25">
      <c r="A562" s="1218"/>
      <c r="B562" s="228" t="s">
        <v>443</v>
      </c>
      <c r="C562" s="536">
        <f ca="1">SUMIFS(INDIRECT("Report!F100:F10000"),INDIRECT("Report!B100:B10000"),B562,INDIRECT("report!H100:H10000"),"Goss",INDIRECT("Report!L100:L10000"),"23,6")</f>
        <v>1430000</v>
      </c>
      <c r="D562" s="236">
        <f ca="1">(C562/11*10)</f>
        <v>1300000</v>
      </c>
      <c r="E562" s="536">
        <f ca="1">SUMIFS(INDIRECT("Report!J100:J10000"),INDIRECT("Report!B100:B10000"),B562,INDIRECT("report!H100:H10000"),"Goss",INDIRECT("Report!L100:L10000"),"23,6")</f>
        <v>900000</v>
      </c>
      <c r="F562" s="595">
        <f ca="1">E562/D562</f>
        <v>0.69230769230769229</v>
      </c>
    </row>
    <row r="563" spans="1:6" ht="21" customHeight="1" x14ac:dyDescent="0.25">
      <c r="A563" s="1218"/>
      <c r="B563" s="1214" t="s">
        <v>3619</v>
      </c>
      <c r="C563" s="1220">
        <f ca="1">SUM(C560:C562)</f>
        <v>8294000.0000000009</v>
      </c>
      <c r="D563" s="1220">
        <f ca="1">SUM(D560:D562)</f>
        <v>7540000.0000000009</v>
      </c>
      <c r="E563" s="1220">
        <f ca="1">SUM(E560:E562)</f>
        <v>3238038</v>
      </c>
      <c r="F563" s="1217">
        <f ca="1">E563/D563</f>
        <v>0.42944801061007953</v>
      </c>
    </row>
    <row r="564" spans="1:6" ht="21" customHeight="1" x14ac:dyDescent="0.25">
      <c r="A564" s="1218"/>
      <c r="B564" s="228" t="s">
        <v>3581</v>
      </c>
      <c r="C564" s="536">
        <f ca="1">SUMIFS(INDIRECT("Report!F100:F10000"),INDIRECT("Report!B100:B10000"),B564,INDIRECT("report!H100:H10000"),"Goss",INDIRECT("Report!L100:L10000"),"23,6")</f>
        <v>59174500.000000007</v>
      </c>
      <c r="D564" s="236">
        <f ca="1">(C564/11*10)</f>
        <v>53795000.000000007</v>
      </c>
      <c r="E564" s="536">
        <f ca="1">SUMIFS(INDIRECT("Report!J100:J10000"),INDIRECT("Report!B100:B10000"),B564,INDIRECT("report!H100:H10000"),"Goss",INDIRECT("Report!L100:L10000"),"22,11")</f>
        <v>0</v>
      </c>
    </row>
    <row r="565" spans="1:6" ht="21" customHeight="1" x14ac:dyDescent="0.25">
      <c r="A565" s="1218"/>
      <c r="B565" s="228" t="s">
        <v>3806</v>
      </c>
      <c r="C565" s="536">
        <f ca="1">SUMIFS(INDIRECT("Report!F100:F10000"),INDIRECT("Report!B100:B10000"),B565,INDIRECT("report!H100:H10000"),"Goss",INDIRECT("Report!L100:L10000"),"23,6")</f>
        <v>42350000</v>
      </c>
      <c r="D565" s="236">
        <f ca="1">(C565/11*10)</f>
        <v>38500000</v>
      </c>
      <c r="E565" s="536"/>
    </row>
    <row r="566" spans="1:6" ht="21" customHeight="1" x14ac:dyDescent="0.25">
      <c r="A566" s="293"/>
      <c r="B566" s="277" t="s">
        <v>3808</v>
      </c>
      <c r="C566" s="543">
        <f ca="1">SUM(C560:C562)+SUM(C564:C565)</f>
        <v>109818500</v>
      </c>
      <c r="D566" s="543">
        <f ca="1">SUM(D560:D562)+SUM(D564:D565)</f>
        <v>99835000</v>
      </c>
      <c r="E566" s="543"/>
      <c r="F566" s="593"/>
    </row>
    <row r="567" spans="1:6" ht="21" customHeight="1" x14ac:dyDescent="0.25">
      <c r="A567" s="798" t="s">
        <v>3809</v>
      </c>
    </row>
    <row r="568" spans="1:6" ht="21" customHeight="1" x14ac:dyDescent="0.25">
      <c r="A568" s="1218"/>
      <c r="B568" s="228" t="s">
        <v>2261</v>
      </c>
      <c r="C568" s="536">
        <f ca="1">SUMIFS(INDIRECT("Report!F100:F10000"),INDIRECT("Report!B100:B10000"),B568,INDIRECT("report!H100:H10000"),"Goss",INDIRECT("Report!L100:L10000"),"23,7")</f>
        <v>237600.00000000003</v>
      </c>
      <c r="D568" s="236">
        <f ca="1">(C568/11*10)</f>
        <v>216000.00000000003</v>
      </c>
      <c r="E568" s="536">
        <f ca="1">SUMIFS(INDIRECT("Report!J100:J10000"),INDIRECT("Report!B100:B10000"),B568,INDIRECT("report!H100:H10000"),"Goss",INDIRECT("Report!L100:L10000"),"23,7")</f>
        <v>94920</v>
      </c>
      <c r="F568" s="595">
        <f ca="1">E568/D568</f>
        <v>0.43944444444444436</v>
      </c>
    </row>
    <row r="569" spans="1:6" ht="21" customHeight="1" x14ac:dyDescent="0.25">
      <c r="A569" s="1218"/>
      <c r="B569" s="1214" t="s">
        <v>3619</v>
      </c>
      <c r="C569" s="1220">
        <f ca="1">SUM(C568:C568)</f>
        <v>237600.00000000003</v>
      </c>
      <c r="D569" s="1220">
        <f ca="1">SUM(D568:D568)</f>
        <v>216000.00000000003</v>
      </c>
      <c r="E569" s="1220">
        <f ca="1">SUM(E568:E568)</f>
        <v>94920</v>
      </c>
      <c r="F569" s="1217">
        <f ca="1">E569/D569</f>
        <v>0.43944444444444436</v>
      </c>
    </row>
    <row r="570" spans="1:6" ht="21" customHeight="1" x14ac:dyDescent="0.25">
      <c r="A570" s="1218"/>
      <c r="B570" s="228" t="s">
        <v>3581</v>
      </c>
      <c r="C570" s="536">
        <f ca="1">SUMIFS(INDIRECT("Report!F100:F10000"),INDIRECT("Report!B100:B10000"),B570,INDIRECT("report!H100:H10000"),"Goss",INDIRECT("Report!L100:L10000"),"23,7")</f>
        <v>59174500.000000007</v>
      </c>
      <c r="D570" s="236">
        <f ca="1">(C570/11*10)</f>
        <v>53795000.000000007</v>
      </c>
      <c r="E570" s="536">
        <f ca="1">SUMIFS(INDIRECT("Report!J100:J10000"),INDIRECT("Report!B100:B10000"),B570,INDIRECT("report!H100:H10000"),"Goss",INDIRECT("Report!L100:L10000"),"23,7")</f>
        <v>0</v>
      </c>
    </row>
    <row r="571" spans="1:6" ht="21" customHeight="1" x14ac:dyDescent="0.25">
      <c r="A571" s="293"/>
      <c r="B571" s="277" t="s">
        <v>3827</v>
      </c>
      <c r="C571" s="543">
        <f ca="1">SUM(C568:C568)+SUM(C570:C570)</f>
        <v>59412100.000000007</v>
      </c>
      <c r="D571" s="543">
        <f ca="1">SUM(D568:D568)+SUM(D570:D570)</f>
        <v>54011000.000000007</v>
      </c>
      <c r="E571" s="543"/>
      <c r="F571" s="593"/>
    </row>
    <row r="572" spans="1:6" ht="21" customHeight="1" x14ac:dyDescent="0.25">
      <c r="A572" s="798" t="s">
        <v>3855</v>
      </c>
    </row>
    <row r="573" spans="1:6" ht="21" customHeight="1" x14ac:dyDescent="0.25">
      <c r="A573" s="1018"/>
      <c r="B573" s="228" t="s">
        <v>497</v>
      </c>
      <c r="C573" s="536">
        <f ca="1">SUMIFS(INDIRECT("Report!F100:F10000"),INDIRECT("Report!B100:B10000"),B573,INDIRECT("report!H100:H10000"),"Goss",INDIRECT("Report!L100:L10000"),"23,9")</f>
        <v>2783000</v>
      </c>
      <c r="D573" s="236">
        <f ca="1">(C573/11*10)</f>
        <v>2530000</v>
      </c>
      <c r="E573" s="536">
        <f ca="1">SUMIFS(INDIRECT("Report!J100:J10000"),INDIRECT("Report!B100:B10000"),B573,INDIRECT("report!H100:H10000"),"Goss",INDIRECT("Report!L100:L10000"),"23,9")</f>
        <v>1007292</v>
      </c>
    </row>
    <row r="574" spans="1:6" ht="21" customHeight="1" x14ac:dyDescent="0.25">
      <c r="A574" s="1018"/>
      <c r="B574" s="228" t="s">
        <v>2484</v>
      </c>
      <c r="C574" s="536">
        <f ca="1">SUMIFS(INDIRECT("Report!F100:F10000"),INDIRECT("Report!B100:B10000"),B574,INDIRECT("report!H100:H10000"),"Goss",INDIRECT("Report!L100:L10000"),"23,9")</f>
        <v>1518000</v>
      </c>
      <c r="D574" s="236">
        <f ca="1">(C574/11*10)</f>
        <v>1380000</v>
      </c>
      <c r="E574" s="536">
        <f ca="1">SUMIFS(INDIRECT("Report!J100:J10000"),INDIRECT("Report!B100:B10000"),B574,INDIRECT("report!H100:H10000"),"Goss",INDIRECT("Report!L100:L10000"),"23,9")</f>
        <v>640000</v>
      </c>
    </row>
    <row r="575" spans="1:6" ht="21" customHeight="1" x14ac:dyDescent="0.25">
      <c r="A575" s="1218"/>
      <c r="B575" s="228" t="s">
        <v>2352</v>
      </c>
      <c r="C575" s="536">
        <f ca="1">SUMIFS(INDIRECT("Report!F100:F10000"),INDIRECT("Report!B100:B10000"),B575,INDIRECT("report!H100:H10000"),"Goss",INDIRECT("Report!L100:L10000"),"23,9")</f>
        <v>6050000.0000000009</v>
      </c>
      <c r="D575" s="236">
        <f ca="1">(C575/11*10)</f>
        <v>5500000.0000000009</v>
      </c>
      <c r="E575" s="536">
        <f ca="1">SUMIFS(INDIRECT("Report!J100:J10000"),INDIRECT("Report!B100:B10000"),B575,INDIRECT("report!H100:H10000"),"Goss",INDIRECT("Report!L100:L10000"),"23,9")</f>
        <v>2360050</v>
      </c>
      <c r="F575" s="595">
        <f ca="1">E575/D575</f>
        <v>0.42909999999999993</v>
      </c>
    </row>
    <row r="576" spans="1:6" ht="21" customHeight="1" x14ac:dyDescent="0.25">
      <c r="A576" s="1218"/>
      <c r="B576" s="1214" t="s">
        <v>3619</v>
      </c>
      <c r="C576" s="1220">
        <f ca="1">SUM(C573:C575)</f>
        <v>10351000</v>
      </c>
      <c r="D576" s="1220">
        <f ca="1">SUM(D573:D575)</f>
        <v>9410000</v>
      </c>
      <c r="E576" s="1220">
        <f ca="1">SUM(E573:E575)</f>
        <v>4007342</v>
      </c>
      <c r="F576" s="1217">
        <f ca="1">E576/D576</f>
        <v>0.42585993623804463</v>
      </c>
    </row>
    <row r="577" spans="1:7" ht="21" customHeight="1" x14ac:dyDescent="0.25">
      <c r="A577" s="1218"/>
      <c r="C577" s="536"/>
      <c r="E577" s="536">
        <f ca="1">SUMIFS(INDIRECT("Report!J100:J10000"),INDIRECT("Report!B100:B10000"),B577,INDIRECT("report!H100:H10000"),"Goss",INDIRECT("Report!L100:L10000"),"23,7")</f>
        <v>0</v>
      </c>
    </row>
    <row r="578" spans="1:7" ht="21" customHeight="1" x14ac:dyDescent="0.25">
      <c r="A578" s="293"/>
      <c r="B578" s="277" t="s">
        <v>3899</v>
      </c>
      <c r="C578" s="543">
        <f ca="1">SUM(C573:C575)+SUM(C577:C577)</f>
        <v>10351000</v>
      </c>
      <c r="D578" s="543">
        <f ca="1">SUM(D573:D575)+SUM(D577:D577)</f>
        <v>9410000</v>
      </c>
      <c r="E578" s="543"/>
      <c r="F578" s="593"/>
      <c r="G578" s="336"/>
    </row>
    <row r="579" spans="1:7" ht="21" customHeight="1" x14ac:dyDescent="0.25">
      <c r="A579" s="798" t="s">
        <v>3901</v>
      </c>
    </row>
    <row r="580" spans="1:7" ht="21" customHeight="1" x14ac:dyDescent="0.25">
      <c r="A580" s="1018"/>
      <c r="B580" s="228" t="s">
        <v>497</v>
      </c>
      <c r="C580" s="536">
        <f ca="1">SUMIFS(INDIRECT("Report!F100:F10000"),INDIRECT("Report!B100:B10000"),B580,INDIRECT("report!H100:H10000"),"Goss",INDIRECT("Report!L100:L10000"),"23,10")</f>
        <v>1650000</v>
      </c>
      <c r="D580" s="236">
        <f ca="1">(C580/11*10)</f>
        <v>1500000</v>
      </c>
      <c r="E580" s="536">
        <f ca="1">SUMIFS(INDIRECT("Report!J100:J10000"),INDIRECT("Report!B100:B10000"),B580,INDIRECT("report!H100:H10000"),"Goss",INDIRECT("Report!L100:L10000"),"23,10")</f>
        <v>502200</v>
      </c>
    </row>
    <row r="581" spans="1:7" ht="21" customHeight="1" x14ac:dyDescent="0.25">
      <c r="A581" s="1018"/>
      <c r="B581" s="228" t="s">
        <v>610</v>
      </c>
      <c r="C581" s="536">
        <f ca="1">SUMIFS(INDIRECT("Report!F100:F10000"),INDIRECT("Report!B100:B10000"),B581,INDIRECT("report!H100:H10000"),"Goss",INDIRECT("Report!L100:L10000"),"23,10")</f>
        <v>9295000</v>
      </c>
      <c r="D581" s="236">
        <f ca="1">(C581/11*10)</f>
        <v>8450000</v>
      </c>
      <c r="E581" s="536">
        <f ca="1">SUMIFS(INDIRECT("Report!J100:J10000"),INDIRECT("Report!B100:B10000"),B581,INDIRECT("report!H100:H10000"),"Goss",INDIRECT("Report!L100:L10000"),"23,10")</f>
        <v>450000</v>
      </c>
    </row>
    <row r="582" spans="1:7" ht="21" customHeight="1" x14ac:dyDescent="0.25">
      <c r="A582" s="1218"/>
      <c r="C582" s="536"/>
      <c r="E582" s="536"/>
    </row>
    <row r="583" spans="1:7" ht="21" customHeight="1" x14ac:dyDescent="0.25">
      <c r="A583" s="1218"/>
      <c r="B583" s="1214" t="s">
        <v>3619</v>
      </c>
      <c r="C583" s="1220">
        <f ca="1">SUM(C580:C582)</f>
        <v>10945000</v>
      </c>
      <c r="D583" s="1220">
        <f ca="1">SUM(D580:D582)</f>
        <v>9950000</v>
      </c>
      <c r="E583" s="1220">
        <f>SUM(E582:E582)</f>
        <v>0</v>
      </c>
      <c r="F583" s="1217">
        <f ca="1">E583/D583</f>
        <v>0</v>
      </c>
      <c r="G583" s="1216"/>
    </row>
    <row r="584" spans="1:7" ht="21" customHeight="1" x14ac:dyDescent="0.25">
      <c r="A584" s="1218"/>
      <c r="C584" s="536"/>
      <c r="E584" s="536">
        <f ca="1">SUMIFS(INDIRECT("Report!J100:J10000"),INDIRECT("Report!B100:B10000"),B584,INDIRECT("report!H100:H10000"),"Goss",INDIRECT("Report!L100:L10000"),"23,7")</f>
        <v>0</v>
      </c>
    </row>
    <row r="585" spans="1:7" ht="21" customHeight="1" x14ac:dyDescent="0.25">
      <c r="A585" s="293"/>
      <c r="B585" s="277" t="s">
        <v>3923</v>
      </c>
      <c r="C585" s="543">
        <f ca="1">SUM(C580:C582)+SUM(C584:C584)</f>
        <v>10945000</v>
      </c>
      <c r="D585" s="543">
        <f ca="1">SUM(D580:D582)+SUM(D584:D584)</f>
        <v>9950000</v>
      </c>
      <c r="E585" s="543"/>
      <c r="F585" s="593"/>
      <c r="G585" s="336"/>
    </row>
    <row r="586" spans="1:7" ht="21" customHeight="1" x14ac:dyDescent="0.25">
      <c r="A586" s="798">
        <v>2023.11</v>
      </c>
    </row>
    <row r="587" spans="1:7" ht="21" customHeight="1" x14ac:dyDescent="0.25">
      <c r="A587" s="1018"/>
      <c r="B587" s="228" t="s">
        <v>760</v>
      </c>
      <c r="C587" s="536">
        <f ca="1">SUMIFS(INDIRECT("Report!F100:F10000"),INDIRECT("Report!B100:B10000"),B587,INDIRECT("report!H100:H10000"),"Goss",INDIRECT("Report!L100:L10000"),"23,11")</f>
        <v>43600000.400000006</v>
      </c>
      <c r="D587" s="236">
        <f ca="1">(C587/11*10)</f>
        <v>39636364</v>
      </c>
      <c r="E587" s="536">
        <f ca="1">SUMIFS(INDIRECT("Report!J100:J10000"),INDIRECT("Report!B100:B10000"),B587,INDIRECT("report!H100:H10000"),"Goss",INDIRECT("Report!L100:L10000"),"23,11")</f>
        <v>20376364</v>
      </c>
    </row>
    <row r="588" spans="1:7" ht="21" customHeight="1" x14ac:dyDescent="0.25">
      <c r="A588" s="1018"/>
      <c r="B588" s="228" t="s">
        <v>610</v>
      </c>
      <c r="C588" s="536">
        <f ca="1">SUMIFS(INDIRECT("Report!F100:F10000"),INDIRECT("Report!B100:B10000"),B588,INDIRECT("report!H100:H10000"),"Goss",INDIRECT("Report!L100:L10000"),"23,11")</f>
        <v>4400000</v>
      </c>
      <c r="D588" s="236">
        <f ca="1">(C588/11*10)</f>
        <v>4000000</v>
      </c>
      <c r="E588" s="536">
        <f ca="1">SUMIFS(INDIRECT("Report!J100:J10000"),INDIRECT("Report!B100:B10000"),B588,INDIRECT("report!H100:H10000"),"Goss",INDIRECT("Report!L100:L10000"),"23,11")</f>
        <v>883000</v>
      </c>
    </row>
    <row r="589" spans="1:7" ht="21" customHeight="1" x14ac:dyDescent="0.25">
      <c r="A589" s="1018"/>
      <c r="B589" s="228" t="s">
        <v>497</v>
      </c>
      <c r="C589" s="536">
        <f ca="1">SUMIFS(INDIRECT("Report!F100:F10000"),INDIRECT("Report!B100:B10000"),B589,INDIRECT("report!H100:H10000"),"Goss",INDIRECT("Report!L100:L10000"),"23,11")</f>
        <v>6160000</v>
      </c>
      <c r="D589" s="236">
        <f ca="1">(C589/11*10)</f>
        <v>5600000</v>
      </c>
      <c r="E589" s="536">
        <f ca="1">SUMIFS(INDIRECT("Report!J100:J10000"),INDIRECT("Report!B100:B10000"),B589,INDIRECT("report!H100:H10000"),"Goss",INDIRECT("Report!L100:L10000"),"23,11")</f>
        <v>2118000</v>
      </c>
    </row>
    <row r="590" spans="1:7" ht="21" customHeight="1" x14ac:dyDescent="0.25">
      <c r="A590" s="1218"/>
      <c r="C590" s="536"/>
      <c r="E590" s="536"/>
    </row>
    <row r="591" spans="1:7" ht="21" customHeight="1" x14ac:dyDescent="0.25">
      <c r="A591" s="1218"/>
      <c r="B591" s="1214" t="s">
        <v>3619</v>
      </c>
      <c r="C591" s="1220">
        <f ca="1">SUM(C587:C590)</f>
        <v>54160000.400000006</v>
      </c>
      <c r="D591" s="1220">
        <f ca="1">SUM(D587:D590)</f>
        <v>49236364</v>
      </c>
      <c r="E591" s="1220">
        <f>SUM(E590:E590)</f>
        <v>0</v>
      </c>
      <c r="F591" s="1217">
        <f ca="1">E591/D591</f>
        <v>0</v>
      </c>
      <c r="G591" s="1216"/>
    </row>
    <row r="592" spans="1:7" ht="21" customHeight="1" x14ac:dyDescent="0.25">
      <c r="A592" s="1218"/>
      <c r="B592" s="228" t="s">
        <v>3576</v>
      </c>
      <c r="C592" s="536">
        <f ca="1">SUMIFS(INDIRECT("Report!F100:F10000"),INDIRECT("Report!B100:B10000"),B592,INDIRECT("report!H100:H10000"),"Goss",INDIRECT("Report!L100:L10000"),"23,11")</f>
        <v>63030000</v>
      </c>
      <c r="D592" s="236">
        <f ca="1">(C592/11*10)</f>
        <v>57300000</v>
      </c>
      <c r="E592" s="536">
        <f ca="1">SUMIFS(INDIRECT("Report!J100:J10000"),INDIRECT("Report!B100:B10000"),B592,INDIRECT("report!H100:H10000"),"Goss",INDIRECT("Report!L100:L10000"),"23,7")</f>
        <v>0</v>
      </c>
      <c r="G592" s="228" t="s">
        <v>3952</v>
      </c>
    </row>
    <row r="593" spans="1:7" ht="21" customHeight="1" x14ac:dyDescent="0.25">
      <c r="A593" s="293"/>
      <c r="B593" s="277" t="s">
        <v>3994</v>
      </c>
      <c r="C593" s="543">
        <f ca="1">SUM(C587:C590)+SUM(C592:C592)</f>
        <v>117190000.40000001</v>
      </c>
      <c r="D593" s="543">
        <f ca="1">SUM(D587:D590)+SUM(D592:D592)</f>
        <v>106536364</v>
      </c>
      <c r="E593" s="543"/>
      <c r="F593" s="593"/>
      <c r="G593" s="336"/>
    </row>
    <row r="594" spans="1:7" ht="21" customHeight="1" x14ac:dyDescent="0.25">
      <c r="A594" s="798">
        <v>2023.12</v>
      </c>
    </row>
    <row r="595" spans="1:7" ht="21" customHeight="1" x14ac:dyDescent="0.25">
      <c r="A595" s="1018"/>
      <c r="B595" s="228" t="s">
        <v>2359</v>
      </c>
      <c r="C595" s="536">
        <f ca="1">SUMIFS(INDIRECT("Report!F100:F10000"),INDIRECT("Report!B100:B10000"),B595,INDIRECT("report!H100:H10000"),"Goss",INDIRECT("Report!L100:L10000"),"23,12")</f>
        <v>1056000</v>
      </c>
      <c r="D595" s="236">
        <f ca="1">(C595/11*10)</f>
        <v>960000</v>
      </c>
      <c r="E595" s="536">
        <f ca="1">SUMIFS(INDIRECT("Report!J100:J10000"),INDIRECT("Report!B100:B10000"),B595,INDIRECT("report!H100:H10000"),"Goss",INDIRECT("Report!L100:L10000"),"23,12")</f>
        <v>446512</v>
      </c>
    </row>
    <row r="596" spans="1:7" ht="21" customHeight="1" x14ac:dyDescent="0.25">
      <c r="A596" s="1018"/>
      <c r="B596" s="228" t="s">
        <v>760</v>
      </c>
      <c r="C596" s="536">
        <f ca="1">SUMIFS(INDIRECT("Report!F100:F10000"),INDIRECT("Report!B100:B10000"),B596,INDIRECT("report!H100:H10000"),"Goss",INDIRECT("Report!L100:L10000"),"23,12")</f>
        <v>484000.00000000006</v>
      </c>
      <c r="D596" s="236">
        <f ca="1">(C596/11*10)</f>
        <v>440000.00000000006</v>
      </c>
      <c r="E596" s="536">
        <f ca="1">SUMIFS(INDIRECT("Report!J100:J10000"),INDIRECT("Report!B100:B10000"),B596,INDIRECT("report!H100:H10000"),"Goss",INDIRECT("Report!L100:L10000"),"23,12")</f>
        <v>226000</v>
      </c>
    </row>
    <row r="597" spans="1:7" ht="21" customHeight="1" x14ac:dyDescent="0.25">
      <c r="A597" s="1018"/>
      <c r="B597" s="228" t="s">
        <v>610</v>
      </c>
      <c r="C597" s="536">
        <f ca="1">SUMIFS(INDIRECT("Report!F100:F10000"),INDIRECT("Report!B100:B10000"),B597,INDIRECT("report!H100:H10000"),"Goss",INDIRECT("Report!L100:L10000"),"23,12")</f>
        <v>7920000</v>
      </c>
      <c r="D597" s="236">
        <f ca="1">(C597/11*10)</f>
        <v>7200000</v>
      </c>
      <c r="E597" s="536">
        <f ca="1">SUMIFS(INDIRECT("Report!J100:J10000"),INDIRECT("Report!B100:B10000"),B597,INDIRECT("report!H100:H10000"),"Goss",INDIRECT("Report!L100:L10000"),"23,12")</f>
        <v>2670627.0590717783</v>
      </c>
    </row>
    <row r="598" spans="1:7" ht="21" customHeight="1" x14ac:dyDescent="0.25">
      <c r="A598" s="1018"/>
      <c r="B598" s="228" t="s">
        <v>497</v>
      </c>
      <c r="C598" s="536">
        <f ca="1">SUMIFS(INDIRECT("Report!F100:F10000"),INDIRECT("Report!B100:B10000"),B598,INDIRECT("report!H100:H10000"),"Goss",INDIRECT("Report!L100:L10000"),"23,12")</f>
        <v>1881000.0000000002</v>
      </c>
      <c r="D598" s="236">
        <f ca="1">(C598/11*10)</f>
        <v>1710000.0000000002</v>
      </c>
      <c r="E598" s="536">
        <f ca="1">SUMIFS(INDIRECT("Report!J100:J10000"),INDIRECT("Report!B100:B10000"),B598,INDIRECT("report!H100:H10000"),"Goss",INDIRECT("Report!L100:L10000"),"23,12")</f>
        <v>690920</v>
      </c>
    </row>
    <row r="599" spans="1:7" ht="21" customHeight="1" x14ac:dyDescent="0.25">
      <c r="A599" s="1218"/>
      <c r="C599" s="536"/>
      <c r="E599" s="536"/>
    </row>
    <row r="600" spans="1:7" ht="21" customHeight="1" x14ac:dyDescent="0.25">
      <c r="A600" s="1218"/>
      <c r="B600" s="1214" t="s">
        <v>3619</v>
      </c>
      <c r="C600" s="1220">
        <f ca="1">SUM(C595:C599)</f>
        <v>11341000</v>
      </c>
      <c r="D600" s="1220">
        <f ca="1">SUM(D595:D599)</f>
        <v>10310000</v>
      </c>
      <c r="E600" s="1220">
        <f>SUM(E599:E599)</f>
        <v>0</v>
      </c>
      <c r="F600" s="1217">
        <f ca="1">E600/D600</f>
        <v>0</v>
      </c>
      <c r="G600" s="1216"/>
    </row>
    <row r="601" spans="1:7" ht="21" customHeight="1" x14ac:dyDescent="0.25">
      <c r="A601" s="1218"/>
      <c r="C601" s="536"/>
      <c r="D601" s="236">
        <f>(C601/11*10)</f>
        <v>0</v>
      </c>
      <c r="E601" s="536">
        <f ca="1">SUMIFS(INDIRECT("Report!J100:J10000"),INDIRECT("Report!B100:B10000"),B601,INDIRECT("report!H100:H10000"),"Goss",INDIRECT("Report!L100:L10000"),"23,7")</f>
        <v>0</v>
      </c>
    </row>
    <row r="602" spans="1:7" ht="21" customHeight="1" x14ac:dyDescent="0.25">
      <c r="A602" s="293"/>
      <c r="B602" s="277" t="s">
        <v>3995</v>
      </c>
      <c r="C602" s="543">
        <f ca="1">SUM(C595:C599)+SUM(C601:C601)</f>
        <v>11341000</v>
      </c>
      <c r="D602" s="543">
        <f ca="1">SUM(D595:D599)+SUM(D601:D601)</f>
        <v>10310000</v>
      </c>
      <c r="E602" s="543"/>
      <c r="F602" s="593"/>
      <c r="G602" s="336"/>
    </row>
    <row r="603" spans="1:7" ht="21" customHeight="1" x14ac:dyDescent="0.25">
      <c r="A603" s="798" t="s">
        <v>4018</v>
      </c>
    </row>
    <row r="604" spans="1:7" ht="21" customHeight="1" x14ac:dyDescent="0.25">
      <c r="A604" s="1018"/>
      <c r="B604" s="228" t="s">
        <v>2359</v>
      </c>
      <c r="C604" s="536">
        <f ca="1">SUMIFS(INDIRECT("Report!F100:F10000"),INDIRECT("Report!B100:B10000"),B604,INDIRECT("report!H100:H10000"),"Goss",INDIRECT("Report!L100:L10000"),"24,1")</f>
        <v>7370000.0000000009</v>
      </c>
      <c r="D604" s="236">
        <f ca="1">(C604/11*10)</f>
        <v>6700000.0000000009</v>
      </c>
      <c r="E604" s="536">
        <f ca="1">SUMIFS(INDIRECT("Report!J100:J10000"),INDIRECT("Report!B100:B10000"),B604,INDIRECT("report!H100:H10000"),"Goss",INDIRECT("Report!L100:L10000"),"24,1")</f>
        <v>2778811</v>
      </c>
    </row>
    <row r="605" spans="1:7" ht="21" customHeight="1" x14ac:dyDescent="0.25">
      <c r="A605" s="1018"/>
      <c r="B605" s="228" t="s">
        <v>4020</v>
      </c>
      <c r="C605" s="536">
        <f ca="1">SUMIFS(INDIRECT("Report!F100:F10000"),INDIRECT("Report!B100:B10000"),B605,INDIRECT("report!H100:H10000"),"Goss",INDIRECT("Report!L100:L10000"),"24,1")</f>
        <v>9515000</v>
      </c>
      <c r="D605" s="236">
        <f ca="1">(C605/11*10)</f>
        <v>8650000</v>
      </c>
      <c r="E605" s="536">
        <f ca="1">SUMIFS(INDIRECT("Report!J100:J10000"),INDIRECT("Report!B100:B10000"),B605,INDIRECT("report!H100:H10000"),"Goss",INDIRECT("Report!L100:L10000"),"24,1")</f>
        <v>2864852</v>
      </c>
    </row>
    <row r="606" spans="1:7" ht="21" customHeight="1" x14ac:dyDescent="0.25">
      <c r="A606" s="1018"/>
      <c r="B606" s="228" t="s">
        <v>610</v>
      </c>
      <c r="C606" s="536">
        <f ca="1">SUMIFS(INDIRECT("Report!F100:F10000"),INDIRECT("Report!B100:B10000"),B606,INDIRECT("report!H100:H10000"),"Goss",INDIRECT("Report!L100:L10000"),"24,1")</f>
        <v>1650000.0000000002</v>
      </c>
      <c r="D606" s="236">
        <f ca="1">(C606/11*10)</f>
        <v>1500000.0000000002</v>
      </c>
      <c r="E606" s="536">
        <f ca="1">SUMIFS(INDIRECT("Report!J100:J10000"),INDIRECT("Report!B100:B10000"),B606,INDIRECT("report!H100:H10000"),"Goss",INDIRECT("Report!L100:L10000"),"24,1")</f>
        <v>530800</v>
      </c>
    </row>
    <row r="607" spans="1:7" ht="21" customHeight="1" x14ac:dyDescent="0.25">
      <c r="A607" s="1218"/>
      <c r="C607" s="536"/>
      <c r="E607" s="536"/>
    </row>
    <row r="608" spans="1:7" ht="21" customHeight="1" x14ac:dyDescent="0.25">
      <c r="A608" s="1218"/>
      <c r="B608" s="1214" t="s">
        <v>3619</v>
      </c>
      <c r="C608" s="1220">
        <f ca="1">SUM(C604:C607)</f>
        <v>18535000</v>
      </c>
      <c r="D608" s="1220">
        <f ca="1">SUM(D604:D607)</f>
        <v>16850000</v>
      </c>
      <c r="E608" s="1220">
        <f ca="1">SUM(E604:E606)</f>
        <v>6174463</v>
      </c>
      <c r="F608" s="1217">
        <f ca="1">E608/D608</f>
        <v>0.36643697329376856</v>
      </c>
      <c r="G608" s="1216"/>
    </row>
    <row r="609" spans="1:6" ht="21" customHeight="1" x14ac:dyDescent="0.25">
      <c r="A609" s="1218"/>
      <c r="C609" s="536"/>
      <c r="D609" s="236">
        <f>(C609/11*10)</f>
        <v>0</v>
      </c>
      <c r="E609" s="536">
        <f ca="1">SUMIFS(INDIRECT("Report!J100:J10000"),INDIRECT("Report!B100:B10000"),B609,INDIRECT("report!H100:H10000"),"Goss",INDIRECT("Report!L100:L10000"),"23,7")</f>
        <v>0</v>
      </c>
    </row>
    <row r="610" spans="1:6" ht="21" customHeight="1" x14ac:dyDescent="0.25">
      <c r="A610" s="293"/>
      <c r="B610" s="277" t="s">
        <v>4019</v>
      </c>
      <c r="C610" s="543">
        <f ca="1">SUM(C604:C607)+SUM(C609:C609)</f>
        <v>18535000</v>
      </c>
      <c r="D610" s="543">
        <f ca="1">SUM(D604:D607)+SUM(D609:D609)</f>
        <v>16850000</v>
      </c>
      <c r="E610" s="543"/>
      <c r="F610" s="593"/>
    </row>
    <row r="611" spans="1:6" ht="21" customHeight="1" x14ac:dyDescent="0.25">
      <c r="A611" s="798" t="s">
        <v>4041</v>
      </c>
    </row>
    <row r="612" spans="1:6" ht="21" customHeight="1" x14ac:dyDescent="0.25">
      <c r="A612" s="1018"/>
      <c r="B612" s="228" t="s">
        <v>497</v>
      </c>
      <c r="C612" s="536">
        <f ca="1">SUMIFS(INDIRECT("Report!F100:F10000"),INDIRECT("Report!B100:B10000"),B612,INDIRECT("report!H100:H10000"),"Goss",INDIRECT("Report!L100:L10000"),"24,2")</f>
        <v>20020000.000000004</v>
      </c>
      <c r="D612" s="236">
        <f ca="1">(C612/11*10)</f>
        <v>18200000.000000004</v>
      </c>
      <c r="E612" s="536">
        <f ca="1">SUMIFS(INDIRECT("Report!J100:J10000"),INDIRECT("Report!B100:B10000"),B612,INDIRECT("report!H100:H10000"),"Goss",INDIRECT("Report!L100:L10000"),"24,2")</f>
        <v>7607217.4218103196</v>
      </c>
    </row>
    <row r="613" spans="1:6" ht="21" customHeight="1" x14ac:dyDescent="0.25">
      <c r="A613" s="1018"/>
      <c r="B613" s="228" t="s">
        <v>610</v>
      </c>
      <c r="C613" s="536">
        <f ca="1">SUMIFS(INDIRECT("Report!F100:F10000"),INDIRECT("Report!B100:B10000"),B613,INDIRECT("report!H100:H10000"),"Goss",INDIRECT("Report!L100:L10000"),"24,2")</f>
        <v>6600000.0000000009</v>
      </c>
      <c r="D613" s="236">
        <f ca="1">(C613/11*10)</f>
        <v>6000000.0000000009</v>
      </c>
      <c r="E613" s="536">
        <f ca="1">SUMIFS(INDIRECT("Report!J100:J10000"),INDIRECT("Report!B100:B10000"),B613,INDIRECT("report!H100:H10000"),"Goss",INDIRECT("Report!L100:L10000"),"24,2")</f>
        <v>4960574.3307297351</v>
      </c>
    </row>
    <row r="614" spans="1:6" ht="21" customHeight="1" x14ac:dyDescent="0.25">
      <c r="A614" s="1218"/>
      <c r="C614" s="536"/>
      <c r="E614" s="536"/>
    </row>
    <row r="615" spans="1:6" ht="21" customHeight="1" x14ac:dyDescent="0.25">
      <c r="A615" s="1218"/>
      <c r="B615" s="1214" t="s">
        <v>3619</v>
      </c>
      <c r="C615" s="1220">
        <f ca="1">SUM(C612:C614)</f>
        <v>26620000.000000004</v>
      </c>
      <c r="D615" s="1220">
        <f ca="1">SUM(D612:D614)</f>
        <v>24200000.000000004</v>
      </c>
      <c r="E615" s="1220">
        <f ca="1">SUM(E612:E613)</f>
        <v>12567791.752540056</v>
      </c>
      <c r="F615" s="1217">
        <f ca="1">E615/D615</f>
        <v>0.5193302377082667</v>
      </c>
    </row>
    <row r="616" spans="1:6" ht="21" customHeight="1" x14ac:dyDescent="0.25">
      <c r="A616" s="1218"/>
      <c r="C616" s="536"/>
      <c r="D616" s="236">
        <f>(C616/11*10)</f>
        <v>0</v>
      </c>
      <c r="E616" s="536">
        <f ca="1">SUMIFS(INDIRECT("Report!J100:J10000"),INDIRECT("Report!B100:B10000"),B616,INDIRECT("report!H100:H10000"),"Goss",INDIRECT("Report!L100:L10000"),"23,7")</f>
        <v>0</v>
      </c>
    </row>
    <row r="617" spans="1:6" ht="21" customHeight="1" x14ac:dyDescent="0.25">
      <c r="A617" s="293"/>
      <c r="B617" s="277" t="s">
        <v>4042</v>
      </c>
      <c r="C617" s="543">
        <f ca="1">SUM(C612:C614)+SUM(C616:C616)</f>
        <v>26620000.000000004</v>
      </c>
      <c r="D617" s="543">
        <f ca="1">SUM(D612:D614)+SUM(D616:D616)</f>
        <v>24200000.000000004</v>
      </c>
      <c r="E617" s="543"/>
      <c r="F617" s="593"/>
    </row>
    <row r="618" spans="1:6" ht="21" customHeight="1" x14ac:dyDescent="0.25">
      <c r="A618" s="798" t="s">
        <v>4077</v>
      </c>
    </row>
    <row r="619" spans="1:6" ht="21" customHeight="1" x14ac:dyDescent="0.25">
      <c r="A619" s="1018"/>
      <c r="B619" s="228" t="s">
        <v>497</v>
      </c>
      <c r="C619" s="536">
        <f ca="1">SUMIFS(INDIRECT("Report!F100:F10000"),INDIRECT("Report!B100:B10000"),B619,INDIRECT("report!H100:H10000"),"Goss",INDIRECT("Report!L100:L10000"),"24,3")</f>
        <v>990000.00000000012</v>
      </c>
      <c r="D619" s="236">
        <f ca="1">(C619/11*10)</f>
        <v>900000.00000000012</v>
      </c>
      <c r="E619" s="536">
        <f ca="1">SUMIFS(INDIRECT("Report!J100:J10000"),INDIRECT("Report!B100:B10000"),B619,INDIRECT("report!H100:H10000"),"Goss",INDIRECT("Report!L100:L10000"),"24,3")</f>
        <v>365000</v>
      </c>
    </row>
    <row r="620" spans="1:6" ht="21" customHeight="1" x14ac:dyDescent="0.25">
      <c r="A620" s="1018"/>
      <c r="B620" s="228" t="s">
        <v>2484</v>
      </c>
      <c r="C620" s="536">
        <f ca="1">SUMIFS(INDIRECT("Report!F100:F10000"),INDIRECT("Report!B100:B10000"),B620,INDIRECT("report!H100:H10000"),"Goss",INDIRECT("Report!L100:L10000"),"24,3")</f>
        <v>1716000</v>
      </c>
      <c r="D620" s="236">
        <f ca="1">(C620/11*10)</f>
        <v>1560000</v>
      </c>
      <c r="E620" s="536">
        <f ca="1">SUMIFS(INDIRECT("Report!J100:J10000"),INDIRECT("Report!B100:B10000"),B620,INDIRECT("report!H100:H10000"),"Goss",INDIRECT("Report!L100:L10000"),"24,3")</f>
        <v>488500</v>
      </c>
    </row>
    <row r="621" spans="1:6" ht="21" customHeight="1" x14ac:dyDescent="0.25">
      <c r="A621" s="1018"/>
      <c r="B621" s="228" t="s">
        <v>4078</v>
      </c>
      <c r="C621" s="536">
        <f ca="1">SUMIFS(INDIRECT("Report!F100:F10000"),INDIRECT("Report!B100:B10000"),B621,INDIRECT("report!H100:H10000"),"Goss",INDIRECT("Report!L100:L10000"),"24,3")</f>
        <v>605000</v>
      </c>
      <c r="D621" s="236">
        <f ca="1">(C621/11*10)</f>
        <v>550000</v>
      </c>
      <c r="E621" s="536">
        <f ca="1">SUMIFS(INDIRECT("Report!J100:J10000"),INDIRECT("Report!B100:B10000"),B621,INDIRECT("report!H100:H10000"),"Goss",INDIRECT("Report!L100:L10000"),"24,3")</f>
        <v>-10000</v>
      </c>
    </row>
    <row r="622" spans="1:6" ht="21" customHeight="1" x14ac:dyDescent="0.25">
      <c r="A622" s="1218"/>
      <c r="C622" s="536"/>
      <c r="E622" s="536"/>
    </row>
    <row r="623" spans="1:6" ht="21" customHeight="1" x14ac:dyDescent="0.25">
      <c r="A623" s="1218"/>
      <c r="B623" s="1214" t="s">
        <v>3619</v>
      </c>
      <c r="C623" s="1220">
        <f ca="1">SUM(C619:C622)</f>
        <v>3311000</v>
      </c>
      <c r="D623" s="1220">
        <f ca="1">SUM(D619:D622)</f>
        <v>3010000</v>
      </c>
      <c r="E623" s="1220">
        <f ca="1">SUM(E619:E621)</f>
        <v>843500</v>
      </c>
      <c r="F623" s="1217">
        <f ca="1">E623/D623</f>
        <v>0.2802325581395349</v>
      </c>
    </row>
    <row r="624" spans="1:6" ht="21" customHeight="1" x14ac:dyDescent="0.25">
      <c r="A624" s="1218"/>
      <c r="C624" s="536"/>
      <c r="D624" s="236">
        <f>(C624/11*10)</f>
        <v>0</v>
      </c>
      <c r="E624" s="536">
        <f ca="1">SUMIFS(INDIRECT("Report!J100:J10000"),INDIRECT("Report!B100:B10000"),B624,INDIRECT("report!H100:H10000"),"Goss",INDIRECT("Report!L100:L10000"),"23,7")</f>
        <v>0</v>
      </c>
    </row>
    <row r="625" spans="1:7" ht="21" customHeight="1" x14ac:dyDescent="0.25">
      <c r="A625" s="293"/>
      <c r="B625" s="277" t="s">
        <v>4079</v>
      </c>
      <c r="C625" s="543">
        <f ca="1">SUM(C619:C622)+SUM(C624:C624)</f>
        <v>3311000</v>
      </c>
      <c r="D625" s="543">
        <f ca="1">SUM(D619:D622)+SUM(D624:D624)</f>
        <v>3010000</v>
      </c>
      <c r="E625" s="543"/>
      <c r="F625" s="593"/>
      <c r="G625" s="336"/>
    </row>
    <row r="626" spans="1:7" ht="21" customHeight="1" x14ac:dyDescent="0.25">
      <c r="A626" s="798" t="s">
        <v>4094</v>
      </c>
    </row>
    <row r="627" spans="1:7" ht="21" customHeight="1" x14ac:dyDescent="0.25">
      <c r="A627" s="1018"/>
      <c r="B627" s="228" t="s">
        <v>497</v>
      </c>
      <c r="C627" s="536">
        <f ca="1">SUMIFS(INDIRECT("Report!F100:F10000"),INDIRECT("Report!B100:B10000"),B627,INDIRECT("report!H100:H10000"),"Goss",INDIRECT("Report!L100:L10000"),"24,4")</f>
        <v>99000.000000000015</v>
      </c>
      <c r="D627" s="236">
        <f ca="1">(C627/11*10)</f>
        <v>90000.000000000015</v>
      </c>
      <c r="E627" s="536">
        <f ca="1">SUMIFS(INDIRECT("Report!J100:J10000"),INDIRECT("Report!B100:B10000"),B627,INDIRECT("report!H100:H10000"),"Goss",INDIRECT("Report!L100:L10000"),"24,4")</f>
        <v>24760</v>
      </c>
    </row>
    <row r="628" spans="1:7" ht="21" customHeight="1" x14ac:dyDescent="0.25">
      <c r="A628" s="1018"/>
      <c r="B628" s="228" t="s">
        <v>610</v>
      </c>
      <c r="C628" s="536">
        <f ca="1">SUMIFS(INDIRECT("Report!F100:F10000"),INDIRECT("Report!B100:B10000"),B628,INDIRECT("report!H100:H10000"),"Goss",INDIRECT("Report!L100:L10000"),"24,4")</f>
        <v>4558400</v>
      </c>
      <c r="D628" s="236">
        <f ca="1">(C628/11*10)</f>
        <v>4144000</v>
      </c>
      <c r="E628" s="536">
        <f ca="1">SUMIFS(INDIRECT("Report!J100:J10000"),INDIRECT("Report!B100:B10000"),B628,INDIRECT("report!H100:H10000"),"Goss",INDIRECT("Report!L100:L10000"),"24,4")</f>
        <v>1328122</v>
      </c>
    </row>
    <row r="629" spans="1:7" ht="21" customHeight="1" x14ac:dyDescent="0.25">
      <c r="A629" s="1018"/>
      <c r="B629" s="228" t="s">
        <v>4078</v>
      </c>
      <c r="C629" s="536">
        <f ca="1">SUMIFS(INDIRECT("Report!F100:F10000"),INDIRECT("Report!B100:B10000"),B629,INDIRECT("report!H100:H10000"),"Goss",INDIRECT("Report!L100:L10000"),"24,4")</f>
        <v>1188000</v>
      </c>
      <c r="D629" s="236">
        <f ca="1">(C629/11*10)</f>
        <v>1080000</v>
      </c>
      <c r="E629" s="536">
        <f ca="1">SUMIFS(INDIRECT("Report!J100:J10000"),INDIRECT("Report!B100:B10000"),B629,INDIRECT("report!H100:H10000"),"Goss",INDIRECT("Report!L100:L10000"),"24,4")</f>
        <v>460260</v>
      </c>
    </row>
    <row r="630" spans="1:7" ht="21" customHeight="1" x14ac:dyDescent="0.25">
      <c r="A630" s="1218"/>
      <c r="C630" s="536"/>
      <c r="E630" s="536"/>
    </row>
    <row r="631" spans="1:7" ht="21" customHeight="1" x14ac:dyDescent="0.25">
      <c r="A631" s="1218"/>
      <c r="B631" s="1214" t="s">
        <v>3619</v>
      </c>
      <c r="C631" s="1220">
        <f ca="1">SUM(C627:C630)</f>
        <v>5845400</v>
      </c>
      <c r="D631" s="1220">
        <f ca="1">SUM(D627:D630)</f>
        <v>5314000</v>
      </c>
      <c r="E631" s="1220">
        <f ca="1">SUM(E627:E629)</f>
        <v>1813142</v>
      </c>
      <c r="F631" s="1217">
        <f ca="1">E631/D631</f>
        <v>0.34120097854723375</v>
      </c>
      <c r="G631" s="1216"/>
    </row>
    <row r="632" spans="1:7" ht="21" customHeight="1" x14ac:dyDescent="0.25">
      <c r="A632" s="1218"/>
      <c r="C632" s="536"/>
      <c r="D632" s="236">
        <f>(C632/11*10)</f>
        <v>0</v>
      </c>
      <c r="E632" s="536">
        <f ca="1">SUMIFS(INDIRECT("Report!J100:J10000"),INDIRECT("Report!B100:B10000"),B632,INDIRECT("report!H100:H10000"),"Goss",INDIRECT("Report!L100:L10000"),"23,7")</f>
        <v>0</v>
      </c>
    </row>
    <row r="633" spans="1:7" ht="21" customHeight="1" x14ac:dyDescent="0.25">
      <c r="A633" s="293"/>
      <c r="B633" s="277" t="s">
        <v>4095</v>
      </c>
      <c r="C633" s="543">
        <f ca="1">SUM(C627:C630)+SUM(C632:C632)</f>
        <v>5845400</v>
      </c>
      <c r="D633" s="543">
        <f ca="1">SUM(D627:D630)+SUM(D632:D632)</f>
        <v>5314000</v>
      </c>
      <c r="E633" s="543"/>
      <c r="F633" s="593"/>
      <c r="G633" s="336"/>
    </row>
    <row r="634" spans="1:7" ht="21" customHeight="1" x14ac:dyDescent="0.25">
      <c r="A634" s="798" t="s">
        <v>4115</v>
      </c>
    </row>
    <row r="635" spans="1:7" ht="21" customHeight="1" x14ac:dyDescent="0.25">
      <c r="A635" s="1018"/>
      <c r="C635" s="536"/>
      <c r="E635" s="536"/>
    </row>
    <row r="636" spans="1:7" ht="21" customHeight="1" x14ac:dyDescent="0.25">
      <c r="A636" s="1018"/>
      <c r="B636" s="228" t="s">
        <v>610</v>
      </c>
      <c r="C636" s="536">
        <f ca="1">SUMIFS(INDIRECT("Report!F100:F10000"),INDIRECT("Report!B100:B10000"),B636,INDIRECT("report!H100:H10000"),"Goss",INDIRECT("Report!L100:L10000"),"24,5")</f>
        <v>4565000</v>
      </c>
      <c r="D636" s="236">
        <f ca="1">(C636/11*10)</f>
        <v>4150000</v>
      </c>
      <c r="E636" s="536">
        <f ca="1">SUMIFS(INDIRECT("Report!J100:J10000"),INDIRECT("Report!B100:B10000"),B636,INDIRECT("report!H100:H10000"),"Goss",INDIRECT("Report!L100:L10000"),"24,5")</f>
        <v>1373608</v>
      </c>
    </row>
    <row r="637" spans="1:7" ht="21" customHeight="1" x14ac:dyDescent="0.25">
      <c r="A637" s="1218"/>
      <c r="C637" s="536"/>
      <c r="E637" s="536"/>
    </row>
    <row r="638" spans="1:7" ht="21" customHeight="1" x14ac:dyDescent="0.25">
      <c r="A638" s="1218"/>
      <c r="B638" s="1214" t="s">
        <v>3619</v>
      </c>
      <c r="C638" s="1220">
        <f ca="1">SUM(C635:C637)</f>
        <v>4565000</v>
      </c>
      <c r="D638" s="1220">
        <f ca="1">SUM(D635:D637)</f>
        <v>4150000</v>
      </c>
      <c r="E638" s="1220">
        <f ca="1">SUM(E635:E636)</f>
        <v>1373608</v>
      </c>
      <c r="F638" s="1217">
        <f ca="1">E638/D638</f>
        <v>0.33098987951807229</v>
      </c>
      <c r="G638" s="1216"/>
    </row>
    <row r="639" spans="1:7" ht="21" customHeight="1" x14ac:dyDescent="0.25">
      <c r="A639" s="1218"/>
      <c r="B639" s="228" t="s">
        <v>2484</v>
      </c>
      <c r="C639" s="536">
        <f ca="1">SUMIFS(INDIRECT("Report!F100:F10000"),INDIRECT("Report!B100:B10000"),B639,INDIRECT("report!H100:H10000"),"Goss",INDIRECT("Report!L100:L10000"),"24,5")</f>
        <v>59290000.000000007</v>
      </c>
      <c r="D639" s="236">
        <f ca="1">(C639/11*10)</f>
        <v>53900000.000000007</v>
      </c>
      <c r="E639" s="536">
        <f ca="1">SUMIFS(INDIRECT("Report!J100:J10000"),INDIRECT("Report!B100:B10000"),B639,INDIRECT("report!H100:H10000"),"Goss",INDIRECT("Report!L100:L10000"),"24,5")</f>
        <v>16841300</v>
      </c>
      <c r="G639" s="228" t="s">
        <v>4116</v>
      </c>
    </row>
    <row r="640" spans="1:7" ht="21" customHeight="1" x14ac:dyDescent="0.25">
      <c r="A640" s="293"/>
      <c r="B640" s="277" t="s">
        <v>4140</v>
      </c>
      <c r="C640" s="543">
        <f ca="1">SUM(C635:C637)+SUM(C639:C639)</f>
        <v>63855000.000000007</v>
      </c>
      <c r="D640" s="543">
        <f ca="1">SUM(D635:D637)+SUM(D639:D639)</f>
        <v>58050000.000000007</v>
      </c>
      <c r="E640" s="543"/>
      <c r="F640" s="593"/>
      <c r="G640" s="336"/>
    </row>
    <row r="641" spans="1:7" ht="21" customHeight="1" x14ac:dyDescent="0.25">
      <c r="A641" s="798" t="s">
        <v>4141</v>
      </c>
    </row>
    <row r="642" spans="1:7" ht="21" customHeight="1" x14ac:dyDescent="0.25">
      <c r="A642" s="1018"/>
      <c r="B642" s="228" t="s">
        <v>610</v>
      </c>
      <c r="C642" s="536">
        <f ca="1">SUMIFS(INDIRECT("Report!F100:F10000"),INDIRECT("Report!B100:B10000"),B642,INDIRECT("report!H100:H10000"),"Goss",INDIRECT("Report!L100:L10000"),"24,6")</f>
        <v>42900000</v>
      </c>
      <c r="D642" s="236">
        <f ca="1">(C642/11*10)</f>
        <v>39000000</v>
      </c>
      <c r="E642" s="536">
        <f ca="1">SUMIFS(INDIRECT("Report!J100:J10000"),INDIRECT("Report!B100:B10000"),B642,INDIRECT("report!H100:H10000"),"Goss",INDIRECT("Report!L100:L10000"),"24,6")</f>
        <v>9964638</v>
      </c>
    </row>
    <row r="643" spans="1:7" ht="21" customHeight="1" x14ac:dyDescent="0.25">
      <c r="A643" s="1018"/>
      <c r="B643" s="228" t="s">
        <v>4142</v>
      </c>
      <c r="C643" s="536">
        <f ca="1">SUMIFS(INDIRECT("Report!F100:F10000"),INDIRECT("Report!B100:B10000"),B643,INDIRECT("report!H100:H10000"),"Goss",INDIRECT("Report!L100:L10000"),"24,6")</f>
        <v>23034000</v>
      </c>
      <c r="D643" s="236">
        <f ca="1">(C643/11*10)</f>
        <v>20940000</v>
      </c>
      <c r="E643" s="536">
        <f ca="1">SUMIFS(INDIRECT("Report!J100:J10000"),INDIRECT("Report!B100:B10000"),B643,INDIRECT("report!H100:H10000"),"Goss",INDIRECT("Report!L100:L10000"),"24,6")</f>
        <v>8785120</v>
      </c>
    </row>
    <row r="644" spans="1:7" ht="21" customHeight="1" x14ac:dyDescent="0.25">
      <c r="A644" s="1018"/>
      <c r="B644" s="228" t="s">
        <v>497</v>
      </c>
      <c r="C644" s="536">
        <f ca="1">SUMIFS(INDIRECT("Report!F100:F10000"),INDIRECT("Report!B100:B10000"),B644,INDIRECT("report!H100:H10000"),"Goss",INDIRECT("Report!L100:L10000"),"24,6")</f>
        <v>1650000</v>
      </c>
      <c r="D644" s="236">
        <f ca="1">(C644/11*10)</f>
        <v>1500000</v>
      </c>
      <c r="E644" s="536">
        <f ca="1">SUMIFS(INDIRECT("Report!J100:J10000"),INDIRECT("Report!B100:B10000"),B644,INDIRECT("report!H100:H10000"),"Goss",INDIRECT("Report!L100:L10000"),"24,6")</f>
        <v>425000</v>
      </c>
    </row>
    <row r="645" spans="1:7" ht="21" customHeight="1" x14ac:dyDescent="0.25">
      <c r="A645" s="1018"/>
      <c r="B645" s="228" t="s">
        <v>2484</v>
      </c>
      <c r="C645" s="536">
        <f ca="1">SUMIFS(INDIRECT("Report!F100:F10000"),INDIRECT("Report!B100:B10000"),B645,INDIRECT("report!H100:H10000"),"Goss",INDIRECT("Report!L100:L10000"),"24,6")</f>
        <v>15950000.000000002</v>
      </c>
      <c r="D645" s="236">
        <f ca="1">(C645/11*10)</f>
        <v>14500000.000000002</v>
      </c>
      <c r="E645" s="536">
        <f ca="1">SUMIFS(INDIRECT("Report!J100:J10000"),INDIRECT("Report!B100:B10000"),B645,INDIRECT("report!H100:H10000"),"Goss",INDIRECT("Report!L100:L10000"),"24,6")</f>
        <v>3600000</v>
      </c>
    </row>
    <row r="646" spans="1:7" ht="21" customHeight="1" x14ac:dyDescent="0.25">
      <c r="A646" s="1218"/>
      <c r="C646" s="536"/>
      <c r="E646" s="536"/>
    </row>
    <row r="647" spans="1:7" ht="21" customHeight="1" x14ac:dyDescent="0.25">
      <c r="A647" s="1218"/>
      <c r="B647" s="1214" t="s">
        <v>3619</v>
      </c>
      <c r="C647" s="1220">
        <f ca="1">SUM(C642:C646)</f>
        <v>83534000</v>
      </c>
      <c r="D647" s="1220">
        <f ca="1">SUM(D642:D646)</f>
        <v>75940000</v>
      </c>
      <c r="E647" s="1220">
        <f ca="1">SUM(E643:E645)</f>
        <v>12810120</v>
      </c>
      <c r="F647" s="1217">
        <f ca="1">E647/D647</f>
        <v>0.16868738477745587</v>
      </c>
      <c r="G647" s="1216"/>
    </row>
    <row r="648" spans="1:7" ht="21" customHeight="1" x14ac:dyDescent="0.25">
      <c r="A648" s="1218"/>
      <c r="C648" s="227"/>
      <c r="D648" s="228"/>
      <c r="E648" s="228"/>
      <c r="F648" s="228"/>
    </row>
    <row r="649" spans="1:7" ht="21" customHeight="1" x14ac:dyDescent="0.25">
      <c r="A649" s="1218"/>
      <c r="C649" s="227"/>
      <c r="D649" s="228"/>
      <c r="E649" s="228"/>
      <c r="F649" s="228"/>
    </row>
    <row r="650" spans="1:7" ht="21" customHeight="1" x14ac:dyDescent="0.25">
      <c r="A650" s="1218"/>
      <c r="B650" s="228" t="s">
        <v>4143</v>
      </c>
      <c r="C650" s="536">
        <f ca="1">SUMIFS(INDIRECT("Report!F100:F10000"),INDIRECT("Report!B100:B10000"),B650,INDIRECT("report!H100:H10000"),"Goss",INDIRECT("Report!L100:L10000"),"24,6")</f>
        <v>87780000</v>
      </c>
      <c r="D650" s="236">
        <f ca="1">(C650/11*10)</f>
        <v>79800000</v>
      </c>
      <c r="E650" s="536">
        <f ca="1">SUMIFS(INDIRECT("Report!J100:J10000"),INDIRECT("Report!B100:B10000"),B650,INDIRECT("report!H100:H10000"),"Goss",INDIRECT("Report!L100:L10000"),"24,6")</f>
        <v>18825739</v>
      </c>
      <c r="G650" s="228" t="s">
        <v>4144</v>
      </c>
    </row>
    <row r="651" spans="1:7" ht="21" customHeight="1" x14ac:dyDescent="0.25">
      <c r="A651" s="293"/>
      <c r="B651" s="277" t="s">
        <v>4145</v>
      </c>
      <c r="C651" s="543">
        <f ca="1">SUM(C642:C646)+SUM(C650:C650)</f>
        <v>171314000</v>
      </c>
      <c r="D651" s="543">
        <f ca="1">SUM(D642:D646)+SUM(D650:D650)</f>
        <v>155740000</v>
      </c>
      <c r="E651" s="543"/>
      <c r="F651" s="593"/>
      <c r="G651" s="336"/>
    </row>
    <row r="652" spans="1:7" ht="21" customHeight="1" x14ac:dyDescent="0.25">
      <c r="A652" s="798" t="s">
        <v>4165</v>
      </c>
    </row>
    <row r="653" spans="1:7" ht="21" customHeight="1" x14ac:dyDescent="0.25">
      <c r="A653" s="1218"/>
      <c r="C653" s="536"/>
      <c r="E653" s="536"/>
    </row>
    <row r="654" spans="1:7" ht="21" customHeight="1" x14ac:dyDescent="0.25">
      <c r="A654" s="1218"/>
      <c r="B654" s="1214" t="s">
        <v>3619</v>
      </c>
      <c r="C654" s="1220">
        <f>SUM(C653:C653)</f>
        <v>0</v>
      </c>
      <c r="D654" s="1220">
        <f>SUM(D653:D653)</f>
        <v>0</v>
      </c>
      <c r="E654" s="1220" t="e">
        <f>SUM(#REF!)</f>
        <v>#REF!</v>
      </c>
      <c r="F654" s="1217" t="e">
        <f>E654/D654</f>
        <v>#REF!</v>
      </c>
      <c r="G654" s="1216"/>
    </row>
    <row r="657" spans="1:7" ht="21" customHeight="1" x14ac:dyDescent="0.25">
      <c r="A657" s="1218"/>
      <c r="B657" s="228" t="s">
        <v>3576</v>
      </c>
      <c r="C657" s="536">
        <f ca="1">SUMIFS(INDIRECT("Report!F100:F10000"),INDIRECT("Report!B100:B10000"),B657,INDIRECT("report!H100:H10000"),"Goss",INDIRECT("Report!L100:L10000"),"24,7")</f>
        <v>71280000</v>
      </c>
      <c r="D657" s="236">
        <f ca="1">(C657/11*10)</f>
        <v>64800000</v>
      </c>
      <c r="E657" s="536">
        <f ca="1">SUMIFS(INDIRECT("Report!J100:J10000"),INDIRECT("Report!B100:B10000"),B657,INDIRECT("report!H100:H10000"),"Goss",INDIRECT("Report!L100:L10000"),"24,7")</f>
        <v>0</v>
      </c>
      <c r="G657" s="228" t="s">
        <v>4167</v>
      </c>
    </row>
    <row r="658" spans="1:7" ht="21" customHeight="1" x14ac:dyDescent="0.25">
      <c r="A658" s="293"/>
      <c r="B658" s="277" t="s">
        <v>4166</v>
      </c>
      <c r="C658" s="543">
        <f ca="1">SUM(C653:C653)+SUM(C657:C657)</f>
        <v>71280000</v>
      </c>
      <c r="D658" s="543">
        <f ca="1">SUM(D653:D653)+SUM(D657:D657)</f>
        <v>64800000</v>
      </c>
      <c r="E658" s="543"/>
      <c r="F658" s="593"/>
      <c r="G658" s="336"/>
    </row>
    <row r="659" spans="1:7" ht="21" customHeight="1" x14ac:dyDescent="0.25">
      <c r="A659" s="798" t="s">
        <v>4190</v>
      </c>
      <c r="B659" s="228" t="s">
        <v>497</v>
      </c>
      <c r="C659" s="536">
        <f ca="1">SUMIFS(INDIRECT("Report!F100:F10000"),INDIRECT("Report!B100:B10000"),B659,INDIRECT("report!H100:H10000"),"Goss",INDIRECT("Report!L100:L10000"),"24,8")</f>
        <v>10725000</v>
      </c>
      <c r="D659" s="236">
        <f ca="1">(C659/11*10)</f>
        <v>9750000</v>
      </c>
      <c r="E659" s="536">
        <f ca="1">SUMIFS(INDIRECT("Report!J100:J10000"),INDIRECT("Report!B100:B10000"),B659,INDIRECT("report!H100:H10000"),"Goss",INDIRECT("Report!L100:L10000"),"24,8")</f>
        <v>0</v>
      </c>
    </row>
    <row r="660" spans="1:7" ht="21" customHeight="1" x14ac:dyDescent="0.25">
      <c r="A660" s="1218"/>
      <c r="C660" s="536"/>
      <c r="E660" s="536"/>
    </row>
    <row r="661" spans="1:7" ht="21" customHeight="1" x14ac:dyDescent="0.25">
      <c r="A661" s="1218"/>
      <c r="B661" s="1214" t="s">
        <v>3619</v>
      </c>
      <c r="C661" s="1220">
        <f ca="1">SUM(C659:C660)</f>
        <v>10725000</v>
      </c>
      <c r="D661" s="1220">
        <f ca="1">SUM(D659:D660)</f>
        <v>9750000</v>
      </c>
      <c r="E661" s="1220" t="e">
        <f>SUM(#REF!)</f>
        <v>#REF!</v>
      </c>
      <c r="F661" s="1217" t="e">
        <f ca="1">E661/D661</f>
        <v>#REF!</v>
      </c>
      <c r="G661" s="1216"/>
    </row>
    <row r="662" spans="1:7" ht="21" customHeight="1" x14ac:dyDescent="0.25">
      <c r="A662" s="1218"/>
      <c r="C662" s="227"/>
      <c r="D662" s="228"/>
      <c r="E662" s="228"/>
      <c r="F662" s="228"/>
    </row>
    <row r="663" spans="1:7" ht="21" customHeight="1" x14ac:dyDescent="0.25">
      <c r="A663" s="1218"/>
      <c r="C663" s="536"/>
      <c r="E663" s="536"/>
    </row>
    <row r="664" spans="1:7" ht="21" customHeight="1" x14ac:dyDescent="0.25">
      <c r="A664" s="293"/>
      <c r="B664" s="277" t="s">
        <v>4191</v>
      </c>
      <c r="C664" s="543">
        <f ca="1">SUM(C659:C660)+SUM(C663:C663)</f>
        <v>10725000</v>
      </c>
      <c r="D664" s="543">
        <f ca="1">SUM(D659:D660)+SUM(D663:D663)</f>
        <v>9750000</v>
      </c>
      <c r="E664" s="543"/>
      <c r="F664" s="593"/>
      <c r="G664" s="336"/>
    </row>
    <row r="665" spans="1:7" ht="21" customHeight="1" x14ac:dyDescent="0.25">
      <c r="A665" s="798" t="s">
        <v>4206</v>
      </c>
      <c r="B665" s="228" t="s">
        <v>497</v>
      </c>
      <c r="C665" s="536">
        <f ca="1">SUMIFS(INDIRECT("Report!F100:F10000"),INDIRECT("Report!B100:B10000"),B665,INDIRECT("report!H100:H10000"),"Goss",INDIRECT("Report!L100:L10000"),"24,9")</f>
        <v>3960000.0000000005</v>
      </c>
      <c r="D665" s="236">
        <f ca="1">(C665/11*10)</f>
        <v>3600000.0000000005</v>
      </c>
      <c r="E665" s="536">
        <f ca="1">SUMIFS(INDIRECT("Report!J100:J10000"),INDIRECT("Report!B100:B10000"),B665,INDIRECT("report!H100:H10000"),"Goss",INDIRECT("Report!L100:L10000"),"24,8")</f>
        <v>0</v>
      </c>
    </row>
    <row r="666" spans="1:7" ht="21" customHeight="1" x14ac:dyDescent="0.25">
      <c r="A666" s="1218"/>
      <c r="B666" s="228" t="s">
        <v>4020</v>
      </c>
      <c r="C666" s="536">
        <f ca="1">SUMIFS(INDIRECT("Report!F100:F10000"),INDIRECT("Report!B100:B10000"),B666,INDIRECT("report!H100:H10000"),"Goss",INDIRECT("Report!L100:L10000"),"24,9")</f>
        <v>990000.00000000012</v>
      </c>
      <c r="D666" s="236">
        <f ca="1">(C666/11*10)</f>
        <v>900000.00000000012</v>
      </c>
      <c r="E666" s="536"/>
    </row>
    <row r="667" spans="1:7" ht="21" customHeight="1" x14ac:dyDescent="0.25">
      <c r="A667" s="1218"/>
      <c r="B667" s="1214" t="s">
        <v>3619</v>
      </c>
      <c r="C667" s="1220">
        <f ca="1">SUM(C665:C666)</f>
        <v>4950000.0000000009</v>
      </c>
      <c r="D667" s="1220">
        <f ca="1">SUM(D665:D666)</f>
        <v>4500000.0000000009</v>
      </c>
      <c r="E667" s="1220" t="e">
        <f>SUM(#REF!)</f>
        <v>#REF!</v>
      </c>
      <c r="F667" s="1217" t="e">
        <f ca="1">E667/D667</f>
        <v>#REF!</v>
      </c>
      <c r="G667" s="1216"/>
    </row>
    <row r="668" spans="1:7" ht="21" customHeight="1" x14ac:dyDescent="0.25">
      <c r="A668" s="1218"/>
      <c r="C668" s="227"/>
      <c r="D668" s="228"/>
      <c r="E668" s="228"/>
      <c r="F668" s="228"/>
    </row>
    <row r="669" spans="1:7" ht="21" customHeight="1" x14ac:dyDescent="0.25">
      <c r="A669" s="1218"/>
      <c r="C669" s="536"/>
      <c r="E669" s="536"/>
    </row>
    <row r="670" spans="1:7" ht="21" customHeight="1" x14ac:dyDescent="0.25">
      <c r="A670" s="293"/>
      <c r="B670" s="277" t="s">
        <v>4207</v>
      </c>
      <c r="C670" s="543">
        <f ca="1">SUM(C665:C666)+SUM(C669:C669)</f>
        <v>4950000.0000000009</v>
      </c>
      <c r="D670" s="543">
        <f ca="1">SUM(D665:D666)+SUM(D669:D669)</f>
        <v>4500000.0000000009</v>
      </c>
      <c r="E670" s="543"/>
      <c r="F670" s="593"/>
      <c r="G670" s="336"/>
    </row>
    <row r="671" spans="1:7" ht="21" customHeight="1" x14ac:dyDescent="0.25">
      <c r="A671" s="798" t="s">
        <v>4224</v>
      </c>
      <c r="B671" s="228" t="s">
        <v>497</v>
      </c>
      <c r="C671" s="536"/>
      <c r="E671" s="536">
        <f ca="1">SUMIFS(INDIRECT("Report!J100:J10000"),INDIRECT("Report!B100:B10000"),B671,INDIRECT("report!H100:H10000"),"Goss",INDIRECT("Report!L100:L10000"),"24,8")</f>
        <v>0</v>
      </c>
    </row>
    <row r="672" spans="1:7" ht="21" customHeight="1" x14ac:dyDescent="0.25">
      <c r="A672" s="1218"/>
      <c r="B672" s="228" t="s">
        <v>4020</v>
      </c>
      <c r="C672" s="536"/>
      <c r="E672" s="536"/>
    </row>
    <row r="673" spans="1:7" ht="21" customHeight="1" x14ac:dyDescent="0.25">
      <c r="A673" s="1218"/>
      <c r="B673" s="1214" t="s">
        <v>3619</v>
      </c>
      <c r="C673" s="1220">
        <f>SUM(C671:C672)</f>
        <v>0</v>
      </c>
      <c r="D673" s="1220">
        <f>SUM(D671:D672)</f>
        <v>0</v>
      </c>
      <c r="E673" s="1220" t="e">
        <f>SUM(#REF!)</f>
        <v>#REF!</v>
      </c>
      <c r="F673" s="1217" t="e">
        <f>E673/D673</f>
        <v>#REF!</v>
      </c>
      <c r="G673" s="1216"/>
    </row>
    <row r="674" spans="1:7" ht="21" customHeight="1" x14ac:dyDescent="0.25">
      <c r="A674" s="1218"/>
      <c r="C674" s="227"/>
      <c r="D674" s="228"/>
      <c r="E674" s="228"/>
      <c r="F674" s="228"/>
    </row>
    <row r="675" spans="1:7" ht="21" customHeight="1" x14ac:dyDescent="0.25">
      <c r="A675" s="1218"/>
      <c r="B675" s="228" t="s">
        <v>3576</v>
      </c>
      <c r="C675" s="536">
        <f ca="1">SUMIFS(INDIRECT("Report!F100:F10000"),INDIRECT("Report!B100:B10000"),B675,INDIRECT("report!H100:H10000"),"Goss",INDIRECT("Report!L100:L10000"),"24,10")</f>
        <v>199870000</v>
      </c>
      <c r="D675" s="236">
        <f ca="1">(C675/11*10)</f>
        <v>181700000</v>
      </c>
      <c r="E675" s="536"/>
      <c r="G675" s="228" t="s">
        <v>4226</v>
      </c>
    </row>
    <row r="676" spans="1:7" ht="21" customHeight="1" x14ac:dyDescent="0.25">
      <c r="A676" s="293"/>
      <c r="B676" s="277" t="s">
        <v>4225</v>
      </c>
      <c r="C676" s="543">
        <f ca="1">SUM(C671:C672)+SUM(C675:C675)</f>
        <v>199870000</v>
      </c>
      <c r="D676" s="543">
        <f ca="1">SUM(D671:D672)+SUM(D675:D675)</f>
        <v>181700000</v>
      </c>
      <c r="E676" s="543"/>
      <c r="F676" s="593"/>
      <c r="G676" s="336"/>
    </row>
    <row r="677" spans="1:7" ht="21" customHeight="1" x14ac:dyDescent="0.25">
      <c r="A677" s="798" t="s">
        <v>4229</v>
      </c>
      <c r="B677" s="228" t="s">
        <v>2352</v>
      </c>
      <c r="C677" s="536">
        <f ca="1">SUMIFS(INDIRECT("Report!F100:F10000"),INDIRECT("Report!B100:B10000"),B677,INDIRECT("report!H100:H10000"),"Goss",INDIRECT("Report!L100:L10000"),"24,11")</f>
        <v>550000</v>
      </c>
      <c r="D677" s="236">
        <f ca="1">(C677/11*10)</f>
        <v>500000</v>
      </c>
      <c r="E677" s="536">
        <f ca="1">SUMIFS(INDIRECT("Report!J100:J10000"),INDIRECT("Report!B100:B10000"),B677,INDIRECT("report!H100:H10000"),"Goss",INDIRECT("Report!L100:L10000"),"24,8")</f>
        <v>0</v>
      </c>
    </row>
    <row r="678" spans="1:7" ht="21" customHeight="1" x14ac:dyDescent="0.25">
      <c r="A678" s="1018"/>
      <c r="B678" s="228" t="s">
        <v>550</v>
      </c>
      <c r="C678" s="536">
        <f ca="1">SUMIFS(INDIRECT("Report!F100:F10000"),INDIRECT("Report!B100:B10000"),B678,INDIRECT("report!H100:H10000"),"Goss",INDIRECT("Report!L100:L10000"),"24,11")</f>
        <v>10725000</v>
      </c>
      <c r="D678" s="236">
        <f ca="1">(C678/11*10)</f>
        <v>9750000</v>
      </c>
      <c r="E678" s="536"/>
    </row>
    <row r="679" spans="1:7" ht="21" customHeight="1" x14ac:dyDescent="0.25">
      <c r="A679" s="1218"/>
      <c r="B679" s="228" t="s">
        <v>2261</v>
      </c>
      <c r="C679" s="536">
        <f ca="1">SUMIFS(INDIRECT("Report!F100:F10000"),INDIRECT("Report!B100:B10000"),B679,INDIRECT("report!H100:H10000"),"Goss",INDIRECT("Report!L100:L10000"),"24,11")</f>
        <v>990000.00000000012</v>
      </c>
      <c r="D679" s="236">
        <f ca="1">(C679/11*10)</f>
        <v>900000.00000000012</v>
      </c>
      <c r="E679" s="536"/>
    </row>
    <row r="680" spans="1:7" ht="21" customHeight="1" x14ac:dyDescent="0.25">
      <c r="A680" s="1218"/>
      <c r="B680" s="1214" t="s">
        <v>3619</v>
      </c>
      <c r="C680" s="1220">
        <f ca="1">SUM(C677:C679)</f>
        <v>12265000</v>
      </c>
      <c r="D680" s="1220">
        <f ca="1">SUM(D677:D679)</f>
        <v>11150000</v>
      </c>
      <c r="E680" s="1220" t="e">
        <f>SUM(#REF!)</f>
        <v>#REF!</v>
      </c>
      <c r="F680" s="1217" t="e">
        <f ca="1">E680/D680</f>
        <v>#REF!</v>
      </c>
      <c r="G680" s="1216"/>
    </row>
    <row r="681" spans="1:7" ht="21" customHeight="1" x14ac:dyDescent="0.25">
      <c r="A681" s="1218"/>
      <c r="C681" s="227"/>
      <c r="D681" s="228"/>
      <c r="E681" s="228"/>
      <c r="F681" s="228"/>
    </row>
    <row r="682" spans="1:7" ht="21" customHeight="1" x14ac:dyDescent="0.25">
      <c r="A682" s="1218"/>
      <c r="B682" s="228" t="s">
        <v>3581</v>
      </c>
      <c r="C682" s="536">
        <f ca="1">SUMIFS(INDIRECT("Report!F100:F10000"),INDIRECT("Report!B100:B10000"),B682,INDIRECT("report!H100:H10000"),"Goss",INDIRECT("Report!L100:L10000"),"24,11")</f>
        <v>30250000.000000004</v>
      </c>
      <c r="D682" s="236">
        <f ca="1">(C682/11*10)</f>
        <v>27500000.000000004</v>
      </c>
      <c r="E682" s="536"/>
      <c r="G682" s="228" t="s">
        <v>4268</v>
      </c>
    </row>
    <row r="683" spans="1:7" ht="21" customHeight="1" x14ac:dyDescent="0.25">
      <c r="A683" s="293"/>
      <c r="B683" s="277" t="s">
        <v>4269</v>
      </c>
      <c r="C683" s="543">
        <f ca="1">SUM(C677:C679)+SUM(C682:C682)</f>
        <v>42515000</v>
      </c>
      <c r="D683" s="543">
        <f ca="1">SUM(D677:D679)+SUM(D682:D682)</f>
        <v>38650000</v>
      </c>
      <c r="E683" s="543"/>
      <c r="F683" s="593"/>
      <c r="G683" s="336"/>
    </row>
    <row r="684" spans="1:7" ht="21" customHeight="1" x14ac:dyDescent="0.25">
      <c r="A684" s="798" t="s">
        <v>4248</v>
      </c>
      <c r="B684" s="228" t="s">
        <v>443</v>
      </c>
      <c r="C684" s="536">
        <f ca="1">SUMIFS(INDIRECT("Report!F100:F10000"),INDIRECT("Report!B100:B10000"),B684,INDIRECT("report!H100:H10000"),"Goss",INDIRECT("Report!L100:L10000"),"24,12")</f>
        <v>3910500.0000000005</v>
      </c>
      <c r="D684" s="236">
        <f ca="1">(C684/11*10)</f>
        <v>3555000.0000000005</v>
      </c>
      <c r="E684" s="536">
        <f ca="1">SUMIFS(INDIRECT("Report!J100:J10000"),INDIRECT("Report!B100:B10000"),B684,INDIRECT("report!H100:H10000"),"Goss",INDIRECT("Report!L100:L10000"),"24,12")</f>
        <v>1015000</v>
      </c>
    </row>
    <row r="685" spans="1:7" ht="21" customHeight="1" x14ac:dyDescent="0.25">
      <c r="A685" s="1018"/>
      <c r="B685" s="228" t="s">
        <v>446</v>
      </c>
      <c r="C685" s="536">
        <f ca="1">SUMIFS(INDIRECT("Report!F100:F10000"),INDIRECT("Report!B100:B10000"),B685,INDIRECT("report!H100:H10000"),"Goss",INDIRECT("Report!L100:L10000"),"24,12")</f>
        <v>6061000.0000000009</v>
      </c>
      <c r="D685" s="236">
        <f ca="1">(C685/11*10)</f>
        <v>5510000.0000000009</v>
      </c>
      <c r="E685" s="536">
        <f ca="1">SUMIFS(INDIRECT("Report!J100:J10000"),INDIRECT("Report!B100:B10000"),B685,INDIRECT("report!H100:H10000"),"Goss",INDIRECT("Report!L100:L10000"),"24,12")</f>
        <v>620000</v>
      </c>
    </row>
    <row r="686" spans="1:7" ht="21" customHeight="1" x14ac:dyDescent="0.25">
      <c r="A686" s="1218"/>
      <c r="B686" s="228" t="s">
        <v>2261</v>
      </c>
      <c r="C686" s="536">
        <f ca="1">SUMIFS(INDIRECT("Report!F100:F10000"),INDIRECT("Report!B100:B10000"),B686,INDIRECT("report!H100:H10000"),"Goss",INDIRECT("Report!L100:L10000"),"24,12")</f>
        <v>1892000.0000000002</v>
      </c>
      <c r="D686" s="236">
        <f ca="1">(C686/11*10)</f>
        <v>1720000.0000000002</v>
      </c>
      <c r="E686" s="536">
        <f ca="1">SUMIFS(INDIRECT("Report!J100:J10000"),INDIRECT("Report!B100:B10000"),B686,INDIRECT("report!H100:H10000"),"Goss",INDIRECT("Report!L100:L10000"),"24,12")</f>
        <v>660000</v>
      </c>
    </row>
    <row r="687" spans="1:7" ht="21" customHeight="1" x14ac:dyDescent="0.25">
      <c r="A687" s="1218"/>
      <c r="B687" s="1214" t="s">
        <v>3619</v>
      </c>
      <c r="C687" s="1220">
        <f ca="1">SUM(C684:C686)</f>
        <v>11863500.000000002</v>
      </c>
      <c r="D687" s="1220">
        <f ca="1">SUM(D684:D686)</f>
        <v>10785000.000000002</v>
      </c>
      <c r="E687" s="1220">
        <f ca="1">SUM(E684:E686)</f>
        <v>2295000</v>
      </c>
      <c r="F687" s="1217">
        <f ca="1">E687/D687</f>
        <v>0.2127955493741307</v>
      </c>
      <c r="G687" s="1216"/>
    </row>
    <row r="688" spans="1:7" ht="21" customHeight="1" x14ac:dyDescent="0.25">
      <c r="A688" s="1218"/>
      <c r="C688" s="227"/>
      <c r="D688" s="228"/>
      <c r="E688" s="228"/>
      <c r="F688" s="228"/>
    </row>
    <row r="689" spans="1:7" ht="21" customHeight="1" x14ac:dyDescent="0.25">
      <c r="A689" s="1218"/>
      <c r="B689" s="228" t="s">
        <v>3575</v>
      </c>
      <c r="C689" s="536">
        <f ca="1">SUMIFS(INDIRECT("Report!F100:F10000"),INDIRECT("Report!B100:B10000"),B689,INDIRECT("report!H100:H10000"),"Goss",INDIRECT("Report!L100:L10000"),"24,12")</f>
        <v>25080000.000000004</v>
      </c>
      <c r="D689" s="236">
        <f ca="1">(C689/11*10)</f>
        <v>22800000.000000004</v>
      </c>
      <c r="E689" s="536"/>
      <c r="G689" s="228" t="s">
        <v>4271</v>
      </c>
    </row>
    <row r="690" spans="1:7" ht="21" customHeight="1" x14ac:dyDescent="0.25">
      <c r="A690" s="293"/>
      <c r="B690" s="277" t="s">
        <v>4270</v>
      </c>
      <c r="C690" s="543">
        <f ca="1">SUM(C684:C686)+SUM(C689:C689)</f>
        <v>36943500.000000007</v>
      </c>
      <c r="D690" s="543">
        <f ca="1">SUM(D684:D686)+SUM(D689:D689)</f>
        <v>33585000.000000007</v>
      </c>
      <c r="E690" s="543"/>
      <c r="F690" s="593"/>
      <c r="G690" s="336"/>
    </row>
    <row r="691" spans="1:7" ht="21" customHeight="1" x14ac:dyDescent="0.25">
      <c r="A691" s="798" t="s">
        <v>4274</v>
      </c>
      <c r="B691" s="228" t="s">
        <v>443</v>
      </c>
      <c r="C691" s="536">
        <f ca="1">SUMIFS(INDIRECT("Report!F100:F10000"),INDIRECT("Report!B100:B10000"),B691,INDIRECT("report!H100:H10000"),"Goss",INDIRECT("Report!L100:L10000"),"25,1")</f>
        <v>12914000</v>
      </c>
      <c r="D691" s="236">
        <f ca="1">(C691/11*10)</f>
        <v>11740000</v>
      </c>
      <c r="E691" s="536">
        <f ca="1">SUMIFS(INDIRECT("Report!J100:J10000"),INDIRECT("Report!B100:B10000"),B691,INDIRECT("report!H100:H10000"),"Goss",INDIRECT("Report!L100:L10000"),"25,1")</f>
        <v>11740000</v>
      </c>
    </row>
    <row r="692" spans="1:7" ht="21" customHeight="1" x14ac:dyDescent="0.25">
      <c r="A692" s="1018"/>
      <c r="B692" s="228" t="s">
        <v>446</v>
      </c>
      <c r="C692" s="536">
        <f ca="1">SUMIFS(INDIRECT("Report!F100:F10000"),INDIRECT("Report!B100:B10000"),B692,INDIRECT("report!H100:H10000"),"Goss",INDIRECT("Report!L100:L10000"),"25,1")</f>
        <v>6930000</v>
      </c>
      <c r="D692" s="236">
        <f ca="1">(C692/11*10)</f>
        <v>6300000</v>
      </c>
      <c r="E692" s="536">
        <f ca="1">SUMIFS(INDIRECT("Report!J100:J10000"),INDIRECT("Report!B100:B10000"),B692,INDIRECT("report!H100:H10000"),"Goss",INDIRECT("Report!L100:L10000"),"25,1")</f>
        <v>6047840</v>
      </c>
    </row>
    <row r="693" spans="1:7" ht="21" customHeight="1" x14ac:dyDescent="0.25">
      <c r="A693" s="1218"/>
      <c r="B693" s="228" t="s">
        <v>2261</v>
      </c>
      <c r="C693" s="536">
        <f ca="1">SUMIFS(INDIRECT("Report!F100:F10000"),INDIRECT("Report!B100:B10000"),B693,INDIRECT("report!H100:H10000"),"Goss",INDIRECT("Report!L100:L10000"),"25,1")</f>
        <v>2665960</v>
      </c>
      <c r="D693" s="236">
        <f ca="1">(C693/11*10)</f>
        <v>2423600</v>
      </c>
      <c r="E693" s="536">
        <f ca="1">SUMIFS(INDIRECT("Report!J100:J10000"),INDIRECT("Report!B100:B10000"),B693,INDIRECT("report!H100:H10000"),"Goss",INDIRECT("Report!L100:L10000"),"25,1")</f>
        <v>2423600</v>
      </c>
    </row>
    <row r="694" spans="1:7" ht="21" customHeight="1" x14ac:dyDescent="0.25">
      <c r="A694" s="1218"/>
      <c r="B694" s="228" t="s">
        <v>4291</v>
      </c>
      <c r="C694" s="536">
        <f ca="1">SUMIFS(INDIRECT("Report!F100:F10000"),INDIRECT("Report!B100:B10000"),B694,INDIRECT("report!H100:H10000"),"Goss",INDIRECT("Report!L100:L10000"),"25,1")</f>
        <v>990000</v>
      </c>
      <c r="D694" s="236">
        <f ca="1">(C694/11*10)</f>
        <v>900000</v>
      </c>
      <c r="E694" s="536">
        <f ca="1">SUMIFS(INDIRECT("Report!J100:J10000"),INDIRECT("Report!B100:B10000"),B694,INDIRECT("report!H100:H10000"),"Goss",INDIRECT("Report!L100:L10000"),"25,1")</f>
        <v>900000</v>
      </c>
    </row>
    <row r="695" spans="1:7" ht="21" customHeight="1" x14ac:dyDescent="0.25">
      <c r="A695" s="1218"/>
      <c r="B695" s="1214" t="s">
        <v>3619</v>
      </c>
      <c r="C695" s="1220">
        <f ca="1">SUM(C691:C693)</f>
        <v>22509960</v>
      </c>
      <c r="D695" s="1220">
        <f ca="1">SUM(D691:D693)</f>
        <v>20463600</v>
      </c>
      <c r="E695" s="1220">
        <f ca="1">SUM(E691:E693)</f>
        <v>20211440</v>
      </c>
      <c r="F695" s="1217">
        <f ca="1">E695/D695</f>
        <v>0.98767763247913365</v>
      </c>
      <c r="G695" s="1216"/>
    </row>
    <row r="696" spans="1:7" ht="21" customHeight="1" x14ac:dyDescent="0.25">
      <c r="A696" s="1218"/>
      <c r="C696" s="227"/>
      <c r="D696" s="228"/>
      <c r="E696" s="228"/>
      <c r="F696" s="228"/>
    </row>
    <row r="697" spans="1:7" ht="21" customHeight="1" x14ac:dyDescent="0.25">
      <c r="A697" s="1218"/>
      <c r="B697" s="228" t="s">
        <v>3581</v>
      </c>
      <c r="C697" s="536">
        <f ca="1">SUMIFS(INDIRECT("Report!F100:F10000"),INDIRECT("Report!B100:B10000"),B697,INDIRECT("report!H100:H10000"),"Goss",INDIRECT("Report!L100:L10000"),"25,1")</f>
        <v>19470000.000000004</v>
      </c>
      <c r="D697" s="236">
        <f ca="1">(C697/11*10)</f>
        <v>17700000.000000004</v>
      </c>
      <c r="E697" s="536">
        <f ca="1">SUMIFS(INDIRECT("Report!J100:J10000"),INDIRECT("Report!B100:B10000"),B697,INDIRECT("report!H100:H10000"),"Goss",INDIRECT("Report!L100:L10000"),"25,1")</f>
        <v>17700000</v>
      </c>
      <c r="G697" s="228" t="s">
        <v>4292</v>
      </c>
    </row>
    <row r="698" spans="1:7" ht="21" customHeight="1" x14ac:dyDescent="0.25">
      <c r="A698" s="293"/>
      <c r="B698" s="277" t="s">
        <v>4290</v>
      </c>
      <c r="C698" s="543">
        <f ca="1">SUM(C691:C694)+SUM(C697:C697)</f>
        <v>42969960</v>
      </c>
      <c r="D698" s="543">
        <f ca="1">SUM(D691:D694)+SUM(D697:D697)</f>
        <v>39063600</v>
      </c>
      <c r="E698" s="543"/>
      <c r="F698" s="593"/>
      <c r="G698" s="336"/>
    </row>
    <row r="699" spans="1:7" ht="21" customHeight="1" x14ac:dyDescent="0.25">
      <c r="A699" s="798" t="s">
        <v>4295</v>
      </c>
      <c r="B699" s="228" t="s">
        <v>3041</v>
      </c>
      <c r="C699" s="536">
        <f ca="1">SUMIFS(INDIRECT("Report!F100:F10000"),INDIRECT("Report!B100:B10000"),B699,INDIRECT("report!H100:H10000"),"Goss",INDIRECT("Report!L100:L10000"),"25,2")</f>
        <v>19800000</v>
      </c>
      <c r="D699" s="236">
        <f ca="1">(C699/11*10)</f>
        <v>18000000</v>
      </c>
      <c r="E699" s="536">
        <f ca="1">SUMIFS(INDIRECT("Report!J100:J10000"),INDIRECT("Report!B100:B10000"),B699,INDIRECT("report!H100:H10000"),"Goss",INDIRECT("Report!L100:L10000"),"25,2")</f>
        <v>1725000</v>
      </c>
    </row>
    <row r="700" spans="1:7" ht="21" customHeight="1" x14ac:dyDescent="0.25">
      <c r="A700" s="1018"/>
      <c r="B700" s="228" t="s">
        <v>446</v>
      </c>
      <c r="C700" s="536">
        <f ca="1">SUMIFS(INDIRECT("Report!F100:F10000"),INDIRECT("Report!B100:B10000"),B700,INDIRECT("report!H100:H10000"),"Goss",INDIRECT("Report!L100:L10000"),"25,2")</f>
        <v>6579100</v>
      </c>
      <c r="D700" s="236">
        <f ca="1">(C700/11*10)</f>
        <v>5981000</v>
      </c>
      <c r="E700" s="536">
        <f ca="1">SUMIFS(INDIRECT("Report!J100:J10000"),INDIRECT("Report!B100:B10000"),B700,INDIRECT("report!H100:H10000"),"Goss",INDIRECT("Report!L100:L10000"),"25,2")</f>
        <v>2720998.0292942743</v>
      </c>
    </row>
    <row r="701" spans="1:7" ht="21" customHeight="1" x14ac:dyDescent="0.25">
      <c r="A701" s="1218"/>
      <c r="B701" s="228" t="s">
        <v>4266</v>
      </c>
      <c r="C701" s="536">
        <f ca="1">SUMIFS(INDIRECT("Report!F100:F10000"),INDIRECT("Report!B100:B10000"),B701,INDIRECT("report!H100:H10000"),"Goss",INDIRECT("Report!L100:L10000"),"25,2")</f>
        <v>990000.00000000012</v>
      </c>
      <c r="D701" s="236">
        <f ca="1">(C701/11*10)</f>
        <v>900000.00000000012</v>
      </c>
      <c r="E701" s="536">
        <f ca="1">SUMIFS(INDIRECT("Report!J100:J10000"),INDIRECT("Report!B100:B10000"),B701,INDIRECT("report!H100:H10000"),"Goss",INDIRECT("Report!L100:L10000"),"25,2")</f>
        <v>400000</v>
      </c>
    </row>
    <row r="702" spans="1:7" ht="21" customHeight="1" x14ac:dyDescent="0.25">
      <c r="A702" s="1218"/>
      <c r="B702" s="228" t="s">
        <v>4142</v>
      </c>
      <c r="C702" s="536">
        <f ca="1">SUMIFS(INDIRECT("Report!F100:F10000"),INDIRECT("Report!B100:B10000"),B702,INDIRECT("report!H100:H10000"),"Goss",INDIRECT("Report!L100:L10000"),"25,2")</f>
        <v>968000.00000000012</v>
      </c>
      <c r="D702" s="236">
        <f ca="1">(C702/11*10)</f>
        <v>880000.00000000012</v>
      </c>
      <c r="E702" s="536">
        <f ca="1">SUMIFS(INDIRECT("Report!J100:J10000"),INDIRECT("Report!B100:B10000"),B702,INDIRECT("report!H100:H10000"),"Goss",INDIRECT("Report!L100:L10000"),"25,2")</f>
        <v>400000</v>
      </c>
    </row>
    <row r="703" spans="1:7" ht="21" customHeight="1" x14ac:dyDescent="0.25">
      <c r="A703" s="1218"/>
      <c r="B703" s="228" t="s">
        <v>4317</v>
      </c>
      <c r="C703" s="536">
        <f ca="1">SUMIFS(INDIRECT("Report!F100:F10000"),INDIRECT("Report!B100:B10000"),B703,INDIRECT("report!H100:H10000"),"Goss",INDIRECT("Report!L100:L10000"),"25,2")</f>
        <v>825000.00000000012</v>
      </c>
      <c r="D703" s="236">
        <f ca="1">(C703/11*10)</f>
        <v>750000.00000000012</v>
      </c>
      <c r="E703" s="536">
        <f ca="1">SUMIFS(INDIRECT("Report!J100:J10000"),INDIRECT("Report!B100:B10000"),B703,INDIRECT("report!H100:H10000"),"Goss",INDIRECT("Report!L100:L10000"),"25,2")</f>
        <v>360000</v>
      </c>
    </row>
    <row r="704" spans="1:7" ht="21" customHeight="1" x14ac:dyDescent="0.25">
      <c r="A704" s="1218"/>
      <c r="B704" s="1214" t="s">
        <v>3619</v>
      </c>
      <c r="C704" s="1220">
        <f ca="1">SUM(C699:C703)</f>
        <v>29162100</v>
      </c>
      <c r="D704" s="1220">
        <f ca="1">SUM(D699:D703)</f>
        <v>26511000</v>
      </c>
      <c r="E704" s="1220">
        <f ca="1">SUM(E699:E701)</f>
        <v>4845998.0292942747</v>
      </c>
      <c r="F704" s="1217">
        <f ca="1">E704/D704</f>
        <v>0.18279197424820923</v>
      </c>
      <c r="G704" s="1216"/>
    </row>
    <row r="705" spans="1:7" ht="21" customHeight="1" x14ac:dyDescent="0.25">
      <c r="A705" s="1218"/>
      <c r="C705" s="227"/>
      <c r="D705" s="228"/>
      <c r="E705" s="228"/>
      <c r="F705" s="228"/>
    </row>
    <row r="706" spans="1:7" ht="21" customHeight="1" x14ac:dyDescent="0.25">
      <c r="A706" s="1218"/>
      <c r="C706" s="536"/>
      <c r="E706" s="536"/>
    </row>
    <row r="707" spans="1:7" ht="21" customHeight="1" x14ac:dyDescent="0.25">
      <c r="A707" s="293"/>
      <c r="B707" s="277" t="s">
        <v>4342</v>
      </c>
      <c r="C707" s="543">
        <f ca="1">SUM(C699:C703)+SUM(C706:C706)</f>
        <v>29162100</v>
      </c>
      <c r="D707" s="543">
        <f ca="1">SUM(D699:D703)+SUM(D706:D706)</f>
        <v>26511000</v>
      </c>
      <c r="E707" s="543"/>
      <c r="F707" s="593"/>
      <c r="G707" s="336"/>
    </row>
    <row r="708" spans="1:7" ht="21" customHeight="1" x14ac:dyDescent="0.25">
      <c r="A708" s="798" t="s">
        <v>4330</v>
      </c>
      <c r="B708" s="228" t="s">
        <v>2352</v>
      </c>
      <c r="C708" s="536">
        <f ca="1">SUMIFS(INDIRECT("Report!F100:F10000"),INDIRECT("Report!B100:B10000"),B708,INDIRECT("report!H100:H10000"),"Goss",INDIRECT("Report!L100:L10000"),"25,3")</f>
        <v>11286000</v>
      </c>
      <c r="D708" s="236">
        <f ca="1">(C708/11*10)</f>
        <v>10260000</v>
      </c>
      <c r="E708" s="536">
        <f ca="1">SUMIFS(INDIRECT("Report!J100:J10000"),INDIRECT("Report!B100:B10000"),B708,INDIRECT("report!H100:H10000"),"Goss",INDIRECT("Report!L100:L10000"),"25,3")</f>
        <v>400000</v>
      </c>
    </row>
    <row r="709" spans="1:7" ht="21" customHeight="1" x14ac:dyDescent="0.25">
      <c r="A709" s="1018"/>
      <c r="B709" s="228" t="s">
        <v>4344</v>
      </c>
      <c r="C709" s="536">
        <f ca="1">SUMIFS(INDIRECT("Report!F100:F10000"),INDIRECT("Report!B100:B10000"),B709,INDIRECT("report!H100:H10000"),"Goss",INDIRECT("Report!L100:L10000"),"25,3")</f>
        <v>605000</v>
      </c>
      <c r="D709" s="236">
        <f ca="1">(C709/11*10)</f>
        <v>550000</v>
      </c>
      <c r="E709" s="536">
        <f ca="1">SUMIFS(INDIRECT("Report!J100:J10000"),INDIRECT("Report!B100:B10000"),B709,INDIRECT("report!H100:H10000"),"Goss",INDIRECT("Report!L100:L10000"),"25,3")</f>
        <v>0</v>
      </c>
    </row>
    <row r="710" spans="1:7" ht="21" customHeight="1" x14ac:dyDescent="0.25">
      <c r="A710" s="1218"/>
      <c r="B710" s="228" t="s">
        <v>557</v>
      </c>
      <c r="C710" s="536">
        <f ca="1">SUMIFS(INDIRECT("Report!F100:F10000"),INDIRECT("Report!B100:B10000"),B710,INDIRECT("report!H100:H10000"),"Goss",INDIRECT("Report!L100:L10000"),"25,3")</f>
        <v>484000.00000000006</v>
      </c>
      <c r="D710" s="236">
        <f ca="1">(C710/11*10)</f>
        <v>440000.00000000006</v>
      </c>
      <c r="E710" s="536">
        <f ca="1">SUMIFS(INDIRECT("Report!J100:J10000"),INDIRECT("Report!B100:B10000"),B710,INDIRECT("report!H100:H10000"),"Goss",INDIRECT("Report!L100:L10000"),"25,3")</f>
        <v>200000</v>
      </c>
    </row>
    <row r="711" spans="1:7" ht="21" customHeight="1" x14ac:dyDescent="0.25">
      <c r="A711" s="1218"/>
      <c r="B711" s="228" t="s">
        <v>610</v>
      </c>
      <c r="C711" s="536">
        <f ca="1">SUMIFS(INDIRECT("Report!F100:F10000"),INDIRECT("Report!B100:B10000"),B711,INDIRECT("report!H100:H10000"),"Goss",INDIRECT("Report!L100:L10000"),"25,3")</f>
        <v>8932000</v>
      </c>
      <c r="D711" s="236">
        <f ca="1">(C711/11*10)</f>
        <v>8120000</v>
      </c>
      <c r="E711" s="536">
        <f ca="1">SUMIFS(INDIRECT("Report!J100:J10000"),INDIRECT("Report!B100:B10000"),B711,INDIRECT("report!H100:H10000"),"Goss",INDIRECT("Report!L100:L10000"),"25,3")</f>
        <v>910000</v>
      </c>
    </row>
    <row r="712" spans="1:7" ht="21" customHeight="1" x14ac:dyDescent="0.25">
      <c r="A712" s="1218"/>
      <c r="C712" s="536">
        <f ca="1">SUMIFS(INDIRECT("Report!F100:F10000"),INDIRECT("Report!B100:B10000"),B712,INDIRECT("report!H100:H10000"),"Goss",INDIRECT("Report!L100:L10000"),"25,3")</f>
        <v>0</v>
      </c>
      <c r="D712" s="236">
        <f ca="1">(C712/11*10)</f>
        <v>0</v>
      </c>
      <c r="E712" s="536">
        <f ca="1">SUMIFS(INDIRECT("Report!J100:J10000"),INDIRECT("Report!B100:B10000"),B712,INDIRECT("report!H100:H10000"),"Goss",INDIRECT("Report!L100:L10000"),"25,3")</f>
        <v>0</v>
      </c>
    </row>
    <row r="713" spans="1:7" ht="21" customHeight="1" x14ac:dyDescent="0.25">
      <c r="A713" s="1218"/>
      <c r="B713" s="1214" t="s">
        <v>3619</v>
      </c>
      <c r="C713" s="1220">
        <f ca="1">SUM(C708:C712)</f>
        <v>21307000</v>
      </c>
      <c r="D713" s="1220">
        <f ca="1">SUM(D708:D712)</f>
        <v>19370000</v>
      </c>
      <c r="E713" s="1220">
        <f ca="1">SUM(E708:E710)</f>
        <v>600000</v>
      </c>
      <c r="F713" s="1217">
        <f ca="1">E713/D713</f>
        <v>3.0975735673722252E-2</v>
      </c>
      <c r="G713" s="1216"/>
    </row>
    <row r="714" spans="1:7" ht="21" customHeight="1" x14ac:dyDescent="0.25">
      <c r="A714" s="1218"/>
      <c r="B714" s="228" t="s">
        <v>497</v>
      </c>
      <c r="C714" s="536">
        <f ca="1">SUMIFS(INDIRECT("Report!F100:F10000"),INDIRECT("Report!B100:B10000"),B714,INDIRECT("report!H100:H10000"),"Goss",INDIRECT("Report!L100:L10000"),"25,3")</f>
        <v>40260000</v>
      </c>
      <c r="D714" s="236">
        <f ca="1">(C714/11*10)</f>
        <v>36600000</v>
      </c>
      <c r="E714" s="536">
        <f ca="1">SUMIFS(INDIRECT("Report!J100:J10000"),INDIRECT("Report!B100:B10000"),B714,INDIRECT("report!H100:H10000"),"Goss",INDIRECT("Report!L100:L10000"),"25,3")</f>
        <v>0</v>
      </c>
      <c r="F714" s="228"/>
      <c r="G714" s="228" t="s">
        <v>4345</v>
      </c>
    </row>
    <row r="715" spans="1:7" ht="21" customHeight="1" x14ac:dyDescent="0.25">
      <c r="A715" s="1218"/>
      <c r="C715" s="536"/>
      <c r="E715" s="536"/>
    </row>
    <row r="716" spans="1:7" ht="21" customHeight="1" x14ac:dyDescent="0.25">
      <c r="A716" s="293"/>
      <c r="B716" s="277" t="s">
        <v>4343</v>
      </c>
      <c r="C716" s="543">
        <f ca="1">SUM(C708:C712)+SUM(C714)</f>
        <v>61567000</v>
      </c>
      <c r="D716" s="543">
        <f ca="1">SUM(D708:D712)+SUM(D714)</f>
        <v>55970000</v>
      </c>
      <c r="E716" s="543"/>
      <c r="F716" s="593"/>
      <c r="G716" s="336"/>
    </row>
    <row r="717" spans="1:7" ht="21" customHeight="1" x14ac:dyDescent="0.25">
      <c r="A717" s="798" t="s">
        <v>4346</v>
      </c>
      <c r="B717" s="228" t="s">
        <v>446</v>
      </c>
      <c r="C717" s="536">
        <f ca="1">SUMIFS(INDIRECT("Report!F100:F10000"),INDIRECT("Report!B100:B10000"),B717,INDIRECT("report!H100:H10000"),"Goss",INDIRECT("Report!L100:L10000"),"25,4")</f>
        <v>99000.000000000015</v>
      </c>
      <c r="D717" s="236">
        <f ca="1">(C717/11*10)</f>
        <v>90000.000000000015</v>
      </c>
      <c r="E717" s="536">
        <f ca="1">SUMIFS(INDIRECT("Report!J100:J10000"),INDIRECT("Report!B100:B10000"),B717,INDIRECT("report!H100:H10000"),"Goss",INDIRECT("Report!L100:L10000"),"25,4")</f>
        <v>40000</v>
      </c>
    </row>
    <row r="718" spans="1:7" ht="21" customHeight="1" x14ac:dyDescent="0.25">
      <c r="A718" s="1018"/>
      <c r="B718" s="228" t="s">
        <v>610</v>
      </c>
      <c r="C718" s="536">
        <f ca="1">SUMIFS(INDIRECT("Report!F100:F10000"),INDIRECT("Report!B100:B10000"),B718,INDIRECT("report!H100:H10000"),"Goss",INDIRECT("Report!L100:L10000"),"25,4")</f>
        <v>3850000.0000000005</v>
      </c>
      <c r="D718" s="236">
        <f ca="1">(C718/11*10)</f>
        <v>3500000.0000000005</v>
      </c>
      <c r="E718" s="536">
        <f ca="1">SUMIFS(INDIRECT("Report!J100:J10000"),INDIRECT("Report!B100:B10000"),B718,INDIRECT("report!H100:H10000"),"Goss",INDIRECT("Report!L100:L10000"),"25,4")</f>
        <v>1644592</v>
      </c>
    </row>
    <row r="719" spans="1:7" ht="21" customHeight="1" x14ac:dyDescent="0.25">
      <c r="A719" s="1218"/>
      <c r="C719" s="536"/>
      <c r="E719" s="536"/>
    </row>
    <row r="720" spans="1:7" ht="21" customHeight="1" x14ac:dyDescent="0.25">
      <c r="A720" s="1218"/>
      <c r="C720" s="536"/>
      <c r="E720" s="536"/>
    </row>
    <row r="721" spans="1:7" ht="21" customHeight="1" x14ac:dyDescent="0.25">
      <c r="A721" s="1218"/>
      <c r="C721" s="536">
        <f ca="1">SUMIFS(INDIRECT("Report!F100:F10000"),INDIRECT("Report!B100:B10000"),B721,INDIRECT("report!H100:H10000"),"Goss",INDIRECT("Report!L100:L10000"),"25,3")</f>
        <v>0</v>
      </c>
      <c r="D721" s="236">
        <f ca="1">(C721/11*10)</f>
        <v>0</v>
      </c>
      <c r="E721" s="536">
        <f ca="1">SUMIFS(INDIRECT("Report!J100:J10000"),INDIRECT("Report!B100:B10000"),B721,INDIRECT("report!H100:H10000"),"Goss",INDIRECT("Report!L100:L10000"),"25,3")</f>
        <v>0</v>
      </c>
    </row>
    <row r="722" spans="1:7" ht="21" customHeight="1" x14ac:dyDescent="0.25">
      <c r="A722" s="1218"/>
      <c r="B722" s="1214" t="s">
        <v>3619</v>
      </c>
      <c r="C722" s="1220">
        <f ca="1">SUM(C717:C721)</f>
        <v>3949000.0000000005</v>
      </c>
      <c r="D722" s="1220">
        <f ca="1">SUM(D717:D721)</f>
        <v>3590000.0000000005</v>
      </c>
      <c r="E722" s="1220">
        <f ca="1">SUM(E717:E719)</f>
        <v>1684592</v>
      </c>
      <c r="F722" s="1217">
        <f ca="1">E722/D722</f>
        <v>0.46924568245125342</v>
      </c>
      <c r="G722" s="1216"/>
    </row>
    <row r="723" spans="1:7" ht="21" customHeight="1" x14ac:dyDescent="0.25">
      <c r="A723" s="1218"/>
      <c r="C723" s="536">
        <f ca="1">SUMIFS(INDIRECT("Report!F100:F10000"),INDIRECT("Report!B100:B10000"),B723,INDIRECT("report!H100:H10000"),"Goss",INDIRECT("Report!L100:L10000"),"25,4")</f>
        <v>0</v>
      </c>
      <c r="D723" s="236">
        <f ca="1">(C723/11*10)</f>
        <v>0</v>
      </c>
      <c r="E723" s="536">
        <f ca="1">SUMIFS(INDIRECT("Report!J100:J10000"),INDIRECT("Report!B100:B10000"),B723,INDIRECT("report!H100:H10000"),"Goss",INDIRECT("Report!L100:L10000"),"25,4")</f>
        <v>0</v>
      </c>
      <c r="F723" s="228"/>
    </row>
    <row r="724" spans="1:7" ht="21" customHeight="1" x14ac:dyDescent="0.25">
      <c r="A724" s="1218"/>
      <c r="C724" s="536"/>
      <c r="E724" s="536"/>
    </row>
    <row r="725" spans="1:7" ht="21" customHeight="1" x14ac:dyDescent="0.25">
      <c r="A725" s="293"/>
      <c r="B725" s="277" t="s">
        <v>4354</v>
      </c>
      <c r="C725" s="543">
        <f ca="1">SUM(C717:C721)+SUM(C723)</f>
        <v>3949000.0000000005</v>
      </c>
      <c r="D725" s="543">
        <f ca="1">SUM(D717:D721)+SUM(D723)</f>
        <v>3590000.0000000005</v>
      </c>
      <c r="E725" s="543"/>
      <c r="F725" s="593"/>
      <c r="G725" s="336"/>
    </row>
    <row r="726" spans="1:7" ht="21" customHeight="1" x14ac:dyDescent="0.25">
      <c r="A726" s="798" t="s">
        <v>4356</v>
      </c>
      <c r="B726" s="228" t="s">
        <v>446</v>
      </c>
      <c r="C726" s="536">
        <f ca="1">SUMIFS(INDIRECT("Report!F100:F10000"),INDIRECT("Report!B100:B10000"),B726,INDIRECT("report!H100:H10000"),"Goss",INDIRECT("Report!L100:L10000"),"25,5")</f>
        <v>2970000.0000000005</v>
      </c>
      <c r="D726" s="236">
        <f ca="1">(C726/11*10)</f>
        <v>2700000.0000000005</v>
      </c>
      <c r="E726" s="536">
        <f ca="1">SUMIFS(INDIRECT("Report!J100:J10000"),INDIRECT("Report!B100:B10000"),B726,INDIRECT("report!H100:H10000"),"Goss",INDIRECT("Report!L100:L10000"),"25,5")</f>
        <v>1020000</v>
      </c>
    </row>
    <row r="727" spans="1:7" ht="21" customHeight="1" x14ac:dyDescent="0.25">
      <c r="A727" s="1018"/>
      <c r="B727" s="228" t="s">
        <v>2484</v>
      </c>
      <c r="C727" s="536">
        <f ca="1">SUMIFS(INDIRECT("Report!F100:F10000"),INDIRECT("Report!B100:B10000"),B727,INDIRECT("report!H100:H10000"),"Goss",INDIRECT("Report!L100:L10000"),"25,5")</f>
        <v>2695000.0000000005</v>
      </c>
      <c r="D727" s="236">
        <f ca="1">(C727/11*10)</f>
        <v>2450000.0000000005</v>
      </c>
      <c r="E727" s="536">
        <f ca="1">SUMIFS(INDIRECT("Report!J100:J10000"),INDIRECT("Report!B100:B10000"),B727,INDIRECT("report!H100:H10000"),"Goss",INDIRECT("Report!L100:L10000"),"25,5")</f>
        <v>950000</v>
      </c>
    </row>
    <row r="728" spans="1:7" ht="21" customHeight="1" x14ac:dyDescent="0.25">
      <c r="A728" s="1218"/>
      <c r="B728" s="228" t="s">
        <v>2359</v>
      </c>
      <c r="C728" s="536">
        <f ca="1">SUMIFS(INDIRECT("Report!F100:F10000"),INDIRECT("Report!B100:B10000"),B728,INDIRECT("report!H100:H10000"),"Goss",INDIRECT("Report!L100:L10000"),"25,5")</f>
        <v>2640000</v>
      </c>
      <c r="D728" s="236">
        <f ca="1">(C728/11*10)</f>
        <v>2400000</v>
      </c>
      <c r="E728" s="536">
        <f ca="1">SUMIFS(INDIRECT("Report!J100:J10000"),INDIRECT("Report!B100:B10000"),B728,INDIRECT("report!H100:H10000"),"Goss",INDIRECT("Report!L100:L10000"),"25,5")</f>
        <v>700000</v>
      </c>
    </row>
    <row r="729" spans="1:7" ht="21" customHeight="1" x14ac:dyDescent="0.25">
      <c r="A729" s="1218"/>
      <c r="C729" s="536"/>
      <c r="E729" s="536"/>
    </row>
    <row r="730" spans="1:7" ht="21" customHeight="1" x14ac:dyDescent="0.25">
      <c r="A730" s="1218"/>
      <c r="C730" s="536">
        <f ca="1">SUMIFS(INDIRECT("Report!F100:F10000"),INDIRECT("Report!B100:B10000"),B730,INDIRECT("report!H100:H10000"),"Goss",INDIRECT("Report!L100:L10000"),"25,3")</f>
        <v>0</v>
      </c>
      <c r="D730" s="236">
        <f ca="1">(C730/11*10)</f>
        <v>0</v>
      </c>
      <c r="E730" s="536">
        <f ca="1">SUMIFS(INDIRECT("Report!J100:J10000"),INDIRECT("Report!B100:B10000"),B730,INDIRECT("report!H100:H10000"),"Goss",INDIRECT("Report!L100:L10000"),"25,3")</f>
        <v>0</v>
      </c>
    </row>
    <row r="731" spans="1:7" ht="21" customHeight="1" x14ac:dyDescent="0.25">
      <c r="A731" s="1218"/>
      <c r="B731" s="1214" t="s">
        <v>3619</v>
      </c>
      <c r="C731" s="1220">
        <f ca="1">SUM(C726:C730)</f>
        <v>8305000.0000000009</v>
      </c>
      <c r="D731" s="1220">
        <f ca="1">SUM(D726:D730)</f>
        <v>7550000.0000000009</v>
      </c>
      <c r="E731" s="1220">
        <f ca="1">SUM(E726:E728)</f>
        <v>2670000</v>
      </c>
      <c r="F731" s="1217">
        <f ca="1">E731/D731</f>
        <v>0.35364238410596022</v>
      </c>
      <c r="G731" s="1216"/>
    </row>
    <row r="732" spans="1:7" ht="21" customHeight="1" x14ac:dyDescent="0.25">
      <c r="A732" s="1218"/>
      <c r="C732" s="536">
        <f ca="1">SUMIFS(INDIRECT("Report!F100:F10000"),INDIRECT("Report!B100:B10000"),B732,INDIRECT("report!H100:H10000"),"Goss",INDIRECT("Report!L100:L10000"),"25,4")</f>
        <v>0</v>
      </c>
      <c r="D732" s="236">
        <f ca="1">(C732/11*10)</f>
        <v>0</v>
      </c>
      <c r="E732" s="536">
        <f ca="1">SUMIFS(INDIRECT("Report!J100:J10000"),INDIRECT("Report!B100:B10000"),B732,INDIRECT("report!H100:H10000"),"Goss",INDIRECT("Report!L100:L10000"),"25,4")</f>
        <v>0</v>
      </c>
      <c r="F732" s="228"/>
    </row>
    <row r="733" spans="1:7" ht="21" customHeight="1" x14ac:dyDescent="0.25">
      <c r="A733" s="1218"/>
      <c r="C733" s="536"/>
      <c r="E733" s="536"/>
    </row>
    <row r="734" spans="1:7" ht="21" customHeight="1" x14ac:dyDescent="0.25">
      <c r="A734" s="293"/>
      <c r="B734" s="277" t="s">
        <v>4388</v>
      </c>
      <c r="C734" s="543">
        <f ca="1">SUM(C726:C730)+SUM(C732)</f>
        <v>8305000.0000000009</v>
      </c>
      <c r="D734" s="543">
        <f ca="1">SUM(D726:D730)+SUM(D732)</f>
        <v>7550000.0000000009</v>
      </c>
      <c r="E734" s="543"/>
      <c r="F734" s="593"/>
      <c r="G734" s="336"/>
    </row>
    <row r="735" spans="1:7" ht="21" customHeight="1" x14ac:dyDescent="0.25">
      <c r="A735" s="798" t="s">
        <v>4390</v>
      </c>
      <c r="B735" s="228" t="s">
        <v>446</v>
      </c>
      <c r="C735" s="536">
        <f ca="1">SUMIFS(INDIRECT("Report!F100:F10000"),INDIRECT("Report!B100:B10000"),B735,INDIRECT("report!H100:H10000"),"Goss",INDIRECT("Report!L100:L10000"),"25,6")</f>
        <v>4422000</v>
      </c>
      <c r="D735" s="236">
        <f ca="1">(C735/11*10)</f>
        <v>4020000</v>
      </c>
      <c r="E735" s="536">
        <f ca="1">SUMIFS(INDIRECT("Report!J100:J10000"),INDIRECT("Report!B100:B10000"),B735,INDIRECT("report!H100:H10000"),"Goss",INDIRECT("Report!L100:L10000"),"25,6")</f>
        <v>0</v>
      </c>
    </row>
    <row r="736" spans="1:7" ht="21" customHeight="1" x14ac:dyDescent="0.25">
      <c r="A736" s="1018"/>
      <c r="B736" s="228" t="s">
        <v>610</v>
      </c>
      <c r="C736" s="536">
        <f ca="1">SUMIFS(INDIRECT("Report!F100:F10000"),INDIRECT("Report!B100:B10000"),B736,INDIRECT("report!H100:H10000"),"Goss",INDIRECT("Report!L100:L10000"),"25,6")</f>
        <v>66000000.000000007</v>
      </c>
      <c r="D736" s="236">
        <f ca="1">(C736/11*10)</f>
        <v>60000000.000000007</v>
      </c>
      <c r="E736" s="536">
        <f ca="1">SUMIFS(INDIRECT("Report!J100:J10000"),INDIRECT("Report!B100:B10000"),B736,INDIRECT("report!H100:H10000"),"Goss",INDIRECT("Report!L100:L10000"),"25,6")</f>
        <v>0</v>
      </c>
      <c r="G736" s="228" t="s">
        <v>4409</v>
      </c>
    </row>
    <row r="737" spans="1:7" ht="21" customHeight="1" x14ac:dyDescent="0.25">
      <c r="A737" s="1218"/>
      <c r="C737" s="536">
        <f ca="1">SUMIFS(INDIRECT("Report!F100:F10000"),INDIRECT("Report!B100:B10000"),B737,INDIRECT("report!H100:H10000"),"Goss",INDIRECT("Report!L100:L10000"),"25,6")</f>
        <v>0</v>
      </c>
      <c r="D737" s="236">
        <f ca="1">(C737/11*10)</f>
        <v>0</v>
      </c>
      <c r="E737" s="536">
        <f ca="1">SUMIFS(INDIRECT("Report!J100:J10000"),INDIRECT("Report!B100:B10000"),B737,INDIRECT("report!H100:H10000"),"Goss",INDIRECT("Report!L100:L10000"),"25,6")</f>
        <v>0</v>
      </c>
    </row>
    <row r="738" spans="1:7" ht="21" customHeight="1" x14ac:dyDescent="0.25">
      <c r="A738" s="1218"/>
      <c r="C738" s="536"/>
      <c r="E738" s="536"/>
    </row>
    <row r="739" spans="1:7" ht="21" customHeight="1" x14ac:dyDescent="0.25">
      <c r="A739" s="1218"/>
      <c r="C739" s="536">
        <f ca="1">SUMIFS(INDIRECT("Report!F100:F10000"),INDIRECT("Report!B100:B10000"),B739,INDIRECT("report!H100:H10000"),"Goss",INDIRECT("Report!L100:L10000"),"25,3")</f>
        <v>0</v>
      </c>
      <c r="D739" s="236">
        <f ca="1">(C739/11*10)</f>
        <v>0</v>
      </c>
      <c r="E739" s="536">
        <f ca="1">SUMIFS(INDIRECT("Report!J100:J10000"),INDIRECT("Report!B100:B10000"),B739,INDIRECT("report!H100:H10000"),"Goss",INDIRECT("Report!L100:L10000"),"25,3")</f>
        <v>0</v>
      </c>
    </row>
    <row r="740" spans="1:7" ht="21" customHeight="1" x14ac:dyDescent="0.25">
      <c r="A740" s="1218"/>
      <c r="B740" s="1214" t="s">
        <v>3619</v>
      </c>
      <c r="C740" s="1220">
        <f ca="1">SUM(C735:C739)</f>
        <v>70422000</v>
      </c>
      <c r="D740" s="1220">
        <f ca="1">SUM(D735:D739)</f>
        <v>64020000.000000007</v>
      </c>
      <c r="E740" s="1220">
        <f ca="1">SUM(E735:E737)</f>
        <v>0</v>
      </c>
      <c r="F740" s="1217">
        <f ca="1">E740/D740</f>
        <v>0</v>
      </c>
      <c r="G740" s="1216"/>
    </row>
    <row r="741" spans="1:7" ht="21" customHeight="1" x14ac:dyDescent="0.25">
      <c r="A741" s="1218"/>
      <c r="B741" s="228" t="s">
        <v>3576</v>
      </c>
      <c r="C741" s="536">
        <f ca="1">SUMIFS(INDIRECT("Report!F100:F10000"),INDIRECT("Report!B100:B10000"),B741,INDIRECT("report!H100:H10000"),"Goss",INDIRECT("Report!L100:L10000"),"25,6")</f>
        <v>93940000.000000015</v>
      </c>
      <c r="D741" s="236">
        <f ca="1">(C741/11*10)</f>
        <v>85400000.000000015</v>
      </c>
      <c r="E741" s="536">
        <f ca="1">SUMIFS(INDIRECT("Report!J100:J10000"),INDIRECT("Report!B100:B10000"),B741,INDIRECT("report!H100:H10000"),"Goss",INDIRECT("Report!L100:L10000"),"25,4")</f>
        <v>0</v>
      </c>
      <c r="F741" s="228"/>
      <c r="G741" s="228" t="s">
        <v>4410</v>
      </c>
    </row>
    <row r="742" spans="1:7" ht="21" customHeight="1" x14ac:dyDescent="0.25">
      <c r="A742" s="1218"/>
      <c r="B742" s="228" t="s">
        <v>4143</v>
      </c>
      <c r="C742" s="536">
        <f ca="1">SUMIFS(INDIRECT("Report!F100:F10000"),INDIRECT("Report!B100:B10000"),B742,INDIRECT("report!H100:H10000"),"Goss",INDIRECT("Report!L100:L10000"),"25,6")</f>
        <v>58520000.000000007</v>
      </c>
      <c r="D742" s="236">
        <f ca="1">(C742/11*10)</f>
        <v>53200000.000000007</v>
      </c>
      <c r="E742" s="536"/>
      <c r="G742" s="228" t="s">
        <v>4411</v>
      </c>
    </row>
    <row r="743" spans="1:7" ht="21" customHeight="1" x14ac:dyDescent="0.25">
      <c r="A743" s="293"/>
      <c r="B743" s="277" t="s">
        <v>4423</v>
      </c>
      <c r="C743" s="543">
        <f ca="1">SUM(C735:C739)+SUM(C741:C742)</f>
        <v>222882000.00000003</v>
      </c>
      <c r="D743" s="543">
        <f ca="1">SUM(D735:D739)+SUM(D741:D742)</f>
        <v>202620000.00000003</v>
      </c>
      <c r="E743" s="543"/>
      <c r="F743" s="593"/>
      <c r="G743" s="336"/>
    </row>
    <row r="744" spans="1:7" ht="21" customHeight="1" x14ac:dyDescent="0.25">
      <c r="A744" s="798" t="s">
        <v>4417</v>
      </c>
      <c r="B744" s="228" t="s">
        <v>4424</v>
      </c>
      <c r="C744" s="536">
        <f ca="1">SUMIFS(INDIRECT("Report!F100:F10000"),INDIRECT("Report!B100:B10000"),B744,INDIRECT("report!H100:H10000"),"Goss",INDIRECT("Report!L100:L10000"),"25,7")</f>
        <v>1760000.0000000002</v>
      </c>
      <c r="D744" s="236">
        <f ca="1">(C744/11*10)</f>
        <v>1600000.0000000002</v>
      </c>
      <c r="E744" s="536">
        <f ca="1">SUMIFS(INDIRECT("Report!J100:J10000"),INDIRECT("Report!B100:B10000"),B744,INDIRECT("report!H100:H10000"),"Goss",INDIRECT("Report!L100:L10000"),"25,6")</f>
        <v>0</v>
      </c>
    </row>
    <row r="745" spans="1:7" ht="21" customHeight="1" x14ac:dyDescent="0.25">
      <c r="A745" s="1018"/>
      <c r="B745" s="228" t="s">
        <v>2484</v>
      </c>
      <c r="C745" s="536">
        <f ca="1">SUMIFS(INDIRECT("Report!F100:F10000"),INDIRECT("Report!B100:B10000"),B745,INDIRECT("report!H100:H10000"),"Goss",INDIRECT("Report!L100:L10000"),"25,7")</f>
        <v>990000.00000000012</v>
      </c>
      <c r="D745" s="236">
        <f ca="1">(C745/11*10)</f>
        <v>900000.00000000012</v>
      </c>
      <c r="E745" s="536">
        <f ca="1">SUMIFS(INDIRECT("Report!J100:J10000"),INDIRECT("Report!B100:B10000"),B745,INDIRECT("report!H100:H10000"),"Goss",INDIRECT("Report!L100:L10000"),"25,6")</f>
        <v>0</v>
      </c>
    </row>
    <row r="746" spans="1:7" ht="21" customHeight="1" x14ac:dyDescent="0.25">
      <c r="A746" s="1218"/>
      <c r="C746" s="536">
        <f ca="1">SUMIFS(INDIRECT("Report!F100:F10000"),INDIRECT("Report!B100:B10000"),B746,INDIRECT("report!H100:H10000"),"Goss",INDIRECT("Report!L100:L10000"),"25,6")</f>
        <v>0</v>
      </c>
      <c r="D746" s="236">
        <f ca="1">(C746/11*10)</f>
        <v>0</v>
      </c>
      <c r="E746" s="536">
        <f ca="1">SUMIFS(INDIRECT("Report!J100:J10000"),INDIRECT("Report!B100:B10000"),B746,INDIRECT("report!H100:H10000"),"Goss",INDIRECT("Report!L100:L10000"),"25,6")</f>
        <v>0</v>
      </c>
    </row>
    <row r="747" spans="1:7" ht="21" customHeight="1" x14ac:dyDescent="0.25">
      <c r="A747" s="1218"/>
      <c r="C747" s="536"/>
      <c r="E747" s="536"/>
    </row>
    <row r="748" spans="1:7" ht="21" customHeight="1" x14ac:dyDescent="0.25">
      <c r="A748" s="1218"/>
      <c r="C748" s="536">
        <f ca="1">SUMIFS(INDIRECT("Report!F100:F10000"),INDIRECT("Report!B100:B10000"),B748,INDIRECT("report!H100:H10000"),"Goss",INDIRECT("Report!L100:L10000"),"25,3")</f>
        <v>0</v>
      </c>
      <c r="D748" s="236">
        <f ca="1">(C748/11*10)</f>
        <v>0</v>
      </c>
      <c r="E748" s="536">
        <f ca="1">SUMIFS(INDIRECT("Report!J100:J10000"),INDIRECT("Report!B100:B10000"),B748,INDIRECT("report!H100:H10000"),"Goss",INDIRECT("Report!L100:L10000"),"25,3")</f>
        <v>0</v>
      </c>
    </row>
    <row r="749" spans="1:7" ht="21" customHeight="1" x14ac:dyDescent="0.25">
      <c r="A749" s="1218"/>
      <c r="B749" s="1214" t="s">
        <v>3619</v>
      </c>
      <c r="C749" s="1220">
        <f ca="1">SUM(C744:C748)</f>
        <v>2750000.0000000005</v>
      </c>
      <c r="D749" s="1220">
        <f ca="1">SUM(D744:D748)</f>
        <v>2500000.0000000005</v>
      </c>
      <c r="E749" s="1220">
        <f ca="1">SUM(E744:E746)</f>
        <v>0</v>
      </c>
      <c r="F749" s="1217">
        <f ca="1">E749/D749</f>
        <v>0</v>
      </c>
      <c r="G749" s="1216"/>
    </row>
    <row r="750" spans="1:7" ht="21" customHeight="1" x14ac:dyDescent="0.25">
      <c r="A750" s="1218"/>
      <c r="C750" s="536">
        <f ca="1">SUMIFS(INDIRECT("Report!F100:F10000"),INDIRECT("Report!B100:B10000"),B750,INDIRECT("report!H100:H10000"),"Goss",INDIRECT("Report!L100:L10000"),"25,7")</f>
        <v>0</v>
      </c>
      <c r="D750" s="236">
        <f ca="1">(C750/11*10)</f>
        <v>0</v>
      </c>
      <c r="E750" s="536">
        <f ca="1">SUMIFS(INDIRECT("Report!J100:J10000"),INDIRECT("Report!B100:B10000"),B750,INDIRECT("report!H100:H10000"),"Goss",INDIRECT("Report!L100:L10000"),"25,4")</f>
        <v>0</v>
      </c>
      <c r="F750" s="228"/>
    </row>
    <row r="751" spans="1:7" ht="21" customHeight="1" x14ac:dyDescent="0.25">
      <c r="A751" s="1218"/>
      <c r="C751" s="536">
        <f ca="1">SUMIFS(INDIRECT("Report!F100:F10000"),INDIRECT("Report!B100:B10000"),B751,INDIRECT("report!H100:H10000"),"Goss",INDIRECT("Report!L100:L10000"),"25,7")</f>
        <v>0</v>
      </c>
      <c r="D751" s="236">
        <f ca="1">(C751/11*10)</f>
        <v>0</v>
      </c>
      <c r="E751" s="536"/>
    </row>
    <row r="752" spans="1:7" ht="21" customHeight="1" x14ac:dyDescent="0.25">
      <c r="A752" s="293"/>
      <c r="B752" s="277" t="s">
        <v>4450</v>
      </c>
      <c r="C752" s="543">
        <f ca="1">SUM(C744:C748)+SUM(C750:C751)</f>
        <v>2750000.0000000005</v>
      </c>
      <c r="D752" s="543">
        <f ca="1">SUM(D744:D748)+SUM(D750:D751)</f>
        <v>2500000.0000000005</v>
      </c>
      <c r="E752" s="543"/>
      <c r="F752" s="593"/>
      <c r="G752" s="336"/>
    </row>
    <row r="753" spans="1:7" ht="21" customHeight="1" x14ac:dyDescent="0.25">
      <c r="A753" s="798" t="s">
        <v>4427</v>
      </c>
      <c r="B753" s="228" t="s">
        <v>446</v>
      </c>
      <c r="C753" s="536">
        <f ca="1">SUMIFS(INDIRECT("Report!F100:F10000"),INDIRECT("Report!B100:B10000"),B753,INDIRECT("report!H100:H10000"),"Goss",INDIRECT("Report!L100:L10000"),"25,8")</f>
        <v>11242000</v>
      </c>
      <c r="D753" s="236">
        <f ca="1">(C753/11*10)</f>
        <v>10220000</v>
      </c>
      <c r="E753" s="536">
        <f ca="1">SUMIFS(INDIRECT("Report!J100:J10000"),INDIRECT("Report!B100:B10000"),B753,INDIRECT("report!H100:H10000"),"Goss",INDIRECT("Report!L100:L10000"),"25,8")</f>
        <v>3407200</v>
      </c>
    </row>
    <row r="754" spans="1:7" ht="21" customHeight="1" x14ac:dyDescent="0.25">
      <c r="A754" s="1018"/>
      <c r="B754" s="228" t="s">
        <v>610</v>
      </c>
      <c r="C754" s="536">
        <f ca="1">SUMIFS(INDIRECT("Report!F100:F10000"),INDIRECT("Report!B100:B10000"),B754,INDIRECT("report!H100:H10000"),"Goss",INDIRECT("Report!L100:L10000"),"25,8")</f>
        <v>880000.00000000012</v>
      </c>
      <c r="D754" s="236">
        <f ca="1">(C754/11*10)</f>
        <v>800000.00000000012</v>
      </c>
      <c r="E754" s="536">
        <f ca="1">SUMIFS(INDIRECT("Report!J100:J10000"),INDIRECT("Report!B100:B10000"),B754,INDIRECT("report!H100:H10000"),"Goss",INDIRECT("Report!L100:L10000"),"25,8")</f>
        <v>300000</v>
      </c>
    </row>
    <row r="755" spans="1:7" ht="21" customHeight="1" x14ac:dyDescent="0.25">
      <c r="A755" s="1218"/>
      <c r="C755" s="536"/>
      <c r="E755" s="536"/>
    </row>
    <row r="756" spans="1:7" ht="21" customHeight="1" x14ac:dyDescent="0.25">
      <c r="A756" s="1218"/>
      <c r="C756" s="536"/>
      <c r="E756" s="536"/>
    </row>
    <row r="757" spans="1:7" ht="21" customHeight="1" x14ac:dyDescent="0.25">
      <c r="A757" s="1218"/>
      <c r="C757" s="536">
        <f ca="1">SUMIFS(INDIRECT("Report!F100:F10000"),INDIRECT("Report!B100:B10000"),B757,INDIRECT("report!H100:H10000"),"Goss",INDIRECT("Report!L100:L10000"),"25,3")</f>
        <v>0</v>
      </c>
      <c r="D757" s="236">
        <f ca="1">(C757/11*10)</f>
        <v>0</v>
      </c>
      <c r="E757" s="536">
        <f ca="1">SUMIFS(INDIRECT("Report!J100:J10000"),INDIRECT("Report!B100:B10000"),B757,INDIRECT("report!H100:H10000"),"Goss",INDIRECT("Report!L100:L10000"),"25,3")</f>
        <v>0</v>
      </c>
    </row>
    <row r="758" spans="1:7" ht="21" customHeight="1" x14ac:dyDescent="0.25">
      <c r="A758" s="1218"/>
      <c r="B758" s="1214" t="s">
        <v>3619</v>
      </c>
      <c r="C758" s="1220">
        <f ca="1">SUM(C753:C757)</f>
        <v>12122000</v>
      </c>
      <c r="D758" s="1220">
        <f ca="1">SUM(D753:D757)</f>
        <v>11020000</v>
      </c>
      <c r="E758" s="1220">
        <f ca="1">SUM(E753:E755)</f>
        <v>3707200</v>
      </c>
      <c r="F758" s="1217">
        <f ca="1">E758/D758</f>
        <v>0.33640653357531758</v>
      </c>
      <c r="G758" s="1216"/>
    </row>
    <row r="759" spans="1:7" ht="21" customHeight="1" x14ac:dyDescent="0.25">
      <c r="A759" s="1218"/>
      <c r="C759" s="536">
        <f ca="1">SUMIFS(INDIRECT("Report!F100:F10000"),INDIRECT("Report!B100:B10000"),B759,INDIRECT("report!H100:H10000"),"Goss",INDIRECT("Report!L100:L10000"),"25,7")</f>
        <v>0</v>
      </c>
      <c r="D759" s="236">
        <f ca="1">(C759/11*10)</f>
        <v>0</v>
      </c>
      <c r="E759" s="536">
        <f ca="1">SUMIFS(INDIRECT("Report!J100:J10000"),INDIRECT("Report!B100:B10000"),B759,INDIRECT("report!H100:H10000"),"Goss",INDIRECT("Report!L100:L10000"),"25,4")</f>
        <v>0</v>
      </c>
      <c r="F759" s="228"/>
    </row>
    <row r="760" spans="1:7" ht="21" customHeight="1" x14ac:dyDescent="0.25">
      <c r="A760" s="1218"/>
      <c r="C760" s="536">
        <f ca="1">SUMIFS(INDIRECT("Report!F100:F10000"),INDIRECT("Report!B100:B10000"),B760,INDIRECT("report!H100:H10000"),"Goss",INDIRECT("Report!L100:L10000"),"25,7")</f>
        <v>0</v>
      </c>
      <c r="D760" s="236">
        <f ca="1">(C760/11*10)</f>
        <v>0</v>
      </c>
      <c r="E760" s="536"/>
    </row>
    <row r="761" spans="1:7" ht="21" customHeight="1" x14ac:dyDescent="0.25">
      <c r="A761" s="293"/>
      <c r="B761" s="277" t="s">
        <v>4451</v>
      </c>
      <c r="C761" s="543">
        <f ca="1">SUM(C753:C757)+SUM(C759:C760)</f>
        <v>12122000</v>
      </c>
      <c r="D761" s="543">
        <f ca="1">SUM(D753:D757)+SUM(D759:D760)</f>
        <v>11020000</v>
      </c>
      <c r="E761" s="543"/>
      <c r="F761" s="593"/>
      <c r="G761" s="336"/>
    </row>
    <row r="762" spans="1:7" ht="21" customHeight="1" x14ac:dyDescent="0.25">
      <c r="A762" s="798" t="s">
        <v>4454</v>
      </c>
      <c r="B762" s="228" t="s">
        <v>2261</v>
      </c>
      <c r="C762" s="536">
        <f ca="1">SUMIFS(INDIRECT("Report!F100:F10000"),INDIRECT("Report!B100:B10000"),B762,INDIRECT("report!H100:H10000"),"Goss",INDIRECT("Report!L100:L10000"),"25,9")</f>
        <v>880000.00000000012</v>
      </c>
      <c r="D762" s="236">
        <f ca="1">(C762/11*10)</f>
        <v>800000.00000000012</v>
      </c>
      <c r="E762" s="536">
        <f ca="1">SUMIFS(INDIRECT("Report!J100:J10000"),INDIRECT("Report!B100:B10000"),B762,INDIRECT("report!H100:H10000"),"Goss",INDIRECT("Report!L100:L10000"),"25,9")</f>
        <v>432950</v>
      </c>
    </row>
    <row r="763" spans="1:7" ht="21" customHeight="1" x14ac:dyDescent="0.25">
      <c r="A763" s="1018"/>
      <c r="B763" s="228" t="s">
        <v>610</v>
      </c>
      <c r="C763" s="536">
        <f ca="1">SUMIFS(INDIRECT("Report!F100:F10000"),INDIRECT("Report!B100:B10000"),B763,INDIRECT("report!H100:H10000"),"Goss",INDIRECT("Report!L100:L10000"),"25,9")</f>
        <v>6039000</v>
      </c>
      <c r="D763" s="236">
        <f ca="1">(C763/11*10)</f>
        <v>5490000</v>
      </c>
      <c r="E763" s="536">
        <f ca="1">SUMIFS(INDIRECT("Report!J100:J10000"),INDIRECT("Report!B100:B10000"),B763,INDIRECT("report!H100:H10000"),"Goss",INDIRECT("Report!L100:L10000"),"25,9")</f>
        <v>1936000</v>
      </c>
    </row>
    <row r="764" spans="1:7" ht="21" customHeight="1" x14ac:dyDescent="0.25">
      <c r="A764" s="1218"/>
      <c r="C764" s="536"/>
      <c r="E764" s="536"/>
    </row>
    <row r="765" spans="1:7" ht="21" customHeight="1" x14ac:dyDescent="0.25">
      <c r="A765" s="1218"/>
      <c r="C765" s="536"/>
      <c r="E765" s="536"/>
    </row>
    <row r="766" spans="1:7" ht="21" customHeight="1" x14ac:dyDescent="0.25">
      <c r="A766" s="1218"/>
      <c r="C766" s="536">
        <f ca="1">SUMIFS(INDIRECT("Report!F100:F10000"),INDIRECT("Report!B100:B10000"),B766,INDIRECT("report!H100:H10000"),"Goss",INDIRECT("Report!L100:L10000"),"25,3")</f>
        <v>0</v>
      </c>
      <c r="D766" s="236">
        <f ca="1">(C766/11*10)</f>
        <v>0</v>
      </c>
      <c r="E766" s="536">
        <f ca="1">SUMIFS(INDIRECT("Report!J100:J10000"),INDIRECT("Report!B100:B10000"),B766,INDIRECT("report!H100:H10000"),"Goss",INDIRECT("Report!L100:L10000"),"25,3")</f>
        <v>0</v>
      </c>
    </row>
    <row r="767" spans="1:7" ht="21" customHeight="1" x14ac:dyDescent="0.25">
      <c r="A767" s="1218"/>
      <c r="B767" s="1214" t="s">
        <v>3619</v>
      </c>
      <c r="C767" s="1220">
        <f ca="1">SUM(C762:C766)</f>
        <v>6919000</v>
      </c>
      <c r="D767" s="1220">
        <f ca="1">SUM(D762:D766)</f>
        <v>6290000</v>
      </c>
      <c r="E767" s="1220">
        <f ca="1">SUM(E762:E764)</f>
        <v>2368950</v>
      </c>
      <c r="F767" s="1217">
        <f ca="1">E767/D767</f>
        <v>0.37662162162162161</v>
      </c>
      <c r="G767" s="1216"/>
    </row>
    <row r="768" spans="1:7" ht="21" customHeight="1" x14ac:dyDescent="0.25">
      <c r="A768" s="1218"/>
      <c r="C768" s="536">
        <f ca="1">SUMIFS(INDIRECT("Report!F100:F10000"),INDIRECT("Report!B100:B10000"),B768,INDIRECT("report!H100:H10000"),"Goss",INDIRECT("Report!L100:L10000"),"25,7")</f>
        <v>0</v>
      </c>
      <c r="D768" s="236">
        <f ca="1">(C768/11*10)</f>
        <v>0</v>
      </c>
      <c r="E768" s="536">
        <f ca="1">SUMIFS(INDIRECT("Report!J100:J10000"),INDIRECT("Report!B100:B10000"),B768,INDIRECT("report!H100:H10000"),"Goss",INDIRECT("Report!L100:L10000"),"25,4")</f>
        <v>0</v>
      </c>
      <c r="F768" s="228"/>
    </row>
    <row r="769" spans="1:7" ht="21" customHeight="1" x14ac:dyDescent="0.25">
      <c r="A769" s="1218"/>
      <c r="C769" s="536">
        <f ca="1">SUMIFS(INDIRECT("Report!F100:F10000"),INDIRECT("Report!B100:B10000"),B769,INDIRECT("report!H100:H10000"),"Goss",INDIRECT("Report!L100:L10000"),"25,7")</f>
        <v>0</v>
      </c>
      <c r="D769" s="236">
        <f ca="1">(C769/11*10)</f>
        <v>0</v>
      </c>
      <c r="E769" s="536"/>
    </row>
    <row r="770" spans="1:7" ht="21" customHeight="1" x14ac:dyDescent="0.25">
      <c r="A770" s="293"/>
      <c r="B770" s="277" t="s">
        <v>4484</v>
      </c>
      <c r="C770" s="543">
        <f ca="1">SUM(C762:C766)+SUM(C768:C769)</f>
        <v>6919000</v>
      </c>
      <c r="D770" s="543">
        <f ca="1">SUM(D762:D766)+SUM(D768:D769)</f>
        <v>6290000</v>
      </c>
      <c r="E770" s="543"/>
      <c r="F770" s="593"/>
      <c r="G770" s="336"/>
    </row>
    <row r="771" spans="1:7" ht="21" customHeight="1" x14ac:dyDescent="0.25">
      <c r="A771" s="798" t="s">
        <v>4470</v>
      </c>
      <c r="B771" s="228" t="s">
        <v>4266</v>
      </c>
      <c r="C771" s="536">
        <f ca="1">SUMIFS(INDIRECT("Report!F100:F10000"),INDIRECT("Report!B100:B10000"),B771,INDIRECT("report!H100:H10000"),"Goss",INDIRECT("Report!L100:L10000"),"25,10")</f>
        <v>990000.00000000012</v>
      </c>
      <c r="D771" s="236">
        <f ca="1">(C771/11*10)</f>
        <v>900000.00000000012</v>
      </c>
      <c r="E771" s="536">
        <f ca="1">SUMIFS(INDIRECT("Report!J100:J10000"),INDIRECT("Report!B100:B10000"),B771,INDIRECT("report!H100:H10000"),"Goss",INDIRECT("Report!L100:L10000"),"25,10")</f>
        <v>0</v>
      </c>
    </row>
    <row r="772" spans="1:7" ht="21" customHeight="1" x14ac:dyDescent="0.25">
      <c r="A772" s="1018"/>
      <c r="B772" s="228" t="s">
        <v>497</v>
      </c>
      <c r="C772" s="536">
        <f ca="1">SUMIFS(INDIRECT("Report!F100:F10000"),INDIRECT("Report!B100:B10000"),B772,INDIRECT("report!H100:H10000"),"Goss",INDIRECT("Report!L100:L10000"),"25,10")</f>
        <v>7370000.0000000009</v>
      </c>
      <c r="D772" s="236">
        <f ca="1">(C772/11*10)</f>
        <v>6700000.0000000009</v>
      </c>
      <c r="E772" s="536">
        <f ca="1">SUMIFS(INDIRECT("Report!J100:J10000"),INDIRECT("Report!B100:B10000"),B772,INDIRECT("report!H100:H10000"),"Goss",INDIRECT("Report!L100:L10000"),"25,10")</f>
        <v>0</v>
      </c>
    </row>
    <row r="773" spans="1:7" ht="21" customHeight="1" x14ac:dyDescent="0.25">
      <c r="A773" s="1218"/>
      <c r="C773" s="536"/>
      <c r="E773" s="536"/>
    </row>
    <row r="774" spans="1:7" ht="21" customHeight="1" x14ac:dyDescent="0.25">
      <c r="A774" s="1218"/>
      <c r="C774" s="536"/>
      <c r="E774" s="536"/>
    </row>
    <row r="775" spans="1:7" ht="21" customHeight="1" x14ac:dyDescent="0.25">
      <c r="A775" s="1218"/>
      <c r="C775" s="536">
        <f ca="1">SUMIFS(INDIRECT("Report!F100:F10000"),INDIRECT("Report!B100:B10000"),B775,INDIRECT("report!H100:H10000"),"Goss",INDIRECT("Report!L100:L10000"),"25,3")</f>
        <v>0</v>
      </c>
      <c r="D775" s="236">
        <f ca="1">(C775/11*10)</f>
        <v>0</v>
      </c>
      <c r="E775" s="536">
        <f ca="1">SUMIFS(INDIRECT("Report!J100:J10000"),INDIRECT("Report!B100:B10000"),B775,INDIRECT("report!H100:H10000"),"Goss",INDIRECT("Report!L100:L10000"),"25,3")</f>
        <v>0</v>
      </c>
    </row>
    <row r="776" spans="1:7" ht="21" customHeight="1" x14ac:dyDescent="0.25">
      <c r="A776" s="1218"/>
      <c r="B776" s="1214" t="s">
        <v>3619</v>
      </c>
      <c r="C776" s="1220">
        <f ca="1">SUM(C771:C775)</f>
        <v>8360000.0000000009</v>
      </c>
      <c r="D776" s="1220">
        <f ca="1">SUM(D771:D775)</f>
        <v>7600000.0000000009</v>
      </c>
      <c r="E776" s="1220">
        <f ca="1">SUM(E771:E773)</f>
        <v>0</v>
      </c>
      <c r="F776" s="1217">
        <f ca="1">E776/D776</f>
        <v>0</v>
      </c>
      <c r="G776" s="1216"/>
    </row>
    <row r="777" spans="1:7" ht="21" customHeight="1" x14ac:dyDescent="0.25">
      <c r="A777" s="1218"/>
      <c r="C777" s="536">
        <f ca="1">SUMIFS(INDIRECT("Report!F100:F10000"),INDIRECT("Report!B100:B10000"),B777,INDIRECT("report!H100:H10000"),"Goss",INDIRECT("Report!L100:L10000"),"25,7")</f>
        <v>0</v>
      </c>
      <c r="D777" s="236">
        <f ca="1">(C777/11*10)</f>
        <v>0</v>
      </c>
      <c r="E777" s="536">
        <f ca="1">SUMIFS(INDIRECT("Report!J100:J10000"),INDIRECT("Report!B100:B10000"),B777,INDIRECT("report!H100:H10000"),"Goss",INDIRECT("Report!L100:L10000"),"25,4")</f>
        <v>0</v>
      </c>
      <c r="F777" s="228"/>
    </row>
    <row r="778" spans="1:7" ht="21" customHeight="1" x14ac:dyDescent="0.25">
      <c r="A778" s="1218"/>
      <c r="C778" s="536">
        <f ca="1">SUMIFS(INDIRECT("Report!F100:F10000"),INDIRECT("Report!B100:B10000"),B778,INDIRECT("report!H100:H10000"),"Goss",INDIRECT("Report!L100:L10000"),"25,7")</f>
        <v>0</v>
      </c>
      <c r="D778" s="236">
        <f ca="1">(C778/11*10)</f>
        <v>0</v>
      </c>
      <c r="E778" s="536"/>
    </row>
    <row r="779" spans="1:7" ht="21" customHeight="1" x14ac:dyDescent="0.25">
      <c r="A779" s="293"/>
      <c r="B779" s="277" t="s">
        <v>4485</v>
      </c>
      <c r="C779" s="543">
        <f ca="1">SUM(C771:C775)+SUM(C777:C778)</f>
        <v>8360000.0000000009</v>
      </c>
      <c r="D779" s="543">
        <f ca="1">SUM(D771:D775)+SUM(D777:D778)</f>
        <v>7600000.0000000009</v>
      </c>
      <c r="E779" s="543"/>
      <c r="F779" s="593"/>
      <c r="G779" s="336"/>
    </row>
    <row r="780" spans="1:7" ht="21" customHeight="1" x14ac:dyDescent="0.25">
      <c r="A780" s="798" t="s">
        <v>4488</v>
      </c>
      <c r="B780" s="228" t="s">
        <v>3041</v>
      </c>
      <c r="C780" s="536">
        <f ca="1">SUMIFS(INDIRECT("Report!F100:F10000"),INDIRECT("Report!B100:B10000"),B780,INDIRECT("report!H100:H10000"),"Goss",INDIRECT("Report!L100:L10000"),"25,11")</f>
        <v>2310000</v>
      </c>
      <c r="D780" s="236">
        <f ca="1">(C780/11*10)</f>
        <v>2100000</v>
      </c>
      <c r="E780" s="536">
        <f ca="1">SUMIFS(INDIRECT("Report!J100:J10000"),INDIRECT("Report!B100:B10000"),B780,INDIRECT("report!H100:H10000"),"Goss",INDIRECT("Report!L100:L10000"),"25,10")</f>
        <v>0</v>
      </c>
    </row>
    <row r="781" spans="1:7" ht="21" customHeight="1" x14ac:dyDescent="0.25">
      <c r="A781" s="1018"/>
      <c r="B781" s="228" t="s">
        <v>497</v>
      </c>
      <c r="C781" s="536">
        <f ca="1">SUMIFS(INDIRECT("Report!F100:F10000"),INDIRECT("Report!B100:B10000"),B781,INDIRECT("report!H100:H10000"),"Goss",INDIRECT("Report!L100:L10000"),"25,11")</f>
        <v>1529000.0000000002</v>
      </c>
      <c r="D781" s="236">
        <f ca="1">(C781/11*10)</f>
        <v>1390000.0000000002</v>
      </c>
      <c r="E781" s="536">
        <f ca="1">SUMIFS(INDIRECT("Report!J100:J10000"),INDIRECT("Report!B100:B10000"),B781,INDIRECT("report!H100:H10000"),"Goss",INDIRECT("Report!L100:L10000"),"25,10")</f>
        <v>0</v>
      </c>
    </row>
    <row r="782" spans="1:7" ht="21" customHeight="1" x14ac:dyDescent="0.25">
      <c r="A782" s="1218"/>
      <c r="C782" s="536"/>
      <c r="E782" s="536"/>
    </row>
    <row r="783" spans="1:7" ht="21" customHeight="1" x14ac:dyDescent="0.25">
      <c r="A783" s="1218"/>
      <c r="C783" s="536"/>
      <c r="E783" s="536"/>
    </row>
    <row r="784" spans="1:7" ht="21" customHeight="1" x14ac:dyDescent="0.25">
      <c r="A784" s="1218"/>
      <c r="C784" s="536">
        <f ca="1">SUMIFS(INDIRECT("Report!F100:F10000"),INDIRECT("Report!B100:B10000"),B784,INDIRECT("report!H100:H10000"),"Goss",INDIRECT("Report!L100:L10000"),"25,3")</f>
        <v>0</v>
      </c>
      <c r="D784" s="236">
        <f ca="1">(C784/11*10)</f>
        <v>0</v>
      </c>
      <c r="E784" s="536">
        <f ca="1">SUMIFS(INDIRECT("Report!J100:J10000"),INDIRECT("Report!B100:B10000"),B784,INDIRECT("report!H100:H10000"),"Goss",INDIRECT("Report!L100:L10000"),"25,3")</f>
        <v>0</v>
      </c>
    </row>
    <row r="785" spans="1:7" ht="21" customHeight="1" x14ac:dyDescent="0.25">
      <c r="A785" s="1218"/>
      <c r="B785" s="1214" t="s">
        <v>3619</v>
      </c>
      <c r="C785" s="1220">
        <f ca="1">SUM(C780:C784)</f>
        <v>3839000</v>
      </c>
      <c r="D785" s="1220">
        <f ca="1">SUM(D780:D784)</f>
        <v>3490000</v>
      </c>
      <c r="E785" s="1220">
        <f ca="1">SUM(E780:E782)</f>
        <v>0</v>
      </c>
      <c r="F785" s="1217">
        <f ca="1">E785/D785</f>
        <v>0</v>
      </c>
      <c r="G785" s="1216"/>
    </row>
    <row r="786" spans="1:7" ht="21" customHeight="1" x14ac:dyDescent="0.25">
      <c r="A786" s="1218"/>
      <c r="C786" s="536">
        <f ca="1">SUMIFS(INDIRECT("Report!F100:F10000"),INDIRECT("Report!B100:B10000"),B786,INDIRECT("report!H100:H10000"),"Goss",INDIRECT("Report!L100:L10000"),"25,7")</f>
        <v>0</v>
      </c>
      <c r="D786" s="236">
        <f ca="1">(C786/11*10)</f>
        <v>0</v>
      </c>
      <c r="E786" s="536">
        <f ca="1">SUMIFS(INDIRECT("Report!J100:J10000"),INDIRECT("Report!B100:B10000"),B786,INDIRECT("report!H100:H10000"),"Goss",INDIRECT("Report!L100:L10000"),"25,4")</f>
        <v>0</v>
      </c>
      <c r="F786" s="228"/>
    </row>
    <row r="787" spans="1:7" ht="21" customHeight="1" x14ac:dyDescent="0.25">
      <c r="A787" s="1218"/>
      <c r="C787" s="536">
        <f ca="1">SUMIFS(INDIRECT("Report!F100:F10000"),INDIRECT("Report!B100:B10000"),B787,INDIRECT("report!H100:H10000"),"Goss",INDIRECT("Report!L100:L10000"),"25,7")</f>
        <v>0</v>
      </c>
      <c r="D787" s="236">
        <f ca="1">(C787/11*10)</f>
        <v>0</v>
      </c>
      <c r="E787" s="536"/>
    </row>
    <row r="788" spans="1:7" ht="21" customHeight="1" x14ac:dyDescent="0.25">
      <c r="A788" s="293"/>
      <c r="B788" s="277" t="s">
        <v>4501</v>
      </c>
      <c r="C788" s="543">
        <f ca="1">SUM(C780:C784)+SUM(C786:C787)</f>
        <v>3839000</v>
      </c>
      <c r="D788" s="543">
        <f ca="1">SUM(D780:D784)+SUM(D786:D787)</f>
        <v>3490000</v>
      </c>
      <c r="E788" s="543"/>
      <c r="F788" s="593"/>
      <c r="G788" s="336"/>
    </row>
  </sheetData>
  <autoFilter ref="A1:J449" xr:uid="{00000000-0009-0000-0000-000002000000}"/>
  <phoneticPr fontId="5" type="noConversion"/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337"/>
  <sheetViews>
    <sheetView zoomScale="85" zoomScaleNormal="85" workbookViewId="0">
      <pane xSplit="2" ySplit="1" topLeftCell="C310" activePane="bottomRight" state="frozen"/>
      <selection activeCell="A1889" sqref="A1889"/>
      <selection pane="bottomLeft" activeCell="A1889" sqref="A1889"/>
      <selection pane="topRight" activeCell="A1889" sqref="A1889"/>
      <selection pane="bottomRight" activeCell="C335" sqref="C335"/>
    </sheetView>
  </sheetViews>
  <sheetFormatPr defaultColWidth="9.03515625" defaultRowHeight="17.25" x14ac:dyDescent="0.25"/>
  <cols>
    <col min="1" max="1" width="12.25390625" style="228" customWidth="1"/>
    <col min="2" max="2" width="33.546875" style="228" customWidth="1"/>
    <col min="3" max="3" width="17.203125" style="228" customWidth="1"/>
    <col min="4" max="4" width="16.7109375" style="228" bestFit="1" customWidth="1"/>
    <col min="5" max="5" width="12.99609375" style="228" customWidth="1"/>
    <col min="6" max="6" width="9.53125" style="228" customWidth="1"/>
    <col min="7" max="7" width="14.60546875" style="228" customWidth="1"/>
    <col min="8" max="8" width="12.12890625" style="228" customWidth="1"/>
    <col min="9" max="9" width="13.12109375" style="228" customWidth="1"/>
    <col min="10" max="16384" width="9.03515625" style="228"/>
  </cols>
  <sheetData>
    <row r="1" spans="1:9" ht="41.25" customHeight="1" x14ac:dyDescent="0.25">
      <c r="A1" s="230" t="s">
        <v>6</v>
      </c>
      <c r="B1" s="231" t="s">
        <v>3</v>
      </c>
      <c r="C1" s="231" t="s">
        <v>10</v>
      </c>
      <c r="D1" s="230" t="s">
        <v>23</v>
      </c>
      <c r="E1" s="230" t="s">
        <v>4</v>
      </c>
      <c r="F1" s="230" t="s">
        <v>1</v>
      </c>
      <c r="G1" s="231" t="s">
        <v>3287</v>
      </c>
      <c r="H1" s="230" t="s">
        <v>12</v>
      </c>
      <c r="I1" s="230" t="s">
        <v>13</v>
      </c>
    </row>
    <row r="2" spans="1:9" ht="21" customHeight="1" x14ac:dyDescent="0.25">
      <c r="A2" s="261" t="s">
        <v>404</v>
      </c>
      <c r="B2" s="255" t="s">
        <v>15</v>
      </c>
      <c r="C2" s="256">
        <v>275000</v>
      </c>
      <c r="D2" s="256">
        <v>250000</v>
      </c>
      <c r="E2" s="256">
        <v>250000</v>
      </c>
      <c r="F2" s="299">
        <f t="shared" ref="F2:F39" si="0">E2/D2</f>
        <v>1</v>
      </c>
      <c r="G2" s="333"/>
      <c r="H2" s="227"/>
      <c r="I2" s="275"/>
    </row>
    <row r="3" spans="1:9" ht="21" customHeight="1" x14ac:dyDescent="0.25">
      <c r="A3" s="273"/>
      <c r="B3" s="255" t="s">
        <v>47</v>
      </c>
      <c r="C3" s="256">
        <v>2640000</v>
      </c>
      <c r="D3" s="256">
        <v>2400000</v>
      </c>
      <c r="E3" s="256">
        <v>1200000</v>
      </c>
      <c r="F3" s="262">
        <f t="shared" si="0"/>
        <v>0.5</v>
      </c>
      <c r="G3" s="333"/>
      <c r="H3" s="227"/>
      <c r="I3" s="275"/>
    </row>
    <row r="4" spans="1:9" ht="21" customHeight="1" x14ac:dyDescent="0.25">
      <c r="A4" s="293"/>
      <c r="B4" s="277"/>
      <c r="C4" s="278">
        <f>SUM(C2:C3)</f>
        <v>2915000</v>
      </c>
      <c r="D4" s="278">
        <f>SUM(D2:D3)</f>
        <v>2650000</v>
      </c>
      <c r="E4" s="278">
        <f>SUM(E2:E3)</f>
        <v>1450000</v>
      </c>
      <c r="F4" s="294">
        <f t="shared" si="0"/>
        <v>0.54716981132075471</v>
      </c>
      <c r="G4" s="336">
        <f>SUM(G2:G3)</f>
        <v>0</v>
      </c>
      <c r="H4" s="295"/>
      <c r="I4" s="296"/>
    </row>
    <row r="5" spans="1:9" x14ac:dyDescent="0.25">
      <c r="A5" s="261" t="s">
        <v>405</v>
      </c>
      <c r="B5" s="255" t="s">
        <v>45</v>
      </c>
      <c r="C5" s="256">
        <v>409200</v>
      </c>
      <c r="D5" s="256">
        <v>372000</v>
      </c>
      <c r="E5" s="256">
        <v>102000</v>
      </c>
      <c r="F5" s="299">
        <f t="shared" si="0"/>
        <v>0.27419354838709675</v>
      </c>
      <c r="G5" s="333"/>
      <c r="H5" s="227"/>
      <c r="I5" s="275"/>
    </row>
    <row r="6" spans="1:9" x14ac:dyDescent="0.25">
      <c r="A6" s="273"/>
      <c r="B6" s="255" t="s">
        <v>359</v>
      </c>
      <c r="C6" s="256">
        <v>464200</v>
      </c>
      <c r="D6" s="256">
        <v>422000</v>
      </c>
      <c r="E6" s="256">
        <v>150000</v>
      </c>
      <c r="F6" s="299">
        <f t="shared" si="0"/>
        <v>0.35545023696682465</v>
      </c>
      <c r="G6" s="333"/>
      <c r="H6" s="227"/>
      <c r="I6" s="275"/>
    </row>
    <row r="7" spans="1:9" x14ac:dyDescent="0.25">
      <c r="A7" s="273"/>
      <c r="B7" s="255" t="s">
        <v>22</v>
      </c>
      <c r="C7" s="256">
        <v>165000</v>
      </c>
      <c r="D7" s="256">
        <v>150000</v>
      </c>
      <c r="E7" s="256">
        <v>150000</v>
      </c>
      <c r="F7" s="299">
        <f t="shared" si="0"/>
        <v>1</v>
      </c>
      <c r="G7" s="333"/>
      <c r="H7" s="227"/>
      <c r="I7" s="275"/>
    </row>
    <row r="8" spans="1:9" x14ac:dyDescent="0.25">
      <c r="A8" s="273"/>
      <c r="B8" s="255" t="s">
        <v>20</v>
      </c>
      <c r="C8" s="256">
        <v>275000</v>
      </c>
      <c r="D8" s="256">
        <v>250000</v>
      </c>
      <c r="E8" s="256">
        <v>250000</v>
      </c>
      <c r="F8" s="299">
        <f t="shared" si="0"/>
        <v>1</v>
      </c>
      <c r="G8" s="333"/>
      <c r="H8" s="227"/>
      <c r="I8" s="275"/>
    </row>
    <row r="9" spans="1:9" x14ac:dyDescent="0.25">
      <c r="A9" s="273"/>
      <c r="B9" s="290" t="s">
        <v>47</v>
      </c>
      <c r="C9" s="260">
        <v>880000</v>
      </c>
      <c r="D9" s="260">
        <v>800000</v>
      </c>
      <c r="E9" s="260">
        <v>320000</v>
      </c>
      <c r="F9" s="299">
        <f t="shared" si="0"/>
        <v>0.4</v>
      </c>
      <c r="G9" s="333"/>
      <c r="H9" s="227"/>
      <c r="I9" s="275"/>
    </row>
    <row r="10" spans="1:9" x14ac:dyDescent="0.25">
      <c r="A10" s="293"/>
      <c r="B10" s="277"/>
      <c r="C10" s="278">
        <f>SUM(C5:C9)</f>
        <v>2193400</v>
      </c>
      <c r="D10" s="278">
        <f>SUM(D5:D9)</f>
        <v>1994000</v>
      </c>
      <c r="E10" s="278">
        <f>SUM(E5:E9)</f>
        <v>972000</v>
      </c>
      <c r="F10" s="294">
        <f t="shared" si="0"/>
        <v>0.48746238716148443</v>
      </c>
      <c r="G10" s="336">
        <f>SUM(G5:G9)</f>
        <v>0</v>
      </c>
      <c r="H10" s="295"/>
      <c r="I10" s="296"/>
    </row>
    <row r="11" spans="1:9" x14ac:dyDescent="0.25">
      <c r="A11" s="261" t="s">
        <v>406</v>
      </c>
      <c r="B11" s="297" t="s">
        <v>22</v>
      </c>
      <c r="C11" s="298">
        <v>550000</v>
      </c>
      <c r="D11" s="298">
        <v>500000</v>
      </c>
      <c r="E11" s="298">
        <v>300000</v>
      </c>
      <c r="F11" s="299">
        <f t="shared" si="0"/>
        <v>0.6</v>
      </c>
      <c r="G11" s="333"/>
      <c r="H11" s="227"/>
      <c r="I11" s="275"/>
    </row>
    <row r="12" spans="1:9" x14ac:dyDescent="0.25">
      <c r="A12" s="293"/>
      <c r="B12" s="334"/>
      <c r="C12" s="335">
        <f>SUM(C11:C11)</f>
        <v>550000</v>
      </c>
      <c r="D12" s="335">
        <f>SUM(D11:D11)</f>
        <v>500000</v>
      </c>
      <c r="E12" s="335">
        <f>SUM(E11:E11)</f>
        <v>300000</v>
      </c>
      <c r="F12" s="338">
        <f t="shared" si="0"/>
        <v>0.6</v>
      </c>
      <c r="G12" s="336">
        <f>SUM(G11:G11)</f>
        <v>0</v>
      </c>
      <c r="H12" s="295"/>
      <c r="I12" s="296"/>
    </row>
    <row r="13" spans="1:9" x14ac:dyDescent="0.25">
      <c r="A13" s="261" t="s">
        <v>408</v>
      </c>
      <c r="B13" s="255" t="s">
        <v>52</v>
      </c>
      <c r="C13" s="256">
        <v>1108800</v>
      </c>
      <c r="D13" s="256">
        <v>1008000</v>
      </c>
      <c r="E13" s="256">
        <v>300000</v>
      </c>
      <c r="F13" s="299">
        <f t="shared" si="0"/>
        <v>0.29761904761904762</v>
      </c>
      <c r="G13" s="333"/>
      <c r="H13" s="227"/>
      <c r="I13" s="275"/>
    </row>
    <row r="14" spans="1:9" x14ac:dyDescent="0.25">
      <c r="A14" s="273"/>
      <c r="B14" s="255" t="s">
        <v>20</v>
      </c>
      <c r="C14" s="256">
        <v>605000</v>
      </c>
      <c r="D14" s="256">
        <v>550000</v>
      </c>
      <c r="E14" s="256">
        <v>550000</v>
      </c>
      <c r="F14" s="299">
        <f t="shared" si="0"/>
        <v>1</v>
      </c>
      <c r="G14" s="333"/>
      <c r="H14" s="227"/>
      <c r="I14" s="275"/>
    </row>
    <row r="15" spans="1:9" x14ac:dyDescent="0.25">
      <c r="A15" s="273"/>
      <c r="B15" s="255" t="s">
        <v>363</v>
      </c>
      <c r="C15" s="256">
        <v>385000</v>
      </c>
      <c r="D15" s="256">
        <v>350000</v>
      </c>
      <c r="E15" s="256">
        <v>350000</v>
      </c>
      <c r="F15" s="299">
        <f t="shared" si="0"/>
        <v>1</v>
      </c>
      <c r="G15" s="333"/>
      <c r="H15" s="227"/>
      <c r="I15" s="275"/>
    </row>
    <row r="16" spans="1:9" x14ac:dyDescent="0.25">
      <c r="A16" s="273"/>
      <c r="B16" s="255" t="s">
        <v>45</v>
      </c>
      <c r="C16" s="256">
        <v>165000</v>
      </c>
      <c r="D16" s="256">
        <v>150000</v>
      </c>
      <c r="E16" s="256">
        <v>150000</v>
      </c>
      <c r="F16" s="299">
        <f t="shared" si="0"/>
        <v>1</v>
      </c>
      <c r="G16" s="333"/>
      <c r="H16" s="227"/>
      <c r="I16" s="275"/>
    </row>
    <row r="17" spans="1:9" x14ac:dyDescent="0.25">
      <c r="A17" s="273"/>
      <c r="B17" s="290" t="s">
        <v>354</v>
      </c>
      <c r="C17" s="260">
        <v>165000</v>
      </c>
      <c r="D17" s="260">
        <v>150000</v>
      </c>
      <c r="E17" s="260">
        <v>150000</v>
      </c>
      <c r="F17" s="299">
        <f t="shared" si="0"/>
        <v>1</v>
      </c>
      <c r="G17" s="333"/>
      <c r="H17" s="227"/>
      <c r="I17" s="275"/>
    </row>
    <row r="18" spans="1:9" x14ac:dyDescent="0.25">
      <c r="A18" s="293"/>
      <c r="B18" s="277"/>
      <c r="C18" s="278">
        <f>SUM(C13:C17)</f>
        <v>2428800</v>
      </c>
      <c r="D18" s="278">
        <f>SUM(D13:D17)</f>
        <v>2208000</v>
      </c>
      <c r="E18" s="278">
        <f>SUM(E13:E17)</f>
        <v>1500000</v>
      </c>
      <c r="F18" s="294">
        <f t="shared" si="0"/>
        <v>0.67934782608695654</v>
      </c>
      <c r="G18" s="336">
        <f>SUM(G13:G17)</f>
        <v>0</v>
      </c>
      <c r="H18" s="295"/>
      <c r="I18" s="296"/>
    </row>
    <row r="19" spans="1:9" x14ac:dyDescent="0.25">
      <c r="A19" s="261" t="s">
        <v>409</v>
      </c>
      <c r="B19" s="297" t="s">
        <v>499</v>
      </c>
      <c r="C19" s="298">
        <v>-2095500</v>
      </c>
      <c r="D19" s="298">
        <v>-1905000</v>
      </c>
      <c r="E19" s="298">
        <v>-1905000</v>
      </c>
      <c r="F19" s="299">
        <f t="shared" si="0"/>
        <v>1</v>
      </c>
      <c r="G19" s="252" t="s">
        <v>500</v>
      </c>
      <c r="H19" s="249"/>
      <c r="I19" s="275"/>
    </row>
    <row r="20" spans="1:9" x14ac:dyDescent="0.25">
      <c r="A20" s="273"/>
      <c r="B20" s="290" t="s">
        <v>17</v>
      </c>
      <c r="C20" s="260">
        <v>1375000</v>
      </c>
      <c r="D20" s="260">
        <v>1250000</v>
      </c>
      <c r="E20" s="260">
        <v>1250000</v>
      </c>
      <c r="F20" s="299">
        <f t="shared" si="0"/>
        <v>1</v>
      </c>
      <c r="G20" s="333" t="s">
        <v>501</v>
      </c>
      <c r="H20" s="251"/>
      <c r="I20" s="275"/>
    </row>
    <row r="21" spans="1:9" x14ac:dyDescent="0.25">
      <c r="A21" s="273"/>
      <c r="B21" s="290" t="s">
        <v>17</v>
      </c>
      <c r="C21" s="260">
        <v>55000</v>
      </c>
      <c r="D21" s="260">
        <v>50000</v>
      </c>
      <c r="E21" s="260">
        <v>50000</v>
      </c>
      <c r="F21" s="299">
        <f t="shared" si="0"/>
        <v>1</v>
      </c>
      <c r="G21" s="333" t="s">
        <v>502</v>
      </c>
      <c r="H21" s="251"/>
      <c r="I21" s="275"/>
    </row>
    <row r="22" spans="1:9" x14ac:dyDescent="0.25">
      <c r="A22" s="273"/>
      <c r="B22" s="290" t="s">
        <v>17</v>
      </c>
      <c r="C22" s="260">
        <v>55000</v>
      </c>
      <c r="D22" s="260">
        <v>50000</v>
      </c>
      <c r="E22" s="260">
        <v>50000</v>
      </c>
      <c r="F22" s="299">
        <f>E22/D22</f>
        <v>1</v>
      </c>
      <c r="G22" s="333" t="s">
        <v>502</v>
      </c>
      <c r="H22" s="251"/>
      <c r="I22" s="275"/>
    </row>
    <row r="23" spans="1:9" x14ac:dyDescent="0.25">
      <c r="A23" s="273"/>
      <c r="B23" s="290" t="s">
        <v>15</v>
      </c>
      <c r="C23" s="260">
        <v>605000</v>
      </c>
      <c r="D23" s="260">
        <v>550000</v>
      </c>
      <c r="E23" s="260">
        <v>550000</v>
      </c>
      <c r="F23" s="299">
        <f>E23/D23</f>
        <v>1</v>
      </c>
      <c r="G23" s="333"/>
      <c r="H23" s="251"/>
      <c r="I23" s="275"/>
    </row>
    <row r="24" spans="1:9" x14ac:dyDescent="0.25">
      <c r="A24" s="273"/>
      <c r="B24" s="290" t="s">
        <v>45</v>
      </c>
      <c r="C24" s="260">
        <v>1210000</v>
      </c>
      <c r="D24" s="260">
        <v>1100000</v>
      </c>
      <c r="E24" s="260">
        <v>1100000</v>
      </c>
      <c r="F24" s="299">
        <f t="shared" si="0"/>
        <v>1</v>
      </c>
      <c r="G24" s="333"/>
      <c r="H24" s="251"/>
      <c r="I24" s="275"/>
    </row>
    <row r="25" spans="1:9" ht="21" customHeight="1" x14ac:dyDescent="0.25">
      <c r="A25" s="293"/>
      <c r="B25" s="334"/>
      <c r="C25" s="335">
        <f>SUM(C19:C24)</f>
        <v>1204500</v>
      </c>
      <c r="D25" s="335">
        <f>SUM(D19:D24)</f>
        <v>1095000</v>
      </c>
      <c r="E25" s="335">
        <f>SUM(E19:E24)</f>
        <v>1095000</v>
      </c>
      <c r="F25" s="338">
        <f t="shared" si="0"/>
        <v>1</v>
      </c>
      <c r="G25" s="336">
        <f>SUM(G19:G24)</f>
        <v>0</v>
      </c>
      <c r="H25" s="339"/>
      <c r="I25" s="296"/>
    </row>
    <row r="26" spans="1:9" ht="21" customHeight="1" x14ac:dyDescent="0.25">
      <c r="A26" s="261" t="s">
        <v>410</v>
      </c>
      <c r="B26" s="290" t="s">
        <v>45</v>
      </c>
      <c r="C26" s="260">
        <v>275000</v>
      </c>
      <c r="D26" s="260">
        <v>250000</v>
      </c>
      <c r="E26" s="260">
        <v>250000</v>
      </c>
      <c r="F26" s="299">
        <f t="shared" si="0"/>
        <v>1</v>
      </c>
      <c r="G26" s="252"/>
      <c r="H26" s="249"/>
      <c r="I26" s="275"/>
    </row>
    <row r="27" spans="1:9" ht="21" customHeight="1" x14ac:dyDescent="0.25">
      <c r="A27" s="293"/>
      <c r="B27" s="334"/>
      <c r="C27" s="335">
        <f>SUM(C26:C26)</f>
        <v>275000</v>
      </c>
      <c r="D27" s="335">
        <f>SUM(D26:D26)</f>
        <v>250000</v>
      </c>
      <c r="E27" s="335">
        <f>SUM(E26:E26)</f>
        <v>250000</v>
      </c>
      <c r="F27" s="338">
        <f t="shared" si="0"/>
        <v>1</v>
      </c>
      <c r="G27" s="336">
        <f>SUM(G26:G26)</f>
        <v>0</v>
      </c>
      <c r="H27" s="339"/>
      <c r="I27" s="296"/>
    </row>
    <row r="28" spans="1:9" x14ac:dyDescent="0.25">
      <c r="A28" s="261" t="s">
        <v>414</v>
      </c>
      <c r="B28" s="290" t="s">
        <v>17</v>
      </c>
      <c r="C28" s="260">
        <v>1375000</v>
      </c>
      <c r="D28" s="260">
        <v>1250000</v>
      </c>
      <c r="E28" s="260">
        <v>1250000</v>
      </c>
      <c r="F28" s="299">
        <f t="shared" si="0"/>
        <v>1</v>
      </c>
      <c r="G28" s="333" t="s">
        <v>503</v>
      </c>
      <c r="H28" s="249"/>
      <c r="I28" s="275"/>
    </row>
    <row r="29" spans="1:9" x14ac:dyDescent="0.25">
      <c r="A29" s="293"/>
      <c r="B29" s="277"/>
      <c r="C29" s="278">
        <f>SUM(C28:C28)</f>
        <v>1375000</v>
      </c>
      <c r="D29" s="278">
        <f>SUM(D28:D28)</f>
        <v>1250000</v>
      </c>
      <c r="E29" s="278">
        <f>SUM(E28:E28)</f>
        <v>1250000</v>
      </c>
      <c r="F29" s="294">
        <f t="shared" si="0"/>
        <v>1</v>
      </c>
      <c r="G29" s="336">
        <f>SUM(G28:G28)</f>
        <v>0</v>
      </c>
      <c r="H29" s="295"/>
      <c r="I29" s="296"/>
    </row>
    <row r="30" spans="1:9" x14ac:dyDescent="0.25">
      <c r="A30" s="261" t="s">
        <v>418</v>
      </c>
      <c r="B30" s="255" t="s">
        <v>52</v>
      </c>
      <c r="C30" s="256">
        <v>959200</v>
      </c>
      <c r="D30" s="256">
        <v>872000</v>
      </c>
      <c r="E30" s="256">
        <v>0</v>
      </c>
      <c r="F30" s="299">
        <f t="shared" si="0"/>
        <v>0</v>
      </c>
      <c r="G30" s="333" t="s">
        <v>504</v>
      </c>
      <c r="H30" s="227"/>
      <c r="I30" s="275"/>
    </row>
    <row r="31" spans="1:9" x14ac:dyDescent="0.25">
      <c r="A31" s="273"/>
      <c r="B31" s="255" t="s">
        <v>17</v>
      </c>
      <c r="C31" s="256">
        <v>1375000</v>
      </c>
      <c r="D31" s="256">
        <v>1250000</v>
      </c>
      <c r="E31" s="256">
        <v>1250000</v>
      </c>
      <c r="F31" s="299">
        <f t="shared" si="0"/>
        <v>1</v>
      </c>
      <c r="G31" s="333" t="s">
        <v>505</v>
      </c>
      <c r="H31" s="227"/>
      <c r="I31" s="275"/>
    </row>
    <row r="32" spans="1:9" x14ac:dyDescent="0.25">
      <c r="A32" s="273"/>
      <c r="B32" s="255" t="s">
        <v>15</v>
      </c>
      <c r="C32" s="256">
        <v>1992100</v>
      </c>
      <c r="D32" s="256">
        <v>1811000</v>
      </c>
      <c r="E32" s="256">
        <v>0</v>
      </c>
      <c r="F32" s="299">
        <f t="shared" si="0"/>
        <v>0</v>
      </c>
      <c r="G32" s="333" t="s">
        <v>504</v>
      </c>
      <c r="H32" s="227"/>
      <c r="I32" s="275"/>
    </row>
    <row r="33" spans="1:9" x14ac:dyDescent="0.25">
      <c r="A33" s="273"/>
      <c r="B33" s="255" t="s">
        <v>48</v>
      </c>
      <c r="C33" s="256">
        <v>706200</v>
      </c>
      <c r="D33" s="256">
        <v>642000</v>
      </c>
      <c r="E33" s="256">
        <v>0</v>
      </c>
      <c r="F33" s="299">
        <f t="shared" si="0"/>
        <v>0</v>
      </c>
      <c r="G33" s="333" t="s">
        <v>504</v>
      </c>
      <c r="H33" s="227"/>
      <c r="I33" s="275"/>
    </row>
    <row r="34" spans="1:9" x14ac:dyDescent="0.25">
      <c r="A34" s="293"/>
      <c r="B34" s="277"/>
      <c r="C34" s="278">
        <f>SUM(C30:C33)</f>
        <v>5032500</v>
      </c>
      <c r="D34" s="278">
        <f>SUM(D30:D33)</f>
        <v>4575000</v>
      </c>
      <c r="E34" s="278">
        <f>SUM(E30:E33)</f>
        <v>1250000</v>
      </c>
      <c r="F34" s="294">
        <f t="shared" si="0"/>
        <v>0.27322404371584702</v>
      </c>
      <c r="G34" s="336">
        <f>SUM(G30:G33)</f>
        <v>0</v>
      </c>
      <c r="H34" s="295"/>
      <c r="I34" s="296"/>
    </row>
    <row r="35" spans="1:9" x14ac:dyDescent="0.25">
      <c r="A35" s="261" t="s">
        <v>421</v>
      </c>
      <c r="B35" s="297" t="s">
        <v>17</v>
      </c>
      <c r="C35" s="298">
        <v>1375000</v>
      </c>
      <c r="D35" s="298">
        <v>1250000</v>
      </c>
      <c r="E35" s="298">
        <v>1250000</v>
      </c>
      <c r="F35" s="299">
        <f t="shared" si="0"/>
        <v>1</v>
      </c>
      <c r="G35" s="333" t="s">
        <v>506</v>
      </c>
      <c r="H35" s="227"/>
      <c r="I35" s="275"/>
    </row>
    <row r="36" spans="1:9" x14ac:dyDescent="0.25">
      <c r="A36" s="293"/>
      <c r="B36" s="334"/>
      <c r="C36" s="335">
        <f>SUM(C35:C35)</f>
        <v>1375000</v>
      </c>
      <c r="D36" s="335">
        <f>SUM(D35:D35)</f>
        <v>1250000</v>
      </c>
      <c r="E36" s="335">
        <f>SUM(E35:E35)</f>
        <v>1250000</v>
      </c>
      <c r="F36" s="338">
        <f t="shared" si="0"/>
        <v>1</v>
      </c>
      <c r="G36" s="336">
        <f>SUM(G35:G35)</f>
        <v>0</v>
      </c>
      <c r="H36" s="295"/>
      <c r="I36" s="296"/>
    </row>
    <row r="37" spans="1:9" x14ac:dyDescent="0.25">
      <c r="A37" s="261" t="s">
        <v>425</v>
      </c>
      <c r="B37" s="255" t="s">
        <v>53</v>
      </c>
      <c r="C37" s="256">
        <v>275000</v>
      </c>
      <c r="D37" s="256">
        <v>250000</v>
      </c>
      <c r="E37" s="256">
        <v>250000</v>
      </c>
      <c r="F37" s="299">
        <f t="shared" si="0"/>
        <v>1</v>
      </c>
      <c r="G37" s="333"/>
      <c r="H37" s="227"/>
      <c r="I37" s="275"/>
    </row>
    <row r="38" spans="1:9" x14ac:dyDescent="0.25">
      <c r="A38" s="273"/>
      <c r="B38" s="255" t="s">
        <v>22</v>
      </c>
      <c r="C38" s="256">
        <v>242000</v>
      </c>
      <c r="D38" s="256">
        <v>220000</v>
      </c>
      <c r="E38" s="256">
        <v>220000</v>
      </c>
      <c r="F38" s="299">
        <f t="shared" si="0"/>
        <v>1</v>
      </c>
      <c r="G38" s="333"/>
      <c r="H38" s="227"/>
      <c r="I38" s="275"/>
    </row>
    <row r="39" spans="1:9" x14ac:dyDescent="0.25">
      <c r="A39" s="293"/>
      <c r="B39" s="277"/>
      <c r="C39" s="278">
        <f>SUM(C37:C38)</f>
        <v>517000</v>
      </c>
      <c r="D39" s="278">
        <f>SUM(D37:D38)</f>
        <v>470000</v>
      </c>
      <c r="E39" s="278">
        <f>SUM(E37:E38)</f>
        <v>470000</v>
      </c>
      <c r="F39" s="294">
        <f t="shared" si="0"/>
        <v>1</v>
      </c>
      <c r="G39" s="336">
        <f>SUM(G37:G38)</f>
        <v>0</v>
      </c>
      <c r="H39" s="295"/>
      <c r="I39" s="296"/>
    </row>
    <row r="40" spans="1:9" x14ac:dyDescent="0.25">
      <c r="A40" s="261" t="s">
        <v>427</v>
      </c>
      <c r="B40" s="255" t="s">
        <v>53</v>
      </c>
      <c r="C40" s="256">
        <v>165000</v>
      </c>
      <c r="D40" s="256">
        <v>150000</v>
      </c>
      <c r="E40" s="256">
        <v>150000</v>
      </c>
      <c r="F40" s="299">
        <f>E40/D40</f>
        <v>1</v>
      </c>
      <c r="G40" s="333"/>
      <c r="H40" s="227"/>
      <c r="I40" s="275"/>
    </row>
    <row r="41" spans="1:9" x14ac:dyDescent="0.25">
      <c r="A41" s="293"/>
      <c r="B41" s="277" t="s">
        <v>2755</v>
      </c>
      <c r="C41" s="278">
        <f>SUM(C40:C40)</f>
        <v>165000</v>
      </c>
      <c r="D41" s="278">
        <f>SUM(D40:D40)</f>
        <v>150000</v>
      </c>
      <c r="E41" s="278">
        <f>SUM(E40:E40)</f>
        <v>150000</v>
      </c>
      <c r="F41" s="294">
        <f>E41/D41</f>
        <v>1</v>
      </c>
      <c r="G41" s="336">
        <f>SUM(G40:G40)</f>
        <v>0</v>
      </c>
      <c r="H41" s="295"/>
      <c r="I41" s="296"/>
    </row>
    <row r="42" spans="1:9" x14ac:dyDescent="0.25">
      <c r="A42" s="261" t="s">
        <v>435</v>
      </c>
      <c r="B42" s="255" t="s">
        <v>45</v>
      </c>
      <c r="C42" s="256">
        <v>7700000</v>
      </c>
      <c r="D42" s="256">
        <v>7000000</v>
      </c>
      <c r="E42" s="256">
        <v>7000000</v>
      </c>
      <c r="F42" s="299">
        <f t="shared" ref="F42:F53" si="1">E42/D42</f>
        <v>1</v>
      </c>
      <c r="G42" s="333"/>
      <c r="H42" s="227"/>
      <c r="I42" s="275"/>
    </row>
    <row r="43" spans="1:9" x14ac:dyDescent="0.25">
      <c r="A43" s="273"/>
      <c r="B43" s="255" t="s">
        <v>48</v>
      </c>
      <c r="C43" s="256">
        <v>275000</v>
      </c>
      <c r="D43" s="256">
        <v>250000</v>
      </c>
      <c r="E43" s="256">
        <v>250000</v>
      </c>
      <c r="F43" s="299">
        <f t="shared" si="1"/>
        <v>1</v>
      </c>
      <c r="G43" s="333"/>
      <c r="H43" s="227"/>
      <c r="I43" s="275"/>
    </row>
    <row r="44" spans="1:9" x14ac:dyDescent="0.25">
      <c r="A44" s="293"/>
      <c r="B44" s="277"/>
      <c r="C44" s="278">
        <f>SUM(C42:C43)</f>
        <v>7975000</v>
      </c>
      <c r="D44" s="278">
        <f>SUM(D42:D43)</f>
        <v>7250000</v>
      </c>
      <c r="E44" s="278">
        <f>SUM(E42:E43)</f>
        <v>7250000</v>
      </c>
      <c r="F44" s="294">
        <f t="shared" si="1"/>
        <v>1</v>
      </c>
      <c r="G44" s="336">
        <f>SUM(G42:G43)</f>
        <v>0</v>
      </c>
      <c r="H44" s="295"/>
      <c r="I44" s="296"/>
    </row>
    <row r="45" spans="1:9" x14ac:dyDescent="0.25">
      <c r="A45" s="293" t="s">
        <v>2756</v>
      </c>
      <c r="B45" s="277"/>
      <c r="C45" s="278"/>
      <c r="D45" s="278"/>
      <c r="E45" s="278"/>
      <c r="F45" s="294"/>
      <c r="G45" s="336"/>
      <c r="H45" s="295"/>
      <c r="I45" s="296"/>
    </row>
    <row r="46" spans="1:9" x14ac:dyDescent="0.25">
      <c r="A46" s="261" t="s">
        <v>440</v>
      </c>
      <c r="B46" s="1186" t="s">
        <v>17</v>
      </c>
      <c r="C46" s="1187">
        <v>1375000</v>
      </c>
      <c r="D46" s="1187">
        <v>1250000</v>
      </c>
      <c r="E46" s="1187">
        <v>1250000</v>
      </c>
      <c r="F46" s="1188">
        <f t="shared" si="1"/>
        <v>1</v>
      </c>
      <c r="G46" s="936" t="s">
        <v>507</v>
      </c>
      <c r="H46" s="859"/>
      <c r="I46" s="1189"/>
    </row>
    <row r="47" spans="1:9" x14ac:dyDescent="0.25">
      <c r="A47" s="273"/>
      <c r="B47" s="297" t="s">
        <v>53</v>
      </c>
      <c r="C47" s="298">
        <v>165000</v>
      </c>
      <c r="D47" s="298">
        <v>150000</v>
      </c>
      <c r="E47" s="298">
        <v>150000</v>
      </c>
      <c r="F47" s="299">
        <f t="shared" si="1"/>
        <v>1</v>
      </c>
      <c r="G47" s="333"/>
      <c r="H47" s="227"/>
      <c r="I47" s="275"/>
    </row>
    <row r="48" spans="1:9" x14ac:dyDescent="0.25">
      <c r="A48" s="273"/>
      <c r="B48" s="297" t="s">
        <v>48</v>
      </c>
      <c r="C48" s="298">
        <v>275000</v>
      </c>
      <c r="D48" s="298">
        <v>250000</v>
      </c>
      <c r="E48" s="298">
        <v>250000</v>
      </c>
      <c r="F48" s="299">
        <f t="shared" si="1"/>
        <v>1</v>
      </c>
      <c r="G48" s="333"/>
      <c r="H48" s="227"/>
      <c r="I48" s="275"/>
    </row>
    <row r="49" spans="1:9" x14ac:dyDescent="0.25">
      <c r="A49" s="293"/>
      <c r="B49" s="277"/>
      <c r="C49" s="278">
        <f>SUM(C46:C48)</f>
        <v>1815000</v>
      </c>
      <c r="D49" s="278">
        <f>SUM(D46:D48)</f>
        <v>1650000</v>
      </c>
      <c r="E49" s="278">
        <f>SUM(E46:E48)</f>
        <v>1650000</v>
      </c>
      <c r="F49" s="294">
        <f t="shared" si="1"/>
        <v>1</v>
      </c>
      <c r="G49" s="336">
        <f>SUM(G46:G48)</f>
        <v>0</v>
      </c>
      <c r="H49" s="295"/>
      <c r="I49" s="296"/>
    </row>
    <row r="50" spans="1:9" x14ac:dyDescent="0.25">
      <c r="A50" s="293" t="s">
        <v>2756</v>
      </c>
      <c r="B50" s="277"/>
      <c r="C50" s="278"/>
      <c r="D50" s="278"/>
      <c r="E50" s="278"/>
      <c r="F50" s="294"/>
      <c r="G50" s="336"/>
      <c r="H50" s="295"/>
      <c r="I50" s="296"/>
    </row>
    <row r="51" spans="1:9" x14ac:dyDescent="0.25">
      <c r="A51" s="261" t="s">
        <v>462</v>
      </c>
      <c r="B51" s="249" t="s">
        <v>508</v>
      </c>
      <c r="C51" s="313">
        <f ca="1">SUMIFS(INDIRECT("Report!F58:F120"),INDIRECT("Report!B58:B120"),B51,INDIRECT("report!H58:H120"), "Service")</f>
        <v>275000</v>
      </c>
      <c r="D51" s="298">
        <v>250000</v>
      </c>
      <c r="E51" s="313">
        <f ca="1">SUMIFS(INDIRECT("Report!J58:J120"),INDIRECT("Report!B58:B120"),B51,INDIRECT("report!H58:H120"), "Service")</f>
        <v>250000</v>
      </c>
      <c r="F51" s="299">
        <f t="shared" ca="1" si="1"/>
        <v>1</v>
      </c>
    </row>
    <row r="52" spans="1:9" x14ac:dyDescent="0.25">
      <c r="A52" s="273"/>
      <c r="B52" s="249" t="s">
        <v>588</v>
      </c>
      <c r="C52" s="313">
        <f ca="1">SUMIFS(INDIRECT("Report!F58:F120"),INDIRECT("Report!B58:B120"),B52,INDIRECT("report!H58:H120"), "Service")</f>
        <v>330000</v>
      </c>
      <c r="D52" s="298">
        <f ca="1">(C52/11*10)</f>
        <v>300000</v>
      </c>
      <c r="E52" s="313">
        <f ca="1">SUMIFS(INDIRECT("Report!J58:J120"),INDIRECT("Report!B58:B120"),B52,INDIRECT("report!H58:H120"), "Service")</f>
        <v>300000</v>
      </c>
      <c r="F52" s="299">
        <f t="shared" ca="1" si="1"/>
        <v>1</v>
      </c>
    </row>
    <row r="53" spans="1:9" x14ac:dyDescent="0.25">
      <c r="A53" s="273"/>
      <c r="B53" s="741" t="s">
        <v>517</v>
      </c>
      <c r="C53" s="742">
        <f ca="1">SUMIFS(INDIRECT("Report!F58:F120"),INDIRECT("Report!B58:B120"),B53,INDIRECT("report!H58:H120"), "Service")</f>
        <v>1375000</v>
      </c>
      <c r="D53" s="738">
        <f ca="1">(C53/11*10)</f>
        <v>1250000</v>
      </c>
      <c r="E53" s="742">
        <f ca="1">SUMIFS(INDIRECT("Report!J58:J120"),INDIRECT("Report!B58:B120"),B53,INDIRECT("report!H58:H120"), "Service")</f>
        <v>1250000</v>
      </c>
      <c r="F53" s="739">
        <f t="shared" ca="1" si="1"/>
        <v>1</v>
      </c>
      <c r="G53" s="740" t="s">
        <v>604</v>
      </c>
      <c r="H53" s="743"/>
      <c r="I53" s="744"/>
    </row>
    <row r="54" spans="1:9" x14ac:dyDescent="0.25">
      <c r="A54" s="293"/>
      <c r="B54" s="277"/>
      <c r="C54" s="278">
        <f ca="1">SUM(C51:C53)</f>
        <v>1980000</v>
      </c>
      <c r="D54" s="278">
        <f ca="1">SUM(D51:D53)</f>
        <v>1800000</v>
      </c>
      <c r="E54" s="278">
        <f ca="1">SUM(E51:E53)</f>
        <v>1800000</v>
      </c>
      <c r="F54" s="294">
        <f ca="1">E54/D54</f>
        <v>1</v>
      </c>
      <c r="G54" s="336">
        <f>SUM(G48:G51)</f>
        <v>0</v>
      </c>
    </row>
    <row r="55" spans="1:9" x14ac:dyDescent="0.25">
      <c r="A55" s="293" t="s">
        <v>2756</v>
      </c>
      <c r="B55" s="279"/>
      <c r="C55" s="1184"/>
      <c r="D55" s="278"/>
      <c r="E55" s="1184"/>
      <c r="F55" s="1185"/>
      <c r="G55" s="336"/>
    </row>
    <row r="56" spans="1:9" x14ac:dyDescent="0.25">
      <c r="A56" s="261" t="s">
        <v>709</v>
      </c>
      <c r="B56" s="228" t="s">
        <v>765</v>
      </c>
      <c r="C56" s="250">
        <f ca="1">SUMIFS(INDIRECT("Report!F100:F1000"),INDIRECT("Report!B100:B1000"),B56,INDIRECT("report!H100:H1000"),"Service",INDIRECT("Report!L100:L1000"),"17.8")</f>
        <v>5665000</v>
      </c>
      <c r="D56" s="298">
        <f ca="1">(C56/11*10)</f>
        <v>5150000</v>
      </c>
      <c r="E56" s="521">
        <f t="shared" ref="E56:E62" ca="1" si="2">D56</f>
        <v>5150000</v>
      </c>
    </row>
    <row r="57" spans="1:9" x14ac:dyDescent="0.25">
      <c r="A57" s="273"/>
      <c r="B57" s="228" t="s">
        <v>766</v>
      </c>
      <c r="C57" s="250">
        <f ca="1">SUMIFS(INDIRECT("Report!F100:F1000"),INDIRECT("Report!B100:B1000"),B57,INDIRECT("report!H100:H1000"),"Service",INDIRECT("Report!L100:L1000"),"17.8")</f>
        <v>4002900.0000000005</v>
      </c>
      <c r="D57" s="298">
        <f t="shared" ref="D57:D62" ca="1" si="3">(C57/11*10)</f>
        <v>3639000.0000000005</v>
      </c>
      <c r="E57" s="521">
        <f t="shared" ca="1" si="2"/>
        <v>3639000.0000000005</v>
      </c>
    </row>
    <row r="58" spans="1:9" x14ac:dyDescent="0.25">
      <c r="A58" s="273"/>
      <c r="B58" s="228" t="s">
        <v>508</v>
      </c>
      <c r="C58" s="250">
        <f ca="1">SUMIFS(INDIRECT("Report!F100:F1000"),INDIRECT("Report!B100:B1000"),B58,INDIRECT("report!H100:H1000"),"Service",INDIRECT("Report!L100:L1000"),"17.8")</f>
        <v>13242900</v>
      </c>
      <c r="D58" s="298">
        <f t="shared" ca="1" si="3"/>
        <v>12039000</v>
      </c>
      <c r="E58" s="521">
        <f t="shared" ca="1" si="2"/>
        <v>12039000</v>
      </c>
    </row>
    <row r="59" spans="1:9" x14ac:dyDescent="0.25">
      <c r="A59" s="273"/>
      <c r="B59" s="228" t="s">
        <v>517</v>
      </c>
      <c r="C59" s="250">
        <f ca="1">SUMIFS(INDIRECT("Report!F100:F1000"),INDIRECT("Report!B100:B1000"),B59,INDIRECT("report!H100:H1000"),"Service",INDIRECT("Report!L100:L1000"),"17.8")-1375000</f>
        <v>2241800</v>
      </c>
      <c r="D59" s="298">
        <f t="shared" ca="1" si="3"/>
        <v>2038000</v>
      </c>
      <c r="E59" s="521">
        <f t="shared" ca="1" si="2"/>
        <v>2038000</v>
      </c>
    </row>
    <row r="60" spans="1:9" x14ac:dyDescent="0.25">
      <c r="A60" s="273"/>
      <c r="B60" s="228" t="s">
        <v>767</v>
      </c>
      <c r="C60" s="236">
        <f ca="1">SUMIFS(INDIRECT("Report!F100:F1000"),INDIRECT("Report!B100:B1000"),B60,INDIRECT("report!H100:H1000"),"Service",INDIRECT("Report!L100:L1000"),"17.8")</f>
        <v>2376000</v>
      </c>
      <c r="D60" s="236">
        <f t="shared" ca="1" si="3"/>
        <v>2160000</v>
      </c>
      <c r="E60" s="521">
        <f t="shared" ca="1" si="2"/>
        <v>2160000</v>
      </c>
    </row>
    <row r="61" spans="1:9" x14ac:dyDescent="0.25">
      <c r="A61" s="273"/>
      <c r="B61" s="228" t="s">
        <v>768</v>
      </c>
      <c r="C61" s="236">
        <f ca="1">SUMIFS(INDIRECT("Report!F100:F1000"),INDIRECT("Report!B100:B1000"),B61,INDIRECT("report!H100:H1000"),"Service",INDIRECT("Report!L100:L1000"),"17.8")</f>
        <v>275000</v>
      </c>
      <c r="D61" s="236">
        <f t="shared" ca="1" si="3"/>
        <v>250000</v>
      </c>
      <c r="E61" s="521">
        <f t="shared" ca="1" si="2"/>
        <v>250000</v>
      </c>
    </row>
    <row r="62" spans="1:9" x14ac:dyDescent="0.25">
      <c r="A62" s="273"/>
      <c r="B62" s="740" t="s">
        <v>517</v>
      </c>
      <c r="C62" s="332">
        <v>1375000</v>
      </c>
      <c r="D62" s="332">
        <f t="shared" si="3"/>
        <v>1250000</v>
      </c>
      <c r="E62" s="521">
        <f t="shared" si="2"/>
        <v>1250000</v>
      </c>
      <c r="F62" s="740"/>
      <c r="G62" s="740" t="s">
        <v>769</v>
      </c>
      <c r="H62" s="740"/>
      <c r="I62" s="740"/>
    </row>
    <row r="63" spans="1:9" x14ac:dyDescent="0.25">
      <c r="A63" s="293" t="s">
        <v>2756</v>
      </c>
      <c r="B63" s="279"/>
      <c r="C63" s="278">
        <f ca="1">SUM(C56:C62)</f>
        <v>29178600</v>
      </c>
      <c r="D63" s="278">
        <f ca="1">SUM(D56:D62)</f>
        <v>26526000</v>
      </c>
      <c r="E63" s="278">
        <f ca="1">SUM(E56:E62)</f>
        <v>26526000</v>
      </c>
      <c r="F63" s="294">
        <f ca="1">E63/D63</f>
        <v>1</v>
      </c>
      <c r="G63" s="336">
        <f>SUM(G58:G60)</f>
        <v>0</v>
      </c>
    </row>
    <row r="64" spans="1:9" x14ac:dyDescent="0.25">
      <c r="A64" s="261" t="s">
        <v>832</v>
      </c>
      <c r="B64" s="228" t="s">
        <v>517</v>
      </c>
      <c r="C64" s="236">
        <f ca="1">SUMIFS(INDIRECT("Report!F100:F1000"),INDIRECT("Report!B100:B1000"),B64,INDIRECT("report!H100:H1000"),"Service",INDIRECT("Report!L100:L1000"),"17.9")</f>
        <v>2420000</v>
      </c>
      <c r="D64" s="236">
        <f ca="1">(C64/11*10)</f>
        <v>2200000</v>
      </c>
      <c r="E64" s="521">
        <f ca="1">D64</f>
        <v>2200000</v>
      </c>
    </row>
    <row r="65" spans="1:9" x14ac:dyDescent="0.25">
      <c r="B65" s="228" t="s">
        <v>768</v>
      </c>
      <c r="C65" s="236">
        <f ca="1">SUMIFS(INDIRECT("Report!F100:F1000"),INDIRECT("Report!B100:B1000"),B65,INDIRECT("report!H100:H1000"),"Service",INDIRECT("Report!L100:L1000"),"17.9")</f>
        <v>165000</v>
      </c>
      <c r="D65" s="236">
        <f ca="1">(C65/11*10)</f>
        <v>150000</v>
      </c>
      <c r="E65" s="521">
        <f ca="1">D65</f>
        <v>150000</v>
      </c>
    </row>
    <row r="66" spans="1:9" x14ac:dyDescent="0.25">
      <c r="A66" s="293" t="s">
        <v>2756</v>
      </c>
      <c r="B66" s="277"/>
      <c r="C66" s="278">
        <f ca="1">SUM(C64:C65)</f>
        <v>2585000</v>
      </c>
      <c r="D66" s="278">
        <f ca="1">SUM(D64:D65)</f>
        <v>2350000</v>
      </c>
      <c r="E66" s="278">
        <f ca="1">SUM(E64:E65)</f>
        <v>2350000</v>
      </c>
      <c r="F66" s="294">
        <f ca="1">E66/D66</f>
        <v>1</v>
      </c>
      <c r="G66" s="336">
        <f>SUM(G61:G63)</f>
        <v>0</v>
      </c>
    </row>
    <row r="67" spans="1:9" x14ac:dyDescent="0.25">
      <c r="A67" s="798">
        <v>2017.1</v>
      </c>
      <c r="B67" s="740" t="s">
        <v>517</v>
      </c>
      <c r="C67" s="332">
        <v>1375000</v>
      </c>
      <c r="D67" s="332">
        <f>(C67/11*10)</f>
        <v>1250000</v>
      </c>
      <c r="E67" s="521">
        <f>D67</f>
        <v>1250000</v>
      </c>
      <c r="F67" s="740"/>
      <c r="G67" s="740" t="s">
        <v>852</v>
      </c>
      <c r="H67" s="740"/>
      <c r="I67" s="740"/>
    </row>
    <row r="68" spans="1:9" x14ac:dyDescent="0.25">
      <c r="A68" s="293" t="s">
        <v>2756</v>
      </c>
      <c r="B68" s="279"/>
      <c r="C68" s="278">
        <f>SUM(C67)</f>
        <v>1375000</v>
      </c>
      <c r="D68" s="278">
        <f>SUM(D67)</f>
        <v>1250000</v>
      </c>
      <c r="E68" s="278">
        <f>SUM(E67)</f>
        <v>1250000</v>
      </c>
      <c r="F68" s="294">
        <f>E68/D68</f>
        <v>1</v>
      </c>
      <c r="G68" s="336">
        <f>SUM(G63:G65)</f>
        <v>0</v>
      </c>
    </row>
    <row r="69" spans="1:9" x14ac:dyDescent="0.25">
      <c r="A69" s="798">
        <v>2017.11</v>
      </c>
      <c r="B69" s="228" t="s">
        <v>765</v>
      </c>
      <c r="C69" s="236">
        <f ca="1">SUMIFS(INDIRECT("Report!F100:F1000"),INDIRECT("Report!B100:B1000"),B69,INDIRECT("report!H100:H1000"),"Service",INDIRECT("Report!L100:L1000"),"17.11")</f>
        <v>1848000.0000000002</v>
      </c>
      <c r="D69" s="236">
        <f ca="1">(C69/11*10)</f>
        <v>1680000.0000000002</v>
      </c>
      <c r="E69" s="521">
        <f ca="1">D69</f>
        <v>1680000.0000000002</v>
      </c>
    </row>
    <row r="70" spans="1:9" x14ac:dyDescent="0.25">
      <c r="B70" s="228" t="s">
        <v>766</v>
      </c>
      <c r="C70" s="236">
        <f ca="1">SUMIFS(INDIRECT("Report!F100:F1000"),INDIRECT("Report!B100:B1000"),B70,INDIRECT("report!H100:H1000"),"Service",INDIRECT("Report!L100:L1000"),"17.11")</f>
        <v>9515000</v>
      </c>
      <c r="D70" s="236">
        <f ca="1">(C70/11*10)</f>
        <v>8650000</v>
      </c>
      <c r="E70" s="521">
        <v>2000000</v>
      </c>
    </row>
    <row r="71" spans="1:9" x14ac:dyDescent="0.25">
      <c r="B71" s="228" t="s">
        <v>508</v>
      </c>
      <c r="C71" s="236">
        <f ca="1">SUMIFS(INDIRECT("Report!F100:F1000"),INDIRECT("Report!B100:B1000"),B71,INDIRECT("report!H100:H1000"),"Service",INDIRECT("Report!L100:L1000"),"17.11")</f>
        <v>484000.00000000006</v>
      </c>
      <c r="D71" s="236">
        <f ca="1">(C71/11*10)</f>
        <v>440000.00000000006</v>
      </c>
      <c r="E71" s="521"/>
    </row>
    <row r="72" spans="1:9" x14ac:dyDescent="0.25">
      <c r="A72" s="293" t="s">
        <v>2756</v>
      </c>
      <c r="B72" s="277"/>
      <c r="C72" s="278">
        <f ca="1">SUM(C69:C71)</f>
        <v>11847000</v>
      </c>
      <c r="D72" s="278">
        <f ca="1">SUM(D69:D71)</f>
        <v>10770000</v>
      </c>
      <c r="E72" s="278">
        <f ca="1">SUM(E69:E71)</f>
        <v>3680000</v>
      </c>
      <c r="F72" s="294">
        <f ca="1">E72/D72</f>
        <v>0.34168987929433614</v>
      </c>
      <c r="G72" s="336">
        <f>SUM(G67:G69)</f>
        <v>0</v>
      </c>
    </row>
    <row r="73" spans="1:9" x14ac:dyDescent="0.25">
      <c r="A73" s="798">
        <v>2017.12</v>
      </c>
      <c r="B73" s="228" t="s">
        <v>508</v>
      </c>
      <c r="C73" s="236">
        <f ca="1">SUMIFS(INDIRECT("Report!F100:F1000"),INDIRECT("Report!B100:B1000"),B73,INDIRECT("report!H100:H1000"),"Service",INDIRECT("Report!L100:L1000"),"17.12")</f>
        <v>275000</v>
      </c>
      <c r="D73" s="236">
        <f ca="1">(C73/11*10)</f>
        <v>250000</v>
      </c>
      <c r="E73" s="521">
        <f ca="1">D73</f>
        <v>250000</v>
      </c>
    </row>
    <row r="74" spans="1:9" x14ac:dyDescent="0.25">
      <c r="A74" s="293" t="s">
        <v>2756</v>
      </c>
      <c r="B74" s="277"/>
      <c r="C74" s="278">
        <f ca="1">SUM(C73)</f>
        <v>275000</v>
      </c>
      <c r="D74" s="278">
        <f ca="1">SUM(D73)</f>
        <v>250000</v>
      </c>
      <c r="E74" s="278">
        <f ca="1">SUM(E73)</f>
        <v>250000</v>
      </c>
      <c r="F74" s="294">
        <f ca="1">E74/D74</f>
        <v>1</v>
      </c>
      <c r="G74" s="336">
        <f>SUM(G69:G71)</f>
        <v>0</v>
      </c>
    </row>
    <row r="75" spans="1:9" x14ac:dyDescent="0.25">
      <c r="A75" s="911">
        <v>2018.1</v>
      </c>
      <c r="B75" s="228" t="s">
        <v>767</v>
      </c>
      <c r="C75" s="236">
        <f ca="1">SUMIFS(INDIRECT("Report!F100:F1000"),INDIRECT("Report!B100:B1000"),B75,INDIRECT("report!H100:H1000"),"Service",INDIRECT("Report!L100:L1000"),"18.1")</f>
        <v>275000</v>
      </c>
      <c r="D75" s="236">
        <f ca="1">(C75/11*10)</f>
        <v>250000</v>
      </c>
      <c r="E75" s="521">
        <f ca="1">D75</f>
        <v>250000</v>
      </c>
    </row>
    <row r="76" spans="1:9" x14ac:dyDescent="0.25">
      <c r="B76" s="228" t="s">
        <v>766</v>
      </c>
      <c r="C76" s="236">
        <f ca="1">SUMIFS(INDIRECT("Report!F100:F1000"),INDIRECT("Report!B100:B1000"),B76,INDIRECT("report!H100:H1000"),"Service",INDIRECT("Report!L100:L1000"),"18.1")</f>
        <v>165000</v>
      </c>
      <c r="D76" s="236">
        <f ca="1">(C76/11*10)</f>
        <v>150000</v>
      </c>
      <c r="E76" s="521">
        <f ca="1">D76</f>
        <v>150000</v>
      </c>
    </row>
    <row r="77" spans="1:9" x14ac:dyDescent="0.25">
      <c r="B77" s="740" t="s">
        <v>517</v>
      </c>
      <c r="C77" s="332">
        <f ca="1">SUMIFS(INDIRECT("Report!F100:F1000"),INDIRECT("Report!B100:B1000"),B77,INDIRECT("report!H100:H1000"),"Service",INDIRECT("Report!L100:L1000"),"18.1")</f>
        <v>0</v>
      </c>
      <c r="D77" s="332">
        <f ca="1">(C77/11*10)</f>
        <v>0</v>
      </c>
      <c r="E77" s="914">
        <f ca="1">D77</f>
        <v>0</v>
      </c>
      <c r="F77" s="740"/>
      <c r="G77" s="740" t="s">
        <v>1050</v>
      </c>
      <c r="H77" s="740"/>
      <c r="I77" s="740"/>
    </row>
    <row r="78" spans="1:9" x14ac:dyDescent="0.25">
      <c r="A78" s="293"/>
      <c r="B78" s="277"/>
      <c r="C78" s="278">
        <f ca="1">SUM(C75:C77)</f>
        <v>440000</v>
      </c>
      <c r="D78" s="278">
        <f ca="1">SUM(D75:D77)</f>
        <v>400000</v>
      </c>
      <c r="E78" s="278">
        <f ca="1">SUM(E75:E77)</f>
        <v>400000</v>
      </c>
      <c r="F78" s="294">
        <f ca="1">E78/D78</f>
        <v>1</v>
      </c>
      <c r="G78" s="336">
        <f>SUM(G73:G75)</f>
        <v>0</v>
      </c>
    </row>
    <row r="79" spans="1:9" x14ac:dyDescent="0.25">
      <c r="A79" s="911">
        <v>2018.2</v>
      </c>
      <c r="B79" s="228" t="s">
        <v>768</v>
      </c>
      <c r="C79" s="236">
        <f ca="1">SUMIFS(INDIRECT("Report!F100:F1000"),INDIRECT("Report!B100:B1000"),B79,INDIRECT("report!H100:H1000"),"Service",INDIRECT("Report!L100:L1000"),"18.2")</f>
        <v>605000</v>
      </c>
      <c r="D79" s="236">
        <f ca="1">(C79/11*10)</f>
        <v>550000</v>
      </c>
      <c r="E79" s="521">
        <f ca="1">D79</f>
        <v>550000</v>
      </c>
    </row>
    <row r="80" spans="1:9" x14ac:dyDescent="0.25">
      <c r="B80" s="740" t="s">
        <v>517</v>
      </c>
      <c r="C80" s="332">
        <f ca="1">SUMIFS(INDIRECT("Report!F100:F1000"),INDIRECT("Report!B100:B1000"),B80,INDIRECT("report!H100:H1000"),"Service",INDIRECT("Report!L100:L1000"),"18.1")</f>
        <v>0</v>
      </c>
      <c r="D80" s="332">
        <f ca="1">(C80/11*10)</f>
        <v>0</v>
      </c>
      <c r="E80" s="914">
        <f ca="1">D80</f>
        <v>0</v>
      </c>
      <c r="F80" s="740"/>
      <c r="G80" s="740" t="s">
        <v>1100</v>
      </c>
      <c r="H80" s="740"/>
      <c r="I80" s="740"/>
    </row>
    <row r="81" spans="1:9" x14ac:dyDescent="0.25">
      <c r="A81" s="293" t="s">
        <v>2756</v>
      </c>
      <c r="B81" s="277"/>
      <c r="C81" s="278">
        <f ca="1">SUM(C79:C80)</f>
        <v>605000</v>
      </c>
      <c r="D81" s="278">
        <f ca="1">SUM(D79:D80)</f>
        <v>550000</v>
      </c>
      <c r="E81" s="278">
        <f ca="1">SUM(E79:E80)</f>
        <v>550000</v>
      </c>
      <c r="F81" s="294">
        <f ca="1">E81/D81</f>
        <v>1</v>
      </c>
      <c r="G81" s="336">
        <f>SUM(G76:G78)</f>
        <v>0</v>
      </c>
    </row>
    <row r="82" spans="1:9" x14ac:dyDescent="0.25">
      <c r="A82" s="911">
        <v>2018.3</v>
      </c>
    </row>
    <row r="83" spans="1:9" x14ac:dyDescent="0.25">
      <c r="A83" s="293" t="s">
        <v>2756</v>
      </c>
      <c r="B83" s="277"/>
      <c r="C83" s="278">
        <f>SUM(C82)</f>
        <v>0</v>
      </c>
      <c r="D83" s="278">
        <f>SUM(D82)</f>
        <v>0</v>
      </c>
      <c r="E83" s="278">
        <f>SUM(E82)</f>
        <v>0</v>
      </c>
      <c r="F83" s="294" t="e">
        <f>E83/D83</f>
        <v>#DIV/0!</v>
      </c>
      <c r="G83" s="336">
        <f>SUM(G78:G80)</f>
        <v>0</v>
      </c>
    </row>
    <row r="84" spans="1:9" x14ac:dyDescent="0.25">
      <c r="A84" s="911">
        <v>2018.4</v>
      </c>
      <c r="B84" s="740" t="s">
        <v>517</v>
      </c>
      <c r="C84" s="332">
        <f ca="1">SUMIFS(INDIRECT("Report!F100:F1000"),INDIRECT("Report!B100:B1000"),B84,INDIRECT("report!H100:H1000"),"Service",INDIRECT("Report!L100:L1000"),"18.4")</f>
        <v>1375000</v>
      </c>
      <c r="D84" s="332">
        <f ca="1">(C84/11*10)</f>
        <v>1250000</v>
      </c>
      <c r="E84" s="914">
        <f ca="1">D84</f>
        <v>1250000</v>
      </c>
      <c r="F84" s="740"/>
      <c r="G84" s="740" t="s">
        <v>507</v>
      </c>
      <c r="H84" s="740"/>
      <c r="I84" s="740"/>
    </row>
    <row r="85" spans="1:9" x14ac:dyDescent="0.25">
      <c r="A85" s="293"/>
      <c r="B85" s="277"/>
      <c r="C85" s="278">
        <f ca="1">SUM(C84)</f>
        <v>1375000</v>
      </c>
      <c r="D85" s="278">
        <f ca="1">SUM(D84)</f>
        <v>1250000</v>
      </c>
      <c r="E85" s="278">
        <f ca="1">SUM(E84)</f>
        <v>1250000</v>
      </c>
      <c r="F85" s="294">
        <f ca="1">E85/D85</f>
        <v>1</v>
      </c>
      <c r="G85" s="336">
        <f>SUM(G80:G82)</f>
        <v>0</v>
      </c>
    </row>
    <row r="86" spans="1:9" x14ac:dyDescent="0.25">
      <c r="A86" s="293" t="s">
        <v>2756</v>
      </c>
      <c r="B86" s="279"/>
      <c r="C86" s="1184"/>
      <c r="D86" s="1184"/>
      <c r="E86" s="1184"/>
      <c r="F86" s="1185"/>
      <c r="G86" s="336"/>
    </row>
    <row r="87" spans="1:9" x14ac:dyDescent="0.25">
      <c r="A87" s="911">
        <v>2018.6</v>
      </c>
      <c r="B87" s="740" t="s">
        <v>517</v>
      </c>
      <c r="C87" s="332">
        <f ca="1">SUMIFS(INDIRECT("Report!F100:F1000"),INDIRECT("Report!B100:B1000"),B87,INDIRECT("report!H100:H1000"),"Service",INDIRECT("Report!L100:L1000"),"18.4")</f>
        <v>1375000</v>
      </c>
      <c r="D87" s="332">
        <f ca="1">(C87/11*10)</f>
        <v>1250000</v>
      </c>
      <c r="E87" s="914">
        <f ca="1">D87</f>
        <v>1250000</v>
      </c>
      <c r="F87" s="740"/>
      <c r="G87" s="740" t="s">
        <v>604</v>
      </c>
      <c r="H87" s="740"/>
      <c r="I87" s="740"/>
    </row>
    <row r="88" spans="1:9" x14ac:dyDescent="0.25">
      <c r="B88" s="228" t="s">
        <v>1283</v>
      </c>
      <c r="C88" s="236">
        <f ca="1">SUMIFS(INDIRECT("Report!F100:F10000"),INDIRECT("Report!B100:B10000"),B88,INDIRECT("report!H100:H10000"),"Service",INDIRECT("Report!L100:L10000"),"18.6")</f>
        <v>3238900.5000000005</v>
      </c>
      <c r="D88" s="236">
        <f ca="1">(C88/11*10)</f>
        <v>2944455.0000000005</v>
      </c>
      <c r="E88" s="521">
        <v>2400000</v>
      </c>
      <c r="G88" s="228" t="s">
        <v>1284</v>
      </c>
    </row>
    <row r="89" spans="1:9" x14ac:dyDescent="0.25">
      <c r="A89" s="293"/>
      <c r="B89" s="277"/>
      <c r="C89" s="278">
        <f ca="1">SUM(C87:C88)</f>
        <v>4613900.5</v>
      </c>
      <c r="D89" s="278">
        <f ca="1">SUM(D87:D88)</f>
        <v>4194455</v>
      </c>
      <c r="E89" s="278">
        <f ca="1">SUM(E87:E88)</f>
        <v>3650000</v>
      </c>
      <c r="F89" s="294">
        <f ca="1">E89/D89</f>
        <v>0.87019648559824814</v>
      </c>
      <c r="G89" s="336">
        <f>SUM(G83:G85)</f>
        <v>0</v>
      </c>
    </row>
    <row r="90" spans="1:9" x14ac:dyDescent="0.25">
      <c r="A90" s="293" t="s">
        <v>2756</v>
      </c>
      <c r="B90" s="279"/>
      <c r="C90" s="1184"/>
      <c r="D90" s="1184"/>
      <c r="E90" s="1184"/>
      <c r="F90" s="1185"/>
      <c r="G90" s="336"/>
    </row>
    <row r="91" spans="1:9" x14ac:dyDescent="0.25">
      <c r="A91" s="911">
        <v>2018.8</v>
      </c>
      <c r="B91" s="740" t="s">
        <v>517</v>
      </c>
      <c r="C91" s="332">
        <f ca="1">SUMIFS(INDIRECT("Report!F100:F1000"),INDIRECT("Report!B100:B1000"),B91,INDIRECT("report!H100:H1000"),"Service",INDIRECT("Report!L100:L1000"),"18.4")</f>
        <v>1375000</v>
      </c>
      <c r="D91" s="332">
        <f ca="1">(C91/11*10)</f>
        <v>1250000</v>
      </c>
      <c r="E91" s="914">
        <f ca="1">D91</f>
        <v>1250000</v>
      </c>
      <c r="F91" s="740"/>
      <c r="G91" s="740" t="s">
        <v>769</v>
      </c>
    </row>
    <row r="92" spans="1:9" x14ac:dyDescent="0.25">
      <c r="B92" s="228" t="s">
        <v>765</v>
      </c>
      <c r="C92" s="981">
        <f ca="1">SUMIFS(INDIRECT("Report!F100:F10000"),INDIRECT("Report!B100:B10000"),B92,INDIRECT("report!H100:H10000"),"Service",INDIRECT("Report!L100:L10000"),"18.8")</f>
        <v>8800000</v>
      </c>
      <c r="D92" s="236">
        <f ca="1">(C92/11*10)</f>
        <v>8000000</v>
      </c>
      <c r="E92" s="521">
        <f>Report!J1224</f>
        <v>1161211.0700000003</v>
      </c>
      <c r="G92" s="228" t="s">
        <v>1374</v>
      </c>
    </row>
    <row r="93" spans="1:9" x14ac:dyDescent="0.25">
      <c r="B93" s="228" t="s">
        <v>517</v>
      </c>
      <c r="C93" s="981">
        <v>5500000</v>
      </c>
      <c r="D93" s="236">
        <v>5000000</v>
      </c>
      <c r="E93" s="521">
        <v>500000</v>
      </c>
      <c r="G93" s="228" t="s">
        <v>1375</v>
      </c>
    </row>
    <row r="94" spans="1:9" x14ac:dyDescent="0.25">
      <c r="A94" s="293"/>
      <c r="B94" s="277"/>
      <c r="C94" s="278">
        <f ca="1">SUM(C91:C93)</f>
        <v>15675000</v>
      </c>
      <c r="D94" s="278">
        <f ca="1">SUM(D91:D93)</f>
        <v>14250000</v>
      </c>
      <c r="E94" s="278">
        <f ca="1">SUM(E91:E93)</f>
        <v>2911211.0700000003</v>
      </c>
      <c r="F94" s="294">
        <f ca="1">E94/D94</f>
        <v>0.20429551368421053</v>
      </c>
      <c r="G94" s="336">
        <f>SUM(G87:G89)</f>
        <v>0</v>
      </c>
    </row>
    <row r="95" spans="1:9" x14ac:dyDescent="0.25">
      <c r="A95" s="293" t="s">
        <v>2756</v>
      </c>
      <c r="B95" s="279"/>
      <c r="C95" s="1184"/>
      <c r="D95" s="1184"/>
      <c r="E95" s="1184"/>
      <c r="F95" s="1185"/>
      <c r="G95" s="336"/>
    </row>
    <row r="96" spans="1:9" x14ac:dyDescent="0.25">
      <c r="A96" s="798">
        <v>2018.1</v>
      </c>
      <c r="B96" s="740" t="s">
        <v>517</v>
      </c>
      <c r="C96" s="332">
        <f ca="1">SUMIFS(INDIRECT("Report!F100:F1000"),INDIRECT("Report!B100:B1000"),B96,INDIRECT("report!H100:H1000"),"Service",INDIRECT("Report!L100:L1000"),"18.4")</f>
        <v>1375000</v>
      </c>
      <c r="D96" s="332">
        <f ca="1">(C96/11*10)</f>
        <v>1250000</v>
      </c>
      <c r="E96" s="914">
        <f ca="1">D96</f>
        <v>1250000</v>
      </c>
      <c r="F96" s="740"/>
      <c r="G96" s="740" t="s">
        <v>852</v>
      </c>
    </row>
    <row r="97" spans="1:8" x14ac:dyDescent="0.25">
      <c r="B97" s="228" t="s">
        <v>1478</v>
      </c>
      <c r="C97" s="981">
        <f ca="1">SUMIFS(INDIRECT("Report!F100:F10000"),INDIRECT("Report!B100:B10000"),B97,INDIRECT("report!H100:H10000"),"Service",INDIRECT("Report!L100:L10000"),"18,10")</f>
        <v>1708095.4000000001</v>
      </c>
      <c r="D97" s="236">
        <f ca="1">(C97/11*10)</f>
        <v>1552814.0000000002</v>
      </c>
      <c r="E97" s="521">
        <v>0</v>
      </c>
    </row>
    <row r="98" spans="1:8" x14ac:dyDescent="0.25">
      <c r="B98" s="228" t="s">
        <v>768</v>
      </c>
      <c r="C98" s="981">
        <f ca="1">SUMIFS(INDIRECT("Report!F100:F10000"),INDIRECT("Report!B100:B10000"),B98,INDIRECT("report!H100:H10000"),"Service",INDIRECT("Report!L100:L10000"),"18,10")</f>
        <v>1650000.0000000002</v>
      </c>
      <c r="D98" s="236">
        <f ca="1">(C98/11*10)</f>
        <v>1500000.0000000002</v>
      </c>
      <c r="E98" s="1023">
        <f>Report!J1378</f>
        <v>292261.18444064003</v>
      </c>
      <c r="H98" s="228" t="s">
        <v>1589</v>
      </c>
    </row>
    <row r="99" spans="1:8" x14ac:dyDescent="0.25">
      <c r="B99" s="228" t="s">
        <v>1479</v>
      </c>
      <c r="C99" s="981">
        <f ca="1">SUMIFS(INDIRECT("Report!F100:F10000"),INDIRECT("Report!B100:B10000"),B99,INDIRECT("report!H100:H10000"),"Service",INDIRECT("Report!L100:L10000"),"18,10")</f>
        <v>242000.00000000003</v>
      </c>
      <c r="D99" s="236">
        <f ca="1">(C99/11*10)</f>
        <v>220000.00000000003</v>
      </c>
      <c r="E99" s="521"/>
    </row>
    <row r="100" spans="1:8" x14ac:dyDescent="0.25">
      <c r="A100" s="293"/>
      <c r="B100" s="277"/>
      <c r="C100" s="278">
        <f ca="1">SUM(C96:C99)</f>
        <v>4975095.4000000004</v>
      </c>
      <c r="D100" s="278">
        <f ca="1">SUM(D96:D99)</f>
        <v>4522814</v>
      </c>
      <c r="E100" s="278">
        <f ca="1">SUM(E96:E99)</f>
        <v>1542261.18444064</v>
      </c>
      <c r="F100" s="294">
        <f ca="1">E100/D100</f>
        <v>0.34099593404474293</v>
      </c>
      <c r="G100" s="336">
        <f>SUM(G92:G94)</f>
        <v>0</v>
      </c>
    </row>
    <row r="101" spans="1:8" x14ac:dyDescent="0.25">
      <c r="A101" s="798">
        <v>2018.11</v>
      </c>
      <c r="B101" s="228" t="s">
        <v>766</v>
      </c>
      <c r="C101" s="981">
        <f ca="1">SUMIFS(INDIRECT("Report!F100:F10000"),INDIRECT("Report!B100:B10000"),B101,INDIRECT("report!H100:H10000"),"Service",INDIRECT("Report!L100:L10000"),"18.11")</f>
        <v>1837110.0000000002</v>
      </c>
      <c r="D101" s="236">
        <f ca="1">(C101/11*10)</f>
        <v>1670100.0000000002</v>
      </c>
      <c r="E101" s="1024">
        <f ca="1">SUMIFS(INDIRECT("Report!J100:J10000"),INDIRECT("Report!B100:B10000"),B101,INDIRECT("report!H100:H10000"),"Service",INDIRECT("Report!L100:L10000"),"18.11")</f>
        <v>-82103.239094974007</v>
      </c>
    </row>
    <row r="102" spans="1:8" x14ac:dyDescent="0.25">
      <c r="B102" s="228" t="s">
        <v>508</v>
      </c>
      <c r="C102" s="981">
        <f ca="1">SUMIFS(INDIRECT("Report!F100:F10000"),INDIRECT("Report!B100:B10000"),B102,INDIRECT("report!H100:H10000"),"Service",INDIRECT("Report!L100:L10000"),"18.11")</f>
        <v>807620.00000000012</v>
      </c>
      <c r="D102" s="236">
        <f ca="1">(C102/11*10)</f>
        <v>734200.00000000012</v>
      </c>
      <c r="E102" s="1024">
        <f ca="1">SUMIFS(INDIRECT("Report!J100:J10000"),INDIRECT("Report!B100:B10000"),B102,INDIRECT("report!H100:H10000"),"Service",INDIRECT("Report!L100:L10000"),"18.11")</f>
        <v>80839.982911652303</v>
      </c>
      <c r="H102" s="228" t="s">
        <v>1590</v>
      </c>
    </row>
    <row r="103" spans="1:8" x14ac:dyDescent="0.25">
      <c r="B103" s="228" t="s">
        <v>1479</v>
      </c>
      <c r="C103" s="981">
        <f ca="1">SUMIFS(INDIRECT("Report!F100:F10000"),INDIRECT("Report!B100:B10000"),B103,INDIRECT("report!H100:H10000"),"Service",INDIRECT("Report!L100:L10000"),"18.11")</f>
        <v>407990.00000000006</v>
      </c>
      <c r="D103" s="236">
        <f ca="1">(C103/11*10)</f>
        <v>370900.00000000006</v>
      </c>
      <c r="E103" s="1024">
        <f ca="1">SUMIFS(INDIRECT("Report!J100:J10000"),INDIRECT("Report!B100:B10000"),B103,INDIRECT("report!H100:H10000"),"Service",INDIRECT("Report!L100:L10000"),"18.11")</f>
        <v>-64682.374210934329</v>
      </c>
    </row>
    <row r="104" spans="1:8" x14ac:dyDescent="0.25">
      <c r="A104" s="293"/>
      <c r="B104" s="277"/>
      <c r="C104" s="278">
        <f ca="1">SUM(C101:C103)</f>
        <v>3052720.0000000005</v>
      </c>
      <c r="D104" s="278">
        <f ca="1">SUM(D101:D103)</f>
        <v>2775200.0000000005</v>
      </c>
      <c r="E104" s="278">
        <f ca="1">SUM(E101:E103)</f>
        <v>-65945.630394256033</v>
      </c>
      <c r="F104" s="294">
        <f ca="1">E104/D104</f>
        <v>-2.3762478522000585E-2</v>
      </c>
      <c r="G104" s="336">
        <f>SUM(G98:G100)</f>
        <v>0</v>
      </c>
    </row>
    <row r="105" spans="1:8" x14ac:dyDescent="0.25">
      <c r="A105" s="798">
        <v>2018.12</v>
      </c>
      <c r="B105" s="228" t="s">
        <v>508</v>
      </c>
      <c r="C105" s="981">
        <f ca="1">SUMIFS(INDIRECT("Report!F100:F10000"),INDIRECT("Report!B100:B10000"),B105,INDIRECT("report!H100:H10000"),"Service",INDIRECT("Report!L100:L10000"),"18,12")</f>
        <v>3190000.0000000005</v>
      </c>
      <c r="D105" s="236">
        <f ca="1">(C105/11*10)</f>
        <v>2900000.0000000005</v>
      </c>
      <c r="E105" s="981">
        <f ca="1">SUMIFS(INDIRECT("Report!J100:J10000"),INDIRECT("Report!B100:B10000"),B105,INDIRECT("report!H100:H10000"),"Service",INDIRECT("Report!L100:L10000"),"18,12")</f>
        <v>1400000</v>
      </c>
      <c r="H105" s="228" t="s">
        <v>1630</v>
      </c>
    </row>
    <row r="106" spans="1:8" x14ac:dyDescent="0.25">
      <c r="A106" s="293"/>
      <c r="B106" s="277"/>
      <c r="C106" s="278">
        <f ca="1">SUM(C105:C105)</f>
        <v>3190000.0000000005</v>
      </c>
      <c r="D106" s="278">
        <f ca="1">SUM(D105:D105)</f>
        <v>2900000.0000000005</v>
      </c>
      <c r="E106" s="278">
        <f ca="1">SUM(E105:E105)</f>
        <v>1400000</v>
      </c>
      <c r="F106" s="294">
        <f ca="1">E106/D106</f>
        <v>0.48275862068965508</v>
      </c>
      <c r="G106" s="336">
        <f>SUM(G102:G104)</f>
        <v>0</v>
      </c>
    </row>
    <row r="107" spans="1:8" x14ac:dyDescent="0.25">
      <c r="A107" s="293" t="s">
        <v>2756</v>
      </c>
      <c r="B107" s="279"/>
      <c r="C107" s="1184"/>
      <c r="D107" s="1184"/>
      <c r="E107" s="1184"/>
      <c r="F107" s="1185"/>
      <c r="G107" s="336"/>
    </row>
    <row r="108" spans="1:8" x14ac:dyDescent="0.25">
      <c r="A108" s="798" t="s">
        <v>1760</v>
      </c>
      <c r="B108" s="228" t="s">
        <v>508</v>
      </c>
      <c r="C108" s="981">
        <f ca="1">SUMIFS(INDIRECT("Report!F100:F10000"),INDIRECT("Report!B100:B10000"),B108,INDIRECT("report!H100:H10000"),"Service",INDIRECT("Report!L100:L10000"),"19,2")</f>
        <v>3190000.0000000005</v>
      </c>
      <c r="D108" s="236">
        <f ca="1">(C108/11*10)</f>
        <v>2900000.0000000005</v>
      </c>
      <c r="E108" s="981">
        <f ca="1">SUMIFS(INDIRECT("Report!J100:J10000"),INDIRECT("Report!B100:B10000"),B108,INDIRECT("report!H100:H10000"),"Service",INDIRECT("Report!L100:L10000"),"19,2")</f>
        <v>1400000</v>
      </c>
      <c r="H108" s="228" t="s">
        <v>1630</v>
      </c>
    </row>
    <row r="109" spans="1:8" x14ac:dyDescent="0.25">
      <c r="A109" s="817"/>
      <c r="B109" s="228" t="s">
        <v>1479</v>
      </c>
      <c r="C109" s="981">
        <f ca="1">SUMIFS(INDIRECT("Report!F100:F10000"),INDIRECT("Report!B100:B10000"),B109,INDIRECT("report!H100:H10000"),"Service",INDIRECT("Report!L100:L10000"),"19,2")</f>
        <v>605000</v>
      </c>
      <c r="D109" s="236">
        <f ca="1">(C109/11*10)</f>
        <v>550000</v>
      </c>
      <c r="E109" s="981">
        <f ca="1">SUMIFS(INDIRECT("Report!J100:J10000"),INDIRECT("Report!B100:B10000"),B109,INDIRECT("report!H100:H10000"),"Service",INDIRECT("Report!L100:L10000"),"19,2")</f>
        <v>550000</v>
      </c>
    </row>
    <row r="110" spans="1:8" x14ac:dyDescent="0.25">
      <c r="A110" s="293"/>
      <c r="B110" s="277"/>
      <c r="C110" s="278">
        <f ca="1">SUM(C108:C109)</f>
        <v>3795000.0000000005</v>
      </c>
      <c r="D110" s="278">
        <f ca="1">SUM(D108:D109)</f>
        <v>3450000.0000000005</v>
      </c>
      <c r="E110" s="278">
        <f ca="1">SUM(E108:E109)</f>
        <v>1950000</v>
      </c>
      <c r="F110" s="294">
        <f ca="1">E110/D110</f>
        <v>0.56521739130434778</v>
      </c>
      <c r="G110" s="336">
        <f>SUM(G104:G106)</f>
        <v>0</v>
      </c>
    </row>
    <row r="111" spans="1:8" x14ac:dyDescent="0.25">
      <c r="A111" s="798" t="s">
        <v>1831</v>
      </c>
      <c r="C111" s="981"/>
      <c r="D111" s="236"/>
      <c r="E111" s="981"/>
    </row>
    <row r="112" spans="1:8" x14ac:dyDescent="0.25">
      <c r="A112" s="817"/>
      <c r="B112" s="228" t="s">
        <v>1479</v>
      </c>
      <c r="C112" s="981">
        <f ca="1">SUMIFS(INDIRECT("Report!F100:F10000"),INDIRECT("Report!B100:B10000"),B112,INDIRECT("report!H100:H10000"),"Service",INDIRECT("Report!L100:L10000"),"19,3")</f>
        <v>9810460.0000000019</v>
      </c>
      <c r="D112" s="236">
        <f ca="1">(C112/11*10)</f>
        <v>8918600.0000000019</v>
      </c>
      <c r="E112" s="981">
        <f ca="1">SUMIFS(INDIRECT("Report!J100:J10000"),INDIRECT("Report!B100:B10000"),B112,INDIRECT("report!H100:H10000"),"Service",INDIRECT("Report!L100:L10000"),"19,3")</f>
        <v>1500000</v>
      </c>
      <c r="H112" s="228" t="s">
        <v>1832</v>
      </c>
    </row>
    <row r="113" spans="1:9" x14ac:dyDescent="0.25">
      <c r="A113" s="293"/>
      <c r="B113" s="277"/>
      <c r="C113" s="278">
        <f ca="1">SUM(C111:C112)</f>
        <v>9810460.0000000019</v>
      </c>
      <c r="D113" s="278">
        <f ca="1">SUM(D111:D112)</f>
        <v>8918600.0000000019</v>
      </c>
      <c r="E113" s="278">
        <f ca="1">SUM(E111:E112)</f>
        <v>1500000</v>
      </c>
      <c r="F113" s="294">
        <f ca="1">E113/D113</f>
        <v>0.1681878321709685</v>
      </c>
      <c r="G113" s="336">
        <f>SUM(G108:G110)</f>
        <v>0</v>
      </c>
    </row>
    <row r="114" spans="1:9" x14ac:dyDescent="0.25">
      <c r="A114" s="798" t="s">
        <v>1880</v>
      </c>
      <c r="C114" s="981"/>
      <c r="D114" s="236"/>
      <c r="E114" s="981"/>
    </row>
    <row r="115" spans="1:9" x14ac:dyDescent="0.25">
      <c r="A115" s="817"/>
      <c r="B115" s="228" t="s">
        <v>1479</v>
      </c>
      <c r="C115" s="981">
        <f ca="1">SUMIFS(INDIRECT("Report!F100:F10000"),INDIRECT("Report!B100:B10000"),B115,INDIRECT("report!H100:H10000"),"Service",INDIRECT("Report!L100:L10000"),"19,4")</f>
        <v>275000</v>
      </c>
      <c r="D115" s="236">
        <f ca="1">(C115/11*10)</f>
        <v>250000</v>
      </c>
      <c r="E115" s="981">
        <v>250000</v>
      </c>
    </row>
    <row r="116" spans="1:9" x14ac:dyDescent="0.25">
      <c r="A116" s="817"/>
      <c r="B116" s="740" t="s">
        <v>517</v>
      </c>
      <c r="C116" s="332">
        <f ca="1">SUMIFS(INDIRECT("Report!F100:F1000"),INDIRECT("Report!B100:B1000"),B116,INDIRECT("report!H100:H1000"),"Service",INDIRECT("Report!L100:L1000"),"18.4")</f>
        <v>1375000</v>
      </c>
      <c r="D116" s="332">
        <f ca="1">(C116/11*10)</f>
        <v>1250000</v>
      </c>
      <c r="E116" s="914">
        <f ca="1">D116</f>
        <v>1250000</v>
      </c>
      <c r="F116" s="740"/>
      <c r="G116" s="740" t="s">
        <v>507</v>
      </c>
      <c r="H116" s="740"/>
      <c r="I116" s="740"/>
    </row>
    <row r="117" spans="1:9" x14ac:dyDescent="0.25">
      <c r="A117" s="817"/>
      <c r="B117" s="228" t="s">
        <v>1478</v>
      </c>
      <c r="C117" s="981">
        <f ca="1">SUMIFS(INDIRECT("Report!F100:F10000"),INDIRECT("Report!B100:B10000"),B117,INDIRECT("report!H100:H10000"),"Service",INDIRECT("Report!L100:L10000"),"19,4")</f>
        <v>3850000.0000000005</v>
      </c>
      <c r="D117" s="236">
        <f ca="1">(C117/11*10)</f>
        <v>3500000.0000000005</v>
      </c>
      <c r="E117" s="981">
        <f ca="1">SUMIFS(INDIRECT("Report!J100:J10000"),INDIRECT("Report!B100:B10000"),B117,INDIRECT("report!H100:H10000"),"Service",INDIRECT("Report!L100:L10000"),"19,3")</f>
        <v>0</v>
      </c>
    </row>
    <row r="118" spans="1:9" x14ac:dyDescent="0.25">
      <c r="A118" s="293"/>
      <c r="B118" s="277"/>
      <c r="C118" s="278">
        <f ca="1">SUM(C114:C117)</f>
        <v>5500000</v>
      </c>
      <c r="D118" s="278">
        <f ca="1">SUM(D114:D117)</f>
        <v>5000000</v>
      </c>
      <c r="E118" s="278">
        <f ca="1">SUM(E114:E117)</f>
        <v>1500000</v>
      </c>
      <c r="F118" s="294">
        <f ca="1">E118/D118</f>
        <v>0.3</v>
      </c>
      <c r="G118" s="336">
        <f>SUM(G111:G113)</f>
        <v>0</v>
      </c>
    </row>
    <row r="119" spans="1:9" x14ac:dyDescent="0.25">
      <c r="A119" s="798" t="s">
        <v>1904</v>
      </c>
      <c r="C119" s="981"/>
      <c r="D119" s="236"/>
      <c r="E119" s="981"/>
    </row>
    <row r="120" spans="1:9" x14ac:dyDescent="0.25">
      <c r="A120" s="817"/>
      <c r="B120" s="228" t="s">
        <v>1478</v>
      </c>
      <c r="C120" s="981">
        <f ca="1">SUMIFS(INDIRECT("Report!F100:F10000"),INDIRECT("Report!B100:B10000"),B120,INDIRECT("report!H100:H10000"),"Service",INDIRECT("Report!L100:L10000"),"19,5")</f>
        <v>3300000.0000000005</v>
      </c>
      <c r="D120" s="236">
        <f ca="1">(C120/11*10)</f>
        <v>3000000.0000000005</v>
      </c>
      <c r="E120" s="981">
        <f ca="1">SUMIFS(INDIRECT("Report!J100:J10000"),INDIRECT("Report!B100:B10000"),B120,INDIRECT("report!H100:H10000"),"Service",INDIRECT("Report!L100:L10000"),"19,5")</f>
        <v>0</v>
      </c>
    </row>
    <row r="121" spans="1:9" x14ac:dyDescent="0.25">
      <c r="A121" s="293"/>
      <c r="B121" s="277"/>
      <c r="C121" s="278">
        <f ca="1">SUM(C119:C120)</f>
        <v>3300000.0000000005</v>
      </c>
      <c r="D121" s="278">
        <f ca="1">SUM(D119:D120)</f>
        <v>3000000.0000000005</v>
      </c>
      <c r="E121" s="278">
        <f ca="1">SUM(E119:E120)</f>
        <v>0</v>
      </c>
      <c r="F121" s="294">
        <f ca="1">E121/D121</f>
        <v>0</v>
      </c>
      <c r="G121" s="336">
        <f>SUM(G116:G118)</f>
        <v>0</v>
      </c>
    </row>
    <row r="122" spans="1:9" x14ac:dyDescent="0.25">
      <c r="A122" s="798" t="s">
        <v>1997</v>
      </c>
      <c r="C122" s="981"/>
      <c r="D122" s="236"/>
      <c r="E122" s="981"/>
    </row>
    <row r="123" spans="1:9" x14ac:dyDescent="0.25">
      <c r="A123" s="817"/>
      <c r="B123" s="740" t="s">
        <v>517</v>
      </c>
      <c r="C123" s="332">
        <f ca="1">SUMIFS(INDIRECT("Report!F100:F10000"),INDIRECT("Report!B100:B10000"),B123,INDIRECT("report!H100:H10000"),"Service",INDIRECT("Report!L100:L10000"),"18.6")</f>
        <v>1375000</v>
      </c>
      <c r="D123" s="332">
        <f ca="1">(C123/11*10)</f>
        <v>1250000</v>
      </c>
      <c r="E123" s="914">
        <f ca="1">D123</f>
        <v>1250000</v>
      </c>
      <c r="F123" s="740"/>
      <c r="G123" s="740" t="s">
        <v>604</v>
      </c>
      <c r="H123" s="740"/>
      <c r="I123" s="740"/>
    </row>
    <row r="124" spans="1:9" x14ac:dyDescent="0.25">
      <c r="A124" s="293"/>
      <c r="B124" s="277"/>
      <c r="C124" s="278">
        <f ca="1">SUM(C122:C123)</f>
        <v>1375000</v>
      </c>
      <c r="D124" s="278">
        <f ca="1">SUM(D122:D123)</f>
        <v>1250000</v>
      </c>
      <c r="E124" s="278">
        <f ca="1">SUM(E122:E123)</f>
        <v>1250000</v>
      </c>
      <c r="F124" s="294">
        <f ca="1">E124/D124</f>
        <v>1</v>
      </c>
      <c r="G124" s="336">
        <f>SUM(G119:G121)</f>
        <v>0</v>
      </c>
    </row>
    <row r="125" spans="1:9" x14ac:dyDescent="0.25">
      <c r="A125" s="798" t="s">
        <v>2018</v>
      </c>
      <c r="B125" s="228" t="s">
        <v>508</v>
      </c>
      <c r="C125" s="981">
        <f ca="1">SUMIFS(INDIRECT("Report!F100:F10000"),INDIRECT("Report!B100:B10000"),B125,INDIRECT("report!H100:H10000"),"Service",INDIRECT("Report!L100:L10000"),"19,7")</f>
        <v>3245000.0000000005</v>
      </c>
      <c r="D125" s="236">
        <f ca="1">(C125/11*10)</f>
        <v>2950000.0000000005</v>
      </c>
      <c r="E125" s="981">
        <f ca="1">SUMIFS(INDIRECT("Report!J100:J10000"),INDIRECT("Report!B100:B10000"),B125,INDIRECT("report!H100:H10000"),"Service",INDIRECT("Report!L100:L10000"),"19,7")</f>
        <v>2950000</v>
      </c>
    </row>
    <row r="126" spans="1:9" x14ac:dyDescent="0.25">
      <c r="A126" s="817"/>
      <c r="B126" s="228" t="s">
        <v>1478</v>
      </c>
      <c r="C126" s="981">
        <f ca="1">SUMIFS(INDIRECT("Report!F100:F10000"),INDIRECT("Report!B100:B10000"),B126,INDIRECT("report!H100:H10000"),"Service",INDIRECT("Report!L100:L10000"),"19,7")</f>
        <v>495000.00000000006</v>
      </c>
      <c r="D126" s="236">
        <f ca="1">(C126/11*10)</f>
        <v>450000.00000000006</v>
      </c>
      <c r="E126" s="981">
        <f ca="1">SUMIFS(INDIRECT("Report!J100:J10000"),INDIRECT("Report!B100:B10000"),B126,INDIRECT("report!H100:H10000"),"Service",INDIRECT("Report!L100:L10000"),"19,7")</f>
        <v>450000</v>
      </c>
    </row>
    <row r="127" spans="1:9" x14ac:dyDescent="0.25">
      <c r="A127" s="293"/>
      <c r="B127" s="277"/>
      <c r="C127" s="278">
        <f ca="1">SUM(C125:C126)</f>
        <v>3740000.0000000005</v>
      </c>
      <c r="D127" s="278">
        <f ca="1">SUM(D125:D126)</f>
        <v>3400000.0000000005</v>
      </c>
      <c r="E127" s="278">
        <f ca="1">SUM(E125:E126)</f>
        <v>3400000</v>
      </c>
      <c r="F127" s="294">
        <f ca="1">E127/D127</f>
        <v>0.99999999999999989</v>
      </c>
      <c r="G127" s="336">
        <f>SUM(G122:G124)</f>
        <v>0</v>
      </c>
    </row>
    <row r="128" spans="1:9" x14ac:dyDescent="0.25">
      <c r="A128" s="798" t="s">
        <v>2066</v>
      </c>
      <c r="B128" s="228" t="s">
        <v>508</v>
      </c>
      <c r="C128" s="981">
        <f ca="1">SUMIFS(INDIRECT("Report!F100:F10000"),INDIRECT("Report!B100:B10000"),B128,INDIRECT("report!H100:H10000"),"Service",INDIRECT("Report!L100:L10000"),"19,8")</f>
        <v>12944569.000000002</v>
      </c>
      <c r="D128" s="236">
        <f ca="1">(C128/11*10)</f>
        <v>11767790.000000002</v>
      </c>
      <c r="E128" s="981">
        <f ca="1">SUMIFS(INDIRECT("Report!J100:J10000"),INDIRECT("Report!B100:B10000"),B128,INDIRECT("report!H100:H10000"),"Service",INDIRECT("Report!L100:L10000"),"19,8")</f>
        <v>-3208210</v>
      </c>
      <c r="G128" s="228" t="s">
        <v>2067</v>
      </c>
    </row>
    <row r="129" spans="1:9" x14ac:dyDescent="0.25">
      <c r="A129" s="817"/>
      <c r="B129" s="228" t="s">
        <v>517</v>
      </c>
      <c r="C129" s="981">
        <f ca="1">SUMIFS(INDIRECT("Report!F100:F10000"),INDIRECT("Report!B100:B10000"),B129,INDIRECT("report!H100:H10000"),"Service",INDIRECT("Report!L100:L10000"),"19,8")</f>
        <v>1375000</v>
      </c>
      <c r="D129" s="236">
        <f ca="1">(C129/11*10)</f>
        <v>1250000</v>
      </c>
      <c r="E129" s="981">
        <f ca="1">SUMIFS(INDIRECT("Report!J100:J10000"),INDIRECT("Report!B100:B10000"),B129,INDIRECT("report!H100:H10000"),"Service",INDIRECT("Report!L100:L10000"),"19,8")</f>
        <v>1250000</v>
      </c>
      <c r="G129" s="740" t="s">
        <v>769</v>
      </c>
      <c r="H129" s="740"/>
      <c r="I129" s="740"/>
    </row>
    <row r="130" spans="1:9" x14ac:dyDescent="0.25">
      <c r="A130" s="293"/>
      <c r="B130" s="277"/>
      <c r="C130" s="278">
        <f ca="1">SUM(C128:C129)</f>
        <v>14319569.000000002</v>
      </c>
      <c r="D130" s="278">
        <f ca="1">SUM(D128:D129)</f>
        <v>13017790.000000002</v>
      </c>
      <c r="E130" s="278">
        <f ca="1">SUM(E128:E129)</f>
        <v>-1958210</v>
      </c>
      <c r="F130" s="294">
        <f ca="1">E130/D130</f>
        <v>-0.15042568669489981</v>
      </c>
      <c r="G130" s="336">
        <f>SUM(G125:G127)</f>
        <v>0</v>
      </c>
    </row>
    <row r="131" spans="1:9" x14ac:dyDescent="0.25">
      <c r="A131" s="798" t="s">
        <v>2110</v>
      </c>
      <c r="B131" s="228" t="s">
        <v>2096</v>
      </c>
      <c r="C131" s="981">
        <f ca="1">SUMIFS(INDIRECT("Report!F100:F10000"),INDIRECT("Report!B100:B10000"),B131,INDIRECT("report!H100:H10000"),"Service",INDIRECT("Report!L100:L10000"),"19,9")</f>
        <v>2750000</v>
      </c>
      <c r="D131" s="236">
        <f ca="1">(C131/11*10)</f>
        <v>2500000</v>
      </c>
      <c r="E131" s="981">
        <f ca="1">SUMIFS(INDIRECT("Report!J100:J10000"),INDIRECT("Report!B100:B10000"),B131,INDIRECT("report!H100:H10000"),"Service",INDIRECT("Report!L100:L10000"),"19,9")</f>
        <v>2500000</v>
      </c>
      <c r="G131" s="228" t="s">
        <v>2114</v>
      </c>
    </row>
    <row r="132" spans="1:9" x14ac:dyDescent="0.25">
      <c r="A132" s="817"/>
      <c r="B132" s="228" t="s">
        <v>765</v>
      </c>
      <c r="C132" s="981">
        <f ca="1">SUMIFS(INDIRECT("Report!F100:F10000"),INDIRECT("Report!B100:B10000"),B132,INDIRECT("report!H100:H10000"),"Service",INDIRECT("Report!L100:L10000"),"19,9")</f>
        <v>715000</v>
      </c>
      <c r="D132" s="236">
        <f ca="1">(C132/11*10)</f>
        <v>650000</v>
      </c>
      <c r="E132" s="981">
        <f ca="1">SUMIFS(INDIRECT("Report!J100:J10000"),INDIRECT("Report!B100:B10000"),B132,INDIRECT("report!H100:H10000"),"Service",INDIRECT("Report!L100:L10000"),"19,9")</f>
        <v>650000</v>
      </c>
      <c r="G132" s="936"/>
      <c r="H132" s="936"/>
      <c r="I132" s="936"/>
    </row>
    <row r="133" spans="1:9" x14ac:dyDescent="0.25">
      <c r="A133" s="817"/>
      <c r="B133" s="228" t="s">
        <v>1479</v>
      </c>
      <c r="C133" s="981">
        <f ca="1">SUMIFS(INDIRECT("Report!F100:F10000"),INDIRECT("Report!B100:B10000"),B133,INDIRECT("report!H100:H10000"),"Service",INDIRECT("Report!L100:L10000"),"19,9")</f>
        <v>385000.00000000006</v>
      </c>
      <c r="D133" s="236">
        <f ca="1">(C133/11*10)</f>
        <v>350000.00000000006</v>
      </c>
      <c r="E133" s="981">
        <f ca="1">SUMIFS(INDIRECT("Report!J100:J10000"),INDIRECT("Report!B100:B10000"),B133,INDIRECT("report!H100:H10000"),"Service",INDIRECT("Report!L100:L10000"),"19,9")</f>
        <v>350000</v>
      </c>
      <c r="G133" s="936"/>
      <c r="H133" s="936"/>
      <c r="I133" s="936"/>
    </row>
    <row r="134" spans="1:9" x14ac:dyDescent="0.25">
      <c r="A134" s="293"/>
      <c r="B134" s="277"/>
      <c r="C134" s="278">
        <f ca="1">SUM(C131:C133)</f>
        <v>3850000</v>
      </c>
      <c r="D134" s="278">
        <f ca="1">SUM(D131:D133)</f>
        <v>3500000</v>
      </c>
      <c r="E134" s="278">
        <f ca="1">SUM(E131:E133)</f>
        <v>3500000</v>
      </c>
      <c r="F134" s="294">
        <f ca="1">E134/D134</f>
        <v>1</v>
      </c>
      <c r="G134" s="336">
        <f>SUM(G128:G130)</f>
        <v>0</v>
      </c>
    </row>
    <row r="135" spans="1:9" x14ac:dyDescent="0.25">
      <c r="A135" s="798" t="s">
        <v>2111</v>
      </c>
      <c r="B135" s="228" t="s">
        <v>2096</v>
      </c>
      <c r="C135" s="981">
        <f ca="1">SUMIFS(INDIRECT("Report!F100:F10000"),INDIRECT("Report!B100:B10000"),B135,INDIRECT("report!H100:H10000"),"Service",INDIRECT("Report!L100:L10000"),"19,10")</f>
        <v>22990000</v>
      </c>
      <c r="D135" s="236">
        <f ca="1">(C135/11*10)</f>
        <v>20900000</v>
      </c>
      <c r="E135" s="981">
        <f ca="1">SUMIFS(INDIRECT("Report!J100:J10000"),INDIRECT("Report!B100:B10000"),B135,INDIRECT("report!H100:H10000"),"Service",INDIRECT("Report!L100:L10000"),"19,10")</f>
        <v>2333000</v>
      </c>
      <c r="G135" s="228" t="s">
        <v>2113</v>
      </c>
    </row>
    <row r="136" spans="1:9" x14ac:dyDescent="0.25">
      <c r="A136" s="817"/>
      <c r="B136" s="228" t="s">
        <v>766</v>
      </c>
      <c r="C136" s="981">
        <f ca="1">SUMIFS(INDIRECT("Report!F100:F10000"),INDIRECT("Report!B100:B10000"),B136,INDIRECT("report!H100:H10000"),"Service",INDIRECT("Report!L100:L10000"),"19,10")</f>
        <v>4950000</v>
      </c>
      <c r="D136" s="236">
        <f ca="1">(C136/11*10)</f>
        <v>4500000</v>
      </c>
      <c r="E136" s="981">
        <f ca="1">SUMIFS(INDIRECT("Report!J100:J10000"),INDIRECT("Report!B100:B10000"),B136,INDIRECT("report!H100:H10000"),"Service",INDIRECT("Report!L100:L10000"),"19,10")</f>
        <v>2250000</v>
      </c>
      <c r="G136" s="936" t="s">
        <v>2112</v>
      </c>
    </row>
    <row r="137" spans="1:9" x14ac:dyDescent="0.25">
      <c r="A137" s="817"/>
      <c r="B137" s="228" t="s">
        <v>517</v>
      </c>
      <c r="C137" s="981">
        <f ca="1">SUMIFS(INDIRECT("Report!F100:F10000"),INDIRECT("Report!B100:B10000"),B137,INDIRECT("report!H100:H10000"),"Service",INDIRECT("Report!L100:L10000"),"19,10")</f>
        <v>1375000</v>
      </c>
      <c r="D137" s="236">
        <f ca="1">(C137/11*10)</f>
        <v>1250000</v>
      </c>
      <c r="E137" s="981">
        <f ca="1">SUMIFS(INDIRECT("Report!J100:J10000"),INDIRECT("Report!B100:B10000"),B137,INDIRECT("report!H100:H10000"),"Service",INDIRECT("Report!L100:L10000"),"19,10")</f>
        <v>550000</v>
      </c>
      <c r="G137" s="740" t="s">
        <v>852</v>
      </c>
      <c r="H137" s="740"/>
      <c r="I137" s="740"/>
    </row>
    <row r="138" spans="1:9" x14ac:dyDescent="0.25">
      <c r="A138" s="293"/>
      <c r="B138" s="277"/>
      <c r="C138" s="278">
        <f ca="1">SUM(C135:C137)</f>
        <v>29315000</v>
      </c>
      <c r="D138" s="278">
        <f ca="1">SUM(D135:D137)</f>
        <v>26650000</v>
      </c>
      <c r="E138" s="278">
        <f ca="1">SUM(E135:E137)</f>
        <v>5133000</v>
      </c>
      <c r="F138" s="294">
        <f ca="1">E138/D138</f>
        <v>0.1926078799249531</v>
      </c>
      <c r="G138" s="336">
        <f>SUM(G132:G134)</f>
        <v>0</v>
      </c>
    </row>
    <row r="139" spans="1:9" x14ac:dyDescent="0.25">
      <c r="A139" s="798" t="s">
        <v>2248</v>
      </c>
      <c r="B139" s="228" t="s">
        <v>446</v>
      </c>
      <c r="C139" s="981">
        <f ca="1">SUMIFS(INDIRECT("Report!F100:F10000"),INDIRECT("Report!B100:B10000"),B139,INDIRECT("report!H100:H10000"),"Service",INDIRECT("Report!L100:L10000"),"19,11")</f>
        <v>3245000.0000000005</v>
      </c>
      <c r="D139" s="236">
        <f ca="1">(C139/11*10)</f>
        <v>2950000.0000000005</v>
      </c>
      <c r="E139" s="981">
        <f ca="1">SUMIFS(INDIRECT("Report!J100:J10000"),INDIRECT("Report!B100:B10000"),B139,INDIRECT("report!H100:H10000"),"Service",INDIRECT("Report!L100:L10000"),"19,11")</f>
        <v>1457000</v>
      </c>
      <c r="G139" s="228" t="s">
        <v>2251</v>
      </c>
    </row>
    <row r="140" spans="1:9" x14ac:dyDescent="0.25">
      <c r="A140" s="293"/>
      <c r="B140" s="277"/>
      <c r="C140" s="278">
        <f ca="1">SUM(C139:C139)</f>
        <v>3245000.0000000005</v>
      </c>
      <c r="D140" s="278">
        <f ca="1">SUM(D139:D139)</f>
        <v>2950000.0000000005</v>
      </c>
      <c r="E140" s="278">
        <f ca="1">SUM(E139:E139)</f>
        <v>1457000</v>
      </c>
      <c r="F140" s="294">
        <f ca="1">E140/D140</f>
        <v>0.49389830508474569</v>
      </c>
      <c r="G140" s="336">
        <f>SUM(G136:G138)</f>
        <v>0</v>
      </c>
    </row>
    <row r="141" spans="1:9" x14ac:dyDescent="0.25">
      <c r="A141" s="798" t="s">
        <v>2252</v>
      </c>
      <c r="B141" s="228" t="s">
        <v>422</v>
      </c>
      <c r="C141" s="981">
        <f ca="1">SUMIFS(INDIRECT("Report!F100:F10000"),INDIRECT("Report!B100:B10000"),B141,INDIRECT("report!H100:H10000"),"Service",INDIRECT("Report!L100:L10000"),"19,12")</f>
        <v>0</v>
      </c>
      <c r="D141" s="236">
        <f ca="1">(C141/11*10)</f>
        <v>0</v>
      </c>
      <c r="E141" s="981">
        <f ca="1">SUMIFS(INDIRECT("Report!J100:J10000"),INDIRECT("Report!B100:B10000"),B141,INDIRECT("report!H100:H10000"),"Service",INDIRECT("Report!L100:L10000"),"19,12")</f>
        <v>0</v>
      </c>
    </row>
    <row r="142" spans="1:9" x14ac:dyDescent="0.25">
      <c r="A142" s="817"/>
      <c r="B142" s="228" t="s">
        <v>2266</v>
      </c>
      <c r="C142" s="981">
        <f ca="1">SUMIFS(INDIRECT("Report!F100:F10000"),INDIRECT("Report!B100:B10000"),B142,INDIRECT("report!H100:H10000"),"Service",INDIRECT("Report!L100:L10000"),"19,12")</f>
        <v>660000</v>
      </c>
      <c r="D142" s="236">
        <f ca="1">(C142/11*10)</f>
        <v>600000</v>
      </c>
      <c r="E142" s="981">
        <f ca="1">SUMIFS(INDIRECT("Report!J100:J10000"),INDIRECT("Report!B100:B10000"),B142,INDIRECT("report!H100:H10000"),"Service",INDIRECT("Report!L100:L10000"),"19,12")</f>
        <v>120000</v>
      </c>
    </row>
    <row r="143" spans="1:9" x14ac:dyDescent="0.25">
      <c r="A143" s="293"/>
      <c r="B143" s="277"/>
      <c r="C143" s="278">
        <f ca="1">SUM(C141:C142)</f>
        <v>660000</v>
      </c>
      <c r="D143" s="278">
        <f ca="1">SUM(D141:D142)</f>
        <v>600000</v>
      </c>
      <c r="E143" s="278">
        <f ca="1">SUM(E141:E142)</f>
        <v>120000</v>
      </c>
      <c r="F143" s="294">
        <f ca="1">E143/D143</f>
        <v>0.2</v>
      </c>
      <c r="G143" s="336">
        <f>SUM(G138:G140)</f>
        <v>0</v>
      </c>
    </row>
    <row r="144" spans="1:9" x14ac:dyDescent="0.25">
      <c r="A144" s="798" t="s">
        <v>2294</v>
      </c>
      <c r="B144" s="228" t="s">
        <v>446</v>
      </c>
      <c r="C144" s="981">
        <f ca="1">SUMIFS(INDIRECT("Report!F100:F10000"),INDIRECT("Report!B100:B10000"),B144,INDIRECT("report!H100:H10000"),"Service",INDIRECT("Report!L100:L10000"),"20,1")</f>
        <v>275000</v>
      </c>
      <c r="D144" s="236">
        <f ca="1">(C144/11*10)</f>
        <v>250000</v>
      </c>
      <c r="E144" s="981">
        <f ca="1">SUMIFS(INDIRECT("Report!J100:J10000"),INDIRECT("Report!B100:B10000"),B144,INDIRECT("report!H100:H10000"),"Service",INDIRECT("Report!L100:L10000"),"20,1")</f>
        <v>250000</v>
      </c>
    </row>
    <row r="145" spans="1:7" x14ac:dyDescent="0.25">
      <c r="A145" s="817"/>
      <c r="B145" s="228" t="s">
        <v>2299</v>
      </c>
      <c r="C145" s="981">
        <f ca="1">SUMIFS(INDIRECT("Report!F100:F10000"),INDIRECT("Report!B100:B10000"),B145,INDIRECT("report!H100:H10000"),"Service",INDIRECT("Report!L100:L10000"),"20,1")</f>
        <v>8325060.7000000011</v>
      </c>
      <c r="D145" s="236">
        <f ca="1">(C145/11*10)</f>
        <v>7568237.0000000009</v>
      </c>
      <c r="E145" s="981">
        <f ca="1">SUMIFS(INDIRECT("Report!J100:J10000"),INDIRECT("Report!B100:B10000"),B145,INDIRECT("report!H100:H10000"),"Service",INDIRECT("Report!L100:L10000"),"20,1")</f>
        <v>300000</v>
      </c>
      <c r="G145" s="228" t="s">
        <v>2300</v>
      </c>
    </row>
    <row r="146" spans="1:7" x14ac:dyDescent="0.25">
      <c r="A146" s="817"/>
      <c r="B146" s="228" t="s">
        <v>2360</v>
      </c>
      <c r="C146" s="981">
        <f ca="1">SUMIFS(INDIRECT("Report!F100:F10000"),INDIRECT("Report!B100:B10000"),B146,INDIRECT("report!H100:H10000"),"Service",INDIRECT("Report!L100:L10000"),"20,1")</f>
        <v>2428416.1</v>
      </c>
      <c r="D146" s="236">
        <f ca="1">(C146/11*10)</f>
        <v>2207651</v>
      </c>
      <c r="E146" s="981">
        <f ca="1">SUMIFS(INDIRECT("Report!J100:J10000"),INDIRECT("Report!B100:B10000"),B146,INDIRECT("report!H100:H10000"),"Service",INDIRECT("Report!L100:L10000"),"20,1")</f>
        <v>300000</v>
      </c>
      <c r="G146" s="228" t="s">
        <v>2300</v>
      </c>
    </row>
    <row r="147" spans="1:7" x14ac:dyDescent="0.25">
      <c r="A147" s="293"/>
      <c r="B147" s="277"/>
      <c r="C147" s="278">
        <f ca="1">SUM(C144:C146)</f>
        <v>11028476.800000001</v>
      </c>
      <c r="D147" s="278">
        <f ca="1">SUM(D144:D146)</f>
        <v>10025888</v>
      </c>
      <c r="E147" s="278">
        <f ca="1">SUM(E144:E146)</f>
        <v>850000</v>
      </c>
      <c r="F147" s="294">
        <f ca="1">E147/D147</f>
        <v>8.4780520189333852E-2</v>
      </c>
      <c r="G147" s="336">
        <f>SUM(G141:G143)</f>
        <v>0</v>
      </c>
    </row>
    <row r="148" spans="1:7" x14ac:dyDescent="0.25">
      <c r="A148" s="798" t="s">
        <v>2326</v>
      </c>
      <c r="B148" s="228" t="s">
        <v>1479</v>
      </c>
      <c r="C148" s="981">
        <f ca="1">SUMIFS(INDIRECT("Report!F100:F10000"),INDIRECT("Report!B100:B10000"),B148,INDIRECT("report!H100:H10000"),"Service",INDIRECT("Report!L100:L10000"),"20,2")</f>
        <v>2640000</v>
      </c>
      <c r="D148" s="236">
        <f ca="1">(C148/11*10)</f>
        <v>2400000</v>
      </c>
      <c r="E148" s="981">
        <f ca="1">SUMIFS(INDIRECT("Report!J100:J10000"),INDIRECT("Report!B100:B10000"),B148,INDIRECT("report!H100:H10000"),"Service",INDIRECT("Report!L100:L10000"),"20,2")</f>
        <v>284000</v>
      </c>
      <c r="G148" s="228" t="s">
        <v>2251</v>
      </c>
    </row>
    <row r="149" spans="1:7" x14ac:dyDescent="0.25">
      <c r="A149" s="293"/>
      <c r="B149" s="277"/>
      <c r="C149" s="278">
        <f ca="1">SUM(C148:C148)</f>
        <v>2640000</v>
      </c>
      <c r="D149" s="278">
        <f ca="1">SUM(D148:D148)</f>
        <v>2400000</v>
      </c>
      <c r="E149" s="278">
        <f ca="1">SUM(E148:E148)</f>
        <v>284000</v>
      </c>
      <c r="F149" s="294">
        <f ca="1">E149/D149</f>
        <v>0.11833333333333333</v>
      </c>
      <c r="G149" s="336">
        <f>SUM(G145:G147)</f>
        <v>0</v>
      </c>
    </row>
    <row r="150" spans="1:7" x14ac:dyDescent="0.25">
      <c r="A150" s="798" t="s">
        <v>2356</v>
      </c>
      <c r="B150" s="228" t="s">
        <v>1283</v>
      </c>
      <c r="C150" s="981">
        <f ca="1">SUMIFS(INDIRECT("Report!F100:F10000"),INDIRECT("Report!B100:B10000"),B150,INDIRECT("report!H100:H10000"),"Service",INDIRECT("Report!L100:L10000"),"20,3")</f>
        <v>24750000.000000004</v>
      </c>
      <c r="D150" s="236">
        <f ca="1">(C150/11*10)</f>
        <v>22500000.000000004</v>
      </c>
      <c r="E150" s="981">
        <f ca="1">SUMIFS(INDIRECT("Report!J100:J10000"),INDIRECT("Report!B100:B10000"),B150,INDIRECT("report!H100:H10000"),"Service",INDIRECT("Report!L100:L10000"),"20,2")</f>
        <v>0</v>
      </c>
      <c r="G150" s="228" t="s">
        <v>2367</v>
      </c>
    </row>
    <row r="151" spans="1:7" x14ac:dyDescent="0.25">
      <c r="A151" s="293"/>
      <c r="B151" s="277"/>
      <c r="C151" s="278">
        <f ca="1">SUM(C150:C150)</f>
        <v>24750000.000000004</v>
      </c>
      <c r="D151" s="278">
        <f ca="1">SUM(D150:D150)</f>
        <v>22500000.000000004</v>
      </c>
      <c r="E151" s="278">
        <f ca="1">SUM(E150:E150)</f>
        <v>0</v>
      </c>
      <c r="F151" s="294">
        <f ca="1">E151/D151</f>
        <v>0</v>
      </c>
      <c r="G151" s="336">
        <f>SUM(G147:G149)</f>
        <v>0</v>
      </c>
    </row>
    <row r="152" spans="1:7" x14ac:dyDescent="0.25">
      <c r="A152" s="798" t="s">
        <v>2424</v>
      </c>
      <c r="C152" s="981"/>
      <c r="D152" s="236"/>
      <c r="E152" s="981"/>
    </row>
    <row r="153" spans="1:7" x14ac:dyDescent="0.25">
      <c r="A153" s="817"/>
      <c r="B153" s="228" t="s">
        <v>2299</v>
      </c>
      <c r="C153" s="981">
        <f ca="1">SUMIFS(INDIRECT("Report!F100:F10000"),INDIRECT("Report!B100:B10000"),B153,INDIRECT("report!H100:H10000"),"Service",INDIRECT("Report!L100:L10000"),"20,4")</f>
        <v>605000</v>
      </c>
      <c r="D153" s="236">
        <f ca="1">(C153/11*10)</f>
        <v>550000</v>
      </c>
      <c r="E153" s="981">
        <f ca="1">SUMIFS(INDIRECT("Report!J100:J10000"),INDIRECT("Report!B100:B10000"),B153,INDIRECT("report!H100:H10000"),"Service",INDIRECT("Report!L100:L10000"),"20,4")</f>
        <v>550000</v>
      </c>
    </row>
    <row r="154" spans="1:7" x14ac:dyDescent="0.25">
      <c r="A154" s="817"/>
      <c r="B154" s="228" t="s">
        <v>517</v>
      </c>
      <c r="C154" s="981">
        <f ca="1">SUMIFS(INDIRECT("Report!F100:F10000"),INDIRECT("Report!B100:B10000"),B154,INDIRECT("report!H100:H10000"),"Service",INDIRECT("Report!L100:L10000"),"20,4")</f>
        <v>2750000</v>
      </c>
      <c r="D154" s="236">
        <f ca="1">(C154/11*10)</f>
        <v>2500000</v>
      </c>
      <c r="E154" s="981">
        <f ca="1">SUMIFS(INDIRECT("Report!J100:J10000"),INDIRECT("Report!B100:B10000"),B154,INDIRECT("report!H100:H10000"),"Service",INDIRECT("Report!L100:L10000"),"20,4")</f>
        <v>2500000</v>
      </c>
      <c r="G154" s="228" t="s">
        <v>2426</v>
      </c>
    </row>
    <row r="155" spans="1:7" x14ac:dyDescent="0.25">
      <c r="A155" s="293"/>
      <c r="B155" s="277"/>
      <c r="C155" s="278">
        <f ca="1">SUM(C152:C154)</f>
        <v>3355000</v>
      </c>
      <c r="D155" s="278">
        <f ca="1">SUM(D152:D154)</f>
        <v>3050000</v>
      </c>
      <c r="E155" s="278">
        <f ca="1">SUM(E152:E154)</f>
        <v>3050000</v>
      </c>
      <c r="F155" s="294">
        <f ca="1">E155/D155</f>
        <v>1</v>
      </c>
      <c r="G155" s="336">
        <f>SUM(G149:G151)</f>
        <v>0</v>
      </c>
    </row>
    <row r="156" spans="1:7" x14ac:dyDescent="0.25">
      <c r="A156" s="798" t="s">
        <v>2447</v>
      </c>
      <c r="C156" s="981"/>
      <c r="D156" s="236"/>
      <c r="E156" s="981"/>
    </row>
    <row r="157" spans="1:7" x14ac:dyDescent="0.25">
      <c r="A157" s="817"/>
      <c r="B157" s="228" t="s">
        <v>1283</v>
      </c>
      <c r="C157" s="981">
        <f ca="1">SUMIFS(INDIRECT("Report!F100:F10000"),INDIRECT("Report!B100:B10000"),B157,INDIRECT("report!H100:H10000"),"Service",INDIRECT("Report!L100:L10000"),"20,5")</f>
        <v>24750000.000000004</v>
      </c>
      <c r="D157" s="236">
        <f ca="1">(C157/11*10)</f>
        <v>22500000.000000004</v>
      </c>
      <c r="E157" s="981">
        <f ca="1">SUMIFS(INDIRECT("Report!J100:J10000"),INDIRECT("Report!B100:B10000"),B157,INDIRECT("report!H100:H10000"),"Service",INDIRECT("Report!L100:L10000"),"20,5")</f>
        <v>0</v>
      </c>
      <c r="G157" s="228" t="s">
        <v>2367</v>
      </c>
    </row>
    <row r="158" spans="1:7" x14ac:dyDescent="0.25">
      <c r="A158" s="817"/>
      <c r="B158" s="228" t="s">
        <v>765</v>
      </c>
      <c r="C158" s="981">
        <f ca="1">SUMIFS(INDIRECT("Report!F100:F10000"),INDIRECT("Report!B100:B10000"),B158,INDIRECT("report!H100:H10000"),"Service",INDIRECT("Report!L100:L10000"),"20,5")</f>
        <v>1100000</v>
      </c>
      <c r="D158" s="236">
        <f ca="1">(C158/11*10)</f>
        <v>1000000</v>
      </c>
      <c r="E158" s="981">
        <f ca="1">SUMIFS(INDIRECT("Report!J100:J10000"),INDIRECT("Report!B100:B10000"),B158,INDIRECT("report!H100:H10000"),"Service",INDIRECT("Report!L100:L10000"),"20,5")</f>
        <v>1000000</v>
      </c>
    </row>
    <row r="159" spans="1:7" x14ac:dyDescent="0.25">
      <c r="A159" s="293"/>
      <c r="B159" s="277"/>
      <c r="C159" s="278">
        <f ca="1">SUM(C156:C158)</f>
        <v>25850000.000000004</v>
      </c>
      <c r="D159" s="278">
        <f ca="1">SUM(D156:D158)</f>
        <v>23500000.000000004</v>
      </c>
      <c r="E159" s="278">
        <f ca="1">SUM(E156:E158)</f>
        <v>1000000</v>
      </c>
      <c r="F159" s="294">
        <f ca="1">E159/D159</f>
        <v>4.2553191489361694E-2</v>
      </c>
      <c r="G159" s="336">
        <f>SUM(G153:G155)</f>
        <v>0</v>
      </c>
    </row>
    <row r="160" spans="1:7" x14ac:dyDescent="0.25">
      <c r="A160" s="798" t="s">
        <v>2467</v>
      </c>
      <c r="C160" s="981"/>
      <c r="D160" s="236"/>
      <c r="E160" s="981"/>
    </row>
    <row r="161" spans="1:7" x14ac:dyDescent="0.25">
      <c r="A161" s="817"/>
      <c r="B161" s="228" t="s">
        <v>2360</v>
      </c>
      <c r="C161" s="981">
        <f ca="1">SUMIFS(INDIRECT("Report!F100:F10000"),INDIRECT("Report!B100:B10000"),B161,INDIRECT("report!H100:H10000"),"Service",INDIRECT("Report!L100:L10000"),"20,6")</f>
        <v>660000</v>
      </c>
      <c r="D161" s="236">
        <f ca="1">(C161/11*10)</f>
        <v>600000</v>
      </c>
      <c r="E161" s="981">
        <f ca="1">SUMIFS(INDIRECT("Report!J100:J10000"),INDIRECT("Report!B100:B10000"),B161,INDIRECT("report!H100:H10000"),"Service",INDIRECT("Report!L100:L10000"),"20,6")</f>
        <v>600000</v>
      </c>
    </row>
    <row r="162" spans="1:7" x14ac:dyDescent="0.25">
      <c r="A162" s="817"/>
      <c r="B162" s="228" t="s">
        <v>517</v>
      </c>
      <c r="C162" s="981">
        <f ca="1">SUMIFS(INDIRECT("Report!F100:F10000"),INDIRECT("Report!B100:B10000"),B162,INDIRECT("report!H100:H10000"),"Service",INDIRECT("Report!L100:L10000"),"20,6")</f>
        <v>2750000</v>
      </c>
      <c r="D162" s="236">
        <f ca="1">(C162/11*10)</f>
        <v>2500000</v>
      </c>
      <c r="E162" s="981">
        <f ca="1">SUMIFS(INDIRECT("Report!J100:J10000"),INDIRECT("Report!B100:B10000"),B162,INDIRECT("report!H100:H10000"),"Service",INDIRECT("Report!L100:L10000"),"20,6")</f>
        <v>2500000</v>
      </c>
      <c r="G162" s="228" t="s">
        <v>2485</v>
      </c>
    </row>
    <row r="163" spans="1:7" x14ac:dyDescent="0.25">
      <c r="A163" s="293"/>
      <c r="B163" s="277"/>
      <c r="C163" s="278">
        <f ca="1">SUM(C160:C162)</f>
        <v>3410000</v>
      </c>
      <c r="D163" s="278">
        <f ca="1">SUM(D160:D162)</f>
        <v>3100000</v>
      </c>
      <c r="E163" s="278">
        <f ca="1">SUM(E160:E162)</f>
        <v>3100000</v>
      </c>
      <c r="F163" s="294">
        <f ca="1">E163/D163</f>
        <v>1</v>
      </c>
      <c r="G163" s="336">
        <f>SUM(G157:G159)</f>
        <v>0</v>
      </c>
    </row>
    <row r="164" spans="1:7" x14ac:dyDescent="0.25">
      <c r="A164" s="293" t="s">
        <v>2756</v>
      </c>
      <c r="B164" s="279"/>
      <c r="C164" s="1184"/>
      <c r="D164" s="1184"/>
      <c r="E164" s="1184"/>
      <c r="F164" s="1185"/>
      <c r="G164" s="336"/>
    </row>
    <row r="165" spans="1:7" x14ac:dyDescent="0.25">
      <c r="A165" s="798" t="s">
        <v>2525</v>
      </c>
      <c r="C165" s="981"/>
      <c r="D165" s="236"/>
      <c r="E165" s="981"/>
    </row>
    <row r="166" spans="1:7" x14ac:dyDescent="0.25">
      <c r="A166" s="817"/>
      <c r="B166" s="228" t="s">
        <v>2554</v>
      </c>
      <c r="C166" s="981">
        <f ca="1">SUMIFS(INDIRECT("Report!F100:F10000"),INDIRECT("Report!B100:B10000"),B166,INDIRECT("report!H100:H10000"),"Service",INDIRECT("Report!L100:L10000"),"20,8")</f>
        <v>4950000</v>
      </c>
      <c r="D166" s="236">
        <f ca="1">(C166/11*10)</f>
        <v>4500000</v>
      </c>
      <c r="E166" s="981">
        <f ca="1">SUMIFS(INDIRECT("Report!J100:J10000"),INDIRECT("Report!B100:B10000"),B166,INDIRECT("report!H100:H10000"),"Service",INDIRECT("Report!L100:L10000"),"20,8")</f>
        <v>2000000</v>
      </c>
    </row>
    <row r="167" spans="1:7" x14ac:dyDescent="0.25">
      <c r="A167" s="817"/>
      <c r="B167" s="228" t="s">
        <v>517</v>
      </c>
      <c r="C167" s="981">
        <f ca="1">SUMIFS(INDIRECT("Report!F100:F10000"),INDIRECT("Report!B100:B10000"),B167,INDIRECT("report!H100:H10000"),"Service",INDIRECT("Report!L100:L10000"),"20,8")</f>
        <v>2750000</v>
      </c>
      <c r="D167" s="236">
        <f ca="1">(C167/11*10)</f>
        <v>2500000</v>
      </c>
      <c r="E167" s="981">
        <f ca="1">SUMIFS(INDIRECT("Report!J100:J10000"),INDIRECT("Report!B100:B10000"),B167,INDIRECT("report!H100:H10000"),"Service",INDIRECT("Report!L100:L10000"),"20,8")</f>
        <v>2500000</v>
      </c>
      <c r="G167" s="228" t="s">
        <v>2528</v>
      </c>
    </row>
    <row r="168" spans="1:7" x14ac:dyDescent="0.25">
      <c r="A168" s="293"/>
      <c r="B168" s="277"/>
      <c r="C168" s="278">
        <f ca="1">SUM(C165:C167)</f>
        <v>7700000</v>
      </c>
      <c r="D168" s="278">
        <f ca="1">SUM(D165:D167)</f>
        <v>7000000</v>
      </c>
      <c r="E168" s="278">
        <f ca="1">SUM(E165:E167)</f>
        <v>4500000</v>
      </c>
      <c r="F168" s="294">
        <f ca="1">E168/D168</f>
        <v>0.6428571428571429</v>
      </c>
      <c r="G168" s="336">
        <f>SUM(G161:G163)</f>
        <v>0</v>
      </c>
    </row>
    <row r="169" spans="1:7" x14ac:dyDescent="0.25">
      <c r="A169" s="798" t="s">
        <v>2551</v>
      </c>
      <c r="C169" s="981"/>
      <c r="D169" s="236"/>
      <c r="E169" s="981"/>
    </row>
    <row r="170" spans="1:7" x14ac:dyDescent="0.25">
      <c r="A170" s="817"/>
      <c r="B170" s="228" t="s">
        <v>2554</v>
      </c>
      <c r="C170" s="981">
        <f ca="1">SUMIFS(INDIRECT("Report!F100:F10000"),INDIRECT("Report!B100:B10000"),B170,INDIRECT("report!H100:H10000"),"Service",INDIRECT("Report!L100:L10000"),"20,9")</f>
        <v>385000.00000000006</v>
      </c>
      <c r="D170" s="236">
        <f ca="1">(C170/11*10)</f>
        <v>350000.00000000006</v>
      </c>
      <c r="E170" s="981">
        <f ca="1">SUMIFS(INDIRECT("Report!J100:J10000"),INDIRECT("Report!B100:B10000"),B170,INDIRECT("report!H100:H10000"),"Service",INDIRECT("Report!L100:L10000"),"20,9")</f>
        <v>0</v>
      </c>
    </row>
    <row r="171" spans="1:7" x14ac:dyDescent="0.25">
      <c r="A171" s="817"/>
      <c r="B171" s="228" t="s">
        <v>2360</v>
      </c>
      <c r="C171" s="981">
        <f ca="1">SUMIFS(INDIRECT("Report!F100:F10000"),INDIRECT("Report!B100:B10000"),B171,INDIRECT("report!H100:H10000"),"Service",INDIRECT("Report!L100:L10000"),"20,9")</f>
        <v>330000</v>
      </c>
      <c r="D171" s="236">
        <f ca="1">(C171/11*10)</f>
        <v>300000</v>
      </c>
      <c r="E171" s="981">
        <f ca="1">SUMIFS(INDIRECT("Report!J100:J10000"),INDIRECT("Report!B100:B10000"),B171,INDIRECT("report!H100:H10000"),"Service",INDIRECT("Report!L100:L10000"),"20,9")</f>
        <v>0</v>
      </c>
    </row>
    <row r="172" spans="1:7" x14ac:dyDescent="0.25">
      <c r="A172" s="817"/>
      <c r="B172" s="228" t="s">
        <v>767</v>
      </c>
      <c r="C172" s="981">
        <f ca="1">SUMIFS(INDIRECT("Report!F100:F10000"),INDIRECT("Report!B100:B10000"),B172,INDIRECT("report!H100:H10000"),"Service",INDIRECT("Report!L100:L10000"),"20,9")</f>
        <v>3300000.0000000005</v>
      </c>
      <c r="D172" s="236">
        <f ca="1">(C172/11*10)</f>
        <v>3000000.0000000005</v>
      </c>
      <c r="E172" s="981">
        <f ca="1">SUMIFS(INDIRECT("Report!J100:J10000"),INDIRECT("Report!B100:B10000"),B172,INDIRECT("report!H100:H10000"),"Service",INDIRECT("Report!L100:L10000"),"20,9")</f>
        <v>1500000</v>
      </c>
      <c r="G172" s="228" t="s">
        <v>2555</v>
      </c>
    </row>
    <row r="173" spans="1:7" x14ac:dyDescent="0.25">
      <c r="A173" s="293"/>
      <c r="B173" s="277"/>
      <c r="C173" s="278">
        <f ca="1">SUM(C169:C172)</f>
        <v>4015000.0000000005</v>
      </c>
      <c r="D173" s="278">
        <f ca="1">SUM(D169:D172)</f>
        <v>3650000.0000000005</v>
      </c>
      <c r="E173" s="278">
        <f ca="1">SUM(E169:E172)</f>
        <v>1500000</v>
      </c>
      <c r="F173" s="294">
        <f ca="1">E173/D173</f>
        <v>0.41095890410958896</v>
      </c>
      <c r="G173" s="336">
        <f>SUM(G166:G168)</f>
        <v>0</v>
      </c>
    </row>
    <row r="174" spans="1:7" x14ac:dyDescent="0.25">
      <c r="A174" s="798" t="s">
        <v>2594</v>
      </c>
      <c r="C174" s="981"/>
      <c r="D174" s="236"/>
      <c r="E174" s="981"/>
    </row>
    <row r="175" spans="1:7" x14ac:dyDescent="0.25">
      <c r="A175" s="817"/>
      <c r="B175" s="228" t="s">
        <v>517</v>
      </c>
      <c r="C175" s="981">
        <f ca="1">SUMIFS(INDIRECT("Report!F100:F10000"),INDIRECT("Report!B100:B10000"),B175,INDIRECT("report!H100:H10000"),"Service",INDIRECT("Report!L100:L10000"),"20,8")</f>
        <v>2750000</v>
      </c>
      <c r="D175" s="236">
        <f ca="1">(C175/11*10)</f>
        <v>2500000</v>
      </c>
      <c r="E175" s="981">
        <f ca="1">SUMIFS(INDIRECT("Report!J100:J10000"),INDIRECT("Report!B100:B10000"),B175,INDIRECT("report!H100:H10000"),"Service",INDIRECT("Report!L100:L10000"),"20,8")</f>
        <v>2500000</v>
      </c>
      <c r="G175" s="228" t="s">
        <v>2596</v>
      </c>
    </row>
    <row r="176" spans="1:7" x14ac:dyDescent="0.25">
      <c r="A176" s="293"/>
      <c r="B176" s="277"/>
      <c r="C176" s="278">
        <f ca="1">SUM(C174:C175)</f>
        <v>2750000</v>
      </c>
      <c r="D176" s="278">
        <f ca="1">SUM(D174:D175)</f>
        <v>2500000</v>
      </c>
      <c r="E176" s="278">
        <f ca="1">SUM(E174:E175)</f>
        <v>2500000</v>
      </c>
      <c r="F176" s="294">
        <f ca="1">E176/D176</f>
        <v>1</v>
      </c>
      <c r="G176" s="336">
        <f>SUM(G171:G173)</f>
        <v>0</v>
      </c>
    </row>
    <row r="177" spans="1:7" x14ac:dyDescent="0.25">
      <c r="A177" s="798" t="s">
        <v>2623</v>
      </c>
      <c r="C177" s="981"/>
      <c r="D177" s="236"/>
      <c r="E177" s="981"/>
    </row>
    <row r="178" spans="1:7" x14ac:dyDescent="0.25">
      <c r="A178" s="817"/>
      <c r="B178" s="228" t="s">
        <v>2554</v>
      </c>
      <c r="C178" s="981">
        <f ca="1">SUMIFS(INDIRECT("Report!F100:F10000"),INDIRECT("Report!B100:B10000"),B178,INDIRECT("report!H100:H10000"),"Service",INDIRECT("Report!L100:L10000"),"20,11")</f>
        <v>770000.00000000012</v>
      </c>
      <c r="D178" s="236">
        <f ca="1">(C178/11*10)</f>
        <v>700000.00000000012</v>
      </c>
      <c r="E178" s="981">
        <f ca="1">SUMIFS(INDIRECT("Report!J100:J10000"),INDIRECT("Report!B100:B10000"),B178,INDIRECT("report!H100:H10000"),"Service",INDIRECT("Report!L100:L10000"),"20,11")</f>
        <v>0</v>
      </c>
    </row>
    <row r="179" spans="1:7" x14ac:dyDescent="0.25">
      <c r="A179" s="817"/>
      <c r="B179" s="228" t="s">
        <v>508</v>
      </c>
      <c r="C179" s="981">
        <f ca="1">SUMIFS(INDIRECT("Report!F100:F10000"),INDIRECT("Report!B100:B10000"),B179,INDIRECT("report!H100:H10000"),"Service",INDIRECT("Report!L100:L10000"),"20,11")</f>
        <v>44000000</v>
      </c>
      <c r="D179" s="236">
        <f ca="1">(C179/11*10)</f>
        <v>40000000</v>
      </c>
      <c r="E179" s="981">
        <f ca="1">SUMIFS(INDIRECT("Report!J100:J10000"),INDIRECT("Report!B100:B10000"),B179,INDIRECT("report!H100:H10000"),"Service",INDIRECT("Report!L100:L10000"),"20,11")</f>
        <v>4500000</v>
      </c>
      <c r="G179" s="228" t="s">
        <v>2767</v>
      </c>
    </row>
    <row r="180" spans="1:7" x14ac:dyDescent="0.25">
      <c r="A180" s="293"/>
      <c r="B180" s="277" t="s">
        <v>2754</v>
      </c>
      <c r="C180" s="278">
        <f ca="1">SUM(C177:C179)</f>
        <v>44770000</v>
      </c>
      <c r="D180" s="278">
        <f ca="1">SUM(D177:D179)</f>
        <v>40700000</v>
      </c>
      <c r="E180" s="278">
        <f ca="1">SUM(E177:E179)</f>
        <v>4500000</v>
      </c>
      <c r="F180" s="294">
        <f ca="1">E180/D180</f>
        <v>0.11056511056511056</v>
      </c>
      <c r="G180" s="336">
        <f>SUM(G174:G176)</f>
        <v>0</v>
      </c>
    </row>
    <row r="181" spans="1:7" x14ac:dyDescent="0.25">
      <c r="A181" s="798" t="s">
        <v>2658</v>
      </c>
      <c r="C181" s="981"/>
      <c r="D181" s="236"/>
      <c r="E181" s="981"/>
    </row>
    <row r="182" spans="1:7" x14ac:dyDescent="0.25">
      <c r="A182" s="817"/>
      <c r="B182" s="228" t="s">
        <v>508</v>
      </c>
      <c r="C182" s="981">
        <f ca="1">SUMIFS(INDIRECT("Report!F100:F10000"),INDIRECT("Report!B100:B10000"),B182,INDIRECT("report!H100:H10000"),"Service",INDIRECT("Report!L100:L10000"),"20,12")</f>
        <v>6490000.0000000009</v>
      </c>
      <c r="D182" s="236">
        <f ca="1">(C182/11*10)</f>
        <v>5900000.0000000009</v>
      </c>
      <c r="E182" s="981">
        <f ca="1">SUMIFS(INDIRECT("Report!J100:J10000"),INDIRECT("Report!B100:B10000"),B182,INDIRECT("report!H100:H10000"),"Service",INDIRECT("Report!L100:L10000"),"20,12")</f>
        <v>2900000</v>
      </c>
    </row>
    <row r="183" spans="1:7" x14ac:dyDescent="0.25">
      <c r="A183" s="817"/>
      <c r="B183" s="228" t="s">
        <v>2360</v>
      </c>
      <c r="C183" s="981">
        <f ca="1">SUMIFS(INDIRECT("Report!F100:F10000"),INDIRECT("Report!B100:B10000"),B183,INDIRECT("report!H100:H10000"),"Service",INDIRECT("Report!L100:L10000"),"20,12")</f>
        <v>1320000</v>
      </c>
      <c r="D183" s="236">
        <f ca="1">(C183/11*10)</f>
        <v>1200000</v>
      </c>
      <c r="E183" s="981">
        <f ca="1">SUMIFS(INDIRECT("Report!J100:J10000"),INDIRECT("Report!B100:B10000"),B183,INDIRECT("report!H100:H10000"),"Service",INDIRECT("Report!L100:L10000"),"20,12")</f>
        <v>500000</v>
      </c>
    </row>
    <row r="184" spans="1:7" x14ac:dyDescent="0.25">
      <c r="A184" s="293"/>
      <c r="B184" s="277" t="s">
        <v>2762</v>
      </c>
      <c r="C184" s="278">
        <f ca="1">SUM(C181:C183)</f>
        <v>7810000.0000000009</v>
      </c>
      <c r="D184" s="278">
        <f ca="1">SUM(D181:D183)</f>
        <v>7100000.0000000009</v>
      </c>
      <c r="E184" s="278">
        <f ca="1">SUM(E181:E183)</f>
        <v>3400000</v>
      </c>
      <c r="F184" s="294">
        <f ca="1">E184/D184</f>
        <v>0.47887323943661964</v>
      </c>
      <c r="G184" s="336">
        <f>SUM(G177:G180)</f>
        <v>0</v>
      </c>
    </row>
    <row r="185" spans="1:7" x14ac:dyDescent="0.25">
      <c r="A185" s="798" t="s">
        <v>2831</v>
      </c>
      <c r="C185" s="981"/>
      <c r="D185" s="236"/>
      <c r="E185" s="981"/>
    </row>
    <row r="186" spans="1:7" x14ac:dyDescent="0.25">
      <c r="A186" s="817"/>
      <c r="B186" s="228" t="s">
        <v>765</v>
      </c>
      <c r="C186" s="981">
        <f ca="1">SUMIFS(INDIRECT("Report!F100:F10000"),INDIRECT("Report!B100:B10000"),B186,INDIRECT("report!H100:H10000"),"Service",INDIRECT("Report!L100:L10000"),"21,1")</f>
        <v>3850000.0000000005</v>
      </c>
      <c r="D186" s="236">
        <f ca="1">(C186/11*10)</f>
        <v>3500000.0000000005</v>
      </c>
      <c r="E186" s="981">
        <f ca="1">SUMIFS(INDIRECT("Report!J100:J10000"),INDIRECT("Report!B100:B10000"),B186,INDIRECT("report!H100:H10000"),"Service",INDIRECT("Report!L100:L10000"),"21,1")</f>
        <v>0</v>
      </c>
    </row>
    <row r="187" spans="1:7" x14ac:dyDescent="0.25">
      <c r="A187" s="293"/>
      <c r="B187" s="277" t="s">
        <v>2834</v>
      </c>
      <c r="C187" s="278">
        <f ca="1">SUM(C185:C186)</f>
        <v>3850000.0000000005</v>
      </c>
      <c r="D187" s="278">
        <f ca="1">SUM(D185:D186)</f>
        <v>3500000.0000000005</v>
      </c>
      <c r="E187" s="278">
        <f ca="1">SUM(E185:E186)</f>
        <v>0</v>
      </c>
      <c r="F187" s="294">
        <f ca="1">E187/D187</f>
        <v>0</v>
      </c>
      <c r="G187" s="336">
        <f>SUM(G181:G184)</f>
        <v>0</v>
      </c>
    </row>
    <row r="188" spans="1:7" x14ac:dyDescent="0.25">
      <c r="A188" s="798" t="s">
        <v>2880</v>
      </c>
      <c r="C188" s="981"/>
      <c r="D188" s="236"/>
      <c r="E188" s="981"/>
    </row>
    <row r="189" spans="1:7" x14ac:dyDescent="0.25">
      <c r="A189" s="817"/>
      <c r="B189" s="228" t="s">
        <v>2554</v>
      </c>
      <c r="C189" s="981">
        <f ca="1">SUMIFS(INDIRECT("Report!F100:F10000"),INDIRECT("Report!B100:B10000"),B189,INDIRECT("report!H100:H10000"),"Service",INDIRECT("Report!L100:L10000"),"21,2")</f>
        <v>1760000.0000000002</v>
      </c>
      <c r="D189" s="236">
        <f ca="1">(C189/11*10)</f>
        <v>1600000.0000000002</v>
      </c>
      <c r="E189" s="981">
        <f ca="1">SUMIFS(INDIRECT("Report!J100:J10000"),INDIRECT("Report!B100:B10000"),B189,INDIRECT("report!H100:H10000"),"Service",INDIRECT("Report!L100:L10000"),"20,2")</f>
        <v>0</v>
      </c>
      <c r="G189" s="228" t="s">
        <v>2892</v>
      </c>
    </row>
    <row r="190" spans="1:7" x14ac:dyDescent="0.25">
      <c r="A190" s="817"/>
      <c r="B190" s="228" t="s">
        <v>2888</v>
      </c>
      <c r="C190" s="981">
        <f ca="1">SUMIFS(INDIRECT("Report!F100:F10000"),INDIRECT("Report!B100:B10000"),B190,INDIRECT("report!H100:H10000"),"Service",INDIRECT("Report!L100:L10000"),"21,2")</f>
        <v>1034000.0000000001</v>
      </c>
      <c r="D190" s="236">
        <f ca="1">(C190/11*10)</f>
        <v>940000.00000000012</v>
      </c>
      <c r="E190" s="981">
        <v>0</v>
      </c>
      <c r="G190" s="228" t="s">
        <v>2891</v>
      </c>
    </row>
    <row r="191" spans="1:7" x14ac:dyDescent="0.25">
      <c r="A191" s="817"/>
      <c r="B191" s="228" t="s">
        <v>2889</v>
      </c>
      <c r="C191" s="981">
        <f ca="1">SUMIFS(INDIRECT("Report!F100:F10000"),INDIRECT("Report!B100:B10000"),B191,INDIRECT("report!H100:H10000"),"Service",INDIRECT("Report!L100:L10000"),"21,2")</f>
        <v>17721000</v>
      </c>
      <c r="D191" s="236">
        <f ca="1">(C191/11*10)</f>
        <v>16110000</v>
      </c>
      <c r="E191" s="981">
        <f ca="1">SUMIFS(INDIRECT("Report!J100:J10000"),INDIRECT("Report!B100:B10000"),B191,INDIRECT("report!H100:H10000"),"Service",INDIRECT("Report!L100:L10000"),"20,2")</f>
        <v>0</v>
      </c>
      <c r="G191" s="228" t="s">
        <v>2890</v>
      </c>
    </row>
    <row r="192" spans="1:7" x14ac:dyDescent="0.25">
      <c r="A192" s="293"/>
      <c r="B192" s="277" t="s">
        <v>2886</v>
      </c>
      <c r="C192" s="278">
        <f ca="1">SUM(C188:C191)</f>
        <v>20515000</v>
      </c>
      <c r="D192" s="278">
        <f ca="1">SUM(D188:D191)</f>
        <v>18650000</v>
      </c>
      <c r="E192" s="278">
        <f ca="1">SUM(E188:E191)</f>
        <v>0</v>
      </c>
      <c r="F192" s="294">
        <f ca="1">E192/D192</f>
        <v>0</v>
      </c>
      <c r="G192" s="336">
        <f>SUM(G184:G187)</f>
        <v>0</v>
      </c>
    </row>
    <row r="193" spans="1:7" x14ac:dyDescent="0.25">
      <c r="A193" s="798" t="s">
        <v>2920</v>
      </c>
      <c r="C193" s="981"/>
      <c r="D193" s="236"/>
      <c r="E193" s="981"/>
    </row>
    <row r="194" spans="1:7" x14ac:dyDescent="0.25">
      <c r="A194" s="817"/>
      <c r="B194" s="228" t="s">
        <v>2554</v>
      </c>
      <c r="C194" s="981">
        <f ca="1">SUMIFS(INDIRECT("Report!F100:F10000"),INDIRECT("Report!B100:B10000"),B194,INDIRECT("report!H100:H10000"),"Service",INDIRECT("Report!L100:L10000"),"21,3")</f>
        <v>2860000</v>
      </c>
      <c r="D194" s="236">
        <f ca="1">(C194/11*10)</f>
        <v>2600000</v>
      </c>
      <c r="E194" s="981">
        <f ca="1">SUMIFS(INDIRECT("Report!J100:J10000"),INDIRECT("Report!B100:B10000"),B194,INDIRECT("report!H100:H10000"),"Service",INDIRECT("Report!L100:L10000"),"20,2")</f>
        <v>0</v>
      </c>
      <c r="G194" s="228" t="s">
        <v>2927</v>
      </c>
    </row>
    <row r="195" spans="1:7" x14ac:dyDescent="0.25">
      <c r="A195" s="293"/>
      <c r="B195" s="277" t="s">
        <v>2926</v>
      </c>
      <c r="C195" s="278">
        <f ca="1">SUM(C193:C194)</f>
        <v>2860000</v>
      </c>
      <c r="D195" s="278">
        <f ca="1">SUM(D193:D194)</f>
        <v>2600000</v>
      </c>
      <c r="E195" s="278">
        <f ca="1">SUM(E193:E194)</f>
        <v>0</v>
      </c>
      <c r="F195" s="294">
        <f ca="1">E195/D195</f>
        <v>0</v>
      </c>
      <c r="G195" s="336">
        <f>SUM(G189:G192)</f>
        <v>0</v>
      </c>
    </row>
    <row r="196" spans="1:7" x14ac:dyDescent="0.25">
      <c r="A196" s="798" t="s">
        <v>2960</v>
      </c>
      <c r="C196" s="981"/>
      <c r="D196" s="236"/>
      <c r="E196" s="981"/>
    </row>
    <row r="197" spans="1:7" x14ac:dyDescent="0.25">
      <c r="A197" s="817"/>
      <c r="B197" s="228" t="s">
        <v>517</v>
      </c>
      <c r="C197" s="981">
        <f ca="1">SUMIFS(INDIRECT("Report!F100:F10000"),INDIRECT("Report!B100:B10000"),B197,INDIRECT("report!H100:H10000"),"Service",INDIRECT("Report!L100:L10000"),"21,4")</f>
        <v>2887500.0000000005</v>
      </c>
      <c r="D197" s="236">
        <f ca="1">(C197/11*10)</f>
        <v>2625000.0000000005</v>
      </c>
      <c r="E197" s="981">
        <f ca="1">SUMIFS(INDIRECT("Report!J100:J10000"),INDIRECT("Report!B100:B10000"),B197,INDIRECT("report!H100:H10000"),"Service",INDIRECT("Report!L100:L10000"),"21,4")</f>
        <v>0</v>
      </c>
      <c r="G197" s="228" t="s">
        <v>2966</v>
      </c>
    </row>
    <row r="198" spans="1:7" x14ac:dyDescent="0.25">
      <c r="A198" s="817"/>
      <c r="B198" s="228" t="s">
        <v>2889</v>
      </c>
      <c r="C198" s="981">
        <f ca="1">SUMIFS(INDIRECT("Report!F100:F10000"),INDIRECT("Report!B100:B10000"),B198,INDIRECT("report!H100:H10000"),"Service",INDIRECT("Report!L100:L10000"),"21,4")</f>
        <v>11000000</v>
      </c>
      <c r="D198" s="236">
        <f ca="1">(C198/11*10)</f>
        <v>10000000</v>
      </c>
      <c r="E198" s="981">
        <f ca="1">SUMIFS(INDIRECT("Report!J100:J10000"),INDIRECT("Report!B100:B10000"),B198,INDIRECT("report!H100:H10000"),"Service",INDIRECT("Report!L100:L10000"),"21,4")</f>
        <v>0</v>
      </c>
      <c r="G198" s="228" t="s">
        <v>2967</v>
      </c>
    </row>
    <row r="199" spans="1:7" x14ac:dyDescent="0.25">
      <c r="A199" s="293"/>
      <c r="B199" s="277" t="s">
        <v>2968</v>
      </c>
      <c r="C199" s="278">
        <f ca="1">SUM(C196:C198)</f>
        <v>13887500</v>
      </c>
      <c r="D199" s="278">
        <f ca="1">SUM(D196:D198)</f>
        <v>12625000</v>
      </c>
      <c r="E199" s="278">
        <f ca="1">SUM(E196:E198)</f>
        <v>0</v>
      </c>
      <c r="F199" s="294">
        <f ca="1">E199/D199</f>
        <v>0</v>
      </c>
      <c r="G199" s="336">
        <f>SUM(G192:G195)</f>
        <v>0</v>
      </c>
    </row>
    <row r="200" spans="1:7" x14ac:dyDescent="0.25">
      <c r="A200" s="798" t="s">
        <v>2994</v>
      </c>
      <c r="C200" s="981"/>
      <c r="D200" s="236"/>
      <c r="E200" s="981"/>
    </row>
    <row r="201" spans="1:7" x14ac:dyDescent="0.25">
      <c r="A201" s="817"/>
      <c r="B201" s="228" t="s">
        <v>2554</v>
      </c>
      <c r="C201" s="981">
        <f ca="1">SUMIFS(INDIRECT("Report!F100:F10000"),INDIRECT("Report!B100:B10000"),B201,INDIRECT("report!H100:H10000"),"Service",INDIRECT("Report!L100:L10000"),"21,5")</f>
        <v>5280000</v>
      </c>
      <c r="D201" s="236">
        <f ca="1">(C201/11*10)</f>
        <v>4800000</v>
      </c>
      <c r="E201" s="981">
        <f ca="1">SUMIFS(INDIRECT("Report!J100:J10000"),INDIRECT("Report!B100:B10000"),B201,INDIRECT("report!H100:H10000"),"Service",INDIRECT("Report!L100:L10000"),"21,4")</f>
        <v>0</v>
      </c>
      <c r="G201" s="228" t="s">
        <v>3001</v>
      </c>
    </row>
    <row r="202" spans="1:7" x14ac:dyDescent="0.25">
      <c r="A202" s="293"/>
      <c r="B202" s="277" t="s">
        <v>3061</v>
      </c>
      <c r="C202" s="278">
        <f ca="1">SUM(C200:C201)</f>
        <v>5280000</v>
      </c>
      <c r="D202" s="278">
        <f ca="1">SUM(D200:D201)</f>
        <v>4800000</v>
      </c>
      <c r="E202" s="278">
        <f ca="1">SUM(E200:E201)</f>
        <v>0</v>
      </c>
      <c r="F202" s="294">
        <f ca="1">E202/D202</f>
        <v>0</v>
      </c>
      <c r="G202" s="336">
        <f>SUM(G196:G199)</f>
        <v>0</v>
      </c>
    </row>
    <row r="203" spans="1:7" x14ac:dyDescent="0.25">
      <c r="A203" s="798" t="s">
        <v>3037</v>
      </c>
      <c r="C203" s="981"/>
      <c r="D203" s="236"/>
      <c r="E203" s="981"/>
    </row>
    <row r="204" spans="1:7" x14ac:dyDescent="0.25">
      <c r="A204" s="817"/>
      <c r="B204" s="228" t="s">
        <v>517</v>
      </c>
      <c r="C204" s="981">
        <f ca="1">SUMIFS(INDIRECT("Report!F100:F10000"),INDIRECT("Report!B100:B10000"),B204,INDIRECT("report!H100:H10000"),"Service",INDIRECT("Report!L100:L10000"),"21,6")</f>
        <v>2887500.0000000005</v>
      </c>
      <c r="D204" s="236">
        <f ca="1">(C204/11*10)</f>
        <v>2625000.0000000005</v>
      </c>
      <c r="E204" s="981">
        <f ca="1">SUMIFS(INDIRECT("Report!J100:J10000"),INDIRECT("Report!B100:B10000"),B204,INDIRECT("report!H100:H10000"),"Service",INDIRECT("Report!L100:L10000"),"21,4")</f>
        <v>0</v>
      </c>
      <c r="G204" s="228" t="s">
        <v>3043</v>
      </c>
    </row>
    <row r="205" spans="1:7" x14ac:dyDescent="0.25">
      <c r="A205" s="817"/>
      <c r="B205" s="228" t="s">
        <v>3042</v>
      </c>
      <c r="C205" s="981">
        <f ca="1">SUMIFS(INDIRECT("Report!F100:F10000"),INDIRECT("Report!B100:B10000"),B205,INDIRECT("report!H100:H10000"),"Service",INDIRECT("Report!L100:L10000"),"21,6")</f>
        <v>14707000.000000002</v>
      </c>
      <c r="D205" s="236">
        <f ca="1">(C205/11*10)</f>
        <v>13370000.000000002</v>
      </c>
      <c r="E205" s="981">
        <f ca="1">SUMIFS(INDIRECT("Report!J100:J10000"),INDIRECT("Report!B100:B10000"),B205,INDIRECT("report!H100:H10000"),"Service",INDIRECT("Report!L100:L10000"),"21,4")</f>
        <v>0</v>
      </c>
      <c r="G205" s="228" t="s">
        <v>3044</v>
      </c>
    </row>
    <row r="206" spans="1:7" x14ac:dyDescent="0.25">
      <c r="A206" s="293"/>
      <c r="B206" s="277" t="s">
        <v>3062</v>
      </c>
      <c r="C206" s="278">
        <f ca="1">SUM(C203:C205)</f>
        <v>17594500.000000004</v>
      </c>
      <c r="D206" s="278">
        <f ca="1">SUM(D203:D205)</f>
        <v>15995000.000000002</v>
      </c>
      <c r="E206" s="278">
        <f ca="1">SUM(E203:E205)</f>
        <v>0</v>
      </c>
      <c r="F206" s="294">
        <f ca="1">E206/D206</f>
        <v>0</v>
      </c>
      <c r="G206" s="336">
        <f>SUM(G199:G202)</f>
        <v>0</v>
      </c>
    </row>
    <row r="207" spans="1:7" x14ac:dyDescent="0.25">
      <c r="A207" s="798" t="s">
        <v>3057</v>
      </c>
      <c r="C207" s="981"/>
      <c r="D207" s="236"/>
      <c r="E207" s="981"/>
    </row>
    <row r="208" spans="1:7" x14ac:dyDescent="0.25">
      <c r="A208" s="817"/>
      <c r="B208" s="228" t="s">
        <v>2360</v>
      </c>
      <c r="C208" s="981">
        <f ca="1">SUMIFS(INDIRECT("Report!F100:F10000"),INDIRECT("Report!B100:B10000"),B208,INDIRECT("report!H100:H10000"),"Service",INDIRECT("Report!L100:L10000"),"21,7")</f>
        <v>1287000</v>
      </c>
      <c r="D208" s="236">
        <f ca="1">(C208/11*10)</f>
        <v>1170000</v>
      </c>
      <c r="E208" s="981">
        <f ca="1">SUMIFS(INDIRECT("Report!J100:J10000"),INDIRECT("Report!B100:B10000"),B208,INDIRECT("report!H100:H10000"),"Service",INDIRECT("Report!L100:L10000"),"21,7")</f>
        <v>170000</v>
      </c>
    </row>
    <row r="209" spans="1:7" x14ac:dyDescent="0.25">
      <c r="A209" s="293"/>
      <c r="B209" s="277" t="s">
        <v>3063</v>
      </c>
      <c r="C209" s="278">
        <f ca="1">SUM(C207:C208)</f>
        <v>1287000</v>
      </c>
      <c r="D209" s="278">
        <f ca="1">SUM(D207:D208)</f>
        <v>1170000</v>
      </c>
      <c r="E209" s="278">
        <f ca="1">SUM(E207:E208)</f>
        <v>170000</v>
      </c>
      <c r="F209" s="294">
        <f ca="1">E209/D209</f>
        <v>0.14529914529914531</v>
      </c>
      <c r="G209" s="336">
        <f>SUM(G203:G206)</f>
        <v>0</v>
      </c>
    </row>
    <row r="210" spans="1:7" x14ac:dyDescent="0.25">
      <c r="A210" s="798" t="s">
        <v>3106</v>
      </c>
      <c r="C210" s="981"/>
      <c r="D210" s="236"/>
      <c r="E210" s="981"/>
    </row>
    <row r="211" spans="1:7" x14ac:dyDescent="0.25">
      <c r="A211" s="817"/>
      <c r="B211" s="228" t="s">
        <v>517</v>
      </c>
      <c r="C211" s="981">
        <f ca="1">SUMIFS(INDIRECT("Report!F100:F10000"),INDIRECT("Report!B100:B10000"),B211,INDIRECT("report!H100:H10000"),"Service",INDIRECT("Report!L100:L10000"),"21,8")</f>
        <v>2887500.0000000005</v>
      </c>
      <c r="D211" s="236">
        <f ca="1">(C211/11*10)</f>
        <v>2625000.0000000005</v>
      </c>
      <c r="E211" s="981">
        <f ca="1">SUMIFS(INDIRECT("Report!J100:J10000"),INDIRECT("Report!B100:B10000"),B211,INDIRECT("report!H100:H10000"),"Service",INDIRECT("Report!L100:L10000"),"21,4")</f>
        <v>0</v>
      </c>
      <c r="G211" s="228" t="s">
        <v>3113</v>
      </c>
    </row>
    <row r="212" spans="1:7" x14ac:dyDescent="0.25">
      <c r="A212" s="817"/>
      <c r="B212" s="228" t="s">
        <v>2360</v>
      </c>
      <c r="C212" s="981">
        <f ca="1">SUMIFS(INDIRECT("Report!F100:F10000"),INDIRECT("Report!B100:B10000"),B212,INDIRECT("report!H100:H10000"),"Service",INDIRECT("Report!L100:L10000"),"21,8")</f>
        <v>429000.00000000006</v>
      </c>
      <c r="D212" s="236">
        <f ca="1">(C212/11*10)</f>
        <v>390000.00000000006</v>
      </c>
      <c r="E212" s="981">
        <f ca="1">SUMIFS(INDIRECT("Report!J100:J10000"),INDIRECT("Report!B100:B10000"),B212,INDIRECT("report!H100:H10000"),"Service",INDIRECT("Report!L100:L10000"),"21,8")</f>
        <v>390000</v>
      </c>
    </row>
    <row r="213" spans="1:7" x14ac:dyDescent="0.25">
      <c r="A213" s="293"/>
      <c r="B213" s="279" t="s">
        <v>3112</v>
      </c>
      <c r="C213" s="1184">
        <f ca="1">SUM(C210:C212)</f>
        <v>3316500.0000000005</v>
      </c>
      <c r="D213" s="1184">
        <f ca="1">SUM(D210:D212)</f>
        <v>3015000.0000000005</v>
      </c>
      <c r="E213" s="1184">
        <f ca="1">SUM(E210:E212)</f>
        <v>390000</v>
      </c>
      <c r="F213" s="1200">
        <f ca="1">E213/D213</f>
        <v>0.12935323383084574</v>
      </c>
      <c r="G213" s="336">
        <f>SUM(G206:G209)</f>
        <v>0</v>
      </c>
    </row>
    <row r="214" spans="1:7" x14ac:dyDescent="0.25">
      <c r="A214" s="798" t="s">
        <v>3149</v>
      </c>
      <c r="B214" s="1202"/>
      <c r="C214" s="1198"/>
      <c r="D214" s="1199"/>
      <c r="E214" s="1198"/>
      <c r="F214" s="1202"/>
      <c r="G214" s="1202"/>
    </row>
    <row r="215" spans="1:7" x14ac:dyDescent="0.25">
      <c r="A215" s="817"/>
      <c r="B215" s="1202" t="s">
        <v>517</v>
      </c>
      <c r="C215" s="1198">
        <f ca="1">SUMIFS(INDIRECT("Report!F100:F10000"),INDIRECT("Report!B100:B10000"),B215,INDIRECT("report!H100:H10000"),"Service",INDIRECT("Report!L100:L10000"),"21,9")</f>
        <v>550000</v>
      </c>
      <c r="D215" s="1199">
        <f ca="1">(C215/11*10)</f>
        <v>500000</v>
      </c>
      <c r="E215" s="1198">
        <f ca="1">SUMIFS(INDIRECT("Report!J100:J10000"),INDIRECT("Report!B100:B10000"),B215,INDIRECT("report!H100:H10000"),"Service",INDIRECT("Report!L100:L10000"),"21,9")</f>
        <v>0</v>
      </c>
      <c r="F215" s="1202"/>
      <c r="G215" s="1202"/>
    </row>
    <row r="216" spans="1:7" x14ac:dyDescent="0.25">
      <c r="A216" s="817"/>
      <c r="B216" s="1202" t="s">
        <v>2554</v>
      </c>
      <c r="C216" s="1198">
        <f ca="1">SUMIFS(INDIRECT("Report!F100:F10000"),INDIRECT("Report!B100:B10000"),B216,INDIRECT("report!H100:H10000"),"Service",INDIRECT("Report!L100:L10000"),"21,9")</f>
        <v>1232000</v>
      </c>
      <c r="D216" s="1199">
        <f ca="1">(C216/11*10)</f>
        <v>1120000</v>
      </c>
      <c r="E216" s="1198">
        <f ca="1">SUMIFS(INDIRECT("Report!J100:J10000"),INDIRECT("Report!B100:B10000"),B216,INDIRECT("report!H100:H10000"),"Service",INDIRECT("Report!L100:L10000"),"21,9")</f>
        <v>280000</v>
      </c>
      <c r="F216" s="1202"/>
      <c r="G216" s="1202"/>
    </row>
    <row r="217" spans="1:7" x14ac:dyDescent="0.25">
      <c r="A217" s="817"/>
      <c r="B217" s="1202" t="s">
        <v>508</v>
      </c>
      <c r="C217" s="1198">
        <f ca="1">SUMIFS(INDIRECT("Report!F100:F10000"),INDIRECT("Report!B100:B10000"),B217,INDIRECT("report!H100:H10000"),"Service",INDIRECT("Report!L100:L10000"),"21,9")</f>
        <v>31357700.000000004</v>
      </c>
      <c r="D217" s="1199">
        <f ca="1">(C217/11*10)</f>
        <v>28507000.000000004</v>
      </c>
      <c r="E217" s="1198">
        <f ca="1">SUMIFS(INDIRECT("Report!J100:J10000"),INDIRECT("Report!B100:B10000"),B217,INDIRECT("report!H100:H10000"),"Service",INDIRECT("Report!L100:L10000"),"21,9")</f>
        <v>0</v>
      </c>
      <c r="F217" s="1202"/>
      <c r="G217" s="309" t="s">
        <v>3152</v>
      </c>
    </row>
    <row r="218" spans="1:7" x14ac:dyDescent="0.25">
      <c r="A218" s="293"/>
      <c r="B218" s="277" t="s">
        <v>3151</v>
      </c>
      <c r="C218" s="278">
        <f ca="1">SUM(C214:C217)</f>
        <v>33139700.000000004</v>
      </c>
      <c r="D218" s="278">
        <f ca="1">SUM(D214:D217)</f>
        <v>30127000.000000004</v>
      </c>
      <c r="E218" s="278">
        <f ca="1">SUM(E214:E217)</f>
        <v>280000</v>
      </c>
      <c r="F218" s="1201">
        <f ca="1">E218/D218</f>
        <v>9.2939887808278273E-3</v>
      </c>
      <c r="G218" s="336">
        <f>SUM(G210:G213)</f>
        <v>0</v>
      </c>
    </row>
    <row r="219" spans="1:7" x14ac:dyDescent="0.25">
      <c r="A219" s="798" t="s">
        <v>3176</v>
      </c>
      <c r="B219" s="1202"/>
      <c r="C219" s="1198"/>
      <c r="D219" s="1199"/>
      <c r="E219" s="1198"/>
      <c r="F219" s="1202"/>
      <c r="G219" s="1202"/>
    </row>
    <row r="220" spans="1:7" x14ac:dyDescent="0.25">
      <c r="A220" s="817"/>
      <c r="B220" s="1202" t="s">
        <v>765</v>
      </c>
      <c r="C220" s="1198">
        <f ca="1">SUMIFS(INDIRECT("Report!F100:F10000"),INDIRECT("Report!B100:B10000"),B220,INDIRECT("report!H100:H10000"),"Service",INDIRECT("Report!L100:L10000"),"21,10")</f>
        <v>308000</v>
      </c>
      <c r="D220" s="1199">
        <f ca="1">(C220/11*10)</f>
        <v>280000</v>
      </c>
      <c r="E220" s="1198">
        <f ca="1">SUMIFS(INDIRECT("Report!J100:J10000"),INDIRECT("Report!B100:B10000"),B220,INDIRECT("report!H100:H10000"),"Service",INDIRECT("Report!L100:L10000"),"21,10")</f>
        <v>280000</v>
      </c>
      <c r="F220" s="1202"/>
      <c r="G220" s="1202"/>
    </row>
    <row r="221" spans="1:7" x14ac:dyDescent="0.25">
      <c r="A221" s="817"/>
      <c r="B221" s="1202" t="s">
        <v>2360</v>
      </c>
      <c r="C221" s="1198">
        <f ca="1">SUMIFS(INDIRECT("Report!F100:F10000"),INDIRECT("Report!B100:B10000"),B221,INDIRECT("report!H100:H10000"),"Service",INDIRECT("Report!L100:L10000"),"21,10")</f>
        <v>495000.00000000006</v>
      </c>
      <c r="D221" s="1199">
        <f ca="1">(C221/11*10)</f>
        <v>450000.00000000006</v>
      </c>
      <c r="E221" s="1198">
        <f ca="1">SUMIFS(INDIRECT("Report!J100:J10000"),INDIRECT("Report!B100:B10000"),B221,INDIRECT("report!H100:H10000"),"Service",INDIRECT("Report!L100:L10000"),"21,10")</f>
        <v>450000</v>
      </c>
      <c r="F221" s="1202"/>
      <c r="G221" s="1202"/>
    </row>
    <row r="222" spans="1:7" x14ac:dyDescent="0.25">
      <c r="A222" s="817"/>
      <c r="B222" s="1202" t="s">
        <v>517</v>
      </c>
      <c r="C222" s="1198">
        <f ca="1">SUMIFS(INDIRECT("Report!F100:F10000"),INDIRECT("Report!B100:B10000"),B222,INDIRECT("report!H100:H10000"),"Service",INDIRECT("Report!L100:L10000"),"21,10")</f>
        <v>2887500.0000000005</v>
      </c>
      <c r="D222" s="1199">
        <f ca="1">(C222/11*10)</f>
        <v>2625000.0000000005</v>
      </c>
      <c r="E222" s="1198">
        <f ca="1">SUMIFS(INDIRECT("Report!J100:J10000"),INDIRECT("Report!B100:B10000"),B222,INDIRECT("report!H100:H10000"),"Service",INDIRECT("Report!L100:L10000"),"21,10")</f>
        <v>0</v>
      </c>
      <c r="F222" s="1202"/>
      <c r="G222" s="228" t="s">
        <v>3181</v>
      </c>
    </row>
    <row r="223" spans="1:7" x14ac:dyDescent="0.25">
      <c r="A223" s="817"/>
      <c r="B223" s="1202" t="s">
        <v>2299</v>
      </c>
      <c r="C223" s="1198">
        <f ca="1">SUMIFS(INDIRECT("Report!F100:F10000"),INDIRECT("Report!B100:B10000"),B223,INDIRECT("report!H100:H10000"),"Service",INDIRECT("Report!L100:L10000"),"21,10")</f>
        <v>308000</v>
      </c>
      <c r="D223" s="1199">
        <f ca="1">(C223/11*10)</f>
        <v>280000</v>
      </c>
      <c r="E223" s="1198">
        <f ca="1">SUMIFS(INDIRECT("Report!J100:J10000"),INDIRECT("Report!B100:B10000"),B223,INDIRECT("report!H100:H10000"),"Service",INDIRECT("Report!L100:L10000"),"21,10")</f>
        <v>280000</v>
      </c>
      <c r="F223" s="1202"/>
      <c r="G223" s="309"/>
    </row>
    <row r="224" spans="1:7" x14ac:dyDescent="0.25">
      <c r="A224" s="293"/>
      <c r="B224" s="277" t="s">
        <v>3180</v>
      </c>
      <c r="C224" s="278">
        <f ca="1">SUM(C219:C223)</f>
        <v>3998500.0000000005</v>
      </c>
      <c r="D224" s="278">
        <f ca="1">SUM(D219:D223)</f>
        <v>3635000.0000000005</v>
      </c>
      <c r="E224" s="278">
        <f ca="1">SUM(E219:E223)</f>
        <v>1010000</v>
      </c>
      <c r="F224" s="1201">
        <f ca="1">E224/D224</f>
        <v>0.27785419532324618</v>
      </c>
      <c r="G224" s="336">
        <f>SUM(G215:G218)</f>
        <v>0</v>
      </c>
    </row>
    <row r="225" spans="1:8" x14ac:dyDescent="0.25">
      <c r="A225" s="798" t="s">
        <v>3209</v>
      </c>
      <c r="B225" s="1202"/>
      <c r="C225" s="1198"/>
      <c r="D225" s="1199"/>
      <c r="E225" s="1198"/>
      <c r="F225" s="1202"/>
      <c r="G225" s="1202"/>
    </row>
    <row r="226" spans="1:8" x14ac:dyDescent="0.25">
      <c r="A226" s="817"/>
      <c r="B226" s="1202" t="s">
        <v>508</v>
      </c>
      <c r="C226" s="1198">
        <f ca="1">SUMIFS(INDIRECT("Report!F100:F10000"),INDIRECT("Report!B100:B10000"),B226,INDIRECT("report!H100:H10000"),"Service",INDIRECT("Report!L100:L10000"),"21,11")</f>
        <v>90780393</v>
      </c>
      <c r="D226" s="1199">
        <f ca="1">(C226/11*10)</f>
        <v>82527630</v>
      </c>
      <c r="E226" s="1198">
        <f ca="1">SUMIFS(INDIRECT("Report!J100:J10000"),INDIRECT("Report!B100:B10000"),B226,INDIRECT("report!H100:H10000"),"Service",INDIRECT("Report!L100:L10000"),"21,11")</f>
        <v>0</v>
      </c>
      <c r="F226" s="1202"/>
      <c r="G226" s="1202"/>
      <c r="H226" s="227" t="s">
        <v>3213</v>
      </c>
    </row>
    <row r="227" spans="1:8" x14ac:dyDescent="0.25">
      <c r="A227" s="293"/>
      <c r="B227" s="277" t="s">
        <v>3215</v>
      </c>
      <c r="C227" s="278">
        <f ca="1">SUM(C225:C226)</f>
        <v>90780393</v>
      </c>
      <c r="D227" s="278">
        <f ca="1">SUM(D225:D226)</f>
        <v>82527630</v>
      </c>
      <c r="E227" s="278">
        <f ca="1">SUM(E225:E226)</f>
        <v>0</v>
      </c>
      <c r="F227" s="1201">
        <f ca="1">E227/D227</f>
        <v>0</v>
      </c>
      <c r="G227" s="336">
        <f>SUM(G221:G224)</f>
        <v>0</v>
      </c>
    </row>
    <row r="228" spans="1:8" x14ac:dyDescent="0.25">
      <c r="A228" s="798" t="s">
        <v>3233</v>
      </c>
      <c r="B228" s="1202"/>
      <c r="C228" s="1198"/>
      <c r="D228" s="1199"/>
      <c r="E228" s="1198"/>
      <c r="F228" s="1202"/>
      <c r="G228" s="1202"/>
    </row>
    <row r="229" spans="1:8" x14ac:dyDescent="0.25">
      <c r="A229" s="817"/>
      <c r="B229" s="1202" t="s">
        <v>517</v>
      </c>
      <c r="C229" s="1198">
        <f ca="1">SUMIFS(INDIRECT("Report!F100:F10000"),INDIRECT("Report!B100:B10000"),B229,INDIRECT("report!H100:H10000"),"Service",INDIRECT("Report!L100:L10000"),"21,12")</f>
        <v>1606000</v>
      </c>
      <c r="D229" s="1199">
        <f ca="1">(C229/11*10)</f>
        <v>1460000</v>
      </c>
      <c r="E229" s="1198">
        <f ca="1">SUMIFS(INDIRECT("Report!J100:J10000"),INDIRECT("Report!B100:B10000"),B229,INDIRECT("report!H100:H10000"),"Service",INDIRECT("Report!L100:L10000"),"21,12")</f>
        <v>600000</v>
      </c>
      <c r="F229" s="1202"/>
      <c r="G229" s="1202"/>
    </row>
    <row r="230" spans="1:8" x14ac:dyDescent="0.25">
      <c r="A230" s="817"/>
      <c r="B230" s="1202" t="s">
        <v>1478</v>
      </c>
      <c r="C230" s="1198">
        <f ca="1">SUMIFS(INDIRECT("Report!F100:F10000"),INDIRECT("Report!B100:B10000"),B230,INDIRECT("report!H100:H10000"),"Service",INDIRECT("Report!L100:L10000"),"21,12")</f>
        <v>616000</v>
      </c>
      <c r="D230" s="1199">
        <f ca="1">(C230/11*10)</f>
        <v>560000</v>
      </c>
      <c r="E230" s="1198">
        <f ca="1">SUMIFS(INDIRECT("Report!J100:J10000"),INDIRECT("Report!B100:B10000"),B230,INDIRECT("report!H100:H10000"),"Service",INDIRECT("Report!L100:L10000"),"21,12")</f>
        <v>0</v>
      </c>
      <c r="F230" s="1202"/>
      <c r="G230" s="1202"/>
    </row>
    <row r="231" spans="1:8" x14ac:dyDescent="0.25">
      <c r="A231" s="817"/>
      <c r="B231" s="1202" t="s">
        <v>2299</v>
      </c>
      <c r="C231" s="1198">
        <f ca="1">SUMIFS(INDIRECT("Report!F100:F10000"),INDIRECT("Report!B100:B10000"),B231,INDIRECT("report!H100:H10000"),"Service",INDIRECT("Report!L100:L10000"),"21,12")</f>
        <v>308000</v>
      </c>
      <c r="D231" s="1199">
        <f ca="1">(C231/11*10)</f>
        <v>280000</v>
      </c>
      <c r="E231" s="1198">
        <f ca="1">SUMIFS(INDIRECT("Report!J100:J10000"),INDIRECT("Report!B100:B10000"),B231,INDIRECT("report!H100:H10000"),"Service",INDIRECT("Report!L100:L10000"),"21,12")</f>
        <v>0</v>
      </c>
      <c r="F231" s="1202"/>
      <c r="G231" s="1202"/>
    </row>
    <row r="232" spans="1:8" x14ac:dyDescent="0.25">
      <c r="A232" s="293"/>
      <c r="B232" s="277" t="s">
        <v>3215</v>
      </c>
      <c r="C232" s="278">
        <f ca="1">SUM(C228:C231)</f>
        <v>2530000</v>
      </c>
      <c r="D232" s="278">
        <f ca="1">SUM(D228:D231)</f>
        <v>2300000</v>
      </c>
      <c r="E232" s="278">
        <f ca="1">SUM(E228:E231)</f>
        <v>600000</v>
      </c>
      <c r="F232" s="1201">
        <f ca="1">E232/D232</f>
        <v>0.2608695652173913</v>
      </c>
      <c r="G232" s="336">
        <f>SUM(G224:G227)</f>
        <v>0</v>
      </c>
    </row>
    <row r="233" spans="1:8" x14ac:dyDescent="0.25">
      <c r="A233" s="798" t="s">
        <v>3378</v>
      </c>
      <c r="B233" s="1202"/>
      <c r="C233" s="1198"/>
      <c r="D233" s="1199"/>
      <c r="E233" s="1198"/>
      <c r="F233" s="1202"/>
      <c r="G233" s="1202"/>
    </row>
    <row r="234" spans="1:8" x14ac:dyDescent="0.25">
      <c r="A234" s="817"/>
      <c r="B234" s="1202" t="s">
        <v>517</v>
      </c>
      <c r="C234" s="1198">
        <f ca="1">SUMIFS(INDIRECT("Report!F100:F10000"),INDIRECT("Report!B100:B10000"),B234,INDIRECT("report!H100:H10000"),"Service",INDIRECT("Report!L100:L10000"),"22,4")</f>
        <v>2887500.0000000005</v>
      </c>
      <c r="D234" s="1199">
        <f ca="1">(C234/11*10)</f>
        <v>2625000.0000000005</v>
      </c>
      <c r="E234" s="1198">
        <f ca="1">SUMIFS(INDIRECT("Report!J100:J10000"),INDIRECT("Report!B100:B10000"),B234,INDIRECT("report!H100:H10000"),"Service",INDIRECT("Report!L100:L10000"),"22,4")</f>
        <v>1625000</v>
      </c>
      <c r="F234" s="1202"/>
      <c r="G234" s="1202"/>
    </row>
    <row r="235" spans="1:8" x14ac:dyDescent="0.25">
      <c r="A235" s="817"/>
      <c r="B235" s="1202" t="s">
        <v>765</v>
      </c>
      <c r="C235" s="1198">
        <f ca="1">SUMIFS(INDIRECT("Report!F100:F10000"),INDIRECT("Report!B100:B10000"),B235,INDIRECT("report!H100:H10000"),"Service",INDIRECT("Report!L100:L10000"),"22,4")</f>
        <v>5423000</v>
      </c>
      <c r="D235" s="1199">
        <f ca="1">(C235/11*10)</f>
        <v>4930000</v>
      </c>
      <c r="E235" s="1198">
        <f ca="1">SUMIFS(INDIRECT("Report!J100:J10000"),INDIRECT("Report!B100:B10000"),B235,INDIRECT("report!H100:H10000"),"Service",INDIRECT("Report!L100:L10000"),"22,4")</f>
        <v>1430000</v>
      </c>
      <c r="F235" s="1202"/>
      <c r="G235" s="1202"/>
    </row>
    <row r="236" spans="1:8" x14ac:dyDescent="0.25">
      <c r="A236" s="293"/>
      <c r="B236" s="277">
        <v>22.04</v>
      </c>
      <c r="C236" s="278">
        <f ca="1">SUM(C233:C235)</f>
        <v>8310500</v>
      </c>
      <c r="D236" s="278">
        <f ca="1">SUM(D233:D235)</f>
        <v>7555000</v>
      </c>
      <c r="E236" s="278">
        <f ca="1">SUM(E233:E235)</f>
        <v>3055000</v>
      </c>
      <c r="F236" s="1201">
        <f ca="1">E236/D236</f>
        <v>0.40436796823295829</v>
      </c>
      <c r="G236" s="336">
        <f>SUM(G229:G232)</f>
        <v>0</v>
      </c>
    </row>
    <row r="237" spans="1:8" x14ac:dyDescent="0.25">
      <c r="A237" s="798" t="s">
        <v>3415</v>
      </c>
      <c r="B237" s="1202"/>
      <c r="C237" s="1198"/>
      <c r="D237" s="1199"/>
      <c r="E237" s="1198"/>
      <c r="F237" s="1202"/>
      <c r="G237" s="1202"/>
    </row>
    <row r="238" spans="1:8" x14ac:dyDescent="0.25">
      <c r="A238" s="817"/>
      <c r="B238" s="1202" t="s">
        <v>517</v>
      </c>
      <c r="C238" s="1198">
        <f ca="1">SUMIFS(INDIRECT("Report!F100:F10000"),INDIRECT("Report!B100:B10000"),B238,INDIRECT("report!H100:H10000"),"Service",INDIRECT("Report!L100:L10000"),"22,5")</f>
        <v>16022600.000000002</v>
      </c>
      <c r="D238" s="1199">
        <f ca="1">(C238/11*10)</f>
        <v>14566000.000000002</v>
      </c>
      <c r="E238" s="1198">
        <f ca="1">SUMIFS(INDIRECT("Report!J100:J10000"),INDIRECT("Report!B100:B10000"),B238,INDIRECT("report!H100:H10000"),"Service",INDIRECT("Report!L100:L10000"),"22,5")</f>
        <v>2050000</v>
      </c>
      <c r="F238" s="1202"/>
      <c r="G238" s="1202"/>
    </row>
    <row r="239" spans="1:8" x14ac:dyDescent="0.25">
      <c r="A239" s="293"/>
      <c r="B239" s="277">
        <v>22.05</v>
      </c>
      <c r="C239" s="278">
        <f ca="1">SUM(C237:C238)</f>
        <v>16022600.000000002</v>
      </c>
      <c r="D239" s="278">
        <f ca="1">SUM(D237:D238)</f>
        <v>14566000.000000002</v>
      </c>
      <c r="E239" s="278">
        <f ca="1">SUM(E237:E238)</f>
        <v>2050000</v>
      </c>
      <c r="F239" s="1201">
        <f ca="1">E239/D239</f>
        <v>0.14073870657696003</v>
      </c>
      <c r="G239" s="336">
        <f>SUM(G233:G236)</f>
        <v>0</v>
      </c>
    </row>
    <row r="240" spans="1:8" x14ac:dyDescent="0.25">
      <c r="A240" s="798" t="s">
        <v>3428</v>
      </c>
      <c r="B240" s="1202"/>
      <c r="C240" s="1198"/>
      <c r="D240" s="1199"/>
      <c r="E240" s="1198"/>
      <c r="F240" s="1202"/>
      <c r="G240" s="1202"/>
    </row>
    <row r="241" spans="1:7" x14ac:dyDescent="0.25">
      <c r="A241" s="817"/>
      <c r="B241" s="1202" t="s">
        <v>517</v>
      </c>
      <c r="C241" s="1198">
        <f ca="1">SUMIFS(INDIRECT("Report!F100:F10000"),INDIRECT("Report!B100:B10000"),B241,INDIRECT("report!H100:H10000"),"Service",INDIRECT("Report!L100:L10000"),"22,6")</f>
        <v>2887500.0000000005</v>
      </c>
      <c r="D241" s="1199">
        <f ca="1">(C241/11*10)</f>
        <v>2625000.0000000005</v>
      </c>
      <c r="E241" s="1198">
        <f ca="1">SUMIFS(INDIRECT("Report!J100:J10000"),INDIRECT("Report!B100:B10000"),B241,INDIRECT("report!H100:H10000"),"Service",INDIRECT("Report!L100:L10000"),"22,6")</f>
        <v>1625000</v>
      </c>
      <c r="F241" s="1202"/>
      <c r="G241" s="1202"/>
    </row>
    <row r="242" spans="1:7" x14ac:dyDescent="0.25">
      <c r="A242" s="293"/>
      <c r="B242" s="277">
        <v>22.06</v>
      </c>
      <c r="C242" s="278">
        <f ca="1">SUM(C240:C241)</f>
        <v>2887500.0000000005</v>
      </c>
      <c r="D242" s="278">
        <f ca="1">SUM(D240:D241)</f>
        <v>2625000.0000000005</v>
      </c>
      <c r="E242" s="278">
        <f ca="1">SUM(E240:E241)</f>
        <v>1625000</v>
      </c>
      <c r="F242" s="1201">
        <f ca="1">E242/D242</f>
        <v>0.61904761904761896</v>
      </c>
      <c r="G242" s="336">
        <f>SUM(G236:G239)</f>
        <v>0</v>
      </c>
    </row>
    <row r="243" spans="1:7" x14ac:dyDescent="0.25">
      <c r="A243" s="798" t="s">
        <v>3449</v>
      </c>
      <c r="B243" s="1202"/>
      <c r="C243" s="1198"/>
      <c r="D243" s="1199"/>
      <c r="E243" s="1198"/>
      <c r="F243" s="1202"/>
      <c r="G243" s="1202"/>
    </row>
    <row r="244" spans="1:7" x14ac:dyDescent="0.25">
      <c r="A244" s="817"/>
      <c r="B244" s="1202" t="s">
        <v>508</v>
      </c>
      <c r="C244" s="1198">
        <f ca="1">SUMIFS(INDIRECT("Report!F100:F10000"),INDIRECT("Report!B100:B10000"),B244,INDIRECT("report!H100:H10000"),"Service",INDIRECT("Report!L100:L10000"),"22,7")</f>
        <v>0</v>
      </c>
      <c r="D244" s="1199">
        <f ca="1">(C244/11*10)</f>
        <v>0</v>
      </c>
      <c r="E244" s="1198">
        <f ca="1">SUMIFS(INDIRECT("Report!J100:J10000"),INDIRECT("Report!B100:B10000"),B244,INDIRECT("report!H100:H10000"),"Service",INDIRECT("Report!L100:L10000"),"22,7")</f>
        <v>0</v>
      </c>
      <c r="F244" s="1202"/>
      <c r="G244" s="1202"/>
    </row>
    <row r="245" spans="1:7" x14ac:dyDescent="0.25">
      <c r="A245" s="817"/>
      <c r="B245" s="1202" t="s">
        <v>3450</v>
      </c>
      <c r="C245" s="1198">
        <f ca="1">SUMIFS(INDIRECT("Report!F100:F10000"),INDIRECT("Report!B100:B10000"),B245,INDIRECT("report!H100:H10000"),"Service",INDIRECT("Report!L100:L10000"),"22,7")</f>
        <v>9900000</v>
      </c>
      <c r="D245" s="1199">
        <f ca="1">(C245/11*10)</f>
        <v>9000000</v>
      </c>
      <c r="E245" s="1198">
        <f ca="1">SUMIFS(INDIRECT("Report!J100:J10000"),INDIRECT("Report!B100:B10000"),B245,INDIRECT("report!H100:H10000"),"Service",INDIRECT("Report!L100:L10000"),"22,7")</f>
        <v>317200</v>
      </c>
      <c r="F245" s="1202"/>
      <c r="G245" s="1202"/>
    </row>
    <row r="246" spans="1:7" x14ac:dyDescent="0.25">
      <c r="A246" s="817"/>
      <c r="B246" s="1202" t="s">
        <v>3042</v>
      </c>
      <c r="C246" s="1198">
        <f ca="1">SUMIFS(INDIRECT("Report!F100:F10000"),INDIRECT("Report!B100:B10000"),B246,INDIRECT("report!H100:H10000"),"Service",INDIRECT("Report!L100:L10000"),"22,7")</f>
        <v>1100000</v>
      </c>
      <c r="D246" s="1199">
        <f ca="1">(C246/11*10)</f>
        <v>1000000</v>
      </c>
      <c r="E246" s="1198">
        <f ca="1">SUMIFS(INDIRECT("Report!J100:J10000"),INDIRECT("Report!B100:B10000"),B246,INDIRECT("report!H100:H10000"),"Service",INDIRECT("Report!L100:L10000"),"22,7")</f>
        <v>1000000</v>
      </c>
      <c r="F246" s="1202"/>
      <c r="G246" s="1202"/>
    </row>
    <row r="247" spans="1:7" x14ac:dyDescent="0.25">
      <c r="A247" s="817"/>
      <c r="B247" s="1202" t="s">
        <v>767</v>
      </c>
      <c r="C247" s="1198">
        <f ca="1">SUMIFS(INDIRECT("Report!F100:F10000"),INDIRECT("Report!B100:B10000"),B247,INDIRECT("report!H100:H10000"),"Service",INDIRECT("Report!L100:L10000"),"22,7")</f>
        <v>308000</v>
      </c>
      <c r="D247" s="1199">
        <f ca="1">(C247/11*10)</f>
        <v>280000</v>
      </c>
      <c r="E247" s="1198">
        <f ca="1">SUMIFS(INDIRECT("Report!J100:J10000"),INDIRECT("Report!B100:B10000"),B247,INDIRECT("report!H100:H10000"),"Service",INDIRECT("Report!L100:L10000"),"22,7")</f>
        <v>280000</v>
      </c>
      <c r="F247" s="1202"/>
      <c r="G247" s="1202"/>
    </row>
    <row r="248" spans="1:7" x14ac:dyDescent="0.25">
      <c r="A248" s="293"/>
      <c r="B248" s="277">
        <v>22.07</v>
      </c>
      <c r="C248" s="278">
        <f ca="1">SUM(C243:C247)</f>
        <v>11308000</v>
      </c>
      <c r="D248" s="278">
        <f ca="1">SUM(D243:D247)</f>
        <v>10280000</v>
      </c>
      <c r="E248" s="278">
        <f ca="1">SUM(E243:E247)</f>
        <v>1597200</v>
      </c>
      <c r="F248" s="1201">
        <f ca="1">E248/D248</f>
        <v>0.15536964980544746</v>
      </c>
      <c r="G248" s="336">
        <f>SUM(G239:G242)</f>
        <v>0</v>
      </c>
    </row>
    <row r="249" spans="1:7" x14ac:dyDescent="0.25">
      <c r="A249" s="798" t="s">
        <v>3466</v>
      </c>
      <c r="B249" s="1202"/>
      <c r="C249" s="1198"/>
      <c r="D249" s="1199"/>
      <c r="E249" s="1198"/>
      <c r="F249" s="1202"/>
      <c r="G249" s="1202"/>
    </row>
    <row r="250" spans="1:7" x14ac:dyDescent="0.25">
      <c r="A250" s="817"/>
      <c r="B250" s="1202" t="s">
        <v>517</v>
      </c>
      <c r="C250" s="1198">
        <f ca="1">SUMIFS(INDIRECT("Report!F100:F10000"),INDIRECT("Report!B100:B10000"),B250,INDIRECT("report!H100:H10000"),"Service",INDIRECT("Report!L100:L10000"),"22,8")</f>
        <v>2887500.0000000005</v>
      </c>
      <c r="D250" s="1199">
        <f ca="1">(C250/11*10)</f>
        <v>2625000.0000000005</v>
      </c>
      <c r="E250" s="1198">
        <f ca="1">SUMIFS(INDIRECT("Report!J100:J10000"),INDIRECT("Report!B100:B10000"),B250,INDIRECT("report!H100:H10000"),"Service",INDIRECT("Report!L100:L10000"),"22,8")</f>
        <v>2625000</v>
      </c>
      <c r="F250" s="1202"/>
      <c r="G250" s="1202"/>
    </row>
    <row r="251" spans="1:7" x14ac:dyDescent="0.25">
      <c r="A251" s="293"/>
      <c r="B251" s="277">
        <v>22.08</v>
      </c>
      <c r="C251" s="278">
        <f ca="1">SUM(C249:C250)</f>
        <v>2887500.0000000005</v>
      </c>
      <c r="D251" s="278">
        <f ca="1">SUM(D249:D250)</f>
        <v>2625000.0000000005</v>
      </c>
      <c r="E251" s="278">
        <f ca="1">SUM(E249:E250)</f>
        <v>2625000</v>
      </c>
      <c r="F251" s="1201">
        <f ca="1">E251/D251</f>
        <v>0.99999999999999978</v>
      </c>
      <c r="G251" s="336">
        <f>SUM(G245:G248)</f>
        <v>0</v>
      </c>
    </row>
    <row r="252" spans="1:7" x14ac:dyDescent="0.25">
      <c r="A252" s="798" t="s">
        <v>3494</v>
      </c>
      <c r="B252" s="1202"/>
      <c r="C252" s="1198"/>
      <c r="D252" s="1199"/>
      <c r="E252" s="1198"/>
      <c r="F252" s="1202"/>
      <c r="G252" s="1202"/>
    </row>
    <row r="253" spans="1:7" x14ac:dyDescent="0.25">
      <c r="A253" s="817"/>
      <c r="B253" s="1202" t="s">
        <v>517</v>
      </c>
      <c r="C253" s="1198">
        <f ca="1">SUMIFS(INDIRECT("Report!F100:F10000"),INDIRECT("Report!B100:B10000"),B253,INDIRECT("report!H100:H10000"),"Service",INDIRECT("Report!L100:L10000"),"22,10")</f>
        <v>2887500.0000000005</v>
      </c>
      <c r="D253" s="1199">
        <f ca="1">(C253/11*10)</f>
        <v>2625000.0000000005</v>
      </c>
      <c r="E253" s="1198">
        <f ca="1">SUMIFS(INDIRECT("Report!J100:J10000"),INDIRECT("Report!B100:B10000"),B253,INDIRECT("report!H100:H10000"),"Service",INDIRECT("Report!L100:L10000"),"22,10")</f>
        <v>2625000</v>
      </c>
      <c r="F253" s="1202"/>
      <c r="G253" s="1202"/>
    </row>
    <row r="254" spans="1:7" x14ac:dyDescent="0.25">
      <c r="A254" s="293"/>
      <c r="B254" s="277" t="s">
        <v>3676</v>
      </c>
      <c r="C254" s="278">
        <f ca="1">SUM(C252:C253)</f>
        <v>2887500.0000000005</v>
      </c>
      <c r="D254" s="278">
        <f ca="1">SUM(D252:D253)</f>
        <v>2625000.0000000005</v>
      </c>
      <c r="E254" s="278">
        <f ca="1">SUM(E252:E253)</f>
        <v>2625000</v>
      </c>
      <c r="F254" s="1201">
        <f ca="1">E254/D254</f>
        <v>0.99999999999999978</v>
      </c>
      <c r="G254" s="336">
        <f>SUM(G248:G251)</f>
        <v>0</v>
      </c>
    </row>
    <row r="255" spans="1:7" x14ac:dyDescent="0.25">
      <c r="A255" s="798" t="s">
        <v>3633</v>
      </c>
      <c r="B255" s="1202"/>
      <c r="C255" s="1198"/>
      <c r="D255" s="1199"/>
      <c r="E255" s="1198"/>
      <c r="F255" s="1202"/>
      <c r="G255" s="1202"/>
    </row>
    <row r="256" spans="1:7" x14ac:dyDescent="0.25">
      <c r="A256" s="817"/>
      <c r="B256" s="1202" t="s">
        <v>2360</v>
      </c>
      <c r="C256" s="1198">
        <f ca="1">SUMIFS(INDIRECT("Report!F100:F10000"),INDIRECT("Report!B100:B10000"),B256,INDIRECT("report!H100:H10000"),"Service",INDIRECT("Report!L100:L10000"),"23,1")</f>
        <v>1226500</v>
      </c>
      <c r="D256" s="1199">
        <f ca="1">(C256/11*10)</f>
        <v>1115000</v>
      </c>
      <c r="E256" s="1198">
        <f ca="1">SUMIFS(INDIRECT("Report!J100:J10000"),INDIRECT("Report!B100:B10000"),B256,INDIRECT("report!H100:H10000"),"Service",INDIRECT("Report!L100:L10000"),"23,1")</f>
        <v>415000</v>
      </c>
      <c r="F256" s="1202"/>
      <c r="G256" s="1202"/>
    </row>
    <row r="257" spans="1:7" x14ac:dyDescent="0.25">
      <c r="A257" s="293"/>
      <c r="B257" s="277" t="s">
        <v>3675</v>
      </c>
      <c r="C257" s="278">
        <f ca="1">SUM(C255:C256)</f>
        <v>1226500</v>
      </c>
      <c r="D257" s="278">
        <f ca="1">SUM(D255:D256)</f>
        <v>1115000</v>
      </c>
      <c r="E257" s="278">
        <f ca="1">SUM(E255:E256)</f>
        <v>415000</v>
      </c>
      <c r="F257" s="1201">
        <f ca="1">E257/D257</f>
        <v>0.37219730941704038</v>
      </c>
      <c r="G257" s="336">
        <f>SUM(G251:G254)</f>
        <v>0</v>
      </c>
    </row>
    <row r="258" spans="1:7" x14ac:dyDescent="0.25">
      <c r="A258" s="798" t="s">
        <v>3677</v>
      </c>
      <c r="B258" s="1202"/>
      <c r="C258" s="1198"/>
      <c r="D258" s="1199"/>
      <c r="E258" s="1198"/>
      <c r="F258" s="1202"/>
      <c r="G258" s="1202"/>
    </row>
    <row r="259" spans="1:7" x14ac:dyDescent="0.25">
      <c r="A259" s="817"/>
      <c r="B259" s="1202" t="s">
        <v>3042</v>
      </c>
      <c r="C259" s="1198">
        <f ca="1">SUMIFS(INDIRECT("Report!F100:F10000"),INDIRECT("Report!B100:B10000"),B259,INDIRECT("report!H100:H10000"),"Service",INDIRECT("Report!L100:L10000"),"23,2")</f>
        <v>1100000</v>
      </c>
      <c r="D259" s="1199">
        <f ca="1">(C259/11*10)</f>
        <v>1000000</v>
      </c>
      <c r="E259" s="1198">
        <f ca="1">SUMIFS(INDIRECT("Report!J100:J10000"),INDIRECT("Report!B100:B10000"),B259,INDIRECT("report!H100:H10000"),"Service",INDIRECT("Report!L100:L10000"),"23,2")</f>
        <v>0</v>
      </c>
      <c r="F259" s="1202"/>
      <c r="G259" s="1202"/>
    </row>
    <row r="260" spans="1:7" x14ac:dyDescent="0.25">
      <c r="A260" s="293"/>
      <c r="B260" s="277" t="s">
        <v>3693</v>
      </c>
      <c r="C260" s="278">
        <f ca="1">SUM(C258:C259)</f>
        <v>1100000</v>
      </c>
      <c r="D260" s="278">
        <f ca="1">SUM(D258:D259)</f>
        <v>1000000</v>
      </c>
      <c r="E260" s="278">
        <f ca="1">SUM(E258:E259)</f>
        <v>0</v>
      </c>
      <c r="F260" s="1201">
        <f ca="1">E260/D260</f>
        <v>0</v>
      </c>
      <c r="G260" s="336">
        <f>SUM(G254:G257)</f>
        <v>0</v>
      </c>
    </row>
    <row r="261" spans="1:7" x14ac:dyDescent="0.25">
      <c r="A261" s="798" t="s">
        <v>3715</v>
      </c>
      <c r="B261" s="1202"/>
      <c r="C261" s="1198"/>
      <c r="D261" s="1199"/>
      <c r="E261" s="1198"/>
      <c r="F261" s="1202"/>
      <c r="G261" s="1202"/>
    </row>
    <row r="262" spans="1:7" x14ac:dyDescent="0.25">
      <c r="A262" s="817"/>
      <c r="B262" s="1202" t="s">
        <v>517</v>
      </c>
      <c r="C262" s="1198">
        <f ca="1">SUMIFS(INDIRECT("Report!F100:F10000"),INDIRECT("Report!B100:B10000"),B262,INDIRECT("report!H100:H10000"),"Service",INDIRECT("Report!L100:L10000"),"23,4")</f>
        <v>2887500.0000000005</v>
      </c>
      <c r="D262" s="1199">
        <f ca="1">(C262/11*10)</f>
        <v>2625000.0000000005</v>
      </c>
      <c r="E262" s="1198">
        <f ca="1">SUMIFS(INDIRECT("Report!J100:J10000"),INDIRECT("Report!B100:B10000"),B262,INDIRECT("report!H100:H10000"),"Service",INDIRECT("Report!L100:L10000"),"23,4")</f>
        <v>0</v>
      </c>
      <c r="F262" s="1202"/>
      <c r="G262" s="228" t="s">
        <v>2966</v>
      </c>
    </row>
    <row r="263" spans="1:7" x14ac:dyDescent="0.25">
      <c r="A263" s="293"/>
      <c r="B263" s="277" t="s">
        <v>3745</v>
      </c>
      <c r="C263" s="278">
        <f ca="1">SUM(C261:C262)</f>
        <v>2887500.0000000005</v>
      </c>
      <c r="D263" s="278">
        <f ca="1">SUM(D261:D262)</f>
        <v>2625000.0000000005</v>
      </c>
      <c r="E263" s="278">
        <f ca="1">SUM(E261:E262)</f>
        <v>0</v>
      </c>
      <c r="F263" s="1201">
        <f ca="1">E263/D263</f>
        <v>0</v>
      </c>
      <c r="G263" s="336">
        <f>SUM(G257:G260)</f>
        <v>0</v>
      </c>
    </row>
    <row r="264" spans="1:7" x14ac:dyDescent="0.25">
      <c r="A264" s="798" t="s">
        <v>3746</v>
      </c>
      <c r="B264" s="1202"/>
      <c r="C264" s="1198"/>
      <c r="D264" s="1199"/>
      <c r="E264" s="1198"/>
      <c r="F264" s="1202"/>
      <c r="G264" s="1202"/>
    </row>
    <row r="265" spans="1:7" x14ac:dyDescent="0.25">
      <c r="A265" s="817"/>
      <c r="B265" s="1202" t="s">
        <v>3042</v>
      </c>
      <c r="C265" s="1198">
        <f ca="1">SUMIFS(INDIRECT("Report!F100:F10000"),INDIRECT("Report!B100:B10000"),B265,INDIRECT("report!H100:H10000"),"Service",INDIRECT("Report!L100:L10000"),"23,5")</f>
        <v>1320000</v>
      </c>
      <c r="D265" s="1199">
        <f ca="1">(C265/11*10)</f>
        <v>1200000</v>
      </c>
      <c r="E265" s="1198">
        <f ca="1">SUMIFS(INDIRECT("Report!J100:J10000"),INDIRECT("Report!B100:B10000"),B265,INDIRECT("report!H100:H10000"),"Service",INDIRECT("Report!L100:L10000"),"23,5")</f>
        <v>0</v>
      </c>
      <c r="F265" s="1202"/>
    </row>
    <row r="266" spans="1:7" x14ac:dyDescent="0.25">
      <c r="A266" s="817"/>
      <c r="B266" s="1202" t="s">
        <v>2360</v>
      </c>
      <c r="C266" s="1198">
        <f ca="1">SUMIFS(INDIRECT("Report!F100:F10000"),INDIRECT("Report!B100:B10000"),B266,INDIRECT("report!H100:H10000"),"Service",INDIRECT("Report!L100:L10000"),"23,5")</f>
        <v>770000.00000000012</v>
      </c>
      <c r="D266" s="1199">
        <f ca="1">(C266/11*10)</f>
        <v>700000.00000000012</v>
      </c>
      <c r="E266" s="1198">
        <f ca="1">SUMIFS(INDIRECT("Report!J100:J10000"),INDIRECT("Report!B100:B10000"),B266,INDIRECT("report!H100:H10000"),"Service",INDIRECT("Report!L100:L10000"),"23,5")</f>
        <v>0</v>
      </c>
      <c r="F266" s="1202"/>
    </row>
    <row r="267" spans="1:7" x14ac:dyDescent="0.25">
      <c r="A267" s="817"/>
      <c r="B267" s="1202" t="s">
        <v>2299</v>
      </c>
      <c r="C267" s="1198">
        <f ca="1">SUMIFS(INDIRECT("Report!F100:F10000"),INDIRECT("Report!B100:B10000"),B267,INDIRECT("report!H100:H10000"),"Service",INDIRECT("Report!L100:L10000"),"23,5")</f>
        <v>4268000</v>
      </c>
      <c r="D267" s="1199">
        <f ca="1">(C267/11*10)</f>
        <v>3880000</v>
      </c>
      <c r="E267" s="1198">
        <f ca="1">SUMIFS(INDIRECT("Report!J100:J10000"),INDIRECT("Report!B100:B10000"),B267,INDIRECT("report!H100:H10000"),"Service",INDIRECT("Report!L100:L10000"),"23,5")</f>
        <v>0</v>
      </c>
      <c r="F267" s="1202"/>
    </row>
    <row r="268" spans="1:7" x14ac:dyDescent="0.25">
      <c r="A268" s="293"/>
      <c r="B268" s="277" t="s">
        <v>3774</v>
      </c>
      <c r="C268" s="278">
        <f ca="1">SUM(C264:C267)</f>
        <v>6358000</v>
      </c>
      <c r="D268" s="278">
        <f ca="1">SUM(D264:D267)</f>
        <v>5780000</v>
      </c>
      <c r="E268" s="278">
        <f ca="1">SUM(E264:E267)</f>
        <v>0</v>
      </c>
      <c r="F268" s="1201">
        <f ca="1">E268/D268</f>
        <v>0</v>
      </c>
      <c r="G268" s="336">
        <f>SUM(G260:G263)</f>
        <v>0</v>
      </c>
    </row>
    <row r="269" spans="1:7" x14ac:dyDescent="0.25">
      <c r="A269" s="798" t="s">
        <v>3776</v>
      </c>
      <c r="B269" s="1202"/>
      <c r="C269" s="1198"/>
      <c r="D269" s="1199"/>
      <c r="E269" s="1198"/>
      <c r="F269" s="1202"/>
      <c r="G269" s="1202"/>
    </row>
    <row r="270" spans="1:7" x14ac:dyDescent="0.25">
      <c r="A270" s="817"/>
      <c r="B270" s="1202" t="s">
        <v>517</v>
      </c>
      <c r="C270" s="1198">
        <f ca="1">SUMIFS(INDIRECT("Report!F100:F10000"),INDIRECT("Report!B100:B10000"),B270,INDIRECT("report!H100:H10000"),"Service",INDIRECT("Report!L100:L10000"),"23,6")</f>
        <v>2887500.0000000005</v>
      </c>
      <c r="D270" s="1199">
        <f ca="1">(C270/11*10)</f>
        <v>2625000.0000000005</v>
      </c>
      <c r="E270" s="1198">
        <f ca="1">SUMIFS(INDIRECT("Report!J100:J10000"),INDIRECT("Report!B100:B10000"),B270,INDIRECT("report!H100:H10000"),"Service",INDIRECT("Report!L100:L10000"),"23,5")</f>
        <v>0</v>
      </c>
      <c r="F270" s="1202"/>
      <c r="G270" s="228" t="s">
        <v>3043</v>
      </c>
    </row>
    <row r="271" spans="1:7" x14ac:dyDescent="0.25">
      <c r="A271" s="817"/>
      <c r="B271" s="1202" t="s">
        <v>508</v>
      </c>
      <c r="C271" s="1198">
        <f ca="1">SUMIFS(INDIRECT("Report!F100:F10000"),INDIRECT("Report!B100:B10000"),B271,INDIRECT("report!H100:H10000"),"Service",INDIRECT("Report!L100:L10000"),"23,6")</f>
        <v>1320000</v>
      </c>
      <c r="D271" s="1199">
        <f ca="1">(C271/11*10)</f>
        <v>1200000</v>
      </c>
      <c r="E271" s="1198">
        <f ca="1">SUMIFS(INDIRECT("Report!J100:J10000"),INDIRECT("Report!B100:B10000"),B271,INDIRECT("report!H100:H10000"),"Service",INDIRECT("Report!L100:L10000"),"23,5")</f>
        <v>0</v>
      </c>
      <c r="F271" s="1202"/>
    </row>
    <row r="272" spans="1:7" x14ac:dyDescent="0.25">
      <c r="A272" s="817"/>
      <c r="B272" s="1202" t="s">
        <v>2554</v>
      </c>
      <c r="C272" s="1198">
        <f ca="1">SUMIFS(INDIRECT("Report!F100:F10000"),INDIRECT("Report!B100:B10000"),B272,INDIRECT("report!H100:H10000"),"Service",INDIRECT("Report!L100:L10000"),"23,6")</f>
        <v>429000.00000000006</v>
      </c>
      <c r="D272" s="1199">
        <f ca="1">(C272/11*10)</f>
        <v>390000.00000000006</v>
      </c>
      <c r="E272" s="1198">
        <f ca="1">SUMIFS(INDIRECT("Report!J100:J10000"),INDIRECT("Report!B100:B10000"),B272,INDIRECT("report!H100:H10000"),"Service",INDIRECT("Report!L100:L10000"),"23,5")</f>
        <v>0</v>
      </c>
      <c r="F272" s="1202"/>
    </row>
    <row r="273" spans="1:7" x14ac:dyDescent="0.25">
      <c r="A273" s="293"/>
      <c r="B273" s="277" t="s">
        <v>3807</v>
      </c>
      <c r="C273" s="278">
        <f ca="1">SUM(C269:C272)</f>
        <v>4636500</v>
      </c>
      <c r="D273" s="278">
        <f ca="1">SUM(D269:D272)</f>
        <v>4215000.0000000009</v>
      </c>
      <c r="E273" s="278">
        <f ca="1">SUM(E269:E272)</f>
        <v>0</v>
      </c>
      <c r="F273" s="1201">
        <f ca="1">E273/D273</f>
        <v>0</v>
      </c>
      <c r="G273" s="336">
        <f>SUM(G265:G268)</f>
        <v>0</v>
      </c>
    </row>
    <row r="274" spans="1:7" x14ac:dyDescent="0.25">
      <c r="A274" s="798" t="s">
        <v>3809</v>
      </c>
      <c r="B274" s="1202"/>
      <c r="C274" s="1198"/>
      <c r="D274" s="1199"/>
      <c r="E274" s="1198"/>
      <c r="F274" s="1202"/>
      <c r="G274" s="1202"/>
    </row>
    <row r="275" spans="1:7" x14ac:dyDescent="0.25">
      <c r="A275" s="817"/>
      <c r="B275" s="1202" t="s">
        <v>2360</v>
      </c>
      <c r="C275" s="1198">
        <f ca="1">SUMIFS(INDIRECT("Report!F100:F10000"),INDIRECT("Report!B100:B10000"),B275,INDIRECT("report!H100:H10000"),"Service",INDIRECT("Report!L100:L10000"),"23,7")</f>
        <v>1408000</v>
      </c>
      <c r="D275" s="1199">
        <f ca="1">(C275/11*10)</f>
        <v>1280000</v>
      </c>
      <c r="E275" s="1198">
        <f ca="1">SUMIFS(INDIRECT("Report!J100:J10000"),INDIRECT("Report!B100:B10000"),B275,INDIRECT("report!H100:H10000"),"Service",INDIRECT("Report!L100:L10000"),"23,5")</f>
        <v>0</v>
      </c>
      <c r="F275" s="1202"/>
    </row>
    <row r="276" spans="1:7" x14ac:dyDescent="0.25">
      <c r="A276" s="293"/>
      <c r="B276" s="277" t="s">
        <v>3826</v>
      </c>
      <c r="C276" s="278">
        <f ca="1">SUM(C274:C275)</f>
        <v>1408000</v>
      </c>
      <c r="D276" s="278">
        <f ca="1">SUM(D274:D275)</f>
        <v>1280000</v>
      </c>
      <c r="E276" s="278">
        <f ca="1">SUM(E274:E275)</f>
        <v>0</v>
      </c>
      <c r="F276" s="1201">
        <f ca="1">E276/D276</f>
        <v>0</v>
      </c>
      <c r="G276" s="336">
        <f>SUM(G270:G273)</f>
        <v>0</v>
      </c>
    </row>
    <row r="277" spans="1:7" x14ac:dyDescent="0.25">
      <c r="A277" s="798" t="s">
        <v>3828</v>
      </c>
      <c r="B277" s="1202"/>
      <c r="C277" s="1198"/>
      <c r="D277" s="1199"/>
      <c r="E277" s="1198"/>
      <c r="F277" s="1202"/>
      <c r="G277" s="1202"/>
    </row>
    <row r="278" spans="1:7" x14ac:dyDescent="0.25">
      <c r="A278" s="817"/>
      <c r="B278" s="1202" t="s">
        <v>517</v>
      </c>
      <c r="C278" s="1198">
        <f ca="1">SUMIFS(INDIRECT("Report!F100:F10000"),INDIRECT("Report!B100:B10000"),B278,INDIRECT("report!H100:H10000"),"Service",INDIRECT("Report!L100:L10000"),"23,8")</f>
        <v>2887500.0000000005</v>
      </c>
      <c r="D278" s="1199">
        <f ca="1">(C278/11*10)</f>
        <v>2625000.0000000005</v>
      </c>
      <c r="E278" s="1198">
        <f ca="1">SUMIFS(INDIRECT("Report!J100:J10000"),INDIRECT("Report!B100:B10000"),B278,INDIRECT("report!H100:H10000"),"Service",INDIRECT("Report!L100:L10000"),"23,8")</f>
        <v>0</v>
      </c>
      <c r="F278" s="1202"/>
      <c r="G278" s="228" t="s">
        <v>3113</v>
      </c>
    </row>
    <row r="279" spans="1:7" x14ac:dyDescent="0.25">
      <c r="A279" s="293"/>
      <c r="B279" s="277" t="s">
        <v>3854</v>
      </c>
      <c r="C279" s="278">
        <f ca="1">SUM(C277:C278)</f>
        <v>2887500.0000000005</v>
      </c>
      <c r="D279" s="278">
        <f ca="1">SUM(D277:D278)</f>
        <v>2625000.0000000005</v>
      </c>
      <c r="E279" s="278">
        <f ca="1">SUM(E277:E278)</f>
        <v>0</v>
      </c>
      <c r="F279" s="1201">
        <f ca="1">E279/D279</f>
        <v>0</v>
      </c>
      <c r="G279" s="336">
        <f>SUM(G273:G276)</f>
        <v>0</v>
      </c>
    </row>
    <row r="280" spans="1:7" x14ac:dyDescent="0.25">
      <c r="A280" s="798" t="s">
        <v>3901</v>
      </c>
      <c r="B280" s="1202"/>
      <c r="C280" s="1198"/>
      <c r="D280" s="1199"/>
      <c r="E280" s="1198"/>
      <c r="F280" s="1202"/>
      <c r="G280" s="1202"/>
    </row>
    <row r="281" spans="1:7" x14ac:dyDescent="0.25">
      <c r="A281" s="817"/>
      <c r="B281" s="1202" t="s">
        <v>508</v>
      </c>
      <c r="C281" s="1198">
        <f ca="1">SUMIFS(INDIRECT("Report!F100:F10000"),INDIRECT("Report!B100:B10000"),B281,INDIRECT("report!H100:H10000"),"Service",INDIRECT("Report!L100:L10000"),"23,10")</f>
        <v>4180000.0000000005</v>
      </c>
      <c r="D281" s="1199">
        <f ca="1">(C281/11*10)</f>
        <v>3800000.0000000005</v>
      </c>
      <c r="E281" s="1198">
        <f ca="1">SUMIFS(INDIRECT("Report!J100:J10000"),INDIRECT("Report!B100:B10000"),B281,INDIRECT("report!H100:H10000"),"Service",INDIRECT("Report!L100:L10000"),"23,10")</f>
        <v>0</v>
      </c>
      <c r="F281" s="1202"/>
      <c r="G281" s="228" t="s">
        <v>2892</v>
      </c>
    </row>
    <row r="282" spans="1:7" x14ac:dyDescent="0.25">
      <c r="A282" s="817"/>
      <c r="B282" s="1202" t="s">
        <v>517</v>
      </c>
      <c r="C282" s="1198">
        <f ca="1">SUMIFS(INDIRECT("Report!F100:F10000"),INDIRECT("Report!B100:B10000"),B282,INDIRECT("report!H100:H10000"),"Service",INDIRECT("Report!L100:L10000"),"23,10")</f>
        <v>2887500.0000000005</v>
      </c>
      <c r="D282" s="1199">
        <f ca="1">(C282/11*10)</f>
        <v>2625000.0000000005</v>
      </c>
      <c r="E282" s="1198">
        <f ca="1">SUMIFS(INDIRECT("Report!J100:J10000"),INDIRECT("Report!B100:B10000"),B282,INDIRECT("report!H100:H10000"),"Service",INDIRECT("Report!L100:L10000"),"23,10")</f>
        <v>0</v>
      </c>
      <c r="F282" s="1202"/>
      <c r="G282" s="228" t="s">
        <v>3181</v>
      </c>
    </row>
    <row r="283" spans="1:7" x14ac:dyDescent="0.25">
      <c r="A283" s="293"/>
      <c r="B283" s="277" t="s">
        <v>3924</v>
      </c>
      <c r="C283" s="278">
        <f ca="1">SUM(C280:C282)</f>
        <v>7067500.0000000009</v>
      </c>
      <c r="D283" s="278">
        <f ca="1">SUM(D280:D282)</f>
        <v>6425000.0000000009</v>
      </c>
      <c r="E283" s="278">
        <f ca="1">SUM(E280:E282)</f>
        <v>0</v>
      </c>
      <c r="F283" s="1201">
        <f ca="1">E283/D283</f>
        <v>0</v>
      </c>
      <c r="G283" s="336">
        <f>SUM(G276:G279)</f>
        <v>0</v>
      </c>
    </row>
    <row r="284" spans="1:7" x14ac:dyDescent="0.25">
      <c r="A284" s="798" t="s">
        <v>3970</v>
      </c>
      <c r="B284" s="1202"/>
      <c r="C284" s="1198"/>
      <c r="D284" s="1199"/>
      <c r="E284" s="1198"/>
      <c r="F284" s="1202"/>
      <c r="G284" s="1202"/>
    </row>
    <row r="285" spans="1:7" x14ac:dyDescent="0.25">
      <c r="A285" s="817"/>
      <c r="B285" s="1202" t="s">
        <v>3042</v>
      </c>
      <c r="C285" s="1198">
        <f ca="1">SUMIFS(INDIRECT("Report!F100:F10000"),INDIRECT("Report!B100:B10000"),B285,INDIRECT("report!H100:H10000"),"Service",INDIRECT("Report!L100:L10000"),"23,12")</f>
        <v>770000.00000000012</v>
      </c>
      <c r="D285" s="1199">
        <f ca="1">(C285/11*10)</f>
        <v>700000.00000000012</v>
      </c>
      <c r="E285" s="1198">
        <f ca="1">SUMIFS(INDIRECT("Report!J100:J10000"),INDIRECT("Report!B100:B10000"),B285,INDIRECT("report!H100:H10000"),"Service",INDIRECT("Report!L100:L10000"),"23,10")</f>
        <v>0</v>
      </c>
      <c r="F285" s="1202"/>
    </row>
    <row r="286" spans="1:7" x14ac:dyDescent="0.25">
      <c r="A286" s="293"/>
      <c r="B286" s="277" t="s">
        <v>3996</v>
      </c>
      <c r="C286" s="278">
        <f ca="1">SUM(C284:C285)</f>
        <v>770000.00000000012</v>
      </c>
      <c r="D286" s="278">
        <f ca="1">SUM(D284:D285)</f>
        <v>700000.00000000012</v>
      </c>
      <c r="E286" s="278">
        <f ca="1">SUM(E284:E285)</f>
        <v>0</v>
      </c>
      <c r="F286" s="1201">
        <f ca="1">E286/D286</f>
        <v>0</v>
      </c>
      <c r="G286" s="336">
        <f>SUM(G280:G283)</f>
        <v>0</v>
      </c>
    </row>
    <row r="287" spans="1:7" x14ac:dyDescent="0.25">
      <c r="A287" s="798" t="s">
        <v>3998</v>
      </c>
      <c r="B287" s="1202"/>
      <c r="C287" s="1198"/>
      <c r="D287" s="1199"/>
      <c r="E287" s="1198"/>
      <c r="F287" s="1202"/>
      <c r="G287" s="1202"/>
    </row>
    <row r="288" spans="1:7" x14ac:dyDescent="0.25">
      <c r="A288" s="817"/>
      <c r="B288" s="1202" t="s">
        <v>2360</v>
      </c>
      <c r="C288" s="1198">
        <f ca="1">SUMIFS(INDIRECT("Report!F100:F10000"),INDIRECT("Report!B100:B10000"),B288,INDIRECT("report!H100:H10000"),"Service",INDIRECT("Report!L100:L10000"),"24,1")</f>
        <v>308000</v>
      </c>
      <c r="D288" s="1199">
        <f ca="1">(C288/11*10)</f>
        <v>280000</v>
      </c>
      <c r="E288" s="1198">
        <f ca="1">SUMIFS(INDIRECT("Report!J100:J10000"),INDIRECT("Report!B100:B10000"),B288,INDIRECT("report!H100:H10000"),"Service",INDIRECT("Report!L100:L10000"),"23,10")</f>
        <v>0</v>
      </c>
      <c r="F288" s="1202"/>
    </row>
    <row r="289" spans="1:7" x14ac:dyDescent="0.25">
      <c r="A289" s="293"/>
      <c r="B289" s="277" t="s">
        <v>4021</v>
      </c>
      <c r="C289" s="278">
        <f ca="1">SUM(C287:C288)</f>
        <v>308000</v>
      </c>
      <c r="D289" s="278">
        <f ca="1">SUM(D287:D288)</f>
        <v>280000</v>
      </c>
      <c r="E289" s="278">
        <f ca="1">SUM(E287:E288)</f>
        <v>0</v>
      </c>
      <c r="F289" s="1201">
        <f ca="1">E289/D289</f>
        <v>0</v>
      </c>
      <c r="G289" s="336">
        <f>SUM(G283:G286)</f>
        <v>0</v>
      </c>
    </row>
    <row r="290" spans="1:7" x14ac:dyDescent="0.25">
      <c r="A290" s="798" t="s">
        <v>4053</v>
      </c>
      <c r="B290" s="1202"/>
      <c r="C290" s="1198"/>
      <c r="D290" s="1199"/>
      <c r="E290" s="1198"/>
      <c r="F290" s="1202"/>
      <c r="G290" s="1202"/>
    </row>
    <row r="291" spans="1:7" x14ac:dyDescent="0.25">
      <c r="A291" s="817"/>
      <c r="B291" s="1202" t="s">
        <v>1283</v>
      </c>
      <c r="C291" s="1198">
        <f ca="1">SUMIFS(INDIRECT("Report!F100:F10000"),INDIRECT("Report!B100:B10000"),B291,INDIRECT("report!H100:H10000"),"Service",INDIRECT("Report!L100:L10000"),"24,3")</f>
        <v>33000000.000000004</v>
      </c>
      <c r="D291" s="1199">
        <f ca="1">(C291/11*10)</f>
        <v>30000000.000000004</v>
      </c>
      <c r="E291" s="1198">
        <f ca="1">SUMIFS(INDIRECT("Report!J100:J10000"),INDIRECT("Report!B100:B10000"),B291,INDIRECT("report!H100:H10000"),"Service",INDIRECT("Report!L100:L10000"),"23,10")</f>
        <v>0</v>
      </c>
      <c r="F291" s="1202"/>
      <c r="G291" s="228" t="s">
        <v>4080</v>
      </c>
    </row>
    <row r="292" spans="1:7" x14ac:dyDescent="0.25">
      <c r="A292" s="293"/>
      <c r="B292" s="277" t="s">
        <v>4117</v>
      </c>
      <c r="C292" s="278">
        <f ca="1">SUM(C290:C291)</f>
        <v>33000000.000000004</v>
      </c>
      <c r="D292" s="278">
        <f ca="1">SUM(D290:D291)</f>
        <v>30000000.000000004</v>
      </c>
      <c r="E292" s="278">
        <f ca="1">SUM(E290:E291)</f>
        <v>0</v>
      </c>
      <c r="F292" s="1201">
        <f ca="1">E292/D292</f>
        <v>0</v>
      </c>
      <c r="G292" s="336">
        <f>SUM(G286:G289)</f>
        <v>0</v>
      </c>
    </row>
    <row r="293" spans="1:7" x14ac:dyDescent="0.25">
      <c r="A293" s="798" t="s">
        <v>4081</v>
      </c>
      <c r="B293" s="1202"/>
      <c r="C293" s="1198"/>
      <c r="D293" s="1199"/>
      <c r="E293" s="1198"/>
      <c r="F293" s="1202"/>
      <c r="G293" s="1202"/>
    </row>
    <row r="294" spans="1:7" x14ac:dyDescent="0.25">
      <c r="A294" s="817"/>
      <c r="B294" s="1202" t="s">
        <v>517</v>
      </c>
      <c r="C294" s="1198">
        <f ca="1">SUMIFS(INDIRECT("Report!F100:F10000"),INDIRECT("Report!B100:B10000"),B294,INDIRECT("report!H100:H10000"),"Service",INDIRECT("Report!L100:L10000"),"24,4")</f>
        <v>2887500.0000000005</v>
      </c>
      <c r="D294" s="1199">
        <f ca="1">(C294/11*10)</f>
        <v>2625000.0000000005</v>
      </c>
      <c r="E294" s="1198">
        <f ca="1">SUMIFS(INDIRECT("Report!J100:J10000"),INDIRECT("Report!B100:B10000"),B294,INDIRECT("report!H100:H10000"),"Service",INDIRECT("Report!L100:L10000"),"24,4")</f>
        <v>2625000</v>
      </c>
      <c r="F294" s="1202"/>
      <c r="G294" s="228" t="s">
        <v>2966</v>
      </c>
    </row>
    <row r="295" spans="1:7" x14ac:dyDescent="0.25">
      <c r="A295" s="293"/>
      <c r="B295" s="277" t="s">
        <v>4118</v>
      </c>
      <c r="C295" s="278">
        <f ca="1">SUM(C293:C294)</f>
        <v>2887500.0000000005</v>
      </c>
      <c r="D295" s="278">
        <f ca="1">SUM(D293:D294)</f>
        <v>2625000.0000000005</v>
      </c>
      <c r="E295" s="278">
        <f ca="1">SUM(E293:E294)</f>
        <v>2625000</v>
      </c>
      <c r="F295" s="1201">
        <f ca="1">E295/D295</f>
        <v>0.99999999999999978</v>
      </c>
      <c r="G295" s="336">
        <f>SUM(G289:G292)</f>
        <v>0</v>
      </c>
    </row>
    <row r="296" spans="1:7" x14ac:dyDescent="0.25">
      <c r="A296" s="798" t="s">
        <v>4096</v>
      </c>
      <c r="B296" s="1202"/>
      <c r="C296" s="1198"/>
      <c r="D296" s="1199"/>
      <c r="E296" s="1198"/>
      <c r="F296" s="1202"/>
      <c r="G296" s="1202"/>
    </row>
    <row r="297" spans="1:7" x14ac:dyDescent="0.25">
      <c r="A297" s="817"/>
      <c r="B297" s="1202" t="s">
        <v>2299</v>
      </c>
      <c r="C297" s="1198">
        <f ca="1">SUMIFS(INDIRECT("Report!F100:F10000"),INDIRECT("Report!B100:B10000"),B297,INDIRECT("report!H100:H10000"),"Service",INDIRECT("Report!L100:L10000"),"24,5")</f>
        <v>3960000.0000000005</v>
      </c>
      <c r="D297" s="1199">
        <f ca="1">(C297/11*10)</f>
        <v>3600000.0000000005</v>
      </c>
      <c r="E297" s="1198">
        <f ca="1">SUMIFS(INDIRECT("Report!J100:J10000"),INDIRECT("Report!B100:B10000"),B297,INDIRECT("report!H100:H10000"),"Service",INDIRECT("Report!L100:L10000"),"24,5")</f>
        <v>600000</v>
      </c>
      <c r="F297" s="1202"/>
      <c r="G297" s="228" t="s">
        <v>2300</v>
      </c>
    </row>
    <row r="298" spans="1:7" x14ac:dyDescent="0.25">
      <c r="A298" s="293"/>
      <c r="B298" s="277" t="s">
        <v>4119</v>
      </c>
      <c r="C298" s="278">
        <f ca="1">SUM(C296:C297)</f>
        <v>3960000.0000000005</v>
      </c>
      <c r="D298" s="278">
        <f ca="1">SUM(D296:D297)</f>
        <v>3600000.0000000005</v>
      </c>
      <c r="E298" s="278">
        <f ca="1">SUM(E296:E297)</f>
        <v>600000</v>
      </c>
      <c r="F298" s="1201">
        <f ca="1">E298/D298</f>
        <v>0.16666666666666666</v>
      </c>
      <c r="G298" s="336">
        <f>SUM(G292:G295)</f>
        <v>0</v>
      </c>
    </row>
    <row r="299" spans="1:7" x14ac:dyDescent="0.25">
      <c r="A299" s="798" t="s">
        <v>4120</v>
      </c>
      <c r="B299" s="1202"/>
      <c r="C299" s="1198"/>
      <c r="D299" s="1199"/>
      <c r="E299" s="1198"/>
      <c r="F299" s="1202"/>
      <c r="G299" s="1202"/>
    </row>
    <row r="300" spans="1:7" x14ac:dyDescent="0.25">
      <c r="A300" s="817"/>
      <c r="B300" s="1202" t="s">
        <v>517</v>
      </c>
      <c r="C300" s="1198">
        <f ca="1">SUMIFS(INDIRECT("Report!F100:F10000"),INDIRECT("Report!B100:B10000"),B300,INDIRECT("report!H100:H10000"),"Service",INDIRECT("Report!L100:L10000"),"24,6")</f>
        <v>2887500.0000000005</v>
      </c>
      <c r="D300" s="1199">
        <f ca="1">(C300/11*10)</f>
        <v>2625000.0000000005</v>
      </c>
      <c r="E300" s="1198">
        <f ca="1">SUMIFS(INDIRECT("Report!J100:J10000"),INDIRECT("Report!B100:B10000"),B300,INDIRECT("report!H100:H10000"),"Service",INDIRECT("Report!L100:L10000"),"24,6")</f>
        <v>0</v>
      </c>
      <c r="F300" s="1202"/>
      <c r="G300" s="228" t="s">
        <v>3043</v>
      </c>
    </row>
    <row r="301" spans="1:7" x14ac:dyDescent="0.25">
      <c r="A301" s="817"/>
      <c r="B301" s="1202" t="s">
        <v>2554</v>
      </c>
      <c r="C301" s="1198">
        <f ca="1">SUMIFS(INDIRECT("Report!F100:F10000"),INDIRECT("Report!B100:B10000"),B301,INDIRECT("report!H100:H10000"),"Service",INDIRECT("Report!L100:L10000"),"24,6")</f>
        <v>32010000.000000004</v>
      </c>
      <c r="D301" s="1199">
        <f ca="1">(C301/11*10)</f>
        <v>29100000.000000004</v>
      </c>
      <c r="E301" s="1198">
        <f ca="1">SUMIFS(INDIRECT("Report!J100:J10000"),INDIRECT("Report!B100:B10000"),B301,INDIRECT("report!H100:H10000"),"Service",INDIRECT("Report!L100:L10000"),"24,6")</f>
        <v>4091685</v>
      </c>
      <c r="F301" s="1202"/>
      <c r="G301" s="228" t="s">
        <v>2300</v>
      </c>
    </row>
    <row r="302" spans="1:7" x14ac:dyDescent="0.25">
      <c r="A302" s="293"/>
      <c r="B302" s="277" t="s">
        <v>4146</v>
      </c>
      <c r="C302" s="278">
        <f ca="1">SUM(C299:C301)</f>
        <v>34897500.000000007</v>
      </c>
      <c r="D302" s="278">
        <f ca="1">SUM(D299:D301)</f>
        <v>31725000.000000004</v>
      </c>
      <c r="E302" s="278">
        <f ca="1">SUM(E299:E301)</f>
        <v>4091685</v>
      </c>
      <c r="F302" s="1201">
        <f ca="1">E302/D302</f>
        <v>0.12897352245862884</v>
      </c>
      <c r="G302" s="336">
        <f>SUM(G295:G298)</f>
        <v>0</v>
      </c>
    </row>
    <row r="303" spans="1:7" x14ac:dyDescent="0.25">
      <c r="A303" s="798" t="s">
        <v>4148</v>
      </c>
      <c r="B303" s="1202"/>
      <c r="C303" s="1198"/>
      <c r="D303" s="1199"/>
      <c r="E303" s="1198"/>
      <c r="F303" s="1202"/>
      <c r="G303" s="1202"/>
    </row>
    <row r="304" spans="1:7" x14ac:dyDescent="0.25">
      <c r="A304" s="817"/>
      <c r="B304" s="1202" t="s">
        <v>2299</v>
      </c>
      <c r="C304" s="1198">
        <f ca="1">SUMIFS(INDIRECT("Report!F100:F10000"),INDIRECT("Report!B100:B10000"),B304,INDIRECT("report!H100:H10000"),"Service",INDIRECT("Report!L100:L10000"),"24,7")</f>
        <v>4136000.0000000005</v>
      </c>
      <c r="D304" s="1199">
        <f ca="1">(C304/11*10)</f>
        <v>3760000.0000000005</v>
      </c>
      <c r="E304" s="1198">
        <f ca="1">SUMIFS(INDIRECT("Report!J100:J10000"),INDIRECT("Report!B100:B10000"),B304,INDIRECT("report!H100:H10000"),"Service",INDIRECT("Report!L100:L10000"),"24,7")</f>
        <v>1480000</v>
      </c>
      <c r="F304" s="1202"/>
    </row>
    <row r="305" spans="1:7" x14ac:dyDescent="0.25">
      <c r="A305" s="817"/>
      <c r="B305" s="1202" t="s">
        <v>508</v>
      </c>
      <c r="C305" s="1198">
        <f ca="1">SUMIFS(INDIRECT("Report!F100:F10000"),INDIRECT("Report!B100:B10000"),B305,INDIRECT("report!H100:H10000"),"Service",INDIRECT("Report!L100:L10000"),"24,7")</f>
        <v>12320000.000000002</v>
      </c>
      <c r="D305" s="1199">
        <f ca="1">(C305/11*10)</f>
        <v>11200000.000000002</v>
      </c>
      <c r="E305" s="1198">
        <f ca="1">SUMIFS(INDIRECT("Report!J100:J10000"),INDIRECT("Report!B100:B10000"),B305,INDIRECT("report!H100:H10000"),"Service",INDIRECT("Report!L100:L10000"),"24,7")</f>
        <v>1729000</v>
      </c>
      <c r="F305" s="1202"/>
      <c r="G305" s="228" t="s">
        <v>4168</v>
      </c>
    </row>
    <row r="306" spans="1:7" x14ac:dyDescent="0.25">
      <c r="A306" s="293"/>
      <c r="B306" s="277" t="s">
        <v>4169</v>
      </c>
      <c r="C306" s="278">
        <f ca="1">SUM(C303:C305)</f>
        <v>16456000.000000002</v>
      </c>
      <c r="D306" s="278">
        <f ca="1">SUM(D303:D305)</f>
        <v>14960000.000000002</v>
      </c>
      <c r="E306" s="278">
        <f ca="1">SUM(E303:E305)</f>
        <v>3209000</v>
      </c>
      <c r="F306" s="1201">
        <f ca="1">E306/D306</f>
        <v>0.21450534759358286</v>
      </c>
      <c r="G306" s="336">
        <f>SUM(G299:G302)</f>
        <v>0</v>
      </c>
    </row>
    <row r="307" spans="1:7" x14ac:dyDescent="0.25">
      <c r="A307" s="798" t="s">
        <v>4170</v>
      </c>
      <c r="B307" s="1202"/>
      <c r="C307" s="1198"/>
      <c r="D307" s="1199"/>
      <c r="E307" s="1198"/>
      <c r="F307" s="1202"/>
      <c r="G307" s="1202"/>
    </row>
    <row r="308" spans="1:7" x14ac:dyDescent="0.25">
      <c r="A308" s="817"/>
      <c r="B308" s="1202" t="s">
        <v>517</v>
      </c>
      <c r="C308" s="1198">
        <f ca="1">SUMIFS(INDIRECT("Report!F100:F10000"),INDIRECT("Report!B100:B10000"),B308,INDIRECT("report!H100:H10000"),"Service",INDIRECT("Report!L100:L10000"),"24,8")</f>
        <v>2887500.0000000005</v>
      </c>
      <c r="D308" s="1199">
        <f ca="1">(C308/11*10)</f>
        <v>2625000.0000000005</v>
      </c>
      <c r="E308" s="1198">
        <f ca="1">SUMIFS(INDIRECT("Report!J100:J10000"),INDIRECT("Report!B100:B10000"),B308,INDIRECT("report!H100:H10000"),"Service",INDIRECT("Report!L100:L10000"),"24,8")</f>
        <v>2625000</v>
      </c>
      <c r="F308" s="1202"/>
      <c r="G308" s="228" t="s">
        <v>3113</v>
      </c>
    </row>
    <row r="309" spans="1:7" x14ac:dyDescent="0.25">
      <c r="A309" s="293"/>
      <c r="B309" s="277" t="s">
        <v>4192</v>
      </c>
      <c r="C309" s="278">
        <f ca="1">SUM(C307:C308)</f>
        <v>2887500.0000000005</v>
      </c>
      <c r="D309" s="278">
        <f ca="1">SUM(D307:D308)</f>
        <v>2625000.0000000005</v>
      </c>
      <c r="E309" s="278">
        <f ca="1">SUM(E307:E308)</f>
        <v>2625000</v>
      </c>
      <c r="F309" s="1201">
        <f ca="1">E309/D309</f>
        <v>0.99999999999999978</v>
      </c>
      <c r="G309" s="336">
        <f>SUM(G303:G306)</f>
        <v>0</v>
      </c>
    </row>
    <row r="310" spans="1:7" x14ac:dyDescent="0.25">
      <c r="A310" s="798" t="s">
        <v>4208</v>
      </c>
      <c r="B310" s="1202"/>
      <c r="C310" s="1198"/>
      <c r="D310" s="1199"/>
      <c r="E310" s="1198"/>
      <c r="F310" s="1202"/>
      <c r="G310" s="1202"/>
    </row>
    <row r="311" spans="1:7" x14ac:dyDescent="0.25">
      <c r="A311" s="817"/>
      <c r="B311" s="1202" t="s">
        <v>517</v>
      </c>
      <c r="C311" s="1198">
        <f ca="1">SUMIFS(INDIRECT("Report!F100:F10000"),INDIRECT("Report!B100:B10000"),B311,INDIRECT("report!H100:H10000"),"Service",INDIRECT("Report!L100:L10000"),"24,10")</f>
        <v>2887500.0000000005</v>
      </c>
      <c r="D311" s="1199">
        <f ca="1">(C311/11*10)</f>
        <v>2625000.0000000005</v>
      </c>
      <c r="E311" s="1198">
        <f ca="1">SUMIFS(INDIRECT("Report!J100:J10000"),INDIRECT("Report!B100:B10000"),B311,INDIRECT("report!H100:H10000"),"Service",INDIRECT("Report!L100:L10000"),"24,10")</f>
        <v>2625000</v>
      </c>
      <c r="F311" s="1202"/>
      <c r="G311" s="228" t="s">
        <v>3181</v>
      </c>
    </row>
    <row r="312" spans="1:7" x14ac:dyDescent="0.25">
      <c r="A312" s="293"/>
      <c r="B312" s="277" t="s">
        <v>4272</v>
      </c>
      <c r="C312" s="278">
        <f ca="1">SUM(C310:C311)</f>
        <v>2887500.0000000005</v>
      </c>
      <c r="D312" s="278">
        <f ca="1">SUM(D310:D311)</f>
        <v>2625000.0000000005</v>
      </c>
      <c r="E312" s="278">
        <f ca="1">SUM(E310:E311)</f>
        <v>2625000</v>
      </c>
      <c r="F312" s="1201">
        <f ca="1">E312/D312</f>
        <v>0.99999999999999978</v>
      </c>
      <c r="G312" s="336">
        <f>SUM(G306:G309)</f>
        <v>0</v>
      </c>
    </row>
    <row r="313" spans="1:7" x14ac:dyDescent="0.25">
      <c r="A313" s="798" t="s">
        <v>4248</v>
      </c>
      <c r="B313" s="1202"/>
      <c r="C313" s="1198"/>
      <c r="D313" s="1199"/>
      <c r="E313" s="1198"/>
      <c r="F313" s="1202"/>
      <c r="G313" s="1202"/>
    </row>
    <row r="314" spans="1:7" x14ac:dyDescent="0.25">
      <c r="A314" s="817"/>
      <c r="B314" s="1202" t="s">
        <v>2360</v>
      </c>
      <c r="C314" s="1198">
        <f ca="1">SUMIFS(INDIRECT("Report!F100:F10000"),INDIRECT("Report!B100:B10000"),B314,INDIRECT("report!H100:H10000"),"Service",INDIRECT("Report!L100:L10000"),"24,12")</f>
        <v>429000.00000000006</v>
      </c>
      <c r="D314" s="1199">
        <f ca="1">(C314/11*10)</f>
        <v>390000.00000000006</v>
      </c>
      <c r="E314" s="1198">
        <f ca="1">SUMIFS(INDIRECT("Report!J100:J10000"),INDIRECT("Report!B100:B10000"),B314,INDIRECT("report!H100:H10000"),"Service",INDIRECT("Report!L100:L10000"),"24,12")</f>
        <v>0</v>
      </c>
      <c r="F314" s="1202"/>
    </row>
    <row r="315" spans="1:7" x14ac:dyDescent="0.25">
      <c r="A315" s="293"/>
      <c r="B315" s="277" t="s">
        <v>4273</v>
      </c>
      <c r="C315" s="278">
        <f ca="1">SUM(C313:C314)</f>
        <v>429000.00000000006</v>
      </c>
      <c r="D315" s="278">
        <f ca="1">SUM(D313:D314)</f>
        <v>390000.00000000006</v>
      </c>
      <c r="E315" s="278">
        <f ca="1">SUM(E313:E314)</f>
        <v>0</v>
      </c>
      <c r="F315" s="1201">
        <f ca="1">E315/D315</f>
        <v>0</v>
      </c>
      <c r="G315" s="336">
        <f>SUM(G309:G312)</f>
        <v>0</v>
      </c>
    </row>
    <row r="316" spans="1:7" x14ac:dyDescent="0.25">
      <c r="A316" s="798" t="s">
        <v>4346</v>
      </c>
      <c r="B316" s="1202"/>
      <c r="C316" s="1198"/>
      <c r="D316" s="1199"/>
      <c r="E316" s="1198"/>
      <c r="F316" s="1202"/>
      <c r="G316" s="1202"/>
    </row>
    <row r="317" spans="1:7" x14ac:dyDescent="0.25">
      <c r="A317" s="817"/>
      <c r="B317" s="1202" t="s">
        <v>517</v>
      </c>
      <c r="C317" s="1198">
        <f ca="1">SUMIFS(INDIRECT("Report!F100:F10000"),INDIRECT("Report!B100:B10000"),B317,INDIRECT("report!H100:H10000"),"Service",INDIRECT("Report!L100:L10000"),"25,4")</f>
        <v>2887500.0000000005</v>
      </c>
      <c r="D317" s="1199">
        <f ca="1">(C317/11*10)</f>
        <v>2625000.0000000005</v>
      </c>
      <c r="E317" s="1198">
        <f ca="1">SUMIFS(INDIRECT("Report!J100:J10000"),INDIRECT("Report!B100:B10000"),B317,INDIRECT("report!H100:H10000"),"Service",INDIRECT("Report!L100:L10000"),"24,12")</f>
        <v>0</v>
      </c>
      <c r="F317" s="1202"/>
    </row>
    <row r="318" spans="1:7" x14ac:dyDescent="0.25">
      <c r="A318" s="293"/>
      <c r="B318" s="277" t="s">
        <v>4355</v>
      </c>
      <c r="C318" s="278">
        <f ca="1">SUM(C316:C317)</f>
        <v>2887500.0000000005</v>
      </c>
      <c r="D318" s="278">
        <f ca="1">SUM(D316:D317)</f>
        <v>2625000.0000000005</v>
      </c>
      <c r="E318" s="278">
        <f ca="1">SUM(E316:E317)</f>
        <v>0</v>
      </c>
      <c r="F318" s="1201">
        <f ca="1">E318/D318</f>
        <v>0</v>
      </c>
      <c r="G318" s="336">
        <f>SUM(G312:G315)</f>
        <v>0</v>
      </c>
    </row>
    <row r="319" spans="1:7" x14ac:dyDescent="0.25">
      <c r="A319" s="798" t="s">
        <v>4390</v>
      </c>
      <c r="B319" s="1202"/>
      <c r="C319" s="1198"/>
      <c r="D319" s="1199"/>
      <c r="E319" s="1198"/>
      <c r="F319" s="1202"/>
      <c r="G319" s="1202"/>
    </row>
    <row r="320" spans="1:7" x14ac:dyDescent="0.25">
      <c r="A320" s="817"/>
      <c r="B320" s="1202" t="s">
        <v>508</v>
      </c>
      <c r="C320" s="1198">
        <f ca="1">SUMIFS(INDIRECT("Report!F100:F10000"),INDIRECT("Report!B100:B10000"),B320,INDIRECT("report!H100:H10000"),"Service",INDIRECT("Report!L100:L10000"),"25,6")</f>
        <v>2769107</v>
      </c>
      <c r="D320" s="1199">
        <f ca="1">(C320/11*10)</f>
        <v>2517370</v>
      </c>
      <c r="E320" s="1198">
        <f ca="1">SUMIFS(INDIRECT("Report!J100:J10000"),INDIRECT("Report!B100:B10000"),B320,INDIRECT("report!H100:H10000"),"Service",INDIRECT("Report!L100:L10000"),"24,12")</f>
        <v>0</v>
      </c>
      <c r="F320" s="1202"/>
    </row>
    <row r="321" spans="1:7" x14ac:dyDescent="0.25">
      <c r="A321" s="817"/>
      <c r="B321" s="1202" t="s">
        <v>517</v>
      </c>
      <c r="C321" s="1198">
        <f ca="1">SUMIFS(INDIRECT("Report!F100:F10000"),INDIRECT("Report!B100:B10000"),B321,INDIRECT("report!H100:H10000"),"Service",INDIRECT("Report!L100:L10000"),"25,6")</f>
        <v>2887500.0000000005</v>
      </c>
      <c r="D321" s="1199">
        <f ca="1">(C321/11*10)</f>
        <v>2625000.0000000005</v>
      </c>
      <c r="E321" s="1198">
        <f ca="1">SUMIFS(INDIRECT("Report!J100:J10000"),INDIRECT("Report!B100:B10000"),B321,INDIRECT("report!H100:H10000"),"Service",INDIRECT("Report!L100:L10000"),"24,12")</f>
        <v>0</v>
      </c>
      <c r="F321" s="1202"/>
    </row>
    <row r="322" spans="1:7" x14ac:dyDescent="0.25">
      <c r="A322" s="293"/>
      <c r="B322" s="277" t="s">
        <v>4412</v>
      </c>
      <c r="C322" s="278">
        <f ca="1">SUM(C319:C321)</f>
        <v>5656607</v>
      </c>
      <c r="D322" s="278">
        <f ca="1">SUM(D319:D321)</f>
        <v>5142370</v>
      </c>
      <c r="E322" s="278">
        <f ca="1">SUM(E319:E321)</f>
        <v>0</v>
      </c>
      <c r="F322" s="1201">
        <f ca="1">E322/D322</f>
        <v>0</v>
      </c>
      <c r="G322" s="336">
        <f>SUM(G315:G318)</f>
        <v>0</v>
      </c>
    </row>
    <row r="323" spans="1:7" x14ac:dyDescent="0.25">
      <c r="A323" s="798" t="s">
        <v>4417</v>
      </c>
      <c r="B323" s="1202"/>
      <c r="C323" s="1198"/>
      <c r="D323" s="1199"/>
      <c r="E323" s="1198"/>
      <c r="F323" s="1202"/>
      <c r="G323" s="1202"/>
    </row>
    <row r="324" spans="1:7" x14ac:dyDescent="0.25">
      <c r="A324" s="817"/>
      <c r="B324" s="1202" t="s">
        <v>2554</v>
      </c>
      <c r="C324" s="1198">
        <f ca="1">SUMIFS(INDIRECT("Report!F100:F10000"),INDIRECT("Report!B100:B10000"),B324,INDIRECT("report!H100:H10000"),"Service",INDIRECT("Report!L100:L10000"),"25,7")</f>
        <v>4180000.0000000005</v>
      </c>
      <c r="D324" s="1199">
        <f ca="1">(C324/11*10)</f>
        <v>3800000.0000000005</v>
      </c>
      <c r="E324" s="1198">
        <f ca="1">SUMIFS(INDIRECT("Report!J100:J10000"),INDIRECT("Report!B100:B10000"),B324,INDIRECT("report!H100:H10000"),"Service",INDIRECT("Report!L100:L10000"),"24,12")</f>
        <v>0</v>
      </c>
      <c r="F324" s="1202"/>
    </row>
    <row r="325" spans="1:7" x14ac:dyDescent="0.25">
      <c r="A325" s="293"/>
      <c r="B325" s="277" t="s">
        <v>4425</v>
      </c>
      <c r="C325" s="278">
        <f ca="1">SUM(C323:C324)</f>
        <v>4180000.0000000005</v>
      </c>
      <c r="D325" s="278">
        <f ca="1">SUM(D323:D324)</f>
        <v>3800000.0000000005</v>
      </c>
      <c r="E325" s="278">
        <f ca="1">SUM(E323:E324)</f>
        <v>0</v>
      </c>
      <c r="F325" s="1201">
        <f ca="1">E325/D325</f>
        <v>0</v>
      </c>
      <c r="G325" s="336">
        <f>SUM(G319:G322)</f>
        <v>0</v>
      </c>
    </row>
    <row r="326" spans="1:7" x14ac:dyDescent="0.25">
      <c r="A326" s="798" t="s">
        <v>4427</v>
      </c>
      <c r="B326" s="1202"/>
      <c r="C326" s="1198"/>
      <c r="D326" s="1199"/>
      <c r="E326" s="1198"/>
      <c r="F326" s="1202"/>
      <c r="G326" s="1202"/>
    </row>
    <row r="327" spans="1:7" x14ac:dyDescent="0.25">
      <c r="A327" s="817"/>
      <c r="B327" s="1202" t="s">
        <v>517</v>
      </c>
      <c r="C327" s="1198">
        <f ca="1">SUMIFS(INDIRECT("Report!F100:F10000"),INDIRECT("Report!B100:B10000"),B327,INDIRECT("report!H100:H10000"),"Service",INDIRECT("Report!L100:L10000"),"25,8")</f>
        <v>2887500.0000000005</v>
      </c>
      <c r="D327" s="1199">
        <f ca="1">(C327/11*10)</f>
        <v>2625000.0000000005</v>
      </c>
      <c r="E327" s="1198">
        <f ca="1">SUMIFS(INDIRECT("Report!J100:J10000"),INDIRECT("Report!B100:B10000"),B327,INDIRECT("report!H100:H10000"),"Service",INDIRECT("Report!L100:L10000"),"25,8")</f>
        <v>0</v>
      </c>
      <c r="F327" s="1202"/>
    </row>
    <row r="328" spans="1:7" x14ac:dyDescent="0.25">
      <c r="A328" s="817"/>
      <c r="B328" s="1202" t="s">
        <v>2554</v>
      </c>
      <c r="C328" s="1198">
        <f ca="1">SUMIFS(INDIRECT("Report!F100:F10000"),INDIRECT("Report!B100:B10000"),B328,INDIRECT("report!H100:H10000"),"Service",INDIRECT("Report!L100:L10000"),"25,8")</f>
        <v>4180000.0000000005</v>
      </c>
      <c r="D328" s="1199">
        <f ca="1">(C328/11*10)</f>
        <v>3800000.0000000005</v>
      </c>
      <c r="E328" s="1198">
        <f ca="1">SUMIFS(INDIRECT("Report!J100:J10000"),INDIRECT("Report!B100:B10000"),B328,INDIRECT("report!H100:H10000"),"Service",INDIRECT("Report!L100:L10000"),"25,8")</f>
        <v>2524000</v>
      </c>
      <c r="F328" s="1202"/>
    </row>
    <row r="329" spans="1:7" x14ac:dyDescent="0.25">
      <c r="A329" s="293"/>
      <c r="B329" s="277" t="s">
        <v>4452</v>
      </c>
      <c r="C329" s="278">
        <f ca="1">SUM(C326:C328)</f>
        <v>7067500.0000000009</v>
      </c>
      <c r="D329" s="278">
        <f ca="1">SUM(D326:D328)</f>
        <v>6425000.0000000009</v>
      </c>
      <c r="E329" s="278">
        <f ca="1">SUM(E326:E328)</f>
        <v>2524000</v>
      </c>
      <c r="F329" s="1201">
        <f ca="1">E329/D329</f>
        <v>0.39284046692607</v>
      </c>
      <c r="G329" s="336">
        <f>SUM(G322:G325)</f>
        <v>0</v>
      </c>
    </row>
    <row r="330" spans="1:7" x14ac:dyDescent="0.25">
      <c r="A330" s="798" t="s">
        <v>4454</v>
      </c>
      <c r="B330" s="1202"/>
      <c r="C330" s="1198"/>
      <c r="D330" s="1199"/>
      <c r="E330" s="1198"/>
      <c r="F330" s="1202"/>
      <c r="G330" s="1202"/>
    </row>
    <row r="331" spans="1:7" x14ac:dyDescent="0.25">
      <c r="A331" s="817"/>
      <c r="B331" s="1202" t="s">
        <v>508</v>
      </c>
      <c r="C331" s="1198">
        <f ca="1">SUMIFS(INDIRECT("Report!F100:F10000"),INDIRECT("Report!B100:B10000"),B331,INDIRECT("report!H100:H10000"),"Service",INDIRECT("Report!L100:L10000"),"25,9")</f>
        <v>308000</v>
      </c>
      <c r="D331" s="1199">
        <f ca="1">(C331/11*10)</f>
        <v>280000</v>
      </c>
      <c r="E331" s="1198">
        <f ca="1">SUMIFS(INDIRECT("Report!J100:J10000"),INDIRECT("Report!B100:B10000"),B331,INDIRECT("report!H100:H10000"),"Service",INDIRECT("Report!L100:L10000"),"25,8")</f>
        <v>0</v>
      </c>
      <c r="F331" s="1202"/>
    </row>
    <row r="332" spans="1:7" x14ac:dyDescent="0.25">
      <c r="A332" s="293"/>
      <c r="B332" s="277" t="s">
        <v>4464</v>
      </c>
      <c r="C332" s="278">
        <f ca="1">SUM(C330:C331)</f>
        <v>308000</v>
      </c>
      <c r="D332" s="278">
        <f ca="1">SUM(D330:D331)</f>
        <v>280000</v>
      </c>
      <c r="E332" s="278">
        <f ca="1">SUM(E330:E331)</f>
        <v>0</v>
      </c>
      <c r="F332" s="1201">
        <f ca="1">E332/D332</f>
        <v>0</v>
      </c>
      <c r="G332" s="336">
        <f>SUM(G326:G329)</f>
        <v>0</v>
      </c>
    </row>
    <row r="333" spans="1:7" x14ac:dyDescent="0.25">
      <c r="A333" s="798" t="s">
        <v>4470</v>
      </c>
      <c r="B333" s="1202"/>
      <c r="C333" s="1198"/>
      <c r="D333" s="1199"/>
      <c r="E333" s="1198"/>
      <c r="F333" s="1202"/>
      <c r="G333" s="1202"/>
    </row>
    <row r="334" spans="1:7" x14ac:dyDescent="0.25">
      <c r="A334" s="817"/>
      <c r="B334" s="1202" t="s">
        <v>3042</v>
      </c>
      <c r="C334" s="1198">
        <f ca="1">SUMIFS(INDIRECT("Report!F100:F10000"),INDIRECT("Report!B100:B10000"),B334,INDIRECT("report!H100:H10000"),"Service",INDIRECT("Report!L100:L10000"),"25,10")</f>
        <v>4235000.0000000009</v>
      </c>
      <c r="D334" s="1199">
        <f ca="1">(C334/11*10)</f>
        <v>3850000.0000000005</v>
      </c>
      <c r="E334" s="1198">
        <f ca="1">SUMIFS(INDIRECT("Report!J100:J10000"),INDIRECT("Report!B100:B10000"),B334,INDIRECT("report!H100:H10000"),"Service",INDIRECT("Report!L100:L10000"),"25,8")</f>
        <v>0</v>
      </c>
      <c r="F334" s="1202"/>
    </row>
    <row r="335" spans="1:7" x14ac:dyDescent="0.25">
      <c r="A335" s="817"/>
      <c r="B335" s="1202" t="s">
        <v>517</v>
      </c>
      <c r="C335" s="1198">
        <f ca="1">SUMIFS(INDIRECT("Report!F100:F10000"),INDIRECT("Report!B100:B10000"),B335,INDIRECT("report!H100:H10000"),"Service",INDIRECT("Report!L100:L10000"),"25,10")</f>
        <v>2887500.0000000005</v>
      </c>
      <c r="D335" s="1199">
        <f ca="1">(C335/11*10)</f>
        <v>2625000.0000000005</v>
      </c>
      <c r="E335" s="1198">
        <f ca="1">SUMIFS(INDIRECT("Report!J100:J10000"),INDIRECT("Report!B100:B10000"),B335,INDIRECT("report!H100:H10000"),"Service",INDIRECT("Report!L100:L10000"),"25,8")</f>
        <v>0</v>
      </c>
      <c r="F335" s="1202"/>
    </row>
    <row r="336" spans="1:7" x14ac:dyDescent="0.25">
      <c r="A336" s="817"/>
      <c r="B336" s="1202" t="s">
        <v>508</v>
      </c>
      <c r="C336" s="1198">
        <f ca="1">SUMIFS(INDIRECT("Report!F100:F10000"),INDIRECT("Report!B100:B10000"),B336,INDIRECT("report!H100:H10000"),"Service",INDIRECT("Report!L100:L10000"),"25,10")</f>
        <v>4180000.0000000005</v>
      </c>
      <c r="D336" s="1199">
        <f ca="1">(C336/11*10)</f>
        <v>3800000.0000000005</v>
      </c>
      <c r="E336" s="1198">
        <f ca="1">SUMIFS(INDIRECT("Report!J100:J10000"),INDIRECT("Report!B100:B10000"),B336,INDIRECT("report!H100:H10000"),"Service",INDIRECT("Report!L100:L10000"),"25,8")</f>
        <v>0</v>
      </c>
      <c r="F336" s="1202"/>
    </row>
    <row r="337" spans="1:7" x14ac:dyDescent="0.25">
      <c r="A337" s="293"/>
      <c r="B337" s="277" t="s">
        <v>4486</v>
      </c>
      <c r="C337" s="278">
        <f ca="1">SUM(C333:C336)</f>
        <v>11302500.000000002</v>
      </c>
      <c r="D337" s="278">
        <f ca="1">SUM(D333:D336)</f>
        <v>10275000.000000002</v>
      </c>
      <c r="E337" s="278">
        <f ca="1">SUM(E333:E336)</f>
        <v>0</v>
      </c>
      <c r="F337" s="1201">
        <f ca="1">E337/D337</f>
        <v>0</v>
      </c>
      <c r="G337" s="336">
        <f>SUM(G329:G332)</f>
        <v>0</v>
      </c>
    </row>
  </sheetData>
  <autoFilter ref="A1:I218" xr:uid="{00000000-0009-0000-0000-000003000000}"/>
  <phoneticPr fontId="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W293"/>
  <sheetViews>
    <sheetView topLeftCell="A10" zoomScale="85" zoomScaleNormal="85" workbookViewId="0">
      <selection activeCell="D36" sqref="D36"/>
    </sheetView>
  </sheetViews>
  <sheetFormatPr defaultRowHeight="16.5" x14ac:dyDescent="0.25"/>
  <cols>
    <col min="1" max="1" width="12.25390625" bestFit="1" customWidth="1"/>
    <col min="2" max="4" width="12.625" bestFit="1" customWidth="1"/>
    <col min="5" max="5" width="16.95703125" bestFit="1" customWidth="1"/>
    <col min="6" max="6" width="15.71875" bestFit="1" customWidth="1"/>
    <col min="7" max="8" width="12.625" bestFit="1" customWidth="1"/>
    <col min="9" max="13" width="12.625" customWidth="1"/>
    <col min="14" max="14" width="15.71875" customWidth="1"/>
    <col min="15" max="15" width="12.5" bestFit="1" customWidth="1"/>
    <col min="16" max="23" width="20.30078125" customWidth="1"/>
  </cols>
  <sheetData>
    <row r="1" spans="1:15" ht="23.25" customHeight="1" x14ac:dyDescent="0.25">
      <c r="A1" s="12" t="s">
        <v>29</v>
      </c>
    </row>
    <row r="2" spans="1:15" x14ac:dyDescent="0.25">
      <c r="A2" s="13"/>
      <c r="B2" s="14">
        <v>2017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5" x14ac:dyDescent="0.25">
      <c r="A3" s="15" t="s">
        <v>30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>
        <v>12</v>
      </c>
      <c r="N3" s="16" t="s">
        <v>31</v>
      </c>
      <c r="O3" s="5" t="s">
        <v>51</v>
      </c>
    </row>
    <row r="4" spans="1:15" x14ac:dyDescent="0.25">
      <c r="A4" s="8" t="s">
        <v>33</v>
      </c>
      <c r="B4" s="3">
        <v>12905500</v>
      </c>
      <c r="C4" s="3">
        <v>9640000</v>
      </c>
      <c r="D4" s="2">
        <v>13889500</v>
      </c>
      <c r="E4" s="2">
        <v>14045000</v>
      </c>
      <c r="F4" s="3">
        <f ca="1">SUMIF(INDIRECT("Report!I3:I55"),A4,INDIRECT("Report!G3:G55"))</f>
        <v>7740000</v>
      </c>
      <c r="G4" s="3">
        <f ca="1">SUMIF(INDIRECT("Report!I58:I119"),A4,INDIRECT("Report!G58:G119"))</f>
        <v>12827500</v>
      </c>
      <c r="H4" s="3">
        <f ca="1">SUMIF(INDIRECT("Report!I120:I196"),A4,INDIRECT("Report!G120:G196"))</f>
        <v>9295000</v>
      </c>
      <c r="I4" s="3">
        <f ca="1">SUMIF(INDIRECT("Report!I198:I264"),A4,INDIRECT("Report!G198:G264"))</f>
        <v>10901000</v>
      </c>
      <c r="J4" s="3">
        <f ca="1">SUMIF(INDIRECT("Report!I266:I342"),A4,INDIRECT("Report!G266:G342"))</f>
        <v>16287000</v>
      </c>
      <c r="K4" s="3">
        <f ca="1">SUMIF(INDIRECT("Report!I344:I407"),A4,INDIRECT("Report!G344:G407"))</f>
        <v>4200000</v>
      </c>
      <c r="L4" s="3">
        <f ca="1">SUMIF(INDIRECT("Report!I409:I480"),A4,INDIRECT("Report!G409:G480"))</f>
        <v>8690000</v>
      </c>
      <c r="M4" s="3">
        <f ca="1">SUMIF(INDIRECT("Report!I482:I565"),A4,INDIRECT("Report!G482:G565"))</f>
        <v>10125000</v>
      </c>
      <c r="N4" s="23">
        <f t="shared" ref="N4:N14" ca="1" si="0">SUM(B4:M4)</f>
        <v>130545500</v>
      </c>
      <c r="O4" s="30">
        <f t="shared" ref="O4:O17" ca="1" si="1">N4/$N$17</f>
        <v>0.10748405411888384</v>
      </c>
    </row>
    <row r="5" spans="1:15" x14ac:dyDescent="0.25">
      <c r="A5" s="8" t="s">
        <v>46</v>
      </c>
      <c r="B5" s="3">
        <v>22394000</v>
      </c>
      <c r="C5" s="3">
        <v>11505000</v>
      </c>
      <c r="D5" s="2">
        <v>4270000</v>
      </c>
      <c r="E5" s="2">
        <v>7123000</v>
      </c>
      <c r="F5" s="3">
        <f ca="1">SUMIF(INDIRECT("Report!I3:I55"),A5,INDIRECT("Report!G3:G55"))</f>
        <v>9358000</v>
      </c>
      <c r="G5" s="3">
        <f ca="1">SUMIF(INDIRECT("Report!I58:I120"),A5,INDIRECT("Report!G58:G120"))</f>
        <v>8560000</v>
      </c>
      <c r="H5" s="3">
        <f ca="1">SUMIF(INDIRECT("Report!I120:I196"),A5,INDIRECT("Report!G120:G196"))</f>
        <v>9460000</v>
      </c>
      <c r="I5" s="3">
        <f ca="1">SUMIF(INDIRECT("Report!I198:I264"),A5,INDIRECT("Report!G198:G264"))</f>
        <v>4456000</v>
      </c>
      <c r="J5" s="3">
        <f ca="1">SUMIF(INDIRECT("Report!I266:I342"),A5,INDIRECT("Report!G266:G342"))</f>
        <v>5368000</v>
      </c>
      <c r="K5" s="3">
        <f ca="1">SUMIF(INDIRECT("Report!I344:I407"),A5,INDIRECT("Report!G344:G407"))</f>
        <v>4171000</v>
      </c>
      <c r="L5" s="3">
        <f ca="1">SUMIF(INDIRECT("Report!I409:I480"),A5,INDIRECT("Report!G409:G480"))</f>
        <v>3147400</v>
      </c>
      <c r="M5" s="3">
        <f ca="1">SUMIF(INDIRECT("Report!I482:I565"),A5,INDIRECT("Report!G482:G565"))</f>
        <v>4461000</v>
      </c>
      <c r="N5" s="23">
        <f t="shared" ca="1" si="0"/>
        <v>94273400</v>
      </c>
      <c r="O5" s="30">
        <f t="shared" ca="1" si="1"/>
        <v>7.7619582655634886E-2</v>
      </c>
    </row>
    <row r="6" spans="1:15" x14ac:dyDescent="0.25">
      <c r="A6" s="8" t="s">
        <v>34</v>
      </c>
      <c r="B6" s="3">
        <v>4961000</v>
      </c>
      <c r="C6" s="3">
        <v>4961000</v>
      </c>
      <c r="D6" s="2">
        <v>5054000</v>
      </c>
      <c r="E6" s="2">
        <v>2434000</v>
      </c>
      <c r="F6" s="3">
        <f ca="1">SUMIF(INDIRECT("Report!I3:I55"),A6,INDIRECT("Report!G3:G55"))</f>
        <v>5054000</v>
      </c>
      <c r="G6" s="3">
        <f ca="1">SUMIF(INDIRECT("Report!I58:I120"),A6,INDIRECT("Report!G58:G120"))</f>
        <v>2527000</v>
      </c>
      <c r="H6" s="3">
        <f ca="1">SUMIF(INDIRECT("Report!I120:I196"),A6,INDIRECT("Report!G120:G196"))</f>
        <v>4868000</v>
      </c>
      <c r="I6" s="3">
        <f ca="1">SUMIF(INDIRECT("Report!I198:I264"),A6,INDIRECT("Report!G198:G264"))</f>
        <v>2434000</v>
      </c>
      <c r="J6" s="3">
        <f ca="1">SUMIF(INDIRECT("Report!I266:I342"),A6,INDIRECT("Report!G266:G342"))</f>
        <v>2475000</v>
      </c>
      <c r="K6" s="3">
        <f ca="1">SUMIF(INDIRECT("Report!I344:I407"),A6,INDIRECT("Report!G344:G407"))</f>
        <v>5043000</v>
      </c>
      <c r="L6" s="3">
        <f ca="1">SUMIF(INDIRECT("Report!I409:I480"),A6,INDIRECT("Report!G409:G480"))</f>
        <v>2527000</v>
      </c>
      <c r="M6" s="3">
        <f ca="1">SUMIF(INDIRECT("Report!I482:I565"),A6,INDIRECT("Report!G482:G565"))</f>
        <v>7488000</v>
      </c>
      <c r="N6" s="23">
        <f t="shared" ca="1" si="0"/>
        <v>49826000</v>
      </c>
      <c r="O6" s="30">
        <f t="shared" ca="1" si="1"/>
        <v>4.1024014466431287E-2</v>
      </c>
    </row>
    <row r="7" spans="1:15" x14ac:dyDescent="0.25">
      <c r="A7" s="8" t="s">
        <v>35</v>
      </c>
      <c r="B7" s="3">
        <v>1790000</v>
      </c>
      <c r="C7" s="3">
        <v>1665000</v>
      </c>
      <c r="D7" s="2">
        <v>4037500</v>
      </c>
      <c r="E7" s="2">
        <v>145000</v>
      </c>
      <c r="F7" s="3">
        <f ca="1">SUMIF(INDIRECT("Report!I3:I55"),A7,INDIRECT("Report!G3:G55"))</f>
        <v>4037500</v>
      </c>
      <c r="G7" s="3">
        <f ca="1">SUMIF(INDIRECT("Report!I58:I120"),A7,INDIRECT("Report!G58:G120"))</f>
        <v>2185000</v>
      </c>
      <c r="H7" s="3">
        <f ca="1">SUMIF(INDIRECT("Report!I120:I196"),A7,INDIRECT("Report!G120:G196"))</f>
        <v>1687500</v>
      </c>
      <c r="I7" s="3">
        <f ca="1">SUMIF(INDIRECT("Report!I198:I264"),A7,INDIRECT("Report!G198:G264"))</f>
        <v>1175000</v>
      </c>
      <c r="J7" s="3">
        <f ca="1">SUMIF(INDIRECT("Report!I266:I342"),A7,INDIRECT("Report!G266:G342"))</f>
        <v>4577500</v>
      </c>
      <c r="L7" s="3">
        <f ca="1">SUMIF(INDIRECT("Report!I409:I480"),A7,INDIRECT("Report!G409:G480"))</f>
        <v>4155000</v>
      </c>
      <c r="M7" s="3">
        <f ca="1">SUMIF(INDIRECT("Report!I482:I565"),A7,INDIRECT("Report!G482:G565"))</f>
        <v>4717500</v>
      </c>
      <c r="N7" s="23">
        <f t="shared" ca="1" si="0"/>
        <v>30172500</v>
      </c>
      <c r="O7" s="30">
        <f t="shared" ca="1" si="1"/>
        <v>2.484239305760844E-2</v>
      </c>
    </row>
    <row r="8" spans="1:15" s="19" customFormat="1" x14ac:dyDescent="0.25">
      <c r="A8" s="39" t="s">
        <v>40</v>
      </c>
      <c r="B8" s="28">
        <v>8910000</v>
      </c>
      <c r="C8" s="28">
        <v>36207000</v>
      </c>
      <c r="D8" s="10">
        <v>10970000</v>
      </c>
      <c r="E8" s="10">
        <v>13000000</v>
      </c>
      <c r="F8" s="52">
        <f ca="1">SUMIF(INDIRECT("Report!H3:H55"),A8,INDIRECT("Report!G3:G55"))</f>
        <v>9210000</v>
      </c>
      <c r="G8" s="52">
        <f ca="1">SUMIF(INDIRECT("Report!H58:H120"),A8,INDIRECT("Report!G58:G120"))</f>
        <v>6935000</v>
      </c>
      <c r="H8" s="3">
        <f ca="1">SUMIF(INDIRECT("Report!H120:H196"),A8,INDIRECT("Report!G120:G196"))</f>
        <v>53520000</v>
      </c>
      <c r="I8" s="28">
        <f ca="1">SUMIF(INDIRECT("Report!H198:H264"),A8,INDIRECT("Report!G198:G264"))</f>
        <v>18460000</v>
      </c>
      <c r="J8" s="52">
        <f ca="1">SUMIF(INDIRECT("Report!H266:H342"),A8,INDIRECT("Report!G266:G342"))</f>
        <v>531000</v>
      </c>
      <c r="K8" s="52">
        <f ca="1">SUMIF(INDIRECT("Report!H344:H407"),A8,INDIRECT("Report!G344:G407"))</f>
        <v>10210000</v>
      </c>
      <c r="L8" s="52">
        <f ca="1">SUMIF(INDIRECT("Report!H409:H480"),A8,INDIRECT("Report!G409:G480"))</f>
        <v>10029000</v>
      </c>
      <c r="M8" s="52">
        <f ca="1">SUMIF(INDIRECT("Report!H482:H565"),A8,INDIRECT("Report!G482:G565"))</f>
        <v>8995000</v>
      </c>
      <c r="N8" s="40">
        <f t="shared" ca="1" si="0"/>
        <v>186977000</v>
      </c>
      <c r="O8" s="41">
        <f t="shared" ca="1" si="1"/>
        <v>0.15394667749548274</v>
      </c>
    </row>
    <row r="9" spans="1:15" x14ac:dyDescent="0.25">
      <c r="A9" s="8" t="s">
        <v>1000</v>
      </c>
      <c r="B9" s="3">
        <v>6624000</v>
      </c>
      <c r="C9" s="3">
        <v>31268000</v>
      </c>
      <c r="D9" s="11">
        <v>22656000</v>
      </c>
      <c r="E9" s="2">
        <v>45507000</v>
      </c>
      <c r="F9" s="3">
        <f ca="1">SUMIF(INDIRECT("Report!I3:I55"),A9,INDIRECT("Report!G3:G55"))</f>
        <v>2890000</v>
      </c>
      <c r="G9" s="3">
        <f ca="1">SUMIF(INDIRECT("Report!I58:I120"),A9,INDIRECT("Report!G58:G120"))</f>
        <v>8461000</v>
      </c>
      <c r="H9" s="224">
        <f ca="1">SUMIF(INDIRECT("Report!I120:I196"),A9,INDIRECT("Report!G120:G196"))+43000000</f>
        <v>49921000</v>
      </c>
      <c r="I9" s="3">
        <f ca="1">SUMIF(INDIRECT("Report!I198:I264"),A9,INDIRECT("Report!G198:G264"))</f>
        <v>4274000</v>
      </c>
      <c r="J9" s="3">
        <f ca="1">SUMIF(INDIRECT("Report!I266:I342"),A9,INDIRECT("Report!G266:G342"))</f>
        <v>32592000</v>
      </c>
      <c r="K9" s="3">
        <f ca="1">SUMIF(INDIRECT("Report!I344:I407"),A9,INDIRECT("Report!G344:G407"))</f>
        <v>3568000</v>
      </c>
      <c r="L9" s="897">
        <f ca="1">SUMIF(INDIRECT("Report!I409:I480"),A9,INDIRECT("Report!G409:G480"))</f>
        <v>48431904</v>
      </c>
      <c r="M9" s="3">
        <f ca="1">SUMIF(INDIRECT("Report!I482:I565"),A9,INDIRECT("Report!G482:G565"))</f>
        <v>4922000</v>
      </c>
      <c r="N9" s="23">
        <f t="shared" ca="1" si="0"/>
        <v>261114904</v>
      </c>
      <c r="O9" s="30">
        <f t="shared" ca="1" si="1"/>
        <v>0.21498778948935932</v>
      </c>
    </row>
    <row r="10" spans="1:15" x14ac:dyDescent="0.25">
      <c r="A10" s="8" t="s">
        <v>37</v>
      </c>
      <c r="B10" s="3">
        <v>7570000</v>
      </c>
      <c r="C10" s="3">
        <v>469000</v>
      </c>
      <c r="D10" s="11"/>
      <c r="E10" s="2"/>
      <c r="F10" s="3">
        <f ca="1">SUMIF(INDIRECT("Report!I3:I55"),A10,INDIRECT("Report!G3:G55"))</f>
        <v>9790000</v>
      </c>
      <c r="G10" s="3">
        <f ca="1">SUMIF(INDIRECT("Report!I58:I120"),A10,INDIRECT("Report!G58:G120"))</f>
        <v>1660000</v>
      </c>
      <c r="H10" s="3">
        <f ca="1">SUMIF(INDIRECT("Report!I120:I196"),A10,INDIRECT("Report!G120:G196"))</f>
        <v>3280000</v>
      </c>
      <c r="I10" s="3">
        <f ca="1">SUMIF(INDIRECT("Report!I198:I264"),A10,INDIRECT("Report!G198:G264"))</f>
        <v>264000</v>
      </c>
      <c r="J10" s="3">
        <f ca="1">SUMIF(INDIRECT("Report!I266:I342"),A10,INDIRECT("Report!G266:G342"))</f>
        <v>7385000</v>
      </c>
      <c r="K10" s="3">
        <f ca="1">SUMIF(INDIRECT("Report!I344:I407"),A10,INDIRECT("Report!G344:G407"))</f>
        <v>0</v>
      </c>
      <c r="L10" s="3">
        <f ca="1">SUMIF(INDIRECT("Report!I409:I480"),A10,INDIRECT("Report!G409:G480"))</f>
        <v>0</v>
      </c>
      <c r="M10" s="3">
        <f ca="1">SUMIF(INDIRECT("Report!I482:I565"),A10,INDIRECT("Report!G482:G565"))</f>
        <v>7760000</v>
      </c>
      <c r="N10" s="23">
        <f t="shared" ca="1" si="0"/>
        <v>38178000</v>
      </c>
      <c r="O10" s="30">
        <f t="shared" ca="1" si="1"/>
        <v>3.1433685712266964E-2</v>
      </c>
    </row>
    <row r="11" spans="1:15" s="19" customFormat="1" x14ac:dyDescent="0.25">
      <c r="A11" s="39" t="s">
        <v>39</v>
      </c>
      <c r="B11" s="28">
        <v>11180000</v>
      </c>
      <c r="C11" s="28">
        <v>2282000</v>
      </c>
      <c r="D11" s="10">
        <v>1816000</v>
      </c>
      <c r="E11" s="44">
        <v>52376840</v>
      </c>
      <c r="F11" s="20">
        <f ca="1">(Technotrans!D130)</f>
        <v>91842200</v>
      </c>
      <c r="G11" s="20">
        <f ca="1">SUMIF(INDIRECT("Report!h58:h120"),A11,INDIRECT("Report!G58:G120"))+36876560</f>
        <v>44676560</v>
      </c>
      <c r="H11" s="3">
        <f ca="1">SUMIF(INDIRECT("Report!H120:H196"),A11,INDIRECT("Report!G120:G196"))</f>
        <v>580000</v>
      </c>
      <c r="I11" s="28">
        <f ca="1">SUMIF(INDIRECT("Report!H198:H264"),A11,INDIRECT("Report!G198:G264"))</f>
        <v>5933000</v>
      </c>
      <c r="J11" s="52">
        <f ca="1">SUMIF(INDIRECT("Report!H266:H342"),A11,INDIRECT("Report!G266:G342"))</f>
        <v>15319000</v>
      </c>
      <c r="K11" s="52">
        <f ca="1">SUMIF(INDIRECT("Report!H344:H407"),A11,INDIRECT("Report!G344:G407"))</f>
        <v>925000</v>
      </c>
      <c r="L11" s="52">
        <f ca="1">SUMIF(INDIRECT("Report!H409:H480"),A11,INDIRECT("Report!G409:G480"))</f>
        <v>2380000</v>
      </c>
      <c r="M11" s="52">
        <f ca="1">SUMIF(INDIRECT("Report!H482:H565"),A11,INDIRECT("Report!G482:G565"))</f>
        <v>2325000</v>
      </c>
      <c r="N11" s="40">
        <f t="shared" ca="1" si="0"/>
        <v>231635600</v>
      </c>
      <c r="O11" s="41">
        <f t="shared" ca="1" si="1"/>
        <v>0.19071613626099812</v>
      </c>
    </row>
    <row r="12" spans="1:15" x14ac:dyDescent="0.25">
      <c r="A12" s="27" t="s">
        <v>38</v>
      </c>
      <c r="B12" s="17">
        <v>6410000</v>
      </c>
      <c r="C12" s="17">
        <v>4106000</v>
      </c>
      <c r="D12" s="2">
        <v>4595000</v>
      </c>
      <c r="E12" s="2">
        <v>2689000</v>
      </c>
      <c r="F12" s="3">
        <f ca="1">SUMIF(INDIRECT("Report!I3:I55"),A12,INDIRECT("Report!G3:G55"))</f>
        <v>5465500</v>
      </c>
      <c r="G12" s="3">
        <f ca="1">SUMIF(INDIRECT("Report!I58:I120"),A12,INDIRECT("Report!G58:G120"))</f>
        <v>7523000</v>
      </c>
      <c r="H12" s="3">
        <f ca="1">SUMIF(INDIRECT("Report!I120:I196"),A12,INDIRECT("Report!G120:G196"))</f>
        <v>3732500</v>
      </c>
      <c r="I12" s="3">
        <f ca="1">SUMIF(INDIRECT("Report!I198:I264"),A12,INDIRECT("Report!G198:G264"))</f>
        <v>4081000</v>
      </c>
      <c r="J12" s="3">
        <f ca="1">SUMIF(INDIRECT("Report!I266:I342"),A12,INDIRECT("Report!G266:G342"))</f>
        <v>4860000</v>
      </c>
      <c r="K12" s="3">
        <f ca="1">SUMIF(INDIRECT("Report!I344:I407"),A12,INDIRECT("Report!G344:G407"))</f>
        <v>4779000</v>
      </c>
      <c r="L12" s="3">
        <f ca="1">SUMIF(INDIRECT("Report!I409:I480"),A12,INDIRECT("Report!G409:G480"))</f>
        <v>6677000</v>
      </c>
      <c r="M12" s="3">
        <f ca="1">SUMIF(INDIRECT("Report!I482:I565"),A12,INDIRECT("Report!G482:G565"))</f>
        <v>9771000</v>
      </c>
      <c r="N12" s="24">
        <f t="shared" ca="1" si="0"/>
        <v>64689000</v>
      </c>
      <c r="O12" s="30">
        <f t="shared" ca="1" si="1"/>
        <v>5.3261399105265797E-2</v>
      </c>
    </row>
    <row r="13" spans="1:15" x14ac:dyDescent="0.25">
      <c r="A13" s="29" t="s">
        <v>32</v>
      </c>
      <c r="B13" s="17">
        <v>0</v>
      </c>
      <c r="C13" s="17">
        <v>0</v>
      </c>
      <c r="D13" s="2">
        <v>0</v>
      </c>
      <c r="E13" s="2">
        <v>0</v>
      </c>
      <c r="F13" s="17">
        <v>0</v>
      </c>
      <c r="G13" s="17">
        <v>0</v>
      </c>
      <c r="H13" s="3">
        <f ca="1">SUMIF(INDIRECT("Report!I120:I196"),A13,INDIRECT("Report!G120:G196"))</f>
        <v>0</v>
      </c>
      <c r="I13" s="17">
        <v>0</v>
      </c>
      <c r="J13" s="3">
        <f ca="1">SUMIF(INDIRECT("Report!I266:I342"),A13,INDIRECT("Report!J266:J342"))</f>
        <v>0</v>
      </c>
      <c r="K13" s="3">
        <f ca="1">SUMIF(INDIRECT("Report!I344:I407"),A13,INDIRECT("Report!G344:G407"))</f>
        <v>0</v>
      </c>
      <c r="L13" s="3">
        <f ca="1">SUMIF(INDIRECT("Report!I409:I480"),A13,INDIRECT("Report!G409:G480"))</f>
        <v>0</v>
      </c>
      <c r="M13" s="3">
        <f ca="1">SUMIF(INDIRECT("Report!I482:I565"),A13,INDIRECT("Report!G482:G565"))</f>
        <v>0</v>
      </c>
      <c r="N13" s="24">
        <f t="shared" ca="1" si="0"/>
        <v>0</v>
      </c>
      <c r="O13" s="30">
        <f t="shared" ca="1" si="1"/>
        <v>0</v>
      </c>
    </row>
    <row r="14" spans="1:15" x14ac:dyDescent="0.25">
      <c r="A14" s="7" t="s">
        <v>104</v>
      </c>
      <c r="B14" s="17">
        <v>0</v>
      </c>
      <c r="C14" s="17">
        <v>0</v>
      </c>
      <c r="D14" s="2">
        <v>0</v>
      </c>
      <c r="E14" s="2">
        <v>0</v>
      </c>
      <c r="F14" s="3">
        <f ca="1">SUMIF(INDIRECT("Report!I3:I55"),A14,INDIRECT("Report!G3:G55"))</f>
        <v>723000</v>
      </c>
      <c r="G14" s="3">
        <f ca="1">SUMIF(INDIRECT("Report!I58:I120"),A14,INDIRECT("Report!G58:G120"))</f>
        <v>13358800</v>
      </c>
      <c r="H14" s="3">
        <f ca="1">SUMIF(INDIRECT("Report!I120:I196"),A14,INDIRECT("Report!G120:G196"))</f>
        <v>13559000</v>
      </c>
      <c r="I14" s="3">
        <f ca="1">SUMIF(INDIRECT("Report!I198:I264"),A14,INDIRECT("Report!G198:G264"))</f>
        <v>9919000</v>
      </c>
      <c r="J14" s="3">
        <f ca="1">SUMIF(INDIRECT("Report!I266:I342"),A14,INDIRECT("Report!G266:G342"))</f>
        <v>11371600</v>
      </c>
      <c r="K14" s="3">
        <f ca="1">SUMIF(INDIRECT("Report!I344:I407"),A14,INDIRECT("Report!G344:G407"))</f>
        <v>9718800</v>
      </c>
      <c r="L14" s="3">
        <f ca="1">SUMIF(INDIRECT("Report!I409:I480"),A14,INDIRECT("Report!G409:G480"))</f>
        <v>9482800</v>
      </c>
      <c r="M14" s="3">
        <f ca="1">SUMIF(INDIRECT("Report!I482:I565"),A14,INDIRECT("Report!G482:G565"))</f>
        <v>9436000</v>
      </c>
      <c r="N14" s="24">
        <f t="shared" ca="1" si="0"/>
        <v>77569000</v>
      </c>
      <c r="O14" s="30">
        <f t="shared" ca="1" si="1"/>
        <v>6.3866089554582117E-2</v>
      </c>
    </row>
    <row r="15" spans="1:15" s="19" customFormat="1" x14ac:dyDescent="0.25">
      <c r="A15" s="485" t="s">
        <v>603</v>
      </c>
      <c r="B15" s="42">
        <v>150000</v>
      </c>
      <c r="C15" s="42">
        <v>7250000</v>
      </c>
      <c r="D15" s="10">
        <v>0</v>
      </c>
      <c r="E15" s="10">
        <v>1650000</v>
      </c>
      <c r="F15" s="52">
        <f ca="1">SUMIF(INDIRECT("Report!H3:H55"),A15,INDIRECT("Report!F3:F55"))</f>
        <v>0</v>
      </c>
      <c r="G15" s="3">
        <f ca="1">SUMIF(INDIRECT("Report!h58:h120"),A15,INDIRECT("Report!F58:F120"))</f>
        <v>1980000</v>
      </c>
      <c r="H15" s="3">
        <f ca="1">SUMIF(INDIRECT("Report!H120:H196"),A15,INDIRECT("Report!G120:G196"))</f>
        <v>0</v>
      </c>
      <c r="I15" s="28">
        <f ca="1">SUMIF(INDIRECT("Report!H198:H264"),A15,INDIRECT("Report!G198:G264"))</f>
        <v>17178000</v>
      </c>
      <c r="J15" s="52">
        <f ca="1">SUMIF(INDIRECT("Report!H266:H342"),A15,INDIRECT("Report!G266:G342"))</f>
        <v>9538000</v>
      </c>
      <c r="K15" s="52">
        <f ca="1">SUMIF(INDIRECT("Report!H344:H407"),A15,INDIRECT("Report!G344:G407"))</f>
        <v>1250000</v>
      </c>
      <c r="L15" s="52">
        <f ca="1">SUMIF(INDIRECT("Report!H409:H480"),A15,INDIRECT("Report!G409:G480"))</f>
        <v>10330000</v>
      </c>
      <c r="M15" s="52">
        <f ca="1">SUMIF(INDIRECT("Report!H482:H565"),A15,INDIRECT("Report!G482:G565"))</f>
        <v>250000</v>
      </c>
      <c r="N15" s="43">
        <f ca="1">SUM(B15:M15)</f>
        <v>49576000</v>
      </c>
      <c r="O15" s="486">
        <f t="shared" ca="1" si="1"/>
        <v>4.0818178083486485E-2</v>
      </c>
    </row>
    <row r="16" spans="1:15" s="19" customFormat="1" ht="17.25" thickBot="1" x14ac:dyDescent="0.3">
      <c r="A16" s="896" t="s">
        <v>1002</v>
      </c>
      <c r="B16" s="42"/>
      <c r="C16" s="42"/>
      <c r="D16" s="42"/>
      <c r="E16" s="42"/>
      <c r="F16" s="895"/>
      <c r="G16" s="17"/>
      <c r="H16" s="17"/>
      <c r="I16" s="42"/>
      <c r="J16" s="895"/>
      <c r="K16" s="895"/>
      <c r="L16" s="20">
        <f ca="1">SUMIF(INDIRECT("Report!I409:I480"),A16,INDIRECT("Report!G409:G480"))</f>
        <v>240000000</v>
      </c>
      <c r="M16" s="52">
        <f ca="1">SUMIF(INDIRECT("Report!I482:I565"),A16,INDIRECT("Report!G482:G565"))</f>
        <v>27400000</v>
      </c>
      <c r="N16" s="43">
        <f ca="1">SUM(B16:M16)</f>
        <v>267400000</v>
      </c>
      <c r="O16" s="486">
        <f t="shared" ca="1" si="1"/>
        <v>0.22016259519776277</v>
      </c>
    </row>
    <row r="17" spans="1:16" ht="17.25" thickTop="1" x14ac:dyDescent="0.25">
      <c r="A17" s="18" t="s">
        <v>1003</v>
      </c>
      <c r="B17" s="9">
        <f t="shared" ref="B17:M17" si="2">SUM(B4:B16)*1.1</f>
        <v>91183950</v>
      </c>
      <c r="C17" s="9">
        <f t="shared" si="2"/>
        <v>120288300.00000001</v>
      </c>
      <c r="D17" s="9">
        <f t="shared" si="2"/>
        <v>74016800</v>
      </c>
      <c r="E17" s="9">
        <f t="shared" si="2"/>
        <v>152866824</v>
      </c>
      <c r="F17" s="9">
        <f t="shared" ca="1" si="2"/>
        <v>160721220</v>
      </c>
      <c r="G17" s="9">
        <f t="shared" ca="1" si="2"/>
        <v>121763246.00000001</v>
      </c>
      <c r="H17" s="9">
        <f t="shared" ca="1" si="2"/>
        <v>164893300</v>
      </c>
      <c r="I17" s="9">
        <f t="shared" ca="1" si="2"/>
        <v>86982500</v>
      </c>
      <c r="J17" s="9">
        <f t="shared" ca="1" si="2"/>
        <v>121334510.00000001</v>
      </c>
      <c r="K17" s="9">
        <f t="shared" ca="1" si="2"/>
        <v>48251280.000000007</v>
      </c>
      <c r="L17" s="9">
        <f t="shared" ca="1" si="2"/>
        <v>380435114.40000004</v>
      </c>
      <c r="M17" s="9">
        <f t="shared" ca="1" si="2"/>
        <v>107415550.00000001</v>
      </c>
      <c r="N17" s="25">
        <f ca="1">SUM(N4:N15)</f>
        <v>1214556904</v>
      </c>
      <c r="O17" s="30">
        <f t="shared" ca="1" si="1"/>
        <v>1</v>
      </c>
    </row>
    <row r="18" spans="1:16" ht="10.5" customHeight="1" x14ac:dyDescent="0.25"/>
    <row r="19" spans="1:16" ht="23.25" customHeight="1" x14ac:dyDescent="0.25">
      <c r="A19" s="12" t="s">
        <v>41</v>
      </c>
    </row>
    <row r="20" spans="1:16" x14ac:dyDescent="0.25">
      <c r="A20" s="13"/>
      <c r="B20" s="14">
        <v>2017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P20" s="5" t="s">
        <v>54</v>
      </c>
    </row>
    <row r="21" spans="1:16" x14ac:dyDescent="0.25">
      <c r="A21" s="15" t="s">
        <v>30</v>
      </c>
      <c r="B21" s="16">
        <v>1</v>
      </c>
      <c r="C21" s="16">
        <v>2</v>
      </c>
      <c r="D21" s="16">
        <v>3</v>
      </c>
      <c r="E21" s="16">
        <v>4</v>
      </c>
      <c r="F21" s="16">
        <v>5</v>
      </c>
      <c r="G21" s="16">
        <v>6</v>
      </c>
      <c r="H21" s="16">
        <v>7</v>
      </c>
      <c r="I21" s="16">
        <v>8</v>
      </c>
      <c r="J21" s="16">
        <v>9</v>
      </c>
      <c r="K21" s="16">
        <v>10</v>
      </c>
      <c r="L21" s="16">
        <v>11</v>
      </c>
      <c r="M21" s="16">
        <v>12</v>
      </c>
      <c r="N21" s="16" t="s">
        <v>31</v>
      </c>
      <c r="O21" s="5" t="s">
        <v>51</v>
      </c>
      <c r="P21" s="5" t="s">
        <v>44</v>
      </c>
    </row>
    <row r="22" spans="1:16" x14ac:dyDescent="0.25">
      <c r="A22" s="8" t="s">
        <v>33</v>
      </c>
      <c r="B22" s="3">
        <v>3416500</v>
      </c>
      <c r="C22" s="3">
        <v>2287800</v>
      </c>
      <c r="D22" s="2">
        <v>3407500</v>
      </c>
      <c r="E22" s="2">
        <v>3424500</v>
      </c>
      <c r="F22" s="3">
        <f ca="1">SUMIF(INDIRECT("Report!I3:I55"),A22,INDIRECT("Report!J3:J55"))</f>
        <v>1763500</v>
      </c>
      <c r="G22" s="3">
        <f ca="1">SUMIF(INDIRECT("Report!I58:I119"),A22,INDIRECT("Report!J58:J119"))</f>
        <v>3290200</v>
      </c>
      <c r="H22" s="3">
        <f ca="1">SUMIF(INDIRECT("Report!I120:I196"),A22,INDIRECT("Report!J120:J196"))</f>
        <v>2291000</v>
      </c>
      <c r="I22" s="3">
        <f ca="1">SUMIF(INDIRECT("Report!I198:I264"),A22,INDIRECT("Report!J198:J264"))</f>
        <v>2371500</v>
      </c>
      <c r="J22" s="3">
        <f ca="1">SUMIF(INDIRECT("Report!I266:I342"),A22,INDIRECT("Report!J266:J342"))</f>
        <v>3492500</v>
      </c>
      <c r="K22" s="3">
        <f ca="1">SUMIF(INDIRECT("Report!I344:I407"),A22,INDIRECT("Report!J344:J407"))</f>
        <v>836000</v>
      </c>
      <c r="L22" s="3">
        <f ca="1">SUMIF(INDIRECT("Report!I409:I480"),A22,INDIRECT("Report!J409:J480"))</f>
        <v>1934000</v>
      </c>
      <c r="M22" s="3">
        <f ca="1">SUMIF(INDIRECT("Report!I482:I565"),A22,INDIRECT("Report!J482:J565"))</f>
        <v>2431800</v>
      </c>
      <c r="N22" s="23">
        <f t="shared" ref="N22:N32" ca="1" si="3">SUM(B22:M22)</f>
        <v>30946800</v>
      </c>
      <c r="O22" s="30">
        <f t="shared" ref="O22:O33" ca="1" si="4">N22/$N$34</f>
        <v>6.9111685695034258E-2</v>
      </c>
      <c r="P22" s="30">
        <f t="shared" ref="P22:P33" ca="1" si="5">N22/N4</f>
        <v>0.23705757762619165</v>
      </c>
    </row>
    <row r="23" spans="1:16" x14ac:dyDescent="0.25">
      <c r="A23" s="8" t="s">
        <v>46</v>
      </c>
      <c r="B23" s="3">
        <v>4546000</v>
      </c>
      <c r="C23" s="3">
        <v>2474000</v>
      </c>
      <c r="D23" s="2">
        <v>995000</v>
      </c>
      <c r="E23" s="2">
        <v>1967000</v>
      </c>
      <c r="F23" s="3">
        <f ca="1">SUMIF(INDIRECT("Report!I3:I55"),A23,INDIRECT("Report!J3:J55"))</f>
        <v>2980000</v>
      </c>
      <c r="G23" s="3">
        <f ca="1">SUMIF(INDIRECT("Report!I58:I120"),A23,INDIRECT("Report!J58:J120"))</f>
        <v>2730000</v>
      </c>
      <c r="H23" s="3">
        <f ca="1">SUMIF(INDIRECT("Report!I120:I196"),A23,INDIRECT("Report!J120:J196"))</f>
        <v>3020000</v>
      </c>
      <c r="I23" s="3">
        <f ca="1">SUMIF(INDIRECT("Report!I198:I264"),A23,INDIRECT("Report!J198:J264"))</f>
        <v>1085000</v>
      </c>
      <c r="J23" s="3">
        <f ca="1">SUMIF(INDIRECT("Report!I266:I342"),A23,INDIRECT("Report!J266:J342"))</f>
        <v>1730000</v>
      </c>
      <c r="K23" s="3">
        <f ca="1">SUMIF(INDIRECT("Report!I344:I407"),A23,INDIRECT("Report!J344:J407"))</f>
        <v>1355000</v>
      </c>
      <c r="L23" s="3">
        <f ca="1">SUMIF(INDIRECT("Report!I409:I480"),A23,INDIRECT("Report!J409:J480"))</f>
        <v>758000</v>
      </c>
      <c r="M23" s="3">
        <f ca="1">SUMIF(INDIRECT("Report!I482:I565"),A23,INDIRECT("Report!J482:J565"))</f>
        <v>1470000</v>
      </c>
      <c r="N23" s="23">
        <f t="shared" ca="1" si="3"/>
        <v>25110000</v>
      </c>
      <c r="O23" s="30">
        <f t="shared" ca="1" si="4"/>
        <v>5.6076700266338049E-2</v>
      </c>
      <c r="P23" s="30">
        <f t="shared" ca="1" si="5"/>
        <v>0.26635296913021062</v>
      </c>
    </row>
    <row r="24" spans="1:16" x14ac:dyDescent="0.25">
      <c r="A24" s="8" t="s">
        <v>34</v>
      </c>
      <c r="B24" s="3">
        <v>1038560</v>
      </c>
      <c r="C24" s="3">
        <v>1038560</v>
      </c>
      <c r="D24" s="2">
        <v>1046640</v>
      </c>
      <c r="E24" s="2">
        <v>477860</v>
      </c>
      <c r="F24" s="3">
        <f ca="1">SUMIF(INDIRECT("Report!I3:I55"),A24,INDIRECT("Report!J3:J55"))</f>
        <v>1021720</v>
      </c>
      <c r="G24" s="3">
        <f ca="1">SUMIF(INDIRECT("Report!I58:I120"),A24,INDIRECT("Report!J58:J120"))</f>
        <v>510860</v>
      </c>
      <c r="H24" s="3">
        <f ca="1">SUMIF(INDIRECT("Report!I120:I196"),A24,INDIRECT("Report!J120:J196"))</f>
        <v>980640</v>
      </c>
      <c r="I24" s="3">
        <f ca="1">SUMIF(INDIRECT("Report!I198:I264"),A24,INDIRECT("Report!J198:J264"))</f>
        <v>477860</v>
      </c>
      <c r="J24" s="3">
        <f ca="1">SUMIF(INDIRECT("Report!I266:I342"),A24,INDIRECT("Report!J266:J342"))</f>
        <v>493860</v>
      </c>
      <c r="K24" s="3">
        <f ca="1">SUMIF(INDIRECT("Report!I344:I407"),A24,INDIRECT("Report!J344:J407"))</f>
        <v>1020720</v>
      </c>
      <c r="L24" s="3">
        <f ca="1">SUMIF(INDIRECT("Report!I409:I480"),A24,INDIRECT("Report!J409:J480"))</f>
        <v>510860</v>
      </c>
      <c r="M24" s="3">
        <f ca="1">SUMIF(INDIRECT("Report!I482:I565"),A24,INDIRECT("Report!J482:J565"))</f>
        <v>1499580</v>
      </c>
      <c r="N24" s="23">
        <f t="shared" ca="1" si="3"/>
        <v>10117720</v>
      </c>
      <c r="O24" s="30">
        <f t="shared" ca="1" si="4"/>
        <v>2.2595314688121617E-2</v>
      </c>
      <c r="P24" s="30">
        <f t="shared" ca="1" si="5"/>
        <v>0.20306105246256975</v>
      </c>
    </row>
    <row r="25" spans="1:16" x14ac:dyDescent="0.25">
      <c r="A25" s="8" t="s">
        <v>35</v>
      </c>
      <c r="B25" s="3">
        <v>922500</v>
      </c>
      <c r="C25" s="3">
        <v>585000</v>
      </c>
      <c r="D25" s="2">
        <v>1712500</v>
      </c>
      <c r="E25" s="2">
        <v>65000</v>
      </c>
      <c r="F25" s="3">
        <f ca="1">SUMIF(INDIRECT("Report!I3:I55"),A25,INDIRECT("Report!J3:J55"))</f>
        <v>1712500</v>
      </c>
      <c r="G25" s="3">
        <f ca="1">SUMIF(INDIRECT("Report!I58:I120"),A25,INDIRECT("Report!J58:J120"))</f>
        <v>1117500</v>
      </c>
      <c r="H25" s="3">
        <f ca="1">SUMIF(INDIRECT("Report!I120:I196"),A25,INDIRECT("Report!J120:J196"))</f>
        <v>487500</v>
      </c>
      <c r="I25" s="3">
        <f ca="1">SUMIF(INDIRECT("Report!I198:I264"),A25,INDIRECT("Report!J198:J264"))</f>
        <v>612500</v>
      </c>
      <c r="J25" s="3">
        <f ca="1">SUMIF(INDIRECT("Report!I266:I342"),A25,INDIRECT("Report!J266:J342"))</f>
        <v>1972500</v>
      </c>
      <c r="K25" s="3">
        <f ca="1">SUMIF(INDIRECT("Report!I344:I407"),A25,INDIRECT("Report!J344:J407"))</f>
        <v>612500</v>
      </c>
      <c r="L25" s="3">
        <f ca="1">SUMIF(INDIRECT("Report!I409:I480"),A25,INDIRECT("Report!J409:J480"))</f>
        <v>1720000</v>
      </c>
      <c r="M25" s="3">
        <f ca="1">SUMIF(INDIRECT("Report!I482:I565"),A25,INDIRECT("Report!J482:J565"))</f>
        <v>1882500</v>
      </c>
      <c r="N25" s="23">
        <f t="shared" ca="1" si="3"/>
        <v>13402500</v>
      </c>
      <c r="O25" s="30">
        <f t="shared" ca="1" si="4"/>
        <v>2.9931022513723444E-2</v>
      </c>
      <c r="P25" s="30">
        <f t="shared" ca="1" si="5"/>
        <v>0.44419587372607505</v>
      </c>
    </row>
    <row r="26" spans="1:16" s="19" customFormat="1" x14ac:dyDescent="0.25">
      <c r="A26" s="39" t="s">
        <v>40</v>
      </c>
      <c r="B26" s="28">
        <v>4250740</v>
      </c>
      <c r="C26" s="28">
        <v>17656412.864</v>
      </c>
      <c r="D26" s="10">
        <v>4691140</v>
      </c>
      <c r="E26" s="10">
        <v>7084000</v>
      </c>
      <c r="F26" s="52">
        <f ca="1">SUMIF(INDIRECT("Report!H3:H55"),A26,INDIRECT("Report!J3:J55"))</f>
        <v>4024340</v>
      </c>
      <c r="G26" s="3">
        <f ca="1">SUMIF(INDIRECT("Report!h58:h120"),A26,INDIRECT("Report!J58:J120"))</f>
        <v>6635000</v>
      </c>
      <c r="H26" s="3">
        <f ca="1">SUMIF(INDIRECT("Report!H120:H196"),A26,INDIRECT("Report!J120:J196"))</f>
        <v>52854000</v>
      </c>
      <c r="I26" s="28">
        <f ca="1">SUMIF(INDIRECT("Report!H198:H264"),A26,INDIRECT("Report!J198:J264"))</f>
        <v>15160000</v>
      </c>
      <c r="J26" s="52">
        <f ca="1">SUMIF(INDIRECT("Report!H266:H342"),A26,INDIRECT("Report!J266:J342"))</f>
        <v>531000</v>
      </c>
      <c r="K26" s="52">
        <f ca="1">SUMIF(INDIRECT("Report!H344:H407"),A26,INDIRECT("Report!J344:J407"))</f>
        <v>7959288.767461773</v>
      </c>
      <c r="L26" s="52">
        <f ca="1">SUMIF(INDIRECT("Report!H409:H480"),A26,INDIRECT("Report!J409:J480"))</f>
        <v>7911000</v>
      </c>
      <c r="M26" s="3">
        <f ca="1">SUMIF(INDIRECT("Report!H482:H565"),A26,INDIRECT("Report!J482:J565"))</f>
        <v>8005000</v>
      </c>
      <c r="N26" s="40">
        <f t="shared" ca="1" si="3"/>
        <v>136761921.63146177</v>
      </c>
      <c r="O26" s="41">
        <f t="shared" ca="1" si="4"/>
        <v>0.30542243278279152</v>
      </c>
      <c r="P26" s="41">
        <f t="shared" ca="1" si="5"/>
        <v>0.73143713735626181</v>
      </c>
    </row>
    <row r="27" spans="1:16" x14ac:dyDescent="0.25">
      <c r="A27" s="8" t="s">
        <v>36</v>
      </c>
      <c r="B27" s="3">
        <v>2396000</v>
      </c>
      <c r="C27" s="3">
        <v>12634525.969999999</v>
      </c>
      <c r="D27" s="11">
        <v>5058500</v>
      </c>
      <c r="E27" s="2">
        <v>10324624</v>
      </c>
      <c r="F27" s="3">
        <f ca="1">SUMIF(INDIRECT("Report!I3:I55"),A27,INDIRECT("Report!J3:J55"))</f>
        <v>850000</v>
      </c>
      <c r="G27" s="3">
        <f ca="1">SUMIF(INDIRECT("Report!I58:I120"),A27,INDIRECT("Report!J58:J120"))</f>
        <v>1406200</v>
      </c>
      <c r="H27" s="224">
        <f ca="1">SUMIF(INDIRECT("Report!I120:I196"),A27,INDIRECT("Report!J120:J196"))+9708427</f>
        <v>11248027</v>
      </c>
      <c r="I27" s="3">
        <f ca="1">SUMIF(INDIRECT("Report!I198:I264"),A27,INDIRECT("Report!J198:J264"))</f>
        <v>1198600</v>
      </c>
      <c r="J27" s="3">
        <f ca="1">SUMIF(INDIRECT("Report!I266:I342"),A27,INDIRECT("Report!J266:J342"))</f>
        <v>1746000</v>
      </c>
      <c r="K27" s="3">
        <f ca="1">SUMIF(INDIRECT("Report!I344:I407"),A27,INDIRECT("Report!J344:J407"))</f>
        <v>1118000</v>
      </c>
      <c r="L27" s="3">
        <f ca="1">SUMIF(INDIRECT("Report!I409:I480"),A27,INDIRECT("Report!J409:J480"))+SUMIF(INDIRECT("Report!H409:H480"),A27,INDIRECT("Report!J409:J480"))</f>
        <v>59483344</v>
      </c>
      <c r="M27" s="3">
        <f ca="1">SUMIF(INDIRECT("Report!I482:I565"),A27,INDIRECT("Report!J482:J565"))</f>
        <v>1405800</v>
      </c>
      <c r="N27" s="23">
        <f t="shared" ca="1" si="3"/>
        <v>108869620.97</v>
      </c>
      <c r="O27" s="30">
        <f t="shared" ca="1" si="4"/>
        <v>0.24313218252666352</v>
      </c>
      <c r="P27" s="30">
        <f t="shared" ca="1" si="5"/>
        <v>0.41694142809251517</v>
      </c>
    </row>
    <row r="28" spans="1:16" x14ac:dyDescent="0.25">
      <c r="A28" s="8" t="s">
        <v>37</v>
      </c>
      <c r="B28" s="3">
        <v>1860000</v>
      </c>
      <c r="C28" s="3">
        <v>-757000</v>
      </c>
      <c r="D28" s="11"/>
      <c r="E28" s="2"/>
      <c r="F28" s="3">
        <f ca="1">SUMIF(INDIRECT("Report!I3:I55"),A28,INDIRECT("Report!J3:J55"))</f>
        <v>2482094</v>
      </c>
      <c r="G28" s="3">
        <f ca="1">SUMIF(INDIRECT("Report!I58:I120"),A28,INDIRECT("Report!J58:J120"))</f>
        <v>200000</v>
      </c>
      <c r="H28" s="3">
        <f ca="1">SUMIF(INDIRECT("Report!I120:I196"),A28,INDIRECT("Report!J120:J196"))</f>
        <v>500000</v>
      </c>
      <c r="I28" s="3">
        <f ca="1">SUMIF(INDIRECT("Report!I198:I264"),A28,INDIRECT("Report!J198:J264"))</f>
        <v>84000</v>
      </c>
      <c r="J28" s="3">
        <f ca="1">SUMIF(INDIRECT("Report!I266:I342"),A28,INDIRECT("Report!J266:J342"))</f>
        <v>255000</v>
      </c>
      <c r="K28" s="3">
        <f ca="1">SUMIF(INDIRECT("Report!I344:I407"),A28,INDIRECT("Report!J344:J407"))</f>
        <v>0</v>
      </c>
      <c r="L28" s="3">
        <f ca="1">SUMIF(INDIRECT("Report!I409:I480"),A28,INDIRECT("Report!J409:J480"))</f>
        <v>0</v>
      </c>
      <c r="M28" s="3">
        <f ca="1">SUMIF(INDIRECT("Report!I482:I565"),A28,INDIRECT("Report!J482:J565"))</f>
        <v>2000000</v>
      </c>
      <c r="N28" s="23">
        <f t="shared" ca="1" si="3"/>
        <v>6624094</v>
      </c>
      <c r="O28" s="30">
        <f t="shared" ca="1" si="4"/>
        <v>1.4793203256632746E-2</v>
      </c>
      <c r="P28" s="30">
        <f t="shared" ca="1" si="5"/>
        <v>0.17350552674315051</v>
      </c>
    </row>
    <row r="29" spans="1:16" s="19" customFormat="1" x14ac:dyDescent="0.25">
      <c r="A29" s="39" t="s">
        <v>39</v>
      </c>
      <c r="B29" s="28">
        <v>3528562</v>
      </c>
      <c r="C29" s="28">
        <v>1064898.8799999999</v>
      </c>
      <c r="D29" s="10">
        <v>742670</v>
      </c>
      <c r="E29" s="44">
        <f>(Technotrans!E124)</f>
        <v>6544755.1669188971</v>
      </c>
      <c r="F29" s="6">
        <f ca="1">Technotrans!E130</f>
        <v>11831906.120114688</v>
      </c>
      <c r="G29" s="20">
        <f ca="1">Technotrans!E138</f>
        <v>7551889.7129664151</v>
      </c>
      <c r="H29" s="3">
        <f ca="1">SUMIF(INDIRECT("Report!H120:H196"),A29,INDIRECT("Report!J120:J196"))</f>
        <v>310468</v>
      </c>
      <c r="I29" s="28">
        <f ca="1">SUMIF(INDIRECT("Report!H198:H264"),A29,INDIRECT("Report!J198:J264"))</f>
        <v>5326373.46</v>
      </c>
      <c r="J29" s="52">
        <f ca="1">SUMIF(INDIRECT("Report!H266:H342"),A29,INDIRECT("Report!J266:J342"))</f>
        <v>5748662</v>
      </c>
      <c r="K29" s="52">
        <f ca="1">SUMIF(INDIRECT("Report!H344:H407"),A29,INDIRECT("Report!J344:J407"))</f>
        <v>812695</v>
      </c>
      <c r="L29" s="52">
        <f ca="1">SUMIF(INDIRECT("Report!H409:H480"),A29,INDIRECT("Report!J409:J480"))</f>
        <v>2380000</v>
      </c>
      <c r="M29" s="3">
        <f ca="1">SUMIF(INDIRECT("Report!H482:H565"),A29,INDIRECT("Report!J482:J565"))</f>
        <v>2325000</v>
      </c>
      <c r="N29" s="40">
        <f t="shared" ca="1" si="3"/>
        <v>48167880.339999996</v>
      </c>
      <c r="O29" s="41">
        <f t="shared" ca="1" si="4"/>
        <v>0.10757052123819263</v>
      </c>
      <c r="P29" s="41">
        <f t="shared" ca="1" si="5"/>
        <v>0.20794679375709085</v>
      </c>
    </row>
    <row r="30" spans="1:16" x14ac:dyDescent="0.25">
      <c r="A30" s="27" t="s">
        <v>38</v>
      </c>
      <c r="B30" s="17">
        <v>1455000</v>
      </c>
      <c r="C30" s="17">
        <v>1066000</v>
      </c>
      <c r="D30" s="2">
        <v>905000</v>
      </c>
      <c r="E30" s="2">
        <v>674000</v>
      </c>
      <c r="F30" s="3">
        <f ca="1">SUMIF(INDIRECT("Report!I3:I55"),A30,INDIRECT("Report!J3:J55"))</f>
        <v>1213500</v>
      </c>
      <c r="G30" s="3">
        <f ca="1">SUMIF(INDIRECT("Report!I58:I120"),A30,INDIRECT("Report!J58:J120"))</f>
        <v>2234000</v>
      </c>
      <c r="H30" s="3">
        <f ca="1">SUMIF(INDIRECT("Report!I120:I196"),A30,INDIRECT("Report!J120:J196"))</f>
        <v>872500</v>
      </c>
      <c r="I30" s="3">
        <f ca="1">SUMIF(INDIRECT("Report!I198:I264"),A30,INDIRECT("Report!J198:J264"))</f>
        <v>872000</v>
      </c>
      <c r="J30" s="3">
        <f ca="1">SUMIF(INDIRECT("Report!I266:I342"),A30,INDIRECT("Report!J266:J342"))</f>
        <v>1372000</v>
      </c>
      <c r="K30" s="3">
        <f ca="1">SUMIF(INDIRECT("Report!I344:I407"),A30,INDIRECT("Report!J344:J407"))</f>
        <v>1104000</v>
      </c>
      <c r="L30" s="3">
        <f ca="1">SUMIF(INDIRECT("Report!I409:I480"),A30,INDIRECT("Report!J409:J480"))</f>
        <v>2381000</v>
      </c>
      <c r="M30" s="3">
        <f ca="1">SUMIF(INDIRECT("Report!I482:I565"),A30,INDIRECT("Report!J482:J565"))</f>
        <v>2605000</v>
      </c>
      <c r="N30" s="24">
        <f t="shared" ca="1" si="3"/>
        <v>16754000</v>
      </c>
      <c r="O30" s="30">
        <f t="shared" ca="1" si="4"/>
        <v>3.7415732228682899E-2</v>
      </c>
      <c r="P30" s="30">
        <f t="shared" ca="1" si="5"/>
        <v>0.25899302818098902</v>
      </c>
    </row>
    <row r="31" spans="1:16" x14ac:dyDescent="0.25">
      <c r="A31" s="29" t="s">
        <v>32</v>
      </c>
      <c r="B31" s="17">
        <v>0</v>
      </c>
      <c r="C31" s="17">
        <v>0</v>
      </c>
      <c r="D31" s="2">
        <v>0</v>
      </c>
      <c r="E31" s="2">
        <v>0</v>
      </c>
      <c r="F31" s="17">
        <v>0</v>
      </c>
      <c r="G31" s="17">
        <v>0</v>
      </c>
      <c r="H31" s="3">
        <f ca="1">SUMIF(INDIRECT("Report!I120:I196"),A31,INDIRECT("Report!J120:J196"))</f>
        <v>0</v>
      </c>
      <c r="I31" s="17">
        <v>0</v>
      </c>
      <c r="J31" s="3">
        <f ca="1">SUMIF(INDIRECT("Report!I266:I342"),A31,INDIRECT("Report!J266:J342"))</f>
        <v>0</v>
      </c>
      <c r="K31" s="3">
        <f ca="1">SUMIF(INDIRECT("Report!I344:I407"),A31,INDIRECT("Report!J344:J407"))</f>
        <v>0</v>
      </c>
      <c r="L31" s="3">
        <f ca="1">SUMIF(INDIRECT("Report!I409:I480"),A31,INDIRECT("Report!J409:J480"))</f>
        <v>0</v>
      </c>
      <c r="M31" s="3">
        <f ca="1">SUMIF(INDIRECT("Report!I482:I565"),A31,INDIRECT("Report!J482:J565"))</f>
        <v>0</v>
      </c>
      <c r="N31" s="24">
        <f t="shared" ca="1" si="3"/>
        <v>0</v>
      </c>
      <c r="O31" s="30">
        <f t="shared" ca="1" si="4"/>
        <v>0</v>
      </c>
      <c r="P31" s="30" t="e">
        <f t="shared" ca="1" si="5"/>
        <v>#DIV/0!</v>
      </c>
    </row>
    <row r="32" spans="1:16" x14ac:dyDescent="0.25">
      <c r="A32" s="7" t="s">
        <v>104</v>
      </c>
      <c r="B32" s="17">
        <v>0</v>
      </c>
      <c r="C32" s="17">
        <v>0</v>
      </c>
      <c r="D32" s="2">
        <v>0</v>
      </c>
      <c r="E32" s="2">
        <v>0</v>
      </c>
      <c r="F32" s="3">
        <f ca="1">SUMIF(INDIRECT("Report!I3:I55"),A32,INDIRECT("Report!J3:J55"))</f>
        <v>79700</v>
      </c>
      <c r="G32" s="3">
        <f ca="1">SUMIF(INDIRECT("Report!I58:I120"),A32,INDIRECT("Report!J58:J120"))</f>
        <v>1383360</v>
      </c>
      <c r="H32" s="3">
        <f ca="1">SUMIF(INDIRECT("Report!I120:I196"),A32,INDIRECT("Report!J120:J196"))</f>
        <v>1502120</v>
      </c>
      <c r="I32" s="3">
        <f ca="1">SUMIF(INDIRECT("Report!I198:I264"),A32,INDIRECT("Report!J198:J264"))</f>
        <v>1058040</v>
      </c>
      <c r="J32" s="3">
        <f ca="1">SUMIF(INDIRECT("Report!I266:I342"),A32,INDIRECT("Report!J266:J342"))</f>
        <v>1214080</v>
      </c>
      <c r="K32" s="3">
        <f ca="1">SUMIF(INDIRECT("Report!I344:I407"),A32,INDIRECT("Report!J344:J407"))</f>
        <v>1054680</v>
      </c>
      <c r="L32" s="3">
        <f ca="1">SUMIF(INDIRECT("Report!I409:I480"),A32,INDIRECT("Report!J409:J480"))</f>
        <v>1020760</v>
      </c>
      <c r="M32" s="3">
        <f ca="1">SUMIF(INDIRECT("Report!I482:I565"),A32,INDIRECT("Report!J482:J565"))</f>
        <v>966280</v>
      </c>
      <c r="N32" s="24">
        <f t="shared" ca="1" si="3"/>
        <v>8279020</v>
      </c>
      <c r="O32" s="30">
        <f t="shared" ca="1" si="4"/>
        <v>1.8489053087973637E-2</v>
      </c>
      <c r="P32" s="30">
        <f t="shared" ca="1" si="5"/>
        <v>0.1067310394616406</v>
      </c>
    </row>
    <row r="33" spans="1:16" s="19" customFormat="1" ht="17.25" thickBot="1" x14ac:dyDescent="0.3">
      <c r="A33" s="485" t="s">
        <v>603</v>
      </c>
      <c r="B33" s="42">
        <v>150000</v>
      </c>
      <c r="C33" s="42">
        <v>7250000</v>
      </c>
      <c r="D33" s="10">
        <v>0</v>
      </c>
      <c r="E33" s="10">
        <v>1650000</v>
      </c>
      <c r="F33" s="52">
        <f ca="1">SUMIF(INDIRECT("Report!H3:H55"),A33,INDIRECT("Report!J3:J55"))</f>
        <v>0</v>
      </c>
      <c r="G33" s="3">
        <f ca="1">SUMIF(INDIRECT("Report!h58:h120"),A33,INDIRECT("Report!J58:J120"))</f>
        <v>1800000</v>
      </c>
      <c r="H33" s="3">
        <f ca="1">SUMIF(INDIRECT("Report!H120:H196"),A33,INDIRECT("Report!J120:J196"))</f>
        <v>0</v>
      </c>
      <c r="I33" s="42">
        <f ca="1">I15</f>
        <v>17178000</v>
      </c>
      <c r="J33" s="52">
        <f ca="1">J15</f>
        <v>9538000</v>
      </c>
      <c r="K33" s="52">
        <f ca="1">SUMIF(INDIRECT("Report!H344:H407"),A33,INDIRECT("Report!J344:J407"))</f>
        <v>1250000</v>
      </c>
      <c r="L33" s="52">
        <f ca="1">SUMIF(INDIRECT("Report!H409:H480"),A33,INDIRECT("Report!J409:J480"))</f>
        <v>3680000</v>
      </c>
      <c r="M33" s="3">
        <f ca="1">SUMIF(INDIRECT("Report!H482:H565"),A33,INDIRECT("Report!J482:J565"))</f>
        <v>250000</v>
      </c>
      <c r="N33" s="43">
        <f ca="1">SUM(B33:M33)</f>
        <v>42746000</v>
      </c>
      <c r="O33" s="486">
        <f t="shared" ca="1" si="4"/>
        <v>9.5462151715845725E-2</v>
      </c>
      <c r="P33" s="41">
        <f t="shared" ca="1" si="5"/>
        <v>0.86223172502823942</v>
      </c>
    </row>
    <row r="34" spans="1:16" ht="17.25" thickTop="1" x14ac:dyDescent="0.25">
      <c r="A34" s="18" t="s">
        <v>42</v>
      </c>
      <c r="B34" s="9">
        <f t="shared" ref="B34:M34" si="6">SUM(B22:B33)*1.1</f>
        <v>25920248.200000003</v>
      </c>
      <c r="C34" s="9">
        <f t="shared" si="6"/>
        <v>49830217.485400006</v>
      </c>
      <c r="D34" s="9">
        <f t="shared" si="6"/>
        <v>20414845</v>
      </c>
      <c r="E34" s="9">
        <f t="shared" si="6"/>
        <v>35432913.083610788</v>
      </c>
      <c r="F34" s="9">
        <f t="shared" ca="1" si="6"/>
        <v>30755186.13212616</v>
      </c>
      <c r="G34" s="9">
        <f t="shared" ca="1" si="6"/>
        <v>31744910.684263062</v>
      </c>
      <c r="H34" s="9">
        <f t="shared" ca="1" si="6"/>
        <v>81472880.5</v>
      </c>
      <c r="I34" s="9">
        <f t="shared" ca="1" si="6"/>
        <v>49966260.806000002</v>
      </c>
      <c r="J34" s="9">
        <f t="shared" ca="1" si="6"/>
        <v>30902962.200000003</v>
      </c>
      <c r="K34" s="9">
        <f t="shared" ca="1" si="6"/>
        <v>18835172.144207951</v>
      </c>
      <c r="L34" s="9">
        <f t="shared" ca="1" si="6"/>
        <v>89956860.400000006</v>
      </c>
      <c r="M34" s="9">
        <f t="shared" ca="1" si="6"/>
        <v>27325056.000000004</v>
      </c>
      <c r="N34" s="25">
        <f ca="1">SUM(N22:N33)</f>
        <v>447779556.94146174</v>
      </c>
      <c r="O34" s="30">
        <f ca="1">SUM(O22:O33)</f>
        <v>1</v>
      </c>
    </row>
    <row r="35" spans="1:16" x14ac:dyDescent="0.25">
      <c r="A35" s="21" t="s">
        <v>43</v>
      </c>
      <c r="B35" s="22">
        <f t="shared" ref="B35:N35" si="7">B34/B17</f>
        <v>0.28426327440300625</v>
      </c>
      <c r="C35" s="22">
        <f t="shared" si="7"/>
        <v>0.41425656099055352</v>
      </c>
      <c r="D35" s="22">
        <f t="shared" si="7"/>
        <v>0.27581366662703605</v>
      </c>
      <c r="E35" s="22">
        <f t="shared" si="7"/>
        <v>0.23178942399961674</v>
      </c>
      <c r="F35" s="22">
        <f t="shared" ca="1" si="7"/>
        <v>0.19135734616826677</v>
      </c>
      <c r="G35" s="22">
        <f t="shared" ca="1" si="7"/>
        <v>0.26071012170834423</v>
      </c>
      <c r="H35" s="22">
        <f t="shared" ca="1" si="7"/>
        <v>0.49409454780758222</v>
      </c>
      <c r="I35" s="22">
        <f t="shared" ca="1" si="7"/>
        <v>0.57444038520392038</v>
      </c>
      <c r="J35" s="22">
        <f t="shared" ca="1" si="7"/>
        <v>0.25469227345130419</v>
      </c>
      <c r="K35" s="22">
        <f ca="1">K34/K17</f>
        <v>0.39035590650046897</v>
      </c>
      <c r="L35" s="22">
        <f t="shared" ca="1" si="7"/>
        <v>0.23645782682777508</v>
      </c>
      <c r="M35" s="22">
        <f t="shared" ca="1" si="7"/>
        <v>0.25438640867174261</v>
      </c>
      <c r="N35" s="26">
        <f t="shared" ca="1" si="7"/>
        <v>0.36867729742983019</v>
      </c>
    </row>
    <row r="36" spans="1:16" ht="9.75" customHeight="1" x14ac:dyDescent="0.2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6"/>
    </row>
    <row r="37" spans="1:16" x14ac:dyDescent="0.25">
      <c r="I37" s="37" t="s">
        <v>62</v>
      </c>
    </row>
    <row r="38" spans="1:16" x14ac:dyDescent="0.25">
      <c r="A38" s="13"/>
      <c r="B38" s="31" t="s">
        <v>58</v>
      </c>
      <c r="C38" s="31"/>
      <c r="D38" s="31"/>
      <c r="E38" s="31"/>
      <c r="F38" s="32" t="s">
        <v>59</v>
      </c>
      <c r="G38" s="31"/>
      <c r="H38" s="31"/>
      <c r="I38" s="31"/>
    </row>
    <row r="39" spans="1:16" s="5" customFormat="1" x14ac:dyDescent="0.25">
      <c r="A39" s="16" t="s">
        <v>30</v>
      </c>
      <c r="B39" s="16">
        <v>2013</v>
      </c>
      <c r="C39" s="16">
        <v>2014</v>
      </c>
      <c r="D39" s="16">
        <v>2015</v>
      </c>
      <c r="E39" s="16">
        <v>2016</v>
      </c>
      <c r="F39" s="33">
        <v>2013</v>
      </c>
      <c r="G39" s="16">
        <v>2014</v>
      </c>
      <c r="H39" s="16">
        <v>2015</v>
      </c>
      <c r="I39" s="16">
        <v>2016</v>
      </c>
    </row>
    <row r="40" spans="1:16" x14ac:dyDescent="0.25">
      <c r="A40" s="1" t="s">
        <v>33</v>
      </c>
      <c r="B40" s="3">
        <v>21270000</v>
      </c>
      <c r="C40" s="3">
        <v>106683000</v>
      </c>
      <c r="D40" s="3">
        <v>169374500</v>
      </c>
      <c r="E40" s="3">
        <v>156041000</v>
      </c>
      <c r="F40" s="34">
        <v>4474380</v>
      </c>
      <c r="G40" s="3">
        <v>19408300</v>
      </c>
      <c r="H40" s="3">
        <v>33702400</v>
      </c>
      <c r="I40" s="3">
        <v>36698800</v>
      </c>
    </row>
    <row r="41" spans="1:16" x14ac:dyDescent="0.25">
      <c r="A41" s="1" t="s">
        <v>46</v>
      </c>
      <c r="B41" s="3"/>
      <c r="C41" s="3"/>
      <c r="D41" s="3">
        <v>16645000</v>
      </c>
      <c r="E41" s="3">
        <v>254899000</v>
      </c>
      <c r="F41" s="34"/>
      <c r="G41" s="3"/>
      <c r="H41" s="3">
        <v>2891300</v>
      </c>
      <c r="I41" s="3">
        <v>48134500</v>
      </c>
    </row>
    <row r="42" spans="1:16" x14ac:dyDescent="0.25">
      <c r="A42" s="1" t="s">
        <v>34</v>
      </c>
      <c r="B42" s="3">
        <v>34629000</v>
      </c>
      <c r="C42" s="3">
        <v>53408500</v>
      </c>
      <c r="D42" s="3">
        <v>51778000</v>
      </c>
      <c r="E42" s="3">
        <v>48463000</v>
      </c>
      <c r="F42" s="34">
        <v>11489000</v>
      </c>
      <c r="G42" s="3">
        <v>14591500</v>
      </c>
      <c r="H42" s="3">
        <v>14188330</v>
      </c>
      <c r="I42" s="3">
        <v>10634320</v>
      </c>
    </row>
    <row r="43" spans="1:16" x14ac:dyDescent="0.25">
      <c r="A43" s="1" t="s">
        <v>35</v>
      </c>
      <c r="B43" s="3">
        <v>10650000</v>
      </c>
      <c r="C43" s="3">
        <v>24369000</v>
      </c>
      <c r="D43" s="3">
        <v>15203000</v>
      </c>
      <c r="E43" s="3">
        <v>26967500</v>
      </c>
      <c r="F43" s="34">
        <v>3612000</v>
      </c>
      <c r="G43" s="3">
        <v>7169000</v>
      </c>
      <c r="H43" s="3">
        <v>5463000</v>
      </c>
      <c r="I43" s="3">
        <v>10867500</v>
      </c>
    </row>
    <row r="44" spans="1:16" x14ac:dyDescent="0.25">
      <c r="A44" s="1" t="s">
        <v>40</v>
      </c>
      <c r="B44" s="3"/>
      <c r="C44" s="3"/>
      <c r="D44" s="3">
        <v>35420000</v>
      </c>
      <c r="E44" s="3">
        <v>201838500</v>
      </c>
      <c r="F44" s="34"/>
      <c r="G44" s="3"/>
      <c r="H44" s="3">
        <v>10087778.088479999</v>
      </c>
      <c r="I44" s="3">
        <v>70032843.338839024</v>
      </c>
    </row>
    <row r="45" spans="1:16" x14ac:dyDescent="0.25">
      <c r="A45" s="1" t="s">
        <v>36</v>
      </c>
      <c r="B45" s="3">
        <v>760000</v>
      </c>
      <c r="C45" s="3">
        <v>1397000</v>
      </c>
      <c r="D45" s="3">
        <v>19243000</v>
      </c>
      <c r="E45" s="3">
        <v>133305500</v>
      </c>
      <c r="F45" s="34">
        <v>219000</v>
      </c>
      <c r="G45" s="3">
        <v>573200</v>
      </c>
      <c r="H45" s="3">
        <v>5777500</v>
      </c>
      <c r="I45" s="3">
        <v>45402695</v>
      </c>
    </row>
    <row r="46" spans="1:16" x14ac:dyDescent="0.25">
      <c r="A46" s="1" t="s">
        <v>37</v>
      </c>
      <c r="B46" s="3">
        <v>10882000</v>
      </c>
      <c r="C46" s="3">
        <v>4182000</v>
      </c>
      <c r="D46" s="3">
        <v>22121000</v>
      </c>
      <c r="E46" s="3">
        <v>37684000</v>
      </c>
      <c r="F46" s="34">
        <v>6789000</v>
      </c>
      <c r="G46" s="3">
        <v>2877000</v>
      </c>
      <c r="H46" s="3">
        <v>8046000</v>
      </c>
      <c r="I46" s="3">
        <v>6291500</v>
      </c>
    </row>
    <row r="47" spans="1:16" x14ac:dyDescent="0.25">
      <c r="A47" s="1" t="s">
        <v>39</v>
      </c>
      <c r="B47" s="3"/>
      <c r="C47" s="3"/>
      <c r="D47" s="3">
        <v>25917000</v>
      </c>
      <c r="E47" s="3">
        <v>136595800</v>
      </c>
      <c r="F47" s="34"/>
      <c r="G47" s="3"/>
      <c r="H47" s="3">
        <v>12642642</v>
      </c>
      <c r="I47" s="3">
        <v>45665516.762632422</v>
      </c>
    </row>
    <row r="48" spans="1:16" x14ac:dyDescent="0.25">
      <c r="A48" s="1" t="s">
        <v>38</v>
      </c>
      <c r="B48" s="3">
        <v>9075000</v>
      </c>
      <c r="C48" s="3">
        <v>46490500</v>
      </c>
      <c r="D48" s="3">
        <v>72432000</v>
      </c>
      <c r="E48" s="3">
        <v>62378500</v>
      </c>
      <c r="F48" s="34">
        <v>2089400</v>
      </c>
      <c r="G48" s="3">
        <v>8160500</v>
      </c>
      <c r="H48" s="3">
        <v>15128000</v>
      </c>
      <c r="I48" s="3">
        <v>13338500</v>
      </c>
    </row>
    <row r="49" spans="1:9" x14ac:dyDescent="0.25">
      <c r="A49" s="1" t="s">
        <v>32</v>
      </c>
      <c r="B49" s="3"/>
      <c r="C49" s="3">
        <v>113672000</v>
      </c>
      <c r="D49" s="3">
        <v>60295450</v>
      </c>
      <c r="E49" s="3">
        <v>24330000</v>
      </c>
      <c r="F49" s="34"/>
      <c r="G49" s="3">
        <v>37322000</v>
      </c>
      <c r="H49" s="3">
        <v>16544950</v>
      </c>
      <c r="I49" s="3">
        <v>6723000</v>
      </c>
    </row>
    <row r="50" spans="1:9" ht="17.25" thickBot="1" x14ac:dyDescent="0.3">
      <c r="A50" t="s">
        <v>60</v>
      </c>
      <c r="B50" s="17"/>
      <c r="C50" s="17"/>
      <c r="D50" s="17">
        <v>4644000</v>
      </c>
      <c r="E50" s="17">
        <v>15256000</v>
      </c>
      <c r="F50" s="35"/>
      <c r="G50" s="17"/>
      <c r="H50" s="17">
        <v>2422000</v>
      </c>
      <c r="I50" s="17">
        <v>7365000</v>
      </c>
    </row>
    <row r="51" spans="1:9" ht="17.25" thickTop="1" x14ac:dyDescent="0.25">
      <c r="A51" s="18" t="s">
        <v>0</v>
      </c>
      <c r="B51" s="9">
        <v>87310000</v>
      </c>
      <c r="C51" s="9">
        <v>354923000</v>
      </c>
      <c r="D51" s="9">
        <v>501034950</v>
      </c>
      <c r="E51" s="9">
        <f>SUM(E40:E50)</f>
        <v>1097758800</v>
      </c>
      <c r="F51" s="36">
        <v>28686380</v>
      </c>
      <c r="G51" s="9">
        <v>90830500</v>
      </c>
      <c r="H51" s="9">
        <v>128452100.08848</v>
      </c>
      <c r="I51" s="9">
        <f>SUM(I40:I50)</f>
        <v>301154175.10147142</v>
      </c>
    </row>
    <row r="58" spans="1:9" x14ac:dyDescent="0.25">
      <c r="A58" s="1229"/>
      <c r="B58" s="1229"/>
      <c r="C58" s="5"/>
      <c r="D58" s="5"/>
      <c r="E58" s="5"/>
      <c r="F58" s="5"/>
      <c r="G58" s="1229"/>
      <c r="H58" s="1229"/>
      <c r="I58" s="5"/>
    </row>
    <row r="77" spans="1:8" x14ac:dyDescent="0.25">
      <c r="A77" s="1229"/>
      <c r="B77" s="1229"/>
      <c r="C77" s="5"/>
      <c r="D77" s="5"/>
      <c r="E77" s="5"/>
      <c r="F77" s="5"/>
      <c r="G77" s="1230"/>
      <c r="H77" s="1230"/>
    </row>
    <row r="245" spans="4:23" ht="20.25" x14ac:dyDescent="0.25">
      <c r="D245" s="1231" t="s">
        <v>283</v>
      </c>
      <c r="E245" s="1231"/>
      <c r="F245" s="1231"/>
      <c r="I245" s="1228" t="s">
        <v>282</v>
      </c>
      <c r="J245" s="1228"/>
      <c r="K245" s="1228"/>
      <c r="L245" s="51"/>
      <c r="M245" s="1228" t="s">
        <v>94</v>
      </c>
      <c r="N245" s="1228"/>
      <c r="O245" s="1228"/>
      <c r="P245" s="51"/>
      <c r="Q245" s="1228" t="s">
        <v>75</v>
      </c>
      <c r="R245" s="1228"/>
      <c r="S245" s="1228"/>
      <c r="T245" s="51"/>
      <c r="U245" s="1228" t="s">
        <v>281</v>
      </c>
      <c r="V245" s="1228"/>
      <c r="W245" s="1228"/>
    </row>
    <row r="246" spans="4:23" x14ac:dyDescent="0.25">
      <c r="D246" s="69">
        <v>2016.1</v>
      </c>
      <c r="E246" s="822">
        <v>70787200</v>
      </c>
      <c r="F246" s="822">
        <v>15197776.000000002</v>
      </c>
      <c r="I246" s="46">
        <v>2016.1</v>
      </c>
      <c r="J246" s="48">
        <v>44012550</v>
      </c>
      <c r="K246" s="48">
        <v>8959760</v>
      </c>
      <c r="L246" s="5"/>
      <c r="M246" s="46">
        <v>2016.1</v>
      </c>
      <c r="N246" s="48">
        <v>220000</v>
      </c>
      <c r="O246" s="48">
        <v>160400</v>
      </c>
      <c r="P246" s="5"/>
      <c r="Q246" s="46">
        <v>2016.1</v>
      </c>
      <c r="R246" s="48">
        <v>25884650</v>
      </c>
      <c r="S246" s="48">
        <v>5591000</v>
      </c>
      <c r="T246" s="5"/>
      <c r="U246" s="46">
        <v>2016.1</v>
      </c>
      <c r="V246" s="48">
        <v>550000</v>
      </c>
      <c r="W246" s="48">
        <v>300000</v>
      </c>
    </row>
    <row r="247" spans="4:23" x14ac:dyDescent="0.25">
      <c r="D247" s="69">
        <v>2016.2</v>
      </c>
      <c r="E247" s="822">
        <v>60660050.000000007</v>
      </c>
      <c r="F247" s="822">
        <v>21873830</v>
      </c>
      <c r="I247" s="46">
        <v>2016.2</v>
      </c>
      <c r="J247" s="48">
        <v>44286550</v>
      </c>
      <c r="K247" s="48">
        <v>15037100</v>
      </c>
      <c r="L247" s="5"/>
      <c r="M247" s="46">
        <v>2016.2</v>
      </c>
      <c r="N247" s="48">
        <v>5604500</v>
      </c>
      <c r="O247" s="48">
        <v>1891000</v>
      </c>
      <c r="P247" s="5"/>
      <c r="Q247" s="46">
        <v>2016.2</v>
      </c>
      <c r="R247" s="48">
        <v>10769000</v>
      </c>
      <c r="S247" s="48">
        <v>2957200</v>
      </c>
      <c r="T247" s="5"/>
      <c r="U247" s="46">
        <v>2016.2</v>
      </c>
      <c r="V247" s="48">
        <v>0</v>
      </c>
      <c r="W247" s="48">
        <v>0</v>
      </c>
    </row>
    <row r="248" spans="4:23" x14ac:dyDescent="0.25">
      <c r="D248" s="69">
        <v>2016.3</v>
      </c>
      <c r="E248" s="822">
        <v>56713250.000000007</v>
      </c>
      <c r="F248" s="822">
        <v>16866164.700000003</v>
      </c>
      <c r="I248" s="46">
        <v>2016.3</v>
      </c>
      <c r="J248" s="48">
        <v>41003050</v>
      </c>
      <c r="K248" s="48">
        <v>8182200</v>
      </c>
      <c r="L248" s="5"/>
      <c r="M248" s="46">
        <v>2016.3</v>
      </c>
      <c r="N248" s="48">
        <v>2094400</v>
      </c>
      <c r="O248" s="48">
        <v>643677</v>
      </c>
      <c r="P248" s="5"/>
      <c r="Q248" s="46">
        <v>2016.3</v>
      </c>
      <c r="R248" s="48">
        <v>11022000</v>
      </c>
      <c r="S248" s="48">
        <v>5007000</v>
      </c>
      <c r="T248" s="5"/>
      <c r="U248" s="46">
        <v>2016.3</v>
      </c>
      <c r="V248" s="48">
        <v>2428800</v>
      </c>
      <c r="W248" s="48">
        <v>1500000</v>
      </c>
    </row>
    <row r="249" spans="4:23" x14ac:dyDescent="0.25">
      <c r="D249" s="69">
        <v>2016.4</v>
      </c>
      <c r="E249" s="822">
        <v>80611300</v>
      </c>
      <c r="F249" s="822">
        <v>26897761.000000004</v>
      </c>
      <c r="I249" s="46">
        <v>2016.4</v>
      </c>
      <c r="J249" s="48">
        <v>51114800</v>
      </c>
      <c r="K249" s="48">
        <v>16216700</v>
      </c>
      <c r="L249" s="5"/>
      <c r="M249" s="46">
        <v>2016.4</v>
      </c>
      <c r="N249" s="48">
        <v>1908500</v>
      </c>
      <c r="O249" s="48">
        <v>775770</v>
      </c>
      <c r="P249" s="5"/>
      <c r="Q249" s="46">
        <v>2016.4</v>
      </c>
      <c r="R249" s="48">
        <v>24288000</v>
      </c>
      <c r="S249" s="48">
        <v>6333620</v>
      </c>
      <c r="T249" s="5"/>
      <c r="U249" s="46">
        <v>2016.4</v>
      </c>
      <c r="V249" s="48">
        <v>1204500</v>
      </c>
      <c r="W249" s="48">
        <v>1095000</v>
      </c>
    </row>
    <row r="250" spans="4:23" x14ac:dyDescent="0.25">
      <c r="D250" s="69">
        <v>2016.5</v>
      </c>
      <c r="E250" s="822">
        <v>105342050.00000001</v>
      </c>
      <c r="F250" s="822">
        <v>25496828.500000004</v>
      </c>
      <c r="I250" s="46">
        <v>2016.5</v>
      </c>
      <c r="J250" s="48">
        <v>86224050</v>
      </c>
      <c r="K250" s="48">
        <v>16758675</v>
      </c>
      <c r="L250" s="5"/>
      <c r="M250" s="46">
        <v>2016.5</v>
      </c>
      <c r="N250" s="48">
        <v>10472000</v>
      </c>
      <c r="O250" s="48">
        <v>3073140</v>
      </c>
      <c r="P250" s="5"/>
      <c r="Q250" s="46">
        <v>2016.5</v>
      </c>
      <c r="R250" s="48">
        <v>8371000</v>
      </c>
      <c r="S250" s="48">
        <v>2987120</v>
      </c>
      <c r="T250" s="5"/>
      <c r="U250" s="46">
        <v>2016.5</v>
      </c>
      <c r="V250" s="48">
        <v>275000</v>
      </c>
      <c r="W250" s="48">
        <v>250000</v>
      </c>
    </row>
    <row r="251" spans="4:23" x14ac:dyDescent="0.25">
      <c r="D251" s="69">
        <v>2016.6</v>
      </c>
      <c r="E251" s="822">
        <v>133632950.00000001</v>
      </c>
      <c r="F251" s="822">
        <v>37687760</v>
      </c>
      <c r="I251" s="46">
        <v>2016.6</v>
      </c>
      <c r="J251" s="48">
        <v>64016150</v>
      </c>
      <c r="K251" s="48">
        <v>14129880</v>
      </c>
      <c r="L251" s="5"/>
      <c r="M251" s="46">
        <v>2016.6</v>
      </c>
      <c r="N251" s="48">
        <v>55918500</v>
      </c>
      <c r="O251" s="48">
        <v>14950600</v>
      </c>
      <c r="P251" s="5"/>
      <c r="Q251" s="46">
        <v>2016.6</v>
      </c>
      <c r="R251" s="48">
        <v>10395000</v>
      </c>
      <c r="S251" s="48">
        <v>4707120</v>
      </c>
      <c r="T251" s="5"/>
      <c r="U251" s="46">
        <v>2016.6</v>
      </c>
      <c r="V251" s="48">
        <v>1375000</v>
      </c>
      <c r="W251" s="48">
        <v>1250000</v>
      </c>
    </row>
    <row r="252" spans="4:23" x14ac:dyDescent="0.25">
      <c r="D252" s="69">
        <v>2016.7</v>
      </c>
      <c r="E252" s="822">
        <v>81625500</v>
      </c>
      <c r="F252" s="822">
        <v>22605462</v>
      </c>
      <c r="I252" s="46">
        <v>2016.7</v>
      </c>
      <c r="J252" s="48">
        <v>47536500</v>
      </c>
      <c r="K252" s="48">
        <v>9706920</v>
      </c>
      <c r="L252" s="5"/>
      <c r="M252" s="46">
        <v>2016.7</v>
      </c>
      <c r="N252" s="48">
        <v>23309000</v>
      </c>
      <c r="O252" s="48">
        <v>8494800</v>
      </c>
      <c r="P252" s="5"/>
      <c r="Q252" s="46">
        <v>2016.7</v>
      </c>
      <c r="R252" s="48">
        <v>10780000</v>
      </c>
      <c r="S252" s="48">
        <v>2282500</v>
      </c>
      <c r="T252" s="5"/>
      <c r="U252" s="46">
        <v>2016.7</v>
      </c>
      <c r="V252" s="48">
        <v>0</v>
      </c>
      <c r="W252" s="48">
        <v>0</v>
      </c>
    </row>
    <row r="253" spans="4:23" x14ac:dyDescent="0.25">
      <c r="D253" s="69">
        <v>2016.8</v>
      </c>
      <c r="E253" s="822">
        <v>177157750</v>
      </c>
      <c r="F253" s="822">
        <v>46326324.000000007</v>
      </c>
      <c r="I253" s="46">
        <v>2016.8</v>
      </c>
      <c r="J253" s="48">
        <v>104007750</v>
      </c>
      <c r="K253" s="48">
        <v>21008340</v>
      </c>
      <c r="L253" s="5"/>
      <c r="M253" s="46">
        <v>2016.8</v>
      </c>
      <c r="N253" s="48">
        <v>0</v>
      </c>
      <c r="O253" s="48">
        <v>0</v>
      </c>
      <c r="P253" s="5"/>
      <c r="Q253" s="46">
        <v>2016.8</v>
      </c>
      <c r="R253" s="48">
        <v>53735000</v>
      </c>
      <c r="S253" s="48">
        <v>16308500</v>
      </c>
      <c r="T253" s="5"/>
      <c r="U253" s="46">
        <v>2016.8</v>
      </c>
      <c r="V253" s="48">
        <v>5032500</v>
      </c>
      <c r="W253" s="48">
        <v>1250000</v>
      </c>
    </row>
    <row r="254" spans="4:23" x14ac:dyDescent="0.25">
      <c r="D254" s="69">
        <v>2016.9</v>
      </c>
      <c r="E254" s="822">
        <v>102168000.00000001</v>
      </c>
      <c r="F254" s="822">
        <v>30225558.000000004</v>
      </c>
      <c r="I254" s="46">
        <v>2016.9</v>
      </c>
      <c r="J254" s="48">
        <v>54607300</v>
      </c>
      <c r="K254" s="48">
        <v>10497780</v>
      </c>
      <c r="L254" s="5"/>
      <c r="M254" s="46">
        <v>2016.9</v>
      </c>
      <c r="N254" s="48">
        <v>14382500</v>
      </c>
      <c r="O254" s="48">
        <v>4338000</v>
      </c>
      <c r="P254" s="5"/>
      <c r="Q254" s="46">
        <v>2016.9</v>
      </c>
      <c r="R254" s="48">
        <v>47560700</v>
      </c>
      <c r="S254" s="48">
        <v>16980000</v>
      </c>
      <c r="T254" s="5"/>
      <c r="U254" s="46">
        <v>2016.9</v>
      </c>
      <c r="V254" s="48">
        <v>0</v>
      </c>
      <c r="W254" s="48">
        <v>0</v>
      </c>
    </row>
    <row r="255" spans="4:23" x14ac:dyDescent="0.25">
      <c r="D255" s="70">
        <v>2016.1</v>
      </c>
      <c r="E255" s="822">
        <v>91679830</v>
      </c>
      <c r="F255" s="822">
        <v>24070746.700000003</v>
      </c>
      <c r="I255" s="47">
        <v>2016.1</v>
      </c>
      <c r="J255" s="48">
        <v>68594350</v>
      </c>
      <c r="K255" s="48">
        <v>13931980</v>
      </c>
      <c r="L255" s="5"/>
      <c r="M255" s="47">
        <v>2016.1</v>
      </c>
      <c r="N255" s="48">
        <v>16650480</v>
      </c>
      <c r="O255" s="48">
        <v>4528930</v>
      </c>
      <c r="P255" s="5"/>
      <c r="Q255" s="47">
        <v>2016.1</v>
      </c>
      <c r="R255" s="48">
        <v>5060000</v>
      </c>
      <c r="S255" s="48">
        <v>2171587</v>
      </c>
      <c r="T255" s="5"/>
      <c r="U255" s="47">
        <v>2016.1</v>
      </c>
      <c r="V255" s="48">
        <v>1375000</v>
      </c>
      <c r="W255" s="48">
        <v>1250000</v>
      </c>
    </row>
    <row r="256" spans="4:23" x14ac:dyDescent="0.25">
      <c r="D256" s="69">
        <v>2016.11</v>
      </c>
      <c r="E256" s="822">
        <v>73328750</v>
      </c>
      <c r="F256" s="822">
        <v>20924613.600000001</v>
      </c>
      <c r="I256" s="46">
        <v>2016.11</v>
      </c>
      <c r="J256" s="48">
        <v>54320750</v>
      </c>
      <c r="K256" s="48">
        <v>12077780</v>
      </c>
      <c r="L256" s="5"/>
      <c r="M256" s="46">
        <v>2016.11</v>
      </c>
      <c r="N256" s="48">
        <v>9702000</v>
      </c>
      <c r="O256" s="48">
        <v>3134400</v>
      </c>
      <c r="P256" s="5"/>
      <c r="Q256" s="46">
        <v>2016.11</v>
      </c>
      <c r="R256" s="48">
        <v>9306000</v>
      </c>
      <c r="S256" s="48">
        <v>3810196</v>
      </c>
      <c r="T256" s="5"/>
      <c r="U256" s="46">
        <v>2016.11</v>
      </c>
      <c r="V256" s="48">
        <v>0</v>
      </c>
      <c r="W256" s="48">
        <v>0</v>
      </c>
    </row>
    <row r="257" spans="4:23" x14ac:dyDescent="0.25">
      <c r="D257" s="69">
        <v>2016.12</v>
      </c>
      <c r="E257" s="822">
        <v>173828050</v>
      </c>
      <c r="F257" s="822">
        <v>43096768</v>
      </c>
      <c r="I257" s="46">
        <v>2016.12</v>
      </c>
      <c r="J257" s="48">
        <v>136081550</v>
      </c>
      <c r="K257" s="48">
        <v>27067280</v>
      </c>
      <c r="L257" s="5"/>
      <c r="M257" s="46">
        <v>2016.12</v>
      </c>
      <c r="N257" s="48">
        <v>9993500</v>
      </c>
      <c r="O257" s="48">
        <v>3608600</v>
      </c>
      <c r="P257" s="5"/>
      <c r="Q257" s="46">
        <v>2016.12</v>
      </c>
      <c r="R257" s="48">
        <v>27236000</v>
      </c>
      <c r="S257" s="48">
        <v>8033000</v>
      </c>
      <c r="T257" s="5"/>
      <c r="U257" s="46">
        <v>2016.12</v>
      </c>
      <c r="V257" s="48">
        <v>517000</v>
      </c>
      <c r="W257" s="48">
        <v>470000</v>
      </c>
    </row>
    <row r="258" spans="4:23" x14ac:dyDescent="0.25">
      <c r="I258" s="46">
        <v>2017.1</v>
      </c>
      <c r="J258" s="48">
        <v>64962150</v>
      </c>
      <c r="K258" s="48">
        <v>14704560</v>
      </c>
      <c r="L258" s="5"/>
      <c r="M258" s="46">
        <v>2017.1</v>
      </c>
      <c r="N258" s="48">
        <v>12298000</v>
      </c>
      <c r="O258" s="48">
        <v>3528562</v>
      </c>
      <c r="P258" s="5"/>
      <c r="Q258" s="46">
        <v>2017.1</v>
      </c>
      <c r="R258" s="48">
        <v>9801000</v>
      </c>
      <c r="S258" s="48">
        <v>4250740</v>
      </c>
      <c r="T258" s="5"/>
      <c r="U258" s="46">
        <v>2017.1</v>
      </c>
      <c r="V258" s="48">
        <v>165000</v>
      </c>
      <c r="W258" s="48">
        <v>150000</v>
      </c>
    </row>
    <row r="259" spans="4:23" x14ac:dyDescent="0.25">
      <c r="I259" s="46">
        <v>2017.2</v>
      </c>
      <c r="J259" s="48">
        <v>69975400</v>
      </c>
      <c r="K259" s="48">
        <v>20204886</v>
      </c>
      <c r="L259" s="5"/>
      <c r="M259" s="46">
        <v>2017.2</v>
      </c>
      <c r="N259" s="48">
        <v>2510200</v>
      </c>
      <c r="O259" s="48">
        <v>1064899</v>
      </c>
      <c r="P259" s="5"/>
      <c r="Q259" s="46">
        <v>2017.2</v>
      </c>
      <c r="R259" s="48">
        <v>39827700</v>
      </c>
      <c r="S259" s="48">
        <v>17656413</v>
      </c>
      <c r="T259" s="5"/>
      <c r="U259" s="46">
        <v>2017.2</v>
      </c>
      <c r="V259" s="48">
        <v>7975000</v>
      </c>
      <c r="W259" s="48">
        <v>7250000</v>
      </c>
    </row>
    <row r="260" spans="4:23" x14ac:dyDescent="0.25">
      <c r="I260" s="46">
        <v>2017.3</v>
      </c>
      <c r="J260" s="48">
        <v>59952200</v>
      </c>
      <c r="K260" s="48">
        <v>13125140</v>
      </c>
      <c r="L260" s="5"/>
      <c r="M260" s="46">
        <v>2017.3</v>
      </c>
      <c r="N260" s="48">
        <v>1997600</v>
      </c>
      <c r="O260" s="48">
        <v>742670</v>
      </c>
      <c r="P260" s="5"/>
      <c r="Q260" s="46">
        <v>2017.3</v>
      </c>
      <c r="R260" s="48">
        <v>12067000</v>
      </c>
      <c r="S260" s="48">
        <v>4691140</v>
      </c>
      <c r="T260" s="5"/>
      <c r="U260" s="46">
        <v>2017.3</v>
      </c>
      <c r="V260" s="48">
        <v>0</v>
      </c>
      <c r="W260" s="48">
        <v>0</v>
      </c>
    </row>
    <row r="261" spans="4:23" x14ac:dyDescent="0.25">
      <c r="I261" s="46">
        <v>2017.4</v>
      </c>
      <c r="J261" s="48">
        <f>([2]Consumables!C78)</f>
        <v>79137300</v>
      </c>
      <c r="K261" s="48">
        <f>([2]Consumables!E78)</f>
        <v>16977984</v>
      </c>
      <c r="L261" s="5"/>
      <c r="M261" s="46">
        <v>2017.4</v>
      </c>
      <c r="N261" s="48">
        <v>57614524</v>
      </c>
      <c r="O261" s="48">
        <v>51961110</v>
      </c>
      <c r="P261" s="5"/>
      <c r="Q261" s="46">
        <v>2017.4</v>
      </c>
      <c r="R261" s="48">
        <v>14300000</v>
      </c>
      <c r="S261" s="48">
        <v>7084000</v>
      </c>
      <c r="T261" s="5"/>
      <c r="U261" s="46">
        <v>2017.4</v>
      </c>
      <c r="V261" s="48">
        <v>1815000</v>
      </c>
      <c r="W261" s="48">
        <v>1650000</v>
      </c>
    </row>
    <row r="262" spans="4:23" x14ac:dyDescent="0.25">
      <c r="I262" s="46">
        <v>2017.5</v>
      </c>
      <c r="J262" s="48">
        <f>([2]Consumables!C91)</f>
        <v>51543800</v>
      </c>
      <c r="K262" s="49">
        <f>([2]Consumables!E91)</f>
        <v>13433014</v>
      </c>
      <c r="L262" s="5"/>
      <c r="M262" s="46">
        <v>2017.5</v>
      </c>
      <c r="N262" s="48">
        <f ca="1">(Technotrans!C130)</f>
        <v>101026420</v>
      </c>
      <c r="O262" s="49">
        <f ca="1">Technotrans!E130</f>
        <v>11831906.120114688</v>
      </c>
      <c r="P262" s="5"/>
      <c r="Q262" s="46">
        <v>2017.5</v>
      </c>
      <c r="R262" s="50">
        <f ca="1">GOSS!C115</f>
        <v>10131000.000000002</v>
      </c>
      <c r="S262" s="50">
        <f ca="1">GOSS!E115</f>
        <v>4024340</v>
      </c>
      <c r="T262" s="5"/>
      <c r="U262" s="46">
        <v>2017.5</v>
      </c>
      <c r="V262" s="45">
        <v>0</v>
      </c>
      <c r="W262" s="45">
        <v>0</v>
      </c>
    </row>
    <row r="263" spans="4:23" x14ac:dyDescent="0.25">
      <c r="E263" s="821">
        <f t="shared" ref="E263:F274" si="8">E246*1.1</f>
        <v>77865920</v>
      </c>
      <c r="F263" s="821">
        <f t="shared" si="8"/>
        <v>16717553.600000003</v>
      </c>
      <c r="I263" s="46">
        <v>2017.6</v>
      </c>
      <c r="J263">
        <f ca="1">(Consumables!C616)</f>
        <v>59820530</v>
      </c>
      <c r="K263">
        <f ca="1">(Consumables!E616)</f>
        <v>12212120</v>
      </c>
      <c r="M263" s="46">
        <v>2017.6</v>
      </c>
      <c r="N263">
        <f ca="1">(Technotrans!C138)</f>
        <v>49144216</v>
      </c>
      <c r="O263">
        <f ca="1">Technotrans!E138</f>
        <v>7551889.7129664151</v>
      </c>
      <c r="Q263" s="46">
        <v>2017.6</v>
      </c>
      <c r="R263">
        <f ca="1">GOSS!C120</f>
        <v>7628500</v>
      </c>
      <c r="S263">
        <f ca="1">GOSS!E120</f>
        <v>6635000</v>
      </c>
      <c r="U263" s="46">
        <v>2017.6</v>
      </c>
      <c r="V263">
        <f ca="1">서비스!C54</f>
        <v>1980000</v>
      </c>
      <c r="W263">
        <f ca="1">서비스!E54</f>
        <v>1800000</v>
      </c>
    </row>
    <row r="264" spans="4:23" x14ac:dyDescent="0.25">
      <c r="E264" s="821">
        <f t="shared" si="8"/>
        <v>66726055.000000015</v>
      </c>
      <c r="F264" s="821">
        <f t="shared" si="8"/>
        <v>24061213.000000004</v>
      </c>
      <c r="I264" s="46">
        <v>2017.7</v>
      </c>
      <c r="J264" s="603">
        <f ca="1">(Consumables!C631)</f>
        <v>34566400</v>
      </c>
      <c r="K264" s="603">
        <f ca="1">(Consumables!E631)</f>
        <v>7042240</v>
      </c>
      <c r="M264" s="46">
        <v>2017.7</v>
      </c>
      <c r="N264">
        <f ca="1">(Technotrans!C141)</f>
        <v>638000.00000000012</v>
      </c>
      <c r="O264">
        <f ca="1">Technotrans!E141</f>
        <v>310468</v>
      </c>
      <c r="Q264" s="46">
        <v>2017.7</v>
      </c>
      <c r="R264" s="603">
        <f ca="1">GOSS!C125</f>
        <v>56672000</v>
      </c>
      <c r="S264" s="603">
        <f ca="1">GOSS!E125</f>
        <v>51154000</v>
      </c>
      <c r="U264" s="46">
        <v>2017.7</v>
      </c>
      <c r="V264" s="604">
        <v>0</v>
      </c>
      <c r="W264" s="604">
        <v>0</v>
      </c>
    </row>
    <row r="265" spans="4:23" x14ac:dyDescent="0.25">
      <c r="E265" s="821">
        <f t="shared" si="8"/>
        <v>62384575.000000015</v>
      </c>
      <c r="F265" s="821">
        <f t="shared" si="8"/>
        <v>18552781.170000006</v>
      </c>
      <c r="I265" s="46">
        <v>2017.8</v>
      </c>
      <c r="J265" s="603">
        <f ca="1">(Consumables!C643)</f>
        <v>24847900</v>
      </c>
      <c r="K265" s="603">
        <f ca="1">(Consumables!E643)</f>
        <v>5516460</v>
      </c>
      <c r="M265" s="46">
        <v>2017.8</v>
      </c>
      <c r="N265">
        <f ca="1">(Technotrans!C146)</f>
        <v>6526300.0000000009</v>
      </c>
      <c r="O265">
        <f ca="1">(Technotrans!E146)</f>
        <v>5326373.46</v>
      </c>
      <c r="Q265" s="46">
        <v>2017.8</v>
      </c>
      <c r="R265" s="603">
        <f ca="1">GOSS!C129</f>
        <v>20306000</v>
      </c>
      <c r="S265" s="603">
        <f ca="1">GOSS!E129</f>
        <v>15160000</v>
      </c>
      <c r="U265" s="46">
        <v>2017.8</v>
      </c>
      <c r="V265" s="762">
        <f ca="1">서비스!C63</f>
        <v>29178600</v>
      </c>
      <c r="W265" s="762">
        <f ca="1">서비스!E63</f>
        <v>26526000</v>
      </c>
    </row>
    <row r="266" spans="4:23" x14ac:dyDescent="0.25">
      <c r="E266" s="821">
        <f t="shared" si="8"/>
        <v>88672430</v>
      </c>
      <c r="F266" s="821">
        <f t="shared" si="8"/>
        <v>29587537.100000005</v>
      </c>
      <c r="I266" s="46">
        <v>2017.9</v>
      </c>
      <c r="J266">
        <v>94859710</v>
      </c>
      <c r="K266">
        <v>12415940</v>
      </c>
      <c r="M266" s="46">
        <v>2017.9</v>
      </c>
      <c r="N266">
        <v>16850900.000000004</v>
      </c>
      <c r="O266">
        <v>5828492</v>
      </c>
      <c r="Q266" s="46">
        <v>2017.9</v>
      </c>
      <c r="R266">
        <v>2784100</v>
      </c>
      <c r="S266">
        <v>1405438.6407999999</v>
      </c>
      <c r="U266" s="46">
        <v>2017.9</v>
      </c>
      <c r="V266">
        <v>2585000</v>
      </c>
    </row>
    <row r="267" spans="4:23" ht="17.25" x14ac:dyDescent="0.25">
      <c r="E267" s="821">
        <f t="shared" si="8"/>
        <v>115876255.00000003</v>
      </c>
      <c r="F267" s="821">
        <f t="shared" si="8"/>
        <v>28046511.350000005</v>
      </c>
      <c r="I267" s="819">
        <v>2017.1</v>
      </c>
      <c r="J267" s="543">
        <v>37355780</v>
      </c>
      <c r="K267">
        <v>7485900</v>
      </c>
      <c r="M267" s="819">
        <v>2017.1</v>
      </c>
      <c r="N267" s="278">
        <v>770000.00000000012</v>
      </c>
      <c r="O267" s="278">
        <v>323276.93000000005</v>
      </c>
      <c r="Q267" s="819">
        <v>2017.1</v>
      </c>
      <c r="R267" s="543">
        <v>11781000</v>
      </c>
      <c r="S267" s="543">
        <v>6274823.4676605724</v>
      </c>
      <c r="U267" s="819">
        <v>2017.1</v>
      </c>
      <c r="V267">
        <v>1375000</v>
      </c>
    </row>
    <row r="268" spans="4:23" x14ac:dyDescent="0.25">
      <c r="E268" s="821">
        <f t="shared" si="8"/>
        <v>146996245.00000003</v>
      </c>
      <c r="F268" s="821">
        <f t="shared" si="8"/>
        <v>41456536</v>
      </c>
      <c r="J268">
        <v>42459120</v>
      </c>
      <c r="K268">
        <v>9121620</v>
      </c>
      <c r="N268">
        <v>2618000</v>
      </c>
      <c r="O268">
        <v>566904.98325000005</v>
      </c>
      <c r="R268">
        <v>57145994.400000006</v>
      </c>
      <c r="S268">
        <v>6731545.4089407772</v>
      </c>
      <c r="V268">
        <v>11847000</v>
      </c>
    </row>
    <row r="269" spans="4:23" ht="17.25" x14ac:dyDescent="0.25">
      <c r="E269" s="821">
        <f t="shared" si="8"/>
        <v>89788050</v>
      </c>
      <c r="F269" s="821">
        <f t="shared" si="8"/>
        <v>24866008.200000003</v>
      </c>
      <c r="J269">
        <v>52457350</v>
      </c>
      <c r="K269" s="543">
        <v>12597180</v>
      </c>
      <c r="N269">
        <v>2442000</v>
      </c>
      <c r="O269">
        <v>894194.77750000008</v>
      </c>
      <c r="R269">
        <v>9394000</v>
      </c>
      <c r="S269">
        <v>3559736.1032915059</v>
      </c>
      <c r="V269">
        <v>275000</v>
      </c>
    </row>
    <row r="270" spans="4:23" x14ac:dyDescent="0.25">
      <c r="E270" s="821">
        <f t="shared" si="8"/>
        <v>194873525.00000003</v>
      </c>
      <c r="F270" s="821">
        <f t="shared" si="8"/>
        <v>50958956.400000013</v>
      </c>
    </row>
    <row r="271" spans="4:23" x14ac:dyDescent="0.25">
      <c r="E271" s="821">
        <f t="shared" si="8"/>
        <v>112384800.00000003</v>
      </c>
      <c r="F271" s="821">
        <f t="shared" si="8"/>
        <v>33248113.800000008</v>
      </c>
    </row>
    <row r="272" spans="4:23" x14ac:dyDescent="0.25">
      <c r="E272" s="821">
        <f t="shared" si="8"/>
        <v>100847813.00000001</v>
      </c>
      <c r="F272" s="821">
        <f t="shared" si="8"/>
        <v>26477821.370000005</v>
      </c>
    </row>
    <row r="273" spans="5:9" x14ac:dyDescent="0.25">
      <c r="E273" s="821">
        <f t="shared" si="8"/>
        <v>80661625</v>
      </c>
      <c r="F273" s="821">
        <f t="shared" si="8"/>
        <v>23017074.960000005</v>
      </c>
    </row>
    <row r="274" spans="5:9" x14ac:dyDescent="0.25">
      <c r="E274" s="821">
        <f t="shared" si="8"/>
        <v>191210855.00000003</v>
      </c>
      <c r="F274" s="821">
        <f t="shared" si="8"/>
        <v>47406444.800000004</v>
      </c>
    </row>
    <row r="275" spans="5:9" x14ac:dyDescent="0.25">
      <c r="E275" s="820"/>
    </row>
    <row r="282" spans="5:9" x14ac:dyDescent="0.25">
      <c r="H282" s="822">
        <v>70787200</v>
      </c>
      <c r="I282" s="822">
        <v>15197776.000000002</v>
      </c>
    </row>
    <row r="283" spans="5:9" x14ac:dyDescent="0.25">
      <c r="H283" s="822">
        <v>60660050.000000007</v>
      </c>
      <c r="I283" s="822">
        <v>21873830</v>
      </c>
    </row>
    <row r="284" spans="5:9" x14ac:dyDescent="0.25">
      <c r="H284" s="822">
        <v>56713250.000000007</v>
      </c>
      <c r="I284" s="822">
        <v>16866164.700000003</v>
      </c>
    </row>
    <row r="285" spans="5:9" x14ac:dyDescent="0.25">
      <c r="H285" s="822">
        <v>80611300</v>
      </c>
      <c r="I285" s="822">
        <v>26897761.000000004</v>
      </c>
    </row>
    <row r="286" spans="5:9" x14ac:dyDescent="0.25">
      <c r="H286" s="822">
        <v>105342050.00000001</v>
      </c>
      <c r="I286" s="822">
        <v>25496828.500000004</v>
      </c>
    </row>
    <row r="287" spans="5:9" x14ac:dyDescent="0.25">
      <c r="H287" s="822">
        <v>133632950.00000001</v>
      </c>
      <c r="I287" s="822">
        <v>37687760</v>
      </c>
    </row>
    <row r="288" spans="5:9" x14ac:dyDescent="0.25">
      <c r="H288" s="822">
        <v>81625500</v>
      </c>
      <c r="I288" s="822">
        <v>22605462</v>
      </c>
    </row>
    <row r="289" spans="8:9" x14ac:dyDescent="0.25">
      <c r="H289" s="822">
        <v>177157750</v>
      </c>
      <c r="I289" s="822">
        <v>46326324.000000007</v>
      </c>
    </row>
    <row r="290" spans="8:9" x14ac:dyDescent="0.25">
      <c r="H290" s="822">
        <v>102168000.00000001</v>
      </c>
      <c r="I290" s="822">
        <v>30225558.000000004</v>
      </c>
    </row>
    <row r="291" spans="8:9" x14ac:dyDescent="0.25">
      <c r="H291" s="822">
        <v>91679830</v>
      </c>
      <c r="I291" s="822">
        <v>24070746.700000003</v>
      </c>
    </row>
    <row r="292" spans="8:9" x14ac:dyDescent="0.25">
      <c r="H292" s="822">
        <v>73328750</v>
      </c>
      <c r="I292" s="822">
        <v>20924613.600000001</v>
      </c>
    </row>
    <row r="293" spans="8:9" x14ac:dyDescent="0.25">
      <c r="H293" s="822">
        <v>173828050</v>
      </c>
      <c r="I293" s="822">
        <v>43096768</v>
      </c>
    </row>
  </sheetData>
  <mergeCells count="9">
    <mergeCell ref="U245:W245"/>
    <mergeCell ref="I245:K245"/>
    <mergeCell ref="M245:O245"/>
    <mergeCell ref="A58:B58"/>
    <mergeCell ref="G58:H58"/>
    <mergeCell ref="A77:B77"/>
    <mergeCell ref="G77:H77"/>
    <mergeCell ref="D245:F245"/>
    <mergeCell ref="Q245:S245"/>
  </mergeCells>
  <phoneticPr fontId="12" type="noConversion"/>
  <printOptions horizontalCentered="1"/>
  <pageMargins left="0.23622047244094491" right="0.19685039370078741" top="0.11811023622047245" bottom="0.19685039370078741" header="0.11811023622047245" footer="0.11811023622047245"/>
  <pageSetup paperSize="9" scale="12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18"/>
  <sheetViews>
    <sheetView zoomScale="85" zoomScaleNormal="85" workbookViewId="0">
      <pane ySplit="1" topLeftCell="A588" activePane="bottomLeft" state="frozen"/>
      <selection activeCell="A1889" sqref="A1889"/>
      <selection pane="bottomLeft" activeCell="E631" sqref="E631"/>
    </sheetView>
  </sheetViews>
  <sheetFormatPr defaultColWidth="9.03515625" defaultRowHeight="17.25" x14ac:dyDescent="0.25"/>
  <cols>
    <col min="1" max="1" width="12.25390625" style="227" customWidth="1"/>
    <col min="2" max="2" width="33.546875" style="227" customWidth="1"/>
    <col min="3" max="3" width="17.203125" style="227" customWidth="1"/>
    <col min="4" max="4" width="16.7109375" style="227" bestFit="1" customWidth="1"/>
    <col min="5" max="5" width="14.234375" style="227" customWidth="1"/>
    <col min="6" max="6" width="9.53125" style="227" customWidth="1"/>
    <col min="7" max="7" width="40.6015625" style="227" customWidth="1"/>
    <col min="8" max="8" width="42.70703125" style="227" customWidth="1"/>
    <col min="9" max="16384" width="9.03515625" style="227"/>
  </cols>
  <sheetData>
    <row r="1" spans="1:8" ht="52.5" customHeight="1" x14ac:dyDescent="0.25">
      <c r="A1" s="230" t="s">
        <v>6</v>
      </c>
      <c r="B1" s="231" t="s">
        <v>3</v>
      </c>
      <c r="C1" s="231" t="s">
        <v>10</v>
      </c>
      <c r="D1" s="230" t="s">
        <v>23</v>
      </c>
      <c r="E1" s="230" t="s">
        <v>4</v>
      </c>
      <c r="F1" s="230" t="s">
        <v>1</v>
      </c>
      <c r="G1" s="231" t="s">
        <v>999</v>
      </c>
      <c r="H1" s="230" t="s">
        <v>945</v>
      </c>
    </row>
    <row r="2" spans="1:8" ht="21" customHeight="1" x14ac:dyDescent="0.25">
      <c r="A2" s="852" t="s">
        <v>642</v>
      </c>
      <c r="B2" s="859" t="s">
        <v>525</v>
      </c>
      <c r="C2" s="860">
        <f ca="1">SUMIFS(INDIRECT("Report!F100:F1000"),INDIRECT("Report!B100:B1000"),B2,INDIRECT("report!H100:H1000"),"Consums",INDIRECT("Report!L100:L1000"),"17.7")</f>
        <v>25320900</v>
      </c>
      <c r="D2" s="861">
        <f ca="1">(C2/11*10)</f>
        <v>23019000</v>
      </c>
      <c r="E2" s="860">
        <f ca="1">SUMIFS(INDIRECT("Report!J100:J1000"),INDIRECT("Report!B100:B1000"),B2,INDIRECT("report!H100:H1000"),"Consums",INDIRECT("Report!L100:L1000"),"17.7")</f>
        <v>4522120</v>
      </c>
      <c r="F2" s="862">
        <f t="shared" ref="F2:F7" ca="1" si="0">E2/D2</f>
        <v>0.19645162691689474</v>
      </c>
      <c r="G2" s="863"/>
    </row>
    <row r="3" spans="1:8" ht="21" customHeight="1" x14ac:dyDescent="0.25">
      <c r="A3" s="232"/>
      <c r="B3" s="859" t="s">
        <v>463</v>
      </c>
      <c r="C3" s="860">
        <v>47300000</v>
      </c>
      <c r="D3" s="861">
        <f>(C3/11*10)</f>
        <v>43000000</v>
      </c>
      <c r="E3" s="860">
        <v>9708427</v>
      </c>
      <c r="F3" s="862">
        <f t="shared" si="0"/>
        <v>0.22577737209302326</v>
      </c>
      <c r="G3" s="743" t="s">
        <v>947</v>
      </c>
    </row>
    <row r="4" spans="1:8" ht="21" customHeight="1" x14ac:dyDescent="0.25">
      <c r="A4" s="853"/>
      <c r="B4" s="854" t="s">
        <v>2758</v>
      </c>
      <c r="C4" s="855">
        <f ca="1">SUM(C2:C3)</f>
        <v>72620900</v>
      </c>
      <c r="D4" s="855">
        <f ca="1">SUM(D2:D3)</f>
        <v>66019000</v>
      </c>
      <c r="E4" s="855">
        <f ca="1">SUM(E2:E3)</f>
        <v>14230547</v>
      </c>
      <c r="F4" s="856">
        <f t="shared" ca="1" si="0"/>
        <v>0.21555229555128069</v>
      </c>
      <c r="G4" s="209"/>
      <c r="H4" s="209"/>
    </row>
    <row r="5" spans="1:8" ht="21" customHeight="1" x14ac:dyDescent="0.25">
      <c r="A5" s="852" t="s">
        <v>709</v>
      </c>
      <c r="B5" s="227" t="s">
        <v>525</v>
      </c>
      <c r="C5" s="860">
        <f ca="1">SUMIFS(INDIRECT("Report!F100:F1000"),INDIRECT("Report!B100:B1000"),B5,INDIRECT("report!H100:H1000"),"Consums",INDIRECT("Report!L100:L1000"),"17.8")</f>
        <v>15812500</v>
      </c>
      <c r="D5" s="861">
        <f ca="1">(C5/11*10)</f>
        <v>14375000</v>
      </c>
      <c r="E5" s="860">
        <f ca="1">SUMIFS(INDIRECT("Report!J100:J1000"),INDIRECT("Report!B100:B1000"),B5,INDIRECT("report!H100:H1000"),"Consums",INDIRECT("Report!L100:L1000"),"17.8")</f>
        <v>2143040</v>
      </c>
      <c r="F5" s="857">
        <f t="shared" ca="1" si="0"/>
        <v>0.14908104347826087</v>
      </c>
      <c r="G5" s="743" t="s">
        <v>948</v>
      </c>
    </row>
    <row r="6" spans="1:8" ht="21" customHeight="1" x14ac:dyDescent="0.25">
      <c r="A6" s="853"/>
      <c r="B6" s="854"/>
      <c r="C6" s="855">
        <f ca="1">SUM(C5)</f>
        <v>15812500</v>
      </c>
      <c r="D6" s="855">
        <f ca="1">SUM(D5)</f>
        <v>14375000</v>
      </c>
      <c r="E6" s="855">
        <f ca="1">SUM(E5)</f>
        <v>2143040</v>
      </c>
      <c r="F6" s="856">
        <f t="shared" ca="1" si="0"/>
        <v>0.14908104347826087</v>
      </c>
      <c r="G6" s="209"/>
      <c r="H6" s="209"/>
    </row>
    <row r="7" spans="1:8" ht="21" customHeight="1" x14ac:dyDescent="0.25">
      <c r="A7" s="852" t="s">
        <v>832</v>
      </c>
      <c r="B7" s="227" t="s">
        <v>525</v>
      </c>
      <c r="C7" s="860">
        <f ca="1">SUMIFS(INDIRECT("Report!F100:F1000"),INDIRECT("Report!B100:B1000"),B7,INDIRECT("report!H100:H1000"),"Consums",INDIRECT("Report!L100:L1000"),"17.9")</f>
        <v>19865560</v>
      </c>
      <c r="D7" s="861">
        <f ca="1">(C7/11*10)</f>
        <v>18059600</v>
      </c>
      <c r="E7" s="860">
        <f ca="1">SUMIFS(INDIRECT("Report!J100:J1000"),INDIRECT("Report!B100:B1000"),B7,INDIRECT("report!H100:H1000"),"Consums",INDIRECT("Report!L100:L1000"),"17.9")</f>
        <v>3084080</v>
      </c>
      <c r="F7" s="857">
        <f t="shared" ca="1" si="0"/>
        <v>0.17077233161310329</v>
      </c>
    </row>
    <row r="8" spans="1:8" ht="21" customHeight="1" x14ac:dyDescent="0.25">
      <c r="A8" s="232"/>
      <c r="B8" s="227" t="s">
        <v>834</v>
      </c>
      <c r="C8" s="860">
        <f ca="1">SUMIFS(INDIRECT("Report!F100:F1000"),INDIRECT("Report!B100:B1000"),B8,INDIRECT("report!H100:H1000"),"Consums",INDIRECT("Report!L100:L1000"),"17.9")</f>
        <v>29700000.000000004</v>
      </c>
      <c r="D8" s="861">
        <f ca="1">(C8/11*10)</f>
        <v>27000000.000000004</v>
      </c>
      <c r="E8" s="860"/>
      <c r="F8" s="857"/>
      <c r="G8" s="743" t="s">
        <v>946</v>
      </c>
    </row>
    <row r="9" spans="1:8" ht="21" customHeight="1" x14ac:dyDescent="0.25">
      <c r="A9" s="853"/>
      <c r="B9" s="854"/>
      <c r="C9" s="855">
        <f ca="1">SUM(C7:C8)</f>
        <v>49565560</v>
      </c>
      <c r="D9" s="855">
        <f ca="1">SUM(D7:D8)</f>
        <v>45059600</v>
      </c>
      <c r="E9" s="855"/>
      <c r="F9" s="856"/>
      <c r="G9" s="209"/>
      <c r="H9" s="209"/>
    </row>
    <row r="10" spans="1:8" ht="21" customHeight="1" x14ac:dyDescent="0.25">
      <c r="A10" s="852" t="s">
        <v>936</v>
      </c>
      <c r="B10" s="227" t="s">
        <v>525</v>
      </c>
      <c r="C10" s="860">
        <f ca="1">SUMIFS(INDIRECT("Report!F100:F1000"),INDIRECT("Report!B100:B1000"),B10,INDIRECT("report!H100:H1000"),"Consums",INDIRECT("Report!L100:L1000"),"17.10")</f>
        <v>15278780</v>
      </c>
      <c r="D10" s="861">
        <f ca="1">(C10/11*10)</f>
        <v>13889800</v>
      </c>
      <c r="E10" s="860">
        <f ca="1">SUMIFS(INDIRECT("Report!J100:J1000"),INDIRECT("Report!B100:B1000"),B10,INDIRECT("report!H100:H1000"),"Consums",INDIRECT("Report!L100:L1000"),"17.10")</f>
        <v>2409680</v>
      </c>
      <c r="F10" s="857">
        <f ca="1">E10/D10</f>
        <v>0.1734855793459949</v>
      </c>
    </row>
    <row r="11" spans="1:8" ht="21" customHeight="1" x14ac:dyDescent="0.25">
      <c r="A11" s="853"/>
      <c r="B11" s="854"/>
      <c r="C11" s="855">
        <f ca="1">SUM(C10)</f>
        <v>15278780</v>
      </c>
      <c r="D11" s="855">
        <f ca="1">SUM(D10)</f>
        <v>13889800</v>
      </c>
      <c r="E11" s="855">
        <f ca="1">SUM(E10)</f>
        <v>2409680</v>
      </c>
      <c r="F11" s="856">
        <f ca="1">E11/D11</f>
        <v>0.1734855793459949</v>
      </c>
      <c r="G11" s="209"/>
      <c r="H11" s="209"/>
    </row>
    <row r="12" spans="1:8" ht="21" customHeight="1" x14ac:dyDescent="0.25">
      <c r="A12" s="852" t="s">
        <v>935</v>
      </c>
      <c r="B12" s="227" t="s">
        <v>525</v>
      </c>
      <c r="C12" s="860">
        <f ca="1">SUMIFS(INDIRECT("Report!F100:F1000"),INDIRECT("Report!B100:B1000"),B12,INDIRECT("report!H100:H1000"),"Consums",INDIRECT("Report!L100:L1000"),"17.11")</f>
        <v>13893220</v>
      </c>
      <c r="D12" s="861">
        <f ca="1">(C12/11*10)</f>
        <v>12630200</v>
      </c>
      <c r="E12" s="860">
        <f ca="1">SUMIFS(INDIRECT("Report!J100:J1000"),INDIRECT("Report!B100:B1000"),B12,INDIRECT("report!H100:H1000"),"Consums",INDIRECT("Report!L100:L1000"),"17.11")</f>
        <v>1778760</v>
      </c>
      <c r="F12" s="857">
        <f ca="1">E12/D12</f>
        <v>0.14083387436461814</v>
      </c>
    </row>
    <row r="13" spans="1:8" ht="21" customHeight="1" x14ac:dyDescent="0.25">
      <c r="A13" s="835"/>
      <c r="B13" s="227" t="s">
        <v>600</v>
      </c>
      <c r="C13" s="860">
        <f ca="1">SUMIFS(INDIRECT("Report!F100:F1000"),INDIRECT("Report!B100:B1000"),B13,INDIRECT("report!H100:H1000"),"Others",INDIRECT("Report!L100:L1000"),"17.11")</f>
        <v>270796900.00000006</v>
      </c>
      <c r="D13" s="858">
        <f ca="1">(C13/11*10)</f>
        <v>246179000.00000003</v>
      </c>
      <c r="E13" s="860"/>
      <c r="F13" s="595"/>
      <c r="G13" s="743" t="s">
        <v>949</v>
      </c>
    </row>
    <row r="14" spans="1:8" ht="21" customHeight="1" x14ac:dyDescent="0.25">
      <c r="A14" s="853"/>
      <c r="B14" s="854"/>
      <c r="C14" s="855">
        <f ca="1">SUM(C12:C13)</f>
        <v>284690120.00000006</v>
      </c>
      <c r="D14" s="855">
        <f ca="1">SUM(D13:D13)</f>
        <v>246179000.00000003</v>
      </c>
      <c r="E14" s="855"/>
      <c r="F14" s="856"/>
      <c r="G14" s="209"/>
      <c r="H14" s="209"/>
    </row>
    <row r="15" spans="1:8" ht="21" customHeight="1" x14ac:dyDescent="0.25">
      <c r="A15" s="852" t="s">
        <v>971</v>
      </c>
      <c r="B15" s="227" t="s">
        <v>525</v>
      </c>
      <c r="C15" s="860">
        <f ca="1">SUMIFS(INDIRECT("Report!F100:F1000"),INDIRECT("Report!B100:B1000"),B15,INDIRECT("report!H100:H1000"),"Others",INDIRECT("Report!L100:L1000"),"17.12")</f>
        <v>15286700</v>
      </c>
      <c r="D15" s="861">
        <f ca="1">(C15/11*10)</f>
        <v>13897000</v>
      </c>
      <c r="E15" s="860">
        <f ca="1">SUMIFS(INDIRECT("Report!J100:J1000"),INDIRECT("Report!B100:B1000"),B15,INDIRECT("report!H100:H1000"),"Others",INDIRECT("Report!L100:L1000"),"17.12")</f>
        <v>2436280</v>
      </c>
      <c r="F15" s="857">
        <f ca="1">E15/D15</f>
        <v>0.17530977908901202</v>
      </c>
    </row>
    <row r="16" spans="1:8" ht="21" customHeight="1" x14ac:dyDescent="0.25">
      <c r="A16" s="835"/>
      <c r="B16" s="227" t="s">
        <v>973</v>
      </c>
      <c r="C16" s="860">
        <f ca="1">SUMIFS(INDIRECT("Report!F100:F1000"),INDIRECT("Report!B100:B1000"),B16,INDIRECT("report!H100:H1000"),"Others",INDIRECT("Report!L100:L1000"),"17.12")</f>
        <v>30140000.000000004</v>
      </c>
      <c r="D16" s="861">
        <f ca="1">(C16/11*10)</f>
        <v>27400000.000000004</v>
      </c>
      <c r="E16" s="860"/>
      <c r="G16" s="743" t="s">
        <v>974</v>
      </c>
    </row>
    <row r="17" spans="1:8" ht="21" customHeight="1" x14ac:dyDescent="0.25">
      <c r="A17" s="853"/>
      <c r="B17" s="854"/>
      <c r="C17" s="855">
        <f ca="1">SUM(C15:C16)</f>
        <v>45426700</v>
      </c>
      <c r="D17" s="855">
        <f ca="1">SUM(D15:D16)</f>
        <v>41297000</v>
      </c>
      <c r="E17" s="855"/>
      <c r="F17" s="856"/>
      <c r="G17" s="209"/>
      <c r="H17" s="209"/>
    </row>
    <row r="18" spans="1:8" ht="21" customHeight="1" x14ac:dyDescent="0.25">
      <c r="A18" s="852">
        <v>2018.1</v>
      </c>
      <c r="B18" s="227" t="s">
        <v>1053</v>
      </c>
      <c r="C18" s="860">
        <f ca="1">SUMIFS(INDIRECT("Report!F100:F1000"),INDIRECT("Report!B100:B1000"),B18,INDIRECT("report!H100:H1000"),"Others",INDIRECT("Report!L100:L1000"),"18.1")</f>
        <v>9559000.0000000019</v>
      </c>
      <c r="D18" s="861">
        <f ca="1">(C18/11*10)</f>
        <v>8690000.0000000019</v>
      </c>
      <c r="E18" s="860">
        <f ca="1">SUMIFS(INDIRECT("Report!J100:J1000"),INDIRECT("Report!B100:B1000"),B18,INDIRECT("report!H100:H1000"),"Others",INDIRECT("Report!L100:L1000"),"18.1")</f>
        <v>976000</v>
      </c>
      <c r="F18" s="857">
        <f ca="1">E18/D18</f>
        <v>0.11231300345224393</v>
      </c>
    </row>
    <row r="19" spans="1:8" ht="21" customHeight="1" x14ac:dyDescent="0.25">
      <c r="A19" s="835"/>
      <c r="B19" s="227" t="s">
        <v>1054</v>
      </c>
      <c r="C19" s="860">
        <f ca="1">SUMIFS(INDIRECT("Report!F100:F1000"),INDIRECT("Report!B100:B1000"),B19,INDIRECT("report!H100:H1000"),"Others",INDIRECT("Report!L100:L1000"),"18.1")</f>
        <v>17954200</v>
      </c>
      <c r="D19" s="861">
        <f ca="1">(C19/11*10)</f>
        <v>16322000</v>
      </c>
      <c r="E19" s="860">
        <f ca="1">SUMIFS(INDIRECT("Report!J100:J1000"),INDIRECT("Report!B100:B1000"),B19,INDIRECT("report!H100:H1000"),"Others",INDIRECT("Report!L100:L1000"),"18.1")</f>
        <v>5230000</v>
      </c>
      <c r="F19" s="857">
        <f ca="1">E19/D19</f>
        <v>0.32042641833108687</v>
      </c>
    </row>
    <row r="20" spans="1:8" ht="21" customHeight="1" x14ac:dyDescent="0.25">
      <c r="A20" s="853"/>
      <c r="B20" s="854"/>
      <c r="C20" s="855">
        <f ca="1">SUM(C18:C19)</f>
        <v>27513200</v>
      </c>
      <c r="D20" s="855">
        <f ca="1">SUM(D18:D19)</f>
        <v>25012000</v>
      </c>
      <c r="E20" s="855"/>
      <c r="F20" s="856"/>
      <c r="G20" s="209"/>
      <c r="H20" s="209"/>
    </row>
    <row r="21" spans="1:8" ht="21" customHeight="1" x14ac:dyDescent="0.25">
      <c r="A21" s="852">
        <v>2018.2</v>
      </c>
      <c r="B21" s="227" t="s">
        <v>1053</v>
      </c>
      <c r="C21" s="860">
        <f ca="1">SUMIFS(INDIRECT("Report!F100:F1000"),INDIRECT("Report!B100:B1000"),B21,INDIRECT("report!H100:H1000"),"Others",INDIRECT("Report!L100:L1000"),"18.2")</f>
        <v>7832000.0000000009</v>
      </c>
      <c r="D21" s="861">
        <f ca="1">(C21/11*10)</f>
        <v>7120000.0000000009</v>
      </c>
      <c r="E21" s="860">
        <f ca="1">SUMIFS(INDIRECT("Report!J100:J1000"),INDIRECT("Report!B100:B1000"),B21,INDIRECT("report!H100:H1000"),"Others",INDIRECT("Report!L100:L1000"),"18.2")</f>
        <v>732000</v>
      </c>
      <c r="F21" s="857">
        <f ca="1">E21/D21</f>
        <v>0.10280898876404493</v>
      </c>
    </row>
    <row r="22" spans="1:8" ht="21" customHeight="1" x14ac:dyDescent="0.25">
      <c r="A22" s="835"/>
      <c r="B22" s="227" t="s">
        <v>1054</v>
      </c>
      <c r="C22" s="860">
        <f ca="1">SUMIFS(INDIRECT("Report!F100:F1000"),INDIRECT("Report!B100:B1000"),B22,INDIRECT("report!H100:H1000"),"Others",INDIRECT("Report!L100:L1000"),"18.2")</f>
        <v>16700200</v>
      </c>
      <c r="D22" s="861">
        <f ca="1">(C22/11*10)</f>
        <v>15182000</v>
      </c>
      <c r="E22" s="860">
        <f ca="1">SUMIFS(INDIRECT("Report!J100:J1000"),INDIRECT("Report!B100:B1000"),B22,INDIRECT("report!H100:H1000"),"Others",INDIRECT("Report!L100:L1000"),"18.2")</f>
        <v>4870000</v>
      </c>
      <c r="F22" s="857">
        <f ca="1">E22/D22</f>
        <v>0.32077460150177844</v>
      </c>
    </row>
    <row r="23" spans="1:8" ht="21" customHeight="1" x14ac:dyDescent="0.25">
      <c r="A23" s="931"/>
      <c r="B23" s="227" t="s">
        <v>973</v>
      </c>
      <c r="C23" s="860">
        <f ca="1">SUMIFS(INDIRECT("Report!F100:F1000"),INDIRECT("Report!B100:B1000"),B23,INDIRECT("report!H100:H1000"),"Others",INDIRECT("Report!L100:L1000"),"18.2")</f>
        <v>164450</v>
      </c>
      <c r="D23" s="861">
        <f ca="1">(C23/11*10)</f>
        <v>149500</v>
      </c>
      <c r="E23" s="860">
        <v>149500</v>
      </c>
      <c r="F23" s="857">
        <f ca="1">E23/D23</f>
        <v>1</v>
      </c>
    </row>
    <row r="24" spans="1:8" ht="21" customHeight="1" x14ac:dyDescent="0.25">
      <c r="A24" s="853"/>
      <c r="B24" s="854"/>
      <c r="C24" s="855">
        <f ca="1">SUM(C21:C23)</f>
        <v>24696650</v>
      </c>
      <c r="D24" s="855">
        <f ca="1">SUM(D21:D23)</f>
        <v>22451500</v>
      </c>
      <c r="E24" s="855"/>
      <c r="F24" s="856"/>
      <c r="G24" s="209"/>
      <c r="H24" s="209"/>
    </row>
    <row r="25" spans="1:8" ht="21" customHeight="1" x14ac:dyDescent="0.25">
      <c r="A25" s="852">
        <v>2018.3</v>
      </c>
      <c r="B25" s="227" t="s">
        <v>1053</v>
      </c>
      <c r="C25" s="860">
        <f ca="1">SUMIFS(INDIRECT("Report!F100:F1000"),INDIRECT("Report!B100:B1000"),B25,INDIRECT("report!H100:H1000"),"Others",INDIRECT("Report!L100:L1000"),"18.3")</f>
        <v>13915000.000000002</v>
      </c>
      <c r="D25" s="861">
        <f ca="1">(C25/11*10)</f>
        <v>12650000.000000002</v>
      </c>
      <c r="E25" s="860">
        <f ca="1">SUMIFS(INDIRECT("Report!J100:J1000"),INDIRECT("Report!B100:B1000"),B25,INDIRECT("report!H100:H1000"),"Others",INDIRECT("Report!L100:L1000"),"18.3")</f>
        <v>1136000</v>
      </c>
      <c r="F25" s="857">
        <f ca="1">E25/D25</f>
        <v>8.980237154150196E-2</v>
      </c>
    </row>
    <row r="26" spans="1:8" ht="21" customHeight="1" x14ac:dyDescent="0.25">
      <c r="A26" s="835"/>
      <c r="B26" s="227" t="s">
        <v>1054</v>
      </c>
      <c r="C26" s="860">
        <f ca="1">SUMIFS(INDIRECT("Report!F100:F1000"),INDIRECT("Report!B100:B1000"),B26,INDIRECT("report!H100:H1000"),"Others",INDIRECT("Report!L100:L1000"),"18.3")</f>
        <v>40733000</v>
      </c>
      <c r="D26" s="861">
        <f ca="1">(C26/11*10)</f>
        <v>37030000</v>
      </c>
      <c r="E26" s="860">
        <f ca="1">SUMIFS(INDIRECT("Report!J100:J1000"),INDIRECT("Report!B100:B1000"),B26,INDIRECT("report!H100:H1000"),"Others",INDIRECT("Report!L100:L1000"),"18.3")</f>
        <v>12592000</v>
      </c>
      <c r="F26" s="857">
        <f ca="1">E26/D26</f>
        <v>0.34004860923575481</v>
      </c>
      <c r="G26" s="227" t="s">
        <v>1191</v>
      </c>
    </row>
    <row r="27" spans="1:8" ht="21" customHeight="1" x14ac:dyDescent="0.25">
      <c r="A27" s="931"/>
      <c r="B27" s="227" t="s">
        <v>1166</v>
      </c>
      <c r="C27" s="860">
        <f ca="1">SUMIFS(INDIRECT("Report!F100:F1000"),INDIRECT("Report!B100:B1000"),B27,INDIRECT("report!H100:H1000"),"Others",INDIRECT("Report!L100:L1000"),"18.3")</f>
        <v>6985000.0000000009</v>
      </c>
      <c r="D27" s="861">
        <f ca="1">(C27/11*10)</f>
        <v>6350000.0000000009</v>
      </c>
      <c r="E27" s="860">
        <f ca="1">SUMIFS(INDIRECT("Report!J100:J1000"),INDIRECT("Report!B100:B1000"),B27,INDIRECT("report!H100:H1000"),"Others",INDIRECT("Report!L100:L1000"),"18.3")</f>
        <v>1805000</v>
      </c>
      <c r="F27" s="857">
        <f ca="1">E27/D27</f>
        <v>0.28425196850393697</v>
      </c>
      <c r="G27" s="227" t="s">
        <v>1175</v>
      </c>
    </row>
    <row r="28" spans="1:8" ht="21" customHeight="1" x14ac:dyDescent="0.25">
      <c r="A28" s="853"/>
      <c r="B28" s="854"/>
      <c r="C28" s="855">
        <f ca="1">SUM(C25:C27)</f>
        <v>61633000</v>
      </c>
      <c r="D28" s="855">
        <f ca="1">SUM(D25:D27)</f>
        <v>56030000</v>
      </c>
      <c r="E28" s="855"/>
      <c r="F28" s="856"/>
      <c r="G28" s="209"/>
      <c r="H28" s="209"/>
    </row>
    <row r="29" spans="1:8" ht="21" customHeight="1" x14ac:dyDescent="0.25">
      <c r="A29" s="852">
        <v>2018.4</v>
      </c>
      <c r="B29" s="227" t="s">
        <v>1053</v>
      </c>
      <c r="C29" s="860">
        <f ca="1">SUMIFS(INDIRECT("Report!F100:F1000"),INDIRECT("Report!B100:B1000"),B29,INDIRECT("report!H100:H1000"),"Others",INDIRECT("Report!L100:L1000"),"18.4")</f>
        <v>10310300</v>
      </c>
      <c r="D29" s="861">
        <f ca="1">(C29/11*10)</f>
        <v>9373000</v>
      </c>
      <c r="E29" s="860">
        <f ca="1">SUMIFS(INDIRECT("Report!J100:J1000"),INDIRECT("Report!B100:B1000"),B29,INDIRECT("report!H100:H1000"),"Others",INDIRECT("Report!L100:L1000"),"18.4")</f>
        <v>519000</v>
      </c>
      <c r="F29" s="857">
        <f ca="1">E29/D29</f>
        <v>5.5371812653366048E-2</v>
      </c>
    </row>
    <row r="30" spans="1:8" ht="21" customHeight="1" x14ac:dyDescent="0.25">
      <c r="A30" s="835"/>
      <c r="B30" s="227" t="s">
        <v>1054</v>
      </c>
      <c r="C30" s="860">
        <f ca="1">SUMIFS(INDIRECT("Report!F100:F1000"),INDIRECT("Report!B100:B1000"),B30,INDIRECT("report!H100:H1000"),"Others",INDIRECT("Report!L100:L1000"),"18.4")</f>
        <v>43948410.000000007</v>
      </c>
      <c r="D30" s="861">
        <f ca="1">(C30/11*10)</f>
        <v>39953100.000000007</v>
      </c>
      <c r="E30" s="860">
        <f ca="1">SUMIFS(INDIRECT("Report!J100:J1000"),INDIRECT("Report!B100:B1000"),B30,INDIRECT("report!H100:H1000"),"Others",INDIRECT("Report!L100:L1000"),"18.4")</f>
        <v>11806500</v>
      </c>
      <c r="F30" s="857">
        <f ca="1">E30/D30</f>
        <v>0.29550898428407302</v>
      </c>
      <c r="G30" s="227" t="s">
        <v>1191</v>
      </c>
    </row>
    <row r="31" spans="1:8" ht="21" customHeight="1" x14ac:dyDescent="0.25">
      <c r="A31" s="853"/>
      <c r="B31" s="854"/>
      <c r="C31" s="855">
        <f ca="1">SUM(C29:C30)</f>
        <v>54258710.000000007</v>
      </c>
      <c r="D31" s="855">
        <f ca="1">SUM(D29:D30)</f>
        <v>49326100.000000007</v>
      </c>
      <c r="E31" s="855"/>
      <c r="F31" s="856"/>
      <c r="G31" s="209"/>
      <c r="H31" s="209"/>
    </row>
    <row r="32" spans="1:8" ht="21" customHeight="1" x14ac:dyDescent="0.25">
      <c r="A32" s="852">
        <v>2018.5</v>
      </c>
      <c r="B32" s="227" t="s">
        <v>1053</v>
      </c>
      <c r="C32" s="860">
        <f ca="1">SUMIFS(INDIRECT("Report!F100:F1000"),INDIRECT("Report!B100:B1000"),B32,INDIRECT("report!H100:H1000"),"Others",INDIRECT("Report!L100:L1000"),"18.5")</f>
        <v>16682600.000000002</v>
      </c>
      <c r="D32" s="861">
        <f ca="1">(C32/11*10)</f>
        <v>15166000.000000002</v>
      </c>
      <c r="E32" s="860">
        <f ca="1">SUMIFS(INDIRECT("Report!J100:J1000"),INDIRECT("Report!B100:B1000"),B32,INDIRECT("report!H100:H1000"),"Others",INDIRECT("Report!L100:L1000"),"18.5")</f>
        <v>1269000</v>
      </c>
      <c r="F32" s="857">
        <f ca="1">E32/D32</f>
        <v>8.3674007648687848E-2</v>
      </c>
    </row>
    <row r="33" spans="1:8" ht="21" customHeight="1" x14ac:dyDescent="0.25">
      <c r="A33" s="852"/>
      <c r="B33" s="227" t="s">
        <v>1054</v>
      </c>
      <c r="C33" s="860">
        <f ca="1">SUMIFS(INDIRECT("Report!F100:F1000"),INDIRECT("Report!B100:B1000"),B33,INDIRECT("report!H100:H1000"),"Others",INDIRECT("Report!L100:L1000"),"18.5")</f>
        <v>8350100.0000000009</v>
      </c>
      <c r="D33" s="861">
        <f ca="1">(C33/11*10)</f>
        <v>7591000.0000000009</v>
      </c>
      <c r="E33" s="860">
        <f ca="1">SUMIFS(INDIRECT("Report!J100:J1000"),INDIRECT("Report!B100:B1000"),B33,INDIRECT("report!H100:H1000"),"Others",INDIRECT("Report!L100:L1000"),"18.5")</f>
        <v>2435000</v>
      </c>
      <c r="F33" s="857">
        <f ca="1">E33/D33</f>
        <v>0.32077460150177839</v>
      </c>
    </row>
    <row r="34" spans="1:8" ht="21" customHeight="1" x14ac:dyDescent="0.25">
      <c r="A34" s="852"/>
      <c r="B34" s="227" t="s">
        <v>1248</v>
      </c>
      <c r="C34" s="860">
        <f ca="1">SUMIFS(INDIRECT("Report!F100:F1000"),INDIRECT("Report!B100:B1000"),B34,INDIRECT("report!H100:H1000"),"Others",INDIRECT("Report!L100:L1000"),"18.5")</f>
        <v>10806576</v>
      </c>
      <c r="D34" s="861">
        <f ca="1">(C34/11*10)</f>
        <v>9824160</v>
      </c>
      <c r="E34" s="860">
        <f ca="1">SUMIFS(INDIRECT("Report!J100:J1000"),INDIRECT("Report!B100:B1000"),B34,INDIRECT("report!H100:H1000"),"Others",INDIRECT("Report!L100:L1000"),"18.5")</f>
        <v>3132534.7989954883</v>
      </c>
      <c r="F34" s="857">
        <f ca="1">E34/D34</f>
        <v>0.31886031976224821</v>
      </c>
      <c r="G34" s="227" t="s">
        <v>1249</v>
      </c>
    </row>
    <row r="35" spans="1:8" ht="21" customHeight="1" x14ac:dyDescent="0.25">
      <c r="A35" s="852"/>
      <c r="B35" s="227" t="s">
        <v>1250</v>
      </c>
      <c r="C35" s="860">
        <f ca="1">SUMIFS(INDIRECT("Report!F100:F1000"),INDIRECT("Report!B100:B1000"),B35,INDIRECT("report!H100:H1000"),"Others",INDIRECT("Report!L100:L1000"),"18.5")</f>
        <v>9685500</v>
      </c>
      <c r="D35" s="861">
        <f ca="1">(C35/11*10)</f>
        <v>8805000</v>
      </c>
      <c r="E35" s="860">
        <f ca="1">SUMIFS(INDIRECT("Report!J100:J1000"),INDIRECT("Report!B100:B1000"),B35,INDIRECT("report!H100:H1000"),"Others",INDIRECT("Report!L100:L1000"),"18.5")</f>
        <v>2362950</v>
      </c>
      <c r="F35" s="857">
        <f ca="1">E35/D35</f>
        <v>0.26836456558773425</v>
      </c>
      <c r="G35" s="227" t="s">
        <v>1249</v>
      </c>
    </row>
    <row r="36" spans="1:8" ht="21" customHeight="1" x14ac:dyDescent="0.25">
      <c r="A36" s="853"/>
      <c r="B36" s="854"/>
      <c r="C36" s="855">
        <f ca="1">SUM(C32:C35)</f>
        <v>45524776</v>
      </c>
      <c r="D36" s="855">
        <f ca="1">SUM(D32:D35)</f>
        <v>41386160</v>
      </c>
      <c r="E36" s="855">
        <f ca="1">SUM(E32:E35)</f>
        <v>9199484.7989954874</v>
      </c>
      <c r="F36" s="856"/>
      <c r="G36" s="209"/>
      <c r="H36" s="209"/>
    </row>
    <row r="37" spans="1:8" ht="21" customHeight="1" x14ac:dyDescent="0.25">
      <c r="A37" s="852">
        <v>2018.6</v>
      </c>
      <c r="B37" s="227" t="s">
        <v>1053</v>
      </c>
      <c r="C37" s="860">
        <f ca="1">SUMIFS(INDIRECT("Report!F100:F10000"),INDIRECT("Report!B100:B10000"),B37,INDIRECT("report!H100:H10000"),"Others",INDIRECT("Report!L100:L10000"),"18.6")</f>
        <v>14440800</v>
      </c>
      <c r="D37" s="861">
        <f ca="1">(C37/11*10)</f>
        <v>13128000</v>
      </c>
      <c r="E37" s="860">
        <f ca="1">SUMIFS(INDIRECT("Report!J100:J10000"),INDIRECT("Report!B100:B10000"),B37,INDIRECT("report!H100:H10000"),"Others",INDIRECT("Report!L100:L10000"),"18.6")</f>
        <v>1114000</v>
      </c>
      <c r="F37" s="857">
        <f ca="1">E37/D37</f>
        <v>8.4856794637416216E-2</v>
      </c>
    </row>
    <row r="38" spans="1:8" ht="21" customHeight="1" x14ac:dyDescent="0.25">
      <c r="A38" s="852"/>
      <c r="B38" s="227" t="s">
        <v>1054</v>
      </c>
      <c r="C38" s="860">
        <f ca="1">SUMIFS(INDIRECT("Report!F100:F10000"),INDIRECT("Report!B100:B10000"),B38,INDIRECT("report!H100:H10000"),"Others",INDIRECT("Report!L100:L10000"),"18.6")</f>
        <v>17344800</v>
      </c>
      <c r="D38" s="861">
        <f ca="1">(C38/11*10)</f>
        <v>15768000</v>
      </c>
      <c r="E38" s="860">
        <f ca="1">SUMIFS(INDIRECT("Report!J100:J10000"),INDIRECT("Report!B100:B10000"),B38,INDIRECT("report!H100:H10000"),"Others",INDIRECT("Report!L100:L10000"),"18.6")</f>
        <v>5055000</v>
      </c>
      <c r="F38" s="857">
        <f ca="1">E38/D38</f>
        <v>0.32058599695585999</v>
      </c>
    </row>
    <row r="39" spans="1:8" ht="21" customHeight="1" x14ac:dyDescent="0.25">
      <c r="B39" s="227" t="s">
        <v>1333</v>
      </c>
      <c r="C39" s="860">
        <f ca="1">SUMIFS(INDIRECT("Report!F100:F10000"),INDIRECT("Report!B100:B10000"),B39,INDIRECT("report!H100:H10000"),"Others",INDIRECT("Report!L100:L10000"),"18.6")</f>
        <v>0</v>
      </c>
      <c r="D39" s="861">
        <f ca="1">(C39/11*10)</f>
        <v>0</v>
      </c>
      <c r="E39" s="860">
        <f ca="1">SUMIFS(INDIRECT("Report!F100:F10000"),INDIRECT("Report!B100:B10000"),D39,INDIRECT("report!H100:H10000"),"Others",INDIRECT("Report!L100:L10000"),"18.6")</f>
        <v>0</v>
      </c>
      <c r="F39" s="857" t="e">
        <f ca="1">E39/D39</f>
        <v>#DIV/0!</v>
      </c>
      <c r="G39" s="227" t="s">
        <v>1340</v>
      </c>
    </row>
    <row r="40" spans="1:8" ht="21" customHeight="1" x14ac:dyDescent="0.25">
      <c r="A40" s="853"/>
      <c r="B40" s="854"/>
      <c r="C40" s="855">
        <f ca="1">SUM(C37:C39)</f>
        <v>31785600</v>
      </c>
      <c r="D40" s="855">
        <f ca="1">SUM(D37:D39)</f>
        <v>28896000</v>
      </c>
      <c r="E40" s="855"/>
      <c r="F40" s="856"/>
      <c r="G40" s="209"/>
      <c r="H40" s="209"/>
    </row>
    <row r="41" spans="1:8" ht="21" customHeight="1" x14ac:dyDescent="0.25">
      <c r="A41" s="852">
        <v>2018.7</v>
      </c>
      <c r="B41" s="227" t="s">
        <v>1053</v>
      </c>
      <c r="C41" s="860">
        <f t="shared" ref="C41:C46" ca="1" si="1">SUMIFS(INDIRECT("Report!F100:F10000"),INDIRECT("Report!B100:B10000"),B41,INDIRECT("report!H100:H10000"),"Others",INDIRECT("Report!L100:L10000"),"18.7")</f>
        <v>15301000</v>
      </c>
      <c r="D41" s="861">
        <f t="shared" ref="D41:D46" ca="1" si="2">(C41/11*10)</f>
        <v>13910000</v>
      </c>
      <c r="E41" s="860">
        <f ca="1">SUMIFS(INDIRECT("Report!J100:J10000"),INDIRECT("Report!B100:B10000"),B41,INDIRECT("report!H100:H10000"),"Others",INDIRECT("Report!L100:L10000"),"18.7")</f>
        <v>1097000</v>
      </c>
      <c r="F41" s="857">
        <f t="shared" ref="F41:F46" ca="1" si="3">E41/D41</f>
        <v>7.8864126527677936E-2</v>
      </c>
    </row>
    <row r="42" spans="1:8" ht="21" customHeight="1" x14ac:dyDescent="0.25">
      <c r="A42" s="852"/>
      <c r="B42" s="227" t="s">
        <v>1054</v>
      </c>
      <c r="C42" s="860">
        <f t="shared" ca="1" si="1"/>
        <v>17446000</v>
      </c>
      <c r="D42" s="861">
        <f t="shared" ca="1" si="2"/>
        <v>15860000</v>
      </c>
      <c r="E42" s="860">
        <f ca="1">SUMIFS(INDIRECT("Report!J100:J10000"),INDIRECT("Report!B100:B10000"),B42,INDIRECT("report!H100:H10000"),"Others",INDIRECT("Report!L100:L10000"),"18.7")</f>
        <v>4871000</v>
      </c>
      <c r="F42" s="857">
        <f t="shared" ca="1" si="3"/>
        <v>0.307124842370744</v>
      </c>
    </row>
    <row r="43" spans="1:8" ht="21" customHeight="1" x14ac:dyDescent="0.25">
      <c r="B43" s="227" t="s">
        <v>1336</v>
      </c>
      <c r="C43" s="860">
        <f t="shared" ca="1" si="1"/>
        <v>48400000.000000007</v>
      </c>
      <c r="D43" s="861">
        <f t="shared" ca="1" si="2"/>
        <v>44000000.000000007</v>
      </c>
      <c r="E43" s="860">
        <f ca="1">SUMIFS(INDIRECT("Report!J100:J10000"),INDIRECT("Report!B100:B10000"),B43,INDIRECT("report!H100:H10000"),"Others",INDIRECT("Report!L100:L10000"),"18.7")</f>
        <v>10263454.07381665</v>
      </c>
      <c r="F43" s="857">
        <f t="shared" ca="1" si="3"/>
        <v>0.23326031985946927</v>
      </c>
      <c r="G43" s="227" t="s">
        <v>1338</v>
      </c>
    </row>
    <row r="44" spans="1:8" ht="21" customHeight="1" x14ac:dyDescent="0.25">
      <c r="B44" s="227" t="s">
        <v>1337</v>
      </c>
      <c r="C44" s="860">
        <f t="shared" ca="1" si="1"/>
        <v>21450000</v>
      </c>
      <c r="D44" s="861">
        <f t="shared" ca="1" si="2"/>
        <v>19500000</v>
      </c>
      <c r="E44" s="860">
        <f ca="1">SUMIFS(INDIRECT("Report!J100:J10000"),INDIRECT("Report!B100:B10000"),B44,INDIRECT("report!H100:H10000"),"Others",INDIRECT("Report!L100:L10000"),"18.7")</f>
        <v>0</v>
      </c>
      <c r="F44" s="857">
        <f t="shared" ca="1" si="3"/>
        <v>0</v>
      </c>
      <c r="G44" s="227" t="s">
        <v>1339</v>
      </c>
    </row>
    <row r="45" spans="1:8" ht="21" customHeight="1" x14ac:dyDescent="0.25">
      <c r="B45" s="227" t="s">
        <v>1330</v>
      </c>
      <c r="C45" s="860">
        <f t="shared" ca="1" si="1"/>
        <v>18498282</v>
      </c>
      <c r="D45" s="861">
        <f t="shared" ca="1" si="2"/>
        <v>16816620</v>
      </c>
      <c r="E45" s="860">
        <f ca="1">SUMIFS(INDIRECT("Report!J100:J10000"),INDIRECT("Report!B100:B10000"),B45,INDIRECT("report!H100:H10000"),"Others",INDIRECT("Report!L100:L10000"),"18.7")</f>
        <v>0</v>
      </c>
      <c r="F45" s="857">
        <f t="shared" ca="1" si="3"/>
        <v>0</v>
      </c>
      <c r="G45" s="227" t="s">
        <v>1331</v>
      </c>
    </row>
    <row r="46" spans="1:8" ht="21" customHeight="1" x14ac:dyDescent="0.25">
      <c r="B46" s="227" t="s">
        <v>1346</v>
      </c>
      <c r="C46" s="860">
        <f t="shared" ca="1" si="1"/>
        <v>1287000</v>
      </c>
      <c r="D46" s="980">
        <f t="shared" ca="1" si="2"/>
        <v>1170000</v>
      </c>
      <c r="E46" s="860"/>
      <c r="F46" s="857">
        <f t="shared" ca="1" si="3"/>
        <v>0</v>
      </c>
      <c r="G46" s="227" t="s">
        <v>1347</v>
      </c>
    </row>
    <row r="47" spans="1:8" ht="21" customHeight="1" x14ac:dyDescent="0.25">
      <c r="A47" s="853"/>
      <c r="B47" s="854"/>
      <c r="C47" s="855">
        <f ca="1">SUM(C41:C45)</f>
        <v>121095282</v>
      </c>
      <c r="D47" s="855">
        <f ca="1">SUM(D41:D45)</f>
        <v>110086620</v>
      </c>
      <c r="E47" s="855"/>
      <c r="F47" s="856"/>
      <c r="G47" s="209"/>
      <c r="H47" s="209"/>
    </row>
    <row r="48" spans="1:8" ht="21" customHeight="1" x14ac:dyDescent="0.25">
      <c r="A48" s="852">
        <v>2018.8</v>
      </c>
      <c r="B48" s="227" t="s">
        <v>1053</v>
      </c>
      <c r="C48" s="860">
        <f ca="1">SUMIFS(INDIRECT("Report!F100:F10000"),INDIRECT("Report!B100:B10000"),B48,INDIRECT("report!H100:H10000"),"Others",INDIRECT("Report!L100:L10000"),"18.8")</f>
        <v>8519500</v>
      </c>
      <c r="D48" s="861">
        <f ca="1">(C48/11*10)</f>
        <v>7745000</v>
      </c>
      <c r="E48" s="860">
        <f ca="1">SUMIFS(INDIRECT("Report!J100:J10000"),INDIRECT("Report!B100:B10000"),B48,INDIRECT("report!H100:H10000"),"Others",INDIRECT("Report!L100:L10000"),"18.8")</f>
        <v>742000</v>
      </c>
      <c r="F48" s="857">
        <f ca="1">E48/D48</f>
        <v>9.580374435119432E-2</v>
      </c>
    </row>
    <row r="49" spans="1:8" ht="21" customHeight="1" x14ac:dyDescent="0.25">
      <c r="A49" s="852"/>
      <c r="B49" s="227" t="s">
        <v>1054</v>
      </c>
      <c r="C49" s="860">
        <f ca="1">SUMIFS(INDIRECT("Report!F100:F10000"),INDIRECT("Report!B100:B10000"),B49,INDIRECT("report!H100:H10000"),"Others",INDIRECT("Report!L100:L10000"),"18.8")</f>
        <v>45942600</v>
      </c>
      <c r="D49" s="861">
        <f ca="1">(C49/11*10)</f>
        <v>41766000</v>
      </c>
      <c r="E49" s="860">
        <f ca="1">SUMIFS(INDIRECT("Report!J100:J10000"),INDIRECT("Report!B100:B10000"),B49,INDIRECT("report!H100:H10000"),"Others",INDIRECT("Report!L100:L10000"),"18.8")</f>
        <v>13553000</v>
      </c>
      <c r="F49" s="857">
        <f ca="1">E49/D49</f>
        <v>0.32449839582435475</v>
      </c>
    </row>
    <row r="50" spans="1:8" ht="21" customHeight="1" x14ac:dyDescent="0.25">
      <c r="B50" s="227" t="s">
        <v>1376</v>
      </c>
      <c r="C50" s="860">
        <f ca="1">SUMIFS(INDIRECT("Report!F100:F10000"),INDIRECT("Report!B100:B10000"),B50,INDIRECT("report!H100:H10000"),"Others",INDIRECT("Report!L100:L10000"),"18.8")</f>
        <v>31900000.000000004</v>
      </c>
      <c r="D50" s="861">
        <f ca="1">(C50/11*10)</f>
        <v>29000000.000000004</v>
      </c>
      <c r="E50" s="860">
        <f ca="1">SUMIFS(INDIRECT("Report!J100:J10000"),INDIRECT("Report!B100:B10000"),B50,INDIRECT("report!H100:H10000"),"Others",INDIRECT("Report!L100:L10000"),"18.8")</f>
        <v>4129308</v>
      </c>
      <c r="F50" s="857">
        <f ca="1">E50/D50</f>
        <v>0.14238993103448275</v>
      </c>
      <c r="G50" s="227" t="s">
        <v>2098</v>
      </c>
      <c r="H50" s="863">
        <f ca="1">E50*0.1</f>
        <v>412930.80000000005</v>
      </c>
    </row>
    <row r="51" spans="1:8" ht="21" customHeight="1" x14ac:dyDescent="0.25">
      <c r="B51" s="227" t="s">
        <v>1346</v>
      </c>
      <c r="C51" s="860">
        <f ca="1">SUMIFS(INDIRECT("Report!F100:F10000"),INDIRECT("Report!B100:B10000"),B51,INDIRECT("report!H100:H10000"),"Others",INDIRECT("Report!L100:L10000"),"18.8")</f>
        <v>1287000</v>
      </c>
      <c r="D51" s="980">
        <f ca="1">(C51/11*10)</f>
        <v>1170000</v>
      </c>
      <c r="E51" s="860"/>
      <c r="F51" s="857">
        <f ca="1">E51/D51</f>
        <v>0</v>
      </c>
      <c r="G51" s="227" t="s">
        <v>1347</v>
      </c>
    </row>
    <row r="52" spans="1:8" ht="21" customHeight="1" x14ac:dyDescent="0.25">
      <c r="A52" s="853"/>
      <c r="B52" s="854"/>
      <c r="C52" s="855">
        <f ca="1">SUM(C48:C51)</f>
        <v>87649100</v>
      </c>
      <c r="D52" s="855">
        <f ca="1">SUM(D48:D51)</f>
        <v>79681000</v>
      </c>
      <c r="E52" s="855"/>
      <c r="F52" s="856"/>
      <c r="G52" s="209"/>
      <c r="H52" s="209"/>
    </row>
    <row r="53" spans="1:8" ht="21" customHeight="1" x14ac:dyDescent="0.25">
      <c r="A53" s="852">
        <v>2018.9</v>
      </c>
      <c r="B53" s="227" t="s">
        <v>1053</v>
      </c>
      <c r="C53" s="860">
        <f ca="1">SUMIFS(INDIRECT("Report!F100:F10000"),INDIRECT("Report!B100:B10000"),B53,INDIRECT("report!H100:H10000"),"Others",INDIRECT("Report!L100:L10000"),"18.9")</f>
        <v>15412100.000000002</v>
      </c>
      <c r="D53" s="861">
        <f ca="1">(C53/11*10)</f>
        <v>14011000.000000002</v>
      </c>
      <c r="E53" s="860">
        <f ca="1">SUMIFS(INDIRECT("Report!J100:J10000"),INDIRECT("Report!B100:B10000"),B53,INDIRECT("report!H100:H10000"),"Others",INDIRECT("Report!L100:L10000"),"18.9")</f>
        <v>1368000</v>
      </c>
      <c r="F53" s="857">
        <f ca="1">E53/D53</f>
        <v>9.763757048033686E-2</v>
      </c>
    </row>
    <row r="54" spans="1:8" ht="21" customHeight="1" x14ac:dyDescent="0.25">
      <c r="A54" s="852"/>
      <c r="B54" s="227" t="s">
        <v>1054</v>
      </c>
      <c r="C54" s="860">
        <f ca="1">SUMIFS(INDIRECT("Report!F100:F10000"),INDIRECT("Report!B100:B10000"),B54,INDIRECT("report!H100:H10000"),"Others",INDIRECT("Report!L100:L10000"),"18.9")</f>
        <v>42666800</v>
      </c>
      <c r="D54" s="861">
        <f ca="1">(C54/11*10)</f>
        <v>38788000</v>
      </c>
      <c r="E54" s="860">
        <f ca="1">SUMIFS(INDIRECT("Report!J100:J10000"),INDIRECT("Report!B100:B10000"),B54,INDIRECT("report!H100:H10000"),"Others",INDIRECT("Report!L100:L10000"),"18.9")</f>
        <v>12330000</v>
      </c>
      <c r="F54" s="857">
        <f ca="1">E54/D54</f>
        <v>0.31788181911931523</v>
      </c>
    </row>
    <row r="55" spans="1:8" ht="21" customHeight="1" x14ac:dyDescent="0.25">
      <c r="B55" s="227" t="s">
        <v>1416</v>
      </c>
      <c r="C55" s="860">
        <f ca="1">SUMIFS(INDIRECT("Report!F100:F10000"),INDIRECT("Report!B100:B10000"),B55,INDIRECT("report!H100:H10000"),"Others",INDIRECT("Report!L100:L10000"),"18.9")</f>
        <v>4400000</v>
      </c>
      <c r="D55" s="861">
        <f ca="1">(C55/11*10)</f>
        <v>4000000</v>
      </c>
      <c r="E55" s="860">
        <f ca="1">SUMIFS(INDIRECT("Report!J100:J10000"),INDIRECT("Report!B100:B10000"),B55,INDIRECT("report!H100:H10000"),"Others",INDIRECT("Report!L100:L10000"),"18.9")</f>
        <v>4000000</v>
      </c>
      <c r="F55" s="857">
        <f ca="1">E55/D55</f>
        <v>1</v>
      </c>
      <c r="G55" s="227" t="s">
        <v>1417</v>
      </c>
    </row>
    <row r="56" spans="1:8" ht="21" customHeight="1" x14ac:dyDescent="0.25">
      <c r="A56" s="853"/>
      <c r="B56" s="854"/>
      <c r="C56" s="855">
        <f ca="1">SUM(C53:C55)</f>
        <v>62478900</v>
      </c>
      <c r="D56" s="855">
        <f ca="1">SUM(D53:D55)</f>
        <v>56799000</v>
      </c>
      <c r="E56" s="855">
        <f ca="1">SUM(E53:E55)</f>
        <v>17698000</v>
      </c>
      <c r="F56" s="856"/>
      <c r="G56" s="209"/>
      <c r="H56" s="209"/>
    </row>
    <row r="57" spans="1:8" ht="21" customHeight="1" x14ac:dyDescent="0.25">
      <c r="A57" s="1019">
        <v>2018.1</v>
      </c>
      <c r="B57" s="227" t="s">
        <v>1053</v>
      </c>
      <c r="C57" s="860">
        <f ca="1">SUMIFS(INDIRECT("Report!F100:F10000"),INDIRECT("Report!B100:B10000"),B57,INDIRECT("report!H100:H10000"),"Others",INDIRECT("Report!L100:L10000"),"18,10")</f>
        <v>16181000.000000002</v>
      </c>
      <c r="D57" s="861">
        <f ca="1">(C57/11*10)</f>
        <v>14710000.000000002</v>
      </c>
      <c r="E57" s="860">
        <f ca="1">SUMIFS(INDIRECT("Report!J100:J10000"),INDIRECT("Report!B100:B10000"),B57,INDIRECT("report!H100:H10000"),"Others",INDIRECT("Report!L100:L10000"),"18,10")</f>
        <v>857000</v>
      </c>
      <c r="F57" s="857">
        <f ca="1">E57/D57</f>
        <v>5.8259687287559474E-2</v>
      </c>
    </row>
    <row r="58" spans="1:8" ht="21" customHeight="1" x14ac:dyDescent="0.25">
      <c r="A58" s="852"/>
      <c r="B58" s="227" t="s">
        <v>1054</v>
      </c>
      <c r="C58" s="860">
        <f ca="1">SUMIFS(INDIRECT("Report!F100:F10000"),INDIRECT("Report!B100:B10000"),B58,INDIRECT("report!H100:H10000"),"Others",INDIRECT("Report!L100:L10000"),"18,10")</f>
        <v>59279000</v>
      </c>
      <c r="D58" s="861">
        <f ca="1">(C58/11*10)</f>
        <v>53890000</v>
      </c>
      <c r="E58" s="860">
        <f ca="1">SUMIFS(INDIRECT("Report!J100:J10000"),INDIRECT("Report!B100:B10000"),B58,INDIRECT("report!H100:H10000"),"Others",INDIRECT("Report!L100:L10000"),"18,10")</f>
        <v>17082000</v>
      </c>
      <c r="F58" s="857">
        <f ca="1">E58/D58</f>
        <v>0.31697903136017813</v>
      </c>
    </row>
    <row r="59" spans="1:8" ht="21" customHeight="1" x14ac:dyDescent="0.25">
      <c r="B59" s="227" t="s">
        <v>1250</v>
      </c>
      <c r="C59" s="860">
        <f ca="1">SUMIFS(INDIRECT("Report!F100:F10000"),INDIRECT("Report!B100:B10000"),B59,INDIRECT("report!H100:H10000"),"Others",INDIRECT("Report!L100:L10000"),"18,10")</f>
        <v>52737333.000000007</v>
      </c>
      <c r="D59" s="861">
        <f ca="1">(C59/11*10)</f>
        <v>47943030.000000007</v>
      </c>
      <c r="E59" s="860">
        <f ca="1">SUMIFS(INDIRECT("Report!J100:J10000"),INDIRECT("Report!B100:B10000"),B59,INDIRECT("report!H100:H10000"),"Others",INDIRECT("Report!L100:L10000"),"18,10")</f>
        <v>11643422.470276803</v>
      </c>
      <c r="F59" s="857">
        <f ca="1">E59/D59</f>
        <v>0.24285954538703125</v>
      </c>
      <c r="G59" s="227" t="s">
        <v>1480</v>
      </c>
    </row>
    <row r="60" spans="1:8" ht="21" customHeight="1" x14ac:dyDescent="0.25">
      <c r="B60" s="227" t="s">
        <v>1481</v>
      </c>
      <c r="C60" s="860">
        <f ca="1">SUMIFS(INDIRECT("Report!F100:F10000"),INDIRECT("Report!B100:B10000"),B60,INDIRECT("report!H100:H10000"),"Others",INDIRECT("Report!L100:L10000"),"18,10")</f>
        <v>11000000</v>
      </c>
      <c r="D60" s="861">
        <f ca="1">(C60/11*10)</f>
        <v>10000000</v>
      </c>
      <c r="E60" s="860">
        <v>10000000</v>
      </c>
      <c r="F60" s="857">
        <f ca="1">E60/D60</f>
        <v>1</v>
      </c>
      <c r="G60" s="227" t="s">
        <v>1482</v>
      </c>
    </row>
    <row r="61" spans="1:8" ht="21" customHeight="1" x14ac:dyDescent="0.25">
      <c r="A61" s="853"/>
      <c r="B61" s="854"/>
      <c r="C61" s="855">
        <f ca="1">SUM(C57:C60)</f>
        <v>139197333</v>
      </c>
      <c r="D61" s="855">
        <f ca="1">SUM(D57:D60)</f>
        <v>126543030</v>
      </c>
      <c r="E61" s="855">
        <f ca="1">SUM(E57:E60)</f>
        <v>39582422.470276803</v>
      </c>
      <c r="F61" s="856"/>
      <c r="G61" s="209"/>
      <c r="H61" s="209"/>
    </row>
    <row r="62" spans="1:8" ht="21" customHeight="1" x14ac:dyDescent="0.25">
      <c r="A62" s="1019">
        <v>2018.11</v>
      </c>
      <c r="B62" s="227" t="s">
        <v>1053</v>
      </c>
      <c r="C62" s="860">
        <f ca="1">SUMIFS(INDIRECT("Report!F100:F10000"),INDIRECT("Report!B100:B10000"),B62,INDIRECT("report!H100:H10000"),"Others",INDIRECT("Report!L100:L10000"),"18.11")</f>
        <v>12094500.000000002</v>
      </c>
      <c r="D62" s="861">
        <f ca="1">(C62/11*10)</f>
        <v>10995000.000000002</v>
      </c>
      <c r="E62" s="860">
        <f ca="1">SUMIFS(INDIRECT("Report!J100:J10000"),INDIRECT("Report!B100:B10000"),B62,INDIRECT("report!H100:H10000"),"Others",INDIRECT("Report!L100:L10000"),"18.11")</f>
        <v>703000</v>
      </c>
      <c r="F62" s="857">
        <f ca="1">E62/D62</f>
        <v>6.39381537062301E-2</v>
      </c>
    </row>
    <row r="63" spans="1:8" ht="21" customHeight="1" x14ac:dyDescent="0.25">
      <c r="A63" s="852"/>
      <c r="B63" s="227" t="s">
        <v>1054</v>
      </c>
      <c r="C63" s="860">
        <f ca="1">SUMIFS(INDIRECT("Report!F100:F10000"),INDIRECT("Report!B100:B10000"),B63,INDIRECT("report!H100:H10000"),"Others",INDIRECT("Report!L100:L10000"),"18.11")</f>
        <v>59080450</v>
      </c>
      <c r="D63" s="861">
        <f ca="1">(C63/11*10)</f>
        <v>53709500</v>
      </c>
      <c r="E63" s="860">
        <f ca="1">SUMIFS(INDIRECT("Report!J100:J10000"),INDIRECT("Report!B100:B10000"),B63,INDIRECT("report!H100:H10000"),"Others",INDIRECT("Report!L100:L10000"),"18.11")</f>
        <v>17729000</v>
      </c>
      <c r="F63" s="857">
        <f ca="1">E63/D63</f>
        <v>0.33009057987879237</v>
      </c>
    </row>
    <row r="64" spans="1:8" ht="21" customHeight="1" x14ac:dyDescent="0.25">
      <c r="B64" s="227" t="s">
        <v>1591</v>
      </c>
      <c r="C64" s="860">
        <f ca="1">SUMIFS(INDIRECT("Report!F100:F10000"),INDIRECT("Report!B100:B10000"),B64,INDIRECT("report!H100:H10000"),"Others",INDIRECT("Report!L100:L10000"),"18.11")</f>
        <v>9620092.9000000004</v>
      </c>
      <c r="D64" s="861">
        <f ca="1">(C64/11*10)</f>
        <v>8745539</v>
      </c>
      <c r="E64" s="860">
        <f ca="1">SUMIFS(INDIRECT("Report!J100:J10000"),INDIRECT("Report!B100:B10000"),B64,INDIRECT("report!H100:H10000"),"Others",INDIRECT("Report!L100:L10000"),"18.11")</f>
        <v>3376896.6338925092</v>
      </c>
      <c r="F64" s="857">
        <f ca="1">E64/D64</f>
        <v>0.38612790291055921</v>
      </c>
      <c r="G64" s="227" t="s">
        <v>1592</v>
      </c>
    </row>
    <row r="65" spans="1:8" ht="21" customHeight="1" x14ac:dyDescent="0.25">
      <c r="A65" s="853"/>
      <c r="B65" s="854"/>
      <c r="C65" s="855">
        <f ca="1">SUM(C62:C64)</f>
        <v>80795042.900000006</v>
      </c>
      <c r="D65" s="855">
        <f ca="1">SUM(D62:D64)</f>
        <v>73450039</v>
      </c>
      <c r="E65" s="855">
        <f ca="1">SUM(E62:E64)</f>
        <v>21808896.63389251</v>
      </c>
      <c r="F65" s="856"/>
      <c r="G65" s="209"/>
      <c r="H65" s="209"/>
    </row>
    <row r="66" spans="1:8" ht="21" customHeight="1" x14ac:dyDescent="0.25">
      <c r="A66" s="1019">
        <v>2018.12</v>
      </c>
      <c r="B66" s="227" t="s">
        <v>1053</v>
      </c>
      <c r="C66" s="860">
        <f t="shared" ref="C66:C71" ca="1" si="4">SUMIFS(INDIRECT("Report!F100:F10000"),INDIRECT("Report!B100:B10000"),B66,INDIRECT("report!H100:H10000"),"Others",INDIRECT("Report!L100:L10000"),"18,12")</f>
        <v>15416500</v>
      </c>
      <c r="D66" s="861">
        <f t="shared" ref="D66:D71" ca="1" si="5">(C66/11*10)</f>
        <v>14015000</v>
      </c>
      <c r="E66" s="860">
        <f t="shared" ref="E66:E71" ca="1" si="6">SUMIFS(INDIRECT("Report!J100:J10000"),INDIRECT("Report!B100:B10000"),B66,INDIRECT("report!H100:H10000"),"Others",INDIRECT("Report!L100:L10000"),"18,12")</f>
        <v>1053500</v>
      </c>
      <c r="F66" s="857">
        <f ca="1">E66/D66</f>
        <v>7.5169461291473422E-2</v>
      </c>
    </row>
    <row r="67" spans="1:8" ht="21" customHeight="1" x14ac:dyDescent="0.25">
      <c r="A67" s="852"/>
      <c r="B67" s="227" t="s">
        <v>1054</v>
      </c>
      <c r="C67" s="860">
        <f t="shared" ca="1" si="4"/>
        <v>60494500</v>
      </c>
      <c r="D67" s="861">
        <f t="shared" ca="1" si="5"/>
        <v>54995000</v>
      </c>
      <c r="E67" s="860">
        <f t="shared" ca="1" si="6"/>
        <v>17288000</v>
      </c>
      <c r="F67" s="857">
        <f ca="1">E67/D67</f>
        <v>0.31435585053186654</v>
      </c>
    </row>
    <row r="68" spans="1:8" ht="21" customHeight="1" x14ac:dyDescent="0.25">
      <c r="B68" s="227" t="s">
        <v>1250</v>
      </c>
      <c r="C68" s="860">
        <f t="shared" ca="1" si="4"/>
        <v>12213036.000000002</v>
      </c>
      <c r="D68" s="861">
        <f t="shared" ca="1" si="5"/>
        <v>11102760.000000002</v>
      </c>
      <c r="E68" s="860">
        <f t="shared" ca="1" si="6"/>
        <v>2298558.589899404</v>
      </c>
      <c r="F68" s="857">
        <f ca="1">E68/D68</f>
        <v>0.20702587373764753</v>
      </c>
      <c r="G68" s="227" t="s">
        <v>1635</v>
      </c>
    </row>
    <row r="69" spans="1:8" ht="21" customHeight="1" x14ac:dyDescent="0.25">
      <c r="B69" s="227" t="s">
        <v>1631</v>
      </c>
      <c r="C69" s="860">
        <f t="shared" ca="1" si="4"/>
        <v>8096110.0000000009</v>
      </c>
      <c r="D69" s="861">
        <f t="shared" ca="1" si="5"/>
        <v>7360100.0000000009</v>
      </c>
      <c r="E69" s="860">
        <f t="shared" ca="1" si="6"/>
        <v>0</v>
      </c>
      <c r="F69" s="857"/>
      <c r="G69" s="227" t="s">
        <v>1634</v>
      </c>
    </row>
    <row r="70" spans="1:8" ht="21" customHeight="1" x14ac:dyDescent="0.25">
      <c r="B70" s="227" t="s">
        <v>1416</v>
      </c>
      <c r="C70" s="860">
        <f t="shared" ca="1" si="4"/>
        <v>49500000.000000007</v>
      </c>
      <c r="D70" s="861">
        <f t="shared" ca="1" si="5"/>
        <v>45000000.000000007</v>
      </c>
      <c r="E70" s="860">
        <f t="shared" ca="1" si="6"/>
        <v>0</v>
      </c>
      <c r="F70" s="857"/>
      <c r="G70" s="227" t="s">
        <v>947</v>
      </c>
    </row>
    <row r="71" spans="1:8" ht="21" customHeight="1" x14ac:dyDescent="0.25">
      <c r="B71" s="227" t="s">
        <v>1330</v>
      </c>
      <c r="C71" s="860">
        <f t="shared" ca="1" si="4"/>
        <v>89739006.5</v>
      </c>
      <c r="D71" s="980">
        <f t="shared" ca="1" si="5"/>
        <v>81580915</v>
      </c>
      <c r="E71" s="860">
        <f t="shared" ca="1" si="6"/>
        <v>0</v>
      </c>
      <c r="F71" s="857"/>
      <c r="G71" s="227" t="s">
        <v>1633</v>
      </c>
    </row>
    <row r="72" spans="1:8" ht="21" customHeight="1" x14ac:dyDescent="0.25">
      <c r="A72" s="853"/>
      <c r="B72" s="854"/>
      <c r="C72" s="855">
        <f ca="1">SUM(C66:C71)</f>
        <v>235459152.5</v>
      </c>
      <c r="D72" s="855">
        <f ca="1">SUM(D66:D71)</f>
        <v>214053775</v>
      </c>
      <c r="E72" s="855">
        <f ca="1">SUM(E66:E71)</f>
        <v>20640058.589899406</v>
      </c>
      <c r="F72" s="856"/>
      <c r="G72" s="209"/>
      <c r="H72" s="209"/>
    </row>
    <row r="73" spans="1:8" ht="21" customHeight="1" x14ac:dyDescent="0.25">
      <c r="A73" s="1019" t="s">
        <v>1656</v>
      </c>
      <c r="B73" s="227" t="s">
        <v>1053</v>
      </c>
      <c r="C73" s="860">
        <f ca="1">SUMIFS(INDIRECT("Report!F100:F10000"),INDIRECT("Report!B100:B10000"),B73,INDIRECT("report!H100:H10000"),"Others",INDIRECT("Report!L100:L10000"),"19,1")</f>
        <v>14289000.000000002</v>
      </c>
      <c r="D73" s="861">
        <f ca="1">(C73/11*10)</f>
        <v>12990000.000000002</v>
      </c>
      <c r="E73" s="860">
        <f ca="1">SUMIFS(INDIRECT("Report!J100:J10000"),INDIRECT("Report!B100:B10000"),B73,INDIRECT("report!H100:H10000"),"Others",INDIRECT("Report!L100:L10000"),"19,1")</f>
        <v>1020000</v>
      </c>
      <c r="F73" s="857">
        <f ca="1">E73/D73</f>
        <v>7.8521939953810613E-2</v>
      </c>
    </row>
    <row r="74" spans="1:8" ht="21" customHeight="1" x14ac:dyDescent="0.25">
      <c r="A74" s="852"/>
      <c r="B74" s="227" t="s">
        <v>1054</v>
      </c>
      <c r="C74" s="860">
        <f ca="1">SUMIFS(INDIRECT("Report!F100:F10000"),INDIRECT("Report!B100:B10000"),B74,INDIRECT("report!H100:H10000"),"Others",INDIRECT("Report!L100:L10000"),"19,1")</f>
        <v>74956200</v>
      </c>
      <c r="D74" s="861">
        <f ca="1">(C74/11*10)</f>
        <v>68142000</v>
      </c>
      <c r="E74" s="860">
        <f ca="1">SUMIFS(INDIRECT("Report!J100:J10000"),INDIRECT("Report!B100:B10000"),B74,INDIRECT("report!H100:H10000"),"Others",INDIRECT("Report!L100:L10000"),"19,1")</f>
        <v>22068500</v>
      </c>
      <c r="F74" s="857">
        <f ca="1">E74/D74</f>
        <v>0.3238604678465557</v>
      </c>
    </row>
    <row r="75" spans="1:8" ht="21" customHeight="1" x14ac:dyDescent="0.25">
      <c r="B75" s="227" t="s">
        <v>1250</v>
      </c>
      <c r="C75" s="860">
        <f ca="1">SUMIFS(INDIRECT("Report!F100:F10000"),INDIRECT("Report!B100:B10000"),B75,INDIRECT("report!H100:H10000"),"Others",INDIRECT("Report!L100:L10000"),"19,1")</f>
        <v>14738130.000000002</v>
      </c>
      <c r="D75" s="861">
        <f ca="1">(C75/11*10)</f>
        <v>13398300.000000002</v>
      </c>
      <c r="E75" s="860">
        <f ca="1">SUMIFS(INDIRECT("Report!J100:J10000"),INDIRECT("Report!B100:B10000"),B75,INDIRECT("report!H100:H10000"),"Others",INDIRECT("Report!L100:L10000"),"19,1")</f>
        <v>2629320.1067934595</v>
      </c>
      <c r="F75" s="857">
        <f ca="1">E75/D75</f>
        <v>0.19624281489393872</v>
      </c>
      <c r="G75" s="227" t="s">
        <v>1659</v>
      </c>
    </row>
    <row r="76" spans="1:8" ht="21" customHeight="1" x14ac:dyDescent="0.25">
      <c r="B76" s="227" t="s">
        <v>1330</v>
      </c>
      <c r="C76" s="860">
        <f ca="1">SUMIFS(INDIRECT("Report!F100:F10000"),INDIRECT("Report!B100:B10000"),B76,INDIRECT("report!H100:H10000"),"Others",INDIRECT("Report!L100:L10000"),"19,1")</f>
        <v>12135750</v>
      </c>
      <c r="D76" s="980">
        <f ca="1">(C76/11*10)</f>
        <v>11032500</v>
      </c>
      <c r="E76" s="860">
        <f ca="1">SUMIFS(INDIRECT("Report!J100:J10000"),INDIRECT("Report!B100:B10000"),B76,INDIRECT("report!H100:H10000"),"Others",INDIRECT("Report!L100:L10000"),"19,1")</f>
        <v>2661190.6417272678</v>
      </c>
      <c r="F76" s="857"/>
      <c r="G76" s="227" t="s">
        <v>1657</v>
      </c>
      <c r="H76" s="227" t="s">
        <v>1658</v>
      </c>
    </row>
    <row r="77" spans="1:8" ht="21" customHeight="1" x14ac:dyDescent="0.25">
      <c r="A77" s="853"/>
      <c r="B77" s="854"/>
      <c r="C77" s="855">
        <f ca="1">SUM(C73:C76)</f>
        <v>116119080</v>
      </c>
      <c r="D77" s="855">
        <f ca="1">SUM(D73:D76)</f>
        <v>105562800</v>
      </c>
      <c r="E77" s="855">
        <f ca="1">SUM(E73:E76)</f>
        <v>28379010.748520728</v>
      </c>
      <c r="F77" s="856"/>
      <c r="G77" s="209"/>
      <c r="H77" s="209"/>
    </row>
    <row r="78" spans="1:8" ht="21" customHeight="1" x14ac:dyDescent="0.25">
      <c r="A78" s="1019" t="s">
        <v>1761</v>
      </c>
      <c r="B78" s="227" t="s">
        <v>1053</v>
      </c>
      <c r="C78" s="860">
        <f ca="1">SUMIFS(INDIRECT("Report!F100:F10000"),INDIRECT("Report!B100:B10000"),B78,INDIRECT("report!H100:H10000"),"Others",INDIRECT("Report!L100:L10000"),"19,2")</f>
        <v>13455200</v>
      </c>
      <c r="D78" s="861">
        <f ca="1">(C78/11*10)</f>
        <v>12232000</v>
      </c>
      <c r="E78" s="860">
        <f ca="1">SUMIFS(INDIRECT("Report!J100:J10000"),INDIRECT("Report!B100:B10000"),B78,INDIRECT("report!H100:H10000"),"Others",INDIRECT("Report!L100:L10000"),"19,2")</f>
        <v>816000</v>
      </c>
      <c r="F78" s="857">
        <f ca="1">E78/D78</f>
        <v>6.6710268149117069E-2</v>
      </c>
    </row>
    <row r="79" spans="1:8" ht="21" customHeight="1" x14ac:dyDescent="0.25">
      <c r="A79" s="852"/>
      <c r="B79" s="227" t="s">
        <v>1054</v>
      </c>
      <c r="C79" s="860">
        <f ca="1">SUMIFS(INDIRECT("Report!F100:F10000"),INDIRECT("Report!B100:B10000"),B79,INDIRECT("report!H100:H10000"),"Others",INDIRECT("Report!L100:L10000"),"19,2")</f>
        <v>60826150</v>
      </c>
      <c r="D79" s="861">
        <f ca="1">(C79/11*10)</f>
        <v>55296500</v>
      </c>
      <c r="E79" s="860">
        <f ca="1">SUMIFS(INDIRECT("Report!J100:J10000"),INDIRECT("Report!B100:B10000"),B79,INDIRECT("report!H100:H10000"),"Others",INDIRECT("Report!L100:L10000"),"19,2")</f>
        <v>17902500</v>
      </c>
      <c r="F79" s="857">
        <f ca="1">E79/D79</f>
        <v>0.32375466801696312</v>
      </c>
    </row>
    <row r="80" spans="1:8" ht="21" customHeight="1" x14ac:dyDescent="0.25">
      <c r="B80" s="227" t="s">
        <v>1416</v>
      </c>
      <c r="C80" s="860">
        <f ca="1">SUMIFS(INDIRECT("Report!F100:F10000"),INDIRECT("Report!B100:B10000"),B80,INDIRECT("report!H100:H10000"),"Others",INDIRECT("Report!L100:L10000"),"19,2")</f>
        <v>0</v>
      </c>
      <c r="D80" s="861">
        <f ca="1">(C80/11*10)</f>
        <v>0</v>
      </c>
      <c r="E80" s="860">
        <f ca="1">SUMIFS(INDIRECT("Report!J100:J10000"),INDIRECT("Report!B100:B10000"),B80,INDIRECT("report!H100:H10000"),"Others",INDIRECT("Report!L100:L10000"),"19,2")</f>
        <v>0</v>
      </c>
      <c r="F80" s="857" t="e">
        <f ca="1">E80/D80</f>
        <v>#DIV/0!</v>
      </c>
    </row>
    <row r="81" spans="1:8" ht="21" customHeight="1" x14ac:dyDescent="0.25">
      <c r="B81" s="227" t="s">
        <v>1762</v>
      </c>
      <c r="C81" s="860">
        <f ca="1">SUMIFS(INDIRECT("Report!F100:F10000"),INDIRECT("Report!B100:B10000"),B81,INDIRECT("report!H100:H10000"),"Others",INDIRECT("Report!L100:L10000"),"19,2")</f>
        <v>873400.00000000012</v>
      </c>
      <c r="D81" s="980">
        <f ca="1">(C81/11*10)</f>
        <v>794000.00000000012</v>
      </c>
      <c r="E81" s="860">
        <f ca="1">SUMIFS(INDIRECT("Report!J100:J10000"),INDIRECT("Report!B100:B10000"),B81,INDIRECT("report!H100:H10000"),"Others",INDIRECT("Report!L100:L10000"),"19,2")</f>
        <v>305941.7181239705</v>
      </c>
      <c r="F81" s="857">
        <f ca="1">E81/D81</f>
        <v>0.38531702534505097</v>
      </c>
    </row>
    <row r="82" spans="1:8" ht="21" customHeight="1" x14ac:dyDescent="0.25">
      <c r="A82" s="853"/>
      <c r="B82" s="854"/>
      <c r="C82" s="855">
        <f ca="1">SUM(C78:C81)</f>
        <v>75154750</v>
      </c>
      <c r="D82" s="855">
        <f ca="1">SUM(D78:D81)</f>
        <v>68322500</v>
      </c>
      <c r="E82" s="855">
        <f ca="1">SUM(E78:E81)</f>
        <v>19024441.718123969</v>
      </c>
      <c r="F82" s="856"/>
      <c r="G82" s="209"/>
      <c r="H82" s="209"/>
    </row>
    <row r="83" spans="1:8" ht="21" customHeight="1" x14ac:dyDescent="0.25">
      <c r="A83" s="1019" t="s">
        <v>1833</v>
      </c>
      <c r="B83" s="227" t="s">
        <v>1053</v>
      </c>
      <c r="C83" s="860">
        <f ca="1">SUMIFS(INDIRECT("Report!F100:F10000"),INDIRECT("Report!B100:B10000"),B83,INDIRECT("report!H100:H10000"),"Others",INDIRECT("Report!L100:L10000"),"19,3")</f>
        <v>22600380</v>
      </c>
      <c r="D83" s="861">
        <f ca="1">(C83/11*10)</f>
        <v>20545800</v>
      </c>
      <c r="E83" s="860">
        <f ca="1">SUMIFS(INDIRECT("Report!J100:J10000"),INDIRECT("Report!B100:B10000"),B83,INDIRECT("report!H100:H10000"),"Others",INDIRECT("Report!L100:L10000"),"19,3")</f>
        <v>1030900</v>
      </c>
      <c r="F83" s="857">
        <f ca="1">E83/D83</f>
        <v>5.0175705010269737E-2</v>
      </c>
    </row>
    <row r="84" spans="1:8" ht="21" customHeight="1" x14ac:dyDescent="0.25">
      <c r="A84" s="852"/>
      <c r="B84" s="227" t="s">
        <v>1054</v>
      </c>
      <c r="C84" s="860">
        <f ca="1">SUMIFS(INDIRECT("Report!F100:F10000"),INDIRECT("Report!B100:B10000"),B84,INDIRECT("report!H100:H10000"),"Others",INDIRECT("Report!L100:L10000"),"19,3")</f>
        <v>67328800</v>
      </c>
      <c r="D84" s="861">
        <f ca="1">(C84/11*10)</f>
        <v>61208000</v>
      </c>
      <c r="E84" s="860">
        <f ca="1">SUMIFS(INDIRECT("Report!J100:J10000"),INDIRECT("Report!B100:B10000"),B84,INDIRECT("report!H100:H10000"),"Others",INDIRECT("Report!L100:L10000"),"19,3")</f>
        <v>19840000</v>
      </c>
      <c r="F84" s="857">
        <f ca="1">E84/D84</f>
        <v>0.32414063521108349</v>
      </c>
    </row>
    <row r="85" spans="1:8" ht="21" customHeight="1" x14ac:dyDescent="0.25">
      <c r="B85" s="227" t="s">
        <v>1250</v>
      </c>
      <c r="C85" s="860">
        <f ca="1">SUMIFS(INDIRECT("Report!F100:F10000"),INDIRECT("Report!B100:B10000"),B85,INDIRECT("report!H100:H10000"),"Others",INDIRECT("Report!L100:L10000"),"19,3")</f>
        <v>880000.00000000012</v>
      </c>
      <c r="D85" s="861">
        <f ca="1">(C85/11*10)</f>
        <v>800000.00000000012</v>
      </c>
      <c r="E85" s="860">
        <f ca="1">SUMIFS(INDIRECT("Report!J100:J10000"),INDIRECT("Report!B100:B10000"),B85,INDIRECT("report!H100:H10000"),"Others",INDIRECT("Report!L100:L10000"),"19,3")</f>
        <v>200000</v>
      </c>
      <c r="F85" s="857">
        <f ca="1">E85/D85</f>
        <v>0.24999999999999997</v>
      </c>
      <c r="G85" s="227" t="s">
        <v>1834</v>
      </c>
    </row>
    <row r="86" spans="1:8" ht="21" customHeight="1" x14ac:dyDescent="0.25">
      <c r="B86" s="227" t="s">
        <v>1330</v>
      </c>
      <c r="C86" s="860">
        <f ca="1">SUMIFS(INDIRECT("Report!F100:F10000"),INDIRECT("Report!B100:B10000"),B86,INDIRECT("report!H100:H10000"),"Others",INDIRECT("Report!L100:L10000"),"19,3")</f>
        <v>6831000.0000000009</v>
      </c>
      <c r="D86" s="861">
        <f ca="1">(C86/11*10)</f>
        <v>6210000.0000000009</v>
      </c>
      <c r="E86" s="860">
        <f ca="1">SUMIFS(INDIRECT("Report!J100:J10000"),INDIRECT("Report!B100:B10000"),B86,INDIRECT("report!H100:H10000"),"Others",INDIRECT("Report!L100:L10000"),"19,3")</f>
        <v>4014000</v>
      </c>
      <c r="F86" s="857">
        <f ca="1">E86/D86</f>
        <v>0.64637681159420279</v>
      </c>
      <c r="G86" s="227" t="s">
        <v>1835</v>
      </c>
      <c r="H86" s="227" t="s">
        <v>1836</v>
      </c>
    </row>
    <row r="87" spans="1:8" ht="21" customHeight="1" x14ac:dyDescent="0.25">
      <c r="A87" s="853"/>
      <c r="B87" s="854"/>
      <c r="C87" s="855">
        <f ca="1">SUM(C83:C86)</f>
        <v>97640180</v>
      </c>
      <c r="D87" s="855">
        <f ca="1">SUM(D83:D86)</f>
        <v>88763800</v>
      </c>
      <c r="E87" s="855">
        <f ca="1">SUM(E83:E86)</f>
        <v>25084900</v>
      </c>
      <c r="F87" s="856"/>
      <c r="G87" s="209"/>
      <c r="H87" s="209"/>
    </row>
    <row r="88" spans="1:8" ht="21" customHeight="1" x14ac:dyDescent="0.25">
      <c r="A88" s="1019" t="s">
        <v>1881</v>
      </c>
      <c r="B88" s="227" t="s">
        <v>1053</v>
      </c>
      <c r="C88" s="860">
        <f ca="1">SUMIFS(INDIRECT("Report!F100:F10000"),INDIRECT("Report!B100:B10000"),B88,INDIRECT("report!H100:H10000"),"Others",INDIRECT("Report!L100:L10000"),"19,4")</f>
        <v>28238980</v>
      </c>
      <c r="D88" s="861">
        <f ca="1">(C88/11*10)</f>
        <v>25671800</v>
      </c>
      <c r="E88" s="860">
        <f ca="1">SUMIFS(INDIRECT("Report!J100:J10000"),INDIRECT("Report!B100:B10000"),B88,INDIRECT("report!H100:H10000"),"Others",INDIRECT("Report!L100:L10000"),"19,4")</f>
        <v>1479700</v>
      </c>
      <c r="F88" s="857">
        <f ca="1">E88/D88</f>
        <v>5.7639121526344081E-2</v>
      </c>
    </row>
    <row r="89" spans="1:8" ht="21" customHeight="1" x14ac:dyDescent="0.25">
      <c r="A89" s="852"/>
      <c r="B89" s="227" t="s">
        <v>1054</v>
      </c>
      <c r="C89" s="860">
        <f ca="1">SUMIFS(INDIRECT("Report!F100:F10000"),INDIRECT("Report!B100:B10000"),B89,INDIRECT("report!H100:H10000"),"Others",INDIRECT("Report!L100:L10000"),"19,4")</f>
        <v>76148050</v>
      </c>
      <c r="D89" s="861">
        <f ca="1">(C89/11*10)</f>
        <v>69225500</v>
      </c>
      <c r="E89" s="860">
        <f ca="1">SUMIFS(INDIRECT("Report!J100:J10000"),INDIRECT("Report!B100:B10000"),B89,INDIRECT("report!H100:H10000"),"Others",INDIRECT("Report!L100:L10000"),"19,4")</f>
        <v>22433500</v>
      </c>
      <c r="F89" s="857">
        <f ca="1">E89/D89</f>
        <v>0.3240641093238763</v>
      </c>
    </row>
    <row r="90" spans="1:8" ht="21" customHeight="1" x14ac:dyDescent="0.25">
      <c r="B90" s="227" t="s">
        <v>1248</v>
      </c>
      <c r="C90" s="860">
        <f ca="1">SUMIFS(INDIRECT("Report!F100:F10000"),INDIRECT("Report!B100:B10000"),B90,INDIRECT("report!H100:H10000"),"Others",INDIRECT("Report!L100:L10000"),"19,4")</f>
        <v>3592600</v>
      </c>
      <c r="D90" s="861">
        <f ca="1">(C90/11*10)</f>
        <v>3266000</v>
      </c>
      <c r="E90" s="860">
        <f ca="1">SUMIFS(INDIRECT("Report!J100:J10000"),INDIRECT("Report!B100:B10000"),B90,INDIRECT("report!H100:H10000"),"Others",INDIRECT("Report!L100:L10000"),"19,4")</f>
        <v>1067440</v>
      </c>
      <c r="F90" s="857">
        <f ca="1">E90/D90</f>
        <v>0.32683404776484998</v>
      </c>
      <c r="G90" s="227" t="s">
        <v>1882</v>
      </c>
    </row>
    <row r="91" spans="1:8" ht="21" customHeight="1" x14ac:dyDescent="0.25">
      <c r="B91" s="227" t="s">
        <v>1330</v>
      </c>
      <c r="C91" s="860">
        <f ca="1">SUMIFS(INDIRECT("Report!F100:F10000"),INDIRECT("Report!B100:B10000"),B91,INDIRECT("report!H100:H10000"),"Others",INDIRECT("Report!L100:L10000"),"19,4")</f>
        <v>7128000</v>
      </c>
      <c r="D91" s="861">
        <f ca="1">(C91/11*10)</f>
        <v>6480000</v>
      </c>
      <c r="E91" s="860">
        <f ca="1">SUMIFS(INDIRECT("Report!J100:J10000"),INDIRECT("Report!B100:B10000"),B91,INDIRECT("report!H100:H10000"),"Others",INDIRECT("Report!L100:L10000"),"19,4")</f>
        <v>2070000</v>
      </c>
      <c r="F91" s="857">
        <f ca="1">E91/D91</f>
        <v>0.31944444444444442</v>
      </c>
      <c r="G91" s="227" t="s">
        <v>1883</v>
      </c>
      <c r="H91" s="227" t="s">
        <v>1884</v>
      </c>
    </row>
    <row r="92" spans="1:8" ht="21" customHeight="1" x14ac:dyDescent="0.25">
      <c r="A92" s="853"/>
      <c r="B92" s="854"/>
      <c r="C92" s="855">
        <f ca="1">SUM(C88:C91)</f>
        <v>115107630</v>
      </c>
      <c r="D92" s="855">
        <f ca="1">SUM(D88:D91)</f>
        <v>104643300</v>
      </c>
      <c r="E92" s="855">
        <f ca="1">SUM(E88:E91)</f>
        <v>27050640</v>
      </c>
      <c r="F92" s="856"/>
      <c r="G92" s="209"/>
      <c r="H92" s="209"/>
    </row>
    <row r="93" spans="1:8" ht="21" customHeight="1" x14ac:dyDescent="0.25">
      <c r="A93" s="1019" t="s">
        <v>1905</v>
      </c>
      <c r="B93" s="227" t="s">
        <v>1053</v>
      </c>
      <c r="C93" s="860">
        <f ca="1">SUMIFS(INDIRECT("Report!F100:F10000"),INDIRECT("Report!B100:B10000"),B93,INDIRECT("report!H100:H10000"),"Others",INDIRECT("Report!L100:L10000"),"19,5")</f>
        <v>12582900.000000002</v>
      </c>
      <c r="D93" s="861">
        <f ca="1">(C93/11*10)</f>
        <v>11439000.000000002</v>
      </c>
      <c r="E93" s="860">
        <f ca="1">SUMIFS(INDIRECT("Report!J100:J10000"),INDIRECT("Report!B100:B10000"),B93,INDIRECT("report!H100:H10000"),"Others",INDIRECT("Report!L100:L10000"),"19,5")</f>
        <v>813000</v>
      </c>
      <c r="F93" s="857">
        <f ca="1">E93/D93</f>
        <v>7.107264621033306E-2</v>
      </c>
    </row>
    <row r="94" spans="1:8" ht="21" customHeight="1" x14ac:dyDescent="0.25">
      <c r="A94" s="852"/>
      <c r="B94" s="227" t="s">
        <v>1054</v>
      </c>
      <c r="C94" s="860">
        <f ca="1">SUMIFS(INDIRECT("Report!F100:F10000"),INDIRECT("Report!B100:B10000"),B94,INDIRECT("report!H100:H10000"),"Others",INDIRECT("Report!L100:L10000"),"19,5")</f>
        <v>58795000</v>
      </c>
      <c r="D94" s="861">
        <f ca="1">(C94/11*10)</f>
        <v>53450000</v>
      </c>
      <c r="E94" s="860">
        <f ca="1">SUMIFS(INDIRECT("Report!J100:J10000"),INDIRECT("Report!B100:B10000"),B94,INDIRECT("report!H100:H10000"),"Others",INDIRECT("Report!L100:L10000"),"19,5")</f>
        <v>17620000</v>
      </c>
      <c r="F94" s="857">
        <f ca="1">E94/D94</f>
        <v>0.32965388213283442</v>
      </c>
    </row>
    <row r="95" spans="1:8" ht="21" customHeight="1" x14ac:dyDescent="0.25">
      <c r="B95" s="227" t="s">
        <v>1250</v>
      </c>
      <c r="C95" s="860">
        <f ca="1">SUMIFS(INDIRECT("Report!F100:F10000"),INDIRECT("Report!B100:B10000"),B95,INDIRECT("report!H100:H10000"),"Others",INDIRECT("Report!L100:L10000"),"19,5")</f>
        <v>12330879.000000002</v>
      </c>
      <c r="D95" s="861">
        <f ca="1">(C95/11*10)</f>
        <v>11209890.000000002</v>
      </c>
      <c r="E95" s="860">
        <f ca="1">SUMIFS(INDIRECT("Report!J100:J10000"),INDIRECT("Report!B100:B10000"),B95,INDIRECT("report!H100:H10000"),"Others",INDIRECT("Report!L100:L10000"),"19,5")</f>
        <v>3906469.3499999996</v>
      </c>
      <c r="F95" s="857">
        <f ca="1">E95/D95</f>
        <v>0.34848418227119077</v>
      </c>
      <c r="G95" s="227" t="s">
        <v>1907</v>
      </c>
    </row>
    <row r="96" spans="1:8" ht="21" customHeight="1" x14ac:dyDescent="0.25">
      <c r="B96" s="227" t="s">
        <v>1330</v>
      </c>
      <c r="C96" s="860">
        <f ca="1">SUMIFS(INDIRECT("Report!F100:F10000"),INDIRECT("Report!B100:B10000"),B96,INDIRECT("report!H100:H10000"),"Others",INDIRECT("Report!L100:L10000"),"19,5")</f>
        <v>1969000.0000000002</v>
      </c>
      <c r="D96" s="861">
        <f ca="1">(C96/11*10)</f>
        <v>1790000.0000000002</v>
      </c>
      <c r="E96" s="860">
        <f ca="1">SUMIFS(INDIRECT("Report!J100:J10000"),INDIRECT("Report!B100:B10000"),B96,INDIRECT("report!H100:H10000"),"Others",INDIRECT("Report!L100:L10000"),"19,5")</f>
        <v>768000</v>
      </c>
      <c r="F96" s="857">
        <f ca="1">E96/D96</f>
        <v>0.42905027932960887</v>
      </c>
      <c r="G96" s="227" t="s">
        <v>1906</v>
      </c>
      <c r="H96" s="227" t="s">
        <v>1836</v>
      </c>
    </row>
    <row r="97" spans="1:8" ht="21" customHeight="1" x14ac:dyDescent="0.25">
      <c r="A97" s="853"/>
      <c r="B97" s="854"/>
      <c r="C97" s="855">
        <f ca="1">SUM(C93:C96)</f>
        <v>85677779</v>
      </c>
      <c r="D97" s="855">
        <f ca="1">SUM(D93:D96)</f>
        <v>77888890</v>
      </c>
      <c r="E97" s="855">
        <f ca="1">SUM(E93:E96)</f>
        <v>23107469.350000001</v>
      </c>
      <c r="F97" s="856"/>
      <c r="G97" s="209"/>
      <c r="H97" s="209"/>
    </row>
    <row r="98" spans="1:8" ht="21" customHeight="1" x14ac:dyDescent="0.25">
      <c r="A98" s="1019" t="s">
        <v>1998</v>
      </c>
      <c r="B98" s="227" t="s">
        <v>1053</v>
      </c>
      <c r="C98" s="860">
        <f ca="1">SUMIFS(INDIRECT("Report!F100:F10000"),INDIRECT("Report!B100:B10000"),B98,INDIRECT("report!H100:H10000"),"Others",INDIRECT("Report!L100:L10000"),"19,6")</f>
        <v>12474000.000000002</v>
      </c>
      <c r="D98" s="861">
        <f ca="1">(C98/11*10)</f>
        <v>11340000.000000002</v>
      </c>
      <c r="E98" s="860">
        <f ca="1">SUMIFS(INDIRECT("Report!J100:J10000"),INDIRECT("Report!B100:B10000"),B98,INDIRECT("report!H100:H10000"),"Others",INDIRECT("Report!L100:L10000"),"19,6")</f>
        <v>1015500</v>
      </c>
      <c r="F98" s="857">
        <f ca="1">E98/D98</f>
        <v>8.9550264550264533E-2</v>
      </c>
    </row>
    <row r="99" spans="1:8" ht="21" customHeight="1" x14ac:dyDescent="0.25">
      <c r="A99" s="852"/>
      <c r="B99" s="227" t="s">
        <v>1054</v>
      </c>
      <c r="C99" s="860">
        <f ca="1">SUMIFS(INDIRECT("Report!F100:F10000"),INDIRECT("Report!B100:B10000"),B99,INDIRECT("report!H100:H10000"),"Others",INDIRECT("Report!L100:L10000"),"19,6")</f>
        <v>60119400</v>
      </c>
      <c r="D99" s="861">
        <f ca="1">(C99/11*10)</f>
        <v>54654000</v>
      </c>
      <c r="E99" s="860">
        <f ca="1">SUMIFS(INDIRECT("Report!J100:J10000"),INDIRECT("Report!B100:B10000"),B99,INDIRECT("report!H100:H10000"),"Others",INDIRECT("Report!L100:L10000"),"19,6")</f>
        <v>19318000</v>
      </c>
      <c r="F99" s="857">
        <f ca="1">E99/D99</f>
        <v>0.35345994803674025</v>
      </c>
    </row>
    <row r="100" spans="1:8" ht="21" customHeight="1" x14ac:dyDescent="0.25">
      <c r="B100" s="227" t="s">
        <v>1333</v>
      </c>
      <c r="C100" s="860">
        <f ca="1">SUMIFS(INDIRECT("Report!F100:F10000"),INDIRECT("Report!B100:B10000"),B100,INDIRECT("report!H100:H10000"),"Others",INDIRECT("Report!L100:L10000"),"19,6")</f>
        <v>102812710.00000001</v>
      </c>
      <c r="D100" s="861">
        <f ca="1">(C100/11*10)</f>
        <v>93466100.000000015</v>
      </c>
      <c r="E100" s="860">
        <f ca="1">SUMIFS(INDIRECT("Report!J100:J10000"),INDIRECT("Report!B100:B10000"),B100,INDIRECT("report!H100:H10000"),"Others",INDIRECT("Report!L100:L10000"),"19,6")</f>
        <v>3553510</v>
      </c>
      <c r="F100" s="857">
        <f ca="1">E100/D100</f>
        <v>3.801923906100714E-2</v>
      </c>
      <c r="G100" s="227" t="s">
        <v>2000</v>
      </c>
    </row>
    <row r="101" spans="1:8" ht="21" customHeight="1" x14ac:dyDescent="0.25">
      <c r="B101" s="227" t="s">
        <v>1330</v>
      </c>
      <c r="C101" s="860">
        <f ca="1">SUMIFS(INDIRECT("Report!F100:F10000"),INDIRECT("Report!B100:B10000"),B101,INDIRECT("report!H100:H10000"),"Others",INDIRECT("Report!L100:L10000"),"19,6")</f>
        <v>7693895.0000000009</v>
      </c>
      <c r="D101" s="861">
        <f ca="1">(C101/11*10)</f>
        <v>6994450.0000000009</v>
      </c>
      <c r="E101" s="860">
        <f ca="1">SUMIFS(INDIRECT("Report!J100:J10000"),INDIRECT("Report!B100:B10000"),B101,INDIRECT("report!H100:H10000"),"Others",INDIRECT("Report!L100:L10000"),"19,6")</f>
        <v>2947250</v>
      </c>
      <c r="F101" s="857">
        <f ca="1">E101/D101</f>
        <v>0.42136980034169941</v>
      </c>
      <c r="G101" s="227" t="s">
        <v>1999</v>
      </c>
      <c r="H101" s="227" t="s">
        <v>1836</v>
      </c>
    </row>
    <row r="102" spans="1:8" ht="21" customHeight="1" x14ac:dyDescent="0.25">
      <c r="A102" s="853"/>
      <c r="B102" s="854"/>
      <c r="C102" s="855">
        <f ca="1">SUM(C98:C101)</f>
        <v>183100005</v>
      </c>
      <c r="D102" s="855">
        <f ca="1">SUM(D98:D101)</f>
        <v>166454550</v>
      </c>
      <c r="E102" s="855">
        <f ca="1">SUM(E98:E101)</f>
        <v>26834260</v>
      </c>
      <c r="F102" s="856"/>
      <c r="G102" s="209"/>
      <c r="H102" s="209"/>
    </row>
    <row r="103" spans="1:8" ht="21" customHeight="1" x14ac:dyDescent="0.25">
      <c r="A103" s="1019" t="s">
        <v>2019</v>
      </c>
      <c r="B103" s="227" t="s">
        <v>1053</v>
      </c>
      <c r="C103" s="860">
        <f ca="1">SUMIFS(INDIRECT("Report!F100:F10000"),INDIRECT("Report!B100:B10000"),B103,INDIRECT("report!H100:H10000"),"Others",INDIRECT("Report!L100:L10000"),"19,7")</f>
        <v>15200900</v>
      </c>
      <c r="D103" s="861">
        <f ca="1">(C103/11*10)</f>
        <v>13819000</v>
      </c>
      <c r="E103" s="860">
        <f ca="1">SUMIFS(INDIRECT("Report!J100:J10000"),INDIRECT("Report!B100:B10000"),B103,INDIRECT("report!H100:H10000"),"Others",INDIRECT("Report!L100:L10000"),"19,7")</f>
        <v>810000</v>
      </c>
      <c r="F103" s="857">
        <f ca="1">E103/D103</f>
        <v>5.8614950430566609E-2</v>
      </c>
    </row>
    <row r="104" spans="1:8" ht="21" customHeight="1" x14ac:dyDescent="0.25">
      <c r="A104" s="852"/>
      <c r="B104" s="227" t="s">
        <v>1054</v>
      </c>
      <c r="C104" s="860">
        <f ca="1">SUMIFS(INDIRECT("Report!F100:F10000"),INDIRECT("Report!B100:B10000"),B104,INDIRECT("report!H100:H10000"),"Others",INDIRECT("Report!L100:L10000"),"19,7")</f>
        <v>67115950</v>
      </c>
      <c r="D104" s="861">
        <f ca="1">(C104/11*10)</f>
        <v>61014500</v>
      </c>
      <c r="E104" s="860">
        <f ca="1">SUMIFS(INDIRECT("Report!J100:J10000"),INDIRECT("Report!B100:B10000"),B104,INDIRECT("report!H100:H10000"),"Others",INDIRECT("Report!L100:L10000"),"19,7")</f>
        <v>21179500</v>
      </c>
      <c r="F104" s="857">
        <f ca="1">E104/D104</f>
        <v>0.34712240532988059</v>
      </c>
    </row>
    <row r="105" spans="1:8" ht="21" customHeight="1" x14ac:dyDescent="0.25">
      <c r="B105" s="227" t="s">
        <v>25</v>
      </c>
      <c r="C105" s="860">
        <f ca="1">SUMIFS(INDIRECT("Report!F100:F10000"),INDIRECT("Report!B100:B10000"),B105,INDIRECT("report!H100:H10000"),"Others",INDIRECT("Report!L100:L10000"),"19,7")</f>
        <v>0</v>
      </c>
      <c r="D105" s="861">
        <f ca="1">(C105/11*10)</f>
        <v>0</v>
      </c>
      <c r="E105" s="860">
        <f ca="1">SUMIFS(INDIRECT("Report!J100:J10000"),INDIRECT("Report!B100:B10000"),B105,INDIRECT("report!H100:H10000"),"Others",INDIRECT("Report!L100:L10000"),"19,7")</f>
        <v>0</v>
      </c>
      <c r="F105" s="857" t="e">
        <f ca="1">E105/D105</f>
        <v>#DIV/0!</v>
      </c>
      <c r="G105" s="227" t="s">
        <v>2098</v>
      </c>
      <c r="H105" s="863">
        <f ca="1">E105*0.1</f>
        <v>0</v>
      </c>
    </row>
    <row r="106" spans="1:8" ht="21" customHeight="1" x14ac:dyDescent="0.25">
      <c r="B106" s="227" t="s">
        <v>600</v>
      </c>
      <c r="C106" s="860">
        <f ca="1">SUMIFS(INDIRECT("Report!F100:F10000"),INDIRECT("Report!B100:B10000"),B106,INDIRECT("report!H100:H10000"),"Others",INDIRECT("Report!L100:L10000"),"19,7")</f>
        <v>10565500</v>
      </c>
      <c r="D106" s="861">
        <f ca="1">(C106/11*10)</f>
        <v>9605000</v>
      </c>
      <c r="E106" s="860">
        <f ca="1">SUMIFS(INDIRECT("Report!J100:J10000"),INDIRECT("Report!B100:B10000"),B106,INDIRECT("report!H100:H10000"),"Others",INDIRECT("Report!L100:L10000"),"19,7")</f>
        <v>2042810.4999999991</v>
      </c>
      <c r="F106" s="857">
        <f ca="1">E106/D106</f>
        <v>0.21268198854763135</v>
      </c>
    </row>
    <row r="107" spans="1:8" ht="21" customHeight="1" x14ac:dyDescent="0.25">
      <c r="A107" s="853"/>
      <c r="B107" s="854"/>
      <c r="C107" s="855">
        <f ca="1">SUM(C103:C106)</f>
        <v>92882350</v>
      </c>
      <c r="D107" s="855">
        <f ca="1">SUM(D103:D106)</f>
        <v>84438500</v>
      </c>
      <c r="E107" s="855">
        <f ca="1">SUM(E103:E106)</f>
        <v>24032310.5</v>
      </c>
      <c r="F107" s="856"/>
      <c r="G107" s="209"/>
      <c r="H107" s="209"/>
    </row>
    <row r="108" spans="1:8" ht="21" customHeight="1" x14ac:dyDescent="0.25">
      <c r="A108" s="1019" t="s">
        <v>2068</v>
      </c>
      <c r="B108" s="227" t="s">
        <v>1053</v>
      </c>
      <c r="C108" s="860">
        <f ca="1">SUMIFS(INDIRECT("Report!F100:F10000"),INDIRECT("Report!B100:B10000"),B108,INDIRECT("report!H100:H10000"),"Others",INDIRECT("Report!L100:L10000"),"19,8")</f>
        <v>15581500.000000002</v>
      </c>
      <c r="D108" s="861">
        <f ca="1">(C108/11*10)</f>
        <v>14165000.000000002</v>
      </c>
      <c r="E108" s="860">
        <f ca="1">SUMIFS(INDIRECT("Report!J100:J10000"),INDIRECT("Report!B100:B10000"),B108,INDIRECT("report!H100:H10000"),"Others",INDIRECT("Report!L100:L10000"),"19,8")</f>
        <v>1161000</v>
      </c>
      <c r="F108" s="857">
        <f ca="1">E108/D108</f>
        <v>8.1962583833392152E-2</v>
      </c>
    </row>
    <row r="109" spans="1:8" ht="21" customHeight="1" x14ac:dyDescent="0.25">
      <c r="A109" s="852"/>
      <c r="B109" s="227" t="s">
        <v>1054</v>
      </c>
      <c r="C109" s="860">
        <f ca="1">SUMIFS(INDIRECT("Report!F100:F10000"),INDIRECT("Report!B100:B10000"),B109,INDIRECT("report!H100:H10000"),"Others",INDIRECT("Report!L100:L10000"),"19,8")</f>
        <v>58284600</v>
      </c>
      <c r="D109" s="861">
        <f ca="1">(C109/11*10)</f>
        <v>52986000</v>
      </c>
      <c r="E109" s="860">
        <f ca="1">SUMIFS(INDIRECT("Report!J100:J10000"),INDIRECT("Report!B100:B10000"),B109,INDIRECT("report!H100:H10000"),"Others",INDIRECT("Report!L100:L10000"),"19,8")</f>
        <v>18389000</v>
      </c>
      <c r="F109" s="857">
        <f ca="1">E109/D109</f>
        <v>0.34705393877628055</v>
      </c>
    </row>
    <row r="110" spans="1:8" ht="21" customHeight="1" x14ac:dyDescent="0.25">
      <c r="B110" s="227" t="s">
        <v>1330</v>
      </c>
      <c r="C110" s="860">
        <f ca="1">SUMIFS(INDIRECT("Report!F100:F10000"),INDIRECT("Report!B100:B10000"),B110,INDIRECT("report!H100:H10000"),"Others",INDIRECT("Report!L100:L10000"),"19,8")</f>
        <v>3224650.0000000005</v>
      </c>
      <c r="D110" s="861">
        <f ca="1">(C110/11*10)</f>
        <v>2931500.0000000005</v>
      </c>
      <c r="E110" s="860">
        <f ca="1">SUMIFS(INDIRECT("Report!J100:J10000"),INDIRECT("Report!B100:B10000"),B110,INDIRECT("report!H100:H10000"),"Others",INDIRECT("Report!L100:L10000"),"19,8")</f>
        <v>812500</v>
      </c>
      <c r="F110" s="857">
        <f ca="1">E110/D110</f>
        <v>0.27716186252771613</v>
      </c>
    </row>
    <row r="111" spans="1:8" ht="21" customHeight="1" x14ac:dyDescent="0.25">
      <c r="A111" s="853"/>
      <c r="B111" s="854"/>
      <c r="C111" s="855">
        <f ca="1">SUM(C108:C110)</f>
        <v>77090750</v>
      </c>
      <c r="D111" s="855">
        <f ca="1">SUM(D108:D110)</f>
        <v>70082500</v>
      </c>
      <c r="E111" s="855">
        <f ca="1">SUM(E108:E110)</f>
        <v>20362500</v>
      </c>
      <c r="F111" s="856"/>
      <c r="G111" s="209"/>
      <c r="H111" s="209"/>
    </row>
    <row r="112" spans="1:8" ht="21" customHeight="1" x14ac:dyDescent="0.25">
      <c r="A112" s="1019" t="s">
        <v>2097</v>
      </c>
      <c r="B112" s="227" t="s">
        <v>1053</v>
      </c>
      <c r="C112" s="860">
        <f ca="1">SUMIFS(INDIRECT("Report!F100:F10000"),INDIRECT("Report!B100:B10000"),B112,INDIRECT("report!H100:H10000"),"Others",INDIRECT("Report!L100:L10000"),"19,9")</f>
        <v>15552460</v>
      </c>
      <c r="D112" s="861">
        <f ca="1">(C112/11*10)</f>
        <v>14138600</v>
      </c>
      <c r="E112" s="860">
        <f ca="1">SUMIFS(INDIRECT("Report!J100:J10000"),INDIRECT("Report!B100:B10000"),B112,INDIRECT("report!H100:H10000"),"Others",INDIRECT("Report!L100:L10000"),"19,9")</f>
        <v>994650</v>
      </c>
      <c r="F112" s="857">
        <f ca="1">E112/D112</f>
        <v>7.0349963928536069E-2</v>
      </c>
    </row>
    <row r="113" spans="1:8" ht="21" customHeight="1" x14ac:dyDescent="0.25">
      <c r="A113" s="852"/>
      <c r="B113" s="227" t="s">
        <v>1054</v>
      </c>
      <c r="C113" s="860">
        <f ca="1">SUMIFS(INDIRECT("Report!F100:F10000"),INDIRECT("Report!B100:B10000"),B113,INDIRECT("report!H100:H10000"),"Others",INDIRECT("Report!L100:L10000"),"19,9")</f>
        <v>63105900.000000007</v>
      </c>
      <c r="D113" s="861">
        <f ca="1">(C113/11*10)</f>
        <v>57369000.000000007</v>
      </c>
      <c r="E113" s="860">
        <f ca="1">SUMIFS(INDIRECT("Report!J100:J10000"),INDIRECT("Report!B100:B10000"),B113,INDIRECT("report!H100:H10000"),"Others",INDIRECT("Report!L100:L10000"),"19,9")</f>
        <v>20929000</v>
      </c>
      <c r="F113" s="857">
        <f ca="1">E113/D113</f>
        <v>0.36481374958601331</v>
      </c>
    </row>
    <row r="114" spans="1:8" ht="21" customHeight="1" x14ac:dyDescent="0.25">
      <c r="B114" s="227" t="s">
        <v>1416</v>
      </c>
      <c r="C114" s="860">
        <f ca="1">SUMIFS(INDIRECT("Report!F100:F10000"),INDIRECT("Report!B100:B10000"),B114,INDIRECT("report!H100:H10000"),"Others",INDIRECT("Report!L100:L10000"),"19,9")</f>
        <v>1100000</v>
      </c>
      <c r="D114" s="861">
        <f ca="1">(C114/11*10)</f>
        <v>1000000</v>
      </c>
      <c r="E114" s="860">
        <f ca="1">SUMIFS(INDIRECT("Report!J100:J10000"),INDIRECT("Report!B100:B10000"),B114,INDIRECT("report!H100:H10000"),"Others",INDIRECT("Report!L100:L10000"),"19,9")</f>
        <v>174323.75</v>
      </c>
      <c r="F114" s="857">
        <f ca="1">E114/D114</f>
        <v>0.17432375</v>
      </c>
    </row>
    <row r="115" spans="1:8" ht="21" customHeight="1" x14ac:dyDescent="0.25">
      <c r="B115" s="227" t="s">
        <v>1996</v>
      </c>
      <c r="C115" s="860">
        <f ca="1">SUMIFS(INDIRECT("Report!F100:F10000"),INDIRECT("Report!B100:B10000"),B115,INDIRECT("report!H100:H10000"),"Others",INDIRECT("Report!L100:L10000"),"19,9")</f>
        <v>1050500.0000000002</v>
      </c>
      <c r="D115" s="861">
        <f ca="1">(C115/11*10)</f>
        <v>955000.00000000012</v>
      </c>
      <c r="E115" s="860">
        <f ca="1">SUMIFS(INDIRECT("Report!J100:J10000"),INDIRECT("Report!B100:B10000"),B115,INDIRECT("report!H100:H10000"),"Others",INDIRECT("Report!L100:L10000"),"19,9")</f>
        <v>365000</v>
      </c>
      <c r="F115" s="857">
        <f ca="1">E115/D115</f>
        <v>0.38219895287958111</v>
      </c>
    </row>
    <row r="116" spans="1:8" ht="21" customHeight="1" x14ac:dyDescent="0.25">
      <c r="A116" s="853"/>
      <c r="B116" s="854"/>
      <c r="C116" s="855">
        <f ca="1">SUM(C112:C115)</f>
        <v>80808860</v>
      </c>
      <c r="D116" s="855">
        <f ca="1">SUM(D112:D115)</f>
        <v>73462600</v>
      </c>
      <c r="E116" s="855">
        <f ca="1">SUM(E112:E115)</f>
        <v>22462973.75</v>
      </c>
      <c r="F116" s="856"/>
      <c r="G116" s="209"/>
      <c r="H116" s="209"/>
    </row>
    <row r="117" spans="1:8" ht="21" customHeight="1" x14ac:dyDescent="0.25">
      <c r="A117" s="1019" t="s">
        <v>2131</v>
      </c>
      <c r="B117" s="227" t="s">
        <v>1053</v>
      </c>
      <c r="C117" s="860">
        <f ca="1">SUMIFS(INDIRECT("Report!F100:F10000"),INDIRECT("Report!B100:B10000"),B117,INDIRECT("report!H100:H10000"),"Others",INDIRECT("Report!L100:L10000"),"19,10")</f>
        <v>16837700</v>
      </c>
      <c r="D117" s="861">
        <f ca="1">(C117/11*10)</f>
        <v>15307000</v>
      </c>
      <c r="E117" s="860">
        <f ca="1">SUMIFS(INDIRECT("Report!J100:J10000"),INDIRECT("Report!B100:B10000"),B117,INDIRECT("report!H100:H10000"),"Others",INDIRECT("Report!L100:L10000"),"19,10")</f>
        <v>1177000</v>
      </c>
      <c r="F117" s="857">
        <f ca="1">E117/D117</f>
        <v>7.6892924805644483E-2</v>
      </c>
    </row>
    <row r="118" spans="1:8" ht="21" customHeight="1" x14ac:dyDescent="0.25">
      <c r="A118" s="852"/>
      <c r="B118" s="227" t="s">
        <v>1054</v>
      </c>
      <c r="C118" s="860">
        <f ca="1">SUMIFS(INDIRECT("Report!F100:F10000"),INDIRECT("Report!B100:B10000"),B118,INDIRECT("report!H100:H10000"),"Others",INDIRECT("Report!L100:L10000"),"19,10")</f>
        <v>56210550.000000007</v>
      </c>
      <c r="D118" s="861">
        <f ca="1">(C118/11*10)</f>
        <v>51100500.000000007</v>
      </c>
      <c r="E118" s="860">
        <f ca="1">SUMIFS(INDIRECT("Report!J100:J10000"),INDIRECT("Report!B100:B10000"),B118,INDIRECT("report!H100:H10000"),"Others",INDIRECT("Report!L100:L10000"),"19,10")</f>
        <v>16871500</v>
      </c>
      <c r="F118" s="857">
        <f ca="1">E118/D118</f>
        <v>0.33016310995000042</v>
      </c>
    </row>
    <row r="119" spans="1:8" ht="21" customHeight="1" x14ac:dyDescent="0.25">
      <c r="B119" s="227" t="s">
        <v>1250</v>
      </c>
      <c r="C119" s="860">
        <f ca="1">SUMIFS(INDIRECT("Report!F100:F10000"),INDIRECT("Report!B100:B10000"),B119,INDIRECT("report!H100:H10000"),"Others",INDIRECT("Report!L100:L10000"),"19,10")</f>
        <v>8690000</v>
      </c>
      <c r="D119" s="861">
        <f ca="1">(C119/11*10)</f>
        <v>7900000</v>
      </c>
      <c r="E119" s="860">
        <f ca="1">SUMIFS(INDIRECT("Report!J100:J10000"),INDIRECT("Report!B100:B10000"),B119,INDIRECT("report!H100:H10000"),"Others",INDIRECT("Report!L100:L10000"),"19,10")</f>
        <v>3940000</v>
      </c>
      <c r="F119" s="857">
        <f ca="1">E119/D119</f>
        <v>0.49873417721518987</v>
      </c>
      <c r="G119" s="227" t="s">
        <v>2132</v>
      </c>
    </row>
    <row r="120" spans="1:8" ht="21" customHeight="1" x14ac:dyDescent="0.25">
      <c r="A120" s="853"/>
      <c r="B120" s="854"/>
      <c r="C120" s="855">
        <f ca="1">SUM(C117:C119)</f>
        <v>81738250</v>
      </c>
      <c r="D120" s="855">
        <f ca="1">SUM(D117:D119)</f>
        <v>74307500</v>
      </c>
      <c r="E120" s="855">
        <f ca="1">SUM(E117:E119)</f>
        <v>21988500</v>
      </c>
      <c r="F120" s="856"/>
      <c r="G120" s="209"/>
      <c r="H120" s="209"/>
    </row>
    <row r="121" spans="1:8" ht="21" customHeight="1" x14ac:dyDescent="0.25">
      <c r="A121" s="1019" t="s">
        <v>2248</v>
      </c>
      <c r="B121" s="227" t="s">
        <v>2254</v>
      </c>
      <c r="C121" s="860">
        <f ca="1">SUMIFS(INDIRECT("Report!F100:F10000"),INDIRECT("Report!B100:B10000"),B121,INDIRECT("report!H100:H10000"),"Others",INDIRECT("Report!L100:L10000"),"19,11")</f>
        <v>12958000</v>
      </c>
      <c r="D121" s="861">
        <f ca="1">(C121/11*10)</f>
        <v>11780000</v>
      </c>
      <c r="E121" s="860">
        <f ca="1">SUMIFS(INDIRECT("Report!J100:J10000"),INDIRECT("Report!B100:B10000"),B121,INDIRECT("report!H100:H10000"),"Others",INDIRECT("Report!L100:L10000"),"19,11")</f>
        <v>993000</v>
      </c>
      <c r="F121" s="857">
        <f ca="1">E121/D121</f>
        <v>8.4295415959252967E-2</v>
      </c>
    </row>
    <row r="122" spans="1:8" ht="21" customHeight="1" x14ac:dyDescent="0.25">
      <c r="A122" s="852"/>
      <c r="B122" s="227" t="s">
        <v>2255</v>
      </c>
      <c r="C122" s="860">
        <f ca="1">SUMIFS(INDIRECT("Report!F100:F10000"),INDIRECT("Report!B100:B10000"),B122,INDIRECT("report!H100:H10000"),"Others",INDIRECT("Report!L100:L10000"),"19,11")</f>
        <v>75215800</v>
      </c>
      <c r="D122" s="861">
        <f ca="1">(C122/11*10)</f>
        <v>68378000</v>
      </c>
      <c r="E122" s="860">
        <f ca="1">SUMIFS(INDIRECT("Report!J100:J10000"),INDIRECT("Report!B100:B10000"),B122,INDIRECT("report!H100:H10000"),"Others",INDIRECT("Report!L100:L10000"),"19,11")</f>
        <v>24213000</v>
      </c>
      <c r="F122" s="857">
        <f ca="1">E122/D122</f>
        <v>0.35410512153031676</v>
      </c>
    </row>
    <row r="123" spans="1:8" ht="21" customHeight="1" x14ac:dyDescent="0.25">
      <c r="B123" s="227" t="s">
        <v>422</v>
      </c>
      <c r="C123" s="860">
        <f ca="1">SUMIFS(INDIRECT("Report!F100:F10000"),INDIRECT("Report!B100:B10000"),B123,INDIRECT("report!H100:H10000"),"Others",INDIRECT("Report!L100:L10000"),"19,11")</f>
        <v>3685000.0000000005</v>
      </c>
      <c r="D123" s="861">
        <f ca="1">(C123/11*10)</f>
        <v>3350000.0000000005</v>
      </c>
      <c r="E123" s="860">
        <f ca="1">SUMIFS(INDIRECT("Report!J100:J10000"),INDIRECT("Report!B100:B10000"),B123,INDIRECT("report!H100:H10000"),"Others",INDIRECT("Report!L100:L10000"),"19,11")</f>
        <v>550000</v>
      </c>
      <c r="F123" s="857">
        <f ca="1">E123/D123</f>
        <v>0.16417910447761191</v>
      </c>
      <c r="G123" s="227" t="s">
        <v>2256</v>
      </c>
    </row>
    <row r="124" spans="1:8" ht="21" customHeight="1" x14ac:dyDescent="0.25">
      <c r="A124" s="853"/>
      <c r="B124" s="854"/>
      <c r="C124" s="855">
        <f ca="1">SUM(C121:C123)</f>
        <v>91858800</v>
      </c>
      <c r="D124" s="855">
        <f ca="1">SUM(D121:D123)</f>
        <v>83508000</v>
      </c>
      <c r="E124" s="855">
        <f ca="1">SUM(E121:E123)</f>
        <v>25756000</v>
      </c>
      <c r="F124" s="856"/>
      <c r="G124" s="209"/>
      <c r="H124" s="209"/>
    </row>
    <row r="125" spans="1:8" ht="21" customHeight="1" x14ac:dyDescent="0.25">
      <c r="A125" s="1019" t="s">
        <v>2252</v>
      </c>
      <c r="B125" s="227" t="s">
        <v>2254</v>
      </c>
      <c r="C125" s="860">
        <f ca="1">SUMIFS(INDIRECT("Report!F100:F10000"),INDIRECT("Report!B100:B10000"),B125,INDIRECT("report!H100:H10000"),"Others",INDIRECT("Report!L100:L10000"),"19,12")</f>
        <v>15460500</v>
      </c>
      <c r="D125" s="861">
        <f ca="1">(C125/11*10)</f>
        <v>14055000</v>
      </c>
      <c r="E125" s="860">
        <f ca="1">SUMIFS(INDIRECT("Report!J100:J10000"),INDIRECT("Report!B100:B10000"),B125,INDIRECT("report!H100:H10000"),"Others",INDIRECT("Report!L100:L10000"),"19,12")</f>
        <v>876000</v>
      </c>
      <c r="F125" s="857">
        <f ca="1">E125/D125</f>
        <v>6.232657417289221E-2</v>
      </c>
    </row>
    <row r="126" spans="1:8" ht="21" customHeight="1" x14ac:dyDescent="0.25">
      <c r="A126" s="852"/>
      <c r="B126" s="227" t="s">
        <v>2255</v>
      </c>
      <c r="C126" s="860">
        <f ca="1">SUMIFS(INDIRECT("Report!F100:F10000"),INDIRECT("Report!B100:B10000"),B126,INDIRECT("report!H100:H10000"),"Others",INDIRECT("Report!L100:L10000"),"19,12")</f>
        <v>56002100.000000007</v>
      </c>
      <c r="D126" s="861">
        <f ca="1">(C126/11*10)</f>
        <v>50911000.000000007</v>
      </c>
      <c r="E126" s="860">
        <f ca="1">SUMIFS(INDIRECT("Report!J100:J10000"),INDIRECT("Report!B100:B10000"),B126,INDIRECT("report!H100:H10000"),"Others",INDIRECT("Report!L100:L10000"),"19,12")</f>
        <v>17619873.417721517</v>
      </c>
      <c r="F126" s="857">
        <f ca="1">E126/D126</f>
        <v>0.34609167798160545</v>
      </c>
    </row>
    <row r="127" spans="1:8" ht="21" customHeight="1" x14ac:dyDescent="0.25">
      <c r="B127" s="227" t="s">
        <v>422</v>
      </c>
      <c r="C127" s="860">
        <f ca="1">SUMIFS(INDIRECT("Report!F100:F10000"),INDIRECT("Report!B100:B10000"),B127,INDIRECT("report!H100:H10000"),"Others",INDIRECT("Report!L100:L10000"),"19,12")</f>
        <v>19800000</v>
      </c>
      <c r="D127" s="861">
        <f ca="1">(C127/11*10)</f>
        <v>18000000</v>
      </c>
      <c r="E127" s="860">
        <f ca="1">SUMIFS(INDIRECT("Report!J100:J10000"),INDIRECT("Report!B100:B10000"),B127,INDIRECT("report!H100:H10000"),"Others",INDIRECT("Report!L100:L10000"),"19,12")</f>
        <v>1424046</v>
      </c>
      <c r="F127" s="857">
        <f ca="1">E127/D127</f>
        <v>7.9113666666666665E-2</v>
      </c>
      <c r="G127" s="227" t="s">
        <v>2257</v>
      </c>
    </row>
    <row r="128" spans="1:8" ht="21" customHeight="1" x14ac:dyDescent="0.25">
      <c r="B128" s="227" t="s">
        <v>1330</v>
      </c>
      <c r="C128" s="860">
        <f ca="1">SUMIFS(INDIRECT("Report!F100:F10000"),INDIRECT("Report!B100:B10000"),B128,INDIRECT("report!H100:H10000"),"Others",INDIRECT("Report!L100:L10000"),"19,12")</f>
        <v>1842500.0000000002</v>
      </c>
      <c r="D128" s="980">
        <f ca="1">(C128/11*10)</f>
        <v>1675000.0000000002</v>
      </c>
      <c r="E128" s="860">
        <f ca="1">SUMIFS(INDIRECT("Report!J100:J10000"),INDIRECT("Report!B100:B10000"),B128,INDIRECT("report!H100:H10000"),"Others",INDIRECT("Report!L100:L10000"),"19,12")</f>
        <v>463251.19823030615</v>
      </c>
      <c r="F128" s="857">
        <f ca="1">E128/D128</f>
        <v>0.27656787954048123</v>
      </c>
    </row>
    <row r="129" spans="1:8" ht="21" customHeight="1" x14ac:dyDescent="0.25">
      <c r="A129" s="853"/>
      <c r="B129" s="854"/>
      <c r="C129" s="855">
        <f ca="1">SUM(C125:C128)</f>
        <v>93105100</v>
      </c>
      <c r="D129" s="855">
        <f ca="1">SUM(D125:D128)</f>
        <v>84641000</v>
      </c>
      <c r="E129" s="855">
        <f ca="1">SUM(E125:E128)</f>
        <v>20383170.615951825</v>
      </c>
      <c r="F129" s="856"/>
      <c r="G129" s="209"/>
      <c r="H129" s="209"/>
    </row>
    <row r="130" spans="1:8" ht="21" customHeight="1" x14ac:dyDescent="0.25">
      <c r="A130" s="1019" t="s">
        <v>2294</v>
      </c>
      <c r="B130" s="227" t="s">
        <v>2254</v>
      </c>
      <c r="C130" s="860">
        <f t="shared" ref="C130:C136" ca="1" si="7">SUMIFS(INDIRECT("Report!F100:F10000"),INDIRECT("Report!B100:B10000"),B130,INDIRECT("report!H100:H10000"),"Others",INDIRECT("Report!L100:L10000"),"20,1")</f>
        <v>17941000</v>
      </c>
      <c r="D130" s="861">
        <f t="shared" ref="D130:D136" ca="1" si="8">(C130/11*10)</f>
        <v>16310000</v>
      </c>
      <c r="E130" s="860">
        <f t="shared" ref="E130:E136" ca="1" si="9">SUMIFS(INDIRECT("Report!J100:J10000"),INDIRECT("Report!B100:B10000"),B130,INDIRECT("report!H100:H10000"),"Others",INDIRECT("Report!L100:L10000"),"20,1")</f>
        <v>825000</v>
      </c>
      <c r="F130" s="857">
        <f t="shared" ref="F130:F136" ca="1" si="10">E130/D130</f>
        <v>5.0582464745554875E-2</v>
      </c>
    </row>
    <row r="131" spans="1:8" ht="21" customHeight="1" x14ac:dyDescent="0.25">
      <c r="A131" s="852"/>
      <c r="B131" s="227" t="s">
        <v>2255</v>
      </c>
      <c r="C131" s="860">
        <f t="shared" ca="1" si="7"/>
        <v>71011050</v>
      </c>
      <c r="D131" s="861">
        <f t="shared" ca="1" si="8"/>
        <v>64555500</v>
      </c>
      <c r="E131" s="860">
        <f t="shared" ca="1" si="9"/>
        <v>22470626.582278479</v>
      </c>
      <c r="F131" s="857">
        <f t="shared" ca="1" si="10"/>
        <v>0.34808229480491171</v>
      </c>
    </row>
    <row r="132" spans="1:8" ht="21" customHeight="1" x14ac:dyDescent="0.25">
      <c r="A132" s="232"/>
      <c r="B132" s="227" t="s">
        <v>1416</v>
      </c>
      <c r="C132" s="860">
        <f t="shared" ca="1" si="7"/>
        <v>1100000</v>
      </c>
      <c r="D132" s="861">
        <f t="shared" ca="1" si="8"/>
        <v>1000000</v>
      </c>
      <c r="E132" s="860">
        <f t="shared" ca="1" si="9"/>
        <v>174323.75</v>
      </c>
      <c r="F132" s="857">
        <f t="shared" ca="1" si="10"/>
        <v>0.17432375</v>
      </c>
    </row>
    <row r="133" spans="1:8" ht="21" customHeight="1" x14ac:dyDescent="0.25">
      <c r="B133" s="227" t="s">
        <v>422</v>
      </c>
      <c r="C133" s="860">
        <f t="shared" ca="1" si="7"/>
        <v>12672000.000000002</v>
      </c>
      <c r="D133" s="861">
        <f t="shared" ca="1" si="8"/>
        <v>11520000.000000002</v>
      </c>
      <c r="E133" s="860">
        <f t="shared" ca="1" si="9"/>
        <v>3592203</v>
      </c>
      <c r="F133" s="857">
        <f t="shared" ca="1" si="10"/>
        <v>0.31182317708333329</v>
      </c>
      <c r="G133" s="227" t="s">
        <v>2301</v>
      </c>
    </row>
    <row r="134" spans="1:8" ht="21" customHeight="1" x14ac:dyDescent="0.25">
      <c r="B134" s="227" t="s">
        <v>2357</v>
      </c>
      <c r="C134" s="860">
        <f t="shared" ca="1" si="7"/>
        <v>8060800.0000000009</v>
      </c>
      <c r="D134" s="980">
        <f t="shared" ca="1" si="8"/>
        <v>7328000.0000000009</v>
      </c>
      <c r="E134" s="860">
        <f t="shared" ca="1" si="9"/>
        <v>1760400</v>
      </c>
      <c r="F134" s="857">
        <f t="shared" ca="1" si="10"/>
        <v>0.24022925764192138</v>
      </c>
    </row>
    <row r="135" spans="1:8" ht="21" customHeight="1" x14ac:dyDescent="0.25">
      <c r="B135" s="227" t="s">
        <v>2358</v>
      </c>
      <c r="C135" s="860">
        <f t="shared" ca="1" si="7"/>
        <v>1292500</v>
      </c>
      <c r="D135" s="980">
        <f t="shared" ca="1" si="8"/>
        <v>1175000</v>
      </c>
      <c r="E135" s="860">
        <f t="shared" ca="1" si="9"/>
        <v>612500</v>
      </c>
      <c r="F135" s="857">
        <f t="shared" ca="1" si="10"/>
        <v>0.52127659574468088</v>
      </c>
    </row>
    <row r="136" spans="1:8" ht="21" customHeight="1" x14ac:dyDescent="0.25">
      <c r="B136" s="227" t="s">
        <v>2302</v>
      </c>
      <c r="C136" s="860">
        <f t="shared" ca="1" si="7"/>
        <v>2508000</v>
      </c>
      <c r="D136" s="980">
        <f t="shared" ca="1" si="8"/>
        <v>2280000</v>
      </c>
      <c r="E136" s="860">
        <f t="shared" ca="1" si="9"/>
        <v>1070912</v>
      </c>
      <c r="F136" s="857">
        <f t="shared" ca="1" si="10"/>
        <v>0.46969824561403511</v>
      </c>
      <c r="G136" s="227" t="s">
        <v>2303</v>
      </c>
    </row>
    <row r="137" spans="1:8" ht="21" customHeight="1" x14ac:dyDescent="0.25">
      <c r="A137" s="853"/>
      <c r="B137" s="854"/>
      <c r="C137" s="855">
        <f ca="1">SUM(C130:C136)</f>
        <v>114585350</v>
      </c>
      <c r="D137" s="855">
        <f ca="1">SUM(D130:D136)</f>
        <v>104168500</v>
      </c>
      <c r="E137" s="855">
        <f ca="1">SUM(E130:E136)</f>
        <v>30505965.332278479</v>
      </c>
      <c r="F137" s="856"/>
      <c r="G137" s="209"/>
      <c r="H137" s="209"/>
    </row>
    <row r="138" spans="1:8" ht="21" customHeight="1" x14ac:dyDescent="0.25">
      <c r="A138" s="1019" t="s">
        <v>2326</v>
      </c>
      <c r="B138" s="227" t="s">
        <v>2254</v>
      </c>
      <c r="C138" s="860">
        <f t="shared" ref="C138:C143" ca="1" si="11">SUMIFS(INDIRECT("Report!F100:F10000"),INDIRECT("Report!B100:B10000"),B138,INDIRECT("report!H100:H10000"),"Others",INDIRECT("Report!L100:L10000"),"20,2")</f>
        <v>14030500</v>
      </c>
      <c r="D138" s="861">
        <f t="shared" ref="D138:D143" ca="1" si="12">(C138/11*10)</f>
        <v>12755000</v>
      </c>
      <c r="E138" s="860">
        <f t="shared" ref="E138:E143" ca="1" si="13">SUMIFS(INDIRECT("Report!J100:J10000"),INDIRECT("Report!B100:B10000"),B138,INDIRECT("report!H100:H10000"),"Others",INDIRECT("Report!L100:L10000"),"20,2")</f>
        <v>1032000</v>
      </c>
      <c r="F138" s="857">
        <f t="shared" ref="F138:F143" ca="1" si="14">E138/D138</f>
        <v>8.0909447275578208E-2</v>
      </c>
    </row>
    <row r="139" spans="1:8" ht="21" customHeight="1" x14ac:dyDescent="0.25">
      <c r="A139" s="852"/>
      <c r="B139" s="227" t="s">
        <v>2255</v>
      </c>
      <c r="C139" s="860">
        <f t="shared" ca="1" si="11"/>
        <v>78397000</v>
      </c>
      <c r="D139" s="861">
        <f t="shared" ca="1" si="12"/>
        <v>71270000</v>
      </c>
      <c r="E139" s="860">
        <f t="shared" ca="1" si="13"/>
        <v>22832830.763180532</v>
      </c>
      <c r="F139" s="857">
        <f t="shared" ca="1" si="14"/>
        <v>0.32037085398036386</v>
      </c>
    </row>
    <row r="140" spans="1:8" ht="21" customHeight="1" x14ac:dyDescent="0.25">
      <c r="A140" s="232"/>
      <c r="B140" s="227" t="s">
        <v>1330</v>
      </c>
      <c r="C140" s="860">
        <f t="shared" ca="1" si="11"/>
        <v>3118500</v>
      </c>
      <c r="D140" s="861">
        <f t="shared" ca="1" si="12"/>
        <v>2835000</v>
      </c>
      <c r="E140" s="860">
        <f t="shared" ca="1" si="13"/>
        <v>890000</v>
      </c>
      <c r="F140" s="857">
        <f t="shared" ca="1" si="14"/>
        <v>0.31393298059964725</v>
      </c>
    </row>
    <row r="141" spans="1:8" ht="21" customHeight="1" x14ac:dyDescent="0.25">
      <c r="B141" s="227" t="s">
        <v>2357</v>
      </c>
      <c r="C141" s="860">
        <f t="shared" ca="1" si="11"/>
        <v>10415900</v>
      </c>
      <c r="D141" s="861">
        <f t="shared" ca="1" si="12"/>
        <v>9469000</v>
      </c>
      <c r="E141" s="860">
        <f t="shared" ca="1" si="13"/>
        <v>2863617</v>
      </c>
      <c r="F141" s="857">
        <f t="shared" ca="1" si="14"/>
        <v>0.30242021332770092</v>
      </c>
    </row>
    <row r="142" spans="1:8" ht="21" customHeight="1" x14ac:dyDescent="0.25">
      <c r="B142" s="227" t="s">
        <v>2358</v>
      </c>
      <c r="C142" s="860">
        <f t="shared" ca="1" si="11"/>
        <v>2398000</v>
      </c>
      <c r="D142" s="861">
        <f t="shared" ca="1" si="12"/>
        <v>2180000</v>
      </c>
      <c r="E142" s="860">
        <f t="shared" ca="1" si="13"/>
        <v>580000</v>
      </c>
      <c r="F142" s="857">
        <f t="shared" ca="1" si="14"/>
        <v>0.26605504587155965</v>
      </c>
    </row>
    <row r="143" spans="1:8" ht="21" customHeight="1" x14ac:dyDescent="0.25">
      <c r="B143" s="227" t="s">
        <v>422</v>
      </c>
      <c r="C143" s="860">
        <f t="shared" ca="1" si="11"/>
        <v>12826000.000000002</v>
      </c>
      <c r="D143" s="861">
        <f t="shared" ca="1" si="12"/>
        <v>11660000.000000002</v>
      </c>
      <c r="E143" s="860">
        <f t="shared" ca="1" si="13"/>
        <v>3860000</v>
      </c>
      <c r="F143" s="857">
        <f t="shared" ca="1" si="14"/>
        <v>0.33104631217838759</v>
      </c>
      <c r="G143" s="227" t="s">
        <v>2301</v>
      </c>
    </row>
    <row r="144" spans="1:8" ht="21" customHeight="1" x14ac:dyDescent="0.25">
      <c r="A144" s="853"/>
      <c r="B144" s="854"/>
      <c r="C144" s="855">
        <f ca="1">SUM(C138:C143)</f>
        <v>121185900</v>
      </c>
      <c r="D144" s="855">
        <f ca="1">SUM(D138:D143)</f>
        <v>110169000</v>
      </c>
      <c r="E144" s="855">
        <f ca="1">SUM(E138:E143)</f>
        <v>32058447.763180532</v>
      </c>
      <c r="F144" s="856"/>
      <c r="G144" s="209"/>
      <c r="H144" s="209"/>
    </row>
    <row r="145" spans="1:8" ht="21" customHeight="1" x14ac:dyDescent="0.25">
      <c r="A145" s="1019" t="s">
        <v>2356</v>
      </c>
      <c r="B145" s="227" t="s">
        <v>2254</v>
      </c>
      <c r="C145" s="860">
        <f ca="1">SUMIFS(INDIRECT("Report!F100:F10000"),INDIRECT("Report!B100:B10000"),B145,INDIRECT("report!H100:H10000"),"Others",INDIRECT("Report!L100:L10000"),"20,3")</f>
        <v>9284000</v>
      </c>
      <c r="D145" s="861">
        <f t="shared" ref="D145:D152" ca="1" si="15">(C145/11*10)</f>
        <v>8440000</v>
      </c>
      <c r="E145" s="860">
        <f ca="1">SUMIFS(INDIRECT("Report!J100:J10000"),INDIRECT("Report!B100:B10000"),B145,INDIRECT("report!H100:H10000"),"Others",INDIRECT("Report!L100:L10000"),"20,3")</f>
        <v>592000</v>
      </c>
      <c r="F145" s="857">
        <f t="shared" ref="F145:F152" ca="1" si="16">E145/D145</f>
        <v>7.0142180094786732E-2</v>
      </c>
    </row>
    <row r="146" spans="1:8" ht="21" customHeight="1" x14ac:dyDescent="0.25">
      <c r="A146" s="852"/>
      <c r="B146" s="227" t="s">
        <v>2255</v>
      </c>
      <c r="C146" s="860">
        <f t="shared" ref="C146:C152" ca="1" si="17">SUMIFS(INDIRECT("Report!F100:F10000"),INDIRECT("Report!B100:B10000"),B146,INDIRECT("report!H100:H10000"),"Others",INDIRECT("Report!L100:L10000"),"20,3")</f>
        <v>54038600.000000007</v>
      </c>
      <c r="D146" s="861">
        <f t="shared" ca="1" si="15"/>
        <v>49126000.000000007</v>
      </c>
      <c r="E146" s="860">
        <f t="shared" ref="E146:E152" ca="1" si="18">SUMIFS(INDIRECT("Report!J100:J10000"),INDIRECT("Report!B100:B10000"),B146,INDIRECT("report!H100:H10000"),"Others",INDIRECT("Report!L100:L10000"),"20,3")</f>
        <v>16308428.683790093</v>
      </c>
      <c r="F146" s="857">
        <f t="shared" ca="1" si="16"/>
        <v>0.33197143434820853</v>
      </c>
    </row>
    <row r="147" spans="1:8" ht="21" customHeight="1" x14ac:dyDescent="0.25">
      <c r="A147" s="232"/>
      <c r="B147" s="227" t="s">
        <v>1416</v>
      </c>
      <c r="C147" s="860">
        <f t="shared" ca="1" si="17"/>
        <v>1100000</v>
      </c>
      <c r="D147" s="861">
        <f t="shared" ca="1" si="15"/>
        <v>1000000</v>
      </c>
      <c r="E147" s="860">
        <f ca="1">SUMIFS(INDIRECT("Report!J100:J10000"),INDIRECT("Report!B100:B10000"),B147,INDIRECT("report!H100:H10000"),"Others",INDIRECT("Report!L100:L10000"),"20,3")</f>
        <v>174323.75</v>
      </c>
      <c r="F147" s="857">
        <f t="shared" ca="1" si="16"/>
        <v>0.17432375</v>
      </c>
      <c r="G147" s="227" t="s">
        <v>2372</v>
      </c>
    </row>
    <row r="148" spans="1:8" ht="21" customHeight="1" x14ac:dyDescent="0.25">
      <c r="A148" s="232"/>
      <c r="B148" s="227" t="s">
        <v>1330</v>
      </c>
      <c r="C148" s="860">
        <f t="shared" ca="1" si="17"/>
        <v>9240000</v>
      </c>
      <c r="D148" s="861">
        <f t="shared" ca="1" si="15"/>
        <v>8400000</v>
      </c>
      <c r="E148" s="860">
        <f t="shared" ca="1" si="18"/>
        <v>3276973</v>
      </c>
      <c r="F148" s="857">
        <f t="shared" ca="1" si="16"/>
        <v>0.39011583333333333</v>
      </c>
      <c r="G148" s="227" t="s">
        <v>2373</v>
      </c>
    </row>
    <row r="149" spans="1:8" ht="21" customHeight="1" x14ac:dyDescent="0.25">
      <c r="A149" s="232"/>
      <c r="B149" s="227" t="s">
        <v>2302</v>
      </c>
      <c r="C149" s="860">
        <f t="shared" ca="1" si="17"/>
        <v>7022400.0000000009</v>
      </c>
      <c r="D149" s="861">
        <f t="shared" ca="1" si="15"/>
        <v>6384000.0000000009</v>
      </c>
      <c r="E149" s="860">
        <f ca="1">SUMIFS(INDIRECT("Report!J100:J10000"),INDIRECT("Report!B100:B10000"),B149,INDIRECT("report!H100:H10000"),"Others",INDIRECT("Report!L100:L10000"),"20,3")</f>
        <v>3148768</v>
      </c>
      <c r="F149" s="857">
        <f t="shared" ca="1" si="16"/>
        <v>0.49322807017543852</v>
      </c>
      <c r="G149" s="227" t="s">
        <v>2374</v>
      </c>
    </row>
    <row r="150" spans="1:8" ht="21" customHeight="1" x14ac:dyDescent="0.25">
      <c r="B150" s="227" t="s">
        <v>2357</v>
      </c>
      <c r="C150" s="860">
        <f t="shared" ca="1" si="17"/>
        <v>7839700</v>
      </c>
      <c r="D150" s="861">
        <f t="shared" ca="1" si="15"/>
        <v>7127000</v>
      </c>
      <c r="E150" s="860">
        <f t="shared" ca="1" si="18"/>
        <v>1624695</v>
      </c>
      <c r="F150" s="857">
        <f t="shared" ca="1" si="16"/>
        <v>0.22796337870071559</v>
      </c>
    </row>
    <row r="151" spans="1:8" ht="21" customHeight="1" x14ac:dyDescent="0.25">
      <c r="B151" s="227" t="s">
        <v>2358</v>
      </c>
      <c r="C151" s="860">
        <f t="shared" ca="1" si="17"/>
        <v>1292500</v>
      </c>
      <c r="D151" s="861">
        <f t="shared" ca="1" si="15"/>
        <v>1175000</v>
      </c>
      <c r="E151" s="860">
        <f t="shared" ca="1" si="18"/>
        <v>612500</v>
      </c>
      <c r="F151" s="857">
        <f t="shared" ca="1" si="16"/>
        <v>0.52127659574468088</v>
      </c>
    </row>
    <row r="152" spans="1:8" ht="21" customHeight="1" x14ac:dyDescent="0.25">
      <c r="B152" s="227" t="s">
        <v>422</v>
      </c>
      <c r="C152" s="860">
        <f t="shared" ca="1" si="17"/>
        <v>770000.00000000012</v>
      </c>
      <c r="D152" s="861">
        <f t="shared" ca="1" si="15"/>
        <v>700000.00000000012</v>
      </c>
      <c r="E152" s="860">
        <f t="shared" ca="1" si="18"/>
        <v>150000</v>
      </c>
      <c r="F152" s="857">
        <f t="shared" ca="1" si="16"/>
        <v>0.21428571428571425</v>
      </c>
      <c r="G152" s="227" t="s">
        <v>2375</v>
      </c>
    </row>
    <row r="153" spans="1:8" ht="21" customHeight="1" x14ac:dyDescent="0.25">
      <c r="A153" s="853"/>
      <c r="B153" s="854"/>
      <c r="C153" s="855">
        <f ca="1">SUM(C145:C152)</f>
        <v>90587200</v>
      </c>
      <c r="D153" s="855">
        <f ca="1">SUM(D145:D152)</f>
        <v>82352000.000000015</v>
      </c>
      <c r="E153" s="855">
        <f ca="1">SUM(E145:E152)</f>
        <v>25887688.433790095</v>
      </c>
      <c r="F153" s="856"/>
      <c r="G153" s="209"/>
      <c r="H153" s="209"/>
    </row>
    <row r="154" spans="1:8" ht="21" customHeight="1" x14ac:dyDescent="0.25">
      <c r="A154" s="1019" t="s">
        <v>2424</v>
      </c>
      <c r="B154" s="227" t="s">
        <v>2254</v>
      </c>
      <c r="C154" s="860">
        <f ca="1">SUMIFS(INDIRECT("Report!F100:F10000"),INDIRECT("Report!B100:B10000"),B154,INDIRECT("report!H100:H10000"),"Others",INDIRECT("Report!L100:L10000"),"20,4")</f>
        <v>10967000</v>
      </c>
      <c r="D154" s="861">
        <f ca="1">(C154/11*10)</f>
        <v>9970000</v>
      </c>
      <c r="E154" s="860">
        <f ca="1">SUMIFS(INDIRECT("Report!J100:J10000"),INDIRECT("Report!B100:B10000"),B154,INDIRECT("report!H100:H10000"),"Others",INDIRECT("Report!L100:L10000"),"20,4")</f>
        <v>914000</v>
      </c>
      <c r="F154" s="857">
        <f ca="1">E154/D154</f>
        <v>9.167502507522568E-2</v>
      </c>
    </row>
    <row r="155" spans="1:8" ht="21" customHeight="1" x14ac:dyDescent="0.25">
      <c r="A155" s="852"/>
      <c r="B155" s="227" t="s">
        <v>2255</v>
      </c>
      <c r="C155" s="860">
        <f ca="1">SUMIFS(INDIRECT("Report!F100:F10000"),INDIRECT("Report!B100:B10000"),B155,INDIRECT("report!H100:H10000"),"Others",INDIRECT("Report!L100:L10000"),"20,4")</f>
        <v>58651450</v>
      </c>
      <c r="D155" s="861">
        <f ca="1">(C155/11*10)</f>
        <v>53319500</v>
      </c>
      <c r="E155" s="860">
        <f ca="1">SUMIFS(INDIRECT("Report!J100:J10000"),INDIRECT("Report!B100:B10000"),B155,INDIRECT("report!H100:H10000"),"Others",INDIRECT("Report!L100:L10000"),"20,4")</f>
        <v>16353762.221949115</v>
      </c>
      <c r="F155" s="857">
        <f ca="1">E155/D155</f>
        <v>0.30671259524093653</v>
      </c>
    </row>
    <row r="156" spans="1:8" ht="21" customHeight="1" x14ac:dyDescent="0.25">
      <c r="A156" s="232"/>
      <c r="B156" s="227" t="s">
        <v>1330</v>
      </c>
      <c r="C156" s="860">
        <f ca="1">SUMIFS(INDIRECT("Report!F100:F10000"),INDIRECT("Report!B100:B10000"),B156,INDIRECT("report!H100:H10000"),"Others",INDIRECT("Report!L100:L10000"),"20,4")</f>
        <v>5970690</v>
      </c>
      <c r="D156" s="861">
        <f ca="1">(C156/11*10)</f>
        <v>5427900</v>
      </c>
      <c r="E156" s="860">
        <f ca="1">SUMIFS(INDIRECT("Report!J100:J10000"),INDIRECT("Report!B100:B10000"),B156,INDIRECT("report!H100:H10000"),"Others",INDIRECT("Report!L100:L10000"),"20,4")</f>
        <v>1081783</v>
      </c>
      <c r="F156" s="857">
        <f ca="1">E156/D156</f>
        <v>0.19930046611028207</v>
      </c>
      <c r="G156" s="227" t="s">
        <v>2427</v>
      </c>
    </row>
    <row r="157" spans="1:8" ht="21" customHeight="1" x14ac:dyDescent="0.25">
      <c r="B157" s="227" t="s">
        <v>2357</v>
      </c>
      <c r="C157" s="860">
        <f ca="1">SUMIFS(INDIRECT("Report!F100:F10000"),INDIRECT("Report!B100:B10000"),B157,INDIRECT("report!H100:H10000"),"Others",INDIRECT("Report!L100:L10000"),"20,4")</f>
        <v>3452240.0000000005</v>
      </c>
      <c r="D157" s="861">
        <f ca="1">(C157/11*10)</f>
        <v>3138400.0000000005</v>
      </c>
      <c r="E157" s="860">
        <f ca="1">SUMIFS(INDIRECT("Report!J100:J10000"),INDIRECT("Report!B100:B10000"),B157,INDIRECT("report!H100:H10000"),"Others",INDIRECT("Report!L100:L10000"),"20,4")</f>
        <v>696800</v>
      </c>
      <c r="F157" s="857">
        <f ca="1">E157/D157</f>
        <v>0.2220239612541422</v>
      </c>
    </row>
    <row r="158" spans="1:8" ht="21" customHeight="1" x14ac:dyDescent="0.25">
      <c r="B158" s="227" t="s">
        <v>2358</v>
      </c>
      <c r="C158" s="860">
        <f ca="1">SUMIFS(INDIRECT("Report!F100:F10000"),INDIRECT("Report!B100:B10000"),B158,INDIRECT("report!H100:H10000"),"Others",INDIRECT("Report!L100:L10000"),"20,4")</f>
        <v>3642100</v>
      </c>
      <c r="D158" s="861">
        <f ca="1">(C158/11*10)</f>
        <v>3311000</v>
      </c>
      <c r="E158" s="860">
        <f ca="1">SUMIFS(INDIRECT("Report!J100:J10000"),INDIRECT("Report!B100:B10000"),B158,INDIRECT("report!H100:H10000"),"Others",INDIRECT("Report!L100:L10000"),"20,4")</f>
        <v>1692500</v>
      </c>
      <c r="F158" s="857">
        <f ca="1">E158/D158</f>
        <v>0.51117487163998787</v>
      </c>
    </row>
    <row r="159" spans="1:8" ht="21" customHeight="1" x14ac:dyDescent="0.25">
      <c r="A159" s="853"/>
      <c r="B159" s="854"/>
      <c r="C159" s="855">
        <f ca="1">SUM(C154:C158)</f>
        <v>82683480</v>
      </c>
      <c r="D159" s="855">
        <f ca="1">SUM(D154:D158)</f>
        <v>75166800</v>
      </c>
      <c r="E159" s="855">
        <f ca="1">SUM(E154:E158)</f>
        <v>20738845.221949115</v>
      </c>
      <c r="F159" s="856"/>
      <c r="G159" s="209"/>
    </row>
    <row r="160" spans="1:8" ht="21" customHeight="1" x14ac:dyDescent="0.25">
      <c r="A160" s="1019" t="s">
        <v>2447</v>
      </c>
      <c r="B160" s="227" t="s">
        <v>2254</v>
      </c>
      <c r="C160" s="860">
        <f t="shared" ref="C160:C166" ca="1" si="19">SUMIFS(INDIRECT("Report!F100:F10000"),INDIRECT("Report!B100:B10000"),B160,INDIRECT("report!H100:H10000"),"Others",INDIRECT("Report!L100:L10000"),"20,5")</f>
        <v>8937500</v>
      </c>
      <c r="D160" s="861">
        <f t="shared" ref="D160:D166" ca="1" si="20">(C160/11*10)</f>
        <v>8125000</v>
      </c>
      <c r="E160" s="860">
        <f t="shared" ref="E160:E166" ca="1" si="21">SUMIFS(INDIRECT("Report!J100:J10000"),INDIRECT("Report!B100:B10000"),B160,INDIRECT("report!H100:H10000"),"Others",INDIRECT("Report!L100:L10000"),"20,5")</f>
        <v>677000</v>
      </c>
      <c r="F160" s="857">
        <f t="shared" ref="F160:F166" ca="1" si="22">E160/D160</f>
        <v>8.3323076923076916E-2</v>
      </c>
    </row>
    <row r="161" spans="1:7" ht="21" customHeight="1" x14ac:dyDescent="0.25">
      <c r="A161" s="852"/>
      <c r="B161" s="227" t="s">
        <v>2255</v>
      </c>
      <c r="C161" s="860">
        <f t="shared" ca="1" si="19"/>
        <v>51345250</v>
      </c>
      <c r="D161" s="861">
        <f t="shared" ca="1" si="20"/>
        <v>46677500</v>
      </c>
      <c r="E161" s="860">
        <f t="shared" ca="1" si="21"/>
        <v>14346182.831510376</v>
      </c>
      <c r="F161" s="857">
        <f t="shared" ca="1" si="22"/>
        <v>0.3073468551552756</v>
      </c>
    </row>
    <row r="162" spans="1:7" ht="21" customHeight="1" x14ac:dyDescent="0.25">
      <c r="A162" s="232"/>
      <c r="B162" s="227" t="s">
        <v>1330</v>
      </c>
      <c r="C162" s="860">
        <f t="shared" ca="1" si="19"/>
        <v>4768500</v>
      </c>
      <c r="D162" s="861">
        <f t="shared" ca="1" si="20"/>
        <v>4335000</v>
      </c>
      <c r="E162" s="860">
        <f t="shared" ca="1" si="21"/>
        <v>1200000</v>
      </c>
      <c r="F162" s="857">
        <f t="shared" ca="1" si="22"/>
        <v>0.27681660899653981</v>
      </c>
      <c r="G162" s="227" t="s">
        <v>2451</v>
      </c>
    </row>
    <row r="163" spans="1:7" ht="21" customHeight="1" x14ac:dyDescent="0.25">
      <c r="B163" s="227" t="s">
        <v>2357</v>
      </c>
      <c r="C163" s="860">
        <f t="shared" ca="1" si="19"/>
        <v>5717800</v>
      </c>
      <c r="D163" s="861">
        <f t="shared" ca="1" si="20"/>
        <v>5198000</v>
      </c>
      <c r="E163" s="860">
        <f t="shared" ca="1" si="21"/>
        <v>1214156</v>
      </c>
      <c r="F163" s="857">
        <f t="shared" ca="1" si="22"/>
        <v>0.23358137745286647</v>
      </c>
    </row>
    <row r="164" spans="1:7" ht="21" customHeight="1" x14ac:dyDescent="0.25">
      <c r="B164" s="227" t="s">
        <v>2358</v>
      </c>
      <c r="C164" s="860">
        <f t="shared" ca="1" si="19"/>
        <v>1292500</v>
      </c>
      <c r="D164" s="861">
        <f t="shared" ca="1" si="20"/>
        <v>1175000</v>
      </c>
      <c r="E164" s="860">
        <f t="shared" ca="1" si="21"/>
        <v>612500</v>
      </c>
      <c r="F164" s="857">
        <f t="shared" ca="1" si="22"/>
        <v>0.52127659574468088</v>
      </c>
    </row>
    <row r="165" spans="1:7" ht="21" customHeight="1" x14ac:dyDescent="0.25">
      <c r="B165" s="227" t="s">
        <v>2450</v>
      </c>
      <c r="C165" s="860">
        <f t="shared" ca="1" si="19"/>
        <v>451000.00000000006</v>
      </c>
      <c r="D165" s="980">
        <f t="shared" ca="1" si="20"/>
        <v>410000.00000000006</v>
      </c>
      <c r="E165" s="860">
        <f t="shared" ca="1" si="21"/>
        <v>10000</v>
      </c>
      <c r="F165" s="857">
        <f t="shared" ca="1" si="22"/>
        <v>2.4390243902439022E-2</v>
      </c>
    </row>
    <row r="166" spans="1:7" ht="21" customHeight="1" x14ac:dyDescent="0.25">
      <c r="B166" s="227" t="s">
        <v>2449</v>
      </c>
      <c r="C166" s="860">
        <f t="shared" ca="1" si="19"/>
        <v>220000.00000000003</v>
      </c>
      <c r="D166" s="980">
        <f t="shared" ca="1" si="20"/>
        <v>200000.00000000003</v>
      </c>
      <c r="E166" s="860">
        <f t="shared" ca="1" si="21"/>
        <v>87500</v>
      </c>
      <c r="F166" s="857">
        <f t="shared" ca="1" si="22"/>
        <v>0.43749999999999994</v>
      </c>
      <c r="G166" s="227" t="s">
        <v>2452</v>
      </c>
    </row>
    <row r="167" spans="1:7" ht="21" customHeight="1" x14ac:dyDescent="0.25">
      <c r="A167" s="853"/>
      <c r="B167" s="854"/>
      <c r="C167" s="855">
        <f ca="1">SUM(C160:C166)</f>
        <v>72732550</v>
      </c>
      <c r="D167" s="855">
        <f ca="1">SUM(D160:D166)</f>
        <v>66120500</v>
      </c>
      <c r="E167" s="855">
        <f ca="1">SUM(E160:E166)</f>
        <v>18147338.831510376</v>
      </c>
      <c r="F167" s="856"/>
      <c r="G167" s="209"/>
    </row>
    <row r="168" spans="1:7" ht="21" customHeight="1" x14ac:dyDescent="0.25">
      <c r="A168" s="1019" t="s">
        <v>2467</v>
      </c>
      <c r="B168" s="227" t="s">
        <v>2254</v>
      </c>
      <c r="C168" s="860">
        <f t="shared" ref="C168:C173" ca="1" si="23">SUMIFS(INDIRECT("Report!F100:F10000"),INDIRECT("Report!B100:B10000"),B168,INDIRECT("report!H100:H10000"),"Others",INDIRECT("Report!L100:L10000"),"20,6")</f>
        <v>10763500</v>
      </c>
      <c r="D168" s="861">
        <f t="shared" ref="D168:D173" ca="1" si="24">(C168/11*10)</f>
        <v>9785000</v>
      </c>
      <c r="E168" s="860">
        <f t="shared" ref="E168:E173" ca="1" si="25">SUMIFS(INDIRECT("Report!J100:J10000"),INDIRECT("Report!B100:B10000"),B168,INDIRECT("report!H100:H10000"),"Others",INDIRECT("Report!L100:L10000"),"20,6")</f>
        <v>806000</v>
      </c>
      <c r="F168" s="857">
        <f t="shared" ref="F168:F173" ca="1" si="26">E168/D168</f>
        <v>8.237097598364844E-2</v>
      </c>
    </row>
    <row r="169" spans="1:7" ht="21" customHeight="1" x14ac:dyDescent="0.25">
      <c r="A169" s="852"/>
      <c r="B169" s="227" t="s">
        <v>2255</v>
      </c>
      <c r="C169" s="860">
        <f t="shared" ca="1" si="23"/>
        <v>61018650</v>
      </c>
      <c r="D169" s="861">
        <f t="shared" ca="1" si="24"/>
        <v>55471500</v>
      </c>
      <c r="E169" s="860">
        <f t="shared" ca="1" si="25"/>
        <v>17002765.853508655</v>
      </c>
      <c r="F169" s="857">
        <f t="shared" ca="1" si="26"/>
        <v>0.3065135403497049</v>
      </c>
    </row>
    <row r="170" spans="1:7" ht="21" customHeight="1" x14ac:dyDescent="0.25">
      <c r="A170" s="232"/>
      <c r="B170" s="227" t="s">
        <v>1330</v>
      </c>
      <c r="C170" s="860">
        <f t="shared" ca="1" si="23"/>
        <v>85207870</v>
      </c>
      <c r="D170" s="861">
        <f t="shared" ca="1" si="24"/>
        <v>77461700</v>
      </c>
      <c r="E170" s="860">
        <f t="shared" ca="1" si="25"/>
        <v>10329539</v>
      </c>
      <c r="F170" s="857">
        <f t="shared" ca="1" si="26"/>
        <v>0.13335027503914837</v>
      </c>
    </row>
    <row r="171" spans="1:7" ht="21" customHeight="1" x14ac:dyDescent="0.25">
      <c r="B171" s="227" t="s">
        <v>2357</v>
      </c>
      <c r="C171" s="860">
        <f t="shared" ca="1" si="23"/>
        <v>14097820</v>
      </c>
      <c r="D171" s="861">
        <f t="shared" ca="1" si="24"/>
        <v>12816200</v>
      </c>
      <c r="E171" s="860">
        <f t="shared" ca="1" si="25"/>
        <v>3301200</v>
      </c>
      <c r="F171" s="857">
        <f t="shared" ca="1" si="26"/>
        <v>0.25758024999609869</v>
      </c>
    </row>
    <row r="172" spans="1:7" ht="21" customHeight="1" x14ac:dyDescent="0.25">
      <c r="B172" s="227" t="s">
        <v>2358</v>
      </c>
      <c r="C172" s="860">
        <f t="shared" ca="1" si="23"/>
        <v>3690500</v>
      </c>
      <c r="D172" s="861">
        <f t="shared" ca="1" si="24"/>
        <v>3355000</v>
      </c>
      <c r="E172" s="860">
        <f t="shared" ca="1" si="25"/>
        <v>1192500</v>
      </c>
      <c r="F172" s="857">
        <f t="shared" ca="1" si="26"/>
        <v>0.35543964232488823</v>
      </c>
    </row>
    <row r="173" spans="1:7" ht="21" customHeight="1" x14ac:dyDescent="0.25">
      <c r="B173" s="227" t="s">
        <v>1416</v>
      </c>
      <c r="C173" s="860">
        <f t="shared" ca="1" si="23"/>
        <v>1100000</v>
      </c>
      <c r="D173" s="980">
        <f t="shared" ca="1" si="24"/>
        <v>1000000</v>
      </c>
      <c r="E173" s="860">
        <f t="shared" ca="1" si="25"/>
        <v>174323.75</v>
      </c>
      <c r="F173" s="857">
        <f t="shared" ca="1" si="26"/>
        <v>0.17432375</v>
      </c>
      <c r="G173" s="227" t="s">
        <v>2372</v>
      </c>
    </row>
    <row r="174" spans="1:7" ht="21" customHeight="1" x14ac:dyDescent="0.25">
      <c r="A174" s="853"/>
      <c r="B174" s="854"/>
      <c r="C174" s="855">
        <f ca="1">SUM(C168:C173)</f>
        <v>175878340</v>
      </c>
      <c r="D174" s="855">
        <f ca="1">SUM(D168:D173)</f>
        <v>159889400</v>
      </c>
      <c r="E174" s="855">
        <f ca="1">SUM(E168:E173)</f>
        <v>32806328.603508655</v>
      </c>
      <c r="F174" s="856"/>
      <c r="G174" s="209"/>
    </row>
    <row r="175" spans="1:7" ht="21" customHeight="1" x14ac:dyDescent="0.25">
      <c r="A175" s="1019" t="s">
        <v>2502</v>
      </c>
      <c r="B175" s="227" t="s">
        <v>2254</v>
      </c>
      <c r="C175" s="860">
        <f ca="1">SUMIFS(INDIRECT("Report!F100:F10000"),INDIRECT("Report!B100:B10000"),B175,INDIRECT("report!H100:H10000"),"Others",INDIRECT("Report!L100:L10000"),"20,7")</f>
        <v>18458000</v>
      </c>
      <c r="D175" s="861">
        <f ca="1">(C175/11*10)</f>
        <v>16780000</v>
      </c>
      <c r="E175" s="860">
        <f ca="1">SUMIFS(INDIRECT("Report!J100:J10000"),INDIRECT("Report!B100:B10000"),B175,INDIRECT("report!H100:H10000"),"Others",INDIRECT("Report!L100:L10000"),"20,7")</f>
        <v>1386000</v>
      </c>
      <c r="F175" s="857">
        <f ca="1">E175/D175</f>
        <v>8.2598331346841483E-2</v>
      </c>
    </row>
    <row r="176" spans="1:7" ht="21" customHeight="1" x14ac:dyDescent="0.25">
      <c r="A176" s="852"/>
      <c r="B176" s="227" t="s">
        <v>2255</v>
      </c>
      <c r="C176" s="860">
        <f ca="1">SUMIFS(INDIRECT("Report!F100:F10000"),INDIRECT("Report!B100:B10000"),B176,INDIRECT("report!H100:H10000"),"Others",INDIRECT("Report!L100:L10000"),"20,7")</f>
        <v>54124400</v>
      </c>
      <c r="D176" s="861">
        <f ca="1">(C176/11*10)</f>
        <v>49204000</v>
      </c>
      <c r="E176" s="860">
        <f ca="1">SUMIFS(INDIRECT("Report!J100:J10000"),INDIRECT("Report!B100:B10000"),B176,INDIRECT("report!H100:H10000"),"Others",INDIRECT("Report!L100:L10000"),"20,7")</f>
        <v>13935089.086887056</v>
      </c>
      <c r="F176" s="857">
        <f ca="1">E176/D176</f>
        <v>0.28321049278284399</v>
      </c>
    </row>
    <row r="177" spans="1:7" ht="21" customHeight="1" x14ac:dyDescent="0.25">
      <c r="B177" s="227" t="s">
        <v>2357</v>
      </c>
      <c r="C177" s="860">
        <f ca="1">SUMIFS(INDIRECT("Report!F100:F10000"),INDIRECT("Report!B100:B10000"),B177,INDIRECT("report!H100:H10000"),"Others",INDIRECT("Report!L100:L10000"),"20,7")</f>
        <v>2692800</v>
      </c>
      <c r="D177" s="861">
        <f ca="1">(C177/11*10)</f>
        <v>2448000</v>
      </c>
      <c r="E177" s="860">
        <f ca="1">SUMIFS(INDIRECT("Report!J100:J10000"),INDIRECT("Report!B100:B10000"),B177,INDIRECT("report!H100:H10000"),"Others",INDIRECT("Report!L100:L10000"),"20,7")</f>
        <v>584000</v>
      </c>
      <c r="F177" s="857">
        <f ca="1">E177/D177</f>
        <v>0.23856209150326799</v>
      </c>
    </row>
    <row r="178" spans="1:7" ht="21" customHeight="1" x14ac:dyDescent="0.25">
      <c r="B178" s="227" t="s">
        <v>1416</v>
      </c>
      <c r="C178" s="860">
        <f ca="1">SUMIFS(INDIRECT("Report!F100:F10000"),INDIRECT("Report!B100:B10000"),B178,INDIRECT("report!H100:H10000"),"Others",INDIRECT("Report!L100:L10000"),"20,7")</f>
        <v>275000</v>
      </c>
      <c r="D178" s="980">
        <f ca="1">(C178/11*10)</f>
        <v>250000</v>
      </c>
      <c r="E178" s="860">
        <f ca="1">SUMIFS(INDIRECT("Report!J100:J10000"),INDIRECT("Report!B100:B10000"),B178,INDIRECT("report!H100:H10000"),"Others",INDIRECT("Report!L100:L10000"),"20,7")</f>
        <v>80000</v>
      </c>
      <c r="F178" s="857">
        <f ca="1">E178/D178</f>
        <v>0.32</v>
      </c>
    </row>
    <row r="179" spans="1:7" ht="21" customHeight="1" x14ac:dyDescent="0.25">
      <c r="B179" s="227" t="s">
        <v>1330</v>
      </c>
      <c r="C179" s="860">
        <f ca="1">SUMIFS(INDIRECT("Report!F100:F10000"),INDIRECT("Report!B100:B10000"),B179,INDIRECT("report!H100:H10000"),"Others",INDIRECT("Report!L100:L10000"),"20,7")</f>
        <v>6058690.0000000009</v>
      </c>
      <c r="D179" s="980">
        <f ca="1">(C179/11*10)</f>
        <v>5507900.0000000009</v>
      </c>
      <c r="E179" s="860">
        <f ca="1">SUMIFS(INDIRECT("Report!J100:J10000"),INDIRECT("Report!B100:B10000"),B179,INDIRECT("report!H100:H10000"),"Others",INDIRECT("Report!L100:L10000"),"20,7")</f>
        <v>5507900</v>
      </c>
      <c r="F179" s="857">
        <f ca="1">E179/D179</f>
        <v>0.99999999999999978</v>
      </c>
    </row>
    <row r="180" spans="1:7" ht="21" customHeight="1" x14ac:dyDescent="0.25">
      <c r="A180" s="853"/>
      <c r="B180" s="854"/>
      <c r="C180" s="855">
        <f ca="1">SUM(C175:C178)</f>
        <v>75550200</v>
      </c>
      <c r="D180" s="855">
        <f ca="1">SUM(D175:D178)</f>
        <v>68682000</v>
      </c>
      <c r="E180" s="855">
        <f ca="1">SUM(E175:E178)</f>
        <v>15985089.086887056</v>
      </c>
      <c r="F180" s="856"/>
      <c r="G180" s="209"/>
    </row>
    <row r="181" spans="1:7" ht="21" customHeight="1" x14ac:dyDescent="0.25">
      <c r="A181" s="1019" t="s">
        <v>2525</v>
      </c>
      <c r="B181" s="227" t="s">
        <v>2254</v>
      </c>
      <c r="C181" s="860">
        <f t="shared" ref="C181:C186" ca="1" si="27">SUMIFS(INDIRECT("Report!F100:F10000"),INDIRECT("Report!B100:B10000"),B181,INDIRECT("report!H100:H10000"),"Others",INDIRECT("Report!L100:L10000"),"20,8")</f>
        <v>9498500</v>
      </c>
      <c r="D181" s="861">
        <f t="shared" ref="D181:D186" ca="1" si="28">(C181/11*10)</f>
        <v>8635000</v>
      </c>
      <c r="E181" s="860">
        <f t="shared" ref="E181:E186" ca="1" si="29">SUMIFS(INDIRECT("Report!J100:J10000"),INDIRECT("Report!B100:B10000"),B181,INDIRECT("report!H100:H10000"),"Others",INDIRECT("Report!L100:L10000"),"20,8")</f>
        <v>765000</v>
      </c>
      <c r="F181" s="857">
        <f t="shared" ref="F181:F186" ca="1" si="30">E181/D181</f>
        <v>8.8592935726693689E-2</v>
      </c>
    </row>
    <row r="182" spans="1:7" ht="21" customHeight="1" x14ac:dyDescent="0.25">
      <c r="A182" s="852"/>
      <c r="B182" s="227" t="s">
        <v>2255</v>
      </c>
      <c r="C182" s="860">
        <f t="shared" ca="1" si="27"/>
        <v>53347800</v>
      </c>
      <c r="D182" s="861">
        <f t="shared" ca="1" si="28"/>
        <v>48498000</v>
      </c>
      <c r="E182" s="860">
        <f t="shared" ca="1" si="29"/>
        <v>13408445.194789227</v>
      </c>
      <c r="F182" s="857">
        <f t="shared" ca="1" si="30"/>
        <v>0.27647418851889205</v>
      </c>
    </row>
    <row r="183" spans="1:7" ht="21" customHeight="1" x14ac:dyDescent="0.25">
      <c r="B183" s="227" t="s">
        <v>2357</v>
      </c>
      <c r="C183" s="860">
        <f t="shared" ca="1" si="27"/>
        <v>7726400</v>
      </c>
      <c r="D183" s="861">
        <f t="shared" ca="1" si="28"/>
        <v>7024000</v>
      </c>
      <c r="E183" s="860">
        <f t="shared" ca="1" si="29"/>
        <v>1532000</v>
      </c>
      <c r="F183" s="857">
        <f t="shared" ca="1" si="30"/>
        <v>0.21810933940774488</v>
      </c>
    </row>
    <row r="184" spans="1:7" ht="21" customHeight="1" x14ac:dyDescent="0.25">
      <c r="B184" s="227" t="s">
        <v>2358</v>
      </c>
      <c r="C184" s="860">
        <f t="shared" ca="1" si="27"/>
        <v>4676100</v>
      </c>
      <c r="D184" s="861">
        <f t="shared" ca="1" si="28"/>
        <v>4251000</v>
      </c>
      <c r="E184" s="860">
        <f t="shared" ca="1" si="29"/>
        <v>2182500</v>
      </c>
      <c r="F184" s="857">
        <f t="shared" ca="1" si="30"/>
        <v>0.51340860973888491</v>
      </c>
    </row>
    <row r="185" spans="1:7" ht="21" customHeight="1" x14ac:dyDescent="0.25">
      <c r="B185" s="227" t="s">
        <v>1333</v>
      </c>
      <c r="C185" s="860">
        <f t="shared" ca="1" si="27"/>
        <v>4400000</v>
      </c>
      <c r="D185" s="861">
        <f t="shared" ca="1" si="28"/>
        <v>4000000</v>
      </c>
      <c r="E185" s="860">
        <f t="shared" ca="1" si="29"/>
        <v>660000</v>
      </c>
      <c r="F185" s="857">
        <f t="shared" ca="1" si="30"/>
        <v>0.16500000000000001</v>
      </c>
    </row>
    <row r="186" spans="1:7" ht="21" customHeight="1" x14ac:dyDescent="0.25">
      <c r="B186" s="227" t="s">
        <v>1250</v>
      </c>
      <c r="C186" s="860">
        <f t="shared" ca="1" si="27"/>
        <v>2706000</v>
      </c>
      <c r="D186" s="980">
        <f t="shared" ca="1" si="28"/>
        <v>2460000</v>
      </c>
      <c r="E186" s="860">
        <f t="shared" ca="1" si="29"/>
        <v>840000</v>
      </c>
      <c r="F186" s="857">
        <f t="shared" ca="1" si="30"/>
        <v>0.34146341463414637</v>
      </c>
    </row>
    <row r="187" spans="1:7" ht="21" customHeight="1" x14ac:dyDescent="0.25">
      <c r="A187" s="853"/>
      <c r="B187" s="854"/>
      <c r="C187" s="855">
        <f ca="1">SUM(C181:C186)</f>
        <v>82354800</v>
      </c>
      <c r="D187" s="855">
        <f ca="1">SUM(D181:D186)</f>
        <v>74868000</v>
      </c>
      <c r="E187" s="855">
        <f ca="1">SUM(E181:E186)</f>
        <v>19387945.194789227</v>
      </c>
      <c r="F187" s="856"/>
      <c r="G187" s="209"/>
    </row>
    <row r="188" spans="1:7" ht="21" customHeight="1" x14ac:dyDescent="0.25">
      <c r="A188" s="1019" t="s">
        <v>2551</v>
      </c>
      <c r="B188" s="227" t="s">
        <v>2254</v>
      </c>
      <c r="C188" s="860">
        <f t="shared" ref="C188:C193" ca="1" si="31">SUMIFS(INDIRECT("Report!F100:F10000"),INDIRECT("Report!B100:B10000"),B188,INDIRECT("report!H100:H10000"),"Others",INDIRECT("Report!L100:L10000"),"20,9")</f>
        <v>10631500</v>
      </c>
      <c r="D188" s="861">
        <f t="shared" ref="D188:D193" ca="1" si="32">(C188/11*10)</f>
        <v>9665000</v>
      </c>
      <c r="E188" s="860">
        <f t="shared" ref="E188:E193" ca="1" si="33">SUMIFS(INDIRECT("Report!J100:J10000"),INDIRECT("Report!B100:B10000"),B188,INDIRECT("report!H100:H10000"),"Others",INDIRECT("Report!L100:L10000"),"20,9")</f>
        <v>807000</v>
      </c>
      <c r="F188" s="857">
        <f t="shared" ref="F188:F193" ca="1" si="34">E188/D188</f>
        <v>8.3497154681841698E-2</v>
      </c>
    </row>
    <row r="189" spans="1:7" ht="21" customHeight="1" x14ac:dyDescent="0.25">
      <c r="A189" s="852"/>
      <c r="B189" s="227" t="s">
        <v>2255</v>
      </c>
      <c r="C189" s="860">
        <f t="shared" ca="1" si="31"/>
        <v>54533050</v>
      </c>
      <c r="D189" s="861">
        <f t="shared" ca="1" si="32"/>
        <v>49575500</v>
      </c>
      <c r="E189" s="860">
        <f t="shared" ca="1" si="33"/>
        <v>14664499.781246159</v>
      </c>
      <c r="F189" s="857">
        <f t="shared" ca="1" si="34"/>
        <v>0.29580134907860051</v>
      </c>
    </row>
    <row r="190" spans="1:7" ht="21" customHeight="1" x14ac:dyDescent="0.25">
      <c r="B190" s="227" t="s">
        <v>2357</v>
      </c>
      <c r="C190" s="860">
        <f t="shared" ca="1" si="31"/>
        <v>7421920</v>
      </c>
      <c r="D190" s="861">
        <f t="shared" ca="1" si="32"/>
        <v>6747200</v>
      </c>
      <c r="E190" s="860">
        <f t="shared" ca="1" si="33"/>
        <v>1560556</v>
      </c>
      <c r="F190" s="857">
        <f t="shared" ca="1" si="34"/>
        <v>0.23128942376096751</v>
      </c>
    </row>
    <row r="191" spans="1:7" ht="21" customHeight="1" x14ac:dyDescent="0.25">
      <c r="B191" s="227" t="s">
        <v>2358</v>
      </c>
      <c r="C191" s="860">
        <f t="shared" ca="1" si="31"/>
        <v>2341900.0000000005</v>
      </c>
      <c r="D191" s="861">
        <f t="shared" ca="1" si="32"/>
        <v>2129000.0000000005</v>
      </c>
      <c r="E191" s="860">
        <f t="shared" ca="1" si="33"/>
        <v>1087500</v>
      </c>
      <c r="F191" s="857">
        <f t="shared" ca="1" si="34"/>
        <v>0.51080319398778762</v>
      </c>
    </row>
    <row r="192" spans="1:7" ht="21" customHeight="1" x14ac:dyDescent="0.25">
      <c r="B192" s="227" t="s">
        <v>1330</v>
      </c>
      <c r="C192" s="860">
        <f t="shared" ca="1" si="31"/>
        <v>0</v>
      </c>
      <c r="D192" s="861">
        <f t="shared" ca="1" si="32"/>
        <v>0</v>
      </c>
      <c r="E192" s="860">
        <f t="shared" ca="1" si="33"/>
        <v>0</v>
      </c>
      <c r="F192" s="857" t="e">
        <f t="shared" ca="1" si="34"/>
        <v>#DIV/0!</v>
      </c>
    </row>
    <row r="193" spans="1:7" ht="21" customHeight="1" x14ac:dyDescent="0.25">
      <c r="B193" s="227" t="s">
        <v>2556</v>
      </c>
      <c r="C193" s="860">
        <f t="shared" ca="1" si="31"/>
        <v>57112000.000000007</v>
      </c>
      <c r="D193" s="980">
        <f t="shared" ca="1" si="32"/>
        <v>51920000.000000007</v>
      </c>
      <c r="E193" s="860">
        <f t="shared" ca="1" si="33"/>
        <v>0</v>
      </c>
      <c r="F193" s="857">
        <f t="shared" ca="1" si="34"/>
        <v>0</v>
      </c>
      <c r="G193" s="227" t="s">
        <v>2557</v>
      </c>
    </row>
    <row r="194" spans="1:7" ht="21" customHeight="1" x14ac:dyDescent="0.25">
      <c r="A194" s="853"/>
      <c r="B194" s="854"/>
      <c r="C194" s="855">
        <f ca="1">SUM(C188:C193)</f>
        <v>132040370</v>
      </c>
      <c r="D194" s="855">
        <f ca="1">SUM(D188:D193)</f>
        <v>120036700</v>
      </c>
      <c r="E194" s="855">
        <f ca="1">SUM(E188:E193)</f>
        <v>18119555.781246159</v>
      </c>
      <c r="F194" s="856"/>
      <c r="G194" s="209"/>
    </row>
    <row r="195" spans="1:7" ht="21" customHeight="1" x14ac:dyDescent="0.25">
      <c r="A195" s="1019" t="s">
        <v>2594</v>
      </c>
      <c r="B195" s="227" t="s">
        <v>2254</v>
      </c>
      <c r="C195" s="860">
        <f t="shared" ref="C195:C200" ca="1" si="35">SUMIFS(INDIRECT("Report!F100:F10000"),INDIRECT("Report!B100:B10000"),B195,INDIRECT("report!H100:H10000"),"Others",INDIRECT("Report!L100:L10000"),"20,10")</f>
        <v>11247500</v>
      </c>
      <c r="D195" s="861">
        <f t="shared" ref="D195:D200" ca="1" si="36">(C195/11*10)</f>
        <v>10225000</v>
      </c>
      <c r="E195" s="860">
        <f t="shared" ref="E195:E200" ca="1" si="37">SUMIFS(INDIRECT("Report!J100:J10000"),INDIRECT("Report!B100:B10000"),B195,INDIRECT("report!H100:H10000"),"Others",INDIRECT("Report!L100:L10000"),"20,10")</f>
        <v>847000</v>
      </c>
      <c r="F195" s="857">
        <f t="shared" ref="F195:F200" ca="1" si="38">E195/D195</f>
        <v>8.2836185819070901E-2</v>
      </c>
    </row>
    <row r="196" spans="1:7" ht="21" customHeight="1" x14ac:dyDescent="0.25">
      <c r="A196" s="852"/>
      <c r="B196" s="227" t="s">
        <v>2255</v>
      </c>
      <c r="C196" s="860">
        <f t="shared" ca="1" si="35"/>
        <v>52639950</v>
      </c>
      <c r="D196" s="861">
        <f t="shared" ca="1" si="36"/>
        <v>47854500</v>
      </c>
      <c r="E196" s="860">
        <f t="shared" ca="1" si="37"/>
        <v>15568126.029249106</v>
      </c>
      <c r="F196" s="857">
        <f t="shared" ca="1" si="38"/>
        <v>0.32532209153264802</v>
      </c>
    </row>
    <row r="197" spans="1:7" ht="21" customHeight="1" x14ac:dyDescent="0.25">
      <c r="B197" s="227" t="s">
        <v>2357</v>
      </c>
      <c r="C197" s="860">
        <f t="shared" ca="1" si="35"/>
        <v>12797400</v>
      </c>
      <c r="D197" s="861">
        <f t="shared" ca="1" si="36"/>
        <v>11634000</v>
      </c>
      <c r="E197" s="860">
        <f t="shared" ca="1" si="37"/>
        <v>2828000</v>
      </c>
      <c r="F197" s="857">
        <f t="shared" ca="1" si="38"/>
        <v>0.2430806257521059</v>
      </c>
    </row>
    <row r="198" spans="1:7" ht="21" customHeight="1" x14ac:dyDescent="0.25">
      <c r="B198" s="227" t="s">
        <v>2358</v>
      </c>
      <c r="C198" s="860">
        <f t="shared" ca="1" si="35"/>
        <v>4983000</v>
      </c>
      <c r="D198" s="861">
        <f t="shared" ca="1" si="36"/>
        <v>4530000</v>
      </c>
      <c r="E198" s="860">
        <f t="shared" ca="1" si="37"/>
        <v>1805000</v>
      </c>
      <c r="F198" s="857">
        <f t="shared" ca="1" si="38"/>
        <v>0.39845474613686532</v>
      </c>
    </row>
    <row r="199" spans="1:7" ht="21" customHeight="1" x14ac:dyDescent="0.25">
      <c r="B199" s="227" t="s">
        <v>2597</v>
      </c>
      <c r="C199" s="860">
        <f t="shared" ca="1" si="35"/>
        <v>3575000.0000000005</v>
      </c>
      <c r="D199" s="861">
        <f t="shared" ca="1" si="36"/>
        <v>3250000.0000000005</v>
      </c>
      <c r="E199" s="860">
        <f t="shared" ca="1" si="37"/>
        <v>2132825</v>
      </c>
      <c r="F199" s="857">
        <f t="shared" ca="1" si="38"/>
        <v>0.65625384615384608</v>
      </c>
    </row>
    <row r="200" spans="1:7" ht="21" customHeight="1" x14ac:dyDescent="0.25">
      <c r="B200" s="227" t="s">
        <v>2598</v>
      </c>
      <c r="C200" s="860">
        <f t="shared" ca="1" si="35"/>
        <v>275000</v>
      </c>
      <c r="D200" s="980">
        <f t="shared" ca="1" si="36"/>
        <v>250000</v>
      </c>
      <c r="E200" s="860">
        <f t="shared" ca="1" si="37"/>
        <v>10000</v>
      </c>
      <c r="F200" s="857">
        <f t="shared" ca="1" si="38"/>
        <v>0.04</v>
      </c>
    </row>
    <row r="201" spans="1:7" ht="21" customHeight="1" x14ac:dyDescent="0.25">
      <c r="A201" s="853"/>
      <c r="B201" s="854"/>
      <c r="C201" s="855">
        <f ca="1">SUM(C195:C200)</f>
        <v>85517850</v>
      </c>
      <c r="D201" s="855">
        <f ca="1">SUM(D195:D200)</f>
        <v>77743500</v>
      </c>
      <c r="E201" s="855">
        <f ca="1">SUM(E195:E200)</f>
        <v>23190951.029249106</v>
      </c>
      <c r="F201" s="856"/>
      <c r="G201" s="209"/>
    </row>
    <row r="202" spans="1:7" ht="21" customHeight="1" x14ac:dyDescent="0.25">
      <c r="A202" s="1019" t="s">
        <v>2623</v>
      </c>
      <c r="B202" s="227" t="s">
        <v>2254</v>
      </c>
      <c r="C202" s="860">
        <f t="shared" ref="C202:C207" ca="1" si="39">SUMIFS(INDIRECT("Report!F100:F10000"),INDIRECT("Report!B100:B10000"),B202,INDIRECT("report!H100:H10000"),"Others",INDIRECT("Report!L100:L10000"),"20,11")</f>
        <v>12050500</v>
      </c>
      <c r="D202" s="861">
        <f t="shared" ref="D202:D207" ca="1" si="40">(C202/11*10)</f>
        <v>10955000</v>
      </c>
      <c r="E202" s="860">
        <f t="shared" ref="E202:E207" ca="1" si="41">SUMIFS(INDIRECT("Report!J100:J10000"),INDIRECT("Report!B100:B10000"),B202,INDIRECT("report!H100:H10000"),"Others",INDIRECT("Report!L100:L10000"),"20,11")</f>
        <v>977000</v>
      </c>
      <c r="F202" s="857">
        <f t="shared" ref="F202:F207" ca="1" si="42">E202/D202</f>
        <v>8.9183021451392064E-2</v>
      </c>
    </row>
    <row r="203" spans="1:7" ht="21" customHeight="1" x14ac:dyDescent="0.25">
      <c r="A203" s="852"/>
      <c r="B203" s="227" t="s">
        <v>2255</v>
      </c>
      <c r="C203" s="860">
        <f t="shared" ca="1" si="39"/>
        <v>81859580</v>
      </c>
      <c r="D203" s="861">
        <f t="shared" ca="1" si="40"/>
        <v>74417800</v>
      </c>
      <c r="E203" s="860">
        <f t="shared" ca="1" si="41"/>
        <v>20412432.911392406</v>
      </c>
      <c r="F203" s="857">
        <f t="shared" ca="1" si="42"/>
        <v>0.27429503306188041</v>
      </c>
    </row>
    <row r="204" spans="1:7" ht="21" customHeight="1" x14ac:dyDescent="0.25">
      <c r="B204" s="227" t="s">
        <v>2357</v>
      </c>
      <c r="C204" s="860">
        <f t="shared" ca="1" si="39"/>
        <v>10556260</v>
      </c>
      <c r="D204" s="861">
        <f t="shared" ca="1" si="40"/>
        <v>9596600</v>
      </c>
      <c r="E204" s="860">
        <f t="shared" ca="1" si="41"/>
        <v>2019000</v>
      </c>
      <c r="F204" s="857">
        <f t="shared" ca="1" si="42"/>
        <v>0.21038701206677365</v>
      </c>
    </row>
    <row r="205" spans="1:7" ht="21" customHeight="1" x14ac:dyDescent="0.25">
      <c r="B205" s="227" t="s">
        <v>2358</v>
      </c>
      <c r="C205" s="860">
        <f t="shared" ca="1" si="39"/>
        <v>4676100</v>
      </c>
      <c r="D205" s="861">
        <f t="shared" ca="1" si="40"/>
        <v>4251000</v>
      </c>
      <c r="E205" s="860">
        <f t="shared" ca="1" si="41"/>
        <v>2182500</v>
      </c>
      <c r="F205" s="857">
        <f t="shared" ca="1" si="42"/>
        <v>0.51340860973888491</v>
      </c>
    </row>
    <row r="206" spans="1:7" ht="21" customHeight="1" x14ac:dyDescent="0.25">
      <c r="B206" s="227" t="s">
        <v>1250</v>
      </c>
      <c r="C206" s="860">
        <f t="shared" ca="1" si="39"/>
        <v>396000.00000000006</v>
      </c>
      <c r="D206" s="861">
        <f t="shared" ca="1" si="40"/>
        <v>360000.00000000006</v>
      </c>
      <c r="E206" s="860">
        <f t="shared" ca="1" si="41"/>
        <v>0</v>
      </c>
      <c r="F206" s="857">
        <f t="shared" ca="1" si="42"/>
        <v>0</v>
      </c>
    </row>
    <row r="207" spans="1:7" ht="21" customHeight="1" x14ac:dyDescent="0.25">
      <c r="B207" s="227" t="s">
        <v>1333</v>
      </c>
      <c r="C207" s="860">
        <f t="shared" ca="1" si="39"/>
        <v>0</v>
      </c>
      <c r="D207" s="861">
        <f t="shared" ca="1" si="40"/>
        <v>0</v>
      </c>
      <c r="E207" s="860">
        <f t="shared" ca="1" si="41"/>
        <v>0</v>
      </c>
      <c r="F207" s="857" t="e">
        <f t="shared" ca="1" si="42"/>
        <v>#DIV/0!</v>
      </c>
      <c r="G207" s="227" t="s">
        <v>2768</v>
      </c>
    </row>
    <row r="208" spans="1:7" ht="21" customHeight="1" x14ac:dyDescent="0.25">
      <c r="A208" s="853"/>
      <c r="B208" s="854" t="s">
        <v>2757</v>
      </c>
      <c r="C208" s="855">
        <f ca="1">SUM(C202:C207)</f>
        <v>109538440</v>
      </c>
      <c r="D208" s="855">
        <f ca="1">SUM(D202:D207)</f>
        <v>99580400</v>
      </c>
      <c r="E208" s="855">
        <f ca="1">SUM(E202:E207)</f>
        <v>25590932.911392406</v>
      </c>
      <c r="F208" s="856"/>
      <c r="G208" s="209"/>
    </row>
    <row r="209" spans="1:7" x14ac:dyDescent="0.25">
      <c r="A209" s="1019" t="s">
        <v>2658</v>
      </c>
      <c r="B209" s="227" t="s">
        <v>2254</v>
      </c>
      <c r="C209" s="860">
        <f t="shared" ref="C209:C214" ca="1" si="43">SUMIFS(INDIRECT("Report!F100:F10000"),INDIRECT("Report!B100:B10000"),B209,INDIRECT("report!H100:H10000"),"Others",INDIRECT("Report!L100:L10000"),"20,12")</f>
        <v>15845500</v>
      </c>
      <c r="D209" s="861">
        <f t="shared" ref="D209:D214" ca="1" si="44">(C209/11*10)</f>
        <v>14405000</v>
      </c>
      <c r="E209" s="860">
        <f t="shared" ref="E209:E214" ca="1" si="45">SUMIFS(INDIRECT("Report!J100:J10000"),INDIRECT("Report!B100:B10000"),B209,INDIRECT("report!H100:H10000"),"Others",INDIRECT("Report!L100:L10000"),"20,12")</f>
        <v>1301000</v>
      </c>
      <c r="F209" s="857">
        <f t="shared" ref="F209:F214" ca="1" si="46">E209/D209</f>
        <v>9.0315862547726486E-2</v>
      </c>
    </row>
    <row r="210" spans="1:7" x14ac:dyDescent="0.25">
      <c r="A210" s="852"/>
      <c r="B210" s="227" t="s">
        <v>2255</v>
      </c>
      <c r="C210" s="860">
        <f t="shared" ca="1" si="43"/>
        <v>71957600</v>
      </c>
      <c r="D210" s="861">
        <f t="shared" ca="1" si="44"/>
        <v>65416000</v>
      </c>
      <c r="E210" s="860">
        <f t="shared" ca="1" si="45"/>
        <v>17359052.009340055</v>
      </c>
      <c r="F210" s="857">
        <f t="shared" ca="1" si="46"/>
        <v>0.26536400894796464</v>
      </c>
    </row>
    <row r="211" spans="1:7" x14ac:dyDescent="0.25">
      <c r="B211" s="227" t="s">
        <v>2357</v>
      </c>
      <c r="C211" s="860">
        <f t="shared" ca="1" si="43"/>
        <v>10550980</v>
      </c>
      <c r="D211" s="861">
        <f t="shared" ca="1" si="44"/>
        <v>9591800</v>
      </c>
      <c r="E211" s="860">
        <f t="shared" ca="1" si="45"/>
        <v>2124600</v>
      </c>
      <c r="F211" s="857">
        <f t="shared" ca="1" si="46"/>
        <v>0.22150169936821035</v>
      </c>
    </row>
    <row r="212" spans="1:7" x14ac:dyDescent="0.25">
      <c r="B212" s="227" t="s">
        <v>2358</v>
      </c>
      <c r="C212" s="860">
        <f t="shared" ca="1" si="43"/>
        <v>6275500</v>
      </c>
      <c r="D212" s="861">
        <f t="shared" ca="1" si="44"/>
        <v>5705000</v>
      </c>
      <c r="E212" s="860">
        <f t="shared" ca="1" si="45"/>
        <v>2417500</v>
      </c>
      <c r="F212" s="857">
        <f t="shared" ca="1" si="46"/>
        <v>0.42375109553023665</v>
      </c>
    </row>
    <row r="213" spans="1:7" x14ac:dyDescent="0.25">
      <c r="B213" s="227" t="s">
        <v>2597</v>
      </c>
      <c r="C213" s="860">
        <f t="shared" ca="1" si="43"/>
        <v>3575000.0000000005</v>
      </c>
      <c r="D213" s="861">
        <f t="shared" ca="1" si="44"/>
        <v>3250000.0000000005</v>
      </c>
      <c r="E213" s="860">
        <f t="shared" ca="1" si="45"/>
        <v>2132825</v>
      </c>
      <c r="F213" s="857">
        <f t="shared" ca="1" si="46"/>
        <v>0.65625384615384608</v>
      </c>
    </row>
    <row r="214" spans="1:7" x14ac:dyDescent="0.25">
      <c r="B214" s="227" t="s">
        <v>1996</v>
      </c>
      <c r="C214" s="860">
        <f t="shared" ca="1" si="43"/>
        <v>26475499.600000001</v>
      </c>
      <c r="D214" s="861">
        <f t="shared" ca="1" si="44"/>
        <v>24068636</v>
      </c>
      <c r="E214" s="860">
        <f t="shared" ca="1" si="45"/>
        <v>6732636</v>
      </c>
      <c r="F214" s="857">
        <f t="shared" ca="1" si="46"/>
        <v>0.27972652874886639</v>
      </c>
      <c r="G214" s="227" t="s">
        <v>2764</v>
      </c>
    </row>
    <row r="215" spans="1:7" x14ac:dyDescent="0.25">
      <c r="A215" s="853"/>
      <c r="B215" s="854" t="s">
        <v>2763</v>
      </c>
      <c r="C215" s="855">
        <f ca="1">SUM(C209:C214)</f>
        <v>134680079.59999999</v>
      </c>
      <c r="D215" s="855">
        <f ca="1">SUM(D209:D214)</f>
        <v>122436436</v>
      </c>
      <c r="E215" s="855">
        <f ca="1">SUM(E209:E214)</f>
        <v>32067613.009340055</v>
      </c>
      <c r="F215" s="856"/>
      <c r="G215" s="209"/>
    </row>
    <row r="216" spans="1:7" x14ac:dyDescent="0.25">
      <c r="A216" s="1019" t="s">
        <v>2831</v>
      </c>
      <c r="B216" s="227" t="s">
        <v>2254</v>
      </c>
      <c r="C216" s="860">
        <f t="shared" ref="C216:C222" ca="1" si="47">SUMIFS(INDIRECT("Report!F100:F10000"),INDIRECT("Report!B100:B10000"),B216,INDIRECT("report!H100:H10000"),"Others",INDIRECT("Report!L100:L10000"),"21,1")</f>
        <v>14855500</v>
      </c>
      <c r="D216" s="861">
        <f ca="1">(C216/11*10)</f>
        <v>13505000</v>
      </c>
      <c r="E216" s="860">
        <f t="shared" ref="E216:E222" ca="1" si="48">SUMIFS(INDIRECT("Report!J100:J10000"),INDIRECT("Report!B100:B10000"),B216,INDIRECT("report!H100:H10000"),"Others",INDIRECT("Report!L100:L10000"),"21,1")</f>
        <v>1211000</v>
      </c>
      <c r="F216" s="857">
        <f t="shared" ref="F216:F222" ca="1" si="49">E216/D216</f>
        <v>8.9670492410218433E-2</v>
      </c>
    </row>
    <row r="217" spans="1:7" x14ac:dyDescent="0.25">
      <c r="A217" s="852"/>
      <c r="B217" s="227" t="s">
        <v>2255</v>
      </c>
      <c r="C217" s="860">
        <f t="shared" ca="1" si="47"/>
        <v>56698400</v>
      </c>
      <c r="D217" s="861">
        <f t="shared" ref="D217:D222" ca="1" si="50">(C217/11*10)</f>
        <v>51544000</v>
      </c>
      <c r="E217" s="860">
        <f t="shared" ca="1" si="48"/>
        <v>13342591.077792801</v>
      </c>
      <c r="F217" s="857">
        <f t="shared" ca="1" si="49"/>
        <v>0.25885827793327643</v>
      </c>
    </row>
    <row r="218" spans="1:7" x14ac:dyDescent="0.25">
      <c r="B218" s="227" t="s">
        <v>2357</v>
      </c>
      <c r="C218" s="860">
        <f t="shared" ca="1" si="47"/>
        <v>14555640</v>
      </c>
      <c r="D218" s="861">
        <f t="shared" ca="1" si="50"/>
        <v>13232400</v>
      </c>
      <c r="E218" s="860">
        <f t="shared" ca="1" si="48"/>
        <v>2818600</v>
      </c>
      <c r="F218" s="857">
        <f t="shared" ca="1" si="49"/>
        <v>0.21300746652156827</v>
      </c>
    </row>
    <row r="219" spans="1:7" x14ac:dyDescent="0.25">
      <c r="B219" s="227" t="s">
        <v>2358</v>
      </c>
      <c r="C219" s="860">
        <f t="shared" ca="1" si="47"/>
        <v>4417600</v>
      </c>
      <c r="D219" s="861">
        <f t="shared" ca="1" si="50"/>
        <v>4016000</v>
      </c>
      <c r="E219" s="860">
        <f t="shared" ca="1" si="48"/>
        <v>2060000</v>
      </c>
      <c r="F219" s="857">
        <f t="shared" ca="1" si="49"/>
        <v>0.51294820717131473</v>
      </c>
    </row>
    <row r="220" spans="1:7" x14ac:dyDescent="0.25">
      <c r="B220" s="227" t="s">
        <v>2598</v>
      </c>
      <c r="C220" s="860">
        <f t="shared" ca="1" si="47"/>
        <v>275000</v>
      </c>
      <c r="D220" s="861">
        <f t="shared" ca="1" si="50"/>
        <v>250000</v>
      </c>
      <c r="E220" s="860">
        <f t="shared" ca="1" si="48"/>
        <v>10000</v>
      </c>
      <c r="F220" s="857">
        <f t="shared" ca="1" si="49"/>
        <v>0.04</v>
      </c>
    </row>
    <row r="221" spans="1:7" x14ac:dyDescent="0.25">
      <c r="B221" s="227" t="s">
        <v>643</v>
      </c>
      <c r="C221" s="860">
        <f t="shared" ca="1" si="47"/>
        <v>8360000.0000000009</v>
      </c>
      <c r="D221" s="861">
        <f t="shared" ca="1" si="50"/>
        <v>7600000.0000000009</v>
      </c>
      <c r="E221" s="860">
        <f t="shared" ca="1" si="48"/>
        <v>1200000</v>
      </c>
      <c r="F221" s="857">
        <f t="shared" ca="1" si="49"/>
        <v>0.15789473684210525</v>
      </c>
    </row>
    <row r="222" spans="1:7" x14ac:dyDescent="0.25">
      <c r="B222" s="227" t="s">
        <v>2835</v>
      </c>
      <c r="C222" s="860">
        <f t="shared" ca="1" si="47"/>
        <v>2046000.0000000002</v>
      </c>
      <c r="D222" s="980">
        <f t="shared" ca="1" si="50"/>
        <v>1860000.0000000002</v>
      </c>
      <c r="E222" s="860">
        <f t="shared" ca="1" si="48"/>
        <v>590000</v>
      </c>
      <c r="F222" s="857">
        <f t="shared" ca="1" si="49"/>
        <v>0.31720430107526876</v>
      </c>
      <c r="G222" s="227" t="s">
        <v>2836</v>
      </c>
    </row>
    <row r="223" spans="1:7" x14ac:dyDescent="0.25">
      <c r="A223" s="853"/>
      <c r="B223" s="854" t="s">
        <v>2894</v>
      </c>
      <c r="C223" s="855">
        <f ca="1">SUM(C216:C222)</f>
        <v>101208140</v>
      </c>
      <c r="D223" s="855">
        <f ca="1">SUM(D216:D222)</f>
        <v>92007400</v>
      </c>
      <c r="E223" s="855">
        <f ca="1">SUM(E216:E222)</f>
        <v>21232191.077792801</v>
      </c>
      <c r="F223" s="856"/>
      <c r="G223" s="209"/>
    </row>
    <row r="224" spans="1:7" x14ac:dyDescent="0.25">
      <c r="A224" s="1019" t="s">
        <v>2880</v>
      </c>
      <c r="B224" s="227" t="s">
        <v>2254</v>
      </c>
      <c r="C224" s="860">
        <f ca="1">SUMIFS(INDIRECT("Report!F100:F10000"),INDIRECT("Report!B100:B10000"),B224,INDIRECT("report!H100:H10000"),"Others",INDIRECT("Report!L100:L10000"),"21,2")</f>
        <v>12126840</v>
      </c>
      <c r="D224" s="861">
        <f ca="1">(C224/11*10)</f>
        <v>11024400</v>
      </c>
      <c r="E224" s="860">
        <f ca="1">SUMIFS(INDIRECT("Report!J100:J10000"),INDIRECT("Report!B100:B10000"),B224,INDIRECT("report!H100:H10000"),"Others",INDIRECT("Report!L100:L10000"),"21,2")</f>
        <v>1010240</v>
      </c>
      <c r="F224" s="857">
        <f ca="1">E224/D224</f>
        <v>9.1636733064837994E-2</v>
      </c>
    </row>
    <row r="225" spans="1:7" x14ac:dyDescent="0.25">
      <c r="A225" s="852"/>
      <c r="B225" s="227" t="s">
        <v>2255</v>
      </c>
      <c r="C225" s="860">
        <f ca="1">SUMIFS(INDIRECT("Report!F100:F10000"),INDIRECT("Report!B100:B10000"),B225,INDIRECT("report!H100:H10000"),"Others",INDIRECT("Report!L100:L10000"),"21,2")</f>
        <v>58888500</v>
      </c>
      <c r="D225" s="861">
        <f ca="1">(C225/11*10)</f>
        <v>53535000</v>
      </c>
      <c r="E225" s="860">
        <f ca="1">SUMIFS(INDIRECT("Report!J100:J10000"),INDIRECT("Report!B100:B10000"),B225,INDIRECT("report!H100:H10000"),"Others",INDIRECT("Report!L100:L10000"),"21,2")</f>
        <v>13877723.989185205</v>
      </c>
      <c r="F225" s="857">
        <f ca="1">E225/D225</f>
        <v>0.25922712224124789</v>
      </c>
    </row>
    <row r="226" spans="1:7" x14ac:dyDescent="0.25">
      <c r="B226" s="227" t="s">
        <v>2357</v>
      </c>
      <c r="C226" s="860">
        <f ca="1">SUMIFS(INDIRECT("Report!F100:F10000"),INDIRECT("Report!B100:B10000"),B226,INDIRECT("report!H100:H10000"),"Others",INDIRECT("Report!L100:L10000"),"21,2")</f>
        <v>3583800</v>
      </c>
      <c r="D226" s="861">
        <f ca="1">(C226/11*10)</f>
        <v>3258000</v>
      </c>
      <c r="E226" s="860">
        <f ca="1">SUMIFS(INDIRECT("Report!J100:J10000"),INDIRECT("Report!B100:B10000"),B226,INDIRECT("report!H100:H10000"),"Others",INDIRECT("Report!L100:L10000"),"21,2")</f>
        <v>712400</v>
      </c>
      <c r="F226" s="857">
        <f ca="1">E226/D226</f>
        <v>0.21866175567833027</v>
      </c>
    </row>
    <row r="227" spans="1:7" x14ac:dyDescent="0.25">
      <c r="B227" s="227" t="s">
        <v>2358</v>
      </c>
      <c r="C227" s="860">
        <f ca="1">SUMIFS(INDIRECT("Report!F100:F10000"),INDIRECT("Report!B100:B10000"),B227,INDIRECT("report!H100:H10000"),"Others",INDIRECT("Report!L100:L10000"),"21,2")</f>
        <v>4983000</v>
      </c>
      <c r="D227" s="861">
        <f ca="1">(C227/11*10)</f>
        <v>4530000</v>
      </c>
      <c r="E227" s="860">
        <f ca="1">SUMIFS(INDIRECT("Report!J100:J10000"),INDIRECT("Report!B100:B10000"),B227,INDIRECT("report!H100:H10000"),"Others",INDIRECT("Report!L100:L10000"),"21,2")</f>
        <v>1805000</v>
      </c>
      <c r="F227" s="857">
        <f ca="1">E227/D227</f>
        <v>0.39845474613686532</v>
      </c>
    </row>
    <row r="228" spans="1:7" x14ac:dyDescent="0.25">
      <c r="B228" s="227" t="s">
        <v>1250</v>
      </c>
      <c r="C228" s="860">
        <f ca="1">SUMIFS(INDIRECT("Report!F100:F10000"),INDIRECT("Report!B100:B10000"),B228,INDIRECT("report!H100:H10000"),"Others",INDIRECT("Report!L100:L10000"),"21,2")</f>
        <v>7491000.0000000009</v>
      </c>
      <c r="D228" s="861">
        <f ca="1">(C228/11*10)</f>
        <v>6810000.0000000009</v>
      </c>
      <c r="E228" s="860">
        <f ca="1">SUMIFS(INDIRECT("Report!J100:J10000"),INDIRECT("Report!B100:B10000"),B228,INDIRECT("report!H100:H10000"),"Others",INDIRECT("Report!L100:L10000"),"21,2")</f>
        <v>1831710</v>
      </c>
      <c r="F228" s="857">
        <f ca="1">E228/D228</f>
        <v>0.2689735682819383</v>
      </c>
      <c r="G228" s="227" t="s">
        <v>2893</v>
      </c>
    </row>
    <row r="229" spans="1:7" x14ac:dyDescent="0.25">
      <c r="A229" s="853"/>
      <c r="B229" s="854" t="s">
        <v>2895</v>
      </c>
      <c r="C229" s="855">
        <f ca="1">SUM(C224:C228)</f>
        <v>87073140</v>
      </c>
      <c r="D229" s="855">
        <f ca="1">SUM(D224:D228)</f>
        <v>79157400</v>
      </c>
      <c r="E229" s="855">
        <f ca="1">SUM(E224:E228)</f>
        <v>19237073.989185207</v>
      </c>
      <c r="F229" s="856"/>
      <c r="G229" s="209"/>
    </row>
    <row r="230" spans="1:7" x14ac:dyDescent="0.25">
      <c r="A230" s="1019" t="s">
        <v>2920</v>
      </c>
      <c r="B230" s="227" t="s">
        <v>2254</v>
      </c>
      <c r="C230" s="860">
        <f t="shared" ref="C230:C236" ca="1" si="51">SUMIFS(INDIRECT("Report!F100:F10000"),INDIRECT("Report!B100:B10000"),B230,INDIRECT("report!H100:H10000"),"Others",INDIRECT("Report!L100:L10000"),"21,3")</f>
        <v>16005000</v>
      </c>
      <c r="D230" s="861">
        <f t="shared" ref="D230:D236" ca="1" si="52">(C230/11*10)</f>
        <v>14550000</v>
      </c>
      <c r="E230" s="860">
        <f t="shared" ref="E230:E236" ca="1" si="53">SUMIFS(INDIRECT("Report!J100:J10000"),INDIRECT("Report!B100:B10000"),B230,INDIRECT("report!H100:H10000"),"Others",INDIRECT("Report!L100:L10000"),"21,3")</f>
        <v>1329000</v>
      </c>
      <c r="F230" s="857">
        <f t="shared" ref="F230:F236" ca="1" si="54">E230/D230</f>
        <v>9.1340206185567013E-2</v>
      </c>
    </row>
    <row r="231" spans="1:7" x14ac:dyDescent="0.25">
      <c r="A231" s="852"/>
      <c r="B231" s="227" t="s">
        <v>2255</v>
      </c>
      <c r="C231" s="860">
        <f t="shared" ca="1" si="51"/>
        <v>65965262</v>
      </c>
      <c r="D231" s="861">
        <f t="shared" ca="1" si="52"/>
        <v>59968420</v>
      </c>
      <c r="E231" s="860">
        <f t="shared" ca="1" si="53"/>
        <v>15897487.757650241</v>
      </c>
      <c r="F231" s="857">
        <f t="shared" ca="1" si="54"/>
        <v>0.26509765902870613</v>
      </c>
    </row>
    <row r="232" spans="1:7" x14ac:dyDescent="0.25">
      <c r="B232" s="227" t="s">
        <v>2357</v>
      </c>
      <c r="C232" s="860">
        <f t="shared" ca="1" si="51"/>
        <v>7473400</v>
      </c>
      <c r="D232" s="861">
        <f t="shared" ca="1" si="52"/>
        <v>6794000</v>
      </c>
      <c r="E232" s="860">
        <f t="shared" ca="1" si="53"/>
        <v>1536800</v>
      </c>
      <c r="F232" s="857">
        <f t="shared" ca="1" si="54"/>
        <v>0.22619958787165145</v>
      </c>
    </row>
    <row r="233" spans="1:7" x14ac:dyDescent="0.25">
      <c r="B233" s="227" t="s">
        <v>2358</v>
      </c>
      <c r="C233" s="860">
        <f t="shared" ca="1" si="51"/>
        <v>3634400.0000000005</v>
      </c>
      <c r="D233" s="861">
        <f t="shared" ca="1" si="52"/>
        <v>3304000.0000000005</v>
      </c>
      <c r="E233" s="860">
        <f t="shared" ca="1" si="53"/>
        <v>1700000</v>
      </c>
      <c r="F233" s="857">
        <f t="shared" ca="1" si="54"/>
        <v>0.51452784503631954</v>
      </c>
    </row>
    <row r="234" spans="1:7" x14ac:dyDescent="0.25">
      <c r="B234" s="227" t="s">
        <v>1250</v>
      </c>
      <c r="C234" s="860">
        <f t="shared" ca="1" si="51"/>
        <v>6710000.0000000009</v>
      </c>
      <c r="D234" s="861">
        <f t="shared" ca="1" si="52"/>
        <v>6100000.0000000009</v>
      </c>
      <c r="E234" s="860">
        <f t="shared" ca="1" si="53"/>
        <v>1018582</v>
      </c>
      <c r="F234" s="857">
        <f t="shared" ca="1" si="54"/>
        <v>0.1669806557377049</v>
      </c>
      <c r="G234" s="227" t="s">
        <v>2930</v>
      </c>
    </row>
    <row r="235" spans="1:7" x14ac:dyDescent="0.25">
      <c r="B235" s="227" t="s">
        <v>1330</v>
      </c>
      <c r="C235" s="860">
        <f t="shared" ca="1" si="51"/>
        <v>12873999.600000001</v>
      </c>
      <c r="D235" s="980">
        <f t="shared" ca="1" si="52"/>
        <v>11703636</v>
      </c>
      <c r="E235" s="860">
        <f t="shared" ca="1" si="53"/>
        <v>4596771</v>
      </c>
      <c r="F235" s="857">
        <f t="shared" ca="1" si="54"/>
        <v>0.39276435118112013</v>
      </c>
      <c r="G235" s="309" t="s">
        <v>2936</v>
      </c>
    </row>
    <row r="236" spans="1:7" x14ac:dyDescent="0.25">
      <c r="B236" s="227" t="s">
        <v>2597</v>
      </c>
      <c r="C236" s="860">
        <f t="shared" ca="1" si="51"/>
        <v>3575000.0000000005</v>
      </c>
      <c r="D236" s="980">
        <f t="shared" ca="1" si="52"/>
        <v>3250000.0000000005</v>
      </c>
      <c r="E236" s="860">
        <f t="shared" ca="1" si="53"/>
        <v>2132825</v>
      </c>
      <c r="F236" s="857">
        <f t="shared" ca="1" si="54"/>
        <v>0.65625384615384608</v>
      </c>
    </row>
    <row r="237" spans="1:7" x14ac:dyDescent="0.25">
      <c r="A237" s="853"/>
      <c r="B237" s="854" t="s">
        <v>2928</v>
      </c>
      <c r="C237" s="855">
        <f ca="1">SUM(C230:C236)</f>
        <v>116237061.59999999</v>
      </c>
      <c r="D237" s="855">
        <f ca="1">SUM(D230:D236)</f>
        <v>105670056</v>
      </c>
      <c r="E237" s="855">
        <f ca="1">SUM(E230:E236)</f>
        <v>28211465.757650241</v>
      </c>
      <c r="F237" s="856"/>
      <c r="G237" s="209"/>
    </row>
    <row r="238" spans="1:7" x14ac:dyDescent="0.25">
      <c r="A238" s="1019" t="s">
        <v>2960</v>
      </c>
      <c r="B238" s="227" t="s">
        <v>2254</v>
      </c>
      <c r="C238" s="860">
        <f ca="1">SUMIFS(INDIRECT("Report!F100:F10000"),INDIRECT("Report!B100:B10000"),B238,INDIRECT("report!H100:H10000"),"Others",INDIRECT("Report!L100:L10000"),"21,4")</f>
        <v>13101550</v>
      </c>
      <c r="D238" s="861">
        <f t="shared" ref="D238:D244" ca="1" si="55">(C238/11*10)</f>
        <v>11910500</v>
      </c>
      <c r="E238" s="860">
        <f ca="1">SUMIFS(INDIRECT("Report!J100:J10000"),INDIRECT("Report!B100:B10000"),B238,INDIRECT("report!H100:H10000"),"Others",INDIRECT("Report!L100:L10000"),"21,4")</f>
        <v>1056500</v>
      </c>
      <c r="F238" s="857">
        <f t="shared" ref="F238:F244" ca="1" si="56">E238/D238</f>
        <v>8.8703245035892705E-2</v>
      </c>
    </row>
    <row r="239" spans="1:7" x14ac:dyDescent="0.25">
      <c r="A239" s="852"/>
      <c r="B239" s="227" t="s">
        <v>2255</v>
      </c>
      <c r="C239" s="860">
        <f t="shared" ref="C239:C244" ca="1" si="57">SUMIFS(INDIRECT("Report!F100:F10000"),INDIRECT("Report!B100:B10000"),B239,INDIRECT("report!H100:H10000"),"Others",INDIRECT("Report!L100:L10000"),"21,4")</f>
        <v>57692250</v>
      </c>
      <c r="D239" s="861">
        <f t="shared" ca="1" si="55"/>
        <v>52447500</v>
      </c>
      <c r="E239" s="860">
        <f t="shared" ref="E239:E244" ca="1" si="58">SUMIFS(INDIRECT("Report!J100:J10000"),INDIRECT("Report!B100:B10000"),B239,INDIRECT("report!H100:H10000"),"Others",INDIRECT("Report!L100:L10000"),"21,4")</f>
        <v>14335351.616074722</v>
      </c>
      <c r="F239" s="857">
        <f t="shared" ca="1" si="56"/>
        <v>0.27332764414080218</v>
      </c>
    </row>
    <row r="240" spans="1:7" x14ac:dyDescent="0.25">
      <c r="B240" s="227" t="s">
        <v>2357</v>
      </c>
      <c r="C240" s="860">
        <f t="shared" ca="1" si="57"/>
        <v>3762000</v>
      </c>
      <c r="D240" s="861">
        <f t="shared" ca="1" si="55"/>
        <v>3420000</v>
      </c>
      <c r="E240" s="860">
        <f t="shared" ca="1" si="58"/>
        <v>718000</v>
      </c>
      <c r="F240" s="857">
        <f t="shared" ca="1" si="56"/>
        <v>0.20994152046783626</v>
      </c>
    </row>
    <row r="241" spans="1:7" x14ac:dyDescent="0.25">
      <c r="B241" s="227" t="s">
        <v>2358</v>
      </c>
      <c r="C241" s="860">
        <f t="shared" ca="1" si="57"/>
        <v>0</v>
      </c>
      <c r="D241" s="861">
        <f t="shared" ca="1" si="55"/>
        <v>0</v>
      </c>
      <c r="E241" s="860">
        <f t="shared" ca="1" si="58"/>
        <v>0</v>
      </c>
      <c r="F241" s="857" t="e">
        <f t="shared" ca="1" si="56"/>
        <v>#DIV/0!</v>
      </c>
    </row>
    <row r="242" spans="1:7" x14ac:dyDescent="0.25">
      <c r="B242" s="227" t="s">
        <v>1250</v>
      </c>
      <c r="C242" s="860">
        <f t="shared" ca="1" si="57"/>
        <v>396000.00000000006</v>
      </c>
      <c r="D242" s="861">
        <f t="shared" ca="1" si="55"/>
        <v>360000.00000000006</v>
      </c>
      <c r="E242" s="860">
        <f t="shared" ca="1" si="58"/>
        <v>30000</v>
      </c>
      <c r="F242" s="857">
        <f t="shared" ca="1" si="56"/>
        <v>8.3333333333333315E-2</v>
      </c>
    </row>
    <row r="243" spans="1:7" x14ac:dyDescent="0.25">
      <c r="B243" s="227" t="s">
        <v>2964</v>
      </c>
      <c r="C243" s="860">
        <f t="shared" ca="1" si="57"/>
        <v>495000.00000000006</v>
      </c>
      <c r="D243" s="980">
        <f t="shared" ca="1" si="55"/>
        <v>450000.00000000006</v>
      </c>
      <c r="E243" s="860">
        <f t="shared" ca="1" si="58"/>
        <v>250000</v>
      </c>
      <c r="F243" s="857">
        <f t="shared" ca="1" si="56"/>
        <v>0.55555555555555547</v>
      </c>
      <c r="G243" s="309"/>
    </row>
    <row r="244" spans="1:7" x14ac:dyDescent="0.25">
      <c r="B244" s="227" t="s">
        <v>2597</v>
      </c>
      <c r="C244" s="860">
        <f t="shared" ca="1" si="57"/>
        <v>3575000.0000000005</v>
      </c>
      <c r="D244" s="980">
        <f t="shared" ca="1" si="55"/>
        <v>3250000.0000000005</v>
      </c>
      <c r="E244" s="860">
        <f t="shared" ca="1" si="58"/>
        <v>2132825</v>
      </c>
      <c r="F244" s="857">
        <f t="shared" ca="1" si="56"/>
        <v>0.65625384615384608</v>
      </c>
    </row>
    <row r="245" spans="1:7" x14ac:dyDescent="0.25">
      <c r="A245" s="853"/>
      <c r="B245" s="854" t="s">
        <v>2965</v>
      </c>
      <c r="C245" s="855">
        <f ca="1">SUM(C238:C244)</f>
        <v>79021800</v>
      </c>
      <c r="D245" s="855">
        <f ca="1">SUM(D238:D244)</f>
        <v>71838000</v>
      </c>
      <c r="E245" s="855">
        <f ca="1">SUM(E238:E244)</f>
        <v>18522676.616074722</v>
      </c>
      <c r="F245" s="856"/>
      <c r="G245" s="209"/>
    </row>
    <row r="246" spans="1:7" x14ac:dyDescent="0.25">
      <c r="A246" s="1019" t="s">
        <v>2994</v>
      </c>
      <c r="B246" s="227" t="s">
        <v>2254</v>
      </c>
      <c r="C246" s="860">
        <f t="shared" ref="C246:C252" ca="1" si="59">SUMIFS(INDIRECT("Report!F100:F10000"),INDIRECT("Report!B100:B10000"),B246,INDIRECT("report!H100:H10000"),"Others",INDIRECT("Report!L100:L10000"),"21,5")</f>
        <v>12391500</v>
      </c>
      <c r="D246" s="861">
        <f t="shared" ref="D246:D252" ca="1" si="60">(C246/11*10)</f>
        <v>11265000</v>
      </c>
      <c r="E246" s="860">
        <f t="shared" ref="E246:E252" ca="1" si="61">SUMIFS(INDIRECT("Report!J100:J10000"),INDIRECT("Report!B100:B10000"),B246,INDIRECT("report!H100:H10000"),"Others",INDIRECT("Report!L100:L10000"),"21,5")</f>
        <v>1031000</v>
      </c>
      <c r="F246" s="857">
        <f t="shared" ref="F246:F252" ca="1" si="62">E246/D246</f>
        <v>9.1522414558366627E-2</v>
      </c>
    </row>
    <row r="247" spans="1:7" x14ac:dyDescent="0.25">
      <c r="A247" s="852"/>
      <c r="B247" s="227" t="s">
        <v>2255</v>
      </c>
      <c r="C247" s="860">
        <f t="shared" ca="1" si="59"/>
        <v>58957250</v>
      </c>
      <c r="D247" s="861">
        <f t="shared" ca="1" si="60"/>
        <v>53597500</v>
      </c>
      <c r="E247" s="860">
        <f t="shared" ca="1" si="61"/>
        <v>14198875.150546886</v>
      </c>
      <c r="F247" s="857">
        <f t="shared" ca="1" si="62"/>
        <v>0.26491674332845538</v>
      </c>
    </row>
    <row r="248" spans="1:7" x14ac:dyDescent="0.25">
      <c r="B248" s="227" t="s">
        <v>2357</v>
      </c>
      <c r="C248" s="860">
        <f t="shared" ca="1" si="59"/>
        <v>4067800</v>
      </c>
      <c r="D248" s="861">
        <f t="shared" ca="1" si="60"/>
        <v>3698000</v>
      </c>
      <c r="E248" s="860">
        <f t="shared" ca="1" si="61"/>
        <v>810400</v>
      </c>
      <c r="F248" s="857">
        <f t="shared" ca="1" si="62"/>
        <v>0.21914548404542997</v>
      </c>
    </row>
    <row r="249" spans="1:7" x14ac:dyDescent="0.25">
      <c r="B249" s="227" t="s">
        <v>2358</v>
      </c>
      <c r="C249" s="860">
        <f t="shared" ca="1" si="59"/>
        <v>1034000.0000000001</v>
      </c>
      <c r="D249" s="861">
        <f t="shared" ca="1" si="60"/>
        <v>940000.00000000012</v>
      </c>
      <c r="E249" s="860">
        <f t="shared" ca="1" si="61"/>
        <v>490000</v>
      </c>
      <c r="F249" s="857">
        <f t="shared" ca="1" si="62"/>
        <v>0.52127659574468077</v>
      </c>
    </row>
    <row r="250" spans="1:7" x14ac:dyDescent="0.25">
      <c r="B250" s="227" t="s">
        <v>1250</v>
      </c>
      <c r="C250" s="860">
        <f t="shared" ca="1" si="59"/>
        <v>6105000.0000000009</v>
      </c>
      <c r="D250" s="861">
        <f t="shared" ca="1" si="60"/>
        <v>5550000.0000000009</v>
      </c>
      <c r="E250" s="860">
        <f t="shared" ca="1" si="61"/>
        <v>1410000</v>
      </c>
      <c r="F250" s="857">
        <f t="shared" ca="1" si="62"/>
        <v>0.25405405405405401</v>
      </c>
      <c r="G250" s="227" t="s">
        <v>2930</v>
      </c>
    </row>
    <row r="251" spans="1:7" x14ac:dyDescent="0.25">
      <c r="B251" s="227" t="s">
        <v>2964</v>
      </c>
      <c r="C251" s="860">
        <f t="shared" ca="1" si="59"/>
        <v>3905000.0000000005</v>
      </c>
      <c r="D251" s="980">
        <f t="shared" ca="1" si="60"/>
        <v>3550000.0000000005</v>
      </c>
      <c r="E251" s="860">
        <f t="shared" ca="1" si="61"/>
        <v>1830000</v>
      </c>
      <c r="F251" s="857">
        <f t="shared" ca="1" si="62"/>
        <v>0.51549295774647885</v>
      </c>
      <c r="G251" s="309"/>
    </row>
    <row r="252" spans="1:7" x14ac:dyDescent="0.25">
      <c r="B252" s="227" t="s">
        <v>2597</v>
      </c>
      <c r="C252" s="860">
        <f t="shared" ca="1" si="59"/>
        <v>3575000.0000000005</v>
      </c>
      <c r="D252" s="980">
        <f t="shared" ca="1" si="60"/>
        <v>3250000.0000000005</v>
      </c>
      <c r="E252" s="860">
        <f t="shared" ca="1" si="61"/>
        <v>2132825</v>
      </c>
      <c r="F252" s="857">
        <f t="shared" ca="1" si="62"/>
        <v>0.65625384615384608</v>
      </c>
    </row>
    <row r="253" spans="1:7" x14ac:dyDescent="0.25">
      <c r="A253" s="853"/>
      <c r="B253" s="854" t="s">
        <v>3002</v>
      </c>
      <c r="C253" s="855">
        <f ca="1">SUM(C246:C252)</f>
        <v>90035550</v>
      </c>
      <c r="D253" s="855">
        <f ca="1">SUM(D246:D252)</f>
        <v>81850500</v>
      </c>
      <c r="E253" s="855">
        <f ca="1">SUM(E246:E252)</f>
        <v>21903100.150546886</v>
      </c>
      <c r="F253" s="856"/>
      <c r="G253" s="209"/>
    </row>
    <row r="254" spans="1:7" x14ac:dyDescent="0.25">
      <c r="A254" s="1019" t="s">
        <v>3037</v>
      </c>
      <c r="B254" s="227" t="s">
        <v>2254</v>
      </c>
      <c r="C254" s="860">
        <f t="shared" ref="C254:C259" ca="1" si="63">SUMIFS(INDIRECT("Report!F100:F10000"),INDIRECT("Report!B100:B10000"),B254,INDIRECT("report!H100:H10000"),"Others",INDIRECT("Report!L100:L10000"),"21,6")</f>
        <v>13525050</v>
      </c>
      <c r="D254" s="861">
        <f t="shared" ref="D254:D259" ca="1" si="64">(C254/11*10)</f>
        <v>12295500</v>
      </c>
      <c r="E254" s="860">
        <f t="shared" ref="E254:E259" ca="1" si="65">SUMIFS(INDIRECT("Report!J100:J10000"),INDIRECT("Report!B100:B10000"),B254,INDIRECT("report!H100:H10000"),"Others",INDIRECT("Report!L100:L10000"),"21,6")</f>
        <v>1061000</v>
      </c>
      <c r="F254" s="857">
        <f t="shared" ref="F254:F259" ca="1" si="66">E254/D254</f>
        <v>8.6291732747753244E-2</v>
      </c>
    </row>
    <row r="255" spans="1:7" x14ac:dyDescent="0.25">
      <c r="A255" s="852"/>
      <c r="B255" s="227" t="s">
        <v>2255</v>
      </c>
      <c r="C255" s="860">
        <f t="shared" ca="1" si="63"/>
        <v>57755500</v>
      </c>
      <c r="D255" s="861">
        <f t="shared" ca="1" si="64"/>
        <v>52505000</v>
      </c>
      <c r="E255" s="860">
        <f t="shared" ca="1" si="65"/>
        <v>14371400.147474501</v>
      </c>
      <c r="F255" s="857">
        <f t="shared" ca="1" si="66"/>
        <v>0.27371488710550429</v>
      </c>
    </row>
    <row r="256" spans="1:7" x14ac:dyDescent="0.25">
      <c r="B256" s="227" t="s">
        <v>2357</v>
      </c>
      <c r="C256" s="860">
        <f t="shared" ca="1" si="63"/>
        <v>8582200</v>
      </c>
      <c r="D256" s="861">
        <f t="shared" ca="1" si="64"/>
        <v>7802000</v>
      </c>
      <c r="E256" s="860">
        <f t="shared" ca="1" si="65"/>
        <v>1690800</v>
      </c>
      <c r="F256" s="857">
        <f t="shared" ca="1" si="66"/>
        <v>0.21671366316329146</v>
      </c>
    </row>
    <row r="257" spans="1:7" x14ac:dyDescent="0.25">
      <c r="B257" s="227" t="s">
        <v>2358</v>
      </c>
      <c r="C257" s="860">
        <f t="shared" ca="1" si="63"/>
        <v>0</v>
      </c>
      <c r="D257" s="861">
        <f t="shared" ca="1" si="64"/>
        <v>0</v>
      </c>
      <c r="E257" s="860">
        <f t="shared" ca="1" si="65"/>
        <v>0</v>
      </c>
      <c r="F257" s="857" t="e">
        <f t="shared" ca="1" si="66"/>
        <v>#DIV/0!</v>
      </c>
    </row>
    <row r="258" spans="1:7" x14ac:dyDescent="0.25">
      <c r="B258" s="227" t="s">
        <v>1250</v>
      </c>
      <c r="C258" s="860">
        <f t="shared" ca="1" si="63"/>
        <v>9020000</v>
      </c>
      <c r="D258" s="861">
        <f t="shared" ca="1" si="64"/>
        <v>8200000</v>
      </c>
      <c r="E258" s="860">
        <f t="shared" ca="1" si="65"/>
        <v>1340000</v>
      </c>
      <c r="F258" s="857">
        <f t="shared" ca="1" si="66"/>
        <v>0.16341463414634147</v>
      </c>
      <c r="G258" s="227" t="s">
        <v>2930</v>
      </c>
    </row>
    <row r="259" spans="1:7" x14ac:dyDescent="0.25">
      <c r="B259" s="227" t="s">
        <v>1330</v>
      </c>
      <c r="C259" s="860">
        <f t="shared" ca="1" si="63"/>
        <v>4672000.3</v>
      </c>
      <c r="D259" s="980">
        <f t="shared" ca="1" si="64"/>
        <v>4247273</v>
      </c>
      <c r="E259" s="860">
        <f t="shared" ca="1" si="65"/>
        <v>338866</v>
      </c>
      <c r="F259" s="857">
        <f t="shared" ca="1" si="66"/>
        <v>7.9784369876859815E-2</v>
      </c>
      <c r="G259" s="309"/>
    </row>
    <row r="260" spans="1:7" x14ac:dyDescent="0.25">
      <c r="A260" s="853"/>
      <c r="B260" s="854" t="s">
        <v>3046</v>
      </c>
      <c r="C260" s="855">
        <f ca="1">SUM(C254:C259)</f>
        <v>93554750.299999997</v>
      </c>
      <c r="D260" s="855">
        <f ca="1">SUM(D254:D259)</f>
        <v>85049773</v>
      </c>
      <c r="E260" s="855">
        <f ca="1">SUM(E254:E259)</f>
        <v>18802066.147474501</v>
      </c>
      <c r="F260" s="856"/>
      <c r="G260" s="209"/>
    </row>
    <row r="261" spans="1:7" x14ac:dyDescent="0.25">
      <c r="A261" s="1019" t="s">
        <v>3057</v>
      </c>
      <c r="B261" s="227" t="s">
        <v>2254</v>
      </c>
      <c r="C261" s="860">
        <f ca="1">SUMIFS(INDIRECT("Report!F100:F10000"),INDIRECT("Report!B100:B10000"),B261,INDIRECT("report!H100:H10000"),"Others",INDIRECT("Report!L100:L10000"),"21,7")</f>
        <v>17930000</v>
      </c>
      <c r="D261" s="861">
        <f ca="1">(C261/11*10)</f>
        <v>16300000</v>
      </c>
      <c r="E261" s="860">
        <f ca="1">SUMIFS(INDIRECT("Report!J100:J10000"),INDIRECT("Report!B100:B10000"),B261,INDIRECT("report!H100:H10000"),"Others",INDIRECT("Report!L100:L10000"),"21,7")</f>
        <v>1466000</v>
      </c>
      <c r="F261" s="857">
        <f ca="1">E261/D261</f>
        <v>8.9938650306748469E-2</v>
      </c>
    </row>
    <row r="262" spans="1:7" x14ac:dyDescent="0.25">
      <c r="A262" s="852"/>
      <c r="B262" s="227" t="s">
        <v>2255</v>
      </c>
      <c r="C262" s="860">
        <f ca="1">SUMIFS(INDIRECT("Report!F100:F10000"),INDIRECT("Report!B100:B10000"),B262,INDIRECT("report!H100:H10000"),"Others",INDIRECT("Report!L100:L10000"),"21,7")</f>
        <v>55020900</v>
      </c>
      <c r="D262" s="861">
        <f ca="1">(C262/11*10)</f>
        <v>50019000</v>
      </c>
      <c r="E262" s="860">
        <f ca="1">SUMIFS(INDIRECT("Report!J100:J10000"),INDIRECT("Report!B100:B10000"),B262,INDIRECT("report!H100:H10000"),"Others",INDIRECT("Report!L100:L10000"),"21,7")</f>
        <v>13661731.399778789</v>
      </c>
      <c r="F262" s="857">
        <f ca="1">E262/D262</f>
        <v>0.2731308382770305</v>
      </c>
    </row>
    <row r="263" spans="1:7" x14ac:dyDescent="0.25">
      <c r="B263" s="227" t="s">
        <v>2357</v>
      </c>
      <c r="C263" s="860">
        <f ca="1">SUMIFS(INDIRECT("Report!F100:F10000"),INDIRECT("Report!B100:B10000"),B263,INDIRECT("report!H100:H10000"),"Others",INDIRECT("Report!L100:L10000"),"21,7")</f>
        <v>7889200</v>
      </c>
      <c r="D263" s="861">
        <f ca="1">(C263/11*10)</f>
        <v>7172000</v>
      </c>
      <c r="E263" s="860">
        <f ca="1">SUMIFS(INDIRECT("Report!J100:J10000"),INDIRECT("Report!B100:B10000"),B263,INDIRECT("report!H100:H10000"),"Others",INDIRECT("Report!L100:L10000"),"21,7")</f>
        <v>1524800</v>
      </c>
      <c r="F263" s="857">
        <f ca="1">E263/D263</f>
        <v>0.21260457334076965</v>
      </c>
    </row>
    <row r="264" spans="1:7" x14ac:dyDescent="0.25">
      <c r="B264" s="227" t="s">
        <v>2358</v>
      </c>
      <c r="C264" s="860">
        <f ca="1">SUMIFS(INDIRECT("Report!F100:F10000"),INDIRECT("Report!B100:B10000"),B264,INDIRECT("report!H100:H10000"),"Others",INDIRECT("Report!L100:L10000"),"21,7")</f>
        <v>3125100</v>
      </c>
      <c r="D264" s="861">
        <f ca="1">(C264/11*10)</f>
        <v>2841000</v>
      </c>
      <c r="E264" s="860">
        <f ca="1">SUMIFS(INDIRECT("Report!J100:J10000"),INDIRECT("Report!B100:B10000"),B264,INDIRECT("report!H100:H10000"),"Others",INDIRECT("Report!L100:L10000"),"21,7")</f>
        <v>1447500</v>
      </c>
      <c r="F264" s="857">
        <f ca="1">E264/D264</f>
        <v>0.50950369588173183</v>
      </c>
    </row>
    <row r="265" spans="1:7" x14ac:dyDescent="0.25">
      <c r="B265" s="227" t="s">
        <v>1250</v>
      </c>
      <c r="C265" s="860">
        <f ca="1">SUMIFS(INDIRECT("Report!F100:F10000"),INDIRECT("Report!B100:B10000"),B265,INDIRECT("report!H100:H10000"),"Others",INDIRECT("Report!L100:L10000"),"21,7")</f>
        <v>2112000.0000000005</v>
      </c>
      <c r="D265" s="861">
        <f ca="1">(C265/11*10)</f>
        <v>1920000.0000000002</v>
      </c>
      <c r="E265" s="860">
        <f ca="1">SUMIFS(INDIRECT("Report!J100:J10000"),INDIRECT("Report!B100:B10000"),B265,INDIRECT("report!H100:H10000"),"Others",INDIRECT("Report!L100:L10000"),"21,7")</f>
        <v>232191</v>
      </c>
      <c r="F265" s="857">
        <f ca="1">E265/D265</f>
        <v>0.12093281249999999</v>
      </c>
      <c r="G265" s="227" t="s">
        <v>3065</v>
      </c>
    </row>
    <row r="266" spans="1:7" x14ac:dyDescent="0.25">
      <c r="A266" s="853"/>
      <c r="B266" s="854" t="s">
        <v>3064</v>
      </c>
      <c r="C266" s="855">
        <f ca="1">SUM(C261:C265)</f>
        <v>86077200</v>
      </c>
      <c r="D266" s="855">
        <f ca="1">SUM(D261:D265)</f>
        <v>78252000</v>
      </c>
      <c r="E266" s="855">
        <f ca="1">SUM(E261:E265)</f>
        <v>18332222.399778791</v>
      </c>
      <c r="F266" s="856"/>
      <c r="G266" s="209"/>
    </row>
    <row r="267" spans="1:7" x14ac:dyDescent="0.25">
      <c r="A267" s="1019" t="s">
        <v>3106</v>
      </c>
      <c r="B267" s="227" t="s">
        <v>2254</v>
      </c>
      <c r="C267" s="860">
        <f t="shared" ref="C267:C273" ca="1" si="67">SUMIFS(INDIRECT("Report!F100:F10000"),INDIRECT("Report!B100:B10000"),B267,INDIRECT("report!H100:H10000"),"Others",INDIRECT("Report!L100:L10000"),"21,8")</f>
        <v>13750000</v>
      </c>
      <c r="D267" s="861">
        <f t="shared" ref="D267:D273" ca="1" si="68">(C267/11*10)</f>
        <v>12500000</v>
      </c>
      <c r="E267" s="860">
        <f t="shared" ref="E267:E273" ca="1" si="69">SUMIFS(INDIRECT("Report!J100:J10000"),INDIRECT("Report!B100:B10000"),B267,INDIRECT("report!H100:H10000"),"Others",INDIRECT("Report!L100:L10000"),"21,8")</f>
        <v>114000</v>
      </c>
      <c r="F267" s="857">
        <f t="shared" ref="F267:F273" ca="1" si="70">E267/D267</f>
        <v>9.1199999999999996E-3</v>
      </c>
    </row>
    <row r="268" spans="1:7" x14ac:dyDescent="0.25">
      <c r="A268" s="852"/>
      <c r="B268" s="227" t="s">
        <v>2255</v>
      </c>
      <c r="C268" s="860">
        <f t="shared" ca="1" si="67"/>
        <v>40196200</v>
      </c>
      <c r="D268" s="861">
        <f t="shared" ca="1" si="68"/>
        <v>36542000</v>
      </c>
      <c r="E268" s="860">
        <f t="shared" ca="1" si="69"/>
        <v>14111000</v>
      </c>
      <c r="F268" s="857">
        <f t="shared" ca="1" si="70"/>
        <v>0.38615839308193312</v>
      </c>
    </row>
    <row r="269" spans="1:7" x14ac:dyDescent="0.25">
      <c r="A269" s="232"/>
      <c r="B269" s="227" t="s">
        <v>1416</v>
      </c>
      <c r="C269" s="860">
        <f t="shared" ca="1" si="67"/>
        <v>6897000.0000000009</v>
      </c>
      <c r="D269" s="861">
        <f t="shared" ca="1" si="68"/>
        <v>6270000.0000000009</v>
      </c>
      <c r="E269" s="860">
        <f t="shared" ca="1" si="69"/>
        <v>3000000</v>
      </c>
      <c r="F269" s="857">
        <f t="shared" ca="1" si="70"/>
        <v>0.47846889952153104</v>
      </c>
      <c r="G269" s="227" t="s">
        <v>3117</v>
      </c>
    </row>
    <row r="270" spans="1:7" x14ac:dyDescent="0.25">
      <c r="B270" s="227" t="s">
        <v>2357</v>
      </c>
      <c r="C270" s="860">
        <f t="shared" ca="1" si="67"/>
        <v>5442800</v>
      </c>
      <c r="D270" s="861">
        <f t="shared" ca="1" si="68"/>
        <v>4948000</v>
      </c>
      <c r="E270" s="860">
        <f t="shared" ca="1" si="69"/>
        <v>1070400</v>
      </c>
      <c r="F270" s="857">
        <f t="shared" ca="1" si="70"/>
        <v>0.21632983023443816</v>
      </c>
    </row>
    <row r="271" spans="1:7" x14ac:dyDescent="0.25">
      <c r="B271" s="227" t="s">
        <v>2358</v>
      </c>
      <c r="C271" s="860">
        <f t="shared" ca="1" si="67"/>
        <v>3690500</v>
      </c>
      <c r="D271" s="861">
        <f t="shared" ca="1" si="68"/>
        <v>3355000</v>
      </c>
      <c r="E271" s="860">
        <f t="shared" ca="1" si="69"/>
        <v>1192500</v>
      </c>
      <c r="F271" s="857">
        <f t="shared" ca="1" si="70"/>
        <v>0.35543964232488823</v>
      </c>
    </row>
    <row r="272" spans="1:7" x14ac:dyDescent="0.25">
      <c r="B272" s="227" t="s">
        <v>1330</v>
      </c>
      <c r="C272" s="860">
        <f t="shared" ca="1" si="67"/>
        <v>10304000.300000001</v>
      </c>
      <c r="D272" s="861">
        <f t="shared" ca="1" si="68"/>
        <v>9367273</v>
      </c>
      <c r="E272" s="860">
        <f t="shared" ca="1" si="69"/>
        <v>1516500</v>
      </c>
      <c r="F272" s="857">
        <f t="shared" ca="1" si="70"/>
        <v>0.16189343472748152</v>
      </c>
      <c r="G272" s="309" t="s">
        <v>3116</v>
      </c>
    </row>
    <row r="273" spans="1:7" x14ac:dyDescent="0.25">
      <c r="B273" s="227" t="s">
        <v>1333</v>
      </c>
      <c r="C273" s="860">
        <f t="shared" ca="1" si="67"/>
        <v>88000000</v>
      </c>
      <c r="D273" s="980">
        <f t="shared" ca="1" si="68"/>
        <v>80000000</v>
      </c>
      <c r="E273" s="860">
        <f t="shared" ca="1" si="69"/>
        <v>0</v>
      </c>
      <c r="F273" s="857">
        <f t="shared" ca="1" si="70"/>
        <v>0</v>
      </c>
      <c r="G273" s="227" t="s">
        <v>3115</v>
      </c>
    </row>
    <row r="274" spans="1:7" x14ac:dyDescent="0.25">
      <c r="A274" s="853"/>
      <c r="B274" s="854" t="s">
        <v>3114</v>
      </c>
      <c r="C274" s="855">
        <f ca="1">SUM(C267:C273)</f>
        <v>168280500.30000001</v>
      </c>
      <c r="D274" s="855">
        <f ca="1">SUM(D267:D273)</f>
        <v>152982273</v>
      </c>
      <c r="E274" s="855">
        <f ca="1">SUM(E267:E273)</f>
        <v>21004400</v>
      </c>
      <c r="F274" s="856"/>
      <c r="G274" s="209"/>
    </row>
    <row r="275" spans="1:7" x14ac:dyDescent="0.25">
      <c r="A275" s="1019" t="s">
        <v>3149</v>
      </c>
      <c r="B275" s="227" t="s">
        <v>2254</v>
      </c>
      <c r="C275" s="860">
        <f t="shared" ref="C275:C280" ca="1" si="71">SUMIFS(INDIRECT("Report!F100:F10000"),INDIRECT("Report!B100:B10000"),B275,INDIRECT("report!H100:H10000"),"Others",INDIRECT("Report!L100:L10000"),"21,9")</f>
        <v>13244000</v>
      </c>
      <c r="D275" s="861">
        <f t="shared" ref="D275:D280" ca="1" si="72">(C275/11*10)</f>
        <v>12040000</v>
      </c>
      <c r="E275" s="860">
        <f t="shared" ref="E275:E280" ca="1" si="73">SUMIFS(INDIRECT("Report!J100:J10000"),INDIRECT("Report!B100:B10000"),B275,INDIRECT("report!H100:H10000"),"Others",INDIRECT("Report!L100:L10000"),"21,9")</f>
        <v>1118000</v>
      </c>
      <c r="F275" s="857">
        <f t="shared" ref="F275:F280" ca="1" si="74">E275/D275</f>
        <v>9.285714285714286E-2</v>
      </c>
    </row>
    <row r="276" spans="1:7" x14ac:dyDescent="0.25">
      <c r="A276" s="852"/>
      <c r="B276" s="227" t="s">
        <v>2255</v>
      </c>
      <c r="C276" s="860">
        <f t="shared" ca="1" si="71"/>
        <v>28315100.000000004</v>
      </c>
      <c r="D276" s="861">
        <f t="shared" ca="1" si="72"/>
        <v>25741000.000000004</v>
      </c>
      <c r="E276" s="860">
        <f t="shared" ca="1" si="73"/>
        <v>10021000</v>
      </c>
      <c r="F276" s="857">
        <f t="shared" ca="1" si="74"/>
        <v>0.38930111495279895</v>
      </c>
    </row>
    <row r="277" spans="1:7" x14ac:dyDescent="0.25">
      <c r="B277" s="227" t="s">
        <v>2357</v>
      </c>
      <c r="C277" s="860">
        <f t="shared" ca="1" si="71"/>
        <v>7839700</v>
      </c>
      <c r="D277" s="861">
        <f t="shared" ca="1" si="72"/>
        <v>7127000</v>
      </c>
      <c r="E277" s="860">
        <f t="shared" ca="1" si="73"/>
        <v>1519800</v>
      </c>
      <c r="F277" s="857">
        <f t="shared" ca="1" si="74"/>
        <v>0.213245404798653</v>
      </c>
    </row>
    <row r="278" spans="1:7" x14ac:dyDescent="0.25">
      <c r="B278" s="227" t="s">
        <v>2358</v>
      </c>
      <c r="C278" s="860">
        <f t="shared" ca="1" si="71"/>
        <v>2600400.0000000005</v>
      </c>
      <c r="D278" s="861">
        <f t="shared" ca="1" si="72"/>
        <v>2364000.0000000005</v>
      </c>
      <c r="E278" s="860">
        <f t="shared" ca="1" si="73"/>
        <v>1210000</v>
      </c>
      <c r="F278" s="857">
        <f t="shared" ca="1" si="74"/>
        <v>0.51184433164128584</v>
      </c>
    </row>
    <row r="279" spans="1:7" x14ac:dyDescent="0.25">
      <c r="B279" s="227" t="s">
        <v>1330</v>
      </c>
      <c r="C279" s="860">
        <f t="shared" ca="1" si="71"/>
        <v>13345267.100000001</v>
      </c>
      <c r="D279" s="861">
        <f t="shared" ca="1" si="72"/>
        <v>12132061</v>
      </c>
      <c r="E279" s="860">
        <f t="shared" ca="1" si="73"/>
        <v>1325845</v>
      </c>
      <c r="F279" s="857">
        <f t="shared" ca="1" si="74"/>
        <v>0.10928439941078437</v>
      </c>
      <c r="G279" s="309" t="s">
        <v>3155</v>
      </c>
    </row>
    <row r="280" spans="1:7" x14ac:dyDescent="0.25">
      <c r="B280" s="227" t="s">
        <v>1333</v>
      </c>
      <c r="C280" s="860">
        <f t="shared" ca="1" si="71"/>
        <v>4290000</v>
      </c>
      <c r="D280" s="980">
        <f t="shared" ca="1" si="72"/>
        <v>3900000</v>
      </c>
      <c r="E280" s="860">
        <f t="shared" ca="1" si="73"/>
        <v>661158</v>
      </c>
      <c r="F280" s="857">
        <f t="shared" ca="1" si="74"/>
        <v>0.1695276923076923</v>
      </c>
    </row>
    <row r="281" spans="1:7" x14ac:dyDescent="0.25">
      <c r="A281" s="853"/>
      <c r="B281" s="854" t="s">
        <v>3154</v>
      </c>
      <c r="C281" s="855">
        <f ca="1">SUM(C275:C280)</f>
        <v>69634467.099999994</v>
      </c>
      <c r="D281" s="855">
        <f ca="1">SUM(D275:D280)</f>
        <v>63304061</v>
      </c>
      <c r="E281" s="855">
        <f ca="1">SUM(E275:E280)</f>
        <v>15855803</v>
      </c>
      <c r="F281" s="856"/>
      <c r="G281" s="209"/>
    </row>
    <row r="282" spans="1:7" x14ac:dyDescent="0.25">
      <c r="A282" s="1019" t="s">
        <v>3176</v>
      </c>
      <c r="B282" s="227" t="s">
        <v>2254</v>
      </c>
      <c r="C282" s="860">
        <f ca="1">SUMIFS(INDIRECT("Report!F100:F10000"),INDIRECT("Report!B100:B10000"),B282,INDIRECT("report!H100:H10000"),"Others",INDIRECT("Report!L100:L10000"),"21,10")</f>
        <v>11731500</v>
      </c>
      <c r="D282" s="861">
        <f ca="1">(C282/11*10)</f>
        <v>10665000</v>
      </c>
      <c r="E282" s="860">
        <f ca="1">SUMIFS(INDIRECT("Report!J100:J10000"),INDIRECT("Report!B100:B10000"),B282,INDIRECT("report!H100:H10000"),"Others",INDIRECT("Report!L100:L10000"),"21,10")</f>
        <v>970200</v>
      </c>
      <c r="F282" s="857">
        <f ca="1">E282/D282</f>
        <v>9.0970464135021092E-2</v>
      </c>
    </row>
    <row r="283" spans="1:7" x14ac:dyDescent="0.25">
      <c r="A283" s="852"/>
      <c r="B283" s="227" t="s">
        <v>2255</v>
      </c>
      <c r="C283" s="860">
        <f ca="1">SUMIFS(INDIRECT("Report!F100:F10000"),INDIRECT("Report!B100:B10000"),B283,INDIRECT("report!H100:H10000"),"Others",INDIRECT("Report!L100:L10000"),"21,10")</f>
        <v>44579700</v>
      </c>
      <c r="D283" s="861">
        <f ca="1">(C283/11*10)</f>
        <v>40527000</v>
      </c>
      <c r="E283" s="860">
        <f ca="1">SUMIFS(INDIRECT("Report!J100:J10000"),INDIRECT("Report!B100:B10000"),B283,INDIRECT("report!H100:H10000"),"Others",INDIRECT("Report!L100:L10000"),"21,10")</f>
        <v>16071500</v>
      </c>
      <c r="F283" s="857">
        <f ca="1">E283/D283</f>
        <v>0.39656278530362477</v>
      </c>
    </row>
    <row r="284" spans="1:7" x14ac:dyDescent="0.25">
      <c r="B284" s="227" t="s">
        <v>2357</v>
      </c>
      <c r="C284" s="860">
        <f ca="1">SUMIFS(INDIRECT("Report!F100:F10000"),INDIRECT("Report!B100:B10000"),B284,INDIRECT("report!H100:H10000"),"Others",INDIRECT("Report!L100:L10000"),"21,10")</f>
        <v>6398700</v>
      </c>
      <c r="D284" s="861">
        <f ca="1">(C284/11*10)</f>
        <v>5817000</v>
      </c>
      <c r="E284" s="860">
        <f ca="1">SUMIFS(INDIRECT("Report!J100:J10000"),INDIRECT("Report!B100:B10000"),B284,INDIRECT("report!H100:H10000"),"Others",INDIRECT("Report!L100:L10000"),"21,10")</f>
        <v>1287800</v>
      </c>
      <c r="F284" s="857">
        <f ca="1">E284/D284</f>
        <v>0.22138559394877083</v>
      </c>
    </row>
    <row r="285" spans="1:7" x14ac:dyDescent="0.25">
      <c r="B285" s="227" t="s">
        <v>2358</v>
      </c>
      <c r="C285" s="860">
        <f ca="1">SUMIFS(INDIRECT("Report!F100:F10000"),INDIRECT("Report!B100:B10000"),B285,INDIRECT("report!H100:H10000"),"Others",INDIRECT("Report!L100:L10000"),"21,10")</f>
        <v>3690500</v>
      </c>
      <c r="D285" s="861">
        <f ca="1">(C285/11*10)</f>
        <v>3355000</v>
      </c>
      <c r="E285" s="860">
        <f ca="1">SUMIFS(INDIRECT("Report!J100:J10000"),INDIRECT("Report!B100:B10000"),B285,INDIRECT("report!H100:H10000"),"Others",INDIRECT("Report!L100:L10000"),"21,10")</f>
        <v>1192500</v>
      </c>
      <c r="F285" s="857">
        <f ca="1">E285/D285</f>
        <v>0.35543964232488823</v>
      </c>
    </row>
    <row r="286" spans="1:7" x14ac:dyDescent="0.25">
      <c r="B286" s="227" t="s">
        <v>1631</v>
      </c>
      <c r="C286" s="860">
        <f ca="1">SUMIFS(INDIRECT("Report!F100:F10000"),INDIRECT("Report!B100:B10000"),B286,INDIRECT("report!H100:H10000"),"Others",INDIRECT("Report!L100:L10000"),"21,10")</f>
        <v>224400.00000000003</v>
      </c>
      <c r="D286" s="861">
        <f ca="1">(C286/11*10)</f>
        <v>204000.00000000003</v>
      </c>
      <c r="E286" s="860">
        <f ca="1">SUMIFS(INDIRECT("Report!J100:J10000"),INDIRECT("Report!B100:B10000"),B286,INDIRECT("report!H100:H10000"),"Others",INDIRECT("Report!L100:L10000"),"21,10")</f>
        <v>24000</v>
      </c>
      <c r="F286" s="857">
        <f ca="1">E286/D286</f>
        <v>0.1176470588235294</v>
      </c>
      <c r="G286" s="309"/>
    </row>
    <row r="287" spans="1:7" x14ac:dyDescent="0.25">
      <c r="A287" s="853"/>
      <c r="B287" s="854" t="s">
        <v>3182</v>
      </c>
      <c r="C287" s="855">
        <f ca="1">SUM(C282:C286)</f>
        <v>66624800</v>
      </c>
      <c r="D287" s="855">
        <f ca="1">SUM(D282:D286)</f>
        <v>60568000</v>
      </c>
      <c r="E287" s="855">
        <f ca="1">SUM(E282:E286)</f>
        <v>19546000</v>
      </c>
      <c r="F287" s="856"/>
      <c r="G287" s="209"/>
    </row>
    <row r="288" spans="1:7" x14ac:dyDescent="0.25">
      <c r="A288" s="1019" t="s">
        <v>3209</v>
      </c>
      <c r="B288" s="227" t="s">
        <v>2254</v>
      </c>
      <c r="C288" s="860">
        <f t="shared" ref="C288:C293" ca="1" si="75">SUMIFS(INDIRECT("Report!F100:F10000"),INDIRECT("Report!B100:B10000"),B288,INDIRECT("report!H100:H10000"),"Others",INDIRECT("Report!L100:L10000"),"21,11")</f>
        <v>20740500</v>
      </c>
      <c r="D288" s="861">
        <f t="shared" ref="D288:D293" ca="1" si="76">(C288/11*10)</f>
        <v>18855000</v>
      </c>
      <c r="E288" s="860">
        <f t="shared" ref="E288:E293" ca="1" si="77">SUMIFS(INDIRECT("Report!J100:J10000"),INDIRECT("Report!B100:B10000"),B288,INDIRECT("report!H100:H10000"),"Others",INDIRECT("Report!L100:L10000"),"21,11")</f>
        <v>1733000</v>
      </c>
      <c r="F288" s="857">
        <f t="shared" ref="F288:F293" ca="1" si="78">E288/D288</f>
        <v>9.1911959692389286E-2</v>
      </c>
    </row>
    <row r="289" spans="1:7" x14ac:dyDescent="0.25">
      <c r="A289" s="852"/>
      <c r="B289" s="227" t="s">
        <v>2255</v>
      </c>
      <c r="C289" s="860">
        <f t="shared" ca="1" si="75"/>
        <v>42278500</v>
      </c>
      <c r="D289" s="861">
        <f t="shared" ca="1" si="76"/>
        <v>38435000</v>
      </c>
      <c r="E289" s="860">
        <f t="shared" ca="1" si="77"/>
        <v>15216500</v>
      </c>
      <c r="F289" s="857">
        <f t="shared" ca="1" si="78"/>
        <v>0.39590217249902432</v>
      </c>
    </row>
    <row r="290" spans="1:7" x14ac:dyDescent="0.25">
      <c r="B290" s="227" t="s">
        <v>2357</v>
      </c>
      <c r="C290" s="860">
        <f t="shared" ca="1" si="75"/>
        <v>13706000</v>
      </c>
      <c r="D290" s="861">
        <f t="shared" ca="1" si="76"/>
        <v>12460000</v>
      </c>
      <c r="E290" s="860">
        <f t="shared" ca="1" si="77"/>
        <v>2221800</v>
      </c>
      <c r="F290" s="857">
        <f t="shared" ca="1" si="78"/>
        <v>0.17831460674157304</v>
      </c>
    </row>
    <row r="291" spans="1:7" x14ac:dyDescent="0.25">
      <c r="B291" s="227" t="s">
        <v>2358</v>
      </c>
      <c r="C291" s="860">
        <f t="shared" ca="1" si="75"/>
        <v>4166800.0000000005</v>
      </c>
      <c r="D291" s="861">
        <f t="shared" ca="1" si="76"/>
        <v>3788000.0000000005</v>
      </c>
      <c r="E291" s="860">
        <f t="shared" ca="1" si="77"/>
        <v>1930000</v>
      </c>
      <c r="F291" s="857">
        <f t="shared" ca="1" si="78"/>
        <v>0.50950369588173172</v>
      </c>
    </row>
    <row r="292" spans="1:7" x14ac:dyDescent="0.25">
      <c r="B292" s="227" t="s">
        <v>2449</v>
      </c>
      <c r="C292" s="860">
        <f t="shared" ca="1" si="75"/>
        <v>220000.00000000003</v>
      </c>
      <c r="D292" s="861">
        <f t="shared" ca="1" si="76"/>
        <v>200000.00000000003</v>
      </c>
      <c r="E292" s="860">
        <f t="shared" ca="1" si="77"/>
        <v>79650</v>
      </c>
      <c r="F292" s="857">
        <f t="shared" ca="1" si="78"/>
        <v>0.39824999999999994</v>
      </c>
      <c r="G292" s="309"/>
    </row>
    <row r="293" spans="1:7" x14ac:dyDescent="0.25">
      <c r="B293" s="227" t="s">
        <v>1330</v>
      </c>
      <c r="C293" s="860">
        <f t="shared" ca="1" si="75"/>
        <v>6259000</v>
      </c>
      <c r="D293" s="980">
        <f t="shared" ca="1" si="76"/>
        <v>5690000</v>
      </c>
      <c r="E293" s="860">
        <f t="shared" ca="1" si="77"/>
        <v>2071737</v>
      </c>
      <c r="F293" s="857">
        <f t="shared" ca="1" si="78"/>
        <v>0.36410140597539542</v>
      </c>
      <c r="G293" s="309"/>
    </row>
    <row r="294" spans="1:7" x14ac:dyDescent="0.25">
      <c r="A294" s="853"/>
      <c r="B294" s="854" t="s">
        <v>3214</v>
      </c>
      <c r="C294" s="855">
        <f ca="1">SUM(C288:C293)</f>
        <v>87370800</v>
      </c>
      <c r="D294" s="855">
        <f ca="1">SUM(D288:D292)</f>
        <v>73738000</v>
      </c>
      <c r="E294" s="855">
        <f ca="1">SUM(E288:E293)</f>
        <v>23252687</v>
      </c>
      <c r="F294" s="856"/>
      <c r="G294" s="209"/>
    </row>
    <row r="295" spans="1:7" x14ac:dyDescent="0.25">
      <c r="A295" s="1019" t="s">
        <v>3233</v>
      </c>
      <c r="B295" s="227" t="s">
        <v>2254</v>
      </c>
      <c r="C295" s="860">
        <f t="shared" ref="C295:C300" ca="1" si="79">SUMIFS(INDIRECT("Report!F100:F10000"),INDIRECT("Report!B100:B10000"),B295,INDIRECT("report!H100:H10000"),"Others",INDIRECT("Report!L100:L10000"),"21,12")</f>
        <v>17140750</v>
      </c>
      <c r="D295" s="861">
        <f t="shared" ref="D295:D300" ca="1" si="80">(C295/11*10)</f>
        <v>15582500</v>
      </c>
      <c r="E295" s="860">
        <f t="shared" ref="E295:E300" ca="1" si="81">SUMIFS(INDIRECT("Report!J100:J10000"),INDIRECT("Report!B100:B10000"),B295,INDIRECT("report!H100:H10000"),"Others",INDIRECT("Report!L100:L10000"),"21,12")</f>
        <v>1429500</v>
      </c>
      <c r="F295" s="857">
        <f t="shared" ref="F295:F300" ca="1" si="82">E295/D295</f>
        <v>9.1737526070912886E-2</v>
      </c>
    </row>
    <row r="296" spans="1:7" x14ac:dyDescent="0.25">
      <c r="A296" s="852"/>
      <c r="B296" s="227" t="s">
        <v>2255</v>
      </c>
      <c r="C296" s="860">
        <f t="shared" ca="1" si="79"/>
        <v>53304350</v>
      </c>
      <c r="D296" s="861">
        <f t="shared" ca="1" si="80"/>
        <v>48458500</v>
      </c>
      <c r="E296" s="860">
        <f t="shared" ca="1" si="81"/>
        <v>19171250</v>
      </c>
      <c r="F296" s="857">
        <f t="shared" ca="1" si="82"/>
        <v>0.3956220270953496</v>
      </c>
    </row>
    <row r="297" spans="1:7" x14ac:dyDescent="0.25">
      <c r="B297" s="227" t="s">
        <v>2357</v>
      </c>
      <c r="C297" s="860">
        <f t="shared" ca="1" si="79"/>
        <v>7537200</v>
      </c>
      <c r="D297" s="861">
        <f t="shared" ca="1" si="80"/>
        <v>6852000</v>
      </c>
      <c r="E297" s="860">
        <f t="shared" ca="1" si="81"/>
        <v>1484800</v>
      </c>
      <c r="F297" s="857">
        <f t="shared" ca="1" si="82"/>
        <v>0.2166958552247519</v>
      </c>
    </row>
    <row r="298" spans="1:7" x14ac:dyDescent="0.25">
      <c r="B298" s="227" t="s">
        <v>2358</v>
      </c>
      <c r="C298" s="860">
        <f t="shared" ca="1" si="79"/>
        <v>4282300</v>
      </c>
      <c r="D298" s="861">
        <f t="shared" ca="1" si="80"/>
        <v>3893000</v>
      </c>
      <c r="E298" s="860">
        <f t="shared" ca="1" si="81"/>
        <v>1695500</v>
      </c>
      <c r="F298" s="857">
        <f t="shared" ca="1" si="82"/>
        <v>0.43552530182378629</v>
      </c>
    </row>
    <row r="299" spans="1:7" x14ac:dyDescent="0.25">
      <c r="B299" s="227" t="s">
        <v>1250</v>
      </c>
      <c r="C299" s="860">
        <f t="shared" ca="1" si="79"/>
        <v>6490000.0000000009</v>
      </c>
      <c r="D299" s="861">
        <f t="shared" ca="1" si="80"/>
        <v>5900000.0000000009</v>
      </c>
      <c r="E299" s="860">
        <f t="shared" ca="1" si="81"/>
        <v>1795127</v>
      </c>
      <c r="F299" s="857">
        <f t="shared" ca="1" si="82"/>
        <v>0.30425881355932199</v>
      </c>
    </row>
    <row r="300" spans="1:7" x14ac:dyDescent="0.25">
      <c r="B300" s="227" t="s">
        <v>2597</v>
      </c>
      <c r="C300" s="860">
        <f t="shared" ca="1" si="79"/>
        <v>3575000.0000000005</v>
      </c>
      <c r="D300" s="861">
        <f t="shared" ca="1" si="80"/>
        <v>3250000.0000000005</v>
      </c>
      <c r="E300" s="860">
        <f t="shared" ca="1" si="81"/>
        <v>2132825</v>
      </c>
      <c r="F300" s="857">
        <f t="shared" ca="1" si="82"/>
        <v>0.65625384615384608</v>
      </c>
      <c r="G300" s="309"/>
    </row>
    <row r="301" spans="1:7" x14ac:dyDescent="0.25">
      <c r="A301" s="853"/>
      <c r="B301" s="854" t="s">
        <v>3214</v>
      </c>
      <c r="C301" s="855">
        <f ca="1">SUM(C295:C300)</f>
        <v>92329600</v>
      </c>
      <c r="D301" s="855">
        <f ca="1">SUM(D295:D300)</f>
        <v>83936000</v>
      </c>
      <c r="E301" s="855">
        <f ca="1">SUM(E295:E300)</f>
        <v>27709002</v>
      </c>
      <c r="F301" s="856"/>
      <c r="G301" s="209"/>
    </row>
    <row r="302" spans="1:7" x14ac:dyDescent="0.25">
      <c r="A302" s="1019" t="s">
        <v>3250</v>
      </c>
      <c r="B302" s="227" t="s">
        <v>2254</v>
      </c>
      <c r="C302" s="860">
        <f ca="1">SUMIFS(INDIRECT("Report!F100:F10000"),INDIRECT("Report!B100:B10000"),B302,INDIRECT("report!H100:H10000"),"Others",INDIRECT("Report!L100:L10000"),"22,1")</f>
        <v>12012000</v>
      </c>
      <c r="D302" s="861">
        <f ca="1">(C302/11*10)</f>
        <v>10920000</v>
      </c>
      <c r="E302" s="860">
        <f ca="1">SUMIFS(INDIRECT("Report!J100:J10000"),INDIRECT("Report!B100:B10000"),B302,INDIRECT("report!H100:H10000"),"Others",INDIRECT("Report!L100:L10000"),"22,1")</f>
        <v>496000</v>
      </c>
      <c r="F302" s="857">
        <f ca="1">E302/D302</f>
        <v>4.5421245421245419E-2</v>
      </c>
    </row>
    <row r="303" spans="1:7" x14ac:dyDescent="0.25">
      <c r="A303" s="852"/>
      <c r="B303" s="227" t="s">
        <v>2255</v>
      </c>
      <c r="C303" s="860">
        <f ca="1">SUMIFS(INDIRECT("Report!F100:F10000"),INDIRECT("Report!B100:B10000"),B303,INDIRECT("report!H100:H10000"),"Others",INDIRECT("Report!L100:L10000"),"22,1")</f>
        <v>48039750</v>
      </c>
      <c r="D303" s="861">
        <f ca="1">(C303/11*10)</f>
        <v>43672500</v>
      </c>
      <c r="E303" s="860">
        <f ca="1">SUMIFS(INDIRECT("Report!J100:J10000"),INDIRECT("Report!B100:B10000"),B303,INDIRECT("report!H100:H10000"),"Others",INDIRECT("Report!L100:L10000"),"22,1")</f>
        <v>14205750</v>
      </c>
      <c r="F303" s="857">
        <f ca="1">E303/D303</f>
        <v>0.32527906577365617</v>
      </c>
    </row>
    <row r="304" spans="1:7" x14ac:dyDescent="0.25">
      <c r="B304" s="227" t="s">
        <v>2357</v>
      </c>
      <c r="C304" s="860">
        <f ca="1">SUMIFS(INDIRECT("Report!F100:F10000"),INDIRECT("Report!B100:B10000"),B304,INDIRECT("report!H100:H10000"),"Others",INDIRECT("Report!L100:L10000"),"22,1")</f>
        <v>7207200</v>
      </c>
      <c r="D304" s="861">
        <f ca="1">(C304/11*10)</f>
        <v>6552000</v>
      </c>
      <c r="E304" s="860">
        <f ca="1">SUMIFS(INDIRECT("Report!J100:J10000"),INDIRECT("Report!B100:B10000"),B304,INDIRECT("report!H100:H10000"),"Others",INDIRECT("Report!L100:L10000"),"22,1")</f>
        <v>1430800</v>
      </c>
      <c r="F304" s="857">
        <f ca="1">E304/D304</f>
        <v>0.21837606837606838</v>
      </c>
    </row>
    <row r="305" spans="1:7" x14ac:dyDescent="0.25">
      <c r="A305" s="853"/>
      <c r="B305" s="854" t="s">
        <v>3286</v>
      </c>
      <c r="C305" s="855">
        <f ca="1">SUM(C302:C304)</f>
        <v>67258950</v>
      </c>
      <c r="D305" s="855">
        <f ca="1">SUM(D302:D304)</f>
        <v>61144500</v>
      </c>
      <c r="E305" s="855">
        <f ca="1">SUM(E302:E304)</f>
        <v>16132550</v>
      </c>
      <c r="F305" s="856"/>
      <c r="G305" s="209"/>
    </row>
    <row r="306" spans="1:7" x14ac:dyDescent="0.25">
      <c r="A306" s="1019" t="s">
        <v>3280</v>
      </c>
      <c r="B306" s="227" t="s">
        <v>2254</v>
      </c>
      <c r="C306" s="860">
        <f ca="1">SUMIFS(INDIRECT("Report!F100:F10000"),INDIRECT("Report!B100:B10000"),B306,INDIRECT("report!H100:H10000"),"Others",INDIRECT("Report!L100:L10000"),"22,2")</f>
        <v>14784000</v>
      </c>
      <c r="D306" s="861">
        <f ca="1">(C306/11*10)</f>
        <v>13440000</v>
      </c>
      <c r="E306" s="860">
        <f ca="1">SUMIFS(INDIRECT("Report!J100:J10000"),INDIRECT("Report!B100:B10000"),B306,INDIRECT("report!H100:H10000"),"Others",INDIRECT("Report!L100:L10000"),"22,2")</f>
        <v>656000</v>
      </c>
      <c r="F306" s="857">
        <f ca="1">E306/D306</f>
        <v>4.880952380952381E-2</v>
      </c>
    </row>
    <row r="307" spans="1:7" x14ac:dyDescent="0.25">
      <c r="A307" s="852"/>
      <c r="B307" s="227" t="s">
        <v>2255</v>
      </c>
      <c r="C307" s="860">
        <f ca="1">SUMIFS(INDIRECT("Report!F100:F10000"),INDIRECT("Report!B100:B10000"),B307,INDIRECT("report!H100:H10000"),"Others",INDIRECT("Report!L100:L10000"),"22,2")</f>
        <v>45478400</v>
      </c>
      <c r="D307" s="861">
        <f ca="1">(C307/11*10)</f>
        <v>41344000</v>
      </c>
      <c r="E307" s="860">
        <f ca="1">SUMIFS(INDIRECT("Report!J100:J10000"),INDIRECT("Report!B100:B10000"),B307,INDIRECT("report!H100:H10000"),"Others",INDIRECT("Report!L100:L10000"),"22,2")</f>
        <v>13651750</v>
      </c>
      <c r="F307" s="857">
        <f ca="1">E307/D307</f>
        <v>0.33019906153250772</v>
      </c>
    </row>
    <row r="308" spans="1:7" x14ac:dyDescent="0.25">
      <c r="B308" s="227" t="s">
        <v>1250</v>
      </c>
      <c r="C308" s="860">
        <f ca="1">SUMIFS(INDIRECT("Report!F100:F10000"),INDIRECT("Report!B100:B10000"),B308,INDIRECT("report!H100:H10000"),"Others",INDIRECT("Report!L100:L10000"),"22,2")</f>
        <v>4067800</v>
      </c>
      <c r="D308" s="861">
        <f ca="1">(C308/11*10)</f>
        <v>3698000</v>
      </c>
      <c r="E308" s="860">
        <f ca="1">SUMIFS(INDIRECT("Report!J100:J10000"),INDIRECT("Report!B100:B10000"),B308,INDIRECT("report!H100:H10000"),"Others",INDIRECT("Report!L100:L10000"),"22,2")</f>
        <v>810400</v>
      </c>
      <c r="F308" s="857">
        <f ca="1">E308/D308</f>
        <v>0.21914548404542997</v>
      </c>
    </row>
    <row r="309" spans="1:7" x14ac:dyDescent="0.25">
      <c r="A309" s="853"/>
      <c r="B309" s="854" t="s">
        <v>3285</v>
      </c>
      <c r="C309" s="855">
        <f ca="1">SUM(C306:C308)</f>
        <v>64330200</v>
      </c>
      <c r="D309" s="855">
        <f ca="1">SUM(D306:D308)</f>
        <v>58482000</v>
      </c>
      <c r="E309" s="855">
        <f ca="1">SUM(E306:E308)</f>
        <v>15118150</v>
      </c>
      <c r="F309" s="856"/>
    </row>
    <row r="310" spans="1:7" x14ac:dyDescent="0.25">
      <c r="A310" s="1019" t="s">
        <v>3344</v>
      </c>
      <c r="B310" s="227" t="s">
        <v>2254</v>
      </c>
      <c r="C310" s="860">
        <f ca="1">SUMIFS(INDIRECT("Report!F100:F10000"),INDIRECT("Report!B100:B10000"),B310,INDIRECT("report!H100:H10000"),"Others",INDIRECT("Report!L100:L10000"),"22,3")</f>
        <v>13552000</v>
      </c>
      <c r="D310" s="861">
        <f ca="1">(C310/11*10)</f>
        <v>12320000</v>
      </c>
      <c r="E310" s="860">
        <f ca="1">SUMIFS(INDIRECT("Report!J100:J10000"),INDIRECT("Report!B100:B10000"),B310,INDIRECT("report!H100:H10000"),"Others",INDIRECT("Report!L100:L10000"),"22,3")</f>
        <v>596000</v>
      </c>
      <c r="F310" s="857">
        <f ca="1">E310/D310</f>
        <v>4.8376623376623379E-2</v>
      </c>
    </row>
    <row r="311" spans="1:7" x14ac:dyDescent="0.25">
      <c r="A311" s="852"/>
      <c r="B311" s="227" t="s">
        <v>2255</v>
      </c>
      <c r="C311" s="860">
        <f ca="1">SUMIFS(INDIRECT("Report!F100:F10000"),INDIRECT("Report!B100:B10000"),B311,INDIRECT("report!H100:H10000"),"Others",INDIRECT("Report!L100:L10000"),"22,3")</f>
        <v>58564000</v>
      </c>
      <c r="D311" s="861">
        <f ca="1">(C311/11*10)</f>
        <v>53240000</v>
      </c>
      <c r="E311" s="860">
        <f ca="1">SUMIFS(INDIRECT("Report!J100:J10000"),INDIRECT("Report!B100:B10000"),B311,INDIRECT("report!H100:H10000"),"Others",INDIRECT("Report!L100:L10000"),"22,3")</f>
        <v>15207500</v>
      </c>
      <c r="F311" s="857">
        <f ca="1">E311/D311</f>
        <v>0.28564049586776857</v>
      </c>
    </row>
    <row r="312" spans="1:7" x14ac:dyDescent="0.25">
      <c r="B312" s="227" t="s">
        <v>1330</v>
      </c>
      <c r="C312" s="860">
        <f ca="1">SUMIFS(INDIRECT("Report!F100:F10000"),INDIRECT("Report!B100:B10000"),B312,INDIRECT("report!H100:H10000"),"Others",INDIRECT("Report!L100:L10000"),"22,3")</f>
        <v>6314000</v>
      </c>
      <c r="D312" s="861">
        <f ca="1">(C312/11*10)</f>
        <v>5740000</v>
      </c>
      <c r="E312" s="860">
        <f ca="1">SUMIFS(INDIRECT("Report!J100:J10000"),INDIRECT("Report!B100:B10000"),B312,INDIRECT("report!H100:H10000"),"Others",INDIRECT("Report!L100:L10000"),"22,3")</f>
        <v>482500</v>
      </c>
      <c r="F312" s="857">
        <f ca="1">E312/D312</f>
        <v>8.4059233449477355E-2</v>
      </c>
    </row>
    <row r="313" spans="1:7" x14ac:dyDescent="0.25">
      <c r="A313" s="853"/>
      <c r="B313" s="854" t="s">
        <v>3351</v>
      </c>
      <c r="C313" s="855">
        <f ca="1">SUM(C310:C312)</f>
        <v>78430000</v>
      </c>
      <c r="D313" s="855">
        <f ca="1">SUM(D310:D312)</f>
        <v>71300000</v>
      </c>
      <c r="E313" s="855">
        <f ca="1">SUM(E310:E312)</f>
        <v>16286000</v>
      </c>
      <c r="F313" s="856"/>
    </row>
    <row r="314" spans="1:7" x14ac:dyDescent="0.25">
      <c r="A314" s="1019" t="s">
        <v>3376</v>
      </c>
      <c r="B314" s="227" t="s">
        <v>2254</v>
      </c>
      <c r="C314" s="860">
        <f ca="1">SUMIFS(INDIRECT("Report!F100:F10000"),INDIRECT("Report!B100:B10000"),B314,INDIRECT("report!H100:H10000"),"Others",INDIRECT("Report!L100:L10000"),"22,4")</f>
        <v>14784000</v>
      </c>
      <c r="D314" s="861">
        <f ca="1">(C314/11*10)</f>
        <v>13440000</v>
      </c>
      <c r="E314" s="860">
        <f ca="1">SUMIFS(INDIRECT("Report!J100:J10000"),INDIRECT("Report!B100:B10000"),B314,INDIRECT("report!H100:H10000"),"Others",INDIRECT("Report!L100:L10000"),"22,4")</f>
        <v>656000</v>
      </c>
      <c r="F314" s="857">
        <f ca="1">E314/D314</f>
        <v>4.880952380952381E-2</v>
      </c>
    </row>
    <row r="315" spans="1:7" x14ac:dyDescent="0.25">
      <c r="A315" s="852"/>
      <c r="B315" s="227" t="s">
        <v>2255</v>
      </c>
      <c r="C315" s="860">
        <f ca="1">SUMIFS(INDIRECT("Report!F100:F10000"),INDIRECT("Report!B100:B10000"),B315,INDIRECT("report!H100:H10000"),"Others",INDIRECT("Report!L100:L10000"),"22,4")</f>
        <v>57042700</v>
      </c>
      <c r="D315" s="861">
        <f ca="1">(C315/11*10)</f>
        <v>51857000</v>
      </c>
      <c r="E315" s="860">
        <f ca="1">SUMIFS(INDIRECT("Report!J100:J10000"),INDIRECT("Report!B100:B10000"),B315,INDIRECT("report!H100:H10000"),"Others",INDIRECT("Report!L100:L10000"),"22,4")</f>
        <v>12513049.999999996</v>
      </c>
      <c r="F315" s="857">
        <f ca="1">E315/D315</f>
        <v>0.24129914958443405</v>
      </c>
    </row>
    <row r="316" spans="1:7" x14ac:dyDescent="0.25">
      <c r="B316" s="227" t="s">
        <v>1330</v>
      </c>
      <c r="C316" s="860">
        <f ca="1">SUMIFS(INDIRECT("Report!F100:F10000"),INDIRECT("Report!B100:B10000"),B316,INDIRECT("report!H100:H10000"),"Others",INDIRECT("Report!L100:L10000"),"22,4")</f>
        <v>5170000</v>
      </c>
      <c r="D316" s="861">
        <f ca="1">(C316/11*10)</f>
        <v>4700000</v>
      </c>
      <c r="E316" s="860">
        <f ca="1">SUMIFS(INDIRECT("Report!J100:J10000"),INDIRECT("Report!B100:B10000"),B316,INDIRECT("report!H100:H10000"),"Others",INDIRECT("Report!L100:L10000"),"22,4")</f>
        <v>2412000</v>
      </c>
      <c r="F316" s="857">
        <f ca="1">E316/D316</f>
        <v>0.51319148936170211</v>
      </c>
    </row>
    <row r="317" spans="1:7" x14ac:dyDescent="0.25">
      <c r="A317" s="853"/>
      <c r="B317" s="854" t="s">
        <v>3379</v>
      </c>
      <c r="C317" s="855">
        <f ca="1">SUM(C314:C316)</f>
        <v>76996700</v>
      </c>
      <c r="D317" s="855">
        <f ca="1">SUM(D314:D316)</f>
        <v>69997000</v>
      </c>
      <c r="E317" s="855">
        <f ca="1">SUM(E314:E316)</f>
        <v>15581049.999999996</v>
      </c>
      <c r="F317" s="856"/>
    </row>
    <row r="318" spans="1:7" x14ac:dyDescent="0.25">
      <c r="A318" s="1019" t="s">
        <v>3380</v>
      </c>
      <c r="B318" s="227" t="s">
        <v>2254</v>
      </c>
      <c r="C318" s="860">
        <f ca="1">SUMIFS(INDIRECT("Report!F100:F10000"),INDIRECT("Report!B100:B10000"),B318,INDIRECT("report!H100:H10000"),"Others",INDIRECT("Report!L100:L10000"),"22,5")</f>
        <v>10747000</v>
      </c>
      <c r="D318" s="861">
        <f ca="1">(C318/11*10)</f>
        <v>9770000</v>
      </c>
      <c r="E318" s="860">
        <f ca="1">SUMIFS(INDIRECT("Report!J100:J10000"),INDIRECT("Report!B100:B10000"),B318,INDIRECT("report!H100:H10000"),"Others",INDIRECT("Report!L100:L10000"),"22,5")</f>
        <v>432000</v>
      </c>
      <c r="F318" s="857">
        <f ca="1">E318/D318</f>
        <v>4.4216990788126923E-2</v>
      </c>
    </row>
    <row r="319" spans="1:7" x14ac:dyDescent="0.25">
      <c r="A319" s="852"/>
      <c r="B319" s="227" t="s">
        <v>2255</v>
      </c>
      <c r="C319" s="860">
        <f ca="1">SUMIFS(INDIRECT("Report!F100:F10000"),INDIRECT("Report!B100:B10000"),B319,INDIRECT("report!H100:H10000"),"Others",INDIRECT("Report!L100:L10000"),"22,5")</f>
        <v>41956200</v>
      </c>
      <c r="D319" s="861">
        <f ca="1">(C319/11*10)</f>
        <v>38142000</v>
      </c>
      <c r="E319" s="860">
        <f ca="1">SUMIFS(INDIRECT("Report!J100:J10000"),INDIRECT("Report!B100:B10000"),B319,INDIRECT("report!H100:H10000"),"Others",INDIRECT("Report!L100:L10000"),"22,5")</f>
        <v>9664250</v>
      </c>
      <c r="F319" s="857">
        <f ca="1">E319/D319</f>
        <v>0.25337554401971579</v>
      </c>
    </row>
    <row r="320" spans="1:7" x14ac:dyDescent="0.25">
      <c r="B320" s="227" t="s">
        <v>2597</v>
      </c>
      <c r="C320" s="860">
        <f ca="1">SUMIFS(INDIRECT("Report!F100:F10000"),INDIRECT("Report!B100:B10000"),B320,INDIRECT("report!H100:H10000"),"Others",INDIRECT("Report!L100:L10000"),"22,5")</f>
        <v>3575000.0000000005</v>
      </c>
      <c r="D320" s="861">
        <f ca="1">(C320/11*10)</f>
        <v>3250000.0000000005</v>
      </c>
      <c r="E320" s="860">
        <f ca="1">SUMIFS(INDIRECT("Report!J100:J10000"),INDIRECT("Report!B100:B10000"),B320,INDIRECT("report!H100:H10000"),"Others",INDIRECT("Report!L100:L10000"),"22,5")</f>
        <v>2132825</v>
      </c>
      <c r="F320" s="857">
        <f ca="1">E320/D320</f>
        <v>0.65625384615384608</v>
      </c>
    </row>
    <row r="321" spans="1:6" x14ac:dyDescent="0.25">
      <c r="A321" s="853"/>
      <c r="B321" s="854" t="s">
        <v>3451</v>
      </c>
      <c r="C321" s="855">
        <f ca="1">SUM(C318:C320)</f>
        <v>56278200</v>
      </c>
      <c r="D321" s="855">
        <f ca="1">SUM(D318:D320)</f>
        <v>51162000</v>
      </c>
      <c r="E321" s="855">
        <f ca="1">SUM(E318:E320)</f>
        <v>12229075</v>
      </c>
      <c r="F321" s="856"/>
    </row>
    <row r="322" spans="1:6" x14ac:dyDescent="0.25">
      <c r="A322" s="1019" t="s">
        <v>3416</v>
      </c>
      <c r="B322" s="227" t="s">
        <v>2254</v>
      </c>
      <c r="C322" s="860">
        <f ca="1">SUMIFS(INDIRECT("Report!F100:F10000"),INDIRECT("Report!B100:B10000"),B322,INDIRECT("report!H100:H10000"),"Others",INDIRECT("Report!L100:L10000"),"22,6")</f>
        <v>14784000</v>
      </c>
      <c r="D322" s="861">
        <f ca="1">(C322/11*10)</f>
        <v>13440000</v>
      </c>
      <c r="E322" s="860">
        <f ca="1">SUMIFS(INDIRECT("Report!J100:J10000"),INDIRECT("Report!B100:B10000"),B322,INDIRECT("report!H100:H10000"),"Others",INDIRECT("Report!L100:L10000"),"22,6")</f>
        <v>656000</v>
      </c>
      <c r="F322" s="857">
        <f ca="1">E322/D322</f>
        <v>4.880952380952381E-2</v>
      </c>
    </row>
    <row r="323" spans="1:6" x14ac:dyDescent="0.25">
      <c r="A323" s="852"/>
      <c r="B323" s="227" t="s">
        <v>2255</v>
      </c>
      <c r="C323" s="860">
        <f ca="1">SUMIFS(INDIRECT("Report!F100:F10000"),INDIRECT("Report!B100:B10000"),B323,INDIRECT("report!H100:H10000"),"Others",INDIRECT("Report!L100:L10000"),"22,6")</f>
        <v>34518000</v>
      </c>
      <c r="D323" s="861">
        <f ca="1">(C323/11*10)</f>
        <v>31380000</v>
      </c>
      <c r="E323" s="860">
        <f ca="1">SUMIFS(INDIRECT("Report!J100:J10000"),INDIRECT("Report!B100:B10000"),B323,INDIRECT("report!H100:H10000"),"Others",INDIRECT("Report!L100:L10000"),"22,6")</f>
        <v>5463250</v>
      </c>
      <c r="F323" s="857">
        <f ca="1">E323/D323</f>
        <v>0.17409974506054812</v>
      </c>
    </row>
    <row r="324" spans="1:6" x14ac:dyDescent="0.25">
      <c r="A324" s="232"/>
      <c r="B324" s="227" t="s">
        <v>1416</v>
      </c>
      <c r="C324" s="860">
        <f ca="1">SUMIFS(INDIRECT("Report!F100:F10000"),INDIRECT("Report!B100:B10000"),B324,INDIRECT("report!H100:H10000"),"Others",INDIRECT("Report!L100:L10000"),"22,6")</f>
        <v>2585000</v>
      </c>
      <c r="D324" s="861">
        <f ca="1">(C324/11*10)</f>
        <v>2350000</v>
      </c>
      <c r="E324" s="860">
        <f ca="1">SUMIFS(INDIRECT("Report!J100:J10000"),INDIRECT("Report!B100:B10000"),B324,INDIRECT("report!H100:H10000"),"Others",INDIRECT("Report!L100:L10000"),"22,6")</f>
        <v>600000</v>
      </c>
      <c r="F324" s="857">
        <f ca="1">E324/D324</f>
        <v>0.25531914893617019</v>
      </c>
    </row>
    <row r="325" spans="1:6" x14ac:dyDescent="0.25">
      <c r="B325" s="227" t="s">
        <v>1330</v>
      </c>
      <c r="C325" s="860">
        <f ca="1">SUMIFS(INDIRECT("Report!F100:F10000"),INDIRECT("Report!B100:B10000"),B325,INDIRECT("report!H100:H10000"),"Others",INDIRECT("Report!L100:L10000"),"22,6")</f>
        <v>610500</v>
      </c>
      <c r="D325" s="861">
        <f ca="1">(C325/11*10)</f>
        <v>555000</v>
      </c>
      <c r="E325" s="860">
        <f ca="1">SUMIFS(INDIRECT("Report!J100:J10000"),INDIRECT("Report!B100:B10000"),B325,INDIRECT("report!H100:H10000"),"Others",INDIRECT("Report!L100:L10000"),"22,6")</f>
        <v>549280</v>
      </c>
      <c r="F325" s="857">
        <f ca="1">E325/D325</f>
        <v>0.98969369369369364</v>
      </c>
    </row>
    <row r="326" spans="1:6" x14ac:dyDescent="0.25">
      <c r="A326" s="853"/>
      <c r="B326" s="854" t="s">
        <v>3452</v>
      </c>
      <c r="C326" s="855">
        <f ca="1">SUM(C322:C325)</f>
        <v>52497500</v>
      </c>
      <c r="D326" s="855">
        <f ca="1">SUM(D322:D325)</f>
        <v>47725000</v>
      </c>
      <c r="E326" s="855">
        <f ca="1">SUM(E322:E325)</f>
        <v>7268530</v>
      </c>
      <c r="F326" s="856"/>
    </row>
    <row r="327" spans="1:6" x14ac:dyDescent="0.25">
      <c r="A327" s="1019" t="s">
        <v>3429</v>
      </c>
      <c r="B327" s="227" t="s">
        <v>2254</v>
      </c>
      <c r="C327" s="860">
        <f ca="1">SUMIFS(INDIRECT("Report!F100:F10000"),INDIRECT("Report!B100:B10000"),B327,INDIRECT("report!H100:H10000"),"Others",INDIRECT("Report!L100:L10000"),"22,7")</f>
        <v>13552000</v>
      </c>
      <c r="D327" s="861">
        <f ca="1">(C327/11*10)</f>
        <v>12320000</v>
      </c>
      <c r="E327" s="860">
        <f ca="1">SUMIFS(INDIRECT("Report!J100:J10000"),INDIRECT("Report!B100:B10000"),B327,INDIRECT("report!H100:H10000"),"Others",INDIRECT("Report!L100:L10000"),"22,7")</f>
        <v>596000</v>
      </c>
      <c r="F327" s="857">
        <f ca="1">E327/D327</f>
        <v>4.8376623376623379E-2</v>
      </c>
    </row>
    <row r="328" spans="1:6" x14ac:dyDescent="0.25">
      <c r="A328" s="852"/>
      <c r="B328" s="227" t="s">
        <v>2255</v>
      </c>
      <c r="C328" s="860">
        <f ca="1">SUMIFS(INDIRECT("Report!F100:F10000"),INDIRECT("Report!B100:B10000"),B328,INDIRECT("report!H100:H10000"),"Others",INDIRECT("Report!L100:L10000"),"22,7")</f>
        <v>40280350</v>
      </c>
      <c r="D328" s="861">
        <f ca="1">(C328/11*10)</f>
        <v>36618500</v>
      </c>
      <c r="E328" s="860">
        <f ca="1">SUMIFS(INDIRECT("Report!J100:J10000"),INDIRECT("Report!B100:B10000"),B328,INDIRECT("report!H100:H10000"),"Others",INDIRECT("Report!L100:L10000"),"22,7")</f>
        <v>6669250</v>
      </c>
      <c r="F328" s="857">
        <f ca="1">E328/D328</f>
        <v>0.18212788617775169</v>
      </c>
    </row>
    <row r="329" spans="1:6" x14ac:dyDescent="0.25">
      <c r="A329" s="232"/>
      <c r="B329" s="227" t="s">
        <v>1250</v>
      </c>
      <c r="C329" s="860">
        <f ca="1">SUMIFS(INDIRECT("Report!F100:F10000"),INDIRECT("Report!B100:B10000"),B329,INDIRECT("report!H100:H10000"),"Others",INDIRECT("Report!L100:L10000"),"22,7")</f>
        <v>10293250</v>
      </c>
      <c r="D329" s="861">
        <f ca="1">(C329/11*10)</f>
        <v>9357500</v>
      </c>
      <c r="E329" s="860">
        <f ca="1">SUMIFS(INDIRECT("Report!J100:J10000"),INDIRECT("Report!B100:B10000"),B329,INDIRECT("report!H100:H10000"),"Others",INDIRECT("Report!L100:L10000"),"22,7")</f>
        <v>4557500</v>
      </c>
      <c r="F329" s="857">
        <f ca="1">E329/D329</f>
        <v>0.48704247929468342</v>
      </c>
    </row>
    <row r="330" spans="1:6" x14ac:dyDescent="0.25">
      <c r="B330" s="227" t="s">
        <v>1416</v>
      </c>
      <c r="C330" s="860">
        <f ca="1">SUMIFS(INDIRECT("Report!F100:F10000"),INDIRECT("Report!B100:B10000"),B330,INDIRECT("report!H100:H10000"),"Others",INDIRECT("Report!L100:L10000"),"22,7")</f>
        <v>2585000</v>
      </c>
      <c r="D330" s="861">
        <f ca="1">(C330/11*10)</f>
        <v>2350000</v>
      </c>
      <c r="E330" s="860">
        <f ca="1">SUMIFS(INDIRECT("Report!J100:J10000"),INDIRECT("Report!B100:B10000"),B330,INDIRECT("report!H100:H10000"),"Others",INDIRECT("Report!L100:L10000"),"22,7")</f>
        <v>600000</v>
      </c>
      <c r="F330" s="857">
        <f ca="1">E330/D330</f>
        <v>0.25531914893617019</v>
      </c>
    </row>
    <row r="331" spans="1:6" x14ac:dyDescent="0.25">
      <c r="A331" s="853"/>
      <c r="B331" s="854" t="s">
        <v>3453</v>
      </c>
      <c r="C331" s="855">
        <f ca="1">SUM(C327:C330)</f>
        <v>66710600</v>
      </c>
      <c r="D331" s="855">
        <f ca="1">SUM(D327:D330)</f>
        <v>60646000</v>
      </c>
      <c r="E331" s="855">
        <f ca="1">SUM(E327:E330)</f>
        <v>12422750</v>
      </c>
      <c r="F331" s="856"/>
    </row>
    <row r="332" spans="1:6" x14ac:dyDescent="0.25">
      <c r="A332" s="1019" t="s">
        <v>3456</v>
      </c>
      <c r="B332" s="227" t="s">
        <v>2254</v>
      </c>
      <c r="C332" s="860">
        <f ca="1">SUMIFS(INDIRECT("Report!F100:F10000"),INDIRECT("Report!B100:B10000"),B332,INDIRECT("report!H100:H10000"),"Others",INDIRECT("Report!L100:L10000"),"22,8")</f>
        <v>11979000</v>
      </c>
      <c r="D332" s="861">
        <f ca="1">(C332/11*10)</f>
        <v>10890000</v>
      </c>
      <c r="E332" s="860">
        <f ca="1">SUMIFS(INDIRECT("Report!J100:J10000"),INDIRECT("Report!B100:B10000"),B332,INDIRECT("report!H100:H10000"),"Others",INDIRECT("Report!L100:L10000"),"22,8")</f>
        <v>492000</v>
      </c>
      <c r="F332" s="857">
        <f ca="1">E332/D332</f>
        <v>4.5179063360881545E-2</v>
      </c>
    </row>
    <row r="333" spans="1:6" x14ac:dyDescent="0.25">
      <c r="A333" s="852"/>
      <c r="B333" s="227" t="s">
        <v>2255</v>
      </c>
      <c r="C333" s="860">
        <f ca="1">SUMIFS(INDIRECT("Report!F100:F10000"),INDIRECT("Report!B100:B10000"),B333,INDIRECT("report!H100:H10000"),"Others",INDIRECT("Report!L100:L10000"),"22,8")</f>
        <v>41338000</v>
      </c>
      <c r="D333" s="861">
        <f ca="1">(C333/11*10)</f>
        <v>37580000</v>
      </c>
      <c r="E333" s="860">
        <f ca="1">SUMIFS(INDIRECT("Report!J100:J10000"),INDIRECT("Report!B100:B10000"),B333,INDIRECT("report!H100:H10000"),"Others",INDIRECT("Report!L100:L10000"),"22,8")</f>
        <v>7316000</v>
      </c>
      <c r="F333" s="857">
        <f ca="1">E333/D333</f>
        <v>0.19467802022352315</v>
      </c>
    </row>
    <row r="334" spans="1:6" x14ac:dyDescent="0.25">
      <c r="A334" s="232"/>
      <c r="B334" s="227" t="s">
        <v>1250</v>
      </c>
      <c r="C334" s="860">
        <f ca="1">SUMIFS(INDIRECT("Report!F100:F10000"),INDIRECT("Report!B100:B10000"),B334,INDIRECT("report!H100:H10000"),"Others",INDIRECT("Report!L100:L10000"),"22,8")</f>
        <v>10293250</v>
      </c>
      <c r="D334" s="861">
        <f ca="1">(C334/11*10)</f>
        <v>9357500</v>
      </c>
      <c r="E334" s="860">
        <f ca="1">SUMIFS(INDIRECT("Report!J100:J10000"),INDIRECT("Report!B100:B10000"),B334,INDIRECT("report!H100:H10000"),"Others",INDIRECT("Report!L100:L10000"),"22,8")</f>
        <v>4557500</v>
      </c>
      <c r="F334" s="857">
        <f ca="1">E334/D334</f>
        <v>0.48704247929468342</v>
      </c>
    </row>
    <row r="335" spans="1:6" x14ac:dyDescent="0.25">
      <c r="B335" s="227" t="s">
        <v>1416</v>
      </c>
      <c r="C335" s="860">
        <f ca="1">SUMIFS(INDIRECT("Report!F100:F10000"),INDIRECT("Report!B100:B10000"),B335,INDIRECT("report!H100:H10000"),"Others",INDIRECT("Report!L100:L10000"),"22,8")</f>
        <v>2585000</v>
      </c>
      <c r="D335" s="861">
        <f ca="1">(C335/11*10)</f>
        <v>2350000</v>
      </c>
      <c r="E335" s="860">
        <f ca="1">SUMIFS(INDIRECT("Report!J100:J10000"),INDIRECT("Report!B100:B10000"),B335,INDIRECT("report!H100:H10000"),"Others",INDIRECT("Report!L100:L10000"),"22,8")</f>
        <v>600000</v>
      </c>
      <c r="F335" s="857">
        <f ca="1">E335/D335</f>
        <v>0.25531914893617019</v>
      </c>
    </row>
    <row r="336" spans="1:6" x14ac:dyDescent="0.25">
      <c r="A336" s="853"/>
      <c r="B336" s="854" t="s">
        <v>3467</v>
      </c>
      <c r="C336" s="855">
        <f ca="1">SUM(C332:C335)</f>
        <v>66195250</v>
      </c>
      <c r="D336" s="855">
        <f ca="1">SUM(D332:D335)</f>
        <v>60177500</v>
      </c>
      <c r="E336" s="855">
        <f ca="1">SUM(E332:E335)</f>
        <v>12965500</v>
      </c>
      <c r="F336" s="856"/>
    </row>
    <row r="337" spans="1:6" x14ac:dyDescent="0.25">
      <c r="A337" s="1019" t="s">
        <v>3470</v>
      </c>
      <c r="B337" s="227" t="s">
        <v>2254</v>
      </c>
      <c r="C337" s="860">
        <f ca="1">SUMIFS(INDIRECT("Report!F100:F10000"),INDIRECT("Report!B100:B10000"),B337,INDIRECT("report!H100:H10000"),"Others",INDIRECT("Report!L100:L10000"),"22,9")</f>
        <v>9223280</v>
      </c>
      <c r="D337" s="861">
        <f ca="1">(C337/11*10)</f>
        <v>8384800</v>
      </c>
      <c r="E337" s="860">
        <f ca="1">SUMIFS(INDIRECT("Report!J100:J10000"),INDIRECT("Report!B100:B10000"),B337,INDIRECT("report!H100:H10000"),"Others",INDIRECT("Report!L100:L10000"),"22,9")</f>
        <v>1342800</v>
      </c>
      <c r="F337" s="857">
        <f ca="1">E337/D337</f>
        <v>0.16014693254460452</v>
      </c>
    </row>
    <row r="338" spans="1:6" x14ac:dyDescent="0.25">
      <c r="A338" s="852"/>
      <c r="B338" s="227" t="s">
        <v>2255</v>
      </c>
      <c r="C338" s="860">
        <f ca="1">SUMIFS(INDIRECT("Report!F100:F10000"),INDIRECT("Report!B100:B10000"),B338,INDIRECT("report!H100:H10000"),"Others",INDIRECT("Report!L100:L10000"),"22,9")</f>
        <v>45781450.000000007</v>
      </c>
      <c r="D338" s="861">
        <f ca="1">(C338/11*10)</f>
        <v>41619500.000000007</v>
      </c>
      <c r="E338" s="860">
        <f ca="1">SUMIFS(INDIRECT("Report!J100:J10000"),INDIRECT("Report!B100:B10000"),B338,INDIRECT("report!H100:H10000"),"Others",INDIRECT("Report!L100:L10000"),"22,9")</f>
        <v>8199750</v>
      </c>
      <c r="F338" s="857">
        <f ca="1">E338/D338</f>
        <v>0.19701702327034198</v>
      </c>
    </row>
    <row r="339" spans="1:6" x14ac:dyDescent="0.25">
      <c r="A339" s="232"/>
      <c r="B339" s="227" t="s">
        <v>1250</v>
      </c>
      <c r="C339" s="860">
        <f ca="1">SUMIFS(INDIRECT("Report!F100:F10000"),INDIRECT("Report!B100:B10000"),B339,INDIRECT("report!H100:H10000"),"Others",INDIRECT("Report!L100:L10000"),"22,9")</f>
        <v>10293250</v>
      </c>
      <c r="D339" s="861">
        <f ca="1">(C339/11*10)</f>
        <v>9357500</v>
      </c>
      <c r="E339" s="860">
        <f ca="1">SUMIFS(INDIRECT("Report!J100:J10000"),INDIRECT("Report!B100:B10000"),B339,INDIRECT("report!H100:H10000"),"Others",INDIRECT("Report!L100:L10000"),"22,9")</f>
        <v>4557500</v>
      </c>
      <c r="F339" s="857">
        <f ca="1">E339/D339</f>
        <v>0.48704247929468342</v>
      </c>
    </row>
    <row r="340" spans="1:6" x14ac:dyDescent="0.25">
      <c r="B340" s="227" t="s">
        <v>1416</v>
      </c>
      <c r="C340" s="860">
        <f ca="1">SUMIFS(INDIRECT("Report!F100:F10000"),INDIRECT("Report!B100:B10000"),B340,INDIRECT("report!H100:H10000"),"Others",INDIRECT("Report!L100:L10000"),"22,9")</f>
        <v>2585000</v>
      </c>
      <c r="D340" s="861">
        <f ca="1">(C340/11*10)</f>
        <v>2350000</v>
      </c>
      <c r="E340" s="860">
        <f ca="1">SUMIFS(INDIRECT("Report!J100:J10000"),INDIRECT("Report!B100:B10000"),B340,INDIRECT("report!H100:H10000"),"Others",INDIRECT("Report!L100:L10000"),"22,9")</f>
        <v>600000</v>
      </c>
      <c r="F340" s="857">
        <f ca="1">E340/D340</f>
        <v>0.25531914893617019</v>
      </c>
    </row>
    <row r="341" spans="1:6" x14ac:dyDescent="0.25">
      <c r="A341" s="853"/>
      <c r="B341" s="854" t="s">
        <v>3491</v>
      </c>
      <c r="C341" s="855">
        <f ca="1">SUM(C337:C340)</f>
        <v>67882980</v>
      </c>
      <c r="D341" s="855">
        <f ca="1">SUM(D337:D340)</f>
        <v>61711800.000000007</v>
      </c>
      <c r="E341" s="855">
        <f ca="1">SUM(E337:E340)</f>
        <v>14700050</v>
      </c>
      <c r="F341" s="856"/>
    </row>
    <row r="342" spans="1:6" x14ac:dyDescent="0.25">
      <c r="A342" s="1019" t="s">
        <v>3494</v>
      </c>
      <c r="B342" s="227" t="s">
        <v>2254</v>
      </c>
      <c r="C342" s="860">
        <f ca="1">SUMIFS(INDIRECT("Report!F100:F10000"),INDIRECT("Report!B100:B10000"),B342,INDIRECT("report!H100:H10000"),"Others",INDIRECT("Report!L100:L10000"),"22,10")</f>
        <v>15493500</v>
      </c>
      <c r="D342" s="861">
        <f ca="1">(C342/11*10)</f>
        <v>14085000</v>
      </c>
      <c r="E342" s="860">
        <f ca="1">SUMIFS(INDIRECT("Report!J100:J10000"),INDIRECT("Report!B100:B10000"),B342,INDIRECT("report!H100:H10000"),"Others",INDIRECT("Report!L100:L10000"),"22,10")</f>
        <v>2101000</v>
      </c>
      <c r="F342" s="857">
        <f ca="1">E342/D342</f>
        <v>0.14916577919772808</v>
      </c>
    </row>
    <row r="343" spans="1:6" x14ac:dyDescent="0.25">
      <c r="A343" s="852"/>
      <c r="B343" s="227" t="s">
        <v>2255</v>
      </c>
      <c r="C343" s="860">
        <f ca="1">SUMIFS(INDIRECT("Report!F100:F10000"),INDIRECT("Report!B100:B10000"),B343,INDIRECT("report!H100:H10000"),"Others",INDIRECT("Report!L100:L10000"),"22,10")</f>
        <v>48086500</v>
      </c>
      <c r="D343" s="861">
        <f ca="1">(C343/11*10)</f>
        <v>43715000</v>
      </c>
      <c r="E343" s="860">
        <f ca="1">SUMIFS(INDIRECT("Report!J100:J10000"),INDIRECT("Report!B100:B10000"),B343,INDIRECT("report!H100:H10000"),"Others",INDIRECT("Report!L100:L10000"),"22,10")</f>
        <v>9977750</v>
      </c>
      <c r="F343" s="857">
        <f ca="1">E343/D343</f>
        <v>0.22824545350566167</v>
      </c>
    </row>
    <row r="344" spans="1:6" x14ac:dyDescent="0.25">
      <c r="B344" s="227" t="s">
        <v>1416</v>
      </c>
      <c r="C344" s="860">
        <f ca="1">SUMIFS(INDIRECT("Report!F100:F10000"),INDIRECT("Report!B100:B10000"),B344,INDIRECT("report!H100:H10000"),"Others",INDIRECT("Report!L100:L10000"),"22,10")</f>
        <v>2585000</v>
      </c>
      <c r="D344" s="861">
        <f ca="1">(C344/11*10)</f>
        <v>2350000</v>
      </c>
      <c r="E344" s="860">
        <f ca="1">SUMIFS(INDIRECT("Report!J100:J10000"),INDIRECT("Report!B100:B10000"),B344,INDIRECT("report!H100:H10000"),"Others",INDIRECT("Report!L100:L10000"),"22,10")</f>
        <v>600000</v>
      </c>
      <c r="F344" s="857">
        <f ca="1">E344/D344</f>
        <v>0.25531914893617019</v>
      </c>
    </row>
    <row r="345" spans="1:6" x14ac:dyDescent="0.25">
      <c r="A345" s="853"/>
      <c r="B345" s="854" t="s">
        <v>3621</v>
      </c>
      <c r="C345" s="855">
        <f ca="1">SUM(C342:C344)</f>
        <v>66165000</v>
      </c>
      <c r="D345" s="855">
        <f ca="1">SUM(D342:D344)</f>
        <v>60150000</v>
      </c>
      <c r="E345" s="855">
        <f ca="1">SUM(E342:E344)</f>
        <v>12678750</v>
      </c>
      <c r="F345" s="856"/>
    </row>
    <row r="346" spans="1:6" x14ac:dyDescent="0.25">
      <c r="A346" s="1019" t="s">
        <v>3587</v>
      </c>
      <c r="B346" s="227" t="s">
        <v>2254</v>
      </c>
      <c r="C346" s="858">
        <f ca="1">SUMIFS(INDIRECT("Report!F100:F10000"),INDIRECT("Report!B100:B10000"),B346,INDIRECT("report!H100:H10000"),"Others",INDIRECT("Report!L100:L10000"),"22,11")</f>
        <v>15276800</v>
      </c>
      <c r="D346" s="861">
        <f ca="1">(C346/11*10)</f>
        <v>13888000</v>
      </c>
      <c r="E346" s="858">
        <f ca="1">SUMIFS(INDIRECT("Report!J100:J10000"),INDIRECT("Report!B100:B10000"),B346,INDIRECT("report!H100:H10000"),"Others",INDIRECT("Report!L100:L10000"),"22,11")</f>
        <v>1038000</v>
      </c>
      <c r="F346" s="857">
        <f ca="1">E346/D346</f>
        <v>7.4740783410138248E-2</v>
      </c>
    </row>
    <row r="347" spans="1:6" x14ac:dyDescent="0.25">
      <c r="A347" s="852"/>
      <c r="B347" s="227" t="s">
        <v>2255</v>
      </c>
      <c r="C347" s="858">
        <f ca="1">SUMIFS(INDIRECT("Report!F100:F10000"),INDIRECT("Report!B100:B10000"),B347,INDIRECT("report!H100:H10000"),"Others",INDIRECT("Report!L100:L10000"),"22,11")</f>
        <v>46402400</v>
      </c>
      <c r="D347" s="861">
        <f ca="1">(C347/11*10)</f>
        <v>42184000</v>
      </c>
      <c r="E347" s="858">
        <f ca="1">SUMIFS(INDIRECT("Report!J100:J10000"),INDIRECT("Report!B100:B10000"),B347,INDIRECT("report!H100:H10000"),"Others",INDIRECT("Report!L100:L10000"),"22,11")</f>
        <v>10265250</v>
      </c>
      <c r="F347" s="857">
        <f ca="1">E347/D347</f>
        <v>0.24334463303622225</v>
      </c>
    </row>
    <row r="348" spans="1:6" x14ac:dyDescent="0.25">
      <c r="B348" s="227" t="s">
        <v>443</v>
      </c>
      <c r="C348" s="858">
        <f ca="1">SUMIFS(INDIRECT("Report!F100:F10000"),INDIRECT("Report!B100:B10000"),B348,INDIRECT("report!H100:H10000"),"Others",INDIRECT("Report!L100:L10000"),"22,11")</f>
        <v>2585000</v>
      </c>
      <c r="D348" s="861">
        <f ca="1">(C348/11*10)</f>
        <v>2350000</v>
      </c>
      <c r="E348" s="858">
        <f ca="1">SUMIFS(INDIRECT("Report!J100:J10000"),INDIRECT("Report!B100:B10000"),B348,INDIRECT("report!H100:H10000"),"Others",INDIRECT("Report!L100:L10000"),"22,11")</f>
        <v>600000</v>
      </c>
      <c r="F348" s="857">
        <f ca="1">E348/D348</f>
        <v>0.25531914893617019</v>
      </c>
    </row>
    <row r="349" spans="1:6" x14ac:dyDescent="0.25">
      <c r="A349" s="853"/>
      <c r="B349" s="854" t="s">
        <v>3588</v>
      </c>
      <c r="C349" s="855">
        <f ca="1">SUM(C346:C348)</f>
        <v>64264200</v>
      </c>
      <c r="D349" s="855">
        <f ca="1">SUM(D346:D348)</f>
        <v>58422000</v>
      </c>
      <c r="E349" s="855">
        <f ca="1">SUM(E346:E348)</f>
        <v>11903250</v>
      </c>
      <c r="F349" s="856"/>
    </row>
    <row r="350" spans="1:6" x14ac:dyDescent="0.25">
      <c r="A350" s="1019" t="s">
        <v>3622</v>
      </c>
      <c r="B350" s="227" t="s">
        <v>2254</v>
      </c>
      <c r="C350" s="858">
        <f ca="1">SUMIFS(INDIRECT("Report!F100:F10000"),INDIRECT("Report!B100:B10000"),B350,INDIRECT("report!H100:H10000"),"Others",INDIRECT("Report!L100:L10000"),"22,12")</f>
        <v>8912640</v>
      </c>
      <c r="D350" s="861">
        <f ca="1">(C350/11*10)</f>
        <v>8102400</v>
      </c>
      <c r="E350" s="858">
        <f ca="1">SUMIFS(INDIRECT("Report!J100:J10000"),INDIRECT("Report!B100:B10000"),B350,INDIRECT("report!H100:H10000"),"Others",INDIRECT("Report!L100:L10000"),"22,12")</f>
        <v>602400</v>
      </c>
      <c r="F350" s="857">
        <f ca="1">E350/D350</f>
        <v>7.4348341232227486E-2</v>
      </c>
    </row>
    <row r="351" spans="1:6" x14ac:dyDescent="0.25">
      <c r="A351" s="852"/>
      <c r="B351" s="227" t="s">
        <v>2255</v>
      </c>
      <c r="C351" s="858">
        <f ca="1">SUMIFS(INDIRECT("Report!F100:F10000"),INDIRECT("Report!B100:B10000"),B351,INDIRECT("report!H100:H10000"),"Others",INDIRECT("Report!L100:L10000"),"22,12")</f>
        <v>35487650</v>
      </c>
      <c r="D351" s="861">
        <f ca="1">(C351/11*10)</f>
        <v>32261500</v>
      </c>
      <c r="E351" s="858">
        <f ca="1">SUMIFS(INDIRECT("Report!J100:J10000"),INDIRECT("Report!B100:B10000"),B351,INDIRECT("report!H100:H10000"),"Others",INDIRECT("Report!L100:L10000"),"22,12")</f>
        <v>7010000</v>
      </c>
      <c r="F351" s="857">
        <f ca="1">E351/D351</f>
        <v>0.21728685894952188</v>
      </c>
    </row>
    <row r="352" spans="1:6" x14ac:dyDescent="0.25">
      <c r="A352" s="232"/>
      <c r="B352" s="227" t="s">
        <v>1330</v>
      </c>
      <c r="C352" s="858">
        <f ca="1">SUMIFS(INDIRECT("Report!F100:F10000"),INDIRECT("Report!B100:B10000"),B352,INDIRECT("report!H100:H10000"),"Others",INDIRECT("Report!L100:L10000"),"22,12")</f>
        <v>957000.00000000012</v>
      </c>
      <c r="D352" s="861">
        <f ca="1">(C352/11*10)</f>
        <v>870000.00000000012</v>
      </c>
      <c r="E352" s="858">
        <f ca="1">SUMIFS(INDIRECT("Report!J100:J10000"),INDIRECT("Report!B100:B10000"),B352,INDIRECT("report!H100:H10000"),"Others",INDIRECT("Report!L100:L10000"),"22,12")</f>
        <v>266250</v>
      </c>
      <c r="F352" s="857">
        <f ca="1">E352/D352</f>
        <v>0.30603448275862066</v>
      </c>
    </row>
    <row r="353" spans="1:6" x14ac:dyDescent="0.25">
      <c r="A353" s="232"/>
      <c r="B353" s="227" t="s">
        <v>1250</v>
      </c>
      <c r="C353" s="858">
        <f ca="1">SUMIFS(INDIRECT("Report!F100:F10000"),INDIRECT("Report!B100:B10000"),B353,INDIRECT("report!H100:H10000"),"Others",INDIRECT("Report!L100:L10000"),"22,12")</f>
        <v>38500000</v>
      </c>
      <c r="D353" s="861">
        <f ca="1">(C353/11*10)</f>
        <v>35000000</v>
      </c>
      <c r="E353" s="858">
        <f ca="1">SUMIFS(INDIRECT("Report!J100:J10000"),INDIRECT("Report!B100:B10000"),B353,INDIRECT("report!H100:H10000"),"Others",INDIRECT("Report!L100:L10000"),"22,12")</f>
        <v>6160000</v>
      </c>
      <c r="F353" s="857">
        <f ca="1">E353/D353</f>
        <v>0.17599999999999999</v>
      </c>
    </row>
    <row r="354" spans="1:6" x14ac:dyDescent="0.25">
      <c r="B354" s="227" t="s">
        <v>443</v>
      </c>
      <c r="C354" s="858">
        <f ca="1">SUMIFS(INDIRECT("Report!F100:F10000"),INDIRECT("Report!B100:B10000"),B354,INDIRECT("report!H100:H10000"),"Others",INDIRECT("Report!L100:L10000"),"22,12")</f>
        <v>2585000</v>
      </c>
      <c r="D354" s="861">
        <f ca="1">(C354/11*10)</f>
        <v>2350000</v>
      </c>
      <c r="E354" s="858">
        <f ca="1">SUMIFS(INDIRECT("Report!J100:J10000"),INDIRECT("Report!B100:B10000"),B354,INDIRECT("report!H100:H10000"),"Others",INDIRECT("Report!L100:L10000"),"22,12")</f>
        <v>600000</v>
      </c>
      <c r="F354" s="857">
        <f ca="1">E354/D354</f>
        <v>0.25531914893617019</v>
      </c>
    </row>
    <row r="355" spans="1:6" x14ac:dyDescent="0.25">
      <c r="A355" s="853"/>
      <c r="B355" s="854" t="s">
        <v>3623</v>
      </c>
      <c r="C355" s="855">
        <f ca="1">SUM(C350:C354)</f>
        <v>86442290</v>
      </c>
      <c r="D355" s="855">
        <f ca="1">SUM(D350:D354)</f>
        <v>78583900</v>
      </c>
      <c r="E355" s="855">
        <f ca="1">SUM(E350:E354)</f>
        <v>14638650</v>
      </c>
      <c r="F355" s="856"/>
    </row>
    <row r="356" spans="1:6" x14ac:dyDescent="0.25">
      <c r="A356" s="1019" t="s">
        <v>3633</v>
      </c>
      <c r="B356" s="227" t="s">
        <v>2254</v>
      </c>
      <c r="C356" s="858">
        <f t="shared" ref="C356:C363" ca="1" si="83">SUMIFS(INDIRECT("Report!F100:F10000"),INDIRECT("Report!B100:B10000"),B356,INDIRECT("report!H100:H10000"),"Others",INDIRECT("Report!L100:L10000"),"23,1")</f>
        <v>19938160</v>
      </c>
      <c r="D356" s="861">
        <f t="shared" ref="D356:D363" ca="1" si="84">(C356/11*10)</f>
        <v>18125600</v>
      </c>
      <c r="E356" s="858">
        <f t="shared" ref="E356:E363" ca="1" si="85">SUMIFS(INDIRECT("Report!J100:J10000"),INDIRECT("Report!B100:B10000"),B356,INDIRECT("report!H100:H10000"),"Others",INDIRECT("Report!L100:L10000"),"23,1")</f>
        <v>1353600</v>
      </c>
      <c r="F356" s="857">
        <f t="shared" ref="F356:F363" ca="1" si="86">E356/D356</f>
        <v>7.4678907181003659E-2</v>
      </c>
    </row>
    <row r="357" spans="1:6" x14ac:dyDescent="0.25">
      <c r="A357" s="852"/>
      <c r="B357" s="227" t="s">
        <v>2255</v>
      </c>
      <c r="C357" s="858">
        <f t="shared" ca="1" si="83"/>
        <v>48868820</v>
      </c>
      <c r="D357" s="861">
        <f t="shared" ca="1" si="84"/>
        <v>44426200</v>
      </c>
      <c r="E357" s="858">
        <f t="shared" ca="1" si="85"/>
        <v>13561900</v>
      </c>
      <c r="F357" s="857">
        <f t="shared" ca="1" si="86"/>
        <v>0.30526806253967254</v>
      </c>
    </row>
    <row r="358" spans="1:6" x14ac:dyDescent="0.25">
      <c r="A358" s="232"/>
      <c r="B358" s="227" t="s">
        <v>1330</v>
      </c>
      <c r="C358" s="858">
        <f t="shared" ca="1" si="83"/>
        <v>7956999.6000000006</v>
      </c>
      <c r="D358" s="861">
        <f t="shared" ca="1" si="84"/>
        <v>7233636.0000000009</v>
      </c>
      <c r="E358" s="858">
        <f t="shared" ca="1" si="85"/>
        <v>1379886</v>
      </c>
      <c r="F358" s="857">
        <f t="shared" ca="1" si="86"/>
        <v>0.19075966775215117</v>
      </c>
    </row>
    <row r="359" spans="1:6" x14ac:dyDescent="0.25">
      <c r="A359" s="232"/>
      <c r="B359" s="227" t="s">
        <v>2357</v>
      </c>
      <c r="C359" s="858">
        <f t="shared" ca="1" si="83"/>
        <v>7265500</v>
      </c>
      <c r="D359" s="861">
        <f t="shared" ca="1" si="84"/>
        <v>6605000</v>
      </c>
      <c r="E359" s="858">
        <f t="shared" ca="1" si="85"/>
        <v>2225440</v>
      </c>
      <c r="F359" s="857">
        <f t="shared" ca="1" si="86"/>
        <v>0.33693262679788039</v>
      </c>
    </row>
    <row r="360" spans="1:6" x14ac:dyDescent="0.25">
      <c r="A360" s="232"/>
      <c r="B360" s="227" t="s">
        <v>2358</v>
      </c>
      <c r="C360" s="858">
        <f t="shared" ca="1" si="83"/>
        <v>3414400</v>
      </c>
      <c r="D360" s="861">
        <f t="shared" ca="1" si="84"/>
        <v>3104000</v>
      </c>
      <c r="E360" s="858">
        <f t="shared" ca="1" si="85"/>
        <v>1219264</v>
      </c>
      <c r="F360" s="857">
        <f t="shared" ca="1" si="86"/>
        <v>0.39280412371134021</v>
      </c>
    </row>
    <row r="361" spans="1:6" x14ac:dyDescent="0.25">
      <c r="A361" s="232"/>
      <c r="B361" s="227" t="s">
        <v>3674</v>
      </c>
      <c r="C361" s="858">
        <f t="shared" ca="1" si="83"/>
        <v>1496000.0000000002</v>
      </c>
      <c r="D361" s="861">
        <f t="shared" ca="1" si="84"/>
        <v>1360000.0000000002</v>
      </c>
      <c r="E361" s="858">
        <f t="shared" ca="1" si="85"/>
        <v>210000</v>
      </c>
      <c r="F361" s="857">
        <f t="shared" ca="1" si="86"/>
        <v>0.15441176470588233</v>
      </c>
    </row>
    <row r="362" spans="1:6" x14ac:dyDescent="0.25">
      <c r="A362" s="232"/>
      <c r="B362" s="227" t="s">
        <v>2597</v>
      </c>
      <c r="C362" s="858">
        <f t="shared" ca="1" si="83"/>
        <v>2145000</v>
      </c>
      <c r="D362" s="861">
        <f t="shared" ca="1" si="84"/>
        <v>1950000</v>
      </c>
      <c r="E362" s="858">
        <f t="shared" ca="1" si="85"/>
        <v>1279695</v>
      </c>
      <c r="F362" s="857">
        <f t="shared" ca="1" si="86"/>
        <v>0.65625384615384619</v>
      </c>
    </row>
    <row r="363" spans="1:6" x14ac:dyDescent="0.25">
      <c r="B363" s="227" t="s">
        <v>443</v>
      </c>
      <c r="C363" s="858">
        <f t="shared" ca="1" si="83"/>
        <v>2585000</v>
      </c>
      <c r="D363" s="861">
        <f t="shared" ca="1" si="84"/>
        <v>2350000</v>
      </c>
      <c r="E363" s="858">
        <f t="shared" ca="1" si="85"/>
        <v>600000</v>
      </c>
      <c r="F363" s="857">
        <f t="shared" ca="1" si="86"/>
        <v>0.25531914893617019</v>
      </c>
    </row>
    <row r="364" spans="1:6" x14ac:dyDescent="0.25">
      <c r="A364" s="853"/>
      <c r="B364" s="854" t="s">
        <v>3634</v>
      </c>
      <c r="C364" s="855">
        <f ca="1">SUM(C356:C363)</f>
        <v>93669879.599999994</v>
      </c>
      <c r="D364" s="855">
        <f ca="1">SUM(D356:D363)</f>
        <v>85154436</v>
      </c>
      <c r="E364" s="855">
        <f ca="1">SUM(E356:E363)</f>
        <v>21829785</v>
      </c>
      <c r="F364" s="856"/>
    </row>
    <row r="365" spans="1:6" x14ac:dyDescent="0.25">
      <c r="A365" s="1019" t="s">
        <v>3677</v>
      </c>
      <c r="B365" s="227" t="s">
        <v>2254</v>
      </c>
      <c r="C365" s="858">
        <f t="shared" ref="C365:C371" ca="1" si="87">SUMIFS(INDIRECT("Report!F100:F10000"),INDIRECT("Report!B100:B10000"),B365,INDIRECT("report!H100:H10000"),"Others",INDIRECT("Report!L100:L10000"),"23,2")</f>
        <v>12144440</v>
      </c>
      <c r="D365" s="861">
        <f ca="1">(C365/11*10)</f>
        <v>11040400</v>
      </c>
      <c r="E365" s="858">
        <f t="shared" ref="E365:E371" ca="1" si="88">SUMIFS(INDIRECT("Report!J100:J10000"),INDIRECT("Report!B100:B10000"),B365,INDIRECT("report!H100:H10000"),"Others",INDIRECT("Report!L100:L10000"),"23,2")</f>
        <v>822400</v>
      </c>
      <c r="F365" s="857">
        <f t="shared" ref="F365:F371" ca="1" si="89">E365/D365</f>
        <v>7.4490054708162751E-2</v>
      </c>
    </row>
    <row r="366" spans="1:6" x14ac:dyDescent="0.25">
      <c r="A366" s="852"/>
      <c r="B366" s="227" t="s">
        <v>2255</v>
      </c>
      <c r="C366" s="858">
        <f t="shared" ca="1" si="87"/>
        <v>57634280</v>
      </c>
      <c r="D366" s="861">
        <f t="shared" ref="D366:D371" ca="1" si="90">(C366/11*10)</f>
        <v>52394800</v>
      </c>
      <c r="E366" s="858">
        <f t="shared" ca="1" si="88"/>
        <v>15048500</v>
      </c>
      <c r="F366" s="857">
        <f t="shared" ca="1" si="89"/>
        <v>0.28721361661844302</v>
      </c>
    </row>
    <row r="367" spans="1:6" x14ac:dyDescent="0.25">
      <c r="A367" s="232"/>
      <c r="B367" s="227" t="s">
        <v>1631</v>
      </c>
      <c r="C367" s="858">
        <f t="shared" ca="1" si="87"/>
        <v>1424335</v>
      </c>
      <c r="D367" s="861">
        <f t="shared" ca="1" si="90"/>
        <v>1294850</v>
      </c>
      <c r="E367" s="858">
        <f t="shared" ca="1" si="88"/>
        <v>0</v>
      </c>
      <c r="F367" s="857">
        <f t="shared" ca="1" si="89"/>
        <v>0</v>
      </c>
    </row>
    <row r="368" spans="1:6" x14ac:dyDescent="0.25">
      <c r="A368" s="232"/>
      <c r="B368" s="227" t="s">
        <v>2357</v>
      </c>
      <c r="C368" s="858">
        <f t="shared" ca="1" si="87"/>
        <v>13008600</v>
      </c>
      <c r="D368" s="861">
        <f t="shared" ca="1" si="90"/>
        <v>11826000</v>
      </c>
      <c r="E368" s="858">
        <f t="shared" ca="1" si="88"/>
        <v>3294140</v>
      </c>
      <c r="F368" s="857">
        <f t="shared" ca="1" si="89"/>
        <v>0.27855065110772875</v>
      </c>
    </row>
    <row r="369" spans="1:6" x14ac:dyDescent="0.25">
      <c r="A369" s="232"/>
      <c r="B369" s="227" t="s">
        <v>2358</v>
      </c>
      <c r="C369" s="858">
        <f t="shared" ca="1" si="87"/>
        <v>4411000.0000000009</v>
      </c>
      <c r="D369" s="861">
        <f t="shared" ca="1" si="90"/>
        <v>4010000.0000000005</v>
      </c>
      <c r="E369" s="858">
        <f t="shared" ca="1" si="88"/>
        <v>2008500</v>
      </c>
      <c r="F369" s="857">
        <f t="shared" ca="1" si="89"/>
        <v>0.50087281795511218</v>
      </c>
    </row>
    <row r="370" spans="1:6" x14ac:dyDescent="0.25">
      <c r="A370" s="232"/>
      <c r="B370" s="227" t="s">
        <v>1250</v>
      </c>
      <c r="C370" s="858">
        <f t="shared" ca="1" si="87"/>
        <v>65452200.000000007</v>
      </c>
      <c r="D370" s="861">
        <f t="shared" ca="1" si="90"/>
        <v>59502000.000000007</v>
      </c>
      <c r="E370" s="858">
        <f t="shared" ca="1" si="88"/>
        <v>0</v>
      </c>
      <c r="F370" s="857">
        <f t="shared" ca="1" si="89"/>
        <v>0</v>
      </c>
    </row>
    <row r="371" spans="1:6" x14ac:dyDescent="0.25">
      <c r="B371" s="227" t="s">
        <v>443</v>
      </c>
      <c r="C371" s="858">
        <f t="shared" ca="1" si="87"/>
        <v>2585000</v>
      </c>
      <c r="D371" s="861">
        <f t="shared" ca="1" si="90"/>
        <v>2350000</v>
      </c>
      <c r="E371" s="858">
        <f t="shared" ca="1" si="88"/>
        <v>600000</v>
      </c>
      <c r="F371" s="857">
        <f t="shared" ca="1" si="89"/>
        <v>0.25531914893617019</v>
      </c>
    </row>
    <row r="372" spans="1:6" x14ac:dyDescent="0.25">
      <c r="A372" s="853"/>
      <c r="B372" s="854" t="s">
        <v>3679</v>
      </c>
      <c r="C372" s="855">
        <f ca="1">SUM(C365:C371)</f>
        <v>156659855</v>
      </c>
      <c r="D372" s="855">
        <f ca="1">SUM(D365:D371)</f>
        <v>142418050</v>
      </c>
      <c r="E372" s="855">
        <f ca="1">SUM(E365:E371)</f>
        <v>21773540</v>
      </c>
      <c r="F372" s="856"/>
    </row>
    <row r="373" spans="1:6" x14ac:dyDescent="0.25">
      <c r="A373" s="1019" t="s">
        <v>3698</v>
      </c>
      <c r="B373" s="227" t="s">
        <v>2254</v>
      </c>
      <c r="C373" s="858">
        <f t="shared" ref="C373:C378" ca="1" si="91">SUMIFS(INDIRECT("Report!F100:F10000"),INDIRECT("Report!B100:B10000"),B373,INDIRECT("report!H100:H10000"),"Others",INDIRECT("Report!L100:L10000"),"23,3")</f>
        <v>13574000</v>
      </c>
      <c r="D373" s="861">
        <f t="shared" ref="D373:D378" ca="1" si="92">(C373/11*10)</f>
        <v>12340000</v>
      </c>
      <c r="E373" s="858">
        <f t="shared" ref="E373:E378" ca="1" si="93">SUMIFS(INDIRECT("Report!J100:J10000"),INDIRECT("Report!B100:B10000"),B373,INDIRECT("report!H100:H10000"),"Others",INDIRECT("Report!L100:L10000"),"23,3")</f>
        <v>918000</v>
      </c>
      <c r="F373" s="857">
        <f t="shared" ref="F373:F378" ca="1" si="94">E373/D373</f>
        <v>7.4392220421393845E-2</v>
      </c>
    </row>
    <row r="374" spans="1:6" x14ac:dyDescent="0.25">
      <c r="A374" s="852"/>
      <c r="B374" s="227" t="s">
        <v>2255</v>
      </c>
      <c r="C374" s="858">
        <f t="shared" ca="1" si="91"/>
        <v>55859100</v>
      </c>
      <c r="D374" s="861">
        <f t="shared" ca="1" si="92"/>
        <v>50781000</v>
      </c>
      <c r="E374" s="858">
        <f t="shared" ca="1" si="93"/>
        <v>15189500</v>
      </c>
      <c r="F374" s="857">
        <f t="shared" ca="1" si="94"/>
        <v>0.29911778027214903</v>
      </c>
    </row>
    <row r="375" spans="1:6" x14ac:dyDescent="0.25">
      <c r="A375" s="232"/>
      <c r="B375" s="227" t="s">
        <v>2357</v>
      </c>
      <c r="C375" s="858">
        <f t="shared" ca="1" si="91"/>
        <v>10912000</v>
      </c>
      <c r="D375" s="861">
        <f t="shared" ca="1" si="92"/>
        <v>9920000</v>
      </c>
      <c r="E375" s="858">
        <f t="shared" ca="1" si="93"/>
        <v>2935880</v>
      </c>
      <c r="F375" s="857">
        <f t="shared" ca="1" si="94"/>
        <v>0.2959556451612903</v>
      </c>
    </row>
    <row r="376" spans="1:6" x14ac:dyDescent="0.25">
      <c r="A376" s="232"/>
      <c r="B376" s="227" t="s">
        <v>2358</v>
      </c>
      <c r="C376" s="858">
        <f t="shared" ca="1" si="91"/>
        <v>6802400</v>
      </c>
      <c r="D376" s="861">
        <f t="shared" ca="1" si="92"/>
        <v>6184000</v>
      </c>
      <c r="E376" s="858">
        <f t="shared" ca="1" si="93"/>
        <v>2448576</v>
      </c>
      <c r="F376" s="857">
        <f t="shared" ca="1" si="94"/>
        <v>0.39595342820181112</v>
      </c>
    </row>
    <row r="377" spans="1:6" x14ac:dyDescent="0.25">
      <c r="A377" s="232"/>
      <c r="B377" s="227" t="s">
        <v>1330</v>
      </c>
      <c r="C377" s="858">
        <f t="shared" ca="1" si="91"/>
        <v>5660000.5</v>
      </c>
      <c r="D377" s="861">
        <f t="shared" ca="1" si="92"/>
        <v>5145455</v>
      </c>
      <c r="E377" s="858">
        <f t="shared" ca="1" si="93"/>
        <v>1957955</v>
      </c>
      <c r="F377" s="857">
        <f t="shared" ca="1" si="94"/>
        <v>0.38052125613769822</v>
      </c>
    </row>
    <row r="378" spans="1:6" x14ac:dyDescent="0.25">
      <c r="B378" s="227" t="s">
        <v>443</v>
      </c>
      <c r="C378" s="858">
        <f t="shared" ca="1" si="91"/>
        <v>2585000</v>
      </c>
      <c r="D378" s="861">
        <f t="shared" ca="1" si="92"/>
        <v>2350000</v>
      </c>
      <c r="E378" s="858">
        <f t="shared" ca="1" si="93"/>
        <v>600000</v>
      </c>
      <c r="F378" s="857">
        <f t="shared" ca="1" si="94"/>
        <v>0.25531914893617019</v>
      </c>
    </row>
    <row r="379" spans="1:6" x14ac:dyDescent="0.25">
      <c r="A379" s="853"/>
      <c r="B379" s="854" t="s">
        <v>3700</v>
      </c>
      <c r="C379" s="855">
        <f ca="1">SUM(C373:C378)</f>
        <v>95392500.5</v>
      </c>
      <c r="D379" s="855">
        <f ca="1">SUM(D373:D378)</f>
        <v>86720455</v>
      </c>
      <c r="E379" s="855">
        <f ca="1">SUM(E373:E378)</f>
        <v>24049911</v>
      </c>
      <c r="F379" s="856"/>
    </row>
    <row r="380" spans="1:6" x14ac:dyDescent="0.25">
      <c r="A380" s="1019" t="s">
        <v>3715</v>
      </c>
      <c r="B380" s="227" t="s">
        <v>2254</v>
      </c>
      <c r="C380" s="858">
        <f t="shared" ref="C380:C385" ca="1" si="95">SUMIFS(INDIRECT("Report!F100:F10000"),INDIRECT("Report!B100:B10000"),B380,INDIRECT("report!H100:H10000"),"Others",INDIRECT("Report!L100:L10000"),"23,4")</f>
        <v>12682780</v>
      </c>
      <c r="D380" s="861">
        <f t="shared" ref="D380:D385" ca="1" si="96">(C380/11*10)</f>
        <v>11529800</v>
      </c>
      <c r="E380" s="858">
        <f t="shared" ref="E380:E385" ca="1" si="97">SUMIFS(INDIRECT("Report!J100:J10000"),INDIRECT("Report!B100:B10000"),B380,INDIRECT("report!H100:H10000"),"Others",INDIRECT("Report!L100:L10000"),"23,4")</f>
        <v>961800</v>
      </c>
      <c r="F380" s="857">
        <f t="shared" ref="F380:F385" ca="1" si="98">E380/D380</f>
        <v>8.341861957709587E-2</v>
      </c>
    </row>
    <row r="381" spans="1:6" x14ac:dyDescent="0.25">
      <c r="A381" s="852"/>
      <c r="B381" s="227" t="s">
        <v>2255</v>
      </c>
      <c r="C381" s="858">
        <f t="shared" ca="1" si="95"/>
        <v>50704060</v>
      </c>
      <c r="D381" s="861">
        <f t="shared" ca="1" si="96"/>
        <v>46094600</v>
      </c>
      <c r="E381" s="858">
        <f t="shared" ca="1" si="97"/>
        <v>14027700</v>
      </c>
      <c r="F381" s="857">
        <f t="shared" ca="1" si="98"/>
        <v>0.30432415076820279</v>
      </c>
    </row>
    <row r="382" spans="1:6" x14ac:dyDescent="0.25">
      <c r="A382" s="232"/>
      <c r="B382" s="227" t="s">
        <v>2357</v>
      </c>
      <c r="C382" s="858">
        <f t="shared" ca="1" si="95"/>
        <v>13525600</v>
      </c>
      <c r="D382" s="861">
        <f t="shared" ca="1" si="96"/>
        <v>12296000</v>
      </c>
      <c r="E382" s="858">
        <f t="shared" ca="1" si="97"/>
        <v>3677440</v>
      </c>
      <c r="F382" s="857">
        <f t="shared" ca="1" si="98"/>
        <v>0.2990761223162004</v>
      </c>
    </row>
    <row r="383" spans="1:6" x14ac:dyDescent="0.25">
      <c r="A383" s="232"/>
      <c r="B383" s="227" t="s">
        <v>2358</v>
      </c>
      <c r="C383" s="858">
        <f t="shared" ca="1" si="95"/>
        <v>1742400</v>
      </c>
      <c r="D383" s="861">
        <f t="shared" ca="1" si="96"/>
        <v>1584000</v>
      </c>
      <c r="E383" s="858">
        <f t="shared" ca="1" si="97"/>
        <v>660000</v>
      </c>
      <c r="F383" s="857">
        <f t="shared" ca="1" si="98"/>
        <v>0.41666666666666669</v>
      </c>
    </row>
    <row r="384" spans="1:6" x14ac:dyDescent="0.25">
      <c r="A384" s="232"/>
      <c r="B384" s="227" t="s">
        <v>1250</v>
      </c>
      <c r="C384" s="858">
        <f t="shared" ca="1" si="95"/>
        <v>8545900</v>
      </c>
      <c r="D384" s="861">
        <f t="shared" ca="1" si="96"/>
        <v>7769000</v>
      </c>
      <c r="E384" s="858">
        <f t="shared" ca="1" si="97"/>
        <v>1945060</v>
      </c>
      <c r="F384" s="857">
        <f t="shared" ca="1" si="98"/>
        <v>0.25036169391170032</v>
      </c>
    </row>
    <row r="385" spans="1:6" x14ac:dyDescent="0.25">
      <c r="B385" s="227" t="s">
        <v>443</v>
      </c>
      <c r="C385" s="858">
        <f t="shared" ca="1" si="95"/>
        <v>2585000</v>
      </c>
      <c r="D385" s="861">
        <f t="shared" ca="1" si="96"/>
        <v>2350000</v>
      </c>
      <c r="E385" s="858">
        <f t="shared" ca="1" si="97"/>
        <v>600000</v>
      </c>
      <c r="F385" s="857">
        <f t="shared" ca="1" si="98"/>
        <v>0.25531914893617019</v>
      </c>
    </row>
    <row r="386" spans="1:6" x14ac:dyDescent="0.25">
      <c r="A386" s="853"/>
      <c r="B386" s="854" t="s">
        <v>3717</v>
      </c>
      <c r="C386" s="855">
        <f ca="1">SUM(C380:C385)</f>
        <v>89785740</v>
      </c>
      <c r="D386" s="855">
        <f ca="1">SUM(D380:D385)</f>
        <v>81623400</v>
      </c>
      <c r="E386" s="855">
        <f ca="1">SUM(E380:E385)</f>
        <v>21872000</v>
      </c>
      <c r="F386" s="856"/>
    </row>
    <row r="387" spans="1:6" x14ac:dyDescent="0.25">
      <c r="A387" s="1019" t="s">
        <v>3746</v>
      </c>
      <c r="B387" s="227" t="s">
        <v>2254</v>
      </c>
      <c r="C387" s="858">
        <f t="shared" ref="C387:C394" ca="1" si="99">SUMIFS(INDIRECT("Report!F100:F10000"),INDIRECT("Report!B100:B10000"),B387,INDIRECT("report!H100:H10000"),"Others",INDIRECT("Report!L100:L10000"),"23,5")</f>
        <v>12144440</v>
      </c>
      <c r="D387" s="861">
        <f ca="1">(C387/11*10)</f>
        <v>11040400</v>
      </c>
      <c r="E387" s="858">
        <f t="shared" ref="E387:E394" ca="1" si="100">SUMIFS(INDIRECT("Report!J100:J10000"),INDIRECT("Report!B100:B10000"),B387,INDIRECT("report!H100:H10000"),"Others",INDIRECT("Report!L100:L10000"),"23,5")</f>
        <v>822400</v>
      </c>
      <c r="F387" s="857">
        <f t="shared" ref="F387:F395" ca="1" si="101">E387/D387</f>
        <v>7.4490054708162751E-2</v>
      </c>
    </row>
    <row r="388" spans="1:6" x14ac:dyDescent="0.25">
      <c r="A388" s="852"/>
      <c r="B388" s="227" t="s">
        <v>2255</v>
      </c>
      <c r="C388" s="858">
        <f t="shared" ca="1" si="99"/>
        <v>49512760</v>
      </c>
      <c r="D388" s="861">
        <f t="shared" ref="D388:D394" ca="1" si="102">(C388/11*10)</f>
        <v>45011600</v>
      </c>
      <c r="E388" s="858">
        <f t="shared" ca="1" si="100"/>
        <v>13772400</v>
      </c>
      <c r="F388" s="857">
        <f t="shared" ca="1" si="101"/>
        <v>0.30597445991699918</v>
      </c>
    </row>
    <row r="389" spans="1:6" x14ac:dyDescent="0.25">
      <c r="A389" s="232"/>
      <c r="B389" s="227" t="s">
        <v>2357</v>
      </c>
      <c r="C389" s="858">
        <f t="shared" ca="1" si="99"/>
        <v>11214500</v>
      </c>
      <c r="D389" s="861">
        <f t="shared" ca="1" si="102"/>
        <v>10195000</v>
      </c>
      <c r="E389" s="858">
        <f t="shared" ca="1" si="100"/>
        <v>2903880</v>
      </c>
      <c r="F389" s="857">
        <f t="shared" ca="1" si="101"/>
        <v>0.28483374203040707</v>
      </c>
    </row>
    <row r="390" spans="1:6" x14ac:dyDescent="0.25">
      <c r="A390" s="232"/>
      <c r="B390" s="227" t="s">
        <v>2358</v>
      </c>
      <c r="C390" s="858">
        <f t="shared" ca="1" si="99"/>
        <v>5979600</v>
      </c>
      <c r="D390" s="861">
        <f t="shared" ca="1" si="102"/>
        <v>5436000</v>
      </c>
      <c r="E390" s="858">
        <f t="shared" ca="1" si="100"/>
        <v>2517624</v>
      </c>
      <c r="F390" s="857">
        <f t="shared" ca="1" si="101"/>
        <v>0.46313907284768213</v>
      </c>
    </row>
    <row r="391" spans="1:6" x14ac:dyDescent="0.25">
      <c r="A391" s="232"/>
      <c r="B391" s="227" t="s">
        <v>1250</v>
      </c>
      <c r="C391" s="858">
        <f t="shared" ca="1" si="99"/>
        <v>990000.00000000012</v>
      </c>
      <c r="D391" s="861">
        <f t="shared" ca="1" si="102"/>
        <v>900000.00000000012</v>
      </c>
      <c r="E391" s="858">
        <f t="shared" ca="1" si="100"/>
        <v>90000</v>
      </c>
      <c r="F391" s="857">
        <f t="shared" ca="1" si="101"/>
        <v>9.9999999999999992E-2</v>
      </c>
    </row>
    <row r="392" spans="1:6" x14ac:dyDescent="0.25">
      <c r="A392" s="232"/>
      <c r="B392" s="227" t="s">
        <v>2597</v>
      </c>
      <c r="C392" s="858">
        <f t="shared" ca="1" si="99"/>
        <v>2145000</v>
      </c>
      <c r="D392" s="861">
        <f t="shared" ca="1" si="102"/>
        <v>1950000</v>
      </c>
      <c r="E392" s="858">
        <f t="shared" ca="1" si="100"/>
        <v>1279695</v>
      </c>
      <c r="F392" s="857">
        <f t="shared" ca="1" si="101"/>
        <v>0.65625384615384619</v>
      </c>
    </row>
    <row r="393" spans="1:6" x14ac:dyDescent="0.25">
      <c r="A393" s="232"/>
      <c r="B393" s="227" t="s">
        <v>3775</v>
      </c>
      <c r="C393" s="858">
        <f t="shared" ca="1" si="99"/>
        <v>4235000</v>
      </c>
      <c r="D393" s="861">
        <f t="shared" ca="1" si="102"/>
        <v>3850000</v>
      </c>
      <c r="E393" s="858">
        <f t="shared" ca="1" si="100"/>
        <v>1900819.2243055326</v>
      </c>
      <c r="F393" s="857">
        <f t="shared" ca="1" si="101"/>
        <v>0.49371927904039808</v>
      </c>
    </row>
    <row r="394" spans="1:6" x14ac:dyDescent="0.25">
      <c r="B394" s="227" t="s">
        <v>443</v>
      </c>
      <c r="C394" s="858">
        <f t="shared" ca="1" si="99"/>
        <v>2585000</v>
      </c>
      <c r="D394" s="861">
        <f t="shared" ca="1" si="102"/>
        <v>2350000</v>
      </c>
      <c r="E394" s="858">
        <f t="shared" ca="1" si="100"/>
        <v>600000</v>
      </c>
      <c r="F394" s="857">
        <f t="shared" ca="1" si="101"/>
        <v>0.25531914893617019</v>
      </c>
    </row>
    <row r="395" spans="1:6" x14ac:dyDescent="0.25">
      <c r="A395" s="853"/>
      <c r="B395" s="854" t="s">
        <v>3747</v>
      </c>
      <c r="C395" s="855">
        <f ca="1">SUM(C387:C394)</f>
        <v>88806300</v>
      </c>
      <c r="D395" s="855">
        <f ca="1">SUM(D387:D394)</f>
        <v>80733000</v>
      </c>
      <c r="E395" s="855">
        <f ca="1">SUM(E387:E394)</f>
        <v>23886818.224305533</v>
      </c>
      <c r="F395" s="567">
        <f t="shared" ca="1" si="101"/>
        <v>0.29587427971592201</v>
      </c>
    </row>
    <row r="396" spans="1:6" x14ac:dyDescent="0.25">
      <c r="A396" s="1019" t="s">
        <v>3776</v>
      </c>
      <c r="B396" s="227" t="s">
        <v>2254</v>
      </c>
      <c r="C396" s="858">
        <f t="shared" ref="C396:C402" ca="1" si="103">SUMIFS(INDIRECT("Report!F100:F10000"),INDIRECT("Report!B100:B10000"),B396,INDIRECT("report!H100:H10000"),"Others",INDIRECT("Report!L100:L10000"),"23,6")</f>
        <v>13536600</v>
      </c>
      <c r="D396" s="861">
        <f ca="1">(C396/11*10)</f>
        <v>12306000</v>
      </c>
      <c r="E396" s="858">
        <f t="shared" ref="E396:E402" ca="1" si="104">SUMIFS(INDIRECT("Report!J100:J10000"),INDIRECT("Report!B100:B10000"),B396,INDIRECT("report!H100:H10000"),"Others",INDIRECT("Report!L100:L10000"),"23,6")</f>
        <v>918000</v>
      </c>
      <c r="F396" s="857">
        <f t="shared" ref="F396:F403" ca="1" si="105">E396/D396</f>
        <v>7.459775719161385E-2</v>
      </c>
    </row>
    <row r="397" spans="1:6" x14ac:dyDescent="0.25">
      <c r="A397" s="852"/>
      <c r="B397" s="227" t="s">
        <v>2255</v>
      </c>
      <c r="C397" s="858">
        <f t="shared" ca="1" si="103"/>
        <v>31273660</v>
      </c>
      <c r="D397" s="861">
        <f t="shared" ref="D397:D402" ca="1" si="106">(C397/11*10)</f>
        <v>28430600</v>
      </c>
      <c r="E397" s="858">
        <f t="shared" ca="1" si="104"/>
        <v>8660200</v>
      </c>
      <c r="F397" s="857">
        <f t="shared" ca="1" si="105"/>
        <v>0.30460841487692836</v>
      </c>
    </row>
    <row r="398" spans="1:6" x14ac:dyDescent="0.25">
      <c r="A398" s="232"/>
      <c r="B398" s="227" t="s">
        <v>2357</v>
      </c>
      <c r="C398" s="858">
        <f t="shared" ca="1" si="103"/>
        <v>13816000</v>
      </c>
      <c r="D398" s="861">
        <f t="shared" ca="1" si="106"/>
        <v>12560000</v>
      </c>
      <c r="E398" s="858">
        <f t="shared" ca="1" si="104"/>
        <v>3296380</v>
      </c>
      <c r="F398" s="857">
        <f t="shared" ca="1" si="105"/>
        <v>0.26245063694267518</v>
      </c>
    </row>
    <row r="399" spans="1:6" x14ac:dyDescent="0.25">
      <c r="A399" s="232"/>
      <c r="B399" s="227" t="s">
        <v>2358</v>
      </c>
      <c r="C399" s="858">
        <f t="shared" ca="1" si="103"/>
        <v>3036000</v>
      </c>
      <c r="D399" s="861">
        <f t="shared" ca="1" si="106"/>
        <v>2760000</v>
      </c>
      <c r="E399" s="858">
        <f t="shared" ca="1" si="104"/>
        <v>1332944</v>
      </c>
      <c r="F399" s="857">
        <f t="shared" ca="1" si="105"/>
        <v>0.48295072463768118</v>
      </c>
    </row>
    <row r="400" spans="1:6" x14ac:dyDescent="0.25">
      <c r="A400" s="232"/>
      <c r="B400" s="227" t="s">
        <v>1250</v>
      </c>
      <c r="C400" s="858">
        <f t="shared" ca="1" si="103"/>
        <v>1768800.0000000002</v>
      </c>
      <c r="D400" s="861">
        <f t="shared" ca="1" si="106"/>
        <v>1608000.0000000002</v>
      </c>
      <c r="E400" s="858">
        <f t="shared" ca="1" si="104"/>
        <v>58000</v>
      </c>
      <c r="F400" s="857">
        <f t="shared" ca="1" si="105"/>
        <v>3.6069651741293528E-2</v>
      </c>
    </row>
    <row r="401" spans="1:6" x14ac:dyDescent="0.25">
      <c r="A401" s="232"/>
      <c r="B401" s="227" t="s">
        <v>1330</v>
      </c>
      <c r="C401" s="858">
        <f t="shared" ca="1" si="103"/>
        <v>8580000</v>
      </c>
      <c r="D401" s="861">
        <f t="shared" ca="1" si="106"/>
        <v>7800000</v>
      </c>
      <c r="E401" s="858">
        <f t="shared" ca="1" si="104"/>
        <v>3473200</v>
      </c>
      <c r="F401" s="857">
        <f t="shared" ca="1" si="105"/>
        <v>0.44528205128205128</v>
      </c>
    </row>
    <row r="402" spans="1:6" x14ac:dyDescent="0.25">
      <c r="B402" s="227" t="s">
        <v>443</v>
      </c>
      <c r="C402" s="858">
        <f t="shared" ca="1" si="103"/>
        <v>2585000</v>
      </c>
      <c r="D402" s="861">
        <f t="shared" ca="1" si="106"/>
        <v>2350000</v>
      </c>
      <c r="E402" s="858">
        <f t="shared" ca="1" si="104"/>
        <v>600000</v>
      </c>
      <c r="F402" s="857">
        <f t="shared" ca="1" si="105"/>
        <v>0.25531914893617019</v>
      </c>
    </row>
    <row r="403" spans="1:6" x14ac:dyDescent="0.25">
      <c r="A403" s="853"/>
      <c r="B403" s="854" t="s">
        <v>3789</v>
      </c>
      <c r="C403" s="855">
        <f ca="1">SUM(C396:C402)</f>
        <v>74596060</v>
      </c>
      <c r="D403" s="855">
        <f ca="1">SUM(D396:D402)</f>
        <v>67814600</v>
      </c>
      <c r="E403" s="855">
        <f ca="1">SUM(E396:E402)</f>
        <v>18338724</v>
      </c>
      <c r="F403" s="567">
        <f t="shared" ca="1" si="105"/>
        <v>0.27042442187965421</v>
      </c>
    </row>
    <row r="404" spans="1:6" x14ac:dyDescent="0.25">
      <c r="A404" s="1019" t="s">
        <v>3809</v>
      </c>
      <c r="B404" s="227" t="s">
        <v>2254</v>
      </c>
      <c r="C404" s="858">
        <f t="shared" ref="C404:C409" ca="1" si="107">SUMIFS(INDIRECT("Report!F100:F10000"),INDIRECT("Report!B100:B10000"),B404,INDIRECT("report!H100:H10000"),"Others",INDIRECT("Report!L100:L10000"),"23,7")</f>
        <v>6889520</v>
      </c>
      <c r="D404" s="861">
        <f t="shared" ref="D404:D409" ca="1" si="108">(C404/11*10)</f>
        <v>6263200</v>
      </c>
      <c r="E404" s="858">
        <f t="shared" ref="E404:E409" ca="1" si="109">SUMIFS(INDIRECT("Report!J100:J10000"),INDIRECT("Report!B100:B10000"),B404,INDIRECT("report!H100:H10000"),"Others",INDIRECT("Report!L100:L10000"),"23,7")</f>
        <v>451200</v>
      </c>
      <c r="F404" s="857">
        <f t="shared" ref="F404:F409" ca="1" si="110">E404/D404</f>
        <v>7.2039851832928853E-2</v>
      </c>
    </row>
    <row r="405" spans="1:6" x14ac:dyDescent="0.25">
      <c r="A405" s="852"/>
      <c r="B405" s="227" t="s">
        <v>2255</v>
      </c>
      <c r="C405" s="858">
        <f t="shared" ca="1" si="107"/>
        <v>40301140</v>
      </c>
      <c r="D405" s="861">
        <f t="shared" ca="1" si="108"/>
        <v>36637400</v>
      </c>
      <c r="E405" s="858">
        <f t="shared" ca="1" si="109"/>
        <v>10737400</v>
      </c>
      <c r="F405" s="857">
        <f t="shared" ca="1" si="110"/>
        <v>0.29307210664512218</v>
      </c>
    </row>
    <row r="406" spans="1:6" x14ac:dyDescent="0.25">
      <c r="A406" s="232"/>
      <c r="B406" s="227" t="s">
        <v>2357</v>
      </c>
      <c r="C406" s="858">
        <f t="shared" ca="1" si="107"/>
        <v>11594000</v>
      </c>
      <c r="D406" s="861">
        <f t="shared" ca="1" si="108"/>
        <v>10540000</v>
      </c>
      <c r="E406" s="858">
        <f t="shared" ca="1" si="109"/>
        <v>3195940</v>
      </c>
      <c r="F406" s="857">
        <f t="shared" ca="1" si="110"/>
        <v>0.30322011385199243</v>
      </c>
    </row>
    <row r="407" spans="1:6" x14ac:dyDescent="0.25">
      <c r="A407" s="232"/>
      <c r="B407" s="227" t="s">
        <v>2358</v>
      </c>
      <c r="C407" s="858">
        <f t="shared" ca="1" si="107"/>
        <v>3352800</v>
      </c>
      <c r="D407" s="861">
        <f t="shared" ca="1" si="108"/>
        <v>3048000</v>
      </c>
      <c r="E407" s="858">
        <f t="shared" ca="1" si="109"/>
        <v>1006480</v>
      </c>
      <c r="F407" s="857">
        <f t="shared" ca="1" si="110"/>
        <v>0.33020997375328082</v>
      </c>
    </row>
    <row r="408" spans="1:6" x14ac:dyDescent="0.25">
      <c r="A408" s="232"/>
      <c r="B408" s="227" t="s">
        <v>1250</v>
      </c>
      <c r="C408" s="858">
        <f t="shared" ca="1" si="107"/>
        <v>396000.00000000006</v>
      </c>
      <c r="D408" s="861">
        <f t="shared" ca="1" si="108"/>
        <v>360000.00000000006</v>
      </c>
      <c r="E408" s="858">
        <f t="shared" ca="1" si="109"/>
        <v>0</v>
      </c>
      <c r="F408" s="857">
        <f t="shared" ca="1" si="110"/>
        <v>0</v>
      </c>
    </row>
    <row r="409" spans="1:6" x14ac:dyDescent="0.25">
      <c r="B409" s="227" t="s">
        <v>443</v>
      </c>
      <c r="C409" s="858">
        <f t="shared" ca="1" si="107"/>
        <v>2585000</v>
      </c>
      <c r="D409" s="861">
        <f t="shared" ca="1" si="108"/>
        <v>2350000</v>
      </c>
      <c r="E409" s="858">
        <f t="shared" ca="1" si="109"/>
        <v>600000</v>
      </c>
      <c r="F409" s="857">
        <f t="shared" ca="1" si="110"/>
        <v>0.25531914893617019</v>
      </c>
    </row>
    <row r="410" spans="1:6" x14ac:dyDescent="0.25">
      <c r="A410" s="853"/>
      <c r="B410" s="854" t="s">
        <v>3811</v>
      </c>
      <c r="C410" s="855">
        <f ca="1">SUM(C404:C409)</f>
        <v>65118460</v>
      </c>
      <c r="D410" s="855">
        <f ca="1">SUM(D404:D409)</f>
        <v>59198600</v>
      </c>
      <c r="E410" s="855">
        <f ca="1">SUM(E404:E409)</f>
        <v>15991020</v>
      </c>
      <c r="F410" s="567">
        <f t="shared" ref="F410:F417" ca="1" si="111">E410/D410</f>
        <v>0.27012496917156825</v>
      </c>
    </row>
    <row r="411" spans="1:6" x14ac:dyDescent="0.25">
      <c r="A411" s="1019" t="s">
        <v>3828</v>
      </c>
      <c r="B411" s="227" t="s">
        <v>2254</v>
      </c>
      <c r="C411" s="858">
        <f t="shared" ref="C411:C416" ca="1" si="112">SUMIFS(INDIRECT("Report!F100:F10000"),INDIRECT("Report!B100:B10000"),B411,INDIRECT("report!H100:H10000"),"Others",INDIRECT("Report!L100:L10000"),"23,8")</f>
        <v>12279080</v>
      </c>
      <c r="D411" s="861">
        <f t="shared" ref="D411:D423" ca="1" si="113">(C411/11*10)</f>
        <v>11162800</v>
      </c>
      <c r="E411" s="858">
        <f t="shared" ref="E411:E416" ca="1" si="114">SUMIFS(INDIRECT("Report!J100:J10000"),INDIRECT("Report!B100:B10000"),B411,INDIRECT("report!H100:H10000"),"Others",INDIRECT("Report!L100:L10000"),"23,8")</f>
        <v>722400</v>
      </c>
      <c r="F411" s="857">
        <f t="shared" ca="1" si="111"/>
        <v>6.4714946070878271E-2</v>
      </c>
    </row>
    <row r="412" spans="1:6" x14ac:dyDescent="0.25">
      <c r="A412" s="852"/>
      <c r="B412" s="227" t="s">
        <v>2255</v>
      </c>
      <c r="C412" s="858">
        <f t="shared" ca="1" si="112"/>
        <v>43961500</v>
      </c>
      <c r="D412" s="861">
        <f t="shared" ca="1" si="113"/>
        <v>39965000</v>
      </c>
      <c r="E412" s="858">
        <f t="shared" ca="1" si="114"/>
        <v>11501250</v>
      </c>
      <c r="F412" s="857">
        <f t="shared" ca="1" si="111"/>
        <v>0.28778306017765543</v>
      </c>
    </row>
    <row r="413" spans="1:6" x14ac:dyDescent="0.25">
      <c r="A413" s="232"/>
      <c r="B413" s="227" t="s">
        <v>2357</v>
      </c>
      <c r="C413" s="858">
        <f t="shared" ca="1" si="112"/>
        <v>13541000</v>
      </c>
      <c r="D413" s="861">
        <f t="shared" ca="1" si="113"/>
        <v>12310000</v>
      </c>
      <c r="E413" s="858">
        <f t="shared" ca="1" si="114"/>
        <v>3076880</v>
      </c>
      <c r="F413" s="857">
        <f t="shared" ca="1" si="111"/>
        <v>0.24994963444354185</v>
      </c>
    </row>
    <row r="414" spans="1:6" x14ac:dyDescent="0.25">
      <c r="A414" s="232"/>
      <c r="B414" s="227" t="s">
        <v>2358</v>
      </c>
      <c r="C414" s="858">
        <f t="shared" ca="1" si="112"/>
        <v>2569600</v>
      </c>
      <c r="D414" s="861">
        <f t="shared" ca="1" si="113"/>
        <v>2336000</v>
      </c>
      <c r="E414" s="858">
        <f t="shared" ca="1" si="114"/>
        <v>1342448</v>
      </c>
      <c r="F414" s="857">
        <f t="shared" ca="1" si="111"/>
        <v>0.57467808219178085</v>
      </c>
    </row>
    <row r="415" spans="1:6" x14ac:dyDescent="0.25">
      <c r="A415" s="232"/>
      <c r="B415" s="227" t="s">
        <v>1330</v>
      </c>
      <c r="C415" s="858">
        <f t="shared" ca="1" si="112"/>
        <v>957000.00000000012</v>
      </c>
      <c r="D415" s="861">
        <f t="shared" ca="1" si="113"/>
        <v>870000.00000000012</v>
      </c>
      <c r="E415" s="858">
        <f t="shared" ca="1" si="114"/>
        <v>266250</v>
      </c>
      <c r="F415" s="857">
        <f t="shared" ca="1" si="111"/>
        <v>0.30603448275862066</v>
      </c>
    </row>
    <row r="416" spans="1:6" x14ac:dyDescent="0.25">
      <c r="B416" s="227" t="s">
        <v>443</v>
      </c>
      <c r="C416" s="858">
        <f t="shared" ca="1" si="112"/>
        <v>2585000</v>
      </c>
      <c r="D416" s="861">
        <f t="shared" ca="1" si="113"/>
        <v>2350000</v>
      </c>
      <c r="E416" s="858">
        <f t="shared" ca="1" si="114"/>
        <v>600000</v>
      </c>
      <c r="F416" s="857">
        <f t="shared" ca="1" si="111"/>
        <v>0.25531914893617019</v>
      </c>
    </row>
    <row r="417" spans="1:6" x14ac:dyDescent="0.25">
      <c r="A417" s="853"/>
      <c r="B417" s="854" t="s">
        <v>3829</v>
      </c>
      <c r="C417" s="855">
        <f ca="1">SUM(C411:C416)</f>
        <v>75893180</v>
      </c>
      <c r="D417" s="855">
        <f ca="1">SUM(D411:D416)</f>
        <v>68993800</v>
      </c>
      <c r="E417" s="855">
        <f ca="1">SUM(E411:E416)</f>
        <v>17509228</v>
      </c>
      <c r="F417" s="567">
        <f t="shared" ca="1" si="111"/>
        <v>0.25377973093234463</v>
      </c>
    </row>
    <row r="418" spans="1:6" x14ac:dyDescent="0.25">
      <c r="A418" s="1019" t="s">
        <v>3855</v>
      </c>
      <c r="B418" s="227" t="s">
        <v>2254</v>
      </c>
      <c r="C418" s="858">
        <f t="shared" ref="C418:C423" ca="1" si="115">SUMIFS(INDIRECT("Report!F100:F10000"),INDIRECT("Report!B100:B10000"),B418,INDIRECT("report!H100:H10000"),"Others",INDIRECT("Report!L100:L10000"),"23,9")</f>
        <v>9850280</v>
      </c>
      <c r="D418" s="861">
        <f t="shared" ca="1" si="113"/>
        <v>8954800</v>
      </c>
      <c r="E418" s="858">
        <f t="shared" ref="E418:E423" ca="1" si="116">SUMIFS(INDIRECT("Report!J100:J10000"),INDIRECT("Report!B100:B10000"),B418,INDIRECT("report!H100:H10000"),"Others",INDIRECT("Report!L100:L10000"),"23,9")</f>
        <v>656800</v>
      </c>
      <c r="F418" s="857">
        <f t="shared" ref="F418:F424" ca="1" si="117">E418/D418</f>
        <v>7.33461383838835E-2</v>
      </c>
    </row>
    <row r="419" spans="1:6" x14ac:dyDescent="0.25">
      <c r="A419" s="852"/>
      <c r="B419" s="227" t="s">
        <v>2255</v>
      </c>
      <c r="C419" s="858">
        <f t="shared" ca="1" si="115"/>
        <v>46902240</v>
      </c>
      <c r="D419" s="861">
        <f t="shared" ca="1" si="113"/>
        <v>42638400</v>
      </c>
      <c r="E419" s="858">
        <f t="shared" ca="1" si="116"/>
        <v>12978400</v>
      </c>
      <c r="F419" s="857">
        <f t="shared" ca="1" si="117"/>
        <v>0.30438290367368381</v>
      </c>
    </row>
    <row r="420" spans="1:6" x14ac:dyDescent="0.25">
      <c r="A420" s="232"/>
      <c r="B420" s="227" t="s">
        <v>2357</v>
      </c>
      <c r="C420" s="858">
        <f t="shared" ca="1" si="115"/>
        <v>21730500</v>
      </c>
      <c r="D420" s="861">
        <f t="shared" ca="1" si="113"/>
        <v>19755000</v>
      </c>
      <c r="E420" s="858">
        <f t="shared" ca="1" si="116"/>
        <v>4932380</v>
      </c>
      <c r="F420" s="857">
        <f t="shared" ca="1" si="117"/>
        <v>0.24967754998734498</v>
      </c>
    </row>
    <row r="421" spans="1:6" x14ac:dyDescent="0.25">
      <c r="A421" s="232"/>
      <c r="B421" s="227" t="s">
        <v>2358</v>
      </c>
      <c r="C421" s="858">
        <f t="shared" ca="1" si="115"/>
        <v>1777600</v>
      </c>
      <c r="D421" s="861">
        <f t="shared" ca="1" si="113"/>
        <v>1616000</v>
      </c>
      <c r="E421" s="858">
        <f t="shared" ca="1" si="116"/>
        <v>638944</v>
      </c>
      <c r="F421" s="857">
        <f t="shared" ca="1" si="117"/>
        <v>0.3953861386138614</v>
      </c>
    </row>
    <row r="422" spans="1:6" x14ac:dyDescent="0.25">
      <c r="A422" s="232"/>
      <c r="B422" s="227" t="s">
        <v>2597</v>
      </c>
      <c r="C422" s="858">
        <f t="shared" ca="1" si="115"/>
        <v>2145000</v>
      </c>
      <c r="D422" s="861">
        <f t="shared" ca="1" si="113"/>
        <v>1950000</v>
      </c>
      <c r="E422" s="858">
        <f t="shared" ca="1" si="116"/>
        <v>1279695</v>
      </c>
      <c r="F422" s="857">
        <f t="shared" ca="1" si="117"/>
        <v>0.65625384615384619</v>
      </c>
    </row>
    <row r="423" spans="1:6" x14ac:dyDescent="0.25">
      <c r="B423" s="227" t="s">
        <v>443</v>
      </c>
      <c r="C423" s="858">
        <f t="shared" ca="1" si="115"/>
        <v>2585000</v>
      </c>
      <c r="D423" s="861">
        <f t="shared" ca="1" si="113"/>
        <v>2350000</v>
      </c>
      <c r="E423" s="858">
        <f t="shared" ca="1" si="116"/>
        <v>600000</v>
      </c>
      <c r="F423" s="857">
        <f t="shared" ca="1" si="117"/>
        <v>0.25531914893617019</v>
      </c>
    </row>
    <row r="424" spans="1:6" x14ac:dyDescent="0.25">
      <c r="A424" s="853"/>
      <c r="B424" s="854" t="s">
        <v>3829</v>
      </c>
      <c r="C424" s="855">
        <f ca="1">SUM(C418:C423)</f>
        <v>84990620</v>
      </c>
      <c r="D424" s="855">
        <f ca="1">SUM(D418:D423)</f>
        <v>77264200</v>
      </c>
      <c r="E424" s="855">
        <f ca="1">SUM(E418:E423)</f>
        <v>21086219</v>
      </c>
      <c r="F424" s="567">
        <f t="shared" ca="1" si="117"/>
        <v>0.27291059766360098</v>
      </c>
    </row>
    <row r="425" spans="1:6" x14ac:dyDescent="0.25">
      <c r="A425" s="1019" t="s">
        <v>3901</v>
      </c>
      <c r="B425" s="227" t="s">
        <v>2254</v>
      </c>
      <c r="C425" s="858">
        <f t="shared" ref="C425:C430" ca="1" si="118">SUMIFS(INDIRECT("Report!F100:F10000"),INDIRECT("Report!B100:B10000"),B425,INDIRECT("report!H100:H10000"),"Others",INDIRECT("Report!L100:L10000"),"23,10")</f>
        <v>12144440</v>
      </c>
      <c r="D425" s="861">
        <f t="shared" ref="D425" ca="1" si="119">(C425/11*10)</f>
        <v>11040400</v>
      </c>
      <c r="E425" s="858">
        <f t="shared" ref="E425:E430" ca="1" si="120">SUMIFS(INDIRECT("Report!J100:J10000"),INDIRECT("Report!B100:B10000"),B425,INDIRECT("report!H100:H10000"),"Others",INDIRECT("Report!L100:L10000"),"23,10")</f>
        <v>822400</v>
      </c>
      <c r="F425" s="857">
        <f t="shared" ref="F425:F431" ca="1" si="121">E425/D425</f>
        <v>7.4490054708162751E-2</v>
      </c>
    </row>
    <row r="426" spans="1:6" x14ac:dyDescent="0.25">
      <c r="A426" s="852"/>
      <c r="B426" s="227" t="s">
        <v>2255</v>
      </c>
      <c r="C426" s="858">
        <f t="shared" ca="1" si="118"/>
        <v>44486200</v>
      </c>
      <c r="D426" s="861">
        <f t="shared" ref="D426:D430" ca="1" si="122">(C426/11*10)</f>
        <v>40442000</v>
      </c>
      <c r="E426" s="858">
        <f t="shared" ca="1" si="120"/>
        <v>12358500</v>
      </c>
      <c r="F426" s="857">
        <f t="shared" ca="1" si="121"/>
        <v>0.30558577716235596</v>
      </c>
    </row>
    <row r="427" spans="1:6" x14ac:dyDescent="0.25">
      <c r="A427" s="232"/>
      <c r="B427" s="227" t="s">
        <v>2357</v>
      </c>
      <c r="C427" s="858">
        <f t="shared" ca="1" si="118"/>
        <v>11022000</v>
      </c>
      <c r="D427" s="861">
        <f t="shared" ca="1" si="122"/>
        <v>10020000</v>
      </c>
      <c r="E427" s="858">
        <f t="shared" ca="1" si="120"/>
        <v>2759940</v>
      </c>
      <c r="F427" s="857">
        <f t="shared" ca="1" si="121"/>
        <v>0.27544311377245512</v>
      </c>
    </row>
    <row r="428" spans="1:6" x14ac:dyDescent="0.25">
      <c r="A428" s="232"/>
      <c r="B428" s="227" t="s">
        <v>2358</v>
      </c>
      <c r="C428" s="858">
        <f t="shared" ca="1" si="118"/>
        <v>7697800</v>
      </c>
      <c r="D428" s="861">
        <f t="shared" ca="1" si="122"/>
        <v>6998000</v>
      </c>
      <c r="E428" s="858">
        <f t="shared" ca="1" si="120"/>
        <v>3078952</v>
      </c>
      <c r="F428" s="857">
        <f t="shared" ca="1" si="121"/>
        <v>0.43997599314089741</v>
      </c>
    </row>
    <row r="429" spans="1:6" x14ac:dyDescent="0.25">
      <c r="A429" s="232"/>
      <c r="B429" s="227" t="s">
        <v>1330</v>
      </c>
      <c r="C429" s="858">
        <f t="shared" ca="1" si="118"/>
        <v>5856000.4800000004</v>
      </c>
      <c r="D429" s="861">
        <f t="shared" ca="1" si="122"/>
        <v>5323636.8000000007</v>
      </c>
      <c r="E429" s="858">
        <f t="shared" ca="1" si="120"/>
        <v>930436.79999999981</v>
      </c>
      <c r="F429" s="857">
        <f t="shared" ca="1" si="121"/>
        <v>0.17477465780535587</v>
      </c>
    </row>
    <row r="430" spans="1:6" x14ac:dyDescent="0.25">
      <c r="B430" s="227" t="s">
        <v>443</v>
      </c>
      <c r="C430" s="858">
        <f t="shared" ca="1" si="118"/>
        <v>2585000</v>
      </c>
      <c r="D430" s="861">
        <f t="shared" ca="1" si="122"/>
        <v>2350000</v>
      </c>
      <c r="E430" s="858">
        <f t="shared" ca="1" si="120"/>
        <v>600000</v>
      </c>
      <c r="F430" s="857">
        <f t="shared" ca="1" si="121"/>
        <v>0.25531914893617019</v>
      </c>
    </row>
    <row r="431" spans="1:6" x14ac:dyDescent="0.25">
      <c r="A431" s="853"/>
      <c r="B431" s="854" t="s">
        <v>3903</v>
      </c>
      <c r="C431" s="855">
        <f ca="1">SUM(C425:C430)</f>
        <v>83791440.480000004</v>
      </c>
      <c r="D431" s="855">
        <f ca="1">SUM(D425:D430)</f>
        <v>76174036.799999997</v>
      </c>
      <c r="E431" s="855">
        <f ca="1">SUM(E425:E430)</f>
        <v>20550228.800000001</v>
      </c>
      <c r="F431" s="567">
        <f t="shared" ca="1" si="121"/>
        <v>0.2697799626131932</v>
      </c>
    </row>
    <row r="432" spans="1:6" x14ac:dyDescent="0.25">
      <c r="A432" s="1019" t="s">
        <v>3926</v>
      </c>
      <c r="B432" s="227" t="s">
        <v>2254</v>
      </c>
      <c r="C432" s="858">
        <f t="shared" ref="C432:C440" ca="1" si="123">SUMIFS(INDIRECT("Report!F100:F10000"),INDIRECT("Report!B100:B10000"),B432,INDIRECT("report!H100:H10000"),"Others",INDIRECT("Report!L100:L10000"),"23,11")</f>
        <v>17441050</v>
      </c>
      <c r="D432" s="861">
        <f t="shared" ref="D432" ca="1" si="124">(C432/11*10)</f>
        <v>15855500</v>
      </c>
      <c r="E432" s="858">
        <f t="shared" ref="E432:E440" ca="1" si="125">SUMIFS(INDIRECT("Report!J100:J10000"),INDIRECT("Report!B100:B10000"),B432,INDIRECT("report!H100:H10000"),"Others",INDIRECT("Report!L100:L10000"),"23,11")</f>
        <v>1010500</v>
      </c>
      <c r="F432" s="857">
        <f t="shared" ref="F432:F441" ca="1" si="126">E432/D432</f>
        <v>6.3731828072277757E-2</v>
      </c>
    </row>
    <row r="433" spans="1:6" x14ac:dyDescent="0.25">
      <c r="A433" s="852"/>
      <c r="B433" s="227" t="s">
        <v>2255</v>
      </c>
      <c r="C433" s="858">
        <f t="shared" ca="1" si="123"/>
        <v>38029860</v>
      </c>
      <c r="D433" s="861">
        <f t="shared" ref="D433:D440" ca="1" si="127">(C433/11*10)</f>
        <v>34572600</v>
      </c>
      <c r="E433" s="858">
        <f t="shared" ca="1" si="125"/>
        <v>10718700</v>
      </c>
      <c r="F433" s="857">
        <f t="shared" ca="1" si="126"/>
        <v>0.31003453601985387</v>
      </c>
    </row>
    <row r="434" spans="1:6" x14ac:dyDescent="0.25">
      <c r="A434" s="232"/>
      <c r="B434" s="227" t="s">
        <v>2357</v>
      </c>
      <c r="C434" s="858">
        <f t="shared" ca="1" si="123"/>
        <v>10076000</v>
      </c>
      <c r="D434" s="861">
        <f t="shared" ca="1" si="127"/>
        <v>9160000</v>
      </c>
      <c r="E434" s="858">
        <f t="shared" ca="1" si="125"/>
        <v>2880880</v>
      </c>
      <c r="F434" s="857">
        <f t="shared" ca="1" si="126"/>
        <v>0.31450655021834062</v>
      </c>
    </row>
    <row r="435" spans="1:6" x14ac:dyDescent="0.25">
      <c r="A435" s="232"/>
      <c r="B435" s="227" t="s">
        <v>2358</v>
      </c>
      <c r="C435" s="858">
        <f t="shared" ca="1" si="123"/>
        <v>17578000.000000004</v>
      </c>
      <c r="D435" s="861">
        <f t="shared" ca="1" si="127"/>
        <v>15980000.000000002</v>
      </c>
      <c r="E435" s="858">
        <f t="shared" ca="1" si="125"/>
        <v>7073380</v>
      </c>
      <c r="F435" s="857">
        <f t="shared" ca="1" si="126"/>
        <v>0.44263954943679595</v>
      </c>
    </row>
    <row r="436" spans="1:6" x14ac:dyDescent="0.25">
      <c r="A436" s="232"/>
      <c r="B436" s="227" t="s">
        <v>1250</v>
      </c>
      <c r="C436" s="858">
        <f t="shared" ca="1" si="123"/>
        <v>19206000</v>
      </c>
      <c r="D436" s="861">
        <f t="shared" ca="1" si="127"/>
        <v>17460000</v>
      </c>
      <c r="E436" s="858">
        <f t="shared" ca="1" si="125"/>
        <v>8460000</v>
      </c>
      <c r="F436" s="857">
        <f t="shared" ca="1" si="126"/>
        <v>0.4845360824742268</v>
      </c>
    </row>
    <row r="437" spans="1:6" x14ac:dyDescent="0.25">
      <c r="A437" s="232"/>
      <c r="B437" s="227" t="s">
        <v>1631</v>
      </c>
      <c r="C437" s="858">
        <f t="shared" ca="1" si="123"/>
        <v>532400.00000000012</v>
      </c>
      <c r="D437" s="861">
        <f t="shared" ca="1" si="127"/>
        <v>484000.00000000006</v>
      </c>
      <c r="E437" s="858">
        <f t="shared" ca="1" si="125"/>
        <v>229760</v>
      </c>
      <c r="F437" s="857">
        <f t="shared" ca="1" si="126"/>
        <v>0.47471074380165285</v>
      </c>
    </row>
    <row r="438" spans="1:6" x14ac:dyDescent="0.25">
      <c r="A438" s="232"/>
      <c r="B438" s="227" t="s">
        <v>1330</v>
      </c>
      <c r="C438" s="858">
        <f t="shared" ca="1" si="123"/>
        <v>26237999.800000001</v>
      </c>
      <c r="D438" s="861">
        <f t="shared" ca="1" si="127"/>
        <v>23852727.09090909</v>
      </c>
      <c r="E438" s="858">
        <f t="shared" ca="1" si="125"/>
        <v>9972728</v>
      </c>
      <c r="F438" s="857">
        <f t="shared" ca="1" si="126"/>
        <v>0.41809592513221988</v>
      </c>
    </row>
    <row r="439" spans="1:6" x14ac:dyDescent="0.25">
      <c r="A439" s="232"/>
      <c r="B439" s="227" t="s">
        <v>2597</v>
      </c>
      <c r="C439" s="858">
        <f t="shared" ca="1" si="123"/>
        <v>2860000</v>
      </c>
      <c r="D439" s="861">
        <f t="shared" ca="1" si="127"/>
        <v>2600000</v>
      </c>
      <c r="E439" s="858">
        <f t="shared" ca="1" si="125"/>
        <v>1706260</v>
      </c>
      <c r="F439" s="857">
        <f t="shared" ca="1" si="126"/>
        <v>0.65625384615384619</v>
      </c>
    </row>
    <row r="440" spans="1:6" x14ac:dyDescent="0.25">
      <c r="B440" s="227" t="s">
        <v>443</v>
      </c>
      <c r="C440" s="858">
        <f t="shared" ca="1" si="123"/>
        <v>2585000</v>
      </c>
      <c r="D440" s="861">
        <f t="shared" ca="1" si="127"/>
        <v>2350000</v>
      </c>
      <c r="E440" s="858">
        <f t="shared" ca="1" si="125"/>
        <v>600000</v>
      </c>
      <c r="F440" s="857">
        <f t="shared" ca="1" si="126"/>
        <v>0.25531914893617019</v>
      </c>
    </row>
    <row r="441" spans="1:6" x14ac:dyDescent="0.25">
      <c r="A441" s="853"/>
      <c r="B441" s="854" t="s">
        <v>3928</v>
      </c>
      <c r="C441" s="855">
        <f ca="1">SUM(C432:C440)</f>
        <v>134546309.80000001</v>
      </c>
      <c r="D441" s="855">
        <f ca="1">SUM(D432:D440)</f>
        <v>122314827.09090909</v>
      </c>
      <c r="E441" s="855">
        <f ca="1">SUM(E432:E440)</f>
        <v>42652208</v>
      </c>
      <c r="F441" s="567">
        <f t="shared" ca="1" si="126"/>
        <v>0.34870840285208626</v>
      </c>
    </row>
    <row r="442" spans="1:6" x14ac:dyDescent="0.25">
      <c r="A442" s="1019" t="s">
        <v>3970</v>
      </c>
      <c r="B442" s="227" t="s">
        <v>2254</v>
      </c>
      <c r="C442" s="858">
        <f t="shared" ref="C442:C449" ca="1" si="128">SUMIFS(INDIRECT("Report!F100:F10000"),INDIRECT("Report!B100:B10000"),B442,INDIRECT("report!H100:H10000"),"Others",INDIRECT("Report!L100:L10000"),"23,12")</f>
        <v>9223280</v>
      </c>
      <c r="D442" s="861">
        <f t="shared" ref="D442" ca="1" si="129">(C442/11*10)</f>
        <v>8384800</v>
      </c>
      <c r="E442" s="858">
        <f t="shared" ref="E442:E449" ca="1" si="130">SUMIFS(INDIRECT("Report!J100:J10000"),INDIRECT("Report!B100:B10000"),B442,INDIRECT("report!H100:H10000"),"Others",INDIRECT("Report!L100:L10000"),"23,12")</f>
        <v>626800</v>
      </c>
      <c r="F442" s="857">
        <f t="shared" ref="F442:F450" ca="1" si="131">E442/D442</f>
        <v>7.4754317336132053E-2</v>
      </c>
    </row>
    <row r="443" spans="1:6" x14ac:dyDescent="0.25">
      <c r="A443" s="852"/>
      <c r="B443" s="227" t="s">
        <v>2255</v>
      </c>
      <c r="C443" s="858">
        <f t="shared" ca="1" si="128"/>
        <v>43501920</v>
      </c>
      <c r="D443" s="861">
        <f t="shared" ref="D443:D449" ca="1" si="132">(C443/11*10)</f>
        <v>39547200</v>
      </c>
      <c r="E443" s="858">
        <f t="shared" ca="1" si="130"/>
        <v>11805800</v>
      </c>
      <c r="F443" s="857">
        <f t="shared" ca="1" si="131"/>
        <v>0.29852429501962213</v>
      </c>
    </row>
    <row r="444" spans="1:6" x14ac:dyDescent="0.25">
      <c r="A444" s="232"/>
      <c r="B444" s="227" t="s">
        <v>2357</v>
      </c>
      <c r="C444" s="858">
        <f t="shared" ca="1" si="128"/>
        <v>17391000</v>
      </c>
      <c r="D444" s="861">
        <f t="shared" ca="1" si="132"/>
        <v>15810000</v>
      </c>
      <c r="E444" s="858">
        <f t="shared" ca="1" si="130"/>
        <v>3642880</v>
      </c>
      <c r="F444" s="857">
        <f t="shared" ca="1" si="131"/>
        <v>0.23041619228336496</v>
      </c>
    </row>
    <row r="445" spans="1:6" x14ac:dyDescent="0.25">
      <c r="A445" s="232"/>
      <c r="B445" s="227" t="s">
        <v>2358</v>
      </c>
      <c r="C445" s="858">
        <f t="shared" ca="1" si="128"/>
        <v>5011600</v>
      </c>
      <c r="D445" s="861">
        <f t="shared" ca="1" si="132"/>
        <v>4556000</v>
      </c>
      <c r="E445" s="858">
        <f t="shared" ca="1" si="130"/>
        <v>1780072</v>
      </c>
      <c r="F445" s="857">
        <f t="shared" ca="1" si="131"/>
        <v>0.39070939420544337</v>
      </c>
    </row>
    <row r="446" spans="1:6" x14ac:dyDescent="0.25">
      <c r="A446" s="232"/>
      <c r="B446" s="227" t="s">
        <v>1250</v>
      </c>
      <c r="C446" s="858">
        <f t="shared" ca="1" si="128"/>
        <v>198000.00000000003</v>
      </c>
      <c r="D446" s="861">
        <f t="shared" ca="1" si="132"/>
        <v>180000.00000000003</v>
      </c>
      <c r="E446" s="858">
        <f t="shared" ca="1" si="130"/>
        <v>16000</v>
      </c>
      <c r="F446" s="857">
        <f t="shared" ca="1" si="131"/>
        <v>8.8888888888888878E-2</v>
      </c>
    </row>
    <row r="447" spans="1:6" x14ac:dyDescent="0.25">
      <c r="A447" s="232"/>
      <c r="B447" s="227" t="s">
        <v>3997</v>
      </c>
      <c r="C447" s="858">
        <f t="shared" ca="1" si="128"/>
        <v>2992000</v>
      </c>
      <c r="D447" s="861">
        <f t="shared" ca="1" si="132"/>
        <v>2720000</v>
      </c>
      <c r="E447" s="858">
        <f t="shared" ca="1" si="130"/>
        <v>1220000</v>
      </c>
      <c r="F447" s="857">
        <f t="shared" ca="1" si="131"/>
        <v>0.4485294117647059</v>
      </c>
    </row>
    <row r="448" spans="1:6" x14ac:dyDescent="0.25">
      <c r="A448" s="232"/>
      <c r="B448" s="227" t="s">
        <v>1330</v>
      </c>
      <c r="C448" s="858">
        <f t="shared" ca="1" si="128"/>
        <v>54400999.950000003</v>
      </c>
      <c r="D448" s="861">
        <f t="shared" ca="1" si="132"/>
        <v>49455454.5</v>
      </c>
      <c r="E448" s="858">
        <f t="shared" ca="1" si="130"/>
        <v>1841154.5</v>
      </c>
      <c r="F448" s="857">
        <f t="shared" ca="1" si="131"/>
        <v>3.7228542708064687E-2</v>
      </c>
    </row>
    <row r="449" spans="1:6" x14ac:dyDescent="0.25">
      <c r="B449" s="227" t="s">
        <v>443</v>
      </c>
      <c r="C449" s="858">
        <f t="shared" ca="1" si="128"/>
        <v>2585000</v>
      </c>
      <c r="D449" s="861">
        <f t="shared" ca="1" si="132"/>
        <v>2350000</v>
      </c>
      <c r="E449" s="858">
        <f t="shared" ca="1" si="130"/>
        <v>600000</v>
      </c>
      <c r="F449" s="857">
        <f t="shared" ca="1" si="131"/>
        <v>0.25531914893617019</v>
      </c>
    </row>
    <row r="450" spans="1:6" x14ac:dyDescent="0.25">
      <c r="A450" s="853"/>
      <c r="B450" s="854" t="s">
        <v>3968</v>
      </c>
      <c r="C450" s="855">
        <f ca="1">SUM(C442:C449)</f>
        <v>135303799.94999999</v>
      </c>
      <c r="D450" s="855">
        <f ca="1">SUM(D442:D449)</f>
        <v>123003454.5</v>
      </c>
      <c r="E450" s="855">
        <f ca="1">SUM(E442:E449)</f>
        <v>21532706.5</v>
      </c>
      <c r="F450" s="567">
        <f t="shared" ca="1" si="131"/>
        <v>0.17505773791092996</v>
      </c>
    </row>
    <row r="451" spans="1:6" x14ac:dyDescent="0.25">
      <c r="A451" s="1019" t="s">
        <v>3998</v>
      </c>
      <c r="B451" s="227" t="s">
        <v>2254</v>
      </c>
      <c r="C451" s="858">
        <f t="shared" ref="C451:C456" ca="1" si="133">SUMIFS(INDIRECT("Report!F100:F10000"),INDIRECT("Report!B100:B10000"),B451,INDIRECT("report!H100:H10000"),"Others",INDIRECT("Report!L100:L10000"),"24,1")</f>
        <v>16110600</v>
      </c>
      <c r="D451" s="861">
        <f t="shared" ref="D451" ca="1" si="134">(C451/11*10)</f>
        <v>14646000</v>
      </c>
      <c r="E451" s="858">
        <f t="shared" ref="E451:E456" ca="1" si="135">SUMIFS(INDIRECT("Report!J100:J10000"),INDIRECT("Report!B100:B10000"),B451,INDIRECT("report!H100:H10000"),"Others",INDIRECT("Report!L100:L10000"),"24,1")</f>
        <v>1068000</v>
      </c>
      <c r="F451" s="857">
        <f t="shared" ref="F451:F457" ca="1" si="136">E451/D451</f>
        <v>7.2920934043424826E-2</v>
      </c>
    </row>
    <row r="452" spans="1:6" x14ac:dyDescent="0.25">
      <c r="A452" s="852"/>
      <c r="B452" s="227" t="s">
        <v>2255</v>
      </c>
      <c r="C452" s="858">
        <f t="shared" ca="1" si="133"/>
        <v>33203280.000000004</v>
      </c>
      <c r="D452" s="861">
        <f t="shared" ref="D452:D456" ca="1" si="137">(C452/11*10)</f>
        <v>30184800.000000004</v>
      </c>
      <c r="E452" s="858">
        <f t="shared" ca="1" si="135"/>
        <v>8861700</v>
      </c>
      <c r="F452" s="857">
        <f t="shared" ref="F452:F456" ca="1" si="138">E452/D452</f>
        <v>0.29358153772759799</v>
      </c>
    </row>
    <row r="453" spans="1:6" x14ac:dyDescent="0.25">
      <c r="A453" s="232"/>
      <c r="B453" s="227" t="s">
        <v>2357</v>
      </c>
      <c r="C453" s="858">
        <f t="shared" ca="1" si="133"/>
        <v>15427500</v>
      </c>
      <c r="D453" s="861">
        <f t="shared" ca="1" si="137"/>
        <v>14025000</v>
      </c>
      <c r="E453" s="858">
        <f t="shared" ca="1" si="135"/>
        <v>3825380</v>
      </c>
      <c r="F453" s="857">
        <f t="shared" ca="1" si="138"/>
        <v>0.27275436720142604</v>
      </c>
    </row>
    <row r="454" spans="1:6" x14ac:dyDescent="0.25">
      <c r="A454" s="232"/>
      <c r="B454" s="227" t="s">
        <v>2358</v>
      </c>
      <c r="C454" s="858">
        <f t="shared" ca="1" si="133"/>
        <v>1293600</v>
      </c>
      <c r="D454" s="861">
        <f t="shared" ca="1" si="137"/>
        <v>1176000</v>
      </c>
      <c r="E454" s="858">
        <f t="shared" ca="1" si="135"/>
        <v>441480</v>
      </c>
      <c r="F454" s="857">
        <f t="shared" ca="1" si="138"/>
        <v>0.37540816326530613</v>
      </c>
    </row>
    <row r="455" spans="1:6" x14ac:dyDescent="0.25">
      <c r="A455" s="232"/>
      <c r="B455" s="227" t="s">
        <v>1330</v>
      </c>
      <c r="C455" s="858">
        <f t="shared" ca="1" si="133"/>
        <v>488000.7</v>
      </c>
      <c r="D455" s="861">
        <f t="shared" ca="1" si="137"/>
        <v>443637.00000000006</v>
      </c>
      <c r="E455" s="858">
        <f t="shared" ca="1" si="135"/>
        <v>77637</v>
      </c>
      <c r="F455" s="857">
        <f t="shared" ca="1" si="138"/>
        <v>0.17500118339994183</v>
      </c>
    </row>
    <row r="456" spans="1:6" x14ac:dyDescent="0.25">
      <c r="B456" s="227" t="s">
        <v>443</v>
      </c>
      <c r="C456" s="858">
        <f t="shared" ca="1" si="133"/>
        <v>2585000</v>
      </c>
      <c r="D456" s="861">
        <f t="shared" ca="1" si="137"/>
        <v>2350000</v>
      </c>
      <c r="E456" s="858">
        <f t="shared" ca="1" si="135"/>
        <v>600000</v>
      </c>
      <c r="F456" s="857">
        <f t="shared" ca="1" si="138"/>
        <v>0.25531914893617019</v>
      </c>
    </row>
    <row r="457" spans="1:6" x14ac:dyDescent="0.25">
      <c r="A457" s="853"/>
      <c r="B457" s="854" t="s">
        <v>4000</v>
      </c>
      <c r="C457" s="855">
        <f ca="1">SUM(C451:C456)</f>
        <v>69107980.700000003</v>
      </c>
      <c r="D457" s="855">
        <f ca="1">SUM(D451:D456)</f>
        <v>62825437</v>
      </c>
      <c r="E457" s="855">
        <f ca="1">SUM(E451:E456)</f>
        <v>14874197</v>
      </c>
      <c r="F457" s="567">
        <f t="shared" ca="1" si="136"/>
        <v>0.23675437386929757</v>
      </c>
    </row>
    <row r="458" spans="1:6" x14ac:dyDescent="0.25">
      <c r="A458" s="1019" t="s">
        <v>4022</v>
      </c>
      <c r="B458" s="227" t="s">
        <v>2254</v>
      </c>
      <c r="C458" s="858">
        <f t="shared" ref="C458:C463" ca="1" si="139">SUMIFS(INDIRECT("Report!F100:F10000"),INDIRECT("Report!B100:B10000"),B458,INDIRECT("report!H100:H10000"),"Others",INDIRECT("Report!L100:L10000"),"24,2")</f>
        <v>10652840</v>
      </c>
      <c r="D458" s="861">
        <f t="shared" ref="D458" ca="1" si="140">(C458/11*10)</f>
        <v>9684400</v>
      </c>
      <c r="E458" s="858">
        <f t="shared" ref="E458:E463" ca="1" si="141">SUMIFS(INDIRECT("Report!J100:J10000"),INDIRECT("Report!B100:B10000"),B458,INDIRECT("report!H100:H10000"),"Others",INDIRECT("Report!L100:L10000"),"24,2")</f>
        <v>722400</v>
      </c>
      <c r="F458" s="857">
        <f t="shared" ref="F458:F464" ca="1" si="142">E458/D458</f>
        <v>7.4594192722316308E-2</v>
      </c>
    </row>
    <row r="459" spans="1:6" x14ac:dyDescent="0.25">
      <c r="A459" s="852"/>
      <c r="B459" s="227" t="s">
        <v>2255</v>
      </c>
      <c r="C459" s="858">
        <f t="shared" ca="1" si="139"/>
        <v>38999620</v>
      </c>
      <c r="D459" s="861">
        <f t="shared" ref="D459:D463" ca="1" si="143">(C459/11*10)</f>
        <v>35454200</v>
      </c>
      <c r="E459" s="858">
        <f t="shared" ca="1" si="141"/>
        <v>10787100</v>
      </c>
      <c r="F459" s="857">
        <f t="shared" ca="1" si="142"/>
        <v>0.30425450299259327</v>
      </c>
    </row>
    <row r="460" spans="1:6" x14ac:dyDescent="0.25">
      <c r="A460" s="232"/>
      <c r="B460" s="227" t="s">
        <v>2357</v>
      </c>
      <c r="C460" s="858">
        <f t="shared" ca="1" si="139"/>
        <v>16027000</v>
      </c>
      <c r="D460" s="861">
        <f t="shared" ca="1" si="143"/>
        <v>14570000</v>
      </c>
      <c r="E460" s="858">
        <f t="shared" ca="1" si="141"/>
        <v>2806940</v>
      </c>
      <c r="F460" s="857">
        <f t="shared" ca="1" si="142"/>
        <v>0.19265202470830473</v>
      </c>
    </row>
    <row r="461" spans="1:6" x14ac:dyDescent="0.25">
      <c r="A461" s="232"/>
      <c r="B461" s="227" t="s">
        <v>2358</v>
      </c>
      <c r="C461" s="858">
        <f t="shared" ca="1" si="139"/>
        <v>5220600</v>
      </c>
      <c r="D461" s="861">
        <f t="shared" ca="1" si="143"/>
        <v>4746000</v>
      </c>
      <c r="E461" s="858">
        <f t="shared" ca="1" si="141"/>
        <v>2156968</v>
      </c>
      <c r="F461" s="857">
        <f t="shared" ca="1" si="142"/>
        <v>0.4544812473662031</v>
      </c>
    </row>
    <row r="462" spans="1:6" x14ac:dyDescent="0.25">
      <c r="A462" s="232"/>
      <c r="B462" s="227" t="s">
        <v>2597</v>
      </c>
      <c r="C462" s="858">
        <f t="shared" ca="1" si="139"/>
        <v>2860000</v>
      </c>
      <c r="D462" s="861">
        <f t="shared" ca="1" si="143"/>
        <v>2600000</v>
      </c>
      <c r="E462" s="858">
        <f t="shared" ca="1" si="141"/>
        <v>1706260</v>
      </c>
      <c r="F462" s="857">
        <f t="shared" ca="1" si="142"/>
        <v>0.65625384615384619</v>
      </c>
    </row>
    <row r="463" spans="1:6" x14ac:dyDescent="0.25">
      <c r="B463" s="227" t="s">
        <v>443</v>
      </c>
      <c r="C463" s="858">
        <f t="shared" ca="1" si="139"/>
        <v>2585000</v>
      </c>
      <c r="D463" s="861">
        <f t="shared" ca="1" si="143"/>
        <v>2350000</v>
      </c>
      <c r="E463" s="858">
        <f t="shared" ca="1" si="141"/>
        <v>600000</v>
      </c>
      <c r="F463" s="857">
        <f t="shared" ca="1" si="142"/>
        <v>0.25531914893617019</v>
      </c>
    </row>
    <row r="464" spans="1:6" x14ac:dyDescent="0.25">
      <c r="A464" s="853"/>
      <c r="B464" s="854" t="s">
        <v>4024</v>
      </c>
      <c r="C464" s="855">
        <f ca="1">SUM(C458:C463)</f>
        <v>76345060</v>
      </c>
      <c r="D464" s="855">
        <f ca="1">SUM(D458:D463)</f>
        <v>69404600</v>
      </c>
      <c r="E464" s="855">
        <f ca="1">SUM(E458:E463)</f>
        <v>18779668</v>
      </c>
      <c r="F464" s="567">
        <f t="shared" ca="1" si="142"/>
        <v>0.27058246859718232</v>
      </c>
    </row>
    <row r="465" spans="1:6" x14ac:dyDescent="0.25">
      <c r="A465" s="1019" t="s">
        <v>4053</v>
      </c>
      <c r="B465" s="227" t="s">
        <v>2254</v>
      </c>
      <c r="C465" s="858">
        <f t="shared" ref="C465:C471" ca="1" si="144">SUMIFS(INDIRECT("Report!F100:F10000"),INDIRECT("Report!B100:B10000"),B465,INDIRECT("report!H100:H10000"),"Others",INDIRECT("Report!L100:L10000"),"24,3")</f>
        <v>8912640</v>
      </c>
      <c r="D465" s="861">
        <f t="shared" ref="D465" ca="1" si="145">(C465/11*10)</f>
        <v>8102400</v>
      </c>
      <c r="E465" s="858">
        <f t="shared" ref="E465:E471" ca="1" si="146">SUMIFS(INDIRECT("Report!J100:J10000"),INDIRECT("Report!B100:B10000"),B465,INDIRECT("report!H100:H10000"),"Others",INDIRECT("Report!L100:L10000"),"24,3")</f>
        <v>602400</v>
      </c>
      <c r="F465" s="857">
        <f t="shared" ref="F465:F472" ca="1" si="147">E465/D465</f>
        <v>7.4348341232227486E-2</v>
      </c>
    </row>
    <row r="466" spans="1:6" x14ac:dyDescent="0.25">
      <c r="A466" s="852"/>
      <c r="B466" s="227" t="s">
        <v>2255</v>
      </c>
      <c r="C466" s="858">
        <f t="shared" ca="1" si="144"/>
        <v>35884860</v>
      </c>
      <c r="D466" s="861">
        <f t="shared" ref="D466:D471" ca="1" si="148">(C466/11*10)</f>
        <v>32622600</v>
      </c>
      <c r="E466" s="858">
        <f t="shared" ca="1" si="146"/>
        <v>9930700</v>
      </c>
      <c r="F466" s="857">
        <f t="shared" ca="1" si="147"/>
        <v>0.30441166553248361</v>
      </c>
    </row>
    <row r="467" spans="1:6" x14ac:dyDescent="0.25">
      <c r="A467" s="232"/>
      <c r="B467" s="227" t="s">
        <v>2357</v>
      </c>
      <c r="C467" s="858">
        <f t="shared" ca="1" si="144"/>
        <v>17165500</v>
      </c>
      <c r="D467" s="861">
        <f t="shared" ca="1" si="148"/>
        <v>15605000</v>
      </c>
      <c r="E467" s="858">
        <f t="shared" ca="1" si="146"/>
        <v>4454880</v>
      </c>
      <c r="F467" s="857">
        <f t="shared" ca="1" si="147"/>
        <v>0.28547773149631528</v>
      </c>
    </row>
    <row r="468" spans="1:6" x14ac:dyDescent="0.25">
      <c r="A468" s="232"/>
      <c r="B468" s="227" t="s">
        <v>2358</v>
      </c>
      <c r="C468" s="858">
        <f t="shared" ca="1" si="144"/>
        <v>3795000</v>
      </c>
      <c r="D468" s="861">
        <f t="shared" ca="1" si="148"/>
        <v>3450000</v>
      </c>
      <c r="E468" s="858">
        <f t="shared" ca="1" si="146"/>
        <v>1478448</v>
      </c>
      <c r="F468" s="857">
        <f t="shared" ca="1" si="147"/>
        <v>0.42853565217391304</v>
      </c>
    </row>
    <row r="469" spans="1:6" x14ac:dyDescent="0.25">
      <c r="A469" s="232"/>
      <c r="B469" s="227" t="s">
        <v>1346</v>
      </c>
      <c r="C469" s="858">
        <f t="shared" ca="1" si="144"/>
        <v>2310000</v>
      </c>
      <c r="D469" s="861">
        <f t="shared" ca="1" si="148"/>
        <v>2100000</v>
      </c>
      <c r="E469" s="858">
        <f t="shared" ca="1" si="146"/>
        <v>275000</v>
      </c>
      <c r="F469" s="857">
        <f t="shared" ca="1" si="147"/>
        <v>0.13095238095238096</v>
      </c>
    </row>
    <row r="470" spans="1:6" x14ac:dyDescent="0.25">
      <c r="A470" s="232"/>
      <c r="B470" s="227" t="s">
        <v>1330</v>
      </c>
      <c r="C470" s="858">
        <f t="shared" ca="1" si="144"/>
        <v>10680000.100000001</v>
      </c>
      <c r="D470" s="861">
        <f t="shared" ca="1" si="148"/>
        <v>9709091</v>
      </c>
      <c r="E470" s="858">
        <f t="shared" ca="1" si="146"/>
        <v>2871091</v>
      </c>
      <c r="F470" s="857">
        <f t="shared" ca="1" si="147"/>
        <v>0.29571161708135191</v>
      </c>
    </row>
    <row r="471" spans="1:6" x14ac:dyDescent="0.25">
      <c r="B471" s="227" t="s">
        <v>443</v>
      </c>
      <c r="C471" s="858">
        <f t="shared" ca="1" si="144"/>
        <v>2822600</v>
      </c>
      <c r="D471" s="861">
        <f t="shared" ca="1" si="148"/>
        <v>2566000</v>
      </c>
      <c r="E471" s="858">
        <f t="shared" ca="1" si="146"/>
        <v>635200</v>
      </c>
      <c r="F471" s="857">
        <f t="shared" ca="1" si="147"/>
        <v>0.24754481683554169</v>
      </c>
    </row>
    <row r="472" spans="1:6" x14ac:dyDescent="0.25">
      <c r="A472" s="853"/>
      <c r="B472" s="854" t="s">
        <v>4055</v>
      </c>
      <c r="C472" s="855">
        <f ca="1">SUM(C465:C471)</f>
        <v>81570600.099999994</v>
      </c>
      <c r="D472" s="855">
        <f ca="1">SUM(D465:D471)</f>
        <v>74155091</v>
      </c>
      <c r="E472" s="855">
        <f ca="1">SUM(E465:E471)</f>
        <v>20247719</v>
      </c>
      <c r="F472" s="567">
        <f t="shared" ca="1" si="147"/>
        <v>0.27304556877962699</v>
      </c>
    </row>
    <row r="473" spans="1:6" x14ac:dyDescent="0.25">
      <c r="A473" s="1019" t="s">
        <v>4081</v>
      </c>
      <c r="B473" s="227" t="s">
        <v>2254</v>
      </c>
      <c r="C473" s="858">
        <f t="shared" ref="C473:C478" ca="1" si="149">SUMIFS(INDIRECT("Report!F100:F10000"),INDIRECT("Report!B100:B10000"),B473,INDIRECT("report!H100:H10000"),"Others",INDIRECT("Report!L100:L10000"),"24,4")</f>
        <v>16768400</v>
      </c>
      <c r="D473" s="861">
        <f t="shared" ref="D473" ca="1" si="150">(C473/11*10)</f>
        <v>15244000</v>
      </c>
      <c r="E473" s="858">
        <f t="shared" ref="E473:E478" ca="1" si="151">SUMIFS(INDIRECT("Report!J100:J10000"),INDIRECT("Report!B100:B10000"),B473,INDIRECT("report!H100:H10000"),"Others",INDIRECT("Report!L100:L10000"),"24,4")</f>
        <v>1138000</v>
      </c>
      <c r="F473" s="857">
        <f t="shared" ref="F473:F479" ca="1" si="152">E473/D473</f>
        <v>7.4652322225137763E-2</v>
      </c>
    </row>
    <row r="474" spans="1:6" x14ac:dyDescent="0.25">
      <c r="A474" s="852"/>
      <c r="B474" s="227" t="s">
        <v>2255</v>
      </c>
      <c r="C474" s="858">
        <f t="shared" ca="1" si="149"/>
        <v>25102000</v>
      </c>
      <c r="D474" s="861">
        <f t="shared" ref="D474:D478" ca="1" si="153">(C474/11*10)</f>
        <v>22820000</v>
      </c>
      <c r="E474" s="858">
        <f t="shared" ca="1" si="151"/>
        <v>7040400</v>
      </c>
      <c r="F474" s="857">
        <f t="shared" ca="1" si="152"/>
        <v>0.30851884312007011</v>
      </c>
    </row>
    <row r="475" spans="1:6" x14ac:dyDescent="0.25">
      <c r="A475" s="232"/>
      <c r="B475" s="227" t="s">
        <v>2357</v>
      </c>
      <c r="C475" s="858">
        <f t="shared" ca="1" si="149"/>
        <v>13079000</v>
      </c>
      <c r="D475" s="861">
        <f t="shared" ca="1" si="153"/>
        <v>11890000</v>
      </c>
      <c r="E475" s="858">
        <f t="shared" ca="1" si="151"/>
        <v>2965880</v>
      </c>
      <c r="F475" s="857">
        <f t="shared" ca="1" si="152"/>
        <v>0.24944322960470985</v>
      </c>
    </row>
    <row r="476" spans="1:6" x14ac:dyDescent="0.25">
      <c r="A476" s="232"/>
      <c r="B476" s="227" t="s">
        <v>2358</v>
      </c>
      <c r="C476" s="858">
        <f t="shared" ca="1" si="149"/>
        <v>3154800</v>
      </c>
      <c r="D476" s="861">
        <f t="shared" ca="1" si="153"/>
        <v>2868000</v>
      </c>
      <c r="E476" s="858">
        <f t="shared" ca="1" si="151"/>
        <v>1316448</v>
      </c>
      <c r="F476" s="857">
        <f t="shared" ca="1" si="152"/>
        <v>0.45901255230125521</v>
      </c>
    </row>
    <row r="477" spans="1:6" x14ac:dyDescent="0.25">
      <c r="A477" s="232"/>
      <c r="B477" s="227" t="s">
        <v>1330</v>
      </c>
      <c r="C477" s="858">
        <f t="shared" ca="1" si="149"/>
        <v>1914000.0000000002</v>
      </c>
      <c r="D477" s="861">
        <f t="shared" ca="1" si="153"/>
        <v>1740000.0000000002</v>
      </c>
      <c r="E477" s="858">
        <f t="shared" ca="1" si="151"/>
        <v>532500</v>
      </c>
      <c r="F477" s="857">
        <f t="shared" ca="1" si="152"/>
        <v>0.30603448275862066</v>
      </c>
    </row>
    <row r="478" spans="1:6" x14ac:dyDescent="0.25">
      <c r="B478" s="227" t="s">
        <v>443</v>
      </c>
      <c r="C478" s="858">
        <f t="shared" ca="1" si="149"/>
        <v>2585000</v>
      </c>
      <c r="D478" s="861">
        <f t="shared" ca="1" si="153"/>
        <v>2350000</v>
      </c>
      <c r="E478" s="858">
        <f t="shared" ca="1" si="151"/>
        <v>600000</v>
      </c>
      <c r="F478" s="857">
        <f t="shared" ca="1" si="152"/>
        <v>0.25531914893617019</v>
      </c>
    </row>
    <row r="479" spans="1:6" x14ac:dyDescent="0.25">
      <c r="A479" s="853"/>
      <c r="B479" s="854" t="s">
        <v>4083</v>
      </c>
      <c r="C479" s="855">
        <f ca="1">SUM(C473:C478)</f>
        <v>62603200</v>
      </c>
      <c r="D479" s="855">
        <f ca="1">SUM(D473:D478)</f>
        <v>56912000</v>
      </c>
      <c r="E479" s="855">
        <f ca="1">SUM(E473:E478)</f>
        <v>13593228</v>
      </c>
      <c r="F479" s="567">
        <f t="shared" ca="1" si="152"/>
        <v>0.23884642957548496</v>
      </c>
    </row>
    <row r="480" spans="1:6" x14ac:dyDescent="0.25">
      <c r="A480" s="1019" t="s">
        <v>4096</v>
      </c>
      <c r="B480" s="227" t="s">
        <v>2254</v>
      </c>
      <c r="C480" s="858">
        <f t="shared" ref="C480:C485" ca="1" si="154">SUMIFS(INDIRECT("Report!F100:F10000"),INDIRECT("Report!B100:B10000"),B480,INDIRECT("report!H100:H10000"),"Others",INDIRECT("Report!L100:L10000"),"24,5")</f>
        <v>12144440</v>
      </c>
      <c r="D480" s="861">
        <f t="shared" ref="D480" ca="1" si="155">(C480/11*10)</f>
        <v>11040400</v>
      </c>
      <c r="E480" s="858">
        <f t="shared" ref="E480:E485" ca="1" si="156">SUMIFS(INDIRECT("Report!J100:J10000"),INDIRECT("Report!B100:B10000"),B480,INDIRECT("report!H100:H10000"),"Others",INDIRECT("Report!L100:L10000"),"24,5")</f>
        <v>822400</v>
      </c>
      <c r="F480" s="857">
        <f t="shared" ref="F480:F486" ca="1" si="157">E480/D480</f>
        <v>7.4490054708162751E-2</v>
      </c>
    </row>
    <row r="481" spans="1:6" x14ac:dyDescent="0.25">
      <c r="A481" s="852"/>
      <c r="B481" s="227" t="s">
        <v>2255</v>
      </c>
      <c r="C481" s="858">
        <f t="shared" ca="1" si="154"/>
        <v>23326600</v>
      </c>
      <c r="D481" s="861">
        <f t="shared" ref="D481:D485" ca="1" si="158">(C481/11*10)</f>
        <v>21206000</v>
      </c>
      <c r="E481" s="858">
        <f t="shared" ca="1" si="156"/>
        <v>6833200</v>
      </c>
      <c r="F481" s="857">
        <f t="shared" ca="1" si="157"/>
        <v>0.32222955767235689</v>
      </c>
    </row>
    <row r="482" spans="1:6" x14ac:dyDescent="0.25">
      <c r="A482" s="232"/>
      <c r="B482" s="227" t="s">
        <v>2357</v>
      </c>
      <c r="C482" s="858">
        <f t="shared" ca="1" si="154"/>
        <v>17662700</v>
      </c>
      <c r="D482" s="861">
        <f t="shared" ca="1" si="158"/>
        <v>16057000</v>
      </c>
      <c r="E482" s="858">
        <f t="shared" ca="1" si="156"/>
        <v>3326200</v>
      </c>
      <c r="F482" s="857">
        <f t="shared" ca="1" si="157"/>
        <v>0.20714952980008719</v>
      </c>
    </row>
    <row r="483" spans="1:6" x14ac:dyDescent="0.25">
      <c r="A483" s="232"/>
      <c r="B483" s="227" t="s">
        <v>2358</v>
      </c>
      <c r="C483" s="858">
        <f t="shared" ca="1" si="154"/>
        <v>3788400</v>
      </c>
      <c r="D483" s="861">
        <f t="shared" ca="1" si="158"/>
        <v>3444000</v>
      </c>
      <c r="E483" s="858">
        <f t="shared" ca="1" si="156"/>
        <v>1342632</v>
      </c>
      <c r="F483" s="857">
        <f t="shared" ca="1" si="157"/>
        <v>0.38984668989547039</v>
      </c>
    </row>
    <row r="484" spans="1:6" x14ac:dyDescent="0.25">
      <c r="A484" s="232"/>
      <c r="B484" s="227" t="s">
        <v>2598</v>
      </c>
      <c r="C484" s="858">
        <f t="shared" ca="1" si="154"/>
        <v>137500</v>
      </c>
      <c r="D484" s="861">
        <f t="shared" ca="1" si="158"/>
        <v>125000</v>
      </c>
      <c r="E484" s="858">
        <f t="shared" ca="1" si="156"/>
        <v>0</v>
      </c>
      <c r="F484" s="857">
        <f t="shared" ca="1" si="157"/>
        <v>0</v>
      </c>
    </row>
    <row r="485" spans="1:6" x14ac:dyDescent="0.25">
      <c r="B485" s="227" t="s">
        <v>443</v>
      </c>
      <c r="C485" s="858">
        <f t="shared" ca="1" si="154"/>
        <v>2585000</v>
      </c>
      <c r="D485" s="861">
        <f t="shared" ca="1" si="158"/>
        <v>2350000</v>
      </c>
      <c r="E485" s="858">
        <f t="shared" ca="1" si="156"/>
        <v>600000</v>
      </c>
      <c r="F485" s="857">
        <f t="shared" ca="1" si="157"/>
        <v>0.25531914893617019</v>
      </c>
    </row>
    <row r="486" spans="1:6" x14ac:dyDescent="0.25">
      <c r="A486" s="853"/>
      <c r="B486" s="854" t="s">
        <v>4098</v>
      </c>
      <c r="C486" s="855">
        <f ca="1">SUM(C480:C485)</f>
        <v>59644640</v>
      </c>
      <c r="D486" s="855">
        <f ca="1">SUM(D480:D485)</f>
        <v>54222400</v>
      </c>
      <c r="E486" s="855">
        <f ca="1">SUM(E480:E485)</f>
        <v>12924432</v>
      </c>
      <c r="F486" s="567">
        <f t="shared" ca="1" si="157"/>
        <v>0.23835964472247631</v>
      </c>
    </row>
    <row r="487" spans="1:6" x14ac:dyDescent="0.25">
      <c r="A487" s="1019" t="s">
        <v>4120</v>
      </c>
      <c r="B487" s="227" t="s">
        <v>2254</v>
      </c>
      <c r="C487" s="858">
        <f t="shared" ref="C487:C493" ca="1" si="159">SUMIFS(INDIRECT("Report!F100:F10000"),INDIRECT("Report!B100:B10000"),B487,INDIRECT("report!H100:H10000"),"Others",INDIRECT("Report!L100:L10000"),"24,6")</f>
        <v>15166870.400000002</v>
      </c>
      <c r="D487" s="861">
        <f t="shared" ref="D487" ca="1" si="160">(C487/11*10)</f>
        <v>13788064.000000002</v>
      </c>
      <c r="E487" s="858">
        <f t="shared" ref="E487:E493" ca="1" si="161">SUMIFS(INDIRECT("Report!J100:J10000"),INDIRECT("Report!B100:B10000"),B487,INDIRECT("report!H100:H10000"),"Others",INDIRECT("Report!L100:L10000"),"24,6")</f>
        <v>1003744</v>
      </c>
      <c r="F487" s="857">
        <f t="shared" ref="F487:F494" ca="1" si="162">E487/D487</f>
        <v>7.2798037490977699E-2</v>
      </c>
    </row>
    <row r="488" spans="1:6" x14ac:dyDescent="0.25">
      <c r="A488" s="852"/>
      <c r="B488" s="227" t="s">
        <v>2255</v>
      </c>
      <c r="C488" s="858">
        <f t="shared" ca="1" si="159"/>
        <v>28232600.000000004</v>
      </c>
      <c r="D488" s="861">
        <f t="shared" ref="D488:D493" ca="1" si="163">(C488/11*10)</f>
        <v>25666000.000000004</v>
      </c>
      <c r="E488" s="858">
        <f t="shared" ca="1" si="161"/>
        <v>8214200</v>
      </c>
      <c r="F488" s="857">
        <f t="shared" ca="1" si="162"/>
        <v>0.32004207901503928</v>
      </c>
    </row>
    <row r="489" spans="1:6" x14ac:dyDescent="0.25">
      <c r="A489" s="232"/>
      <c r="B489" s="227" t="s">
        <v>2357</v>
      </c>
      <c r="C489" s="858">
        <f t="shared" ca="1" si="159"/>
        <v>16647400</v>
      </c>
      <c r="D489" s="861">
        <f t="shared" ca="1" si="163"/>
        <v>15134000</v>
      </c>
      <c r="E489" s="858">
        <f t="shared" ca="1" si="161"/>
        <v>4000380</v>
      </c>
      <c r="F489" s="857">
        <f t="shared" ca="1" si="162"/>
        <v>0.26433064622703845</v>
      </c>
    </row>
    <row r="490" spans="1:6" x14ac:dyDescent="0.25">
      <c r="A490" s="232"/>
      <c r="B490" s="227" t="s">
        <v>2358</v>
      </c>
      <c r="C490" s="858">
        <f t="shared" ca="1" si="159"/>
        <v>6014800</v>
      </c>
      <c r="D490" s="861">
        <f t="shared" ca="1" si="163"/>
        <v>5468000</v>
      </c>
      <c r="E490" s="858">
        <f t="shared" ca="1" si="161"/>
        <v>2161624</v>
      </c>
      <c r="F490" s="857">
        <f t="shared" ca="1" si="162"/>
        <v>0.39532260424286758</v>
      </c>
    </row>
    <row r="491" spans="1:6" x14ac:dyDescent="0.25">
      <c r="A491" s="232"/>
      <c r="B491" s="227" t="s">
        <v>1631</v>
      </c>
      <c r="C491" s="858">
        <f t="shared" ca="1" si="159"/>
        <v>52140000.000000007</v>
      </c>
      <c r="D491" s="861">
        <f t="shared" ca="1" si="163"/>
        <v>47400000.000000007</v>
      </c>
      <c r="E491" s="858">
        <f t="shared" ca="1" si="161"/>
        <v>8250000</v>
      </c>
      <c r="F491" s="857">
        <f t="shared" ca="1" si="162"/>
        <v>0.17405063291139239</v>
      </c>
    </row>
    <row r="492" spans="1:6" x14ac:dyDescent="0.25">
      <c r="A492" s="232"/>
      <c r="B492" s="227" t="s">
        <v>4147</v>
      </c>
      <c r="C492" s="858">
        <f t="shared" ca="1" si="159"/>
        <v>2932800.2000000007</v>
      </c>
      <c r="D492" s="861">
        <f t="shared" ca="1" si="163"/>
        <v>2666182.0000000009</v>
      </c>
      <c r="E492" s="858">
        <f t="shared" ca="1" si="161"/>
        <v>333182</v>
      </c>
      <c r="F492" s="857">
        <f t="shared" ca="1" si="162"/>
        <v>0.12496596256369591</v>
      </c>
    </row>
    <row r="493" spans="1:6" x14ac:dyDescent="0.25">
      <c r="B493" s="227" t="s">
        <v>443</v>
      </c>
      <c r="C493" s="858">
        <f t="shared" ca="1" si="159"/>
        <v>2585000</v>
      </c>
      <c r="D493" s="861">
        <f t="shared" ca="1" si="163"/>
        <v>2350000</v>
      </c>
      <c r="E493" s="858">
        <f t="shared" ca="1" si="161"/>
        <v>600000</v>
      </c>
      <c r="F493" s="857">
        <f t="shared" ca="1" si="162"/>
        <v>0.25531914893617019</v>
      </c>
    </row>
    <row r="494" spans="1:6" x14ac:dyDescent="0.25">
      <c r="A494" s="853"/>
      <c r="B494" s="854" t="s">
        <v>4122</v>
      </c>
      <c r="C494" s="855">
        <f ca="1">SUM(C487:C493)</f>
        <v>123719470.60000001</v>
      </c>
      <c r="D494" s="855">
        <f ca="1">SUM(D487:D493)</f>
        <v>112472246.00000001</v>
      </c>
      <c r="E494" s="855">
        <f ca="1">SUM(E487:E493)</f>
        <v>24563130</v>
      </c>
      <c r="F494" s="567">
        <f t="shared" ca="1" si="162"/>
        <v>0.21839281132520458</v>
      </c>
    </row>
    <row r="495" spans="1:6" x14ac:dyDescent="0.25">
      <c r="A495" s="1019" t="s">
        <v>4148</v>
      </c>
      <c r="B495" s="227" t="s">
        <v>2254</v>
      </c>
      <c r="C495" s="858">
        <f t="shared" ref="C495:C501" ca="1" si="164">SUMIFS(INDIRECT("Report!F100:F10000"),INDIRECT("Report!B100:B10000"),B495,INDIRECT("report!H100:H10000"),"Others",INDIRECT("Report!L100:L10000"),"24,7")</f>
        <v>10615440</v>
      </c>
      <c r="D495" s="861">
        <f t="shared" ref="D495" ca="1" si="165">(C495/11*10)</f>
        <v>9650400</v>
      </c>
      <c r="E495" s="858">
        <f t="shared" ref="E495:E501" ca="1" si="166">SUMIFS(INDIRECT("Report!J100:J10000"),INDIRECT("Report!B100:B10000"),B495,INDIRECT("report!H100:H10000"),"Others",INDIRECT("Report!L100:L10000"),"24,7")</f>
        <v>722400</v>
      </c>
      <c r="F495" s="857">
        <f t="shared" ref="F495:F502" ca="1" si="167">E495/D495</f>
        <v>7.4857000746083063E-2</v>
      </c>
    </row>
    <row r="496" spans="1:6" x14ac:dyDescent="0.25">
      <c r="A496" s="852"/>
      <c r="B496" s="227" t="s">
        <v>2255</v>
      </c>
      <c r="C496" s="858">
        <f t="shared" ca="1" si="164"/>
        <v>25789500</v>
      </c>
      <c r="D496" s="861">
        <f t="shared" ref="D496:D501" ca="1" si="168">(C496/11*10)</f>
        <v>23445000</v>
      </c>
      <c r="E496" s="858">
        <f t="shared" ca="1" si="166"/>
        <v>7628400</v>
      </c>
      <c r="F496" s="857">
        <f t="shared" ca="1" si="167"/>
        <v>0.32537428023032627</v>
      </c>
    </row>
    <row r="497" spans="1:6" x14ac:dyDescent="0.25">
      <c r="A497" s="232"/>
      <c r="B497" s="227" t="s">
        <v>2357</v>
      </c>
      <c r="C497" s="858">
        <f t="shared" ca="1" si="164"/>
        <v>16604500</v>
      </c>
      <c r="D497" s="861">
        <f t="shared" ca="1" si="168"/>
        <v>15095000</v>
      </c>
      <c r="E497" s="858">
        <f t="shared" ca="1" si="166"/>
        <v>4192040</v>
      </c>
      <c r="F497" s="857">
        <f t="shared" ca="1" si="167"/>
        <v>0.27771050016561777</v>
      </c>
    </row>
    <row r="498" spans="1:6" x14ac:dyDescent="0.25">
      <c r="A498" s="232"/>
      <c r="B498" s="227" t="s">
        <v>2358</v>
      </c>
      <c r="C498" s="858">
        <f t="shared" ca="1" si="164"/>
        <v>950400.00000000012</v>
      </c>
      <c r="D498" s="861">
        <f t="shared" ca="1" si="168"/>
        <v>864000.00000000012</v>
      </c>
      <c r="E498" s="858">
        <f t="shared" ca="1" si="166"/>
        <v>328640</v>
      </c>
      <c r="F498" s="857">
        <f t="shared" ca="1" si="167"/>
        <v>0.3803703703703703</v>
      </c>
    </row>
    <row r="499" spans="1:6" x14ac:dyDescent="0.25">
      <c r="A499" s="232"/>
      <c r="B499" s="227" t="s">
        <v>2597</v>
      </c>
      <c r="C499" s="858">
        <f t="shared" ca="1" si="164"/>
        <v>3234000</v>
      </c>
      <c r="D499" s="861">
        <f t="shared" ca="1" si="168"/>
        <v>2940000</v>
      </c>
      <c r="E499" s="858">
        <f t="shared" ca="1" si="166"/>
        <v>1805560</v>
      </c>
      <c r="F499" s="857">
        <f t="shared" ca="1" si="167"/>
        <v>0.61413605442176866</v>
      </c>
    </row>
    <row r="500" spans="1:6" x14ac:dyDescent="0.25">
      <c r="A500" s="232"/>
      <c r="B500" s="227" t="s">
        <v>4147</v>
      </c>
      <c r="C500" s="858">
        <f t="shared" ca="1" si="164"/>
        <v>73742900.000000015</v>
      </c>
      <c r="D500" s="861">
        <f t="shared" ca="1" si="168"/>
        <v>67039000.000000007</v>
      </c>
      <c r="E500" s="858">
        <f t="shared" ca="1" si="166"/>
        <v>14206900</v>
      </c>
      <c r="F500" s="857">
        <f t="shared" ca="1" si="167"/>
        <v>0.2119199272065514</v>
      </c>
    </row>
    <row r="501" spans="1:6" x14ac:dyDescent="0.25">
      <c r="B501" s="227" t="s">
        <v>443</v>
      </c>
      <c r="C501" s="858">
        <f t="shared" ca="1" si="164"/>
        <v>2585000</v>
      </c>
      <c r="D501" s="861">
        <f t="shared" ca="1" si="168"/>
        <v>2350000</v>
      </c>
      <c r="E501" s="858">
        <f t="shared" ca="1" si="166"/>
        <v>600000</v>
      </c>
      <c r="F501" s="857">
        <f t="shared" ca="1" si="167"/>
        <v>0.25531914893617019</v>
      </c>
    </row>
    <row r="502" spans="1:6" x14ac:dyDescent="0.25">
      <c r="A502" s="853"/>
      <c r="B502" s="854" t="s">
        <v>4150</v>
      </c>
      <c r="C502" s="855">
        <f ca="1">SUM(C495:C501)</f>
        <v>133521740.00000001</v>
      </c>
      <c r="D502" s="855">
        <f ca="1">SUM(D495:D501)</f>
        <v>121383400</v>
      </c>
      <c r="E502" s="855">
        <f ca="1">SUM(E495:E501)</f>
        <v>29483940</v>
      </c>
      <c r="F502" s="567">
        <f t="shared" ca="1" si="167"/>
        <v>0.24289927617779697</v>
      </c>
    </row>
    <row r="503" spans="1:6" x14ac:dyDescent="0.25">
      <c r="A503" s="1019" t="s">
        <v>4170</v>
      </c>
      <c r="B503" s="227" t="s">
        <v>2254</v>
      </c>
      <c r="C503" s="858">
        <f ca="1">SUMIFS(INDIRECT("Report!F100:F10000"),INDIRECT("Report!B100:B10000"),B503,INDIRECT("report!H100:H10000"),"Others",INDIRECT("Report!L100:L10000"),"24,8")</f>
        <v>10226810</v>
      </c>
      <c r="D503" s="861">
        <f t="shared" ref="D503" ca="1" si="169">(C503/11*10)</f>
        <v>9297100</v>
      </c>
      <c r="E503" s="858">
        <f ca="1">SUMIFS(INDIRECT("Report!J100:J10000"),INDIRECT("Report!B100:B10000"),B503,INDIRECT("report!H100:H10000"),"Others",INDIRECT("Report!L100:L10000"),"24,8")</f>
        <v>788700</v>
      </c>
      <c r="F503" s="857">
        <f t="shared" ref="F503:F508" ca="1" si="170">E503/D503</f>
        <v>8.4832904884318772E-2</v>
      </c>
    </row>
    <row r="504" spans="1:6" x14ac:dyDescent="0.25">
      <c r="A504" s="852"/>
      <c r="B504" s="227" t="s">
        <v>2255</v>
      </c>
      <c r="C504" s="858">
        <f ca="1">SUMIFS(INDIRECT("Report!F100:F10000"),INDIRECT("Report!B100:B10000"),B504,INDIRECT("report!H100:H10000"),"Others",INDIRECT("Report!L100:L10000"),"24,8")</f>
        <v>26944280</v>
      </c>
      <c r="D504" s="861">
        <f t="shared" ref="D504:D507" ca="1" si="171">(C504/11*10)</f>
        <v>24494800</v>
      </c>
      <c r="E504" s="858">
        <f ca="1">SUMIFS(INDIRECT("Report!J100:J10000"),INDIRECT("Report!B100:B10000"),B504,INDIRECT("report!H100:H10000"),"Others",INDIRECT("Report!L100:L10000"),"24,8")</f>
        <v>8000600</v>
      </c>
      <c r="F504" s="857">
        <f t="shared" ca="1" si="170"/>
        <v>0.32662442640887046</v>
      </c>
    </row>
    <row r="505" spans="1:6" x14ac:dyDescent="0.25">
      <c r="A505" s="232"/>
      <c r="B505" s="227" t="s">
        <v>2357</v>
      </c>
      <c r="C505" s="858">
        <f ca="1">SUMIFS(INDIRECT("Report!F100:F10000"),INDIRECT("Report!B100:B10000"),B505,INDIRECT("report!H100:H10000"),"Others",INDIRECT("Report!L100:L10000"),"24,8")</f>
        <v>7166500</v>
      </c>
      <c r="D505" s="861">
        <f t="shared" ca="1" si="171"/>
        <v>6515000</v>
      </c>
      <c r="E505" s="858">
        <f ca="1">SUMIFS(INDIRECT("Report!J100:J10000"),INDIRECT("Report!B100:B10000"),B505,INDIRECT("report!H100:H10000"),"Others",INDIRECT("Report!L100:L10000"),"24,8")</f>
        <v>1356440</v>
      </c>
      <c r="F505" s="857">
        <f t="shared" ca="1" si="170"/>
        <v>0.20820260936300844</v>
      </c>
    </row>
    <row r="506" spans="1:6" x14ac:dyDescent="0.25">
      <c r="A506" s="232"/>
      <c r="B506" s="227" t="s">
        <v>2358</v>
      </c>
      <c r="C506" s="858">
        <f ca="1">SUMIFS(INDIRECT("Report!F100:F10000"),INDIRECT("Report!B100:B10000"),B506,INDIRECT("report!H100:H10000"),"Others",INDIRECT("Report!L100:L10000"),"24,8")</f>
        <v>2112000</v>
      </c>
      <c r="D506" s="861">
        <f t="shared" ca="1" si="171"/>
        <v>1920000</v>
      </c>
      <c r="E506" s="858">
        <f ca="1">SUMIFS(INDIRECT("Report!J100:J10000"),INDIRECT("Report!B100:B10000"),B506,INDIRECT("report!H100:H10000"),"Others",INDIRECT("Report!L100:L10000"),"24,8")</f>
        <v>1075288</v>
      </c>
      <c r="F506" s="857">
        <f t="shared" ca="1" si="170"/>
        <v>0.56004583333333335</v>
      </c>
    </row>
    <row r="507" spans="1:6" x14ac:dyDescent="0.25">
      <c r="B507" s="227" t="s">
        <v>443</v>
      </c>
      <c r="C507" s="858">
        <f ca="1">SUMIFS(INDIRECT("Report!F100:F10000"),INDIRECT("Report!B100:B10000"),B507,INDIRECT("report!H100:H10000"),"Others",INDIRECT("Report!L100:L10000"),"24,8")</f>
        <v>2585000</v>
      </c>
      <c r="D507" s="861">
        <f t="shared" ca="1" si="171"/>
        <v>2350000</v>
      </c>
      <c r="E507" s="858">
        <f ca="1">SUMIFS(INDIRECT("Report!J100:J10000"),INDIRECT("Report!B100:B10000"),B507,INDIRECT("report!H100:H10000"),"Others",INDIRECT("Report!L100:L10000"),"24,8")</f>
        <v>600000</v>
      </c>
      <c r="F507" s="857">
        <f t="shared" ca="1" si="170"/>
        <v>0.25531914893617019</v>
      </c>
    </row>
    <row r="508" spans="1:6" x14ac:dyDescent="0.25">
      <c r="A508" s="853"/>
      <c r="B508" s="854" t="s">
        <v>4182</v>
      </c>
      <c r="C508" s="855">
        <f ca="1">SUM(C503:C507)</f>
        <v>49034590</v>
      </c>
      <c r="D508" s="855">
        <f ca="1">SUM(D503:D507)</f>
        <v>44576900</v>
      </c>
      <c r="E508" s="855">
        <f ca="1">SUM(E503:E507)</f>
        <v>11821028</v>
      </c>
      <c r="F508" s="567">
        <f t="shared" ca="1" si="170"/>
        <v>0.26518281890396145</v>
      </c>
    </row>
    <row r="509" spans="1:6" x14ac:dyDescent="0.25">
      <c r="A509" s="1019" t="s">
        <v>4193</v>
      </c>
      <c r="B509" s="227" t="s">
        <v>2254</v>
      </c>
      <c r="C509" s="858">
        <f ca="1">SUMIFS(INDIRECT("Report!F100:F10000"),INDIRECT("Report!B100:B10000"),B509,INDIRECT("report!H100:H10000"),"Others",INDIRECT("Report!L100:L10000"),"24,9")</f>
        <v>10331208.800000001</v>
      </c>
      <c r="D509" s="861">
        <f t="shared" ref="D509" ca="1" si="172">(C509/11*10)</f>
        <v>9392008</v>
      </c>
      <c r="E509" s="858">
        <f ca="1">SUMIFS(INDIRECT("Report!J100:J10000"),INDIRECT("Report!B100:B10000"),B509,INDIRECT("report!H100:H10000"),"Others",INDIRECT("Report!L100:L10000"),"24,9")</f>
        <v>2793608</v>
      </c>
      <c r="F509" s="857">
        <f t="shared" ref="F509:F514" ca="1" si="173">E509/D509</f>
        <v>0.29744523215908675</v>
      </c>
    </row>
    <row r="510" spans="1:6" x14ac:dyDescent="0.25">
      <c r="A510" s="852"/>
      <c r="B510" s="227" t="s">
        <v>2255</v>
      </c>
      <c r="C510" s="858">
        <f ca="1">SUMIFS(INDIRECT("Report!F100:F10000"),INDIRECT("Report!B100:B10000"),B510,INDIRECT("report!H100:H10000"),"Others",INDIRECT("Report!L100:L10000"),"24,9")</f>
        <v>36212880</v>
      </c>
      <c r="D510" s="861">
        <f t="shared" ref="D510:D513" ca="1" si="174">(C510/11*10)</f>
        <v>32920800</v>
      </c>
      <c r="E510" s="858">
        <f ca="1">SUMIFS(INDIRECT("Report!J100:J10000"),INDIRECT("Report!B100:B10000"),B510,INDIRECT("report!H100:H10000"),"Others",INDIRECT("Report!L100:L10000"),"24,9")</f>
        <v>10359000</v>
      </c>
      <c r="F510" s="857">
        <f t="shared" ca="1" si="173"/>
        <v>0.31466428519355544</v>
      </c>
    </row>
    <row r="511" spans="1:6" x14ac:dyDescent="0.25">
      <c r="A511" s="232"/>
      <c r="B511" s="227" t="s">
        <v>2357</v>
      </c>
      <c r="C511" s="858">
        <f ca="1">SUMIFS(INDIRECT("Report!F100:F10000"),INDIRECT("Report!B100:B10000"),B511,INDIRECT("report!H100:H10000"),"Others",INDIRECT("Report!L100:L10000"),"24,9")</f>
        <v>11742500</v>
      </c>
      <c r="D511" s="861">
        <f t="shared" ca="1" si="174"/>
        <v>10675000</v>
      </c>
      <c r="E511" s="858">
        <f ca="1">SUMIFS(INDIRECT("Report!J100:J10000"),INDIRECT("Report!B100:B10000"),B511,INDIRECT("report!H100:H10000"),"Others",INDIRECT("Report!L100:L10000"),"24,9")</f>
        <v>2996440</v>
      </c>
      <c r="F511" s="857">
        <f t="shared" ca="1" si="173"/>
        <v>0.28069695550351287</v>
      </c>
    </row>
    <row r="512" spans="1:6" x14ac:dyDescent="0.25">
      <c r="A512" s="232"/>
      <c r="B512" s="227" t="s">
        <v>2358</v>
      </c>
      <c r="C512" s="858">
        <f ca="1">SUMIFS(INDIRECT("Report!F100:F10000"),INDIRECT("Report!B100:B10000"),B512,INDIRECT("report!H100:H10000"),"Others",INDIRECT("Report!L100:L10000"),"24,9")</f>
        <v>1689600</v>
      </c>
      <c r="D512" s="861">
        <f t="shared" ca="1" si="174"/>
        <v>1536000</v>
      </c>
      <c r="E512" s="858">
        <f ca="1">SUMIFS(INDIRECT("Report!J100:J10000"),INDIRECT("Report!B100:B10000"),B512,INDIRECT("report!H100:H10000"),"Others",INDIRECT("Report!L100:L10000"),"24,9")</f>
        <v>602448</v>
      </c>
      <c r="F512" s="857">
        <f t="shared" ca="1" si="173"/>
        <v>0.39221875</v>
      </c>
    </row>
    <row r="513" spans="1:6" x14ac:dyDescent="0.25">
      <c r="B513" s="227" t="s">
        <v>443</v>
      </c>
      <c r="C513" s="858">
        <f ca="1">SUMIFS(INDIRECT("Report!F100:F10000"),INDIRECT("Report!B100:B10000"),B513,INDIRECT("report!H100:H10000"),"Others",INDIRECT("Report!L100:L10000"),"24,9")</f>
        <v>2882000</v>
      </c>
      <c r="D513" s="861">
        <f t="shared" ca="1" si="174"/>
        <v>2620000</v>
      </c>
      <c r="E513" s="858">
        <f ca="1">SUMIFS(INDIRECT("Report!J100:J10000"),INDIRECT("Report!B100:B10000"),B513,INDIRECT("report!H100:H10000"),"Others",INDIRECT("Report!L100:L10000"),"24,9")</f>
        <v>644000</v>
      </c>
      <c r="F513" s="857">
        <f t="shared" ca="1" si="173"/>
        <v>0.24580152671755726</v>
      </c>
    </row>
    <row r="514" spans="1:6" x14ac:dyDescent="0.25">
      <c r="A514" s="853"/>
      <c r="B514" s="854" t="s">
        <v>4195</v>
      </c>
      <c r="C514" s="855">
        <f ca="1">SUM(C509:C513)</f>
        <v>62858188.799999997</v>
      </c>
      <c r="D514" s="855">
        <f ca="1">SUM(D509:D513)</f>
        <v>57143808</v>
      </c>
      <c r="E514" s="855">
        <f ca="1">SUM(E509:E513)</f>
        <v>17395496</v>
      </c>
      <c r="F514" s="567">
        <f t="shared" ca="1" si="173"/>
        <v>0.30441611451585443</v>
      </c>
    </row>
    <row r="515" spans="1:6" x14ac:dyDescent="0.25">
      <c r="A515" s="1019" t="s">
        <v>4208</v>
      </c>
      <c r="B515" s="227" t="s">
        <v>2254</v>
      </c>
      <c r="C515" s="858">
        <f t="shared" ref="C515:C520" ca="1" si="175">SUMIFS(INDIRECT("Report!F100:F10000"),INDIRECT("Report!B100:B10000"),B515,INDIRECT("report!H100:H10000"),"Others",INDIRECT("Report!L100:L10000"),"24,10")</f>
        <v>17958600</v>
      </c>
      <c r="D515" s="861">
        <f t="shared" ref="D515" ca="1" si="176">(C515/11*10)</f>
        <v>16326000</v>
      </c>
      <c r="E515" s="858">
        <f t="shared" ref="E515:E520" ca="1" si="177">SUMIFS(INDIRECT("Report!J100:J10000"),INDIRECT("Report!B100:B10000"),B515,INDIRECT("report!H100:H10000"),"Others",INDIRECT("Report!L100:L10000"),"24,10")</f>
        <v>1218000</v>
      </c>
      <c r="F515" s="857">
        <f t="shared" ref="F515:F528" ca="1" si="178">E515/D515</f>
        <v>7.4604924660051447E-2</v>
      </c>
    </row>
    <row r="516" spans="1:6" x14ac:dyDescent="0.25">
      <c r="A516" s="852"/>
      <c r="B516" s="227" t="s">
        <v>2255</v>
      </c>
      <c r="C516" s="858">
        <f t="shared" ca="1" si="175"/>
        <v>36403400</v>
      </c>
      <c r="D516" s="861">
        <f t="shared" ref="D516:D520" ca="1" si="179">(C516/11*10)</f>
        <v>33094000</v>
      </c>
      <c r="E516" s="858">
        <f t="shared" ca="1" si="177"/>
        <v>10251000</v>
      </c>
      <c r="F516" s="857">
        <f t="shared" ca="1" si="178"/>
        <v>0.30975403396386053</v>
      </c>
    </row>
    <row r="517" spans="1:6" x14ac:dyDescent="0.25">
      <c r="A517" s="232"/>
      <c r="B517" s="227" t="s">
        <v>2357</v>
      </c>
      <c r="C517" s="858">
        <f t="shared" ca="1" si="175"/>
        <v>15794900</v>
      </c>
      <c r="D517" s="861">
        <f t="shared" ca="1" si="179"/>
        <v>14359000</v>
      </c>
      <c r="E517" s="858">
        <f t="shared" ca="1" si="177"/>
        <v>3957380</v>
      </c>
      <c r="F517" s="857">
        <f t="shared" ca="1" si="178"/>
        <v>0.27560275785221811</v>
      </c>
    </row>
    <row r="518" spans="1:6" x14ac:dyDescent="0.25">
      <c r="A518" s="232"/>
      <c r="B518" s="227" t="s">
        <v>2358</v>
      </c>
      <c r="C518" s="858">
        <f t="shared" ca="1" si="175"/>
        <v>3942400</v>
      </c>
      <c r="D518" s="861">
        <f t="shared" ca="1" si="179"/>
        <v>3584000</v>
      </c>
      <c r="E518" s="858">
        <f t="shared" ca="1" si="177"/>
        <v>1234624</v>
      </c>
      <c r="F518" s="857">
        <f t="shared" ca="1" si="178"/>
        <v>0.34448214285714285</v>
      </c>
    </row>
    <row r="519" spans="1:6" x14ac:dyDescent="0.25">
      <c r="A519" s="232"/>
      <c r="B519" s="227" t="s">
        <v>1250</v>
      </c>
      <c r="C519" s="858">
        <f t="shared" ca="1" si="175"/>
        <v>8424900</v>
      </c>
      <c r="D519" s="861">
        <f t="shared" ca="1" si="179"/>
        <v>7659000</v>
      </c>
      <c r="E519" s="858">
        <f t="shared" ca="1" si="177"/>
        <v>7659000</v>
      </c>
      <c r="F519" s="857">
        <f t="shared" ca="1" si="178"/>
        <v>1</v>
      </c>
    </row>
    <row r="520" spans="1:6" x14ac:dyDescent="0.25">
      <c r="B520" s="227" t="s">
        <v>443</v>
      </c>
      <c r="C520" s="858">
        <f t="shared" ca="1" si="175"/>
        <v>2585000</v>
      </c>
      <c r="D520" s="861">
        <f t="shared" ca="1" si="179"/>
        <v>2350000</v>
      </c>
      <c r="E520" s="858">
        <f t="shared" ca="1" si="177"/>
        <v>600000</v>
      </c>
      <c r="F520" s="857">
        <f t="shared" ca="1" si="178"/>
        <v>0.25531914893617019</v>
      </c>
    </row>
    <row r="521" spans="1:6" x14ac:dyDescent="0.25">
      <c r="A521" s="853"/>
      <c r="B521" s="854" t="s">
        <v>4210</v>
      </c>
      <c r="C521" s="855">
        <f ca="1">SUM(C515:C520)</f>
        <v>85109200</v>
      </c>
      <c r="D521" s="855">
        <f ca="1">SUM(D515:D520)</f>
        <v>77372000</v>
      </c>
      <c r="E521" s="855">
        <f ca="1">SUM(E515:E520)</f>
        <v>24920004</v>
      </c>
      <c r="F521" s="567">
        <f t="shared" ca="1" si="178"/>
        <v>0.3220803908390632</v>
      </c>
    </row>
    <row r="522" spans="1:6" x14ac:dyDescent="0.25">
      <c r="A522" s="1019" t="s">
        <v>4229</v>
      </c>
      <c r="B522" s="227" t="s">
        <v>2254</v>
      </c>
      <c r="C522" s="858">
        <f t="shared" ref="C522:C527" ca="1" si="180">SUMIFS(INDIRECT("Report!F100:F10000"),INDIRECT("Report!B100:B10000"),B522,INDIRECT("report!H100:H10000"),"Others",INDIRECT("Report!L100:L10000"),"24,11")</f>
        <v>17171440</v>
      </c>
      <c r="D522" s="861">
        <f t="shared" ref="D522:D527" ca="1" si="181">(C522/11*10)</f>
        <v>15610400</v>
      </c>
      <c r="E522" s="858">
        <f t="shared" ref="E522:E527" ca="1" si="182">SUMIFS(INDIRECT("Report!J100:J10000"),INDIRECT("Report!B100:B10000"),B522,INDIRECT("report!H100:H10000"),"Others",INDIRECT("Report!L100:L10000"),"24,11")</f>
        <v>210400</v>
      </c>
      <c r="F522" s="857">
        <f t="shared" ca="1" si="178"/>
        <v>1.3478194024496489E-2</v>
      </c>
    </row>
    <row r="523" spans="1:6" x14ac:dyDescent="0.25">
      <c r="A523" s="852"/>
      <c r="B523" s="227" t="s">
        <v>2255</v>
      </c>
      <c r="C523" s="858">
        <f t="shared" ca="1" si="180"/>
        <v>47185600</v>
      </c>
      <c r="D523" s="861">
        <f t="shared" ca="1" si="181"/>
        <v>42896000</v>
      </c>
      <c r="E523" s="858">
        <f t="shared" ca="1" si="182"/>
        <v>13786400</v>
      </c>
      <c r="F523" s="857">
        <f t="shared" ca="1" si="178"/>
        <v>0.32139127191346512</v>
      </c>
    </row>
    <row r="524" spans="1:6" x14ac:dyDescent="0.25">
      <c r="A524" s="232"/>
      <c r="B524" s="227" t="s">
        <v>2353</v>
      </c>
      <c r="C524" s="858">
        <f t="shared" ca="1" si="180"/>
        <v>12611500</v>
      </c>
      <c r="D524" s="861">
        <f t="shared" ca="1" si="181"/>
        <v>11465000</v>
      </c>
      <c r="E524" s="858">
        <f t="shared" ca="1" si="182"/>
        <v>3296880</v>
      </c>
      <c r="F524" s="857">
        <f t="shared" ca="1" si="178"/>
        <v>0.28756040122110771</v>
      </c>
    </row>
    <row r="525" spans="1:6" x14ac:dyDescent="0.25">
      <c r="A525" s="232"/>
      <c r="B525" s="227" t="s">
        <v>2352</v>
      </c>
      <c r="C525" s="858">
        <f t="shared" ca="1" si="180"/>
        <v>3643200</v>
      </c>
      <c r="D525" s="861">
        <f t="shared" ca="1" si="181"/>
        <v>3312000</v>
      </c>
      <c r="E525" s="858">
        <f t="shared" ca="1" si="182"/>
        <v>1314384</v>
      </c>
      <c r="F525" s="857">
        <f t="shared" ca="1" si="178"/>
        <v>0.39685507246376811</v>
      </c>
    </row>
    <row r="526" spans="1:6" x14ac:dyDescent="0.25">
      <c r="A526" s="232"/>
      <c r="B526" s="227" t="s">
        <v>3041</v>
      </c>
      <c r="C526" s="858">
        <f t="shared" ca="1" si="180"/>
        <v>9900000</v>
      </c>
      <c r="D526" s="861">
        <f t="shared" ca="1" si="181"/>
        <v>9000000</v>
      </c>
      <c r="E526" s="858">
        <f t="shared" ca="1" si="182"/>
        <v>4627500</v>
      </c>
      <c r="F526" s="857">
        <f t="shared" ca="1" si="178"/>
        <v>0.51416666666666666</v>
      </c>
    </row>
    <row r="527" spans="1:6" x14ac:dyDescent="0.25">
      <c r="B527" s="227" t="s">
        <v>443</v>
      </c>
      <c r="C527" s="858">
        <f t="shared" ca="1" si="180"/>
        <v>2585000</v>
      </c>
      <c r="D527" s="861">
        <f t="shared" ca="1" si="181"/>
        <v>2350000</v>
      </c>
      <c r="E527" s="858">
        <f t="shared" ca="1" si="182"/>
        <v>600000</v>
      </c>
      <c r="F527" s="857">
        <f t="shared" ca="1" si="178"/>
        <v>0.25531914893617019</v>
      </c>
    </row>
    <row r="528" spans="1:6" x14ac:dyDescent="0.25">
      <c r="A528" s="853"/>
      <c r="B528" s="854" t="s">
        <v>4228</v>
      </c>
      <c r="C528" s="855">
        <f ca="1">SUM(C522:C527)</f>
        <v>93096740</v>
      </c>
      <c r="D528" s="855">
        <f ca="1">SUM(D522:D527)</f>
        <v>84633400</v>
      </c>
      <c r="E528" s="855">
        <f ca="1">SUM(E522:E527)</f>
        <v>23835564</v>
      </c>
      <c r="F528" s="567">
        <f t="shared" ca="1" si="178"/>
        <v>0.28163306685067596</v>
      </c>
    </row>
    <row r="529" spans="1:6" x14ac:dyDescent="0.25">
      <c r="A529" s="1019" t="s">
        <v>4248</v>
      </c>
      <c r="B529" s="227" t="s">
        <v>2254</v>
      </c>
      <c r="C529" s="858">
        <f t="shared" ref="C529:C534" ca="1" si="183">SUMIFS(INDIRECT("Report!F100:F10000"),INDIRECT("Report!B100:B10000"),B529,INDIRECT("report!H100:H10000"),"Others",INDIRECT("Report!L100:L10000"),"24,12")</f>
        <v>12144440</v>
      </c>
      <c r="D529" s="861">
        <f t="shared" ref="D529" ca="1" si="184">(C529/11*10)</f>
        <v>11040400</v>
      </c>
      <c r="E529" s="858">
        <f t="shared" ref="E529:E534" ca="1" si="185">SUMIFS(INDIRECT("Report!J100:J10000"),INDIRECT("Report!B100:B10000"),B529,INDIRECT("report!H100:H10000"),"Others",INDIRECT("Report!L100:L10000"),"24,12")</f>
        <v>822400</v>
      </c>
      <c r="F529" s="857">
        <f t="shared" ref="F529:F535" ca="1" si="186">E529/D529</f>
        <v>7.4490054708162751E-2</v>
      </c>
    </row>
    <row r="530" spans="1:6" x14ac:dyDescent="0.25">
      <c r="A530" s="852"/>
      <c r="B530" s="227" t="s">
        <v>2255</v>
      </c>
      <c r="C530" s="858">
        <f t="shared" ca="1" si="183"/>
        <v>48330480.000000007</v>
      </c>
      <c r="D530" s="861">
        <f t="shared" ref="D530:D534" ca="1" si="187">(C530/11*10)</f>
        <v>43936800.000000007</v>
      </c>
      <c r="E530" s="858">
        <f t="shared" ca="1" si="185"/>
        <v>14591600</v>
      </c>
      <c r="F530" s="857">
        <f t="shared" ca="1" si="186"/>
        <v>0.33210429526046498</v>
      </c>
    </row>
    <row r="531" spans="1:6" x14ac:dyDescent="0.25">
      <c r="A531" s="232"/>
      <c r="B531" s="227" t="s">
        <v>2353</v>
      </c>
      <c r="C531" s="858">
        <f t="shared" ca="1" si="183"/>
        <v>21835000</v>
      </c>
      <c r="D531" s="861">
        <f t="shared" ca="1" si="187"/>
        <v>19850000</v>
      </c>
      <c r="E531" s="858">
        <f t="shared" ca="1" si="185"/>
        <v>5541880</v>
      </c>
      <c r="F531" s="857">
        <f t="shared" ca="1" si="186"/>
        <v>0.27918790931989923</v>
      </c>
    </row>
    <row r="532" spans="1:6" x14ac:dyDescent="0.25">
      <c r="A532" s="232"/>
      <c r="B532" s="227" t="s">
        <v>2352</v>
      </c>
      <c r="C532" s="858">
        <f t="shared" ca="1" si="183"/>
        <v>12973400</v>
      </c>
      <c r="D532" s="861">
        <f t="shared" ca="1" si="187"/>
        <v>11794000</v>
      </c>
      <c r="E532" s="858">
        <f t="shared" ca="1" si="185"/>
        <v>2793416</v>
      </c>
      <c r="F532" s="857">
        <f t="shared" ca="1" si="186"/>
        <v>0.23685060200101746</v>
      </c>
    </row>
    <row r="533" spans="1:6" x14ac:dyDescent="0.25">
      <c r="A533" s="232"/>
      <c r="B533" s="227" t="s">
        <v>2597</v>
      </c>
      <c r="C533" s="858">
        <f t="shared" ca="1" si="183"/>
        <v>1430000</v>
      </c>
      <c r="D533" s="861">
        <f t="shared" ca="1" si="187"/>
        <v>1300000</v>
      </c>
      <c r="E533" s="858">
        <f t="shared" ca="1" si="185"/>
        <v>853130</v>
      </c>
      <c r="F533" s="857">
        <f t="shared" ca="1" si="186"/>
        <v>0.65625384615384619</v>
      </c>
    </row>
    <row r="534" spans="1:6" x14ac:dyDescent="0.25">
      <c r="B534" s="227" t="s">
        <v>443</v>
      </c>
      <c r="C534" s="858">
        <f t="shared" ca="1" si="183"/>
        <v>2585000</v>
      </c>
      <c r="D534" s="861">
        <f t="shared" ca="1" si="187"/>
        <v>2350000</v>
      </c>
      <c r="E534" s="858">
        <f t="shared" ca="1" si="185"/>
        <v>600000</v>
      </c>
      <c r="F534" s="857">
        <f t="shared" ca="1" si="186"/>
        <v>0.25531914893617019</v>
      </c>
    </row>
    <row r="535" spans="1:6" x14ac:dyDescent="0.25">
      <c r="A535" s="853"/>
      <c r="B535" s="854" t="s">
        <v>4247</v>
      </c>
      <c r="C535" s="855">
        <f ca="1">SUM(C529:C534)</f>
        <v>99298320</v>
      </c>
      <c r="D535" s="855">
        <f ca="1">SUM(D529:D534)</f>
        <v>90271200</v>
      </c>
      <c r="E535" s="855">
        <f ca="1">SUM(E529:E534)</f>
        <v>25202426</v>
      </c>
      <c r="F535" s="567">
        <f t="shared" ca="1" si="186"/>
        <v>0.27918567605171973</v>
      </c>
    </row>
    <row r="536" spans="1:6" x14ac:dyDescent="0.25">
      <c r="A536" s="1019" t="s">
        <v>4274</v>
      </c>
      <c r="B536" s="227" t="s">
        <v>2254</v>
      </c>
      <c r="C536" s="858">
        <f t="shared" ref="C536:C542" ca="1" si="188">SUMIFS(INDIRECT("Report!F100:F10000"),INDIRECT("Report!B100:B10000"),B536,INDIRECT("report!H100:H10000"),"Others",INDIRECT("Report!L100:L10000"),"25,1")</f>
        <v>13807750</v>
      </c>
      <c r="D536" s="861">
        <f t="shared" ref="D536" ca="1" si="189">(C536/11*10)</f>
        <v>12552500</v>
      </c>
      <c r="E536" s="858">
        <f t="shared" ref="E536:E542" ca="1" si="190">SUMIFS(INDIRECT("Report!J100:J10000"),INDIRECT("Report!B100:B10000"),B536,INDIRECT("report!H100:H10000"),"Others",INDIRECT("Report!L100:L10000"),"25,1")</f>
        <v>822400</v>
      </c>
      <c r="F536" s="857">
        <f t="shared" ref="F536:F543" ca="1" si="191">E536/D536</f>
        <v>6.5516829316869155E-2</v>
      </c>
    </row>
    <row r="537" spans="1:6" x14ac:dyDescent="0.25">
      <c r="A537" s="852"/>
      <c r="B537" s="227" t="s">
        <v>2255</v>
      </c>
      <c r="C537" s="858">
        <f t="shared" ca="1" si="188"/>
        <v>45394360</v>
      </c>
      <c r="D537" s="861">
        <f t="shared" ref="D537:D542" ca="1" si="192">(C537/11*10)</f>
        <v>41267600</v>
      </c>
      <c r="E537" s="858">
        <f t="shared" ca="1" si="190"/>
        <v>15108800</v>
      </c>
      <c r="F537" s="857">
        <f t="shared" ca="1" si="191"/>
        <v>0.36611772916282992</v>
      </c>
    </row>
    <row r="538" spans="1:6" x14ac:dyDescent="0.25">
      <c r="A538" s="232"/>
      <c r="B538" s="227" t="s">
        <v>2353</v>
      </c>
      <c r="C538" s="858">
        <f t="shared" ca="1" si="188"/>
        <v>7785800</v>
      </c>
      <c r="D538" s="861">
        <f t="shared" ca="1" si="192"/>
        <v>7078000</v>
      </c>
      <c r="E538" s="858">
        <f t="shared" ca="1" si="190"/>
        <v>1834940</v>
      </c>
      <c r="F538" s="857">
        <f t="shared" ca="1" si="191"/>
        <v>0.25924554959027973</v>
      </c>
    </row>
    <row r="539" spans="1:6" x14ac:dyDescent="0.25">
      <c r="A539" s="232"/>
      <c r="B539" s="227" t="s">
        <v>2352</v>
      </c>
      <c r="C539" s="858">
        <f t="shared" ca="1" si="188"/>
        <v>3330800</v>
      </c>
      <c r="D539" s="861">
        <f t="shared" ca="1" si="192"/>
        <v>3028000</v>
      </c>
      <c r="E539" s="858">
        <f t="shared" ca="1" si="190"/>
        <v>1139760</v>
      </c>
      <c r="F539" s="857">
        <f t="shared" ca="1" si="191"/>
        <v>0.37640686922060768</v>
      </c>
    </row>
    <row r="540" spans="1:6" x14ac:dyDescent="0.25">
      <c r="A540" s="232"/>
      <c r="B540" s="227" t="s">
        <v>2597</v>
      </c>
      <c r="C540" s="858">
        <f t="shared" ca="1" si="188"/>
        <v>561000</v>
      </c>
      <c r="D540" s="861">
        <f t="shared" ca="1" si="192"/>
        <v>510000</v>
      </c>
      <c r="E540" s="858">
        <f t="shared" ca="1" si="190"/>
        <v>210000</v>
      </c>
      <c r="F540" s="857">
        <f t="shared" ca="1" si="191"/>
        <v>0.41176470588235292</v>
      </c>
    </row>
    <row r="541" spans="1:6" x14ac:dyDescent="0.25">
      <c r="A541" s="232"/>
      <c r="B541" s="227" t="s">
        <v>1330</v>
      </c>
      <c r="C541" s="858">
        <f t="shared" ca="1" si="188"/>
        <v>8913999.6000000015</v>
      </c>
      <c r="D541" s="861">
        <f t="shared" ca="1" si="192"/>
        <v>8103636.0000000009</v>
      </c>
      <c r="E541" s="858">
        <f t="shared" ca="1" si="190"/>
        <v>1163636</v>
      </c>
      <c r="F541" s="857">
        <f t="shared" ca="1" si="191"/>
        <v>0.14359430754293503</v>
      </c>
    </row>
    <row r="542" spans="1:6" x14ac:dyDescent="0.25">
      <c r="B542" s="227" t="s">
        <v>443</v>
      </c>
      <c r="C542" s="858">
        <f t="shared" ca="1" si="188"/>
        <v>2882000</v>
      </c>
      <c r="D542" s="861">
        <f t="shared" ca="1" si="192"/>
        <v>2620000</v>
      </c>
      <c r="E542" s="858">
        <f t="shared" ca="1" si="190"/>
        <v>600000</v>
      </c>
      <c r="F542" s="857">
        <f t="shared" ca="1" si="191"/>
        <v>0.22900763358778625</v>
      </c>
    </row>
    <row r="543" spans="1:6" x14ac:dyDescent="0.25">
      <c r="A543" s="853"/>
      <c r="B543" s="854" t="s">
        <v>4276</v>
      </c>
      <c r="C543" s="855">
        <f ca="1">SUM(C536:C542)</f>
        <v>82675709.599999994</v>
      </c>
      <c r="D543" s="855">
        <f ca="1">SUM(D536:D542)</f>
        <v>75159736</v>
      </c>
      <c r="E543" s="855">
        <f ca="1">SUM(E536:E542)</f>
        <v>20879536</v>
      </c>
      <c r="F543" s="567">
        <f t="shared" ca="1" si="191"/>
        <v>0.27780214661743891</v>
      </c>
    </row>
    <row r="544" spans="1:6" x14ac:dyDescent="0.25">
      <c r="A544" s="1019" t="s">
        <v>4295</v>
      </c>
      <c r="B544" s="227" t="s">
        <v>2254</v>
      </c>
      <c r="C544" s="858">
        <f ca="1">SUMIFS(INDIRECT("Report!F100:F10000"),INDIRECT("Report!B100:B10000"),B544,INDIRECT("report!H100:H10000"),"Others",INDIRECT("Report!L100:L10000"),"25,2")</f>
        <v>14236420</v>
      </c>
      <c r="D544" s="861">
        <f t="shared" ref="D544" ca="1" si="193">(C544/11*10)</f>
        <v>12942200</v>
      </c>
      <c r="E544" s="858">
        <f ca="1">SUMIFS(INDIRECT("Report!J100:J10000"),INDIRECT("Report!B100:B10000"),B544,INDIRECT("report!H100:H10000"),"Others",INDIRECT("Report!L100:L10000"),"25,2")</f>
        <v>822400</v>
      </c>
      <c r="F544" s="857">
        <f t="shared" ref="F544:F551" ca="1" si="194">E544/D544</f>
        <v>6.3544065151210763E-2</v>
      </c>
    </row>
    <row r="545" spans="1:6" x14ac:dyDescent="0.25">
      <c r="A545" s="852"/>
      <c r="B545" s="227" t="s">
        <v>2255</v>
      </c>
      <c r="C545" s="858">
        <f t="shared" ref="C545:C550" ca="1" si="195">SUMIFS(INDIRECT("Report!F100:F10000"),INDIRECT("Report!B100:B10000"),B545,INDIRECT("report!H100:H10000"),"Others",INDIRECT("Report!L100:L10000"),"25,2")</f>
        <v>46366100</v>
      </c>
      <c r="D545" s="861">
        <f t="shared" ref="D545:D550" ca="1" si="196">(C545/11*10)</f>
        <v>42151000</v>
      </c>
      <c r="E545" s="858">
        <f t="shared" ref="E545:E550" ca="1" si="197">SUMIFS(INDIRECT("Report!J100:J10000"),INDIRECT("Report!B100:B10000"),B545,INDIRECT("report!H100:H10000"),"Others",INDIRECT("Report!L100:L10000"),"25,2")</f>
        <v>15108800</v>
      </c>
      <c r="F545" s="857">
        <f t="shared" ca="1" si="194"/>
        <v>0.3584446395103319</v>
      </c>
    </row>
    <row r="546" spans="1:6" x14ac:dyDescent="0.25">
      <c r="A546" s="232"/>
      <c r="B546" s="227" t="s">
        <v>2353</v>
      </c>
      <c r="C546" s="858">
        <f t="shared" ca="1" si="195"/>
        <v>21906500</v>
      </c>
      <c r="D546" s="861">
        <f t="shared" ca="1" si="196"/>
        <v>19915000</v>
      </c>
      <c r="E546" s="858">
        <f t="shared" ca="1" si="197"/>
        <v>5637320</v>
      </c>
      <c r="F546" s="857">
        <f t="shared" ca="1" si="194"/>
        <v>0.28306904343459705</v>
      </c>
    </row>
    <row r="547" spans="1:6" x14ac:dyDescent="0.25">
      <c r="A547" s="232"/>
      <c r="B547" s="227" t="s">
        <v>2352</v>
      </c>
      <c r="C547" s="858">
        <f t="shared" ca="1" si="195"/>
        <v>1302400</v>
      </c>
      <c r="D547" s="861">
        <f t="shared" ca="1" si="196"/>
        <v>1184000</v>
      </c>
      <c r="E547" s="858">
        <f t="shared" ca="1" si="197"/>
        <v>474624</v>
      </c>
      <c r="F547" s="857">
        <f t="shared" ca="1" si="194"/>
        <v>0.40086486486486489</v>
      </c>
    </row>
    <row r="548" spans="1:6" x14ac:dyDescent="0.25">
      <c r="A548" s="232"/>
      <c r="B548" s="227" t="s">
        <v>1631</v>
      </c>
      <c r="C548" s="858">
        <f t="shared" ca="1" si="195"/>
        <v>121660000.00000001</v>
      </c>
      <c r="D548" s="861">
        <f t="shared" ca="1" si="196"/>
        <v>110600000.00000001</v>
      </c>
      <c r="E548" s="858">
        <f t="shared" ca="1" si="197"/>
        <v>7338161.599999994</v>
      </c>
      <c r="F548" s="857">
        <f t="shared" ca="1" si="194"/>
        <v>6.6348658227848037E-2</v>
      </c>
    </row>
    <row r="549" spans="1:6" x14ac:dyDescent="0.25">
      <c r="A549" s="232"/>
      <c r="B549" s="227" t="s">
        <v>1330</v>
      </c>
      <c r="C549" s="858">
        <f t="shared" ca="1" si="195"/>
        <v>1980000.0000000002</v>
      </c>
      <c r="D549" s="861">
        <f t="shared" ca="1" si="196"/>
        <v>1800000.0000000002</v>
      </c>
      <c r="E549" s="858">
        <f t="shared" ca="1" si="197"/>
        <v>276000</v>
      </c>
      <c r="F549" s="857">
        <f t="shared" ca="1" si="194"/>
        <v>0.15333333333333332</v>
      </c>
    </row>
    <row r="550" spans="1:6" x14ac:dyDescent="0.25">
      <c r="B550" s="227" t="s">
        <v>443</v>
      </c>
      <c r="C550" s="858">
        <f t="shared" ca="1" si="195"/>
        <v>2585000</v>
      </c>
      <c r="D550" s="861">
        <f t="shared" ca="1" si="196"/>
        <v>2350000</v>
      </c>
      <c r="E550" s="858">
        <f t="shared" ca="1" si="197"/>
        <v>600000</v>
      </c>
      <c r="F550" s="857">
        <f t="shared" ca="1" si="194"/>
        <v>0.25531914893617019</v>
      </c>
    </row>
    <row r="551" spans="1:6" x14ac:dyDescent="0.25">
      <c r="A551" s="853"/>
      <c r="B551" s="854" t="s">
        <v>4294</v>
      </c>
      <c r="C551" s="855">
        <f ca="1">SUM(C544:C550)</f>
        <v>210036420</v>
      </c>
      <c r="D551" s="855">
        <f ca="1">SUM(D544:D550)</f>
        <v>190942200</v>
      </c>
      <c r="E551" s="855">
        <f ca="1">SUM(E544:E550)</f>
        <v>30257305.599999994</v>
      </c>
      <c r="F551" s="567">
        <f t="shared" ca="1" si="194"/>
        <v>0.1584631663403899</v>
      </c>
    </row>
    <row r="552" spans="1:6" x14ac:dyDescent="0.25">
      <c r="A552" s="1019" t="s">
        <v>4330</v>
      </c>
      <c r="B552" s="227" t="s">
        <v>2254</v>
      </c>
      <c r="C552" s="858">
        <f t="shared" ref="C552:C557" ca="1" si="198">SUMIFS(INDIRECT("Report!F100:F10000"),INDIRECT("Report!B100:B10000"),B552,INDIRECT("report!H100:H10000"),"Others",INDIRECT("Report!L100:L10000"),"25,3")</f>
        <v>7483080</v>
      </c>
      <c r="D552" s="861">
        <f t="shared" ref="D552" ca="1" si="199">(C552/11*10)</f>
        <v>6802800</v>
      </c>
      <c r="E552" s="858">
        <f t="shared" ref="E552:E557" ca="1" si="200">SUMIFS(INDIRECT("Report!J100:J10000"),INDIRECT("Report!B100:B10000"),B552,INDIRECT("report!H100:H10000"),"Others",INDIRECT("Report!L100:L10000"),"25,3")</f>
        <v>822400</v>
      </c>
      <c r="F552" s="857">
        <f t="shared" ref="F552:F558" ca="1" si="201">E552/D552</f>
        <v>0.12089139765978715</v>
      </c>
    </row>
    <row r="553" spans="1:6" x14ac:dyDescent="0.25">
      <c r="A553" s="852"/>
      <c r="B553" s="227" t="s">
        <v>2255</v>
      </c>
      <c r="C553" s="858">
        <f t="shared" ca="1" si="198"/>
        <v>44712250.000000007</v>
      </c>
      <c r="D553" s="861">
        <f t="shared" ref="D553:D557" ca="1" si="202">(C553/11*10)</f>
        <v>40647500.000000007</v>
      </c>
      <c r="E553" s="858">
        <f t="shared" ca="1" si="200"/>
        <v>15108800</v>
      </c>
      <c r="F553" s="857">
        <f t="shared" ca="1" si="201"/>
        <v>0.37170305676855886</v>
      </c>
    </row>
    <row r="554" spans="1:6" x14ac:dyDescent="0.25">
      <c r="A554" s="232"/>
      <c r="B554" s="227" t="s">
        <v>2353</v>
      </c>
      <c r="C554" s="858">
        <f t="shared" ca="1" si="198"/>
        <v>9289500</v>
      </c>
      <c r="D554" s="861">
        <f t="shared" ca="1" si="202"/>
        <v>8445000</v>
      </c>
      <c r="E554" s="858">
        <f t="shared" ca="1" si="200"/>
        <v>2365440</v>
      </c>
      <c r="F554" s="857">
        <f t="shared" ca="1" si="201"/>
        <v>0.28009946714031969</v>
      </c>
    </row>
    <row r="555" spans="1:6" x14ac:dyDescent="0.25">
      <c r="A555" s="232"/>
      <c r="B555" s="227" t="s">
        <v>2352</v>
      </c>
      <c r="C555" s="858">
        <f t="shared" ca="1" si="198"/>
        <v>3126200.0000000005</v>
      </c>
      <c r="D555" s="861">
        <f t="shared" ca="1" si="202"/>
        <v>2842000.0000000005</v>
      </c>
      <c r="E555" s="858">
        <f t="shared" ca="1" si="200"/>
        <v>1441000</v>
      </c>
      <c r="F555" s="857">
        <f t="shared" ca="1" si="201"/>
        <v>0.50703729767769168</v>
      </c>
    </row>
    <row r="556" spans="1:6" x14ac:dyDescent="0.25">
      <c r="A556" s="232"/>
      <c r="B556" s="227" t="s">
        <v>2597</v>
      </c>
      <c r="C556" s="858">
        <f t="shared" ca="1" si="198"/>
        <v>6314000.0000000009</v>
      </c>
      <c r="D556" s="861">
        <f t="shared" ca="1" si="202"/>
        <v>5740000.0000000009</v>
      </c>
      <c r="E556" s="858">
        <f t="shared" ca="1" si="200"/>
        <v>1128316</v>
      </c>
      <c r="F556" s="857">
        <f t="shared" ca="1" si="201"/>
        <v>0.19657073170731704</v>
      </c>
    </row>
    <row r="557" spans="1:6" x14ac:dyDescent="0.25">
      <c r="B557" s="227" t="s">
        <v>443</v>
      </c>
      <c r="C557" s="858">
        <f t="shared" ca="1" si="198"/>
        <v>2585000</v>
      </c>
      <c r="D557" s="861">
        <f t="shared" ca="1" si="202"/>
        <v>2350000</v>
      </c>
      <c r="E557" s="858">
        <f t="shared" ca="1" si="200"/>
        <v>600000</v>
      </c>
      <c r="F557" s="857">
        <f t="shared" ca="1" si="201"/>
        <v>0.25531914893617019</v>
      </c>
    </row>
    <row r="558" spans="1:6" x14ac:dyDescent="0.25">
      <c r="A558" s="853"/>
      <c r="B558" s="854" t="s">
        <v>4334</v>
      </c>
      <c r="C558" s="855">
        <f ca="1">SUM(C552:C557)</f>
        <v>73510030.000000015</v>
      </c>
      <c r="D558" s="855">
        <f ca="1">SUM(D552:D557)</f>
        <v>66827300.000000007</v>
      </c>
      <c r="E558" s="855">
        <f ca="1">SUM(E552:E557)</f>
        <v>21465956</v>
      </c>
      <c r="F558" s="567">
        <f t="shared" ca="1" si="201"/>
        <v>0.3212153715622208</v>
      </c>
    </row>
    <row r="559" spans="1:6" x14ac:dyDescent="0.25">
      <c r="A559" s="1019" t="s">
        <v>4346</v>
      </c>
      <c r="B559" s="227" t="s">
        <v>2254</v>
      </c>
      <c r="C559" s="858">
        <f ca="1">SUMIFS(INDIRECT("Report!F100:F10000"),INDIRECT("Report!B100:B10000"),B559,INDIRECT("report!H100:H10000"),"Others",INDIRECT("Report!L100:L10000"),"25,4")</f>
        <v>10304800</v>
      </c>
      <c r="D559" s="861">
        <f t="shared" ref="D559" ca="1" si="203">(C559/11*10)</f>
        <v>9368000</v>
      </c>
      <c r="E559" s="858">
        <f ca="1">SUMIFS(INDIRECT("Report!J100:J10000"),INDIRECT("Report!B100:B10000"),B559,INDIRECT("report!H100:H10000"),"Others",INDIRECT("Report!L100:L10000"),"25,4")</f>
        <v>822400</v>
      </c>
      <c r="F559" s="857">
        <f t="shared" ref="F559:F564" ca="1" si="204">E559/D559</f>
        <v>8.7788215200683181E-2</v>
      </c>
    </row>
    <row r="560" spans="1:6" x14ac:dyDescent="0.25">
      <c r="A560" s="852"/>
      <c r="B560" s="227" t="s">
        <v>2255</v>
      </c>
      <c r="C560" s="858">
        <f ca="1">SUMIFS(INDIRECT("Report!F100:F10000"),INDIRECT("Report!B100:B10000"),B560,INDIRECT("report!H100:H10000"),"Others",INDIRECT("Report!L100:L10000"),"25,4")</f>
        <v>32597400</v>
      </c>
      <c r="D560" s="861">
        <f t="shared" ref="D560:D563" ca="1" si="205">(C560/11*10)</f>
        <v>29634000</v>
      </c>
      <c r="E560" s="858">
        <f ca="1">SUMIFS(INDIRECT("Report!J100:J10000"),INDIRECT("Report!B100:B10000"),B560,INDIRECT("report!H100:H10000"),"Others",INDIRECT("Report!L100:L10000"),"25,4")</f>
        <v>15108800</v>
      </c>
      <c r="F560" s="857">
        <f t="shared" ca="1" si="204"/>
        <v>0.50984679759735441</v>
      </c>
    </row>
    <row r="561" spans="1:6" x14ac:dyDescent="0.25">
      <c r="A561" s="232"/>
      <c r="B561" s="227" t="s">
        <v>2353</v>
      </c>
      <c r="C561" s="858">
        <f ca="1">SUMIFS(INDIRECT("Report!F100:F10000"),INDIRECT("Report!B100:B10000"),B561,INDIRECT("report!H100:H10000"),"Others",INDIRECT("Report!L100:L10000"),"25,4")</f>
        <v>6083000</v>
      </c>
      <c r="D561" s="861">
        <f t="shared" ca="1" si="205"/>
        <v>5530000</v>
      </c>
      <c r="E561" s="858">
        <f ca="1">SUMIFS(INDIRECT("Report!J100:J10000"),INDIRECT("Report!B100:B10000"),B561,INDIRECT("report!H100:H10000"),"Others",INDIRECT("Report!L100:L10000"),"25,4")</f>
        <v>1830440</v>
      </c>
      <c r="F561" s="857">
        <f t="shared" ca="1" si="204"/>
        <v>0.33100180831826403</v>
      </c>
    </row>
    <row r="562" spans="1:6" x14ac:dyDescent="0.25">
      <c r="A562" s="232"/>
      <c r="B562" s="227" t="s">
        <v>2352</v>
      </c>
      <c r="C562" s="858">
        <f ca="1">SUMIFS(INDIRECT("Report!F100:F10000"),INDIRECT("Report!B100:B10000"),B562,INDIRECT("report!H100:H10000"),"Others",INDIRECT("Report!L100:L10000"),"25,4")</f>
        <v>1364000</v>
      </c>
      <c r="D562" s="861">
        <f t="shared" ca="1" si="205"/>
        <v>1240000</v>
      </c>
      <c r="E562" s="858">
        <f ca="1">SUMIFS(INDIRECT("Report!J100:J10000"),INDIRECT("Report!B100:B10000"),B562,INDIRECT("report!H100:H10000"),"Others",INDIRECT("Report!L100:L10000"),"25,4")</f>
        <v>483792</v>
      </c>
      <c r="F562" s="857">
        <f t="shared" ca="1" si="204"/>
        <v>0.39015483870967743</v>
      </c>
    </row>
    <row r="563" spans="1:6" x14ac:dyDescent="0.25">
      <c r="B563" s="227" t="s">
        <v>443</v>
      </c>
      <c r="C563" s="858">
        <f ca="1">SUMIFS(INDIRECT("Report!F100:F10000"),INDIRECT("Report!B100:B10000"),B563,INDIRECT("report!H100:H10000"),"Others",INDIRECT("Report!L100:L10000"),"25,4")</f>
        <v>2585000</v>
      </c>
      <c r="D563" s="861">
        <f t="shared" ca="1" si="205"/>
        <v>2350000</v>
      </c>
      <c r="E563" s="858">
        <f ca="1">SUMIFS(INDIRECT("Report!J100:J10000"),INDIRECT("Report!B100:B10000"),B563,INDIRECT("report!H100:H10000"),"Others",INDIRECT("Report!L100:L10000"),"25,4")</f>
        <v>600000</v>
      </c>
      <c r="F563" s="857">
        <f t="shared" ca="1" si="204"/>
        <v>0.25531914893617019</v>
      </c>
    </row>
    <row r="564" spans="1:6" x14ac:dyDescent="0.25">
      <c r="A564" s="853"/>
      <c r="B564" s="854" t="s">
        <v>4348</v>
      </c>
      <c r="C564" s="855">
        <f ca="1">SUM(C559:C563)</f>
        <v>52934200</v>
      </c>
      <c r="D564" s="855">
        <f ca="1">SUM(D559:D563)</f>
        <v>48122000</v>
      </c>
      <c r="E564" s="855">
        <f ca="1">SUM(E559:E563)</f>
        <v>18845432</v>
      </c>
      <c r="F564" s="567">
        <f t="shared" ca="1" si="204"/>
        <v>0.39161780474626989</v>
      </c>
    </row>
    <row r="565" spans="1:6" x14ac:dyDescent="0.25">
      <c r="A565" s="1019" t="s">
        <v>4356</v>
      </c>
      <c r="B565" s="227" t="s">
        <v>2254</v>
      </c>
      <c r="C565" s="858">
        <f t="shared" ref="C565:C570" ca="1" si="206">SUMIFS(INDIRECT("Report!F100:F10000"),INDIRECT("Report!B100:B10000"),B565,INDIRECT("report!H100:H10000"),"Others",INDIRECT("Report!L100:L10000"),"25,5")</f>
        <v>13884640</v>
      </c>
      <c r="D565" s="861">
        <f t="shared" ref="D565" ca="1" si="207">(C565/11*10)</f>
        <v>12622400</v>
      </c>
      <c r="E565" s="858">
        <f t="shared" ref="E565:E570" ca="1" si="208">SUMIFS(INDIRECT("Report!J100:J10000"),INDIRECT("Report!B100:B10000"),B565,INDIRECT("report!H100:H10000"),"Others",INDIRECT("Report!L100:L10000"),"25,5")</f>
        <v>942400</v>
      </c>
      <c r="F565" s="857">
        <f t="shared" ref="F565:F571" ca="1" si="209">E565/D565</f>
        <v>7.4660920268728614E-2</v>
      </c>
    </row>
    <row r="566" spans="1:6" x14ac:dyDescent="0.25">
      <c r="A566" s="852"/>
      <c r="B566" s="227" t="s">
        <v>2255</v>
      </c>
      <c r="C566" s="858">
        <f t="shared" ca="1" si="206"/>
        <v>31956100.000000004</v>
      </c>
      <c r="D566" s="861">
        <f t="shared" ref="D566:D570" ca="1" si="210">(C566/11*10)</f>
        <v>29051000.000000004</v>
      </c>
      <c r="E566" s="858">
        <f t="shared" ca="1" si="208"/>
        <v>9953400</v>
      </c>
      <c r="F566" s="857">
        <f t="shared" ca="1" si="209"/>
        <v>0.34261815428040338</v>
      </c>
    </row>
    <row r="567" spans="1:6" x14ac:dyDescent="0.25">
      <c r="A567" s="232"/>
      <c r="B567" s="227" t="s">
        <v>2353</v>
      </c>
      <c r="C567" s="858">
        <f t="shared" ca="1" si="206"/>
        <v>15427500</v>
      </c>
      <c r="D567" s="861">
        <f t="shared" ca="1" si="210"/>
        <v>14025000</v>
      </c>
      <c r="E567" s="858">
        <f t="shared" ca="1" si="208"/>
        <v>3401380</v>
      </c>
      <c r="F567" s="857">
        <f t="shared" ca="1" si="209"/>
        <v>0.24252263814616756</v>
      </c>
    </row>
    <row r="568" spans="1:6" x14ac:dyDescent="0.25">
      <c r="A568" s="232"/>
      <c r="B568" s="227" t="s">
        <v>2352</v>
      </c>
      <c r="C568" s="858">
        <f t="shared" ca="1" si="206"/>
        <v>4329600</v>
      </c>
      <c r="D568" s="861">
        <f t="shared" ca="1" si="210"/>
        <v>3936000</v>
      </c>
      <c r="E568" s="858">
        <f t="shared" ca="1" si="208"/>
        <v>1362448</v>
      </c>
      <c r="F568" s="857">
        <f t="shared" ca="1" si="209"/>
        <v>0.34615040650406503</v>
      </c>
    </row>
    <row r="569" spans="1:6" x14ac:dyDescent="0.25">
      <c r="A569" s="232"/>
      <c r="B569" s="227" t="s">
        <v>4389</v>
      </c>
      <c r="C569" s="858">
        <f t="shared" ca="1" si="206"/>
        <v>5775000</v>
      </c>
      <c r="D569" s="861">
        <f t="shared" ca="1" si="210"/>
        <v>5250000</v>
      </c>
      <c r="E569" s="858">
        <f t="shared" ca="1" si="208"/>
        <v>1100000</v>
      </c>
      <c r="F569" s="857">
        <f t="shared" ca="1" si="209"/>
        <v>0.20952380952380953</v>
      </c>
    </row>
    <row r="570" spans="1:6" x14ac:dyDescent="0.25">
      <c r="B570" s="227" t="s">
        <v>443</v>
      </c>
      <c r="C570" s="858">
        <f t="shared" ca="1" si="206"/>
        <v>2585000</v>
      </c>
      <c r="D570" s="861">
        <f t="shared" ca="1" si="210"/>
        <v>2350000</v>
      </c>
      <c r="E570" s="858">
        <f t="shared" ca="1" si="208"/>
        <v>600000</v>
      </c>
      <c r="F570" s="857">
        <f t="shared" ca="1" si="209"/>
        <v>0.25531914893617019</v>
      </c>
    </row>
    <row r="571" spans="1:6" x14ac:dyDescent="0.25">
      <c r="A571" s="853"/>
      <c r="B571" s="854" t="s">
        <v>4358</v>
      </c>
      <c r="C571" s="855">
        <f ca="1">SUM(C565:C570)</f>
        <v>73957840</v>
      </c>
      <c r="D571" s="855">
        <f ca="1">SUM(D565:D570)</f>
        <v>67234400</v>
      </c>
      <c r="E571" s="855">
        <f ca="1">SUM(E565:E570)</f>
        <v>17359628</v>
      </c>
      <c r="F571" s="567">
        <f t="shared" ca="1" si="209"/>
        <v>0.25819562604857038</v>
      </c>
    </row>
    <row r="572" spans="1:6" x14ac:dyDescent="0.25">
      <c r="A572" s="1019" t="s">
        <v>4390</v>
      </c>
      <c r="B572" s="227" t="s">
        <v>2254</v>
      </c>
      <c r="C572" s="858">
        <f t="shared" ref="C572:C580" ca="1" si="211">SUMIFS(INDIRECT("Report!F100:F10000"),INDIRECT("Report!B100:B10000"),B572,INDIRECT("report!H100:H10000"),"Others",INDIRECT("Report!L100:L10000"),"25,6")</f>
        <v>14812930</v>
      </c>
      <c r="D572" s="861">
        <f t="shared" ref="D572" ca="1" si="212">(C572/11*10)</f>
        <v>13466300</v>
      </c>
      <c r="E572" s="858">
        <f t="shared" ref="E572:E580" ca="1" si="213">SUMIFS(INDIRECT("Report!J100:J10000"),INDIRECT("Report!B100:B10000"),B572,INDIRECT("report!H100:H10000"),"Others",INDIRECT("Report!L100:L10000"),"25,6")</f>
        <v>1454300</v>
      </c>
      <c r="F572" s="857">
        <f t="shared" ref="F572:F581" ca="1" si="214">E572/D572</f>
        <v>0.10799551472936145</v>
      </c>
    </row>
    <row r="573" spans="1:6" x14ac:dyDescent="0.25">
      <c r="A573" s="852"/>
      <c r="B573" s="227" t="s">
        <v>2255</v>
      </c>
      <c r="C573" s="858">
        <f t="shared" ca="1" si="211"/>
        <v>29630700</v>
      </c>
      <c r="D573" s="861">
        <f t="shared" ref="D573:D580" ca="1" si="215">(C573/11*10)</f>
        <v>26937000</v>
      </c>
      <c r="E573" s="858">
        <f t="shared" ca="1" si="213"/>
        <v>8774800</v>
      </c>
      <c r="F573" s="857">
        <f t="shared" ca="1" si="214"/>
        <v>0.3257526821843561</v>
      </c>
    </row>
    <row r="574" spans="1:6" x14ac:dyDescent="0.25">
      <c r="A574" s="232"/>
      <c r="B574" s="227" t="s">
        <v>2353</v>
      </c>
      <c r="C574" s="858">
        <f t="shared" ca="1" si="211"/>
        <v>10637000</v>
      </c>
      <c r="D574" s="861">
        <f t="shared" ca="1" si="215"/>
        <v>9670000</v>
      </c>
      <c r="E574" s="858">
        <f t="shared" ca="1" si="213"/>
        <v>2789880</v>
      </c>
      <c r="F574" s="857">
        <f t="shared" ca="1" si="214"/>
        <v>0.28850879007238883</v>
      </c>
    </row>
    <row r="575" spans="1:6" x14ac:dyDescent="0.25">
      <c r="A575" s="232"/>
      <c r="B575" s="227" t="s">
        <v>2352</v>
      </c>
      <c r="C575" s="858">
        <f t="shared" ca="1" si="211"/>
        <v>976800.00000000012</v>
      </c>
      <c r="D575" s="861">
        <f t="shared" ca="1" si="215"/>
        <v>888000.00000000012</v>
      </c>
      <c r="E575" s="858">
        <f t="shared" ca="1" si="213"/>
        <v>355968</v>
      </c>
      <c r="F575" s="857">
        <f t="shared" ca="1" si="214"/>
        <v>0.40086486486486483</v>
      </c>
    </row>
    <row r="576" spans="1:6" x14ac:dyDescent="0.25">
      <c r="A576" s="232"/>
      <c r="B576" s="227" t="s">
        <v>1250</v>
      </c>
      <c r="C576" s="858">
        <f t="shared" ca="1" si="211"/>
        <v>25300000</v>
      </c>
      <c r="D576" s="861">
        <f t="shared" ca="1" si="215"/>
        <v>23000000</v>
      </c>
      <c r="E576" s="858">
        <f t="shared" ca="1" si="213"/>
        <v>4275000</v>
      </c>
      <c r="F576" s="857">
        <f t="shared" ca="1" si="214"/>
        <v>0.18586956521739131</v>
      </c>
    </row>
    <row r="577" spans="1:6" x14ac:dyDescent="0.25">
      <c r="A577" s="232"/>
      <c r="B577" s="227" t="s">
        <v>1416</v>
      </c>
      <c r="C577" s="858">
        <f t="shared" ca="1" si="211"/>
        <v>2585000</v>
      </c>
      <c r="D577" s="861">
        <f t="shared" ca="1" si="215"/>
        <v>2350000</v>
      </c>
      <c r="E577" s="858">
        <f t="shared" ca="1" si="213"/>
        <v>600000</v>
      </c>
      <c r="F577" s="857">
        <f t="shared" ca="1" si="214"/>
        <v>0.25531914893617019</v>
      </c>
    </row>
    <row r="578" spans="1:6" x14ac:dyDescent="0.25">
      <c r="A578" s="232"/>
      <c r="B578" s="227" t="s">
        <v>4147</v>
      </c>
      <c r="C578" s="858">
        <f t="shared" ca="1" si="211"/>
        <v>4510599.5</v>
      </c>
      <c r="D578" s="861">
        <f t="shared" ca="1" si="215"/>
        <v>4100545</v>
      </c>
      <c r="E578" s="858">
        <f t="shared" ca="1" si="213"/>
        <v>1853000</v>
      </c>
      <c r="F578" s="857">
        <f t="shared" ca="1" si="214"/>
        <v>0.45189115105431105</v>
      </c>
    </row>
    <row r="579" spans="1:6" x14ac:dyDescent="0.25">
      <c r="A579" s="232"/>
      <c r="B579" s="227" t="s">
        <v>2597</v>
      </c>
      <c r="C579" s="858">
        <f t="shared" ca="1" si="211"/>
        <v>561000</v>
      </c>
      <c r="D579" s="861">
        <f t="shared" ca="1" si="215"/>
        <v>510000</v>
      </c>
      <c r="E579" s="858">
        <f t="shared" ca="1" si="213"/>
        <v>150000</v>
      </c>
      <c r="F579" s="857">
        <f t="shared" ca="1" si="214"/>
        <v>0.29411764705882354</v>
      </c>
    </row>
    <row r="580" spans="1:6" x14ac:dyDescent="0.25">
      <c r="B580" s="227" t="s">
        <v>4413</v>
      </c>
      <c r="C580" s="858">
        <f t="shared" ca="1" si="211"/>
        <v>14942400</v>
      </c>
      <c r="D580" s="861">
        <f t="shared" ca="1" si="215"/>
        <v>13584000</v>
      </c>
      <c r="E580" s="858">
        <f t="shared" ca="1" si="213"/>
        <v>3414990</v>
      </c>
      <c r="F580" s="857">
        <f t="shared" ca="1" si="214"/>
        <v>0.25139796819787985</v>
      </c>
    </row>
    <row r="581" spans="1:6" x14ac:dyDescent="0.25">
      <c r="A581" s="853"/>
      <c r="B581" s="854" t="s">
        <v>4392</v>
      </c>
      <c r="C581" s="855">
        <f ca="1">SUM(C572:C580)</f>
        <v>103956429.5</v>
      </c>
      <c r="D581" s="855">
        <f ca="1">SUM(D572:D580)</f>
        <v>94505845</v>
      </c>
      <c r="E581" s="855">
        <f ca="1">SUM(E572:E580)</f>
        <v>23667938</v>
      </c>
      <c r="F581" s="567">
        <f t="shared" ca="1" si="214"/>
        <v>0.25043888026185046</v>
      </c>
    </row>
    <row r="582" spans="1:6" x14ac:dyDescent="0.25">
      <c r="A582" s="1019" t="s">
        <v>4417</v>
      </c>
      <c r="B582" s="227" t="s">
        <v>2254</v>
      </c>
      <c r="C582" s="858">
        <f t="shared" ref="C582:C587" ca="1" si="216">SUMIFS(INDIRECT("Report!F100:F10000"),INDIRECT("Report!B100:B10000"),B582,INDIRECT("report!H100:H10000"),"Others",INDIRECT("Report!L100:L10000"),"25,7")</f>
        <v>17950380.800000001</v>
      </c>
      <c r="D582" s="861">
        <f t="shared" ref="D582" ca="1" si="217">(C582/11*10)</f>
        <v>16318528</v>
      </c>
      <c r="E582" s="858">
        <f t="shared" ref="E582:E587" ca="1" si="218">SUMIFS(INDIRECT("Report!J100:J10000"),INDIRECT("Report!B100:B10000"),B582,INDIRECT("report!H100:H10000"),"Others",INDIRECT("Report!L100:L10000"),"25,7")</f>
        <v>1217888</v>
      </c>
      <c r="F582" s="857">
        <f t="shared" ref="F582:F588" ca="1" si="219">E582/D582</f>
        <v>7.4632221729803078E-2</v>
      </c>
    </row>
    <row r="583" spans="1:6" x14ac:dyDescent="0.25">
      <c r="A583" s="852"/>
      <c r="B583" s="227" t="s">
        <v>2255</v>
      </c>
      <c r="C583" s="858">
        <f t="shared" ca="1" si="216"/>
        <v>36795000</v>
      </c>
      <c r="D583" s="861">
        <f t="shared" ref="D583:D587" ca="1" si="220">(C583/11*10)</f>
        <v>33450000</v>
      </c>
      <c r="E583" s="858">
        <f t="shared" ca="1" si="218"/>
        <v>10689800</v>
      </c>
      <c r="F583" s="857">
        <f t="shared" ca="1" si="219"/>
        <v>0.31957548579970102</v>
      </c>
    </row>
    <row r="584" spans="1:6" x14ac:dyDescent="0.25">
      <c r="A584" s="232"/>
      <c r="B584" s="227" t="s">
        <v>2353</v>
      </c>
      <c r="C584" s="858">
        <f t="shared" ca="1" si="216"/>
        <v>6105000</v>
      </c>
      <c r="D584" s="861">
        <f t="shared" ca="1" si="220"/>
        <v>5550000</v>
      </c>
      <c r="E584" s="858">
        <f t="shared" ca="1" si="218"/>
        <v>970440</v>
      </c>
      <c r="F584" s="857">
        <f t="shared" ca="1" si="219"/>
        <v>0.17485405405405405</v>
      </c>
    </row>
    <row r="585" spans="1:6" x14ac:dyDescent="0.25">
      <c r="A585" s="232"/>
      <c r="B585" s="227" t="s">
        <v>2352</v>
      </c>
      <c r="C585" s="858">
        <f t="shared" ca="1" si="216"/>
        <v>475200.00000000006</v>
      </c>
      <c r="D585" s="861">
        <f t="shared" ca="1" si="220"/>
        <v>432000.00000000006</v>
      </c>
      <c r="E585" s="858">
        <f t="shared" ca="1" si="218"/>
        <v>164320</v>
      </c>
      <c r="F585" s="857">
        <f t="shared" ca="1" si="219"/>
        <v>0.3803703703703703</v>
      </c>
    </row>
    <row r="586" spans="1:6" x14ac:dyDescent="0.25">
      <c r="A586" s="232"/>
      <c r="B586" s="227" t="s">
        <v>1416</v>
      </c>
      <c r="C586" s="858">
        <f t="shared" ca="1" si="216"/>
        <v>2585000</v>
      </c>
      <c r="D586" s="861">
        <f t="shared" ca="1" si="220"/>
        <v>2350000</v>
      </c>
      <c r="E586" s="858">
        <f t="shared" ca="1" si="218"/>
        <v>600000</v>
      </c>
      <c r="F586" s="857">
        <f t="shared" ca="1" si="219"/>
        <v>0.25531914893617019</v>
      </c>
    </row>
    <row r="587" spans="1:6" x14ac:dyDescent="0.25">
      <c r="B587" s="227" t="s">
        <v>4413</v>
      </c>
      <c r="C587" s="858">
        <f t="shared" ca="1" si="216"/>
        <v>69300000</v>
      </c>
      <c r="D587" s="861">
        <f t="shared" ca="1" si="220"/>
        <v>63000000</v>
      </c>
      <c r="E587" s="858">
        <f t="shared" ca="1" si="218"/>
        <v>15000000</v>
      </c>
      <c r="F587" s="857">
        <f t="shared" ca="1" si="219"/>
        <v>0.23809523809523808</v>
      </c>
    </row>
    <row r="588" spans="1:6" x14ac:dyDescent="0.25">
      <c r="A588" s="853"/>
      <c r="B588" s="854" t="s">
        <v>4416</v>
      </c>
      <c r="C588" s="855">
        <f ca="1">SUM(C582:C587)</f>
        <v>133210580.8</v>
      </c>
      <c r="D588" s="855">
        <f ca="1">SUM(D582:D587)</f>
        <v>121100528</v>
      </c>
      <c r="E588" s="855">
        <f ca="1">SUM(E582:E587)</f>
        <v>28642448</v>
      </c>
      <c r="F588" s="567">
        <f t="shared" ca="1" si="219"/>
        <v>0.23651794482679711</v>
      </c>
    </row>
    <row r="589" spans="1:6" x14ac:dyDescent="0.25">
      <c r="A589" s="1019" t="s">
        <v>4427</v>
      </c>
      <c r="B589" s="227" t="s">
        <v>2254</v>
      </c>
      <c r="C589" s="858">
        <f t="shared" ref="C589:C596" ca="1" si="221">SUMIFS(INDIRECT("Report!F100:F10000"),INDIRECT("Report!B100:B10000"),B589,INDIRECT("report!H100:H10000"),"Others",INDIRECT("Report!L100:L10000"),"25,8")</f>
        <v>7483080</v>
      </c>
      <c r="D589" s="861">
        <f t="shared" ref="D589" ca="1" si="222">(C589/11*10)</f>
        <v>6802800</v>
      </c>
      <c r="E589" s="858">
        <f t="shared" ref="E589:E596" ca="1" si="223">SUMIFS(INDIRECT("Report!J100:J10000"),INDIRECT("Report!B100:B10000"),B589,INDIRECT("report!H100:H10000"),"Others",INDIRECT("Report!L100:L10000"),"25,8")</f>
        <v>506800</v>
      </c>
      <c r="F589" s="857">
        <f t="shared" ref="F589:F597" ca="1" si="224">E589/D589</f>
        <v>7.4498735814664555E-2</v>
      </c>
    </row>
    <row r="590" spans="1:6" x14ac:dyDescent="0.25">
      <c r="A590" s="852"/>
      <c r="B590" s="227" t="s">
        <v>2255</v>
      </c>
      <c r="C590" s="858">
        <f t="shared" ca="1" si="221"/>
        <v>29894480</v>
      </c>
      <c r="D590" s="861">
        <f t="shared" ref="D590:D596" ca="1" si="225">(C590/11*10)</f>
        <v>27176800</v>
      </c>
      <c r="E590" s="858">
        <f t="shared" ca="1" si="223"/>
        <v>8895400</v>
      </c>
      <c r="F590" s="857">
        <f t="shared" ca="1" si="224"/>
        <v>0.32731594595390184</v>
      </c>
    </row>
    <row r="591" spans="1:6" x14ac:dyDescent="0.25">
      <c r="A591" s="232"/>
      <c r="B591" s="227" t="s">
        <v>2353</v>
      </c>
      <c r="C591" s="858">
        <f t="shared" ca="1" si="221"/>
        <v>17770500</v>
      </c>
      <c r="D591" s="861">
        <f t="shared" ca="1" si="225"/>
        <v>16155000</v>
      </c>
      <c r="E591" s="858">
        <f t="shared" ca="1" si="223"/>
        <v>3831880</v>
      </c>
      <c r="F591" s="857">
        <f t="shared" ca="1" si="224"/>
        <v>0.23719467657072113</v>
      </c>
    </row>
    <row r="592" spans="1:6" x14ac:dyDescent="0.25">
      <c r="A592" s="232"/>
      <c r="B592" s="227" t="s">
        <v>2352</v>
      </c>
      <c r="C592" s="858">
        <f t="shared" ca="1" si="221"/>
        <v>2129600</v>
      </c>
      <c r="D592" s="861">
        <f t="shared" ca="1" si="225"/>
        <v>1936000</v>
      </c>
      <c r="E592" s="858">
        <f t="shared" ca="1" si="223"/>
        <v>890288</v>
      </c>
      <c r="F592" s="857">
        <f t="shared" ca="1" si="224"/>
        <v>0.45985950413223142</v>
      </c>
    </row>
    <row r="593" spans="1:6" x14ac:dyDescent="0.25">
      <c r="A593" s="232"/>
      <c r="B593" s="227" t="s">
        <v>1416</v>
      </c>
      <c r="C593" s="858">
        <f t="shared" ca="1" si="221"/>
        <v>2585000</v>
      </c>
      <c r="D593" s="861">
        <f t="shared" ca="1" si="225"/>
        <v>2350000</v>
      </c>
      <c r="E593" s="858">
        <f t="shared" ca="1" si="223"/>
        <v>600000</v>
      </c>
      <c r="F593" s="857">
        <f t="shared" ca="1" si="224"/>
        <v>0.25531914893617019</v>
      </c>
    </row>
    <row r="594" spans="1:6" x14ac:dyDescent="0.25">
      <c r="A594" s="232"/>
      <c r="B594" s="227" t="s">
        <v>2597</v>
      </c>
      <c r="C594" s="858">
        <f t="shared" ca="1" si="221"/>
        <v>2871000</v>
      </c>
      <c r="D594" s="861">
        <f t="shared" ca="1" si="225"/>
        <v>2610000</v>
      </c>
      <c r="E594" s="858">
        <f t="shared" ca="1" si="223"/>
        <v>582177</v>
      </c>
      <c r="F594" s="857">
        <f t="shared" ca="1" si="224"/>
        <v>0.22305632183908047</v>
      </c>
    </row>
    <row r="595" spans="1:6" x14ac:dyDescent="0.25">
      <c r="A595" s="232"/>
      <c r="B595" s="227" t="s">
        <v>4453</v>
      </c>
      <c r="C595" s="858">
        <f t="shared" ca="1" si="221"/>
        <v>1375000</v>
      </c>
      <c r="D595" s="861">
        <f t="shared" ca="1" si="225"/>
        <v>1250000</v>
      </c>
      <c r="E595" s="858">
        <f t="shared" ca="1" si="223"/>
        <v>750000</v>
      </c>
      <c r="F595" s="857">
        <f t="shared" ca="1" si="224"/>
        <v>0.6</v>
      </c>
    </row>
    <row r="596" spans="1:6" x14ac:dyDescent="0.25">
      <c r="B596" s="227" t="s">
        <v>4413</v>
      </c>
      <c r="C596" s="858">
        <f t="shared" ca="1" si="221"/>
        <v>14524400.000000002</v>
      </c>
      <c r="D596" s="861">
        <f t="shared" ca="1" si="225"/>
        <v>13204000.000000002</v>
      </c>
      <c r="E596" s="858">
        <f t="shared" ca="1" si="223"/>
        <v>3058220.416666667</v>
      </c>
      <c r="F596" s="857">
        <f t="shared" ca="1" si="224"/>
        <v>0.23161317908714529</v>
      </c>
    </row>
    <row r="597" spans="1:6" x14ac:dyDescent="0.25">
      <c r="A597" s="853"/>
      <c r="B597" s="854" t="s">
        <v>4429</v>
      </c>
      <c r="C597" s="855">
        <f ca="1">SUM(C589:C596)</f>
        <v>78633060</v>
      </c>
      <c r="D597" s="855">
        <f ca="1">SUM(D589:D596)</f>
        <v>71484600</v>
      </c>
      <c r="E597" s="855">
        <f ca="1">SUM(E589:E596)</f>
        <v>19114765.416666668</v>
      </c>
      <c r="F597" s="567">
        <f t="shared" ca="1" si="224"/>
        <v>0.2673969696503396</v>
      </c>
    </row>
    <row r="598" spans="1:6" x14ac:dyDescent="0.25">
      <c r="A598" s="1019" t="s">
        <v>4454</v>
      </c>
      <c r="B598" s="227" t="s">
        <v>2254</v>
      </c>
      <c r="C598" s="858">
        <f t="shared" ref="C598:C603" ca="1" si="226">SUMIFS(INDIRECT("Report!F100:F10000"),INDIRECT("Report!B100:B10000"),B598,INDIRECT("report!H100:H10000"),"Others",INDIRECT("Report!L100:L10000"),"25,9")</f>
        <v>10714880</v>
      </c>
      <c r="D598" s="861">
        <f t="shared" ref="D598" ca="1" si="227">(C598/11*10)</f>
        <v>9740800</v>
      </c>
      <c r="E598" s="858">
        <f t="shared" ref="E598:E603" ca="1" si="228">SUMIFS(INDIRECT("Report!J100:J10000"),INDIRECT("Report!B100:B10000"),B598,INDIRECT("report!H100:H10000"),"Others",INDIRECT("Report!L100:L10000"),"25,9")</f>
        <v>726800</v>
      </c>
      <c r="F598" s="857">
        <f t="shared" ref="F598:F604" ca="1" si="229">E598/D598</f>
        <v>7.4613994743758211E-2</v>
      </c>
    </row>
    <row r="599" spans="1:6" x14ac:dyDescent="0.25">
      <c r="A599" s="852"/>
      <c r="B599" s="227" t="s">
        <v>2255</v>
      </c>
      <c r="C599" s="858">
        <f t="shared" ca="1" si="226"/>
        <v>34266100</v>
      </c>
      <c r="D599" s="861">
        <f t="shared" ref="D599:D600" ca="1" si="230">(C599/11*10)</f>
        <v>31151000</v>
      </c>
      <c r="E599" s="858">
        <f t="shared" ca="1" si="228"/>
        <v>10172400</v>
      </c>
      <c r="F599" s="857">
        <f t="shared" ca="1" si="229"/>
        <v>0.32655131456454045</v>
      </c>
    </row>
    <row r="600" spans="1:6" x14ac:dyDescent="0.25">
      <c r="A600" s="232"/>
      <c r="B600" s="227" t="s">
        <v>2353</v>
      </c>
      <c r="C600" s="858">
        <f t="shared" ca="1" si="226"/>
        <v>12848000</v>
      </c>
      <c r="D600" s="861">
        <f t="shared" ca="1" si="230"/>
        <v>11680000</v>
      </c>
      <c r="E600" s="858">
        <f t="shared" ca="1" si="228"/>
        <v>3205880</v>
      </c>
      <c r="F600" s="857">
        <f t="shared" ca="1" si="229"/>
        <v>0.27447602739726029</v>
      </c>
    </row>
    <row r="601" spans="1:6" x14ac:dyDescent="0.25">
      <c r="A601" s="232"/>
      <c r="B601" s="227" t="s">
        <v>2352</v>
      </c>
      <c r="C601" s="858">
        <f t="shared" ca="1" si="226"/>
        <v>3414400</v>
      </c>
      <c r="D601" s="861">
        <f t="shared" ref="D601:D603" ca="1" si="231">(C601/11*10)</f>
        <v>3104000</v>
      </c>
      <c r="E601" s="858">
        <f t="shared" ca="1" si="228"/>
        <v>1336288</v>
      </c>
      <c r="F601" s="857">
        <f t="shared" ca="1" si="229"/>
        <v>0.43050515463917527</v>
      </c>
    </row>
    <row r="602" spans="1:6" x14ac:dyDescent="0.25">
      <c r="A602" s="232"/>
      <c r="B602" s="227" t="s">
        <v>1416</v>
      </c>
      <c r="C602" s="858">
        <f t="shared" ca="1" si="226"/>
        <v>2585000</v>
      </c>
      <c r="D602" s="861">
        <f t="shared" ca="1" si="231"/>
        <v>2350000</v>
      </c>
      <c r="E602" s="858">
        <f t="shared" ca="1" si="228"/>
        <v>600000</v>
      </c>
      <c r="F602" s="857">
        <f t="shared" ca="1" si="229"/>
        <v>0.25531914893617019</v>
      </c>
    </row>
    <row r="603" spans="1:6" x14ac:dyDescent="0.25">
      <c r="B603" s="227" t="s">
        <v>4413</v>
      </c>
      <c r="C603" s="858">
        <f t="shared" ca="1" si="226"/>
        <v>11422400.000000002</v>
      </c>
      <c r="D603" s="861">
        <f t="shared" ca="1" si="231"/>
        <v>10384000.000000002</v>
      </c>
      <c r="E603" s="858">
        <f t="shared" ca="1" si="228"/>
        <v>2254691.666666667</v>
      </c>
      <c r="F603" s="857">
        <f t="shared" ca="1" si="229"/>
        <v>0.21713132383153569</v>
      </c>
    </row>
    <row r="604" spans="1:6" x14ac:dyDescent="0.25">
      <c r="A604" s="853"/>
      <c r="B604" s="854" t="s">
        <v>4456</v>
      </c>
      <c r="C604" s="855">
        <f ca="1">SUM(C598:C603)</f>
        <v>75250780</v>
      </c>
      <c r="D604" s="855">
        <f ca="1">SUM(D598:D603)</f>
        <v>68409800</v>
      </c>
      <c r="E604" s="855">
        <f ca="1">SUM(E598:E603)</f>
        <v>18296059.666666668</v>
      </c>
      <c r="F604" s="567">
        <f t="shared" ca="1" si="229"/>
        <v>0.26744793387302213</v>
      </c>
    </row>
    <row r="605" spans="1:6" x14ac:dyDescent="0.25">
      <c r="A605" s="1019" t="s">
        <v>4470</v>
      </c>
      <c r="B605" s="227" t="s">
        <v>2254</v>
      </c>
      <c r="C605" s="858">
        <f t="shared" ref="C605:C617" ca="1" si="232">SUMIFS(INDIRECT("Report!F100:F10000"),INDIRECT("Report!B100:B10000"),B605,INDIRECT("report!H100:H10000"),"Others",INDIRECT("Report!L100:L10000"),"25,10")</f>
        <v>10714880</v>
      </c>
      <c r="D605" s="861">
        <f t="shared" ref="D605" ca="1" si="233">(C605/11*10)</f>
        <v>9740800</v>
      </c>
      <c r="E605" s="858">
        <f t="shared" ref="E605:E610" ca="1" si="234">SUMIFS(INDIRECT("Report!J100:J10000"),INDIRECT("Report!B100:B10000"),B605,INDIRECT("report!H100:H10000"),"Others",INDIRECT("Report!L100:L10000"),"25,10")</f>
        <v>726800</v>
      </c>
      <c r="F605" s="857">
        <f t="shared" ref="F605:F611" ca="1" si="235">E605/D605</f>
        <v>7.4613994743758211E-2</v>
      </c>
    </row>
    <row r="606" spans="1:6" x14ac:dyDescent="0.25">
      <c r="A606" s="852"/>
      <c r="B606" s="227" t="s">
        <v>2255</v>
      </c>
      <c r="C606" s="858">
        <f t="shared" ca="1" si="232"/>
        <v>27928560</v>
      </c>
      <c r="D606" s="861">
        <f t="shared" ref="D606:D610" ca="1" si="236">(C606/11*10)</f>
        <v>25389600</v>
      </c>
      <c r="E606" s="858">
        <f t="shared" ca="1" si="234"/>
        <v>8429000</v>
      </c>
      <c r="F606" s="857">
        <f t="shared" ca="1" si="235"/>
        <v>0.33198632510949366</v>
      </c>
    </row>
    <row r="607" spans="1:6" x14ac:dyDescent="0.25">
      <c r="A607" s="232"/>
      <c r="B607" s="227" t="s">
        <v>2353</v>
      </c>
      <c r="C607" s="858">
        <f t="shared" ca="1" si="232"/>
        <v>15697000</v>
      </c>
      <c r="D607" s="861">
        <f t="shared" ca="1" si="236"/>
        <v>14270000</v>
      </c>
      <c r="E607" s="858">
        <f t="shared" ca="1" si="234"/>
        <v>3751180</v>
      </c>
      <c r="F607" s="857">
        <f t="shared" ca="1" si="235"/>
        <v>0.26287175893482834</v>
      </c>
    </row>
    <row r="608" spans="1:6" x14ac:dyDescent="0.25">
      <c r="A608" s="232"/>
      <c r="B608" s="227" t="s">
        <v>2352</v>
      </c>
      <c r="C608" s="858">
        <f t="shared" ca="1" si="232"/>
        <v>4329600</v>
      </c>
      <c r="D608" s="861">
        <f t="shared" ca="1" si="236"/>
        <v>3936000</v>
      </c>
      <c r="E608" s="858">
        <f t="shared" ca="1" si="234"/>
        <v>1280288</v>
      </c>
      <c r="F608" s="857">
        <f t="shared" ca="1" si="235"/>
        <v>0.32527642276422764</v>
      </c>
    </row>
    <row r="609" spans="1:6" x14ac:dyDescent="0.25">
      <c r="A609" s="232"/>
      <c r="B609" s="227" t="s">
        <v>1416</v>
      </c>
      <c r="C609" s="858">
        <f t="shared" ca="1" si="232"/>
        <v>2585000</v>
      </c>
      <c r="D609" s="861">
        <f t="shared" ca="1" si="236"/>
        <v>2350000</v>
      </c>
      <c r="E609" s="858">
        <f t="shared" ca="1" si="234"/>
        <v>600000</v>
      </c>
      <c r="F609" s="857">
        <f t="shared" ca="1" si="235"/>
        <v>0.25531914893617019</v>
      </c>
    </row>
    <row r="610" spans="1:6" x14ac:dyDescent="0.25">
      <c r="B610" s="227" t="s">
        <v>4413</v>
      </c>
      <c r="C610" s="858">
        <f t="shared" ca="1" si="232"/>
        <v>11002200.000000002</v>
      </c>
      <c r="D610" s="861">
        <f t="shared" ca="1" si="236"/>
        <v>10002000.000000002</v>
      </c>
      <c r="E610" s="858">
        <f t="shared" ca="1" si="234"/>
        <v>1815588.7500000002</v>
      </c>
      <c r="F610" s="857">
        <f t="shared" ca="1" si="235"/>
        <v>0.18152257048590281</v>
      </c>
    </row>
    <row r="611" spans="1:6" x14ac:dyDescent="0.25">
      <c r="A611" s="853"/>
      <c r="B611" s="854" t="s">
        <v>4472</v>
      </c>
      <c r="C611" s="855">
        <f ca="1">SUM(C605:C610)</f>
        <v>72257240</v>
      </c>
      <c r="D611" s="855">
        <f ca="1">SUM(D605:D610)</f>
        <v>65688400</v>
      </c>
      <c r="E611" s="855">
        <f ca="1">SUM(E605:E610)</f>
        <v>16602856.75</v>
      </c>
      <c r="F611" s="567">
        <f t="shared" ca="1" si="235"/>
        <v>0.25275173013804569</v>
      </c>
    </row>
    <row r="612" spans="1:6" x14ac:dyDescent="0.25">
      <c r="A612" s="1019" t="s">
        <v>4488</v>
      </c>
      <c r="B612" s="227" t="s">
        <v>2254</v>
      </c>
      <c r="C612" s="858">
        <f ca="1">SUMIFS(INDIRECT("Report!F100:F10000"),INDIRECT("Report!B100:B10000"),B612,INDIRECT("report!H100:H10000"),"Others",INDIRECT("Report!L100:L10000"),"25,11")</f>
        <v>9223280</v>
      </c>
      <c r="D612" s="861">
        <f t="shared" ref="D612:D617" ca="1" si="237">(C612/11*10)</f>
        <v>8384800</v>
      </c>
      <c r="E612" s="858">
        <f ca="1">SUMIFS(INDIRECT("Report!J100:J10000"),INDIRECT("Report!B100:B10000"),B612,INDIRECT("report!H100:H10000"),"Others",INDIRECT("Report!L100:L10000"),"25,11")</f>
        <v>626800</v>
      </c>
      <c r="F612" s="857">
        <f t="shared" ref="F612:F618" ca="1" si="238">E612/D612</f>
        <v>7.4754317336132053E-2</v>
      </c>
    </row>
    <row r="613" spans="1:6" x14ac:dyDescent="0.25">
      <c r="A613" s="852"/>
      <c r="B613" s="227" t="s">
        <v>2255</v>
      </c>
      <c r="C613" s="858">
        <f ca="1">SUMIFS(INDIRECT("Report!F100:F10000"),INDIRECT("Report!B100:B10000"),B613,INDIRECT("report!H100:H10000"),"Others",INDIRECT("Report!L100:L10000"),"25,11")</f>
        <v>31699580</v>
      </c>
      <c r="D613" s="861">
        <f t="shared" ref="D613:D617" ca="1" si="239">(C613/11*10)</f>
        <v>28817800</v>
      </c>
      <c r="E613" s="858">
        <f ca="1">SUMIFS(INDIRECT("Report!J100:J10000"),INDIRECT("Report!B100:B10000"),B613,INDIRECT("report!H100:H10000"),"Others",INDIRECT("Report!L100:L10000"),"25,11")</f>
        <v>9834600</v>
      </c>
      <c r="F613" s="857">
        <f t="shared" ca="1" si="238"/>
        <v>0.34126824393256944</v>
      </c>
    </row>
    <row r="614" spans="1:6" x14ac:dyDescent="0.25">
      <c r="A614" s="232"/>
      <c r="B614" s="227" t="s">
        <v>2353</v>
      </c>
      <c r="C614" s="858">
        <f ca="1">SUMIFS(INDIRECT("Report!F100:F10000"),INDIRECT("Report!B100:B10000"),B614,INDIRECT("report!H100:H10000"),"Others",INDIRECT("Report!L100:L10000"),"25,11")</f>
        <v>15944500</v>
      </c>
      <c r="D614" s="861">
        <f t="shared" ca="1" si="239"/>
        <v>14495000</v>
      </c>
      <c r="E614" s="858">
        <f ca="1">SUMIFS(INDIRECT("Report!J100:J10000"),INDIRECT("Report!B100:B10000"),B614,INDIRECT("report!H100:H10000"),"Others",INDIRECT("Report!L100:L10000"),"25,11")</f>
        <v>3760880</v>
      </c>
      <c r="F614" s="857">
        <f t="shared" ca="1" si="238"/>
        <v>0.25946050362193862</v>
      </c>
    </row>
    <row r="615" spans="1:6" x14ac:dyDescent="0.25">
      <c r="A615" s="232"/>
      <c r="B615" s="227" t="s">
        <v>2352</v>
      </c>
      <c r="C615" s="858">
        <f ca="1">SUMIFS(INDIRECT("Report!F100:F10000"),INDIRECT("Report!B100:B10000"),B615,INDIRECT("report!H100:H10000"),"Others",INDIRECT("Report!L100:L10000"),"25,11")</f>
        <v>1920600.0000000002</v>
      </c>
      <c r="D615" s="861">
        <f t="shared" ca="1" si="239"/>
        <v>1746000.0000000002</v>
      </c>
      <c r="E615" s="858">
        <f ca="1">SUMIFS(INDIRECT("Report!J100:J10000"),INDIRECT("Report!B100:B10000"),B615,INDIRECT("report!H100:H10000"),"Others",INDIRECT("Report!L100:L10000"),"25,11")</f>
        <v>841968</v>
      </c>
      <c r="F615" s="857">
        <f t="shared" ca="1" si="238"/>
        <v>0.48222680412371127</v>
      </c>
    </row>
    <row r="616" spans="1:6" x14ac:dyDescent="0.25">
      <c r="A616" s="232"/>
      <c r="B616" s="227" t="s">
        <v>1416</v>
      </c>
      <c r="C616" s="858">
        <f ca="1">SUMIFS(INDIRECT("Report!F100:F10000"),INDIRECT("Report!B100:B10000"),B616,INDIRECT("report!H100:H10000"),"Others",INDIRECT("Report!L100:L10000"),"25,11")</f>
        <v>2585000</v>
      </c>
      <c r="D616" s="861">
        <f t="shared" ca="1" si="239"/>
        <v>2350000</v>
      </c>
      <c r="E616" s="858">
        <f ca="1">SUMIFS(INDIRECT("Report!J100:J10000"),INDIRECT("Report!B100:B10000"),B616,INDIRECT("report!H100:H10000"),"Others",INDIRECT("Report!L100:L10000"),"25,11")</f>
        <v>600000</v>
      </c>
      <c r="F616" s="857">
        <f t="shared" ca="1" si="238"/>
        <v>0.25531914893617019</v>
      </c>
    </row>
    <row r="617" spans="1:6" x14ac:dyDescent="0.25">
      <c r="B617" s="227" t="s">
        <v>3041</v>
      </c>
      <c r="C617" s="858">
        <f ca="1">SUMIFS(INDIRECT("Report!F100:F10000"),INDIRECT("Report!B100:B10000"),B617,INDIRECT("report!H100:H10000"),"Others",INDIRECT("Report!L100:L10000"),"25,11")</f>
        <v>1914000.0000000002</v>
      </c>
      <c r="D617" s="861">
        <f t="shared" ca="1" si="239"/>
        <v>1740000.0000000002</v>
      </c>
      <c r="E617" s="858">
        <f ca="1">SUMIFS(INDIRECT("Report!J100:J10000"),INDIRECT("Report!B100:B10000"),B617,INDIRECT("report!H100:H10000"),"Others",INDIRECT("Report!L100:L10000"),"25,11")</f>
        <v>532500</v>
      </c>
      <c r="F617" s="857">
        <f t="shared" ca="1" si="238"/>
        <v>0.30603448275862066</v>
      </c>
    </row>
    <row r="618" spans="1:6" x14ac:dyDescent="0.25">
      <c r="A618" s="853"/>
      <c r="B618" s="854" t="s">
        <v>4490</v>
      </c>
      <c r="C618" s="855">
        <f ca="1">SUM(C612:C617)</f>
        <v>63286960</v>
      </c>
      <c r="D618" s="855">
        <f ca="1">SUM(D612:D617)</f>
        <v>57533600</v>
      </c>
      <c r="E618" s="855">
        <f ca="1">SUM(E612:E617)</f>
        <v>16196748</v>
      </c>
      <c r="F618" s="567">
        <f t="shared" ca="1" si="238"/>
        <v>0.28151806944116131</v>
      </c>
    </row>
  </sheetData>
  <autoFilter ref="A1:H281" xr:uid="{00000000-0009-0000-0000-000004000000}"/>
  <phoneticPr fontId="2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 filterMode="1">
    <pageSetUpPr fitToPage="1"/>
  </sheetPr>
  <dimension ref="A1:Y1048576"/>
  <sheetViews>
    <sheetView tabSelected="1" topLeftCell="B1" zoomScale="70" zoomScaleNormal="70" workbookViewId="0">
      <pane ySplit="1" topLeftCell="B7463" activePane="bottomLeft" state="frozen"/>
      <selection activeCell="J1" sqref="J1"/>
      <selection pane="bottomLeft" activeCell="D1" sqref="D1"/>
    </sheetView>
  </sheetViews>
  <sheetFormatPr defaultColWidth="9.03515625" defaultRowHeight="17.25" x14ac:dyDescent="0.25"/>
  <cols>
    <col min="1" max="1" width="19.1875" style="458" customWidth="1"/>
    <col min="2" max="2" width="35.6484375" style="679" customWidth="1"/>
    <col min="3" max="3" width="41.96484375" style="688" customWidth="1"/>
    <col min="4" max="4" width="12.625" style="688" customWidth="1"/>
    <col min="5" max="5" width="20.546875" style="710" customWidth="1"/>
    <col min="6" max="6" width="23.1484375" style="710" customWidth="1"/>
    <col min="7" max="7" width="24.13671875" style="710" customWidth="1"/>
    <col min="8" max="8" width="15.22265625" style="459" customWidth="1"/>
    <col min="9" max="9" width="12.25390625" style="460" customWidth="1"/>
    <col min="10" max="10" width="17.69921875" style="108" customWidth="1"/>
    <col min="11" max="11" width="10.1484375" style="109" customWidth="1"/>
    <col min="12" max="12" width="10.51953125" style="458" customWidth="1"/>
    <col min="13" max="13" width="52.609375" style="585" customWidth="1"/>
    <col min="14" max="14" width="20.546875" style="1195" customWidth="1"/>
    <col min="15" max="15" width="35.6484375" style="688" customWidth="1"/>
    <col min="16" max="16" width="49.63671875" style="457" bestFit="1" customWidth="1"/>
    <col min="17" max="17" width="12.75" style="457" customWidth="1"/>
    <col min="18" max="20" width="18.69140625" style="461" customWidth="1"/>
    <col min="21" max="21" width="10.0234375" style="457" customWidth="1"/>
    <col min="22" max="22" width="43.32421875" style="457" customWidth="1"/>
    <col min="23" max="23" width="17.203125" style="482" customWidth="1"/>
    <col min="24" max="24" width="22.65234375" style="457" customWidth="1"/>
    <col min="25" max="25" width="25.62109375" style="457" customWidth="1"/>
    <col min="26" max="16384" width="9.03515625" style="457"/>
  </cols>
  <sheetData>
    <row r="1" spans="1:24" s="446" customFormat="1" ht="55.15" customHeight="1" x14ac:dyDescent="0.1">
      <c r="A1" s="438" t="s">
        <v>105</v>
      </c>
      <c r="B1" s="661" t="s">
        <v>3953</v>
      </c>
      <c r="C1" s="439" t="s">
        <v>160</v>
      </c>
      <c r="D1" s="439" t="s">
        <v>156</v>
      </c>
      <c r="E1" s="440" t="s">
        <v>157</v>
      </c>
      <c r="F1" s="441" t="s">
        <v>3279</v>
      </c>
      <c r="G1" s="441" t="s">
        <v>225</v>
      </c>
      <c r="H1" s="442" t="s">
        <v>170</v>
      </c>
      <c r="I1" s="443" t="s">
        <v>171</v>
      </c>
      <c r="J1" s="440" t="s">
        <v>155</v>
      </c>
      <c r="K1" s="444" t="s">
        <v>771</v>
      </c>
      <c r="L1" s="837" t="s">
        <v>6</v>
      </c>
      <c r="M1" s="577" t="s">
        <v>158</v>
      </c>
      <c r="N1" s="1193" t="s">
        <v>174</v>
      </c>
      <c r="O1" s="439" t="s">
        <v>159</v>
      </c>
      <c r="P1" s="445" t="s">
        <v>160</v>
      </c>
      <c r="Q1" s="439" t="s">
        <v>156</v>
      </c>
      <c r="R1" s="440" t="s">
        <v>161</v>
      </c>
      <c r="S1" s="440" t="s">
        <v>162</v>
      </c>
      <c r="T1" s="440" t="s">
        <v>226</v>
      </c>
      <c r="U1" s="439" t="s">
        <v>4467</v>
      </c>
      <c r="V1" s="439" t="s">
        <v>158</v>
      </c>
      <c r="W1" s="471" t="s">
        <v>613</v>
      </c>
      <c r="X1" s="915" t="s">
        <v>1058</v>
      </c>
    </row>
    <row r="2" spans="1:24" s="220" customFormat="1" ht="45" hidden="1" customHeight="1" x14ac:dyDescent="0.25">
      <c r="A2" s="447">
        <v>2017.5</v>
      </c>
      <c r="B2" s="662" t="s">
        <v>544</v>
      </c>
      <c r="C2" s="448"/>
      <c r="D2" s="448"/>
      <c r="E2" s="449"/>
      <c r="F2" s="449"/>
      <c r="G2" s="449"/>
      <c r="H2" s="450"/>
      <c r="I2" s="451"/>
      <c r="J2" s="216"/>
      <c r="K2" s="217"/>
      <c r="L2" s="838"/>
      <c r="M2" s="638"/>
      <c r="N2" s="722"/>
      <c r="O2" s="448" t="s">
        <v>154</v>
      </c>
      <c r="P2" s="726"/>
      <c r="Q2" s="218"/>
      <c r="R2" s="219"/>
      <c r="S2" s="216"/>
      <c r="T2" s="216"/>
      <c r="W2" s="472"/>
    </row>
    <row r="3" spans="1:24" s="167" customFormat="1" ht="30" hidden="1" customHeight="1" x14ac:dyDescent="0.2">
      <c r="A3" s="430">
        <v>170421</v>
      </c>
      <c r="B3" s="665" t="s">
        <v>443</v>
      </c>
      <c r="C3" s="167" t="s">
        <v>579</v>
      </c>
      <c r="E3" s="169"/>
      <c r="F3" s="170"/>
      <c r="G3" s="170"/>
      <c r="H3" s="171" t="s">
        <v>985</v>
      </c>
      <c r="I3" s="172"/>
      <c r="J3" s="55"/>
      <c r="K3" s="56"/>
      <c r="L3" s="842">
        <v>17.5</v>
      </c>
      <c r="M3" s="641" t="s">
        <v>1074</v>
      </c>
      <c r="N3" s="665">
        <f>A3</f>
        <v>170421</v>
      </c>
      <c r="O3" s="167" t="s">
        <v>145</v>
      </c>
      <c r="P3" s="172" t="str">
        <f>(C3)</f>
        <v>M-600 서비스 비용</v>
      </c>
      <c r="Q3" s="167">
        <f>D3</f>
        <v>0</v>
      </c>
      <c r="R3" s="169">
        <v>2740</v>
      </c>
      <c r="S3" s="169">
        <f t="shared" ref="S3:S34" si="0">(R3*D3)*1.1</f>
        <v>0</v>
      </c>
      <c r="T3" s="169">
        <f t="shared" ref="T3:T34" si="1">(R3*Q3)</f>
        <v>0</v>
      </c>
      <c r="U3" s="167" t="str">
        <f t="shared" ref="U3:U34" si="2">IF(J3=W3,"O", "X")</f>
        <v>O</v>
      </c>
      <c r="W3" s="475">
        <f t="shared" ref="W3:W34" si="3">(G3-T3)</f>
        <v>0</v>
      </c>
    </row>
    <row r="4" spans="1:24" s="167" customFormat="1" ht="30" hidden="1" customHeight="1" x14ac:dyDescent="0.2">
      <c r="A4" s="430">
        <v>170424</v>
      </c>
      <c r="B4" s="665" t="s">
        <v>443</v>
      </c>
      <c r="C4" s="167" t="s">
        <v>579</v>
      </c>
      <c r="E4" s="169"/>
      <c r="F4" s="170"/>
      <c r="G4" s="170"/>
      <c r="H4" s="171" t="s">
        <v>985</v>
      </c>
      <c r="I4" s="172"/>
      <c r="J4" s="55"/>
      <c r="K4" s="56"/>
      <c r="L4" s="842">
        <v>17.5</v>
      </c>
      <c r="M4" s="641" t="s">
        <v>1073</v>
      </c>
      <c r="N4" s="665">
        <f>A4</f>
        <v>170424</v>
      </c>
      <c r="O4" s="167" t="s">
        <v>145</v>
      </c>
      <c r="P4" s="172" t="str">
        <f>(C4)</f>
        <v>M-600 서비스 비용</v>
      </c>
      <c r="Q4" s="167">
        <f>D4</f>
        <v>0</v>
      </c>
      <c r="R4" s="169">
        <v>2740</v>
      </c>
      <c r="S4" s="169">
        <f t="shared" si="0"/>
        <v>0</v>
      </c>
      <c r="T4" s="169">
        <f t="shared" si="1"/>
        <v>0</v>
      </c>
      <c r="U4" s="167" t="str">
        <f t="shared" si="2"/>
        <v>O</v>
      </c>
      <c r="W4" s="475">
        <f t="shared" si="3"/>
        <v>0</v>
      </c>
    </row>
    <row r="5" spans="1:24" s="73" customFormat="1" ht="30" hidden="1" customHeight="1" x14ac:dyDescent="0.2">
      <c r="A5" s="428">
        <v>170428</v>
      </c>
      <c r="B5" s="663" t="s">
        <v>442</v>
      </c>
      <c r="C5" s="73" t="s">
        <v>133</v>
      </c>
      <c r="D5" s="73">
        <v>2</v>
      </c>
      <c r="E5" s="147">
        <v>327000</v>
      </c>
      <c r="F5" s="160">
        <f t="shared" ref="F5:F36" si="4">(E5*D5)*1.1</f>
        <v>719400</v>
      </c>
      <c r="G5" s="160">
        <f t="shared" ref="G5:G36" si="5">(E5*D5)</f>
        <v>654000</v>
      </c>
      <c r="H5" s="161" t="s">
        <v>172</v>
      </c>
      <c r="I5" s="132" t="s">
        <v>141</v>
      </c>
      <c r="J5" s="60">
        <f>(G5-(VLOOKUP(C5,Price!B:D,3,FALSE)*D5))</f>
        <v>115800</v>
      </c>
      <c r="K5" s="65">
        <f>(J5/(G5/11*10))</f>
        <v>0.19477064220183485</v>
      </c>
      <c r="L5" s="839">
        <v>17.5</v>
      </c>
      <c r="M5" s="584"/>
      <c r="N5" s="833">
        <f>A5</f>
        <v>170428</v>
      </c>
      <c r="O5" s="73" t="s">
        <v>145</v>
      </c>
      <c r="P5" s="132" t="str">
        <f>(C5)</f>
        <v>Agfa Film(24inch)</v>
      </c>
      <c r="Q5" s="73">
        <f>D5</f>
        <v>2</v>
      </c>
      <c r="R5" s="147">
        <v>269100</v>
      </c>
      <c r="S5" s="147">
        <f t="shared" si="0"/>
        <v>592020</v>
      </c>
      <c r="T5" s="147">
        <f t="shared" si="1"/>
        <v>538200</v>
      </c>
      <c r="U5" s="73" t="str">
        <f t="shared" si="2"/>
        <v>O</v>
      </c>
      <c r="W5" s="473">
        <f t="shared" si="3"/>
        <v>115800</v>
      </c>
    </row>
    <row r="6" spans="1:24" s="71" customFormat="1" ht="30" hidden="1" customHeight="1" x14ac:dyDescent="0.2">
      <c r="A6" s="429">
        <v>170428</v>
      </c>
      <c r="B6" s="664" t="s">
        <v>442</v>
      </c>
      <c r="C6" s="71" t="s">
        <v>134</v>
      </c>
      <c r="D6" s="71">
        <v>2</v>
      </c>
      <c r="E6" s="102">
        <v>401000</v>
      </c>
      <c r="F6" s="163">
        <f t="shared" si="4"/>
        <v>882200.00000000012</v>
      </c>
      <c r="G6" s="160">
        <f t="shared" si="5"/>
        <v>802000</v>
      </c>
      <c r="H6" s="161" t="s">
        <v>172</v>
      </c>
      <c r="I6" s="103" t="s">
        <v>141</v>
      </c>
      <c r="J6" s="60">
        <f>(G6-(VLOOKUP(C6,Price!B:D,3,FALSE)*D6))</f>
        <v>174080</v>
      </c>
      <c r="K6" s="63">
        <f t="shared" ref="K6:K36" si="6">(J6/(F6/11*10))</f>
        <v>0.21705735660847877</v>
      </c>
      <c r="L6" s="839">
        <v>17.5</v>
      </c>
      <c r="M6" s="468"/>
      <c r="N6" s="671">
        <f t="shared" ref="N6:N69" si="7">A6</f>
        <v>170428</v>
      </c>
      <c r="O6" s="71" t="s">
        <v>145</v>
      </c>
      <c r="P6" s="132" t="str">
        <f>(C6)</f>
        <v>Agfa Film(28inch)</v>
      </c>
      <c r="Q6" s="71">
        <f t="shared" ref="Q6:Q69" si="8">D6</f>
        <v>2</v>
      </c>
      <c r="R6" s="102">
        <v>313960</v>
      </c>
      <c r="S6" s="102">
        <f t="shared" si="0"/>
        <v>690712</v>
      </c>
      <c r="T6" s="102">
        <f t="shared" si="1"/>
        <v>627920</v>
      </c>
      <c r="U6" s="71" t="str">
        <f t="shared" si="2"/>
        <v>O</v>
      </c>
      <c r="W6" s="474">
        <f t="shared" si="3"/>
        <v>174080</v>
      </c>
    </row>
    <row r="7" spans="1:24" s="71" customFormat="1" ht="30" hidden="1" customHeight="1" x14ac:dyDescent="0.2">
      <c r="A7" s="429">
        <v>170428</v>
      </c>
      <c r="B7" s="664" t="s">
        <v>442</v>
      </c>
      <c r="C7" s="71" t="s">
        <v>135</v>
      </c>
      <c r="D7" s="71">
        <v>2</v>
      </c>
      <c r="E7" s="102">
        <v>448000</v>
      </c>
      <c r="F7" s="163">
        <f t="shared" si="4"/>
        <v>985600.00000000012</v>
      </c>
      <c r="G7" s="160">
        <f t="shared" si="5"/>
        <v>896000</v>
      </c>
      <c r="H7" s="161" t="s">
        <v>172</v>
      </c>
      <c r="I7" s="103" t="s">
        <v>141</v>
      </c>
      <c r="J7" s="53">
        <f>(G7-(VLOOKUP(C7,Price!B:D,3,FALSE)*D7))</f>
        <v>155980</v>
      </c>
      <c r="K7" s="63">
        <f t="shared" si="6"/>
        <v>0.1740848214285714</v>
      </c>
      <c r="L7" s="611">
        <v>17.5</v>
      </c>
      <c r="M7" s="468"/>
      <c r="N7" s="674">
        <f t="shared" si="7"/>
        <v>170428</v>
      </c>
      <c r="O7" s="96" t="s">
        <v>145</v>
      </c>
      <c r="P7" s="103" t="str">
        <f t="shared" ref="P7:P70" si="9">(C7)</f>
        <v>Agfa Film(32inch)</v>
      </c>
      <c r="Q7" s="71">
        <f t="shared" si="8"/>
        <v>2</v>
      </c>
      <c r="R7" s="102">
        <v>370010</v>
      </c>
      <c r="S7" s="102">
        <f t="shared" si="0"/>
        <v>814022.00000000012</v>
      </c>
      <c r="T7" s="102">
        <f t="shared" si="1"/>
        <v>740020</v>
      </c>
      <c r="U7" s="71" t="str">
        <f t="shared" si="2"/>
        <v>O</v>
      </c>
      <c r="W7" s="474">
        <f t="shared" si="3"/>
        <v>155980</v>
      </c>
    </row>
    <row r="8" spans="1:24" s="71" customFormat="1" ht="30" hidden="1" customHeight="1" x14ac:dyDescent="0.2">
      <c r="A8" s="429">
        <v>170428</v>
      </c>
      <c r="B8" s="664" t="s">
        <v>442</v>
      </c>
      <c r="C8" s="71" t="s">
        <v>649</v>
      </c>
      <c r="D8" s="71">
        <v>2</v>
      </c>
      <c r="E8" s="102">
        <v>41000</v>
      </c>
      <c r="F8" s="163">
        <f t="shared" si="4"/>
        <v>90200.000000000015</v>
      </c>
      <c r="G8" s="160">
        <f t="shared" si="5"/>
        <v>82000</v>
      </c>
      <c r="H8" s="165" t="s">
        <v>172</v>
      </c>
      <c r="I8" s="103" t="s">
        <v>141</v>
      </c>
      <c r="J8" s="53">
        <f>(G8-(VLOOKUP(C8,Price!B:D,3,FALSE)*D8))</f>
        <v>32000</v>
      </c>
      <c r="K8" s="58">
        <f t="shared" si="6"/>
        <v>0.39024390243902435</v>
      </c>
      <c r="L8" s="80">
        <v>17.5</v>
      </c>
      <c r="M8" s="584"/>
      <c r="N8" s="671">
        <f t="shared" si="7"/>
        <v>170428</v>
      </c>
      <c r="O8" s="687" t="s">
        <v>145</v>
      </c>
      <c r="P8" s="103" t="str">
        <f t="shared" si="9"/>
        <v>Agfa 현상액 G101C(10L)</v>
      </c>
      <c r="Q8" s="71">
        <f t="shared" si="8"/>
        <v>2</v>
      </c>
      <c r="R8" s="102">
        <v>25000</v>
      </c>
      <c r="S8" s="102">
        <f t="shared" si="0"/>
        <v>55000.000000000007</v>
      </c>
      <c r="T8" s="102">
        <f t="shared" si="1"/>
        <v>50000</v>
      </c>
      <c r="U8" s="71" t="str">
        <f t="shared" si="2"/>
        <v>O</v>
      </c>
      <c r="W8" s="474">
        <f t="shared" si="3"/>
        <v>32000</v>
      </c>
    </row>
    <row r="9" spans="1:24" s="167" customFormat="1" ht="30" hidden="1" customHeight="1" x14ac:dyDescent="0.2">
      <c r="A9" s="429">
        <v>170428</v>
      </c>
      <c r="B9" s="665" t="s">
        <v>442</v>
      </c>
      <c r="C9" s="71" t="s">
        <v>650</v>
      </c>
      <c r="D9" s="167">
        <v>1</v>
      </c>
      <c r="E9" s="169">
        <v>93000</v>
      </c>
      <c r="F9" s="170">
        <f t="shared" si="4"/>
        <v>102300.00000000001</v>
      </c>
      <c r="G9" s="170">
        <f t="shared" si="5"/>
        <v>93000</v>
      </c>
      <c r="H9" s="171" t="s">
        <v>172</v>
      </c>
      <c r="I9" s="172" t="s">
        <v>141</v>
      </c>
      <c r="J9" s="55">
        <f>(G9-(VLOOKUP(C9,Price!B:D,3,FALSE)*D9))</f>
        <v>33000</v>
      </c>
      <c r="K9" s="56">
        <f t="shared" si="6"/>
        <v>0.35483870967741932</v>
      </c>
      <c r="L9" s="840">
        <v>17.5</v>
      </c>
      <c r="M9" s="639"/>
      <c r="N9" s="723">
        <f t="shared" si="7"/>
        <v>170428</v>
      </c>
      <c r="O9" s="167" t="s">
        <v>145</v>
      </c>
      <c r="P9" s="727" t="str">
        <f t="shared" si="9"/>
        <v>Agfa 정착액 G333C(20L)</v>
      </c>
      <c r="Q9" s="167">
        <f t="shared" si="8"/>
        <v>1</v>
      </c>
      <c r="R9" s="169">
        <v>60000</v>
      </c>
      <c r="S9" s="169">
        <f t="shared" si="0"/>
        <v>66000</v>
      </c>
      <c r="T9" s="169">
        <f t="shared" si="1"/>
        <v>60000</v>
      </c>
      <c r="U9" s="167" t="str">
        <f t="shared" si="2"/>
        <v>O</v>
      </c>
      <c r="V9" s="168"/>
      <c r="W9" s="475">
        <f t="shared" si="3"/>
        <v>33000</v>
      </c>
    </row>
    <row r="10" spans="1:24" s="173" customFormat="1" ht="30" hidden="1" customHeight="1" x14ac:dyDescent="0.2">
      <c r="A10" s="431">
        <v>170502</v>
      </c>
      <c r="B10" s="666" t="s">
        <v>548</v>
      </c>
      <c r="C10" s="173" t="s">
        <v>107</v>
      </c>
      <c r="D10" s="173">
        <v>20</v>
      </c>
      <c r="E10" s="174">
        <v>100000</v>
      </c>
      <c r="F10" s="175">
        <f t="shared" si="4"/>
        <v>2200000</v>
      </c>
      <c r="G10" s="175">
        <f t="shared" si="5"/>
        <v>2000000</v>
      </c>
      <c r="H10" s="176" t="s">
        <v>172</v>
      </c>
      <c r="I10" s="177" t="s">
        <v>109</v>
      </c>
      <c r="J10" s="57">
        <f>(G10-(VLOOKUP(C10,Price!B:D,3,FALSE)*D10))</f>
        <v>390000</v>
      </c>
      <c r="K10" s="58">
        <f t="shared" si="6"/>
        <v>0.19500000000000001</v>
      </c>
      <c r="L10" s="841">
        <v>17.5</v>
      </c>
      <c r="M10" s="640"/>
      <c r="N10" s="666">
        <f t="shared" si="7"/>
        <v>170502</v>
      </c>
      <c r="O10" s="173" t="s">
        <v>147</v>
      </c>
      <c r="P10" s="177" t="str">
        <f t="shared" si="9"/>
        <v>Blanket(1050*840)</v>
      </c>
      <c r="Q10" s="173">
        <f t="shared" si="8"/>
        <v>20</v>
      </c>
      <c r="R10" s="174">
        <v>80500</v>
      </c>
      <c r="S10" s="174">
        <f t="shared" si="0"/>
        <v>1771000.0000000002</v>
      </c>
      <c r="T10" s="174">
        <f t="shared" si="1"/>
        <v>1610000</v>
      </c>
      <c r="U10" s="173" t="str">
        <f t="shared" si="2"/>
        <v>O</v>
      </c>
      <c r="W10" s="476">
        <f t="shared" si="3"/>
        <v>390000</v>
      </c>
    </row>
    <row r="11" spans="1:24" s="167" customFormat="1" ht="30" hidden="1" customHeight="1" x14ac:dyDescent="0.2">
      <c r="A11" s="430">
        <v>170502</v>
      </c>
      <c r="B11" s="665" t="s">
        <v>443</v>
      </c>
      <c r="C11" s="167" t="s">
        <v>106</v>
      </c>
      <c r="D11" s="167">
        <v>1200</v>
      </c>
      <c r="E11" s="169">
        <v>3990</v>
      </c>
      <c r="F11" s="170">
        <f t="shared" si="4"/>
        <v>5266800</v>
      </c>
      <c r="G11" s="170">
        <f t="shared" si="5"/>
        <v>4788000</v>
      </c>
      <c r="H11" s="171" t="s">
        <v>172</v>
      </c>
      <c r="I11" s="172" t="s">
        <v>140</v>
      </c>
      <c r="J11" s="55">
        <f>(G11-(VLOOKUP(C11,Price!B:D,3,FALSE)*D11))</f>
        <v>1500000</v>
      </c>
      <c r="K11" s="56">
        <f t="shared" si="6"/>
        <v>0.31328320802005011</v>
      </c>
      <c r="L11" s="842">
        <v>17.5</v>
      </c>
      <c r="M11" s="641"/>
      <c r="N11" s="665">
        <f t="shared" si="7"/>
        <v>170502</v>
      </c>
      <c r="O11" s="167" t="s">
        <v>145</v>
      </c>
      <c r="P11" s="172" t="str">
        <f t="shared" si="9"/>
        <v>ENGAGE 27 900X570MM WE</v>
      </c>
      <c r="Q11" s="167">
        <f t="shared" si="8"/>
        <v>1200</v>
      </c>
      <c r="R11" s="169">
        <v>2740</v>
      </c>
      <c r="S11" s="169">
        <f t="shared" si="0"/>
        <v>3616800.0000000005</v>
      </c>
      <c r="T11" s="169">
        <f t="shared" si="1"/>
        <v>3288000</v>
      </c>
      <c r="U11" s="167" t="str">
        <f t="shared" si="2"/>
        <v>O</v>
      </c>
      <c r="W11" s="475">
        <f t="shared" si="3"/>
        <v>1500000</v>
      </c>
    </row>
    <row r="12" spans="1:24" s="173" customFormat="1" ht="30" hidden="1" customHeight="1" x14ac:dyDescent="0.2">
      <c r="A12" s="431">
        <v>170509</v>
      </c>
      <c r="B12" s="666" t="s">
        <v>444</v>
      </c>
      <c r="C12" s="173" t="s">
        <v>227</v>
      </c>
      <c r="D12" s="173">
        <v>10</v>
      </c>
      <c r="E12" s="174">
        <v>110000</v>
      </c>
      <c r="F12" s="175">
        <f t="shared" si="4"/>
        <v>1210000</v>
      </c>
      <c r="G12" s="175">
        <f t="shared" si="5"/>
        <v>1100000</v>
      </c>
      <c r="H12" s="176" t="s">
        <v>172</v>
      </c>
      <c r="I12" s="177" t="s">
        <v>109</v>
      </c>
      <c r="J12" s="57">
        <f>(G12-(VLOOKUP(C12,Price!B:D,3,FALSE)*D12))</f>
        <v>271000</v>
      </c>
      <c r="K12" s="58">
        <f t="shared" si="6"/>
        <v>0.24636363636363637</v>
      </c>
      <c r="L12" s="841">
        <v>17.5</v>
      </c>
      <c r="M12" s="640"/>
      <c r="N12" s="666">
        <f t="shared" si="7"/>
        <v>170509</v>
      </c>
      <c r="O12" s="173" t="s">
        <v>147</v>
      </c>
      <c r="P12" s="177" t="str">
        <f t="shared" si="9"/>
        <v>Blanket(1060*860)</v>
      </c>
      <c r="Q12" s="173">
        <f t="shared" si="8"/>
        <v>10</v>
      </c>
      <c r="R12" s="174">
        <v>82900</v>
      </c>
      <c r="S12" s="174">
        <f t="shared" si="0"/>
        <v>911900.00000000012</v>
      </c>
      <c r="T12" s="174">
        <f t="shared" si="1"/>
        <v>829000</v>
      </c>
      <c r="U12" s="173" t="str">
        <f t="shared" si="2"/>
        <v>O</v>
      </c>
      <c r="W12" s="476">
        <f t="shared" si="3"/>
        <v>271000</v>
      </c>
    </row>
    <row r="13" spans="1:24" s="167" customFormat="1" ht="30" hidden="1" customHeight="1" x14ac:dyDescent="0.2">
      <c r="A13" s="430">
        <v>170509</v>
      </c>
      <c r="B13" s="665" t="s">
        <v>444</v>
      </c>
      <c r="C13" s="167" t="s">
        <v>132</v>
      </c>
      <c r="D13" s="167">
        <v>5</v>
      </c>
      <c r="E13" s="169">
        <v>135000</v>
      </c>
      <c r="F13" s="170">
        <f t="shared" si="4"/>
        <v>742500.00000000012</v>
      </c>
      <c r="G13" s="170">
        <f t="shared" si="5"/>
        <v>675000</v>
      </c>
      <c r="H13" s="171" t="s">
        <v>172</v>
      </c>
      <c r="I13" s="172" t="s">
        <v>108</v>
      </c>
      <c r="J13" s="55">
        <f>(G13-(VLOOKUP(C13,Price!B:D,3,FALSE)*D13))</f>
        <v>125000</v>
      </c>
      <c r="K13" s="56">
        <f t="shared" si="6"/>
        <v>0.18518518518518515</v>
      </c>
      <c r="L13" s="842">
        <v>17.5</v>
      </c>
      <c r="M13" s="641"/>
      <c r="N13" s="665">
        <f t="shared" si="7"/>
        <v>170509</v>
      </c>
      <c r="O13" s="167" t="s">
        <v>148</v>
      </c>
      <c r="P13" s="172" t="str">
        <f t="shared" si="9"/>
        <v>UV wash(20L)</v>
      </c>
      <c r="Q13" s="167">
        <f t="shared" si="8"/>
        <v>5</v>
      </c>
      <c r="R13" s="169">
        <v>110000</v>
      </c>
      <c r="S13" s="169">
        <f t="shared" si="0"/>
        <v>605000</v>
      </c>
      <c r="T13" s="169">
        <f t="shared" si="1"/>
        <v>550000</v>
      </c>
      <c r="U13" s="167" t="str">
        <f t="shared" si="2"/>
        <v>O</v>
      </c>
      <c r="W13" s="475">
        <f t="shared" si="3"/>
        <v>125000</v>
      </c>
    </row>
    <row r="14" spans="1:24" s="178" customFormat="1" ht="30" customHeight="1" x14ac:dyDescent="0.2">
      <c r="A14" s="432">
        <v>170510</v>
      </c>
      <c r="B14" s="667" t="s">
        <v>422</v>
      </c>
      <c r="C14" s="179" t="s">
        <v>218</v>
      </c>
      <c r="D14" s="178">
        <v>10</v>
      </c>
      <c r="E14" s="180">
        <v>235000</v>
      </c>
      <c r="F14" s="181">
        <f t="shared" si="4"/>
        <v>2585000</v>
      </c>
      <c r="G14" s="181">
        <f t="shared" si="5"/>
        <v>2350000</v>
      </c>
      <c r="H14" s="182" t="s">
        <v>172</v>
      </c>
      <c r="I14" s="183" t="s">
        <v>120</v>
      </c>
      <c r="J14" s="59">
        <f>(G14-(VLOOKUP(C14,Price!B:D,3,FALSE)*D14))</f>
        <v>1225000</v>
      </c>
      <c r="K14" s="56">
        <f t="shared" si="6"/>
        <v>0.52127659574468088</v>
      </c>
      <c r="L14" s="843">
        <v>17.5</v>
      </c>
      <c r="M14" s="642"/>
      <c r="N14" s="667">
        <f t="shared" si="7"/>
        <v>170510</v>
      </c>
      <c r="O14" s="178" t="s">
        <v>150</v>
      </c>
      <c r="P14" s="660" t="str">
        <f t="shared" si="9"/>
        <v>Fount Web 551AF</v>
      </c>
      <c r="Q14" s="178">
        <f t="shared" si="8"/>
        <v>10</v>
      </c>
      <c r="R14" s="180">
        <v>112500</v>
      </c>
      <c r="S14" s="180">
        <f t="shared" si="0"/>
        <v>1237500</v>
      </c>
      <c r="T14" s="180">
        <f t="shared" si="1"/>
        <v>1125000</v>
      </c>
      <c r="U14" s="178" t="str">
        <f t="shared" si="2"/>
        <v>O</v>
      </c>
      <c r="W14" s="477">
        <f t="shared" si="3"/>
        <v>1225000</v>
      </c>
    </row>
    <row r="15" spans="1:24" s="73" customFormat="1" ht="30" hidden="1" customHeight="1" x14ac:dyDescent="0.2">
      <c r="A15" s="428">
        <v>170511</v>
      </c>
      <c r="B15" s="663" t="s">
        <v>448</v>
      </c>
      <c r="C15" s="73" t="s">
        <v>110</v>
      </c>
      <c r="D15" s="73">
        <v>100</v>
      </c>
      <c r="E15" s="147">
        <v>500</v>
      </c>
      <c r="F15" s="160">
        <f t="shared" si="4"/>
        <v>55000.000000000007</v>
      </c>
      <c r="G15" s="160">
        <f t="shared" si="5"/>
        <v>50000</v>
      </c>
      <c r="H15" s="161" t="s">
        <v>172</v>
      </c>
      <c r="I15" s="132" t="s">
        <v>142</v>
      </c>
      <c r="J15" s="60">
        <f>(G15-(VLOOKUP(C15,Price!B:D,3,FALSE)*D15))</f>
        <v>18000</v>
      </c>
      <c r="K15" s="58">
        <f t="shared" si="6"/>
        <v>0.35999999999999993</v>
      </c>
      <c r="L15" s="184">
        <v>17.5</v>
      </c>
      <c r="M15" s="584"/>
      <c r="N15" s="663">
        <f t="shared" si="7"/>
        <v>170511</v>
      </c>
      <c r="O15" s="73" t="s">
        <v>150</v>
      </c>
      <c r="P15" s="132" t="str">
        <f t="shared" si="9"/>
        <v>고무사카 회색</v>
      </c>
      <c r="Q15" s="73">
        <f t="shared" si="8"/>
        <v>100</v>
      </c>
      <c r="R15" s="147">
        <v>320</v>
      </c>
      <c r="S15" s="147">
        <f t="shared" si="0"/>
        <v>35200</v>
      </c>
      <c r="T15" s="147">
        <f t="shared" si="1"/>
        <v>32000</v>
      </c>
      <c r="U15" s="73" t="str">
        <f t="shared" si="2"/>
        <v>O</v>
      </c>
      <c r="W15" s="473">
        <f t="shared" si="3"/>
        <v>18000</v>
      </c>
    </row>
    <row r="16" spans="1:24" s="71" customFormat="1" ht="30" hidden="1" customHeight="1" x14ac:dyDescent="0.2">
      <c r="A16" s="428">
        <v>170511</v>
      </c>
      <c r="B16" s="664" t="s">
        <v>448</v>
      </c>
      <c r="C16" s="71" t="s">
        <v>111</v>
      </c>
      <c r="D16" s="71">
        <v>100</v>
      </c>
      <c r="E16" s="102">
        <v>500</v>
      </c>
      <c r="F16" s="163">
        <f t="shared" si="4"/>
        <v>55000.000000000007</v>
      </c>
      <c r="G16" s="163">
        <f t="shared" si="5"/>
        <v>50000</v>
      </c>
      <c r="H16" s="165" t="s">
        <v>172</v>
      </c>
      <c r="I16" s="103" t="s">
        <v>142</v>
      </c>
      <c r="J16" s="53">
        <f>(G16-(VLOOKUP(C16,Price!B:D,3,FALSE)*D16))</f>
        <v>18000</v>
      </c>
      <c r="K16" s="63">
        <f t="shared" si="6"/>
        <v>0.35999999999999993</v>
      </c>
      <c r="L16" s="185">
        <v>17.5</v>
      </c>
      <c r="M16" s="468"/>
      <c r="N16" s="664">
        <f t="shared" si="7"/>
        <v>170511</v>
      </c>
      <c r="O16" s="73" t="s">
        <v>150</v>
      </c>
      <c r="P16" s="103" t="str">
        <f t="shared" si="9"/>
        <v>고무사카 빨간색</v>
      </c>
      <c r="Q16" s="71">
        <f t="shared" si="8"/>
        <v>100</v>
      </c>
      <c r="R16" s="102">
        <v>320</v>
      </c>
      <c r="S16" s="102">
        <f t="shared" si="0"/>
        <v>35200</v>
      </c>
      <c r="T16" s="102">
        <f t="shared" si="1"/>
        <v>32000</v>
      </c>
      <c r="U16" s="71" t="str">
        <f t="shared" si="2"/>
        <v>O</v>
      </c>
      <c r="W16" s="474">
        <f t="shared" si="3"/>
        <v>18000</v>
      </c>
    </row>
    <row r="17" spans="1:23" s="71" customFormat="1" ht="30" hidden="1" customHeight="1" x14ac:dyDescent="0.2">
      <c r="A17" s="428">
        <v>170511</v>
      </c>
      <c r="B17" s="664" t="s">
        <v>550</v>
      </c>
      <c r="C17" s="71" t="s">
        <v>112</v>
      </c>
      <c r="D17" s="71">
        <v>1</v>
      </c>
      <c r="E17" s="102">
        <v>5400000</v>
      </c>
      <c r="F17" s="163">
        <f t="shared" si="4"/>
        <v>5940000.0000000009</v>
      </c>
      <c r="G17" s="163">
        <f t="shared" si="5"/>
        <v>5400000</v>
      </c>
      <c r="H17" s="771" t="s">
        <v>113</v>
      </c>
      <c r="I17" s="103"/>
      <c r="J17" s="53">
        <f>(G17-(VLOOKUP(C17,Price!B:D,3,FALSE)*D17))</f>
        <v>2221350</v>
      </c>
      <c r="K17" s="63">
        <f t="shared" si="6"/>
        <v>0.41136111111111107</v>
      </c>
      <c r="L17" s="185">
        <v>17.5</v>
      </c>
      <c r="M17" s="468"/>
      <c r="N17" s="664">
        <f t="shared" si="7"/>
        <v>170511</v>
      </c>
      <c r="O17" s="807" t="s">
        <v>113</v>
      </c>
      <c r="P17" s="103" t="str">
        <f t="shared" si="9"/>
        <v>삼각판 코</v>
      </c>
      <c r="Q17" s="71">
        <f t="shared" si="8"/>
        <v>1</v>
      </c>
      <c r="R17" s="102">
        <v>3178650</v>
      </c>
      <c r="S17" s="102">
        <f t="shared" si="0"/>
        <v>3496515.0000000005</v>
      </c>
      <c r="T17" s="102">
        <f t="shared" si="1"/>
        <v>3178650</v>
      </c>
      <c r="U17" s="71" t="str">
        <f t="shared" si="2"/>
        <v>O</v>
      </c>
      <c r="W17" s="474">
        <f t="shared" si="3"/>
        <v>2221350</v>
      </c>
    </row>
    <row r="18" spans="1:23" s="71" customFormat="1" ht="30" hidden="1" customHeight="1" x14ac:dyDescent="0.2">
      <c r="A18" s="428">
        <v>170511</v>
      </c>
      <c r="B18" s="664" t="s">
        <v>551</v>
      </c>
      <c r="C18" s="71" t="s">
        <v>114</v>
      </c>
      <c r="D18" s="71">
        <v>50</v>
      </c>
      <c r="E18" s="102">
        <v>12000</v>
      </c>
      <c r="F18" s="163">
        <f t="shared" si="4"/>
        <v>660000</v>
      </c>
      <c r="G18" s="163">
        <f t="shared" si="5"/>
        <v>600000</v>
      </c>
      <c r="H18" s="771" t="s">
        <v>113</v>
      </c>
      <c r="I18" s="103"/>
      <c r="J18" s="53">
        <f>(G18-(VLOOKUP(C18,Price!B:D,3,FALSE)*D18))</f>
        <v>150000</v>
      </c>
      <c r="K18" s="63">
        <f t="shared" si="6"/>
        <v>0.25</v>
      </c>
      <c r="L18" s="185">
        <v>17.5</v>
      </c>
      <c r="M18" s="468"/>
      <c r="N18" s="664">
        <f t="shared" si="7"/>
        <v>170511</v>
      </c>
      <c r="O18" s="808" t="s">
        <v>113</v>
      </c>
      <c r="P18" s="103" t="str">
        <f t="shared" si="9"/>
        <v>스트리퍼</v>
      </c>
      <c r="Q18" s="71">
        <f t="shared" si="8"/>
        <v>50</v>
      </c>
      <c r="R18" s="102">
        <v>6320</v>
      </c>
      <c r="S18" s="102">
        <f t="shared" si="0"/>
        <v>347600</v>
      </c>
      <c r="T18" s="102">
        <f t="shared" si="1"/>
        <v>316000</v>
      </c>
      <c r="U18" s="71" t="str">
        <f t="shared" si="2"/>
        <v>X</v>
      </c>
      <c r="W18" s="474">
        <f t="shared" si="3"/>
        <v>284000</v>
      </c>
    </row>
    <row r="19" spans="1:23" s="167" customFormat="1" ht="30" hidden="1" customHeight="1" x14ac:dyDescent="0.2">
      <c r="A19" s="430">
        <v>170511</v>
      </c>
      <c r="B19" s="665" t="s">
        <v>552</v>
      </c>
      <c r="C19" s="167" t="s">
        <v>115</v>
      </c>
      <c r="D19" s="167">
        <v>1</v>
      </c>
      <c r="E19" s="169">
        <v>850000</v>
      </c>
      <c r="F19" s="170">
        <f t="shared" si="4"/>
        <v>935000.00000000012</v>
      </c>
      <c r="G19" s="170">
        <f t="shared" si="5"/>
        <v>850000</v>
      </c>
      <c r="H19" s="772" t="s">
        <v>113</v>
      </c>
      <c r="I19" s="172"/>
      <c r="J19" s="55">
        <f>(G19-(VLOOKUP(C19,Price!B:D,3,FALSE)*D19))</f>
        <v>423630</v>
      </c>
      <c r="K19" s="56">
        <f t="shared" si="6"/>
        <v>0.49838823529411758</v>
      </c>
      <c r="L19" s="842">
        <v>17.5</v>
      </c>
      <c r="M19" s="641"/>
      <c r="N19" s="665">
        <f t="shared" si="7"/>
        <v>170511</v>
      </c>
      <c r="O19" s="809" t="s">
        <v>113</v>
      </c>
      <c r="P19" s="172" t="str">
        <f t="shared" si="9"/>
        <v>샤프트 잠금장치</v>
      </c>
      <c r="Q19" s="167">
        <f t="shared" si="8"/>
        <v>1</v>
      </c>
      <c r="R19" s="169">
        <v>426370</v>
      </c>
      <c r="S19" s="169">
        <f t="shared" si="0"/>
        <v>469007.00000000006</v>
      </c>
      <c r="T19" s="169">
        <f t="shared" si="1"/>
        <v>426370</v>
      </c>
      <c r="U19" s="167" t="str">
        <f t="shared" si="2"/>
        <v>O</v>
      </c>
      <c r="W19" s="475">
        <f t="shared" si="3"/>
        <v>423630</v>
      </c>
    </row>
    <row r="20" spans="1:23" s="73" customFormat="1" ht="30" hidden="1" customHeight="1" x14ac:dyDescent="0.2">
      <c r="A20" s="428">
        <v>170516</v>
      </c>
      <c r="B20" s="663" t="s">
        <v>411</v>
      </c>
      <c r="C20" s="173" t="s">
        <v>236</v>
      </c>
      <c r="D20" s="73">
        <v>5</v>
      </c>
      <c r="E20" s="147">
        <v>100000</v>
      </c>
      <c r="F20" s="160">
        <f t="shared" si="4"/>
        <v>550000</v>
      </c>
      <c r="G20" s="160">
        <f t="shared" si="5"/>
        <v>500000</v>
      </c>
      <c r="H20" s="165" t="s">
        <v>172</v>
      </c>
      <c r="I20" s="132" t="s">
        <v>142</v>
      </c>
      <c r="J20" s="60">
        <f>(G20-(VLOOKUP(C20,Price!B:D,3,FALSE)*D20))</f>
        <v>250000</v>
      </c>
      <c r="K20" s="58">
        <f t="shared" si="6"/>
        <v>0.5</v>
      </c>
      <c r="L20" s="184">
        <v>17.5</v>
      </c>
      <c r="M20" s="584"/>
      <c r="N20" s="663">
        <f t="shared" si="7"/>
        <v>170516</v>
      </c>
      <c r="O20" s="73" t="s">
        <v>149</v>
      </c>
      <c r="P20" s="132" t="str">
        <f t="shared" si="9"/>
        <v>아스테이지(국전)</v>
      </c>
      <c r="Q20" s="73">
        <f t="shared" si="8"/>
        <v>5</v>
      </c>
      <c r="R20" s="147">
        <v>50000</v>
      </c>
      <c r="S20" s="147">
        <f t="shared" si="0"/>
        <v>275000</v>
      </c>
      <c r="T20" s="147">
        <f t="shared" si="1"/>
        <v>250000</v>
      </c>
      <c r="U20" s="73" t="str">
        <f t="shared" si="2"/>
        <v>O</v>
      </c>
      <c r="W20" s="473">
        <f t="shared" si="3"/>
        <v>250000</v>
      </c>
    </row>
    <row r="21" spans="1:23" s="71" customFormat="1" ht="30" hidden="1" customHeight="1" x14ac:dyDescent="0.2">
      <c r="A21" s="429"/>
      <c r="B21" s="664" t="s">
        <v>549</v>
      </c>
      <c r="C21" s="73" t="s">
        <v>117</v>
      </c>
      <c r="D21" s="71">
        <v>10</v>
      </c>
      <c r="E21" s="102">
        <v>128500</v>
      </c>
      <c r="F21" s="163">
        <f t="shared" si="4"/>
        <v>1413500</v>
      </c>
      <c r="G21" s="163">
        <f t="shared" si="5"/>
        <v>1285000</v>
      </c>
      <c r="H21" s="165" t="s">
        <v>172</v>
      </c>
      <c r="I21" s="103" t="s">
        <v>109</v>
      </c>
      <c r="J21" s="53">
        <f>(G21-(VLOOKUP(C21,Price!B:D,3,FALSE)*D21))</f>
        <v>385000</v>
      </c>
      <c r="K21" s="63">
        <f t="shared" si="6"/>
        <v>0.29961089494163423</v>
      </c>
      <c r="L21" s="185">
        <v>17.5</v>
      </c>
      <c r="M21" s="468"/>
      <c r="N21" s="664">
        <f t="shared" si="7"/>
        <v>0</v>
      </c>
      <c r="O21" s="71" t="s">
        <v>150</v>
      </c>
      <c r="P21" s="103" t="str">
        <f t="shared" si="9"/>
        <v>로랜드 Blanket(1050*910)</v>
      </c>
      <c r="Q21" s="71">
        <f t="shared" si="8"/>
        <v>10</v>
      </c>
      <c r="R21" s="102">
        <v>90000</v>
      </c>
      <c r="S21" s="102">
        <f t="shared" si="0"/>
        <v>990000.00000000012</v>
      </c>
      <c r="T21" s="102">
        <f t="shared" si="1"/>
        <v>900000</v>
      </c>
      <c r="U21" s="71" t="str">
        <f t="shared" si="2"/>
        <v>O</v>
      </c>
      <c r="W21" s="474">
        <f t="shared" si="3"/>
        <v>385000</v>
      </c>
    </row>
    <row r="22" spans="1:23" s="71" customFormat="1" ht="30" hidden="1" customHeight="1" x14ac:dyDescent="0.2">
      <c r="A22" s="429"/>
      <c r="B22" s="664" t="s">
        <v>549</v>
      </c>
      <c r="C22" s="71" t="s">
        <v>119</v>
      </c>
      <c r="D22" s="71">
        <v>5</v>
      </c>
      <c r="E22" s="102">
        <v>115000</v>
      </c>
      <c r="F22" s="163">
        <f t="shared" si="4"/>
        <v>632500</v>
      </c>
      <c r="G22" s="163">
        <f t="shared" si="5"/>
        <v>575000</v>
      </c>
      <c r="H22" s="165" t="s">
        <v>172</v>
      </c>
      <c r="I22" s="103" t="s">
        <v>109</v>
      </c>
      <c r="J22" s="53">
        <f>(G22-(VLOOKUP(C22,Price!B:D,3,FALSE)*D22))</f>
        <v>131500</v>
      </c>
      <c r="K22" s="63">
        <f t="shared" si="6"/>
        <v>0.22869565217391305</v>
      </c>
      <c r="L22" s="185">
        <v>17.5</v>
      </c>
      <c r="M22" s="468"/>
      <c r="N22" s="664">
        <f t="shared" si="7"/>
        <v>0</v>
      </c>
      <c r="O22" s="71" t="s">
        <v>150</v>
      </c>
      <c r="P22" s="103" t="str">
        <f t="shared" si="9"/>
        <v>미쯔비시 Blanket(1035*910)</v>
      </c>
      <c r="Q22" s="71">
        <f t="shared" si="8"/>
        <v>5</v>
      </c>
      <c r="R22" s="102">
        <v>88700</v>
      </c>
      <c r="S22" s="102">
        <f t="shared" si="0"/>
        <v>487850.00000000006</v>
      </c>
      <c r="T22" s="102">
        <f t="shared" si="1"/>
        <v>443500</v>
      </c>
      <c r="U22" s="71" t="str">
        <f t="shared" si="2"/>
        <v>O</v>
      </c>
      <c r="W22" s="474">
        <f t="shared" si="3"/>
        <v>131500</v>
      </c>
    </row>
    <row r="23" spans="1:23" s="71" customFormat="1" ht="30" hidden="1" customHeight="1" x14ac:dyDescent="0.2">
      <c r="A23" s="82"/>
      <c r="B23" s="664" t="s">
        <v>549</v>
      </c>
      <c r="C23" s="71" t="s">
        <v>217</v>
      </c>
      <c r="D23" s="71">
        <v>15</v>
      </c>
      <c r="E23" s="102">
        <v>112500</v>
      </c>
      <c r="F23" s="163">
        <f t="shared" si="4"/>
        <v>1856250.0000000002</v>
      </c>
      <c r="G23" s="163">
        <f t="shared" si="5"/>
        <v>1687500</v>
      </c>
      <c r="H23" s="165" t="s">
        <v>172</v>
      </c>
      <c r="I23" s="103" t="s">
        <v>120</v>
      </c>
      <c r="J23" s="53">
        <f>(G23-(VLOOKUP(C23,Price!B:D,3,FALSE)*D23))</f>
        <v>487500</v>
      </c>
      <c r="K23" s="63">
        <f t="shared" si="6"/>
        <v>0.28888888888888886</v>
      </c>
      <c r="L23" s="185">
        <v>17.5</v>
      </c>
      <c r="M23" s="468"/>
      <c r="N23" s="664">
        <f t="shared" si="7"/>
        <v>0</v>
      </c>
      <c r="O23" s="71" t="s">
        <v>150</v>
      </c>
      <c r="P23" s="103" t="str">
        <f t="shared" si="9"/>
        <v>Fount 511</v>
      </c>
      <c r="Q23" s="71">
        <f t="shared" si="8"/>
        <v>15</v>
      </c>
      <c r="R23" s="102">
        <v>80000</v>
      </c>
      <c r="S23" s="102">
        <f t="shared" si="0"/>
        <v>1320000</v>
      </c>
      <c r="T23" s="102">
        <f t="shared" si="1"/>
        <v>1200000</v>
      </c>
      <c r="U23" s="71" t="str">
        <f t="shared" si="2"/>
        <v>O</v>
      </c>
      <c r="W23" s="474">
        <f t="shared" si="3"/>
        <v>487500</v>
      </c>
    </row>
    <row r="24" spans="1:23" s="167" customFormat="1" ht="30" hidden="1" customHeight="1" x14ac:dyDescent="0.2">
      <c r="A24" s="430"/>
      <c r="B24" s="665" t="s">
        <v>446</v>
      </c>
      <c r="C24" s="167" t="s">
        <v>121</v>
      </c>
      <c r="D24" s="167">
        <v>10</v>
      </c>
      <c r="E24" s="187">
        <v>110000</v>
      </c>
      <c r="F24" s="170">
        <f t="shared" si="4"/>
        <v>1210000</v>
      </c>
      <c r="G24" s="170">
        <f t="shared" si="5"/>
        <v>1100000</v>
      </c>
      <c r="H24" s="171" t="s">
        <v>172</v>
      </c>
      <c r="I24" s="172" t="s">
        <v>142</v>
      </c>
      <c r="J24" s="55">
        <f>(G24-(VLOOKUP(C24,Price!B:D,3,FALSE)*D24))</f>
        <v>190000</v>
      </c>
      <c r="K24" s="56">
        <f t="shared" si="6"/>
        <v>0.17272727272727273</v>
      </c>
      <c r="L24" s="842">
        <v>17.5</v>
      </c>
      <c r="M24" s="641"/>
      <c r="N24" s="665">
        <f t="shared" si="7"/>
        <v>0</v>
      </c>
      <c r="O24" s="167" t="s">
        <v>150</v>
      </c>
      <c r="P24" s="172" t="str">
        <f t="shared" si="9"/>
        <v>윤전용 실리콘</v>
      </c>
      <c r="Q24" s="167">
        <f t="shared" si="8"/>
        <v>10</v>
      </c>
      <c r="R24" s="169">
        <v>91000</v>
      </c>
      <c r="S24" s="169">
        <f t="shared" si="0"/>
        <v>1001000.0000000001</v>
      </c>
      <c r="T24" s="169">
        <f t="shared" si="1"/>
        <v>910000</v>
      </c>
      <c r="U24" s="167" t="str">
        <f t="shared" si="2"/>
        <v>O</v>
      </c>
      <c r="W24" s="475">
        <f t="shared" si="3"/>
        <v>190000</v>
      </c>
    </row>
    <row r="25" spans="1:23" s="73" customFormat="1" ht="30" hidden="1" customHeight="1" x14ac:dyDescent="0.2">
      <c r="A25" s="428">
        <v>170517</v>
      </c>
      <c r="B25" s="663" t="s">
        <v>553</v>
      </c>
      <c r="C25" s="73" t="s">
        <v>123</v>
      </c>
      <c r="D25" s="73">
        <v>2</v>
      </c>
      <c r="E25" s="147">
        <v>35000</v>
      </c>
      <c r="F25" s="160">
        <f t="shared" si="4"/>
        <v>77000</v>
      </c>
      <c r="G25" s="160">
        <f t="shared" si="5"/>
        <v>70000</v>
      </c>
      <c r="H25" s="986" t="s">
        <v>39</v>
      </c>
      <c r="I25" s="132"/>
      <c r="J25" s="60">
        <f>(G25-(VLOOKUP(C25,Price!B:D,3,FALSE)*D25))</f>
        <v>25078</v>
      </c>
      <c r="K25" s="58">
        <f t="shared" si="6"/>
        <v>0.35825714285714283</v>
      </c>
      <c r="L25" s="184">
        <v>17.5</v>
      </c>
      <c r="M25" s="584"/>
      <c r="N25" s="663">
        <f t="shared" si="7"/>
        <v>170517</v>
      </c>
      <c r="O25" s="987" t="s">
        <v>39</v>
      </c>
      <c r="P25" s="132" t="str">
        <f t="shared" si="9"/>
        <v>필터백</v>
      </c>
      <c r="Q25" s="73">
        <f t="shared" si="8"/>
        <v>2</v>
      </c>
      <c r="R25" s="147">
        <v>19800</v>
      </c>
      <c r="S25" s="147">
        <f t="shared" si="0"/>
        <v>43560</v>
      </c>
      <c r="T25" s="147">
        <f t="shared" si="1"/>
        <v>39600</v>
      </c>
      <c r="U25" s="73" t="str">
        <f t="shared" si="2"/>
        <v>X</v>
      </c>
      <c r="W25" s="473">
        <f t="shared" si="3"/>
        <v>30400</v>
      </c>
    </row>
    <row r="26" spans="1:23" s="167" customFormat="1" ht="30" hidden="1" customHeight="1" x14ac:dyDescent="0.2">
      <c r="A26" s="430"/>
      <c r="B26" s="665" t="s">
        <v>547</v>
      </c>
      <c r="C26" s="167" t="s">
        <v>582</v>
      </c>
      <c r="D26" s="167">
        <v>1</v>
      </c>
      <c r="E26" s="169">
        <v>1100000</v>
      </c>
      <c r="F26" s="170">
        <f t="shared" si="4"/>
        <v>1210000</v>
      </c>
      <c r="G26" s="170">
        <f t="shared" si="5"/>
        <v>1100000</v>
      </c>
      <c r="H26" s="988" t="s">
        <v>39</v>
      </c>
      <c r="I26" s="172"/>
      <c r="J26" s="55">
        <f>(G26-(VLOOKUP(C26,Price!B:D,3,FALSE)*D26))</f>
        <v>556000</v>
      </c>
      <c r="K26" s="56">
        <f t="shared" si="6"/>
        <v>0.50545454545454549</v>
      </c>
      <c r="L26" s="842">
        <v>17.5</v>
      </c>
      <c r="M26" s="641"/>
      <c r="N26" s="665">
        <f t="shared" si="7"/>
        <v>0</v>
      </c>
      <c r="O26" s="989" t="s">
        <v>39</v>
      </c>
      <c r="P26" s="172" t="str">
        <f t="shared" si="9"/>
        <v>습수정화장치(beta.f) 필터세트</v>
      </c>
      <c r="Q26" s="167">
        <f t="shared" si="8"/>
        <v>1</v>
      </c>
      <c r="R26" s="169">
        <v>544000</v>
      </c>
      <c r="S26" s="169">
        <f t="shared" si="0"/>
        <v>598400</v>
      </c>
      <c r="T26" s="169">
        <f t="shared" si="1"/>
        <v>544000</v>
      </c>
      <c r="U26" s="167" t="str">
        <f t="shared" si="2"/>
        <v>O</v>
      </c>
      <c r="W26" s="475">
        <f t="shared" si="3"/>
        <v>556000</v>
      </c>
    </row>
    <row r="27" spans="1:23" s="73" customFormat="1" ht="30" hidden="1" customHeight="1" x14ac:dyDescent="0.2">
      <c r="A27" s="428">
        <v>170518</v>
      </c>
      <c r="B27" s="663" t="s">
        <v>444</v>
      </c>
      <c r="C27" s="73" t="s">
        <v>227</v>
      </c>
      <c r="D27" s="73">
        <v>10</v>
      </c>
      <c r="E27" s="147">
        <v>110000</v>
      </c>
      <c r="F27" s="160">
        <f t="shared" si="4"/>
        <v>1210000</v>
      </c>
      <c r="G27" s="160">
        <f t="shared" si="5"/>
        <v>1100000</v>
      </c>
      <c r="H27" s="165" t="s">
        <v>172</v>
      </c>
      <c r="I27" s="132" t="s">
        <v>109</v>
      </c>
      <c r="J27" s="60">
        <f>(G27-(VLOOKUP(C27,Price!B:D,3,FALSE)*D27))</f>
        <v>271000</v>
      </c>
      <c r="K27" s="66">
        <f t="shared" si="6"/>
        <v>0.24636363636363637</v>
      </c>
      <c r="L27" s="184">
        <v>17.5</v>
      </c>
      <c r="M27" s="584"/>
      <c r="N27" s="663">
        <f t="shared" si="7"/>
        <v>170518</v>
      </c>
      <c r="O27" s="73" t="s">
        <v>147</v>
      </c>
      <c r="P27" s="132" t="str">
        <f t="shared" si="9"/>
        <v>Blanket(1060*860)</v>
      </c>
      <c r="Q27" s="73">
        <f t="shared" si="8"/>
        <v>10</v>
      </c>
      <c r="R27" s="147">
        <v>82900</v>
      </c>
      <c r="S27" s="147">
        <f t="shared" si="0"/>
        <v>911900.00000000012</v>
      </c>
      <c r="T27" s="147">
        <f t="shared" si="1"/>
        <v>829000</v>
      </c>
      <c r="U27" s="73" t="str">
        <f t="shared" si="2"/>
        <v>O</v>
      </c>
      <c r="W27" s="473">
        <f t="shared" si="3"/>
        <v>271000</v>
      </c>
    </row>
    <row r="28" spans="1:23" s="71" customFormat="1" ht="30" hidden="1" customHeight="1" x14ac:dyDescent="0.2">
      <c r="A28" s="429"/>
      <c r="B28" s="664" t="s">
        <v>444</v>
      </c>
      <c r="C28" s="71" t="s">
        <v>132</v>
      </c>
      <c r="D28" s="71">
        <v>6</v>
      </c>
      <c r="E28" s="102">
        <v>135000</v>
      </c>
      <c r="F28" s="163">
        <f t="shared" si="4"/>
        <v>891000.00000000012</v>
      </c>
      <c r="G28" s="163">
        <f t="shared" si="5"/>
        <v>810000</v>
      </c>
      <c r="H28" s="165" t="s">
        <v>172</v>
      </c>
      <c r="I28" s="103" t="s">
        <v>108</v>
      </c>
      <c r="J28" s="53">
        <f>(G28-(VLOOKUP(C28,Price!B:D,3,FALSE)*D28))</f>
        <v>150000</v>
      </c>
      <c r="K28" s="63">
        <f t="shared" si="6"/>
        <v>0.18518518518518515</v>
      </c>
      <c r="L28" s="185">
        <v>17.5</v>
      </c>
      <c r="M28" s="468"/>
      <c r="N28" s="664">
        <f t="shared" si="7"/>
        <v>0</v>
      </c>
      <c r="O28" s="71" t="s">
        <v>148</v>
      </c>
      <c r="P28" s="103" t="str">
        <f t="shared" si="9"/>
        <v>UV wash(20L)</v>
      </c>
      <c r="Q28" s="71">
        <f t="shared" si="8"/>
        <v>6</v>
      </c>
      <c r="R28" s="102">
        <v>110000</v>
      </c>
      <c r="S28" s="102">
        <f t="shared" si="0"/>
        <v>726000.00000000012</v>
      </c>
      <c r="T28" s="102">
        <f t="shared" si="1"/>
        <v>660000</v>
      </c>
      <c r="U28" s="71" t="str">
        <f t="shared" si="2"/>
        <v>O</v>
      </c>
      <c r="W28" s="474">
        <f t="shared" si="3"/>
        <v>150000</v>
      </c>
    </row>
    <row r="29" spans="1:23" s="71" customFormat="1" ht="30" hidden="1" customHeight="1" x14ac:dyDescent="0.2">
      <c r="A29" s="429"/>
      <c r="B29" s="664" t="s">
        <v>445</v>
      </c>
      <c r="C29" s="71" t="s">
        <v>107</v>
      </c>
      <c r="D29" s="71">
        <v>5</v>
      </c>
      <c r="E29" s="102">
        <v>108000</v>
      </c>
      <c r="F29" s="163">
        <f t="shared" si="4"/>
        <v>594000</v>
      </c>
      <c r="G29" s="163">
        <f t="shared" si="5"/>
        <v>540000</v>
      </c>
      <c r="H29" s="165" t="s">
        <v>172</v>
      </c>
      <c r="I29" s="103" t="s">
        <v>109</v>
      </c>
      <c r="J29" s="53">
        <f>(G29-(VLOOKUP(C29,Price!B:D,3,FALSE)*D29))</f>
        <v>137500</v>
      </c>
      <c r="K29" s="63">
        <f t="shared" si="6"/>
        <v>0.25462962962962965</v>
      </c>
      <c r="L29" s="185">
        <v>17.5</v>
      </c>
      <c r="M29" s="468"/>
      <c r="N29" s="664">
        <f t="shared" si="7"/>
        <v>0</v>
      </c>
      <c r="O29" s="71" t="s">
        <v>147</v>
      </c>
      <c r="P29" s="103" t="str">
        <f t="shared" si="9"/>
        <v>Blanket(1050*840)</v>
      </c>
      <c r="Q29" s="71">
        <f t="shared" si="8"/>
        <v>5</v>
      </c>
      <c r="R29" s="102">
        <v>80500</v>
      </c>
      <c r="S29" s="102">
        <f t="shared" si="0"/>
        <v>442750.00000000006</v>
      </c>
      <c r="T29" s="102">
        <f t="shared" si="1"/>
        <v>402500</v>
      </c>
      <c r="U29" s="71" t="str">
        <f t="shared" si="2"/>
        <v>O</v>
      </c>
      <c r="W29" s="474">
        <f t="shared" si="3"/>
        <v>137500</v>
      </c>
    </row>
    <row r="30" spans="1:23" s="71" customFormat="1" ht="30" hidden="1" customHeight="1" x14ac:dyDescent="0.2">
      <c r="A30" s="429"/>
      <c r="B30" s="664" t="s">
        <v>445</v>
      </c>
      <c r="C30" s="71" t="s">
        <v>231</v>
      </c>
      <c r="D30" s="71">
        <v>5</v>
      </c>
      <c r="E30" s="102">
        <v>120000</v>
      </c>
      <c r="F30" s="163">
        <f t="shared" si="4"/>
        <v>660000</v>
      </c>
      <c r="G30" s="163">
        <f t="shared" si="5"/>
        <v>600000</v>
      </c>
      <c r="H30" s="165" t="s">
        <v>172</v>
      </c>
      <c r="I30" s="103" t="s">
        <v>109</v>
      </c>
      <c r="J30" s="53">
        <f>(G30-(VLOOKUP(C30,Price!B:D,3,FALSE)*D30))</f>
        <v>40000</v>
      </c>
      <c r="K30" s="63">
        <f t="shared" si="6"/>
        <v>6.6666666666666666E-2</v>
      </c>
      <c r="L30" s="185">
        <v>17.5</v>
      </c>
      <c r="M30" s="468"/>
      <c r="N30" s="664">
        <f t="shared" si="7"/>
        <v>0</v>
      </c>
      <c r="O30" s="71" t="s">
        <v>151</v>
      </c>
      <c r="P30" s="103" t="str">
        <f t="shared" si="9"/>
        <v>Blanket(990*725)</v>
      </c>
      <c r="Q30" s="71">
        <f t="shared" si="8"/>
        <v>5</v>
      </c>
      <c r="R30" s="102">
        <v>112000</v>
      </c>
      <c r="S30" s="102">
        <f t="shared" si="0"/>
        <v>616000</v>
      </c>
      <c r="T30" s="102">
        <f t="shared" si="1"/>
        <v>560000</v>
      </c>
      <c r="U30" s="71" t="str">
        <f t="shared" si="2"/>
        <v>O</v>
      </c>
      <c r="W30" s="474">
        <f t="shared" si="3"/>
        <v>40000</v>
      </c>
    </row>
    <row r="31" spans="1:23" s="71" customFormat="1" ht="30" hidden="1" customHeight="1" x14ac:dyDescent="0.2">
      <c r="A31" s="429"/>
      <c r="B31" s="664" t="s">
        <v>445</v>
      </c>
      <c r="C31" s="71" t="s">
        <v>137</v>
      </c>
      <c r="D31" s="71">
        <v>7</v>
      </c>
      <c r="E31" s="102">
        <v>172000</v>
      </c>
      <c r="F31" s="163">
        <f t="shared" si="4"/>
        <v>1324400</v>
      </c>
      <c r="G31" s="163">
        <f t="shared" si="5"/>
        <v>1204000</v>
      </c>
      <c r="H31" s="165" t="s">
        <v>172</v>
      </c>
      <c r="I31" s="103" t="s">
        <v>108</v>
      </c>
      <c r="J31" s="53">
        <f>(G31-(VLOOKUP(C31,Price!B:D,3,FALSE)*D31))</f>
        <v>399000</v>
      </c>
      <c r="K31" s="58">
        <f t="shared" si="6"/>
        <v>0.33139534883720928</v>
      </c>
      <c r="L31" s="185">
        <v>17.5</v>
      </c>
      <c r="M31" s="468"/>
      <c r="N31" s="664">
        <f t="shared" si="7"/>
        <v>0</v>
      </c>
      <c r="O31" s="71" t="s">
        <v>150</v>
      </c>
      <c r="P31" s="103" t="str">
        <f t="shared" si="9"/>
        <v>윤전용 세척제(Web 504)</v>
      </c>
      <c r="Q31" s="71">
        <f t="shared" si="8"/>
        <v>7</v>
      </c>
      <c r="R31" s="102">
        <v>115000</v>
      </c>
      <c r="S31" s="102">
        <f t="shared" si="0"/>
        <v>885500.00000000012</v>
      </c>
      <c r="T31" s="102">
        <f t="shared" si="1"/>
        <v>805000</v>
      </c>
      <c r="U31" s="71" t="str">
        <f t="shared" si="2"/>
        <v>O</v>
      </c>
      <c r="W31" s="474">
        <f t="shared" si="3"/>
        <v>399000</v>
      </c>
    </row>
    <row r="32" spans="1:23" s="71" customFormat="1" ht="30" hidden="1" customHeight="1" x14ac:dyDescent="0.2">
      <c r="A32" s="429"/>
      <c r="B32" s="664" t="s">
        <v>445</v>
      </c>
      <c r="C32" s="71" t="s">
        <v>138</v>
      </c>
      <c r="D32" s="71">
        <v>7</v>
      </c>
      <c r="E32" s="102">
        <v>59500</v>
      </c>
      <c r="F32" s="163">
        <f t="shared" si="4"/>
        <v>458150.00000000006</v>
      </c>
      <c r="G32" s="163">
        <f t="shared" si="5"/>
        <v>416500</v>
      </c>
      <c r="H32" s="165" t="s">
        <v>172</v>
      </c>
      <c r="I32" s="103" t="s">
        <v>108</v>
      </c>
      <c r="J32" s="53">
        <f>(G32-(VLOOKUP(C32,Price!B:D,3,FALSE)*D32))</f>
        <v>59500</v>
      </c>
      <c r="K32" s="54">
        <f t="shared" si="6"/>
        <v>0.14285714285714285</v>
      </c>
      <c r="L32" s="185">
        <v>17.5</v>
      </c>
      <c r="M32" s="468"/>
      <c r="N32" s="664">
        <f t="shared" si="7"/>
        <v>0</v>
      </c>
      <c r="O32" s="71" t="s">
        <v>150</v>
      </c>
      <c r="P32" s="103" t="str">
        <f t="shared" si="9"/>
        <v>매엽용 세척제(Wash 562)</v>
      </c>
      <c r="Q32" s="71">
        <f t="shared" si="8"/>
        <v>7</v>
      </c>
      <c r="R32" s="102">
        <v>51000</v>
      </c>
      <c r="S32" s="102">
        <f t="shared" si="0"/>
        <v>392700.00000000006</v>
      </c>
      <c r="T32" s="102">
        <f t="shared" si="1"/>
        <v>357000</v>
      </c>
      <c r="U32" s="71" t="str">
        <f t="shared" si="2"/>
        <v>O</v>
      </c>
      <c r="W32" s="474">
        <f t="shared" si="3"/>
        <v>59500</v>
      </c>
    </row>
    <row r="33" spans="1:23" s="71" customFormat="1" ht="30" hidden="1" customHeight="1" x14ac:dyDescent="0.2">
      <c r="A33" s="429"/>
      <c r="B33" s="664" t="s">
        <v>443</v>
      </c>
      <c r="C33" s="71" t="s">
        <v>106</v>
      </c>
      <c r="D33" s="71">
        <v>1000</v>
      </c>
      <c r="E33" s="102">
        <v>3990</v>
      </c>
      <c r="F33" s="163">
        <f t="shared" si="4"/>
        <v>4389000</v>
      </c>
      <c r="G33" s="163">
        <f t="shared" si="5"/>
        <v>3990000</v>
      </c>
      <c r="H33" s="165" t="s">
        <v>172</v>
      </c>
      <c r="I33" s="103" t="s">
        <v>140</v>
      </c>
      <c r="J33" s="53">
        <f>(G33-(VLOOKUP(C33,Price!B:D,3,FALSE)*D33))</f>
        <v>1250000</v>
      </c>
      <c r="K33" s="54">
        <f t="shared" si="6"/>
        <v>0.31328320802005011</v>
      </c>
      <c r="L33" s="185">
        <v>17.5</v>
      </c>
      <c r="M33" s="468"/>
      <c r="N33" s="664">
        <f t="shared" si="7"/>
        <v>0</v>
      </c>
      <c r="O33" s="71" t="s">
        <v>145</v>
      </c>
      <c r="P33" s="103" t="str">
        <f t="shared" si="9"/>
        <v>ENGAGE 27 900X570MM WE</v>
      </c>
      <c r="Q33" s="71">
        <f t="shared" si="8"/>
        <v>1000</v>
      </c>
      <c r="R33" s="102">
        <v>2740</v>
      </c>
      <c r="S33" s="102">
        <f t="shared" si="0"/>
        <v>3014000.0000000005</v>
      </c>
      <c r="T33" s="102">
        <f t="shared" si="1"/>
        <v>2740000</v>
      </c>
      <c r="U33" s="71" t="str">
        <f t="shared" si="2"/>
        <v>O</v>
      </c>
      <c r="W33" s="474">
        <f t="shared" si="3"/>
        <v>1250000</v>
      </c>
    </row>
    <row r="34" spans="1:23" s="167" customFormat="1" ht="30" hidden="1" customHeight="1" x14ac:dyDescent="0.2">
      <c r="A34" s="430"/>
      <c r="B34" s="665" t="s">
        <v>443</v>
      </c>
      <c r="C34" s="167" t="s">
        <v>139</v>
      </c>
      <c r="D34" s="167">
        <v>10</v>
      </c>
      <c r="E34" s="169">
        <v>58000</v>
      </c>
      <c r="F34" s="170">
        <f t="shared" si="4"/>
        <v>638000</v>
      </c>
      <c r="G34" s="170">
        <f t="shared" si="5"/>
        <v>580000</v>
      </c>
      <c r="H34" s="171" t="s">
        <v>172</v>
      </c>
      <c r="I34" s="172" t="s">
        <v>140</v>
      </c>
      <c r="J34" s="55">
        <f>(G34-(VLOOKUP(C34,Price!B:D,3,FALSE)*D34))</f>
        <v>230000</v>
      </c>
      <c r="K34" s="56">
        <f t="shared" si="6"/>
        <v>0.39655172413793105</v>
      </c>
      <c r="L34" s="842">
        <v>17.5</v>
      </c>
      <c r="M34" s="641"/>
      <c r="N34" s="665">
        <f t="shared" si="7"/>
        <v>0</v>
      </c>
      <c r="O34" s="167" t="s">
        <v>145</v>
      </c>
      <c r="P34" s="172" t="str">
        <f t="shared" si="9"/>
        <v>THR200(20L)</v>
      </c>
      <c r="Q34" s="167">
        <f t="shared" si="8"/>
        <v>10</v>
      </c>
      <c r="R34" s="169">
        <v>35000</v>
      </c>
      <c r="S34" s="169">
        <f t="shared" si="0"/>
        <v>385000.00000000006</v>
      </c>
      <c r="T34" s="169">
        <f t="shared" si="1"/>
        <v>350000</v>
      </c>
      <c r="U34" s="167" t="str">
        <f t="shared" si="2"/>
        <v>O</v>
      </c>
      <c r="W34" s="475">
        <f t="shared" si="3"/>
        <v>230000</v>
      </c>
    </row>
    <row r="35" spans="1:23" s="73" customFormat="1" ht="30" hidden="1" customHeight="1" x14ac:dyDescent="0.2">
      <c r="A35" s="428">
        <v>170522</v>
      </c>
      <c r="B35" s="663" t="s">
        <v>554</v>
      </c>
      <c r="C35" s="73" t="s">
        <v>124</v>
      </c>
      <c r="D35" s="73">
        <v>1</v>
      </c>
      <c r="E35" s="147">
        <v>9000000</v>
      </c>
      <c r="F35" s="160">
        <f t="shared" si="4"/>
        <v>9900000</v>
      </c>
      <c r="G35" s="160">
        <f t="shared" si="5"/>
        <v>9000000</v>
      </c>
      <c r="H35" s="165" t="s">
        <v>172</v>
      </c>
      <c r="I35" s="132" t="s">
        <v>143</v>
      </c>
      <c r="J35" s="60">
        <f>(G35-(VLOOKUP(C35,Price!B:D,3,FALSE)*D35))</f>
        <v>2322094</v>
      </c>
      <c r="K35" s="54">
        <f t="shared" si="6"/>
        <v>0.25801044444444443</v>
      </c>
      <c r="L35" s="184">
        <v>17.5</v>
      </c>
      <c r="M35" s="584"/>
      <c r="N35" s="663">
        <f t="shared" si="7"/>
        <v>170522</v>
      </c>
      <c r="O35" s="73" t="s">
        <v>244</v>
      </c>
      <c r="P35" s="132" t="str">
        <f t="shared" si="9"/>
        <v>아니록스 롤러</v>
      </c>
      <c r="Q35" s="73">
        <f t="shared" si="8"/>
        <v>1</v>
      </c>
      <c r="R35" s="147">
        <v>6677906</v>
      </c>
      <c r="S35" s="147">
        <f t="shared" ref="S35:S57" si="10">(R35*D35)*1.1</f>
        <v>7345696.6000000006</v>
      </c>
      <c r="T35" s="147">
        <f t="shared" ref="T35:T57" si="11">(R35*Q35)</f>
        <v>6677906</v>
      </c>
      <c r="U35" s="73" t="str">
        <f t="shared" ref="U35:U66" si="12">IF(J35=W35,"O", "X")</f>
        <v>O</v>
      </c>
      <c r="W35" s="473">
        <f t="shared" ref="W35:W57" si="13">(G35-T35)</f>
        <v>2322094</v>
      </c>
    </row>
    <row r="36" spans="1:23" s="71" customFormat="1" ht="30" hidden="1" customHeight="1" x14ac:dyDescent="0.2">
      <c r="A36" s="429"/>
      <c r="B36" s="664" t="s">
        <v>190</v>
      </c>
      <c r="C36" s="71" t="s">
        <v>232</v>
      </c>
      <c r="D36" s="71">
        <v>1</v>
      </c>
      <c r="E36" s="102">
        <v>1700000</v>
      </c>
      <c r="F36" s="163">
        <f t="shared" si="4"/>
        <v>1870000.0000000002</v>
      </c>
      <c r="G36" s="163">
        <f t="shared" si="5"/>
        <v>1700000</v>
      </c>
      <c r="H36" s="990" t="s">
        <v>39</v>
      </c>
      <c r="I36" s="103"/>
      <c r="J36" s="53">
        <f>(G36-(VLOOKUP(C36,Price!B:D,3,FALSE)*D36))</f>
        <v>600000</v>
      </c>
      <c r="K36" s="54">
        <f t="shared" si="6"/>
        <v>0.3529411764705882</v>
      </c>
      <c r="L36" s="185">
        <v>17.5</v>
      </c>
      <c r="M36" s="468"/>
      <c r="N36" s="664">
        <f t="shared" si="7"/>
        <v>0</v>
      </c>
      <c r="O36" s="991" t="s">
        <v>39</v>
      </c>
      <c r="P36" s="103" t="str">
        <f t="shared" si="9"/>
        <v>도져 필터세트</v>
      </c>
      <c r="Q36" s="71">
        <f t="shared" si="8"/>
        <v>1</v>
      </c>
      <c r="R36" s="102">
        <v>1100000</v>
      </c>
      <c r="S36" s="102">
        <f t="shared" si="10"/>
        <v>1210000</v>
      </c>
      <c r="T36" s="102">
        <f t="shared" si="11"/>
        <v>1100000</v>
      </c>
      <c r="U36" s="71" t="str">
        <f t="shared" si="12"/>
        <v>O</v>
      </c>
      <c r="W36" s="474">
        <f t="shared" si="13"/>
        <v>600000</v>
      </c>
    </row>
    <row r="37" spans="1:23" s="167" customFormat="1" ht="30" hidden="1" customHeight="1" x14ac:dyDescent="0.2">
      <c r="A37" s="430"/>
      <c r="B37" s="665" t="s">
        <v>555</v>
      </c>
      <c r="C37" s="167" t="s">
        <v>125</v>
      </c>
      <c r="D37" s="167">
        <v>10</v>
      </c>
      <c r="E37" s="169">
        <v>70000</v>
      </c>
      <c r="F37" s="170">
        <f t="shared" ref="F37:F57" si="14">(E37*D37)*1.1</f>
        <v>770000.00000000012</v>
      </c>
      <c r="G37" s="170">
        <f t="shared" ref="G37:G57" si="15">(E37*D37)</f>
        <v>700000</v>
      </c>
      <c r="H37" s="772" t="s">
        <v>113</v>
      </c>
      <c r="I37" s="172"/>
      <c r="J37" s="55">
        <f>(G37-(VLOOKUP(C37,Price!B:D,3,FALSE)*D37))</f>
        <v>379360</v>
      </c>
      <c r="K37" s="56">
        <f t="shared" ref="K37:K57" si="16">(J37/(F37/11*10))</f>
        <v>0.54194285714285706</v>
      </c>
      <c r="L37" s="842">
        <v>17.5</v>
      </c>
      <c r="M37" s="641"/>
      <c r="N37" s="665">
        <f t="shared" si="7"/>
        <v>0</v>
      </c>
      <c r="O37" s="809" t="s">
        <v>113</v>
      </c>
      <c r="P37" s="172" t="str">
        <f t="shared" si="9"/>
        <v>재단목(Cutting Rubber)</v>
      </c>
      <c r="Q37" s="167">
        <f t="shared" si="8"/>
        <v>10</v>
      </c>
      <c r="R37" s="169">
        <v>32064</v>
      </c>
      <c r="S37" s="169">
        <f t="shared" si="10"/>
        <v>352704</v>
      </c>
      <c r="T37" s="169">
        <f t="shared" si="11"/>
        <v>320640</v>
      </c>
      <c r="U37" s="167" t="str">
        <f t="shared" si="12"/>
        <v>O</v>
      </c>
      <c r="W37" s="475">
        <f t="shared" si="13"/>
        <v>379360</v>
      </c>
    </row>
    <row r="38" spans="1:23" s="178" customFormat="1" ht="30" hidden="1" customHeight="1" x14ac:dyDescent="0.2">
      <c r="A38" s="432">
        <v>170523</v>
      </c>
      <c r="B38" s="667" t="s">
        <v>556</v>
      </c>
      <c r="C38" s="178" t="s">
        <v>123</v>
      </c>
      <c r="D38" s="178">
        <v>1</v>
      </c>
      <c r="E38" s="180">
        <v>30000</v>
      </c>
      <c r="F38" s="181">
        <f t="shared" si="14"/>
        <v>33000</v>
      </c>
      <c r="G38" s="181">
        <f t="shared" si="15"/>
        <v>30000</v>
      </c>
      <c r="H38" s="992" t="s">
        <v>39</v>
      </c>
      <c r="I38" s="188"/>
      <c r="J38" s="59">
        <f>(G38-(VLOOKUP(C38,Price!B:D,3,FALSE)*D38))</f>
        <v>7539</v>
      </c>
      <c r="K38" s="56">
        <f t="shared" si="16"/>
        <v>0.25130000000000002</v>
      </c>
      <c r="L38" s="843">
        <v>17.5</v>
      </c>
      <c r="M38" s="642"/>
      <c r="N38" s="667">
        <f t="shared" si="7"/>
        <v>170523</v>
      </c>
      <c r="O38" s="993" t="s">
        <v>39</v>
      </c>
      <c r="P38" s="183" t="str">
        <f t="shared" si="9"/>
        <v>필터백</v>
      </c>
      <c r="Q38" s="178">
        <f t="shared" si="8"/>
        <v>1</v>
      </c>
      <c r="R38" s="180">
        <v>19800</v>
      </c>
      <c r="S38" s="180">
        <f t="shared" si="10"/>
        <v>21780</v>
      </c>
      <c r="T38" s="180">
        <f t="shared" si="11"/>
        <v>19800</v>
      </c>
      <c r="U38" s="178" t="str">
        <f t="shared" si="12"/>
        <v>X</v>
      </c>
      <c r="W38" s="477">
        <f t="shared" si="13"/>
        <v>10200</v>
      </c>
    </row>
    <row r="39" spans="1:23" s="73" customFormat="1" ht="30" hidden="1" customHeight="1" x14ac:dyDescent="0.2">
      <c r="A39" s="428">
        <v>170524</v>
      </c>
      <c r="B39" s="663" t="s">
        <v>442</v>
      </c>
      <c r="C39" s="73" t="s">
        <v>236</v>
      </c>
      <c r="D39" s="73">
        <v>2</v>
      </c>
      <c r="E39" s="147">
        <v>110000</v>
      </c>
      <c r="F39" s="160">
        <f t="shared" si="14"/>
        <v>242000.00000000003</v>
      </c>
      <c r="G39" s="160">
        <f t="shared" si="15"/>
        <v>220000</v>
      </c>
      <c r="H39" s="165" t="s">
        <v>172</v>
      </c>
      <c r="I39" s="132" t="s">
        <v>142</v>
      </c>
      <c r="J39" s="60">
        <f>(G39-(VLOOKUP(C39,Price!B:D,3,FALSE)*D39))</f>
        <v>120000</v>
      </c>
      <c r="K39" s="54">
        <f t="shared" si="16"/>
        <v>0.54545454545454541</v>
      </c>
      <c r="L39" s="184">
        <v>17.5</v>
      </c>
      <c r="M39" s="584"/>
      <c r="N39" s="663">
        <f t="shared" si="7"/>
        <v>170524</v>
      </c>
      <c r="O39" s="73" t="s">
        <v>153</v>
      </c>
      <c r="P39" s="132" t="str">
        <f t="shared" si="9"/>
        <v>아스테이지(국전)</v>
      </c>
      <c r="Q39" s="73">
        <f t="shared" si="8"/>
        <v>2</v>
      </c>
      <c r="R39" s="147">
        <v>50000</v>
      </c>
      <c r="S39" s="147">
        <f t="shared" si="10"/>
        <v>110000.00000000001</v>
      </c>
      <c r="T39" s="147">
        <f t="shared" si="11"/>
        <v>100000</v>
      </c>
      <c r="U39" s="73" t="str">
        <f t="shared" si="12"/>
        <v>O</v>
      </c>
      <c r="W39" s="473">
        <f t="shared" si="13"/>
        <v>120000</v>
      </c>
    </row>
    <row r="40" spans="1:23" s="167" customFormat="1" ht="30" hidden="1" customHeight="1" x14ac:dyDescent="0.2">
      <c r="A40" s="430"/>
      <c r="B40" s="665" t="s">
        <v>442</v>
      </c>
      <c r="C40" s="167" t="s">
        <v>222</v>
      </c>
      <c r="D40" s="167">
        <v>2</v>
      </c>
      <c r="E40" s="169">
        <v>135000</v>
      </c>
      <c r="F40" s="170">
        <f t="shared" si="14"/>
        <v>297000</v>
      </c>
      <c r="G40" s="170">
        <f t="shared" si="15"/>
        <v>270000</v>
      </c>
      <c r="H40" s="171" t="s">
        <v>172</v>
      </c>
      <c r="I40" s="172" t="s">
        <v>142</v>
      </c>
      <c r="J40" s="55">
        <f>(G40-(VLOOKUP(C40,Price!B:D,3,FALSE)*D40))</f>
        <v>54000</v>
      </c>
      <c r="K40" s="56">
        <f t="shared" si="16"/>
        <v>0.2</v>
      </c>
      <c r="L40" s="842">
        <v>17.5</v>
      </c>
      <c r="M40" s="641"/>
      <c r="N40" s="665">
        <f t="shared" si="7"/>
        <v>0</v>
      </c>
      <c r="O40" s="167" t="s">
        <v>150</v>
      </c>
      <c r="P40" s="172" t="str">
        <f t="shared" si="9"/>
        <v>체인구리스(하이델)</v>
      </c>
      <c r="Q40" s="167">
        <f t="shared" si="8"/>
        <v>2</v>
      </c>
      <c r="R40" s="169">
        <v>108000</v>
      </c>
      <c r="S40" s="169">
        <f t="shared" si="10"/>
        <v>237600.00000000003</v>
      </c>
      <c r="T40" s="169">
        <f t="shared" si="11"/>
        <v>216000</v>
      </c>
      <c r="U40" s="167" t="str">
        <f t="shared" si="12"/>
        <v>O</v>
      </c>
      <c r="W40" s="475">
        <f t="shared" si="13"/>
        <v>54000</v>
      </c>
    </row>
    <row r="41" spans="1:23" s="73" customFormat="1" ht="30" hidden="1" customHeight="1" x14ac:dyDescent="0.2">
      <c r="A41" s="428">
        <v>170525</v>
      </c>
      <c r="B41" s="663" t="s">
        <v>442</v>
      </c>
      <c r="C41" s="73" t="s">
        <v>126</v>
      </c>
      <c r="D41" s="73">
        <v>1</v>
      </c>
      <c r="E41" s="147">
        <v>790000</v>
      </c>
      <c r="F41" s="160">
        <f t="shared" si="14"/>
        <v>869000.00000000012</v>
      </c>
      <c r="G41" s="160">
        <f t="shared" si="15"/>
        <v>790000</v>
      </c>
      <c r="H41" s="161" t="s">
        <v>172</v>
      </c>
      <c r="I41" s="132" t="s">
        <v>143</v>
      </c>
      <c r="J41" s="60">
        <f>(G41-(VLOOKUP(C41,Price!B:D,3,FALSE)*D41))</f>
        <v>160000</v>
      </c>
      <c r="K41" s="54">
        <f t="shared" si="16"/>
        <v>0.20253164556962022</v>
      </c>
      <c r="L41" s="184">
        <v>17.5</v>
      </c>
      <c r="M41" s="584"/>
      <c r="N41" s="663">
        <f t="shared" si="7"/>
        <v>170525</v>
      </c>
      <c r="O41" s="73" t="s">
        <v>242</v>
      </c>
      <c r="P41" s="132" t="str">
        <f t="shared" si="9"/>
        <v>필름출력 현상기 롤라</v>
      </c>
      <c r="Q41" s="73">
        <f t="shared" si="8"/>
        <v>1</v>
      </c>
      <c r="R41" s="147">
        <v>630000</v>
      </c>
      <c r="S41" s="147">
        <f t="shared" si="10"/>
        <v>693000</v>
      </c>
      <c r="T41" s="147">
        <f t="shared" si="11"/>
        <v>630000</v>
      </c>
      <c r="U41" s="73" t="str">
        <f t="shared" si="12"/>
        <v>O</v>
      </c>
      <c r="W41" s="473">
        <f t="shared" si="13"/>
        <v>160000</v>
      </c>
    </row>
    <row r="42" spans="1:23" s="167" customFormat="1" ht="30" hidden="1" customHeight="1" x14ac:dyDescent="0.2">
      <c r="A42" s="430"/>
      <c r="B42" s="665" t="s">
        <v>446</v>
      </c>
      <c r="C42" s="167" t="s">
        <v>114</v>
      </c>
      <c r="D42" s="167">
        <v>50</v>
      </c>
      <c r="E42" s="169">
        <v>18000</v>
      </c>
      <c r="F42" s="170">
        <f t="shared" si="14"/>
        <v>990000.00000000012</v>
      </c>
      <c r="G42" s="170">
        <f t="shared" si="15"/>
        <v>900000</v>
      </c>
      <c r="H42" s="772" t="s">
        <v>113</v>
      </c>
      <c r="I42" s="172"/>
      <c r="J42" s="55">
        <f>(G42-(VLOOKUP(C42,Price!B:D,3,FALSE)*D42))</f>
        <v>450000</v>
      </c>
      <c r="K42" s="56">
        <f t="shared" si="16"/>
        <v>0.49999999999999994</v>
      </c>
      <c r="L42" s="842">
        <v>17.5</v>
      </c>
      <c r="M42" s="641"/>
      <c r="N42" s="665">
        <f t="shared" si="7"/>
        <v>0</v>
      </c>
      <c r="O42" s="809" t="s">
        <v>113</v>
      </c>
      <c r="P42" s="172" t="str">
        <f t="shared" si="9"/>
        <v>스트리퍼</v>
      </c>
      <c r="Q42" s="167">
        <f t="shared" si="8"/>
        <v>50</v>
      </c>
      <c r="R42" s="169">
        <v>6320</v>
      </c>
      <c r="S42" s="169">
        <f t="shared" si="10"/>
        <v>347600</v>
      </c>
      <c r="T42" s="169">
        <f t="shared" si="11"/>
        <v>316000</v>
      </c>
      <c r="U42" s="167" t="str">
        <f t="shared" si="12"/>
        <v>X</v>
      </c>
      <c r="W42" s="475">
        <f t="shared" si="13"/>
        <v>584000</v>
      </c>
    </row>
    <row r="43" spans="1:23" s="73" customFormat="1" ht="30" hidden="1" customHeight="1" x14ac:dyDescent="0.2">
      <c r="A43" s="428">
        <v>170526</v>
      </c>
      <c r="B43" s="663" t="s">
        <v>443</v>
      </c>
      <c r="C43" s="73" t="s">
        <v>128</v>
      </c>
      <c r="D43" s="73">
        <v>1</v>
      </c>
      <c r="E43" s="147">
        <v>723000</v>
      </c>
      <c r="F43" s="160">
        <f t="shared" si="14"/>
        <v>795300.00000000012</v>
      </c>
      <c r="G43" s="160">
        <f t="shared" si="15"/>
        <v>723000</v>
      </c>
      <c r="H43" s="161" t="s">
        <v>172</v>
      </c>
      <c r="I43" s="132" t="s">
        <v>144</v>
      </c>
      <c r="J43" s="60">
        <f>(G43-T43)</f>
        <v>79700</v>
      </c>
      <c r="K43" s="54">
        <f t="shared" si="16"/>
        <v>0.11023513139695711</v>
      </c>
      <c r="L43" s="184">
        <v>17.5</v>
      </c>
      <c r="M43" s="584"/>
      <c r="N43" s="663">
        <f t="shared" si="7"/>
        <v>170526</v>
      </c>
      <c r="O43" s="73" t="s">
        <v>147</v>
      </c>
      <c r="P43" s="132" t="str">
        <f t="shared" si="9"/>
        <v>프리미어 잉크</v>
      </c>
      <c r="Q43" s="73">
        <f t="shared" si="8"/>
        <v>1</v>
      </c>
      <c r="R43" s="147">
        <v>643300</v>
      </c>
      <c r="S43" s="147">
        <f t="shared" si="10"/>
        <v>707630</v>
      </c>
      <c r="T43" s="147">
        <f t="shared" si="11"/>
        <v>643300</v>
      </c>
      <c r="U43" s="73" t="str">
        <f t="shared" si="12"/>
        <v>O</v>
      </c>
      <c r="W43" s="473">
        <f t="shared" si="13"/>
        <v>79700</v>
      </c>
    </row>
    <row r="44" spans="1:23" s="71" customFormat="1" ht="30" hidden="1" customHeight="1" x14ac:dyDescent="0.2">
      <c r="A44" s="429"/>
      <c r="B44" s="664" t="s">
        <v>450</v>
      </c>
      <c r="C44" s="71" t="s">
        <v>236</v>
      </c>
      <c r="D44" s="71">
        <v>10</v>
      </c>
      <c r="E44" s="102">
        <v>70000</v>
      </c>
      <c r="F44" s="163">
        <f t="shared" si="14"/>
        <v>770000.00000000012</v>
      </c>
      <c r="G44" s="163">
        <f t="shared" si="15"/>
        <v>700000</v>
      </c>
      <c r="H44" s="161" t="s">
        <v>172</v>
      </c>
      <c r="I44" s="103" t="s">
        <v>142</v>
      </c>
      <c r="J44" s="53">
        <f>(G44-(VLOOKUP(C44,Price!B:D,3,FALSE)*D44))</f>
        <v>200000</v>
      </c>
      <c r="K44" s="54">
        <f t="shared" si="16"/>
        <v>0.28571428571428564</v>
      </c>
      <c r="L44" s="185">
        <v>17.5</v>
      </c>
      <c r="M44" s="468"/>
      <c r="N44" s="664">
        <f t="shared" si="7"/>
        <v>0</v>
      </c>
      <c r="O44" s="71" t="s">
        <v>153</v>
      </c>
      <c r="P44" s="103" t="str">
        <f t="shared" si="9"/>
        <v>아스테이지(국전)</v>
      </c>
      <c r="Q44" s="71">
        <f t="shared" si="8"/>
        <v>10</v>
      </c>
      <c r="R44" s="102">
        <v>50000</v>
      </c>
      <c r="S44" s="102">
        <f t="shared" si="10"/>
        <v>550000</v>
      </c>
      <c r="T44" s="102">
        <f t="shared" si="11"/>
        <v>500000</v>
      </c>
      <c r="U44" s="71" t="str">
        <f t="shared" si="12"/>
        <v>O</v>
      </c>
      <c r="W44" s="474">
        <f t="shared" si="13"/>
        <v>200000</v>
      </c>
    </row>
    <row r="45" spans="1:23" s="71" customFormat="1" ht="30" hidden="1" customHeight="1" x14ac:dyDescent="0.2">
      <c r="A45" s="429"/>
      <c r="B45" s="664" t="s">
        <v>557</v>
      </c>
      <c r="C45" s="71" t="s">
        <v>114</v>
      </c>
      <c r="D45" s="71">
        <v>40</v>
      </c>
      <c r="E45" s="102">
        <v>19000</v>
      </c>
      <c r="F45" s="163">
        <f t="shared" si="14"/>
        <v>836000.00000000012</v>
      </c>
      <c r="G45" s="163">
        <f t="shared" si="15"/>
        <v>760000</v>
      </c>
      <c r="H45" s="771" t="s">
        <v>113</v>
      </c>
      <c r="I45" s="103"/>
      <c r="J45" s="53">
        <f>(G45-(VLOOKUP(C45,Price!B:D,3,FALSE)*D45))</f>
        <v>400000</v>
      </c>
      <c r="K45" s="54">
        <f t="shared" si="16"/>
        <v>0.52631578947368418</v>
      </c>
      <c r="L45" s="185">
        <v>17.5</v>
      </c>
      <c r="M45" s="468"/>
      <c r="N45" s="664">
        <f t="shared" si="7"/>
        <v>0</v>
      </c>
      <c r="O45" s="808" t="s">
        <v>113</v>
      </c>
      <c r="P45" s="103" t="str">
        <f t="shared" si="9"/>
        <v>스트리퍼</v>
      </c>
      <c r="Q45" s="71">
        <f t="shared" si="8"/>
        <v>40</v>
      </c>
      <c r="R45" s="102">
        <v>6320</v>
      </c>
      <c r="S45" s="102">
        <f t="shared" si="10"/>
        <v>278080</v>
      </c>
      <c r="T45" s="102">
        <f t="shared" si="11"/>
        <v>252800</v>
      </c>
      <c r="U45" s="71" t="str">
        <f t="shared" si="12"/>
        <v>X</v>
      </c>
      <c r="W45" s="474">
        <f t="shared" si="13"/>
        <v>507200</v>
      </c>
    </row>
    <row r="46" spans="1:23" s="71" customFormat="1" ht="30" hidden="1" customHeight="1" x14ac:dyDescent="0.2">
      <c r="A46" s="429"/>
      <c r="B46" s="664" t="s">
        <v>444</v>
      </c>
      <c r="C46" s="71" t="s">
        <v>132</v>
      </c>
      <c r="D46" s="71">
        <v>3</v>
      </c>
      <c r="E46" s="102">
        <v>135000</v>
      </c>
      <c r="F46" s="163">
        <f t="shared" si="14"/>
        <v>445500.00000000006</v>
      </c>
      <c r="G46" s="163">
        <f t="shared" si="15"/>
        <v>405000</v>
      </c>
      <c r="H46" s="161" t="s">
        <v>172</v>
      </c>
      <c r="I46" s="103" t="s">
        <v>108</v>
      </c>
      <c r="J46" s="53">
        <f>(G46-(VLOOKUP(C46,Price!B:D,3,FALSE)*D46))</f>
        <v>75000</v>
      </c>
      <c r="K46" s="54">
        <f t="shared" si="16"/>
        <v>0.18518518518518515</v>
      </c>
      <c r="L46" s="185">
        <v>17.5</v>
      </c>
      <c r="M46" s="468"/>
      <c r="N46" s="664">
        <f t="shared" si="7"/>
        <v>0</v>
      </c>
      <c r="O46" s="71" t="s">
        <v>148</v>
      </c>
      <c r="P46" s="103" t="str">
        <f t="shared" si="9"/>
        <v>UV wash(20L)</v>
      </c>
      <c r="Q46" s="71">
        <f t="shared" si="8"/>
        <v>3</v>
      </c>
      <c r="R46" s="102">
        <v>110000</v>
      </c>
      <c r="S46" s="102">
        <f t="shared" si="10"/>
        <v>363000.00000000006</v>
      </c>
      <c r="T46" s="102">
        <f t="shared" si="11"/>
        <v>330000</v>
      </c>
      <c r="U46" s="71" t="str">
        <f t="shared" si="12"/>
        <v>O</v>
      </c>
      <c r="W46" s="474">
        <f t="shared" si="13"/>
        <v>75000</v>
      </c>
    </row>
    <row r="47" spans="1:23" s="71" customFormat="1" ht="30" hidden="1" customHeight="1" x14ac:dyDescent="0.2">
      <c r="A47" s="429"/>
      <c r="B47" s="664" t="s">
        <v>442</v>
      </c>
      <c r="C47" s="71" t="s">
        <v>133</v>
      </c>
      <c r="D47" s="71">
        <v>2</v>
      </c>
      <c r="E47" s="102">
        <v>327000</v>
      </c>
      <c r="F47" s="163">
        <f t="shared" si="14"/>
        <v>719400</v>
      </c>
      <c r="G47" s="163">
        <f t="shared" si="15"/>
        <v>654000</v>
      </c>
      <c r="H47" s="161" t="s">
        <v>172</v>
      </c>
      <c r="I47" s="103" t="s">
        <v>141</v>
      </c>
      <c r="J47" s="53">
        <f>(G47-(VLOOKUP(C47,Price!B:D,3,FALSE)*D47))</f>
        <v>115800</v>
      </c>
      <c r="K47" s="54">
        <f t="shared" si="16"/>
        <v>0.17706422018348625</v>
      </c>
      <c r="L47" s="185">
        <v>17.5</v>
      </c>
      <c r="M47" s="468"/>
      <c r="N47" s="664">
        <f t="shared" si="7"/>
        <v>0</v>
      </c>
      <c r="O47" s="71" t="s">
        <v>145</v>
      </c>
      <c r="P47" s="103" t="str">
        <f t="shared" si="9"/>
        <v>Agfa Film(24inch)</v>
      </c>
      <c r="Q47" s="71">
        <f t="shared" si="8"/>
        <v>2</v>
      </c>
      <c r="R47" s="102">
        <v>269100</v>
      </c>
      <c r="S47" s="102">
        <f t="shared" si="10"/>
        <v>592020</v>
      </c>
      <c r="T47" s="102">
        <f t="shared" si="11"/>
        <v>538200</v>
      </c>
      <c r="U47" s="71" t="str">
        <f t="shared" si="12"/>
        <v>O</v>
      </c>
      <c r="W47" s="474">
        <f t="shared" si="13"/>
        <v>115800</v>
      </c>
    </row>
    <row r="48" spans="1:23" s="71" customFormat="1" ht="30" hidden="1" customHeight="1" x14ac:dyDescent="0.2">
      <c r="A48" s="429"/>
      <c r="B48" s="664" t="s">
        <v>442</v>
      </c>
      <c r="C48" s="71" t="s">
        <v>134</v>
      </c>
      <c r="D48" s="71">
        <v>2</v>
      </c>
      <c r="E48" s="102">
        <v>401000</v>
      </c>
      <c r="F48" s="163">
        <f t="shared" si="14"/>
        <v>882200.00000000012</v>
      </c>
      <c r="G48" s="163">
        <f t="shared" si="15"/>
        <v>802000</v>
      </c>
      <c r="H48" s="161" t="s">
        <v>172</v>
      </c>
      <c r="I48" s="103" t="s">
        <v>141</v>
      </c>
      <c r="J48" s="53">
        <f>(G48-(VLOOKUP(C48,Price!B:D,3,FALSE)*D48))</f>
        <v>174080</v>
      </c>
      <c r="K48" s="54">
        <f t="shared" si="16"/>
        <v>0.21705735660847877</v>
      </c>
      <c r="L48" s="185">
        <v>17.5</v>
      </c>
      <c r="M48" s="468"/>
      <c r="N48" s="664">
        <f t="shared" si="7"/>
        <v>0</v>
      </c>
      <c r="O48" s="71" t="s">
        <v>145</v>
      </c>
      <c r="P48" s="103" t="str">
        <f t="shared" si="9"/>
        <v>Agfa Film(28inch)</v>
      </c>
      <c r="Q48" s="71">
        <f t="shared" si="8"/>
        <v>2</v>
      </c>
      <c r="R48" s="102">
        <v>313960</v>
      </c>
      <c r="S48" s="102">
        <f t="shared" si="10"/>
        <v>690712</v>
      </c>
      <c r="T48" s="102">
        <f t="shared" si="11"/>
        <v>627920</v>
      </c>
      <c r="U48" s="71" t="str">
        <f t="shared" si="12"/>
        <v>O</v>
      </c>
      <c r="W48" s="474">
        <f t="shared" si="13"/>
        <v>174080</v>
      </c>
    </row>
    <row r="49" spans="1:23" s="71" customFormat="1" ht="30" hidden="1" customHeight="1" x14ac:dyDescent="0.2">
      <c r="A49" s="429"/>
      <c r="B49" s="664" t="s">
        <v>442</v>
      </c>
      <c r="C49" s="71" t="s">
        <v>135</v>
      </c>
      <c r="D49" s="71">
        <v>2</v>
      </c>
      <c r="E49" s="102">
        <v>448000</v>
      </c>
      <c r="F49" s="163">
        <f t="shared" si="14"/>
        <v>985600.00000000012</v>
      </c>
      <c r="G49" s="163">
        <f t="shared" si="15"/>
        <v>896000</v>
      </c>
      <c r="H49" s="161" t="s">
        <v>172</v>
      </c>
      <c r="I49" s="103" t="s">
        <v>141</v>
      </c>
      <c r="J49" s="53">
        <f>(G49-(VLOOKUP(C49,Price!B:D,3,FALSE)*D49))</f>
        <v>155980</v>
      </c>
      <c r="K49" s="54">
        <f t="shared" si="16"/>
        <v>0.1740848214285714</v>
      </c>
      <c r="L49" s="185">
        <v>17.5</v>
      </c>
      <c r="M49" s="468"/>
      <c r="N49" s="664">
        <f t="shared" si="7"/>
        <v>0</v>
      </c>
      <c r="O49" s="71" t="s">
        <v>145</v>
      </c>
      <c r="P49" s="103" t="str">
        <f t="shared" si="9"/>
        <v>Agfa Film(32inch)</v>
      </c>
      <c r="Q49" s="71">
        <f t="shared" si="8"/>
        <v>2</v>
      </c>
      <c r="R49" s="102">
        <v>370010</v>
      </c>
      <c r="S49" s="102">
        <f t="shared" si="10"/>
        <v>814022.00000000012</v>
      </c>
      <c r="T49" s="102">
        <f t="shared" si="11"/>
        <v>740020</v>
      </c>
      <c r="U49" s="71" t="str">
        <f t="shared" si="12"/>
        <v>O</v>
      </c>
      <c r="W49" s="474">
        <f t="shared" si="13"/>
        <v>155980</v>
      </c>
    </row>
    <row r="50" spans="1:23" s="71" customFormat="1" ht="30" hidden="1" customHeight="1" x14ac:dyDescent="0.2">
      <c r="A50" s="429"/>
      <c r="B50" s="664" t="s">
        <v>442</v>
      </c>
      <c r="C50" s="71" t="s">
        <v>649</v>
      </c>
      <c r="D50" s="71">
        <v>2</v>
      </c>
      <c r="E50" s="102">
        <v>41000</v>
      </c>
      <c r="F50" s="163">
        <f t="shared" si="14"/>
        <v>90200.000000000015</v>
      </c>
      <c r="G50" s="163">
        <f t="shared" si="15"/>
        <v>82000</v>
      </c>
      <c r="H50" s="161" t="s">
        <v>172</v>
      </c>
      <c r="I50" s="103" t="s">
        <v>141</v>
      </c>
      <c r="J50" s="53">
        <f>(G50-(VLOOKUP(C50,Price!B:D,3,FALSE)*D50))</f>
        <v>32000</v>
      </c>
      <c r="K50" s="54">
        <f t="shared" si="16"/>
        <v>0.39024390243902435</v>
      </c>
      <c r="L50" s="185">
        <v>17.5</v>
      </c>
      <c r="M50" s="468"/>
      <c r="N50" s="664">
        <f t="shared" si="7"/>
        <v>0</v>
      </c>
      <c r="O50" s="71" t="s">
        <v>145</v>
      </c>
      <c r="P50" s="103" t="str">
        <f t="shared" si="9"/>
        <v>Agfa 현상액 G101C(10L)</v>
      </c>
      <c r="Q50" s="71">
        <f t="shared" si="8"/>
        <v>2</v>
      </c>
      <c r="R50" s="102">
        <v>25000</v>
      </c>
      <c r="S50" s="102">
        <f t="shared" si="10"/>
        <v>55000.000000000007</v>
      </c>
      <c r="T50" s="102">
        <f t="shared" si="11"/>
        <v>50000</v>
      </c>
      <c r="U50" s="71" t="str">
        <f t="shared" si="12"/>
        <v>O</v>
      </c>
      <c r="W50" s="474">
        <f t="shared" si="13"/>
        <v>32000</v>
      </c>
    </row>
    <row r="51" spans="1:23" s="71" customFormat="1" ht="30" hidden="1" customHeight="1" x14ac:dyDescent="0.2">
      <c r="A51" s="429"/>
      <c r="B51" s="664" t="s">
        <v>442</v>
      </c>
      <c r="C51" s="71" t="s">
        <v>650</v>
      </c>
      <c r="D51" s="71">
        <v>1</v>
      </c>
      <c r="E51" s="102">
        <v>93000</v>
      </c>
      <c r="F51" s="163">
        <f t="shared" si="14"/>
        <v>102300.00000000001</v>
      </c>
      <c r="G51" s="163">
        <f t="shared" si="15"/>
        <v>93000</v>
      </c>
      <c r="H51" s="161" t="s">
        <v>172</v>
      </c>
      <c r="I51" s="103" t="s">
        <v>141</v>
      </c>
      <c r="J51" s="53">
        <f>(G51-(VLOOKUP(C51,Price!B:D,3,FALSE)*D51))</f>
        <v>33000</v>
      </c>
      <c r="K51" s="54">
        <f t="shared" si="16"/>
        <v>0.35483870967741932</v>
      </c>
      <c r="L51" s="185">
        <v>17.5</v>
      </c>
      <c r="M51" s="468"/>
      <c r="N51" s="664">
        <f t="shared" si="7"/>
        <v>0</v>
      </c>
      <c r="O51" s="71" t="s">
        <v>145</v>
      </c>
      <c r="P51" s="103" t="str">
        <f t="shared" si="9"/>
        <v>Agfa 정착액 G333C(20L)</v>
      </c>
      <c r="Q51" s="71">
        <f t="shared" si="8"/>
        <v>1</v>
      </c>
      <c r="R51" s="102">
        <v>60000</v>
      </c>
      <c r="S51" s="102">
        <f t="shared" si="10"/>
        <v>66000</v>
      </c>
      <c r="T51" s="102">
        <f t="shared" si="11"/>
        <v>60000</v>
      </c>
      <c r="U51" s="71" t="str">
        <f t="shared" si="12"/>
        <v>O</v>
      </c>
      <c r="W51" s="474">
        <f t="shared" si="13"/>
        <v>33000</v>
      </c>
    </row>
    <row r="52" spans="1:23" s="71" customFormat="1" ht="30" hidden="1" customHeight="1" x14ac:dyDescent="0.2">
      <c r="A52" s="429"/>
      <c r="B52" s="664" t="s">
        <v>445</v>
      </c>
      <c r="C52" s="71" t="s">
        <v>107</v>
      </c>
      <c r="D52" s="71">
        <v>5</v>
      </c>
      <c r="E52" s="102">
        <v>108000</v>
      </c>
      <c r="F52" s="163">
        <f t="shared" si="14"/>
        <v>594000</v>
      </c>
      <c r="G52" s="163">
        <f t="shared" si="15"/>
        <v>540000</v>
      </c>
      <c r="H52" s="161" t="s">
        <v>172</v>
      </c>
      <c r="I52" s="103" t="s">
        <v>109</v>
      </c>
      <c r="J52" s="53">
        <f>(G52-(VLOOKUP(C52,Price!B:D,3,FALSE)*D52))</f>
        <v>137500</v>
      </c>
      <c r="K52" s="54">
        <f t="shared" si="16"/>
        <v>0.25462962962962965</v>
      </c>
      <c r="L52" s="185">
        <v>17.5</v>
      </c>
      <c r="M52" s="468"/>
      <c r="N52" s="664">
        <f t="shared" si="7"/>
        <v>0</v>
      </c>
      <c r="O52" s="71" t="s">
        <v>147</v>
      </c>
      <c r="P52" s="103" t="str">
        <f t="shared" si="9"/>
        <v>Blanket(1050*840)</v>
      </c>
      <c r="Q52" s="71">
        <f t="shared" si="8"/>
        <v>5</v>
      </c>
      <c r="R52" s="102">
        <v>80500</v>
      </c>
      <c r="S52" s="102">
        <f t="shared" si="10"/>
        <v>442750.00000000006</v>
      </c>
      <c r="T52" s="102">
        <f t="shared" si="11"/>
        <v>402500</v>
      </c>
      <c r="U52" s="71" t="str">
        <f t="shared" si="12"/>
        <v>O</v>
      </c>
      <c r="W52" s="474">
        <f t="shared" si="13"/>
        <v>137500</v>
      </c>
    </row>
    <row r="53" spans="1:23" s="167" customFormat="1" ht="30" hidden="1" customHeight="1" x14ac:dyDescent="0.2">
      <c r="A53" s="430"/>
      <c r="B53" s="665" t="s">
        <v>445</v>
      </c>
      <c r="C53" s="167" t="s">
        <v>138</v>
      </c>
      <c r="D53" s="167">
        <v>10</v>
      </c>
      <c r="E53" s="169">
        <v>59500</v>
      </c>
      <c r="F53" s="170">
        <f t="shared" si="14"/>
        <v>654500</v>
      </c>
      <c r="G53" s="170">
        <f t="shared" si="15"/>
        <v>595000</v>
      </c>
      <c r="H53" s="161" t="s">
        <v>172</v>
      </c>
      <c r="I53" s="172" t="s">
        <v>108</v>
      </c>
      <c r="J53" s="55">
        <f>(G53-(VLOOKUP(C53,Price!B:D,3,FALSE)*D53))</f>
        <v>85000</v>
      </c>
      <c r="K53" s="56">
        <f t="shared" si="16"/>
        <v>0.14285714285714285</v>
      </c>
      <c r="L53" s="842">
        <v>17.5</v>
      </c>
      <c r="M53" s="641"/>
      <c r="N53" s="665">
        <f t="shared" si="7"/>
        <v>0</v>
      </c>
      <c r="O53" s="167" t="s">
        <v>150</v>
      </c>
      <c r="P53" s="172" t="str">
        <f t="shared" si="9"/>
        <v>매엽용 세척제(Wash 562)</v>
      </c>
      <c r="Q53" s="167">
        <f t="shared" si="8"/>
        <v>10</v>
      </c>
      <c r="R53" s="169">
        <v>51000</v>
      </c>
      <c r="S53" s="169">
        <f t="shared" si="10"/>
        <v>561000</v>
      </c>
      <c r="T53" s="169">
        <f t="shared" si="11"/>
        <v>510000</v>
      </c>
      <c r="U53" s="167" t="str">
        <f t="shared" si="12"/>
        <v>O</v>
      </c>
      <c r="W53" s="475">
        <f t="shared" si="13"/>
        <v>85000</v>
      </c>
    </row>
    <row r="54" spans="1:23" s="178" customFormat="1" ht="30" hidden="1" customHeight="1" x14ac:dyDescent="0.2">
      <c r="A54" s="432">
        <v>170529</v>
      </c>
      <c r="B54" s="667" t="s">
        <v>556</v>
      </c>
      <c r="C54" s="178" t="s">
        <v>123</v>
      </c>
      <c r="D54" s="178">
        <v>5</v>
      </c>
      <c r="E54" s="180">
        <v>30000</v>
      </c>
      <c r="F54" s="181">
        <f t="shared" si="14"/>
        <v>165000</v>
      </c>
      <c r="G54" s="181">
        <f t="shared" si="15"/>
        <v>150000</v>
      </c>
      <c r="H54" s="992" t="s">
        <v>39</v>
      </c>
      <c r="I54" s="183"/>
      <c r="J54" s="59">
        <f>(G54-(VLOOKUP(C54,Price!B:D,3,FALSE)*D54))</f>
        <v>37695</v>
      </c>
      <c r="K54" s="56">
        <f t="shared" si="16"/>
        <v>0.25130000000000002</v>
      </c>
      <c r="L54" s="843">
        <v>17.5</v>
      </c>
      <c r="M54" s="642"/>
      <c r="N54" s="667">
        <f t="shared" si="7"/>
        <v>170529</v>
      </c>
      <c r="O54" s="993" t="s">
        <v>39</v>
      </c>
      <c r="P54" s="183" t="str">
        <f t="shared" si="9"/>
        <v>필터백</v>
      </c>
      <c r="Q54" s="178">
        <f t="shared" si="8"/>
        <v>5</v>
      </c>
      <c r="R54" s="180">
        <v>19800</v>
      </c>
      <c r="S54" s="180">
        <f t="shared" si="10"/>
        <v>108900.00000000001</v>
      </c>
      <c r="T54" s="180">
        <f t="shared" si="11"/>
        <v>99000</v>
      </c>
      <c r="U54" s="178" t="str">
        <f t="shared" si="12"/>
        <v>X</v>
      </c>
      <c r="W54" s="477">
        <f t="shared" si="13"/>
        <v>51000</v>
      </c>
    </row>
    <row r="55" spans="1:23" s="73" customFormat="1" ht="30" customHeight="1" x14ac:dyDescent="0.2">
      <c r="A55" s="428">
        <v>170530</v>
      </c>
      <c r="B55" s="663" t="s">
        <v>422</v>
      </c>
      <c r="C55" s="73" t="s">
        <v>129</v>
      </c>
      <c r="D55" s="73">
        <v>5</v>
      </c>
      <c r="E55" s="147">
        <v>272000</v>
      </c>
      <c r="F55" s="160">
        <f t="shared" si="14"/>
        <v>1496000.0000000002</v>
      </c>
      <c r="G55" s="160">
        <f t="shared" si="15"/>
        <v>1360000</v>
      </c>
      <c r="H55" s="161" t="s">
        <v>172</v>
      </c>
      <c r="I55" s="132" t="s">
        <v>108</v>
      </c>
      <c r="J55" s="60">
        <f>(G55-(VLOOKUP(C55,Price!B:D,3,FALSE)*D55))</f>
        <v>320000</v>
      </c>
      <c r="K55" s="54">
        <f t="shared" si="16"/>
        <v>0.23529411764705879</v>
      </c>
      <c r="L55" s="184">
        <v>17.5</v>
      </c>
      <c r="M55" s="584"/>
      <c r="N55" s="663">
        <f t="shared" si="7"/>
        <v>170530</v>
      </c>
      <c r="O55" s="73" t="s">
        <v>149</v>
      </c>
      <c r="P55" s="132" t="str">
        <f t="shared" si="9"/>
        <v>세정포-XL106</v>
      </c>
      <c r="Q55" s="73">
        <f t="shared" si="8"/>
        <v>5</v>
      </c>
      <c r="R55" s="147">
        <v>208000</v>
      </c>
      <c r="S55" s="147">
        <f t="shared" si="10"/>
        <v>1144000</v>
      </c>
      <c r="T55" s="147">
        <f t="shared" si="11"/>
        <v>1040000</v>
      </c>
      <c r="U55" s="73" t="str">
        <f t="shared" si="12"/>
        <v>O</v>
      </c>
      <c r="W55" s="473">
        <f t="shared" si="13"/>
        <v>320000</v>
      </c>
    </row>
    <row r="56" spans="1:23" s="71" customFormat="1" ht="30" customHeight="1" x14ac:dyDescent="0.2">
      <c r="A56" s="429"/>
      <c r="B56" s="664" t="s">
        <v>422</v>
      </c>
      <c r="C56" s="71" t="s">
        <v>130</v>
      </c>
      <c r="D56" s="71">
        <v>10</v>
      </c>
      <c r="E56" s="102">
        <v>125000</v>
      </c>
      <c r="F56" s="163">
        <f t="shared" si="14"/>
        <v>1375000</v>
      </c>
      <c r="G56" s="163">
        <f t="shared" si="15"/>
        <v>1250000</v>
      </c>
      <c r="H56" s="161" t="s">
        <v>172</v>
      </c>
      <c r="I56" s="103" t="s">
        <v>109</v>
      </c>
      <c r="J56" s="53">
        <f>(G56-(VLOOKUP(C56,Price!B:D,3,FALSE)*D56))</f>
        <v>260000</v>
      </c>
      <c r="K56" s="54">
        <f t="shared" si="16"/>
        <v>0.20799999999999999</v>
      </c>
      <c r="L56" s="185">
        <v>17.5</v>
      </c>
      <c r="M56" s="468"/>
      <c r="N56" s="664">
        <f t="shared" si="7"/>
        <v>0</v>
      </c>
      <c r="O56" s="71" t="s">
        <v>150</v>
      </c>
      <c r="P56" s="103" t="str">
        <f t="shared" si="9"/>
        <v>XL106 Blanket(1077*885)</v>
      </c>
      <c r="Q56" s="71">
        <f t="shared" si="8"/>
        <v>10</v>
      </c>
      <c r="R56" s="102">
        <v>99000</v>
      </c>
      <c r="S56" s="102">
        <f t="shared" si="10"/>
        <v>1089000</v>
      </c>
      <c r="T56" s="102">
        <f t="shared" si="11"/>
        <v>990000</v>
      </c>
      <c r="U56" s="71" t="str">
        <f t="shared" si="12"/>
        <v>O</v>
      </c>
      <c r="W56" s="474">
        <f t="shared" si="13"/>
        <v>260000</v>
      </c>
    </row>
    <row r="57" spans="1:23" s="84" customFormat="1" ht="30" hidden="1" customHeight="1" x14ac:dyDescent="0.2">
      <c r="A57" s="433"/>
      <c r="B57" s="668" t="s">
        <v>445</v>
      </c>
      <c r="C57" s="84" t="s">
        <v>121</v>
      </c>
      <c r="D57" s="84">
        <v>5</v>
      </c>
      <c r="E57" s="189">
        <v>110000</v>
      </c>
      <c r="F57" s="190">
        <f t="shared" si="14"/>
        <v>605000</v>
      </c>
      <c r="G57" s="190">
        <f t="shared" si="15"/>
        <v>550000</v>
      </c>
      <c r="H57" s="191" t="s">
        <v>172</v>
      </c>
      <c r="I57" s="133" t="s">
        <v>142</v>
      </c>
      <c r="J57" s="61">
        <f>(G57-(VLOOKUP(C57,Price!B:D,3,FALSE)*D57))</f>
        <v>95000</v>
      </c>
      <c r="K57" s="62">
        <f t="shared" si="16"/>
        <v>0.17272727272727273</v>
      </c>
      <c r="L57" s="763">
        <v>17.5</v>
      </c>
      <c r="M57" s="601"/>
      <c r="N57" s="668">
        <f t="shared" si="7"/>
        <v>0</v>
      </c>
      <c r="O57" s="84" t="s">
        <v>150</v>
      </c>
      <c r="P57" s="133" t="str">
        <f t="shared" si="9"/>
        <v>윤전용 실리콘</v>
      </c>
      <c r="Q57" s="84">
        <f t="shared" si="8"/>
        <v>5</v>
      </c>
      <c r="R57" s="189">
        <v>91000</v>
      </c>
      <c r="S57" s="189">
        <f t="shared" si="10"/>
        <v>500500.00000000006</v>
      </c>
      <c r="T57" s="189">
        <f t="shared" si="11"/>
        <v>455000</v>
      </c>
      <c r="U57" s="84" t="str">
        <f t="shared" si="12"/>
        <v>O</v>
      </c>
      <c r="W57" s="478">
        <f t="shared" si="13"/>
        <v>95000</v>
      </c>
    </row>
    <row r="58" spans="1:23" s="421" customFormat="1" ht="45" hidden="1" customHeight="1" x14ac:dyDescent="0.25">
      <c r="A58" s="452">
        <v>2017.6</v>
      </c>
      <c r="B58" s="662" t="s">
        <v>544</v>
      </c>
      <c r="C58" s="453"/>
      <c r="D58" s="453"/>
      <c r="E58" s="454"/>
      <c r="F58" s="454"/>
      <c r="G58" s="454"/>
      <c r="H58" s="455"/>
      <c r="I58" s="456"/>
      <c r="J58" s="417"/>
      <c r="K58" s="418"/>
      <c r="L58" s="844"/>
      <c r="M58" s="643"/>
      <c r="N58" s="724">
        <f t="shared" si="7"/>
        <v>2017.6</v>
      </c>
      <c r="O58" s="453" t="s">
        <v>154</v>
      </c>
      <c r="P58" s="728"/>
      <c r="Q58" s="419"/>
      <c r="R58" s="420"/>
      <c r="S58" s="417"/>
      <c r="T58" s="417"/>
      <c r="U58" s="421" t="str">
        <f t="shared" si="12"/>
        <v>O</v>
      </c>
      <c r="W58" s="479"/>
    </row>
    <row r="59" spans="1:23" s="73" customFormat="1" ht="30" hidden="1" customHeight="1" x14ac:dyDescent="0.2">
      <c r="A59" s="434">
        <v>170529</v>
      </c>
      <c r="B59" s="669" t="s">
        <v>442</v>
      </c>
      <c r="C59" s="680" t="s">
        <v>163</v>
      </c>
      <c r="D59" s="680">
        <v>2</v>
      </c>
      <c r="E59" s="700">
        <v>118000</v>
      </c>
      <c r="F59" s="713">
        <f t="shared" ref="F59:F90" si="17">(E59*D59)*1.1</f>
        <v>259600.00000000003</v>
      </c>
      <c r="G59" s="160">
        <f t="shared" ref="G59:G90" si="18">(E59*D59)</f>
        <v>236000</v>
      </c>
      <c r="H59" s="697" t="s">
        <v>173</v>
      </c>
      <c r="I59" s="192" t="s">
        <v>142</v>
      </c>
      <c r="J59" s="60">
        <f>(G59-(VLOOKUP(C59,Price!B:D,3,FALSE)*D59))</f>
        <v>47200</v>
      </c>
      <c r="K59" s="58">
        <f t="shared" ref="K59:K90" si="19">(J59/(F59/11*10))</f>
        <v>0.19999999999999998</v>
      </c>
      <c r="L59" s="194">
        <v>17.600000000000001</v>
      </c>
      <c r="M59" s="578"/>
      <c r="N59" s="669">
        <f t="shared" si="7"/>
        <v>170529</v>
      </c>
      <c r="O59" s="680" t="s">
        <v>150</v>
      </c>
      <c r="P59" s="195" t="str">
        <f t="shared" si="9"/>
        <v xml:space="preserve">공압콤푸레샤 종이필터 </v>
      </c>
      <c r="Q59" s="192">
        <f t="shared" si="8"/>
        <v>2</v>
      </c>
      <c r="R59" s="193">
        <v>94400</v>
      </c>
      <c r="S59" s="147">
        <f t="shared" ref="S59:S90" si="20">(R59*D59)*1.1</f>
        <v>207680.00000000003</v>
      </c>
      <c r="T59" s="147">
        <f t="shared" ref="T59:T90" si="21">(R59*Q59)</f>
        <v>188800</v>
      </c>
      <c r="U59" s="73" t="str">
        <f t="shared" si="12"/>
        <v>O</v>
      </c>
      <c r="W59" s="473">
        <f t="shared" ref="W59:W90" si="22">(G59-T59)</f>
        <v>47200</v>
      </c>
    </row>
    <row r="60" spans="1:23" s="84" customFormat="1" ht="30" hidden="1" customHeight="1" x14ac:dyDescent="0.2">
      <c r="A60" s="435">
        <v>170529</v>
      </c>
      <c r="B60" s="670" t="s">
        <v>589</v>
      </c>
      <c r="C60" s="681" t="s">
        <v>106</v>
      </c>
      <c r="D60" s="681">
        <v>1000</v>
      </c>
      <c r="E60" s="701">
        <v>3990</v>
      </c>
      <c r="F60" s="714">
        <f t="shared" si="17"/>
        <v>4389000</v>
      </c>
      <c r="G60" s="714">
        <f t="shared" si="18"/>
        <v>3990000</v>
      </c>
      <c r="H60" s="698" t="s">
        <v>173</v>
      </c>
      <c r="I60" s="196" t="s">
        <v>140</v>
      </c>
      <c r="J60" s="64">
        <f>(G60-(VLOOKUP(C60,Price!B:D,3,FALSE)*D60))</f>
        <v>1250000</v>
      </c>
      <c r="K60" s="62">
        <f t="shared" si="19"/>
        <v>0.31328320802005011</v>
      </c>
      <c r="L60" s="199">
        <v>17.600000000000001</v>
      </c>
      <c r="M60" s="580"/>
      <c r="N60" s="670">
        <f t="shared" si="7"/>
        <v>170529</v>
      </c>
      <c r="O60" s="681" t="s">
        <v>145</v>
      </c>
      <c r="P60" s="200" t="str">
        <f t="shared" si="9"/>
        <v>ENGAGE 27 900X570MM WE</v>
      </c>
      <c r="Q60" s="196">
        <f t="shared" si="8"/>
        <v>1000</v>
      </c>
      <c r="R60" s="197">
        <v>2740</v>
      </c>
      <c r="S60" s="198">
        <f t="shared" si="20"/>
        <v>3014000.0000000005</v>
      </c>
      <c r="T60" s="198">
        <f t="shared" si="21"/>
        <v>2740000</v>
      </c>
      <c r="U60" s="84" t="str">
        <f t="shared" si="12"/>
        <v>O</v>
      </c>
      <c r="W60" s="478">
        <f t="shared" si="22"/>
        <v>1250000</v>
      </c>
    </row>
    <row r="61" spans="1:23" s="73" customFormat="1" ht="30" hidden="1" customHeight="1" x14ac:dyDescent="0.2">
      <c r="A61" s="434">
        <v>170531</v>
      </c>
      <c r="B61" s="671" t="s">
        <v>589</v>
      </c>
      <c r="C61" s="680" t="s">
        <v>127</v>
      </c>
      <c r="D61" s="680">
        <v>1</v>
      </c>
      <c r="E61" s="700">
        <v>2769600</v>
      </c>
      <c r="F61" s="713">
        <f t="shared" si="17"/>
        <v>3046560.0000000005</v>
      </c>
      <c r="G61" s="713">
        <f t="shared" si="18"/>
        <v>2769600</v>
      </c>
      <c r="H61" s="697" t="s">
        <v>173</v>
      </c>
      <c r="I61" s="192" t="s">
        <v>144</v>
      </c>
      <c r="J61" s="60">
        <f>(G61-T61)</f>
        <v>296640</v>
      </c>
      <c r="K61" s="58">
        <f t="shared" si="19"/>
        <v>0.10710571923743499</v>
      </c>
      <c r="L61" s="194">
        <v>17.600000000000001</v>
      </c>
      <c r="M61" s="578"/>
      <c r="N61" s="669">
        <f t="shared" si="7"/>
        <v>170531</v>
      </c>
      <c r="O61" s="680" t="s">
        <v>146</v>
      </c>
      <c r="P61" s="195" t="str">
        <f t="shared" si="9"/>
        <v>프리미어 잉크</v>
      </c>
      <c r="Q61" s="192">
        <f t="shared" si="8"/>
        <v>1</v>
      </c>
      <c r="R61" s="193">
        <v>2472960</v>
      </c>
      <c r="S61" s="147">
        <f t="shared" si="20"/>
        <v>2720256</v>
      </c>
      <c r="T61" s="147">
        <f t="shared" si="21"/>
        <v>2472960</v>
      </c>
      <c r="U61" s="73" t="str">
        <f t="shared" si="12"/>
        <v>O</v>
      </c>
      <c r="W61" s="473">
        <f t="shared" si="22"/>
        <v>296640</v>
      </c>
    </row>
    <row r="62" spans="1:23" s="84" customFormat="1" ht="30" hidden="1" customHeight="1" x14ac:dyDescent="0.2">
      <c r="A62" s="435">
        <v>170531</v>
      </c>
      <c r="B62" s="670" t="s">
        <v>546</v>
      </c>
      <c r="C62" s="681" t="s">
        <v>122</v>
      </c>
      <c r="D62" s="681">
        <v>8</v>
      </c>
      <c r="E62" s="701">
        <v>30000</v>
      </c>
      <c r="F62" s="714">
        <f t="shared" si="17"/>
        <v>264000</v>
      </c>
      <c r="G62" s="714">
        <f t="shared" si="18"/>
        <v>240000</v>
      </c>
      <c r="H62" s="994" t="s">
        <v>39</v>
      </c>
      <c r="I62" s="196"/>
      <c r="J62" s="64">
        <f>(G62-(VLOOKUP(C62,Price!B:D,3,FALSE)*D62))</f>
        <v>60312</v>
      </c>
      <c r="K62" s="62">
        <f t="shared" si="19"/>
        <v>0.25130000000000002</v>
      </c>
      <c r="L62" s="199">
        <v>17.600000000000001</v>
      </c>
      <c r="M62" s="580"/>
      <c r="N62" s="670">
        <f t="shared" si="7"/>
        <v>170531</v>
      </c>
      <c r="O62" s="995" t="s">
        <v>39</v>
      </c>
      <c r="P62" s="200" t="str">
        <f t="shared" si="9"/>
        <v>필터백</v>
      </c>
      <c r="Q62" s="196">
        <f t="shared" si="8"/>
        <v>8</v>
      </c>
      <c r="R62" s="197">
        <v>19800</v>
      </c>
      <c r="S62" s="198">
        <f t="shared" si="20"/>
        <v>174240</v>
      </c>
      <c r="T62" s="198">
        <f t="shared" si="21"/>
        <v>158400</v>
      </c>
      <c r="U62" s="84" t="str">
        <f t="shared" si="12"/>
        <v>X</v>
      </c>
      <c r="W62" s="478">
        <f t="shared" si="22"/>
        <v>81600</v>
      </c>
    </row>
    <row r="63" spans="1:23" s="73" customFormat="1" ht="30" hidden="1" customHeight="1" x14ac:dyDescent="0.2">
      <c r="A63" s="434">
        <v>170601</v>
      </c>
      <c r="B63" s="669" t="s">
        <v>558</v>
      </c>
      <c r="C63" s="680" t="s">
        <v>559</v>
      </c>
      <c r="D63" s="680">
        <v>10</v>
      </c>
      <c r="E63" s="700">
        <v>130000</v>
      </c>
      <c r="F63" s="713">
        <f t="shared" si="17"/>
        <v>1430000</v>
      </c>
      <c r="G63" s="713">
        <f t="shared" si="18"/>
        <v>1300000</v>
      </c>
      <c r="H63" s="697" t="s">
        <v>173</v>
      </c>
      <c r="I63" s="192" t="s">
        <v>109</v>
      </c>
      <c r="J63" s="60">
        <f>(G63-(VLOOKUP(C63,Price!B:D,3,FALSE)*D63))</f>
        <v>450000</v>
      </c>
      <c r="K63" s="58">
        <f t="shared" si="19"/>
        <v>0.34615384615384615</v>
      </c>
      <c r="L63" s="194">
        <v>17.600000000000001</v>
      </c>
      <c r="M63" s="578"/>
      <c r="N63" s="669">
        <f t="shared" si="7"/>
        <v>170601</v>
      </c>
      <c r="O63" s="680" t="s">
        <v>560</v>
      </c>
      <c r="P63" s="195" t="str">
        <f t="shared" si="9"/>
        <v>Blanket(1050*840)bar</v>
      </c>
      <c r="Q63" s="192">
        <f t="shared" si="8"/>
        <v>10</v>
      </c>
      <c r="R63" s="193">
        <v>85000</v>
      </c>
      <c r="S63" s="147">
        <f t="shared" si="20"/>
        <v>935000.00000000012</v>
      </c>
      <c r="T63" s="147">
        <f t="shared" si="21"/>
        <v>850000</v>
      </c>
      <c r="U63" s="73" t="str">
        <f t="shared" si="12"/>
        <v>O</v>
      </c>
      <c r="W63" s="473">
        <f t="shared" si="22"/>
        <v>450000</v>
      </c>
    </row>
    <row r="64" spans="1:23" s="71" customFormat="1" ht="30" hidden="1" customHeight="1" x14ac:dyDescent="0.2">
      <c r="A64" s="436">
        <v>170601</v>
      </c>
      <c r="B64" s="671" t="s">
        <v>445</v>
      </c>
      <c r="C64" s="682" t="s">
        <v>136</v>
      </c>
      <c r="D64" s="682">
        <v>10</v>
      </c>
      <c r="E64" s="702">
        <v>120000</v>
      </c>
      <c r="F64" s="715">
        <f t="shared" si="17"/>
        <v>1320000</v>
      </c>
      <c r="G64" s="715">
        <f t="shared" si="18"/>
        <v>1200000</v>
      </c>
      <c r="H64" s="699" t="s">
        <v>173</v>
      </c>
      <c r="I64" s="201" t="s">
        <v>109</v>
      </c>
      <c r="J64" s="60">
        <f>(G64-(VLOOKUP(C64,Price!B:D,3,FALSE)*D64))</f>
        <v>80000</v>
      </c>
      <c r="K64" s="54">
        <f t="shared" si="19"/>
        <v>6.6666666666666666E-2</v>
      </c>
      <c r="L64" s="203">
        <v>17.600000000000001</v>
      </c>
      <c r="M64" s="579"/>
      <c r="N64" s="671">
        <f t="shared" si="7"/>
        <v>170601</v>
      </c>
      <c r="O64" s="682" t="s">
        <v>151</v>
      </c>
      <c r="P64" s="164" t="str">
        <f t="shared" si="9"/>
        <v>Blanket(990*725)</v>
      </c>
      <c r="Q64" s="201">
        <f t="shared" si="8"/>
        <v>10</v>
      </c>
      <c r="R64" s="202">
        <v>112000</v>
      </c>
      <c r="S64" s="147">
        <f t="shared" si="20"/>
        <v>1232000</v>
      </c>
      <c r="T64" s="147">
        <f t="shared" si="21"/>
        <v>1120000</v>
      </c>
      <c r="U64" s="71" t="str">
        <f t="shared" si="12"/>
        <v>O</v>
      </c>
      <c r="W64" s="474">
        <f t="shared" si="22"/>
        <v>80000</v>
      </c>
    </row>
    <row r="65" spans="1:23" s="71" customFormat="1" ht="30" hidden="1" customHeight="1" x14ac:dyDescent="0.2">
      <c r="A65" s="436">
        <v>170601</v>
      </c>
      <c r="B65" s="671" t="s">
        <v>561</v>
      </c>
      <c r="C65" s="682" t="s">
        <v>164</v>
      </c>
      <c r="D65" s="682">
        <v>1</v>
      </c>
      <c r="E65" s="702">
        <v>150000</v>
      </c>
      <c r="F65" s="715">
        <f t="shared" si="17"/>
        <v>165000</v>
      </c>
      <c r="G65" s="715">
        <f t="shared" si="18"/>
        <v>150000</v>
      </c>
      <c r="H65" s="716" t="s">
        <v>165</v>
      </c>
      <c r="I65" s="201"/>
      <c r="J65" s="60">
        <v>150000</v>
      </c>
      <c r="K65" s="54">
        <f t="shared" si="19"/>
        <v>1</v>
      </c>
      <c r="L65" s="203">
        <v>17.600000000000001</v>
      </c>
      <c r="M65" s="579"/>
      <c r="N65" s="671">
        <f t="shared" si="7"/>
        <v>170601</v>
      </c>
      <c r="O65" s="682"/>
      <c r="P65" s="164" t="str">
        <f t="shared" si="9"/>
        <v>M-600B 윤전기 기술 서비스</v>
      </c>
      <c r="Q65" s="201">
        <f t="shared" si="8"/>
        <v>1</v>
      </c>
      <c r="R65" s="202"/>
      <c r="S65" s="147">
        <f t="shared" si="20"/>
        <v>0</v>
      </c>
      <c r="T65" s="147">
        <f t="shared" si="21"/>
        <v>0</v>
      </c>
      <c r="U65" s="71" t="str">
        <f t="shared" si="12"/>
        <v>O</v>
      </c>
      <c r="W65" s="474">
        <f t="shared" si="22"/>
        <v>150000</v>
      </c>
    </row>
    <row r="66" spans="1:23" s="71" customFormat="1" ht="30" hidden="1" customHeight="1" x14ac:dyDescent="0.2">
      <c r="A66" s="436">
        <v>170601</v>
      </c>
      <c r="B66" s="671" t="s">
        <v>549</v>
      </c>
      <c r="C66" s="682" t="s">
        <v>118</v>
      </c>
      <c r="D66" s="682">
        <v>15</v>
      </c>
      <c r="E66" s="702">
        <v>115000</v>
      </c>
      <c r="F66" s="715">
        <f t="shared" si="17"/>
        <v>1897500.0000000002</v>
      </c>
      <c r="G66" s="715">
        <f t="shared" si="18"/>
        <v>1725000</v>
      </c>
      <c r="H66" s="699" t="s">
        <v>173</v>
      </c>
      <c r="I66" s="201" t="s">
        <v>109</v>
      </c>
      <c r="J66" s="60">
        <f>(G66-(VLOOKUP(C66,Price!B:D,3,FALSE)*D66))</f>
        <v>394500</v>
      </c>
      <c r="K66" s="54">
        <f t="shared" si="19"/>
        <v>0.22869565217391302</v>
      </c>
      <c r="L66" s="203">
        <v>17.600000000000001</v>
      </c>
      <c r="M66" s="579"/>
      <c r="N66" s="671">
        <f t="shared" si="7"/>
        <v>170601</v>
      </c>
      <c r="O66" s="682" t="s">
        <v>150</v>
      </c>
      <c r="P66" s="164" t="str">
        <f t="shared" si="9"/>
        <v>미쯔비시 Blanket(1035*910)</v>
      </c>
      <c r="Q66" s="201">
        <f t="shared" si="8"/>
        <v>15</v>
      </c>
      <c r="R66" s="202">
        <v>88700</v>
      </c>
      <c r="S66" s="147">
        <f t="shared" si="20"/>
        <v>1463550.0000000002</v>
      </c>
      <c r="T66" s="147">
        <f t="shared" si="21"/>
        <v>1330500</v>
      </c>
      <c r="U66" s="71" t="str">
        <f t="shared" si="12"/>
        <v>O</v>
      </c>
      <c r="W66" s="474">
        <f t="shared" si="22"/>
        <v>394500</v>
      </c>
    </row>
    <row r="67" spans="1:23" s="71" customFormat="1" ht="30" hidden="1" customHeight="1" x14ac:dyDescent="0.2">
      <c r="A67" s="436">
        <v>170601</v>
      </c>
      <c r="B67" s="671" t="s">
        <v>549</v>
      </c>
      <c r="C67" s="682" t="s">
        <v>116</v>
      </c>
      <c r="D67" s="682">
        <v>5</v>
      </c>
      <c r="E67" s="702">
        <v>128500</v>
      </c>
      <c r="F67" s="715">
        <f t="shared" si="17"/>
        <v>706750</v>
      </c>
      <c r="G67" s="715">
        <f t="shared" si="18"/>
        <v>642500</v>
      </c>
      <c r="H67" s="699" t="s">
        <v>173</v>
      </c>
      <c r="I67" s="201" t="s">
        <v>109</v>
      </c>
      <c r="J67" s="60">
        <f>(G67-(VLOOKUP(C67,Price!B:D,3,FALSE)*D67))</f>
        <v>192500</v>
      </c>
      <c r="K67" s="54">
        <f t="shared" si="19"/>
        <v>0.29961089494163423</v>
      </c>
      <c r="L67" s="203">
        <v>17.600000000000001</v>
      </c>
      <c r="M67" s="579"/>
      <c r="N67" s="671">
        <f t="shared" si="7"/>
        <v>170601</v>
      </c>
      <c r="O67" s="682" t="s">
        <v>150</v>
      </c>
      <c r="P67" s="164" t="str">
        <f t="shared" si="9"/>
        <v>로랜드 Blanket(1050*910)</v>
      </c>
      <c r="Q67" s="201">
        <f t="shared" si="8"/>
        <v>5</v>
      </c>
      <c r="R67" s="202">
        <v>90000</v>
      </c>
      <c r="S67" s="147">
        <f t="shared" si="20"/>
        <v>495000.00000000006</v>
      </c>
      <c r="T67" s="147">
        <f t="shared" si="21"/>
        <v>450000</v>
      </c>
      <c r="U67" s="71" t="str">
        <f t="shared" ref="U67:U98" si="23">IF(J67=W67,"O", "X")</f>
        <v>O</v>
      </c>
      <c r="W67" s="474">
        <f t="shared" si="22"/>
        <v>192500</v>
      </c>
    </row>
    <row r="68" spans="1:23" s="71" customFormat="1" ht="30" hidden="1" customHeight="1" x14ac:dyDescent="0.2">
      <c r="A68" s="436">
        <v>170601</v>
      </c>
      <c r="B68" s="671" t="s">
        <v>562</v>
      </c>
      <c r="C68" s="682" t="s">
        <v>563</v>
      </c>
      <c r="D68" s="682">
        <v>3</v>
      </c>
      <c r="E68" s="702">
        <v>85000</v>
      </c>
      <c r="F68" s="715">
        <f t="shared" si="17"/>
        <v>280500</v>
      </c>
      <c r="G68" s="715">
        <f t="shared" si="18"/>
        <v>255000</v>
      </c>
      <c r="H68" s="699" t="s">
        <v>173</v>
      </c>
      <c r="I68" s="201" t="s">
        <v>142</v>
      </c>
      <c r="J68" s="60">
        <f>(G68-(VLOOKUP(C68,Price!B:D,3,FALSE)*D68))</f>
        <v>135000</v>
      </c>
      <c r="K68" s="54">
        <f t="shared" si="19"/>
        <v>0.52941176470588236</v>
      </c>
      <c r="L68" s="203">
        <v>17.600000000000001</v>
      </c>
      <c r="M68" s="579"/>
      <c r="N68" s="671">
        <f t="shared" si="7"/>
        <v>170601</v>
      </c>
      <c r="O68" s="682" t="s">
        <v>152</v>
      </c>
      <c r="P68" s="164" t="str">
        <f t="shared" si="9"/>
        <v>아스테이지(T-3절)</v>
      </c>
      <c r="Q68" s="201">
        <f t="shared" si="8"/>
        <v>3</v>
      </c>
      <c r="R68" s="202">
        <v>40000</v>
      </c>
      <c r="S68" s="147">
        <f t="shared" si="20"/>
        <v>132000</v>
      </c>
      <c r="T68" s="147">
        <f t="shared" si="21"/>
        <v>120000</v>
      </c>
      <c r="U68" s="71" t="str">
        <f t="shared" si="23"/>
        <v>O</v>
      </c>
      <c r="W68" s="474">
        <f t="shared" si="22"/>
        <v>135000</v>
      </c>
    </row>
    <row r="69" spans="1:23" s="71" customFormat="1" ht="30" hidden="1" customHeight="1" x14ac:dyDescent="0.2">
      <c r="A69" s="436">
        <v>170601</v>
      </c>
      <c r="B69" s="671" t="s">
        <v>411</v>
      </c>
      <c r="C69" s="682" t="s">
        <v>236</v>
      </c>
      <c r="D69" s="682">
        <v>5</v>
      </c>
      <c r="E69" s="702">
        <v>100000</v>
      </c>
      <c r="F69" s="715">
        <f t="shared" si="17"/>
        <v>550000</v>
      </c>
      <c r="G69" s="715">
        <f t="shared" si="18"/>
        <v>500000</v>
      </c>
      <c r="H69" s="699" t="s">
        <v>173</v>
      </c>
      <c r="I69" s="201" t="s">
        <v>142</v>
      </c>
      <c r="J69" s="60">
        <f>(G69-(VLOOKUP(C69,Price!B:D,3,FALSE)*D69))</f>
        <v>250000</v>
      </c>
      <c r="K69" s="54">
        <f t="shared" si="19"/>
        <v>0.5</v>
      </c>
      <c r="L69" s="203">
        <v>17.600000000000001</v>
      </c>
      <c r="M69" s="579"/>
      <c r="N69" s="671">
        <f t="shared" si="7"/>
        <v>170601</v>
      </c>
      <c r="O69" s="682" t="s">
        <v>152</v>
      </c>
      <c r="P69" s="164" t="str">
        <f t="shared" si="9"/>
        <v>아스테이지(국전)</v>
      </c>
      <c r="Q69" s="201">
        <f t="shared" si="8"/>
        <v>5</v>
      </c>
      <c r="R69" s="202">
        <v>50000</v>
      </c>
      <c r="S69" s="147">
        <f t="shared" si="20"/>
        <v>275000</v>
      </c>
      <c r="T69" s="147">
        <f t="shared" si="21"/>
        <v>250000</v>
      </c>
      <c r="U69" s="71" t="str">
        <f t="shared" si="23"/>
        <v>O</v>
      </c>
      <c r="W69" s="474">
        <f t="shared" si="22"/>
        <v>250000</v>
      </c>
    </row>
    <row r="70" spans="1:23" s="96" customFormat="1" ht="30" hidden="1" customHeight="1" x14ac:dyDescent="0.2">
      <c r="A70" s="437">
        <v>170601</v>
      </c>
      <c r="B70" s="671" t="s">
        <v>444</v>
      </c>
      <c r="C70" s="680" t="s">
        <v>167</v>
      </c>
      <c r="D70" s="683">
        <v>10</v>
      </c>
      <c r="E70" s="700">
        <v>110000</v>
      </c>
      <c r="F70" s="715">
        <f t="shared" si="17"/>
        <v>1210000</v>
      </c>
      <c r="G70" s="715">
        <f t="shared" si="18"/>
        <v>1100000</v>
      </c>
      <c r="H70" s="699" t="s">
        <v>173</v>
      </c>
      <c r="I70" s="204" t="s">
        <v>109</v>
      </c>
      <c r="J70" s="60">
        <f>(G70-(VLOOKUP(C70,Price!B:D,3,FALSE)*D70))</f>
        <v>271000</v>
      </c>
      <c r="K70" s="54">
        <f t="shared" si="19"/>
        <v>0.24636363636363637</v>
      </c>
      <c r="L70" s="205">
        <v>17.600000000000001</v>
      </c>
      <c r="M70" s="644"/>
      <c r="N70" s="678">
        <f t="shared" ref="N70:N133" si="24">A70</f>
        <v>170601</v>
      </c>
      <c r="O70" s="683" t="s">
        <v>147</v>
      </c>
      <c r="P70" s="206" t="str">
        <f t="shared" si="9"/>
        <v>Blanket(1060*860)</v>
      </c>
      <c r="Q70" s="204">
        <f t="shared" ref="Q70:Q133" si="25">D70</f>
        <v>10</v>
      </c>
      <c r="R70" s="207">
        <v>82900</v>
      </c>
      <c r="S70" s="147">
        <f t="shared" si="20"/>
        <v>911900.00000000012</v>
      </c>
      <c r="T70" s="147">
        <f t="shared" si="21"/>
        <v>829000</v>
      </c>
      <c r="U70" s="96" t="str">
        <f t="shared" si="23"/>
        <v>O</v>
      </c>
      <c r="W70" s="480">
        <f t="shared" si="22"/>
        <v>271000</v>
      </c>
    </row>
    <row r="71" spans="1:23" s="96" customFormat="1" ht="30" hidden="1" customHeight="1" x14ac:dyDescent="0.2">
      <c r="A71" s="437">
        <v>170601</v>
      </c>
      <c r="B71" s="671" t="s">
        <v>444</v>
      </c>
      <c r="C71" s="682" t="s">
        <v>131</v>
      </c>
      <c r="D71" s="683">
        <v>5</v>
      </c>
      <c r="E71" s="702">
        <v>135000</v>
      </c>
      <c r="F71" s="715">
        <f t="shared" si="17"/>
        <v>742500.00000000012</v>
      </c>
      <c r="G71" s="715">
        <f t="shared" si="18"/>
        <v>675000</v>
      </c>
      <c r="H71" s="699" t="s">
        <v>173</v>
      </c>
      <c r="I71" s="204" t="s">
        <v>108</v>
      </c>
      <c r="J71" s="60">
        <f>(G71-(VLOOKUP(C71,Price!B:D,3,FALSE)*D71))</f>
        <v>125000</v>
      </c>
      <c r="K71" s="54">
        <f t="shared" si="19"/>
        <v>0.18518518518518515</v>
      </c>
      <c r="L71" s="205">
        <v>17.600000000000001</v>
      </c>
      <c r="M71" s="644"/>
      <c r="N71" s="678">
        <f t="shared" si="24"/>
        <v>170601</v>
      </c>
      <c r="O71" s="683" t="s">
        <v>148</v>
      </c>
      <c r="P71" s="206" t="str">
        <f t="shared" ref="P71:P141" si="26">(C71)</f>
        <v>UV wash(20L)</v>
      </c>
      <c r="Q71" s="204">
        <f t="shared" si="25"/>
        <v>5</v>
      </c>
      <c r="R71" s="207">
        <v>110000</v>
      </c>
      <c r="S71" s="147">
        <f t="shared" si="20"/>
        <v>605000</v>
      </c>
      <c r="T71" s="147">
        <f t="shared" si="21"/>
        <v>550000</v>
      </c>
      <c r="U71" s="96" t="str">
        <f t="shared" si="23"/>
        <v>O</v>
      </c>
      <c r="W71" s="480">
        <f t="shared" si="22"/>
        <v>125000</v>
      </c>
    </row>
    <row r="72" spans="1:23" s="84" customFormat="1" ht="30" hidden="1" customHeight="1" x14ac:dyDescent="0.2">
      <c r="A72" s="435">
        <v>170601</v>
      </c>
      <c r="B72" s="670" t="s">
        <v>446</v>
      </c>
      <c r="C72" s="681" t="s">
        <v>608</v>
      </c>
      <c r="D72" s="681">
        <v>30</v>
      </c>
      <c r="E72" s="701">
        <v>4500</v>
      </c>
      <c r="F72" s="714">
        <f t="shared" si="17"/>
        <v>148500</v>
      </c>
      <c r="G72" s="714">
        <f t="shared" si="18"/>
        <v>135000</v>
      </c>
      <c r="H72" s="773" t="s">
        <v>113</v>
      </c>
      <c r="I72" s="196"/>
      <c r="J72" s="64">
        <f>(G72-(VLOOKUP(C72,Import!C:G,4,FALSE)*D72))</f>
        <v>135000</v>
      </c>
      <c r="K72" s="62">
        <f t="shared" si="19"/>
        <v>1</v>
      </c>
      <c r="L72" s="199">
        <v>17.600000000000001</v>
      </c>
      <c r="M72" s="580"/>
      <c r="N72" s="670">
        <f t="shared" si="24"/>
        <v>170601</v>
      </c>
      <c r="O72" s="810" t="s">
        <v>113</v>
      </c>
      <c r="P72" s="200" t="str">
        <f t="shared" si="26"/>
        <v>Insolating Strip(양면테이프)</v>
      </c>
      <c r="Q72" s="410">
        <f t="shared" si="25"/>
        <v>30</v>
      </c>
      <c r="R72" s="484">
        <f>(Import!G4)</f>
        <v>1497.2534068779703</v>
      </c>
      <c r="S72" s="198">
        <f t="shared" si="20"/>
        <v>49409.362426973021</v>
      </c>
      <c r="T72" s="198">
        <f t="shared" si="21"/>
        <v>44917.602206339106</v>
      </c>
      <c r="U72" s="84" t="str">
        <f t="shared" si="23"/>
        <v>X</v>
      </c>
      <c r="W72" s="478">
        <f t="shared" si="22"/>
        <v>90082.397793660901</v>
      </c>
    </row>
    <row r="73" spans="1:23" s="73" customFormat="1" ht="30" hidden="1" customHeight="1" x14ac:dyDescent="0.2">
      <c r="A73" s="194">
        <v>170602</v>
      </c>
      <c r="B73" s="669" t="s">
        <v>564</v>
      </c>
      <c r="C73" s="680" t="s">
        <v>166</v>
      </c>
      <c r="D73" s="680">
        <v>2</v>
      </c>
      <c r="E73" s="700">
        <v>270000</v>
      </c>
      <c r="F73" s="713">
        <f t="shared" si="17"/>
        <v>594000</v>
      </c>
      <c r="G73" s="713">
        <f t="shared" si="18"/>
        <v>540000</v>
      </c>
      <c r="H73" s="697" t="s">
        <v>173</v>
      </c>
      <c r="I73" s="192" t="s">
        <v>120</v>
      </c>
      <c r="J73" s="60">
        <f>(G73-(VLOOKUP(C73,Price!B:D,3,FALSE)*D73))</f>
        <v>260000</v>
      </c>
      <c r="K73" s="58">
        <f t="shared" si="19"/>
        <v>0.48148148148148145</v>
      </c>
      <c r="L73" s="194">
        <v>17.600000000000001</v>
      </c>
      <c r="M73" s="578"/>
      <c r="N73" s="669">
        <f t="shared" si="24"/>
        <v>170602</v>
      </c>
      <c r="O73" s="680" t="s">
        <v>150</v>
      </c>
      <c r="P73" s="195" t="str">
        <f t="shared" si="26"/>
        <v>Fount 554</v>
      </c>
      <c r="Q73" s="192">
        <f t="shared" si="25"/>
        <v>2</v>
      </c>
      <c r="R73" s="193">
        <v>140000</v>
      </c>
      <c r="S73" s="147">
        <f t="shared" si="20"/>
        <v>308000</v>
      </c>
      <c r="T73" s="147">
        <f t="shared" si="21"/>
        <v>280000</v>
      </c>
      <c r="U73" s="73" t="str">
        <f t="shared" si="23"/>
        <v>O</v>
      </c>
      <c r="W73" s="473">
        <f t="shared" si="22"/>
        <v>260000</v>
      </c>
    </row>
    <row r="74" spans="1:23" s="210" customFormat="1" ht="30" hidden="1" customHeight="1" x14ac:dyDescent="0.25">
      <c r="A74" s="199"/>
      <c r="B74" s="670" t="s">
        <v>564</v>
      </c>
      <c r="C74" s="681" t="s">
        <v>615</v>
      </c>
      <c r="D74" s="681">
        <v>2</v>
      </c>
      <c r="E74" s="701">
        <v>140000</v>
      </c>
      <c r="F74" s="701">
        <f t="shared" si="17"/>
        <v>308000</v>
      </c>
      <c r="G74" s="701">
        <f t="shared" si="18"/>
        <v>280000</v>
      </c>
      <c r="H74" s="693" t="s">
        <v>173</v>
      </c>
      <c r="I74" s="196" t="s">
        <v>109</v>
      </c>
      <c r="J74" s="64">
        <f>(G74-(VLOOKUP(C74,Price!B:D,3,FALSE)*D74))</f>
        <v>90000</v>
      </c>
      <c r="K74" s="62">
        <f t="shared" si="19"/>
        <v>0.32142857142857145</v>
      </c>
      <c r="L74" s="199">
        <v>17.600000000000001</v>
      </c>
      <c r="M74" s="580"/>
      <c r="N74" s="670">
        <f t="shared" si="24"/>
        <v>0</v>
      </c>
      <c r="O74" s="681" t="s">
        <v>150</v>
      </c>
      <c r="P74" s="200" t="str">
        <f t="shared" si="26"/>
        <v>5MX(1050*840)</v>
      </c>
      <c r="Q74" s="196">
        <f t="shared" si="25"/>
        <v>2</v>
      </c>
      <c r="R74" s="197">
        <v>95000</v>
      </c>
      <c r="S74" s="198">
        <f t="shared" si="20"/>
        <v>209000.00000000003</v>
      </c>
      <c r="T74" s="198">
        <f t="shared" si="21"/>
        <v>190000</v>
      </c>
      <c r="U74" s="210" t="str">
        <f t="shared" si="23"/>
        <v>O</v>
      </c>
      <c r="W74" s="481">
        <f t="shared" si="22"/>
        <v>90000</v>
      </c>
    </row>
    <row r="75" spans="1:23" s="209" customFormat="1" ht="30" customHeight="1" x14ac:dyDescent="0.25">
      <c r="A75" s="194">
        <v>170605</v>
      </c>
      <c r="B75" s="669" t="s">
        <v>565</v>
      </c>
      <c r="C75" s="680" t="s">
        <v>566</v>
      </c>
      <c r="D75" s="680">
        <v>1000</v>
      </c>
      <c r="E75" s="700">
        <v>4350</v>
      </c>
      <c r="F75" s="700">
        <f t="shared" si="17"/>
        <v>4785000</v>
      </c>
      <c r="G75" s="700">
        <f t="shared" si="18"/>
        <v>4350000</v>
      </c>
      <c r="H75" s="692" t="s">
        <v>173</v>
      </c>
      <c r="I75" s="192" t="s">
        <v>142</v>
      </c>
      <c r="J75" s="60">
        <f>(G75-(VLOOKUP(C75,Price!B:D,3,FALSE)*D75))</f>
        <v>350000</v>
      </c>
      <c r="K75" s="58">
        <f t="shared" si="19"/>
        <v>8.0459770114942528E-2</v>
      </c>
      <c r="L75" s="194">
        <v>17.600000000000001</v>
      </c>
      <c r="M75" s="578"/>
      <c r="N75" s="669">
        <f t="shared" si="24"/>
        <v>170605</v>
      </c>
      <c r="O75" s="680" t="s">
        <v>599</v>
      </c>
      <c r="P75" s="195" t="str">
        <f t="shared" si="26"/>
        <v>Plunger Parts</v>
      </c>
      <c r="Q75" s="192">
        <f t="shared" si="25"/>
        <v>1000</v>
      </c>
      <c r="R75" s="193">
        <v>4000</v>
      </c>
      <c r="S75" s="147">
        <f t="shared" si="20"/>
        <v>4400000</v>
      </c>
      <c r="T75" s="147">
        <f t="shared" si="21"/>
        <v>4000000</v>
      </c>
      <c r="U75" s="209" t="str">
        <f t="shared" si="23"/>
        <v>O</v>
      </c>
      <c r="W75" s="482">
        <f t="shared" si="22"/>
        <v>350000</v>
      </c>
    </row>
    <row r="76" spans="1:23" s="209" customFormat="1" ht="30" hidden="1" customHeight="1" x14ac:dyDescent="0.25">
      <c r="A76" s="203">
        <v>170605</v>
      </c>
      <c r="B76" s="671" t="s">
        <v>567</v>
      </c>
      <c r="C76" s="682" t="s">
        <v>236</v>
      </c>
      <c r="D76" s="682">
        <v>15</v>
      </c>
      <c r="E76" s="702">
        <v>65000</v>
      </c>
      <c r="F76" s="702">
        <f t="shared" si="17"/>
        <v>1072500</v>
      </c>
      <c r="G76" s="702">
        <f t="shared" si="18"/>
        <v>975000</v>
      </c>
      <c r="H76" s="694" t="s">
        <v>173</v>
      </c>
      <c r="I76" s="201" t="s">
        <v>142</v>
      </c>
      <c r="J76" s="60">
        <f>(G76-(VLOOKUP(C76,Price!B:D,3,FALSE)*D76))</f>
        <v>225000</v>
      </c>
      <c r="K76" s="54">
        <f t="shared" si="19"/>
        <v>0.23076923076923078</v>
      </c>
      <c r="L76" s="203">
        <v>17.600000000000001</v>
      </c>
      <c r="M76" s="579"/>
      <c r="N76" s="671">
        <f t="shared" si="24"/>
        <v>170605</v>
      </c>
      <c r="O76" s="682" t="s">
        <v>153</v>
      </c>
      <c r="P76" s="164" t="str">
        <f t="shared" si="26"/>
        <v>아스테이지(국전)</v>
      </c>
      <c r="Q76" s="201">
        <f t="shared" si="25"/>
        <v>15</v>
      </c>
      <c r="R76" s="202">
        <v>50000</v>
      </c>
      <c r="S76" s="147">
        <f t="shared" si="20"/>
        <v>825000.00000000012</v>
      </c>
      <c r="T76" s="147">
        <f t="shared" si="21"/>
        <v>750000</v>
      </c>
      <c r="U76" s="209" t="str">
        <f t="shared" si="23"/>
        <v>O</v>
      </c>
      <c r="W76" s="482">
        <f t="shared" si="22"/>
        <v>225000</v>
      </c>
    </row>
    <row r="77" spans="1:23" s="209" customFormat="1" ht="30" hidden="1" customHeight="1" x14ac:dyDescent="0.25">
      <c r="A77" s="203">
        <v>170605</v>
      </c>
      <c r="B77" s="671" t="s">
        <v>547</v>
      </c>
      <c r="C77" s="682" t="s">
        <v>122</v>
      </c>
      <c r="D77" s="682">
        <v>4</v>
      </c>
      <c r="E77" s="702">
        <v>45000</v>
      </c>
      <c r="F77" s="702">
        <f t="shared" si="17"/>
        <v>198000.00000000003</v>
      </c>
      <c r="G77" s="702">
        <f t="shared" si="18"/>
        <v>180000</v>
      </c>
      <c r="H77" s="996" t="s">
        <v>39</v>
      </c>
      <c r="I77" s="201"/>
      <c r="J77" s="60">
        <f>(G77-(VLOOKUP(C77,Price!B:D,3,FALSE)*D77))</f>
        <v>90156</v>
      </c>
      <c r="K77" s="54">
        <f t="shared" si="19"/>
        <v>0.50086666666666657</v>
      </c>
      <c r="L77" s="203">
        <v>17.600000000000001</v>
      </c>
      <c r="M77" s="579"/>
      <c r="N77" s="671">
        <f t="shared" si="24"/>
        <v>170605</v>
      </c>
      <c r="O77" s="997" t="s">
        <v>39</v>
      </c>
      <c r="P77" s="164" t="str">
        <f t="shared" si="26"/>
        <v>필터백</v>
      </c>
      <c r="Q77" s="201">
        <f t="shared" si="25"/>
        <v>4</v>
      </c>
      <c r="R77" s="202">
        <v>19800</v>
      </c>
      <c r="S77" s="147">
        <f t="shared" si="20"/>
        <v>87120</v>
      </c>
      <c r="T77" s="147">
        <f t="shared" si="21"/>
        <v>79200</v>
      </c>
      <c r="U77" s="209" t="str">
        <f t="shared" si="23"/>
        <v>X</v>
      </c>
      <c r="W77" s="482">
        <f t="shared" si="22"/>
        <v>100800</v>
      </c>
    </row>
    <row r="78" spans="1:23" s="210" customFormat="1" ht="30" hidden="1" customHeight="1" x14ac:dyDescent="0.25">
      <c r="A78" s="199">
        <v>170605</v>
      </c>
      <c r="B78" s="670" t="s">
        <v>589</v>
      </c>
      <c r="C78" s="681" t="s">
        <v>127</v>
      </c>
      <c r="D78" s="681">
        <v>1</v>
      </c>
      <c r="E78" s="701">
        <v>964800</v>
      </c>
      <c r="F78" s="701">
        <f t="shared" si="17"/>
        <v>1061280</v>
      </c>
      <c r="G78" s="701">
        <f t="shared" si="18"/>
        <v>964800</v>
      </c>
      <c r="H78" s="693" t="s">
        <v>173</v>
      </c>
      <c r="I78" s="196" t="s">
        <v>144</v>
      </c>
      <c r="J78" s="64">
        <f>(G78-T78)</f>
        <v>88320</v>
      </c>
      <c r="K78" s="62">
        <f t="shared" si="19"/>
        <v>9.1542288557213927E-2</v>
      </c>
      <c r="L78" s="199">
        <v>17.600000000000001</v>
      </c>
      <c r="M78" s="580"/>
      <c r="N78" s="670">
        <f t="shared" si="24"/>
        <v>170605</v>
      </c>
      <c r="O78" s="681" t="s">
        <v>146</v>
      </c>
      <c r="P78" s="200" t="str">
        <f t="shared" si="26"/>
        <v>프리미어 잉크</v>
      </c>
      <c r="Q78" s="196">
        <f t="shared" si="25"/>
        <v>1</v>
      </c>
      <c r="R78" s="197">
        <v>876480</v>
      </c>
      <c r="S78" s="198">
        <f t="shared" si="20"/>
        <v>964128.00000000012</v>
      </c>
      <c r="T78" s="198">
        <f t="shared" si="21"/>
        <v>876480</v>
      </c>
      <c r="U78" s="210" t="str">
        <f t="shared" si="23"/>
        <v>O</v>
      </c>
      <c r="W78" s="481">
        <f t="shared" si="22"/>
        <v>88320</v>
      </c>
    </row>
    <row r="79" spans="1:23" s="209" customFormat="1" ht="30" hidden="1" customHeight="1" x14ac:dyDescent="0.25">
      <c r="A79" s="194">
        <v>170607</v>
      </c>
      <c r="B79" s="669" t="s">
        <v>442</v>
      </c>
      <c r="C79" s="680" t="s">
        <v>138</v>
      </c>
      <c r="D79" s="680">
        <v>10</v>
      </c>
      <c r="E79" s="700">
        <v>69000</v>
      </c>
      <c r="F79" s="700">
        <f t="shared" si="17"/>
        <v>759000.00000000012</v>
      </c>
      <c r="G79" s="700">
        <f t="shared" si="18"/>
        <v>690000</v>
      </c>
      <c r="H79" s="692" t="s">
        <v>173</v>
      </c>
      <c r="I79" s="192" t="s">
        <v>108</v>
      </c>
      <c r="J79" s="60">
        <f>(G79-(VLOOKUP(C79,Price!B:D,3,FALSE)*D79))</f>
        <v>180000</v>
      </c>
      <c r="K79" s="58">
        <f t="shared" si="19"/>
        <v>0.26086956521739124</v>
      </c>
      <c r="L79" s="194">
        <v>17.600000000000001</v>
      </c>
      <c r="M79" s="578"/>
      <c r="N79" s="669">
        <f t="shared" si="24"/>
        <v>170607</v>
      </c>
      <c r="O79" s="680" t="s">
        <v>150</v>
      </c>
      <c r="P79" s="195" t="str">
        <f t="shared" si="26"/>
        <v>매엽용 세척제(Wash 562)</v>
      </c>
      <c r="Q79" s="192">
        <f t="shared" si="25"/>
        <v>10</v>
      </c>
      <c r="R79" s="193">
        <v>51000</v>
      </c>
      <c r="S79" s="147">
        <f t="shared" si="20"/>
        <v>561000</v>
      </c>
      <c r="T79" s="147">
        <f t="shared" si="21"/>
        <v>510000</v>
      </c>
      <c r="U79" s="209" t="str">
        <f t="shared" si="23"/>
        <v>O</v>
      </c>
      <c r="W79" s="482">
        <f t="shared" si="22"/>
        <v>180000</v>
      </c>
    </row>
    <row r="80" spans="1:23" s="209" customFormat="1" ht="30" hidden="1" customHeight="1" x14ac:dyDescent="0.25">
      <c r="A80" s="203">
        <v>170607</v>
      </c>
      <c r="B80" s="671" t="s">
        <v>589</v>
      </c>
      <c r="C80" s="682" t="s">
        <v>139</v>
      </c>
      <c r="D80" s="682">
        <v>10</v>
      </c>
      <c r="E80" s="702">
        <v>58000</v>
      </c>
      <c r="F80" s="702">
        <f t="shared" si="17"/>
        <v>638000</v>
      </c>
      <c r="G80" s="702">
        <f t="shared" si="18"/>
        <v>580000</v>
      </c>
      <c r="H80" s="694" t="s">
        <v>173</v>
      </c>
      <c r="I80" s="201" t="s">
        <v>140</v>
      </c>
      <c r="J80" s="60">
        <f>(G80-(VLOOKUP(C80,Price!B:D,3,FALSE)*D80))</f>
        <v>230000</v>
      </c>
      <c r="K80" s="54">
        <f t="shared" si="19"/>
        <v>0.39655172413793105</v>
      </c>
      <c r="L80" s="203">
        <v>17.600000000000001</v>
      </c>
      <c r="M80" s="579"/>
      <c r="N80" s="671">
        <f t="shared" si="24"/>
        <v>170607</v>
      </c>
      <c r="O80" s="682" t="s">
        <v>145</v>
      </c>
      <c r="P80" s="164" t="str">
        <f t="shared" si="26"/>
        <v>THR200(20L)</v>
      </c>
      <c r="Q80" s="201">
        <f t="shared" si="25"/>
        <v>10</v>
      </c>
      <c r="R80" s="202">
        <v>35000</v>
      </c>
      <c r="S80" s="147">
        <f t="shared" si="20"/>
        <v>385000.00000000006</v>
      </c>
      <c r="T80" s="147">
        <f t="shared" si="21"/>
        <v>350000</v>
      </c>
      <c r="U80" s="209" t="str">
        <f t="shared" si="23"/>
        <v>O</v>
      </c>
      <c r="W80" s="482">
        <f t="shared" si="22"/>
        <v>230000</v>
      </c>
    </row>
    <row r="81" spans="1:23" s="210" customFormat="1" ht="30" hidden="1" customHeight="1" x14ac:dyDescent="0.25">
      <c r="A81" s="199">
        <v>170607</v>
      </c>
      <c r="B81" s="670" t="s">
        <v>590</v>
      </c>
      <c r="C81" s="681" t="s">
        <v>568</v>
      </c>
      <c r="D81" s="681">
        <v>1000</v>
      </c>
      <c r="E81" s="701">
        <v>3990</v>
      </c>
      <c r="F81" s="701">
        <f t="shared" si="17"/>
        <v>4389000</v>
      </c>
      <c r="G81" s="701">
        <f t="shared" si="18"/>
        <v>3990000</v>
      </c>
      <c r="H81" s="693" t="s">
        <v>173</v>
      </c>
      <c r="I81" s="196" t="s">
        <v>140</v>
      </c>
      <c r="J81" s="64">
        <f>(G81-(VLOOKUP(C81,Price!B:D,3,FALSE)*D81))</f>
        <v>1250000</v>
      </c>
      <c r="K81" s="62">
        <f t="shared" si="19"/>
        <v>0.31328320802005011</v>
      </c>
      <c r="L81" s="199">
        <v>17.600000000000001</v>
      </c>
      <c r="M81" s="580"/>
      <c r="N81" s="670">
        <f t="shared" si="24"/>
        <v>170607</v>
      </c>
      <c r="O81" s="681" t="s">
        <v>145</v>
      </c>
      <c r="P81" s="200" t="str">
        <f t="shared" si="26"/>
        <v>ENGAGE 900X570 - 27RO</v>
      </c>
      <c r="Q81" s="196">
        <f t="shared" si="25"/>
        <v>1000</v>
      </c>
      <c r="R81" s="197">
        <v>2740</v>
      </c>
      <c r="S81" s="198">
        <f t="shared" si="20"/>
        <v>3014000.0000000005</v>
      </c>
      <c r="T81" s="198">
        <f t="shared" si="21"/>
        <v>2740000</v>
      </c>
      <c r="U81" s="210" t="str">
        <f t="shared" si="23"/>
        <v>O</v>
      </c>
      <c r="W81" s="481">
        <f t="shared" si="22"/>
        <v>1250000</v>
      </c>
    </row>
    <row r="82" spans="1:23" s="209" customFormat="1" ht="30" hidden="1" customHeight="1" x14ac:dyDescent="0.25">
      <c r="A82" s="194">
        <v>170609</v>
      </c>
      <c r="B82" s="669" t="s">
        <v>444</v>
      </c>
      <c r="C82" s="680" t="s">
        <v>167</v>
      </c>
      <c r="D82" s="680">
        <v>10</v>
      </c>
      <c r="E82" s="700">
        <v>110000</v>
      </c>
      <c r="F82" s="700">
        <f t="shared" si="17"/>
        <v>1210000</v>
      </c>
      <c r="G82" s="700">
        <f t="shared" si="18"/>
        <v>1100000</v>
      </c>
      <c r="H82" s="692" t="s">
        <v>173</v>
      </c>
      <c r="I82" s="192" t="s">
        <v>109</v>
      </c>
      <c r="J82" s="60">
        <f>(G82-(VLOOKUP(C82,Price!B:D,3,FALSE)*D82))</f>
        <v>271000</v>
      </c>
      <c r="K82" s="58">
        <f t="shared" si="19"/>
        <v>0.24636363636363637</v>
      </c>
      <c r="L82" s="194">
        <v>17.600000000000001</v>
      </c>
      <c r="M82" s="578"/>
      <c r="N82" s="669">
        <f t="shared" si="24"/>
        <v>170609</v>
      </c>
      <c r="O82" s="680" t="s">
        <v>147</v>
      </c>
      <c r="P82" s="195" t="str">
        <f t="shared" si="26"/>
        <v>Blanket(1060*860)</v>
      </c>
      <c r="Q82" s="192">
        <f t="shared" si="25"/>
        <v>10</v>
      </c>
      <c r="R82" s="193">
        <v>82900</v>
      </c>
      <c r="S82" s="147">
        <f t="shared" si="20"/>
        <v>911900.00000000012</v>
      </c>
      <c r="T82" s="147">
        <f t="shared" si="21"/>
        <v>829000</v>
      </c>
      <c r="U82" s="209" t="str">
        <f t="shared" si="23"/>
        <v>O</v>
      </c>
      <c r="W82" s="482">
        <f t="shared" si="22"/>
        <v>271000</v>
      </c>
    </row>
    <row r="83" spans="1:23" s="209" customFormat="1" ht="30" hidden="1" customHeight="1" x14ac:dyDescent="0.25">
      <c r="A83" s="203">
        <v>170609</v>
      </c>
      <c r="B83" s="671" t="s">
        <v>444</v>
      </c>
      <c r="C83" s="682" t="s">
        <v>131</v>
      </c>
      <c r="D83" s="682">
        <v>6</v>
      </c>
      <c r="E83" s="702">
        <v>135000</v>
      </c>
      <c r="F83" s="702">
        <f t="shared" si="17"/>
        <v>891000.00000000012</v>
      </c>
      <c r="G83" s="702">
        <f t="shared" si="18"/>
        <v>810000</v>
      </c>
      <c r="H83" s="694" t="s">
        <v>173</v>
      </c>
      <c r="I83" s="201" t="s">
        <v>108</v>
      </c>
      <c r="J83" s="60">
        <f>(G83-(VLOOKUP(C83,Price!B:D,3,FALSE)*D83))</f>
        <v>150000</v>
      </c>
      <c r="K83" s="54">
        <f t="shared" si="19"/>
        <v>0.18518518518518515</v>
      </c>
      <c r="L83" s="203">
        <v>17.600000000000001</v>
      </c>
      <c r="M83" s="579"/>
      <c r="N83" s="671">
        <f t="shared" si="24"/>
        <v>170609</v>
      </c>
      <c r="O83" s="682" t="s">
        <v>148</v>
      </c>
      <c r="P83" s="164" t="str">
        <f t="shared" si="26"/>
        <v>UV wash(20L)</v>
      </c>
      <c r="Q83" s="201">
        <f t="shared" si="25"/>
        <v>6</v>
      </c>
      <c r="R83" s="202">
        <v>110000</v>
      </c>
      <c r="S83" s="147">
        <f t="shared" si="20"/>
        <v>726000.00000000012</v>
      </c>
      <c r="T83" s="147">
        <f t="shared" si="21"/>
        <v>660000</v>
      </c>
      <c r="U83" s="209" t="str">
        <f t="shared" si="23"/>
        <v>O</v>
      </c>
      <c r="W83" s="482">
        <f t="shared" si="22"/>
        <v>150000</v>
      </c>
    </row>
    <row r="84" spans="1:23" s="209" customFormat="1" ht="30" hidden="1" customHeight="1" x14ac:dyDescent="0.25">
      <c r="A84" s="203">
        <v>170609</v>
      </c>
      <c r="B84" s="671" t="s">
        <v>569</v>
      </c>
      <c r="C84" s="997" t="s">
        <v>168</v>
      </c>
      <c r="D84" s="682">
        <v>1</v>
      </c>
      <c r="E84" s="702">
        <v>5000000</v>
      </c>
      <c r="F84" s="702">
        <f t="shared" si="17"/>
        <v>5500000</v>
      </c>
      <c r="G84" s="702">
        <f t="shared" si="18"/>
        <v>5000000</v>
      </c>
      <c r="H84" s="996" t="s">
        <v>39</v>
      </c>
      <c r="I84" s="201"/>
      <c r="J84" s="60">
        <f>(G84-T84)</f>
        <v>1610000</v>
      </c>
      <c r="K84" s="54">
        <f t="shared" si="19"/>
        <v>0.32200000000000001</v>
      </c>
      <c r="L84" s="203">
        <v>17.600000000000001</v>
      </c>
      <c r="M84" s="579"/>
      <c r="N84" s="671">
        <f t="shared" si="24"/>
        <v>170609</v>
      </c>
      <c r="O84" s="997" t="s">
        <v>39</v>
      </c>
      <c r="P84" s="164" t="str">
        <f t="shared" si="26"/>
        <v>Technotrans 알콜컨트롤</v>
      </c>
      <c r="Q84" s="201">
        <f t="shared" si="25"/>
        <v>1</v>
      </c>
      <c r="R84" s="202">
        <v>3390000</v>
      </c>
      <c r="S84" s="147">
        <f t="shared" si="20"/>
        <v>3729000.0000000005</v>
      </c>
      <c r="T84" s="147">
        <f t="shared" si="21"/>
        <v>3390000</v>
      </c>
      <c r="U84" s="209" t="str">
        <f t="shared" si="23"/>
        <v>O</v>
      </c>
      <c r="W84" s="482">
        <f t="shared" si="22"/>
        <v>1610000</v>
      </c>
    </row>
    <row r="85" spans="1:23" s="209" customFormat="1" ht="30" hidden="1" customHeight="1" x14ac:dyDescent="0.25">
      <c r="A85" s="203">
        <v>170609</v>
      </c>
      <c r="B85" s="671" t="s">
        <v>446</v>
      </c>
      <c r="C85" s="682" t="s">
        <v>570</v>
      </c>
      <c r="D85" s="682">
        <v>30</v>
      </c>
      <c r="E85" s="702">
        <v>21000</v>
      </c>
      <c r="F85" s="702">
        <f t="shared" si="17"/>
        <v>693000</v>
      </c>
      <c r="G85" s="702">
        <f t="shared" si="18"/>
        <v>630000</v>
      </c>
      <c r="H85" s="774" t="s">
        <v>113</v>
      </c>
      <c r="I85" s="201"/>
      <c r="J85" s="60">
        <f>(G85-(VLOOKUP(C85,Import!C:G,4,FALSE)*D85))</f>
        <v>630000</v>
      </c>
      <c r="K85" s="54">
        <f t="shared" si="19"/>
        <v>1</v>
      </c>
      <c r="L85" s="203">
        <v>17.600000000000001</v>
      </c>
      <c r="M85" s="579"/>
      <c r="N85" s="671">
        <f t="shared" si="24"/>
        <v>170609</v>
      </c>
      <c r="O85" s="811" t="s">
        <v>113</v>
      </c>
      <c r="P85" s="164" t="str">
        <f t="shared" si="26"/>
        <v>Link, Chain - Special</v>
      </c>
      <c r="Q85" s="201">
        <f t="shared" si="25"/>
        <v>30</v>
      </c>
      <c r="R85" s="202">
        <f>Import!G12</f>
        <v>10340.483007984669</v>
      </c>
      <c r="S85" s="147">
        <f t="shared" si="20"/>
        <v>341235.9392634941</v>
      </c>
      <c r="T85" s="147">
        <f t="shared" si="21"/>
        <v>310214.49023954006</v>
      </c>
      <c r="U85" s="209" t="str">
        <f t="shared" si="23"/>
        <v>X</v>
      </c>
      <c r="W85" s="482">
        <f t="shared" si="22"/>
        <v>319785.50976045994</v>
      </c>
    </row>
    <row r="86" spans="1:23" s="209" customFormat="1" ht="30" hidden="1" customHeight="1" x14ac:dyDescent="0.25">
      <c r="A86" s="203">
        <v>170609</v>
      </c>
      <c r="B86" s="671" t="s">
        <v>446</v>
      </c>
      <c r="C86" s="682" t="s">
        <v>571</v>
      </c>
      <c r="D86" s="682">
        <v>30</v>
      </c>
      <c r="E86" s="702">
        <v>27000</v>
      </c>
      <c r="F86" s="702">
        <f t="shared" si="17"/>
        <v>891000.00000000012</v>
      </c>
      <c r="G86" s="702">
        <f t="shared" si="18"/>
        <v>810000</v>
      </c>
      <c r="H86" s="774" t="s">
        <v>113</v>
      </c>
      <c r="I86" s="201"/>
      <c r="J86" s="60">
        <f>(G86-(VLOOKUP(C86,Import!C:G,4,FALSE)*D86))</f>
        <v>810000</v>
      </c>
      <c r="K86" s="54">
        <f t="shared" si="19"/>
        <v>0.99999999999999989</v>
      </c>
      <c r="L86" s="203">
        <v>17.600000000000001</v>
      </c>
      <c r="M86" s="579"/>
      <c r="N86" s="671">
        <f t="shared" si="24"/>
        <v>170609</v>
      </c>
      <c r="O86" s="811" t="s">
        <v>113</v>
      </c>
      <c r="P86" s="164" t="str">
        <f t="shared" si="26"/>
        <v>Brush, Head Stop</v>
      </c>
      <c r="Q86" s="201">
        <f t="shared" si="25"/>
        <v>30</v>
      </c>
      <c r="R86" s="202">
        <f>(Import!G10)</f>
        <v>11428.510991695943</v>
      </c>
      <c r="S86" s="147">
        <f t="shared" si="20"/>
        <v>377140.86272596614</v>
      </c>
      <c r="T86" s="147">
        <f t="shared" si="21"/>
        <v>342855.32975087827</v>
      </c>
      <c r="U86" s="209" t="str">
        <f t="shared" si="23"/>
        <v>X</v>
      </c>
      <c r="W86" s="482">
        <f t="shared" si="22"/>
        <v>467144.67024912173</v>
      </c>
    </row>
    <row r="87" spans="1:23" s="209" customFormat="1" ht="30" hidden="1" customHeight="1" x14ac:dyDescent="0.25">
      <c r="A87" s="203">
        <v>170609</v>
      </c>
      <c r="B87" s="671" t="s">
        <v>445</v>
      </c>
      <c r="C87" s="682" t="s">
        <v>572</v>
      </c>
      <c r="D87" s="682">
        <v>4</v>
      </c>
      <c r="E87" s="702">
        <v>240000</v>
      </c>
      <c r="F87" s="702">
        <f t="shared" si="17"/>
        <v>1056000</v>
      </c>
      <c r="G87" s="702">
        <f t="shared" si="18"/>
        <v>960000</v>
      </c>
      <c r="H87" s="774" t="s">
        <v>113</v>
      </c>
      <c r="I87" s="201"/>
      <c r="J87" s="60">
        <f>(G87-(VLOOKUP(C87,Import!C:G,4,FALSE)*D87))</f>
        <v>960000</v>
      </c>
      <c r="K87" s="54">
        <f t="shared" si="19"/>
        <v>1</v>
      </c>
      <c r="L87" s="203">
        <v>17.600000000000001</v>
      </c>
      <c r="M87" s="579"/>
      <c r="N87" s="671">
        <f t="shared" si="24"/>
        <v>170609</v>
      </c>
      <c r="O87" s="811" t="s">
        <v>113</v>
      </c>
      <c r="P87" s="164" t="str">
        <f t="shared" si="26"/>
        <v>Brake Lining</v>
      </c>
      <c r="Q87" s="201">
        <f t="shared" si="25"/>
        <v>4</v>
      </c>
      <c r="R87" s="202">
        <f>(Import!G11)</f>
        <v>121463.6107511977</v>
      </c>
      <c r="S87" s="147">
        <f t="shared" si="20"/>
        <v>534439.88730526995</v>
      </c>
      <c r="T87" s="147">
        <f t="shared" si="21"/>
        <v>485854.44300479081</v>
      </c>
      <c r="U87" s="209" t="str">
        <f t="shared" si="23"/>
        <v>X</v>
      </c>
      <c r="W87" s="482">
        <f t="shared" si="22"/>
        <v>474145.55699520919</v>
      </c>
    </row>
    <row r="88" spans="1:23" s="209" customFormat="1" ht="30" hidden="1" customHeight="1" x14ac:dyDescent="0.25">
      <c r="A88" s="203">
        <v>170609</v>
      </c>
      <c r="B88" s="671" t="s">
        <v>573</v>
      </c>
      <c r="C88" s="682" t="s">
        <v>169</v>
      </c>
      <c r="D88" s="682">
        <v>6</v>
      </c>
      <c r="E88" s="702">
        <v>110000</v>
      </c>
      <c r="F88" s="702">
        <f t="shared" si="17"/>
        <v>726000.00000000012</v>
      </c>
      <c r="G88" s="702">
        <f t="shared" si="18"/>
        <v>660000</v>
      </c>
      <c r="H88" s="996" t="s">
        <v>39</v>
      </c>
      <c r="I88" s="201"/>
      <c r="J88" s="60">
        <f>(G88-(VLOOKUP(C88,Import!C:G,4,FALSE)*D88))</f>
        <v>660000</v>
      </c>
      <c r="K88" s="54">
        <f t="shared" si="19"/>
        <v>0.99999999999999978</v>
      </c>
      <c r="L88" s="203">
        <v>17.600000000000001</v>
      </c>
      <c r="M88" s="579"/>
      <c r="N88" s="671">
        <f t="shared" si="24"/>
        <v>170609</v>
      </c>
      <c r="O88" s="997" t="s">
        <v>39</v>
      </c>
      <c r="P88" s="164" t="str">
        <f t="shared" si="26"/>
        <v>Nozzle D 3.0 blue complete</v>
      </c>
      <c r="Q88" s="201">
        <f t="shared" si="25"/>
        <v>6</v>
      </c>
      <c r="R88" s="202">
        <f>(Import!G593)</f>
        <v>34845.282066232423</v>
      </c>
      <c r="S88" s="147">
        <f t="shared" si="20"/>
        <v>229978.86163713402</v>
      </c>
      <c r="T88" s="147">
        <f t="shared" si="21"/>
        <v>209071.69239739454</v>
      </c>
      <c r="U88" s="209" t="str">
        <f t="shared" si="23"/>
        <v>X</v>
      </c>
      <c r="W88" s="482">
        <f t="shared" si="22"/>
        <v>450928.30760260543</v>
      </c>
    </row>
    <row r="89" spans="1:23" s="209" customFormat="1" ht="30" hidden="1" customHeight="1" x14ac:dyDescent="0.25">
      <c r="A89" s="203">
        <v>170609</v>
      </c>
      <c r="B89" s="671" t="s">
        <v>573</v>
      </c>
      <c r="C89" s="682" t="s">
        <v>574</v>
      </c>
      <c r="D89" s="682">
        <v>5</v>
      </c>
      <c r="E89" s="702">
        <v>14000</v>
      </c>
      <c r="F89" s="702">
        <f t="shared" si="17"/>
        <v>77000</v>
      </c>
      <c r="G89" s="702">
        <f t="shared" si="18"/>
        <v>70000</v>
      </c>
      <c r="H89" s="996" t="s">
        <v>39</v>
      </c>
      <c r="I89" s="201"/>
      <c r="J89" s="60">
        <f>(G89-(VLOOKUP(C89,Import!C:G,4,FALSE)*D89))</f>
        <v>70000</v>
      </c>
      <c r="K89" s="54">
        <f t="shared" si="19"/>
        <v>1</v>
      </c>
      <c r="L89" s="203">
        <v>17.600000000000001</v>
      </c>
      <c r="M89" s="579"/>
      <c r="N89" s="671">
        <f t="shared" si="24"/>
        <v>170609</v>
      </c>
      <c r="O89" s="997" t="s">
        <v>39</v>
      </c>
      <c r="P89" s="164" t="str">
        <f t="shared" si="26"/>
        <v>stopcock blue kpl</v>
      </c>
      <c r="Q89" s="201">
        <f t="shared" si="25"/>
        <v>5</v>
      </c>
      <c r="R89" s="202">
        <f>(Import!G594)</f>
        <v>4763.856944725645</v>
      </c>
      <c r="S89" s="147">
        <f t="shared" si="20"/>
        <v>26201.213195991051</v>
      </c>
      <c r="T89" s="147">
        <f t="shared" si="21"/>
        <v>23819.284723628225</v>
      </c>
      <c r="U89" s="209" t="str">
        <f t="shared" si="23"/>
        <v>X</v>
      </c>
      <c r="W89" s="482">
        <f t="shared" si="22"/>
        <v>46180.715276371775</v>
      </c>
    </row>
    <row r="90" spans="1:23" s="210" customFormat="1" ht="30" hidden="1" customHeight="1" x14ac:dyDescent="0.25">
      <c r="A90" s="199">
        <v>170609</v>
      </c>
      <c r="B90" s="670" t="s">
        <v>590</v>
      </c>
      <c r="C90" s="681" t="s">
        <v>127</v>
      </c>
      <c r="D90" s="681">
        <v>1</v>
      </c>
      <c r="E90" s="701">
        <v>1384800</v>
      </c>
      <c r="F90" s="701">
        <f t="shared" si="17"/>
        <v>1523280.0000000002</v>
      </c>
      <c r="G90" s="701">
        <f t="shared" si="18"/>
        <v>1384800</v>
      </c>
      <c r="H90" s="693" t="s">
        <v>173</v>
      </c>
      <c r="I90" s="196" t="s">
        <v>144</v>
      </c>
      <c r="J90" s="64">
        <f>(G90-T90)</f>
        <v>148320</v>
      </c>
      <c r="K90" s="62">
        <f t="shared" si="19"/>
        <v>0.10710571923743499</v>
      </c>
      <c r="L90" s="199">
        <v>17.600000000000001</v>
      </c>
      <c r="M90" s="580"/>
      <c r="N90" s="670">
        <f t="shared" si="24"/>
        <v>170609</v>
      </c>
      <c r="O90" s="681" t="s">
        <v>146</v>
      </c>
      <c r="P90" s="200" t="str">
        <f t="shared" si="26"/>
        <v>프리미어 잉크</v>
      </c>
      <c r="Q90" s="196">
        <f t="shared" si="25"/>
        <v>1</v>
      </c>
      <c r="R90" s="197">
        <v>1236480</v>
      </c>
      <c r="S90" s="198">
        <f t="shared" si="20"/>
        <v>1360128</v>
      </c>
      <c r="T90" s="198">
        <f t="shared" si="21"/>
        <v>1236480</v>
      </c>
      <c r="U90" s="210" t="str">
        <f t="shared" si="23"/>
        <v>O</v>
      </c>
      <c r="W90" s="481">
        <f t="shared" si="22"/>
        <v>148320</v>
      </c>
    </row>
    <row r="91" spans="1:23" s="209" customFormat="1" ht="30" hidden="1" customHeight="1" x14ac:dyDescent="0.25">
      <c r="A91" s="194">
        <v>170612</v>
      </c>
      <c r="B91" s="669" t="s">
        <v>411</v>
      </c>
      <c r="C91" s="680" t="s">
        <v>122</v>
      </c>
      <c r="D91" s="680">
        <v>20</v>
      </c>
      <c r="E91" s="700">
        <v>35000</v>
      </c>
      <c r="F91" s="700">
        <f t="shared" ref="F91:F120" si="27">(E91*D91)*1.1</f>
        <v>770000.00000000012</v>
      </c>
      <c r="G91" s="700">
        <f t="shared" ref="G91:G120" si="28">(E91*D91)</f>
        <v>700000</v>
      </c>
      <c r="H91" s="998" t="s">
        <v>39</v>
      </c>
      <c r="I91" s="192"/>
      <c r="J91" s="60">
        <f>(G91-(VLOOKUP(C91,Price!B:D,3,FALSE)*D91))</f>
        <v>250780</v>
      </c>
      <c r="K91" s="58">
        <f t="shared" ref="K91:K120" si="29">(J91/(F91/11*10))</f>
        <v>0.35825714285714277</v>
      </c>
      <c r="L91" s="194">
        <v>17.600000000000001</v>
      </c>
      <c r="M91" s="578"/>
      <c r="N91" s="669">
        <f t="shared" si="24"/>
        <v>170612</v>
      </c>
      <c r="O91" s="999" t="s">
        <v>39</v>
      </c>
      <c r="P91" s="195" t="str">
        <f t="shared" si="26"/>
        <v>필터백</v>
      </c>
      <c r="Q91" s="192">
        <f t="shared" si="25"/>
        <v>20</v>
      </c>
      <c r="R91" s="193">
        <v>19800</v>
      </c>
      <c r="S91" s="147">
        <f t="shared" ref="S91:S111" si="30">(R91*D91)*1.1</f>
        <v>435600.00000000006</v>
      </c>
      <c r="T91" s="147">
        <f t="shared" ref="T91:T111" si="31">(R91*Q91)</f>
        <v>396000</v>
      </c>
      <c r="U91" s="209" t="str">
        <f t="shared" si="23"/>
        <v>X</v>
      </c>
      <c r="W91" s="482">
        <f t="shared" ref="W91:W111" si="32">(G91-T91)</f>
        <v>304000</v>
      </c>
    </row>
    <row r="92" spans="1:23" s="209" customFormat="1" ht="30" hidden="1" customHeight="1" x14ac:dyDescent="0.25">
      <c r="A92" s="203">
        <v>170612</v>
      </c>
      <c r="B92" s="671" t="s">
        <v>446</v>
      </c>
      <c r="C92" s="682" t="s">
        <v>121</v>
      </c>
      <c r="D92" s="682">
        <v>10</v>
      </c>
      <c r="E92" s="702">
        <v>110000</v>
      </c>
      <c r="F92" s="702">
        <f t="shared" si="27"/>
        <v>1210000</v>
      </c>
      <c r="G92" s="702">
        <f t="shared" si="28"/>
        <v>1100000</v>
      </c>
      <c r="H92" s="694" t="s">
        <v>173</v>
      </c>
      <c r="I92" s="201" t="s">
        <v>142</v>
      </c>
      <c r="J92" s="60">
        <f>(G92-(VLOOKUP(C92,Price!B:D,3,FALSE)*D92))</f>
        <v>190000</v>
      </c>
      <c r="K92" s="54">
        <f t="shared" si="29"/>
        <v>0.17272727272727273</v>
      </c>
      <c r="L92" s="203">
        <v>17.600000000000001</v>
      </c>
      <c r="M92" s="579"/>
      <c r="N92" s="671">
        <f t="shared" si="24"/>
        <v>170612</v>
      </c>
      <c r="O92" s="682" t="s">
        <v>150</v>
      </c>
      <c r="P92" s="164" t="str">
        <f t="shared" si="26"/>
        <v>윤전용 실리콘</v>
      </c>
      <c r="Q92" s="201">
        <f t="shared" si="25"/>
        <v>10</v>
      </c>
      <c r="R92" s="202">
        <v>91000</v>
      </c>
      <c r="S92" s="147">
        <f t="shared" si="30"/>
        <v>1001000.0000000001</v>
      </c>
      <c r="T92" s="147">
        <f t="shared" si="31"/>
        <v>910000</v>
      </c>
      <c r="U92" s="209" t="str">
        <f t="shared" si="23"/>
        <v>O</v>
      </c>
      <c r="W92" s="482">
        <f t="shared" si="32"/>
        <v>190000</v>
      </c>
    </row>
    <row r="93" spans="1:23" s="209" customFormat="1" ht="30" hidden="1" customHeight="1" x14ac:dyDescent="0.25">
      <c r="A93" s="205">
        <v>170612</v>
      </c>
      <c r="B93" s="671" t="s">
        <v>561</v>
      </c>
      <c r="C93" s="683" t="s">
        <v>576</v>
      </c>
      <c r="D93" s="683">
        <v>1</v>
      </c>
      <c r="E93" s="703">
        <v>150000</v>
      </c>
      <c r="F93" s="703">
        <f t="shared" si="27"/>
        <v>165000</v>
      </c>
      <c r="G93" s="703">
        <f t="shared" si="28"/>
        <v>150000</v>
      </c>
      <c r="H93" s="716" t="s">
        <v>165</v>
      </c>
      <c r="I93" s="204"/>
      <c r="J93" s="97">
        <v>150000</v>
      </c>
      <c r="K93" s="54">
        <f t="shared" si="29"/>
        <v>1</v>
      </c>
      <c r="L93" s="205">
        <v>17.600000000000001</v>
      </c>
      <c r="M93" s="644"/>
      <c r="N93" s="678">
        <f t="shared" si="24"/>
        <v>170612</v>
      </c>
      <c r="O93" s="683"/>
      <c r="P93" s="206" t="str">
        <f t="shared" si="26"/>
        <v>M-600B 윤전기 기술 서비스</v>
      </c>
      <c r="Q93" s="204">
        <f t="shared" si="25"/>
        <v>1</v>
      </c>
      <c r="R93" s="207"/>
      <c r="S93" s="208">
        <f t="shared" si="30"/>
        <v>0</v>
      </c>
      <c r="T93" s="147">
        <f t="shared" si="31"/>
        <v>0</v>
      </c>
      <c r="U93" s="209" t="str">
        <f t="shared" si="23"/>
        <v>O</v>
      </c>
      <c r="W93" s="482">
        <f t="shared" si="32"/>
        <v>150000</v>
      </c>
    </row>
    <row r="94" spans="1:23" s="210" customFormat="1" ht="30" hidden="1" customHeight="1" x14ac:dyDescent="0.25">
      <c r="A94" s="199">
        <v>170612</v>
      </c>
      <c r="B94" s="670" t="s">
        <v>589</v>
      </c>
      <c r="C94" s="681" t="s">
        <v>127</v>
      </c>
      <c r="D94" s="681">
        <v>1</v>
      </c>
      <c r="E94" s="701">
        <v>5770000</v>
      </c>
      <c r="F94" s="701">
        <f t="shared" si="27"/>
        <v>6347000.0000000009</v>
      </c>
      <c r="G94" s="701">
        <f t="shared" si="28"/>
        <v>5770000</v>
      </c>
      <c r="H94" s="693" t="s">
        <v>173</v>
      </c>
      <c r="I94" s="196" t="s">
        <v>144</v>
      </c>
      <c r="J94" s="64">
        <f>(G94-T94)</f>
        <v>618000</v>
      </c>
      <c r="K94" s="62">
        <f t="shared" si="29"/>
        <v>0.10710571923743499</v>
      </c>
      <c r="L94" s="199">
        <v>17.600000000000001</v>
      </c>
      <c r="M94" s="580"/>
      <c r="N94" s="670">
        <f t="shared" si="24"/>
        <v>170612</v>
      </c>
      <c r="O94" s="681" t="s">
        <v>146</v>
      </c>
      <c r="P94" s="200" t="str">
        <f t="shared" si="26"/>
        <v>프리미어 잉크</v>
      </c>
      <c r="Q94" s="196">
        <f t="shared" si="25"/>
        <v>1</v>
      </c>
      <c r="R94" s="197">
        <v>5152000</v>
      </c>
      <c r="S94" s="198">
        <f t="shared" si="30"/>
        <v>5667200</v>
      </c>
      <c r="T94" s="198">
        <f t="shared" si="31"/>
        <v>5152000</v>
      </c>
      <c r="U94" s="210" t="str">
        <f t="shared" si="23"/>
        <v>O</v>
      </c>
      <c r="W94" s="481">
        <f t="shared" si="32"/>
        <v>618000</v>
      </c>
    </row>
    <row r="95" spans="1:23" s="210" customFormat="1" ht="30" customHeight="1" x14ac:dyDescent="0.25">
      <c r="A95" s="423">
        <v>170614</v>
      </c>
      <c r="B95" s="672" t="s">
        <v>565</v>
      </c>
      <c r="C95" s="411" t="s">
        <v>577</v>
      </c>
      <c r="D95" s="411">
        <v>2</v>
      </c>
      <c r="E95" s="198">
        <v>1200000</v>
      </c>
      <c r="F95" s="198">
        <f t="shared" si="27"/>
        <v>2640000</v>
      </c>
      <c r="G95" s="198">
        <f t="shared" si="28"/>
        <v>2400000</v>
      </c>
      <c r="H95" s="775" t="s">
        <v>113</v>
      </c>
      <c r="I95" s="413"/>
      <c r="J95" s="64">
        <f>(G95-(VLOOKUP(C95,Import!C:G,4,FALSE)*D95))</f>
        <v>2400000</v>
      </c>
      <c r="K95" s="422">
        <f t="shared" si="29"/>
        <v>1</v>
      </c>
      <c r="L95" s="423">
        <v>17.600000000000001</v>
      </c>
      <c r="M95" s="581"/>
      <c r="N95" s="672">
        <f t="shared" si="24"/>
        <v>170614</v>
      </c>
      <c r="O95" s="730" t="s">
        <v>113</v>
      </c>
      <c r="P95" s="424" t="str">
        <f t="shared" si="26"/>
        <v>Spark Plug</v>
      </c>
      <c r="Q95" s="413">
        <f t="shared" si="25"/>
        <v>2</v>
      </c>
      <c r="R95" s="414">
        <f>(Import!G20)</f>
        <v>507411.78134494188</v>
      </c>
      <c r="S95" s="180">
        <f t="shared" si="30"/>
        <v>1116305.9189588723</v>
      </c>
      <c r="T95" s="180">
        <f t="shared" si="31"/>
        <v>1014823.5626898838</v>
      </c>
      <c r="U95" s="210" t="str">
        <f t="shared" si="23"/>
        <v>X</v>
      </c>
      <c r="W95" s="481">
        <f t="shared" si="32"/>
        <v>1385176.4373101164</v>
      </c>
    </row>
    <row r="96" spans="1:23" s="210" customFormat="1" ht="30" hidden="1" customHeight="1" x14ac:dyDescent="0.25">
      <c r="A96" s="423">
        <v>170615</v>
      </c>
      <c r="B96" s="672" t="s">
        <v>575</v>
      </c>
      <c r="C96" s="411" t="s">
        <v>578</v>
      </c>
      <c r="D96" s="411">
        <v>1</v>
      </c>
      <c r="E96" s="198">
        <v>1250000</v>
      </c>
      <c r="F96" s="198">
        <f t="shared" si="27"/>
        <v>1375000</v>
      </c>
      <c r="G96" s="198">
        <f t="shared" si="28"/>
        <v>1250000</v>
      </c>
      <c r="H96" s="717" t="s">
        <v>165</v>
      </c>
      <c r="J96" s="64">
        <v>1250000</v>
      </c>
      <c r="K96" s="425">
        <f t="shared" si="29"/>
        <v>1</v>
      </c>
      <c r="L96" s="426">
        <v>17.600000000000001</v>
      </c>
      <c r="M96" s="581"/>
      <c r="N96" s="672">
        <f t="shared" si="24"/>
        <v>170615</v>
      </c>
      <c r="O96" s="730"/>
      <c r="P96" s="424" t="str">
        <f t="shared" si="26"/>
        <v>서비스 계약(4회분할 중 2회차)</v>
      </c>
      <c r="Q96" s="413">
        <f t="shared" si="25"/>
        <v>1</v>
      </c>
      <c r="R96" s="414"/>
      <c r="S96" s="180">
        <f t="shared" si="30"/>
        <v>0</v>
      </c>
      <c r="T96" s="180">
        <f t="shared" si="31"/>
        <v>0</v>
      </c>
      <c r="U96" s="210" t="str">
        <f t="shared" si="23"/>
        <v>O</v>
      </c>
      <c r="W96" s="481">
        <f t="shared" si="32"/>
        <v>1250000</v>
      </c>
    </row>
    <row r="97" spans="1:23" s="215" customFormat="1" ht="30" hidden="1" customHeight="1" x14ac:dyDescent="0.25">
      <c r="A97" s="213">
        <v>170617</v>
      </c>
      <c r="B97" s="673" t="s">
        <v>546</v>
      </c>
      <c r="C97" s="88" t="s">
        <v>579</v>
      </c>
      <c r="D97" s="88">
        <v>1</v>
      </c>
      <c r="E97" s="470">
        <v>250000</v>
      </c>
      <c r="F97" s="470">
        <f t="shared" si="27"/>
        <v>275000</v>
      </c>
      <c r="G97" s="470">
        <f t="shared" si="28"/>
        <v>250000</v>
      </c>
      <c r="H97" s="718" t="s">
        <v>165</v>
      </c>
      <c r="J97" s="107">
        <v>250000</v>
      </c>
      <c r="K97" s="425">
        <f t="shared" si="29"/>
        <v>1</v>
      </c>
      <c r="L97" s="404">
        <v>17.600000000000001</v>
      </c>
      <c r="M97" s="575"/>
      <c r="N97" s="673">
        <f t="shared" si="24"/>
        <v>170617</v>
      </c>
      <c r="O97" s="731"/>
      <c r="P97" s="214" t="str">
        <f t="shared" si="26"/>
        <v>M-600 서비스 비용</v>
      </c>
      <c r="Q97" s="211">
        <f t="shared" si="25"/>
        <v>1</v>
      </c>
      <c r="R97" s="212"/>
      <c r="S97" s="180">
        <f t="shared" si="30"/>
        <v>0</v>
      </c>
      <c r="T97" s="180">
        <f t="shared" si="31"/>
        <v>0</v>
      </c>
      <c r="U97" s="215" t="str">
        <f t="shared" si="23"/>
        <v>O</v>
      </c>
      <c r="W97" s="483">
        <f t="shared" si="32"/>
        <v>250000</v>
      </c>
    </row>
    <row r="98" spans="1:23" s="209" customFormat="1" ht="30" hidden="1" customHeight="1" x14ac:dyDescent="0.25">
      <c r="A98" s="194">
        <v>170620</v>
      </c>
      <c r="B98" s="669" t="s">
        <v>445</v>
      </c>
      <c r="C98" s="680" t="s">
        <v>277</v>
      </c>
      <c r="D98" s="680">
        <v>7</v>
      </c>
      <c r="E98" s="700">
        <v>172000</v>
      </c>
      <c r="F98" s="700">
        <f t="shared" si="27"/>
        <v>1324400</v>
      </c>
      <c r="G98" s="700">
        <f t="shared" si="28"/>
        <v>1204000</v>
      </c>
      <c r="H98" s="719" t="s">
        <v>173</v>
      </c>
      <c r="I98" s="73" t="s">
        <v>108</v>
      </c>
      <c r="J98" s="97">
        <f>(G98-(VLOOKUP(C98,Price!B:D,3,FALSE)*D98))</f>
        <v>399000</v>
      </c>
      <c r="K98" s="58">
        <f t="shared" si="29"/>
        <v>0.33139534883720928</v>
      </c>
      <c r="L98" s="845">
        <v>17.600000000000001</v>
      </c>
      <c r="M98" s="578"/>
      <c r="N98" s="669">
        <f t="shared" si="24"/>
        <v>170620</v>
      </c>
      <c r="O98" s="680" t="s">
        <v>150</v>
      </c>
      <c r="P98" s="195" t="str">
        <f t="shared" si="26"/>
        <v>윤전용 세척제(Web 504)</v>
      </c>
      <c r="Q98" s="192">
        <f t="shared" si="25"/>
        <v>7</v>
      </c>
      <c r="R98" s="193">
        <v>115000</v>
      </c>
      <c r="S98" s="147">
        <f t="shared" si="30"/>
        <v>885500.00000000012</v>
      </c>
      <c r="T98" s="147">
        <f t="shared" si="31"/>
        <v>805000</v>
      </c>
      <c r="U98" s="209" t="str">
        <f t="shared" si="23"/>
        <v>O</v>
      </c>
      <c r="W98" s="482">
        <f t="shared" si="32"/>
        <v>399000</v>
      </c>
    </row>
    <row r="99" spans="1:23" s="209" customFormat="1" ht="30" hidden="1" customHeight="1" x14ac:dyDescent="0.25">
      <c r="A99" s="194">
        <v>170620</v>
      </c>
      <c r="B99" s="671" t="s">
        <v>591</v>
      </c>
      <c r="C99" s="680" t="s">
        <v>518</v>
      </c>
      <c r="D99" s="680">
        <v>2</v>
      </c>
      <c r="E99" s="700">
        <v>400000</v>
      </c>
      <c r="F99" s="700">
        <f t="shared" si="27"/>
        <v>880000.00000000012</v>
      </c>
      <c r="G99" s="700">
        <f t="shared" si="28"/>
        <v>800000</v>
      </c>
      <c r="H99" s="719" t="s">
        <v>173</v>
      </c>
      <c r="I99" s="73" t="s">
        <v>143</v>
      </c>
      <c r="J99" s="53">
        <f>(G99-(VLOOKUP(C99,Price!B:D,3,FALSE)*D99))</f>
        <v>100000</v>
      </c>
      <c r="K99" s="63">
        <f t="shared" si="29"/>
        <v>0.12499999999999999</v>
      </c>
      <c r="L99" s="845">
        <v>17.600000000000001</v>
      </c>
      <c r="M99" s="578"/>
      <c r="N99" s="669">
        <f t="shared" si="24"/>
        <v>170620</v>
      </c>
      <c r="O99" s="680" t="s">
        <v>612</v>
      </c>
      <c r="P99" s="195" t="str">
        <f t="shared" si="26"/>
        <v>Water Form Roller-CD102용</v>
      </c>
      <c r="Q99" s="192">
        <f t="shared" si="25"/>
        <v>2</v>
      </c>
      <c r="R99" s="193">
        <v>350000</v>
      </c>
      <c r="S99" s="147">
        <f t="shared" si="30"/>
        <v>770000.00000000012</v>
      </c>
      <c r="T99" s="147">
        <f t="shared" si="31"/>
        <v>700000</v>
      </c>
      <c r="U99" s="209" t="str">
        <f t="shared" ref="U99:U111" si="33">IF(J99=W99,"O", "X")</f>
        <v>O</v>
      </c>
      <c r="W99" s="482">
        <f t="shared" si="32"/>
        <v>100000</v>
      </c>
    </row>
    <row r="100" spans="1:23" s="209" customFormat="1" ht="30" hidden="1" customHeight="1" x14ac:dyDescent="0.25">
      <c r="A100" s="194">
        <v>170620</v>
      </c>
      <c r="B100" s="671" t="s">
        <v>591</v>
      </c>
      <c r="C100" s="680" t="s">
        <v>519</v>
      </c>
      <c r="D100" s="680">
        <v>2</v>
      </c>
      <c r="E100" s="700">
        <v>430000</v>
      </c>
      <c r="F100" s="700">
        <f t="shared" si="27"/>
        <v>946000.00000000012</v>
      </c>
      <c r="G100" s="700">
        <f t="shared" si="28"/>
        <v>860000</v>
      </c>
      <c r="H100" s="719" t="s">
        <v>173</v>
      </c>
      <c r="I100" s="73" t="s">
        <v>143</v>
      </c>
      <c r="J100" s="53">
        <f>(G100-(VLOOKUP(C100,Price!B:D,3,FALSE)*D100))</f>
        <v>100000</v>
      </c>
      <c r="K100" s="63">
        <f t="shared" si="29"/>
        <v>0.11627906976744184</v>
      </c>
      <c r="L100" s="845">
        <v>17.600000000000001</v>
      </c>
      <c r="M100" s="578"/>
      <c r="N100" s="669">
        <f t="shared" si="24"/>
        <v>170620</v>
      </c>
      <c r="O100" s="680" t="s">
        <v>612</v>
      </c>
      <c r="P100" s="195" t="str">
        <f t="shared" si="26"/>
        <v>Water Pan Roller-CD102용</v>
      </c>
      <c r="Q100" s="192">
        <f t="shared" si="25"/>
        <v>2</v>
      </c>
      <c r="R100" s="193">
        <v>380000</v>
      </c>
      <c r="S100" s="208">
        <f t="shared" si="30"/>
        <v>836000.00000000012</v>
      </c>
      <c r="T100" s="147">
        <f t="shared" si="31"/>
        <v>760000</v>
      </c>
      <c r="U100" s="209" t="str">
        <f t="shared" si="33"/>
        <v>O</v>
      </c>
      <c r="W100" s="482">
        <f t="shared" si="32"/>
        <v>100000</v>
      </c>
    </row>
    <row r="101" spans="1:23" s="209" customFormat="1" ht="30" hidden="1" customHeight="1" x14ac:dyDescent="0.25">
      <c r="A101" s="194">
        <v>170620</v>
      </c>
      <c r="B101" s="671" t="s">
        <v>562</v>
      </c>
      <c r="C101" s="680" t="s">
        <v>580</v>
      </c>
      <c r="D101" s="680">
        <v>10</v>
      </c>
      <c r="E101" s="700">
        <v>85000</v>
      </c>
      <c r="F101" s="700">
        <f t="shared" si="27"/>
        <v>935000.00000000012</v>
      </c>
      <c r="G101" s="700">
        <f t="shared" si="28"/>
        <v>850000</v>
      </c>
      <c r="H101" s="719" t="s">
        <v>173</v>
      </c>
      <c r="I101" s="73" t="s">
        <v>109</v>
      </c>
      <c r="J101" s="53">
        <f>(G101-(VLOOKUP(C101,Price!B:D,3,FALSE)*D101))</f>
        <v>319000</v>
      </c>
      <c r="K101" s="63">
        <f t="shared" si="29"/>
        <v>0.37529411764705878</v>
      </c>
      <c r="L101" s="845">
        <v>17.600000000000001</v>
      </c>
      <c r="M101" s="578"/>
      <c r="N101" s="669">
        <f t="shared" si="24"/>
        <v>170620</v>
      </c>
      <c r="O101" s="680" t="s">
        <v>147</v>
      </c>
      <c r="P101" s="195" t="str">
        <f t="shared" si="26"/>
        <v>Blanket(770*700)bar</v>
      </c>
      <c r="Q101" s="192">
        <f t="shared" si="25"/>
        <v>10</v>
      </c>
      <c r="R101" s="193">
        <v>53100</v>
      </c>
      <c r="S101" s="208">
        <f t="shared" si="30"/>
        <v>584100</v>
      </c>
      <c r="T101" s="147">
        <f t="shared" si="31"/>
        <v>531000</v>
      </c>
      <c r="U101" s="209" t="str">
        <f t="shared" si="33"/>
        <v>O</v>
      </c>
      <c r="W101" s="482">
        <f t="shared" si="32"/>
        <v>319000</v>
      </c>
    </row>
    <row r="102" spans="1:23" s="209" customFormat="1" ht="30" hidden="1" customHeight="1" x14ac:dyDescent="0.25">
      <c r="A102" s="203">
        <v>170620</v>
      </c>
      <c r="B102" s="671" t="s">
        <v>558</v>
      </c>
      <c r="C102" s="682" t="s">
        <v>559</v>
      </c>
      <c r="D102" s="682">
        <v>10</v>
      </c>
      <c r="E102" s="702">
        <v>130000</v>
      </c>
      <c r="F102" s="702">
        <f t="shared" si="27"/>
        <v>1430000</v>
      </c>
      <c r="G102" s="702">
        <f t="shared" si="28"/>
        <v>1300000</v>
      </c>
      <c r="H102" s="711" t="s">
        <v>173</v>
      </c>
      <c r="I102" s="71" t="s">
        <v>109</v>
      </c>
      <c r="J102" s="60">
        <f>(G102-(VLOOKUP(C102,Price!B:D,3,FALSE)*D102))</f>
        <v>450000</v>
      </c>
      <c r="K102" s="54">
        <f t="shared" si="29"/>
        <v>0.34615384615384615</v>
      </c>
      <c r="L102" s="846">
        <v>17.600000000000001</v>
      </c>
      <c r="M102" s="579"/>
      <c r="N102" s="671">
        <f t="shared" si="24"/>
        <v>170620</v>
      </c>
      <c r="O102" s="682" t="s">
        <v>560</v>
      </c>
      <c r="P102" s="164" t="str">
        <f t="shared" si="26"/>
        <v>Blanket(1050*840)bar</v>
      </c>
      <c r="Q102" s="201">
        <f t="shared" si="25"/>
        <v>10</v>
      </c>
      <c r="R102" s="202">
        <v>85000</v>
      </c>
      <c r="S102" s="147">
        <f t="shared" si="30"/>
        <v>935000.00000000012</v>
      </c>
      <c r="T102" s="147">
        <f t="shared" si="31"/>
        <v>850000</v>
      </c>
      <c r="U102" s="209" t="str">
        <f t="shared" si="33"/>
        <v>O</v>
      </c>
      <c r="W102" s="482">
        <f t="shared" si="32"/>
        <v>450000</v>
      </c>
    </row>
    <row r="103" spans="1:23" s="210" customFormat="1" ht="30" hidden="1" customHeight="1" x14ac:dyDescent="0.25">
      <c r="A103" s="199">
        <v>170620</v>
      </c>
      <c r="B103" s="670" t="s">
        <v>558</v>
      </c>
      <c r="C103" s="681" t="s">
        <v>280</v>
      </c>
      <c r="D103" s="681">
        <v>2</v>
      </c>
      <c r="E103" s="701">
        <v>125000</v>
      </c>
      <c r="F103" s="701">
        <f t="shared" si="27"/>
        <v>275000</v>
      </c>
      <c r="G103" s="701">
        <f t="shared" si="28"/>
        <v>250000</v>
      </c>
      <c r="H103" s="712" t="s">
        <v>173</v>
      </c>
      <c r="I103" s="84" t="s">
        <v>109</v>
      </c>
      <c r="J103" s="64">
        <f>(G103-(VLOOKUP(C103,Price!B:D,3,FALSE)*D103))</f>
        <v>107200</v>
      </c>
      <c r="K103" s="62">
        <f t="shared" si="29"/>
        <v>0.42880000000000001</v>
      </c>
      <c r="L103" s="847">
        <v>17.600000000000001</v>
      </c>
      <c r="M103" s="580"/>
      <c r="N103" s="670">
        <f t="shared" si="24"/>
        <v>170620</v>
      </c>
      <c r="O103" s="681" t="s">
        <v>560</v>
      </c>
      <c r="P103" s="200" t="str">
        <f t="shared" si="26"/>
        <v>코팅용 Blanket(1047*794)bar</v>
      </c>
      <c r="Q103" s="196">
        <f t="shared" si="25"/>
        <v>2</v>
      </c>
      <c r="R103" s="197">
        <v>71400</v>
      </c>
      <c r="S103" s="197">
        <f t="shared" si="30"/>
        <v>157080</v>
      </c>
      <c r="T103" s="197">
        <f t="shared" si="31"/>
        <v>142800</v>
      </c>
      <c r="U103" s="210" t="str">
        <f t="shared" si="33"/>
        <v>O</v>
      </c>
      <c r="W103" s="481">
        <f t="shared" si="32"/>
        <v>107200</v>
      </c>
    </row>
    <row r="104" spans="1:23" s="209" customFormat="1" ht="30" hidden="1" customHeight="1" x14ac:dyDescent="0.2">
      <c r="A104" s="194">
        <v>170621</v>
      </c>
      <c r="B104" s="669" t="s">
        <v>442</v>
      </c>
      <c r="C104" s="73" t="s">
        <v>133</v>
      </c>
      <c r="D104" s="73">
        <v>2</v>
      </c>
      <c r="E104" s="147">
        <v>327000</v>
      </c>
      <c r="F104" s="700">
        <f t="shared" si="27"/>
        <v>719400</v>
      </c>
      <c r="G104" s="700">
        <f t="shared" si="28"/>
        <v>654000</v>
      </c>
      <c r="H104" s="161" t="s">
        <v>172</v>
      </c>
      <c r="I104" s="132" t="s">
        <v>141</v>
      </c>
      <c r="J104" s="60">
        <f>(G104-(VLOOKUP(C104,Price!B:D,3,FALSE)*D104))</f>
        <v>115800</v>
      </c>
      <c r="K104" s="58">
        <f t="shared" si="29"/>
        <v>0.17706422018348625</v>
      </c>
      <c r="L104" s="845">
        <v>17.600000000000001</v>
      </c>
      <c r="M104" s="578"/>
      <c r="N104" s="669">
        <f t="shared" si="24"/>
        <v>170621</v>
      </c>
      <c r="O104" s="680" t="s">
        <v>145</v>
      </c>
      <c r="P104" s="195" t="str">
        <f t="shared" si="26"/>
        <v>Agfa Film(24inch)</v>
      </c>
      <c r="Q104" s="192">
        <f t="shared" si="25"/>
        <v>2</v>
      </c>
      <c r="R104" s="193">
        <v>269100</v>
      </c>
      <c r="S104" s="147">
        <f t="shared" si="30"/>
        <v>592020</v>
      </c>
      <c r="T104" s="147">
        <f t="shared" si="31"/>
        <v>538200</v>
      </c>
      <c r="U104" s="209" t="str">
        <f t="shared" si="33"/>
        <v>O</v>
      </c>
      <c r="W104" s="482">
        <f t="shared" si="32"/>
        <v>115800</v>
      </c>
    </row>
    <row r="105" spans="1:23" s="209" customFormat="1" ht="30" hidden="1" customHeight="1" x14ac:dyDescent="0.2">
      <c r="A105" s="203">
        <v>170621</v>
      </c>
      <c r="B105" s="671" t="s">
        <v>442</v>
      </c>
      <c r="C105" s="71" t="s">
        <v>134</v>
      </c>
      <c r="D105" s="71">
        <v>2</v>
      </c>
      <c r="E105" s="102">
        <v>401000</v>
      </c>
      <c r="F105" s="702">
        <f t="shared" si="27"/>
        <v>882200.00000000012</v>
      </c>
      <c r="G105" s="702">
        <f t="shared" si="28"/>
        <v>802000</v>
      </c>
      <c r="H105" s="161" t="s">
        <v>172</v>
      </c>
      <c r="I105" s="103" t="s">
        <v>141</v>
      </c>
      <c r="J105" s="60">
        <f>(G105-(VLOOKUP(C105,Price!B:D,3,FALSE)*D105))</f>
        <v>174080</v>
      </c>
      <c r="K105" s="54">
        <f t="shared" si="29"/>
        <v>0.21705735660847877</v>
      </c>
      <c r="L105" s="846">
        <v>17.600000000000001</v>
      </c>
      <c r="M105" s="579"/>
      <c r="N105" s="671">
        <f t="shared" si="24"/>
        <v>170621</v>
      </c>
      <c r="O105" s="682" t="s">
        <v>145</v>
      </c>
      <c r="P105" s="164" t="str">
        <f>(C105)</f>
        <v>Agfa Film(28inch)</v>
      </c>
      <c r="Q105" s="201">
        <f t="shared" si="25"/>
        <v>2</v>
      </c>
      <c r="R105" s="202">
        <v>313960</v>
      </c>
      <c r="S105" s="208">
        <f t="shared" si="30"/>
        <v>690712</v>
      </c>
      <c r="T105" s="147">
        <f t="shared" si="31"/>
        <v>627920</v>
      </c>
      <c r="U105" s="209" t="str">
        <f t="shared" si="33"/>
        <v>O</v>
      </c>
      <c r="W105" s="482">
        <f t="shared" si="32"/>
        <v>174080</v>
      </c>
    </row>
    <row r="106" spans="1:23" s="209" customFormat="1" ht="30" hidden="1" customHeight="1" x14ac:dyDescent="0.2">
      <c r="A106" s="203">
        <v>170621</v>
      </c>
      <c r="B106" s="671" t="s">
        <v>442</v>
      </c>
      <c r="C106" s="71" t="s">
        <v>135</v>
      </c>
      <c r="D106" s="71">
        <v>2</v>
      </c>
      <c r="E106" s="102">
        <v>448000</v>
      </c>
      <c r="F106" s="702">
        <f t="shared" si="27"/>
        <v>985600.00000000012</v>
      </c>
      <c r="G106" s="702">
        <f t="shared" si="28"/>
        <v>896000</v>
      </c>
      <c r="H106" s="161" t="s">
        <v>172</v>
      </c>
      <c r="I106" s="103" t="s">
        <v>141</v>
      </c>
      <c r="J106" s="60">
        <f>(G106-(VLOOKUP(C106,Price!B:D,3,FALSE)*D106))</f>
        <v>155980</v>
      </c>
      <c r="K106" s="54">
        <f t="shared" si="29"/>
        <v>0.1740848214285714</v>
      </c>
      <c r="L106" s="846">
        <v>17.600000000000001</v>
      </c>
      <c r="M106" s="579"/>
      <c r="N106" s="671">
        <f t="shared" si="24"/>
        <v>170621</v>
      </c>
      <c r="O106" s="682" t="s">
        <v>145</v>
      </c>
      <c r="P106" s="164" t="str">
        <f t="shared" si="26"/>
        <v>Agfa Film(32inch)</v>
      </c>
      <c r="Q106" s="201">
        <f t="shared" si="25"/>
        <v>2</v>
      </c>
      <c r="R106" s="202">
        <v>370010</v>
      </c>
      <c r="S106" s="147">
        <f t="shared" si="30"/>
        <v>814022.00000000012</v>
      </c>
      <c r="T106" s="147">
        <f t="shared" si="31"/>
        <v>740020</v>
      </c>
      <c r="U106" s="209" t="str">
        <f t="shared" si="33"/>
        <v>O</v>
      </c>
      <c r="W106" s="482">
        <f t="shared" si="32"/>
        <v>155980</v>
      </c>
    </row>
    <row r="107" spans="1:23" s="209" customFormat="1" ht="30" hidden="1" customHeight="1" x14ac:dyDescent="0.2">
      <c r="A107" s="203">
        <v>170621</v>
      </c>
      <c r="B107" s="671" t="s">
        <v>442</v>
      </c>
      <c r="C107" s="71" t="s">
        <v>649</v>
      </c>
      <c r="D107" s="71">
        <v>2</v>
      </c>
      <c r="E107" s="102">
        <v>41000</v>
      </c>
      <c r="F107" s="702">
        <f t="shared" si="27"/>
        <v>90200.000000000015</v>
      </c>
      <c r="G107" s="702">
        <f t="shared" si="28"/>
        <v>82000</v>
      </c>
      <c r="H107" s="161" t="s">
        <v>172</v>
      </c>
      <c r="I107" s="103" t="s">
        <v>141</v>
      </c>
      <c r="J107" s="60">
        <f>(G107-(VLOOKUP(C107,Price!B:D,3,FALSE)*D107))</f>
        <v>32000</v>
      </c>
      <c r="K107" s="54">
        <f t="shared" si="29"/>
        <v>0.39024390243902435</v>
      </c>
      <c r="L107" s="846">
        <v>17.600000000000001</v>
      </c>
      <c r="M107" s="579"/>
      <c r="N107" s="671">
        <f t="shared" si="24"/>
        <v>170621</v>
      </c>
      <c r="O107" s="682" t="s">
        <v>145</v>
      </c>
      <c r="P107" s="164" t="str">
        <f t="shared" si="26"/>
        <v>Agfa 현상액 G101C(10L)</v>
      </c>
      <c r="Q107" s="201">
        <f t="shared" si="25"/>
        <v>2</v>
      </c>
      <c r="R107" s="202">
        <v>25000</v>
      </c>
      <c r="S107" s="208">
        <f t="shared" si="30"/>
        <v>55000.000000000007</v>
      </c>
      <c r="T107" s="147">
        <f t="shared" si="31"/>
        <v>50000</v>
      </c>
      <c r="U107" s="209" t="str">
        <f t="shared" si="33"/>
        <v>O</v>
      </c>
      <c r="W107" s="482">
        <f t="shared" si="32"/>
        <v>32000</v>
      </c>
    </row>
    <row r="108" spans="1:23" s="209" customFormat="1" ht="30" hidden="1" customHeight="1" x14ac:dyDescent="0.2">
      <c r="A108" s="203">
        <v>170621</v>
      </c>
      <c r="B108" s="671" t="s">
        <v>442</v>
      </c>
      <c r="C108" s="71" t="s">
        <v>650</v>
      </c>
      <c r="D108" s="71">
        <v>1</v>
      </c>
      <c r="E108" s="102">
        <v>93000</v>
      </c>
      <c r="F108" s="702">
        <f t="shared" si="27"/>
        <v>102300.00000000001</v>
      </c>
      <c r="G108" s="702">
        <f t="shared" si="28"/>
        <v>93000</v>
      </c>
      <c r="H108" s="161" t="s">
        <v>172</v>
      </c>
      <c r="I108" s="103" t="s">
        <v>141</v>
      </c>
      <c r="J108" s="60">
        <f>(G108-(VLOOKUP(C108,Price!B:D,3,FALSE)*D108))</f>
        <v>33000</v>
      </c>
      <c r="K108" s="54">
        <f t="shared" si="29"/>
        <v>0.35483870967741932</v>
      </c>
      <c r="L108" s="846">
        <v>17.600000000000001</v>
      </c>
      <c r="M108" s="579"/>
      <c r="N108" s="671">
        <f t="shared" si="24"/>
        <v>170621</v>
      </c>
      <c r="O108" s="682" t="s">
        <v>145</v>
      </c>
      <c r="P108" s="164" t="str">
        <f t="shared" si="26"/>
        <v>Agfa 정착액 G333C(20L)</v>
      </c>
      <c r="Q108" s="201">
        <f t="shared" si="25"/>
        <v>1</v>
      </c>
      <c r="R108" s="202">
        <v>60000</v>
      </c>
      <c r="S108" s="147">
        <f t="shared" si="30"/>
        <v>66000</v>
      </c>
      <c r="T108" s="147">
        <f t="shared" si="31"/>
        <v>60000</v>
      </c>
      <c r="U108" s="209" t="str">
        <f t="shared" si="33"/>
        <v>O</v>
      </c>
      <c r="W108" s="482">
        <f t="shared" si="32"/>
        <v>33000</v>
      </c>
    </row>
    <row r="109" spans="1:23" s="210" customFormat="1" ht="30" hidden="1" customHeight="1" x14ac:dyDescent="0.2">
      <c r="A109" s="199">
        <v>170621</v>
      </c>
      <c r="B109" s="670" t="s">
        <v>450</v>
      </c>
      <c r="C109" s="681" t="s">
        <v>581</v>
      </c>
      <c r="D109" s="681">
        <v>5</v>
      </c>
      <c r="E109" s="701">
        <v>47000</v>
      </c>
      <c r="F109" s="701">
        <f t="shared" si="27"/>
        <v>258500.00000000003</v>
      </c>
      <c r="G109" s="701">
        <f t="shared" si="28"/>
        <v>235000</v>
      </c>
      <c r="H109" s="403" t="s">
        <v>172</v>
      </c>
      <c r="I109" s="84" t="s">
        <v>142</v>
      </c>
      <c r="J109" s="64">
        <f>(G109-(VLOOKUP(C109,Price!B:D,3,FALSE)*D109))</f>
        <v>47000</v>
      </c>
      <c r="K109" s="62">
        <f t="shared" si="29"/>
        <v>0.19999999999999998</v>
      </c>
      <c r="L109" s="847">
        <v>17.600000000000001</v>
      </c>
      <c r="M109" s="580"/>
      <c r="N109" s="670">
        <f t="shared" si="24"/>
        <v>170621</v>
      </c>
      <c r="O109" s="681" t="s">
        <v>150</v>
      </c>
      <c r="P109" s="200" t="str">
        <f t="shared" si="26"/>
        <v>구리스 일반용</v>
      </c>
      <c r="Q109" s="196">
        <f t="shared" si="25"/>
        <v>5</v>
      </c>
      <c r="R109" s="197">
        <v>37600</v>
      </c>
      <c r="S109" s="197">
        <f t="shared" si="30"/>
        <v>206800.00000000003</v>
      </c>
      <c r="T109" s="197">
        <f t="shared" si="31"/>
        <v>188000</v>
      </c>
      <c r="U109" s="210" t="str">
        <f t="shared" si="33"/>
        <v>O</v>
      </c>
      <c r="W109" s="481">
        <f t="shared" si="32"/>
        <v>47000</v>
      </c>
    </row>
    <row r="110" spans="1:23" s="210" customFormat="1" ht="30" hidden="1" customHeight="1" x14ac:dyDescent="0.25">
      <c r="A110" s="423">
        <v>170623</v>
      </c>
      <c r="B110" s="670" t="s">
        <v>590</v>
      </c>
      <c r="C110" s="411" t="s">
        <v>128</v>
      </c>
      <c r="D110" s="411">
        <v>1</v>
      </c>
      <c r="E110" s="198">
        <v>1119600</v>
      </c>
      <c r="F110" s="198">
        <f t="shared" si="27"/>
        <v>1231560</v>
      </c>
      <c r="G110" s="198">
        <f t="shared" si="28"/>
        <v>1119600</v>
      </c>
      <c r="H110" s="498" t="s">
        <v>173</v>
      </c>
      <c r="I110" s="411" t="s">
        <v>144</v>
      </c>
      <c r="J110" s="64">
        <v>118080</v>
      </c>
      <c r="K110" s="425">
        <f t="shared" si="29"/>
        <v>0.10546623794212219</v>
      </c>
      <c r="L110" s="426">
        <v>17.600000000000001</v>
      </c>
      <c r="M110" s="581"/>
      <c r="N110" s="672">
        <f t="shared" si="24"/>
        <v>170623</v>
      </c>
      <c r="O110" s="411" t="s">
        <v>147</v>
      </c>
      <c r="P110" s="424" t="str">
        <f t="shared" si="26"/>
        <v>프리미어 잉크</v>
      </c>
      <c r="Q110" s="413">
        <f t="shared" si="25"/>
        <v>1</v>
      </c>
      <c r="R110" s="414">
        <v>1001520</v>
      </c>
      <c r="S110" s="180">
        <f t="shared" si="30"/>
        <v>1101672</v>
      </c>
      <c r="T110" s="180">
        <f t="shared" si="31"/>
        <v>1001520</v>
      </c>
      <c r="U110" s="210" t="str">
        <f t="shared" si="33"/>
        <v>O</v>
      </c>
      <c r="W110" s="481">
        <f t="shared" si="32"/>
        <v>118080</v>
      </c>
    </row>
    <row r="111" spans="1:23" s="209" customFormat="1" ht="30" hidden="1" customHeight="1" x14ac:dyDescent="0.2">
      <c r="A111" s="194">
        <v>170626</v>
      </c>
      <c r="B111" s="669" t="s">
        <v>445</v>
      </c>
      <c r="C111" s="73" t="s">
        <v>107</v>
      </c>
      <c r="D111" s="73">
        <v>10</v>
      </c>
      <c r="E111" s="147">
        <v>108000</v>
      </c>
      <c r="F111" s="160">
        <f t="shared" si="27"/>
        <v>1188000</v>
      </c>
      <c r="G111" s="160">
        <f t="shared" si="28"/>
        <v>1080000</v>
      </c>
      <c r="H111" s="161" t="s">
        <v>172</v>
      </c>
      <c r="I111" s="132" t="s">
        <v>109</v>
      </c>
      <c r="J111" s="60">
        <f>(G111-(VLOOKUP(C111,Price!B:D,3,FALSE)*D111))</f>
        <v>275000</v>
      </c>
      <c r="K111" s="427">
        <f t="shared" si="29"/>
        <v>0.25462962962962965</v>
      </c>
      <c r="L111" s="184">
        <v>17.600000000000001</v>
      </c>
      <c r="M111" s="584"/>
      <c r="N111" s="669">
        <f t="shared" si="24"/>
        <v>170626</v>
      </c>
      <c r="O111" s="680" t="s">
        <v>147</v>
      </c>
      <c r="P111" s="195" t="str">
        <f t="shared" si="26"/>
        <v>Blanket(1050*840)</v>
      </c>
      <c r="Q111" s="192">
        <f t="shared" si="25"/>
        <v>10</v>
      </c>
      <c r="R111" s="193">
        <v>80500</v>
      </c>
      <c r="S111" s="147">
        <f t="shared" si="30"/>
        <v>885500.00000000012</v>
      </c>
      <c r="T111" s="147">
        <f t="shared" si="31"/>
        <v>805000</v>
      </c>
      <c r="U111" s="209" t="str">
        <f t="shared" si="33"/>
        <v>O</v>
      </c>
      <c r="W111" s="482">
        <f t="shared" si="32"/>
        <v>275000</v>
      </c>
    </row>
    <row r="112" spans="1:23" s="209" customFormat="1" ht="30" hidden="1" customHeight="1" x14ac:dyDescent="0.2">
      <c r="A112" s="512">
        <v>170626</v>
      </c>
      <c r="B112" s="674" t="s">
        <v>590</v>
      </c>
      <c r="C112" s="409" t="s">
        <v>586</v>
      </c>
      <c r="D112" s="409">
        <v>200</v>
      </c>
      <c r="E112" s="208">
        <v>6750</v>
      </c>
      <c r="F112" s="522">
        <f t="shared" si="27"/>
        <v>1485000.0000000002</v>
      </c>
      <c r="G112" s="522">
        <f t="shared" si="28"/>
        <v>1350000</v>
      </c>
      <c r="H112" s="523" t="s">
        <v>173</v>
      </c>
      <c r="I112" s="139" t="s">
        <v>144</v>
      </c>
      <c r="J112" s="60">
        <f>(G112-(VLOOKUP(C112,Price!B:D,3,FALSE)*D112))</f>
        <v>114000</v>
      </c>
      <c r="K112" s="54">
        <f>(J112/(F112/11*10))</f>
        <v>8.4444444444444433E-2</v>
      </c>
      <c r="L112" s="514">
        <v>17.600000000000001</v>
      </c>
      <c r="M112" s="583"/>
      <c r="N112" s="674">
        <f t="shared" si="24"/>
        <v>170626</v>
      </c>
      <c r="O112" s="409" t="s">
        <v>147</v>
      </c>
      <c r="P112" s="162" t="str">
        <f t="shared" si="26"/>
        <v>프리미어(황)</v>
      </c>
      <c r="Q112" s="509">
        <f t="shared" si="25"/>
        <v>200</v>
      </c>
      <c r="R112" s="513"/>
      <c r="S112" s="524"/>
      <c r="T112" s="524"/>
      <c r="W112" s="482"/>
    </row>
    <row r="113" spans="1:23" s="210" customFormat="1" ht="30" hidden="1" customHeight="1" x14ac:dyDescent="0.2">
      <c r="A113" s="199">
        <v>170626</v>
      </c>
      <c r="B113" s="670" t="s">
        <v>548</v>
      </c>
      <c r="C113" s="84" t="s">
        <v>107</v>
      </c>
      <c r="D113" s="84">
        <v>20</v>
      </c>
      <c r="E113" s="189">
        <v>100000</v>
      </c>
      <c r="F113" s="190">
        <f t="shared" si="27"/>
        <v>2200000</v>
      </c>
      <c r="G113" s="190">
        <f t="shared" si="28"/>
        <v>2000000</v>
      </c>
      <c r="H113" s="191" t="s">
        <v>172</v>
      </c>
      <c r="I113" s="133" t="s">
        <v>109</v>
      </c>
      <c r="J113" s="61">
        <f>(G113-(VLOOKUP(C113,Price!B:D,3,FALSE)*D113))</f>
        <v>390000</v>
      </c>
      <c r="K113" s="425">
        <f t="shared" si="29"/>
        <v>0.19500000000000001</v>
      </c>
      <c r="L113" s="426">
        <v>17.600000000000001</v>
      </c>
      <c r="M113" s="581"/>
      <c r="N113" s="670">
        <f t="shared" si="24"/>
        <v>170626</v>
      </c>
      <c r="O113" s="681" t="s">
        <v>147</v>
      </c>
      <c r="P113" s="200" t="str">
        <f t="shared" si="26"/>
        <v>Blanket(1050*840)</v>
      </c>
      <c r="Q113" s="196">
        <f t="shared" si="25"/>
        <v>20</v>
      </c>
      <c r="R113" s="197">
        <v>80500</v>
      </c>
      <c r="S113" s="197">
        <f t="shared" ref="S113:S120" si="34">(R113*D113)*1.1</f>
        <v>1771000.0000000002</v>
      </c>
      <c r="T113" s="197">
        <f t="shared" ref="T113:T120" si="35">(R113*Q113)</f>
        <v>1610000</v>
      </c>
      <c r="U113" s="210" t="str">
        <f t="shared" ref="U113:U120" si="36">IF(J113=W113,"O", "X")</f>
        <v>O</v>
      </c>
      <c r="W113" s="481">
        <f t="shared" ref="W113:W120" si="37">(G113-T113)</f>
        <v>390000</v>
      </c>
    </row>
    <row r="114" spans="1:23" s="209" customFormat="1" ht="30" hidden="1" customHeight="1" x14ac:dyDescent="0.25">
      <c r="A114" s="194">
        <v>170627</v>
      </c>
      <c r="B114" s="669" t="s">
        <v>545</v>
      </c>
      <c r="C114" s="684" t="s">
        <v>582</v>
      </c>
      <c r="D114" s="680">
        <v>1</v>
      </c>
      <c r="E114" s="700">
        <v>950000</v>
      </c>
      <c r="F114" s="700">
        <f t="shared" si="27"/>
        <v>1045000.0000000001</v>
      </c>
      <c r="G114" s="700">
        <f t="shared" si="28"/>
        <v>950000</v>
      </c>
      <c r="H114" s="1000" t="s">
        <v>39</v>
      </c>
      <c r="I114" s="73"/>
      <c r="J114" s="60">
        <f>(G114-(VLOOKUP(C114,Price!B:D,3,FALSE)*D114))</f>
        <v>406000</v>
      </c>
      <c r="K114" s="427">
        <f t="shared" si="29"/>
        <v>0.42736842105263151</v>
      </c>
      <c r="L114" s="845">
        <v>17.600000000000001</v>
      </c>
      <c r="M114" s="578"/>
      <c r="N114" s="669">
        <f t="shared" si="24"/>
        <v>170627</v>
      </c>
      <c r="O114" s="999" t="s">
        <v>39</v>
      </c>
      <c r="P114" s="195" t="str">
        <f t="shared" si="26"/>
        <v>습수정화장치(beta.f) 필터세트</v>
      </c>
      <c r="Q114" s="192">
        <f t="shared" si="25"/>
        <v>1</v>
      </c>
      <c r="R114" s="193">
        <v>544000</v>
      </c>
      <c r="S114" s="147">
        <f t="shared" si="34"/>
        <v>598400</v>
      </c>
      <c r="T114" s="147">
        <f t="shared" si="35"/>
        <v>544000</v>
      </c>
      <c r="U114" s="209" t="str">
        <f t="shared" si="36"/>
        <v>O</v>
      </c>
      <c r="W114" s="482">
        <f t="shared" si="37"/>
        <v>406000</v>
      </c>
    </row>
    <row r="115" spans="1:23" s="209" customFormat="1" ht="30" customHeight="1" x14ac:dyDescent="0.25">
      <c r="A115" s="203">
        <v>170627</v>
      </c>
      <c r="B115" s="671" t="s">
        <v>565</v>
      </c>
      <c r="C115" s="680" t="s">
        <v>218</v>
      </c>
      <c r="D115" s="682">
        <v>7</v>
      </c>
      <c r="E115" s="702">
        <v>235000</v>
      </c>
      <c r="F115" s="702">
        <f t="shared" si="27"/>
        <v>1809500.0000000002</v>
      </c>
      <c r="G115" s="702">
        <f t="shared" si="28"/>
        <v>1645000</v>
      </c>
      <c r="H115" s="711" t="s">
        <v>173</v>
      </c>
      <c r="I115" s="71" t="s">
        <v>120</v>
      </c>
      <c r="J115" s="60">
        <f>(G115-(VLOOKUP(C115,Price!B:D,3,FALSE)*D115))</f>
        <v>857500</v>
      </c>
      <c r="K115" s="54">
        <f t="shared" si="29"/>
        <v>0.52127659574468077</v>
      </c>
      <c r="L115" s="846">
        <v>17.600000000000001</v>
      </c>
      <c r="M115" s="579"/>
      <c r="N115" s="671">
        <f t="shared" si="24"/>
        <v>170627</v>
      </c>
      <c r="O115" s="682" t="s">
        <v>150</v>
      </c>
      <c r="P115" s="164" t="str">
        <f t="shared" si="26"/>
        <v>Fount Web 551AF</v>
      </c>
      <c r="Q115" s="201">
        <f t="shared" si="25"/>
        <v>7</v>
      </c>
      <c r="R115" s="202">
        <v>112500</v>
      </c>
      <c r="S115" s="147">
        <f t="shared" si="34"/>
        <v>866250.00000000012</v>
      </c>
      <c r="T115" s="147">
        <f t="shared" si="35"/>
        <v>787500</v>
      </c>
      <c r="U115" s="209" t="str">
        <f t="shared" si="36"/>
        <v>O</v>
      </c>
      <c r="W115" s="482">
        <f t="shared" si="37"/>
        <v>857500</v>
      </c>
    </row>
    <row r="116" spans="1:23" s="210" customFormat="1" ht="30" customHeight="1" x14ac:dyDescent="0.25">
      <c r="A116" s="199">
        <v>170627</v>
      </c>
      <c r="B116" s="670" t="s">
        <v>565</v>
      </c>
      <c r="C116" s="681" t="s">
        <v>583</v>
      </c>
      <c r="D116" s="681">
        <v>16</v>
      </c>
      <c r="E116" s="701">
        <v>89000</v>
      </c>
      <c r="F116" s="701">
        <f t="shared" si="27"/>
        <v>1566400.0000000002</v>
      </c>
      <c r="G116" s="701">
        <f t="shared" si="28"/>
        <v>1424000</v>
      </c>
      <c r="H116" s="712" t="s">
        <v>173</v>
      </c>
      <c r="I116" s="84" t="s">
        <v>108</v>
      </c>
      <c r="J116" s="64">
        <f>(G116-(VLOOKUP(C116,Price!B:D,3,FALSE)*D116))</f>
        <v>720000</v>
      </c>
      <c r="K116" s="62">
        <f t="shared" si="29"/>
        <v>0.50561797752808979</v>
      </c>
      <c r="L116" s="847">
        <v>17.600000000000001</v>
      </c>
      <c r="M116" s="580"/>
      <c r="N116" s="670">
        <f t="shared" si="24"/>
        <v>170627</v>
      </c>
      <c r="O116" s="681" t="s">
        <v>599</v>
      </c>
      <c r="P116" s="200" t="str">
        <f t="shared" si="26"/>
        <v>M600 윤전 세정포</v>
      </c>
      <c r="Q116" s="196">
        <f t="shared" si="25"/>
        <v>16</v>
      </c>
      <c r="R116" s="197">
        <v>44000</v>
      </c>
      <c r="S116" s="197">
        <f t="shared" si="34"/>
        <v>774400.00000000012</v>
      </c>
      <c r="T116" s="197">
        <f t="shared" si="35"/>
        <v>704000</v>
      </c>
      <c r="U116" s="210" t="str">
        <f t="shared" si="36"/>
        <v>O</v>
      </c>
      <c r="W116" s="481">
        <f t="shared" si="37"/>
        <v>720000</v>
      </c>
    </row>
    <row r="117" spans="1:23" s="209" customFormat="1" ht="30" customHeight="1" x14ac:dyDescent="0.25">
      <c r="A117" s="194">
        <v>170629</v>
      </c>
      <c r="B117" s="669" t="s">
        <v>565</v>
      </c>
      <c r="C117" s="680" t="s">
        <v>584</v>
      </c>
      <c r="D117" s="680">
        <v>3</v>
      </c>
      <c r="E117" s="700">
        <v>270000</v>
      </c>
      <c r="F117" s="700">
        <f t="shared" si="27"/>
        <v>891000.00000000012</v>
      </c>
      <c r="G117" s="700">
        <f t="shared" si="28"/>
        <v>810000</v>
      </c>
      <c r="H117" s="719" t="s">
        <v>173</v>
      </c>
      <c r="I117" s="73" t="s">
        <v>142</v>
      </c>
      <c r="J117" s="60">
        <f>(G117-(VLOOKUP(C117,Price!B:D,3,FALSE)*D117))</f>
        <v>162000</v>
      </c>
      <c r="K117" s="58">
        <f t="shared" si="29"/>
        <v>0.19999999999999998</v>
      </c>
      <c r="L117" s="845">
        <v>17.600000000000001</v>
      </c>
      <c r="M117" s="578"/>
      <c r="N117" s="669">
        <f t="shared" si="24"/>
        <v>170629</v>
      </c>
      <c r="O117" s="680" t="s">
        <v>150</v>
      </c>
      <c r="P117" s="195" t="str">
        <f t="shared" si="26"/>
        <v>데리바리 석션벨트</v>
      </c>
      <c r="Q117" s="192">
        <f t="shared" si="25"/>
        <v>3</v>
      </c>
      <c r="R117" s="193">
        <v>216000</v>
      </c>
      <c r="S117" s="147">
        <f t="shared" si="34"/>
        <v>712800</v>
      </c>
      <c r="T117" s="147">
        <f t="shared" si="35"/>
        <v>648000</v>
      </c>
      <c r="U117" s="209" t="str">
        <f t="shared" si="36"/>
        <v>O</v>
      </c>
      <c r="W117" s="482">
        <f t="shared" si="37"/>
        <v>162000</v>
      </c>
    </row>
    <row r="118" spans="1:23" s="209" customFormat="1" ht="30" customHeight="1" x14ac:dyDescent="0.25">
      <c r="A118" s="203">
        <v>170629</v>
      </c>
      <c r="B118" s="671" t="s">
        <v>565</v>
      </c>
      <c r="C118" s="73" t="s">
        <v>129</v>
      </c>
      <c r="D118" s="682">
        <v>5</v>
      </c>
      <c r="E118" s="702">
        <v>272000</v>
      </c>
      <c r="F118" s="700">
        <f t="shared" si="27"/>
        <v>1496000.0000000002</v>
      </c>
      <c r="G118" s="700">
        <f t="shared" si="28"/>
        <v>1360000</v>
      </c>
      <c r="H118" s="711" t="s">
        <v>173</v>
      </c>
      <c r="I118" s="71" t="s">
        <v>108</v>
      </c>
      <c r="J118" s="60">
        <f>(G118-(VLOOKUP(C118,Price!B:D,3,FALSE)*D118))</f>
        <v>320000</v>
      </c>
      <c r="K118" s="54">
        <f t="shared" si="29"/>
        <v>0.23529411764705879</v>
      </c>
      <c r="L118" s="846">
        <v>17.600000000000001</v>
      </c>
      <c r="M118" s="579"/>
      <c r="N118" s="671">
        <f t="shared" si="24"/>
        <v>170629</v>
      </c>
      <c r="O118" s="682" t="s">
        <v>149</v>
      </c>
      <c r="P118" s="164" t="str">
        <f t="shared" si="26"/>
        <v>세정포-XL106</v>
      </c>
      <c r="Q118" s="201">
        <f t="shared" si="25"/>
        <v>5</v>
      </c>
      <c r="R118" s="202">
        <v>208000</v>
      </c>
      <c r="S118" s="147">
        <f t="shared" si="34"/>
        <v>1144000</v>
      </c>
      <c r="T118" s="147">
        <f t="shared" si="35"/>
        <v>1040000</v>
      </c>
      <c r="U118" s="209" t="str">
        <f t="shared" si="36"/>
        <v>O</v>
      </c>
      <c r="W118" s="482">
        <f t="shared" si="37"/>
        <v>320000</v>
      </c>
    </row>
    <row r="119" spans="1:23" s="210" customFormat="1" ht="30" customHeight="1" x14ac:dyDescent="0.25">
      <c r="A119" s="199">
        <v>170629</v>
      </c>
      <c r="B119" s="670" t="s">
        <v>565</v>
      </c>
      <c r="C119" s="84" t="s">
        <v>138</v>
      </c>
      <c r="D119" s="681">
        <v>20</v>
      </c>
      <c r="E119" s="701">
        <v>68000</v>
      </c>
      <c r="F119" s="198">
        <f t="shared" si="27"/>
        <v>1496000.0000000002</v>
      </c>
      <c r="G119" s="198">
        <f t="shared" si="28"/>
        <v>1360000</v>
      </c>
      <c r="H119" s="712" t="s">
        <v>173</v>
      </c>
      <c r="I119" s="84" t="s">
        <v>108</v>
      </c>
      <c r="J119" s="64">
        <f>(G119-(VLOOKUP(C119,Price!B:D,3,FALSE)*D119))</f>
        <v>340000</v>
      </c>
      <c r="K119" s="62">
        <f t="shared" si="29"/>
        <v>0.24999999999999994</v>
      </c>
      <c r="L119" s="847">
        <v>17.600000000000001</v>
      </c>
      <c r="M119" s="580"/>
      <c r="N119" s="670">
        <f t="shared" si="24"/>
        <v>170629</v>
      </c>
      <c r="O119" s="681" t="s">
        <v>150</v>
      </c>
      <c r="P119" s="200" t="str">
        <f t="shared" si="26"/>
        <v>매엽용 세척제(Wash 562)</v>
      </c>
      <c r="Q119" s="196">
        <f t="shared" si="25"/>
        <v>20</v>
      </c>
      <c r="R119" s="197">
        <v>51000</v>
      </c>
      <c r="S119" s="197">
        <f t="shared" si="34"/>
        <v>1122000</v>
      </c>
      <c r="T119" s="197">
        <f t="shared" si="35"/>
        <v>1020000</v>
      </c>
      <c r="U119" s="210" t="str">
        <f t="shared" si="36"/>
        <v>O</v>
      </c>
      <c r="W119" s="481">
        <f t="shared" si="37"/>
        <v>340000</v>
      </c>
    </row>
    <row r="120" spans="1:23" s="215" customFormat="1" ht="30" hidden="1" customHeight="1" x14ac:dyDescent="0.25">
      <c r="A120" s="213">
        <v>170705</v>
      </c>
      <c r="B120" s="673" t="s">
        <v>575</v>
      </c>
      <c r="C120" s="88" t="s">
        <v>609</v>
      </c>
      <c r="D120" s="88">
        <v>1</v>
      </c>
      <c r="E120" s="470">
        <v>2000000</v>
      </c>
      <c r="F120" s="470">
        <f t="shared" si="27"/>
        <v>2200000</v>
      </c>
      <c r="G120" s="470">
        <f t="shared" si="28"/>
        <v>2000000</v>
      </c>
      <c r="H120" s="776" t="s">
        <v>113</v>
      </c>
      <c r="I120" s="88"/>
      <c r="J120" s="107">
        <f>(G120-T120)</f>
        <v>1700000</v>
      </c>
      <c r="K120" s="469">
        <f t="shared" si="29"/>
        <v>0.85</v>
      </c>
      <c r="L120" s="404">
        <v>17.600000000000001</v>
      </c>
      <c r="M120" s="575"/>
      <c r="N120" s="673">
        <f t="shared" si="24"/>
        <v>170705</v>
      </c>
      <c r="O120" s="731" t="s">
        <v>113</v>
      </c>
      <c r="P120" s="214" t="str">
        <f>(C120)</f>
        <v>드라이어 점화 플러그</v>
      </c>
      <c r="Q120" s="211">
        <f t="shared" si="25"/>
        <v>1</v>
      </c>
      <c r="R120" s="212">
        <v>300000</v>
      </c>
      <c r="S120" s="212">
        <f t="shared" si="34"/>
        <v>330000</v>
      </c>
      <c r="T120" s="212">
        <f t="shared" si="35"/>
        <v>300000</v>
      </c>
      <c r="U120" s="215" t="str">
        <f t="shared" si="36"/>
        <v>O</v>
      </c>
      <c r="W120" s="483">
        <f t="shared" si="37"/>
        <v>1700000</v>
      </c>
    </row>
    <row r="121" spans="1:23" s="496" customFormat="1" ht="45" hidden="1" customHeight="1" x14ac:dyDescent="0.25">
      <c r="A121" s="487">
        <v>2017.7</v>
      </c>
      <c r="B121" s="675" t="s">
        <v>544</v>
      </c>
      <c r="C121" s="488"/>
      <c r="D121" s="488"/>
      <c r="E121" s="489"/>
      <c r="F121" s="489"/>
      <c r="G121" s="489"/>
      <c r="H121" s="490"/>
      <c r="I121" s="491"/>
      <c r="J121" s="492"/>
      <c r="K121" s="493"/>
      <c r="L121" s="848"/>
      <c r="M121" s="645"/>
      <c r="N121" s="725">
        <f t="shared" si="24"/>
        <v>2017.7</v>
      </c>
      <c r="O121" s="488" t="s">
        <v>154</v>
      </c>
      <c r="P121" s="729"/>
      <c r="Q121" s="494"/>
      <c r="R121" s="495"/>
      <c r="S121" s="492"/>
      <c r="T121" s="492"/>
      <c r="W121" s="497"/>
    </row>
    <row r="122" spans="1:23" s="209" customFormat="1" ht="30" hidden="1" customHeight="1" x14ac:dyDescent="0.25">
      <c r="A122" s="194">
        <v>170630</v>
      </c>
      <c r="B122" s="669" t="s">
        <v>545</v>
      </c>
      <c r="C122" s="680" t="s">
        <v>227</v>
      </c>
      <c r="D122" s="680">
        <v>5</v>
      </c>
      <c r="E122" s="700">
        <v>110000</v>
      </c>
      <c r="F122" s="700">
        <f t="shared" ref="F122:F133" si="38">(E122*D122)*1.1</f>
        <v>605000</v>
      </c>
      <c r="G122" s="700">
        <f t="shared" ref="G122:G133" si="39">(E122*D122)</f>
        <v>550000</v>
      </c>
      <c r="H122" s="719" t="s">
        <v>173</v>
      </c>
      <c r="I122" s="73" t="s">
        <v>109</v>
      </c>
      <c r="J122" s="60">
        <f>(G122-(VLOOKUP(C122,Price!B:D,3,FALSE)*D122))</f>
        <v>135500</v>
      </c>
      <c r="K122" s="58">
        <f t="shared" ref="K122:K133" si="40">(J122/(F122/11*10))</f>
        <v>0.24636363636363637</v>
      </c>
      <c r="L122" s="845">
        <v>17.7</v>
      </c>
      <c r="M122" s="578"/>
      <c r="N122" s="669">
        <f t="shared" si="24"/>
        <v>170630</v>
      </c>
      <c r="O122" s="680" t="s">
        <v>147</v>
      </c>
      <c r="P122" s="195" t="str">
        <f t="shared" si="26"/>
        <v>Blanket(1060*860)</v>
      </c>
      <c r="Q122" s="192">
        <f t="shared" si="25"/>
        <v>5</v>
      </c>
      <c r="R122" s="193">
        <v>82900</v>
      </c>
      <c r="S122" s="147">
        <f t="shared" ref="S122:S127" si="41">(R122*D122)*1.1</f>
        <v>455950.00000000006</v>
      </c>
      <c r="T122" s="147">
        <f t="shared" ref="T122:T127" si="42">(R122*Q122)</f>
        <v>414500</v>
      </c>
      <c r="U122" s="209" t="str">
        <f>IF(J122=W122,"O", "X")</f>
        <v>O</v>
      </c>
      <c r="W122" s="482">
        <f>(G122-T122)</f>
        <v>135500</v>
      </c>
    </row>
    <row r="123" spans="1:23" s="209" customFormat="1" ht="30" hidden="1" customHeight="1" x14ac:dyDescent="0.25">
      <c r="A123" s="203">
        <v>170630</v>
      </c>
      <c r="B123" s="671" t="s">
        <v>444</v>
      </c>
      <c r="C123" s="682" t="s">
        <v>131</v>
      </c>
      <c r="D123" s="682">
        <v>6</v>
      </c>
      <c r="E123" s="702">
        <v>135000</v>
      </c>
      <c r="F123" s="700">
        <f t="shared" si="38"/>
        <v>891000.00000000012</v>
      </c>
      <c r="G123" s="700">
        <f t="shared" si="39"/>
        <v>810000</v>
      </c>
      <c r="H123" s="711" t="s">
        <v>173</v>
      </c>
      <c r="I123" s="71" t="s">
        <v>109</v>
      </c>
      <c r="J123" s="60">
        <f>(G123-(VLOOKUP(C123,Price!B:D,3,FALSE)*D123))</f>
        <v>150000</v>
      </c>
      <c r="K123" s="54">
        <f t="shared" si="40"/>
        <v>0.18518518518518515</v>
      </c>
      <c r="L123" s="846">
        <v>17.7</v>
      </c>
      <c r="M123" s="579"/>
      <c r="N123" s="671">
        <f t="shared" si="24"/>
        <v>170630</v>
      </c>
      <c r="O123" s="682" t="s">
        <v>148</v>
      </c>
      <c r="P123" s="164" t="str">
        <f t="shared" si="26"/>
        <v>UV wash(20L)</v>
      </c>
      <c r="Q123" s="201">
        <f t="shared" si="25"/>
        <v>6</v>
      </c>
      <c r="R123" s="202">
        <v>110000</v>
      </c>
      <c r="S123" s="147">
        <f t="shared" si="41"/>
        <v>726000.00000000012</v>
      </c>
      <c r="T123" s="147">
        <f t="shared" si="42"/>
        <v>660000</v>
      </c>
      <c r="U123" s="209" t="str">
        <f>IF(J123=W123,"O", "X")</f>
        <v>O</v>
      </c>
      <c r="W123" s="482">
        <f>(G123-T123)</f>
        <v>150000</v>
      </c>
    </row>
    <row r="124" spans="1:23" s="209" customFormat="1" ht="30" hidden="1" customHeight="1" x14ac:dyDescent="0.25">
      <c r="A124" s="203">
        <v>170630</v>
      </c>
      <c r="B124" s="671" t="s">
        <v>590</v>
      </c>
      <c r="C124" s="682" t="s">
        <v>585</v>
      </c>
      <c r="D124" s="682">
        <v>48</v>
      </c>
      <c r="E124" s="704">
        <v>7500</v>
      </c>
      <c r="F124" s="700">
        <f t="shared" si="38"/>
        <v>396000.00000000006</v>
      </c>
      <c r="G124" s="700">
        <f t="shared" si="39"/>
        <v>360000</v>
      </c>
      <c r="H124" s="711" t="s">
        <v>173</v>
      </c>
      <c r="I124" s="71" t="s">
        <v>144</v>
      </c>
      <c r="J124" s="60">
        <f>(G124-(VLOOKUP(C124,Price!B:D,3,FALSE)*D124))</f>
        <v>35040</v>
      </c>
      <c r="K124" s="54">
        <f t="shared" si="40"/>
        <v>9.7333333333333313E-2</v>
      </c>
      <c r="L124" s="846">
        <v>17.7</v>
      </c>
      <c r="M124" s="579"/>
      <c r="N124" s="671">
        <f t="shared" si="24"/>
        <v>170630</v>
      </c>
      <c r="O124" s="682" t="s">
        <v>147</v>
      </c>
      <c r="P124" s="164" t="str">
        <f t="shared" si="26"/>
        <v>프리미어(적)</v>
      </c>
      <c r="Q124" s="201">
        <f t="shared" si="25"/>
        <v>48</v>
      </c>
      <c r="R124" s="202">
        <v>6770</v>
      </c>
      <c r="S124" s="147">
        <f t="shared" si="41"/>
        <v>357456</v>
      </c>
      <c r="T124" s="147">
        <f t="shared" si="42"/>
        <v>324960</v>
      </c>
      <c r="U124" s="209" t="str">
        <f>IF(J124=W124,"O", "X")</f>
        <v>O</v>
      </c>
      <c r="W124" s="482">
        <f>(G124-T124)</f>
        <v>35040</v>
      </c>
    </row>
    <row r="125" spans="1:23" s="209" customFormat="1" ht="30" hidden="1" customHeight="1" x14ac:dyDescent="0.25">
      <c r="A125" s="203">
        <v>170630</v>
      </c>
      <c r="B125" s="671" t="s">
        <v>590</v>
      </c>
      <c r="C125" s="682" t="s">
        <v>586</v>
      </c>
      <c r="D125" s="682">
        <v>36</v>
      </c>
      <c r="E125" s="705">
        <v>6750</v>
      </c>
      <c r="F125" s="700">
        <f t="shared" si="38"/>
        <v>267300</v>
      </c>
      <c r="G125" s="700">
        <f t="shared" si="39"/>
        <v>243000</v>
      </c>
      <c r="H125" s="711" t="s">
        <v>173</v>
      </c>
      <c r="I125" s="71" t="s">
        <v>144</v>
      </c>
      <c r="J125" s="60">
        <f>(G125-(VLOOKUP(C125,Price!B:D,3,FALSE)*D125))</f>
        <v>20520</v>
      </c>
      <c r="K125" s="54">
        <f t="shared" si="40"/>
        <v>8.4444444444444447E-2</v>
      </c>
      <c r="L125" s="846">
        <v>17.7</v>
      </c>
      <c r="M125" s="579"/>
      <c r="N125" s="671">
        <f t="shared" si="24"/>
        <v>170630</v>
      </c>
      <c r="O125" s="682" t="s">
        <v>147</v>
      </c>
      <c r="P125" s="164" t="str">
        <f t="shared" si="26"/>
        <v>프리미어(황)</v>
      </c>
      <c r="Q125" s="201">
        <f t="shared" si="25"/>
        <v>36</v>
      </c>
      <c r="R125" s="202">
        <v>6180</v>
      </c>
      <c r="S125" s="147">
        <f t="shared" si="41"/>
        <v>244728.00000000003</v>
      </c>
      <c r="T125" s="147">
        <f t="shared" si="42"/>
        <v>222480</v>
      </c>
      <c r="U125" s="209" t="str">
        <f>IF(J125=W125,"O", "X")</f>
        <v>O</v>
      </c>
      <c r="W125" s="482">
        <f>(G125-T125)</f>
        <v>20520</v>
      </c>
    </row>
    <row r="126" spans="1:23" s="210" customFormat="1" ht="30" hidden="1" customHeight="1" x14ac:dyDescent="0.25">
      <c r="A126" s="199">
        <v>170630</v>
      </c>
      <c r="B126" s="670" t="s">
        <v>590</v>
      </c>
      <c r="C126" s="681" t="s">
        <v>587</v>
      </c>
      <c r="D126" s="681">
        <v>48</v>
      </c>
      <c r="E126" s="706">
        <v>8000</v>
      </c>
      <c r="F126" s="198">
        <f t="shared" si="38"/>
        <v>422400.00000000006</v>
      </c>
      <c r="G126" s="198">
        <f t="shared" si="39"/>
        <v>384000</v>
      </c>
      <c r="H126" s="712" t="s">
        <v>173</v>
      </c>
      <c r="I126" s="84" t="s">
        <v>144</v>
      </c>
      <c r="J126" s="64">
        <f>(G126-(VLOOKUP(C126,Price!B:D,3,FALSE)*D126))</f>
        <v>52320</v>
      </c>
      <c r="K126" s="62">
        <f t="shared" si="40"/>
        <v>0.13624999999999998</v>
      </c>
      <c r="L126" s="847">
        <v>17.7</v>
      </c>
      <c r="M126" s="580"/>
      <c r="N126" s="670">
        <f t="shared" si="24"/>
        <v>170630</v>
      </c>
      <c r="O126" s="681" t="s">
        <v>147</v>
      </c>
      <c r="P126" s="200" t="str">
        <f t="shared" si="26"/>
        <v>프리미어(청)</v>
      </c>
      <c r="Q126" s="196">
        <f t="shared" si="25"/>
        <v>48</v>
      </c>
      <c r="R126" s="197">
        <v>6910</v>
      </c>
      <c r="S126" s="197">
        <f t="shared" si="41"/>
        <v>364848.00000000006</v>
      </c>
      <c r="T126" s="197">
        <f t="shared" si="42"/>
        <v>331680</v>
      </c>
      <c r="U126" s="210" t="str">
        <f>IF(J126=W126,"O", "X")</f>
        <v>O</v>
      </c>
      <c r="W126" s="481">
        <f>(G126-T126)</f>
        <v>52320</v>
      </c>
    </row>
    <row r="127" spans="1:23" s="210" customFormat="1" ht="30" customHeight="1" x14ac:dyDescent="0.25">
      <c r="A127" s="423">
        <v>170704</v>
      </c>
      <c r="B127" s="672" t="s">
        <v>565</v>
      </c>
      <c r="C127" s="411" t="s">
        <v>114</v>
      </c>
      <c r="D127" s="411">
        <v>30</v>
      </c>
      <c r="E127" s="706">
        <v>20000</v>
      </c>
      <c r="F127" s="198">
        <f t="shared" si="38"/>
        <v>660000</v>
      </c>
      <c r="G127" s="198">
        <f t="shared" si="39"/>
        <v>600000</v>
      </c>
      <c r="H127" s="777" t="s">
        <v>113</v>
      </c>
      <c r="I127" s="411"/>
      <c r="J127" s="64">
        <f>(G127-T127)</f>
        <v>354000</v>
      </c>
      <c r="K127" s="422">
        <f t="shared" si="40"/>
        <v>0.59</v>
      </c>
      <c r="L127" s="426">
        <v>17.7</v>
      </c>
      <c r="M127" s="581"/>
      <c r="N127" s="672">
        <f t="shared" si="24"/>
        <v>170704</v>
      </c>
      <c r="O127" s="730" t="s">
        <v>113</v>
      </c>
      <c r="P127" s="424" t="str">
        <f t="shared" si="26"/>
        <v>스트리퍼</v>
      </c>
      <c r="Q127" s="413">
        <f t="shared" si="25"/>
        <v>30</v>
      </c>
      <c r="R127" s="414">
        <v>8200</v>
      </c>
      <c r="S127" s="498">
        <f t="shared" si="41"/>
        <v>270600</v>
      </c>
      <c r="T127" s="470">
        <f t="shared" si="42"/>
        <v>246000</v>
      </c>
      <c r="W127" s="481"/>
    </row>
    <row r="128" spans="1:23" s="507" customFormat="1" ht="30" hidden="1" customHeight="1" x14ac:dyDescent="0.25">
      <c r="A128" s="499">
        <v>170705</v>
      </c>
      <c r="B128" s="676" t="s">
        <v>445</v>
      </c>
      <c r="C128" s="682" t="s">
        <v>572</v>
      </c>
      <c r="D128" s="157">
        <v>4</v>
      </c>
      <c r="E128" s="707">
        <v>240000</v>
      </c>
      <c r="F128" s="700">
        <f t="shared" si="38"/>
        <v>1056000</v>
      </c>
      <c r="G128" s="700">
        <f t="shared" si="39"/>
        <v>960000</v>
      </c>
      <c r="H128" s="778" t="s">
        <v>113</v>
      </c>
      <c r="I128" s="157"/>
      <c r="J128" s="503">
        <f>(G128-(VLOOKUP(C128,Import!C:G,4,FALSE)*D128))</f>
        <v>960000</v>
      </c>
      <c r="K128" s="504">
        <f t="shared" si="40"/>
        <v>1</v>
      </c>
      <c r="L128" s="505">
        <v>17.7</v>
      </c>
      <c r="M128" s="634"/>
      <c r="N128" s="676">
        <f t="shared" si="24"/>
        <v>170705</v>
      </c>
      <c r="O128" s="812" t="s">
        <v>113</v>
      </c>
      <c r="P128" s="500" t="str">
        <f t="shared" si="26"/>
        <v>Brake Lining</v>
      </c>
      <c r="Q128" s="501">
        <f t="shared" si="25"/>
        <v>4</v>
      </c>
      <c r="R128" s="502"/>
      <c r="S128" s="506"/>
      <c r="T128" s="526"/>
      <c r="W128" s="508"/>
    </row>
    <row r="129" spans="1:23" s="210" customFormat="1" ht="30" hidden="1" customHeight="1" x14ac:dyDescent="0.25">
      <c r="A129" s="423">
        <v>170705</v>
      </c>
      <c r="B129" s="672" t="s">
        <v>446</v>
      </c>
      <c r="C129" s="411" t="s">
        <v>121</v>
      </c>
      <c r="D129" s="411">
        <v>10</v>
      </c>
      <c r="E129" s="198">
        <v>110000</v>
      </c>
      <c r="F129" s="198">
        <f t="shared" si="38"/>
        <v>1210000</v>
      </c>
      <c r="G129" s="198">
        <f t="shared" si="39"/>
        <v>1100000</v>
      </c>
      <c r="H129" s="498" t="s">
        <v>173</v>
      </c>
      <c r="I129" s="411" t="s">
        <v>142</v>
      </c>
      <c r="J129" s="64">
        <f>(G129-(VLOOKUP(C129,Price!B:D,3,FALSE)*D129))</f>
        <v>190000</v>
      </c>
      <c r="K129" s="425">
        <f t="shared" si="40"/>
        <v>0.17272727272727273</v>
      </c>
      <c r="L129" s="426">
        <v>17.7</v>
      </c>
      <c r="M129" s="581"/>
      <c r="N129" s="672">
        <f t="shared" si="24"/>
        <v>170705</v>
      </c>
      <c r="O129" s="411" t="s">
        <v>150</v>
      </c>
      <c r="P129" s="424" t="str">
        <f>(C129)</f>
        <v>윤전용 실리콘</v>
      </c>
      <c r="Q129" s="413">
        <f t="shared" si="25"/>
        <v>10</v>
      </c>
      <c r="R129" s="414">
        <v>91000</v>
      </c>
      <c r="S129" s="198">
        <f t="shared" ref="S129:S160" si="43">(R129*D129)*1.1</f>
        <v>1001000.0000000001</v>
      </c>
      <c r="T129" s="198">
        <f t="shared" ref="T129:T160" si="44">(R129*Q129)</f>
        <v>910000</v>
      </c>
      <c r="U129" s="210" t="str">
        <f t="shared" ref="U129:U160" si="45">IF(J129=W129,"O", "X")</f>
        <v>O</v>
      </c>
      <c r="W129" s="481">
        <f t="shared" ref="W129:W144" si="46">(G129-T129)</f>
        <v>190000</v>
      </c>
    </row>
    <row r="130" spans="1:23" s="209" customFormat="1" ht="30" hidden="1" customHeight="1" x14ac:dyDescent="0.2">
      <c r="A130" s="194">
        <v>170706</v>
      </c>
      <c r="B130" s="669" t="s">
        <v>442</v>
      </c>
      <c r="C130" s="73" t="s">
        <v>133</v>
      </c>
      <c r="D130" s="73">
        <v>2</v>
      </c>
      <c r="E130" s="147">
        <v>327000</v>
      </c>
      <c r="F130" s="160">
        <f t="shared" si="38"/>
        <v>719400</v>
      </c>
      <c r="G130" s="160">
        <f t="shared" si="39"/>
        <v>654000</v>
      </c>
      <c r="H130" s="161" t="s">
        <v>172</v>
      </c>
      <c r="I130" s="132" t="s">
        <v>141</v>
      </c>
      <c r="J130" s="60">
        <f>G130-T130</f>
        <v>122840</v>
      </c>
      <c r="K130" s="58">
        <f t="shared" si="40"/>
        <v>0.18782874617737003</v>
      </c>
      <c r="L130" s="845">
        <v>17.7</v>
      </c>
      <c r="M130" s="578"/>
      <c r="N130" s="669">
        <f t="shared" si="24"/>
        <v>170706</v>
      </c>
      <c r="O130" s="680" t="s">
        <v>145</v>
      </c>
      <c r="P130" s="195" t="str">
        <f t="shared" si="26"/>
        <v>Agfa Film(24inch)</v>
      </c>
      <c r="Q130" s="192">
        <f t="shared" si="25"/>
        <v>2</v>
      </c>
      <c r="R130" s="193">
        <v>265580</v>
      </c>
      <c r="S130" s="147">
        <f t="shared" si="43"/>
        <v>584276</v>
      </c>
      <c r="T130" s="147">
        <f t="shared" si="44"/>
        <v>531160</v>
      </c>
      <c r="U130" s="209" t="str">
        <f t="shared" si="45"/>
        <v>O</v>
      </c>
      <c r="V130" s="209" t="s">
        <v>611</v>
      </c>
      <c r="W130" s="482">
        <f t="shared" si="46"/>
        <v>122840</v>
      </c>
    </row>
    <row r="131" spans="1:23" s="209" customFormat="1" ht="30" hidden="1" customHeight="1" x14ac:dyDescent="0.2">
      <c r="A131" s="203">
        <v>170706</v>
      </c>
      <c r="B131" s="671" t="s">
        <v>442</v>
      </c>
      <c r="C131" s="71" t="s">
        <v>134</v>
      </c>
      <c r="D131" s="71">
        <v>2</v>
      </c>
      <c r="E131" s="102">
        <v>401000</v>
      </c>
      <c r="F131" s="163">
        <f t="shared" si="38"/>
        <v>882200.00000000012</v>
      </c>
      <c r="G131" s="163">
        <f t="shared" si="39"/>
        <v>802000</v>
      </c>
      <c r="H131" s="161" t="s">
        <v>172</v>
      </c>
      <c r="I131" s="103" t="s">
        <v>141</v>
      </c>
      <c r="J131" s="60">
        <f>G131-T131</f>
        <v>182300</v>
      </c>
      <c r="K131" s="54">
        <f t="shared" si="40"/>
        <v>0.22730673316708225</v>
      </c>
      <c r="L131" s="846">
        <v>17.7</v>
      </c>
      <c r="M131" s="579"/>
      <c r="N131" s="671">
        <f t="shared" si="24"/>
        <v>170706</v>
      </c>
      <c r="O131" s="682" t="s">
        <v>145</v>
      </c>
      <c r="P131" s="164" t="str">
        <f t="shared" si="26"/>
        <v>Agfa Film(28inch)</v>
      </c>
      <c r="Q131" s="201">
        <f t="shared" si="25"/>
        <v>2</v>
      </c>
      <c r="R131" s="202">
        <v>309850</v>
      </c>
      <c r="S131" s="147">
        <f t="shared" si="43"/>
        <v>681670</v>
      </c>
      <c r="T131" s="147">
        <f t="shared" si="44"/>
        <v>619700</v>
      </c>
      <c r="U131" s="209" t="str">
        <f t="shared" si="45"/>
        <v>O</v>
      </c>
      <c r="V131" s="209" t="s">
        <v>611</v>
      </c>
      <c r="W131" s="482">
        <f t="shared" si="46"/>
        <v>182300</v>
      </c>
    </row>
    <row r="132" spans="1:23" s="209" customFormat="1" ht="30" hidden="1" customHeight="1" x14ac:dyDescent="0.2">
      <c r="A132" s="203">
        <v>170706</v>
      </c>
      <c r="B132" s="671" t="s">
        <v>442</v>
      </c>
      <c r="C132" s="71" t="s">
        <v>135</v>
      </c>
      <c r="D132" s="71">
        <v>2</v>
      </c>
      <c r="E132" s="102">
        <v>448000</v>
      </c>
      <c r="F132" s="163">
        <f t="shared" si="38"/>
        <v>985600.00000000012</v>
      </c>
      <c r="G132" s="163">
        <f t="shared" si="39"/>
        <v>896000</v>
      </c>
      <c r="H132" s="161" t="s">
        <v>172</v>
      </c>
      <c r="I132" s="103" t="s">
        <v>141</v>
      </c>
      <c r="J132" s="60">
        <f>G132-T132</f>
        <v>165640</v>
      </c>
      <c r="K132" s="54">
        <f t="shared" si="40"/>
        <v>0.18486607142857139</v>
      </c>
      <c r="L132" s="846">
        <v>17.7</v>
      </c>
      <c r="M132" s="579"/>
      <c r="N132" s="671">
        <f t="shared" si="24"/>
        <v>170706</v>
      </c>
      <c r="O132" s="682" t="s">
        <v>145</v>
      </c>
      <c r="P132" s="164" t="str">
        <f t="shared" si="26"/>
        <v>Agfa Film(32inch)</v>
      </c>
      <c r="Q132" s="201">
        <f t="shared" si="25"/>
        <v>2</v>
      </c>
      <c r="R132" s="202">
        <v>365180</v>
      </c>
      <c r="S132" s="147">
        <f t="shared" si="43"/>
        <v>803396.00000000012</v>
      </c>
      <c r="T132" s="147">
        <f t="shared" si="44"/>
        <v>730360</v>
      </c>
      <c r="U132" s="209" t="str">
        <f t="shared" si="45"/>
        <v>O</v>
      </c>
      <c r="V132" s="209" t="s">
        <v>611</v>
      </c>
      <c r="W132" s="482">
        <f t="shared" si="46"/>
        <v>165640</v>
      </c>
    </row>
    <row r="133" spans="1:23" s="210" customFormat="1" ht="30" hidden="1" customHeight="1" x14ac:dyDescent="0.2">
      <c r="A133" s="199">
        <v>170706</v>
      </c>
      <c r="B133" s="670" t="s">
        <v>442</v>
      </c>
      <c r="C133" s="84" t="s">
        <v>649</v>
      </c>
      <c r="D133" s="84">
        <v>2</v>
      </c>
      <c r="E133" s="189">
        <v>41000</v>
      </c>
      <c r="F133" s="190">
        <f t="shared" si="38"/>
        <v>90200.000000000015</v>
      </c>
      <c r="G133" s="190">
        <f t="shared" si="39"/>
        <v>82000</v>
      </c>
      <c r="H133" s="403" t="s">
        <v>172</v>
      </c>
      <c r="I133" s="133" t="s">
        <v>141</v>
      </c>
      <c r="J133" s="64">
        <f>G133-T133</f>
        <v>32000</v>
      </c>
      <c r="K133" s="62">
        <f t="shared" si="40"/>
        <v>0.39024390243902435</v>
      </c>
      <c r="L133" s="847">
        <v>17.7</v>
      </c>
      <c r="M133" s="580"/>
      <c r="N133" s="670">
        <f t="shared" si="24"/>
        <v>170706</v>
      </c>
      <c r="O133" s="681" t="s">
        <v>145</v>
      </c>
      <c r="P133" s="200" t="str">
        <f t="shared" si="26"/>
        <v>Agfa 현상액 G101C(10L)</v>
      </c>
      <c r="Q133" s="196">
        <f t="shared" si="25"/>
        <v>2</v>
      </c>
      <c r="R133" s="197">
        <v>25000</v>
      </c>
      <c r="S133" s="198">
        <f t="shared" si="43"/>
        <v>55000.000000000007</v>
      </c>
      <c r="T133" s="198">
        <f t="shared" si="44"/>
        <v>50000</v>
      </c>
      <c r="U133" s="210" t="str">
        <f t="shared" si="45"/>
        <v>O</v>
      </c>
      <c r="W133" s="481">
        <f t="shared" si="46"/>
        <v>32000</v>
      </c>
    </row>
    <row r="134" spans="1:23" s="209" customFormat="1" ht="30" hidden="1" customHeight="1" x14ac:dyDescent="0.25">
      <c r="A134" s="194">
        <v>170707</v>
      </c>
      <c r="B134" s="669" t="s">
        <v>444</v>
      </c>
      <c r="C134" s="680" t="s">
        <v>227</v>
      </c>
      <c r="D134" s="680">
        <v>10</v>
      </c>
      <c r="E134" s="700">
        <v>110000</v>
      </c>
      <c r="F134" s="700">
        <f t="shared" ref="F134:F141" si="47">(E134*D134)*1.1</f>
        <v>1210000</v>
      </c>
      <c r="G134" s="700">
        <f t="shared" ref="G134:G141" si="48">(E134*D134)</f>
        <v>1100000</v>
      </c>
      <c r="H134" s="719" t="s">
        <v>173</v>
      </c>
      <c r="I134" s="73" t="s">
        <v>109</v>
      </c>
      <c r="J134" s="60">
        <f>(G134-(VLOOKUP(C134,Price!B:D,3,FALSE)*D134))</f>
        <v>271000</v>
      </c>
      <c r="K134" s="58">
        <f t="shared" ref="K134:K140" si="49">(J134/(F134/11*10))</f>
        <v>0.24636363636363637</v>
      </c>
      <c r="L134" s="845">
        <v>17.7</v>
      </c>
      <c r="M134" s="578"/>
      <c r="N134" s="669">
        <f t="shared" ref="N134:N197" si="50">A134</f>
        <v>170707</v>
      </c>
      <c r="O134" s="680" t="s">
        <v>147</v>
      </c>
      <c r="P134" s="195" t="str">
        <f t="shared" si="26"/>
        <v>Blanket(1060*860)</v>
      </c>
      <c r="Q134" s="192">
        <f t="shared" ref="Q134:Q197" si="51">D134</f>
        <v>10</v>
      </c>
      <c r="R134" s="193">
        <v>82900</v>
      </c>
      <c r="S134" s="147">
        <f t="shared" si="43"/>
        <v>911900.00000000012</v>
      </c>
      <c r="T134" s="147">
        <f t="shared" si="44"/>
        <v>829000</v>
      </c>
      <c r="U134" s="209" t="str">
        <f t="shared" si="45"/>
        <v>O</v>
      </c>
      <c r="W134" s="482">
        <f t="shared" si="46"/>
        <v>271000</v>
      </c>
    </row>
    <row r="135" spans="1:23" s="209" customFormat="1" ht="30" hidden="1" customHeight="1" x14ac:dyDescent="0.25">
      <c r="A135" s="203">
        <v>170707</v>
      </c>
      <c r="B135" s="671" t="s">
        <v>444</v>
      </c>
      <c r="C135" s="682" t="s">
        <v>131</v>
      </c>
      <c r="D135" s="682">
        <v>6</v>
      </c>
      <c r="E135" s="702">
        <v>135000</v>
      </c>
      <c r="F135" s="700">
        <f t="shared" si="47"/>
        <v>891000.00000000012</v>
      </c>
      <c r="G135" s="700">
        <f t="shared" si="48"/>
        <v>810000</v>
      </c>
      <c r="H135" s="711" t="s">
        <v>173</v>
      </c>
      <c r="I135" s="71" t="s">
        <v>109</v>
      </c>
      <c r="J135" s="60">
        <f>(G135-(VLOOKUP(C135,Price!B:D,3,FALSE)*D135))</f>
        <v>150000</v>
      </c>
      <c r="K135" s="54">
        <f t="shared" si="49"/>
        <v>0.18518518518518515</v>
      </c>
      <c r="L135" s="846">
        <v>17.7</v>
      </c>
      <c r="M135" s="579"/>
      <c r="N135" s="671">
        <f t="shared" si="50"/>
        <v>170707</v>
      </c>
      <c r="O135" s="682" t="s">
        <v>148</v>
      </c>
      <c r="P135" s="164" t="str">
        <f t="shared" si="26"/>
        <v>UV wash(20L)</v>
      </c>
      <c r="Q135" s="201">
        <f t="shared" si="51"/>
        <v>6</v>
      </c>
      <c r="R135" s="202">
        <v>110000</v>
      </c>
      <c r="S135" s="147">
        <f t="shared" si="43"/>
        <v>726000.00000000012</v>
      </c>
      <c r="T135" s="147">
        <f t="shared" si="44"/>
        <v>660000</v>
      </c>
      <c r="U135" s="209" t="str">
        <f t="shared" si="45"/>
        <v>O</v>
      </c>
      <c r="W135" s="482">
        <f t="shared" si="46"/>
        <v>150000</v>
      </c>
    </row>
    <row r="136" spans="1:23" s="210" customFormat="1" ht="30" hidden="1" customHeight="1" x14ac:dyDescent="0.2">
      <c r="A136" s="199">
        <v>170707</v>
      </c>
      <c r="B136" s="670" t="s">
        <v>445</v>
      </c>
      <c r="C136" s="84" t="s">
        <v>121</v>
      </c>
      <c r="D136" s="84">
        <v>3</v>
      </c>
      <c r="E136" s="189">
        <v>110000</v>
      </c>
      <c r="F136" s="190">
        <f t="shared" si="47"/>
        <v>363000.00000000006</v>
      </c>
      <c r="G136" s="190">
        <f t="shared" si="48"/>
        <v>330000</v>
      </c>
      <c r="H136" s="191" t="s">
        <v>172</v>
      </c>
      <c r="I136" s="133" t="s">
        <v>142</v>
      </c>
      <c r="J136" s="61">
        <f>(G136-(VLOOKUP(C136,Price!B:D,3,FALSE)*D136))</f>
        <v>57000</v>
      </c>
      <c r="K136" s="62">
        <f t="shared" si="49"/>
        <v>0.1727272727272727</v>
      </c>
      <c r="L136" s="847">
        <v>17.7</v>
      </c>
      <c r="M136" s="580"/>
      <c r="N136" s="670">
        <f t="shared" si="50"/>
        <v>170707</v>
      </c>
      <c r="O136" s="681" t="s">
        <v>150</v>
      </c>
      <c r="P136" s="200" t="str">
        <f t="shared" si="26"/>
        <v>윤전용 실리콘</v>
      </c>
      <c r="Q136" s="196">
        <f t="shared" si="51"/>
        <v>3</v>
      </c>
      <c r="R136" s="197">
        <v>91000</v>
      </c>
      <c r="S136" s="198">
        <f t="shared" si="43"/>
        <v>300300</v>
      </c>
      <c r="T136" s="198">
        <f t="shared" si="44"/>
        <v>273000</v>
      </c>
      <c r="U136" s="210" t="str">
        <f t="shared" si="45"/>
        <v>O</v>
      </c>
      <c r="W136" s="481">
        <f t="shared" si="46"/>
        <v>57000</v>
      </c>
    </row>
    <row r="137" spans="1:23" s="209" customFormat="1" ht="30" hidden="1" customHeight="1" x14ac:dyDescent="0.25">
      <c r="A137" s="194">
        <v>170710</v>
      </c>
      <c r="B137" s="669" t="s">
        <v>590</v>
      </c>
      <c r="C137" s="680" t="s">
        <v>585</v>
      </c>
      <c r="D137" s="680">
        <v>200</v>
      </c>
      <c r="E137" s="700">
        <v>7500</v>
      </c>
      <c r="F137" s="700">
        <f t="shared" si="47"/>
        <v>1650000.0000000002</v>
      </c>
      <c r="G137" s="700">
        <f t="shared" si="48"/>
        <v>1500000</v>
      </c>
      <c r="H137" s="711" t="s">
        <v>173</v>
      </c>
      <c r="I137" s="71" t="s">
        <v>144</v>
      </c>
      <c r="J137" s="60">
        <f>(G137-(VLOOKUP(C137,Price!B:D,3,FALSE)*D137))</f>
        <v>146000</v>
      </c>
      <c r="K137" s="54">
        <f t="shared" si="49"/>
        <v>9.7333333333333313E-2</v>
      </c>
      <c r="L137" s="845">
        <v>17.7</v>
      </c>
      <c r="M137" s="578"/>
      <c r="N137" s="669">
        <f t="shared" si="50"/>
        <v>170710</v>
      </c>
      <c r="O137" s="680" t="s">
        <v>147</v>
      </c>
      <c r="P137" s="195" t="str">
        <f t="shared" si="26"/>
        <v>프리미어(적)</v>
      </c>
      <c r="Q137" s="192">
        <f t="shared" si="51"/>
        <v>200</v>
      </c>
      <c r="R137" s="415">
        <v>6770</v>
      </c>
      <c r="S137" s="147">
        <f t="shared" si="43"/>
        <v>1489400.0000000002</v>
      </c>
      <c r="T137" s="147">
        <f t="shared" si="44"/>
        <v>1354000</v>
      </c>
      <c r="U137" s="209" t="str">
        <f t="shared" si="45"/>
        <v>O</v>
      </c>
      <c r="W137" s="482">
        <f t="shared" si="46"/>
        <v>146000</v>
      </c>
    </row>
    <row r="138" spans="1:23" s="209" customFormat="1" ht="30" hidden="1" customHeight="1" x14ac:dyDescent="0.25">
      <c r="A138" s="203">
        <v>170710</v>
      </c>
      <c r="B138" s="671" t="s">
        <v>590</v>
      </c>
      <c r="C138" s="682" t="s">
        <v>586</v>
      </c>
      <c r="D138" s="682">
        <v>200</v>
      </c>
      <c r="E138" s="702">
        <v>6750</v>
      </c>
      <c r="F138" s="700">
        <f t="shared" si="47"/>
        <v>1485000.0000000002</v>
      </c>
      <c r="G138" s="700">
        <f t="shared" si="48"/>
        <v>1350000</v>
      </c>
      <c r="H138" s="711" t="s">
        <v>173</v>
      </c>
      <c r="I138" s="71" t="s">
        <v>144</v>
      </c>
      <c r="J138" s="60">
        <f>(G138-(VLOOKUP(C138,Price!B:D,3,FALSE)*D138))</f>
        <v>114000</v>
      </c>
      <c r="K138" s="54">
        <f t="shared" si="49"/>
        <v>8.4444444444444433E-2</v>
      </c>
      <c r="L138" s="846">
        <v>17.7</v>
      </c>
      <c r="M138" s="579"/>
      <c r="N138" s="671">
        <f t="shared" si="50"/>
        <v>170710</v>
      </c>
      <c r="O138" s="682" t="s">
        <v>147</v>
      </c>
      <c r="P138" s="164" t="str">
        <f t="shared" si="26"/>
        <v>프리미어(황)</v>
      </c>
      <c r="Q138" s="201">
        <f t="shared" si="51"/>
        <v>200</v>
      </c>
      <c r="R138" s="416">
        <v>6180</v>
      </c>
      <c r="S138" s="147">
        <f t="shared" si="43"/>
        <v>1359600</v>
      </c>
      <c r="T138" s="147">
        <f t="shared" si="44"/>
        <v>1236000</v>
      </c>
      <c r="U138" s="209" t="str">
        <f t="shared" si="45"/>
        <v>O</v>
      </c>
      <c r="W138" s="482">
        <f t="shared" si="46"/>
        <v>114000</v>
      </c>
    </row>
    <row r="139" spans="1:23" s="209" customFormat="1" ht="30" hidden="1" customHeight="1" x14ac:dyDescent="0.25">
      <c r="A139" s="203">
        <v>170710</v>
      </c>
      <c r="B139" s="671" t="s">
        <v>590</v>
      </c>
      <c r="C139" s="682" t="s">
        <v>587</v>
      </c>
      <c r="D139" s="682">
        <v>200</v>
      </c>
      <c r="E139" s="702">
        <v>8000</v>
      </c>
      <c r="F139" s="700">
        <f t="shared" si="47"/>
        <v>1760000.0000000002</v>
      </c>
      <c r="G139" s="700">
        <f t="shared" si="48"/>
        <v>1600000</v>
      </c>
      <c r="H139" s="711" t="s">
        <v>173</v>
      </c>
      <c r="I139" s="71" t="s">
        <v>144</v>
      </c>
      <c r="J139" s="60">
        <f>(G139-(VLOOKUP(C139,Price!B:D,3,FALSE)*D139))</f>
        <v>218000</v>
      </c>
      <c r="K139" s="54">
        <f t="shared" si="49"/>
        <v>0.13624999999999998</v>
      </c>
      <c r="L139" s="846">
        <v>17.7</v>
      </c>
      <c r="M139" s="579"/>
      <c r="N139" s="671">
        <f t="shared" si="50"/>
        <v>170710</v>
      </c>
      <c r="O139" s="682" t="s">
        <v>147</v>
      </c>
      <c r="P139" s="164" t="str">
        <f t="shared" si="26"/>
        <v>프리미어(청)</v>
      </c>
      <c r="Q139" s="201">
        <f t="shared" si="51"/>
        <v>200</v>
      </c>
      <c r="R139" s="416">
        <v>6910</v>
      </c>
      <c r="S139" s="147">
        <f t="shared" si="43"/>
        <v>1520200.0000000002</v>
      </c>
      <c r="T139" s="147">
        <f t="shared" si="44"/>
        <v>1382000</v>
      </c>
      <c r="U139" s="209" t="str">
        <f t="shared" si="45"/>
        <v>O</v>
      </c>
      <c r="W139" s="482">
        <f t="shared" si="46"/>
        <v>218000</v>
      </c>
    </row>
    <row r="140" spans="1:23" s="209" customFormat="1" ht="30" hidden="1" customHeight="1" x14ac:dyDescent="0.25">
      <c r="A140" s="203">
        <v>170710</v>
      </c>
      <c r="B140" s="671" t="s">
        <v>590</v>
      </c>
      <c r="C140" s="682" t="s">
        <v>616</v>
      </c>
      <c r="D140" s="682">
        <v>200</v>
      </c>
      <c r="E140" s="702">
        <v>6600</v>
      </c>
      <c r="F140" s="700">
        <f t="shared" si="47"/>
        <v>1452000.0000000002</v>
      </c>
      <c r="G140" s="700">
        <f t="shared" si="48"/>
        <v>1320000</v>
      </c>
      <c r="H140" s="711" t="s">
        <v>173</v>
      </c>
      <c r="I140" s="71" t="s">
        <v>144</v>
      </c>
      <c r="J140" s="60">
        <f>(G140-(VLOOKUP(C140,Price!B:D,3,FALSE)*D140))</f>
        <v>140000</v>
      </c>
      <c r="K140" s="54">
        <f t="shared" si="49"/>
        <v>0.10606060606060604</v>
      </c>
      <c r="L140" s="846">
        <v>17.7</v>
      </c>
      <c r="M140" s="579"/>
      <c r="N140" s="671">
        <f t="shared" si="50"/>
        <v>170710</v>
      </c>
      <c r="O140" s="682" t="s">
        <v>147</v>
      </c>
      <c r="P140" s="164" t="str">
        <f t="shared" si="26"/>
        <v>프리미어(먹)</v>
      </c>
      <c r="Q140" s="201">
        <f t="shared" si="51"/>
        <v>200</v>
      </c>
      <c r="R140" s="416">
        <v>5900</v>
      </c>
      <c r="S140" s="147">
        <f t="shared" si="43"/>
        <v>1298000</v>
      </c>
      <c r="T140" s="147">
        <f t="shared" si="44"/>
        <v>1180000</v>
      </c>
      <c r="U140" s="209" t="str">
        <f t="shared" si="45"/>
        <v>O</v>
      </c>
      <c r="W140" s="482">
        <f t="shared" si="46"/>
        <v>140000</v>
      </c>
    </row>
    <row r="141" spans="1:23" s="210" customFormat="1" ht="30" hidden="1" customHeight="1" x14ac:dyDescent="0.25">
      <c r="A141" s="199">
        <v>170710</v>
      </c>
      <c r="B141" s="670" t="s">
        <v>620</v>
      </c>
      <c r="C141" s="681" t="s">
        <v>123</v>
      </c>
      <c r="D141" s="681">
        <v>2</v>
      </c>
      <c r="E141" s="701">
        <v>90000</v>
      </c>
      <c r="F141" s="701">
        <f t="shared" si="47"/>
        <v>198000.00000000003</v>
      </c>
      <c r="G141" s="701">
        <f t="shared" si="48"/>
        <v>180000</v>
      </c>
      <c r="H141" s="1001" t="s">
        <v>39</v>
      </c>
      <c r="I141" s="84"/>
      <c r="J141" s="61">
        <f>(G141-(VLOOKUP(C141,Price!B:D,3,FALSE)*D141))</f>
        <v>135078</v>
      </c>
      <c r="K141" s="62">
        <f t="shared" ref="K141:K147" si="52">(J141/(F141/11*10))</f>
        <v>0.75043333333333317</v>
      </c>
      <c r="L141" s="847">
        <v>17.7</v>
      </c>
      <c r="M141" s="580"/>
      <c r="N141" s="670">
        <f t="shared" si="50"/>
        <v>170710</v>
      </c>
      <c r="O141" s="995" t="s">
        <v>39</v>
      </c>
      <c r="P141" s="200" t="str">
        <f t="shared" si="26"/>
        <v>필터백</v>
      </c>
      <c r="Q141" s="196">
        <f t="shared" si="51"/>
        <v>2</v>
      </c>
      <c r="R141" s="197">
        <v>19800</v>
      </c>
      <c r="S141" s="198">
        <f t="shared" si="43"/>
        <v>43560</v>
      </c>
      <c r="T141" s="198">
        <f t="shared" si="44"/>
        <v>39600</v>
      </c>
      <c r="U141" s="210" t="str">
        <f t="shared" si="45"/>
        <v>X</v>
      </c>
      <c r="W141" s="481">
        <f t="shared" si="46"/>
        <v>140400</v>
      </c>
    </row>
    <row r="142" spans="1:23" s="215" customFormat="1" ht="30" hidden="1" customHeight="1" x14ac:dyDescent="0.25">
      <c r="A142" s="213">
        <v>170711</v>
      </c>
      <c r="B142" s="673" t="s">
        <v>624</v>
      </c>
      <c r="C142" s="88" t="s">
        <v>625</v>
      </c>
      <c r="D142" s="88">
        <v>3</v>
      </c>
      <c r="E142" s="470">
        <v>4320000</v>
      </c>
      <c r="F142" s="470">
        <f t="shared" ref="F142:F149" si="53">(E142*D142)*1.1</f>
        <v>14256000.000000002</v>
      </c>
      <c r="G142" s="470">
        <f t="shared" ref="G142:G149" si="54">(E142*D142)</f>
        <v>12960000</v>
      </c>
      <c r="H142" s="776" t="s">
        <v>113</v>
      </c>
      <c r="I142" s="88"/>
      <c r="J142" s="510">
        <f>(G142-(VLOOKUP(C142,Import!C:G,4,FALSE)*D142))</f>
        <v>12960000</v>
      </c>
      <c r="K142" s="511">
        <f t="shared" si="52"/>
        <v>0.99999999999999989</v>
      </c>
      <c r="L142" s="404">
        <v>17.7</v>
      </c>
      <c r="M142" s="575" t="s">
        <v>626</v>
      </c>
      <c r="N142" s="673">
        <f t="shared" si="50"/>
        <v>170711</v>
      </c>
      <c r="O142" s="731" t="s">
        <v>113</v>
      </c>
      <c r="P142" s="214" t="str">
        <f t="shared" ref="P142:P198" si="55">(C142)</f>
        <v>Ink Module Drive Board</v>
      </c>
      <c r="Q142" s="211">
        <f t="shared" si="51"/>
        <v>3</v>
      </c>
      <c r="R142" s="212"/>
      <c r="S142" s="470">
        <f t="shared" si="43"/>
        <v>0</v>
      </c>
      <c r="T142" s="470">
        <f t="shared" si="44"/>
        <v>0</v>
      </c>
      <c r="U142" s="215" t="str">
        <f t="shared" si="45"/>
        <v>O</v>
      </c>
      <c r="W142" s="483">
        <f t="shared" si="46"/>
        <v>12960000</v>
      </c>
    </row>
    <row r="143" spans="1:23" s="209" customFormat="1" ht="30" hidden="1" customHeight="1" x14ac:dyDescent="0.25">
      <c r="A143" s="194">
        <v>170713</v>
      </c>
      <c r="B143" s="669" t="s">
        <v>590</v>
      </c>
      <c r="C143" s="409" t="s">
        <v>139</v>
      </c>
      <c r="D143" s="680">
        <v>10</v>
      </c>
      <c r="E143" s="700">
        <v>58000</v>
      </c>
      <c r="F143" s="700">
        <f t="shared" si="53"/>
        <v>638000</v>
      </c>
      <c r="G143" s="700">
        <f t="shared" si="54"/>
        <v>580000</v>
      </c>
      <c r="H143" s="719" t="s">
        <v>173</v>
      </c>
      <c r="I143" s="73" t="s">
        <v>140</v>
      </c>
      <c r="J143" s="60">
        <f>(G143-(VLOOKUP(C143,Price!B:D,3,FALSE)*D143))</f>
        <v>230000</v>
      </c>
      <c r="K143" s="58">
        <f t="shared" si="52"/>
        <v>0.39655172413793105</v>
      </c>
      <c r="L143" s="845">
        <v>17.7</v>
      </c>
      <c r="M143" s="578"/>
      <c r="N143" s="669">
        <f t="shared" si="50"/>
        <v>170713</v>
      </c>
      <c r="O143" s="680" t="s">
        <v>145</v>
      </c>
      <c r="P143" s="195" t="str">
        <f t="shared" si="55"/>
        <v>THR200(20L)</v>
      </c>
      <c r="Q143" s="192">
        <f t="shared" si="51"/>
        <v>10</v>
      </c>
      <c r="R143" s="193">
        <v>35000</v>
      </c>
      <c r="S143" s="147">
        <f t="shared" si="43"/>
        <v>385000.00000000006</v>
      </c>
      <c r="T143" s="147">
        <f t="shared" si="44"/>
        <v>350000</v>
      </c>
      <c r="U143" s="209" t="str">
        <f t="shared" si="45"/>
        <v>O</v>
      </c>
      <c r="W143" s="482">
        <f t="shared" si="46"/>
        <v>230000</v>
      </c>
    </row>
    <row r="144" spans="1:23" s="517" customFormat="1" ht="30" hidden="1" customHeight="1" x14ac:dyDescent="0.25">
      <c r="A144" s="516">
        <v>170713</v>
      </c>
      <c r="B144" s="677" t="s">
        <v>590</v>
      </c>
      <c r="C144" s="73" t="s">
        <v>568</v>
      </c>
      <c r="D144" s="687">
        <v>1200</v>
      </c>
      <c r="E144" s="708">
        <v>3990</v>
      </c>
      <c r="F144" s="147">
        <f t="shared" si="53"/>
        <v>5266800</v>
      </c>
      <c r="G144" s="147">
        <f t="shared" si="54"/>
        <v>4788000</v>
      </c>
      <c r="H144" s="720" t="s">
        <v>173</v>
      </c>
      <c r="I144" s="71" t="s">
        <v>140</v>
      </c>
      <c r="J144" s="60">
        <f>(G144-(VLOOKUP(C144,Price!B:D,3,FALSE)*D144))</f>
        <v>1500000</v>
      </c>
      <c r="K144" s="63">
        <f t="shared" si="52"/>
        <v>0.31328320802005011</v>
      </c>
      <c r="L144" s="849">
        <v>17.7</v>
      </c>
      <c r="M144" s="582"/>
      <c r="N144" s="677">
        <f t="shared" si="50"/>
        <v>170713</v>
      </c>
      <c r="O144" s="687" t="s">
        <v>145</v>
      </c>
      <c r="P144" s="166" t="str">
        <f t="shared" si="55"/>
        <v>ENGAGE 900X570 - 27RO</v>
      </c>
      <c r="Q144" s="519">
        <f t="shared" si="51"/>
        <v>1200</v>
      </c>
      <c r="R144" s="518">
        <v>2740</v>
      </c>
      <c r="S144" s="147">
        <f t="shared" si="43"/>
        <v>3616800.0000000005</v>
      </c>
      <c r="T144" s="147">
        <f t="shared" si="44"/>
        <v>3288000</v>
      </c>
      <c r="U144" s="517" t="str">
        <f t="shared" si="45"/>
        <v>O</v>
      </c>
      <c r="W144" s="520">
        <f t="shared" si="46"/>
        <v>1500000</v>
      </c>
    </row>
    <row r="145" spans="1:23" s="209" customFormat="1" ht="30" hidden="1" customHeight="1" x14ac:dyDescent="0.25">
      <c r="A145" s="512">
        <v>170713</v>
      </c>
      <c r="B145" s="677" t="s">
        <v>590</v>
      </c>
      <c r="C145" s="409" t="s">
        <v>585</v>
      </c>
      <c r="D145" s="409">
        <v>96</v>
      </c>
      <c r="E145" s="208">
        <v>7500</v>
      </c>
      <c r="F145" s="208">
        <f t="shared" si="53"/>
        <v>792000.00000000012</v>
      </c>
      <c r="G145" s="208">
        <f t="shared" si="54"/>
        <v>720000</v>
      </c>
      <c r="H145" s="524" t="s">
        <v>173</v>
      </c>
      <c r="I145" s="409" t="s">
        <v>144</v>
      </c>
      <c r="J145" s="60">
        <f>(G145-(VLOOKUP(C145,Price!B:D,3,FALSE)*D145))</f>
        <v>70080</v>
      </c>
      <c r="K145" s="54">
        <f t="shared" si="52"/>
        <v>9.7333333333333313E-2</v>
      </c>
      <c r="L145" s="514">
        <v>17.7</v>
      </c>
      <c r="M145" s="583"/>
      <c r="N145" s="674">
        <f t="shared" si="50"/>
        <v>170713</v>
      </c>
      <c r="O145" s="409" t="s">
        <v>147</v>
      </c>
      <c r="P145" s="162" t="str">
        <f t="shared" si="55"/>
        <v>프리미어(적)</v>
      </c>
      <c r="Q145" s="509">
        <f t="shared" si="51"/>
        <v>96</v>
      </c>
      <c r="R145" s="202">
        <v>6770</v>
      </c>
      <c r="S145" s="208">
        <f t="shared" si="43"/>
        <v>714912</v>
      </c>
      <c r="T145" s="147">
        <f t="shared" si="44"/>
        <v>649920</v>
      </c>
      <c r="U145" s="209" t="str">
        <f t="shared" si="45"/>
        <v>X</v>
      </c>
      <c r="W145" s="515"/>
    </row>
    <row r="146" spans="1:23" s="209" customFormat="1" ht="30" hidden="1" customHeight="1" x14ac:dyDescent="0.25">
      <c r="A146" s="194">
        <v>170713</v>
      </c>
      <c r="B146" s="677" t="s">
        <v>590</v>
      </c>
      <c r="C146" s="680" t="s">
        <v>586</v>
      </c>
      <c r="D146" s="680">
        <v>96</v>
      </c>
      <c r="E146" s="700">
        <v>6750</v>
      </c>
      <c r="F146" s="700">
        <f t="shared" si="53"/>
        <v>712800</v>
      </c>
      <c r="G146" s="700">
        <f t="shared" si="54"/>
        <v>648000</v>
      </c>
      <c r="H146" s="719" t="s">
        <v>173</v>
      </c>
      <c r="I146" s="73" t="s">
        <v>144</v>
      </c>
      <c r="J146" s="60">
        <f>(G146-(VLOOKUP(C146,Price!B:D,3,FALSE)*D146))</f>
        <v>54720</v>
      </c>
      <c r="K146" s="54">
        <f t="shared" si="52"/>
        <v>8.4444444444444447E-2</v>
      </c>
      <c r="L146" s="845">
        <v>17.7</v>
      </c>
      <c r="M146" s="578"/>
      <c r="N146" s="669">
        <f t="shared" si="50"/>
        <v>170713</v>
      </c>
      <c r="O146" s="680" t="s">
        <v>147</v>
      </c>
      <c r="P146" s="195" t="str">
        <f t="shared" si="55"/>
        <v>프리미어(황)</v>
      </c>
      <c r="Q146" s="192">
        <f t="shared" si="51"/>
        <v>96</v>
      </c>
      <c r="R146" s="202">
        <v>6180</v>
      </c>
      <c r="S146" s="147">
        <f t="shared" si="43"/>
        <v>652608</v>
      </c>
      <c r="T146" s="147">
        <f t="shared" si="44"/>
        <v>593280</v>
      </c>
      <c r="U146" s="209" t="str">
        <f t="shared" si="45"/>
        <v>O</v>
      </c>
      <c r="W146" s="482">
        <f t="shared" ref="W146:W151" si="56">(G146-T146)</f>
        <v>54720</v>
      </c>
    </row>
    <row r="147" spans="1:23" s="210" customFormat="1" ht="30" hidden="1" customHeight="1" x14ac:dyDescent="0.25">
      <c r="A147" s="199">
        <v>170713</v>
      </c>
      <c r="B147" s="670" t="s">
        <v>590</v>
      </c>
      <c r="C147" s="681" t="s">
        <v>587</v>
      </c>
      <c r="D147" s="681">
        <v>96</v>
      </c>
      <c r="E147" s="701">
        <v>8000</v>
      </c>
      <c r="F147" s="701">
        <f t="shared" si="53"/>
        <v>844800.00000000012</v>
      </c>
      <c r="G147" s="701">
        <f t="shared" si="54"/>
        <v>768000</v>
      </c>
      <c r="H147" s="712" t="s">
        <v>173</v>
      </c>
      <c r="I147" s="84" t="s">
        <v>144</v>
      </c>
      <c r="J147" s="64">
        <f>(G147-(VLOOKUP(C147,Price!B:D,3,FALSE)*D147))</f>
        <v>104640</v>
      </c>
      <c r="K147" s="62">
        <f t="shared" si="52"/>
        <v>0.13624999999999998</v>
      </c>
      <c r="L147" s="847">
        <v>17.7</v>
      </c>
      <c r="M147" s="580"/>
      <c r="N147" s="670">
        <f t="shared" si="50"/>
        <v>170713</v>
      </c>
      <c r="O147" s="681" t="s">
        <v>147</v>
      </c>
      <c r="P147" s="200" t="str">
        <f t="shared" si="55"/>
        <v>프리미어(청)</v>
      </c>
      <c r="Q147" s="196">
        <f t="shared" si="51"/>
        <v>96</v>
      </c>
      <c r="R147" s="197">
        <v>6910</v>
      </c>
      <c r="S147" s="198">
        <f t="shared" si="43"/>
        <v>729696.00000000012</v>
      </c>
      <c r="T147" s="198">
        <f t="shared" si="44"/>
        <v>663360</v>
      </c>
      <c r="U147" s="210" t="str">
        <f t="shared" si="45"/>
        <v>O</v>
      </c>
      <c r="W147" s="481">
        <f t="shared" si="56"/>
        <v>104640</v>
      </c>
    </row>
    <row r="148" spans="1:23" s="209" customFormat="1" ht="30" hidden="1" customHeight="1" x14ac:dyDescent="0.25">
      <c r="A148" s="194">
        <v>170714</v>
      </c>
      <c r="B148" s="669" t="s">
        <v>631</v>
      </c>
      <c r="C148" s="685" t="s">
        <v>701</v>
      </c>
      <c r="D148" s="680">
        <v>10</v>
      </c>
      <c r="E148" s="700">
        <v>82500</v>
      </c>
      <c r="F148" s="700">
        <f t="shared" si="53"/>
        <v>907500.00000000012</v>
      </c>
      <c r="G148" s="700">
        <f t="shared" si="54"/>
        <v>825000</v>
      </c>
      <c r="H148" s="719" t="s">
        <v>173</v>
      </c>
      <c r="I148" s="73" t="s">
        <v>109</v>
      </c>
      <c r="J148" s="60">
        <f>(G148-(VLOOKUP(C148,Price!B:D,3,FALSE)*D148))</f>
        <v>227000</v>
      </c>
      <c r="K148" s="58">
        <f t="shared" ref="K148:K155" si="57">(J148/(F148/11*10))</f>
        <v>0.27515151515151509</v>
      </c>
      <c r="L148" s="845">
        <v>17.7</v>
      </c>
      <c r="M148" s="578"/>
      <c r="N148" s="669">
        <f t="shared" si="50"/>
        <v>170714</v>
      </c>
      <c r="O148" s="680" t="s">
        <v>147</v>
      </c>
      <c r="P148" s="195" t="str">
        <f t="shared" si="55"/>
        <v>Blanket(830*750)</v>
      </c>
      <c r="Q148" s="192">
        <f t="shared" si="51"/>
        <v>10</v>
      </c>
      <c r="R148" s="193">
        <v>59800</v>
      </c>
      <c r="S148" s="147">
        <f t="shared" si="43"/>
        <v>657800</v>
      </c>
      <c r="T148" s="147">
        <f t="shared" si="44"/>
        <v>598000</v>
      </c>
      <c r="U148" s="209" t="str">
        <f t="shared" si="45"/>
        <v>O</v>
      </c>
      <c r="W148" s="482">
        <f t="shared" si="56"/>
        <v>227000</v>
      </c>
    </row>
    <row r="149" spans="1:23" s="209" customFormat="1" ht="30" hidden="1" customHeight="1" x14ac:dyDescent="0.25">
      <c r="A149" s="203">
        <v>170714</v>
      </c>
      <c r="B149" s="671" t="s">
        <v>631</v>
      </c>
      <c r="C149" s="686" t="s">
        <v>702</v>
      </c>
      <c r="D149" s="682">
        <v>10</v>
      </c>
      <c r="E149" s="702">
        <v>75000</v>
      </c>
      <c r="F149" s="702">
        <f t="shared" si="53"/>
        <v>825000.00000000012</v>
      </c>
      <c r="G149" s="702">
        <f t="shared" si="54"/>
        <v>750000</v>
      </c>
      <c r="H149" s="711" t="s">
        <v>173</v>
      </c>
      <c r="I149" s="71" t="s">
        <v>109</v>
      </c>
      <c r="J149" s="60">
        <f>(G149-(VLOOKUP(C149,Price!B:D,3,FALSE)*D149))</f>
        <v>256000</v>
      </c>
      <c r="K149" s="63">
        <f t="shared" si="57"/>
        <v>0.34133333333333327</v>
      </c>
      <c r="L149" s="846">
        <v>17.7</v>
      </c>
      <c r="M149" s="579"/>
      <c r="N149" s="671">
        <f t="shared" si="50"/>
        <v>170714</v>
      </c>
      <c r="O149" s="682" t="s">
        <v>147</v>
      </c>
      <c r="P149" s="164" t="str">
        <f t="shared" si="55"/>
        <v>Blanket(730*710)</v>
      </c>
      <c r="Q149" s="201">
        <f t="shared" si="51"/>
        <v>10</v>
      </c>
      <c r="R149" s="202">
        <v>49400</v>
      </c>
      <c r="S149" s="147">
        <f t="shared" si="43"/>
        <v>543400</v>
      </c>
      <c r="T149" s="147">
        <f t="shared" si="44"/>
        <v>494000</v>
      </c>
      <c r="U149" s="209" t="str">
        <f t="shared" si="45"/>
        <v>O</v>
      </c>
      <c r="W149" s="482">
        <f t="shared" si="56"/>
        <v>256000</v>
      </c>
    </row>
    <row r="150" spans="1:23" s="209" customFormat="1" ht="30" hidden="1" customHeight="1" x14ac:dyDescent="0.25">
      <c r="A150" s="203">
        <v>170714</v>
      </c>
      <c r="B150" s="671" t="s">
        <v>545</v>
      </c>
      <c r="C150" s="682" t="s">
        <v>227</v>
      </c>
      <c r="D150" s="682">
        <v>10</v>
      </c>
      <c r="E150" s="702">
        <v>110000</v>
      </c>
      <c r="F150" s="702">
        <f t="shared" ref="F150:F171" si="58">(E150*D150)*1.1</f>
        <v>1210000</v>
      </c>
      <c r="G150" s="702">
        <f t="shared" ref="G150:G171" si="59">(E150*D150)</f>
        <v>1100000</v>
      </c>
      <c r="H150" s="711" t="s">
        <v>173</v>
      </c>
      <c r="I150" s="71" t="s">
        <v>109</v>
      </c>
      <c r="J150" s="60">
        <f>(G150-(VLOOKUP(C150,Price!B:D,3,FALSE)*D150))</f>
        <v>271000</v>
      </c>
      <c r="K150" s="63">
        <f t="shared" si="57"/>
        <v>0.24636363636363637</v>
      </c>
      <c r="L150" s="846">
        <v>17.7</v>
      </c>
      <c r="M150" s="579"/>
      <c r="N150" s="671">
        <f t="shared" si="50"/>
        <v>170714</v>
      </c>
      <c r="O150" s="682" t="s">
        <v>147</v>
      </c>
      <c r="P150" s="164" t="str">
        <f t="shared" si="55"/>
        <v>Blanket(1060*860)</v>
      </c>
      <c r="Q150" s="201">
        <f t="shared" si="51"/>
        <v>10</v>
      </c>
      <c r="R150" s="202">
        <v>82900</v>
      </c>
      <c r="S150" s="147">
        <f t="shared" si="43"/>
        <v>911900.00000000012</v>
      </c>
      <c r="T150" s="147">
        <f t="shared" si="44"/>
        <v>829000</v>
      </c>
      <c r="U150" s="209" t="str">
        <f t="shared" si="45"/>
        <v>O</v>
      </c>
      <c r="W150" s="482">
        <f t="shared" si="56"/>
        <v>271000</v>
      </c>
    </row>
    <row r="151" spans="1:23" s="210" customFormat="1" ht="30" hidden="1" customHeight="1" x14ac:dyDescent="0.25">
      <c r="A151" s="199">
        <v>170714</v>
      </c>
      <c r="B151" s="670" t="s">
        <v>545</v>
      </c>
      <c r="C151" s="681" t="s">
        <v>132</v>
      </c>
      <c r="D151" s="681">
        <v>5</v>
      </c>
      <c r="E151" s="701">
        <v>135000</v>
      </c>
      <c r="F151" s="701">
        <f t="shared" si="58"/>
        <v>742500.00000000012</v>
      </c>
      <c r="G151" s="701">
        <f t="shared" si="59"/>
        <v>675000</v>
      </c>
      <c r="H151" s="712" t="s">
        <v>173</v>
      </c>
      <c r="I151" s="84" t="s">
        <v>108</v>
      </c>
      <c r="J151" s="64">
        <f>(G151-(VLOOKUP(C151,Price!B:D,3,FALSE)*D151))</f>
        <v>125000</v>
      </c>
      <c r="K151" s="62">
        <f t="shared" si="57"/>
        <v>0.18518518518518515</v>
      </c>
      <c r="L151" s="847">
        <v>17.7</v>
      </c>
      <c r="M151" s="580"/>
      <c r="N151" s="670">
        <f t="shared" si="50"/>
        <v>170714</v>
      </c>
      <c r="O151" s="681" t="s">
        <v>148</v>
      </c>
      <c r="P151" s="200" t="str">
        <f t="shared" si="55"/>
        <v>UV wash(20L)</v>
      </c>
      <c r="Q151" s="196">
        <f t="shared" si="51"/>
        <v>5</v>
      </c>
      <c r="R151" s="197">
        <v>110000</v>
      </c>
      <c r="S151" s="198">
        <f t="shared" si="43"/>
        <v>605000</v>
      </c>
      <c r="T151" s="198">
        <f t="shared" si="44"/>
        <v>550000</v>
      </c>
      <c r="U151" s="210" t="str">
        <f t="shared" si="45"/>
        <v>O</v>
      </c>
      <c r="W151" s="481">
        <f t="shared" si="56"/>
        <v>125000</v>
      </c>
    </row>
    <row r="152" spans="1:23" s="215" customFormat="1" ht="30" hidden="1" customHeight="1" x14ac:dyDescent="0.25">
      <c r="A152" s="213">
        <v>170717</v>
      </c>
      <c r="B152" s="673" t="s">
        <v>569</v>
      </c>
      <c r="C152" s="88" t="s">
        <v>236</v>
      </c>
      <c r="D152" s="88">
        <v>1</v>
      </c>
      <c r="E152" s="470">
        <v>70000</v>
      </c>
      <c r="F152" s="470">
        <f t="shared" si="58"/>
        <v>77000</v>
      </c>
      <c r="G152" s="470">
        <f t="shared" si="59"/>
        <v>70000</v>
      </c>
      <c r="H152" s="650" t="s">
        <v>173</v>
      </c>
      <c r="I152" s="88" t="s">
        <v>142</v>
      </c>
      <c r="J152" s="107">
        <f>(G152-(VLOOKUP(C152,Price!B:D,3,FALSE)*D152))</f>
        <v>20000</v>
      </c>
      <c r="K152" s="469">
        <f>(J152/(F152/11*10))</f>
        <v>0.2857142857142857</v>
      </c>
      <c r="L152" s="404">
        <v>17.7</v>
      </c>
      <c r="M152" s="575"/>
      <c r="N152" s="673">
        <f t="shared" si="50"/>
        <v>170717</v>
      </c>
      <c r="O152" s="88" t="s">
        <v>153</v>
      </c>
      <c r="P152" s="214" t="str">
        <f t="shared" si="55"/>
        <v>아스테이지(국전)</v>
      </c>
      <c r="Q152" s="211">
        <f t="shared" si="51"/>
        <v>1</v>
      </c>
      <c r="R152" s="212">
        <v>50000</v>
      </c>
      <c r="S152" s="470">
        <f t="shared" si="43"/>
        <v>55000.000000000007</v>
      </c>
      <c r="T152" s="470">
        <f t="shared" si="44"/>
        <v>50000</v>
      </c>
      <c r="U152" s="215" t="str">
        <f t="shared" si="45"/>
        <v>X</v>
      </c>
      <c r="W152" s="483"/>
    </row>
    <row r="153" spans="1:23" s="209" customFormat="1" ht="30" hidden="1" customHeight="1" x14ac:dyDescent="0.25">
      <c r="A153" s="194">
        <v>170718</v>
      </c>
      <c r="B153" s="669" t="s">
        <v>549</v>
      </c>
      <c r="C153" s="680" t="s">
        <v>217</v>
      </c>
      <c r="D153" s="680">
        <v>15</v>
      </c>
      <c r="E153" s="700">
        <v>112500</v>
      </c>
      <c r="F153" s="700">
        <f t="shared" si="58"/>
        <v>1856250.0000000002</v>
      </c>
      <c r="G153" s="700">
        <f t="shared" si="59"/>
        <v>1687500</v>
      </c>
      <c r="H153" s="524" t="s">
        <v>173</v>
      </c>
      <c r="I153" s="409" t="s">
        <v>120</v>
      </c>
      <c r="J153" s="97">
        <f>(G153-(VLOOKUP(C153,Price!B:D,3,FALSE)*D153))</f>
        <v>487500</v>
      </c>
      <c r="K153" s="58">
        <f t="shared" si="57"/>
        <v>0.28888888888888886</v>
      </c>
      <c r="L153" s="845">
        <v>17.7</v>
      </c>
      <c r="M153" s="578"/>
      <c r="N153" s="669">
        <f t="shared" si="50"/>
        <v>170718</v>
      </c>
      <c r="O153" s="680" t="s">
        <v>150</v>
      </c>
      <c r="P153" s="195" t="str">
        <f t="shared" si="55"/>
        <v>Fount 511</v>
      </c>
      <c r="Q153" s="192">
        <f t="shared" si="51"/>
        <v>15</v>
      </c>
      <c r="R153" s="193">
        <v>80000</v>
      </c>
      <c r="S153" s="147">
        <f t="shared" si="43"/>
        <v>1320000</v>
      </c>
      <c r="T153" s="147">
        <f t="shared" si="44"/>
        <v>1200000</v>
      </c>
      <c r="U153" s="209" t="str">
        <f t="shared" si="45"/>
        <v>O</v>
      </c>
      <c r="W153" s="482">
        <f t="shared" ref="W153:W162" si="60">(G153-T153)</f>
        <v>487500</v>
      </c>
    </row>
    <row r="154" spans="1:23" s="209" customFormat="1" ht="30" hidden="1" customHeight="1" x14ac:dyDescent="0.25">
      <c r="A154" s="203">
        <v>170718</v>
      </c>
      <c r="B154" s="671" t="s">
        <v>442</v>
      </c>
      <c r="C154" s="682" t="s">
        <v>107</v>
      </c>
      <c r="D154" s="682">
        <v>6</v>
      </c>
      <c r="E154" s="702">
        <v>110000</v>
      </c>
      <c r="F154" s="702">
        <f t="shared" si="58"/>
        <v>726000.00000000012</v>
      </c>
      <c r="G154" s="702">
        <f t="shared" si="59"/>
        <v>660000</v>
      </c>
      <c r="H154" s="690" t="s">
        <v>173</v>
      </c>
      <c r="I154" s="71" t="s">
        <v>109</v>
      </c>
      <c r="J154" s="53">
        <f>(G154-(VLOOKUP(C154,Price!B:D,3,FALSE)*D154))</f>
        <v>177000</v>
      </c>
      <c r="K154" s="63">
        <f t="shared" si="57"/>
        <v>0.26818181818181813</v>
      </c>
      <c r="L154" s="846">
        <v>17.7</v>
      </c>
      <c r="M154" s="579"/>
      <c r="N154" s="671">
        <f t="shared" si="50"/>
        <v>170718</v>
      </c>
      <c r="O154" s="682" t="s">
        <v>147</v>
      </c>
      <c r="P154" s="164" t="str">
        <f t="shared" si="55"/>
        <v>Blanket(1050*840)</v>
      </c>
      <c r="Q154" s="201">
        <f t="shared" si="51"/>
        <v>6</v>
      </c>
      <c r="R154" s="202">
        <v>80500</v>
      </c>
      <c r="S154" s="147">
        <f t="shared" si="43"/>
        <v>531300</v>
      </c>
      <c r="T154" s="147">
        <f t="shared" si="44"/>
        <v>483000</v>
      </c>
      <c r="U154" s="209" t="str">
        <f t="shared" si="45"/>
        <v>O</v>
      </c>
      <c r="W154" s="482">
        <f t="shared" si="60"/>
        <v>177000</v>
      </c>
    </row>
    <row r="155" spans="1:23" s="209" customFormat="1" ht="30" hidden="1" customHeight="1" x14ac:dyDescent="0.25">
      <c r="A155" s="203">
        <v>170718</v>
      </c>
      <c r="B155" s="671" t="s">
        <v>150</v>
      </c>
      <c r="C155" s="682" t="s">
        <v>632</v>
      </c>
      <c r="D155" s="682">
        <v>300</v>
      </c>
      <c r="E155" s="702">
        <v>5000</v>
      </c>
      <c r="F155" s="702">
        <f t="shared" si="58"/>
        <v>1650000.0000000002</v>
      </c>
      <c r="G155" s="702">
        <f t="shared" si="59"/>
        <v>1500000</v>
      </c>
      <c r="H155" s="779" t="s">
        <v>113</v>
      </c>
      <c r="I155" s="71"/>
      <c r="J155" s="53">
        <f>(G155-(VLOOKUP(C155,Import!C:G,4,FALSE)*D155))</f>
        <v>1500000</v>
      </c>
      <c r="K155" s="63">
        <f t="shared" si="57"/>
        <v>0.99999999999999989</v>
      </c>
      <c r="L155" s="846">
        <v>17.7</v>
      </c>
      <c r="M155" s="1232" t="s">
        <v>669</v>
      </c>
      <c r="N155" s="671">
        <f t="shared" si="50"/>
        <v>170718</v>
      </c>
      <c r="O155" s="811" t="s">
        <v>113</v>
      </c>
      <c r="P155" s="164" t="str">
        <f t="shared" si="55"/>
        <v>Pin, Folder</v>
      </c>
      <c r="Q155" s="201">
        <f t="shared" si="51"/>
        <v>300</v>
      </c>
      <c r="R155" s="202"/>
      <c r="S155" s="147">
        <f t="shared" si="43"/>
        <v>0</v>
      </c>
      <c r="T155" s="147">
        <f t="shared" si="44"/>
        <v>0</v>
      </c>
      <c r="U155" s="209" t="str">
        <f t="shared" si="45"/>
        <v>O</v>
      </c>
      <c r="W155" s="482">
        <f t="shared" si="60"/>
        <v>1500000</v>
      </c>
    </row>
    <row r="156" spans="1:23" s="209" customFormat="1" ht="30" hidden="1" customHeight="1" x14ac:dyDescent="0.25">
      <c r="A156" s="203">
        <v>170718</v>
      </c>
      <c r="B156" s="671" t="s">
        <v>150</v>
      </c>
      <c r="C156" s="682" t="s">
        <v>638</v>
      </c>
      <c r="D156" s="682">
        <v>1</v>
      </c>
      <c r="E156" s="702">
        <v>5900000</v>
      </c>
      <c r="F156" s="702">
        <f t="shared" si="58"/>
        <v>6490000.0000000009</v>
      </c>
      <c r="G156" s="702">
        <f t="shared" si="59"/>
        <v>5900000</v>
      </c>
      <c r="H156" s="779" t="s">
        <v>113</v>
      </c>
      <c r="I156" s="71"/>
      <c r="J156" s="53">
        <f>(G156-(VLOOKUP(C156,Import!C:G,4,FALSE)*D156))</f>
        <v>5900000</v>
      </c>
      <c r="K156" s="63">
        <f t="shared" ref="K156:K163" si="61">(J156/(F156/11*10))</f>
        <v>0.99999999999999989</v>
      </c>
      <c r="L156" s="846">
        <v>17.7</v>
      </c>
      <c r="M156" s="1233"/>
      <c r="N156" s="671">
        <f t="shared" si="50"/>
        <v>170718</v>
      </c>
      <c r="O156" s="811" t="s">
        <v>113</v>
      </c>
      <c r="P156" s="164" t="str">
        <f t="shared" si="55"/>
        <v>Moteur Baumer(WM.5793784)</v>
      </c>
      <c r="Q156" s="201">
        <f t="shared" si="51"/>
        <v>1</v>
      </c>
      <c r="R156" s="202"/>
      <c r="S156" s="147">
        <f t="shared" si="43"/>
        <v>0</v>
      </c>
      <c r="T156" s="147">
        <f t="shared" si="44"/>
        <v>0</v>
      </c>
      <c r="U156" s="209" t="str">
        <f t="shared" si="45"/>
        <v>O</v>
      </c>
      <c r="W156" s="482">
        <f t="shared" si="60"/>
        <v>5900000</v>
      </c>
    </row>
    <row r="157" spans="1:23" s="209" customFormat="1" ht="30" hidden="1" customHeight="1" x14ac:dyDescent="0.25">
      <c r="A157" s="203">
        <v>170718</v>
      </c>
      <c r="B157" s="671" t="s">
        <v>150</v>
      </c>
      <c r="C157" s="682" t="s">
        <v>639</v>
      </c>
      <c r="D157" s="682">
        <v>1</v>
      </c>
      <c r="E157" s="702">
        <v>6400000</v>
      </c>
      <c r="F157" s="702">
        <f t="shared" si="58"/>
        <v>7040000.0000000009</v>
      </c>
      <c r="G157" s="702">
        <f t="shared" si="59"/>
        <v>6400000</v>
      </c>
      <c r="H157" s="779" t="s">
        <v>113</v>
      </c>
      <c r="I157" s="71"/>
      <c r="J157" s="53">
        <f>(G157-(VLOOKUP(C157,Import!C:G,4,FALSE)*D157))</f>
        <v>6400000</v>
      </c>
      <c r="K157" s="63">
        <f t="shared" si="61"/>
        <v>0.99999999999999989</v>
      </c>
      <c r="L157" s="846">
        <v>17.7</v>
      </c>
      <c r="M157" s="1233"/>
      <c r="N157" s="671">
        <f t="shared" si="50"/>
        <v>170718</v>
      </c>
      <c r="O157" s="811" t="s">
        <v>113</v>
      </c>
      <c r="P157" s="164" t="str">
        <f t="shared" si="55"/>
        <v>Moteur Baumer(WM.5793785)</v>
      </c>
      <c r="Q157" s="201">
        <f t="shared" si="51"/>
        <v>1</v>
      </c>
      <c r="R157" s="202"/>
      <c r="S157" s="147">
        <f t="shared" si="43"/>
        <v>0</v>
      </c>
      <c r="T157" s="147">
        <f t="shared" si="44"/>
        <v>0</v>
      </c>
      <c r="U157" s="209" t="str">
        <f t="shared" si="45"/>
        <v>O</v>
      </c>
      <c r="W157" s="482">
        <f t="shared" si="60"/>
        <v>6400000</v>
      </c>
    </row>
    <row r="158" spans="1:23" s="209" customFormat="1" ht="30" hidden="1" customHeight="1" x14ac:dyDescent="0.25">
      <c r="A158" s="203">
        <v>170718</v>
      </c>
      <c r="B158" s="671" t="s">
        <v>150</v>
      </c>
      <c r="C158" s="682" t="s">
        <v>633</v>
      </c>
      <c r="D158" s="682">
        <v>4</v>
      </c>
      <c r="E158" s="702">
        <v>580000</v>
      </c>
      <c r="F158" s="702">
        <f t="shared" si="58"/>
        <v>2552000</v>
      </c>
      <c r="G158" s="702">
        <f t="shared" si="59"/>
        <v>2320000</v>
      </c>
      <c r="H158" s="779" t="s">
        <v>113</v>
      </c>
      <c r="I158" s="71"/>
      <c r="J158" s="53">
        <f>(G158-(VLOOKUP(C158,Import!C:G,4,FALSE)*D158))</f>
        <v>2320000</v>
      </c>
      <c r="K158" s="63">
        <f t="shared" si="61"/>
        <v>1</v>
      </c>
      <c r="L158" s="846">
        <v>17.7</v>
      </c>
      <c r="M158" s="1233"/>
      <c r="N158" s="671">
        <f t="shared" si="50"/>
        <v>170718</v>
      </c>
      <c r="O158" s="811" t="s">
        <v>113</v>
      </c>
      <c r="P158" s="164" t="str">
        <f t="shared" si="55"/>
        <v>Diaphragm Orange</v>
      </c>
      <c r="Q158" s="201">
        <f t="shared" si="51"/>
        <v>4</v>
      </c>
      <c r="R158" s="202"/>
      <c r="S158" s="147">
        <f t="shared" si="43"/>
        <v>0</v>
      </c>
      <c r="T158" s="147">
        <f t="shared" si="44"/>
        <v>0</v>
      </c>
      <c r="U158" s="209" t="str">
        <f t="shared" si="45"/>
        <v>O</v>
      </c>
      <c r="W158" s="482">
        <f t="shared" si="60"/>
        <v>2320000</v>
      </c>
    </row>
    <row r="159" spans="1:23" s="209" customFormat="1" ht="30" hidden="1" customHeight="1" x14ac:dyDescent="0.25">
      <c r="A159" s="203">
        <v>170718</v>
      </c>
      <c r="B159" s="671" t="s">
        <v>150</v>
      </c>
      <c r="C159" s="682" t="s">
        <v>634</v>
      </c>
      <c r="D159" s="682">
        <v>50</v>
      </c>
      <c r="E159" s="702">
        <v>60000</v>
      </c>
      <c r="F159" s="702">
        <f t="shared" si="58"/>
        <v>3300000.0000000005</v>
      </c>
      <c r="G159" s="702">
        <f t="shared" si="59"/>
        <v>3000000</v>
      </c>
      <c r="H159" s="779" t="s">
        <v>113</v>
      </c>
      <c r="I159" s="71"/>
      <c r="J159" s="53">
        <f>(G159-(VLOOKUP(C159,Import!C:G,4,FALSE)*D159))</f>
        <v>3000000</v>
      </c>
      <c r="K159" s="63">
        <f t="shared" si="61"/>
        <v>0.99999999999999989</v>
      </c>
      <c r="L159" s="846">
        <v>17.7</v>
      </c>
      <c r="M159" s="1233"/>
      <c r="N159" s="671">
        <f t="shared" si="50"/>
        <v>170718</v>
      </c>
      <c r="O159" s="811" t="s">
        <v>113</v>
      </c>
      <c r="P159" s="164" t="str">
        <f t="shared" si="55"/>
        <v>Cutting Rubber</v>
      </c>
      <c r="Q159" s="201">
        <f t="shared" si="51"/>
        <v>50</v>
      </c>
      <c r="R159" s="202"/>
      <c r="S159" s="147">
        <f t="shared" si="43"/>
        <v>0</v>
      </c>
      <c r="T159" s="147">
        <f t="shared" si="44"/>
        <v>0</v>
      </c>
      <c r="U159" s="209" t="str">
        <f t="shared" si="45"/>
        <v>O</v>
      </c>
      <c r="W159" s="482">
        <f t="shared" si="60"/>
        <v>3000000</v>
      </c>
    </row>
    <row r="160" spans="1:23" s="209" customFormat="1" ht="30" hidden="1" customHeight="1" x14ac:dyDescent="0.25">
      <c r="A160" s="203">
        <v>170718</v>
      </c>
      <c r="B160" s="671" t="s">
        <v>150</v>
      </c>
      <c r="C160" s="682" t="s">
        <v>635</v>
      </c>
      <c r="D160" s="682">
        <v>5</v>
      </c>
      <c r="E160" s="702">
        <v>440000</v>
      </c>
      <c r="F160" s="702">
        <f t="shared" si="58"/>
        <v>2420000</v>
      </c>
      <c r="G160" s="702">
        <f t="shared" si="59"/>
        <v>2200000</v>
      </c>
      <c r="H160" s="779" t="s">
        <v>113</v>
      </c>
      <c r="I160" s="71"/>
      <c r="J160" s="53">
        <f>(G160-(VLOOKUP(C160,Import!C:G,4,FALSE)*D160))</f>
        <v>2200000</v>
      </c>
      <c r="K160" s="63">
        <f t="shared" si="61"/>
        <v>1</v>
      </c>
      <c r="L160" s="846">
        <v>17.7</v>
      </c>
      <c r="M160" s="1233"/>
      <c r="N160" s="671">
        <f t="shared" si="50"/>
        <v>170718</v>
      </c>
      <c r="O160" s="811" t="s">
        <v>113</v>
      </c>
      <c r="P160" s="164" t="str">
        <f t="shared" si="55"/>
        <v>Blade rotative folder chopper</v>
      </c>
      <c r="Q160" s="201">
        <f t="shared" si="51"/>
        <v>5</v>
      </c>
      <c r="R160" s="202"/>
      <c r="S160" s="147">
        <f t="shared" si="43"/>
        <v>0</v>
      </c>
      <c r="T160" s="147">
        <f t="shared" si="44"/>
        <v>0</v>
      </c>
      <c r="U160" s="209" t="str">
        <f t="shared" si="45"/>
        <v>O</v>
      </c>
      <c r="W160" s="482">
        <f t="shared" si="60"/>
        <v>2200000</v>
      </c>
    </row>
    <row r="161" spans="1:23" s="209" customFormat="1" ht="30" hidden="1" customHeight="1" x14ac:dyDescent="0.25">
      <c r="A161" s="203">
        <v>170718</v>
      </c>
      <c r="B161" s="671" t="s">
        <v>150</v>
      </c>
      <c r="C161" s="682" t="s">
        <v>636</v>
      </c>
      <c r="D161" s="682">
        <v>10</v>
      </c>
      <c r="E161" s="702">
        <v>145000</v>
      </c>
      <c r="F161" s="702">
        <f t="shared" si="58"/>
        <v>1595000.0000000002</v>
      </c>
      <c r="G161" s="702">
        <f t="shared" si="59"/>
        <v>1450000</v>
      </c>
      <c r="H161" s="779" t="s">
        <v>113</v>
      </c>
      <c r="I161" s="71"/>
      <c r="J161" s="53">
        <f>(G161-(VLOOKUP(C161,Import!C:G,4,FALSE)*D161))</f>
        <v>1450000</v>
      </c>
      <c r="K161" s="63">
        <f t="shared" si="61"/>
        <v>0.99999999999999989</v>
      </c>
      <c r="L161" s="846">
        <v>17.7</v>
      </c>
      <c r="M161" s="1233"/>
      <c r="N161" s="671">
        <f t="shared" si="50"/>
        <v>170718</v>
      </c>
      <c r="O161" s="811" t="s">
        <v>113</v>
      </c>
      <c r="P161" s="164" t="str">
        <f t="shared" si="55"/>
        <v>Blade cut off knife</v>
      </c>
      <c r="Q161" s="201">
        <f t="shared" si="51"/>
        <v>10</v>
      </c>
      <c r="R161" s="202"/>
      <c r="S161" s="147">
        <f t="shared" ref="S161:S192" si="62">(R161*D161)*1.1</f>
        <v>0</v>
      </c>
      <c r="T161" s="147">
        <f t="shared" ref="T161:T192" si="63">(R161*Q161)</f>
        <v>0</v>
      </c>
      <c r="U161" s="209" t="str">
        <f t="shared" ref="U161:U192" si="64">IF(J161=W161,"O", "X")</f>
        <v>O</v>
      </c>
      <c r="W161" s="482">
        <f t="shared" si="60"/>
        <v>1450000</v>
      </c>
    </row>
    <row r="162" spans="1:23" s="209" customFormat="1" ht="30" hidden="1" customHeight="1" x14ac:dyDescent="0.25">
      <c r="A162" s="203">
        <v>170718</v>
      </c>
      <c r="B162" s="671" t="s">
        <v>150</v>
      </c>
      <c r="C162" s="682" t="s">
        <v>637</v>
      </c>
      <c r="D162" s="682">
        <v>8</v>
      </c>
      <c r="E162" s="702">
        <v>2750000</v>
      </c>
      <c r="F162" s="702">
        <f t="shared" si="58"/>
        <v>24200000.000000004</v>
      </c>
      <c r="G162" s="702">
        <f t="shared" si="59"/>
        <v>22000000</v>
      </c>
      <c r="H162" s="779" t="s">
        <v>113</v>
      </c>
      <c r="I162" s="71"/>
      <c r="J162" s="53">
        <f>(G162-(VLOOKUP(C162,Import!C:G,4,FALSE)*D162))</f>
        <v>22000000</v>
      </c>
      <c r="K162" s="63">
        <f t="shared" si="61"/>
        <v>0.99999999999999978</v>
      </c>
      <c r="L162" s="846">
        <v>17.7</v>
      </c>
      <c r="M162" s="1233"/>
      <c r="N162" s="671">
        <f t="shared" si="50"/>
        <v>170718</v>
      </c>
      <c r="O162" s="811" t="s">
        <v>113</v>
      </c>
      <c r="P162" s="164" t="str">
        <f t="shared" si="55"/>
        <v>Roll pinch</v>
      </c>
      <c r="Q162" s="201">
        <f t="shared" si="51"/>
        <v>8</v>
      </c>
      <c r="R162" s="202"/>
      <c r="S162" s="147">
        <f t="shared" si="62"/>
        <v>0</v>
      </c>
      <c r="T162" s="147">
        <f t="shared" si="63"/>
        <v>0</v>
      </c>
      <c r="U162" s="209" t="str">
        <f t="shared" si="64"/>
        <v>O</v>
      </c>
      <c r="W162" s="482">
        <f t="shared" si="60"/>
        <v>22000000</v>
      </c>
    </row>
    <row r="163" spans="1:23" s="209" customFormat="1" ht="30" hidden="1" customHeight="1" x14ac:dyDescent="0.25">
      <c r="A163" s="205">
        <v>170718</v>
      </c>
      <c r="B163" s="678" t="s">
        <v>662</v>
      </c>
      <c r="C163" s="683" t="s">
        <v>667</v>
      </c>
      <c r="D163" s="683">
        <v>2</v>
      </c>
      <c r="E163" s="703">
        <v>620000</v>
      </c>
      <c r="F163" s="703">
        <f>(E163*D163)*1.1</f>
        <v>1364000</v>
      </c>
      <c r="G163" s="703">
        <f>(E163*D163)</f>
        <v>1240000</v>
      </c>
      <c r="H163" s="780" t="s">
        <v>113</v>
      </c>
      <c r="I163" s="96"/>
      <c r="J163" s="586">
        <f>G163-T163</f>
        <v>1120000</v>
      </c>
      <c r="K163" s="63">
        <f t="shared" si="61"/>
        <v>0.90322580645161288</v>
      </c>
      <c r="L163" s="850">
        <v>17.7</v>
      </c>
      <c r="M163" s="1233"/>
      <c r="N163" s="678">
        <f t="shared" si="50"/>
        <v>170718</v>
      </c>
      <c r="O163" s="683" t="s">
        <v>599</v>
      </c>
      <c r="P163" s="164" t="str">
        <f t="shared" si="55"/>
        <v>Nozzle 0.3mm</v>
      </c>
      <c r="Q163" s="204">
        <f t="shared" si="51"/>
        <v>2</v>
      </c>
      <c r="R163" s="207">
        <v>60000</v>
      </c>
      <c r="S163" s="147">
        <f t="shared" si="62"/>
        <v>132000</v>
      </c>
      <c r="T163" s="147">
        <f t="shared" si="63"/>
        <v>120000</v>
      </c>
      <c r="U163" s="209" t="str">
        <f t="shared" si="64"/>
        <v>X</v>
      </c>
      <c r="V163" s="209" t="s">
        <v>688</v>
      </c>
      <c r="W163" s="482"/>
    </row>
    <row r="164" spans="1:23" s="210" customFormat="1" ht="30" hidden="1" customHeight="1" x14ac:dyDescent="0.25">
      <c r="A164" s="199">
        <v>170718</v>
      </c>
      <c r="B164" s="670" t="s">
        <v>150</v>
      </c>
      <c r="C164" s="681" t="s">
        <v>668</v>
      </c>
      <c r="D164" s="681">
        <v>1</v>
      </c>
      <c r="E164" s="701">
        <v>-9010000</v>
      </c>
      <c r="F164" s="701">
        <f>(E164*D164)*1.1</f>
        <v>-9911000</v>
      </c>
      <c r="G164" s="701">
        <f>(E164*D164)</f>
        <v>-9010000</v>
      </c>
      <c r="H164" s="781" t="s">
        <v>113</v>
      </c>
      <c r="I164" s="84"/>
      <c r="J164" s="61">
        <v>-9010000</v>
      </c>
      <c r="K164" s="62">
        <v>0</v>
      </c>
      <c r="L164" s="847">
        <v>17.7</v>
      </c>
      <c r="M164" s="1234"/>
      <c r="N164" s="670">
        <f t="shared" si="50"/>
        <v>170718</v>
      </c>
      <c r="O164" s="681"/>
      <c r="P164" s="200" t="str">
        <f t="shared" si="55"/>
        <v>최종가격 조정</v>
      </c>
      <c r="Q164" s="196">
        <f t="shared" si="51"/>
        <v>1</v>
      </c>
      <c r="R164" s="197"/>
      <c r="S164" s="198">
        <f t="shared" si="62"/>
        <v>0</v>
      </c>
      <c r="T164" s="198">
        <f t="shared" si="63"/>
        <v>0</v>
      </c>
      <c r="U164" s="210" t="str">
        <f t="shared" si="64"/>
        <v>O</v>
      </c>
      <c r="W164" s="481">
        <f t="shared" ref="W164:W207" si="65">(G164-T164)</f>
        <v>-9010000</v>
      </c>
    </row>
    <row r="165" spans="1:23" s="209" customFormat="1" ht="30" hidden="1" customHeight="1" x14ac:dyDescent="0.25">
      <c r="A165" s="194">
        <v>170720</v>
      </c>
      <c r="B165" s="677" t="s">
        <v>590</v>
      </c>
      <c r="C165" s="680" t="s">
        <v>585</v>
      </c>
      <c r="D165" s="680">
        <v>48</v>
      </c>
      <c r="E165" s="700">
        <v>7500</v>
      </c>
      <c r="F165" s="700">
        <f t="shared" si="58"/>
        <v>396000.00000000006</v>
      </c>
      <c r="G165" s="700">
        <f t="shared" si="59"/>
        <v>360000</v>
      </c>
      <c r="H165" s="711" t="s">
        <v>173</v>
      </c>
      <c r="I165" s="71" t="s">
        <v>144</v>
      </c>
      <c r="J165" s="60">
        <f>(G165-(VLOOKUP(C165,Price!B:D,3,FALSE)*D165))</f>
        <v>35040</v>
      </c>
      <c r="K165" s="54">
        <f t="shared" ref="K165:K188" si="66">(J165/(F165/11*10))</f>
        <v>9.7333333333333313E-2</v>
      </c>
      <c r="L165" s="845">
        <v>17.7</v>
      </c>
      <c r="M165" s="578"/>
      <c r="N165" s="669">
        <f t="shared" si="50"/>
        <v>170720</v>
      </c>
      <c r="O165" s="680" t="s">
        <v>147</v>
      </c>
      <c r="P165" s="195" t="str">
        <f t="shared" si="55"/>
        <v>프리미어(적)</v>
      </c>
      <c r="Q165" s="192">
        <f t="shared" si="51"/>
        <v>48</v>
      </c>
      <c r="R165" s="415">
        <v>6770</v>
      </c>
      <c r="S165" s="147">
        <f t="shared" si="62"/>
        <v>357456</v>
      </c>
      <c r="T165" s="147">
        <f t="shared" si="63"/>
        <v>324960</v>
      </c>
      <c r="U165" s="209" t="str">
        <f t="shared" si="64"/>
        <v>O</v>
      </c>
      <c r="W165" s="482">
        <f t="shared" si="65"/>
        <v>35040</v>
      </c>
    </row>
    <row r="166" spans="1:23" s="209" customFormat="1" ht="30" hidden="1" customHeight="1" x14ac:dyDescent="0.25">
      <c r="A166" s="203">
        <v>170720</v>
      </c>
      <c r="B166" s="677" t="s">
        <v>590</v>
      </c>
      <c r="C166" s="682" t="s">
        <v>586</v>
      </c>
      <c r="D166" s="682">
        <v>48</v>
      </c>
      <c r="E166" s="702">
        <v>6750</v>
      </c>
      <c r="F166" s="700">
        <f t="shared" si="58"/>
        <v>356400</v>
      </c>
      <c r="G166" s="700">
        <f t="shared" si="59"/>
        <v>324000</v>
      </c>
      <c r="H166" s="711" t="s">
        <v>173</v>
      </c>
      <c r="I166" s="71" t="s">
        <v>144</v>
      </c>
      <c r="J166" s="60">
        <f>(G166-(VLOOKUP(C166,Price!B:D,3,FALSE)*D166))</f>
        <v>27360</v>
      </c>
      <c r="K166" s="54">
        <f t="shared" si="66"/>
        <v>8.4444444444444447E-2</v>
      </c>
      <c r="L166" s="846">
        <v>17.7</v>
      </c>
      <c r="M166" s="579"/>
      <c r="N166" s="671">
        <f t="shared" si="50"/>
        <v>170720</v>
      </c>
      <c r="O166" s="682" t="s">
        <v>147</v>
      </c>
      <c r="P166" s="164" t="str">
        <f t="shared" si="55"/>
        <v>프리미어(황)</v>
      </c>
      <c r="Q166" s="201">
        <f t="shared" si="51"/>
        <v>48</v>
      </c>
      <c r="R166" s="416">
        <v>6180</v>
      </c>
      <c r="S166" s="147">
        <f t="shared" si="62"/>
        <v>326304</v>
      </c>
      <c r="T166" s="147">
        <f t="shared" si="63"/>
        <v>296640</v>
      </c>
      <c r="U166" s="209" t="str">
        <f t="shared" si="64"/>
        <v>O</v>
      </c>
      <c r="W166" s="482">
        <f t="shared" si="65"/>
        <v>27360</v>
      </c>
    </row>
    <row r="167" spans="1:23" s="209" customFormat="1" ht="30" hidden="1" customHeight="1" x14ac:dyDescent="0.25">
      <c r="A167" s="203">
        <v>170720</v>
      </c>
      <c r="B167" s="677" t="s">
        <v>590</v>
      </c>
      <c r="C167" s="682" t="s">
        <v>587</v>
      </c>
      <c r="D167" s="682">
        <v>248</v>
      </c>
      <c r="E167" s="702">
        <v>8000</v>
      </c>
      <c r="F167" s="700">
        <f t="shared" si="58"/>
        <v>2182400</v>
      </c>
      <c r="G167" s="700">
        <f t="shared" si="59"/>
        <v>1984000</v>
      </c>
      <c r="H167" s="711" t="s">
        <v>173</v>
      </c>
      <c r="I167" s="71" t="s">
        <v>144</v>
      </c>
      <c r="J167" s="60">
        <f>(G167-(VLOOKUP(C167,Price!B:D,3,FALSE)*D167))</f>
        <v>270320</v>
      </c>
      <c r="K167" s="54">
        <f t="shared" si="66"/>
        <v>0.13625000000000001</v>
      </c>
      <c r="L167" s="846">
        <v>17.7</v>
      </c>
      <c r="M167" s="579"/>
      <c r="N167" s="671">
        <f t="shared" si="50"/>
        <v>170720</v>
      </c>
      <c r="O167" s="682" t="s">
        <v>147</v>
      </c>
      <c r="P167" s="164" t="str">
        <f t="shared" si="55"/>
        <v>프리미어(청)</v>
      </c>
      <c r="Q167" s="201">
        <f t="shared" si="51"/>
        <v>248</v>
      </c>
      <c r="R167" s="416">
        <v>6910</v>
      </c>
      <c r="S167" s="147">
        <f t="shared" si="62"/>
        <v>1885048.0000000002</v>
      </c>
      <c r="T167" s="147">
        <f t="shared" si="63"/>
        <v>1713680</v>
      </c>
      <c r="U167" s="209" t="str">
        <f t="shared" si="64"/>
        <v>O</v>
      </c>
      <c r="W167" s="482">
        <f t="shared" si="65"/>
        <v>270320</v>
      </c>
    </row>
    <row r="168" spans="1:23" s="517" customFormat="1" ht="30" hidden="1" customHeight="1" x14ac:dyDescent="0.25">
      <c r="A168" s="516">
        <v>170720</v>
      </c>
      <c r="B168" s="677" t="s">
        <v>590</v>
      </c>
      <c r="C168" s="687" t="s">
        <v>616</v>
      </c>
      <c r="D168" s="687">
        <v>24</v>
      </c>
      <c r="E168" s="708">
        <v>6600</v>
      </c>
      <c r="F168" s="147">
        <f t="shared" si="58"/>
        <v>174240</v>
      </c>
      <c r="G168" s="147">
        <f t="shared" si="59"/>
        <v>158400</v>
      </c>
      <c r="H168" s="720" t="s">
        <v>173</v>
      </c>
      <c r="I168" s="71" t="s">
        <v>144</v>
      </c>
      <c r="J168" s="60">
        <f>(G168-(VLOOKUP(C168,Price!B:D,3,FALSE)*D168))</f>
        <v>16800</v>
      </c>
      <c r="K168" s="63">
        <f t="shared" si="66"/>
        <v>0.10606060606060606</v>
      </c>
      <c r="L168" s="849">
        <v>17.7</v>
      </c>
      <c r="M168" s="582"/>
      <c r="N168" s="677">
        <f t="shared" si="50"/>
        <v>170720</v>
      </c>
      <c r="O168" s="687" t="s">
        <v>147</v>
      </c>
      <c r="P168" s="166" t="str">
        <f t="shared" si="55"/>
        <v>프리미어(먹)</v>
      </c>
      <c r="Q168" s="519">
        <f t="shared" si="51"/>
        <v>24</v>
      </c>
      <c r="R168" s="527">
        <v>5900</v>
      </c>
      <c r="S168" s="147">
        <f t="shared" si="62"/>
        <v>155760</v>
      </c>
      <c r="T168" s="147">
        <f t="shared" si="63"/>
        <v>141600</v>
      </c>
      <c r="U168" s="517" t="str">
        <f t="shared" si="64"/>
        <v>O</v>
      </c>
      <c r="W168" s="520">
        <f t="shared" si="65"/>
        <v>16800</v>
      </c>
    </row>
    <row r="169" spans="1:23" s="210" customFormat="1" ht="30" hidden="1" customHeight="1" x14ac:dyDescent="0.25">
      <c r="A169" s="423">
        <v>170720</v>
      </c>
      <c r="B169" s="672" t="s">
        <v>411</v>
      </c>
      <c r="C169" s="411" t="s">
        <v>236</v>
      </c>
      <c r="D169" s="411">
        <v>5</v>
      </c>
      <c r="E169" s="198">
        <v>100000</v>
      </c>
      <c r="F169" s="198">
        <f t="shared" si="58"/>
        <v>550000</v>
      </c>
      <c r="G169" s="198">
        <f t="shared" si="59"/>
        <v>500000</v>
      </c>
      <c r="H169" s="696" t="s">
        <v>173</v>
      </c>
      <c r="I169" s="411" t="s">
        <v>142</v>
      </c>
      <c r="J169" s="64">
        <f>(G169-(VLOOKUP(C169,Price!B:D,3,FALSE)*D169))</f>
        <v>250000</v>
      </c>
      <c r="K169" s="425">
        <f t="shared" si="66"/>
        <v>0.5</v>
      </c>
      <c r="L169" s="426">
        <v>17.7</v>
      </c>
      <c r="M169" s="581"/>
      <c r="N169" s="672">
        <f t="shared" si="50"/>
        <v>170720</v>
      </c>
      <c r="O169" s="411" t="s">
        <v>153</v>
      </c>
      <c r="P169" s="424" t="str">
        <f t="shared" si="55"/>
        <v>아스테이지(국전)</v>
      </c>
      <c r="Q169" s="413">
        <f t="shared" si="51"/>
        <v>5</v>
      </c>
      <c r="R169" s="414">
        <v>50000</v>
      </c>
      <c r="S169" s="198">
        <f t="shared" si="62"/>
        <v>275000</v>
      </c>
      <c r="T169" s="198">
        <f t="shared" si="63"/>
        <v>250000</v>
      </c>
      <c r="U169" s="210" t="str">
        <f t="shared" si="64"/>
        <v>O</v>
      </c>
      <c r="W169" s="481">
        <f t="shared" si="65"/>
        <v>250000</v>
      </c>
    </row>
    <row r="170" spans="1:23" s="209" customFormat="1" ht="30" hidden="1" customHeight="1" x14ac:dyDescent="0.25">
      <c r="A170" s="194">
        <v>170721</v>
      </c>
      <c r="B170" s="669" t="s">
        <v>640</v>
      </c>
      <c r="C170" s="680" t="s">
        <v>107</v>
      </c>
      <c r="D170" s="680">
        <v>10</v>
      </c>
      <c r="E170" s="700">
        <v>108000</v>
      </c>
      <c r="F170" s="700">
        <f t="shared" si="58"/>
        <v>1188000</v>
      </c>
      <c r="G170" s="700">
        <f t="shared" si="59"/>
        <v>1080000</v>
      </c>
      <c r="H170" s="719" t="s">
        <v>173</v>
      </c>
      <c r="I170" s="73" t="s">
        <v>109</v>
      </c>
      <c r="J170" s="97">
        <f>(G170-(VLOOKUP(C170,Price!B:D,3,FALSE)*D170))</f>
        <v>275000</v>
      </c>
      <c r="K170" s="58">
        <f t="shared" si="66"/>
        <v>0.25462962962962965</v>
      </c>
      <c r="L170" s="845">
        <v>17.7</v>
      </c>
      <c r="M170" s="578"/>
      <c r="N170" s="669">
        <f t="shared" si="50"/>
        <v>170721</v>
      </c>
      <c r="O170" s="680" t="s">
        <v>147</v>
      </c>
      <c r="P170" s="195" t="str">
        <f t="shared" si="55"/>
        <v>Blanket(1050*840)</v>
      </c>
      <c r="Q170" s="192">
        <f t="shared" si="51"/>
        <v>10</v>
      </c>
      <c r="R170" s="193">
        <v>80500</v>
      </c>
      <c r="S170" s="147">
        <f t="shared" si="62"/>
        <v>885500.00000000012</v>
      </c>
      <c r="T170" s="147">
        <f t="shared" si="63"/>
        <v>805000</v>
      </c>
      <c r="U170" s="209" t="str">
        <f t="shared" si="64"/>
        <v>O</v>
      </c>
      <c r="W170" s="482">
        <f t="shared" si="65"/>
        <v>275000</v>
      </c>
    </row>
    <row r="171" spans="1:23" s="209" customFormat="1" ht="30" hidden="1" customHeight="1" x14ac:dyDescent="0.25">
      <c r="A171" s="203">
        <v>170721</v>
      </c>
      <c r="B171" s="671" t="s">
        <v>545</v>
      </c>
      <c r="C171" s="682" t="s">
        <v>132</v>
      </c>
      <c r="D171" s="682">
        <v>4</v>
      </c>
      <c r="E171" s="702">
        <v>135000</v>
      </c>
      <c r="F171" s="702">
        <f t="shared" si="58"/>
        <v>594000</v>
      </c>
      <c r="G171" s="702">
        <f t="shared" si="59"/>
        <v>540000</v>
      </c>
      <c r="H171" s="711" t="s">
        <v>173</v>
      </c>
      <c r="I171" s="71" t="s">
        <v>108</v>
      </c>
      <c r="J171" s="60">
        <f>(G171-(VLOOKUP(C171,Price!B:D,3,FALSE)*D171))</f>
        <v>100000</v>
      </c>
      <c r="K171" s="54">
        <f t="shared" si="66"/>
        <v>0.18518518518518517</v>
      </c>
      <c r="L171" s="846">
        <v>17.7</v>
      </c>
      <c r="M171" s="579"/>
      <c r="N171" s="671">
        <f t="shared" si="50"/>
        <v>170721</v>
      </c>
      <c r="O171" s="682" t="s">
        <v>148</v>
      </c>
      <c r="P171" s="164" t="str">
        <f t="shared" si="55"/>
        <v>UV wash(20L)</v>
      </c>
      <c r="Q171" s="201">
        <f t="shared" si="51"/>
        <v>4</v>
      </c>
      <c r="R171" s="202">
        <v>110000</v>
      </c>
      <c r="S171" s="147">
        <f t="shared" si="62"/>
        <v>484000.00000000006</v>
      </c>
      <c r="T171" s="147">
        <f t="shared" si="63"/>
        <v>440000</v>
      </c>
      <c r="U171" s="209" t="str">
        <f t="shared" si="64"/>
        <v>O</v>
      </c>
      <c r="W171" s="482">
        <f t="shared" si="65"/>
        <v>100000</v>
      </c>
    </row>
    <row r="172" spans="1:23" s="209" customFormat="1" ht="30" hidden="1" customHeight="1" x14ac:dyDescent="0.25">
      <c r="A172" s="203">
        <v>170721</v>
      </c>
      <c r="B172" s="671" t="s">
        <v>590</v>
      </c>
      <c r="C172" s="680" t="s">
        <v>585</v>
      </c>
      <c r="D172" s="682">
        <v>36</v>
      </c>
      <c r="E172" s="700">
        <v>7500</v>
      </c>
      <c r="F172" s="702">
        <f t="shared" ref="F172:F191" si="67">(E172*D172)*1.1</f>
        <v>297000</v>
      </c>
      <c r="G172" s="702">
        <f t="shared" ref="G172:G191" si="68">(E172*D172)</f>
        <v>270000</v>
      </c>
      <c r="H172" s="711" t="s">
        <v>173</v>
      </c>
      <c r="I172" s="71" t="s">
        <v>144</v>
      </c>
      <c r="J172" s="60">
        <f>(G172-(VLOOKUP(C172,Price!B:D,3,FALSE)*D172))</f>
        <v>26280</v>
      </c>
      <c r="K172" s="54">
        <f t="shared" si="66"/>
        <v>9.7333333333333327E-2</v>
      </c>
      <c r="L172" s="846">
        <v>17.7</v>
      </c>
      <c r="M172" s="579"/>
      <c r="N172" s="671">
        <f t="shared" si="50"/>
        <v>170721</v>
      </c>
      <c r="O172" s="682" t="s">
        <v>147</v>
      </c>
      <c r="P172" s="164" t="str">
        <f t="shared" si="55"/>
        <v>프리미어(적)</v>
      </c>
      <c r="Q172" s="201">
        <f t="shared" si="51"/>
        <v>36</v>
      </c>
      <c r="R172" s="202">
        <v>6770</v>
      </c>
      <c r="S172" s="147">
        <f t="shared" si="62"/>
        <v>268092</v>
      </c>
      <c r="T172" s="147">
        <f t="shared" si="63"/>
        <v>243720</v>
      </c>
      <c r="U172" s="209" t="str">
        <f t="shared" si="64"/>
        <v>O</v>
      </c>
      <c r="W172" s="482">
        <f t="shared" si="65"/>
        <v>26280</v>
      </c>
    </row>
    <row r="173" spans="1:23" s="209" customFormat="1" ht="30" hidden="1" customHeight="1" x14ac:dyDescent="0.25">
      <c r="A173" s="203">
        <v>170721</v>
      </c>
      <c r="B173" s="671" t="s">
        <v>590</v>
      </c>
      <c r="C173" s="682" t="s">
        <v>586</v>
      </c>
      <c r="D173" s="682">
        <v>36</v>
      </c>
      <c r="E173" s="702">
        <v>6750</v>
      </c>
      <c r="F173" s="702">
        <f t="shared" si="67"/>
        <v>267300</v>
      </c>
      <c r="G173" s="702">
        <f t="shared" si="68"/>
        <v>243000</v>
      </c>
      <c r="H173" s="694" t="s">
        <v>173</v>
      </c>
      <c r="I173" s="192" t="s">
        <v>144</v>
      </c>
      <c r="J173" s="60">
        <f>(G173-(VLOOKUP(C173,Price!B:D,3,FALSE)*D173))</f>
        <v>20520</v>
      </c>
      <c r="K173" s="54">
        <f t="shared" si="66"/>
        <v>8.4444444444444447E-2</v>
      </c>
      <c r="L173" s="203">
        <v>17.7</v>
      </c>
      <c r="M173" s="579"/>
      <c r="N173" s="671">
        <f t="shared" si="50"/>
        <v>170721</v>
      </c>
      <c r="O173" s="682" t="s">
        <v>147</v>
      </c>
      <c r="P173" s="164" t="str">
        <f t="shared" si="55"/>
        <v>프리미어(황)</v>
      </c>
      <c r="Q173" s="201">
        <f t="shared" si="51"/>
        <v>36</v>
      </c>
      <c r="R173" s="202">
        <v>6180</v>
      </c>
      <c r="S173" s="147">
        <f t="shared" si="62"/>
        <v>244728.00000000003</v>
      </c>
      <c r="T173" s="147">
        <f t="shared" si="63"/>
        <v>222480</v>
      </c>
      <c r="U173" s="209" t="str">
        <f t="shared" si="64"/>
        <v>O</v>
      </c>
      <c r="W173" s="482">
        <f t="shared" si="65"/>
        <v>20520</v>
      </c>
    </row>
    <row r="174" spans="1:23" s="209" customFormat="1" ht="30" hidden="1" customHeight="1" x14ac:dyDescent="0.25">
      <c r="A174" s="203">
        <v>170721</v>
      </c>
      <c r="B174" s="671" t="s">
        <v>590</v>
      </c>
      <c r="C174" s="682" t="s">
        <v>587</v>
      </c>
      <c r="D174" s="682">
        <v>12</v>
      </c>
      <c r="E174" s="702">
        <v>8000</v>
      </c>
      <c r="F174" s="702">
        <f t="shared" si="67"/>
        <v>105600.00000000001</v>
      </c>
      <c r="G174" s="702">
        <f t="shared" si="68"/>
        <v>96000</v>
      </c>
      <c r="H174" s="694" t="s">
        <v>173</v>
      </c>
      <c r="I174" s="201" t="s">
        <v>144</v>
      </c>
      <c r="J174" s="60">
        <f>(G174-(VLOOKUP(C174,Price!B:D,3,FALSE)*D174))</f>
        <v>13080</v>
      </c>
      <c r="K174" s="54">
        <f t="shared" si="66"/>
        <v>0.13624999999999998</v>
      </c>
      <c r="L174" s="203">
        <v>17.7</v>
      </c>
      <c r="M174" s="579"/>
      <c r="N174" s="671">
        <f t="shared" si="50"/>
        <v>170721</v>
      </c>
      <c r="O174" s="682" t="s">
        <v>147</v>
      </c>
      <c r="P174" s="164" t="str">
        <f t="shared" si="55"/>
        <v>프리미어(청)</v>
      </c>
      <c r="Q174" s="201">
        <f t="shared" si="51"/>
        <v>12</v>
      </c>
      <c r="R174" s="202">
        <v>6910</v>
      </c>
      <c r="S174" s="147">
        <f t="shared" si="62"/>
        <v>91212.000000000015</v>
      </c>
      <c r="T174" s="147">
        <f t="shared" si="63"/>
        <v>82920</v>
      </c>
      <c r="U174" s="209" t="str">
        <f t="shared" si="64"/>
        <v>O</v>
      </c>
      <c r="W174" s="482">
        <f t="shared" si="65"/>
        <v>13080</v>
      </c>
    </row>
    <row r="175" spans="1:23" s="210" customFormat="1" ht="30" hidden="1" customHeight="1" x14ac:dyDescent="0.25">
      <c r="A175" s="199">
        <v>170721</v>
      </c>
      <c r="B175" s="670" t="s">
        <v>590</v>
      </c>
      <c r="C175" s="681" t="s">
        <v>616</v>
      </c>
      <c r="D175" s="681">
        <v>36</v>
      </c>
      <c r="E175" s="701">
        <v>6600</v>
      </c>
      <c r="F175" s="701">
        <f t="shared" si="67"/>
        <v>261360.00000000003</v>
      </c>
      <c r="G175" s="701">
        <f t="shared" si="68"/>
        <v>237600</v>
      </c>
      <c r="H175" s="693" t="s">
        <v>173</v>
      </c>
      <c r="I175" s="196" t="s">
        <v>144</v>
      </c>
      <c r="J175" s="64">
        <f>(G175-(VLOOKUP(C175,Price!B:D,3,FALSE)*D175))</f>
        <v>25200</v>
      </c>
      <c r="K175" s="62">
        <f t="shared" si="66"/>
        <v>0.10606060606060605</v>
      </c>
      <c r="L175" s="199">
        <v>17.7</v>
      </c>
      <c r="M175" s="580"/>
      <c r="N175" s="670">
        <f t="shared" si="50"/>
        <v>170721</v>
      </c>
      <c r="O175" s="681" t="s">
        <v>147</v>
      </c>
      <c r="P175" s="200" t="str">
        <f t="shared" si="55"/>
        <v>프리미어(먹)</v>
      </c>
      <c r="Q175" s="196">
        <f t="shared" si="51"/>
        <v>36</v>
      </c>
      <c r="R175" s="197">
        <v>5900</v>
      </c>
      <c r="S175" s="198">
        <f t="shared" si="62"/>
        <v>233640.00000000003</v>
      </c>
      <c r="T175" s="198">
        <f t="shared" si="63"/>
        <v>212400</v>
      </c>
      <c r="U175" s="210" t="str">
        <f t="shared" si="64"/>
        <v>O</v>
      </c>
      <c r="W175" s="481">
        <f t="shared" si="65"/>
        <v>25200</v>
      </c>
    </row>
    <row r="176" spans="1:23" s="215" customFormat="1" ht="30" hidden="1" customHeight="1" x14ac:dyDescent="0.25">
      <c r="A176" s="213">
        <v>170722</v>
      </c>
      <c r="B176" s="673" t="s">
        <v>647</v>
      </c>
      <c r="C176" s="1002" t="s">
        <v>671</v>
      </c>
      <c r="D176" s="88">
        <v>1</v>
      </c>
      <c r="E176" s="470">
        <v>1490000</v>
      </c>
      <c r="F176" s="470">
        <f t="shared" si="67"/>
        <v>1639000.0000000002</v>
      </c>
      <c r="G176" s="470">
        <f t="shared" si="68"/>
        <v>1490000</v>
      </c>
      <c r="H176" s="650" t="s">
        <v>173</v>
      </c>
      <c r="I176" s="215" t="s">
        <v>142</v>
      </c>
      <c r="J176" s="107">
        <v>190000</v>
      </c>
      <c r="K176" s="469">
        <f t="shared" si="66"/>
        <v>0.12751677852348992</v>
      </c>
      <c r="L176" s="213">
        <v>17.7</v>
      </c>
      <c r="M176" s="575"/>
      <c r="N176" s="673">
        <f t="shared" si="50"/>
        <v>170722</v>
      </c>
      <c r="O176" s="88" t="s">
        <v>678</v>
      </c>
      <c r="P176" s="214" t="str">
        <f t="shared" si="55"/>
        <v>Technotrans 펌프모터 교체 및 서비스</v>
      </c>
      <c r="Q176" s="211">
        <f t="shared" si="51"/>
        <v>1</v>
      </c>
      <c r="R176" s="212">
        <v>1300000</v>
      </c>
      <c r="S176" s="470">
        <f t="shared" si="62"/>
        <v>1430000</v>
      </c>
      <c r="T176" s="470">
        <f t="shared" si="63"/>
        <v>1300000</v>
      </c>
      <c r="U176" s="215" t="str">
        <f t="shared" si="64"/>
        <v>O</v>
      </c>
      <c r="W176" s="483">
        <f t="shared" si="65"/>
        <v>190000</v>
      </c>
    </row>
    <row r="177" spans="1:23" s="209" customFormat="1" ht="30" hidden="1" customHeight="1" x14ac:dyDescent="0.25">
      <c r="A177" s="194">
        <v>170724</v>
      </c>
      <c r="B177" s="669" t="s">
        <v>590</v>
      </c>
      <c r="C177" s="680" t="s">
        <v>585</v>
      </c>
      <c r="D177" s="680">
        <v>36</v>
      </c>
      <c r="E177" s="700">
        <v>7500</v>
      </c>
      <c r="F177" s="700">
        <f t="shared" si="67"/>
        <v>297000</v>
      </c>
      <c r="G177" s="700">
        <f t="shared" si="68"/>
        <v>270000</v>
      </c>
      <c r="H177" s="719" t="s">
        <v>173</v>
      </c>
      <c r="I177" s="73" t="s">
        <v>144</v>
      </c>
      <c r="J177" s="60">
        <f>(G177-(VLOOKUP(C177,Price!B:D,3,FALSE)*D177))</f>
        <v>26280</v>
      </c>
      <c r="K177" s="58">
        <f t="shared" si="66"/>
        <v>9.7333333333333327E-2</v>
      </c>
      <c r="L177" s="194">
        <v>17.7</v>
      </c>
      <c r="M177" s="578"/>
      <c r="N177" s="669">
        <f t="shared" si="50"/>
        <v>170724</v>
      </c>
      <c r="O177" s="680" t="s">
        <v>147</v>
      </c>
      <c r="P177" s="195" t="str">
        <f t="shared" si="55"/>
        <v>프리미어(적)</v>
      </c>
      <c r="Q177" s="192">
        <f t="shared" si="51"/>
        <v>36</v>
      </c>
      <c r="R177" s="193">
        <v>6770</v>
      </c>
      <c r="S177" s="147">
        <f t="shared" si="62"/>
        <v>268092</v>
      </c>
      <c r="T177" s="147">
        <f t="shared" si="63"/>
        <v>243720</v>
      </c>
      <c r="U177" s="209" t="str">
        <f t="shared" si="64"/>
        <v>O</v>
      </c>
      <c r="W177" s="482">
        <f t="shared" si="65"/>
        <v>26280</v>
      </c>
    </row>
    <row r="178" spans="1:23" s="209" customFormat="1" ht="30" hidden="1" customHeight="1" x14ac:dyDescent="0.25">
      <c r="A178" s="203">
        <v>170724</v>
      </c>
      <c r="B178" s="671" t="s">
        <v>590</v>
      </c>
      <c r="C178" s="682" t="s">
        <v>586</v>
      </c>
      <c r="D178" s="682">
        <v>36</v>
      </c>
      <c r="E178" s="702">
        <v>6750</v>
      </c>
      <c r="F178" s="702">
        <f t="shared" si="67"/>
        <v>267300</v>
      </c>
      <c r="G178" s="702">
        <f t="shared" si="68"/>
        <v>243000</v>
      </c>
      <c r="H178" s="694" t="s">
        <v>173</v>
      </c>
      <c r="I178" s="192" t="s">
        <v>144</v>
      </c>
      <c r="J178" s="60">
        <f>(G178-(VLOOKUP(C178,Price!B:D,3,FALSE)*D178))</f>
        <v>20520</v>
      </c>
      <c r="K178" s="54">
        <f t="shared" si="66"/>
        <v>8.4444444444444447E-2</v>
      </c>
      <c r="L178" s="203">
        <v>17.7</v>
      </c>
      <c r="M178" s="579"/>
      <c r="N178" s="671">
        <f t="shared" si="50"/>
        <v>170724</v>
      </c>
      <c r="O178" s="682" t="s">
        <v>147</v>
      </c>
      <c r="P178" s="164" t="str">
        <f t="shared" si="55"/>
        <v>프리미어(황)</v>
      </c>
      <c r="Q178" s="201">
        <f t="shared" si="51"/>
        <v>36</v>
      </c>
      <c r="R178" s="202">
        <v>6180</v>
      </c>
      <c r="S178" s="147">
        <f t="shared" si="62"/>
        <v>244728.00000000003</v>
      </c>
      <c r="T178" s="147">
        <f t="shared" si="63"/>
        <v>222480</v>
      </c>
      <c r="U178" s="209" t="str">
        <f t="shared" si="64"/>
        <v>O</v>
      </c>
      <c r="W178" s="482">
        <f t="shared" si="65"/>
        <v>20520</v>
      </c>
    </row>
    <row r="179" spans="1:23" s="210" customFormat="1" ht="30" hidden="1" customHeight="1" x14ac:dyDescent="0.25">
      <c r="A179" s="199">
        <v>170724</v>
      </c>
      <c r="B179" s="670" t="s">
        <v>590</v>
      </c>
      <c r="C179" s="681" t="s">
        <v>587</v>
      </c>
      <c r="D179" s="681">
        <v>60</v>
      </c>
      <c r="E179" s="701">
        <v>8000</v>
      </c>
      <c r="F179" s="701">
        <f t="shared" si="67"/>
        <v>528000</v>
      </c>
      <c r="G179" s="701">
        <f t="shared" si="68"/>
        <v>480000</v>
      </c>
      <c r="H179" s="693" t="s">
        <v>173</v>
      </c>
      <c r="I179" s="196" t="s">
        <v>144</v>
      </c>
      <c r="J179" s="64">
        <f>(G179-(VLOOKUP(C179,Price!B:D,3,FALSE)*D179))</f>
        <v>65400</v>
      </c>
      <c r="K179" s="62">
        <f t="shared" si="66"/>
        <v>0.13625000000000001</v>
      </c>
      <c r="L179" s="199">
        <v>17.7</v>
      </c>
      <c r="M179" s="580"/>
      <c r="N179" s="670">
        <f t="shared" si="50"/>
        <v>170724</v>
      </c>
      <c r="O179" s="681" t="s">
        <v>147</v>
      </c>
      <c r="P179" s="200" t="str">
        <f t="shared" si="55"/>
        <v>프리미어(청)</v>
      </c>
      <c r="Q179" s="196">
        <f t="shared" si="51"/>
        <v>60</v>
      </c>
      <c r="R179" s="197">
        <v>6910</v>
      </c>
      <c r="S179" s="198">
        <f t="shared" si="62"/>
        <v>456060.00000000006</v>
      </c>
      <c r="T179" s="198">
        <f t="shared" si="63"/>
        <v>414600</v>
      </c>
      <c r="U179" s="210" t="str">
        <f t="shared" si="64"/>
        <v>O</v>
      </c>
      <c r="W179" s="481">
        <f t="shared" si="65"/>
        <v>65400</v>
      </c>
    </row>
    <row r="180" spans="1:23" s="209" customFormat="1" ht="30" hidden="1" customHeight="1" x14ac:dyDescent="0.25">
      <c r="A180" s="194">
        <v>170725</v>
      </c>
      <c r="B180" s="663" t="s">
        <v>442</v>
      </c>
      <c r="C180" s="73" t="s">
        <v>133</v>
      </c>
      <c r="D180" s="73">
        <v>2</v>
      </c>
      <c r="E180" s="147">
        <v>327000</v>
      </c>
      <c r="F180" s="700">
        <f t="shared" si="67"/>
        <v>719400</v>
      </c>
      <c r="G180" s="700">
        <f t="shared" si="68"/>
        <v>654000</v>
      </c>
      <c r="H180" s="692" t="s">
        <v>173</v>
      </c>
      <c r="I180" s="529" t="s">
        <v>141</v>
      </c>
      <c r="J180" s="60">
        <f>(G180-(VLOOKUP(C180,Price!B:D,3,FALSE)*D180))</f>
        <v>115800</v>
      </c>
      <c r="K180" s="58">
        <f t="shared" si="66"/>
        <v>0.17706422018348625</v>
      </c>
      <c r="L180" s="845">
        <v>17.7</v>
      </c>
      <c r="M180" s="578"/>
      <c r="N180" s="669">
        <f t="shared" si="50"/>
        <v>170725</v>
      </c>
      <c r="O180" s="680" t="s">
        <v>145</v>
      </c>
      <c r="P180" s="195" t="str">
        <f t="shared" si="55"/>
        <v>Agfa Film(24inch)</v>
      </c>
      <c r="Q180" s="192">
        <f t="shared" si="51"/>
        <v>2</v>
      </c>
      <c r="R180" s="193">
        <v>269100</v>
      </c>
      <c r="S180" s="147">
        <f t="shared" si="62"/>
        <v>592020</v>
      </c>
      <c r="T180" s="147">
        <f t="shared" si="63"/>
        <v>538200</v>
      </c>
      <c r="U180" s="209" t="str">
        <f t="shared" si="64"/>
        <v>O</v>
      </c>
      <c r="W180" s="482">
        <f t="shared" si="65"/>
        <v>115800</v>
      </c>
    </row>
    <row r="181" spans="1:23" s="209" customFormat="1" ht="30" hidden="1" customHeight="1" x14ac:dyDescent="0.25">
      <c r="A181" s="203">
        <v>170725</v>
      </c>
      <c r="B181" s="664" t="s">
        <v>442</v>
      </c>
      <c r="C181" s="71" t="s">
        <v>134</v>
      </c>
      <c r="D181" s="71">
        <v>2</v>
      </c>
      <c r="E181" s="102">
        <v>401000</v>
      </c>
      <c r="F181" s="702">
        <f t="shared" si="67"/>
        <v>882200.00000000012</v>
      </c>
      <c r="G181" s="702">
        <f t="shared" si="68"/>
        <v>802000</v>
      </c>
      <c r="H181" s="694" t="s">
        <v>173</v>
      </c>
      <c r="I181" s="528" t="s">
        <v>141</v>
      </c>
      <c r="J181" s="60">
        <f>(G181-(VLOOKUP(C181,Price!B:D,3,FALSE)*D181))</f>
        <v>174080</v>
      </c>
      <c r="K181" s="54">
        <f t="shared" si="66"/>
        <v>0.21705735660847877</v>
      </c>
      <c r="L181" s="846">
        <v>17.7</v>
      </c>
      <c r="M181" s="579"/>
      <c r="N181" s="671">
        <f t="shared" si="50"/>
        <v>170725</v>
      </c>
      <c r="O181" s="682" t="s">
        <v>145</v>
      </c>
      <c r="P181" s="164" t="str">
        <f t="shared" si="55"/>
        <v>Agfa Film(28inch)</v>
      </c>
      <c r="Q181" s="201">
        <f t="shared" si="51"/>
        <v>2</v>
      </c>
      <c r="R181" s="202">
        <v>313960</v>
      </c>
      <c r="S181" s="147">
        <f t="shared" si="62"/>
        <v>690712</v>
      </c>
      <c r="T181" s="147">
        <f t="shared" si="63"/>
        <v>627920</v>
      </c>
      <c r="U181" s="209" t="str">
        <f t="shared" si="64"/>
        <v>O</v>
      </c>
      <c r="W181" s="482">
        <f t="shared" si="65"/>
        <v>174080</v>
      </c>
    </row>
    <row r="182" spans="1:23" s="209" customFormat="1" ht="30" hidden="1" customHeight="1" x14ac:dyDescent="0.25">
      <c r="A182" s="203">
        <v>170725</v>
      </c>
      <c r="B182" s="664" t="s">
        <v>442</v>
      </c>
      <c r="C182" s="71" t="s">
        <v>135</v>
      </c>
      <c r="D182" s="71">
        <v>2</v>
      </c>
      <c r="E182" s="102">
        <v>448000</v>
      </c>
      <c r="F182" s="700">
        <f t="shared" si="67"/>
        <v>985600.00000000012</v>
      </c>
      <c r="G182" s="700">
        <f t="shared" si="68"/>
        <v>896000</v>
      </c>
      <c r="H182" s="694" t="s">
        <v>173</v>
      </c>
      <c r="I182" s="528" t="s">
        <v>141</v>
      </c>
      <c r="J182" s="60">
        <f>(G182-(VLOOKUP(C182,Price!B:D,3,FALSE)*D182))</f>
        <v>155980</v>
      </c>
      <c r="K182" s="54">
        <f t="shared" si="66"/>
        <v>0.1740848214285714</v>
      </c>
      <c r="L182" s="846">
        <v>17.7</v>
      </c>
      <c r="M182" s="579"/>
      <c r="N182" s="671">
        <f t="shared" si="50"/>
        <v>170725</v>
      </c>
      <c r="O182" s="682" t="s">
        <v>145</v>
      </c>
      <c r="P182" s="164" t="str">
        <f>(C182)</f>
        <v>Agfa Film(32inch)</v>
      </c>
      <c r="Q182" s="201">
        <f t="shared" si="51"/>
        <v>2</v>
      </c>
      <c r="R182" s="202">
        <v>370010</v>
      </c>
      <c r="S182" s="147">
        <f t="shared" si="62"/>
        <v>814022.00000000012</v>
      </c>
      <c r="T182" s="147">
        <f t="shared" si="63"/>
        <v>740020</v>
      </c>
      <c r="U182" s="209" t="str">
        <f t="shared" si="64"/>
        <v>O</v>
      </c>
      <c r="W182" s="482">
        <f t="shared" si="65"/>
        <v>155980</v>
      </c>
    </row>
    <row r="183" spans="1:23" s="210" customFormat="1" ht="30" hidden="1" customHeight="1" x14ac:dyDescent="0.25">
      <c r="A183" s="199">
        <v>170725</v>
      </c>
      <c r="B183" s="668" t="s">
        <v>442</v>
      </c>
      <c r="C183" s="84" t="s">
        <v>649</v>
      </c>
      <c r="D183" s="84">
        <v>2</v>
      </c>
      <c r="E183" s="189">
        <v>41000</v>
      </c>
      <c r="F183" s="701">
        <f t="shared" si="67"/>
        <v>90200.000000000015</v>
      </c>
      <c r="G183" s="701">
        <f t="shared" si="68"/>
        <v>82000</v>
      </c>
      <c r="H183" s="693" t="s">
        <v>173</v>
      </c>
      <c r="I183" s="530" t="s">
        <v>141</v>
      </c>
      <c r="J183" s="64">
        <f>(G183-(VLOOKUP(C183,Price!B:D,3,FALSE)*D183))</f>
        <v>32000</v>
      </c>
      <c r="K183" s="62">
        <f t="shared" si="66"/>
        <v>0.39024390243902435</v>
      </c>
      <c r="L183" s="847">
        <v>17.7</v>
      </c>
      <c r="M183" s="580"/>
      <c r="N183" s="670">
        <f t="shared" si="50"/>
        <v>170725</v>
      </c>
      <c r="O183" s="681" t="s">
        <v>145</v>
      </c>
      <c r="P183" s="200" t="str">
        <f>(C183)</f>
        <v>Agfa 현상액 G101C(10L)</v>
      </c>
      <c r="Q183" s="196">
        <f t="shared" si="51"/>
        <v>2</v>
      </c>
      <c r="R183" s="197">
        <v>25000</v>
      </c>
      <c r="S183" s="198">
        <f t="shared" si="62"/>
        <v>55000.000000000007</v>
      </c>
      <c r="T183" s="198">
        <f t="shared" si="63"/>
        <v>50000</v>
      </c>
      <c r="U183" s="210" t="str">
        <f t="shared" si="64"/>
        <v>O</v>
      </c>
      <c r="W183" s="481">
        <f t="shared" si="65"/>
        <v>32000</v>
      </c>
    </row>
    <row r="184" spans="1:23" s="209" customFormat="1" ht="30" hidden="1" customHeight="1" x14ac:dyDescent="0.25">
      <c r="A184" s="194">
        <v>170726</v>
      </c>
      <c r="B184" s="669" t="s">
        <v>590</v>
      </c>
      <c r="C184" s="680" t="s">
        <v>652</v>
      </c>
      <c r="D184" s="680">
        <v>600</v>
      </c>
      <c r="E184" s="700">
        <v>6820</v>
      </c>
      <c r="F184" s="700">
        <f t="shared" si="67"/>
        <v>4501200</v>
      </c>
      <c r="G184" s="700">
        <f t="shared" si="68"/>
        <v>4092000</v>
      </c>
      <c r="H184" s="692" t="s">
        <v>173</v>
      </c>
      <c r="I184" s="529" t="s">
        <v>140</v>
      </c>
      <c r="J184" s="60">
        <f>(G184-(VLOOKUP(C184,Price!B:D,3,FALSE)*D184))</f>
        <v>1290000</v>
      </c>
      <c r="K184" s="58">
        <f t="shared" si="66"/>
        <v>0.31524926686217009</v>
      </c>
      <c r="L184" s="845">
        <v>17.7</v>
      </c>
      <c r="M184" s="578"/>
      <c r="N184" s="669">
        <f t="shared" si="50"/>
        <v>170726</v>
      </c>
      <c r="O184" s="680" t="s">
        <v>145</v>
      </c>
      <c r="P184" s="195" t="str">
        <f t="shared" si="55"/>
        <v>ENGAGE - 1092*800</v>
      </c>
      <c r="Q184" s="192">
        <f t="shared" si="51"/>
        <v>600</v>
      </c>
      <c r="R184" s="193">
        <v>4670</v>
      </c>
      <c r="S184" s="147">
        <f t="shared" si="62"/>
        <v>3082200.0000000005</v>
      </c>
      <c r="T184" s="147">
        <f t="shared" si="63"/>
        <v>2802000</v>
      </c>
      <c r="U184" s="209" t="str">
        <f t="shared" si="64"/>
        <v>O</v>
      </c>
      <c r="W184" s="482">
        <f t="shared" si="65"/>
        <v>1290000</v>
      </c>
    </row>
    <row r="185" spans="1:23" s="209" customFormat="1" ht="30" customHeight="1" x14ac:dyDescent="0.25">
      <c r="A185" s="203">
        <v>170726</v>
      </c>
      <c r="B185" s="663" t="s">
        <v>422</v>
      </c>
      <c r="C185" s="73" t="s">
        <v>129</v>
      </c>
      <c r="D185" s="73">
        <v>5</v>
      </c>
      <c r="E185" s="147">
        <v>272000</v>
      </c>
      <c r="F185" s="702">
        <f t="shared" si="67"/>
        <v>1496000.0000000002</v>
      </c>
      <c r="G185" s="702">
        <f t="shared" si="68"/>
        <v>1360000</v>
      </c>
      <c r="H185" s="690" t="s">
        <v>173</v>
      </c>
      <c r="I185" s="528" t="s">
        <v>108</v>
      </c>
      <c r="J185" s="60">
        <f>(G185-(VLOOKUP(C185,Price!B:D,3,FALSE)*D185))</f>
        <v>320000</v>
      </c>
      <c r="K185" s="54">
        <f t="shared" si="66"/>
        <v>0.23529411764705879</v>
      </c>
      <c r="L185" s="845">
        <v>17.7</v>
      </c>
      <c r="M185" s="579"/>
      <c r="N185" s="671">
        <f t="shared" si="50"/>
        <v>170726</v>
      </c>
      <c r="O185" s="682" t="s">
        <v>149</v>
      </c>
      <c r="P185" s="164" t="str">
        <f t="shared" si="55"/>
        <v>세정포-XL106</v>
      </c>
      <c r="Q185" s="201">
        <f t="shared" si="51"/>
        <v>5</v>
      </c>
      <c r="R185" s="202">
        <v>208000</v>
      </c>
      <c r="S185" s="147">
        <f t="shared" si="62"/>
        <v>1144000</v>
      </c>
      <c r="T185" s="147">
        <f t="shared" si="63"/>
        <v>1040000</v>
      </c>
      <c r="U185" s="209" t="str">
        <f t="shared" si="64"/>
        <v>O</v>
      </c>
      <c r="W185" s="482">
        <f t="shared" si="65"/>
        <v>320000</v>
      </c>
    </row>
    <row r="186" spans="1:23" s="209" customFormat="1" ht="30" customHeight="1" x14ac:dyDescent="0.25">
      <c r="A186" s="203">
        <v>170726</v>
      </c>
      <c r="B186" s="664" t="s">
        <v>422</v>
      </c>
      <c r="C186" s="71" t="s">
        <v>130</v>
      </c>
      <c r="D186" s="71">
        <v>10</v>
      </c>
      <c r="E186" s="102">
        <v>125000</v>
      </c>
      <c r="F186" s="702">
        <f t="shared" si="67"/>
        <v>1375000</v>
      </c>
      <c r="G186" s="702">
        <f t="shared" si="68"/>
        <v>1250000</v>
      </c>
      <c r="H186" s="690" t="s">
        <v>173</v>
      </c>
      <c r="I186" s="528" t="s">
        <v>109</v>
      </c>
      <c r="J186" s="60">
        <f>(G186-(VLOOKUP(C186,Price!B:D,3,FALSE)*D186))</f>
        <v>260000</v>
      </c>
      <c r="K186" s="54">
        <f t="shared" si="66"/>
        <v>0.20799999999999999</v>
      </c>
      <c r="L186" s="845">
        <v>17.7</v>
      </c>
      <c r="M186" s="579"/>
      <c r="N186" s="671">
        <f t="shared" si="50"/>
        <v>170726</v>
      </c>
      <c r="O186" s="682" t="s">
        <v>150</v>
      </c>
      <c r="P186" s="164" t="str">
        <f t="shared" si="55"/>
        <v>XL106 Blanket(1077*885)</v>
      </c>
      <c r="Q186" s="201">
        <f t="shared" si="51"/>
        <v>10</v>
      </c>
      <c r="R186" s="202">
        <v>99000</v>
      </c>
      <c r="S186" s="147">
        <f t="shared" si="62"/>
        <v>1089000</v>
      </c>
      <c r="T186" s="147">
        <f t="shared" si="63"/>
        <v>990000</v>
      </c>
      <c r="U186" s="209" t="str">
        <f t="shared" si="64"/>
        <v>O</v>
      </c>
      <c r="V186" s="209" t="s">
        <v>687</v>
      </c>
      <c r="W186" s="482">
        <f t="shared" si="65"/>
        <v>260000</v>
      </c>
    </row>
    <row r="187" spans="1:23" s="209" customFormat="1" ht="30" customHeight="1" x14ac:dyDescent="0.25">
      <c r="A187" s="203">
        <v>170726</v>
      </c>
      <c r="B187" s="664" t="s">
        <v>565</v>
      </c>
      <c r="C187" s="71" t="s">
        <v>654</v>
      </c>
      <c r="D187" s="71">
        <v>1</v>
      </c>
      <c r="E187" s="102">
        <v>1148000</v>
      </c>
      <c r="F187" s="702">
        <f t="shared" si="67"/>
        <v>1262800</v>
      </c>
      <c r="G187" s="702">
        <f t="shared" si="68"/>
        <v>1148000</v>
      </c>
      <c r="H187" s="690" t="s">
        <v>173</v>
      </c>
      <c r="I187" s="528" t="s">
        <v>142</v>
      </c>
      <c r="J187" s="60">
        <f>E187-R187</f>
        <v>229600</v>
      </c>
      <c r="K187" s="54">
        <f t="shared" si="66"/>
        <v>0.2</v>
      </c>
      <c r="L187" s="845">
        <v>17.7</v>
      </c>
      <c r="M187" s="579"/>
      <c r="N187" s="671">
        <f t="shared" si="50"/>
        <v>170726</v>
      </c>
      <c r="O187" s="682" t="s">
        <v>150</v>
      </c>
      <c r="P187" s="164" t="str">
        <f t="shared" si="55"/>
        <v>전기판넬필터 SET</v>
      </c>
      <c r="Q187" s="201">
        <f t="shared" si="51"/>
        <v>1</v>
      </c>
      <c r="R187" s="202">
        <v>918400</v>
      </c>
      <c r="S187" s="147">
        <f t="shared" si="62"/>
        <v>1010240.0000000001</v>
      </c>
      <c r="T187" s="147">
        <f t="shared" si="63"/>
        <v>918400</v>
      </c>
      <c r="U187" s="209" t="str">
        <f t="shared" si="64"/>
        <v>O</v>
      </c>
      <c r="W187" s="482">
        <f t="shared" si="65"/>
        <v>229600</v>
      </c>
    </row>
    <row r="188" spans="1:23" s="209" customFormat="1" ht="30" customHeight="1" x14ac:dyDescent="0.25">
      <c r="A188" s="203">
        <v>170726</v>
      </c>
      <c r="B188" s="664" t="s">
        <v>641</v>
      </c>
      <c r="C188" s="71" t="s">
        <v>655</v>
      </c>
      <c r="D188" s="71">
        <v>3</v>
      </c>
      <c r="E188" s="102">
        <v>270000</v>
      </c>
      <c r="F188" s="702">
        <f t="shared" si="67"/>
        <v>891000.00000000012</v>
      </c>
      <c r="G188" s="702">
        <f t="shared" si="68"/>
        <v>810000</v>
      </c>
      <c r="H188" s="690" t="s">
        <v>173</v>
      </c>
      <c r="I188" s="528" t="s">
        <v>142</v>
      </c>
      <c r="J188" s="60">
        <f>(G188-(VLOOKUP(C188,Price!B:D,3,FALSE)*D188))</f>
        <v>162000</v>
      </c>
      <c r="K188" s="54">
        <f t="shared" si="66"/>
        <v>0.19999999999999998</v>
      </c>
      <c r="L188" s="845">
        <v>17.7</v>
      </c>
      <c r="M188" s="579"/>
      <c r="N188" s="671">
        <f t="shared" si="50"/>
        <v>170726</v>
      </c>
      <c r="O188" s="682" t="s">
        <v>150</v>
      </c>
      <c r="P188" s="164" t="str">
        <f t="shared" si="55"/>
        <v>데리바리 석션벨트</v>
      </c>
      <c r="Q188" s="201">
        <f t="shared" si="51"/>
        <v>3</v>
      </c>
      <c r="R188" s="202">
        <v>216000</v>
      </c>
      <c r="S188" s="147">
        <f t="shared" si="62"/>
        <v>712800</v>
      </c>
      <c r="T188" s="147">
        <f t="shared" si="63"/>
        <v>648000</v>
      </c>
      <c r="U188" s="209" t="str">
        <f t="shared" si="64"/>
        <v>O</v>
      </c>
      <c r="W188" s="482">
        <f t="shared" si="65"/>
        <v>162000</v>
      </c>
    </row>
    <row r="189" spans="1:23" s="209" customFormat="1" ht="30" customHeight="1" x14ac:dyDescent="0.25">
      <c r="A189" s="203">
        <v>170726</v>
      </c>
      <c r="B189" s="671" t="s">
        <v>565</v>
      </c>
      <c r="C189" s="682" t="s">
        <v>121</v>
      </c>
      <c r="D189" s="682">
        <v>2</v>
      </c>
      <c r="E189" s="702">
        <v>139000</v>
      </c>
      <c r="F189" s="702">
        <f t="shared" si="67"/>
        <v>305800</v>
      </c>
      <c r="G189" s="702">
        <f t="shared" si="68"/>
        <v>278000</v>
      </c>
      <c r="H189" s="694" t="s">
        <v>173</v>
      </c>
      <c r="I189" s="528" t="s">
        <v>142</v>
      </c>
      <c r="J189" s="60">
        <f>(G189-(VLOOKUP(C189,Price!B:D,3,FALSE)*D189))</f>
        <v>96000</v>
      </c>
      <c r="K189" s="54">
        <f t="shared" ref="K189:K194" si="69">(J189/(F189/11*10))</f>
        <v>0.34532374100719426</v>
      </c>
      <c r="L189" s="845">
        <v>17.7</v>
      </c>
      <c r="M189" s="579"/>
      <c r="N189" s="671">
        <f t="shared" si="50"/>
        <v>170726</v>
      </c>
      <c r="O189" s="682" t="s">
        <v>150</v>
      </c>
      <c r="P189" s="164" t="str">
        <f t="shared" si="55"/>
        <v>윤전용 실리콘</v>
      </c>
      <c r="Q189" s="201">
        <f t="shared" si="51"/>
        <v>2</v>
      </c>
      <c r="R189" s="202">
        <v>91000</v>
      </c>
      <c r="S189" s="147">
        <f t="shared" si="62"/>
        <v>200200.00000000003</v>
      </c>
      <c r="T189" s="147">
        <f t="shared" si="63"/>
        <v>182000</v>
      </c>
      <c r="U189" s="209" t="str">
        <f t="shared" si="64"/>
        <v>O</v>
      </c>
      <c r="V189" s="209" t="s">
        <v>689</v>
      </c>
      <c r="W189" s="482">
        <f t="shared" si="65"/>
        <v>96000</v>
      </c>
    </row>
    <row r="190" spans="1:23" s="209" customFormat="1" ht="30" hidden="1" customHeight="1" x14ac:dyDescent="0.25">
      <c r="A190" s="203">
        <v>170726</v>
      </c>
      <c r="B190" s="674" t="s">
        <v>567</v>
      </c>
      <c r="C190" s="409" t="s">
        <v>236</v>
      </c>
      <c r="D190" s="682">
        <v>15</v>
      </c>
      <c r="E190" s="208">
        <v>65000</v>
      </c>
      <c r="F190" s="702">
        <f t="shared" si="67"/>
        <v>1072500</v>
      </c>
      <c r="G190" s="702">
        <f t="shared" si="68"/>
        <v>975000</v>
      </c>
      <c r="H190" s="524" t="s">
        <v>173</v>
      </c>
      <c r="I190" s="528" t="s">
        <v>142</v>
      </c>
      <c r="J190" s="60">
        <f>(G190-(VLOOKUP(C190,Price!B:D,3,FALSE)*D190))</f>
        <v>225000</v>
      </c>
      <c r="K190" s="54">
        <f>(J190/(F190/11*10))</f>
        <v>0.23076923076923078</v>
      </c>
      <c r="L190" s="845">
        <v>17.7</v>
      </c>
      <c r="M190" s="579"/>
      <c r="N190" s="671">
        <f t="shared" si="50"/>
        <v>170726</v>
      </c>
      <c r="O190" s="682" t="s">
        <v>153</v>
      </c>
      <c r="P190" s="164" t="str">
        <f t="shared" si="55"/>
        <v>아스테이지(국전)</v>
      </c>
      <c r="Q190" s="201">
        <f t="shared" si="51"/>
        <v>15</v>
      </c>
      <c r="R190" s="202">
        <v>50000</v>
      </c>
      <c r="S190" s="147">
        <f t="shared" si="62"/>
        <v>825000.00000000012</v>
      </c>
      <c r="T190" s="147">
        <f t="shared" si="63"/>
        <v>750000</v>
      </c>
      <c r="U190" s="209" t="str">
        <f t="shared" si="64"/>
        <v>O</v>
      </c>
      <c r="W190" s="482">
        <f t="shared" si="65"/>
        <v>225000</v>
      </c>
    </row>
    <row r="191" spans="1:23" s="209" customFormat="1" ht="30" hidden="1" customHeight="1" x14ac:dyDescent="0.25">
      <c r="A191" s="203">
        <v>170726</v>
      </c>
      <c r="B191" s="674" t="s">
        <v>567</v>
      </c>
      <c r="C191" s="409" t="s">
        <v>123</v>
      </c>
      <c r="D191" s="682">
        <v>10</v>
      </c>
      <c r="E191" s="208">
        <v>40000</v>
      </c>
      <c r="F191" s="702">
        <f t="shared" si="67"/>
        <v>440000.00000000006</v>
      </c>
      <c r="G191" s="702">
        <f t="shared" si="68"/>
        <v>400000</v>
      </c>
      <c r="H191" s="1003" t="s">
        <v>39</v>
      </c>
      <c r="I191" s="528"/>
      <c r="J191" s="60">
        <f>(G191-(VLOOKUP(C191,Price!B:D,3,FALSE)*D191))</f>
        <v>175390</v>
      </c>
      <c r="K191" s="54">
        <f>(J191/(F191/11*10))</f>
        <v>0.43847499999999995</v>
      </c>
      <c r="L191" s="845">
        <v>17.7</v>
      </c>
      <c r="M191" s="579"/>
      <c r="N191" s="671">
        <f t="shared" si="50"/>
        <v>170726</v>
      </c>
      <c r="O191" s="997" t="s">
        <v>39</v>
      </c>
      <c r="P191" s="164" t="str">
        <f t="shared" si="55"/>
        <v>필터백</v>
      </c>
      <c r="Q191" s="201">
        <f t="shared" si="51"/>
        <v>10</v>
      </c>
      <c r="R191" s="202">
        <v>19800</v>
      </c>
      <c r="S191" s="147">
        <f t="shared" si="62"/>
        <v>217800.00000000003</v>
      </c>
      <c r="T191" s="147">
        <f t="shared" si="63"/>
        <v>198000</v>
      </c>
      <c r="U191" s="209" t="str">
        <f t="shared" si="64"/>
        <v>X</v>
      </c>
      <c r="W191" s="482">
        <f t="shared" si="65"/>
        <v>202000</v>
      </c>
    </row>
    <row r="192" spans="1:23" s="209" customFormat="1" ht="30" hidden="1" customHeight="1" x14ac:dyDescent="0.25">
      <c r="A192" s="203">
        <v>170726</v>
      </c>
      <c r="B192" s="664" t="s">
        <v>445</v>
      </c>
      <c r="C192" s="71" t="s">
        <v>137</v>
      </c>
      <c r="D192" s="682">
        <v>5</v>
      </c>
      <c r="E192" s="102">
        <v>172000</v>
      </c>
      <c r="F192" s="702">
        <f t="shared" ref="F192:F198" si="70">(E192*D192)*1.1</f>
        <v>946000.00000000012</v>
      </c>
      <c r="G192" s="702">
        <f t="shared" ref="G192:G198" si="71">(E192*D192)</f>
        <v>860000</v>
      </c>
      <c r="H192" s="690" t="s">
        <v>173</v>
      </c>
      <c r="I192" s="528" t="s">
        <v>108</v>
      </c>
      <c r="J192" s="60">
        <f>(G192-(VLOOKUP(C192,Price!B:D,3,FALSE)*D192))</f>
        <v>285000</v>
      </c>
      <c r="K192" s="54">
        <f t="shared" si="69"/>
        <v>0.33139534883720928</v>
      </c>
      <c r="L192" s="845">
        <v>17.7</v>
      </c>
      <c r="M192" s="579"/>
      <c r="N192" s="671">
        <f t="shared" si="50"/>
        <v>170726</v>
      </c>
      <c r="O192" s="682" t="s">
        <v>150</v>
      </c>
      <c r="P192" s="164" t="str">
        <f t="shared" si="55"/>
        <v>윤전용 세척제(Web 504)</v>
      </c>
      <c r="Q192" s="201">
        <f t="shared" si="51"/>
        <v>5</v>
      </c>
      <c r="R192" s="202">
        <v>115000</v>
      </c>
      <c r="S192" s="147">
        <f t="shared" si="62"/>
        <v>632500</v>
      </c>
      <c r="T192" s="147">
        <f t="shared" si="63"/>
        <v>575000</v>
      </c>
      <c r="U192" s="209" t="str">
        <f t="shared" si="64"/>
        <v>O</v>
      </c>
      <c r="V192" s="209" t="s">
        <v>689</v>
      </c>
      <c r="W192" s="482">
        <f t="shared" si="65"/>
        <v>285000</v>
      </c>
    </row>
    <row r="193" spans="1:25" s="210" customFormat="1" ht="28.5" hidden="1" customHeight="1" x14ac:dyDescent="0.25">
      <c r="A193" s="199">
        <v>170726</v>
      </c>
      <c r="B193" s="668" t="s">
        <v>445</v>
      </c>
      <c r="C193" s="84" t="s">
        <v>138</v>
      </c>
      <c r="D193" s="681">
        <v>5</v>
      </c>
      <c r="E193" s="189">
        <v>59500</v>
      </c>
      <c r="F193" s="701">
        <f t="shared" si="70"/>
        <v>327250</v>
      </c>
      <c r="G193" s="701">
        <f t="shared" si="71"/>
        <v>297500</v>
      </c>
      <c r="H193" s="691" t="s">
        <v>173</v>
      </c>
      <c r="I193" s="530" t="s">
        <v>108</v>
      </c>
      <c r="J193" s="64">
        <f>(G193-(VLOOKUP(C193,Price!B:D,3,FALSE)*D193))</f>
        <v>42500</v>
      </c>
      <c r="K193" s="62">
        <f t="shared" si="69"/>
        <v>0.14285714285714285</v>
      </c>
      <c r="L193" s="426">
        <v>17.7</v>
      </c>
      <c r="M193" s="580"/>
      <c r="N193" s="670">
        <f t="shared" si="50"/>
        <v>170726</v>
      </c>
      <c r="O193" s="681" t="s">
        <v>150</v>
      </c>
      <c r="P193" s="200" t="str">
        <f t="shared" si="55"/>
        <v>매엽용 세척제(Wash 562)</v>
      </c>
      <c r="Q193" s="196">
        <f t="shared" si="51"/>
        <v>5</v>
      </c>
      <c r="R193" s="197">
        <v>51000</v>
      </c>
      <c r="S193" s="198">
        <f t="shared" ref="S193:S198" si="72">(R193*D193)*1.1</f>
        <v>280500</v>
      </c>
      <c r="T193" s="198">
        <f t="shared" ref="T193:T198" si="73">(R193*Q193)</f>
        <v>255000</v>
      </c>
      <c r="U193" s="210" t="str">
        <f t="shared" ref="U193:U198" si="74">IF(J193=W193,"O", "X")</f>
        <v>O</v>
      </c>
      <c r="V193" s="210" t="s">
        <v>689</v>
      </c>
      <c r="W193" s="482">
        <f t="shared" si="65"/>
        <v>42500</v>
      </c>
    </row>
    <row r="194" spans="1:25" s="209" customFormat="1" ht="30" hidden="1" customHeight="1" x14ac:dyDescent="0.25">
      <c r="A194" s="194">
        <v>170727</v>
      </c>
      <c r="B194" s="669" t="s">
        <v>591</v>
      </c>
      <c r="C194" s="680" t="s">
        <v>656</v>
      </c>
      <c r="D194" s="680">
        <v>1</v>
      </c>
      <c r="E194" s="700">
        <v>3280000</v>
      </c>
      <c r="F194" s="700">
        <f t="shared" si="70"/>
        <v>3608000.0000000005</v>
      </c>
      <c r="G194" s="700">
        <f t="shared" si="71"/>
        <v>3280000</v>
      </c>
      <c r="H194" s="692" t="s">
        <v>173</v>
      </c>
      <c r="I194" s="529" t="s">
        <v>143</v>
      </c>
      <c r="J194" s="60">
        <f>(G194-R194)</f>
        <v>500000</v>
      </c>
      <c r="K194" s="58">
        <f t="shared" si="69"/>
        <v>0.15243902439024387</v>
      </c>
      <c r="L194" s="845">
        <v>17.7</v>
      </c>
      <c r="M194" s="578"/>
      <c r="N194" s="669">
        <f t="shared" si="50"/>
        <v>170727</v>
      </c>
      <c r="O194" s="680" t="s">
        <v>612</v>
      </c>
      <c r="P194" s="195" t="str">
        <f t="shared" si="55"/>
        <v>CD102 롤러 세트</v>
      </c>
      <c r="Q194" s="192">
        <f t="shared" si="51"/>
        <v>1</v>
      </c>
      <c r="R194" s="193">
        <v>2780000</v>
      </c>
      <c r="S194" s="147">
        <f t="shared" si="72"/>
        <v>3058000.0000000005</v>
      </c>
      <c r="T194" s="147">
        <f t="shared" si="73"/>
        <v>2780000</v>
      </c>
      <c r="U194" s="209" t="str">
        <f t="shared" si="74"/>
        <v>O</v>
      </c>
      <c r="W194" s="482">
        <f t="shared" si="65"/>
        <v>500000</v>
      </c>
    </row>
    <row r="195" spans="1:25" ht="30" hidden="1" customHeight="1" x14ac:dyDescent="0.25">
      <c r="A195" s="514">
        <v>170727</v>
      </c>
      <c r="B195" s="664" t="s">
        <v>620</v>
      </c>
      <c r="C195" s="71" t="s">
        <v>107</v>
      </c>
      <c r="D195" s="71">
        <v>3</v>
      </c>
      <c r="E195" s="102">
        <v>120000</v>
      </c>
      <c r="F195" s="102">
        <f t="shared" si="70"/>
        <v>396000.00000000006</v>
      </c>
      <c r="G195" s="102">
        <f t="shared" si="71"/>
        <v>360000</v>
      </c>
      <c r="H195" s="690" t="s">
        <v>172</v>
      </c>
      <c r="I195" s="71" t="s">
        <v>109</v>
      </c>
      <c r="J195" s="60">
        <f>(G195-(VLOOKUP(C195,Price!B:D,3,FALSE)*D195))</f>
        <v>118500</v>
      </c>
      <c r="K195" s="54">
        <f>(J195/(F195/11*10))</f>
        <v>0.32916666666666661</v>
      </c>
      <c r="L195" s="82">
        <v>17.7</v>
      </c>
      <c r="M195" s="468" t="s">
        <v>672</v>
      </c>
      <c r="N195" s="664">
        <f t="shared" si="50"/>
        <v>170727</v>
      </c>
      <c r="O195" s="71" t="s">
        <v>147</v>
      </c>
      <c r="P195" s="103" t="str">
        <f t="shared" si="55"/>
        <v>Blanket(1050*840)</v>
      </c>
      <c r="Q195" s="71">
        <f t="shared" si="51"/>
        <v>3</v>
      </c>
      <c r="R195" s="102">
        <v>80500</v>
      </c>
      <c r="S195" s="102">
        <f t="shared" si="72"/>
        <v>265650</v>
      </c>
      <c r="T195" s="102">
        <f t="shared" si="73"/>
        <v>241500</v>
      </c>
      <c r="U195" s="71" t="str">
        <f t="shared" si="74"/>
        <v>O</v>
      </c>
      <c r="V195" s="71"/>
      <c r="W195" s="482">
        <f t="shared" si="65"/>
        <v>118500</v>
      </c>
      <c r="X195" s="71"/>
      <c r="Y195" s="71"/>
    </row>
    <row r="196" spans="1:25" s="602" customFormat="1" ht="30" hidden="1" customHeight="1" x14ac:dyDescent="0.25">
      <c r="A196" s="426">
        <v>170727</v>
      </c>
      <c r="B196" s="668" t="s">
        <v>673</v>
      </c>
      <c r="C196" s="84" t="s">
        <v>236</v>
      </c>
      <c r="D196" s="84">
        <v>2</v>
      </c>
      <c r="E196" s="189">
        <v>110000</v>
      </c>
      <c r="F196" s="189">
        <f t="shared" si="70"/>
        <v>242000.00000000003</v>
      </c>
      <c r="G196" s="189">
        <f t="shared" si="71"/>
        <v>220000</v>
      </c>
      <c r="H196" s="691" t="s">
        <v>173</v>
      </c>
      <c r="I196" s="84" t="s">
        <v>142</v>
      </c>
      <c r="J196" s="599">
        <f>(G196-(VLOOKUP(C196,Price!B:D,3,FALSE)*D196))</f>
        <v>120000</v>
      </c>
      <c r="K196" s="600">
        <f>(J196/(F196/11*10))</f>
        <v>0.54545454545454541</v>
      </c>
      <c r="L196" s="85">
        <v>17.7</v>
      </c>
      <c r="M196" s="601"/>
      <c r="N196" s="668">
        <f t="shared" si="50"/>
        <v>170727</v>
      </c>
      <c r="O196" s="84" t="s">
        <v>153</v>
      </c>
      <c r="P196" s="133" t="str">
        <f t="shared" si="55"/>
        <v>아스테이지(국전)</v>
      </c>
      <c r="Q196" s="84">
        <f t="shared" si="51"/>
        <v>2</v>
      </c>
      <c r="R196" s="189">
        <v>50000</v>
      </c>
      <c r="S196" s="189">
        <f t="shared" si="72"/>
        <v>110000.00000000001</v>
      </c>
      <c r="T196" s="189">
        <f t="shared" si="73"/>
        <v>100000</v>
      </c>
      <c r="U196" s="84" t="str">
        <f t="shared" si="74"/>
        <v>O</v>
      </c>
      <c r="V196" s="84"/>
      <c r="W196" s="481">
        <f t="shared" si="65"/>
        <v>120000</v>
      </c>
      <c r="X196" s="84"/>
      <c r="Y196" s="84"/>
    </row>
    <row r="197" spans="1:25" ht="30" hidden="1" customHeight="1" x14ac:dyDescent="0.25">
      <c r="A197" s="514">
        <v>170728</v>
      </c>
      <c r="B197" s="663" t="s">
        <v>545</v>
      </c>
      <c r="C197" s="73" t="s">
        <v>167</v>
      </c>
      <c r="D197" s="73">
        <v>10</v>
      </c>
      <c r="E197" s="147">
        <v>110000</v>
      </c>
      <c r="F197" s="147">
        <f t="shared" si="70"/>
        <v>1210000</v>
      </c>
      <c r="G197" s="147">
        <f t="shared" si="71"/>
        <v>1100000</v>
      </c>
      <c r="H197" s="689" t="s">
        <v>172</v>
      </c>
      <c r="I197" s="73" t="s">
        <v>33</v>
      </c>
      <c r="J197" s="597">
        <f>(G197-(VLOOKUP(C197,Price!B:D,3,FALSE)*D197))</f>
        <v>271000</v>
      </c>
      <c r="K197" s="598">
        <f>(J197/(F197/11*10))</f>
        <v>0.24636363636363637</v>
      </c>
      <c r="L197" s="80">
        <v>17.7</v>
      </c>
      <c r="M197" s="584"/>
      <c r="N197" s="663">
        <f t="shared" si="50"/>
        <v>170728</v>
      </c>
      <c r="O197" s="73" t="s">
        <v>147</v>
      </c>
      <c r="P197" s="132" t="str">
        <f t="shared" si="55"/>
        <v>Blanket(1060*860)</v>
      </c>
      <c r="Q197" s="73">
        <f t="shared" si="51"/>
        <v>10</v>
      </c>
      <c r="R197" s="147">
        <v>82900</v>
      </c>
      <c r="S197" s="147">
        <f t="shared" si="72"/>
        <v>911900.00000000012</v>
      </c>
      <c r="T197" s="147">
        <f t="shared" si="73"/>
        <v>829000</v>
      </c>
      <c r="U197" s="73" t="str">
        <f t="shared" si="74"/>
        <v>O</v>
      </c>
      <c r="V197" s="73"/>
      <c r="W197" s="482">
        <f t="shared" si="65"/>
        <v>271000</v>
      </c>
      <c r="X197" s="73"/>
      <c r="Y197" s="73"/>
    </row>
    <row r="198" spans="1:25" s="602" customFormat="1" ht="30" hidden="1" customHeight="1" x14ac:dyDescent="0.25">
      <c r="A198" s="426">
        <v>170728</v>
      </c>
      <c r="B198" s="668" t="s">
        <v>545</v>
      </c>
      <c r="C198" s="84" t="s">
        <v>131</v>
      </c>
      <c r="D198" s="84">
        <v>4</v>
      </c>
      <c r="E198" s="189">
        <v>135000</v>
      </c>
      <c r="F198" s="189">
        <f t="shared" si="70"/>
        <v>594000</v>
      </c>
      <c r="G198" s="189">
        <f t="shared" si="71"/>
        <v>540000</v>
      </c>
      <c r="H198" s="691" t="s">
        <v>172</v>
      </c>
      <c r="I198" s="84" t="s">
        <v>38</v>
      </c>
      <c r="J198" s="599">
        <f>(G198-(VLOOKUP(C198,Price!B:D,3,FALSE)*D198))</f>
        <v>100000</v>
      </c>
      <c r="K198" s="600">
        <f>(J198/(F198/11*10))</f>
        <v>0.18518518518518517</v>
      </c>
      <c r="L198" s="85">
        <v>17.7</v>
      </c>
      <c r="M198" s="601"/>
      <c r="N198" s="668">
        <f t="shared" ref="N198:N262" si="75">A198</f>
        <v>170728</v>
      </c>
      <c r="O198" s="84" t="s">
        <v>148</v>
      </c>
      <c r="P198" s="133" t="str">
        <f t="shared" si="55"/>
        <v>UV wash(20L)</v>
      </c>
      <c r="Q198" s="84">
        <f t="shared" ref="Q198:Q262" si="76">D198</f>
        <v>4</v>
      </c>
      <c r="R198" s="189">
        <v>110000</v>
      </c>
      <c r="S198" s="189">
        <f t="shared" si="72"/>
        <v>484000.00000000006</v>
      </c>
      <c r="T198" s="189">
        <f t="shared" si="73"/>
        <v>440000</v>
      </c>
      <c r="U198" s="84" t="str">
        <f t="shared" si="74"/>
        <v>O</v>
      </c>
      <c r="V198" s="84"/>
      <c r="W198" s="481">
        <f t="shared" si="65"/>
        <v>100000</v>
      </c>
      <c r="X198" s="84"/>
      <c r="Y198" s="84"/>
    </row>
    <row r="199" spans="1:25" s="496" customFormat="1" ht="45" hidden="1" customHeight="1" x14ac:dyDescent="0.25">
      <c r="A199" s="487">
        <v>2017.8</v>
      </c>
      <c r="B199" s="675" t="s">
        <v>544</v>
      </c>
      <c r="C199" s="488"/>
      <c r="D199" s="488"/>
      <c r="E199" s="489"/>
      <c r="F199" s="489"/>
      <c r="G199" s="489"/>
      <c r="H199" s="490"/>
      <c r="I199" s="491"/>
      <c r="J199" s="492"/>
      <c r="K199" s="493"/>
      <c r="L199" s="848"/>
      <c r="M199" s="645"/>
      <c r="N199" s="725">
        <f t="shared" si="75"/>
        <v>2017.8</v>
      </c>
      <c r="O199" s="488" t="s">
        <v>154</v>
      </c>
      <c r="P199" s="729"/>
      <c r="Q199" s="494"/>
      <c r="R199" s="495"/>
      <c r="S199" s="492"/>
      <c r="T199" s="492"/>
      <c r="W199" s="497">
        <f t="shared" si="65"/>
        <v>0</v>
      </c>
    </row>
    <row r="200" spans="1:25" s="507" customFormat="1" ht="30" hidden="1" customHeight="1" x14ac:dyDescent="0.25">
      <c r="A200" s="499">
        <v>170703</v>
      </c>
      <c r="B200" s="676" t="s">
        <v>627</v>
      </c>
      <c r="C200" s="157" t="s">
        <v>628</v>
      </c>
      <c r="D200" s="157">
        <v>1</v>
      </c>
      <c r="E200" s="707">
        <v>14000000</v>
      </c>
      <c r="F200" s="526">
        <f t="shared" ref="F200:F216" si="77">(E200*D200)*1.1</f>
        <v>15400000.000000002</v>
      </c>
      <c r="G200" s="526">
        <f t="shared" ref="G200:G216" si="78">(E200*D200)</f>
        <v>14000000</v>
      </c>
      <c r="H200" s="778" t="s">
        <v>113</v>
      </c>
      <c r="I200" s="157"/>
      <c r="J200" s="503">
        <f>E200-3000000</f>
        <v>11000000</v>
      </c>
      <c r="K200" s="63">
        <f>(J200/(F200/11*10))</f>
        <v>0.78571428571428559</v>
      </c>
      <c r="L200" s="505">
        <v>17.8</v>
      </c>
      <c r="M200" s="634" t="s">
        <v>749</v>
      </c>
      <c r="N200" s="676">
        <f t="shared" si="75"/>
        <v>170703</v>
      </c>
      <c r="O200" s="812" t="s">
        <v>113</v>
      </c>
      <c r="P200" s="500" t="str">
        <f t="shared" ref="P200:P261" si="79">(C200)</f>
        <v>SLT-COM 메인 모터 콘트롤 기판</v>
      </c>
      <c r="Q200" s="501">
        <f t="shared" si="76"/>
        <v>1</v>
      </c>
      <c r="R200" s="502">
        <v>3000000</v>
      </c>
      <c r="S200" s="506">
        <f>(R200*D200)*1.1</f>
        <v>3300000.0000000005</v>
      </c>
      <c r="T200" s="506"/>
      <c r="U200" s="507" t="str">
        <f>IF(J200=W200,"O", "X")</f>
        <v>X</v>
      </c>
      <c r="V200" s="507" t="s">
        <v>611</v>
      </c>
      <c r="W200" s="508">
        <f t="shared" si="65"/>
        <v>14000000</v>
      </c>
    </row>
    <row r="201" spans="1:25" s="655" customFormat="1" ht="30" hidden="1" customHeight="1" x14ac:dyDescent="0.25">
      <c r="A201" s="651">
        <v>170703</v>
      </c>
      <c r="B201" s="664" t="s">
        <v>627</v>
      </c>
      <c r="C201" s="71" t="s">
        <v>629</v>
      </c>
      <c r="D201" s="71">
        <v>1</v>
      </c>
      <c r="E201" s="709">
        <v>4000000</v>
      </c>
      <c r="F201" s="102">
        <f t="shared" si="77"/>
        <v>4400000</v>
      </c>
      <c r="G201" s="102">
        <f t="shared" si="78"/>
        <v>4000000</v>
      </c>
      <c r="H201" s="782" t="s">
        <v>113</v>
      </c>
      <c r="I201" s="71"/>
      <c r="J201" s="53">
        <f>(G201-(VLOOKUP(C201,Import!C:G,4,FALSE)*D201))</f>
        <v>4000000</v>
      </c>
      <c r="K201" s="63">
        <f>(J201/(F201/11*10))</f>
        <v>1</v>
      </c>
      <c r="L201" s="185">
        <v>17.8</v>
      </c>
      <c r="M201" s="468"/>
      <c r="N201" s="664">
        <f t="shared" si="75"/>
        <v>170703</v>
      </c>
      <c r="O201" s="808" t="s">
        <v>113</v>
      </c>
      <c r="P201" s="186" t="str">
        <f t="shared" si="79"/>
        <v>스플라이서 롤러</v>
      </c>
      <c r="Q201" s="652">
        <f t="shared" si="76"/>
        <v>1</v>
      </c>
      <c r="R201" s="653"/>
      <c r="S201" s="654">
        <f>(R201*D201)*1.1</f>
        <v>0</v>
      </c>
      <c r="T201" s="654"/>
      <c r="U201" s="655" t="str">
        <f>IF(J201=W201,"O", "X")</f>
        <v>O</v>
      </c>
      <c r="W201" s="656">
        <f t="shared" si="65"/>
        <v>4000000</v>
      </c>
    </row>
    <row r="202" spans="1:25" s="758" customFormat="1" ht="30" hidden="1" customHeight="1" x14ac:dyDescent="0.25">
      <c r="A202" s="763">
        <v>170703</v>
      </c>
      <c r="B202" s="668" t="s">
        <v>627</v>
      </c>
      <c r="C202" s="84" t="s">
        <v>757</v>
      </c>
      <c r="D202" s="84">
        <v>1</v>
      </c>
      <c r="E202" s="764">
        <v>-3460000</v>
      </c>
      <c r="F202" s="189">
        <f t="shared" si="77"/>
        <v>-3806000.0000000005</v>
      </c>
      <c r="G202" s="189">
        <f t="shared" si="78"/>
        <v>-3460000</v>
      </c>
      <c r="H202" s="783" t="s">
        <v>113</v>
      </c>
      <c r="I202" s="84"/>
      <c r="J202" s="599">
        <v>-3460000</v>
      </c>
      <c r="K202" s="62"/>
      <c r="L202" s="763">
        <v>17.8</v>
      </c>
      <c r="M202" s="601"/>
      <c r="N202" s="668">
        <f t="shared" si="75"/>
        <v>170703</v>
      </c>
      <c r="O202" s="84"/>
      <c r="P202" s="758" t="str">
        <f t="shared" si="79"/>
        <v>가격 네고</v>
      </c>
      <c r="Q202" s="758">
        <f t="shared" si="76"/>
        <v>1</v>
      </c>
      <c r="R202" s="765"/>
      <c r="S202" s="765"/>
      <c r="T202" s="765"/>
      <c r="W202" s="766">
        <f t="shared" si="65"/>
        <v>-3460000</v>
      </c>
    </row>
    <row r="203" spans="1:25" ht="30" hidden="1" customHeight="1" x14ac:dyDescent="0.25">
      <c r="A203" s="184">
        <v>170728</v>
      </c>
      <c r="B203" s="663" t="s">
        <v>589</v>
      </c>
      <c r="C203" s="73" t="s">
        <v>585</v>
      </c>
      <c r="D203" s="73">
        <v>72</v>
      </c>
      <c r="E203" s="147">
        <v>7500</v>
      </c>
      <c r="F203" s="147">
        <f t="shared" si="77"/>
        <v>594000</v>
      </c>
      <c r="G203" s="147">
        <f t="shared" si="78"/>
        <v>540000</v>
      </c>
      <c r="H203" s="689" t="s">
        <v>173</v>
      </c>
      <c r="I203" s="73" t="s">
        <v>144</v>
      </c>
      <c r="J203" s="597">
        <f>(G203-(VLOOKUP(C203,Price!B:D,3,FALSE)*D203))</f>
        <v>52560</v>
      </c>
      <c r="K203" s="598">
        <f>(J203/(F203/11*10))</f>
        <v>9.7333333333333327E-2</v>
      </c>
      <c r="L203" s="80">
        <v>17.8</v>
      </c>
      <c r="M203" s="584"/>
      <c r="N203" s="663">
        <f t="shared" si="75"/>
        <v>170728</v>
      </c>
      <c r="O203" s="73" t="s">
        <v>147</v>
      </c>
      <c r="P203" s="132" t="str">
        <f t="shared" si="79"/>
        <v>프리미어(적)</v>
      </c>
      <c r="Q203" s="73">
        <f t="shared" si="76"/>
        <v>72</v>
      </c>
      <c r="R203" s="147">
        <v>6770</v>
      </c>
      <c r="S203" s="147">
        <f>(R203*D203)*1.1</f>
        <v>536184</v>
      </c>
      <c r="T203" s="147">
        <f>(R203*Q203)</f>
        <v>487440</v>
      </c>
      <c r="U203" s="73" t="str">
        <f>IF(J203=W203,"O", "X")</f>
        <v>O</v>
      </c>
      <c r="V203" s="73"/>
      <c r="W203" s="482">
        <f t="shared" si="65"/>
        <v>52560</v>
      </c>
      <c r="X203" s="73"/>
      <c r="Y203" s="73"/>
    </row>
    <row r="204" spans="1:25" ht="30" hidden="1" customHeight="1" x14ac:dyDescent="0.25">
      <c r="A204" s="184">
        <v>170728</v>
      </c>
      <c r="B204" s="664" t="s">
        <v>589</v>
      </c>
      <c r="C204" s="71" t="s">
        <v>586</v>
      </c>
      <c r="D204" s="71">
        <v>72</v>
      </c>
      <c r="E204" s="102">
        <v>6750</v>
      </c>
      <c r="F204" s="102">
        <f t="shared" si="77"/>
        <v>534600</v>
      </c>
      <c r="G204" s="102">
        <f t="shared" si="78"/>
        <v>486000</v>
      </c>
      <c r="H204" s="690" t="s">
        <v>173</v>
      </c>
      <c r="I204" s="71" t="s">
        <v>144</v>
      </c>
      <c r="J204" s="574">
        <f>(G204-(VLOOKUP(C204,Price!B:D,3,FALSE)*D204))</f>
        <v>41040</v>
      </c>
      <c r="K204" s="576">
        <f>(J204/(F204/11*10))</f>
        <v>8.4444444444444447E-2</v>
      </c>
      <c r="L204" s="82">
        <v>17.8</v>
      </c>
      <c r="M204" s="468"/>
      <c r="N204" s="664">
        <f t="shared" si="75"/>
        <v>170728</v>
      </c>
      <c r="O204" s="71" t="s">
        <v>147</v>
      </c>
      <c r="P204" s="103" t="str">
        <f t="shared" si="79"/>
        <v>프리미어(황)</v>
      </c>
      <c r="Q204" s="71">
        <f t="shared" si="76"/>
        <v>72</v>
      </c>
      <c r="R204" s="102">
        <v>6180</v>
      </c>
      <c r="S204" s="102">
        <f>(R204*D204)*1.1</f>
        <v>489456.00000000006</v>
      </c>
      <c r="T204" s="102">
        <f>(R204*Q204)</f>
        <v>444960</v>
      </c>
      <c r="U204" s="71" t="str">
        <f>IF(J204=W204,"O", "X")</f>
        <v>O</v>
      </c>
      <c r="V204" s="71"/>
      <c r="W204" s="482">
        <f t="shared" si="65"/>
        <v>41040</v>
      </c>
      <c r="X204" s="71"/>
      <c r="Y204" s="71"/>
    </row>
    <row r="205" spans="1:25" s="602" customFormat="1" ht="30" hidden="1" customHeight="1" x14ac:dyDescent="0.25">
      <c r="A205" s="426">
        <v>170728</v>
      </c>
      <c r="B205" s="668" t="s">
        <v>589</v>
      </c>
      <c r="C205" s="84" t="s">
        <v>587</v>
      </c>
      <c r="D205" s="84">
        <v>72</v>
      </c>
      <c r="E205" s="189">
        <v>8000</v>
      </c>
      <c r="F205" s="189">
        <f t="shared" si="77"/>
        <v>633600</v>
      </c>
      <c r="G205" s="189">
        <f t="shared" si="78"/>
        <v>576000</v>
      </c>
      <c r="H205" s="691" t="s">
        <v>173</v>
      </c>
      <c r="I205" s="84" t="s">
        <v>144</v>
      </c>
      <c r="J205" s="599">
        <f>(G205-(VLOOKUP(C205,Price!B:D,3,FALSE)*D205))</f>
        <v>78480</v>
      </c>
      <c r="K205" s="600">
        <f>(J205/(F205/11*10))</f>
        <v>0.13625000000000001</v>
      </c>
      <c r="L205" s="85">
        <v>17.8</v>
      </c>
      <c r="M205" s="601"/>
      <c r="N205" s="668">
        <f t="shared" si="75"/>
        <v>170728</v>
      </c>
      <c r="O205" s="84" t="s">
        <v>147</v>
      </c>
      <c r="P205" s="133" t="str">
        <f t="shared" si="79"/>
        <v>프리미어(청)</v>
      </c>
      <c r="Q205" s="84">
        <f t="shared" si="76"/>
        <v>72</v>
      </c>
      <c r="R205" s="189">
        <v>6910</v>
      </c>
      <c r="S205" s="189">
        <f>(R205*D205)*1.1</f>
        <v>547272</v>
      </c>
      <c r="T205" s="189">
        <f>(R205*Q205)</f>
        <v>497520</v>
      </c>
      <c r="U205" s="84" t="str">
        <f>IF(J205=W205,"O", "X")</f>
        <v>O</v>
      </c>
      <c r="V205" s="84"/>
      <c r="W205" s="481">
        <f t="shared" si="65"/>
        <v>78480</v>
      </c>
      <c r="X205" s="84"/>
      <c r="Y205" s="84"/>
    </row>
    <row r="206" spans="1:25" s="610" customFormat="1" ht="30" hidden="1" customHeight="1" x14ac:dyDescent="0.25">
      <c r="A206" s="404">
        <v>170801</v>
      </c>
      <c r="B206" s="673" t="s">
        <v>569</v>
      </c>
      <c r="C206" s="88" t="s">
        <v>123</v>
      </c>
      <c r="D206" s="88">
        <v>2</v>
      </c>
      <c r="E206" s="470">
        <v>45000</v>
      </c>
      <c r="F206" s="470">
        <f t="shared" si="77"/>
        <v>99000.000000000015</v>
      </c>
      <c r="G206" s="470">
        <f t="shared" si="78"/>
        <v>90000</v>
      </c>
      <c r="H206" s="1004" t="s">
        <v>39</v>
      </c>
      <c r="I206" s="88"/>
      <c r="J206" s="510">
        <f>(G206-(VLOOKUP(C206,Price!B:D,3,FALSE)*D206))</f>
        <v>45078</v>
      </c>
      <c r="K206" s="609">
        <f t="shared" ref="K206:K227" si="80">(J206/(F206/11*10))</f>
        <v>0.50086666666666657</v>
      </c>
      <c r="L206" s="89">
        <v>17.8</v>
      </c>
      <c r="M206" s="575"/>
      <c r="N206" s="673">
        <f t="shared" si="75"/>
        <v>170801</v>
      </c>
      <c r="O206" s="1002" t="s">
        <v>39</v>
      </c>
      <c r="P206" s="134" t="str">
        <f t="shared" si="79"/>
        <v>필터백</v>
      </c>
      <c r="Q206" s="88">
        <f t="shared" si="76"/>
        <v>2</v>
      </c>
      <c r="R206" s="470"/>
      <c r="S206" s="470">
        <f>(R206*D206)*1.1</f>
        <v>0</v>
      </c>
      <c r="T206" s="470">
        <f>(R206*Q206)</f>
        <v>0</v>
      </c>
      <c r="U206" s="88" t="str">
        <f>IF(J206=W206,"O", "X")</f>
        <v>X</v>
      </c>
      <c r="V206" s="88"/>
      <c r="W206" s="483">
        <f t="shared" si="65"/>
        <v>90000</v>
      </c>
      <c r="X206" s="88"/>
      <c r="Y206" s="88"/>
    </row>
    <row r="207" spans="1:25" s="635" customFormat="1" ht="30" hidden="1" customHeight="1" x14ac:dyDescent="0.25">
      <c r="A207" s="505">
        <v>170802</v>
      </c>
      <c r="B207" s="676" t="s">
        <v>442</v>
      </c>
      <c r="C207" s="157" t="s">
        <v>773</v>
      </c>
      <c r="D207" s="157">
        <v>6</v>
      </c>
      <c r="E207" s="526">
        <v>192000</v>
      </c>
      <c r="F207" s="526">
        <f t="shared" si="77"/>
        <v>1267200</v>
      </c>
      <c r="G207" s="526">
        <f t="shared" si="78"/>
        <v>1152000</v>
      </c>
      <c r="H207" s="790" t="s">
        <v>173</v>
      </c>
      <c r="I207" s="157" t="s">
        <v>109</v>
      </c>
      <c r="J207" s="658">
        <f>(G207-(VLOOKUP(C207,Price!B:D,3,FALSE)*D207))</f>
        <v>144000</v>
      </c>
      <c r="K207" s="504">
        <f t="shared" si="80"/>
        <v>0.125</v>
      </c>
      <c r="L207" s="159">
        <v>17.8</v>
      </c>
      <c r="M207" s="634"/>
      <c r="N207" s="676">
        <f t="shared" si="75"/>
        <v>170802</v>
      </c>
      <c r="O207" s="157" t="s">
        <v>151</v>
      </c>
      <c r="P207" s="633" t="str">
        <f t="shared" si="79"/>
        <v>로랜드 전지 블랑켓(1460*1165)bar</v>
      </c>
      <c r="Q207" s="157">
        <f t="shared" si="76"/>
        <v>6</v>
      </c>
      <c r="R207" s="526">
        <v>168000</v>
      </c>
      <c r="S207" s="526">
        <f>(R207*D207)*1.1</f>
        <v>1108800</v>
      </c>
      <c r="T207" s="526">
        <f>(R207*Q207)</f>
        <v>1008000</v>
      </c>
      <c r="U207" s="157" t="str">
        <f>IF(J207=W207,"O", "X")</f>
        <v>O</v>
      </c>
      <c r="V207" s="157"/>
      <c r="W207" s="508">
        <f t="shared" si="65"/>
        <v>144000</v>
      </c>
      <c r="X207" s="157"/>
      <c r="Y207" s="157"/>
    </row>
    <row r="208" spans="1:25" s="602" customFormat="1" ht="30" hidden="1" customHeight="1" x14ac:dyDescent="0.25">
      <c r="A208" s="426">
        <v>170802</v>
      </c>
      <c r="B208" s="672" t="s">
        <v>575</v>
      </c>
      <c r="C208" s="411" t="s">
        <v>579</v>
      </c>
      <c r="D208" s="411">
        <v>1</v>
      </c>
      <c r="E208" s="198"/>
      <c r="F208" s="198"/>
      <c r="G208" s="198"/>
      <c r="H208" s="696" t="s">
        <v>985</v>
      </c>
      <c r="I208" s="411"/>
      <c r="J208" s="613"/>
      <c r="K208" s="614"/>
      <c r="L208" s="612">
        <v>17.8</v>
      </c>
      <c r="M208" s="581" t="s">
        <v>1075</v>
      </c>
      <c r="N208" s="672">
        <f t="shared" si="75"/>
        <v>170802</v>
      </c>
      <c r="O208" s="411"/>
      <c r="P208" s="465" t="str">
        <f t="shared" si="79"/>
        <v>M-600 서비스 비용</v>
      </c>
      <c r="Q208" s="411">
        <f t="shared" si="76"/>
        <v>1</v>
      </c>
      <c r="R208" s="198"/>
      <c r="S208" s="198"/>
      <c r="T208" s="198"/>
      <c r="U208" s="411"/>
      <c r="V208" s="411"/>
      <c r="W208" s="481"/>
      <c r="X208" s="411"/>
      <c r="Y208" s="411"/>
    </row>
    <row r="209" spans="1:25" ht="30" hidden="1" customHeight="1" x14ac:dyDescent="0.25">
      <c r="A209" s="184">
        <v>170803</v>
      </c>
      <c r="B209" s="663" t="s">
        <v>686</v>
      </c>
      <c r="C209" s="73" t="s">
        <v>693</v>
      </c>
      <c r="D209" s="73">
        <v>2</v>
      </c>
      <c r="E209" s="147">
        <v>1750000</v>
      </c>
      <c r="F209" s="147">
        <f t="shared" si="77"/>
        <v>3850000.0000000005</v>
      </c>
      <c r="G209" s="147">
        <f t="shared" si="78"/>
        <v>3500000</v>
      </c>
      <c r="H209" s="1005" t="s">
        <v>39</v>
      </c>
      <c r="I209" s="73"/>
      <c r="J209" s="597">
        <f>(G209-(VLOOKUP(C209,Import!C:G,4,FALSE)*D209))</f>
        <v>3500000</v>
      </c>
      <c r="K209" s="598">
        <f t="shared" si="80"/>
        <v>0.99999999999999989</v>
      </c>
      <c r="L209" s="80">
        <v>17.8</v>
      </c>
      <c r="M209" s="584"/>
      <c r="N209" s="663">
        <f t="shared" si="75"/>
        <v>170803</v>
      </c>
      <c r="O209" s="987" t="s">
        <v>39</v>
      </c>
      <c r="P209" s="132" t="str">
        <f t="shared" si="79"/>
        <v>Pump</v>
      </c>
      <c r="Q209" s="73">
        <f t="shared" si="76"/>
        <v>2</v>
      </c>
      <c r="R209" s="147"/>
      <c r="S209" s="147">
        <f t="shared" ref="S209:S228" si="81">(R209*D209)*1.1</f>
        <v>0</v>
      </c>
      <c r="T209" s="147">
        <f t="shared" ref="T209:T228" si="82">(R209*Q209)</f>
        <v>0</v>
      </c>
      <c r="U209" s="73" t="str">
        <f t="shared" ref="U209:U228" si="83">IF(J209=W209,"O", "X")</f>
        <v>O</v>
      </c>
      <c r="V209" s="73"/>
      <c r="W209" s="482">
        <f t="shared" ref="W209:W240" si="84">(G209-T209)</f>
        <v>3500000</v>
      </c>
      <c r="X209" s="73"/>
      <c r="Y209" s="73"/>
    </row>
    <row r="210" spans="1:25" s="602" customFormat="1" ht="30" hidden="1" customHeight="1" x14ac:dyDescent="0.25">
      <c r="A210" s="426">
        <v>170803</v>
      </c>
      <c r="B210" s="668" t="s">
        <v>686</v>
      </c>
      <c r="C210" s="84" t="s">
        <v>694</v>
      </c>
      <c r="D210" s="84">
        <v>2</v>
      </c>
      <c r="E210" s="189">
        <v>460000</v>
      </c>
      <c r="F210" s="189">
        <f t="shared" si="77"/>
        <v>1012000.0000000001</v>
      </c>
      <c r="G210" s="189">
        <f t="shared" si="78"/>
        <v>920000</v>
      </c>
      <c r="H210" s="1006" t="s">
        <v>39</v>
      </c>
      <c r="I210" s="84"/>
      <c r="J210" s="599">
        <f>(G210-(VLOOKUP(C210,Import!C:G,4,FALSE)*D210))</f>
        <v>919820.46</v>
      </c>
      <c r="K210" s="600">
        <f t="shared" si="80"/>
        <v>0.99980484782608681</v>
      </c>
      <c r="L210" s="85">
        <v>17.8</v>
      </c>
      <c r="M210" s="601"/>
      <c r="N210" s="668">
        <f t="shared" si="75"/>
        <v>170803</v>
      </c>
      <c r="O210" s="1007" t="s">
        <v>39</v>
      </c>
      <c r="P210" s="133" t="str">
        <f t="shared" si="79"/>
        <v>Solenoid Valve</v>
      </c>
      <c r="Q210" s="84">
        <f t="shared" si="76"/>
        <v>2</v>
      </c>
      <c r="R210" s="189"/>
      <c r="S210" s="189">
        <f t="shared" si="81"/>
        <v>0</v>
      </c>
      <c r="T210" s="189">
        <f t="shared" si="82"/>
        <v>0</v>
      </c>
      <c r="U210" s="84" t="str">
        <f t="shared" si="83"/>
        <v>X</v>
      </c>
      <c r="V210" s="84"/>
      <c r="W210" s="481">
        <f t="shared" si="84"/>
        <v>920000</v>
      </c>
      <c r="X210" s="84"/>
      <c r="Y210" s="84"/>
    </row>
    <row r="211" spans="1:25" s="635" customFormat="1" ht="30" hidden="1" customHeight="1" x14ac:dyDescent="0.25">
      <c r="A211" s="505">
        <v>170808</v>
      </c>
      <c r="B211" s="676" t="s">
        <v>446</v>
      </c>
      <c r="C211" s="157" t="s">
        <v>696</v>
      </c>
      <c r="D211" s="157">
        <v>2</v>
      </c>
      <c r="E211" s="526">
        <v>160000</v>
      </c>
      <c r="F211" s="526">
        <f t="shared" si="77"/>
        <v>352000</v>
      </c>
      <c r="G211" s="526">
        <f t="shared" si="78"/>
        <v>320000</v>
      </c>
      <c r="H211" s="784" t="s">
        <v>113</v>
      </c>
      <c r="I211" s="157"/>
      <c r="J211" s="503">
        <f>(G211-(VLOOKUP(C211,Import!C:G,4,FALSE)*D211))</f>
        <v>320000</v>
      </c>
      <c r="K211" s="65">
        <f t="shared" si="80"/>
        <v>1</v>
      </c>
      <c r="L211" s="159">
        <v>17.8</v>
      </c>
      <c r="M211" s="634"/>
      <c r="N211" s="676">
        <f t="shared" si="75"/>
        <v>170808</v>
      </c>
      <c r="O211" s="812" t="s">
        <v>113</v>
      </c>
      <c r="P211" s="633" t="str">
        <f t="shared" si="79"/>
        <v>Air Cylinder, Leibfried</v>
      </c>
      <c r="Q211" s="157">
        <f t="shared" si="76"/>
        <v>2</v>
      </c>
      <c r="R211" s="526"/>
      <c r="S211" s="526">
        <f t="shared" si="81"/>
        <v>0</v>
      </c>
      <c r="T211" s="526">
        <f t="shared" si="82"/>
        <v>0</v>
      </c>
      <c r="U211" s="157" t="str">
        <f t="shared" si="83"/>
        <v>O</v>
      </c>
      <c r="V211" s="157"/>
      <c r="W211" s="508">
        <f t="shared" si="84"/>
        <v>320000</v>
      </c>
      <c r="X211" s="157"/>
      <c r="Y211" s="157"/>
    </row>
    <row r="212" spans="1:25" s="657" customFormat="1" ht="30" hidden="1" customHeight="1" x14ac:dyDescent="0.25">
      <c r="A212" s="185">
        <v>170808</v>
      </c>
      <c r="B212" s="664" t="s">
        <v>446</v>
      </c>
      <c r="C212" s="71" t="s">
        <v>695</v>
      </c>
      <c r="D212" s="71">
        <v>2</v>
      </c>
      <c r="E212" s="102">
        <v>270000</v>
      </c>
      <c r="F212" s="102">
        <f t="shared" si="77"/>
        <v>594000</v>
      </c>
      <c r="G212" s="102">
        <f t="shared" si="78"/>
        <v>540000</v>
      </c>
      <c r="H212" s="779" t="s">
        <v>113</v>
      </c>
      <c r="I212" s="71"/>
      <c r="J212" s="53">
        <f>(G212-(VLOOKUP(C212,Import!C:G,4,FALSE)*D212))</f>
        <v>540000</v>
      </c>
      <c r="K212" s="63">
        <f t="shared" si="80"/>
        <v>1</v>
      </c>
      <c r="L212" s="82">
        <v>17.8</v>
      </c>
      <c r="M212" s="468"/>
      <c r="N212" s="664">
        <f t="shared" si="75"/>
        <v>170808</v>
      </c>
      <c r="O212" s="808" t="s">
        <v>113</v>
      </c>
      <c r="P212" s="103" t="str">
        <f t="shared" si="79"/>
        <v>Air Cylinder Mecman 1300</v>
      </c>
      <c r="Q212" s="71">
        <f t="shared" si="76"/>
        <v>2</v>
      </c>
      <c r="R212" s="102"/>
      <c r="S212" s="102">
        <f t="shared" si="81"/>
        <v>0</v>
      </c>
      <c r="T212" s="102">
        <f t="shared" si="82"/>
        <v>0</v>
      </c>
      <c r="U212" s="71" t="str">
        <f t="shared" si="83"/>
        <v>O</v>
      </c>
      <c r="V212" s="71"/>
      <c r="W212" s="656">
        <f t="shared" si="84"/>
        <v>540000</v>
      </c>
      <c r="X212" s="71"/>
      <c r="Y212" s="71"/>
    </row>
    <row r="213" spans="1:25" s="657" customFormat="1" ht="30" hidden="1" customHeight="1" x14ac:dyDescent="0.25">
      <c r="A213" s="185">
        <v>170808</v>
      </c>
      <c r="B213" s="664" t="s">
        <v>590</v>
      </c>
      <c r="C213" s="71" t="s">
        <v>586</v>
      </c>
      <c r="D213" s="71">
        <v>248</v>
      </c>
      <c r="E213" s="102">
        <v>6750</v>
      </c>
      <c r="F213" s="102">
        <f t="shared" si="77"/>
        <v>1841400.0000000002</v>
      </c>
      <c r="G213" s="102">
        <f t="shared" si="78"/>
        <v>1674000</v>
      </c>
      <c r="H213" s="690" t="s">
        <v>173</v>
      </c>
      <c r="I213" s="71" t="s">
        <v>144</v>
      </c>
      <c r="J213" s="574">
        <f>(G213-(VLOOKUP(C213,Price!B:D,3,FALSE)*D213))</f>
        <v>141360</v>
      </c>
      <c r="K213" s="576">
        <f t="shared" si="80"/>
        <v>8.4444444444444433E-2</v>
      </c>
      <c r="L213" s="82">
        <v>17.8</v>
      </c>
      <c r="M213" s="468"/>
      <c r="N213" s="664">
        <f t="shared" si="75"/>
        <v>170808</v>
      </c>
      <c r="O213" s="71" t="s">
        <v>147</v>
      </c>
      <c r="P213" s="103" t="str">
        <f t="shared" si="79"/>
        <v>프리미어(황)</v>
      </c>
      <c r="Q213" s="71">
        <f t="shared" si="76"/>
        <v>248</v>
      </c>
      <c r="R213" s="102">
        <v>6180</v>
      </c>
      <c r="S213" s="102">
        <f t="shared" si="81"/>
        <v>1685904.0000000002</v>
      </c>
      <c r="T213" s="102">
        <f t="shared" si="82"/>
        <v>1532640</v>
      </c>
      <c r="U213" s="71" t="str">
        <f t="shared" si="83"/>
        <v>O</v>
      </c>
      <c r="V213" s="71"/>
      <c r="W213" s="656">
        <f t="shared" si="84"/>
        <v>141360</v>
      </c>
      <c r="X213" s="71"/>
      <c r="Y213" s="71"/>
    </row>
    <row r="214" spans="1:25" s="602" customFormat="1" ht="30" hidden="1" customHeight="1" x14ac:dyDescent="0.25">
      <c r="A214" s="426">
        <v>170808</v>
      </c>
      <c r="B214" s="672" t="s">
        <v>590</v>
      </c>
      <c r="C214" s="411" t="s">
        <v>616</v>
      </c>
      <c r="D214" s="411">
        <v>200</v>
      </c>
      <c r="E214" s="198">
        <v>6600</v>
      </c>
      <c r="F214" s="198">
        <f t="shared" si="77"/>
        <v>1452000.0000000002</v>
      </c>
      <c r="G214" s="198">
        <f t="shared" si="78"/>
        <v>1320000</v>
      </c>
      <c r="H214" s="696" t="s">
        <v>173</v>
      </c>
      <c r="I214" s="411" t="s">
        <v>144</v>
      </c>
      <c r="J214" s="613">
        <f>(G214-(VLOOKUP(C214,Price!B:D,3,FALSE)*D214))</f>
        <v>140000</v>
      </c>
      <c r="K214" s="614">
        <f t="shared" si="80"/>
        <v>0.10606060606060604</v>
      </c>
      <c r="L214" s="612">
        <v>17.8</v>
      </c>
      <c r="M214" s="581"/>
      <c r="N214" s="672">
        <f t="shared" si="75"/>
        <v>170808</v>
      </c>
      <c r="O214" s="411" t="s">
        <v>147</v>
      </c>
      <c r="P214" s="465" t="str">
        <f t="shared" si="79"/>
        <v>프리미어(먹)</v>
      </c>
      <c r="Q214" s="411">
        <f t="shared" si="76"/>
        <v>200</v>
      </c>
      <c r="R214" s="198">
        <v>5900</v>
      </c>
      <c r="S214" s="198">
        <f t="shared" si="81"/>
        <v>1298000</v>
      </c>
      <c r="T214" s="198">
        <f t="shared" si="82"/>
        <v>1180000</v>
      </c>
      <c r="U214" s="411" t="str">
        <f t="shared" si="83"/>
        <v>O</v>
      </c>
      <c r="V214" s="411"/>
      <c r="W214" s="481">
        <f t="shared" si="84"/>
        <v>140000</v>
      </c>
      <c r="X214" s="411"/>
      <c r="Y214" s="411"/>
    </row>
    <row r="215" spans="1:25" s="635" customFormat="1" ht="30" hidden="1" customHeight="1" x14ac:dyDescent="0.25">
      <c r="A215" s="505">
        <v>170810</v>
      </c>
      <c r="B215" s="676" t="s">
        <v>411</v>
      </c>
      <c r="C215" s="157" t="s">
        <v>236</v>
      </c>
      <c r="D215" s="157">
        <v>5</v>
      </c>
      <c r="E215" s="526">
        <v>100000</v>
      </c>
      <c r="F215" s="526">
        <f t="shared" si="77"/>
        <v>550000</v>
      </c>
      <c r="G215" s="526">
        <f t="shared" si="78"/>
        <v>500000</v>
      </c>
      <c r="H215" s="721" t="s">
        <v>173</v>
      </c>
      <c r="I215" s="157" t="s">
        <v>142</v>
      </c>
      <c r="J215" s="658">
        <f>(G215-(VLOOKUP(C215,Price!B:D,3,FALSE)*D215))</f>
        <v>250000</v>
      </c>
      <c r="K215" s="504">
        <f>(J215/(F215/11*10))</f>
        <v>0.5</v>
      </c>
      <c r="L215" s="159">
        <v>17.8</v>
      </c>
      <c r="M215" s="634"/>
      <c r="N215" s="676">
        <f t="shared" si="75"/>
        <v>170810</v>
      </c>
      <c r="O215" s="659" t="s">
        <v>153</v>
      </c>
      <c r="P215" s="633" t="str">
        <f t="shared" si="79"/>
        <v>아스테이지(국전)</v>
      </c>
      <c r="Q215" s="157">
        <f t="shared" si="76"/>
        <v>5</v>
      </c>
      <c r="R215" s="526">
        <v>50000</v>
      </c>
      <c r="S215" s="526">
        <f t="shared" si="81"/>
        <v>275000</v>
      </c>
      <c r="T215" s="526">
        <f t="shared" si="82"/>
        <v>250000</v>
      </c>
      <c r="U215" s="157" t="str">
        <f t="shared" si="83"/>
        <v>O</v>
      </c>
      <c r="V215" s="157"/>
      <c r="W215" s="508">
        <f t="shared" si="84"/>
        <v>250000</v>
      </c>
      <c r="X215" s="157"/>
      <c r="Y215" s="157"/>
    </row>
    <row r="216" spans="1:25" s="602" customFormat="1" ht="30" hidden="1" customHeight="1" x14ac:dyDescent="0.25">
      <c r="A216" s="426">
        <v>170810</v>
      </c>
      <c r="B216" s="672" t="s">
        <v>411</v>
      </c>
      <c r="C216" s="411" t="s">
        <v>123</v>
      </c>
      <c r="D216" s="411">
        <v>20</v>
      </c>
      <c r="E216" s="198">
        <v>35000</v>
      </c>
      <c r="F216" s="198">
        <f t="shared" si="77"/>
        <v>770000.00000000012</v>
      </c>
      <c r="G216" s="198">
        <f t="shared" si="78"/>
        <v>700000</v>
      </c>
      <c r="H216" s="1008" t="s">
        <v>39</v>
      </c>
      <c r="I216" s="411"/>
      <c r="J216" s="613">
        <f>(G216-(VLOOKUP(C216,Price!B:D,3,FALSE)*D216))</f>
        <v>250780</v>
      </c>
      <c r="K216" s="614">
        <f>(J216/(F216/11*10))</f>
        <v>0.35825714285714277</v>
      </c>
      <c r="L216" s="612">
        <v>17.8</v>
      </c>
      <c r="M216" s="581"/>
      <c r="N216" s="672">
        <f t="shared" si="75"/>
        <v>170810</v>
      </c>
      <c r="O216" s="1009" t="s">
        <v>39</v>
      </c>
      <c r="P216" s="465" t="str">
        <f t="shared" si="79"/>
        <v>필터백</v>
      </c>
      <c r="Q216" s="411">
        <f t="shared" si="76"/>
        <v>20</v>
      </c>
      <c r="R216" s="198">
        <v>19200</v>
      </c>
      <c r="S216" s="198">
        <f t="shared" si="81"/>
        <v>422400.00000000006</v>
      </c>
      <c r="T216" s="198">
        <f t="shared" si="82"/>
        <v>384000</v>
      </c>
      <c r="U216" s="411" t="str">
        <f t="shared" si="83"/>
        <v>X</v>
      </c>
      <c r="V216" s="411"/>
      <c r="W216" s="481">
        <f t="shared" si="84"/>
        <v>316000</v>
      </c>
      <c r="X216" s="411"/>
      <c r="Y216" s="411"/>
    </row>
    <row r="217" spans="1:25" ht="30" hidden="1" customHeight="1" x14ac:dyDescent="0.25">
      <c r="A217" s="505">
        <v>170811</v>
      </c>
      <c r="B217" s="663" t="s">
        <v>590</v>
      </c>
      <c r="C217" s="73" t="s">
        <v>585</v>
      </c>
      <c r="D217" s="73">
        <v>60</v>
      </c>
      <c r="E217" s="700">
        <v>7500</v>
      </c>
      <c r="F217" s="147">
        <f t="shared" ref="F217:F231" si="85">(E217*D217)*1.1</f>
        <v>495000.00000000006</v>
      </c>
      <c r="G217" s="147">
        <f t="shared" ref="G217:G231" si="86">(E217*D217)</f>
        <v>450000</v>
      </c>
      <c r="H217" s="689" t="s">
        <v>173</v>
      </c>
      <c r="I217" s="73" t="s">
        <v>144</v>
      </c>
      <c r="J217" s="597">
        <f>(G217-(VLOOKUP(C217,Price!B:D,3,FALSE)*D217))</f>
        <v>43800</v>
      </c>
      <c r="K217" s="598">
        <f t="shared" si="80"/>
        <v>9.7333333333333327E-2</v>
      </c>
      <c r="L217" s="80">
        <v>17.8</v>
      </c>
      <c r="M217" s="584"/>
      <c r="N217" s="663">
        <f t="shared" si="75"/>
        <v>170811</v>
      </c>
      <c r="O217" s="73" t="s">
        <v>147</v>
      </c>
      <c r="P217" s="132" t="str">
        <f t="shared" si="79"/>
        <v>프리미어(적)</v>
      </c>
      <c r="Q217" s="73">
        <f t="shared" si="76"/>
        <v>60</v>
      </c>
      <c r="R217" s="147">
        <v>6770</v>
      </c>
      <c r="S217" s="147">
        <f t="shared" si="81"/>
        <v>446820.00000000006</v>
      </c>
      <c r="T217" s="147">
        <f t="shared" si="82"/>
        <v>406200</v>
      </c>
      <c r="U217" s="73" t="str">
        <f t="shared" si="83"/>
        <v>O</v>
      </c>
      <c r="V217" s="73"/>
      <c r="W217" s="482">
        <f t="shared" si="84"/>
        <v>43800</v>
      </c>
      <c r="X217" s="73"/>
      <c r="Y217" s="73"/>
    </row>
    <row r="218" spans="1:25" ht="30" hidden="1" customHeight="1" x14ac:dyDescent="0.25">
      <c r="A218" s="184">
        <v>170811</v>
      </c>
      <c r="B218" s="663" t="s">
        <v>590</v>
      </c>
      <c r="C218" s="73" t="s">
        <v>586</v>
      </c>
      <c r="D218" s="73">
        <v>60</v>
      </c>
      <c r="E218" s="702">
        <v>6750</v>
      </c>
      <c r="F218" s="147">
        <f t="shared" si="85"/>
        <v>445500.00000000006</v>
      </c>
      <c r="G218" s="147">
        <f t="shared" si="86"/>
        <v>405000</v>
      </c>
      <c r="H218" s="689" t="s">
        <v>173</v>
      </c>
      <c r="I218" s="73" t="s">
        <v>144</v>
      </c>
      <c r="J218" s="597">
        <f>(G218-(VLOOKUP(C218,Price!B:D,3,FALSE)*D218))</f>
        <v>34200</v>
      </c>
      <c r="K218" s="598">
        <f t="shared" si="80"/>
        <v>8.4444444444444433E-2</v>
      </c>
      <c r="L218" s="80">
        <v>17.8</v>
      </c>
      <c r="M218" s="584"/>
      <c r="N218" s="663">
        <f t="shared" si="75"/>
        <v>170811</v>
      </c>
      <c r="O218" s="73" t="s">
        <v>147</v>
      </c>
      <c r="P218" s="132" t="str">
        <f t="shared" si="79"/>
        <v>프리미어(황)</v>
      </c>
      <c r="Q218" s="73">
        <f t="shared" si="76"/>
        <v>60</v>
      </c>
      <c r="R218" s="147">
        <v>6180</v>
      </c>
      <c r="S218" s="147">
        <f t="shared" si="81"/>
        <v>407880.00000000006</v>
      </c>
      <c r="T218" s="147">
        <f t="shared" si="82"/>
        <v>370800</v>
      </c>
      <c r="U218" s="73" t="str">
        <f t="shared" si="83"/>
        <v>O</v>
      </c>
      <c r="V218" s="73"/>
      <c r="W218" s="482">
        <f t="shared" si="84"/>
        <v>34200</v>
      </c>
      <c r="X218" s="73"/>
      <c r="Y218" s="73"/>
    </row>
    <row r="219" spans="1:25" ht="30" hidden="1" customHeight="1" x14ac:dyDescent="0.25">
      <c r="A219" s="184">
        <v>170811</v>
      </c>
      <c r="B219" s="663" t="s">
        <v>590</v>
      </c>
      <c r="C219" s="73" t="s">
        <v>587</v>
      </c>
      <c r="D219" s="73">
        <v>60</v>
      </c>
      <c r="E219" s="702">
        <v>8000</v>
      </c>
      <c r="F219" s="147">
        <f t="shared" si="85"/>
        <v>528000</v>
      </c>
      <c r="G219" s="147">
        <f t="shared" si="86"/>
        <v>480000</v>
      </c>
      <c r="H219" s="689" t="s">
        <v>173</v>
      </c>
      <c r="I219" s="73" t="s">
        <v>144</v>
      </c>
      <c r="J219" s="597">
        <f>(G219-(VLOOKUP(C219,Price!B:D,3,FALSE)*D219))</f>
        <v>65400</v>
      </c>
      <c r="K219" s="598">
        <f t="shared" si="80"/>
        <v>0.13625000000000001</v>
      </c>
      <c r="L219" s="80">
        <v>17.8</v>
      </c>
      <c r="M219" s="584"/>
      <c r="N219" s="663">
        <f t="shared" si="75"/>
        <v>170811</v>
      </c>
      <c r="O219" s="73" t="s">
        <v>147</v>
      </c>
      <c r="P219" s="132" t="str">
        <f t="shared" si="79"/>
        <v>프리미어(청)</v>
      </c>
      <c r="Q219" s="73">
        <f t="shared" si="76"/>
        <v>60</v>
      </c>
      <c r="R219" s="147">
        <v>6910</v>
      </c>
      <c r="S219" s="147">
        <f t="shared" si="81"/>
        <v>456060.00000000006</v>
      </c>
      <c r="T219" s="147">
        <f t="shared" si="82"/>
        <v>414600</v>
      </c>
      <c r="U219" s="73" t="str">
        <f t="shared" si="83"/>
        <v>O</v>
      </c>
      <c r="V219" s="73"/>
      <c r="W219" s="482">
        <f t="shared" si="84"/>
        <v>65400</v>
      </c>
      <c r="X219" s="73"/>
      <c r="Y219" s="73"/>
    </row>
    <row r="220" spans="1:25" s="602" customFormat="1" ht="30" hidden="1" customHeight="1" x14ac:dyDescent="0.25">
      <c r="A220" s="426">
        <v>170811</v>
      </c>
      <c r="B220" s="672" t="s">
        <v>690</v>
      </c>
      <c r="C220" s="411" t="s">
        <v>691</v>
      </c>
      <c r="D220" s="411">
        <v>6</v>
      </c>
      <c r="E220" s="198">
        <v>350000</v>
      </c>
      <c r="F220" s="198">
        <f t="shared" si="85"/>
        <v>2310000</v>
      </c>
      <c r="G220" s="198">
        <f t="shared" si="86"/>
        <v>2100000</v>
      </c>
      <c r="H220" s="696" t="s">
        <v>173</v>
      </c>
      <c r="I220" s="411" t="s">
        <v>109</v>
      </c>
      <c r="J220" s="613">
        <f>(G220-(VLOOKUP(C220,Price!B:D,3,FALSE)*D220))</f>
        <v>240000</v>
      </c>
      <c r="K220" s="614">
        <f t="shared" si="80"/>
        <v>0.11428571428571428</v>
      </c>
      <c r="L220" s="612">
        <v>17.8</v>
      </c>
      <c r="M220" s="581"/>
      <c r="N220" s="672">
        <f t="shared" si="75"/>
        <v>170811</v>
      </c>
      <c r="O220" s="411" t="s">
        <v>151</v>
      </c>
      <c r="P220" s="465" t="str">
        <f t="shared" si="79"/>
        <v>피니토 하이델 국전용 블랑켓</v>
      </c>
      <c r="Q220" s="411">
        <f t="shared" si="76"/>
        <v>6</v>
      </c>
      <c r="R220" s="198">
        <v>310000</v>
      </c>
      <c r="S220" s="198">
        <f t="shared" si="81"/>
        <v>2046000.0000000002</v>
      </c>
      <c r="T220" s="198">
        <f t="shared" si="82"/>
        <v>1860000</v>
      </c>
      <c r="U220" s="411" t="str">
        <f t="shared" si="83"/>
        <v>O</v>
      </c>
      <c r="V220" s="411"/>
      <c r="W220" s="481">
        <f t="shared" si="84"/>
        <v>240000</v>
      </c>
      <c r="X220" s="411"/>
      <c r="Y220" s="411"/>
    </row>
    <row r="221" spans="1:25" s="616" customFormat="1" ht="30" hidden="1" customHeight="1" x14ac:dyDescent="0.25">
      <c r="A221" s="184">
        <v>170814</v>
      </c>
      <c r="B221" s="663" t="s">
        <v>562</v>
      </c>
      <c r="C221" s="73" t="s">
        <v>580</v>
      </c>
      <c r="D221" s="73">
        <v>10</v>
      </c>
      <c r="E221" s="147">
        <v>85000</v>
      </c>
      <c r="F221" s="147">
        <f t="shared" si="85"/>
        <v>935000.00000000012</v>
      </c>
      <c r="G221" s="147">
        <f t="shared" si="86"/>
        <v>850000</v>
      </c>
      <c r="H221" s="689" t="s">
        <v>173</v>
      </c>
      <c r="I221" s="73" t="s">
        <v>109</v>
      </c>
      <c r="J221" s="60">
        <f>(G221-(VLOOKUP(C221,Price!B:D,3,FALSE)*D221))</f>
        <v>319000</v>
      </c>
      <c r="K221" s="427">
        <f t="shared" si="80"/>
        <v>0.37529411764705878</v>
      </c>
      <c r="L221" s="80">
        <v>17.8</v>
      </c>
      <c r="M221" s="584"/>
      <c r="N221" s="663">
        <f t="shared" si="75"/>
        <v>170814</v>
      </c>
      <c r="O221" s="73" t="s">
        <v>147</v>
      </c>
      <c r="P221" s="132" t="str">
        <f t="shared" si="79"/>
        <v>Blanket(770*700)bar</v>
      </c>
      <c r="Q221" s="73">
        <f t="shared" si="76"/>
        <v>10</v>
      </c>
      <c r="R221" s="147">
        <v>53100</v>
      </c>
      <c r="S221" s="147">
        <f t="shared" si="81"/>
        <v>584100</v>
      </c>
      <c r="T221" s="147">
        <f t="shared" si="82"/>
        <v>531000</v>
      </c>
      <c r="U221" s="73" t="str">
        <f t="shared" si="83"/>
        <v>O</v>
      </c>
      <c r="V221" s="73"/>
      <c r="W221" s="520">
        <f t="shared" si="84"/>
        <v>319000</v>
      </c>
      <c r="X221" s="73"/>
      <c r="Y221" s="73"/>
    </row>
    <row r="222" spans="1:25" s="616" customFormat="1" ht="30" hidden="1" customHeight="1" x14ac:dyDescent="0.25">
      <c r="A222" s="184">
        <v>170814</v>
      </c>
      <c r="B222" s="663" t="s">
        <v>590</v>
      </c>
      <c r="C222" s="73" t="s">
        <v>753</v>
      </c>
      <c r="D222" s="73">
        <v>900</v>
      </c>
      <c r="E222" s="147">
        <v>3890</v>
      </c>
      <c r="F222" s="147">
        <f t="shared" si="85"/>
        <v>3851100.0000000005</v>
      </c>
      <c r="G222" s="147">
        <f t="shared" si="86"/>
        <v>3501000</v>
      </c>
      <c r="H222" s="689" t="s">
        <v>173</v>
      </c>
      <c r="I222" s="73" t="s">
        <v>140</v>
      </c>
      <c r="J222" s="597">
        <f>(G222-(VLOOKUP(C222,Price!B:D,3,FALSE)*D222))</f>
        <v>720000</v>
      </c>
      <c r="K222" s="598">
        <f>(J222/(F222/11*10))</f>
        <v>0.2056555269922879</v>
      </c>
      <c r="L222" s="80">
        <v>17.8</v>
      </c>
      <c r="M222" s="584"/>
      <c r="N222" s="663">
        <f t="shared" si="75"/>
        <v>170814</v>
      </c>
      <c r="O222" s="73" t="s">
        <v>145</v>
      </c>
      <c r="P222" s="132" t="str">
        <f t="shared" si="79"/>
        <v>ELITEPRO 30WEB(883*552)</v>
      </c>
      <c r="Q222" s="73">
        <f t="shared" si="76"/>
        <v>900</v>
      </c>
      <c r="R222" s="147">
        <v>3090</v>
      </c>
      <c r="S222" s="147">
        <f t="shared" si="81"/>
        <v>3059100.0000000005</v>
      </c>
      <c r="T222" s="147">
        <f t="shared" si="82"/>
        <v>2781000</v>
      </c>
      <c r="U222" s="73" t="str">
        <f t="shared" si="83"/>
        <v>O</v>
      </c>
      <c r="V222" s="73"/>
      <c r="W222" s="520">
        <f t="shared" si="84"/>
        <v>720000</v>
      </c>
      <c r="X222" s="73"/>
      <c r="Y222" s="73"/>
    </row>
    <row r="223" spans="1:25" s="616" customFormat="1" ht="30" hidden="1" customHeight="1" x14ac:dyDescent="0.25">
      <c r="A223" s="184">
        <v>170814</v>
      </c>
      <c r="B223" s="663" t="s">
        <v>590</v>
      </c>
      <c r="C223" s="73" t="s">
        <v>139</v>
      </c>
      <c r="D223" s="73">
        <v>10</v>
      </c>
      <c r="E223" s="147">
        <v>58000</v>
      </c>
      <c r="F223" s="147">
        <f t="shared" si="85"/>
        <v>638000</v>
      </c>
      <c r="G223" s="147">
        <f t="shared" si="86"/>
        <v>580000</v>
      </c>
      <c r="H223" s="689" t="s">
        <v>173</v>
      </c>
      <c r="I223" s="73" t="s">
        <v>140</v>
      </c>
      <c r="J223" s="597">
        <f>(G223-(VLOOKUP(C223,Price!B:D,3,FALSE)*D223))</f>
        <v>230000</v>
      </c>
      <c r="K223" s="598">
        <f>(J223/(F223/11*10))</f>
        <v>0.39655172413793105</v>
      </c>
      <c r="L223" s="80">
        <v>17.8</v>
      </c>
      <c r="M223" s="584"/>
      <c r="N223" s="663">
        <f t="shared" si="75"/>
        <v>170814</v>
      </c>
      <c r="O223" s="73" t="s">
        <v>145</v>
      </c>
      <c r="P223" s="132" t="str">
        <f t="shared" si="79"/>
        <v>THR200(20L)</v>
      </c>
      <c r="Q223" s="73">
        <f t="shared" si="76"/>
        <v>10</v>
      </c>
      <c r="R223" s="147">
        <v>35000</v>
      </c>
      <c r="S223" s="147">
        <f t="shared" si="81"/>
        <v>385000.00000000006</v>
      </c>
      <c r="T223" s="147">
        <f t="shared" si="82"/>
        <v>350000</v>
      </c>
      <c r="U223" s="73" t="str">
        <f t="shared" si="83"/>
        <v>O</v>
      </c>
      <c r="V223" s="73"/>
      <c r="W223" s="520">
        <f t="shared" si="84"/>
        <v>230000</v>
      </c>
      <c r="X223" s="73"/>
      <c r="Y223" s="73"/>
    </row>
    <row r="224" spans="1:25" s="616" customFormat="1" ht="30" hidden="1" customHeight="1" x14ac:dyDescent="0.25">
      <c r="A224" s="184">
        <v>170814</v>
      </c>
      <c r="B224" s="663" t="s">
        <v>590</v>
      </c>
      <c r="C224" s="73" t="s">
        <v>750</v>
      </c>
      <c r="D224" s="73">
        <v>5</v>
      </c>
      <c r="E224" s="147">
        <v>58000</v>
      </c>
      <c r="F224" s="147">
        <f t="shared" si="85"/>
        <v>319000</v>
      </c>
      <c r="G224" s="147">
        <f t="shared" si="86"/>
        <v>290000</v>
      </c>
      <c r="H224" s="689" t="s">
        <v>173</v>
      </c>
      <c r="I224" s="73" t="s">
        <v>140</v>
      </c>
      <c r="J224" s="597">
        <f>(G224-(VLOOKUP(C224,Price!B:D,3,FALSE)*D224))</f>
        <v>115000</v>
      </c>
      <c r="K224" s="598">
        <f>(J224/(F224/11*10))</f>
        <v>0.39655172413793105</v>
      </c>
      <c r="L224" s="80">
        <v>17.8</v>
      </c>
      <c r="M224" s="584"/>
      <c r="N224" s="663">
        <f t="shared" si="75"/>
        <v>170814</v>
      </c>
      <c r="O224" s="73" t="s">
        <v>145</v>
      </c>
      <c r="P224" s="132" t="str">
        <f t="shared" si="79"/>
        <v>THD200(20L)</v>
      </c>
      <c r="Q224" s="73">
        <f t="shared" si="76"/>
        <v>5</v>
      </c>
      <c r="R224" s="147">
        <v>35000</v>
      </c>
      <c r="S224" s="147">
        <f t="shared" si="81"/>
        <v>192500.00000000003</v>
      </c>
      <c r="T224" s="147">
        <f t="shared" si="82"/>
        <v>175000</v>
      </c>
      <c r="U224" s="73" t="str">
        <f t="shared" si="83"/>
        <v>O</v>
      </c>
      <c r="V224" s="73"/>
      <c r="W224" s="520">
        <f t="shared" si="84"/>
        <v>115000</v>
      </c>
      <c r="X224" s="73"/>
      <c r="Y224" s="73"/>
    </row>
    <row r="225" spans="1:25" s="616" customFormat="1" ht="30" hidden="1" customHeight="1" x14ac:dyDescent="0.25">
      <c r="A225" s="184">
        <v>170814</v>
      </c>
      <c r="B225" s="663" t="s">
        <v>590</v>
      </c>
      <c r="C225" s="73" t="s">
        <v>752</v>
      </c>
      <c r="D225" s="73">
        <v>1</v>
      </c>
      <c r="E225" s="147">
        <v>85000</v>
      </c>
      <c r="F225" s="147">
        <f t="shared" si="85"/>
        <v>93500.000000000015</v>
      </c>
      <c r="G225" s="147">
        <f t="shared" si="86"/>
        <v>85000</v>
      </c>
      <c r="H225" s="689" t="s">
        <v>173</v>
      </c>
      <c r="I225" s="73" t="s">
        <v>140</v>
      </c>
      <c r="J225" s="597">
        <f>(G225-(VLOOKUP(C225,Price!B:D,3,FALSE)*D225))</f>
        <v>20000</v>
      </c>
      <c r="K225" s="598">
        <f>(J225/(F225/11*10))</f>
        <v>0.23529411764705879</v>
      </c>
      <c r="L225" s="80">
        <v>17.8</v>
      </c>
      <c r="M225" s="584"/>
      <c r="N225" s="663">
        <f t="shared" si="75"/>
        <v>170814</v>
      </c>
      <c r="O225" s="73" t="s">
        <v>145</v>
      </c>
      <c r="P225" s="132" t="str">
        <f t="shared" si="79"/>
        <v>RC795(20L)</v>
      </c>
      <c r="Q225" s="73">
        <f t="shared" si="76"/>
        <v>1</v>
      </c>
      <c r="R225" s="147">
        <v>65000</v>
      </c>
      <c r="S225" s="147">
        <f t="shared" si="81"/>
        <v>71500</v>
      </c>
      <c r="T225" s="147">
        <f t="shared" si="82"/>
        <v>65000</v>
      </c>
      <c r="U225" s="73" t="str">
        <f t="shared" si="83"/>
        <v>O</v>
      </c>
      <c r="V225" s="73"/>
      <c r="W225" s="520">
        <f t="shared" si="84"/>
        <v>20000</v>
      </c>
      <c r="X225" s="73"/>
      <c r="Y225" s="73"/>
    </row>
    <row r="226" spans="1:25" s="616" customFormat="1" ht="30" customHeight="1" x14ac:dyDescent="0.25">
      <c r="A226" s="184">
        <v>170814</v>
      </c>
      <c r="B226" s="663" t="s">
        <v>565</v>
      </c>
      <c r="C226" s="73" t="s">
        <v>692</v>
      </c>
      <c r="D226" s="73">
        <v>5</v>
      </c>
      <c r="E226" s="147">
        <v>218000</v>
      </c>
      <c r="F226" s="147">
        <f t="shared" si="85"/>
        <v>1199000</v>
      </c>
      <c r="G226" s="147">
        <f t="shared" si="86"/>
        <v>1090000</v>
      </c>
      <c r="H226" s="689" t="s">
        <v>173</v>
      </c>
      <c r="I226" s="73" t="s">
        <v>109</v>
      </c>
      <c r="J226" s="60">
        <f>(G226-(VLOOKUP(C226,Price!B:D,3,FALSE)*D226))</f>
        <v>290000</v>
      </c>
      <c r="K226" s="427">
        <f t="shared" si="80"/>
        <v>0.26605504587155965</v>
      </c>
      <c r="L226" s="80">
        <v>17.8</v>
      </c>
      <c r="M226" s="584"/>
      <c r="N226" s="663">
        <f t="shared" si="75"/>
        <v>170814</v>
      </c>
      <c r="O226" s="73" t="s">
        <v>150</v>
      </c>
      <c r="P226" s="132" t="str">
        <f t="shared" si="79"/>
        <v>윤전 블랑켓</v>
      </c>
      <c r="Q226" s="73">
        <f t="shared" si="76"/>
        <v>5</v>
      </c>
      <c r="R226" s="147">
        <v>160000</v>
      </c>
      <c r="S226" s="147">
        <f t="shared" si="81"/>
        <v>880000.00000000012</v>
      </c>
      <c r="T226" s="147">
        <f t="shared" si="82"/>
        <v>800000</v>
      </c>
      <c r="U226" s="73" t="str">
        <f t="shared" si="83"/>
        <v>O</v>
      </c>
      <c r="V226" s="73" t="s">
        <v>784</v>
      </c>
      <c r="W226" s="482">
        <f t="shared" si="84"/>
        <v>290000</v>
      </c>
      <c r="X226" s="73"/>
      <c r="Y226" s="73"/>
    </row>
    <row r="227" spans="1:25" ht="30" hidden="1" customHeight="1" x14ac:dyDescent="0.25">
      <c r="A227" s="80">
        <v>170814</v>
      </c>
      <c r="B227" s="663" t="s">
        <v>549</v>
      </c>
      <c r="C227" s="680" t="s">
        <v>118</v>
      </c>
      <c r="D227" s="73">
        <v>15</v>
      </c>
      <c r="E227" s="147">
        <v>115000</v>
      </c>
      <c r="F227" s="147">
        <f t="shared" si="85"/>
        <v>1897500.0000000002</v>
      </c>
      <c r="G227" s="147">
        <f t="shared" si="86"/>
        <v>1725000</v>
      </c>
      <c r="H227" s="689" t="s">
        <v>173</v>
      </c>
      <c r="I227" s="73" t="s">
        <v>109</v>
      </c>
      <c r="J227" s="60">
        <f>(G227-(VLOOKUP(C227,Price!B:D,3,FALSE)*D227))</f>
        <v>394500</v>
      </c>
      <c r="K227" s="427">
        <f t="shared" si="80"/>
        <v>0.22869565217391302</v>
      </c>
      <c r="L227" s="80">
        <v>17.8</v>
      </c>
      <c r="M227" s="584"/>
      <c r="N227" s="663">
        <f t="shared" si="75"/>
        <v>170814</v>
      </c>
      <c r="O227" s="73" t="s">
        <v>150</v>
      </c>
      <c r="P227" s="132" t="str">
        <f t="shared" si="79"/>
        <v>미쯔비시 Blanket(1035*910)</v>
      </c>
      <c r="Q227" s="73">
        <f t="shared" si="76"/>
        <v>15</v>
      </c>
      <c r="R227" s="147">
        <v>88700</v>
      </c>
      <c r="S227" s="147">
        <f t="shared" si="81"/>
        <v>1463550.0000000002</v>
      </c>
      <c r="T227" s="147">
        <f t="shared" si="82"/>
        <v>1330500</v>
      </c>
      <c r="U227" s="73" t="str">
        <f t="shared" si="83"/>
        <v>O</v>
      </c>
      <c r="V227" s="73"/>
      <c r="W227" s="482">
        <f t="shared" si="84"/>
        <v>394500</v>
      </c>
      <c r="X227" s="73"/>
      <c r="Y227" s="73"/>
    </row>
    <row r="228" spans="1:25" s="602" customFormat="1" ht="30" hidden="1" customHeight="1" x14ac:dyDescent="0.25">
      <c r="A228" s="85">
        <v>170814</v>
      </c>
      <c r="B228" s="668" t="s">
        <v>547</v>
      </c>
      <c r="C228" s="84" t="s">
        <v>697</v>
      </c>
      <c r="D228" s="84">
        <v>4</v>
      </c>
      <c r="E228" s="189">
        <v>172000</v>
      </c>
      <c r="F228" s="189">
        <f t="shared" si="85"/>
        <v>756800.00000000012</v>
      </c>
      <c r="G228" s="189">
        <f t="shared" si="86"/>
        <v>688000</v>
      </c>
      <c r="H228" s="691" t="s">
        <v>173</v>
      </c>
      <c r="I228" s="84" t="s">
        <v>142</v>
      </c>
      <c r="J228" s="64">
        <f>(G228-(VLOOKUP(C228,Price!B:D,3,FALSE)*D228))</f>
        <v>137600</v>
      </c>
      <c r="K228" s="425">
        <f>(J228/(F228/11*10))</f>
        <v>0.19999999999999996</v>
      </c>
      <c r="L228" s="612">
        <v>17.8</v>
      </c>
      <c r="M228" s="601"/>
      <c r="N228" s="668">
        <f t="shared" si="75"/>
        <v>170814</v>
      </c>
      <c r="O228" s="84" t="s">
        <v>150</v>
      </c>
      <c r="P228" s="133" t="s">
        <v>697</v>
      </c>
      <c r="Q228" s="84">
        <f t="shared" si="76"/>
        <v>4</v>
      </c>
      <c r="R228" s="189">
        <v>90000</v>
      </c>
      <c r="S228" s="189">
        <f t="shared" si="81"/>
        <v>396000.00000000006</v>
      </c>
      <c r="T228" s="189">
        <f t="shared" si="82"/>
        <v>360000</v>
      </c>
      <c r="U228" s="84" t="str">
        <f t="shared" si="83"/>
        <v>X</v>
      </c>
      <c r="V228" s="84"/>
      <c r="W228" s="481">
        <f t="shared" si="84"/>
        <v>328000</v>
      </c>
      <c r="X228" s="84"/>
      <c r="Y228" s="84"/>
    </row>
    <row r="229" spans="1:25" s="610" customFormat="1" ht="32.65" hidden="1" customHeight="1" x14ac:dyDescent="0.25">
      <c r="A229" s="89">
        <v>170815</v>
      </c>
      <c r="B229" s="673" t="s">
        <v>575</v>
      </c>
      <c r="C229" s="88" t="s">
        <v>700</v>
      </c>
      <c r="D229" s="88">
        <v>1</v>
      </c>
      <c r="E229" s="470">
        <v>1250000</v>
      </c>
      <c r="F229" s="470">
        <f t="shared" si="85"/>
        <v>1375000</v>
      </c>
      <c r="G229" s="470">
        <f t="shared" si="86"/>
        <v>1250000</v>
      </c>
      <c r="H229" s="745" t="s">
        <v>165</v>
      </c>
      <c r="I229" s="88"/>
      <c r="J229" s="107"/>
      <c r="K229" s="469"/>
      <c r="L229" s="89">
        <v>17.8</v>
      </c>
      <c r="M229" s="575"/>
      <c r="N229" s="673">
        <f t="shared" si="75"/>
        <v>170815</v>
      </c>
      <c r="O229" s="88"/>
      <c r="P229" s="134"/>
      <c r="Q229" s="88">
        <f t="shared" si="76"/>
        <v>1</v>
      </c>
      <c r="R229" s="470"/>
      <c r="S229" s="470"/>
      <c r="T229" s="470"/>
      <c r="U229" s="88"/>
      <c r="V229" s="88"/>
      <c r="W229" s="483">
        <f t="shared" si="84"/>
        <v>1250000</v>
      </c>
      <c r="X229" s="88"/>
      <c r="Y229" s="88"/>
    </row>
    <row r="230" spans="1:25" ht="30" customHeight="1" x14ac:dyDescent="0.25">
      <c r="A230" s="80">
        <v>170816</v>
      </c>
      <c r="B230" s="663" t="s">
        <v>565</v>
      </c>
      <c r="C230" s="73" t="s">
        <v>218</v>
      </c>
      <c r="D230" s="73">
        <v>5</v>
      </c>
      <c r="E230" s="147">
        <v>235000</v>
      </c>
      <c r="F230" s="147">
        <f t="shared" si="85"/>
        <v>1292500</v>
      </c>
      <c r="G230" s="147">
        <f t="shared" si="86"/>
        <v>1175000</v>
      </c>
      <c r="H230" s="689" t="s">
        <v>173</v>
      </c>
      <c r="I230" s="73" t="s">
        <v>120</v>
      </c>
      <c r="J230" s="60">
        <f>(G230-(VLOOKUP(C230,Price!B:D,3,FALSE)*D230))</f>
        <v>612500</v>
      </c>
      <c r="K230" s="427">
        <f>(J230/(F230/11*10))</f>
        <v>0.52127659574468088</v>
      </c>
      <c r="L230" s="80">
        <v>17.8</v>
      </c>
      <c r="M230" s="584"/>
      <c r="N230" s="663">
        <f t="shared" si="75"/>
        <v>170816</v>
      </c>
      <c r="O230" s="73" t="s">
        <v>150</v>
      </c>
      <c r="P230" s="132" t="str">
        <f t="shared" si="79"/>
        <v>Fount Web 551AF</v>
      </c>
      <c r="Q230" s="73">
        <f t="shared" si="76"/>
        <v>5</v>
      </c>
      <c r="R230" s="147">
        <v>112500</v>
      </c>
      <c r="S230" s="147">
        <f t="shared" ref="S230:S261" si="87">(R230*D230)*1.1</f>
        <v>618750</v>
      </c>
      <c r="T230" s="147">
        <f t="shared" ref="T230:T261" si="88">(R230*Q230)</f>
        <v>562500</v>
      </c>
      <c r="U230" s="73" t="str">
        <f t="shared" ref="U230:U261" si="89">IF(J230=W230,"O", "X")</f>
        <v>O</v>
      </c>
      <c r="V230" s="73"/>
      <c r="W230" s="482">
        <f t="shared" si="84"/>
        <v>612500</v>
      </c>
      <c r="X230" s="73"/>
      <c r="Y230" s="73"/>
    </row>
    <row r="231" spans="1:25" s="602" customFormat="1" ht="30" hidden="1" customHeight="1" x14ac:dyDescent="0.25">
      <c r="A231" s="85">
        <v>170816</v>
      </c>
      <c r="B231" s="668" t="s">
        <v>555</v>
      </c>
      <c r="C231" s="84" t="s">
        <v>121</v>
      </c>
      <c r="D231" s="84">
        <v>4</v>
      </c>
      <c r="E231" s="189">
        <v>138000</v>
      </c>
      <c r="F231" s="189">
        <f t="shared" si="85"/>
        <v>607200</v>
      </c>
      <c r="G231" s="189">
        <f t="shared" si="86"/>
        <v>552000</v>
      </c>
      <c r="H231" s="691" t="s">
        <v>173</v>
      </c>
      <c r="I231" s="84" t="s">
        <v>142</v>
      </c>
      <c r="J231" s="61">
        <f>(G231-(VLOOKUP(C231,Price!B:D,3,FALSE)*D231))</f>
        <v>188000</v>
      </c>
      <c r="K231" s="62">
        <f t="shared" ref="K231:K244" si="90">(J231/(F231/11*10))</f>
        <v>0.34057971014492755</v>
      </c>
      <c r="L231" s="85">
        <v>17.8</v>
      </c>
      <c r="M231" s="601"/>
      <c r="N231" s="668">
        <f t="shared" si="75"/>
        <v>170816</v>
      </c>
      <c r="O231" s="84" t="s">
        <v>150</v>
      </c>
      <c r="P231" s="133" t="str">
        <f t="shared" si="79"/>
        <v>윤전용 실리콘</v>
      </c>
      <c r="Q231" s="84">
        <f t="shared" si="76"/>
        <v>4</v>
      </c>
      <c r="R231" s="189">
        <v>91000</v>
      </c>
      <c r="S231" s="189">
        <f t="shared" si="87"/>
        <v>400400.00000000006</v>
      </c>
      <c r="T231" s="189">
        <f t="shared" si="88"/>
        <v>364000</v>
      </c>
      <c r="U231" s="84" t="str">
        <f t="shared" si="89"/>
        <v>O</v>
      </c>
      <c r="V231" s="84"/>
      <c r="W231" s="482">
        <f t="shared" si="84"/>
        <v>188000</v>
      </c>
      <c r="X231" s="84"/>
      <c r="Y231" s="84"/>
    </row>
    <row r="232" spans="1:25" ht="30" hidden="1" customHeight="1" x14ac:dyDescent="0.25">
      <c r="A232" s="80">
        <v>170817</v>
      </c>
      <c r="B232" s="663" t="s">
        <v>549</v>
      </c>
      <c r="C232" s="73" t="s">
        <v>788</v>
      </c>
      <c r="D232" s="73">
        <v>8</v>
      </c>
      <c r="E232" s="147">
        <v>123000</v>
      </c>
      <c r="F232" s="147">
        <f t="shared" ref="F232:F249" si="91">(E232*D232)*1.1</f>
        <v>1082400</v>
      </c>
      <c r="G232" s="147">
        <f t="shared" ref="G232:G249" si="92">(E232*D232)</f>
        <v>984000</v>
      </c>
      <c r="H232" s="689" t="s">
        <v>173</v>
      </c>
      <c r="I232" s="73" t="s">
        <v>109</v>
      </c>
      <c r="J232" s="60">
        <f>(G232-(VLOOKUP(C232,Price!B:D,3,FALSE)*D232))</f>
        <v>228000</v>
      </c>
      <c r="K232" s="427">
        <f t="shared" si="90"/>
        <v>0.23170731707317074</v>
      </c>
      <c r="L232" s="80">
        <v>17.8</v>
      </c>
      <c r="M232" s="584"/>
      <c r="N232" s="663">
        <f t="shared" si="75"/>
        <v>170817</v>
      </c>
      <c r="O232" s="73" t="s">
        <v>150</v>
      </c>
      <c r="P232" s="132" t="str">
        <f t="shared" si="79"/>
        <v>아끼야마 Blanket(1035*970)</v>
      </c>
      <c r="Q232" s="73">
        <f t="shared" si="76"/>
        <v>8</v>
      </c>
      <c r="R232" s="147">
        <v>94500</v>
      </c>
      <c r="S232" s="147">
        <f t="shared" si="87"/>
        <v>831600.00000000012</v>
      </c>
      <c r="T232" s="147">
        <f t="shared" si="88"/>
        <v>756000</v>
      </c>
      <c r="U232" s="73" t="str">
        <f t="shared" si="89"/>
        <v>O</v>
      </c>
      <c r="V232" s="73"/>
      <c r="W232" s="482">
        <f t="shared" si="84"/>
        <v>228000</v>
      </c>
      <c r="X232" s="73"/>
      <c r="Y232" s="73"/>
    </row>
    <row r="233" spans="1:25" s="616" customFormat="1" ht="30" hidden="1" customHeight="1" x14ac:dyDescent="0.25">
      <c r="A233" s="80">
        <v>170817</v>
      </c>
      <c r="B233" s="663" t="s">
        <v>558</v>
      </c>
      <c r="C233" s="73" t="s">
        <v>559</v>
      </c>
      <c r="D233" s="73">
        <v>5</v>
      </c>
      <c r="E233" s="147">
        <v>130000</v>
      </c>
      <c r="F233" s="147">
        <f t="shared" si="91"/>
        <v>715000</v>
      </c>
      <c r="G233" s="147">
        <f t="shared" si="92"/>
        <v>650000</v>
      </c>
      <c r="H233" s="689" t="s">
        <v>173</v>
      </c>
      <c r="I233" s="73" t="s">
        <v>109</v>
      </c>
      <c r="J233" s="60">
        <f>(G233-(VLOOKUP(C233,Price!B:D,3,FALSE)*D233))</f>
        <v>225000</v>
      </c>
      <c r="K233" s="427">
        <f>(J233/(F233/11*10))</f>
        <v>0.34615384615384615</v>
      </c>
      <c r="L233" s="80">
        <v>17.8</v>
      </c>
      <c r="M233" s="584"/>
      <c r="N233" s="663">
        <f t="shared" si="75"/>
        <v>170817</v>
      </c>
      <c r="O233" s="73" t="s">
        <v>560</v>
      </c>
      <c r="P233" s="132" t="str">
        <f t="shared" si="79"/>
        <v>Blanket(1050*840)bar</v>
      </c>
      <c r="Q233" s="73">
        <f t="shared" si="76"/>
        <v>5</v>
      </c>
      <c r="R233" s="147">
        <v>85000</v>
      </c>
      <c r="S233" s="147">
        <f t="shared" si="87"/>
        <v>467500.00000000006</v>
      </c>
      <c r="T233" s="147">
        <f t="shared" si="88"/>
        <v>425000</v>
      </c>
      <c r="U233" s="73" t="str">
        <f t="shared" si="89"/>
        <v>O</v>
      </c>
      <c r="V233" s="73"/>
      <c r="W233" s="520">
        <f t="shared" si="84"/>
        <v>225000</v>
      </c>
      <c r="X233" s="73"/>
      <c r="Y233" s="73"/>
    </row>
    <row r="234" spans="1:25" ht="30" hidden="1" customHeight="1" x14ac:dyDescent="0.25">
      <c r="A234" s="611">
        <v>170817</v>
      </c>
      <c r="B234" s="674" t="s">
        <v>555</v>
      </c>
      <c r="C234" s="409" t="s">
        <v>830</v>
      </c>
      <c r="D234" s="409">
        <v>1</v>
      </c>
      <c r="E234" s="208">
        <v>1500000</v>
      </c>
      <c r="F234" s="208">
        <f t="shared" si="91"/>
        <v>1650000.0000000002</v>
      </c>
      <c r="G234" s="208">
        <f t="shared" si="92"/>
        <v>1500000</v>
      </c>
      <c r="H234" s="785" t="s">
        <v>113</v>
      </c>
      <c r="I234" s="409"/>
      <c r="J234" s="97">
        <v>1200000</v>
      </c>
      <c r="K234" s="427">
        <f>(J234/(F234/11*10))</f>
        <v>0.79999999999999982</v>
      </c>
      <c r="L234" s="611">
        <v>17.8</v>
      </c>
      <c r="M234" s="583"/>
      <c r="N234" s="674">
        <f t="shared" si="75"/>
        <v>170817</v>
      </c>
      <c r="O234" s="813" t="s">
        <v>113</v>
      </c>
      <c r="P234" s="139" t="str">
        <f t="shared" si="79"/>
        <v>웹 가이드 센서</v>
      </c>
      <c r="Q234" s="409">
        <f t="shared" si="76"/>
        <v>1</v>
      </c>
      <c r="R234" s="208">
        <v>300000</v>
      </c>
      <c r="S234" s="208">
        <f t="shared" si="87"/>
        <v>330000</v>
      </c>
      <c r="T234" s="208">
        <f t="shared" si="88"/>
        <v>300000</v>
      </c>
      <c r="U234" s="409" t="str">
        <f t="shared" si="89"/>
        <v>O</v>
      </c>
      <c r="V234" s="409" t="s">
        <v>831</v>
      </c>
      <c r="W234" s="482">
        <f t="shared" si="84"/>
        <v>1200000</v>
      </c>
      <c r="X234" s="409"/>
      <c r="Y234" s="409"/>
    </row>
    <row r="235" spans="1:25" s="602" customFormat="1" ht="30" hidden="1" customHeight="1" x14ac:dyDescent="0.25">
      <c r="A235" s="85">
        <v>170817</v>
      </c>
      <c r="B235" s="668" t="s">
        <v>445</v>
      </c>
      <c r="C235" s="84" t="s">
        <v>138</v>
      </c>
      <c r="D235" s="84">
        <v>10</v>
      </c>
      <c r="E235" s="189">
        <v>59500</v>
      </c>
      <c r="F235" s="189">
        <f t="shared" si="91"/>
        <v>654500</v>
      </c>
      <c r="G235" s="189">
        <f t="shared" si="92"/>
        <v>595000</v>
      </c>
      <c r="H235" s="691" t="s">
        <v>173</v>
      </c>
      <c r="I235" s="84" t="s">
        <v>108</v>
      </c>
      <c r="J235" s="61">
        <f>(G235-(VLOOKUP(C235,Price!B:D,3,FALSE)*D235))</f>
        <v>85000</v>
      </c>
      <c r="K235" s="62">
        <f t="shared" si="90"/>
        <v>0.14285714285714285</v>
      </c>
      <c r="L235" s="85">
        <v>17.8</v>
      </c>
      <c r="M235" s="601"/>
      <c r="N235" s="668">
        <f t="shared" si="75"/>
        <v>170817</v>
      </c>
      <c r="O235" s="84" t="s">
        <v>150</v>
      </c>
      <c r="P235" s="133" t="str">
        <f t="shared" si="79"/>
        <v>매엽용 세척제(Wash 562)</v>
      </c>
      <c r="Q235" s="84">
        <f t="shared" si="76"/>
        <v>10</v>
      </c>
      <c r="R235" s="189">
        <v>51000</v>
      </c>
      <c r="S235" s="189">
        <f t="shared" si="87"/>
        <v>561000</v>
      </c>
      <c r="T235" s="189">
        <f t="shared" si="88"/>
        <v>510000</v>
      </c>
      <c r="U235" s="84" t="str">
        <f t="shared" si="89"/>
        <v>O</v>
      </c>
      <c r="V235" s="84"/>
      <c r="W235" s="482">
        <f t="shared" si="84"/>
        <v>85000</v>
      </c>
      <c r="X235" s="84"/>
      <c r="Y235" s="84"/>
    </row>
    <row r="236" spans="1:25" ht="30" hidden="1" customHeight="1" x14ac:dyDescent="0.25">
      <c r="A236" s="80">
        <v>170818</v>
      </c>
      <c r="B236" s="663" t="s">
        <v>555</v>
      </c>
      <c r="C236" s="73" t="s">
        <v>121</v>
      </c>
      <c r="D236" s="73">
        <v>4</v>
      </c>
      <c r="E236" s="147">
        <v>138000</v>
      </c>
      <c r="F236" s="147">
        <f t="shared" si="91"/>
        <v>607200</v>
      </c>
      <c r="G236" s="147">
        <f t="shared" si="92"/>
        <v>552000</v>
      </c>
      <c r="H236" s="689" t="s">
        <v>173</v>
      </c>
      <c r="I236" s="73" t="s">
        <v>142</v>
      </c>
      <c r="J236" s="60">
        <f>(G236-(VLOOKUP(C236,Price!B:D,3,FALSE)*D236))</f>
        <v>188000</v>
      </c>
      <c r="K236" s="427">
        <f t="shared" si="90"/>
        <v>0.34057971014492755</v>
      </c>
      <c r="L236" s="80">
        <v>17.8</v>
      </c>
      <c r="M236" s="584"/>
      <c r="N236" s="663">
        <f t="shared" si="75"/>
        <v>170818</v>
      </c>
      <c r="O236" s="73" t="s">
        <v>150</v>
      </c>
      <c r="P236" s="132" t="str">
        <f t="shared" si="79"/>
        <v>윤전용 실리콘</v>
      </c>
      <c r="Q236" s="73">
        <f t="shared" si="76"/>
        <v>4</v>
      </c>
      <c r="R236" s="147">
        <v>91000</v>
      </c>
      <c r="S236" s="147">
        <f t="shared" si="87"/>
        <v>400400.00000000006</v>
      </c>
      <c r="T236" s="147">
        <f t="shared" si="88"/>
        <v>364000</v>
      </c>
      <c r="U236" s="73" t="str">
        <f t="shared" si="89"/>
        <v>O</v>
      </c>
      <c r="V236" s="73"/>
      <c r="W236" s="482">
        <f t="shared" si="84"/>
        <v>188000</v>
      </c>
      <c r="X236" s="73"/>
      <c r="Y236" s="73"/>
    </row>
    <row r="237" spans="1:25" ht="30" hidden="1" customHeight="1" x14ac:dyDescent="0.25">
      <c r="A237" s="82">
        <v>170818</v>
      </c>
      <c r="B237" s="664" t="s">
        <v>444</v>
      </c>
      <c r="C237" s="71" t="s">
        <v>227</v>
      </c>
      <c r="D237" s="71">
        <v>10</v>
      </c>
      <c r="E237" s="102">
        <v>110000</v>
      </c>
      <c r="F237" s="102">
        <f t="shared" si="91"/>
        <v>1210000</v>
      </c>
      <c r="G237" s="102">
        <f t="shared" si="92"/>
        <v>1100000</v>
      </c>
      <c r="H237" s="690" t="s">
        <v>173</v>
      </c>
      <c r="I237" s="71" t="s">
        <v>109</v>
      </c>
      <c r="J237" s="53">
        <f>(G237-(VLOOKUP(C237,Price!B:D,3,FALSE)*D237))</f>
        <v>271000</v>
      </c>
      <c r="K237" s="63">
        <f t="shared" si="90"/>
        <v>0.24636363636363637</v>
      </c>
      <c r="L237" s="82">
        <v>17.8</v>
      </c>
      <c r="M237" s="468"/>
      <c r="N237" s="664">
        <f t="shared" si="75"/>
        <v>170818</v>
      </c>
      <c r="O237" s="71" t="s">
        <v>147</v>
      </c>
      <c r="P237" s="103" t="str">
        <f t="shared" si="79"/>
        <v>Blanket(1060*860)</v>
      </c>
      <c r="Q237" s="71">
        <f t="shared" si="76"/>
        <v>10</v>
      </c>
      <c r="R237" s="102">
        <v>82900</v>
      </c>
      <c r="S237" s="102">
        <f t="shared" si="87"/>
        <v>911900.00000000012</v>
      </c>
      <c r="T237" s="102">
        <f t="shared" si="88"/>
        <v>829000</v>
      </c>
      <c r="U237" s="71" t="str">
        <f t="shared" si="89"/>
        <v>O</v>
      </c>
      <c r="V237" s="71"/>
      <c r="W237" s="482">
        <f t="shared" si="84"/>
        <v>271000</v>
      </c>
      <c r="X237" s="71"/>
      <c r="Y237" s="71"/>
    </row>
    <row r="238" spans="1:25" ht="30" hidden="1" customHeight="1" x14ac:dyDescent="0.25">
      <c r="A238" s="82">
        <v>170818</v>
      </c>
      <c r="B238" s="664" t="s">
        <v>444</v>
      </c>
      <c r="C238" s="71" t="s">
        <v>132</v>
      </c>
      <c r="D238" s="71">
        <v>5</v>
      </c>
      <c r="E238" s="102">
        <v>135000</v>
      </c>
      <c r="F238" s="102">
        <f t="shared" si="91"/>
        <v>742500.00000000012</v>
      </c>
      <c r="G238" s="102">
        <f t="shared" si="92"/>
        <v>675000</v>
      </c>
      <c r="H238" s="690" t="s">
        <v>173</v>
      </c>
      <c r="I238" s="71" t="s">
        <v>108</v>
      </c>
      <c r="J238" s="574">
        <f>(G238-(VLOOKUP(C238,Price!B:D,3,FALSE)*D238))</f>
        <v>125000</v>
      </c>
      <c r="K238" s="576">
        <f t="shared" si="90"/>
        <v>0.18518518518518515</v>
      </c>
      <c r="L238" s="82">
        <v>17.8</v>
      </c>
      <c r="M238" s="468"/>
      <c r="N238" s="664">
        <f t="shared" si="75"/>
        <v>170818</v>
      </c>
      <c r="O238" s="71" t="s">
        <v>148</v>
      </c>
      <c r="P238" s="103" t="str">
        <f t="shared" si="79"/>
        <v>UV wash(20L)</v>
      </c>
      <c r="Q238" s="71">
        <f t="shared" si="76"/>
        <v>5</v>
      </c>
      <c r="R238" s="102">
        <v>110000</v>
      </c>
      <c r="S238" s="102">
        <f t="shared" si="87"/>
        <v>605000</v>
      </c>
      <c r="T238" s="102">
        <f t="shared" si="88"/>
        <v>550000</v>
      </c>
      <c r="U238" s="71" t="str">
        <f t="shared" si="89"/>
        <v>O</v>
      </c>
      <c r="V238" s="71"/>
      <c r="W238" s="482">
        <f t="shared" si="84"/>
        <v>125000</v>
      </c>
      <c r="X238" s="71"/>
      <c r="Y238" s="71"/>
    </row>
    <row r="239" spans="1:25" ht="30" hidden="1" customHeight="1" x14ac:dyDescent="0.25">
      <c r="A239" s="82">
        <v>170818</v>
      </c>
      <c r="B239" s="664" t="s">
        <v>442</v>
      </c>
      <c r="C239" s="71" t="s">
        <v>133</v>
      </c>
      <c r="D239" s="71">
        <v>2</v>
      </c>
      <c r="E239" s="102">
        <v>327000</v>
      </c>
      <c r="F239" s="102">
        <f t="shared" si="91"/>
        <v>719400</v>
      </c>
      <c r="G239" s="102">
        <f t="shared" si="92"/>
        <v>654000</v>
      </c>
      <c r="H239" s="690" t="s">
        <v>173</v>
      </c>
      <c r="I239" s="71" t="s">
        <v>141</v>
      </c>
      <c r="J239" s="53">
        <f>(G239-(VLOOKUP(C239,Price!B:D,3,FALSE)*D239))</f>
        <v>115800</v>
      </c>
      <c r="K239" s="63">
        <f t="shared" si="90"/>
        <v>0.17706422018348625</v>
      </c>
      <c r="L239" s="82">
        <v>17.8</v>
      </c>
      <c r="M239" s="468"/>
      <c r="N239" s="664">
        <f t="shared" si="75"/>
        <v>170818</v>
      </c>
      <c r="O239" s="71" t="s">
        <v>145</v>
      </c>
      <c r="P239" s="103" t="str">
        <f t="shared" si="79"/>
        <v>Agfa Film(24inch)</v>
      </c>
      <c r="Q239" s="71">
        <f t="shared" si="76"/>
        <v>2</v>
      </c>
      <c r="R239" s="102">
        <v>269100</v>
      </c>
      <c r="S239" s="102">
        <f t="shared" si="87"/>
        <v>592020</v>
      </c>
      <c r="T239" s="102">
        <f t="shared" si="88"/>
        <v>538200</v>
      </c>
      <c r="U239" s="71" t="str">
        <f t="shared" si="89"/>
        <v>O</v>
      </c>
      <c r="V239" s="71"/>
      <c r="W239" s="482">
        <f t="shared" si="84"/>
        <v>115800</v>
      </c>
      <c r="X239" s="71"/>
      <c r="Y239" s="71"/>
    </row>
    <row r="240" spans="1:25" ht="30" hidden="1" customHeight="1" x14ac:dyDescent="0.25">
      <c r="A240" s="82">
        <v>170818</v>
      </c>
      <c r="B240" s="664" t="s">
        <v>442</v>
      </c>
      <c r="C240" s="71" t="s">
        <v>134</v>
      </c>
      <c r="D240" s="71">
        <v>2</v>
      </c>
      <c r="E240" s="102">
        <v>401000</v>
      </c>
      <c r="F240" s="102">
        <f t="shared" si="91"/>
        <v>882200.00000000012</v>
      </c>
      <c r="G240" s="102">
        <f t="shared" si="92"/>
        <v>802000</v>
      </c>
      <c r="H240" s="690" t="s">
        <v>173</v>
      </c>
      <c r="I240" s="71" t="s">
        <v>141</v>
      </c>
      <c r="J240" s="53">
        <f>(G240-(VLOOKUP(C240,Price!B:D,3,FALSE)*D240))</f>
        <v>174080</v>
      </c>
      <c r="K240" s="63">
        <f t="shared" si="90"/>
        <v>0.21705735660847877</v>
      </c>
      <c r="L240" s="82">
        <v>17.8</v>
      </c>
      <c r="M240" s="468"/>
      <c r="N240" s="664">
        <f t="shared" si="75"/>
        <v>170818</v>
      </c>
      <c r="O240" s="71" t="s">
        <v>145</v>
      </c>
      <c r="P240" s="103" t="str">
        <f t="shared" si="79"/>
        <v>Agfa Film(28inch)</v>
      </c>
      <c r="Q240" s="71">
        <f t="shared" si="76"/>
        <v>2</v>
      </c>
      <c r="R240" s="102">
        <v>313960</v>
      </c>
      <c r="S240" s="102">
        <f t="shared" si="87"/>
        <v>690712</v>
      </c>
      <c r="T240" s="102">
        <f t="shared" si="88"/>
        <v>627920</v>
      </c>
      <c r="U240" s="71" t="str">
        <f t="shared" si="89"/>
        <v>O</v>
      </c>
      <c r="V240" s="71"/>
      <c r="W240" s="482">
        <f t="shared" si="84"/>
        <v>174080</v>
      </c>
      <c r="X240" s="71"/>
      <c r="Y240" s="71"/>
    </row>
    <row r="241" spans="1:25" ht="30" hidden="1" customHeight="1" x14ac:dyDescent="0.25">
      <c r="A241" s="82">
        <v>170818</v>
      </c>
      <c r="B241" s="664" t="s">
        <v>442</v>
      </c>
      <c r="C241" s="71" t="s">
        <v>135</v>
      </c>
      <c r="D241" s="71">
        <v>2</v>
      </c>
      <c r="E241" s="102">
        <v>448000</v>
      </c>
      <c r="F241" s="102">
        <f t="shared" si="91"/>
        <v>985600.00000000012</v>
      </c>
      <c r="G241" s="102">
        <f t="shared" si="92"/>
        <v>896000</v>
      </c>
      <c r="H241" s="690" t="s">
        <v>173</v>
      </c>
      <c r="I241" s="71" t="s">
        <v>141</v>
      </c>
      <c r="J241" s="53">
        <f>(G241-(VLOOKUP(C241,Price!B:D,3,FALSE)*D241))</f>
        <v>155980</v>
      </c>
      <c r="K241" s="63">
        <f t="shared" si="90"/>
        <v>0.1740848214285714</v>
      </c>
      <c r="L241" s="82">
        <v>17.8</v>
      </c>
      <c r="M241" s="468"/>
      <c r="N241" s="664">
        <f t="shared" si="75"/>
        <v>170818</v>
      </c>
      <c r="O241" s="71" t="s">
        <v>145</v>
      </c>
      <c r="P241" s="103" t="str">
        <f t="shared" si="79"/>
        <v>Agfa Film(32inch)</v>
      </c>
      <c r="Q241" s="71">
        <f t="shared" si="76"/>
        <v>2</v>
      </c>
      <c r="R241" s="102">
        <v>370010</v>
      </c>
      <c r="S241" s="102">
        <f t="shared" si="87"/>
        <v>814022.00000000012</v>
      </c>
      <c r="T241" s="102">
        <f t="shared" si="88"/>
        <v>740020</v>
      </c>
      <c r="U241" s="71" t="str">
        <f t="shared" si="89"/>
        <v>O</v>
      </c>
      <c r="V241" s="71"/>
      <c r="W241" s="482">
        <f t="shared" ref="W241:W263" si="93">(G241-T241)</f>
        <v>155980</v>
      </c>
      <c r="X241" s="71"/>
      <c r="Y241" s="71"/>
    </row>
    <row r="242" spans="1:25" ht="30" hidden="1" customHeight="1" x14ac:dyDescent="0.25">
      <c r="A242" s="82">
        <v>170818</v>
      </c>
      <c r="B242" s="664" t="s">
        <v>442</v>
      </c>
      <c r="C242" s="71" t="s">
        <v>649</v>
      </c>
      <c r="D242" s="71">
        <v>2</v>
      </c>
      <c r="E242" s="102">
        <v>41000</v>
      </c>
      <c r="F242" s="102">
        <f t="shared" si="91"/>
        <v>90200.000000000015</v>
      </c>
      <c r="G242" s="102">
        <f t="shared" si="92"/>
        <v>82000</v>
      </c>
      <c r="H242" s="690" t="s">
        <v>173</v>
      </c>
      <c r="I242" s="71" t="s">
        <v>141</v>
      </c>
      <c r="J242" s="53">
        <f>(G242-(VLOOKUP(C242,Price!B:D,3,FALSE)*D242))</f>
        <v>32000</v>
      </c>
      <c r="K242" s="63">
        <f t="shared" si="90"/>
        <v>0.39024390243902435</v>
      </c>
      <c r="L242" s="82">
        <v>17.8</v>
      </c>
      <c r="M242" s="468"/>
      <c r="N242" s="664">
        <f t="shared" si="75"/>
        <v>170818</v>
      </c>
      <c r="O242" s="71" t="s">
        <v>145</v>
      </c>
      <c r="P242" s="103" t="str">
        <f t="shared" si="79"/>
        <v>Agfa 현상액 G101C(10L)</v>
      </c>
      <c r="Q242" s="71">
        <f t="shared" si="76"/>
        <v>2</v>
      </c>
      <c r="R242" s="102">
        <v>25000</v>
      </c>
      <c r="S242" s="102">
        <f t="shared" si="87"/>
        <v>55000.000000000007</v>
      </c>
      <c r="T242" s="102">
        <f t="shared" si="88"/>
        <v>50000</v>
      </c>
      <c r="U242" s="71" t="str">
        <f t="shared" si="89"/>
        <v>O</v>
      </c>
      <c r="V242" s="71"/>
      <c r="W242" s="482">
        <f t="shared" si="93"/>
        <v>32000</v>
      </c>
      <c r="X242" s="71"/>
      <c r="Y242" s="71"/>
    </row>
    <row r="243" spans="1:25" s="602" customFormat="1" ht="30" hidden="1" customHeight="1" x14ac:dyDescent="0.25">
      <c r="A243" s="85">
        <v>170818</v>
      </c>
      <c r="B243" s="668" t="s">
        <v>445</v>
      </c>
      <c r="C243" s="84" t="s">
        <v>121</v>
      </c>
      <c r="D243" s="84">
        <v>5</v>
      </c>
      <c r="E243" s="189">
        <v>110000</v>
      </c>
      <c r="F243" s="189">
        <f t="shared" si="91"/>
        <v>605000</v>
      </c>
      <c r="G243" s="189">
        <f t="shared" si="92"/>
        <v>550000</v>
      </c>
      <c r="H243" s="691" t="s">
        <v>173</v>
      </c>
      <c r="I243" s="84" t="s">
        <v>142</v>
      </c>
      <c r="J243" s="61">
        <f>(G243-(VLOOKUP(C243,Price!B:D,3,FALSE)*D243))</f>
        <v>95000</v>
      </c>
      <c r="K243" s="62">
        <f t="shared" si="90"/>
        <v>0.17272727272727273</v>
      </c>
      <c r="L243" s="85">
        <v>17.8</v>
      </c>
      <c r="M243" s="601"/>
      <c r="N243" s="668">
        <f t="shared" si="75"/>
        <v>170818</v>
      </c>
      <c r="O243" s="84" t="s">
        <v>150</v>
      </c>
      <c r="P243" s="133" t="str">
        <f t="shared" si="79"/>
        <v>윤전용 실리콘</v>
      </c>
      <c r="Q243" s="84">
        <f t="shared" si="76"/>
        <v>5</v>
      </c>
      <c r="R243" s="189">
        <v>91000</v>
      </c>
      <c r="S243" s="189">
        <f t="shared" si="87"/>
        <v>500500.00000000006</v>
      </c>
      <c r="T243" s="189">
        <f t="shared" si="88"/>
        <v>455000</v>
      </c>
      <c r="U243" s="84" t="str">
        <f t="shared" si="89"/>
        <v>O</v>
      </c>
      <c r="V243" s="84"/>
      <c r="W243" s="482">
        <f t="shared" si="93"/>
        <v>95000</v>
      </c>
      <c r="X243" s="84"/>
      <c r="Y243" s="84"/>
    </row>
    <row r="244" spans="1:25" ht="30" hidden="1" customHeight="1" x14ac:dyDescent="0.25">
      <c r="A244" s="80">
        <v>170821</v>
      </c>
      <c r="B244" s="663" t="s">
        <v>546</v>
      </c>
      <c r="C244" s="73" t="s">
        <v>704</v>
      </c>
      <c r="D244" s="73">
        <v>4</v>
      </c>
      <c r="E244" s="147">
        <v>390000</v>
      </c>
      <c r="F244" s="147">
        <f t="shared" si="91"/>
        <v>1716000.0000000002</v>
      </c>
      <c r="G244" s="147">
        <f t="shared" si="92"/>
        <v>1560000</v>
      </c>
      <c r="H244" s="786" t="s">
        <v>113</v>
      </c>
      <c r="I244" s="73"/>
      <c r="J244" s="60">
        <f>(G244-(VLOOKUP(C244,Import!C:G,4,FALSE)*D244))</f>
        <v>1560000</v>
      </c>
      <c r="K244" s="427">
        <f t="shared" si="90"/>
        <v>0.99999999999999989</v>
      </c>
      <c r="L244" s="80">
        <v>17.8</v>
      </c>
      <c r="M244" s="584"/>
      <c r="N244" s="663">
        <f t="shared" si="75"/>
        <v>170821</v>
      </c>
      <c r="O244" s="807" t="s">
        <v>113</v>
      </c>
      <c r="P244" s="132" t="str">
        <f t="shared" si="79"/>
        <v>핀, 레버</v>
      </c>
      <c r="Q244" s="73">
        <f t="shared" si="76"/>
        <v>4</v>
      </c>
      <c r="R244" s="147"/>
      <c r="S244" s="147">
        <f t="shared" si="87"/>
        <v>0</v>
      </c>
      <c r="T244" s="147">
        <f t="shared" si="88"/>
        <v>0</v>
      </c>
      <c r="U244" s="73" t="str">
        <f t="shared" si="89"/>
        <v>O</v>
      </c>
      <c r="V244" s="73"/>
      <c r="W244" s="482">
        <f t="shared" si="93"/>
        <v>1560000</v>
      </c>
      <c r="X244" s="73"/>
      <c r="Y244" s="73"/>
    </row>
    <row r="245" spans="1:25" ht="30" hidden="1" customHeight="1" x14ac:dyDescent="0.25">
      <c r="A245" s="82">
        <v>170821</v>
      </c>
      <c r="B245" s="664" t="s">
        <v>590</v>
      </c>
      <c r="C245" s="71" t="s">
        <v>585</v>
      </c>
      <c r="D245" s="71">
        <v>24</v>
      </c>
      <c r="E245" s="102">
        <v>7500</v>
      </c>
      <c r="F245" s="102">
        <f t="shared" si="91"/>
        <v>198000.00000000003</v>
      </c>
      <c r="G245" s="102">
        <f t="shared" si="92"/>
        <v>180000</v>
      </c>
      <c r="H245" s="690" t="s">
        <v>173</v>
      </c>
      <c r="I245" s="71" t="s">
        <v>144</v>
      </c>
      <c r="J245" s="53">
        <f>(G245-(VLOOKUP(C245,Price!B:D,3,FALSE)*D245))</f>
        <v>17520</v>
      </c>
      <c r="K245" s="63">
        <f>(J245/(F245/11*10))</f>
        <v>9.7333333333333313E-2</v>
      </c>
      <c r="L245" s="82">
        <v>17.8</v>
      </c>
      <c r="M245" s="468"/>
      <c r="N245" s="664">
        <f t="shared" si="75"/>
        <v>170821</v>
      </c>
      <c r="O245" s="71" t="s">
        <v>147</v>
      </c>
      <c r="P245" s="103" t="str">
        <f t="shared" si="79"/>
        <v>프리미어(적)</v>
      </c>
      <c r="Q245" s="71">
        <f t="shared" si="76"/>
        <v>24</v>
      </c>
      <c r="R245" s="102">
        <v>6770</v>
      </c>
      <c r="S245" s="102">
        <f t="shared" si="87"/>
        <v>178728</v>
      </c>
      <c r="T245" s="102">
        <f t="shared" si="88"/>
        <v>162480</v>
      </c>
      <c r="U245" s="71" t="str">
        <f t="shared" si="89"/>
        <v>O</v>
      </c>
      <c r="V245" s="71"/>
      <c r="W245" s="482">
        <f t="shared" si="93"/>
        <v>17520</v>
      </c>
      <c r="X245" s="71"/>
      <c r="Y245" s="71"/>
    </row>
    <row r="246" spans="1:25" ht="30" hidden="1" customHeight="1" x14ac:dyDescent="0.25">
      <c r="A246" s="82">
        <v>170821</v>
      </c>
      <c r="B246" s="664" t="s">
        <v>590</v>
      </c>
      <c r="C246" s="71" t="s">
        <v>586</v>
      </c>
      <c r="D246" s="71">
        <v>48</v>
      </c>
      <c r="E246" s="102">
        <v>6750</v>
      </c>
      <c r="F246" s="102">
        <f t="shared" si="91"/>
        <v>356400</v>
      </c>
      <c r="G246" s="102">
        <f t="shared" si="92"/>
        <v>324000</v>
      </c>
      <c r="H246" s="690" t="s">
        <v>173</v>
      </c>
      <c r="I246" s="71" t="s">
        <v>144</v>
      </c>
      <c r="J246" s="53">
        <f>(G246-(VLOOKUP(C246,Price!B:D,3,FALSE)*D246))</f>
        <v>27360</v>
      </c>
      <c r="K246" s="63">
        <f>(J246/(F246/11*10))</f>
        <v>8.4444444444444447E-2</v>
      </c>
      <c r="L246" s="82">
        <v>17.8</v>
      </c>
      <c r="M246" s="468"/>
      <c r="N246" s="664">
        <f t="shared" si="75"/>
        <v>170821</v>
      </c>
      <c r="O246" s="71" t="s">
        <v>147</v>
      </c>
      <c r="P246" s="103" t="str">
        <f t="shared" si="79"/>
        <v>프리미어(황)</v>
      </c>
      <c r="Q246" s="71">
        <f t="shared" si="76"/>
        <v>48</v>
      </c>
      <c r="R246" s="102">
        <v>6180</v>
      </c>
      <c r="S246" s="102">
        <f t="shared" si="87"/>
        <v>326304</v>
      </c>
      <c r="T246" s="102">
        <f t="shared" si="88"/>
        <v>296640</v>
      </c>
      <c r="U246" s="71" t="str">
        <f t="shared" si="89"/>
        <v>O</v>
      </c>
      <c r="V246" s="71"/>
      <c r="W246" s="482">
        <f t="shared" si="93"/>
        <v>27360</v>
      </c>
      <c r="X246" s="71"/>
      <c r="Y246" s="71"/>
    </row>
    <row r="247" spans="1:25" s="616" customFormat="1" ht="30" hidden="1" customHeight="1" x14ac:dyDescent="0.25">
      <c r="A247" s="82">
        <v>170821</v>
      </c>
      <c r="B247" s="664" t="s">
        <v>590</v>
      </c>
      <c r="C247" s="71" t="s">
        <v>587</v>
      </c>
      <c r="D247" s="71">
        <v>48</v>
      </c>
      <c r="E247" s="102">
        <v>8000</v>
      </c>
      <c r="F247" s="102">
        <f t="shared" si="91"/>
        <v>422400.00000000006</v>
      </c>
      <c r="G247" s="102">
        <f t="shared" si="92"/>
        <v>384000</v>
      </c>
      <c r="H247" s="690" t="s">
        <v>173</v>
      </c>
      <c r="I247" s="71" t="s">
        <v>144</v>
      </c>
      <c r="J247" s="53">
        <f>(G247-(VLOOKUP(C247,Price!B:D,3,FALSE)*D247))</f>
        <v>52320</v>
      </c>
      <c r="K247" s="63">
        <f>(J247/(F247/11*10))</f>
        <v>0.13624999999999998</v>
      </c>
      <c r="L247" s="82">
        <v>17.8</v>
      </c>
      <c r="M247" s="468"/>
      <c r="N247" s="664">
        <f t="shared" si="75"/>
        <v>170821</v>
      </c>
      <c r="O247" s="71" t="s">
        <v>147</v>
      </c>
      <c r="P247" s="103" t="str">
        <f t="shared" si="79"/>
        <v>프리미어(청)</v>
      </c>
      <c r="Q247" s="71">
        <f t="shared" si="76"/>
        <v>48</v>
      </c>
      <c r="R247" s="102">
        <v>6910</v>
      </c>
      <c r="S247" s="102">
        <f t="shared" si="87"/>
        <v>364848.00000000006</v>
      </c>
      <c r="T247" s="102">
        <f t="shared" si="88"/>
        <v>331680</v>
      </c>
      <c r="U247" s="71" t="str">
        <f t="shared" si="89"/>
        <v>O</v>
      </c>
      <c r="V247" s="71"/>
      <c r="W247" s="520">
        <f t="shared" si="93"/>
        <v>52320</v>
      </c>
      <c r="X247" s="71"/>
      <c r="Y247" s="71"/>
    </row>
    <row r="248" spans="1:25" s="657" customFormat="1" ht="30" customHeight="1" x14ac:dyDescent="0.25">
      <c r="A248" s="82">
        <v>170821</v>
      </c>
      <c r="B248" s="664" t="s">
        <v>422</v>
      </c>
      <c r="C248" s="71" t="s">
        <v>130</v>
      </c>
      <c r="D248" s="71">
        <v>10</v>
      </c>
      <c r="E248" s="102">
        <v>125000</v>
      </c>
      <c r="F248" s="102">
        <f t="shared" si="91"/>
        <v>1375000</v>
      </c>
      <c r="G248" s="102">
        <f t="shared" si="92"/>
        <v>1250000</v>
      </c>
      <c r="H248" s="690" t="s">
        <v>173</v>
      </c>
      <c r="I248" s="71" t="s">
        <v>109</v>
      </c>
      <c r="J248" s="53">
        <f>(G248-(VLOOKUP(C248,Price!B:D,3,FALSE)*D248))</f>
        <v>260000</v>
      </c>
      <c r="K248" s="63">
        <f>(J248/(F248/11*10))</f>
        <v>0.20799999999999999</v>
      </c>
      <c r="L248" s="82">
        <v>17.8</v>
      </c>
      <c r="M248" s="468"/>
      <c r="N248" s="664">
        <f t="shared" si="75"/>
        <v>170821</v>
      </c>
      <c r="O248" s="71" t="s">
        <v>150</v>
      </c>
      <c r="P248" s="103" t="str">
        <f t="shared" si="79"/>
        <v>XL106 Blanket(1077*885)</v>
      </c>
      <c r="Q248" s="71">
        <f t="shared" si="76"/>
        <v>10</v>
      </c>
      <c r="R248" s="102">
        <v>99000</v>
      </c>
      <c r="S248" s="102">
        <f t="shared" si="87"/>
        <v>1089000</v>
      </c>
      <c r="T248" s="102">
        <f t="shared" si="88"/>
        <v>990000</v>
      </c>
      <c r="U248" s="71" t="str">
        <f t="shared" si="89"/>
        <v>O</v>
      </c>
      <c r="V248" s="71"/>
      <c r="W248" s="656">
        <f t="shared" si="93"/>
        <v>260000</v>
      </c>
      <c r="X248" s="71"/>
      <c r="Y248" s="71"/>
    </row>
    <row r="249" spans="1:25" s="602" customFormat="1" ht="30" hidden="1" customHeight="1" x14ac:dyDescent="0.25">
      <c r="A249" s="612">
        <v>170821</v>
      </c>
      <c r="B249" s="672" t="s">
        <v>746</v>
      </c>
      <c r="C249" s="411" t="s">
        <v>123</v>
      </c>
      <c r="D249" s="411">
        <v>5</v>
      </c>
      <c r="E249" s="198">
        <v>30000</v>
      </c>
      <c r="F249" s="198">
        <f t="shared" si="91"/>
        <v>165000</v>
      </c>
      <c r="G249" s="198">
        <f t="shared" si="92"/>
        <v>150000</v>
      </c>
      <c r="H249" s="1008" t="s">
        <v>39</v>
      </c>
      <c r="I249" s="411"/>
      <c r="J249" s="613">
        <f>(G249-(VLOOKUP(C249,Price!B:D,3,FALSE)*D249))</f>
        <v>37695</v>
      </c>
      <c r="K249" s="614">
        <f>(J249/(F249/11*10))</f>
        <v>0.25130000000000002</v>
      </c>
      <c r="L249" s="612">
        <v>17.8</v>
      </c>
      <c r="M249" s="581"/>
      <c r="N249" s="672">
        <f t="shared" si="75"/>
        <v>170821</v>
      </c>
      <c r="O249" s="1009" t="s">
        <v>39</v>
      </c>
      <c r="P249" s="465" t="str">
        <f t="shared" si="79"/>
        <v>필터백</v>
      </c>
      <c r="Q249" s="411">
        <f t="shared" si="76"/>
        <v>5</v>
      </c>
      <c r="R249" s="198">
        <v>19200</v>
      </c>
      <c r="S249" s="198">
        <f t="shared" si="87"/>
        <v>105600.00000000001</v>
      </c>
      <c r="T249" s="198">
        <f t="shared" si="88"/>
        <v>96000</v>
      </c>
      <c r="U249" s="411" t="str">
        <f t="shared" si="89"/>
        <v>X</v>
      </c>
      <c r="V249" s="411"/>
      <c r="W249" s="481">
        <f t="shared" si="93"/>
        <v>54000</v>
      </c>
      <c r="X249" s="411"/>
      <c r="Y249" s="411"/>
    </row>
    <row r="250" spans="1:25" s="610" customFormat="1" ht="30" customHeight="1" x14ac:dyDescent="0.25">
      <c r="A250" s="89">
        <v>170822</v>
      </c>
      <c r="B250" s="673" t="s">
        <v>422</v>
      </c>
      <c r="C250" s="88" t="s">
        <v>706</v>
      </c>
      <c r="D250" s="88">
        <v>1</v>
      </c>
      <c r="E250" s="470"/>
      <c r="F250" s="470"/>
      <c r="G250" s="470"/>
      <c r="H250" s="695" t="s">
        <v>173</v>
      </c>
      <c r="I250" s="88" t="s">
        <v>142</v>
      </c>
      <c r="J250" s="107"/>
      <c r="K250" s="469"/>
      <c r="L250" s="89">
        <v>17.8</v>
      </c>
      <c r="M250" s="575" t="s">
        <v>792</v>
      </c>
      <c r="N250" s="673">
        <f t="shared" si="75"/>
        <v>170822</v>
      </c>
      <c r="O250" s="88" t="s">
        <v>150</v>
      </c>
      <c r="P250" s="134" t="str">
        <f t="shared" si="79"/>
        <v>실리콘</v>
      </c>
      <c r="Q250" s="88">
        <f t="shared" si="76"/>
        <v>1</v>
      </c>
      <c r="R250" s="470"/>
      <c r="S250" s="470">
        <f t="shared" si="87"/>
        <v>0</v>
      </c>
      <c r="T250" s="470">
        <f t="shared" si="88"/>
        <v>0</v>
      </c>
      <c r="U250" s="88" t="str">
        <f t="shared" si="89"/>
        <v>O</v>
      </c>
      <c r="V250" s="88"/>
      <c r="W250" s="482">
        <f t="shared" si="93"/>
        <v>0</v>
      </c>
      <c r="X250" s="88"/>
      <c r="Y250" s="88"/>
    </row>
    <row r="251" spans="1:25" ht="30" customHeight="1" x14ac:dyDescent="0.25">
      <c r="A251" s="80">
        <v>170823</v>
      </c>
      <c r="B251" s="663" t="s">
        <v>422</v>
      </c>
      <c r="C251" s="73" t="s">
        <v>707</v>
      </c>
      <c r="D251" s="73">
        <v>1</v>
      </c>
      <c r="E251" s="147">
        <v>264000</v>
      </c>
      <c r="F251" s="102">
        <f t="shared" ref="F251:F267" si="94">(E251*D251)*1.1</f>
        <v>290400</v>
      </c>
      <c r="G251" s="102">
        <f t="shared" ref="G251:G267" si="95">(E251*D251)</f>
        <v>264000</v>
      </c>
      <c r="H251" s="689" t="s">
        <v>173</v>
      </c>
      <c r="I251" s="73" t="s">
        <v>143</v>
      </c>
      <c r="J251" s="53">
        <f>(G251-(VLOOKUP(C251,Price!B:D,3,FALSE)*D251))</f>
        <v>84000</v>
      </c>
      <c r="K251" s="63">
        <f t="shared" ref="K251:K261" si="96">(J251/(F251/11*10))</f>
        <v>0.31818181818181818</v>
      </c>
      <c r="L251" s="82">
        <v>17.8</v>
      </c>
      <c r="M251" s="584"/>
      <c r="N251" s="663">
        <f t="shared" si="75"/>
        <v>170823</v>
      </c>
      <c r="O251" s="73" t="s">
        <v>150</v>
      </c>
      <c r="P251" s="132" t="str">
        <f t="shared" si="79"/>
        <v>롤러 오일</v>
      </c>
      <c r="Q251" s="73">
        <f t="shared" si="76"/>
        <v>1</v>
      </c>
      <c r="R251" s="147">
        <f>15000*12</f>
        <v>180000</v>
      </c>
      <c r="S251" s="147">
        <f t="shared" si="87"/>
        <v>198000.00000000003</v>
      </c>
      <c r="T251" s="147">
        <f t="shared" si="88"/>
        <v>180000</v>
      </c>
      <c r="U251" s="73" t="str">
        <f t="shared" si="89"/>
        <v>O</v>
      </c>
      <c r="V251" s="73"/>
      <c r="W251" s="482">
        <f t="shared" si="93"/>
        <v>84000</v>
      </c>
      <c r="X251" s="73"/>
      <c r="Y251" s="73"/>
    </row>
    <row r="252" spans="1:25" ht="30" customHeight="1" x14ac:dyDescent="0.25">
      <c r="A252" s="82">
        <v>170823</v>
      </c>
      <c r="B252" s="664" t="s">
        <v>422</v>
      </c>
      <c r="C252" s="71" t="s">
        <v>129</v>
      </c>
      <c r="D252" s="71">
        <v>3</v>
      </c>
      <c r="E252" s="102">
        <v>272000</v>
      </c>
      <c r="F252" s="102">
        <f t="shared" si="94"/>
        <v>897600.00000000012</v>
      </c>
      <c r="G252" s="102">
        <f t="shared" si="95"/>
        <v>816000</v>
      </c>
      <c r="H252" s="690" t="s">
        <v>173</v>
      </c>
      <c r="I252" s="71" t="s">
        <v>108</v>
      </c>
      <c r="J252" s="53">
        <f>(G252-(VLOOKUP(C252,Price!B:D,3,FALSE)*D252))</f>
        <v>192000</v>
      </c>
      <c r="K252" s="63">
        <f t="shared" si="96"/>
        <v>0.23529411764705879</v>
      </c>
      <c r="L252" s="82">
        <v>17.8</v>
      </c>
      <c r="M252" s="468"/>
      <c r="N252" s="664">
        <f t="shared" si="75"/>
        <v>170823</v>
      </c>
      <c r="O252" s="71" t="s">
        <v>149</v>
      </c>
      <c r="P252" s="103" t="str">
        <f t="shared" si="79"/>
        <v>세정포-XL106</v>
      </c>
      <c r="Q252" s="71">
        <f t="shared" si="76"/>
        <v>3</v>
      </c>
      <c r="R252" s="102">
        <v>208000</v>
      </c>
      <c r="S252" s="102">
        <f t="shared" si="87"/>
        <v>686400</v>
      </c>
      <c r="T252" s="102">
        <f t="shared" si="88"/>
        <v>624000</v>
      </c>
      <c r="U252" s="71" t="str">
        <f t="shared" si="89"/>
        <v>O</v>
      </c>
      <c r="V252" s="71"/>
      <c r="W252" s="482">
        <f t="shared" si="93"/>
        <v>192000</v>
      </c>
      <c r="X252" s="71"/>
      <c r="Y252" s="71"/>
    </row>
    <row r="253" spans="1:25" ht="30" hidden="1" customHeight="1" x14ac:dyDescent="0.25">
      <c r="A253" s="648">
        <v>170823</v>
      </c>
      <c r="B253" s="733" t="s">
        <v>640</v>
      </c>
      <c r="C253" s="96" t="s">
        <v>138</v>
      </c>
      <c r="D253" s="96">
        <v>10</v>
      </c>
      <c r="E253" s="734">
        <v>59500</v>
      </c>
      <c r="F253" s="734">
        <f t="shared" si="94"/>
        <v>654500</v>
      </c>
      <c r="G253" s="734">
        <f t="shared" si="95"/>
        <v>595000</v>
      </c>
      <c r="H253" s="735" t="s">
        <v>173</v>
      </c>
      <c r="I253" s="96" t="s">
        <v>108</v>
      </c>
      <c r="J253" s="53">
        <f>(G253-(VLOOKUP(C253,Price!B:D,3,FALSE)*D253))</f>
        <v>85000</v>
      </c>
      <c r="K253" s="63">
        <f>(J253/(F253/11*10))</f>
        <v>0.14285714285714285</v>
      </c>
      <c r="L253" s="82">
        <v>17.8</v>
      </c>
      <c r="M253" s="736"/>
      <c r="N253" s="733">
        <f t="shared" si="75"/>
        <v>170823</v>
      </c>
      <c r="O253" s="96" t="s">
        <v>150</v>
      </c>
      <c r="P253" s="737" t="str">
        <f t="shared" si="79"/>
        <v>매엽용 세척제(Wash 562)</v>
      </c>
      <c r="Q253" s="96">
        <f t="shared" si="76"/>
        <v>10</v>
      </c>
      <c r="R253" s="734">
        <v>51000</v>
      </c>
      <c r="S253" s="734">
        <f t="shared" si="87"/>
        <v>561000</v>
      </c>
      <c r="T253" s="734">
        <f t="shared" si="88"/>
        <v>510000</v>
      </c>
      <c r="U253" s="96" t="str">
        <f t="shared" si="89"/>
        <v>O</v>
      </c>
      <c r="V253" s="96"/>
      <c r="W253" s="482">
        <f t="shared" si="93"/>
        <v>85000</v>
      </c>
      <c r="X253" s="96"/>
      <c r="Y253" s="96"/>
    </row>
    <row r="254" spans="1:25" ht="30" hidden="1" customHeight="1" x14ac:dyDescent="0.25">
      <c r="A254" s="648">
        <v>170823</v>
      </c>
      <c r="B254" s="733" t="s">
        <v>640</v>
      </c>
      <c r="C254" s="96" t="s">
        <v>137</v>
      </c>
      <c r="D254" s="96">
        <v>5</v>
      </c>
      <c r="E254" s="734">
        <v>172000</v>
      </c>
      <c r="F254" s="734">
        <f t="shared" si="94"/>
        <v>946000.00000000012</v>
      </c>
      <c r="G254" s="734">
        <f t="shared" si="95"/>
        <v>860000</v>
      </c>
      <c r="H254" s="735" t="s">
        <v>173</v>
      </c>
      <c r="I254" s="96" t="s">
        <v>108</v>
      </c>
      <c r="J254" s="53">
        <f>(G254-(VLOOKUP(C254,Price!B:D,3,FALSE)*D254))</f>
        <v>285000</v>
      </c>
      <c r="K254" s="63">
        <f>(J254/(F254/11*10))</f>
        <v>0.33139534883720928</v>
      </c>
      <c r="L254" s="82">
        <v>17.8</v>
      </c>
      <c r="M254" s="736"/>
      <c r="N254" s="733">
        <f t="shared" si="75"/>
        <v>170823</v>
      </c>
      <c r="O254" s="96" t="s">
        <v>150</v>
      </c>
      <c r="P254" s="737" t="str">
        <f t="shared" si="79"/>
        <v>윤전용 세척제(Web 504)</v>
      </c>
      <c r="Q254" s="96">
        <f t="shared" si="76"/>
        <v>5</v>
      </c>
      <c r="R254" s="734">
        <v>115000</v>
      </c>
      <c r="S254" s="734">
        <f t="shared" si="87"/>
        <v>632500</v>
      </c>
      <c r="T254" s="734">
        <f t="shared" si="88"/>
        <v>575000</v>
      </c>
      <c r="U254" s="96" t="str">
        <f t="shared" si="89"/>
        <v>O</v>
      </c>
      <c r="V254" s="96"/>
      <c r="W254" s="482">
        <f t="shared" si="93"/>
        <v>285000</v>
      </c>
      <c r="X254" s="96"/>
      <c r="Y254" s="96"/>
    </row>
    <row r="255" spans="1:25" s="610" customFormat="1" ht="30" hidden="1" customHeight="1" x14ac:dyDescent="0.25">
      <c r="A255" s="89">
        <v>170824</v>
      </c>
      <c r="B255" s="673" t="s">
        <v>555</v>
      </c>
      <c r="C255" s="88" t="s">
        <v>121</v>
      </c>
      <c r="D255" s="88">
        <v>4</v>
      </c>
      <c r="E255" s="470">
        <v>138000</v>
      </c>
      <c r="F255" s="470">
        <f t="shared" si="94"/>
        <v>607200</v>
      </c>
      <c r="G255" s="470">
        <f t="shared" si="95"/>
        <v>552000</v>
      </c>
      <c r="H255" s="695" t="s">
        <v>173</v>
      </c>
      <c r="I255" s="88" t="s">
        <v>142</v>
      </c>
      <c r="J255" s="107">
        <f>(G255-(VLOOKUP(C255,Price!B:D,3,FALSE)*D255))</f>
        <v>188000</v>
      </c>
      <c r="K255" s="469">
        <f t="shared" si="96"/>
        <v>0.34057971014492755</v>
      </c>
      <c r="L255" s="89">
        <v>17.8</v>
      </c>
      <c r="M255" s="575"/>
      <c r="N255" s="673">
        <f t="shared" si="75"/>
        <v>170824</v>
      </c>
      <c r="O255" s="88" t="s">
        <v>150</v>
      </c>
      <c r="P255" s="134" t="str">
        <f t="shared" si="79"/>
        <v>윤전용 실리콘</v>
      </c>
      <c r="Q255" s="88">
        <f t="shared" si="76"/>
        <v>4</v>
      </c>
      <c r="R255" s="470">
        <v>91000</v>
      </c>
      <c r="S255" s="470">
        <f t="shared" si="87"/>
        <v>400400.00000000006</v>
      </c>
      <c r="T255" s="470">
        <f t="shared" si="88"/>
        <v>364000</v>
      </c>
      <c r="U255" s="88" t="str">
        <f t="shared" si="89"/>
        <v>O</v>
      </c>
      <c r="V255" s="88"/>
      <c r="W255" s="482">
        <f t="shared" si="93"/>
        <v>188000</v>
      </c>
      <c r="X255" s="88"/>
      <c r="Y255" s="88"/>
    </row>
    <row r="256" spans="1:25" s="635" customFormat="1" ht="30" hidden="1" customHeight="1" x14ac:dyDescent="0.25">
      <c r="A256" s="159">
        <v>170825</v>
      </c>
      <c r="B256" s="676" t="s">
        <v>763</v>
      </c>
      <c r="C256" s="157" t="s">
        <v>576</v>
      </c>
      <c r="D256" s="157">
        <v>1</v>
      </c>
      <c r="E256" s="526">
        <v>250000</v>
      </c>
      <c r="F256" s="526">
        <f t="shared" si="94"/>
        <v>275000</v>
      </c>
      <c r="G256" s="526">
        <f t="shared" si="95"/>
        <v>250000</v>
      </c>
      <c r="H256" s="746" t="s">
        <v>165</v>
      </c>
      <c r="I256" s="157"/>
      <c r="J256" s="503"/>
      <c r="K256" s="65"/>
      <c r="L256" s="159">
        <v>17.8</v>
      </c>
      <c r="M256" s="634"/>
      <c r="N256" s="676">
        <f t="shared" si="75"/>
        <v>170825</v>
      </c>
      <c r="O256" s="157"/>
      <c r="P256" s="633"/>
      <c r="Q256" s="157">
        <f t="shared" si="76"/>
        <v>1</v>
      </c>
      <c r="R256" s="526"/>
      <c r="S256" s="526">
        <f t="shared" si="87"/>
        <v>0</v>
      </c>
      <c r="T256" s="526">
        <f t="shared" si="88"/>
        <v>0</v>
      </c>
      <c r="U256" s="157" t="str">
        <f t="shared" si="89"/>
        <v>X</v>
      </c>
      <c r="V256" s="157"/>
      <c r="W256" s="508">
        <f t="shared" si="93"/>
        <v>250000</v>
      </c>
      <c r="X256" s="157"/>
      <c r="Y256" s="157"/>
    </row>
    <row r="257" spans="1:25" s="636" customFormat="1" ht="30" hidden="1" customHeight="1" x14ac:dyDescent="0.25">
      <c r="A257" s="80">
        <v>170825</v>
      </c>
      <c r="B257" s="663" t="s">
        <v>590</v>
      </c>
      <c r="C257" s="73" t="s">
        <v>587</v>
      </c>
      <c r="D257" s="73">
        <v>200</v>
      </c>
      <c r="E257" s="147">
        <v>8000</v>
      </c>
      <c r="F257" s="147">
        <f t="shared" si="94"/>
        <v>1760000.0000000002</v>
      </c>
      <c r="G257" s="147">
        <f t="shared" si="95"/>
        <v>1600000</v>
      </c>
      <c r="H257" s="689" t="s">
        <v>173</v>
      </c>
      <c r="I257" s="73" t="s">
        <v>144</v>
      </c>
      <c r="J257" s="60">
        <f>(G257-(VLOOKUP(C257,Price!B:D,3,FALSE)*D257))</f>
        <v>218000</v>
      </c>
      <c r="K257" s="427">
        <f t="shared" si="96"/>
        <v>0.13624999999999998</v>
      </c>
      <c r="L257" s="80">
        <v>17.8</v>
      </c>
      <c r="M257" s="584"/>
      <c r="N257" s="663">
        <f t="shared" si="75"/>
        <v>170825</v>
      </c>
      <c r="O257" s="73" t="s">
        <v>147</v>
      </c>
      <c r="P257" s="132" t="str">
        <f t="shared" si="79"/>
        <v>프리미어(청)</v>
      </c>
      <c r="Q257" s="73">
        <f t="shared" si="76"/>
        <v>200</v>
      </c>
      <c r="R257" s="102">
        <v>6910</v>
      </c>
      <c r="S257" s="147">
        <f t="shared" si="87"/>
        <v>1520200.0000000002</v>
      </c>
      <c r="T257" s="147">
        <f t="shared" si="88"/>
        <v>1382000</v>
      </c>
      <c r="U257" s="73" t="str">
        <f t="shared" si="89"/>
        <v>O</v>
      </c>
      <c r="V257" s="73"/>
      <c r="W257" s="473">
        <f t="shared" si="93"/>
        <v>218000</v>
      </c>
      <c r="X257" s="73"/>
      <c r="Y257" s="73"/>
    </row>
    <row r="258" spans="1:25" s="637" customFormat="1" ht="30" hidden="1" customHeight="1" x14ac:dyDescent="0.25">
      <c r="A258" s="85">
        <v>170825</v>
      </c>
      <c r="B258" s="668" t="s">
        <v>590</v>
      </c>
      <c r="C258" s="84" t="s">
        <v>585</v>
      </c>
      <c r="D258" s="84">
        <v>200</v>
      </c>
      <c r="E258" s="189">
        <v>7500</v>
      </c>
      <c r="F258" s="189">
        <f t="shared" si="94"/>
        <v>1650000.0000000002</v>
      </c>
      <c r="G258" s="189">
        <f t="shared" si="95"/>
        <v>1500000</v>
      </c>
      <c r="H258" s="691" t="s">
        <v>173</v>
      </c>
      <c r="I258" s="84" t="s">
        <v>144</v>
      </c>
      <c r="J258" s="61">
        <f>(G258-(VLOOKUP(C258,Price!B:D,3,FALSE)*D258))</f>
        <v>146000</v>
      </c>
      <c r="K258" s="62">
        <f t="shared" si="96"/>
        <v>9.7333333333333313E-2</v>
      </c>
      <c r="L258" s="85">
        <v>17.8</v>
      </c>
      <c r="M258" s="601"/>
      <c r="N258" s="668">
        <f t="shared" si="75"/>
        <v>170825</v>
      </c>
      <c r="O258" s="84" t="s">
        <v>147</v>
      </c>
      <c r="P258" s="133" t="str">
        <f t="shared" si="79"/>
        <v>프리미어(적)</v>
      </c>
      <c r="Q258" s="84">
        <f t="shared" si="76"/>
        <v>200</v>
      </c>
      <c r="R258" s="189">
        <v>6770</v>
      </c>
      <c r="S258" s="189">
        <f t="shared" si="87"/>
        <v>1489400.0000000002</v>
      </c>
      <c r="T258" s="189">
        <f t="shared" si="88"/>
        <v>1354000</v>
      </c>
      <c r="U258" s="84" t="str">
        <f t="shared" si="89"/>
        <v>O</v>
      </c>
      <c r="V258" s="84"/>
      <c r="W258" s="478">
        <f t="shared" si="93"/>
        <v>146000</v>
      </c>
      <c r="X258" s="84"/>
      <c r="Y258" s="84"/>
    </row>
    <row r="259" spans="1:25" s="636" customFormat="1" ht="30" hidden="1" customHeight="1" x14ac:dyDescent="0.25">
      <c r="A259" s="80">
        <v>170828</v>
      </c>
      <c r="B259" s="663" t="s">
        <v>546</v>
      </c>
      <c r="C259" s="73" t="s">
        <v>121</v>
      </c>
      <c r="D259" s="73">
        <v>8</v>
      </c>
      <c r="E259" s="147">
        <v>110000</v>
      </c>
      <c r="F259" s="147">
        <f t="shared" si="94"/>
        <v>968000.00000000012</v>
      </c>
      <c r="G259" s="147">
        <f t="shared" si="95"/>
        <v>880000</v>
      </c>
      <c r="H259" s="689" t="s">
        <v>173</v>
      </c>
      <c r="I259" s="73" t="s">
        <v>142</v>
      </c>
      <c r="J259" s="60">
        <f>(G259-(VLOOKUP(C259,Price!B:D,3,FALSE)*D259))</f>
        <v>152000</v>
      </c>
      <c r="K259" s="427">
        <f t="shared" si="96"/>
        <v>0.1727272727272727</v>
      </c>
      <c r="L259" s="80">
        <v>17.8</v>
      </c>
      <c r="M259" s="584"/>
      <c r="N259" s="663">
        <f t="shared" si="75"/>
        <v>170828</v>
      </c>
      <c r="O259" s="73" t="s">
        <v>150</v>
      </c>
      <c r="P259" s="132" t="str">
        <f t="shared" si="79"/>
        <v>윤전용 실리콘</v>
      </c>
      <c r="Q259" s="73">
        <f t="shared" si="76"/>
        <v>8</v>
      </c>
      <c r="R259" s="147">
        <v>91000</v>
      </c>
      <c r="S259" s="147">
        <f t="shared" si="87"/>
        <v>800800.00000000012</v>
      </c>
      <c r="T259" s="147">
        <f t="shared" si="88"/>
        <v>728000</v>
      </c>
      <c r="U259" s="73" t="str">
        <f t="shared" si="89"/>
        <v>O</v>
      </c>
      <c r="V259" s="73"/>
      <c r="W259" s="482">
        <f t="shared" si="93"/>
        <v>152000</v>
      </c>
      <c r="X259" s="73"/>
      <c r="Y259" s="73"/>
    </row>
    <row r="260" spans="1:25" ht="30" hidden="1" customHeight="1" x14ac:dyDescent="0.25">
      <c r="A260" s="80">
        <v>170828</v>
      </c>
      <c r="B260" s="663" t="s">
        <v>411</v>
      </c>
      <c r="C260" s="73" t="s">
        <v>779</v>
      </c>
      <c r="D260" s="73">
        <v>1</v>
      </c>
      <c r="E260" s="147">
        <v>398000</v>
      </c>
      <c r="F260" s="147">
        <f t="shared" si="94"/>
        <v>437800.00000000006</v>
      </c>
      <c r="G260" s="147">
        <f t="shared" si="95"/>
        <v>398000</v>
      </c>
      <c r="H260" s="1005" t="s">
        <v>39</v>
      </c>
      <c r="I260" s="73"/>
      <c r="J260" s="53">
        <f>(G260-(VLOOKUP(C260,Import!C:G,4,FALSE)*D260))</f>
        <v>398000</v>
      </c>
      <c r="K260" s="427">
        <f t="shared" si="96"/>
        <v>0.99999999999999989</v>
      </c>
      <c r="L260" s="80">
        <v>17.8</v>
      </c>
      <c r="M260" s="584"/>
      <c r="N260" s="663">
        <f t="shared" si="75"/>
        <v>170828</v>
      </c>
      <c r="O260" s="987" t="s">
        <v>39</v>
      </c>
      <c r="P260" s="132" t="str">
        <f t="shared" si="79"/>
        <v>Flow Controller VK305 M1</v>
      </c>
      <c r="Q260" s="73">
        <f t="shared" si="76"/>
        <v>1</v>
      </c>
      <c r="R260" s="147"/>
      <c r="S260" s="147">
        <f t="shared" si="87"/>
        <v>0</v>
      </c>
      <c r="T260" s="147">
        <f t="shared" si="88"/>
        <v>0</v>
      </c>
      <c r="U260" s="73" t="str">
        <f t="shared" si="89"/>
        <v>O</v>
      </c>
      <c r="V260" s="73"/>
      <c r="W260" s="482">
        <f t="shared" si="93"/>
        <v>398000</v>
      </c>
      <c r="X260" s="73"/>
      <c r="Y260" s="73"/>
    </row>
    <row r="261" spans="1:25" s="602" customFormat="1" ht="30" hidden="1" customHeight="1" x14ac:dyDescent="0.25">
      <c r="A261" s="85">
        <v>170828</v>
      </c>
      <c r="B261" s="668" t="s">
        <v>411</v>
      </c>
      <c r="C261" s="84" t="s">
        <v>776</v>
      </c>
      <c r="D261" s="84">
        <v>1</v>
      </c>
      <c r="E261" s="189">
        <v>175000</v>
      </c>
      <c r="F261" s="189">
        <f t="shared" si="94"/>
        <v>192500.00000000003</v>
      </c>
      <c r="G261" s="189">
        <f t="shared" si="95"/>
        <v>175000</v>
      </c>
      <c r="H261" s="1006" t="s">
        <v>39</v>
      </c>
      <c r="I261" s="84"/>
      <c r="J261" s="61">
        <f>(G261-(VLOOKUP(C261,Import!C:G,4,FALSE)*D261))</f>
        <v>175000</v>
      </c>
      <c r="K261" s="62">
        <f t="shared" si="96"/>
        <v>0.99999999999999989</v>
      </c>
      <c r="L261" s="85">
        <v>17.8</v>
      </c>
      <c r="M261" s="601"/>
      <c r="N261" s="668">
        <f t="shared" si="75"/>
        <v>170828</v>
      </c>
      <c r="O261" s="1007" t="s">
        <v>39</v>
      </c>
      <c r="P261" s="133" t="str">
        <f t="shared" si="79"/>
        <v>Temperature Sensor KTY 81-210</v>
      </c>
      <c r="Q261" s="84">
        <f t="shared" si="76"/>
        <v>1</v>
      </c>
      <c r="R261" s="189"/>
      <c r="S261" s="189">
        <f t="shared" si="87"/>
        <v>0</v>
      </c>
      <c r="T261" s="189">
        <f t="shared" si="88"/>
        <v>0</v>
      </c>
      <c r="U261" s="84" t="str">
        <f t="shared" si="89"/>
        <v>O</v>
      </c>
      <c r="V261" s="84"/>
      <c r="W261" s="481">
        <f t="shared" si="93"/>
        <v>175000</v>
      </c>
      <c r="X261" s="84"/>
      <c r="Y261" s="84"/>
    </row>
    <row r="262" spans="1:25" ht="30" hidden="1" customHeight="1" x14ac:dyDescent="0.25">
      <c r="A262" s="80">
        <v>170829</v>
      </c>
      <c r="B262" s="663" t="s">
        <v>640</v>
      </c>
      <c r="C262" s="73" t="s">
        <v>576</v>
      </c>
      <c r="D262" s="73">
        <v>1</v>
      </c>
      <c r="E262" s="147">
        <v>3639000</v>
      </c>
      <c r="F262" s="147">
        <f t="shared" si="94"/>
        <v>4002900.0000000005</v>
      </c>
      <c r="G262" s="147">
        <f t="shared" si="95"/>
        <v>3639000</v>
      </c>
      <c r="H262" s="747" t="s">
        <v>165</v>
      </c>
      <c r="I262" s="73"/>
      <c r="J262" s="60"/>
      <c r="K262" s="427"/>
      <c r="L262" s="80">
        <v>17.8</v>
      </c>
      <c r="M262" s="584"/>
      <c r="N262" s="663">
        <f t="shared" si="75"/>
        <v>170829</v>
      </c>
      <c r="O262" s="73"/>
      <c r="P262" s="132"/>
      <c r="Q262" s="73">
        <f t="shared" si="76"/>
        <v>1</v>
      </c>
      <c r="R262" s="147"/>
      <c r="S262" s="147"/>
      <c r="T262" s="147"/>
      <c r="U262" s="73"/>
      <c r="V262" s="73"/>
      <c r="W262" s="482">
        <f t="shared" si="93"/>
        <v>3639000</v>
      </c>
      <c r="X262" s="73"/>
      <c r="Y262" s="73"/>
    </row>
    <row r="263" spans="1:25" ht="30" hidden="1" customHeight="1" x14ac:dyDescent="0.25">
      <c r="A263" s="82">
        <v>170829</v>
      </c>
      <c r="B263" s="664" t="s">
        <v>446</v>
      </c>
      <c r="C263" s="71" t="s">
        <v>576</v>
      </c>
      <c r="D263" s="71">
        <v>1</v>
      </c>
      <c r="E263" s="102">
        <v>8189000</v>
      </c>
      <c r="F263" s="102">
        <f t="shared" si="94"/>
        <v>9007900</v>
      </c>
      <c r="G263" s="102">
        <f t="shared" si="95"/>
        <v>8189000</v>
      </c>
      <c r="H263" s="748" t="s">
        <v>165</v>
      </c>
      <c r="I263" s="71"/>
      <c r="J263" s="53"/>
      <c r="K263" s="63"/>
      <c r="L263" s="82">
        <v>17.8</v>
      </c>
      <c r="M263" s="468"/>
      <c r="N263" s="664">
        <f t="shared" ref="N263:N326" si="97">A263</f>
        <v>170829</v>
      </c>
      <c r="O263" s="71"/>
      <c r="P263" s="103"/>
      <c r="Q263" s="71">
        <f t="shared" ref="Q263:Q326" si="98">D263</f>
        <v>1</v>
      </c>
      <c r="R263" s="102"/>
      <c r="S263" s="102"/>
      <c r="T263" s="102"/>
      <c r="U263" s="71"/>
      <c r="V263" s="71"/>
      <c r="W263" s="482">
        <f t="shared" si="93"/>
        <v>8189000</v>
      </c>
      <c r="X263" s="71"/>
      <c r="Y263" s="71"/>
    </row>
    <row r="264" spans="1:25" ht="30" hidden="1" customHeight="1" x14ac:dyDescent="0.25">
      <c r="A264" s="82">
        <v>170829</v>
      </c>
      <c r="B264" s="664" t="s">
        <v>446</v>
      </c>
      <c r="C264" s="71" t="s">
        <v>794</v>
      </c>
      <c r="D264" s="71">
        <v>1</v>
      </c>
      <c r="E264" s="102">
        <v>3850000</v>
      </c>
      <c r="F264" s="102">
        <f t="shared" si="94"/>
        <v>4235000</v>
      </c>
      <c r="G264" s="102">
        <f t="shared" si="95"/>
        <v>3850000</v>
      </c>
      <c r="H264" s="748" t="s">
        <v>165</v>
      </c>
      <c r="I264" s="71"/>
      <c r="J264" s="53"/>
      <c r="K264" s="63"/>
      <c r="L264" s="82">
        <v>17.8</v>
      </c>
      <c r="M264" s="468"/>
      <c r="N264" s="664">
        <f t="shared" si="97"/>
        <v>170829</v>
      </c>
      <c r="O264" s="71"/>
      <c r="P264" s="103"/>
      <c r="Q264" s="71">
        <f t="shared" si="98"/>
        <v>1</v>
      </c>
      <c r="R264" s="102"/>
      <c r="S264" s="102"/>
      <c r="T264" s="102"/>
      <c r="U264" s="71"/>
      <c r="V264" s="71"/>
      <c r="X264" s="71"/>
      <c r="Y264" s="71"/>
    </row>
    <row r="265" spans="1:25" ht="30" hidden="1" customHeight="1" x14ac:dyDescent="0.25">
      <c r="A265" s="82">
        <v>170829</v>
      </c>
      <c r="B265" s="664" t="s">
        <v>555</v>
      </c>
      <c r="C265" s="71" t="s">
        <v>576</v>
      </c>
      <c r="D265" s="71">
        <v>1</v>
      </c>
      <c r="E265" s="102">
        <v>2160000</v>
      </c>
      <c r="F265" s="102">
        <f t="shared" si="94"/>
        <v>2376000</v>
      </c>
      <c r="G265" s="102">
        <f t="shared" si="95"/>
        <v>2160000</v>
      </c>
      <c r="H265" s="748" t="s">
        <v>165</v>
      </c>
      <c r="I265" s="71"/>
      <c r="J265" s="53"/>
      <c r="K265" s="63"/>
      <c r="L265" s="82">
        <v>17.8</v>
      </c>
      <c r="M265" s="468"/>
      <c r="N265" s="664">
        <f t="shared" si="97"/>
        <v>170829</v>
      </c>
      <c r="O265" s="71"/>
      <c r="P265" s="103"/>
      <c r="Q265" s="71">
        <f t="shared" si="98"/>
        <v>1</v>
      </c>
      <c r="R265" s="102"/>
      <c r="S265" s="102"/>
      <c r="T265" s="102"/>
      <c r="U265" s="71"/>
      <c r="V265" s="71"/>
      <c r="W265" s="482">
        <f t="shared" ref="W265:W282" si="99">(G265-T265)</f>
        <v>2160000</v>
      </c>
      <c r="X265" s="71"/>
      <c r="Y265" s="71"/>
    </row>
    <row r="266" spans="1:25" ht="30" hidden="1" customHeight="1" x14ac:dyDescent="0.25">
      <c r="A266" s="82">
        <v>170829</v>
      </c>
      <c r="B266" s="664" t="s">
        <v>575</v>
      </c>
      <c r="C266" s="71" t="s">
        <v>576</v>
      </c>
      <c r="D266" s="71">
        <v>1</v>
      </c>
      <c r="E266" s="102">
        <v>2038000</v>
      </c>
      <c r="F266" s="102">
        <f t="shared" si="94"/>
        <v>2241800</v>
      </c>
      <c r="G266" s="102">
        <f t="shared" si="95"/>
        <v>2038000</v>
      </c>
      <c r="H266" s="748" t="s">
        <v>165</v>
      </c>
      <c r="I266" s="71"/>
      <c r="J266" s="53"/>
      <c r="K266" s="63"/>
      <c r="L266" s="82">
        <v>17.8</v>
      </c>
      <c r="M266" s="468"/>
      <c r="N266" s="664">
        <f t="shared" si="97"/>
        <v>170829</v>
      </c>
      <c r="O266" s="71"/>
      <c r="P266" s="103"/>
      <c r="Q266" s="71">
        <f t="shared" si="98"/>
        <v>1</v>
      </c>
      <c r="R266" s="102"/>
      <c r="S266" s="102"/>
      <c r="T266" s="102"/>
      <c r="U266" s="71"/>
      <c r="V266" s="71"/>
      <c r="W266" s="482">
        <f t="shared" si="99"/>
        <v>2038000</v>
      </c>
      <c r="X266" s="71"/>
      <c r="Y266" s="71"/>
    </row>
    <row r="267" spans="1:25" s="602" customFormat="1" ht="30" hidden="1" customHeight="1" x14ac:dyDescent="0.25">
      <c r="A267" s="85">
        <v>170829</v>
      </c>
      <c r="B267" s="668" t="s">
        <v>627</v>
      </c>
      <c r="C267" s="84" t="s">
        <v>576</v>
      </c>
      <c r="D267" s="84">
        <v>1</v>
      </c>
      <c r="E267" s="189">
        <v>5150000</v>
      </c>
      <c r="F267" s="189">
        <f t="shared" si="94"/>
        <v>5665000</v>
      </c>
      <c r="G267" s="189">
        <f t="shared" si="95"/>
        <v>5150000</v>
      </c>
      <c r="H267" s="749" t="s">
        <v>165</v>
      </c>
      <c r="I267" s="84"/>
      <c r="J267" s="61"/>
      <c r="K267" s="62"/>
      <c r="L267" s="85">
        <v>17.8</v>
      </c>
      <c r="M267" s="601"/>
      <c r="N267" s="668">
        <f t="shared" si="97"/>
        <v>170829</v>
      </c>
      <c r="O267" s="84"/>
      <c r="P267" s="133"/>
      <c r="Q267" s="84">
        <f t="shared" si="98"/>
        <v>1</v>
      </c>
      <c r="R267" s="189"/>
      <c r="S267" s="189"/>
      <c r="T267" s="189"/>
      <c r="U267" s="84"/>
      <c r="V267" s="84"/>
      <c r="W267" s="481">
        <f t="shared" si="99"/>
        <v>5150000</v>
      </c>
      <c r="X267" s="84"/>
      <c r="Y267" s="84"/>
    </row>
    <row r="268" spans="1:25" s="496" customFormat="1" ht="45" hidden="1" customHeight="1" x14ac:dyDescent="0.25">
      <c r="A268" s="487">
        <v>2017.9</v>
      </c>
      <c r="B268" s="675" t="s">
        <v>544</v>
      </c>
      <c r="C268" s="488"/>
      <c r="D268" s="488"/>
      <c r="E268" s="489"/>
      <c r="F268" s="489"/>
      <c r="G268" s="489"/>
      <c r="H268" s="490"/>
      <c r="I268" s="491"/>
      <c r="J268" s="492"/>
      <c r="K268" s="493"/>
      <c r="L268" s="848">
        <v>17.899999999999999</v>
      </c>
      <c r="M268" s="645"/>
      <c r="N268" s="725">
        <f t="shared" si="97"/>
        <v>2017.9</v>
      </c>
      <c r="O268" s="488" t="s">
        <v>154</v>
      </c>
      <c r="P268" s="729"/>
      <c r="Q268" s="494"/>
      <c r="R268" s="495"/>
      <c r="S268" s="492"/>
      <c r="T268" s="492"/>
      <c r="U268" s="496" t="str">
        <f t="shared" ref="U268:U277" si="100">IF(J268=W268,"O", "X")</f>
        <v>O</v>
      </c>
      <c r="W268" s="497">
        <f t="shared" si="99"/>
        <v>0</v>
      </c>
    </row>
    <row r="269" spans="1:25" s="610" customFormat="1" ht="30" hidden="1" customHeight="1" x14ac:dyDescent="0.25">
      <c r="A269" s="89">
        <v>170828</v>
      </c>
      <c r="B269" s="673" t="s">
        <v>748</v>
      </c>
      <c r="C269" s="88" t="s">
        <v>121</v>
      </c>
      <c r="D269" s="88">
        <v>4</v>
      </c>
      <c r="E269" s="470">
        <v>138000</v>
      </c>
      <c r="F269" s="470">
        <f t="shared" ref="F269:F281" si="101">(E269*D269)*1.1</f>
        <v>607200</v>
      </c>
      <c r="G269" s="470">
        <f t="shared" ref="G269:G281" si="102">(E269*D269)</f>
        <v>552000</v>
      </c>
      <c r="H269" s="695" t="s">
        <v>173</v>
      </c>
      <c r="I269" s="88" t="s">
        <v>142</v>
      </c>
      <c r="J269" s="107">
        <f>(G269-(VLOOKUP(C269,Price!B:D,3,FALSE)*D269))</f>
        <v>188000</v>
      </c>
      <c r="K269" s="469">
        <f t="shared" ref="K269:K274" si="103">(J269/(F269/11*10))</f>
        <v>0.34057971014492755</v>
      </c>
      <c r="L269" s="89">
        <v>17.899999999999999</v>
      </c>
      <c r="M269" s="575"/>
      <c r="N269" s="673">
        <f t="shared" si="97"/>
        <v>170828</v>
      </c>
      <c r="O269" s="88" t="s">
        <v>150</v>
      </c>
      <c r="P269" s="134" t="s">
        <v>121</v>
      </c>
      <c r="Q269" s="88">
        <f t="shared" si="98"/>
        <v>4</v>
      </c>
      <c r="R269" s="470">
        <v>91000</v>
      </c>
      <c r="S269" s="470">
        <f t="shared" ref="S269:S300" si="104">R269*Q269*1.1</f>
        <v>400400.00000000006</v>
      </c>
      <c r="T269" s="470">
        <f t="shared" ref="T269:T300" si="105">R269*Q269</f>
        <v>364000</v>
      </c>
      <c r="U269" s="88" t="str">
        <f t="shared" si="100"/>
        <v>O</v>
      </c>
      <c r="V269" s="88" t="s">
        <v>821</v>
      </c>
      <c r="W269" s="483">
        <f t="shared" si="99"/>
        <v>188000</v>
      </c>
      <c r="X269" s="88"/>
      <c r="Y269" s="88"/>
    </row>
    <row r="270" spans="1:25" ht="30" hidden="1" customHeight="1" x14ac:dyDescent="0.25">
      <c r="A270" s="80">
        <v>170829</v>
      </c>
      <c r="B270" s="663" t="s">
        <v>590</v>
      </c>
      <c r="C270" s="73" t="s">
        <v>585</v>
      </c>
      <c r="D270" s="73">
        <v>60</v>
      </c>
      <c r="E270" s="147">
        <v>7500</v>
      </c>
      <c r="F270" s="147">
        <f t="shared" si="101"/>
        <v>495000.00000000006</v>
      </c>
      <c r="G270" s="147">
        <f t="shared" si="102"/>
        <v>450000</v>
      </c>
      <c r="H270" s="689" t="s">
        <v>173</v>
      </c>
      <c r="I270" s="73" t="s">
        <v>144</v>
      </c>
      <c r="J270" s="60">
        <f>(G270-(VLOOKUP(C270,Price!B:D,3,FALSE)*D270))</f>
        <v>43800</v>
      </c>
      <c r="K270" s="427">
        <f t="shared" si="103"/>
        <v>9.7333333333333327E-2</v>
      </c>
      <c r="L270" s="80">
        <v>17.899999999999999</v>
      </c>
      <c r="M270" s="584"/>
      <c r="N270" s="663">
        <f t="shared" si="97"/>
        <v>170829</v>
      </c>
      <c r="O270" s="73" t="s">
        <v>147</v>
      </c>
      <c r="P270" s="132" t="s">
        <v>585</v>
      </c>
      <c r="Q270" s="73">
        <f t="shared" si="98"/>
        <v>60</v>
      </c>
      <c r="R270" s="147">
        <v>6770</v>
      </c>
      <c r="S270" s="102">
        <f t="shared" si="104"/>
        <v>446820.00000000006</v>
      </c>
      <c r="T270" s="102">
        <f t="shared" si="105"/>
        <v>406200</v>
      </c>
      <c r="U270" s="73" t="str">
        <f t="shared" si="100"/>
        <v>O</v>
      </c>
      <c r="V270" s="73"/>
      <c r="W270" s="482">
        <f t="shared" si="99"/>
        <v>43800</v>
      </c>
      <c r="X270" s="73"/>
      <c r="Y270" s="73"/>
    </row>
    <row r="271" spans="1:25" ht="30" hidden="1" customHeight="1" x14ac:dyDescent="0.25">
      <c r="A271" s="82">
        <v>170829</v>
      </c>
      <c r="B271" s="663" t="s">
        <v>590</v>
      </c>
      <c r="C271" s="71" t="s">
        <v>586</v>
      </c>
      <c r="D271" s="71">
        <v>96</v>
      </c>
      <c r="E271" s="102">
        <v>6750</v>
      </c>
      <c r="F271" s="102">
        <f t="shared" si="101"/>
        <v>712800</v>
      </c>
      <c r="G271" s="102">
        <f t="shared" si="102"/>
        <v>648000</v>
      </c>
      <c r="H271" s="690" t="s">
        <v>173</v>
      </c>
      <c r="I271" s="71" t="s">
        <v>144</v>
      </c>
      <c r="J271" s="60">
        <f>(G271-(VLOOKUP(C271,Price!B:D,3,FALSE)*D271))</f>
        <v>54720</v>
      </c>
      <c r="K271" s="427">
        <f t="shared" si="103"/>
        <v>8.4444444444444447E-2</v>
      </c>
      <c r="L271" s="82">
        <v>17.899999999999999</v>
      </c>
      <c r="M271" s="468"/>
      <c r="N271" s="664">
        <f t="shared" si="97"/>
        <v>170829</v>
      </c>
      <c r="O271" s="71" t="s">
        <v>147</v>
      </c>
      <c r="P271" s="103" t="s">
        <v>586</v>
      </c>
      <c r="Q271" s="71">
        <f t="shared" si="98"/>
        <v>96</v>
      </c>
      <c r="R271" s="102">
        <v>6180</v>
      </c>
      <c r="S271" s="102">
        <f t="shared" si="104"/>
        <v>652608</v>
      </c>
      <c r="T271" s="102">
        <f t="shared" si="105"/>
        <v>593280</v>
      </c>
      <c r="U271" s="71" t="str">
        <f t="shared" si="100"/>
        <v>O</v>
      </c>
      <c r="V271" s="71"/>
      <c r="W271" s="482">
        <f t="shared" si="99"/>
        <v>54720</v>
      </c>
      <c r="X271" s="71"/>
      <c r="Y271" s="71"/>
    </row>
    <row r="272" spans="1:25" s="602" customFormat="1" ht="30" hidden="1" customHeight="1" x14ac:dyDescent="0.25">
      <c r="A272" s="85">
        <v>170829</v>
      </c>
      <c r="B272" s="668" t="s">
        <v>590</v>
      </c>
      <c r="C272" s="84" t="s">
        <v>587</v>
      </c>
      <c r="D272" s="84">
        <v>60</v>
      </c>
      <c r="E272" s="189">
        <v>8000</v>
      </c>
      <c r="F272" s="189">
        <f t="shared" si="101"/>
        <v>528000</v>
      </c>
      <c r="G272" s="189">
        <f t="shared" si="102"/>
        <v>480000</v>
      </c>
      <c r="H272" s="691" t="s">
        <v>173</v>
      </c>
      <c r="I272" s="84" t="s">
        <v>144</v>
      </c>
      <c r="J272" s="64">
        <f>(G272-(VLOOKUP(C272,Price!B:D,3,FALSE)*D272))</f>
        <v>65400</v>
      </c>
      <c r="K272" s="425">
        <f t="shared" si="103"/>
        <v>0.13625000000000001</v>
      </c>
      <c r="L272" s="85">
        <v>17.899999999999999</v>
      </c>
      <c r="M272" s="601"/>
      <c r="N272" s="668">
        <f t="shared" si="97"/>
        <v>170829</v>
      </c>
      <c r="O272" s="84" t="s">
        <v>147</v>
      </c>
      <c r="P272" s="133" t="s">
        <v>587</v>
      </c>
      <c r="Q272" s="84">
        <f t="shared" si="98"/>
        <v>60</v>
      </c>
      <c r="R272" s="189">
        <v>6910</v>
      </c>
      <c r="S272" s="189">
        <f t="shared" si="104"/>
        <v>456060.00000000006</v>
      </c>
      <c r="T272" s="189">
        <f t="shared" si="105"/>
        <v>414600</v>
      </c>
      <c r="U272" s="84" t="str">
        <f t="shared" si="100"/>
        <v>O</v>
      </c>
      <c r="V272" s="84"/>
      <c r="W272" s="481">
        <f t="shared" si="99"/>
        <v>65400</v>
      </c>
      <c r="X272" s="84"/>
      <c r="Y272" s="84"/>
    </row>
    <row r="273" spans="1:25" ht="30" hidden="1" customHeight="1" x14ac:dyDescent="0.25">
      <c r="A273" s="80">
        <v>170831</v>
      </c>
      <c r="B273" s="663" t="s">
        <v>590</v>
      </c>
      <c r="C273" s="73" t="s">
        <v>524</v>
      </c>
      <c r="D273" s="73">
        <v>1200</v>
      </c>
      <c r="E273" s="147">
        <v>3990</v>
      </c>
      <c r="F273" s="147">
        <f t="shared" si="101"/>
        <v>5266800</v>
      </c>
      <c r="G273" s="147">
        <f t="shared" si="102"/>
        <v>4788000</v>
      </c>
      <c r="H273" s="689" t="s">
        <v>173</v>
      </c>
      <c r="I273" s="73" t="s">
        <v>140</v>
      </c>
      <c r="J273" s="60">
        <f>(G273-(VLOOKUP(C273,Price!B:D,3,FALSE)*D273))</f>
        <v>1500000</v>
      </c>
      <c r="K273" s="427">
        <f t="shared" si="103"/>
        <v>0.31328320802005011</v>
      </c>
      <c r="L273" s="80">
        <v>17.899999999999999</v>
      </c>
      <c r="M273" s="584"/>
      <c r="N273" s="663">
        <f t="shared" si="97"/>
        <v>170831</v>
      </c>
      <c r="O273" s="73" t="s">
        <v>145</v>
      </c>
      <c r="P273" s="132" t="str">
        <f>C273</f>
        <v>ENGAGE 900X570 - 27RO</v>
      </c>
      <c r="Q273" s="73">
        <f t="shared" si="98"/>
        <v>1200</v>
      </c>
      <c r="R273" s="147">
        <v>2740</v>
      </c>
      <c r="S273" s="147">
        <f t="shared" si="104"/>
        <v>3616800.0000000005</v>
      </c>
      <c r="T273" s="147">
        <f t="shared" si="105"/>
        <v>3288000</v>
      </c>
      <c r="U273" s="73" t="str">
        <f t="shared" si="100"/>
        <v>O</v>
      </c>
      <c r="V273" s="73"/>
      <c r="W273" s="482">
        <f t="shared" si="99"/>
        <v>1500000</v>
      </c>
      <c r="X273" s="73"/>
      <c r="Y273" s="73"/>
    </row>
    <row r="274" spans="1:25" s="602" customFormat="1" ht="30" hidden="1" customHeight="1" x14ac:dyDescent="0.25">
      <c r="A274" s="85">
        <v>170831</v>
      </c>
      <c r="B274" s="668" t="s">
        <v>590</v>
      </c>
      <c r="C274" s="83" t="s">
        <v>197</v>
      </c>
      <c r="D274" s="84">
        <v>10</v>
      </c>
      <c r="E274" s="189">
        <v>58000</v>
      </c>
      <c r="F274" s="189">
        <f t="shared" si="101"/>
        <v>638000</v>
      </c>
      <c r="G274" s="189">
        <f t="shared" si="102"/>
        <v>580000</v>
      </c>
      <c r="H274" s="691" t="s">
        <v>173</v>
      </c>
      <c r="I274" s="84" t="s">
        <v>140</v>
      </c>
      <c r="J274" s="64">
        <f>(G274-(VLOOKUP(C274,Price!B:D,3,FALSE)*D274))</f>
        <v>230000</v>
      </c>
      <c r="K274" s="425">
        <f t="shared" si="103"/>
        <v>0.39655172413793105</v>
      </c>
      <c r="L274" s="85">
        <v>17.899999999999999</v>
      </c>
      <c r="M274" s="601"/>
      <c r="N274" s="668">
        <f t="shared" si="97"/>
        <v>170831</v>
      </c>
      <c r="O274" s="84" t="s">
        <v>145</v>
      </c>
      <c r="P274" s="133" t="str">
        <f t="shared" ref="P274:P336" si="106">C274</f>
        <v>THR200(20L)</v>
      </c>
      <c r="Q274" s="84">
        <f t="shared" si="98"/>
        <v>10</v>
      </c>
      <c r="R274" s="189">
        <v>35000</v>
      </c>
      <c r="S274" s="189">
        <f t="shared" si="104"/>
        <v>385000.00000000006</v>
      </c>
      <c r="T274" s="189">
        <f t="shared" si="105"/>
        <v>350000</v>
      </c>
      <c r="U274" s="84" t="str">
        <f t="shared" si="100"/>
        <v>O</v>
      </c>
      <c r="V274" s="84"/>
      <c r="W274" s="481">
        <f t="shared" si="99"/>
        <v>230000</v>
      </c>
      <c r="X274" s="84"/>
      <c r="Y274" s="84"/>
    </row>
    <row r="275" spans="1:25" ht="30" hidden="1" customHeight="1" x14ac:dyDescent="0.25">
      <c r="A275" s="80">
        <v>170901</v>
      </c>
      <c r="B275" s="663" t="s">
        <v>575</v>
      </c>
      <c r="C275" s="73" t="s">
        <v>790</v>
      </c>
      <c r="D275" s="73">
        <v>1</v>
      </c>
      <c r="E275" s="147">
        <v>27000000</v>
      </c>
      <c r="F275" s="147">
        <f t="shared" si="101"/>
        <v>29700000.000000004</v>
      </c>
      <c r="G275" s="147">
        <f t="shared" si="102"/>
        <v>27000000</v>
      </c>
      <c r="H275" s="689" t="s">
        <v>173</v>
      </c>
      <c r="I275" s="73" t="s">
        <v>142</v>
      </c>
      <c r="J275" s="60"/>
      <c r="K275" s="427"/>
      <c r="L275" s="80">
        <v>17.899999999999999</v>
      </c>
      <c r="M275" s="584"/>
      <c r="N275" s="663">
        <f t="shared" si="97"/>
        <v>170901</v>
      </c>
      <c r="O275" s="73" t="s">
        <v>822</v>
      </c>
      <c r="P275" s="132" t="str">
        <f t="shared" si="106"/>
        <v>Asura Access</v>
      </c>
      <c r="Q275" s="73">
        <f t="shared" si="98"/>
        <v>1</v>
      </c>
      <c r="R275" s="147"/>
      <c r="S275" s="147">
        <f t="shared" si="104"/>
        <v>0</v>
      </c>
      <c r="T275" s="147">
        <f t="shared" si="105"/>
        <v>0</v>
      </c>
      <c r="U275" s="73" t="str">
        <f t="shared" si="100"/>
        <v>X</v>
      </c>
      <c r="V275" s="73"/>
      <c r="W275" s="482">
        <f t="shared" si="99"/>
        <v>27000000</v>
      </c>
      <c r="X275" s="73"/>
      <c r="Y275" s="73"/>
    </row>
    <row r="276" spans="1:25" ht="30" hidden="1" customHeight="1" x14ac:dyDescent="0.25">
      <c r="A276" s="82">
        <v>170901</v>
      </c>
      <c r="B276" s="664" t="s">
        <v>764</v>
      </c>
      <c r="C276" s="71" t="s">
        <v>236</v>
      </c>
      <c r="D276" s="71">
        <v>5</v>
      </c>
      <c r="E276" s="102">
        <v>100000</v>
      </c>
      <c r="F276" s="102">
        <f t="shared" si="101"/>
        <v>550000</v>
      </c>
      <c r="G276" s="102">
        <f t="shared" si="102"/>
        <v>500000</v>
      </c>
      <c r="H276" s="690" t="s">
        <v>173</v>
      </c>
      <c r="I276" s="71" t="s">
        <v>142</v>
      </c>
      <c r="J276" s="60">
        <f>(G276-(VLOOKUP(C276,Price!B:D,3,FALSE)*D276))</f>
        <v>250000</v>
      </c>
      <c r="K276" s="427">
        <f>(J276/(F276/11*10))</f>
        <v>0.5</v>
      </c>
      <c r="L276" s="82">
        <v>17.899999999999999</v>
      </c>
      <c r="M276" s="468"/>
      <c r="N276" s="664">
        <f t="shared" si="97"/>
        <v>170901</v>
      </c>
      <c r="O276" s="71" t="s">
        <v>153</v>
      </c>
      <c r="P276" s="103" t="str">
        <f t="shared" si="106"/>
        <v>아스테이지(국전)</v>
      </c>
      <c r="Q276" s="71">
        <f t="shared" si="98"/>
        <v>5</v>
      </c>
      <c r="R276" s="102">
        <v>50000</v>
      </c>
      <c r="S276" s="102">
        <f t="shared" si="104"/>
        <v>275000</v>
      </c>
      <c r="T276" s="102">
        <f t="shared" si="105"/>
        <v>250000</v>
      </c>
      <c r="U276" s="71" t="str">
        <f t="shared" si="100"/>
        <v>O</v>
      </c>
      <c r="V276" s="71"/>
      <c r="W276" s="482">
        <f t="shared" si="99"/>
        <v>250000</v>
      </c>
      <c r="X276" s="71"/>
      <c r="Y276" s="71"/>
    </row>
    <row r="277" spans="1:25" ht="30" hidden="1" customHeight="1" x14ac:dyDescent="0.25">
      <c r="A277" s="82">
        <v>170901</v>
      </c>
      <c r="B277" s="664" t="s">
        <v>748</v>
      </c>
      <c r="C277" s="71" t="s">
        <v>785</v>
      </c>
      <c r="D277" s="71">
        <v>2</v>
      </c>
      <c r="E277" s="102">
        <v>78000</v>
      </c>
      <c r="F277" s="102">
        <f t="shared" si="101"/>
        <v>171600</v>
      </c>
      <c r="G277" s="102">
        <f t="shared" si="102"/>
        <v>156000</v>
      </c>
      <c r="H277" s="779" t="s">
        <v>113</v>
      </c>
      <c r="I277" s="71"/>
      <c r="J277" s="53">
        <f>(G277-(VLOOKUP(C277,Import!C:G,4,FALSE)*D277))</f>
        <v>156000</v>
      </c>
      <c r="K277" s="63">
        <f>(J277/(F277/11*10))</f>
        <v>1</v>
      </c>
      <c r="L277" s="82">
        <v>17.899999999999999</v>
      </c>
      <c r="M277" s="468"/>
      <c r="N277" s="664">
        <f t="shared" si="97"/>
        <v>170901</v>
      </c>
      <c r="O277" s="808" t="s">
        <v>113</v>
      </c>
      <c r="P277" s="103" t="str">
        <f t="shared" si="106"/>
        <v>스프링블레이드(대)</v>
      </c>
      <c r="Q277" s="71">
        <f t="shared" si="98"/>
        <v>2</v>
      </c>
      <c r="R277" s="102"/>
      <c r="S277" s="102">
        <f t="shared" si="104"/>
        <v>0</v>
      </c>
      <c r="T277" s="102">
        <f t="shared" si="105"/>
        <v>0</v>
      </c>
      <c r="U277" s="71" t="str">
        <f t="shared" si="100"/>
        <v>O</v>
      </c>
      <c r="V277" s="71"/>
      <c r="W277" s="482">
        <f t="shared" si="99"/>
        <v>156000</v>
      </c>
      <c r="X277" s="71"/>
      <c r="Y277" s="71"/>
    </row>
    <row r="278" spans="1:25" ht="30" hidden="1" customHeight="1" x14ac:dyDescent="0.25">
      <c r="A278" s="82">
        <v>170901</v>
      </c>
      <c r="B278" s="664" t="s">
        <v>748</v>
      </c>
      <c r="C278" s="71" t="s">
        <v>786</v>
      </c>
      <c r="D278" s="71">
        <v>5</v>
      </c>
      <c r="E278" s="102">
        <v>75000</v>
      </c>
      <c r="F278" s="102">
        <f t="shared" si="101"/>
        <v>412500.00000000006</v>
      </c>
      <c r="G278" s="102">
        <f t="shared" si="102"/>
        <v>375000</v>
      </c>
      <c r="H278" s="779" t="s">
        <v>113</v>
      </c>
      <c r="I278" s="71"/>
      <c r="J278" s="53">
        <f>(G278-(VLOOKUP(C278,Import!C:G,4,FALSE)*D278))</f>
        <v>375000</v>
      </c>
      <c r="K278" s="63">
        <f>(J278/(F278/11*10))</f>
        <v>0.99999999999999989</v>
      </c>
      <c r="L278" s="82">
        <v>17.899999999999999</v>
      </c>
      <c r="M278" s="468"/>
      <c r="N278" s="664">
        <f t="shared" si="97"/>
        <v>170901</v>
      </c>
      <c r="O278" s="808" t="s">
        <v>113</v>
      </c>
      <c r="P278" s="103" t="str">
        <f t="shared" si="106"/>
        <v>스프링블레이드(소)</v>
      </c>
      <c r="Q278" s="71">
        <f t="shared" si="98"/>
        <v>5</v>
      </c>
      <c r="R278" s="102"/>
      <c r="S278" s="102">
        <f t="shared" si="104"/>
        <v>0</v>
      </c>
      <c r="T278" s="102">
        <f t="shared" si="105"/>
        <v>0</v>
      </c>
      <c r="U278" s="71"/>
      <c r="V278" s="71"/>
      <c r="W278" s="482">
        <f t="shared" si="99"/>
        <v>375000</v>
      </c>
      <c r="X278" s="71"/>
      <c r="Y278" s="71"/>
    </row>
    <row r="279" spans="1:25" ht="30" hidden="1" customHeight="1" x14ac:dyDescent="0.25">
      <c r="A279" s="82">
        <v>170901</v>
      </c>
      <c r="B279" s="664" t="s">
        <v>590</v>
      </c>
      <c r="C279" s="71" t="s">
        <v>585</v>
      </c>
      <c r="D279" s="71">
        <v>72</v>
      </c>
      <c r="E279" s="102">
        <v>7500</v>
      </c>
      <c r="F279" s="102">
        <f t="shared" si="101"/>
        <v>594000</v>
      </c>
      <c r="G279" s="102">
        <f t="shared" si="102"/>
        <v>540000</v>
      </c>
      <c r="H279" s="690" t="s">
        <v>173</v>
      </c>
      <c r="I279" s="71" t="s">
        <v>144</v>
      </c>
      <c r="J279" s="53">
        <f>(G279-(VLOOKUP(C279,Price!B:D,3,FALSE)*D279))</f>
        <v>52560</v>
      </c>
      <c r="K279" s="63">
        <f t="shared" ref="K279:K292" si="107">(J279/(F279/11*10))</f>
        <v>9.7333333333333327E-2</v>
      </c>
      <c r="L279" s="82">
        <v>17.899999999999999</v>
      </c>
      <c r="M279" s="468"/>
      <c r="N279" s="664">
        <f t="shared" si="97"/>
        <v>170901</v>
      </c>
      <c r="O279" s="71" t="s">
        <v>147</v>
      </c>
      <c r="P279" s="103" t="str">
        <f t="shared" si="106"/>
        <v>프리미어(적)</v>
      </c>
      <c r="Q279" s="71">
        <f t="shared" si="98"/>
        <v>72</v>
      </c>
      <c r="R279" s="102">
        <v>6770</v>
      </c>
      <c r="S279" s="102">
        <f t="shared" si="104"/>
        <v>536184</v>
      </c>
      <c r="T279" s="102">
        <f t="shared" si="105"/>
        <v>487440</v>
      </c>
      <c r="U279" s="71" t="str">
        <f>IF(J279=W279,"O", "X")</f>
        <v>O</v>
      </c>
      <c r="V279" s="71"/>
      <c r="W279" s="482">
        <f t="shared" si="99"/>
        <v>52560</v>
      </c>
      <c r="X279" s="71"/>
      <c r="Y279" s="71"/>
    </row>
    <row r="280" spans="1:25" ht="30" hidden="1" customHeight="1" x14ac:dyDescent="0.25">
      <c r="A280" s="82">
        <v>170901</v>
      </c>
      <c r="B280" s="664" t="s">
        <v>590</v>
      </c>
      <c r="C280" s="71" t="s">
        <v>586</v>
      </c>
      <c r="D280" s="71">
        <v>72</v>
      </c>
      <c r="E280" s="102">
        <v>6750</v>
      </c>
      <c r="F280" s="102">
        <f t="shared" si="101"/>
        <v>534600</v>
      </c>
      <c r="G280" s="102">
        <f t="shared" si="102"/>
        <v>486000</v>
      </c>
      <c r="H280" s="690" t="s">
        <v>173</v>
      </c>
      <c r="I280" s="71" t="s">
        <v>144</v>
      </c>
      <c r="J280" s="53">
        <f>(G280-(VLOOKUP(C280,Price!B:D,3,FALSE)*D280))</f>
        <v>41040</v>
      </c>
      <c r="K280" s="63">
        <f t="shared" si="107"/>
        <v>8.4444444444444447E-2</v>
      </c>
      <c r="L280" s="82">
        <v>17.899999999999999</v>
      </c>
      <c r="M280" s="468"/>
      <c r="N280" s="664">
        <f t="shared" si="97"/>
        <v>170901</v>
      </c>
      <c r="O280" s="71" t="s">
        <v>147</v>
      </c>
      <c r="P280" s="103" t="str">
        <f t="shared" si="106"/>
        <v>프리미어(황)</v>
      </c>
      <c r="Q280" s="71">
        <f t="shared" si="98"/>
        <v>72</v>
      </c>
      <c r="R280" s="102">
        <v>6180</v>
      </c>
      <c r="S280" s="102">
        <f t="shared" si="104"/>
        <v>489456.00000000006</v>
      </c>
      <c r="T280" s="102">
        <f t="shared" si="105"/>
        <v>444960</v>
      </c>
      <c r="U280" s="71" t="str">
        <f>IF(J280=W280,"O", "X")</f>
        <v>O</v>
      </c>
      <c r="V280" s="71"/>
      <c r="W280" s="482">
        <f t="shared" si="99"/>
        <v>41040</v>
      </c>
      <c r="X280" s="71"/>
      <c r="Y280" s="71"/>
    </row>
    <row r="281" spans="1:25" s="602" customFormat="1" ht="30" hidden="1" customHeight="1" x14ac:dyDescent="0.25">
      <c r="A281" s="85">
        <v>170901</v>
      </c>
      <c r="B281" s="668" t="s">
        <v>590</v>
      </c>
      <c r="C281" s="84" t="s">
        <v>587</v>
      </c>
      <c r="D281" s="84">
        <v>72</v>
      </c>
      <c r="E281" s="189">
        <v>8000</v>
      </c>
      <c r="F281" s="189">
        <f t="shared" si="101"/>
        <v>633600</v>
      </c>
      <c r="G281" s="189">
        <f t="shared" si="102"/>
        <v>576000</v>
      </c>
      <c r="H281" s="691" t="s">
        <v>173</v>
      </c>
      <c r="I281" s="84" t="s">
        <v>144</v>
      </c>
      <c r="J281" s="61">
        <f>(G281-(VLOOKUP(C281,Price!B:D,3,FALSE)*D281))</f>
        <v>78480</v>
      </c>
      <c r="K281" s="62">
        <f t="shared" si="107"/>
        <v>0.13625000000000001</v>
      </c>
      <c r="L281" s="85">
        <v>17.899999999999999</v>
      </c>
      <c r="M281" s="601"/>
      <c r="N281" s="668">
        <f t="shared" si="97"/>
        <v>170901</v>
      </c>
      <c r="O281" s="84" t="s">
        <v>147</v>
      </c>
      <c r="P281" s="133" t="str">
        <f t="shared" si="106"/>
        <v>프리미어(청)</v>
      </c>
      <c r="Q281" s="84">
        <f t="shared" si="98"/>
        <v>72</v>
      </c>
      <c r="R281" s="189">
        <v>6910</v>
      </c>
      <c r="S281" s="189">
        <f t="shared" si="104"/>
        <v>547272</v>
      </c>
      <c r="T281" s="189">
        <f t="shared" si="105"/>
        <v>497520</v>
      </c>
      <c r="U281" s="84" t="str">
        <f>IF(J281=W281,"O", "X")</f>
        <v>O</v>
      </c>
      <c r="V281" s="84"/>
      <c r="W281" s="481">
        <f t="shared" si="99"/>
        <v>78480</v>
      </c>
      <c r="X281" s="84"/>
      <c r="Y281" s="84"/>
    </row>
    <row r="282" spans="1:25" ht="30" hidden="1" customHeight="1" x14ac:dyDescent="0.25">
      <c r="A282" s="80">
        <v>170904</v>
      </c>
      <c r="B282" s="663" t="s">
        <v>445</v>
      </c>
      <c r="C282" s="71" t="s">
        <v>231</v>
      </c>
      <c r="D282" s="71">
        <v>10</v>
      </c>
      <c r="E282" s="102">
        <v>120000</v>
      </c>
      <c r="F282" s="102">
        <f t="shared" ref="F282:F299" si="108">(E282*D282)*1.1</f>
        <v>1320000</v>
      </c>
      <c r="G282" s="102">
        <f t="shared" ref="G282:G299" si="109">(E282*D282)</f>
        <v>1200000</v>
      </c>
      <c r="H282" s="689" t="s">
        <v>173</v>
      </c>
      <c r="I282" s="73" t="s">
        <v>109</v>
      </c>
      <c r="J282" s="53">
        <f>(G282-(VLOOKUP(C282,Price!B:D,3,FALSE)*D282))</f>
        <v>80000</v>
      </c>
      <c r="K282" s="63">
        <f t="shared" si="107"/>
        <v>6.6666666666666666E-2</v>
      </c>
      <c r="L282" s="80">
        <v>17.899999999999999</v>
      </c>
      <c r="M282" s="584"/>
      <c r="N282" s="663">
        <f t="shared" si="97"/>
        <v>170904</v>
      </c>
      <c r="O282" s="73" t="s">
        <v>151</v>
      </c>
      <c r="P282" s="737" t="str">
        <f t="shared" si="106"/>
        <v>Blanket(990*725)</v>
      </c>
      <c r="Q282" s="73">
        <f t="shared" si="98"/>
        <v>10</v>
      </c>
      <c r="R282" s="147">
        <v>112000</v>
      </c>
      <c r="S282" s="147">
        <f t="shared" si="104"/>
        <v>1232000</v>
      </c>
      <c r="T282" s="147">
        <f t="shared" si="105"/>
        <v>1120000</v>
      </c>
      <c r="U282" s="73" t="str">
        <f>IF(J282=W282,"O", "X")</f>
        <v>O</v>
      </c>
      <c r="V282" s="73"/>
      <c r="W282" s="482">
        <f t="shared" si="99"/>
        <v>80000</v>
      </c>
      <c r="X282" s="73"/>
      <c r="Y282" s="73"/>
    </row>
    <row r="283" spans="1:25" ht="30" hidden="1" customHeight="1" x14ac:dyDescent="0.25">
      <c r="A283" s="80">
        <v>170904</v>
      </c>
      <c r="B283" s="663" t="s">
        <v>748</v>
      </c>
      <c r="C283" s="71" t="s">
        <v>121</v>
      </c>
      <c r="D283" s="71">
        <v>4</v>
      </c>
      <c r="E283" s="102">
        <v>138000</v>
      </c>
      <c r="F283" s="102">
        <f t="shared" si="108"/>
        <v>607200</v>
      </c>
      <c r="G283" s="102">
        <f t="shared" si="109"/>
        <v>552000</v>
      </c>
      <c r="H283" s="689" t="s">
        <v>173</v>
      </c>
      <c r="I283" s="73" t="s">
        <v>142</v>
      </c>
      <c r="J283" s="53">
        <f>(G283-(VLOOKUP(C283,Price!B:D,3,FALSE)*D283))</f>
        <v>188000</v>
      </c>
      <c r="K283" s="63">
        <f t="shared" si="107"/>
        <v>0.34057971014492755</v>
      </c>
      <c r="L283" s="82">
        <v>17.899999999999999</v>
      </c>
      <c r="M283" s="584"/>
      <c r="N283" s="663">
        <f t="shared" si="97"/>
        <v>170904</v>
      </c>
      <c r="O283" s="73" t="s">
        <v>150</v>
      </c>
      <c r="P283" s="737" t="str">
        <f t="shared" si="106"/>
        <v>윤전용 실리콘</v>
      </c>
      <c r="Q283" s="73">
        <f t="shared" si="98"/>
        <v>4</v>
      </c>
      <c r="R283" s="147">
        <v>91000</v>
      </c>
      <c r="S283" s="147">
        <f t="shared" si="104"/>
        <v>400400.00000000006</v>
      </c>
      <c r="T283" s="147">
        <f t="shared" si="105"/>
        <v>364000</v>
      </c>
      <c r="U283" s="73"/>
      <c r="V283" s="73"/>
      <c r="X283" s="73"/>
      <c r="Y283" s="73"/>
    </row>
    <row r="284" spans="1:25" ht="30" hidden="1" customHeight="1" x14ac:dyDescent="0.25">
      <c r="A284" s="80">
        <v>170904</v>
      </c>
      <c r="B284" s="663" t="s">
        <v>590</v>
      </c>
      <c r="C284" s="71" t="s">
        <v>585</v>
      </c>
      <c r="D284" s="71">
        <v>36</v>
      </c>
      <c r="E284" s="102">
        <v>7500</v>
      </c>
      <c r="F284" s="102">
        <f t="shared" si="108"/>
        <v>297000</v>
      </c>
      <c r="G284" s="102">
        <f t="shared" si="109"/>
        <v>270000</v>
      </c>
      <c r="H284" s="690" t="s">
        <v>173</v>
      </c>
      <c r="I284" s="71" t="s">
        <v>144</v>
      </c>
      <c r="J284" s="53">
        <f>(G284-(VLOOKUP(C284,Price!B:D,3,FALSE)*D284))</f>
        <v>26280</v>
      </c>
      <c r="K284" s="63">
        <f>(J284/(F284/11*10))</f>
        <v>9.7333333333333327E-2</v>
      </c>
      <c r="L284" s="82">
        <v>17.899999999999999</v>
      </c>
      <c r="M284" s="584"/>
      <c r="N284" s="663">
        <f t="shared" si="97"/>
        <v>170904</v>
      </c>
      <c r="O284" s="73" t="s">
        <v>147</v>
      </c>
      <c r="P284" s="737" t="str">
        <f t="shared" si="106"/>
        <v>프리미어(적)</v>
      </c>
      <c r="Q284" s="73">
        <f t="shared" si="98"/>
        <v>36</v>
      </c>
      <c r="R284" s="147">
        <v>6770</v>
      </c>
      <c r="S284" s="147">
        <f t="shared" si="104"/>
        <v>268092</v>
      </c>
      <c r="T284" s="147">
        <f t="shared" si="105"/>
        <v>243720</v>
      </c>
      <c r="U284" s="73"/>
      <c r="V284" s="73"/>
      <c r="X284" s="73"/>
      <c r="Y284" s="73"/>
    </row>
    <row r="285" spans="1:25" s="616" customFormat="1" ht="30" hidden="1" customHeight="1" x14ac:dyDescent="0.25">
      <c r="A285" s="80">
        <v>170904</v>
      </c>
      <c r="B285" s="663" t="s">
        <v>590</v>
      </c>
      <c r="C285" s="71" t="s">
        <v>586</v>
      </c>
      <c r="D285" s="71">
        <v>60</v>
      </c>
      <c r="E285" s="102">
        <v>6750</v>
      </c>
      <c r="F285" s="102">
        <f t="shared" si="108"/>
        <v>445500.00000000006</v>
      </c>
      <c r="G285" s="102">
        <f t="shared" si="109"/>
        <v>405000</v>
      </c>
      <c r="H285" s="690" t="s">
        <v>173</v>
      </c>
      <c r="I285" s="71" t="s">
        <v>144</v>
      </c>
      <c r="J285" s="53">
        <f>(G285-(VLOOKUP(C285,Price!B:D,3,FALSE)*D285))</f>
        <v>34200</v>
      </c>
      <c r="K285" s="63">
        <f>(J285/(F285/11*10))</f>
        <v>8.4444444444444433E-2</v>
      </c>
      <c r="L285" s="82">
        <v>17.899999999999999</v>
      </c>
      <c r="M285" s="584"/>
      <c r="N285" s="663">
        <f t="shared" si="97"/>
        <v>170904</v>
      </c>
      <c r="O285" s="73" t="s">
        <v>147</v>
      </c>
      <c r="P285" s="103" t="str">
        <f t="shared" si="106"/>
        <v>프리미어(황)</v>
      </c>
      <c r="Q285" s="73">
        <f t="shared" si="98"/>
        <v>60</v>
      </c>
      <c r="R285" s="102">
        <v>6180</v>
      </c>
      <c r="S285" s="147">
        <f t="shared" si="104"/>
        <v>407880.00000000006</v>
      </c>
      <c r="T285" s="147">
        <f t="shared" si="105"/>
        <v>370800</v>
      </c>
      <c r="U285" s="73"/>
      <c r="V285" s="73"/>
      <c r="W285" s="520"/>
      <c r="X285" s="73"/>
      <c r="Y285" s="73"/>
    </row>
    <row r="286" spans="1:25" s="602" customFormat="1" ht="30" hidden="1" customHeight="1" x14ac:dyDescent="0.25">
      <c r="A286" s="612">
        <v>170904</v>
      </c>
      <c r="B286" s="672" t="s">
        <v>590</v>
      </c>
      <c r="C286" s="411" t="s">
        <v>587</v>
      </c>
      <c r="D286" s="411">
        <v>36</v>
      </c>
      <c r="E286" s="189">
        <v>8000</v>
      </c>
      <c r="F286" s="189">
        <f t="shared" si="108"/>
        <v>316800</v>
      </c>
      <c r="G286" s="189">
        <f t="shared" si="109"/>
        <v>288000</v>
      </c>
      <c r="H286" s="691" t="s">
        <v>173</v>
      </c>
      <c r="I286" s="84" t="s">
        <v>144</v>
      </c>
      <c r="J286" s="61">
        <f>(G286-(VLOOKUP(C286,Price!B:D,3,FALSE)*D286))</f>
        <v>39240</v>
      </c>
      <c r="K286" s="62">
        <f>(J286/(F286/11*10))</f>
        <v>0.13625000000000001</v>
      </c>
      <c r="L286" s="85">
        <v>17.899999999999999</v>
      </c>
      <c r="M286" s="581"/>
      <c r="N286" s="672">
        <f t="shared" si="97"/>
        <v>170904</v>
      </c>
      <c r="O286" s="411" t="s">
        <v>147</v>
      </c>
      <c r="P286" s="465" t="str">
        <f t="shared" si="106"/>
        <v>프리미어(청)</v>
      </c>
      <c r="Q286" s="411">
        <f t="shared" si="98"/>
        <v>36</v>
      </c>
      <c r="R286" s="189">
        <v>6910</v>
      </c>
      <c r="S286" s="198">
        <f t="shared" si="104"/>
        <v>273636</v>
      </c>
      <c r="T286" s="198">
        <f t="shared" si="105"/>
        <v>248760</v>
      </c>
      <c r="U286" s="411"/>
      <c r="V286" s="411"/>
      <c r="W286" s="481"/>
      <c r="X286" s="411"/>
      <c r="Y286" s="411"/>
    </row>
    <row r="287" spans="1:25" ht="30" hidden="1" customHeight="1" x14ac:dyDescent="0.25">
      <c r="A287" s="80">
        <v>170905</v>
      </c>
      <c r="B287" s="663" t="s">
        <v>545</v>
      </c>
      <c r="C287" s="73" t="s">
        <v>167</v>
      </c>
      <c r="D287" s="73">
        <v>10</v>
      </c>
      <c r="E287" s="147">
        <v>110000</v>
      </c>
      <c r="F287" s="147">
        <f t="shared" si="108"/>
        <v>1210000</v>
      </c>
      <c r="G287" s="147">
        <f t="shared" si="109"/>
        <v>1100000</v>
      </c>
      <c r="H287" s="689" t="s">
        <v>173</v>
      </c>
      <c r="I287" s="73" t="s">
        <v>109</v>
      </c>
      <c r="J287" s="60">
        <f>(G287-(VLOOKUP(C287,Price!B:D,3,FALSE)*D287))</f>
        <v>271000</v>
      </c>
      <c r="K287" s="427">
        <f t="shared" si="107"/>
        <v>0.24636363636363637</v>
      </c>
      <c r="L287" s="80">
        <v>17.899999999999999</v>
      </c>
      <c r="M287" s="584"/>
      <c r="N287" s="663">
        <f t="shared" si="97"/>
        <v>170905</v>
      </c>
      <c r="O287" s="73" t="s">
        <v>147</v>
      </c>
      <c r="P287" s="132" t="str">
        <f t="shared" si="106"/>
        <v>Blanket(1060*860)</v>
      </c>
      <c r="Q287" s="73">
        <f t="shared" si="98"/>
        <v>10</v>
      </c>
      <c r="R287" s="147">
        <v>82900</v>
      </c>
      <c r="S287" s="147">
        <f t="shared" si="104"/>
        <v>911900.00000000012</v>
      </c>
      <c r="T287" s="147">
        <f t="shared" si="105"/>
        <v>829000</v>
      </c>
      <c r="U287" s="73" t="str">
        <f>IF(J287=W287,"O", "X")</f>
        <v>O</v>
      </c>
      <c r="V287" s="73"/>
      <c r="W287" s="482">
        <f t="shared" ref="W287:W318" si="110">(G287-T287)</f>
        <v>271000</v>
      </c>
      <c r="X287" s="73"/>
      <c r="Y287" s="73"/>
    </row>
    <row r="288" spans="1:25" ht="30" hidden="1" customHeight="1" x14ac:dyDescent="0.25">
      <c r="A288" s="82">
        <v>170905</v>
      </c>
      <c r="B288" s="664" t="s">
        <v>444</v>
      </c>
      <c r="C288" s="71" t="s">
        <v>131</v>
      </c>
      <c r="D288" s="71">
        <v>5</v>
      </c>
      <c r="E288" s="102">
        <v>135000</v>
      </c>
      <c r="F288" s="102">
        <f t="shared" si="108"/>
        <v>742500.00000000012</v>
      </c>
      <c r="G288" s="102">
        <f t="shared" si="109"/>
        <v>675000</v>
      </c>
      <c r="H288" s="690" t="s">
        <v>173</v>
      </c>
      <c r="I288" s="71" t="s">
        <v>108</v>
      </c>
      <c r="J288" s="53">
        <f>(G288-(VLOOKUP(C288,Price!B:D,3,FALSE)*D288))</f>
        <v>125000</v>
      </c>
      <c r="K288" s="63">
        <f t="shared" si="107"/>
        <v>0.18518518518518515</v>
      </c>
      <c r="L288" s="82">
        <v>17.899999999999999</v>
      </c>
      <c r="M288" s="468"/>
      <c r="N288" s="664">
        <f t="shared" si="97"/>
        <v>170905</v>
      </c>
      <c r="O288" s="71" t="s">
        <v>148</v>
      </c>
      <c r="P288" s="103" t="str">
        <f t="shared" si="106"/>
        <v>UV wash(20L)</v>
      </c>
      <c r="Q288" s="71">
        <f t="shared" si="98"/>
        <v>5</v>
      </c>
      <c r="R288" s="102">
        <v>110000</v>
      </c>
      <c r="S288" s="102">
        <f t="shared" si="104"/>
        <v>605000</v>
      </c>
      <c r="T288" s="102">
        <f t="shared" si="105"/>
        <v>550000</v>
      </c>
      <c r="U288" s="71" t="str">
        <f>IF(J288=W288,"O", "X")</f>
        <v>O</v>
      </c>
      <c r="V288" s="71"/>
      <c r="W288" s="482">
        <f t="shared" si="110"/>
        <v>125000</v>
      </c>
      <c r="X288" s="71"/>
      <c r="Y288" s="71"/>
    </row>
    <row r="289" spans="1:25" ht="30" customHeight="1" x14ac:dyDescent="0.25">
      <c r="A289" s="82">
        <v>170905</v>
      </c>
      <c r="B289" s="664" t="s">
        <v>422</v>
      </c>
      <c r="C289" s="760" t="s">
        <v>218</v>
      </c>
      <c r="D289" s="71">
        <v>5</v>
      </c>
      <c r="E289" s="102">
        <v>235000</v>
      </c>
      <c r="F289" s="102">
        <f t="shared" si="108"/>
        <v>1292500</v>
      </c>
      <c r="G289" s="102">
        <f t="shared" si="109"/>
        <v>1175000</v>
      </c>
      <c r="H289" s="690" t="s">
        <v>173</v>
      </c>
      <c r="I289" s="71" t="s">
        <v>120</v>
      </c>
      <c r="J289" s="53">
        <f>(G289-(VLOOKUP(C289,Price!B:D,3,FALSE)*D289))</f>
        <v>612500</v>
      </c>
      <c r="K289" s="63">
        <f t="shared" si="107"/>
        <v>0.52127659574468088</v>
      </c>
      <c r="L289" s="82">
        <v>17.899999999999999</v>
      </c>
      <c r="M289" s="468"/>
      <c r="N289" s="664">
        <f t="shared" si="97"/>
        <v>170905</v>
      </c>
      <c r="O289" s="71" t="s">
        <v>150</v>
      </c>
      <c r="P289" s="103" t="str">
        <f t="shared" si="106"/>
        <v>Fount Web 551AF</v>
      </c>
      <c r="Q289" s="71">
        <f t="shared" si="98"/>
        <v>5</v>
      </c>
      <c r="R289" s="102">
        <v>112500</v>
      </c>
      <c r="S289" s="102">
        <f t="shared" si="104"/>
        <v>618750</v>
      </c>
      <c r="T289" s="102">
        <f t="shared" si="105"/>
        <v>562500</v>
      </c>
      <c r="U289" s="71" t="str">
        <f>IF(J289=W289,"O", "X")</f>
        <v>O</v>
      </c>
      <c r="V289" s="71"/>
      <c r="W289" s="482">
        <f t="shared" si="110"/>
        <v>612500</v>
      </c>
      <c r="X289" s="71"/>
      <c r="Y289" s="71"/>
    </row>
    <row r="290" spans="1:25" ht="30" customHeight="1" x14ac:dyDescent="0.25">
      <c r="A290" s="82">
        <v>170905</v>
      </c>
      <c r="B290" s="664" t="s">
        <v>565</v>
      </c>
      <c r="C290" s="71" t="s">
        <v>583</v>
      </c>
      <c r="D290" s="71">
        <v>16</v>
      </c>
      <c r="E290" s="102">
        <v>89000</v>
      </c>
      <c r="F290" s="102">
        <f t="shared" si="108"/>
        <v>1566400.0000000002</v>
      </c>
      <c r="G290" s="102">
        <f t="shared" si="109"/>
        <v>1424000</v>
      </c>
      <c r="H290" s="690" t="s">
        <v>173</v>
      </c>
      <c r="I290" s="71" t="s">
        <v>108</v>
      </c>
      <c r="J290" s="53">
        <f>(G290-(VLOOKUP(C290,Price!B:D,3,FALSE)*D290))</f>
        <v>720000</v>
      </c>
      <c r="K290" s="63">
        <f t="shared" si="107"/>
        <v>0.50561797752808979</v>
      </c>
      <c r="L290" s="82">
        <v>17.899999999999999</v>
      </c>
      <c r="M290" s="468" t="s">
        <v>795</v>
      </c>
      <c r="N290" s="664">
        <f t="shared" si="97"/>
        <v>170905</v>
      </c>
      <c r="O290" s="71" t="s">
        <v>599</v>
      </c>
      <c r="P290" s="103" t="str">
        <f t="shared" si="106"/>
        <v>M600 윤전 세정포</v>
      </c>
      <c r="Q290" s="71">
        <f t="shared" si="98"/>
        <v>16</v>
      </c>
      <c r="R290" s="102">
        <v>44000</v>
      </c>
      <c r="S290" s="102">
        <f t="shared" si="104"/>
        <v>774400.00000000012</v>
      </c>
      <c r="T290" s="102">
        <f t="shared" si="105"/>
        <v>704000</v>
      </c>
      <c r="U290" s="71" t="str">
        <f>IF(J290=W290,"O", "X")</f>
        <v>O</v>
      </c>
      <c r="V290" s="71" t="s">
        <v>824</v>
      </c>
      <c r="W290" s="482">
        <f t="shared" si="110"/>
        <v>720000</v>
      </c>
      <c r="X290" s="71"/>
      <c r="Y290" s="71"/>
    </row>
    <row r="291" spans="1:25" ht="30" hidden="1" customHeight="1" x14ac:dyDescent="0.25">
      <c r="A291" s="82">
        <v>170905</v>
      </c>
      <c r="B291" s="663" t="s">
        <v>748</v>
      </c>
      <c r="C291" s="71" t="s">
        <v>799</v>
      </c>
      <c r="D291" s="71">
        <v>1</v>
      </c>
      <c r="E291" s="102">
        <v>50000</v>
      </c>
      <c r="F291" s="102">
        <f t="shared" si="108"/>
        <v>55000.000000000007</v>
      </c>
      <c r="G291" s="102">
        <f t="shared" si="109"/>
        <v>50000</v>
      </c>
      <c r="H291" s="1010" t="s">
        <v>39</v>
      </c>
      <c r="I291" s="71"/>
      <c r="J291" s="53">
        <f>G291-R291</f>
        <v>8890</v>
      </c>
      <c r="K291" s="63">
        <f t="shared" si="107"/>
        <v>0.17779999999999999</v>
      </c>
      <c r="L291" s="82">
        <v>17.899999999999999</v>
      </c>
      <c r="M291" s="468" t="s">
        <v>811</v>
      </c>
      <c r="N291" s="664">
        <f t="shared" si="97"/>
        <v>170905</v>
      </c>
      <c r="O291" s="991" t="s">
        <v>39</v>
      </c>
      <c r="P291" s="103" t="str">
        <f t="shared" si="106"/>
        <v>ASM 필터 0,2mm</v>
      </c>
      <c r="Q291" s="71">
        <f t="shared" si="98"/>
        <v>1</v>
      </c>
      <c r="R291" s="102">
        <v>41110</v>
      </c>
      <c r="S291" s="102">
        <f t="shared" si="104"/>
        <v>45221.000000000007</v>
      </c>
      <c r="T291" s="102">
        <f t="shared" si="105"/>
        <v>41110</v>
      </c>
      <c r="U291" s="71"/>
      <c r="V291" s="71"/>
      <c r="W291" s="482">
        <f t="shared" si="110"/>
        <v>8890</v>
      </c>
      <c r="X291" s="71"/>
      <c r="Y291" s="71"/>
    </row>
    <row r="292" spans="1:25" ht="30" hidden="1" customHeight="1" x14ac:dyDescent="0.25">
      <c r="A292" s="82">
        <v>170905</v>
      </c>
      <c r="B292" s="663" t="s">
        <v>748</v>
      </c>
      <c r="C292" s="71" t="s">
        <v>800</v>
      </c>
      <c r="D292" s="71">
        <v>1</v>
      </c>
      <c r="E292" s="102">
        <v>600000</v>
      </c>
      <c r="F292" s="102">
        <f t="shared" si="108"/>
        <v>660000</v>
      </c>
      <c r="G292" s="102">
        <f t="shared" si="109"/>
        <v>600000</v>
      </c>
      <c r="H292" s="1010" t="s">
        <v>39</v>
      </c>
      <c r="I292" s="71"/>
      <c r="J292" s="53">
        <f>G292-R292</f>
        <v>199200</v>
      </c>
      <c r="K292" s="63">
        <f t="shared" si="107"/>
        <v>0.33200000000000002</v>
      </c>
      <c r="L292" s="82">
        <v>17.899999999999999</v>
      </c>
      <c r="M292" s="468" t="s">
        <v>811</v>
      </c>
      <c r="N292" s="664">
        <f t="shared" si="97"/>
        <v>170905</v>
      </c>
      <c r="O292" s="991" t="s">
        <v>39</v>
      </c>
      <c r="P292" s="103" t="str">
        <f t="shared" si="106"/>
        <v>필터 하우징</v>
      </c>
      <c r="Q292" s="71">
        <f t="shared" si="98"/>
        <v>1</v>
      </c>
      <c r="R292" s="102">
        <v>400800</v>
      </c>
      <c r="S292" s="102">
        <f t="shared" si="104"/>
        <v>440880.00000000006</v>
      </c>
      <c r="T292" s="102">
        <f t="shared" si="105"/>
        <v>400800</v>
      </c>
      <c r="U292" s="71"/>
      <c r="V292" s="71"/>
      <c r="W292" s="482">
        <f t="shared" si="110"/>
        <v>199200</v>
      </c>
      <c r="X292" s="71"/>
      <c r="Y292" s="71"/>
    </row>
    <row r="293" spans="1:25" ht="30" hidden="1" customHeight="1" x14ac:dyDescent="0.25">
      <c r="A293" s="82">
        <v>170905</v>
      </c>
      <c r="B293" s="663" t="s">
        <v>590</v>
      </c>
      <c r="C293" s="71" t="s">
        <v>586</v>
      </c>
      <c r="D293" s="71">
        <v>200</v>
      </c>
      <c r="E293" s="102">
        <v>6750</v>
      </c>
      <c r="F293" s="102">
        <f t="shared" si="108"/>
        <v>1485000.0000000002</v>
      </c>
      <c r="G293" s="102">
        <f t="shared" si="109"/>
        <v>1350000</v>
      </c>
      <c r="H293" s="690" t="s">
        <v>173</v>
      </c>
      <c r="I293" s="71" t="s">
        <v>144</v>
      </c>
      <c r="J293" s="53">
        <f>(G293-(VLOOKUP(C293,Price!B:D,3,FALSE)*D293))</f>
        <v>114000</v>
      </c>
      <c r="K293" s="63">
        <f t="shared" ref="K293:K299" si="111">(J293/(F293/11*10))</f>
        <v>8.4444444444444433E-2</v>
      </c>
      <c r="L293" s="82">
        <v>17.899999999999999</v>
      </c>
      <c r="M293" s="468"/>
      <c r="N293" s="664">
        <f t="shared" si="97"/>
        <v>170905</v>
      </c>
      <c r="O293" s="71" t="s">
        <v>147</v>
      </c>
      <c r="P293" s="103" t="str">
        <f t="shared" si="106"/>
        <v>프리미어(황)</v>
      </c>
      <c r="Q293" s="71">
        <f t="shared" si="98"/>
        <v>200</v>
      </c>
      <c r="R293" s="102">
        <v>6180</v>
      </c>
      <c r="S293" s="102">
        <f t="shared" si="104"/>
        <v>1359600</v>
      </c>
      <c r="T293" s="102">
        <f t="shared" si="105"/>
        <v>1236000</v>
      </c>
      <c r="U293" s="71" t="str">
        <f t="shared" ref="U293:U339" si="112">IF(J293=W293,"O", "X")</f>
        <v>O</v>
      </c>
      <c r="V293" s="71"/>
      <c r="W293" s="482">
        <f t="shared" si="110"/>
        <v>114000</v>
      </c>
      <c r="X293" s="71"/>
      <c r="Y293" s="71"/>
    </row>
    <row r="294" spans="1:25" s="602" customFormat="1" ht="30" hidden="1" customHeight="1" x14ac:dyDescent="0.25">
      <c r="A294" s="85">
        <v>170905</v>
      </c>
      <c r="B294" s="672" t="s">
        <v>590</v>
      </c>
      <c r="C294" s="84" t="s">
        <v>616</v>
      </c>
      <c r="D294" s="84">
        <v>200</v>
      </c>
      <c r="E294" s="189">
        <v>6600</v>
      </c>
      <c r="F294" s="189">
        <f t="shared" si="108"/>
        <v>1452000.0000000002</v>
      </c>
      <c r="G294" s="189">
        <f t="shared" si="109"/>
        <v>1320000</v>
      </c>
      <c r="H294" s="691" t="s">
        <v>173</v>
      </c>
      <c r="I294" s="84" t="s">
        <v>144</v>
      </c>
      <c r="J294" s="61">
        <f>(G294-(VLOOKUP(C294,Price!B:D,3,FALSE)*D294))</f>
        <v>140000</v>
      </c>
      <c r="K294" s="62">
        <f t="shared" si="111"/>
        <v>0.10606060606060604</v>
      </c>
      <c r="L294" s="85">
        <v>17.899999999999999</v>
      </c>
      <c r="M294" s="601"/>
      <c r="N294" s="668">
        <f t="shared" si="97"/>
        <v>170905</v>
      </c>
      <c r="O294" s="84" t="s">
        <v>147</v>
      </c>
      <c r="P294" s="133" t="str">
        <f t="shared" si="106"/>
        <v>프리미어(먹)</v>
      </c>
      <c r="Q294" s="84">
        <f t="shared" si="98"/>
        <v>200</v>
      </c>
      <c r="R294" s="189">
        <v>5900</v>
      </c>
      <c r="S294" s="189">
        <f t="shared" si="104"/>
        <v>1298000</v>
      </c>
      <c r="T294" s="189">
        <f t="shared" si="105"/>
        <v>1180000</v>
      </c>
      <c r="U294" s="84" t="str">
        <f t="shared" si="112"/>
        <v>O</v>
      </c>
      <c r="V294" s="84"/>
      <c r="W294" s="481">
        <f t="shared" si="110"/>
        <v>140000</v>
      </c>
      <c r="X294" s="84"/>
      <c r="Y294" s="84"/>
    </row>
    <row r="295" spans="1:25" ht="30" hidden="1" customHeight="1" x14ac:dyDescent="0.25">
      <c r="A295" s="80">
        <v>170906</v>
      </c>
      <c r="B295" s="663" t="s">
        <v>748</v>
      </c>
      <c r="C295" s="73" t="s">
        <v>121</v>
      </c>
      <c r="D295" s="73">
        <v>4</v>
      </c>
      <c r="E295" s="147">
        <v>138000</v>
      </c>
      <c r="F295" s="147">
        <f t="shared" si="108"/>
        <v>607200</v>
      </c>
      <c r="G295" s="147">
        <f t="shared" si="109"/>
        <v>552000</v>
      </c>
      <c r="H295" s="689" t="s">
        <v>173</v>
      </c>
      <c r="I295" s="73" t="s">
        <v>142</v>
      </c>
      <c r="J295" s="60">
        <f>(G295-(VLOOKUP(C295,Price!B:D,3,FALSE)*D295))</f>
        <v>188000</v>
      </c>
      <c r="K295" s="427">
        <f t="shared" si="111"/>
        <v>0.34057971014492755</v>
      </c>
      <c r="L295" s="80">
        <v>17.899999999999999</v>
      </c>
      <c r="M295" s="584"/>
      <c r="N295" s="663">
        <f t="shared" si="97"/>
        <v>170906</v>
      </c>
      <c r="O295" s="73" t="s">
        <v>150</v>
      </c>
      <c r="P295" s="132" t="str">
        <f t="shared" si="106"/>
        <v>윤전용 실리콘</v>
      </c>
      <c r="Q295" s="73">
        <f t="shared" si="98"/>
        <v>4</v>
      </c>
      <c r="R295" s="147">
        <v>91000</v>
      </c>
      <c r="S295" s="147">
        <f t="shared" si="104"/>
        <v>400400.00000000006</v>
      </c>
      <c r="T295" s="147">
        <f t="shared" si="105"/>
        <v>364000</v>
      </c>
      <c r="U295" s="73" t="str">
        <f t="shared" si="112"/>
        <v>O</v>
      </c>
      <c r="V295" s="73"/>
      <c r="W295" s="482">
        <f t="shared" si="110"/>
        <v>188000</v>
      </c>
      <c r="X295" s="73"/>
      <c r="Y295" s="73"/>
    </row>
    <row r="296" spans="1:25" ht="30" hidden="1" customHeight="1" x14ac:dyDescent="0.25">
      <c r="A296" s="82">
        <v>170906</v>
      </c>
      <c r="B296" s="664" t="s">
        <v>442</v>
      </c>
      <c r="C296" s="71" t="s">
        <v>133</v>
      </c>
      <c r="D296" s="71">
        <v>2</v>
      </c>
      <c r="E296" s="102">
        <v>327000</v>
      </c>
      <c r="F296" s="102">
        <f t="shared" si="108"/>
        <v>719400</v>
      </c>
      <c r="G296" s="102">
        <f t="shared" si="109"/>
        <v>654000</v>
      </c>
      <c r="H296" s="690" t="s">
        <v>173</v>
      </c>
      <c r="I296" s="71" t="s">
        <v>141</v>
      </c>
      <c r="J296" s="53">
        <f>(G296-(VLOOKUP(C296,Price!B:D,3,FALSE)*D296))</f>
        <v>115800</v>
      </c>
      <c r="K296" s="63">
        <f t="shared" si="111"/>
        <v>0.17706422018348625</v>
      </c>
      <c r="L296" s="82">
        <v>17.899999999999999</v>
      </c>
      <c r="M296" s="468"/>
      <c r="N296" s="664">
        <f t="shared" si="97"/>
        <v>170906</v>
      </c>
      <c r="O296" s="71" t="s">
        <v>145</v>
      </c>
      <c r="P296" s="103" t="str">
        <f t="shared" si="106"/>
        <v>Agfa Film(24inch)</v>
      </c>
      <c r="Q296" s="794">
        <f t="shared" si="98"/>
        <v>2</v>
      </c>
      <c r="R296" s="102">
        <v>269100</v>
      </c>
      <c r="S296" s="102">
        <f t="shared" si="104"/>
        <v>592020</v>
      </c>
      <c r="T296" s="102">
        <f t="shared" si="105"/>
        <v>538200</v>
      </c>
      <c r="U296" s="71" t="str">
        <f t="shared" si="112"/>
        <v>O</v>
      </c>
      <c r="V296" s="71"/>
      <c r="W296" s="482">
        <f t="shared" si="110"/>
        <v>115800</v>
      </c>
      <c r="X296" s="71"/>
      <c r="Y296" s="71"/>
    </row>
    <row r="297" spans="1:25" ht="30" hidden="1" customHeight="1" x14ac:dyDescent="0.25">
      <c r="A297" s="82">
        <v>170906</v>
      </c>
      <c r="B297" s="664" t="s">
        <v>442</v>
      </c>
      <c r="C297" s="71" t="s">
        <v>134</v>
      </c>
      <c r="D297" s="71">
        <v>2</v>
      </c>
      <c r="E297" s="102">
        <v>401000</v>
      </c>
      <c r="F297" s="102">
        <f t="shared" si="108"/>
        <v>882200.00000000012</v>
      </c>
      <c r="G297" s="102">
        <f t="shared" si="109"/>
        <v>802000</v>
      </c>
      <c r="H297" s="690" t="s">
        <v>173</v>
      </c>
      <c r="I297" s="71" t="s">
        <v>141</v>
      </c>
      <c r="J297" s="53">
        <f>(G297-(VLOOKUP(C297,Price!B:D,3,FALSE)*D297))</f>
        <v>174080</v>
      </c>
      <c r="K297" s="63">
        <f t="shared" si="111"/>
        <v>0.21705735660847877</v>
      </c>
      <c r="L297" s="82">
        <v>17.899999999999999</v>
      </c>
      <c r="M297" s="468"/>
      <c r="N297" s="664">
        <f t="shared" si="97"/>
        <v>170906</v>
      </c>
      <c r="O297" s="71" t="s">
        <v>145</v>
      </c>
      <c r="P297" s="103" t="str">
        <f t="shared" si="106"/>
        <v>Agfa Film(28inch)</v>
      </c>
      <c r="Q297" s="794">
        <f t="shared" si="98"/>
        <v>2</v>
      </c>
      <c r="R297" s="102">
        <v>313960</v>
      </c>
      <c r="S297" s="102">
        <f t="shared" si="104"/>
        <v>690712</v>
      </c>
      <c r="T297" s="102">
        <f t="shared" si="105"/>
        <v>627920</v>
      </c>
      <c r="U297" s="71" t="str">
        <f t="shared" si="112"/>
        <v>O</v>
      </c>
      <c r="V297" s="71"/>
      <c r="W297" s="482">
        <f t="shared" si="110"/>
        <v>174080</v>
      </c>
      <c r="X297" s="71"/>
      <c r="Y297" s="71"/>
    </row>
    <row r="298" spans="1:25" ht="30" hidden="1" customHeight="1" x14ac:dyDescent="0.25">
      <c r="A298" s="82">
        <v>170906</v>
      </c>
      <c r="B298" s="664" t="s">
        <v>442</v>
      </c>
      <c r="C298" s="71" t="s">
        <v>135</v>
      </c>
      <c r="D298" s="71">
        <v>2</v>
      </c>
      <c r="E298" s="102">
        <v>448000</v>
      </c>
      <c r="F298" s="102">
        <f t="shared" si="108"/>
        <v>985600.00000000012</v>
      </c>
      <c r="G298" s="102">
        <f t="shared" si="109"/>
        <v>896000</v>
      </c>
      <c r="H298" s="690" t="s">
        <v>173</v>
      </c>
      <c r="I298" s="71" t="s">
        <v>141</v>
      </c>
      <c r="J298" s="53">
        <f>(G298-(VLOOKUP(C298,Price!B:D,3,FALSE)*D298))</f>
        <v>155980</v>
      </c>
      <c r="K298" s="63">
        <f t="shared" si="111"/>
        <v>0.1740848214285714</v>
      </c>
      <c r="L298" s="82">
        <v>17.899999999999999</v>
      </c>
      <c r="M298" s="468"/>
      <c r="N298" s="664">
        <f t="shared" si="97"/>
        <v>170906</v>
      </c>
      <c r="O298" s="71" t="s">
        <v>145</v>
      </c>
      <c r="P298" s="103" t="str">
        <f t="shared" si="106"/>
        <v>Agfa Film(32inch)</v>
      </c>
      <c r="Q298" s="794">
        <f t="shared" si="98"/>
        <v>2</v>
      </c>
      <c r="R298" s="102">
        <v>370010</v>
      </c>
      <c r="S298" s="102">
        <f t="shared" si="104"/>
        <v>814022.00000000012</v>
      </c>
      <c r="T298" s="102">
        <f t="shared" si="105"/>
        <v>740020</v>
      </c>
      <c r="U298" s="71" t="str">
        <f t="shared" si="112"/>
        <v>O</v>
      </c>
      <c r="V298" s="71"/>
      <c r="W298" s="482">
        <f t="shared" si="110"/>
        <v>155980</v>
      </c>
      <c r="X298" s="71"/>
      <c r="Y298" s="71"/>
    </row>
    <row r="299" spans="1:25" ht="30" hidden="1" customHeight="1" x14ac:dyDescent="0.25">
      <c r="A299" s="82">
        <v>170906</v>
      </c>
      <c r="B299" s="664" t="s">
        <v>442</v>
      </c>
      <c r="C299" s="71" t="s">
        <v>649</v>
      </c>
      <c r="D299" s="71">
        <v>3</v>
      </c>
      <c r="E299" s="102">
        <v>41000</v>
      </c>
      <c r="F299" s="102">
        <f t="shared" si="108"/>
        <v>135300</v>
      </c>
      <c r="G299" s="102">
        <f t="shared" si="109"/>
        <v>123000</v>
      </c>
      <c r="H299" s="690" t="s">
        <v>173</v>
      </c>
      <c r="I299" s="71" t="s">
        <v>141</v>
      </c>
      <c r="J299" s="53">
        <f>(G299-(VLOOKUP(C299,Price!B:D,3,FALSE)*D299))</f>
        <v>48000</v>
      </c>
      <c r="K299" s="63">
        <f t="shared" si="111"/>
        <v>0.3902439024390244</v>
      </c>
      <c r="L299" s="82">
        <v>17.899999999999999</v>
      </c>
      <c r="M299" s="468"/>
      <c r="N299" s="664">
        <f t="shared" si="97"/>
        <v>170906</v>
      </c>
      <c r="O299" s="71" t="s">
        <v>145</v>
      </c>
      <c r="P299" s="103" t="str">
        <f t="shared" si="106"/>
        <v>Agfa 현상액 G101C(10L)</v>
      </c>
      <c r="Q299" s="794">
        <f t="shared" si="98"/>
        <v>3</v>
      </c>
      <c r="R299" s="102">
        <v>25000</v>
      </c>
      <c r="S299" s="102">
        <f t="shared" si="104"/>
        <v>82500</v>
      </c>
      <c r="T299" s="102">
        <f t="shared" si="105"/>
        <v>75000</v>
      </c>
      <c r="U299" s="71" t="str">
        <f t="shared" si="112"/>
        <v>O</v>
      </c>
      <c r="V299" s="71"/>
      <c r="W299" s="482">
        <f t="shared" si="110"/>
        <v>48000</v>
      </c>
      <c r="X299" s="71"/>
      <c r="Y299" s="71"/>
    </row>
    <row r="300" spans="1:25" s="616" customFormat="1" ht="30" hidden="1" customHeight="1" x14ac:dyDescent="0.25">
      <c r="A300" s="82">
        <v>170906</v>
      </c>
      <c r="B300" s="664" t="s">
        <v>591</v>
      </c>
      <c r="C300" s="71" t="s">
        <v>747</v>
      </c>
      <c r="D300" s="71">
        <v>1</v>
      </c>
      <c r="E300" s="102">
        <v>6465000</v>
      </c>
      <c r="F300" s="102">
        <f t="shared" ref="F300:F344" si="113">(E300*D300)*1.1</f>
        <v>7111500.0000000009</v>
      </c>
      <c r="G300" s="102">
        <f t="shared" ref="G300:G344" si="114">(E300*D300)</f>
        <v>6465000</v>
      </c>
      <c r="H300" s="690" t="s">
        <v>173</v>
      </c>
      <c r="I300" s="71" t="s">
        <v>143</v>
      </c>
      <c r="J300" s="53">
        <f>G300-T300</f>
        <v>35000</v>
      </c>
      <c r="K300" s="63">
        <f>(J300/(F300/11*10))</f>
        <v>5.4137664346481044E-3</v>
      </c>
      <c r="L300" s="82">
        <v>17.899999999999999</v>
      </c>
      <c r="M300" s="468"/>
      <c r="N300" s="664">
        <f t="shared" si="97"/>
        <v>170906</v>
      </c>
      <c r="O300" s="71" t="s">
        <v>612</v>
      </c>
      <c r="P300" s="103" t="str">
        <f t="shared" si="106"/>
        <v>롤러 set</v>
      </c>
      <c r="Q300" s="71">
        <f t="shared" si="98"/>
        <v>1</v>
      </c>
      <c r="R300" s="102">
        <v>6430000</v>
      </c>
      <c r="S300" s="102">
        <f t="shared" si="104"/>
        <v>7073000.0000000009</v>
      </c>
      <c r="T300" s="102">
        <f t="shared" si="105"/>
        <v>6430000</v>
      </c>
      <c r="U300" s="71" t="str">
        <f t="shared" si="112"/>
        <v>O</v>
      </c>
      <c r="V300" s="71"/>
      <c r="W300" s="482">
        <f t="shared" si="110"/>
        <v>35000</v>
      </c>
      <c r="X300" s="71"/>
      <c r="Y300" s="71"/>
    </row>
    <row r="301" spans="1:25" s="602" customFormat="1" ht="30" hidden="1" customHeight="1" x14ac:dyDescent="0.25">
      <c r="A301" s="85">
        <v>170906</v>
      </c>
      <c r="B301" s="668" t="s">
        <v>797</v>
      </c>
      <c r="C301" s="84" t="s">
        <v>798</v>
      </c>
      <c r="D301" s="84">
        <v>1</v>
      </c>
      <c r="E301" s="189">
        <v>5300000</v>
      </c>
      <c r="F301" s="189">
        <f t="shared" si="113"/>
        <v>5830000.0000000009</v>
      </c>
      <c r="G301" s="189">
        <f t="shared" si="114"/>
        <v>5300000</v>
      </c>
      <c r="H301" s="1006" t="s">
        <v>39</v>
      </c>
      <c r="I301" s="84"/>
      <c r="J301" s="61">
        <f>G301-R301</f>
        <v>2049700</v>
      </c>
      <c r="K301" s="62">
        <f>(J301/(F301/11*10))</f>
        <v>0.38673584905660369</v>
      </c>
      <c r="L301" s="85">
        <v>17.899999999999999</v>
      </c>
      <c r="M301" s="601"/>
      <c r="N301" s="668">
        <f t="shared" si="97"/>
        <v>170906</v>
      </c>
      <c r="O301" s="1007" t="s">
        <v>39</v>
      </c>
      <c r="P301" s="133" t="str">
        <f t="shared" si="106"/>
        <v>Alcocontrol</v>
      </c>
      <c r="Q301" s="84">
        <f t="shared" si="98"/>
        <v>1</v>
      </c>
      <c r="R301" s="189">
        <v>3250300</v>
      </c>
      <c r="S301" s="189">
        <f t="shared" ref="S301:S332" si="115">R301*Q301*1.1</f>
        <v>3575330.0000000005</v>
      </c>
      <c r="T301" s="189">
        <f t="shared" ref="T301:T332" si="116">R301*Q301</f>
        <v>3250300</v>
      </c>
      <c r="U301" s="84" t="str">
        <f t="shared" si="112"/>
        <v>O</v>
      </c>
      <c r="V301" s="84"/>
      <c r="W301" s="481">
        <f t="shared" si="110"/>
        <v>2049700</v>
      </c>
      <c r="X301" s="84"/>
      <c r="Y301" s="84"/>
    </row>
    <row r="302" spans="1:25" ht="30" hidden="1" customHeight="1" x14ac:dyDescent="0.25">
      <c r="A302" s="80">
        <v>170907</v>
      </c>
      <c r="B302" s="663" t="s">
        <v>590</v>
      </c>
      <c r="C302" s="73" t="s">
        <v>585</v>
      </c>
      <c r="D302" s="73">
        <v>60</v>
      </c>
      <c r="E302" s="147">
        <v>7500</v>
      </c>
      <c r="F302" s="147">
        <f t="shared" si="113"/>
        <v>495000.00000000006</v>
      </c>
      <c r="G302" s="147">
        <f t="shared" si="114"/>
        <v>450000</v>
      </c>
      <c r="H302" s="689" t="s">
        <v>173</v>
      </c>
      <c r="I302" s="73" t="s">
        <v>144</v>
      </c>
      <c r="J302" s="60">
        <f>(G302-(VLOOKUP(C302,Price!B:D,3,FALSE)*D302))</f>
        <v>43800</v>
      </c>
      <c r="K302" s="427">
        <f>(J302/(F302/11*10))</f>
        <v>9.7333333333333327E-2</v>
      </c>
      <c r="L302" s="80">
        <v>17.899999999999999</v>
      </c>
      <c r="M302" s="584"/>
      <c r="N302" s="663">
        <f t="shared" si="97"/>
        <v>170907</v>
      </c>
      <c r="O302" s="73" t="s">
        <v>147</v>
      </c>
      <c r="P302" s="132" t="str">
        <f t="shared" si="106"/>
        <v>프리미어(적)</v>
      </c>
      <c r="Q302" s="73">
        <f t="shared" si="98"/>
        <v>60</v>
      </c>
      <c r="R302" s="147">
        <v>6770</v>
      </c>
      <c r="S302" s="147">
        <f t="shared" si="115"/>
        <v>446820.00000000006</v>
      </c>
      <c r="T302" s="147">
        <f t="shared" si="116"/>
        <v>406200</v>
      </c>
      <c r="U302" s="73" t="str">
        <f t="shared" si="112"/>
        <v>O</v>
      </c>
      <c r="V302" s="73"/>
      <c r="W302" s="482">
        <f t="shared" si="110"/>
        <v>43800</v>
      </c>
      <c r="X302" s="73"/>
      <c r="Y302" s="73"/>
    </row>
    <row r="303" spans="1:25" ht="30" hidden="1" customHeight="1" x14ac:dyDescent="0.25">
      <c r="A303" s="82">
        <v>170907</v>
      </c>
      <c r="B303" s="663" t="s">
        <v>590</v>
      </c>
      <c r="C303" s="71" t="s">
        <v>586</v>
      </c>
      <c r="D303" s="71">
        <v>72</v>
      </c>
      <c r="E303" s="102">
        <v>6750</v>
      </c>
      <c r="F303" s="102">
        <f t="shared" si="113"/>
        <v>534600</v>
      </c>
      <c r="G303" s="102">
        <f t="shared" si="114"/>
        <v>486000</v>
      </c>
      <c r="H303" s="690" t="s">
        <v>173</v>
      </c>
      <c r="I303" s="71" t="s">
        <v>144</v>
      </c>
      <c r="J303" s="53">
        <f>(G303-(VLOOKUP(C303,Price!B:D,3,FALSE)*D303))</f>
        <v>41040</v>
      </c>
      <c r="K303" s="63">
        <f>(J303/(F303/11*10))</f>
        <v>8.4444444444444447E-2</v>
      </c>
      <c r="L303" s="82">
        <v>17.899999999999999</v>
      </c>
      <c r="M303" s="468"/>
      <c r="N303" s="664">
        <f t="shared" si="97"/>
        <v>170907</v>
      </c>
      <c r="O303" s="71" t="s">
        <v>147</v>
      </c>
      <c r="P303" s="103" t="str">
        <f t="shared" si="106"/>
        <v>프리미어(황)</v>
      </c>
      <c r="Q303" s="71">
        <f t="shared" si="98"/>
        <v>72</v>
      </c>
      <c r="R303" s="102">
        <v>6180</v>
      </c>
      <c r="S303" s="102">
        <f t="shared" si="115"/>
        <v>489456.00000000006</v>
      </c>
      <c r="T303" s="102">
        <f t="shared" si="116"/>
        <v>444960</v>
      </c>
      <c r="U303" s="71" t="str">
        <f t="shared" si="112"/>
        <v>O</v>
      </c>
      <c r="V303" s="71"/>
      <c r="W303" s="482">
        <f t="shared" si="110"/>
        <v>41040</v>
      </c>
      <c r="X303" s="71"/>
      <c r="Y303" s="71"/>
    </row>
    <row r="304" spans="1:25" s="602" customFormat="1" ht="30" hidden="1" customHeight="1" x14ac:dyDescent="0.25">
      <c r="A304" s="85">
        <v>170907</v>
      </c>
      <c r="B304" s="672" t="s">
        <v>590</v>
      </c>
      <c r="C304" s="84" t="s">
        <v>587</v>
      </c>
      <c r="D304" s="84">
        <v>36</v>
      </c>
      <c r="E304" s="189">
        <v>8000</v>
      </c>
      <c r="F304" s="189">
        <f t="shared" si="113"/>
        <v>316800</v>
      </c>
      <c r="G304" s="189">
        <f t="shared" si="114"/>
        <v>288000</v>
      </c>
      <c r="H304" s="691" t="s">
        <v>173</v>
      </c>
      <c r="I304" s="84" t="s">
        <v>144</v>
      </c>
      <c r="J304" s="61">
        <f>(G304-(VLOOKUP(C304,Price!B:D,3,FALSE)*D304))</f>
        <v>39240</v>
      </c>
      <c r="K304" s="62">
        <f>(J304/(F304/11*10))</f>
        <v>0.13625000000000001</v>
      </c>
      <c r="L304" s="85">
        <v>17.899999999999999</v>
      </c>
      <c r="M304" s="601"/>
      <c r="N304" s="668">
        <f t="shared" si="97"/>
        <v>170907</v>
      </c>
      <c r="O304" s="84" t="s">
        <v>147</v>
      </c>
      <c r="P304" s="133" t="str">
        <f t="shared" si="106"/>
        <v>프리미어(청)</v>
      </c>
      <c r="Q304" s="84">
        <f t="shared" si="98"/>
        <v>36</v>
      </c>
      <c r="R304" s="189">
        <v>6910</v>
      </c>
      <c r="S304" s="189">
        <f t="shared" si="115"/>
        <v>273636</v>
      </c>
      <c r="T304" s="189">
        <f t="shared" si="116"/>
        <v>248760</v>
      </c>
      <c r="U304" s="84" t="str">
        <f t="shared" si="112"/>
        <v>O</v>
      </c>
      <c r="V304" s="84"/>
      <c r="W304" s="481">
        <f t="shared" si="110"/>
        <v>39240</v>
      </c>
      <c r="X304" s="84"/>
      <c r="Y304" s="84"/>
    </row>
    <row r="305" spans="1:25" s="610" customFormat="1" ht="30" hidden="1" customHeight="1" x14ac:dyDescent="0.25">
      <c r="A305" s="89">
        <v>170908</v>
      </c>
      <c r="B305" s="673" t="s">
        <v>549</v>
      </c>
      <c r="C305" s="88" t="s">
        <v>217</v>
      </c>
      <c r="D305" s="88">
        <v>15</v>
      </c>
      <c r="E305" s="470">
        <v>112500</v>
      </c>
      <c r="F305" s="470">
        <f t="shared" si="113"/>
        <v>1856250.0000000002</v>
      </c>
      <c r="G305" s="470">
        <f t="shared" si="114"/>
        <v>1687500</v>
      </c>
      <c r="H305" s="695" t="s">
        <v>173</v>
      </c>
      <c r="I305" s="88" t="s">
        <v>120</v>
      </c>
      <c r="J305" s="107">
        <f>(G305-(VLOOKUP(C305,Price!B:D,3,FALSE)*D305))</f>
        <v>487500</v>
      </c>
      <c r="K305" s="469">
        <f t="shared" ref="K305:K344" si="117">(J305/(F305/11*10))</f>
        <v>0.28888888888888886</v>
      </c>
      <c r="L305" s="89">
        <v>17.899999999999999</v>
      </c>
      <c r="M305" s="575"/>
      <c r="N305" s="673">
        <f t="shared" si="97"/>
        <v>170908</v>
      </c>
      <c r="O305" s="88" t="s">
        <v>150</v>
      </c>
      <c r="P305" s="134" t="str">
        <f t="shared" si="106"/>
        <v>Fount 511</v>
      </c>
      <c r="Q305" s="88">
        <f t="shared" si="98"/>
        <v>15</v>
      </c>
      <c r="R305" s="470">
        <v>80000</v>
      </c>
      <c r="S305" s="470">
        <f t="shared" si="115"/>
        <v>1320000</v>
      </c>
      <c r="T305" s="470">
        <f t="shared" si="116"/>
        <v>1200000</v>
      </c>
      <c r="U305" s="88" t="str">
        <f t="shared" si="112"/>
        <v>O</v>
      </c>
      <c r="V305" s="88"/>
      <c r="W305" s="483">
        <f t="shared" si="110"/>
        <v>487500</v>
      </c>
      <c r="X305" s="88"/>
      <c r="Y305" s="88"/>
    </row>
    <row r="306" spans="1:25" ht="30" hidden="1" customHeight="1" x14ac:dyDescent="0.25">
      <c r="A306" s="80">
        <v>170911</v>
      </c>
      <c r="B306" s="663" t="s">
        <v>640</v>
      </c>
      <c r="C306" s="73" t="s">
        <v>107</v>
      </c>
      <c r="D306" s="73">
        <v>10</v>
      </c>
      <c r="E306" s="147">
        <v>108000</v>
      </c>
      <c r="F306" s="147">
        <f t="shared" si="113"/>
        <v>1188000</v>
      </c>
      <c r="G306" s="147">
        <f t="shared" si="114"/>
        <v>1080000</v>
      </c>
      <c r="H306" s="689" t="s">
        <v>173</v>
      </c>
      <c r="I306" s="73" t="s">
        <v>109</v>
      </c>
      <c r="J306" s="60">
        <f>(G306-(VLOOKUP(C306,Price!B:D,3,FALSE)*D306))</f>
        <v>275000</v>
      </c>
      <c r="K306" s="427">
        <f t="shared" si="117"/>
        <v>0.25462962962962965</v>
      </c>
      <c r="L306" s="80">
        <v>17.899999999999999</v>
      </c>
      <c r="M306" s="584"/>
      <c r="N306" s="663">
        <f t="shared" si="97"/>
        <v>170911</v>
      </c>
      <c r="O306" s="73" t="s">
        <v>147</v>
      </c>
      <c r="P306" s="132" t="str">
        <f t="shared" si="106"/>
        <v>Blanket(1050*840)</v>
      </c>
      <c r="Q306" s="73">
        <f t="shared" si="98"/>
        <v>10</v>
      </c>
      <c r="R306" s="147">
        <v>80500</v>
      </c>
      <c r="S306" s="147">
        <f t="shared" si="115"/>
        <v>885500.00000000012</v>
      </c>
      <c r="T306" s="147">
        <f t="shared" si="116"/>
        <v>805000</v>
      </c>
      <c r="U306" s="73" t="str">
        <f t="shared" si="112"/>
        <v>O</v>
      </c>
      <c r="V306" s="73"/>
      <c r="W306" s="482">
        <f t="shared" si="110"/>
        <v>275000</v>
      </c>
      <c r="X306" s="73"/>
      <c r="Y306" s="73"/>
    </row>
    <row r="307" spans="1:25" ht="30" hidden="1" customHeight="1" x14ac:dyDescent="0.25">
      <c r="A307" s="82">
        <v>170911</v>
      </c>
      <c r="B307" s="664" t="s">
        <v>804</v>
      </c>
      <c r="C307" s="71" t="s">
        <v>123</v>
      </c>
      <c r="D307" s="71">
        <v>10</v>
      </c>
      <c r="E307" s="102">
        <v>30000</v>
      </c>
      <c r="F307" s="102">
        <f t="shared" si="113"/>
        <v>330000</v>
      </c>
      <c r="G307" s="102">
        <f t="shared" si="114"/>
        <v>300000</v>
      </c>
      <c r="H307" s="1010" t="s">
        <v>39</v>
      </c>
      <c r="I307" s="71"/>
      <c r="J307" s="53">
        <f>(G307-(VLOOKUP(C307,Price!B:D,3,FALSE)*D307))</f>
        <v>75390</v>
      </c>
      <c r="K307" s="63">
        <f t="shared" si="117"/>
        <v>0.25130000000000002</v>
      </c>
      <c r="L307" s="82">
        <v>17.899999999999999</v>
      </c>
      <c r="M307" s="468"/>
      <c r="N307" s="664">
        <f t="shared" si="97"/>
        <v>170911</v>
      </c>
      <c r="O307" s="991" t="s">
        <v>39</v>
      </c>
      <c r="P307" s="103" t="str">
        <f t="shared" si="106"/>
        <v>필터백</v>
      </c>
      <c r="Q307" s="71">
        <f t="shared" si="98"/>
        <v>10</v>
      </c>
      <c r="R307" s="102"/>
      <c r="S307" s="102">
        <f t="shared" si="115"/>
        <v>0</v>
      </c>
      <c r="T307" s="102">
        <f t="shared" si="116"/>
        <v>0</v>
      </c>
      <c r="U307" s="71" t="str">
        <f t="shared" si="112"/>
        <v>X</v>
      </c>
      <c r="V307" s="71"/>
      <c r="W307" s="482">
        <f t="shared" si="110"/>
        <v>300000</v>
      </c>
      <c r="X307" s="71"/>
      <c r="Y307" s="71"/>
    </row>
    <row r="308" spans="1:25" s="602" customFormat="1" ht="30" hidden="1" customHeight="1" x14ac:dyDescent="0.25">
      <c r="A308" s="85">
        <v>170911</v>
      </c>
      <c r="B308" s="668" t="s">
        <v>631</v>
      </c>
      <c r="C308" s="767" t="s">
        <v>702</v>
      </c>
      <c r="D308" s="84">
        <v>10</v>
      </c>
      <c r="E308" s="189">
        <v>75000</v>
      </c>
      <c r="F308" s="189">
        <f t="shared" si="113"/>
        <v>825000.00000000012</v>
      </c>
      <c r="G308" s="189">
        <f t="shared" si="114"/>
        <v>750000</v>
      </c>
      <c r="H308" s="691" t="s">
        <v>173</v>
      </c>
      <c r="I308" s="84" t="s">
        <v>109</v>
      </c>
      <c r="J308" s="61">
        <f>(G308-(VLOOKUP(C308,Price!B:D,3,FALSE)*D308))</f>
        <v>256000</v>
      </c>
      <c r="K308" s="62">
        <f t="shared" si="117"/>
        <v>0.34133333333333327</v>
      </c>
      <c r="L308" s="85">
        <v>17.899999999999999</v>
      </c>
      <c r="M308" s="601"/>
      <c r="N308" s="668">
        <f t="shared" si="97"/>
        <v>170911</v>
      </c>
      <c r="O308" s="84" t="s">
        <v>147</v>
      </c>
      <c r="P308" s="133" t="str">
        <f t="shared" si="106"/>
        <v>Blanket(730*710)</v>
      </c>
      <c r="Q308" s="84">
        <f t="shared" si="98"/>
        <v>10</v>
      </c>
      <c r="R308" s="189">
        <v>49400</v>
      </c>
      <c r="S308" s="189">
        <f t="shared" si="115"/>
        <v>543400</v>
      </c>
      <c r="T308" s="189">
        <f t="shared" si="116"/>
        <v>494000</v>
      </c>
      <c r="U308" s="84" t="str">
        <f t="shared" si="112"/>
        <v>O</v>
      </c>
      <c r="V308" s="84"/>
      <c r="W308" s="481">
        <f t="shared" si="110"/>
        <v>256000</v>
      </c>
      <c r="X308" s="84"/>
      <c r="Y308" s="84"/>
    </row>
    <row r="309" spans="1:25" ht="30" hidden="1" customHeight="1" x14ac:dyDescent="0.25">
      <c r="A309" s="80">
        <v>170913</v>
      </c>
      <c r="B309" s="663" t="s">
        <v>564</v>
      </c>
      <c r="C309" s="73" t="s">
        <v>805</v>
      </c>
      <c r="D309" s="73">
        <v>2</v>
      </c>
      <c r="E309" s="147">
        <v>270000</v>
      </c>
      <c r="F309" s="147">
        <f t="shared" si="113"/>
        <v>594000</v>
      </c>
      <c r="G309" s="147">
        <f t="shared" si="114"/>
        <v>540000</v>
      </c>
      <c r="H309" s="689" t="s">
        <v>173</v>
      </c>
      <c r="I309" s="73" t="s">
        <v>120</v>
      </c>
      <c r="J309" s="60">
        <f>(G309-(VLOOKUP(C309,Price!B:D,3,FALSE)*D309))</f>
        <v>260000</v>
      </c>
      <c r="K309" s="427">
        <f t="shared" si="117"/>
        <v>0.48148148148148145</v>
      </c>
      <c r="L309" s="80">
        <v>17.899999999999999</v>
      </c>
      <c r="M309" s="584"/>
      <c r="N309" s="663">
        <f t="shared" si="97"/>
        <v>170913</v>
      </c>
      <c r="O309" s="73" t="s">
        <v>150</v>
      </c>
      <c r="P309" s="132" t="str">
        <f t="shared" si="106"/>
        <v>Fount 554</v>
      </c>
      <c r="Q309" s="73">
        <f t="shared" si="98"/>
        <v>2</v>
      </c>
      <c r="R309" s="147">
        <v>140000</v>
      </c>
      <c r="S309" s="147">
        <f t="shared" si="115"/>
        <v>308000</v>
      </c>
      <c r="T309" s="147">
        <f t="shared" si="116"/>
        <v>280000</v>
      </c>
      <c r="U309" s="73" t="str">
        <f t="shared" si="112"/>
        <v>O</v>
      </c>
      <c r="V309" s="73"/>
      <c r="W309" s="482">
        <f t="shared" si="110"/>
        <v>260000</v>
      </c>
      <c r="X309" s="73"/>
      <c r="Y309" s="73"/>
    </row>
    <row r="310" spans="1:25" ht="30" hidden="1" customHeight="1" x14ac:dyDescent="0.25">
      <c r="A310" s="82">
        <v>170913</v>
      </c>
      <c r="B310" s="664" t="s">
        <v>564</v>
      </c>
      <c r="C310" s="71" t="s">
        <v>222</v>
      </c>
      <c r="D310" s="71">
        <v>1</v>
      </c>
      <c r="E310" s="102">
        <v>135000</v>
      </c>
      <c r="F310" s="102">
        <f t="shared" si="113"/>
        <v>148500</v>
      </c>
      <c r="G310" s="102">
        <f t="shared" si="114"/>
        <v>135000</v>
      </c>
      <c r="H310" s="690" t="s">
        <v>173</v>
      </c>
      <c r="I310" s="71" t="s">
        <v>142</v>
      </c>
      <c r="J310" s="53">
        <f>(G310-(VLOOKUP(C310,Price!B:D,3,FALSE)*D310))</f>
        <v>27000</v>
      </c>
      <c r="K310" s="63">
        <f t="shared" si="117"/>
        <v>0.2</v>
      </c>
      <c r="L310" s="82">
        <v>17.899999999999999</v>
      </c>
      <c r="M310" s="468"/>
      <c r="N310" s="664">
        <f t="shared" si="97"/>
        <v>170913</v>
      </c>
      <c r="O310" s="71" t="s">
        <v>150</v>
      </c>
      <c r="P310" s="103" t="str">
        <f t="shared" si="106"/>
        <v>체인구리스(하이델)</v>
      </c>
      <c r="Q310" s="71">
        <f t="shared" si="98"/>
        <v>1</v>
      </c>
      <c r="R310" s="102">
        <v>108000</v>
      </c>
      <c r="S310" s="102">
        <f t="shared" si="115"/>
        <v>118800.00000000001</v>
      </c>
      <c r="T310" s="102">
        <f t="shared" si="116"/>
        <v>108000</v>
      </c>
      <c r="U310" s="71" t="str">
        <f t="shared" si="112"/>
        <v>O</v>
      </c>
      <c r="V310" s="71"/>
      <c r="W310" s="482">
        <f t="shared" si="110"/>
        <v>27000</v>
      </c>
      <c r="X310" s="71"/>
      <c r="Y310" s="71"/>
    </row>
    <row r="311" spans="1:25" ht="30" hidden="1" customHeight="1" x14ac:dyDescent="0.25">
      <c r="A311" s="82">
        <v>170913</v>
      </c>
      <c r="B311" s="664" t="s">
        <v>567</v>
      </c>
      <c r="C311" s="71" t="s">
        <v>236</v>
      </c>
      <c r="D311" s="71">
        <v>5</v>
      </c>
      <c r="E311" s="102">
        <v>65000</v>
      </c>
      <c r="F311" s="102">
        <f t="shared" si="113"/>
        <v>357500</v>
      </c>
      <c r="G311" s="102">
        <f t="shared" si="114"/>
        <v>325000</v>
      </c>
      <c r="H311" s="690" t="s">
        <v>173</v>
      </c>
      <c r="I311" s="71" t="s">
        <v>142</v>
      </c>
      <c r="J311" s="53">
        <f>(G311-(VLOOKUP(C311,Price!B:D,3,FALSE)*D311))</f>
        <v>75000</v>
      </c>
      <c r="K311" s="63">
        <f t="shared" si="117"/>
        <v>0.23076923076923078</v>
      </c>
      <c r="L311" s="82">
        <v>17.899999999999999</v>
      </c>
      <c r="M311" s="468"/>
      <c r="N311" s="664">
        <f t="shared" si="97"/>
        <v>170913</v>
      </c>
      <c r="O311" s="71" t="s">
        <v>153</v>
      </c>
      <c r="P311" s="103" t="str">
        <f t="shared" si="106"/>
        <v>아스테이지(국전)</v>
      </c>
      <c r="Q311" s="71">
        <f t="shared" si="98"/>
        <v>5</v>
      </c>
      <c r="R311" s="102">
        <v>50000</v>
      </c>
      <c r="S311" s="102">
        <f t="shared" si="115"/>
        <v>275000</v>
      </c>
      <c r="T311" s="102">
        <f t="shared" si="116"/>
        <v>250000</v>
      </c>
      <c r="U311" s="71" t="str">
        <f t="shared" si="112"/>
        <v>O</v>
      </c>
      <c r="V311" s="71"/>
      <c r="W311" s="482">
        <f t="shared" si="110"/>
        <v>75000</v>
      </c>
      <c r="X311" s="71"/>
      <c r="Y311" s="71"/>
    </row>
    <row r="312" spans="1:25" s="616" customFormat="1" ht="30" hidden="1" customHeight="1" x14ac:dyDescent="0.25">
      <c r="A312" s="80">
        <v>170913</v>
      </c>
      <c r="B312" s="663" t="s">
        <v>819</v>
      </c>
      <c r="C312" s="987" t="s">
        <v>897</v>
      </c>
      <c r="D312" s="73">
        <v>4</v>
      </c>
      <c r="E312" s="147">
        <v>1600000</v>
      </c>
      <c r="F312" s="147">
        <f t="shared" si="113"/>
        <v>7040000.0000000009</v>
      </c>
      <c r="G312" s="147">
        <f t="shared" si="114"/>
        <v>6400000</v>
      </c>
      <c r="H312" s="1005" t="s">
        <v>39</v>
      </c>
      <c r="I312" s="73"/>
      <c r="J312" s="60">
        <f>G312-T312</f>
        <v>2590000</v>
      </c>
      <c r="K312" s="63">
        <f t="shared" si="117"/>
        <v>0.40468749999999992</v>
      </c>
      <c r="L312" s="80">
        <v>17.899999999999999</v>
      </c>
      <c r="M312" s="584"/>
      <c r="N312" s="663">
        <f t="shared" si="97"/>
        <v>170913</v>
      </c>
      <c r="O312" s="987" t="s">
        <v>39</v>
      </c>
      <c r="P312" s="132" t="str">
        <f t="shared" si="106"/>
        <v>Fan unit f.Glycol chiller - Technotrans</v>
      </c>
      <c r="Q312" s="73">
        <f t="shared" si="98"/>
        <v>4</v>
      </c>
      <c r="R312" s="147">
        <v>952500</v>
      </c>
      <c r="S312" s="147">
        <f t="shared" si="115"/>
        <v>4191000.0000000005</v>
      </c>
      <c r="T312" s="147">
        <f t="shared" si="116"/>
        <v>3810000</v>
      </c>
      <c r="U312" s="73" t="str">
        <f t="shared" si="112"/>
        <v>O</v>
      </c>
      <c r="V312" s="73"/>
      <c r="W312" s="520">
        <f t="shared" si="110"/>
        <v>2590000</v>
      </c>
      <c r="X312" s="73"/>
      <c r="Y312" s="73"/>
    </row>
    <row r="313" spans="1:25" s="602" customFormat="1" ht="30" hidden="1" customHeight="1" x14ac:dyDescent="0.25">
      <c r="A313" s="612">
        <v>170913</v>
      </c>
      <c r="B313" s="672" t="s">
        <v>575</v>
      </c>
      <c r="C313" s="1009" t="s">
        <v>898</v>
      </c>
      <c r="D313" s="411">
        <v>3</v>
      </c>
      <c r="E313" s="198">
        <v>490000</v>
      </c>
      <c r="F313" s="198">
        <f t="shared" si="113"/>
        <v>1617000.0000000002</v>
      </c>
      <c r="G313" s="198">
        <f t="shared" si="114"/>
        <v>1470000</v>
      </c>
      <c r="H313" s="1008" t="s">
        <v>39</v>
      </c>
      <c r="I313" s="411"/>
      <c r="J313" s="64">
        <f>G313-T313</f>
        <v>345000</v>
      </c>
      <c r="K313" s="425">
        <f t="shared" si="117"/>
        <v>0.23469387755102036</v>
      </c>
      <c r="L313" s="612">
        <v>17.899999999999999</v>
      </c>
      <c r="M313" s="581"/>
      <c r="N313" s="672">
        <f t="shared" si="97"/>
        <v>170913</v>
      </c>
      <c r="O313" s="1009" t="s">
        <v>39</v>
      </c>
      <c r="P313" s="465" t="str">
        <f t="shared" si="106"/>
        <v>Technotrans Alpha.f 필터세트</v>
      </c>
      <c r="Q313" s="411">
        <f t="shared" si="98"/>
        <v>3</v>
      </c>
      <c r="R313" s="198">
        <v>375000</v>
      </c>
      <c r="S313" s="198">
        <f t="shared" si="115"/>
        <v>1237500</v>
      </c>
      <c r="T313" s="198">
        <f t="shared" si="116"/>
        <v>1125000</v>
      </c>
      <c r="U313" s="411" t="str">
        <f t="shared" si="112"/>
        <v>O</v>
      </c>
      <c r="V313" s="411"/>
      <c r="W313" s="481">
        <f t="shared" si="110"/>
        <v>345000</v>
      </c>
      <c r="X313" s="411"/>
      <c r="Y313" s="411"/>
    </row>
    <row r="314" spans="1:25" ht="30" hidden="1" customHeight="1" x14ac:dyDescent="0.25">
      <c r="A314" s="80">
        <v>170914</v>
      </c>
      <c r="B314" s="663" t="s">
        <v>545</v>
      </c>
      <c r="C314" s="73" t="s">
        <v>167</v>
      </c>
      <c r="D314" s="73">
        <v>10</v>
      </c>
      <c r="E314" s="147">
        <v>110000</v>
      </c>
      <c r="F314" s="147">
        <f t="shared" si="113"/>
        <v>1210000</v>
      </c>
      <c r="G314" s="147">
        <f t="shared" si="114"/>
        <v>1100000</v>
      </c>
      <c r="H314" s="689" t="s">
        <v>173</v>
      </c>
      <c r="I314" s="73" t="s">
        <v>109</v>
      </c>
      <c r="J314" s="60">
        <f>(G314-(VLOOKUP(C314,Price!B:D,3,FALSE)*D314))</f>
        <v>271000</v>
      </c>
      <c r="K314" s="427">
        <f t="shared" si="117"/>
        <v>0.24636363636363637</v>
      </c>
      <c r="L314" s="80">
        <v>17.899999999999999</v>
      </c>
      <c r="M314" s="584"/>
      <c r="N314" s="663">
        <f t="shared" si="97"/>
        <v>170914</v>
      </c>
      <c r="O314" s="73" t="s">
        <v>147</v>
      </c>
      <c r="P314" s="132" t="str">
        <f t="shared" si="106"/>
        <v>Blanket(1060*860)</v>
      </c>
      <c r="Q314" s="73">
        <f t="shared" si="98"/>
        <v>10</v>
      </c>
      <c r="R314" s="147">
        <v>82900</v>
      </c>
      <c r="S314" s="147">
        <f t="shared" si="115"/>
        <v>911900.00000000012</v>
      </c>
      <c r="T314" s="147">
        <f t="shared" si="116"/>
        <v>829000</v>
      </c>
      <c r="U314" s="73" t="str">
        <f t="shared" si="112"/>
        <v>O</v>
      </c>
      <c r="V314" s="73"/>
      <c r="W314" s="482">
        <f t="shared" si="110"/>
        <v>271000</v>
      </c>
      <c r="X314" s="73"/>
      <c r="Y314" s="73"/>
    </row>
    <row r="315" spans="1:25" ht="30" hidden="1" customHeight="1" x14ac:dyDescent="0.25">
      <c r="A315" s="82">
        <v>170914</v>
      </c>
      <c r="B315" s="664" t="s">
        <v>444</v>
      </c>
      <c r="C315" s="71" t="s">
        <v>131</v>
      </c>
      <c r="D315" s="71">
        <v>5</v>
      </c>
      <c r="E315" s="102">
        <v>135000</v>
      </c>
      <c r="F315" s="102">
        <f t="shared" si="113"/>
        <v>742500.00000000012</v>
      </c>
      <c r="G315" s="102">
        <f t="shared" si="114"/>
        <v>675000</v>
      </c>
      <c r="H315" s="690" t="s">
        <v>173</v>
      </c>
      <c r="I315" s="71" t="s">
        <v>108</v>
      </c>
      <c r="J315" s="53">
        <f>(G315-(VLOOKUP(C315,Price!B:D,3,FALSE)*D315))</f>
        <v>125000</v>
      </c>
      <c r="K315" s="63">
        <f t="shared" si="117"/>
        <v>0.18518518518518515</v>
      </c>
      <c r="L315" s="82">
        <v>17.899999999999999</v>
      </c>
      <c r="M315" s="468"/>
      <c r="N315" s="664">
        <f t="shared" si="97"/>
        <v>170914</v>
      </c>
      <c r="O315" s="71" t="s">
        <v>148</v>
      </c>
      <c r="P315" s="103" t="str">
        <f t="shared" si="106"/>
        <v>UV wash(20L)</v>
      </c>
      <c r="Q315" s="71">
        <f t="shared" si="98"/>
        <v>5</v>
      </c>
      <c r="R315" s="102">
        <v>110000</v>
      </c>
      <c r="S315" s="102">
        <f t="shared" si="115"/>
        <v>605000</v>
      </c>
      <c r="T315" s="102">
        <f t="shared" si="116"/>
        <v>550000</v>
      </c>
      <c r="U315" s="71" t="str">
        <f t="shared" si="112"/>
        <v>O</v>
      </c>
      <c r="V315" s="71"/>
      <c r="W315" s="482">
        <f t="shared" si="110"/>
        <v>125000</v>
      </c>
      <c r="X315" s="71"/>
      <c r="Y315" s="71"/>
    </row>
    <row r="316" spans="1:25" s="602" customFormat="1" ht="30" hidden="1" customHeight="1" x14ac:dyDescent="0.25">
      <c r="A316" s="85">
        <v>170914</v>
      </c>
      <c r="B316" s="668" t="s">
        <v>550</v>
      </c>
      <c r="C316" s="84" t="s">
        <v>236</v>
      </c>
      <c r="D316" s="84">
        <v>2</v>
      </c>
      <c r="E316" s="189">
        <v>65000</v>
      </c>
      <c r="F316" s="189">
        <f t="shared" si="113"/>
        <v>143000</v>
      </c>
      <c r="G316" s="189">
        <f t="shared" si="114"/>
        <v>130000</v>
      </c>
      <c r="H316" s="691" t="s">
        <v>173</v>
      </c>
      <c r="I316" s="84" t="s">
        <v>142</v>
      </c>
      <c r="J316" s="61">
        <f>(G316-(VLOOKUP(C316,Price!B:D,3,FALSE)*D316))</f>
        <v>30000</v>
      </c>
      <c r="K316" s="62">
        <f t="shared" si="117"/>
        <v>0.23076923076923078</v>
      </c>
      <c r="L316" s="85">
        <v>17.899999999999999</v>
      </c>
      <c r="M316" s="601"/>
      <c r="N316" s="668">
        <f t="shared" si="97"/>
        <v>170914</v>
      </c>
      <c r="O316" s="84" t="s">
        <v>153</v>
      </c>
      <c r="P316" s="133" t="str">
        <f t="shared" si="106"/>
        <v>아스테이지(국전)</v>
      </c>
      <c r="Q316" s="84">
        <f t="shared" si="98"/>
        <v>2</v>
      </c>
      <c r="R316" s="189">
        <v>50000</v>
      </c>
      <c r="S316" s="189">
        <f t="shared" si="115"/>
        <v>110000.00000000001</v>
      </c>
      <c r="T316" s="189">
        <f t="shared" si="116"/>
        <v>100000</v>
      </c>
      <c r="U316" s="84" t="str">
        <f t="shared" si="112"/>
        <v>O</v>
      </c>
      <c r="V316" s="84"/>
      <c r="W316" s="481">
        <f t="shared" si="110"/>
        <v>30000</v>
      </c>
      <c r="X316" s="84"/>
      <c r="Y316" s="84"/>
    </row>
    <row r="317" spans="1:25" ht="30" hidden="1" customHeight="1" x14ac:dyDescent="0.25">
      <c r="A317" s="80">
        <v>170915</v>
      </c>
      <c r="B317" s="663" t="s">
        <v>564</v>
      </c>
      <c r="C317" s="73" t="s">
        <v>807</v>
      </c>
      <c r="D317" s="73">
        <v>2</v>
      </c>
      <c r="E317" s="147">
        <v>460000</v>
      </c>
      <c r="F317" s="147">
        <f t="shared" si="113"/>
        <v>1012000.0000000001</v>
      </c>
      <c r="G317" s="147">
        <f t="shared" si="114"/>
        <v>920000</v>
      </c>
      <c r="H317" s="689" t="s">
        <v>173</v>
      </c>
      <c r="I317" s="73" t="s">
        <v>143</v>
      </c>
      <c r="J317" s="60">
        <f>G317-T317</f>
        <v>220000</v>
      </c>
      <c r="K317" s="427">
        <f t="shared" si="117"/>
        <v>0.23913043478260868</v>
      </c>
      <c r="L317" s="80">
        <v>17.899999999999999</v>
      </c>
      <c r="M317" s="584"/>
      <c r="N317" s="663">
        <f t="shared" si="97"/>
        <v>170915</v>
      </c>
      <c r="O317" s="73" t="s">
        <v>612</v>
      </c>
      <c r="P317" s="132" t="str">
        <f t="shared" si="106"/>
        <v>독일제 롤라(하이델 국전용)</v>
      </c>
      <c r="Q317" s="73">
        <f t="shared" si="98"/>
        <v>2</v>
      </c>
      <c r="R317" s="147">
        <v>350000</v>
      </c>
      <c r="S317" s="147">
        <f t="shared" si="115"/>
        <v>770000.00000000012</v>
      </c>
      <c r="T317" s="147">
        <f t="shared" si="116"/>
        <v>700000</v>
      </c>
      <c r="U317" s="73" t="str">
        <f t="shared" si="112"/>
        <v>O</v>
      </c>
      <c r="V317" s="73"/>
      <c r="W317" s="482">
        <f t="shared" si="110"/>
        <v>220000</v>
      </c>
      <c r="X317" s="73"/>
      <c r="Y317" s="73"/>
    </row>
    <row r="318" spans="1:25" ht="30" hidden="1" customHeight="1" x14ac:dyDescent="0.25">
      <c r="A318" s="80">
        <v>170915</v>
      </c>
      <c r="B318" s="663" t="s">
        <v>764</v>
      </c>
      <c r="C318" s="73" t="s">
        <v>236</v>
      </c>
      <c r="D318" s="73">
        <v>5</v>
      </c>
      <c r="E318" s="147">
        <v>100000</v>
      </c>
      <c r="F318" s="147">
        <f t="shared" si="113"/>
        <v>550000</v>
      </c>
      <c r="G318" s="147">
        <f t="shared" si="114"/>
        <v>500000</v>
      </c>
      <c r="H318" s="689" t="s">
        <v>173</v>
      </c>
      <c r="I318" s="73" t="s">
        <v>142</v>
      </c>
      <c r="J318" s="60">
        <f>(G318-(VLOOKUP(C318,Price!B:D,3,FALSE)*D318))</f>
        <v>250000</v>
      </c>
      <c r="K318" s="427">
        <f t="shared" si="117"/>
        <v>0.5</v>
      </c>
      <c r="L318" s="80">
        <v>17.899999999999999</v>
      </c>
      <c r="M318" s="584"/>
      <c r="N318" s="663">
        <f t="shared" si="97"/>
        <v>170915</v>
      </c>
      <c r="O318" s="73" t="s">
        <v>153</v>
      </c>
      <c r="P318" s="132" t="str">
        <f t="shared" si="106"/>
        <v>아스테이지(국전)</v>
      </c>
      <c r="Q318" s="73">
        <f t="shared" si="98"/>
        <v>5</v>
      </c>
      <c r="R318" s="147">
        <v>50000</v>
      </c>
      <c r="S318" s="147">
        <f t="shared" si="115"/>
        <v>275000</v>
      </c>
      <c r="T318" s="147">
        <f t="shared" si="116"/>
        <v>250000</v>
      </c>
      <c r="U318" s="73" t="str">
        <f t="shared" si="112"/>
        <v>O</v>
      </c>
      <c r="V318" s="73"/>
      <c r="W318" s="482">
        <f t="shared" si="110"/>
        <v>250000</v>
      </c>
      <c r="X318" s="73"/>
      <c r="Y318" s="73"/>
    </row>
    <row r="319" spans="1:25" ht="30" customHeight="1" x14ac:dyDescent="0.25">
      <c r="A319" s="82">
        <v>170915</v>
      </c>
      <c r="B319" s="664" t="s">
        <v>422</v>
      </c>
      <c r="C319" s="73" t="s">
        <v>129</v>
      </c>
      <c r="D319" s="71">
        <v>3</v>
      </c>
      <c r="E319" s="102">
        <v>272000</v>
      </c>
      <c r="F319" s="102">
        <f t="shared" si="113"/>
        <v>897600.00000000012</v>
      </c>
      <c r="G319" s="102">
        <f t="shared" si="114"/>
        <v>816000</v>
      </c>
      <c r="H319" s="690" t="s">
        <v>173</v>
      </c>
      <c r="I319" s="71" t="s">
        <v>108</v>
      </c>
      <c r="J319" s="53">
        <f>(G319-(VLOOKUP(C319,Price!B:D,3,FALSE)*D319))</f>
        <v>192000</v>
      </c>
      <c r="K319" s="63">
        <f t="shared" si="117"/>
        <v>0.23529411764705879</v>
      </c>
      <c r="L319" s="82">
        <v>17.899999999999999</v>
      </c>
      <c r="M319" s="468"/>
      <c r="N319" s="664">
        <f t="shared" si="97"/>
        <v>170915</v>
      </c>
      <c r="O319" s="71" t="s">
        <v>149</v>
      </c>
      <c r="P319" s="103" t="str">
        <f t="shared" si="106"/>
        <v>세정포-XL106</v>
      </c>
      <c r="Q319" s="71">
        <f t="shared" si="98"/>
        <v>3</v>
      </c>
      <c r="R319" s="102">
        <v>208000</v>
      </c>
      <c r="S319" s="102">
        <f t="shared" si="115"/>
        <v>686400</v>
      </c>
      <c r="T319" s="102">
        <f t="shared" si="116"/>
        <v>624000</v>
      </c>
      <c r="U319" s="71" t="str">
        <f t="shared" si="112"/>
        <v>O</v>
      </c>
      <c r="V319" s="71"/>
      <c r="W319" s="482">
        <f t="shared" ref="W319:W345" si="118">(G319-T319)</f>
        <v>192000</v>
      </c>
      <c r="X319" s="71"/>
      <c r="Y319" s="71"/>
    </row>
    <row r="320" spans="1:25" ht="30" customHeight="1" x14ac:dyDescent="0.25">
      <c r="A320" s="82">
        <v>170915</v>
      </c>
      <c r="B320" s="664" t="s">
        <v>422</v>
      </c>
      <c r="C320" s="71" t="s">
        <v>130</v>
      </c>
      <c r="D320" s="71">
        <v>10</v>
      </c>
      <c r="E320" s="102">
        <v>125000</v>
      </c>
      <c r="F320" s="102">
        <f t="shared" si="113"/>
        <v>1375000</v>
      </c>
      <c r="G320" s="102">
        <f t="shared" si="114"/>
        <v>1250000</v>
      </c>
      <c r="H320" s="690" t="s">
        <v>173</v>
      </c>
      <c r="I320" s="71" t="s">
        <v>109</v>
      </c>
      <c r="J320" s="53">
        <f>(G320-(VLOOKUP(C320,Price!B:D,3,FALSE)*D320))</f>
        <v>260000</v>
      </c>
      <c r="K320" s="63">
        <f t="shared" si="117"/>
        <v>0.20799999999999999</v>
      </c>
      <c r="L320" s="82">
        <v>17.899999999999999</v>
      </c>
      <c r="M320" s="468"/>
      <c r="N320" s="664">
        <f t="shared" si="97"/>
        <v>170915</v>
      </c>
      <c r="O320" s="71" t="s">
        <v>150</v>
      </c>
      <c r="P320" s="103" t="str">
        <f t="shared" si="106"/>
        <v>XL106 Blanket(1077*885)</v>
      </c>
      <c r="Q320" s="71">
        <f t="shared" si="98"/>
        <v>10</v>
      </c>
      <c r="R320" s="102">
        <v>99000</v>
      </c>
      <c r="S320" s="102">
        <f t="shared" si="115"/>
        <v>1089000</v>
      </c>
      <c r="T320" s="102">
        <f t="shared" si="116"/>
        <v>990000</v>
      </c>
      <c r="U320" s="71" t="str">
        <f t="shared" si="112"/>
        <v>O</v>
      </c>
      <c r="V320" s="71"/>
      <c r="W320" s="482">
        <f t="shared" si="118"/>
        <v>260000</v>
      </c>
      <c r="X320" s="71"/>
      <c r="Y320" s="71"/>
    </row>
    <row r="321" spans="1:25" ht="30" customHeight="1" x14ac:dyDescent="0.25">
      <c r="A321" s="82">
        <v>170915</v>
      </c>
      <c r="B321" s="664" t="s">
        <v>422</v>
      </c>
      <c r="C321" s="71" t="s">
        <v>808</v>
      </c>
      <c r="D321" s="71">
        <v>1</v>
      </c>
      <c r="E321" s="102">
        <v>1250000</v>
      </c>
      <c r="F321" s="102">
        <f t="shared" si="113"/>
        <v>1375000</v>
      </c>
      <c r="G321" s="102">
        <f t="shared" si="114"/>
        <v>1250000</v>
      </c>
      <c r="H321" s="690" t="s">
        <v>173</v>
      </c>
      <c r="I321" s="71" t="s">
        <v>142</v>
      </c>
      <c r="J321" s="53">
        <f>(G321-(VLOOKUP(C321,Price!B:D,3,FALSE)*D321))</f>
        <v>250000</v>
      </c>
      <c r="K321" s="63">
        <f t="shared" si="117"/>
        <v>0.2</v>
      </c>
      <c r="L321" s="82">
        <v>17.899999999999999</v>
      </c>
      <c r="M321" s="468"/>
      <c r="N321" s="664">
        <f t="shared" si="97"/>
        <v>170915</v>
      </c>
      <c r="O321" s="71" t="s">
        <v>150</v>
      </c>
      <c r="P321" s="103" t="str">
        <f t="shared" si="106"/>
        <v>매엽 원형 집진필터</v>
      </c>
      <c r="Q321" s="71">
        <f t="shared" si="98"/>
        <v>1</v>
      </c>
      <c r="R321" s="102">
        <v>1000000</v>
      </c>
      <c r="S321" s="102">
        <f t="shared" si="115"/>
        <v>1100000</v>
      </c>
      <c r="T321" s="102">
        <f t="shared" si="116"/>
        <v>1000000</v>
      </c>
      <c r="U321" s="71" t="str">
        <f t="shared" si="112"/>
        <v>O</v>
      </c>
      <c r="V321" s="71"/>
      <c r="W321" s="482">
        <f t="shared" si="118"/>
        <v>250000</v>
      </c>
      <c r="X321" s="71"/>
      <c r="Y321" s="71"/>
    </row>
    <row r="322" spans="1:25" s="602" customFormat="1" ht="30" customHeight="1" x14ac:dyDescent="0.25">
      <c r="A322" s="85">
        <v>170915</v>
      </c>
      <c r="B322" s="668" t="s">
        <v>422</v>
      </c>
      <c r="C322" s="84" t="s">
        <v>584</v>
      </c>
      <c r="D322" s="84">
        <v>2</v>
      </c>
      <c r="E322" s="189">
        <v>272000</v>
      </c>
      <c r="F322" s="189">
        <f t="shared" si="113"/>
        <v>598400</v>
      </c>
      <c r="G322" s="189">
        <f t="shared" si="114"/>
        <v>544000</v>
      </c>
      <c r="H322" s="691" t="s">
        <v>173</v>
      </c>
      <c r="I322" s="84" t="s">
        <v>142</v>
      </c>
      <c r="J322" s="61">
        <f>(G322-(VLOOKUP(C322,Price!B:D,3,FALSE)*D322))</f>
        <v>112000</v>
      </c>
      <c r="K322" s="62">
        <f t="shared" si="117"/>
        <v>0.20588235294117646</v>
      </c>
      <c r="L322" s="85">
        <v>17.899999999999999</v>
      </c>
      <c r="M322" s="601"/>
      <c r="N322" s="668">
        <f t="shared" si="97"/>
        <v>170915</v>
      </c>
      <c r="O322" s="84" t="s">
        <v>150</v>
      </c>
      <c r="P322" s="133" t="str">
        <f t="shared" si="106"/>
        <v>데리바리 석션벨트</v>
      </c>
      <c r="Q322" s="84">
        <f t="shared" si="98"/>
        <v>2</v>
      </c>
      <c r="R322" s="189">
        <v>216000</v>
      </c>
      <c r="S322" s="189">
        <f t="shared" si="115"/>
        <v>475200.00000000006</v>
      </c>
      <c r="T322" s="189">
        <f t="shared" si="116"/>
        <v>432000</v>
      </c>
      <c r="U322" s="84" t="str">
        <f t="shared" si="112"/>
        <v>O</v>
      </c>
      <c r="V322" s="84"/>
      <c r="W322" s="481">
        <f t="shared" si="118"/>
        <v>112000</v>
      </c>
      <c r="X322" s="84"/>
      <c r="Y322" s="84"/>
    </row>
    <row r="323" spans="1:25" ht="30" hidden="1" customHeight="1" x14ac:dyDescent="0.25">
      <c r="A323" s="80">
        <v>170918</v>
      </c>
      <c r="B323" s="663" t="s">
        <v>549</v>
      </c>
      <c r="C323" s="73" t="s">
        <v>117</v>
      </c>
      <c r="D323" s="73">
        <v>15</v>
      </c>
      <c r="E323" s="147">
        <v>110000</v>
      </c>
      <c r="F323" s="147">
        <f t="shared" si="113"/>
        <v>1815000.0000000002</v>
      </c>
      <c r="G323" s="147">
        <f t="shared" si="114"/>
        <v>1650000</v>
      </c>
      <c r="H323" s="689" t="s">
        <v>173</v>
      </c>
      <c r="I323" s="73" t="s">
        <v>109</v>
      </c>
      <c r="J323" s="60">
        <f>(G323-(VLOOKUP(C323,Price!B:D,3,FALSE)*D323))</f>
        <v>300000</v>
      </c>
      <c r="K323" s="427">
        <f t="shared" si="117"/>
        <v>0.1818181818181818</v>
      </c>
      <c r="L323" s="80">
        <v>17.899999999999999</v>
      </c>
      <c r="M323" s="584"/>
      <c r="N323" s="663">
        <f t="shared" si="97"/>
        <v>170918</v>
      </c>
      <c r="O323" s="73" t="s">
        <v>150</v>
      </c>
      <c r="P323" s="132" t="str">
        <f t="shared" si="106"/>
        <v>로랜드 Blanket(1050*910)</v>
      </c>
      <c r="Q323" s="73">
        <f t="shared" si="98"/>
        <v>15</v>
      </c>
      <c r="R323" s="147">
        <v>90000</v>
      </c>
      <c r="S323" s="147">
        <f t="shared" si="115"/>
        <v>1485000.0000000002</v>
      </c>
      <c r="T323" s="147">
        <f t="shared" si="116"/>
        <v>1350000</v>
      </c>
      <c r="U323" s="73" t="str">
        <f t="shared" si="112"/>
        <v>O</v>
      </c>
      <c r="V323" s="73"/>
      <c r="W323" s="482">
        <f t="shared" si="118"/>
        <v>300000</v>
      </c>
      <c r="X323" s="73"/>
      <c r="Y323" s="73"/>
    </row>
    <row r="324" spans="1:25" s="602" customFormat="1" ht="30" hidden="1" customHeight="1" x14ac:dyDescent="0.25">
      <c r="A324" s="85">
        <v>170918</v>
      </c>
      <c r="B324" s="668" t="s">
        <v>549</v>
      </c>
      <c r="C324" s="84" t="s">
        <v>119</v>
      </c>
      <c r="D324" s="84">
        <v>15</v>
      </c>
      <c r="E324" s="189">
        <v>115000</v>
      </c>
      <c r="F324" s="189">
        <f t="shared" si="113"/>
        <v>1897500.0000000002</v>
      </c>
      <c r="G324" s="189">
        <f t="shared" si="114"/>
        <v>1725000</v>
      </c>
      <c r="H324" s="691" t="s">
        <v>173</v>
      </c>
      <c r="I324" s="84" t="s">
        <v>109</v>
      </c>
      <c r="J324" s="61">
        <f>(G324-(VLOOKUP(C324,Price!B:D,3,FALSE)*D324))</f>
        <v>394500</v>
      </c>
      <c r="K324" s="62">
        <f t="shared" si="117"/>
        <v>0.22869565217391302</v>
      </c>
      <c r="L324" s="85">
        <v>17.899999999999999</v>
      </c>
      <c r="M324" s="601"/>
      <c r="N324" s="668">
        <f t="shared" si="97"/>
        <v>170918</v>
      </c>
      <c r="O324" s="84" t="s">
        <v>150</v>
      </c>
      <c r="P324" s="133" t="str">
        <f t="shared" si="106"/>
        <v>미쯔비시 Blanket(1035*910)</v>
      </c>
      <c r="Q324" s="84">
        <f t="shared" si="98"/>
        <v>15</v>
      </c>
      <c r="R324" s="189">
        <v>88700</v>
      </c>
      <c r="S324" s="189">
        <f t="shared" si="115"/>
        <v>1463550.0000000002</v>
      </c>
      <c r="T324" s="189">
        <f t="shared" si="116"/>
        <v>1330500</v>
      </c>
      <c r="U324" s="84" t="str">
        <f t="shared" si="112"/>
        <v>O</v>
      </c>
      <c r="V324" s="84"/>
      <c r="W324" s="481">
        <f t="shared" si="118"/>
        <v>394500</v>
      </c>
      <c r="X324" s="84"/>
      <c r="Y324" s="84"/>
    </row>
    <row r="325" spans="1:25" ht="30" customHeight="1" x14ac:dyDescent="0.25">
      <c r="A325" s="80">
        <v>170919</v>
      </c>
      <c r="B325" s="663" t="s">
        <v>422</v>
      </c>
      <c r="C325" s="73" t="s">
        <v>218</v>
      </c>
      <c r="D325" s="73">
        <v>5</v>
      </c>
      <c r="E325" s="147">
        <v>235000</v>
      </c>
      <c r="F325" s="147">
        <f t="shared" si="113"/>
        <v>1292500</v>
      </c>
      <c r="G325" s="147">
        <f t="shared" si="114"/>
        <v>1175000</v>
      </c>
      <c r="H325" s="689" t="s">
        <v>173</v>
      </c>
      <c r="I325" s="73" t="s">
        <v>120</v>
      </c>
      <c r="J325" s="60">
        <f>(G325-(VLOOKUP(C325,Price!B:D,3,FALSE)*D325))</f>
        <v>612500</v>
      </c>
      <c r="K325" s="427">
        <f t="shared" si="117"/>
        <v>0.52127659574468088</v>
      </c>
      <c r="L325" s="80">
        <v>17.899999999999999</v>
      </c>
      <c r="M325" s="584"/>
      <c r="N325" s="663">
        <f t="shared" si="97"/>
        <v>170919</v>
      </c>
      <c r="O325" s="73" t="s">
        <v>150</v>
      </c>
      <c r="P325" s="132" t="str">
        <f t="shared" si="106"/>
        <v>Fount Web 551AF</v>
      </c>
      <c r="Q325" s="73">
        <f t="shared" si="98"/>
        <v>5</v>
      </c>
      <c r="R325" s="147">
        <v>112500</v>
      </c>
      <c r="S325" s="147">
        <f t="shared" si="115"/>
        <v>618750</v>
      </c>
      <c r="T325" s="147">
        <f t="shared" si="116"/>
        <v>562500</v>
      </c>
      <c r="U325" s="73" t="str">
        <f t="shared" si="112"/>
        <v>O</v>
      </c>
      <c r="V325" s="73"/>
      <c r="W325" s="482">
        <f t="shared" si="118"/>
        <v>612500</v>
      </c>
      <c r="X325" s="73"/>
      <c r="Y325" s="73"/>
    </row>
    <row r="326" spans="1:25" s="616" customFormat="1" ht="30" customHeight="1" x14ac:dyDescent="0.25">
      <c r="A326" s="82">
        <v>170919</v>
      </c>
      <c r="B326" s="664" t="s">
        <v>422</v>
      </c>
      <c r="C326" s="71" t="s">
        <v>692</v>
      </c>
      <c r="D326" s="71">
        <v>10</v>
      </c>
      <c r="E326" s="102">
        <v>218000</v>
      </c>
      <c r="F326" s="102">
        <f t="shared" si="113"/>
        <v>2398000</v>
      </c>
      <c r="G326" s="102">
        <f t="shared" si="114"/>
        <v>2180000</v>
      </c>
      <c r="H326" s="690" t="s">
        <v>173</v>
      </c>
      <c r="I326" s="71" t="s">
        <v>109</v>
      </c>
      <c r="J326" s="53">
        <f>(G326-(VLOOKUP(C326,Price!B:D,3,FALSE)*D326))</f>
        <v>580000</v>
      </c>
      <c r="K326" s="63">
        <f t="shared" si="117"/>
        <v>0.26605504587155965</v>
      </c>
      <c r="L326" s="82">
        <v>17.899999999999999</v>
      </c>
      <c r="M326" s="468"/>
      <c r="N326" s="664">
        <f t="shared" si="97"/>
        <v>170919</v>
      </c>
      <c r="O326" s="71" t="s">
        <v>150</v>
      </c>
      <c r="P326" s="103" t="str">
        <f t="shared" si="106"/>
        <v>윤전 블랑켓</v>
      </c>
      <c r="Q326" s="71">
        <f t="shared" si="98"/>
        <v>10</v>
      </c>
      <c r="R326" s="102">
        <v>160000</v>
      </c>
      <c r="S326" s="102">
        <f t="shared" si="115"/>
        <v>1760000.0000000002</v>
      </c>
      <c r="T326" s="102">
        <f t="shared" si="116"/>
        <v>1600000</v>
      </c>
      <c r="U326" s="71" t="str">
        <f t="shared" si="112"/>
        <v>O</v>
      </c>
      <c r="V326" s="71"/>
      <c r="W326" s="520">
        <f t="shared" si="118"/>
        <v>580000</v>
      </c>
      <c r="X326" s="71"/>
      <c r="Y326" s="71"/>
    </row>
    <row r="327" spans="1:25" ht="30" hidden="1" customHeight="1" x14ac:dyDescent="0.25">
      <c r="A327" s="82">
        <v>170919</v>
      </c>
      <c r="B327" s="663" t="s">
        <v>590</v>
      </c>
      <c r="C327" s="73" t="s">
        <v>585</v>
      </c>
      <c r="D327" s="73">
        <v>60</v>
      </c>
      <c r="E327" s="147">
        <v>7500</v>
      </c>
      <c r="F327" s="102">
        <f t="shared" si="113"/>
        <v>495000.00000000006</v>
      </c>
      <c r="G327" s="102">
        <f t="shared" si="114"/>
        <v>450000</v>
      </c>
      <c r="H327" s="689" t="s">
        <v>173</v>
      </c>
      <c r="I327" s="73" t="s">
        <v>144</v>
      </c>
      <c r="J327" s="60">
        <f>(G327-(VLOOKUP(C327,Price!B:D,3,FALSE)*D327))</f>
        <v>43800</v>
      </c>
      <c r="K327" s="427">
        <f t="shared" si="117"/>
        <v>9.7333333333333327E-2</v>
      </c>
      <c r="L327" s="80">
        <v>17.899999999999999</v>
      </c>
      <c r="M327" s="584"/>
      <c r="N327" s="663">
        <f t="shared" ref="N327:N390" si="119">A327</f>
        <v>170919</v>
      </c>
      <c r="O327" s="73" t="s">
        <v>147</v>
      </c>
      <c r="P327" s="132" t="str">
        <f t="shared" si="106"/>
        <v>프리미어(적)</v>
      </c>
      <c r="Q327" s="73">
        <f t="shared" ref="Q327:Q390" si="120">D327</f>
        <v>60</v>
      </c>
      <c r="R327" s="147">
        <v>6770</v>
      </c>
      <c r="S327" s="147">
        <f t="shared" si="115"/>
        <v>446820.00000000006</v>
      </c>
      <c r="T327" s="147">
        <f t="shared" si="116"/>
        <v>406200</v>
      </c>
      <c r="U327" s="73" t="str">
        <f t="shared" si="112"/>
        <v>O</v>
      </c>
      <c r="V327" s="73"/>
      <c r="W327" s="482">
        <f t="shared" si="118"/>
        <v>43800</v>
      </c>
      <c r="X327" s="73"/>
      <c r="Y327" s="73"/>
    </row>
    <row r="328" spans="1:25" ht="30" hidden="1" customHeight="1" x14ac:dyDescent="0.25">
      <c r="A328" s="82">
        <v>170919</v>
      </c>
      <c r="B328" s="663" t="s">
        <v>590</v>
      </c>
      <c r="C328" s="71" t="s">
        <v>586</v>
      </c>
      <c r="D328" s="71">
        <v>84</v>
      </c>
      <c r="E328" s="102">
        <v>6750</v>
      </c>
      <c r="F328" s="102">
        <f t="shared" si="113"/>
        <v>623700</v>
      </c>
      <c r="G328" s="102">
        <f t="shared" si="114"/>
        <v>567000</v>
      </c>
      <c r="H328" s="690" t="s">
        <v>173</v>
      </c>
      <c r="I328" s="71" t="s">
        <v>144</v>
      </c>
      <c r="J328" s="53">
        <f>(G328-(VLOOKUP(C328,Price!B:D,3,FALSE)*D328))</f>
        <v>47880</v>
      </c>
      <c r="K328" s="63">
        <f t="shared" si="117"/>
        <v>8.4444444444444447E-2</v>
      </c>
      <c r="L328" s="82">
        <v>17.899999999999999</v>
      </c>
      <c r="M328" s="468"/>
      <c r="N328" s="664">
        <f t="shared" si="119"/>
        <v>170919</v>
      </c>
      <c r="O328" s="71" t="s">
        <v>147</v>
      </c>
      <c r="P328" s="103" t="str">
        <f t="shared" si="106"/>
        <v>프리미어(황)</v>
      </c>
      <c r="Q328" s="71">
        <f t="shared" si="120"/>
        <v>84</v>
      </c>
      <c r="R328" s="102">
        <v>6180</v>
      </c>
      <c r="S328" s="102">
        <f t="shared" si="115"/>
        <v>571032</v>
      </c>
      <c r="T328" s="102">
        <f t="shared" si="116"/>
        <v>519120</v>
      </c>
      <c r="U328" s="71" t="str">
        <f t="shared" si="112"/>
        <v>O</v>
      </c>
      <c r="V328" s="71"/>
      <c r="W328" s="482">
        <f t="shared" si="118"/>
        <v>47880</v>
      </c>
      <c r="X328" s="71"/>
      <c r="Y328" s="71"/>
    </row>
    <row r="329" spans="1:25" ht="30" hidden="1" customHeight="1" x14ac:dyDescent="0.25">
      <c r="A329" s="82">
        <v>170919</v>
      </c>
      <c r="B329" s="663" t="s">
        <v>590</v>
      </c>
      <c r="C329" s="71" t="s">
        <v>587</v>
      </c>
      <c r="D329" s="71">
        <v>60</v>
      </c>
      <c r="E329" s="102">
        <v>8000</v>
      </c>
      <c r="F329" s="102">
        <f t="shared" si="113"/>
        <v>528000</v>
      </c>
      <c r="G329" s="102">
        <f t="shared" si="114"/>
        <v>480000</v>
      </c>
      <c r="H329" s="690" t="s">
        <v>173</v>
      </c>
      <c r="I329" s="71" t="s">
        <v>144</v>
      </c>
      <c r="J329" s="53">
        <f>(G329-(VLOOKUP(C329,Price!B:D,3,FALSE)*D329))</f>
        <v>65400</v>
      </c>
      <c r="K329" s="63">
        <f t="shared" si="117"/>
        <v>0.13625000000000001</v>
      </c>
      <c r="L329" s="82">
        <v>17.899999999999999</v>
      </c>
      <c r="M329" s="468"/>
      <c r="N329" s="664">
        <f t="shared" si="119"/>
        <v>170919</v>
      </c>
      <c r="O329" s="71" t="s">
        <v>147</v>
      </c>
      <c r="P329" s="103" t="str">
        <f t="shared" si="106"/>
        <v>프리미어(청)</v>
      </c>
      <c r="Q329" s="71">
        <f t="shared" si="120"/>
        <v>60</v>
      </c>
      <c r="R329" s="102">
        <v>6910</v>
      </c>
      <c r="S329" s="102">
        <f t="shared" si="115"/>
        <v>456060.00000000006</v>
      </c>
      <c r="T329" s="102">
        <f t="shared" si="116"/>
        <v>414600</v>
      </c>
      <c r="U329" s="71" t="str">
        <f t="shared" si="112"/>
        <v>O</v>
      </c>
      <c r="V329" s="71"/>
      <c r="W329" s="482">
        <f t="shared" si="118"/>
        <v>65400</v>
      </c>
      <c r="X329" s="71"/>
      <c r="Y329" s="71"/>
    </row>
    <row r="330" spans="1:25" s="602" customFormat="1" ht="30" hidden="1" customHeight="1" x14ac:dyDescent="0.25">
      <c r="A330" s="85">
        <v>170919</v>
      </c>
      <c r="B330" s="672" t="s">
        <v>590</v>
      </c>
      <c r="C330" s="84" t="s">
        <v>616</v>
      </c>
      <c r="D330" s="84">
        <v>36</v>
      </c>
      <c r="E330" s="189">
        <v>6600</v>
      </c>
      <c r="F330" s="189">
        <f t="shared" si="113"/>
        <v>261360.00000000003</v>
      </c>
      <c r="G330" s="189">
        <f t="shared" si="114"/>
        <v>237600</v>
      </c>
      <c r="H330" s="691" t="s">
        <v>173</v>
      </c>
      <c r="I330" s="84" t="s">
        <v>144</v>
      </c>
      <c r="J330" s="61">
        <f>(G330-(VLOOKUP(C330,Price!B:D,3,FALSE)*D330))</f>
        <v>25200</v>
      </c>
      <c r="K330" s="62">
        <f t="shared" si="117"/>
        <v>0.10606060606060605</v>
      </c>
      <c r="L330" s="85">
        <v>17.899999999999999</v>
      </c>
      <c r="M330" s="601"/>
      <c r="N330" s="668">
        <f t="shared" si="119"/>
        <v>170919</v>
      </c>
      <c r="O330" s="84" t="s">
        <v>147</v>
      </c>
      <c r="P330" s="133" t="str">
        <f t="shared" si="106"/>
        <v>프리미어(먹)</v>
      </c>
      <c r="Q330" s="84">
        <f t="shared" si="120"/>
        <v>36</v>
      </c>
      <c r="R330" s="189">
        <v>5900</v>
      </c>
      <c r="S330" s="189">
        <f t="shared" si="115"/>
        <v>233640.00000000003</v>
      </c>
      <c r="T330" s="189">
        <f t="shared" si="116"/>
        <v>212400</v>
      </c>
      <c r="U330" s="84" t="str">
        <f t="shared" si="112"/>
        <v>O</v>
      </c>
      <c r="V330" s="84"/>
      <c r="W330" s="481">
        <f t="shared" si="118"/>
        <v>25200</v>
      </c>
      <c r="X330" s="84"/>
      <c r="Y330" s="84"/>
    </row>
    <row r="331" spans="1:25" ht="30" hidden="1" customHeight="1" x14ac:dyDescent="0.25">
      <c r="A331" s="80">
        <v>170920</v>
      </c>
      <c r="B331" s="663" t="s">
        <v>809</v>
      </c>
      <c r="C331" s="73" t="s">
        <v>107</v>
      </c>
      <c r="D331" s="73">
        <v>20</v>
      </c>
      <c r="E331" s="147">
        <v>100000</v>
      </c>
      <c r="F331" s="147">
        <f t="shared" si="113"/>
        <v>2200000</v>
      </c>
      <c r="G331" s="147">
        <f t="shared" si="114"/>
        <v>2000000</v>
      </c>
      <c r="H331" s="689" t="s">
        <v>173</v>
      </c>
      <c r="I331" s="73" t="s">
        <v>109</v>
      </c>
      <c r="J331" s="60">
        <f>(G331-(VLOOKUP(C331,Price!B:D,3,FALSE)*D331))</f>
        <v>390000</v>
      </c>
      <c r="K331" s="427">
        <f t="shared" si="117"/>
        <v>0.19500000000000001</v>
      </c>
      <c r="L331" s="80">
        <v>17.899999999999999</v>
      </c>
      <c r="M331" s="584"/>
      <c r="N331" s="663">
        <f t="shared" si="119"/>
        <v>170920</v>
      </c>
      <c r="O331" s="73" t="s">
        <v>147</v>
      </c>
      <c r="P331" s="132" t="str">
        <f t="shared" si="106"/>
        <v>Blanket(1050*840)</v>
      </c>
      <c r="Q331" s="73">
        <f t="shared" si="120"/>
        <v>20</v>
      </c>
      <c r="R331" s="147">
        <v>80500</v>
      </c>
      <c r="S331" s="147">
        <f t="shared" si="115"/>
        <v>1771000.0000000002</v>
      </c>
      <c r="T331" s="147">
        <f t="shared" si="116"/>
        <v>1610000</v>
      </c>
      <c r="U331" s="73" t="str">
        <f t="shared" si="112"/>
        <v>O</v>
      </c>
      <c r="V331" s="73"/>
      <c r="W331" s="482">
        <f t="shared" si="118"/>
        <v>390000</v>
      </c>
      <c r="X331" s="73"/>
      <c r="Y331" s="73"/>
    </row>
    <row r="332" spans="1:25" ht="30" hidden="1" customHeight="1" x14ac:dyDescent="0.25">
      <c r="A332" s="80">
        <v>170920</v>
      </c>
      <c r="B332" s="663" t="s">
        <v>764</v>
      </c>
      <c r="C332" s="987" t="s">
        <v>899</v>
      </c>
      <c r="D332" s="73">
        <v>1</v>
      </c>
      <c r="E332" s="147">
        <v>349000</v>
      </c>
      <c r="F332" s="147">
        <f t="shared" si="113"/>
        <v>383900.00000000006</v>
      </c>
      <c r="G332" s="147">
        <f t="shared" si="114"/>
        <v>349000</v>
      </c>
      <c r="H332" s="1005" t="s">
        <v>39</v>
      </c>
      <c r="I332" s="73"/>
      <c r="J332" s="60">
        <f>G332-T332</f>
        <v>142366</v>
      </c>
      <c r="K332" s="427">
        <f t="shared" si="117"/>
        <v>0.40792550143266471</v>
      </c>
      <c r="L332" s="80">
        <v>17.899999999999999</v>
      </c>
      <c r="M332" s="584"/>
      <c r="N332" s="663">
        <f t="shared" si="119"/>
        <v>170920</v>
      </c>
      <c r="O332" s="987" t="s">
        <v>39</v>
      </c>
      <c r="P332" s="132" t="str">
        <f t="shared" si="106"/>
        <v>Technotrans Flot 외</v>
      </c>
      <c r="Q332" s="73">
        <f t="shared" si="120"/>
        <v>1</v>
      </c>
      <c r="R332" s="147">
        <v>206634</v>
      </c>
      <c r="S332" s="147">
        <f t="shared" si="115"/>
        <v>227297.40000000002</v>
      </c>
      <c r="T332" s="147">
        <f t="shared" si="116"/>
        <v>206634</v>
      </c>
      <c r="U332" s="73" t="str">
        <f t="shared" si="112"/>
        <v>O</v>
      </c>
      <c r="V332" s="73"/>
      <c r="W332" s="482">
        <f t="shared" si="118"/>
        <v>142366</v>
      </c>
      <c r="X332" s="73"/>
      <c r="Y332" s="73"/>
    </row>
    <row r="333" spans="1:25" ht="30" hidden="1" customHeight="1" x14ac:dyDescent="0.25">
      <c r="A333" s="80">
        <v>170920</v>
      </c>
      <c r="B333" s="663" t="s">
        <v>764</v>
      </c>
      <c r="C333" s="73" t="s">
        <v>123</v>
      </c>
      <c r="D333" s="73">
        <v>20</v>
      </c>
      <c r="E333" s="147">
        <v>35000</v>
      </c>
      <c r="F333" s="147">
        <f t="shared" si="113"/>
        <v>770000.00000000012</v>
      </c>
      <c r="G333" s="147">
        <f t="shared" si="114"/>
        <v>700000</v>
      </c>
      <c r="H333" s="1005" t="s">
        <v>39</v>
      </c>
      <c r="I333" s="73"/>
      <c r="J333" s="60">
        <f>(G333-(VLOOKUP(C333,Price!B:D,3,FALSE)*D333))</f>
        <v>250780</v>
      </c>
      <c r="K333" s="427">
        <f t="shared" si="117"/>
        <v>0.35825714285714277</v>
      </c>
      <c r="L333" s="80">
        <v>17.899999999999999</v>
      </c>
      <c r="M333" s="584"/>
      <c r="N333" s="663">
        <f t="shared" si="119"/>
        <v>170920</v>
      </c>
      <c r="O333" s="987" t="s">
        <v>39</v>
      </c>
      <c r="P333" s="132" t="str">
        <f t="shared" si="106"/>
        <v>필터백</v>
      </c>
      <c r="Q333" s="73">
        <f t="shared" si="120"/>
        <v>20</v>
      </c>
      <c r="R333" s="147">
        <v>19800</v>
      </c>
      <c r="S333" s="147">
        <f t="shared" ref="S333:S339" si="121">R333*Q333*1.1</f>
        <v>435600.00000000006</v>
      </c>
      <c r="T333" s="147">
        <f t="shared" ref="T333:T339" si="122">R333*Q333</f>
        <v>396000</v>
      </c>
      <c r="U333" s="73" t="str">
        <f t="shared" si="112"/>
        <v>X</v>
      </c>
      <c r="V333" s="73"/>
      <c r="W333" s="482">
        <f t="shared" si="118"/>
        <v>304000</v>
      </c>
      <c r="X333" s="73"/>
      <c r="Y333" s="73"/>
    </row>
    <row r="334" spans="1:25" ht="30" hidden="1" customHeight="1" x14ac:dyDescent="0.25">
      <c r="A334" s="80">
        <v>170920</v>
      </c>
      <c r="B334" s="663" t="s">
        <v>640</v>
      </c>
      <c r="C334" s="73" t="s">
        <v>138</v>
      </c>
      <c r="D334" s="73">
        <v>10</v>
      </c>
      <c r="E334" s="147">
        <v>59500</v>
      </c>
      <c r="F334" s="147">
        <f t="shared" si="113"/>
        <v>654500</v>
      </c>
      <c r="G334" s="147">
        <f t="shared" si="114"/>
        <v>595000</v>
      </c>
      <c r="H334" s="689" t="s">
        <v>173</v>
      </c>
      <c r="I334" s="73" t="s">
        <v>108</v>
      </c>
      <c r="J334" s="60">
        <f>(G334-(VLOOKUP(C334,Price!B:D,3,FALSE)*D334))</f>
        <v>85000</v>
      </c>
      <c r="K334" s="427">
        <f t="shared" si="117"/>
        <v>0.14285714285714285</v>
      </c>
      <c r="L334" s="80">
        <v>17.899999999999999</v>
      </c>
      <c r="M334" s="584"/>
      <c r="N334" s="663">
        <f t="shared" si="119"/>
        <v>170920</v>
      </c>
      <c r="O334" s="73" t="s">
        <v>150</v>
      </c>
      <c r="P334" s="132" t="str">
        <f t="shared" si="106"/>
        <v>매엽용 세척제(Wash 562)</v>
      </c>
      <c r="Q334" s="73">
        <f t="shared" si="120"/>
        <v>10</v>
      </c>
      <c r="R334" s="147">
        <v>51000</v>
      </c>
      <c r="S334" s="147">
        <f t="shared" si="121"/>
        <v>561000</v>
      </c>
      <c r="T334" s="147">
        <f t="shared" si="122"/>
        <v>510000</v>
      </c>
      <c r="U334" s="73" t="str">
        <f t="shared" si="112"/>
        <v>O</v>
      </c>
      <c r="V334" s="73"/>
      <c r="W334" s="482">
        <f t="shared" si="118"/>
        <v>85000</v>
      </c>
      <c r="X334" s="73"/>
      <c r="Y334" s="73"/>
    </row>
    <row r="335" spans="1:25" s="602" customFormat="1" ht="30" hidden="1" customHeight="1" x14ac:dyDescent="0.25">
      <c r="A335" s="612">
        <v>170920</v>
      </c>
      <c r="B335" s="672" t="s">
        <v>748</v>
      </c>
      <c r="C335" s="411" t="s">
        <v>121</v>
      </c>
      <c r="D335" s="411">
        <v>4</v>
      </c>
      <c r="E335" s="198">
        <v>138000</v>
      </c>
      <c r="F335" s="198">
        <f t="shared" si="113"/>
        <v>607200</v>
      </c>
      <c r="G335" s="198">
        <f t="shared" si="114"/>
        <v>552000</v>
      </c>
      <c r="H335" s="696" t="s">
        <v>173</v>
      </c>
      <c r="I335" s="411" t="s">
        <v>142</v>
      </c>
      <c r="J335" s="64">
        <f>(G335-(VLOOKUP(C335,Price!B:D,3,FALSE)*D335))</f>
        <v>188000</v>
      </c>
      <c r="K335" s="425">
        <f t="shared" si="117"/>
        <v>0.34057971014492755</v>
      </c>
      <c r="L335" s="612">
        <v>17.899999999999999</v>
      </c>
      <c r="M335" s="581"/>
      <c r="N335" s="672">
        <f t="shared" si="119"/>
        <v>170920</v>
      </c>
      <c r="O335" s="411" t="s">
        <v>150</v>
      </c>
      <c r="P335" s="465" t="str">
        <f t="shared" si="106"/>
        <v>윤전용 실리콘</v>
      </c>
      <c r="Q335" s="411">
        <f t="shared" si="120"/>
        <v>4</v>
      </c>
      <c r="R335" s="198">
        <v>91000</v>
      </c>
      <c r="S335" s="198">
        <f t="shared" si="121"/>
        <v>400400.00000000006</v>
      </c>
      <c r="T335" s="198">
        <f t="shared" si="122"/>
        <v>364000</v>
      </c>
      <c r="U335" s="411" t="str">
        <f t="shared" si="112"/>
        <v>O</v>
      </c>
      <c r="V335" s="411"/>
      <c r="W335" s="481">
        <f t="shared" si="118"/>
        <v>188000</v>
      </c>
      <c r="X335" s="411"/>
      <c r="Y335" s="411"/>
    </row>
    <row r="336" spans="1:25" ht="30" hidden="1" customHeight="1" x14ac:dyDescent="0.25">
      <c r="A336" s="80">
        <v>170921</v>
      </c>
      <c r="B336" s="663" t="s">
        <v>545</v>
      </c>
      <c r="C336" s="73" t="s">
        <v>167</v>
      </c>
      <c r="D336" s="73">
        <v>10</v>
      </c>
      <c r="E336" s="147">
        <v>110000</v>
      </c>
      <c r="F336" s="147">
        <f t="shared" si="113"/>
        <v>1210000</v>
      </c>
      <c r="G336" s="147">
        <f t="shared" si="114"/>
        <v>1100000</v>
      </c>
      <c r="H336" s="689" t="s">
        <v>173</v>
      </c>
      <c r="I336" s="73" t="s">
        <v>109</v>
      </c>
      <c r="J336" s="60">
        <f>(G336-(VLOOKUP(C336,Price!B:D,3,FALSE)*D336))</f>
        <v>271000</v>
      </c>
      <c r="K336" s="427">
        <f t="shared" si="117"/>
        <v>0.24636363636363637</v>
      </c>
      <c r="L336" s="80">
        <v>17.899999999999999</v>
      </c>
      <c r="M336" s="584"/>
      <c r="N336" s="663">
        <f t="shared" si="119"/>
        <v>170921</v>
      </c>
      <c r="O336" s="73" t="s">
        <v>147</v>
      </c>
      <c r="P336" s="132" t="str">
        <f t="shared" si="106"/>
        <v>Blanket(1060*860)</v>
      </c>
      <c r="Q336" s="73">
        <f t="shared" si="120"/>
        <v>10</v>
      </c>
      <c r="R336" s="147">
        <v>82900</v>
      </c>
      <c r="S336" s="147">
        <f t="shared" si="121"/>
        <v>911900.00000000012</v>
      </c>
      <c r="T336" s="147">
        <f t="shared" si="122"/>
        <v>829000</v>
      </c>
      <c r="U336" s="73" t="str">
        <f t="shared" si="112"/>
        <v>O</v>
      </c>
      <c r="V336" s="73"/>
      <c r="W336" s="482">
        <f t="shared" si="118"/>
        <v>271000</v>
      </c>
      <c r="X336" s="73"/>
      <c r="Y336" s="73"/>
    </row>
    <row r="337" spans="1:25" s="602" customFormat="1" ht="30" hidden="1" customHeight="1" x14ac:dyDescent="0.25">
      <c r="A337" s="85">
        <v>170921</v>
      </c>
      <c r="B337" s="668" t="s">
        <v>444</v>
      </c>
      <c r="C337" s="84" t="s">
        <v>131</v>
      </c>
      <c r="D337" s="84">
        <v>5</v>
      </c>
      <c r="E337" s="189">
        <v>135000</v>
      </c>
      <c r="F337" s="189">
        <f t="shared" si="113"/>
        <v>742500.00000000012</v>
      </c>
      <c r="G337" s="189">
        <f t="shared" si="114"/>
        <v>675000</v>
      </c>
      <c r="H337" s="691" t="s">
        <v>173</v>
      </c>
      <c r="I337" s="84" t="s">
        <v>108</v>
      </c>
      <c r="J337" s="61">
        <f>(G337-(VLOOKUP(C337,Price!B:D,3,FALSE)*D337))</f>
        <v>125000</v>
      </c>
      <c r="K337" s="62">
        <f t="shared" si="117"/>
        <v>0.18518518518518515</v>
      </c>
      <c r="L337" s="85">
        <v>17.899999999999999</v>
      </c>
      <c r="M337" s="601"/>
      <c r="N337" s="668">
        <f t="shared" si="119"/>
        <v>170921</v>
      </c>
      <c r="O337" s="84" t="s">
        <v>148</v>
      </c>
      <c r="P337" s="133" t="str">
        <f>C337</f>
        <v>UV wash(20L)</v>
      </c>
      <c r="Q337" s="84">
        <f t="shared" si="120"/>
        <v>5</v>
      </c>
      <c r="R337" s="189">
        <v>110000</v>
      </c>
      <c r="S337" s="189">
        <f t="shared" si="121"/>
        <v>605000</v>
      </c>
      <c r="T337" s="189">
        <f t="shared" si="122"/>
        <v>550000</v>
      </c>
      <c r="U337" s="84" t="str">
        <f t="shared" si="112"/>
        <v>O</v>
      </c>
      <c r="V337" s="84"/>
      <c r="W337" s="481">
        <f t="shared" si="118"/>
        <v>125000</v>
      </c>
      <c r="X337" s="84"/>
      <c r="Y337" s="84"/>
    </row>
    <row r="338" spans="1:25" ht="30" hidden="1" customHeight="1" x14ac:dyDescent="0.25">
      <c r="A338" s="80">
        <v>170922</v>
      </c>
      <c r="B338" s="663" t="s">
        <v>797</v>
      </c>
      <c r="C338" s="73" t="s">
        <v>810</v>
      </c>
      <c r="D338" s="73">
        <v>1</v>
      </c>
      <c r="E338" s="147">
        <v>150000</v>
      </c>
      <c r="F338" s="147">
        <f t="shared" si="113"/>
        <v>165000</v>
      </c>
      <c r="G338" s="147">
        <f t="shared" si="114"/>
        <v>150000</v>
      </c>
      <c r="H338" s="1005" t="s">
        <v>39</v>
      </c>
      <c r="I338" s="73"/>
      <c r="J338" s="60">
        <f>G338-T338</f>
        <v>87336</v>
      </c>
      <c r="K338" s="427">
        <f t="shared" si="117"/>
        <v>0.58223999999999998</v>
      </c>
      <c r="L338" s="80">
        <v>17.899999999999999</v>
      </c>
      <c r="M338" s="584"/>
      <c r="N338" s="663">
        <f t="shared" si="119"/>
        <v>170922</v>
      </c>
      <c r="O338" s="987" t="s">
        <v>39</v>
      </c>
      <c r="P338" s="132" t="str">
        <f>C338</f>
        <v>Alcocontrol 연결 부품 2종류</v>
      </c>
      <c r="Q338" s="73">
        <f t="shared" si="120"/>
        <v>1</v>
      </c>
      <c r="R338" s="147">
        <v>62664</v>
      </c>
      <c r="S338" s="147">
        <f t="shared" si="121"/>
        <v>68930.400000000009</v>
      </c>
      <c r="T338" s="147">
        <f t="shared" si="122"/>
        <v>62664</v>
      </c>
      <c r="U338" s="73" t="str">
        <f t="shared" si="112"/>
        <v>O</v>
      </c>
      <c r="V338" s="73"/>
      <c r="W338" s="482">
        <f t="shared" si="118"/>
        <v>87336</v>
      </c>
      <c r="X338" s="73"/>
      <c r="Y338" s="73"/>
    </row>
    <row r="339" spans="1:25" ht="30" hidden="1" customHeight="1" x14ac:dyDescent="0.25">
      <c r="A339" s="82">
        <v>170922</v>
      </c>
      <c r="B339" s="664" t="s">
        <v>442</v>
      </c>
      <c r="C339" s="71" t="s">
        <v>773</v>
      </c>
      <c r="D339" s="71">
        <v>6</v>
      </c>
      <c r="E339" s="102">
        <v>192000</v>
      </c>
      <c r="F339" s="102">
        <f t="shared" si="113"/>
        <v>1267200</v>
      </c>
      <c r="G339" s="102">
        <f t="shared" si="114"/>
        <v>1152000</v>
      </c>
      <c r="H339" s="690" t="s">
        <v>173</v>
      </c>
      <c r="I339" s="71" t="s">
        <v>109</v>
      </c>
      <c r="J339" s="53">
        <f>(G339-(VLOOKUP(C339,Price!B:D,3,FALSE)*D339))</f>
        <v>144000</v>
      </c>
      <c r="K339" s="63">
        <f t="shared" si="117"/>
        <v>0.125</v>
      </c>
      <c r="L339" s="82">
        <v>17.899999999999999</v>
      </c>
      <c r="M339" s="468"/>
      <c r="N339" s="664">
        <f t="shared" si="119"/>
        <v>170922</v>
      </c>
      <c r="O339" s="71" t="s">
        <v>151</v>
      </c>
      <c r="P339" s="103" t="str">
        <f>C339</f>
        <v>로랜드 전지 블랑켓(1460*1165)bar</v>
      </c>
      <c r="Q339" s="71">
        <f t="shared" si="120"/>
        <v>6</v>
      </c>
      <c r="R339" s="102">
        <v>168000</v>
      </c>
      <c r="S339" s="102">
        <f t="shared" si="121"/>
        <v>1108800</v>
      </c>
      <c r="T339" s="102">
        <f t="shared" si="122"/>
        <v>1008000</v>
      </c>
      <c r="U339" s="71" t="str">
        <f t="shared" si="112"/>
        <v>O</v>
      </c>
      <c r="V339" s="71"/>
      <c r="W339" s="482">
        <f t="shared" si="118"/>
        <v>144000</v>
      </c>
      <c r="X339" s="71"/>
      <c r="Y339" s="71"/>
    </row>
    <row r="340" spans="1:25" ht="30" hidden="1" customHeight="1" x14ac:dyDescent="0.25">
      <c r="A340" s="82">
        <v>170922</v>
      </c>
      <c r="B340" s="664" t="s">
        <v>575</v>
      </c>
      <c r="C340" s="71" t="s">
        <v>812</v>
      </c>
      <c r="D340" s="71">
        <v>1</v>
      </c>
      <c r="E340" s="102">
        <v>2200000</v>
      </c>
      <c r="F340" s="102">
        <f t="shared" si="113"/>
        <v>2420000</v>
      </c>
      <c r="G340" s="102">
        <f t="shared" si="114"/>
        <v>2200000</v>
      </c>
      <c r="H340" s="748" t="s">
        <v>165</v>
      </c>
      <c r="I340" s="71"/>
      <c r="J340" s="53"/>
      <c r="K340" s="63"/>
      <c r="L340" s="82">
        <v>17.899999999999999</v>
      </c>
      <c r="M340" s="468"/>
      <c r="N340" s="664">
        <f t="shared" si="119"/>
        <v>170922</v>
      </c>
      <c r="O340" s="71"/>
      <c r="P340" s="103"/>
      <c r="Q340" s="71">
        <f t="shared" si="120"/>
        <v>1</v>
      </c>
      <c r="R340" s="102"/>
      <c r="S340" s="102"/>
      <c r="T340" s="102"/>
      <c r="U340" s="71"/>
      <c r="V340" s="71"/>
      <c r="W340" s="482">
        <f t="shared" si="118"/>
        <v>2200000</v>
      </c>
      <c r="X340" s="71"/>
      <c r="Y340" s="71"/>
    </row>
    <row r="341" spans="1:25" s="602" customFormat="1" ht="30" hidden="1" customHeight="1" x14ac:dyDescent="0.25">
      <c r="A341" s="85">
        <v>170922</v>
      </c>
      <c r="B341" s="668" t="s">
        <v>763</v>
      </c>
      <c r="C341" s="84" t="s">
        <v>803</v>
      </c>
      <c r="D341" s="84">
        <v>1</v>
      </c>
      <c r="E341" s="189">
        <v>150000</v>
      </c>
      <c r="F341" s="189">
        <f t="shared" si="113"/>
        <v>165000</v>
      </c>
      <c r="G341" s="189">
        <f t="shared" si="114"/>
        <v>150000</v>
      </c>
      <c r="H341" s="749" t="s">
        <v>165</v>
      </c>
      <c r="I341" s="84"/>
      <c r="J341" s="61"/>
      <c r="K341" s="62"/>
      <c r="L341" s="85">
        <v>17.899999999999999</v>
      </c>
      <c r="M341" s="601"/>
      <c r="N341" s="668">
        <f t="shared" si="119"/>
        <v>170922</v>
      </c>
      <c r="O341" s="84"/>
      <c r="P341" s="133"/>
      <c r="Q341" s="84">
        <f t="shared" si="120"/>
        <v>1</v>
      </c>
      <c r="R341" s="189"/>
      <c r="S341" s="189"/>
      <c r="T341" s="189"/>
      <c r="U341" s="84"/>
      <c r="V341" s="84"/>
      <c r="W341" s="481">
        <f t="shared" si="118"/>
        <v>150000</v>
      </c>
      <c r="X341" s="84"/>
      <c r="Y341" s="84"/>
    </row>
    <row r="342" spans="1:25" ht="30" hidden="1" customHeight="1" x14ac:dyDescent="0.25">
      <c r="A342" s="80">
        <v>170925</v>
      </c>
      <c r="B342" s="663" t="s">
        <v>590</v>
      </c>
      <c r="C342" s="73" t="s">
        <v>587</v>
      </c>
      <c r="D342" s="73">
        <v>200</v>
      </c>
      <c r="E342" s="147">
        <v>8000</v>
      </c>
      <c r="F342" s="147">
        <f t="shared" si="113"/>
        <v>1760000.0000000002</v>
      </c>
      <c r="G342" s="147">
        <f t="shared" si="114"/>
        <v>1600000</v>
      </c>
      <c r="H342" s="689" t="s">
        <v>173</v>
      </c>
      <c r="I342" s="73" t="s">
        <v>144</v>
      </c>
      <c r="J342" s="60">
        <f>(G342-(VLOOKUP(C342,Price!B:D,3,FALSE)*D342))</f>
        <v>218000</v>
      </c>
      <c r="K342" s="427">
        <f t="shared" si="117"/>
        <v>0.13624999999999998</v>
      </c>
      <c r="L342" s="80">
        <v>17.899999999999999</v>
      </c>
      <c r="M342" s="584"/>
      <c r="N342" s="663">
        <f t="shared" si="119"/>
        <v>170925</v>
      </c>
      <c r="O342" s="73" t="s">
        <v>147</v>
      </c>
      <c r="P342" s="132" t="str">
        <f>C342</f>
        <v>프리미어(청)</v>
      </c>
      <c r="Q342" s="73">
        <f t="shared" si="120"/>
        <v>200</v>
      </c>
      <c r="R342" s="147">
        <v>6910</v>
      </c>
      <c r="S342" s="147">
        <f>R342*Q342*1.1</f>
        <v>1520200.0000000002</v>
      </c>
      <c r="T342" s="147">
        <f>R342*Q342</f>
        <v>1382000</v>
      </c>
      <c r="U342" s="73" t="str">
        <f>IF(J342=W342,"O", "X")</f>
        <v>O</v>
      </c>
      <c r="V342" s="73"/>
      <c r="W342" s="482">
        <f t="shared" si="118"/>
        <v>218000</v>
      </c>
      <c r="X342" s="73"/>
      <c r="Y342" s="73"/>
    </row>
    <row r="343" spans="1:25" ht="30" hidden="1" customHeight="1" x14ac:dyDescent="0.25">
      <c r="A343" s="82">
        <v>170925</v>
      </c>
      <c r="B343" s="664" t="s">
        <v>590</v>
      </c>
      <c r="C343" s="71" t="s">
        <v>616</v>
      </c>
      <c r="D343" s="71">
        <v>200</v>
      </c>
      <c r="E343" s="102">
        <v>6600</v>
      </c>
      <c r="F343" s="102">
        <f t="shared" si="113"/>
        <v>1452000.0000000002</v>
      </c>
      <c r="G343" s="102">
        <f t="shared" si="114"/>
        <v>1320000</v>
      </c>
      <c r="H343" s="690" t="s">
        <v>173</v>
      </c>
      <c r="I343" s="71" t="s">
        <v>144</v>
      </c>
      <c r="J343" s="53">
        <f>(G343-(VLOOKUP(C343,Price!B:D,3,FALSE)*D343))</f>
        <v>140000</v>
      </c>
      <c r="K343" s="63">
        <f t="shared" si="117"/>
        <v>0.10606060606060604</v>
      </c>
      <c r="L343" s="82">
        <v>17.899999999999999</v>
      </c>
      <c r="M343" s="468"/>
      <c r="N343" s="664">
        <f t="shared" si="119"/>
        <v>170925</v>
      </c>
      <c r="O343" s="71" t="s">
        <v>147</v>
      </c>
      <c r="P343" s="103" t="str">
        <f>C343</f>
        <v>프리미어(먹)</v>
      </c>
      <c r="Q343" s="71">
        <f t="shared" si="120"/>
        <v>200</v>
      </c>
      <c r="R343" s="102">
        <v>5900</v>
      </c>
      <c r="S343" s="102">
        <f>R343*Q343*1.1</f>
        <v>1298000</v>
      </c>
      <c r="T343" s="102">
        <f>R343*Q343</f>
        <v>1180000</v>
      </c>
      <c r="U343" s="71" t="str">
        <f>IF(J343=W343,"O", "X")</f>
        <v>O</v>
      </c>
      <c r="V343" s="71"/>
      <c r="W343" s="482">
        <f t="shared" si="118"/>
        <v>140000</v>
      </c>
      <c r="X343" s="71"/>
      <c r="Y343" s="71"/>
    </row>
    <row r="344" spans="1:25" s="602" customFormat="1" ht="30" hidden="1" customHeight="1" x14ac:dyDescent="0.25">
      <c r="A344" s="85">
        <v>170925</v>
      </c>
      <c r="B344" s="668" t="s">
        <v>546</v>
      </c>
      <c r="C344" s="84" t="s">
        <v>114</v>
      </c>
      <c r="D344" s="84">
        <v>50</v>
      </c>
      <c r="E344" s="189">
        <v>18000</v>
      </c>
      <c r="F344" s="189">
        <f t="shared" si="113"/>
        <v>990000.00000000012</v>
      </c>
      <c r="G344" s="189">
        <f t="shared" si="114"/>
        <v>900000</v>
      </c>
      <c r="H344" s="781" t="s">
        <v>113</v>
      </c>
      <c r="I344" s="84"/>
      <c r="J344" s="61">
        <f>(G344-(VLOOKUP(C344,Price!B:D,3,FALSE)*D344))</f>
        <v>450000</v>
      </c>
      <c r="K344" s="62">
        <f t="shared" si="117"/>
        <v>0.49999999999999994</v>
      </c>
      <c r="L344" s="85">
        <v>17.899999999999999</v>
      </c>
      <c r="M344" s="601"/>
      <c r="N344" s="668">
        <f t="shared" si="119"/>
        <v>170925</v>
      </c>
      <c r="O344" s="814" t="s">
        <v>113</v>
      </c>
      <c r="P344" s="133" t="str">
        <f>C344</f>
        <v>스트리퍼</v>
      </c>
      <c r="Q344" s="84">
        <f t="shared" si="120"/>
        <v>50</v>
      </c>
      <c r="R344" s="189">
        <v>6320</v>
      </c>
      <c r="S344" s="189">
        <f>R344*Q344*1.1</f>
        <v>347600</v>
      </c>
      <c r="T344" s="189">
        <f>R344*Q344</f>
        <v>316000</v>
      </c>
      <c r="U344" s="84" t="str">
        <f>IF(J344=W344,"O", "X")</f>
        <v>X</v>
      </c>
      <c r="V344" s="84"/>
      <c r="W344" s="481">
        <f t="shared" si="118"/>
        <v>584000</v>
      </c>
      <c r="X344" s="84"/>
      <c r="Y344" s="84"/>
    </row>
    <row r="345" spans="1:25" s="610" customFormat="1" ht="30" hidden="1" customHeight="1" x14ac:dyDescent="0.25">
      <c r="A345" s="89">
        <v>170927</v>
      </c>
      <c r="B345" s="673" t="s">
        <v>150</v>
      </c>
      <c r="C345" s="88" t="s">
        <v>820</v>
      </c>
      <c r="D345" s="88">
        <v>1</v>
      </c>
      <c r="E345" s="470">
        <v>1100000</v>
      </c>
      <c r="F345" s="470">
        <f>(E345*D345)*1.1</f>
        <v>1210000</v>
      </c>
      <c r="G345" s="470">
        <f>(E345*D345)</f>
        <v>1100000</v>
      </c>
      <c r="H345" s="815" t="s">
        <v>113</v>
      </c>
      <c r="I345" s="88"/>
      <c r="J345" s="107">
        <f>G345-T345</f>
        <v>902000</v>
      </c>
      <c r="K345" s="469">
        <f>(J345/(F345/11*10))</f>
        <v>0.82</v>
      </c>
      <c r="L345" s="89">
        <v>17.899999999999999</v>
      </c>
      <c r="M345" s="575"/>
      <c r="N345" s="673">
        <f t="shared" si="119"/>
        <v>170927</v>
      </c>
      <c r="O345" s="88" t="s">
        <v>823</v>
      </c>
      <c r="P345" s="134" t="str">
        <f>C345</f>
        <v>잉크 파운틴 호일 및 노즐</v>
      </c>
      <c r="Q345" s="88">
        <f t="shared" si="120"/>
        <v>1</v>
      </c>
      <c r="R345" s="470">
        <v>198000</v>
      </c>
      <c r="S345" s="470">
        <f>R345*Q345*1.1</f>
        <v>217800.00000000003</v>
      </c>
      <c r="T345" s="470">
        <f>R345*Q345</f>
        <v>198000</v>
      </c>
      <c r="U345" s="88" t="str">
        <f>IF(J345=W345,"O", "X")</f>
        <v>O</v>
      </c>
      <c r="V345" s="88"/>
      <c r="W345" s="483">
        <f t="shared" si="118"/>
        <v>902000</v>
      </c>
      <c r="X345" s="88"/>
      <c r="Y345" s="88"/>
    </row>
    <row r="346" spans="1:25" s="496" customFormat="1" ht="45" hidden="1" customHeight="1" x14ac:dyDescent="0.25">
      <c r="A346" s="787">
        <v>2017.1</v>
      </c>
      <c r="B346" s="675" t="s">
        <v>544</v>
      </c>
      <c r="C346" s="488"/>
      <c r="D346" s="488"/>
      <c r="E346" s="489"/>
      <c r="F346" s="489"/>
      <c r="G346" s="489"/>
      <c r="H346" s="490"/>
      <c r="I346" s="491"/>
      <c r="J346" s="492"/>
      <c r="K346" s="493"/>
      <c r="L346" s="851">
        <v>17.100000000000001</v>
      </c>
      <c r="M346" s="645"/>
      <c r="N346" s="725">
        <f t="shared" si="119"/>
        <v>2017.1</v>
      </c>
      <c r="O346" s="488" t="s">
        <v>154</v>
      </c>
      <c r="P346" s="729"/>
      <c r="Q346" s="494"/>
      <c r="R346" s="495"/>
      <c r="S346" s="492"/>
      <c r="T346" s="492"/>
      <c r="W346" s="497"/>
    </row>
    <row r="347" spans="1:25" ht="30" customHeight="1" x14ac:dyDescent="0.25">
      <c r="A347" s="82">
        <v>170919</v>
      </c>
      <c r="B347" s="663" t="s">
        <v>565</v>
      </c>
      <c r="C347" s="73" t="s">
        <v>123</v>
      </c>
      <c r="D347" s="73">
        <v>5</v>
      </c>
      <c r="E347" s="147">
        <v>45000</v>
      </c>
      <c r="F347" s="102">
        <f>(E347*D347)*1.1</f>
        <v>247500.00000000003</v>
      </c>
      <c r="G347" s="102">
        <f>(E347*D347)</f>
        <v>225000</v>
      </c>
      <c r="H347" s="1005" t="s">
        <v>39</v>
      </c>
      <c r="I347" s="73"/>
      <c r="J347" s="60">
        <f>(G347-(VLOOKUP(C347,Price!B:D,3,FALSE)*D347))</f>
        <v>112695</v>
      </c>
      <c r="K347" s="427">
        <f t="shared" ref="K347:K355" si="123">(J347/(F347/11*10))</f>
        <v>0.50086666666666657</v>
      </c>
      <c r="L347" s="788">
        <v>17.100000000000001</v>
      </c>
      <c r="M347" s="584"/>
      <c r="N347" s="663">
        <f t="shared" si="119"/>
        <v>170919</v>
      </c>
      <c r="O347" s="987" t="s">
        <v>39</v>
      </c>
      <c r="P347" s="132" t="str">
        <f t="shared" ref="P347:P352" si="124">C347</f>
        <v>필터백</v>
      </c>
      <c r="Q347" s="73">
        <f t="shared" si="120"/>
        <v>5</v>
      </c>
      <c r="R347" s="147">
        <v>19800</v>
      </c>
      <c r="S347" s="147">
        <f t="shared" ref="S347:S364" si="125">R347*Q347*1.1</f>
        <v>108900.00000000001</v>
      </c>
      <c r="T347" s="147">
        <f t="shared" ref="T347:T364" si="126">R347*Q347</f>
        <v>99000</v>
      </c>
      <c r="U347" s="73"/>
      <c r="V347" s="73" t="s">
        <v>826</v>
      </c>
      <c r="W347" s="515"/>
      <c r="X347" s="73"/>
      <c r="Y347" s="73"/>
    </row>
    <row r="348" spans="1:25" ht="30" hidden="1" customHeight="1" x14ac:dyDescent="0.25">
      <c r="A348" s="80">
        <v>170926</v>
      </c>
      <c r="B348" s="663" t="s">
        <v>442</v>
      </c>
      <c r="C348" s="73" t="s">
        <v>133</v>
      </c>
      <c r="D348" s="73">
        <v>2</v>
      </c>
      <c r="E348" s="147">
        <v>327000</v>
      </c>
      <c r="F348" s="147">
        <f t="shared" ref="F348:F354" si="127">(E348*D348)*1.1</f>
        <v>719400</v>
      </c>
      <c r="G348" s="147">
        <f t="shared" ref="G348:G354" si="128">(E348*D348)</f>
        <v>654000</v>
      </c>
      <c r="H348" s="689" t="s">
        <v>173</v>
      </c>
      <c r="I348" s="73" t="s">
        <v>141</v>
      </c>
      <c r="J348" s="60">
        <f>(G348-(VLOOKUP(C348,Price!B:D,3,FALSE)*D348))</f>
        <v>115800</v>
      </c>
      <c r="K348" s="427">
        <f t="shared" si="123"/>
        <v>0.17706422018348625</v>
      </c>
      <c r="L348" s="788">
        <v>17.100000000000001</v>
      </c>
      <c r="M348" s="584"/>
      <c r="N348" s="663">
        <f t="shared" si="119"/>
        <v>170926</v>
      </c>
      <c r="O348" s="73" t="s">
        <v>145</v>
      </c>
      <c r="P348" s="132" t="str">
        <f t="shared" si="124"/>
        <v>Agfa Film(24inch)</v>
      </c>
      <c r="Q348" s="73">
        <f t="shared" si="120"/>
        <v>2</v>
      </c>
      <c r="R348" s="147">
        <v>269100</v>
      </c>
      <c r="S348" s="147">
        <f t="shared" si="125"/>
        <v>592020</v>
      </c>
      <c r="T348" s="147">
        <f t="shared" si="126"/>
        <v>538200</v>
      </c>
      <c r="U348" s="73" t="str">
        <f t="shared" ref="U348:U365" si="129">IF(J348=W348,"O", "X")</f>
        <v>O</v>
      </c>
      <c r="V348" s="73"/>
      <c r="W348" s="482">
        <f t="shared" ref="W348:W365" si="130">(G348-T348)</f>
        <v>115800</v>
      </c>
      <c r="X348" s="73"/>
      <c r="Y348" s="73"/>
    </row>
    <row r="349" spans="1:25" ht="30" hidden="1" customHeight="1" x14ac:dyDescent="0.25">
      <c r="A349" s="82">
        <v>170926</v>
      </c>
      <c r="B349" s="664" t="s">
        <v>442</v>
      </c>
      <c r="C349" s="71" t="s">
        <v>134</v>
      </c>
      <c r="D349" s="71">
        <v>2</v>
      </c>
      <c r="E349" s="102">
        <v>401000</v>
      </c>
      <c r="F349" s="102">
        <f t="shared" si="127"/>
        <v>882200.00000000012</v>
      </c>
      <c r="G349" s="102">
        <f t="shared" si="128"/>
        <v>802000</v>
      </c>
      <c r="H349" s="690" t="s">
        <v>173</v>
      </c>
      <c r="I349" s="71" t="s">
        <v>141</v>
      </c>
      <c r="J349" s="53">
        <f>(G349-(VLOOKUP(C349,Price!B:D,3,FALSE)*D349))</f>
        <v>174080</v>
      </c>
      <c r="K349" s="63">
        <f t="shared" si="123"/>
        <v>0.21705735660847877</v>
      </c>
      <c r="L349" s="792">
        <v>17.100000000000001</v>
      </c>
      <c r="M349" s="468"/>
      <c r="N349" s="664">
        <f t="shared" si="119"/>
        <v>170926</v>
      </c>
      <c r="O349" s="71" t="s">
        <v>145</v>
      </c>
      <c r="P349" s="103" t="str">
        <f t="shared" si="124"/>
        <v>Agfa Film(28inch)</v>
      </c>
      <c r="Q349" s="71">
        <f t="shared" si="120"/>
        <v>2</v>
      </c>
      <c r="R349" s="102">
        <v>313960</v>
      </c>
      <c r="S349" s="102">
        <f t="shared" si="125"/>
        <v>690712</v>
      </c>
      <c r="T349" s="102">
        <f t="shared" si="126"/>
        <v>627920</v>
      </c>
      <c r="U349" s="71" t="str">
        <f t="shared" si="129"/>
        <v>O</v>
      </c>
      <c r="V349" s="71"/>
      <c r="W349" s="482">
        <f t="shared" si="130"/>
        <v>174080</v>
      </c>
      <c r="X349" s="71"/>
      <c r="Y349" s="71"/>
    </row>
    <row r="350" spans="1:25" ht="30" hidden="1" customHeight="1" x14ac:dyDescent="0.25">
      <c r="A350" s="82">
        <v>170926</v>
      </c>
      <c r="B350" s="664" t="s">
        <v>442</v>
      </c>
      <c r="C350" s="71" t="s">
        <v>135</v>
      </c>
      <c r="D350" s="71">
        <v>2</v>
      </c>
      <c r="E350" s="102">
        <v>448000</v>
      </c>
      <c r="F350" s="102">
        <f t="shared" si="127"/>
        <v>985600.00000000012</v>
      </c>
      <c r="G350" s="102">
        <f t="shared" si="128"/>
        <v>896000</v>
      </c>
      <c r="H350" s="690" t="s">
        <v>173</v>
      </c>
      <c r="I350" s="71" t="s">
        <v>141</v>
      </c>
      <c r="J350" s="53">
        <f>(G350-(VLOOKUP(C350,Price!B:D,3,FALSE)*D350))</f>
        <v>155980</v>
      </c>
      <c r="K350" s="63">
        <f t="shared" si="123"/>
        <v>0.1740848214285714</v>
      </c>
      <c r="L350" s="792">
        <v>17.100000000000001</v>
      </c>
      <c r="M350" s="468"/>
      <c r="N350" s="664">
        <f t="shared" si="119"/>
        <v>170926</v>
      </c>
      <c r="O350" s="71" t="s">
        <v>145</v>
      </c>
      <c r="P350" s="103" t="str">
        <f t="shared" si="124"/>
        <v>Agfa Film(32inch)</v>
      </c>
      <c r="Q350" s="71">
        <f t="shared" si="120"/>
        <v>2</v>
      </c>
      <c r="R350" s="102">
        <v>370010</v>
      </c>
      <c r="S350" s="102">
        <f t="shared" si="125"/>
        <v>814022.00000000012</v>
      </c>
      <c r="T350" s="102">
        <f t="shared" si="126"/>
        <v>740020</v>
      </c>
      <c r="U350" s="71" t="str">
        <f t="shared" si="129"/>
        <v>O</v>
      </c>
      <c r="V350" s="71"/>
      <c r="W350" s="482">
        <f t="shared" si="130"/>
        <v>155980</v>
      </c>
      <c r="X350" s="71"/>
      <c r="Y350" s="71"/>
    </row>
    <row r="351" spans="1:25" ht="30" hidden="1" customHeight="1" x14ac:dyDescent="0.25">
      <c r="A351" s="82">
        <v>170926</v>
      </c>
      <c r="B351" s="664" t="s">
        <v>442</v>
      </c>
      <c r="C351" s="71" t="s">
        <v>649</v>
      </c>
      <c r="D351" s="71">
        <v>3</v>
      </c>
      <c r="E351" s="102">
        <v>41000</v>
      </c>
      <c r="F351" s="102">
        <f t="shared" si="127"/>
        <v>135300</v>
      </c>
      <c r="G351" s="102">
        <f t="shared" si="128"/>
        <v>123000</v>
      </c>
      <c r="H351" s="690" t="s">
        <v>173</v>
      </c>
      <c r="I351" s="71" t="s">
        <v>141</v>
      </c>
      <c r="J351" s="53">
        <f>(G351-(VLOOKUP(C351,Price!B:D,3,FALSE)*D351))</f>
        <v>48000</v>
      </c>
      <c r="K351" s="63">
        <f t="shared" si="123"/>
        <v>0.3902439024390244</v>
      </c>
      <c r="L351" s="792">
        <v>17.100000000000001</v>
      </c>
      <c r="M351" s="468"/>
      <c r="N351" s="664">
        <f t="shared" si="119"/>
        <v>170926</v>
      </c>
      <c r="O351" s="71" t="s">
        <v>145</v>
      </c>
      <c r="P351" s="103" t="str">
        <f t="shared" si="124"/>
        <v>Agfa 현상액 G101C(10L)</v>
      </c>
      <c r="Q351" s="71">
        <f t="shared" si="120"/>
        <v>3</v>
      </c>
      <c r="R351" s="102">
        <v>25000</v>
      </c>
      <c r="S351" s="102">
        <f t="shared" si="125"/>
        <v>82500</v>
      </c>
      <c r="T351" s="102">
        <f t="shared" si="126"/>
        <v>75000</v>
      </c>
      <c r="U351" s="71" t="str">
        <f t="shared" si="129"/>
        <v>O</v>
      </c>
      <c r="V351" s="71"/>
      <c r="W351" s="482">
        <f t="shared" si="130"/>
        <v>48000</v>
      </c>
      <c r="X351" s="71"/>
      <c r="Y351" s="71"/>
    </row>
    <row r="352" spans="1:25" s="602" customFormat="1" ht="30" hidden="1" customHeight="1" x14ac:dyDescent="0.25">
      <c r="A352" s="85">
        <v>170926</v>
      </c>
      <c r="B352" s="668" t="s">
        <v>442</v>
      </c>
      <c r="C352" s="84" t="s">
        <v>650</v>
      </c>
      <c r="D352" s="84">
        <v>1</v>
      </c>
      <c r="E352" s="189">
        <v>93000</v>
      </c>
      <c r="F352" s="189">
        <f t="shared" si="127"/>
        <v>102300.00000000001</v>
      </c>
      <c r="G352" s="189">
        <f t="shared" si="128"/>
        <v>93000</v>
      </c>
      <c r="H352" s="691" t="s">
        <v>173</v>
      </c>
      <c r="I352" s="84" t="s">
        <v>141</v>
      </c>
      <c r="J352" s="61">
        <f>(G352-(VLOOKUP(C352,Price!B:D,3,FALSE)*D352))</f>
        <v>33000</v>
      </c>
      <c r="K352" s="62">
        <f t="shared" si="123"/>
        <v>0.35483870967741932</v>
      </c>
      <c r="L352" s="793">
        <v>17.100000000000001</v>
      </c>
      <c r="M352" s="601"/>
      <c r="N352" s="668">
        <f t="shared" si="119"/>
        <v>170926</v>
      </c>
      <c r="O352" s="84" t="s">
        <v>145</v>
      </c>
      <c r="P352" s="133" t="str">
        <f t="shared" si="124"/>
        <v>Agfa 정착액 G333C(20L)</v>
      </c>
      <c r="Q352" s="84">
        <f t="shared" si="120"/>
        <v>1</v>
      </c>
      <c r="R352" s="189">
        <v>60000</v>
      </c>
      <c r="S352" s="189">
        <f t="shared" si="125"/>
        <v>66000</v>
      </c>
      <c r="T352" s="189">
        <f t="shared" si="126"/>
        <v>60000</v>
      </c>
      <c r="U352" s="84" t="str">
        <f t="shared" si="129"/>
        <v>O</v>
      </c>
      <c r="V352" s="84"/>
      <c r="W352" s="481">
        <f t="shared" si="130"/>
        <v>33000</v>
      </c>
      <c r="X352" s="84"/>
      <c r="Y352" s="84"/>
    </row>
    <row r="353" spans="1:25" s="635" customFormat="1" ht="30" hidden="1" customHeight="1" x14ac:dyDescent="0.25">
      <c r="A353" s="159">
        <v>170927</v>
      </c>
      <c r="B353" s="676" t="s">
        <v>640</v>
      </c>
      <c r="C353" s="157" t="s">
        <v>236</v>
      </c>
      <c r="D353" s="157">
        <v>2</v>
      </c>
      <c r="E353" s="526">
        <v>99000</v>
      </c>
      <c r="F353" s="526">
        <f t="shared" si="127"/>
        <v>217800.00000000003</v>
      </c>
      <c r="G353" s="526">
        <f t="shared" si="128"/>
        <v>198000</v>
      </c>
      <c r="H353" s="790" t="s">
        <v>173</v>
      </c>
      <c r="I353" s="157" t="s">
        <v>142</v>
      </c>
      <c r="J353" s="503">
        <f>(G353-(VLOOKUP(C353,Price!B:D,3,FALSE)*D353))</f>
        <v>98000</v>
      </c>
      <c r="K353" s="65">
        <f t="shared" si="123"/>
        <v>0.49494949494949486</v>
      </c>
      <c r="L353" s="791">
        <v>17.100000000000001</v>
      </c>
      <c r="M353" s="634"/>
      <c r="N353" s="676">
        <f t="shared" si="119"/>
        <v>170927</v>
      </c>
      <c r="O353" s="157" t="s">
        <v>153</v>
      </c>
      <c r="P353" s="633" t="str">
        <f t="shared" ref="P353:P370" si="131">C353</f>
        <v>아스테이지(국전)</v>
      </c>
      <c r="Q353" s="157">
        <f t="shared" si="120"/>
        <v>2</v>
      </c>
      <c r="R353" s="526">
        <v>50000</v>
      </c>
      <c r="S353" s="526">
        <f t="shared" si="125"/>
        <v>110000.00000000001</v>
      </c>
      <c r="T353" s="526">
        <f t="shared" si="126"/>
        <v>100000</v>
      </c>
      <c r="U353" s="157" t="str">
        <f t="shared" si="129"/>
        <v>O</v>
      </c>
      <c r="V353" s="157"/>
      <c r="W353" s="508">
        <f t="shared" si="130"/>
        <v>98000</v>
      </c>
      <c r="X353" s="157"/>
      <c r="Y353" s="157"/>
    </row>
    <row r="354" spans="1:25" s="602" customFormat="1" ht="30" hidden="1" customHeight="1" x14ac:dyDescent="0.25">
      <c r="A354" s="612">
        <v>170927</v>
      </c>
      <c r="B354" s="672" t="s">
        <v>764</v>
      </c>
      <c r="C354" s="411" t="s">
        <v>236</v>
      </c>
      <c r="D354" s="411">
        <v>5</v>
      </c>
      <c r="E354" s="198">
        <v>100000</v>
      </c>
      <c r="F354" s="198">
        <f t="shared" si="127"/>
        <v>550000</v>
      </c>
      <c r="G354" s="198">
        <f t="shared" si="128"/>
        <v>500000</v>
      </c>
      <c r="H354" s="696" t="s">
        <v>173</v>
      </c>
      <c r="I354" s="411" t="s">
        <v>142</v>
      </c>
      <c r="J354" s="64">
        <f>(G354-(VLOOKUP(C354,Price!B:D,3,FALSE)*D354))</f>
        <v>250000</v>
      </c>
      <c r="K354" s="425">
        <f t="shared" si="123"/>
        <v>0.5</v>
      </c>
      <c r="L354" s="789">
        <v>17.100000000000001</v>
      </c>
      <c r="M354" s="581"/>
      <c r="N354" s="672">
        <f t="shared" si="119"/>
        <v>170927</v>
      </c>
      <c r="O354" s="411" t="s">
        <v>153</v>
      </c>
      <c r="P354" s="465" t="str">
        <f t="shared" si="131"/>
        <v>아스테이지(국전)</v>
      </c>
      <c r="Q354" s="411">
        <f t="shared" si="120"/>
        <v>5</v>
      </c>
      <c r="R354" s="198">
        <v>50000</v>
      </c>
      <c r="S354" s="198">
        <f t="shared" si="125"/>
        <v>275000</v>
      </c>
      <c r="T354" s="198">
        <f t="shared" si="126"/>
        <v>250000</v>
      </c>
      <c r="U354" s="411" t="str">
        <f t="shared" si="129"/>
        <v>O</v>
      </c>
      <c r="V354" s="411"/>
      <c r="W354" s="481">
        <f t="shared" si="130"/>
        <v>250000</v>
      </c>
      <c r="X354" s="411"/>
      <c r="Y354" s="411"/>
    </row>
    <row r="355" spans="1:25" ht="30" hidden="1" customHeight="1" x14ac:dyDescent="0.25">
      <c r="A355" s="80">
        <v>170929</v>
      </c>
      <c r="B355" s="663" t="s">
        <v>640</v>
      </c>
      <c r="C355" s="73" t="s">
        <v>138</v>
      </c>
      <c r="D355" s="73">
        <v>10</v>
      </c>
      <c r="E355" s="147">
        <v>59500</v>
      </c>
      <c r="F355" s="147">
        <f t="shared" ref="F355:F360" si="132">(E355*D355)*1.1</f>
        <v>654500</v>
      </c>
      <c r="G355" s="147">
        <f t="shared" ref="G355:G360" si="133">(E355*D355)</f>
        <v>595000</v>
      </c>
      <c r="H355" s="689" t="s">
        <v>173</v>
      </c>
      <c r="I355" s="73" t="s">
        <v>108</v>
      </c>
      <c r="J355" s="60">
        <f>(G355-(VLOOKUP(C355,Price!B:D,3,FALSE)*D355))</f>
        <v>85000</v>
      </c>
      <c r="K355" s="427">
        <f t="shared" si="123"/>
        <v>0.14285714285714285</v>
      </c>
      <c r="L355" s="788">
        <v>17.100000000000001</v>
      </c>
      <c r="M355" s="584"/>
      <c r="N355" s="663">
        <f t="shared" si="119"/>
        <v>170929</v>
      </c>
      <c r="O355" s="73" t="s">
        <v>150</v>
      </c>
      <c r="P355" s="132" t="str">
        <f t="shared" si="131"/>
        <v>매엽용 세척제(Wash 562)</v>
      </c>
      <c r="Q355" s="73">
        <f t="shared" si="120"/>
        <v>10</v>
      </c>
      <c r="R355" s="147">
        <v>51000</v>
      </c>
      <c r="S355" s="147">
        <f t="shared" si="125"/>
        <v>561000</v>
      </c>
      <c r="T355" s="147">
        <f t="shared" si="126"/>
        <v>510000</v>
      </c>
      <c r="U355" s="73" t="str">
        <f t="shared" si="129"/>
        <v>O</v>
      </c>
      <c r="V355" s="73"/>
      <c r="W355" s="482">
        <f t="shared" si="130"/>
        <v>85000</v>
      </c>
      <c r="X355" s="73"/>
      <c r="Y355" s="73"/>
    </row>
    <row r="356" spans="1:25" ht="30" hidden="1" customHeight="1" x14ac:dyDescent="0.25">
      <c r="A356" s="82">
        <v>170929</v>
      </c>
      <c r="B356" s="664" t="s">
        <v>445</v>
      </c>
      <c r="C356" s="71" t="s">
        <v>231</v>
      </c>
      <c r="D356" s="71">
        <v>10</v>
      </c>
      <c r="E356" s="102">
        <v>120000</v>
      </c>
      <c r="F356" s="102">
        <f t="shared" si="132"/>
        <v>1320000</v>
      </c>
      <c r="G356" s="102">
        <f t="shared" si="133"/>
        <v>1200000</v>
      </c>
      <c r="H356" s="690" t="s">
        <v>173</v>
      </c>
      <c r="I356" s="71" t="s">
        <v>109</v>
      </c>
      <c r="J356" s="53">
        <f>(G356-(VLOOKUP(C356,Price!B:D,3,FALSE)*D356))</f>
        <v>80000</v>
      </c>
      <c r="K356" s="63">
        <f t="shared" ref="K356:K363" si="134">(J356/(F356/11*10))</f>
        <v>6.6666666666666666E-2</v>
      </c>
      <c r="L356" s="788">
        <v>17.100000000000001</v>
      </c>
      <c r="M356" s="468"/>
      <c r="N356" s="664">
        <f t="shared" si="119"/>
        <v>170929</v>
      </c>
      <c r="O356" s="71" t="s">
        <v>151</v>
      </c>
      <c r="P356" s="103" t="str">
        <f t="shared" si="131"/>
        <v>Blanket(990*725)</v>
      </c>
      <c r="Q356" s="71">
        <f t="shared" si="120"/>
        <v>10</v>
      </c>
      <c r="R356" s="102">
        <v>112000</v>
      </c>
      <c r="S356" s="102">
        <f t="shared" si="125"/>
        <v>1232000</v>
      </c>
      <c r="T356" s="102">
        <f t="shared" si="126"/>
        <v>1120000</v>
      </c>
      <c r="U356" s="71" t="str">
        <f t="shared" si="129"/>
        <v>O</v>
      </c>
      <c r="V356" s="71"/>
      <c r="W356" s="482">
        <f t="shared" si="130"/>
        <v>80000</v>
      </c>
      <c r="X356" s="71"/>
      <c r="Y356" s="71"/>
    </row>
    <row r="357" spans="1:25" ht="30" hidden="1" customHeight="1" x14ac:dyDescent="0.25">
      <c r="A357" s="82">
        <v>170929</v>
      </c>
      <c r="B357" s="664" t="s">
        <v>545</v>
      </c>
      <c r="C357" s="71" t="s">
        <v>167</v>
      </c>
      <c r="D357" s="71">
        <v>10</v>
      </c>
      <c r="E357" s="102">
        <v>110000</v>
      </c>
      <c r="F357" s="102">
        <f t="shared" si="132"/>
        <v>1210000</v>
      </c>
      <c r="G357" s="102">
        <f t="shared" si="133"/>
        <v>1100000</v>
      </c>
      <c r="H357" s="690" t="s">
        <v>173</v>
      </c>
      <c r="I357" s="71" t="s">
        <v>109</v>
      </c>
      <c r="J357" s="53">
        <f>(G357-(VLOOKUP(C357,Price!B:D,3,FALSE)*D357))</f>
        <v>271000</v>
      </c>
      <c r="K357" s="63">
        <f t="shared" si="134"/>
        <v>0.24636363636363637</v>
      </c>
      <c r="L357" s="788">
        <v>17.100000000000001</v>
      </c>
      <c r="M357" s="468"/>
      <c r="N357" s="664">
        <f t="shared" si="119"/>
        <v>170929</v>
      </c>
      <c r="O357" s="71" t="s">
        <v>147</v>
      </c>
      <c r="P357" s="103" t="str">
        <f t="shared" si="131"/>
        <v>Blanket(1060*860)</v>
      </c>
      <c r="Q357" s="71">
        <f t="shared" si="120"/>
        <v>10</v>
      </c>
      <c r="R357" s="102">
        <v>82900</v>
      </c>
      <c r="S357" s="102">
        <f t="shared" si="125"/>
        <v>911900.00000000012</v>
      </c>
      <c r="T357" s="102">
        <f t="shared" si="126"/>
        <v>829000</v>
      </c>
      <c r="U357" s="71" t="str">
        <f t="shared" si="129"/>
        <v>O</v>
      </c>
      <c r="V357" s="71"/>
      <c r="W357" s="482">
        <f t="shared" si="130"/>
        <v>271000</v>
      </c>
      <c r="X357" s="71"/>
      <c r="Y357" s="71"/>
    </row>
    <row r="358" spans="1:25" ht="30" hidden="1" customHeight="1" x14ac:dyDescent="0.25">
      <c r="A358" s="82">
        <v>170929</v>
      </c>
      <c r="B358" s="664" t="s">
        <v>444</v>
      </c>
      <c r="C358" s="71" t="s">
        <v>131</v>
      </c>
      <c r="D358" s="71">
        <v>4</v>
      </c>
      <c r="E358" s="102">
        <v>135000</v>
      </c>
      <c r="F358" s="102">
        <f t="shared" si="132"/>
        <v>594000</v>
      </c>
      <c r="G358" s="102">
        <f t="shared" si="133"/>
        <v>540000</v>
      </c>
      <c r="H358" s="690" t="s">
        <v>173</v>
      </c>
      <c r="I358" s="71" t="s">
        <v>108</v>
      </c>
      <c r="J358" s="53">
        <f>(G358-(VLOOKUP(C358,Price!B:D,3,FALSE)*D358))</f>
        <v>100000</v>
      </c>
      <c r="K358" s="63">
        <f t="shared" si="134"/>
        <v>0.18518518518518517</v>
      </c>
      <c r="L358" s="788">
        <v>17.100000000000001</v>
      </c>
      <c r="M358" s="468"/>
      <c r="N358" s="664">
        <f t="shared" si="119"/>
        <v>170929</v>
      </c>
      <c r="O358" s="71" t="s">
        <v>148</v>
      </c>
      <c r="P358" s="103" t="str">
        <f t="shared" si="131"/>
        <v>UV wash(20L)</v>
      </c>
      <c r="Q358" s="71">
        <f t="shared" si="120"/>
        <v>4</v>
      </c>
      <c r="R358" s="102">
        <v>110000</v>
      </c>
      <c r="S358" s="102">
        <f t="shared" si="125"/>
        <v>484000.00000000006</v>
      </c>
      <c r="T358" s="102">
        <f t="shared" si="126"/>
        <v>440000</v>
      </c>
      <c r="U358" s="71" t="str">
        <f t="shared" si="129"/>
        <v>O</v>
      </c>
      <c r="V358" s="71"/>
      <c r="W358" s="482">
        <f t="shared" si="130"/>
        <v>100000</v>
      </c>
      <c r="X358" s="71"/>
      <c r="Y358" s="71"/>
    </row>
    <row r="359" spans="1:25" ht="30" hidden="1" customHeight="1" x14ac:dyDescent="0.25">
      <c r="A359" s="82">
        <v>170929</v>
      </c>
      <c r="B359" s="664" t="s">
        <v>590</v>
      </c>
      <c r="C359" s="71" t="s">
        <v>524</v>
      </c>
      <c r="D359" s="71">
        <v>900</v>
      </c>
      <c r="E359" s="102">
        <v>3990</v>
      </c>
      <c r="F359" s="102">
        <f t="shared" si="132"/>
        <v>3950100.0000000005</v>
      </c>
      <c r="G359" s="102">
        <f t="shared" si="133"/>
        <v>3591000</v>
      </c>
      <c r="H359" s="690" t="s">
        <v>173</v>
      </c>
      <c r="I359" s="71" t="s">
        <v>140</v>
      </c>
      <c r="J359" s="53">
        <f>(G359-(VLOOKUP(C359,Price!B:D,3,FALSE)*D359))</f>
        <v>1125000</v>
      </c>
      <c r="K359" s="63">
        <f t="shared" si="134"/>
        <v>0.31328320802005011</v>
      </c>
      <c r="L359" s="792">
        <v>17.100000000000001</v>
      </c>
      <c r="M359" s="468"/>
      <c r="N359" s="664">
        <f t="shared" si="119"/>
        <v>170929</v>
      </c>
      <c r="O359" s="71" t="s">
        <v>145</v>
      </c>
      <c r="P359" s="103" t="str">
        <f t="shared" si="131"/>
        <v>ENGAGE 900X570 - 27RO</v>
      </c>
      <c r="Q359" s="71">
        <f t="shared" si="120"/>
        <v>900</v>
      </c>
      <c r="R359" s="102">
        <v>2740</v>
      </c>
      <c r="S359" s="102">
        <f t="shared" si="125"/>
        <v>2712600</v>
      </c>
      <c r="T359" s="102">
        <f t="shared" si="126"/>
        <v>2466000</v>
      </c>
      <c r="U359" s="71" t="str">
        <f t="shared" si="129"/>
        <v>O</v>
      </c>
      <c r="V359" s="71"/>
      <c r="W359" s="482">
        <f t="shared" si="130"/>
        <v>1125000</v>
      </c>
      <c r="X359" s="71"/>
      <c r="Y359" s="71"/>
    </row>
    <row r="360" spans="1:25" ht="30" hidden="1" customHeight="1" x14ac:dyDescent="0.25">
      <c r="A360" s="82">
        <v>170929</v>
      </c>
      <c r="B360" s="664" t="s">
        <v>590</v>
      </c>
      <c r="C360" s="67" t="s">
        <v>197</v>
      </c>
      <c r="D360" s="71">
        <v>10</v>
      </c>
      <c r="E360" s="102">
        <v>58000</v>
      </c>
      <c r="F360" s="102">
        <f t="shared" si="132"/>
        <v>638000</v>
      </c>
      <c r="G360" s="102">
        <f t="shared" si="133"/>
        <v>580000</v>
      </c>
      <c r="H360" s="690" t="s">
        <v>173</v>
      </c>
      <c r="I360" s="71" t="s">
        <v>140</v>
      </c>
      <c r="J360" s="53">
        <f>(G360-(VLOOKUP(C360,Price!B:D,3,FALSE)*D360))</f>
        <v>230000</v>
      </c>
      <c r="K360" s="63">
        <f t="shared" si="134"/>
        <v>0.39655172413793105</v>
      </c>
      <c r="L360" s="792">
        <v>17.100000000000001</v>
      </c>
      <c r="M360" s="468"/>
      <c r="N360" s="664">
        <f t="shared" si="119"/>
        <v>170929</v>
      </c>
      <c r="O360" s="71" t="s">
        <v>145</v>
      </c>
      <c r="P360" s="103" t="str">
        <f t="shared" si="131"/>
        <v>THR200(20L)</v>
      </c>
      <c r="Q360" s="71">
        <f t="shared" si="120"/>
        <v>10</v>
      </c>
      <c r="R360" s="102">
        <v>35000</v>
      </c>
      <c r="S360" s="102">
        <f t="shared" si="125"/>
        <v>385000.00000000006</v>
      </c>
      <c r="T360" s="102">
        <f t="shared" si="126"/>
        <v>350000</v>
      </c>
      <c r="U360" s="71" t="str">
        <f t="shared" si="129"/>
        <v>O</v>
      </c>
      <c r="V360" s="71"/>
      <c r="W360" s="482">
        <f t="shared" si="130"/>
        <v>230000</v>
      </c>
      <c r="X360" s="71"/>
      <c r="Y360" s="71"/>
    </row>
    <row r="361" spans="1:25" ht="30" hidden="1" customHeight="1" x14ac:dyDescent="0.25">
      <c r="A361" s="82">
        <v>170929</v>
      </c>
      <c r="B361" s="664" t="s">
        <v>590</v>
      </c>
      <c r="C361" s="71" t="s">
        <v>585</v>
      </c>
      <c r="D361" s="71">
        <v>24</v>
      </c>
      <c r="E361" s="147">
        <v>7500</v>
      </c>
      <c r="F361" s="102">
        <f t="shared" ref="F361:F370" si="135">(E361*D361)*1.1</f>
        <v>198000.00000000003</v>
      </c>
      <c r="G361" s="102">
        <f t="shared" ref="G361:G370" si="136">(E361*D361)</f>
        <v>180000</v>
      </c>
      <c r="H361" s="690" t="s">
        <v>173</v>
      </c>
      <c r="I361" s="71" t="s">
        <v>144</v>
      </c>
      <c r="J361" s="53">
        <f>(G361-(VLOOKUP(C361,Price!B:D,3,FALSE)*D361))</f>
        <v>17520</v>
      </c>
      <c r="K361" s="63">
        <f t="shared" si="134"/>
        <v>9.7333333333333313E-2</v>
      </c>
      <c r="L361" s="788">
        <v>17.100000000000001</v>
      </c>
      <c r="M361" s="468"/>
      <c r="N361" s="664">
        <f t="shared" si="119"/>
        <v>170929</v>
      </c>
      <c r="O361" s="71" t="s">
        <v>147</v>
      </c>
      <c r="P361" s="103" t="str">
        <f t="shared" si="131"/>
        <v>프리미어(적)</v>
      </c>
      <c r="Q361" s="71">
        <f t="shared" si="120"/>
        <v>24</v>
      </c>
      <c r="R361" s="102">
        <v>6770</v>
      </c>
      <c r="S361" s="102">
        <f t="shared" si="125"/>
        <v>178728</v>
      </c>
      <c r="T361" s="102">
        <f t="shared" si="126"/>
        <v>162480</v>
      </c>
      <c r="U361" s="71" t="str">
        <f t="shared" si="129"/>
        <v>O</v>
      </c>
      <c r="V361" s="71"/>
      <c r="W361" s="482">
        <f t="shared" si="130"/>
        <v>17520</v>
      </c>
      <c r="X361" s="71"/>
      <c r="Y361" s="71"/>
    </row>
    <row r="362" spans="1:25" ht="30" hidden="1" customHeight="1" x14ac:dyDescent="0.25">
      <c r="A362" s="82">
        <v>170929</v>
      </c>
      <c r="B362" s="664" t="s">
        <v>590</v>
      </c>
      <c r="C362" s="71" t="s">
        <v>586</v>
      </c>
      <c r="D362" s="71">
        <v>60</v>
      </c>
      <c r="E362" s="102">
        <v>6750</v>
      </c>
      <c r="F362" s="102">
        <f t="shared" si="135"/>
        <v>445500.00000000006</v>
      </c>
      <c r="G362" s="102">
        <f t="shared" si="136"/>
        <v>405000</v>
      </c>
      <c r="H362" s="690" t="s">
        <v>173</v>
      </c>
      <c r="I362" s="71" t="s">
        <v>144</v>
      </c>
      <c r="J362" s="53">
        <f>(G362-(VLOOKUP(C362,Price!B:D,3,FALSE)*D362))</f>
        <v>34200</v>
      </c>
      <c r="K362" s="63">
        <f t="shared" si="134"/>
        <v>8.4444444444444433E-2</v>
      </c>
      <c r="L362" s="792">
        <v>17.100000000000001</v>
      </c>
      <c r="M362" s="468"/>
      <c r="N362" s="664">
        <f t="shared" si="119"/>
        <v>170929</v>
      </c>
      <c r="O362" s="71" t="s">
        <v>147</v>
      </c>
      <c r="P362" s="103" t="str">
        <f t="shared" si="131"/>
        <v>프리미어(황)</v>
      </c>
      <c r="Q362" s="71">
        <f t="shared" si="120"/>
        <v>60</v>
      </c>
      <c r="R362" s="102">
        <v>6180</v>
      </c>
      <c r="S362" s="102">
        <f t="shared" si="125"/>
        <v>407880.00000000006</v>
      </c>
      <c r="T362" s="102">
        <f t="shared" si="126"/>
        <v>370800</v>
      </c>
      <c r="U362" s="71" t="str">
        <f t="shared" si="129"/>
        <v>O</v>
      </c>
      <c r="V362" s="71"/>
      <c r="W362" s="482">
        <f t="shared" si="130"/>
        <v>34200</v>
      </c>
      <c r="X362" s="71"/>
      <c r="Y362" s="71"/>
    </row>
    <row r="363" spans="1:25" s="602" customFormat="1" ht="30" hidden="1" customHeight="1" x14ac:dyDescent="0.25">
      <c r="A363" s="85">
        <v>170929</v>
      </c>
      <c r="B363" s="668" t="s">
        <v>590</v>
      </c>
      <c r="C363" s="84" t="s">
        <v>587</v>
      </c>
      <c r="D363" s="84">
        <v>60</v>
      </c>
      <c r="E363" s="189">
        <v>8000</v>
      </c>
      <c r="F363" s="189">
        <f t="shared" si="135"/>
        <v>528000</v>
      </c>
      <c r="G363" s="189">
        <f t="shared" si="136"/>
        <v>480000</v>
      </c>
      <c r="H363" s="691" t="s">
        <v>173</v>
      </c>
      <c r="I363" s="84" t="s">
        <v>144</v>
      </c>
      <c r="J363" s="61">
        <f>(G363-(VLOOKUP(C363,Price!B:D,3,FALSE)*D363))</f>
        <v>65400</v>
      </c>
      <c r="K363" s="62">
        <f t="shared" si="134"/>
        <v>0.13625000000000001</v>
      </c>
      <c r="L363" s="793">
        <v>17.100000000000001</v>
      </c>
      <c r="M363" s="601"/>
      <c r="N363" s="668">
        <f t="shared" si="119"/>
        <v>170929</v>
      </c>
      <c r="O363" s="84" t="s">
        <v>147</v>
      </c>
      <c r="P363" s="133" t="str">
        <f t="shared" si="131"/>
        <v>프리미어(청)</v>
      </c>
      <c r="Q363" s="84">
        <f t="shared" si="120"/>
        <v>60</v>
      </c>
      <c r="R363" s="189">
        <v>6910</v>
      </c>
      <c r="S363" s="189">
        <f t="shared" si="125"/>
        <v>456060.00000000006</v>
      </c>
      <c r="T363" s="189">
        <f t="shared" si="126"/>
        <v>414600</v>
      </c>
      <c r="U363" s="84" t="str">
        <f t="shared" si="129"/>
        <v>O</v>
      </c>
      <c r="V363" s="84"/>
      <c r="W363" s="481">
        <f t="shared" si="130"/>
        <v>65400</v>
      </c>
      <c r="X363" s="84"/>
      <c r="Y363" s="84"/>
    </row>
    <row r="364" spans="1:25" ht="30" hidden="1" customHeight="1" x14ac:dyDescent="0.25">
      <c r="A364" s="80">
        <v>171011</v>
      </c>
      <c r="B364" s="663" t="s">
        <v>690</v>
      </c>
      <c r="C364" s="73" t="s">
        <v>825</v>
      </c>
      <c r="D364" s="73">
        <v>2</v>
      </c>
      <c r="E364" s="147">
        <v>150000</v>
      </c>
      <c r="F364" s="147">
        <f t="shared" si="135"/>
        <v>330000</v>
      </c>
      <c r="G364" s="147">
        <f t="shared" si="136"/>
        <v>300000</v>
      </c>
      <c r="H364" s="689" t="s">
        <v>173</v>
      </c>
      <c r="I364" s="73" t="s">
        <v>142</v>
      </c>
      <c r="J364" s="60">
        <f>G364-T364</f>
        <v>110000</v>
      </c>
      <c r="K364" s="427">
        <f t="shared" ref="K364:K370" si="137">(J364/(F364/11*10))</f>
        <v>0.36666666666666664</v>
      </c>
      <c r="L364" s="788">
        <v>17.100000000000001</v>
      </c>
      <c r="M364" s="584"/>
      <c r="N364" s="663">
        <f t="shared" si="119"/>
        <v>171011</v>
      </c>
      <c r="O364" s="73" t="s">
        <v>150</v>
      </c>
      <c r="P364" s="132" t="str">
        <f t="shared" si="131"/>
        <v>독일제 정품 잉크호일 아스테이지</v>
      </c>
      <c r="Q364" s="73">
        <f t="shared" si="120"/>
        <v>2</v>
      </c>
      <c r="R364" s="147">
        <v>95000</v>
      </c>
      <c r="S364" s="147">
        <f t="shared" si="125"/>
        <v>209000.00000000003</v>
      </c>
      <c r="T364" s="147">
        <f t="shared" si="126"/>
        <v>190000</v>
      </c>
      <c r="U364" s="73" t="str">
        <f t="shared" si="129"/>
        <v>O</v>
      </c>
      <c r="V364" s="73"/>
      <c r="W364" s="482">
        <f t="shared" si="130"/>
        <v>110000</v>
      </c>
      <c r="X364" s="73"/>
      <c r="Y364" s="73"/>
    </row>
    <row r="365" spans="1:25" ht="30" hidden="1" customHeight="1" x14ac:dyDescent="0.25">
      <c r="A365" s="82">
        <v>171011</v>
      </c>
      <c r="B365" s="664" t="s">
        <v>558</v>
      </c>
      <c r="C365" s="71" t="s">
        <v>559</v>
      </c>
      <c r="D365" s="71">
        <v>5</v>
      </c>
      <c r="E365" s="102">
        <v>130000</v>
      </c>
      <c r="F365" s="102">
        <f t="shared" si="135"/>
        <v>715000</v>
      </c>
      <c r="G365" s="102">
        <f t="shared" si="136"/>
        <v>650000</v>
      </c>
      <c r="H365" s="690" t="s">
        <v>173</v>
      </c>
      <c r="I365" s="71" t="s">
        <v>109</v>
      </c>
      <c r="J365" s="53">
        <f>(G365-(VLOOKUP(C365,Price!B:D,3,FALSE)*D365))</f>
        <v>225000</v>
      </c>
      <c r="K365" s="63">
        <f t="shared" si="137"/>
        <v>0.34615384615384615</v>
      </c>
      <c r="L365" s="792">
        <v>17.100000000000001</v>
      </c>
      <c r="M365" s="468"/>
      <c r="N365" s="664">
        <f t="shared" si="119"/>
        <v>171011</v>
      </c>
      <c r="O365" s="71" t="s">
        <v>560</v>
      </c>
      <c r="P365" s="132" t="str">
        <f>(C365)</f>
        <v>Blanket(1050*840)bar</v>
      </c>
      <c r="Q365" s="73">
        <f t="shared" si="120"/>
        <v>5</v>
      </c>
      <c r="R365" s="147">
        <v>85000</v>
      </c>
      <c r="S365" s="147">
        <f>(R365*D365)*1.1</f>
        <v>467500.00000000006</v>
      </c>
      <c r="T365" s="147">
        <f>(R365*Q365)</f>
        <v>425000</v>
      </c>
      <c r="U365" s="73" t="str">
        <f t="shared" si="129"/>
        <v>O</v>
      </c>
      <c r="V365" s="71"/>
      <c r="W365" s="482">
        <f t="shared" si="130"/>
        <v>225000</v>
      </c>
      <c r="X365" s="71"/>
      <c r="Y365" s="71"/>
    </row>
    <row r="366" spans="1:25" ht="30" hidden="1" customHeight="1" x14ac:dyDescent="0.25">
      <c r="A366" s="82">
        <v>171011</v>
      </c>
      <c r="B366" s="664" t="s">
        <v>748</v>
      </c>
      <c r="C366" s="71" t="s">
        <v>846</v>
      </c>
      <c r="D366" s="71">
        <v>1</v>
      </c>
      <c r="E366" s="102">
        <v>700000</v>
      </c>
      <c r="F366" s="102">
        <f t="shared" si="135"/>
        <v>770000.00000000012</v>
      </c>
      <c r="G366" s="102">
        <f t="shared" si="136"/>
        <v>700000</v>
      </c>
      <c r="H366" s="1010" t="s">
        <v>39</v>
      </c>
      <c r="I366" s="71"/>
      <c r="J366" s="53">
        <f>(G366-(VLOOKUP(C366,Import!C:G,4,FALSE)*D366))</f>
        <v>700000</v>
      </c>
      <c r="K366" s="63">
        <f t="shared" si="137"/>
        <v>0.99999999999999989</v>
      </c>
      <c r="L366" s="792">
        <v>17.100000000000001</v>
      </c>
      <c r="M366" s="468"/>
      <c r="N366" s="664">
        <f t="shared" si="119"/>
        <v>171011</v>
      </c>
      <c r="O366" s="991" t="s">
        <v>39</v>
      </c>
      <c r="P366" s="103" t="str">
        <f t="shared" si="131"/>
        <v>ph미터</v>
      </c>
      <c r="Q366" s="71">
        <f t="shared" si="120"/>
        <v>1</v>
      </c>
      <c r="R366" s="102"/>
      <c r="S366" s="102"/>
      <c r="T366" s="102"/>
      <c r="U366" s="71"/>
      <c r="V366" s="71"/>
      <c r="X366" s="71"/>
      <c r="Y366" s="71"/>
    </row>
    <row r="367" spans="1:25" ht="30.75" hidden="1" customHeight="1" x14ac:dyDescent="0.25">
      <c r="A367" s="82">
        <v>171011</v>
      </c>
      <c r="B367" s="664" t="s">
        <v>590</v>
      </c>
      <c r="C367" s="71" t="s">
        <v>585</v>
      </c>
      <c r="D367" s="71">
        <v>60</v>
      </c>
      <c r="E367" s="102">
        <v>7500</v>
      </c>
      <c r="F367" s="102">
        <f t="shared" si="135"/>
        <v>495000.00000000006</v>
      </c>
      <c r="G367" s="102">
        <f t="shared" si="136"/>
        <v>450000</v>
      </c>
      <c r="H367" s="690" t="s">
        <v>173</v>
      </c>
      <c r="I367" s="71" t="s">
        <v>144</v>
      </c>
      <c r="J367" s="53">
        <f>(G367-(VLOOKUP(C367,Price!B:D,3,FALSE)*D367))</f>
        <v>43800</v>
      </c>
      <c r="K367" s="63">
        <f t="shared" si="137"/>
        <v>9.7333333333333327E-2</v>
      </c>
      <c r="L367" s="792">
        <v>17.100000000000001</v>
      </c>
      <c r="M367" s="468"/>
      <c r="N367" s="664">
        <f t="shared" si="119"/>
        <v>171011</v>
      </c>
      <c r="O367" s="71" t="s">
        <v>147</v>
      </c>
      <c r="P367" s="132" t="str">
        <f t="shared" si="131"/>
        <v>프리미어(적)</v>
      </c>
      <c r="Q367" s="73">
        <f t="shared" si="120"/>
        <v>60</v>
      </c>
      <c r="R367" s="147">
        <v>6770</v>
      </c>
      <c r="S367" s="147">
        <f t="shared" ref="S367:S373" si="138">R367*Q367*1.1</f>
        <v>446820.00000000006</v>
      </c>
      <c r="T367" s="147">
        <f t="shared" ref="T367:T373" si="139">R367*Q367</f>
        <v>406200</v>
      </c>
      <c r="U367" s="73" t="str">
        <f t="shared" ref="U367:U378" si="140">IF(J367=W367,"O", "X")</f>
        <v>O</v>
      </c>
      <c r="V367" s="71"/>
      <c r="W367" s="482">
        <f t="shared" ref="W367:W378" si="141">(G367-T367)</f>
        <v>43800</v>
      </c>
      <c r="X367" s="71"/>
      <c r="Y367" s="71"/>
    </row>
    <row r="368" spans="1:25" ht="30" hidden="1" customHeight="1" x14ac:dyDescent="0.25">
      <c r="A368" s="82">
        <v>171011</v>
      </c>
      <c r="B368" s="664" t="s">
        <v>590</v>
      </c>
      <c r="C368" s="71" t="s">
        <v>586</v>
      </c>
      <c r="D368" s="71">
        <v>60</v>
      </c>
      <c r="E368" s="102">
        <v>6750</v>
      </c>
      <c r="F368" s="102">
        <f t="shared" si="135"/>
        <v>445500.00000000006</v>
      </c>
      <c r="G368" s="102">
        <f t="shared" si="136"/>
        <v>405000</v>
      </c>
      <c r="H368" s="690" t="s">
        <v>173</v>
      </c>
      <c r="I368" s="71" t="s">
        <v>144</v>
      </c>
      <c r="J368" s="53">
        <f>(G368-(VLOOKUP(C368,Price!B:D,3,FALSE)*D368))</f>
        <v>34200</v>
      </c>
      <c r="K368" s="63">
        <f t="shared" si="137"/>
        <v>8.4444444444444433E-2</v>
      </c>
      <c r="L368" s="792">
        <v>17.100000000000001</v>
      </c>
      <c r="M368" s="468"/>
      <c r="N368" s="664">
        <f t="shared" si="119"/>
        <v>171011</v>
      </c>
      <c r="O368" s="71" t="s">
        <v>147</v>
      </c>
      <c r="P368" s="103" t="str">
        <f t="shared" si="131"/>
        <v>프리미어(황)</v>
      </c>
      <c r="Q368" s="71">
        <f t="shared" si="120"/>
        <v>60</v>
      </c>
      <c r="R368" s="102">
        <v>6180</v>
      </c>
      <c r="S368" s="102">
        <f t="shared" si="138"/>
        <v>407880.00000000006</v>
      </c>
      <c r="T368" s="102">
        <f t="shared" si="139"/>
        <v>370800</v>
      </c>
      <c r="U368" s="71" t="str">
        <f t="shared" si="140"/>
        <v>O</v>
      </c>
      <c r="V368" s="71"/>
      <c r="W368" s="482">
        <f t="shared" si="141"/>
        <v>34200</v>
      </c>
      <c r="X368" s="71"/>
      <c r="Y368" s="71"/>
    </row>
    <row r="369" spans="1:25" ht="30" hidden="1" customHeight="1" x14ac:dyDescent="0.25">
      <c r="A369" s="82">
        <v>171011</v>
      </c>
      <c r="B369" s="664" t="s">
        <v>590</v>
      </c>
      <c r="C369" s="71" t="s">
        <v>587</v>
      </c>
      <c r="D369" s="71">
        <v>60</v>
      </c>
      <c r="E369" s="102">
        <v>8000</v>
      </c>
      <c r="F369" s="102">
        <f t="shared" si="135"/>
        <v>528000</v>
      </c>
      <c r="G369" s="102">
        <f t="shared" si="136"/>
        <v>480000</v>
      </c>
      <c r="H369" s="690" t="s">
        <v>173</v>
      </c>
      <c r="I369" s="71" t="s">
        <v>144</v>
      </c>
      <c r="J369" s="53">
        <f>(G369-(VLOOKUP(C369,Price!B:D,3,FALSE)*D369))</f>
        <v>65400</v>
      </c>
      <c r="K369" s="63">
        <f t="shared" si="137"/>
        <v>0.13625000000000001</v>
      </c>
      <c r="L369" s="792">
        <v>17.100000000000001</v>
      </c>
      <c r="M369" s="468"/>
      <c r="N369" s="664">
        <f t="shared" si="119"/>
        <v>171011</v>
      </c>
      <c r="O369" s="71" t="s">
        <v>147</v>
      </c>
      <c r="P369" s="103" t="str">
        <f t="shared" si="131"/>
        <v>프리미어(청)</v>
      </c>
      <c r="Q369" s="71">
        <f t="shared" si="120"/>
        <v>60</v>
      </c>
      <c r="R369" s="102">
        <v>6910</v>
      </c>
      <c r="S369" s="102">
        <f t="shared" si="138"/>
        <v>456060.00000000006</v>
      </c>
      <c r="T369" s="102">
        <f t="shared" si="139"/>
        <v>414600</v>
      </c>
      <c r="U369" s="71" t="str">
        <f t="shared" si="140"/>
        <v>O</v>
      </c>
      <c r="V369" s="71"/>
      <c r="W369" s="482">
        <f t="shared" si="141"/>
        <v>65400</v>
      </c>
      <c r="X369" s="71"/>
      <c r="Y369" s="71"/>
    </row>
    <row r="370" spans="1:25" s="602" customFormat="1" ht="30" hidden="1" customHeight="1" x14ac:dyDescent="0.25">
      <c r="A370" s="85">
        <v>171011</v>
      </c>
      <c r="B370" s="668" t="s">
        <v>590</v>
      </c>
      <c r="C370" s="84" t="s">
        <v>616</v>
      </c>
      <c r="D370" s="84">
        <v>60</v>
      </c>
      <c r="E370" s="189">
        <v>6600</v>
      </c>
      <c r="F370" s="189">
        <f t="shared" si="135"/>
        <v>435600.00000000006</v>
      </c>
      <c r="G370" s="189">
        <f t="shared" si="136"/>
        <v>396000</v>
      </c>
      <c r="H370" s="691" t="s">
        <v>173</v>
      </c>
      <c r="I370" s="84" t="s">
        <v>144</v>
      </c>
      <c r="J370" s="61">
        <f>(G370-(VLOOKUP(C370,Price!B:D,3,FALSE)*D370))</f>
        <v>42000</v>
      </c>
      <c r="K370" s="62">
        <f t="shared" si="137"/>
        <v>0.10606060606060605</v>
      </c>
      <c r="L370" s="793">
        <v>17.100000000000001</v>
      </c>
      <c r="M370" s="601"/>
      <c r="N370" s="668">
        <f t="shared" si="119"/>
        <v>171011</v>
      </c>
      <c r="O370" s="84" t="s">
        <v>147</v>
      </c>
      <c r="P370" s="133" t="str">
        <f t="shared" si="131"/>
        <v>프리미어(먹)</v>
      </c>
      <c r="Q370" s="84">
        <f t="shared" si="120"/>
        <v>60</v>
      </c>
      <c r="R370" s="189">
        <v>5900</v>
      </c>
      <c r="S370" s="189">
        <f t="shared" si="138"/>
        <v>389400.00000000006</v>
      </c>
      <c r="T370" s="189">
        <f t="shared" si="139"/>
        <v>354000</v>
      </c>
      <c r="U370" s="84" t="str">
        <f t="shared" si="140"/>
        <v>O</v>
      </c>
      <c r="V370" s="84"/>
      <c r="W370" s="481">
        <f t="shared" si="141"/>
        <v>42000</v>
      </c>
      <c r="X370" s="84"/>
      <c r="Y370" s="84"/>
    </row>
    <row r="371" spans="1:25" s="602" customFormat="1" ht="30" hidden="1" customHeight="1" x14ac:dyDescent="0.25">
      <c r="A371" s="85">
        <v>171012</v>
      </c>
      <c r="B371" s="668" t="s">
        <v>590</v>
      </c>
      <c r="C371" s="84" t="s">
        <v>840</v>
      </c>
      <c r="D371" s="84">
        <v>15</v>
      </c>
      <c r="E371" s="189">
        <v>13500</v>
      </c>
      <c r="F371" s="198">
        <f t="shared" ref="F371:F400" si="142">(E371*D371)*1.1</f>
        <v>222750.00000000003</v>
      </c>
      <c r="G371" s="198">
        <f t="shared" ref="G371:G400" si="143">(E371*D371)</f>
        <v>202500</v>
      </c>
      <c r="H371" s="696" t="s">
        <v>173</v>
      </c>
      <c r="I371" s="84" t="s">
        <v>144</v>
      </c>
      <c r="J371" s="61">
        <f>F371-S371</f>
        <v>66990.000000000029</v>
      </c>
      <c r="K371" s="62">
        <f t="shared" ref="K371:K389" si="144">(J371/(F371/11*10))</f>
        <v>0.33081481481481489</v>
      </c>
      <c r="L371" s="793">
        <v>17.100000000000001</v>
      </c>
      <c r="M371" s="601"/>
      <c r="N371" s="668">
        <f t="shared" si="119"/>
        <v>171012</v>
      </c>
      <c r="O371" s="84" t="s">
        <v>147</v>
      </c>
      <c r="P371" s="133" t="str">
        <f t="shared" ref="P371:P379" si="145">C371</f>
        <v>잉크 별색</v>
      </c>
      <c r="Q371" s="84">
        <f t="shared" si="120"/>
        <v>15</v>
      </c>
      <c r="R371" s="189">
        <v>9440</v>
      </c>
      <c r="S371" s="189">
        <f t="shared" si="138"/>
        <v>155760</v>
      </c>
      <c r="T371" s="189">
        <f t="shared" si="139"/>
        <v>141600</v>
      </c>
      <c r="U371" s="84" t="str">
        <f t="shared" si="140"/>
        <v>X</v>
      </c>
      <c r="V371" s="84"/>
      <c r="W371" s="481">
        <f t="shared" si="141"/>
        <v>60900</v>
      </c>
      <c r="X371" s="84"/>
      <c r="Y371" s="84"/>
    </row>
    <row r="372" spans="1:25" s="610" customFormat="1" ht="30" hidden="1" customHeight="1" x14ac:dyDescent="0.25">
      <c r="A372" s="89">
        <v>171013</v>
      </c>
      <c r="B372" s="673" t="s">
        <v>546</v>
      </c>
      <c r="C372" s="88" t="s">
        <v>121</v>
      </c>
      <c r="D372" s="88">
        <v>8</v>
      </c>
      <c r="E372" s="470">
        <v>110000</v>
      </c>
      <c r="F372" s="470">
        <f t="shared" si="142"/>
        <v>968000.00000000012</v>
      </c>
      <c r="G372" s="470">
        <f t="shared" si="143"/>
        <v>880000</v>
      </c>
      <c r="H372" s="695" t="s">
        <v>173</v>
      </c>
      <c r="I372" s="88" t="s">
        <v>142</v>
      </c>
      <c r="J372" s="107">
        <f>(G372-(VLOOKUP(C372,Price!B:D,3,FALSE)*D372))</f>
        <v>152000</v>
      </c>
      <c r="K372" s="469">
        <f t="shared" si="144"/>
        <v>0.1727272727272727</v>
      </c>
      <c r="L372" s="797">
        <v>17.100000000000001</v>
      </c>
      <c r="M372" s="575"/>
      <c r="N372" s="673">
        <f t="shared" si="119"/>
        <v>171013</v>
      </c>
      <c r="O372" s="88" t="s">
        <v>150</v>
      </c>
      <c r="P372" s="134" t="str">
        <f t="shared" si="145"/>
        <v>윤전용 실리콘</v>
      </c>
      <c r="Q372" s="88">
        <f t="shared" si="120"/>
        <v>8</v>
      </c>
      <c r="R372" s="470">
        <v>91000</v>
      </c>
      <c r="S372" s="470">
        <f t="shared" si="138"/>
        <v>800800.00000000012</v>
      </c>
      <c r="T372" s="470">
        <f t="shared" si="139"/>
        <v>728000</v>
      </c>
      <c r="U372" s="88" t="str">
        <f t="shared" si="140"/>
        <v>O</v>
      </c>
      <c r="V372" s="88"/>
      <c r="W372" s="483">
        <f t="shared" si="141"/>
        <v>152000</v>
      </c>
      <c r="X372" s="88"/>
      <c r="Y372" s="88"/>
    </row>
    <row r="373" spans="1:25" s="610" customFormat="1" ht="30" customHeight="1" x14ac:dyDescent="0.25">
      <c r="A373" s="89">
        <v>171015</v>
      </c>
      <c r="B373" s="673" t="s">
        <v>565</v>
      </c>
      <c r="C373" s="88" t="s">
        <v>129</v>
      </c>
      <c r="D373" s="88">
        <v>5</v>
      </c>
      <c r="E373" s="470">
        <v>272000</v>
      </c>
      <c r="F373" s="470">
        <f t="shared" si="142"/>
        <v>1496000.0000000002</v>
      </c>
      <c r="G373" s="470">
        <f t="shared" si="143"/>
        <v>1360000</v>
      </c>
      <c r="H373" s="695" t="s">
        <v>173</v>
      </c>
      <c r="I373" s="88" t="s">
        <v>108</v>
      </c>
      <c r="J373" s="107">
        <f>(G373-(VLOOKUP(C373,Price!B:D,3,FALSE)*D373))</f>
        <v>320000</v>
      </c>
      <c r="K373" s="469">
        <f t="shared" si="144"/>
        <v>0.23529411764705879</v>
      </c>
      <c r="L373" s="797">
        <v>17.100000000000001</v>
      </c>
      <c r="M373" s="575"/>
      <c r="N373" s="673">
        <f t="shared" si="119"/>
        <v>171015</v>
      </c>
      <c r="O373" s="88" t="s">
        <v>149</v>
      </c>
      <c r="P373" s="134" t="str">
        <f t="shared" si="145"/>
        <v>세정포-XL106</v>
      </c>
      <c r="Q373" s="88">
        <f t="shared" si="120"/>
        <v>5</v>
      </c>
      <c r="R373" s="470">
        <v>208000</v>
      </c>
      <c r="S373" s="470">
        <f t="shared" si="138"/>
        <v>1144000</v>
      </c>
      <c r="T373" s="470">
        <f t="shared" si="139"/>
        <v>1040000</v>
      </c>
      <c r="U373" s="88" t="str">
        <f t="shared" si="140"/>
        <v>O</v>
      </c>
      <c r="V373" s="88"/>
      <c r="W373" s="483">
        <f t="shared" si="141"/>
        <v>320000</v>
      </c>
      <c r="X373" s="88"/>
      <c r="Y373" s="88"/>
    </row>
    <row r="374" spans="1:25" ht="30" customHeight="1" x14ac:dyDescent="0.25">
      <c r="A374" s="796">
        <v>171016</v>
      </c>
      <c r="B374" s="663" t="s">
        <v>565</v>
      </c>
      <c r="C374" s="73" t="s">
        <v>584</v>
      </c>
      <c r="D374" s="73">
        <v>2</v>
      </c>
      <c r="E374" s="147">
        <v>270000</v>
      </c>
      <c r="F374" s="147">
        <f t="shared" si="142"/>
        <v>594000</v>
      </c>
      <c r="G374" s="147">
        <f t="shared" si="143"/>
        <v>540000</v>
      </c>
      <c r="H374" s="689" t="s">
        <v>173</v>
      </c>
      <c r="I374" s="73" t="s">
        <v>142</v>
      </c>
      <c r="J374" s="60">
        <f>(G374-(VLOOKUP(C374,Price!B:D,3,FALSE)*D374))</f>
        <v>108000</v>
      </c>
      <c r="K374" s="427">
        <f t="shared" si="144"/>
        <v>0.2</v>
      </c>
      <c r="L374" s="788">
        <v>17.100000000000001</v>
      </c>
      <c r="M374" s="584"/>
      <c r="N374" s="663">
        <f t="shared" si="119"/>
        <v>171016</v>
      </c>
      <c r="O374" s="73" t="s">
        <v>150</v>
      </c>
      <c r="P374" s="132" t="str">
        <f>(C374)</f>
        <v>데리바리 석션벨트</v>
      </c>
      <c r="Q374" s="73">
        <f t="shared" si="120"/>
        <v>2</v>
      </c>
      <c r="R374" s="147">
        <v>216000</v>
      </c>
      <c r="S374" s="147">
        <f>(R374*D374)*1.1</f>
        <v>475200.00000000006</v>
      </c>
      <c r="T374" s="147">
        <f>(R374*Q374)</f>
        <v>432000</v>
      </c>
      <c r="U374" s="73" t="str">
        <f t="shared" si="140"/>
        <v>O</v>
      </c>
      <c r="V374" s="73"/>
      <c r="W374" s="482">
        <f t="shared" si="141"/>
        <v>108000</v>
      </c>
      <c r="X374" s="73"/>
      <c r="Y374" s="73"/>
    </row>
    <row r="375" spans="1:25" s="602" customFormat="1" ht="30" customHeight="1" x14ac:dyDescent="0.25">
      <c r="A375" s="85">
        <v>171016</v>
      </c>
      <c r="B375" s="668" t="s">
        <v>422</v>
      </c>
      <c r="C375" s="84" t="s">
        <v>130</v>
      </c>
      <c r="D375" s="84">
        <v>10</v>
      </c>
      <c r="E375" s="189">
        <v>125000</v>
      </c>
      <c r="F375" s="189">
        <f t="shared" si="142"/>
        <v>1375000</v>
      </c>
      <c r="G375" s="189">
        <f t="shared" si="143"/>
        <v>1250000</v>
      </c>
      <c r="H375" s="691" t="s">
        <v>173</v>
      </c>
      <c r="I375" s="84" t="s">
        <v>109</v>
      </c>
      <c r="J375" s="61">
        <f>(G375-(VLOOKUP(C375,Price!B:D,3,FALSE)*D375))</f>
        <v>260000</v>
      </c>
      <c r="K375" s="62">
        <f t="shared" si="144"/>
        <v>0.20799999999999999</v>
      </c>
      <c r="L375" s="793">
        <v>17.100000000000001</v>
      </c>
      <c r="M375" s="601"/>
      <c r="N375" s="668">
        <f t="shared" si="119"/>
        <v>171016</v>
      </c>
      <c r="O375" s="84" t="s">
        <v>150</v>
      </c>
      <c r="P375" s="133" t="str">
        <f t="shared" si="145"/>
        <v>XL106 Blanket(1077*885)</v>
      </c>
      <c r="Q375" s="84">
        <f t="shared" si="120"/>
        <v>10</v>
      </c>
      <c r="R375" s="189">
        <v>99000</v>
      </c>
      <c r="S375" s="189">
        <f>R375*Q375*1.1</f>
        <v>1089000</v>
      </c>
      <c r="T375" s="189">
        <f>R375*Q375</f>
        <v>990000</v>
      </c>
      <c r="U375" s="84" t="str">
        <f t="shared" si="140"/>
        <v>O</v>
      </c>
      <c r="V375" s="84"/>
      <c r="W375" s="481">
        <f t="shared" si="141"/>
        <v>260000</v>
      </c>
      <c r="X375" s="84"/>
      <c r="Y375" s="84"/>
    </row>
    <row r="376" spans="1:25" ht="30" hidden="1" customHeight="1" x14ac:dyDescent="0.25">
      <c r="A376" s="80">
        <v>171017</v>
      </c>
      <c r="B376" s="663" t="s">
        <v>590</v>
      </c>
      <c r="C376" s="73" t="s">
        <v>585</v>
      </c>
      <c r="D376" s="73">
        <v>200</v>
      </c>
      <c r="E376" s="147">
        <v>7500</v>
      </c>
      <c r="F376" s="147">
        <f t="shared" si="142"/>
        <v>1650000.0000000002</v>
      </c>
      <c r="G376" s="147">
        <f t="shared" si="143"/>
        <v>1500000</v>
      </c>
      <c r="H376" s="689" t="s">
        <v>173</v>
      </c>
      <c r="I376" s="73" t="s">
        <v>144</v>
      </c>
      <c r="J376" s="60">
        <f>(G376-(VLOOKUP(C376,Price!B:D,3,FALSE)*D376))</f>
        <v>146000</v>
      </c>
      <c r="K376" s="427">
        <f t="shared" si="144"/>
        <v>9.7333333333333313E-2</v>
      </c>
      <c r="L376" s="788">
        <v>17.100000000000001</v>
      </c>
      <c r="M376" s="584"/>
      <c r="N376" s="663">
        <f t="shared" si="119"/>
        <v>171017</v>
      </c>
      <c r="O376" s="73" t="s">
        <v>147</v>
      </c>
      <c r="P376" s="132" t="str">
        <f t="shared" si="145"/>
        <v>프리미어(적)</v>
      </c>
      <c r="Q376" s="73">
        <f t="shared" si="120"/>
        <v>200</v>
      </c>
      <c r="R376" s="147">
        <v>6770</v>
      </c>
      <c r="S376" s="147">
        <f>R376*Q376*1.1</f>
        <v>1489400.0000000002</v>
      </c>
      <c r="T376" s="147">
        <f>R376*Q376</f>
        <v>1354000</v>
      </c>
      <c r="U376" s="73" t="str">
        <f t="shared" si="140"/>
        <v>O</v>
      </c>
      <c r="V376" s="73"/>
      <c r="W376" s="482">
        <f t="shared" si="141"/>
        <v>146000</v>
      </c>
      <c r="X376" s="73"/>
      <c r="Y376" s="73"/>
    </row>
    <row r="377" spans="1:25" s="616" customFormat="1" ht="30" hidden="1" customHeight="1" x14ac:dyDescent="0.25">
      <c r="A377" s="82">
        <v>171017</v>
      </c>
      <c r="B377" s="664" t="s">
        <v>590</v>
      </c>
      <c r="C377" s="71" t="s">
        <v>586</v>
      </c>
      <c r="D377" s="71">
        <v>200</v>
      </c>
      <c r="E377" s="102">
        <v>6750</v>
      </c>
      <c r="F377" s="102">
        <f t="shared" si="142"/>
        <v>1485000.0000000002</v>
      </c>
      <c r="G377" s="102">
        <f t="shared" si="143"/>
        <v>1350000</v>
      </c>
      <c r="H377" s="690" t="s">
        <v>173</v>
      </c>
      <c r="I377" s="71" t="s">
        <v>144</v>
      </c>
      <c r="J377" s="53">
        <f>(G377-(VLOOKUP(C377,Price!B:D,3,FALSE)*D377))</f>
        <v>114000</v>
      </c>
      <c r="K377" s="63">
        <f t="shared" si="144"/>
        <v>8.4444444444444433E-2</v>
      </c>
      <c r="L377" s="792">
        <v>17.100000000000001</v>
      </c>
      <c r="M377" s="468"/>
      <c r="N377" s="664">
        <f t="shared" si="119"/>
        <v>171017</v>
      </c>
      <c r="O377" s="71" t="s">
        <v>147</v>
      </c>
      <c r="P377" s="103" t="str">
        <f t="shared" si="145"/>
        <v>프리미어(황)</v>
      </c>
      <c r="Q377" s="71">
        <f t="shared" si="120"/>
        <v>200</v>
      </c>
      <c r="R377" s="102">
        <v>6180</v>
      </c>
      <c r="S377" s="102">
        <f>R377*Q377*1.1</f>
        <v>1359600</v>
      </c>
      <c r="T377" s="102">
        <f>R377*Q377</f>
        <v>1236000</v>
      </c>
      <c r="U377" s="71" t="str">
        <f t="shared" si="140"/>
        <v>O</v>
      </c>
      <c r="V377" s="71"/>
      <c r="W377" s="520">
        <f t="shared" si="141"/>
        <v>114000</v>
      </c>
      <c r="X377" s="71"/>
      <c r="Y377" s="71"/>
    </row>
    <row r="378" spans="1:25" s="616" customFormat="1" ht="30" hidden="1" customHeight="1" x14ac:dyDescent="0.25">
      <c r="A378" s="80">
        <v>171017</v>
      </c>
      <c r="B378" s="663" t="s">
        <v>590</v>
      </c>
      <c r="C378" s="73" t="s">
        <v>840</v>
      </c>
      <c r="D378" s="73">
        <v>5</v>
      </c>
      <c r="E378" s="147">
        <v>13500</v>
      </c>
      <c r="F378" s="147">
        <f>(E378*D378)*1.1</f>
        <v>74250</v>
      </c>
      <c r="G378" s="147">
        <f>(E378*D378)</f>
        <v>67500</v>
      </c>
      <c r="H378" s="689" t="s">
        <v>173</v>
      </c>
      <c r="I378" s="73" t="s">
        <v>144</v>
      </c>
      <c r="J378" s="60">
        <f>F378-S378</f>
        <v>22329.999999999993</v>
      </c>
      <c r="K378" s="427">
        <f t="shared" ref="K378:K383" si="146">(J378/(F378/11*10))</f>
        <v>0.33081481481481473</v>
      </c>
      <c r="L378" s="788">
        <v>17.100000000000001</v>
      </c>
      <c r="M378" s="584"/>
      <c r="N378" s="663">
        <f t="shared" si="119"/>
        <v>171017</v>
      </c>
      <c r="O378" s="73" t="s">
        <v>147</v>
      </c>
      <c r="P378" s="132" t="str">
        <f t="shared" si="145"/>
        <v>잉크 별색</v>
      </c>
      <c r="Q378" s="73">
        <f t="shared" si="120"/>
        <v>5</v>
      </c>
      <c r="R378" s="147">
        <v>9440</v>
      </c>
      <c r="S378" s="147">
        <f>R378*Q378*1.1</f>
        <v>51920.000000000007</v>
      </c>
      <c r="T378" s="147">
        <f>R378*Q378</f>
        <v>47200</v>
      </c>
      <c r="U378" s="73" t="str">
        <f t="shared" si="140"/>
        <v>X</v>
      </c>
      <c r="V378" s="73"/>
      <c r="W378" s="520">
        <f t="shared" si="141"/>
        <v>20300</v>
      </c>
      <c r="X378" s="73"/>
      <c r="Y378" s="73"/>
    </row>
    <row r="379" spans="1:25" s="616" customFormat="1" ht="30" hidden="1" customHeight="1" x14ac:dyDescent="0.25">
      <c r="A379" s="80">
        <v>171017</v>
      </c>
      <c r="B379" s="663" t="s">
        <v>640</v>
      </c>
      <c r="C379" s="73" t="s">
        <v>114</v>
      </c>
      <c r="D379" s="73">
        <v>50</v>
      </c>
      <c r="E379" s="147">
        <v>18000</v>
      </c>
      <c r="F379" s="147">
        <f>(E379*D379)*1.1</f>
        <v>990000.00000000012</v>
      </c>
      <c r="G379" s="147">
        <f>(E379*D379)</f>
        <v>900000</v>
      </c>
      <c r="H379" s="786" t="s">
        <v>113</v>
      </c>
      <c r="I379" s="73"/>
      <c r="J379" s="53">
        <f>(G379-(VLOOKUP(C379,Price!B:D,3,FALSE)*D379))</f>
        <v>450000</v>
      </c>
      <c r="K379" s="427">
        <f t="shared" si="146"/>
        <v>0.49999999999999994</v>
      </c>
      <c r="L379" s="788">
        <v>17.100000000000001</v>
      </c>
      <c r="M379" s="584"/>
      <c r="N379" s="663">
        <f t="shared" si="119"/>
        <v>171017</v>
      </c>
      <c r="O379" s="807" t="s">
        <v>113</v>
      </c>
      <c r="P379" s="132" t="str">
        <f t="shared" si="145"/>
        <v>스트리퍼</v>
      </c>
      <c r="Q379" s="73">
        <f t="shared" si="120"/>
        <v>50</v>
      </c>
      <c r="R379" s="147"/>
      <c r="S379" s="147"/>
      <c r="T379" s="147"/>
      <c r="U379" s="73"/>
      <c r="V379" s="73"/>
      <c r="W379" s="520"/>
      <c r="X379" s="73"/>
      <c r="Y379" s="73"/>
    </row>
    <row r="380" spans="1:25" s="616" customFormat="1" ht="32.65" hidden="1" customHeight="1" x14ac:dyDescent="0.25">
      <c r="A380" s="80">
        <v>170815</v>
      </c>
      <c r="B380" s="663" t="s">
        <v>575</v>
      </c>
      <c r="C380" s="73" t="s">
        <v>847</v>
      </c>
      <c r="D380" s="73">
        <v>1</v>
      </c>
      <c r="E380" s="147">
        <v>1250000</v>
      </c>
      <c r="F380" s="147">
        <f>(E380*D380)*1.1</f>
        <v>1375000</v>
      </c>
      <c r="G380" s="147">
        <f>(E380*D380)</f>
        <v>1250000</v>
      </c>
      <c r="H380" s="747" t="s">
        <v>165</v>
      </c>
      <c r="I380" s="73"/>
      <c r="J380" s="60">
        <v>1250000</v>
      </c>
      <c r="K380" s="427">
        <f t="shared" si="146"/>
        <v>1</v>
      </c>
      <c r="L380" s="788">
        <v>17.100000000000001</v>
      </c>
      <c r="M380" s="584"/>
      <c r="N380" s="663">
        <f t="shared" si="119"/>
        <v>170815</v>
      </c>
      <c r="O380" s="73"/>
      <c r="P380" s="132"/>
      <c r="Q380" s="73">
        <f t="shared" si="120"/>
        <v>1</v>
      </c>
      <c r="R380" s="147"/>
      <c r="S380" s="147"/>
      <c r="T380" s="147"/>
      <c r="U380" s="73"/>
      <c r="V380" s="73"/>
      <c r="W380" s="520">
        <f>(G380-T380)</f>
        <v>1250000</v>
      </c>
      <c r="X380" s="73"/>
      <c r="Y380" s="73"/>
    </row>
    <row r="381" spans="1:25" s="616" customFormat="1" ht="30" hidden="1" customHeight="1" x14ac:dyDescent="0.25">
      <c r="A381" s="80">
        <v>171017</v>
      </c>
      <c r="B381" s="663" t="s">
        <v>575</v>
      </c>
      <c r="C381" s="73" t="s">
        <v>891</v>
      </c>
      <c r="D381" s="73">
        <v>1</v>
      </c>
      <c r="E381" s="147">
        <v>1100000</v>
      </c>
      <c r="F381" s="147">
        <f t="shared" si="142"/>
        <v>1210000</v>
      </c>
      <c r="G381" s="147">
        <f t="shared" si="143"/>
        <v>1100000</v>
      </c>
      <c r="H381" s="786" t="s">
        <v>113</v>
      </c>
      <c r="I381" s="73"/>
      <c r="J381" s="53">
        <f>(G381-(VLOOKUP(C381,Import!C:G,4,FALSE)*D381))</f>
        <v>1100000</v>
      </c>
      <c r="K381" s="63">
        <f t="shared" si="146"/>
        <v>1</v>
      </c>
      <c r="L381" s="788">
        <v>17.100000000000001</v>
      </c>
      <c r="M381" s="584"/>
      <c r="N381" s="663">
        <f t="shared" si="119"/>
        <v>171017</v>
      </c>
      <c r="O381" s="807" t="s">
        <v>113</v>
      </c>
      <c r="P381" s="132" t="str">
        <f t="shared" ref="P381:P389" si="147">C381</f>
        <v>온도 센서</v>
      </c>
      <c r="Q381" s="73">
        <f t="shared" si="120"/>
        <v>1</v>
      </c>
      <c r="R381" s="147"/>
      <c r="S381" s="147"/>
      <c r="T381" s="147"/>
      <c r="U381" s="73"/>
      <c r="V381" s="73"/>
      <c r="W381" s="520"/>
      <c r="X381" s="73"/>
      <c r="Y381" s="73"/>
    </row>
    <row r="382" spans="1:25" s="657" customFormat="1" ht="30" hidden="1" customHeight="1" x14ac:dyDescent="0.25">
      <c r="A382" s="82">
        <v>171017</v>
      </c>
      <c r="B382" s="664" t="s">
        <v>575</v>
      </c>
      <c r="C382" s="71" t="s">
        <v>892</v>
      </c>
      <c r="D382" s="71">
        <v>4</v>
      </c>
      <c r="E382" s="102">
        <v>220000</v>
      </c>
      <c r="F382" s="102">
        <f t="shared" si="142"/>
        <v>968000.00000000012</v>
      </c>
      <c r="G382" s="102">
        <f t="shared" si="143"/>
        <v>880000</v>
      </c>
      <c r="H382" s="779" t="s">
        <v>113</v>
      </c>
      <c r="I382" s="71"/>
      <c r="J382" s="53">
        <f>(G382-(VLOOKUP(C382,Import!C:G,4,FALSE)*D382))</f>
        <v>880000</v>
      </c>
      <c r="K382" s="63">
        <f t="shared" si="146"/>
        <v>0.99999999999999989</v>
      </c>
      <c r="L382" s="792">
        <v>17.100000000000001</v>
      </c>
      <c r="M382" s="468"/>
      <c r="N382" s="664">
        <f t="shared" si="119"/>
        <v>171017</v>
      </c>
      <c r="O382" s="808" t="s">
        <v>113</v>
      </c>
      <c r="P382" s="103" t="str">
        <f t="shared" si="147"/>
        <v>파이프(1)</v>
      </c>
      <c r="Q382" s="71">
        <f t="shared" si="120"/>
        <v>4</v>
      </c>
      <c r="R382" s="102"/>
      <c r="S382" s="102"/>
      <c r="T382" s="102"/>
      <c r="U382" s="71"/>
      <c r="V382" s="71"/>
      <c r="W382" s="656"/>
      <c r="X382" s="71"/>
      <c r="Y382" s="71"/>
    </row>
    <row r="383" spans="1:25" s="602" customFormat="1" ht="30" hidden="1" customHeight="1" x14ac:dyDescent="0.25">
      <c r="A383" s="612">
        <v>171017</v>
      </c>
      <c r="B383" s="672" t="s">
        <v>575</v>
      </c>
      <c r="C383" s="411" t="s">
        <v>893</v>
      </c>
      <c r="D383" s="411">
        <v>2</v>
      </c>
      <c r="E383" s="198">
        <v>180000</v>
      </c>
      <c r="F383" s="198">
        <f t="shared" si="142"/>
        <v>396000.00000000006</v>
      </c>
      <c r="G383" s="198">
        <f t="shared" si="143"/>
        <v>360000</v>
      </c>
      <c r="H383" s="816" t="s">
        <v>113</v>
      </c>
      <c r="I383" s="411"/>
      <c r="J383" s="53">
        <f>(G383-(VLOOKUP(C383,Import!C:G,4,FALSE)*D383))</f>
        <v>360000</v>
      </c>
      <c r="K383" s="63">
        <f t="shared" si="146"/>
        <v>0.99999999999999989</v>
      </c>
      <c r="L383" s="789">
        <v>17.100000000000001</v>
      </c>
      <c r="M383" s="581"/>
      <c r="N383" s="672">
        <f t="shared" si="119"/>
        <v>171017</v>
      </c>
      <c r="O383" s="730" t="s">
        <v>113</v>
      </c>
      <c r="P383" s="465" t="str">
        <f t="shared" si="147"/>
        <v>파이프(2)</v>
      </c>
      <c r="Q383" s="411">
        <f t="shared" si="120"/>
        <v>2</v>
      </c>
      <c r="R383" s="198"/>
      <c r="S383" s="198"/>
      <c r="T383" s="198"/>
      <c r="U383" s="411"/>
      <c r="V383" s="411"/>
      <c r="W383" s="481"/>
      <c r="X383" s="411"/>
      <c r="Y383" s="411"/>
    </row>
    <row r="384" spans="1:25" s="610" customFormat="1" ht="30" hidden="1" customHeight="1" x14ac:dyDescent="0.25">
      <c r="A384" s="89">
        <v>171019</v>
      </c>
      <c r="B384" s="673" t="s">
        <v>545</v>
      </c>
      <c r="C384" s="88" t="s">
        <v>132</v>
      </c>
      <c r="D384" s="88">
        <v>4</v>
      </c>
      <c r="E384" s="470">
        <v>135000</v>
      </c>
      <c r="F384" s="470">
        <f t="shared" si="142"/>
        <v>594000</v>
      </c>
      <c r="G384" s="470">
        <f t="shared" si="143"/>
        <v>540000</v>
      </c>
      <c r="H384" s="695" t="s">
        <v>173</v>
      </c>
      <c r="I384" s="88" t="s">
        <v>108</v>
      </c>
      <c r="J384" s="107">
        <f>(G384-(VLOOKUP(C384,Price!B:D,3,FALSE)*D384))</f>
        <v>100000</v>
      </c>
      <c r="K384" s="469">
        <f t="shared" si="144"/>
        <v>0.18518518518518517</v>
      </c>
      <c r="L384" s="797">
        <v>17.100000000000001</v>
      </c>
      <c r="M384" s="575"/>
      <c r="N384" s="673">
        <f t="shared" si="119"/>
        <v>171019</v>
      </c>
      <c r="O384" s="88" t="s">
        <v>148</v>
      </c>
      <c r="P384" s="134" t="str">
        <f t="shared" si="147"/>
        <v>UV wash(20L)</v>
      </c>
      <c r="Q384" s="88">
        <f t="shared" si="120"/>
        <v>4</v>
      </c>
      <c r="R384" s="470">
        <v>110000</v>
      </c>
      <c r="S384" s="470">
        <f>R384*Q384*1.1</f>
        <v>484000.00000000006</v>
      </c>
      <c r="T384" s="470">
        <f>R384*Q384</f>
        <v>440000</v>
      </c>
      <c r="U384" s="88" t="str">
        <f t="shared" ref="U384:U407" si="148">IF(J384=W384,"O", "X")</f>
        <v>O</v>
      </c>
      <c r="V384" s="88"/>
      <c r="W384" s="483">
        <f t="shared" ref="W384:W407" si="149">(G384-T384)</f>
        <v>100000</v>
      </c>
      <c r="X384" s="88"/>
      <c r="Y384" s="88"/>
    </row>
    <row r="385" spans="1:25" ht="30" hidden="1" customHeight="1" x14ac:dyDescent="0.25">
      <c r="A385" s="80">
        <v>171020</v>
      </c>
      <c r="B385" s="663" t="s">
        <v>764</v>
      </c>
      <c r="C385" s="73" t="s">
        <v>236</v>
      </c>
      <c r="D385" s="73">
        <v>5</v>
      </c>
      <c r="E385" s="147">
        <v>100000</v>
      </c>
      <c r="F385" s="147">
        <f t="shared" si="142"/>
        <v>550000</v>
      </c>
      <c r="G385" s="147">
        <f t="shared" si="143"/>
        <v>500000</v>
      </c>
      <c r="H385" s="689" t="s">
        <v>173</v>
      </c>
      <c r="I385" s="73" t="s">
        <v>142</v>
      </c>
      <c r="J385" s="60">
        <f>(G385-(VLOOKUP(C385,Price!B:D,3,FALSE)*D385))</f>
        <v>250000</v>
      </c>
      <c r="K385" s="427">
        <f t="shared" si="144"/>
        <v>0.5</v>
      </c>
      <c r="L385" s="788">
        <v>17.100000000000001</v>
      </c>
      <c r="M385" s="584"/>
      <c r="N385" s="663">
        <f t="shared" si="119"/>
        <v>171020</v>
      </c>
      <c r="O385" s="73" t="s">
        <v>153</v>
      </c>
      <c r="P385" s="132" t="str">
        <f>(C385)</f>
        <v>아스테이지(국전)</v>
      </c>
      <c r="Q385" s="73">
        <f t="shared" si="120"/>
        <v>5</v>
      </c>
      <c r="R385" s="147">
        <v>50000</v>
      </c>
      <c r="S385" s="147">
        <f>(R385*D385)*1.1</f>
        <v>275000</v>
      </c>
      <c r="T385" s="147">
        <f>(R385*Q385)</f>
        <v>250000</v>
      </c>
      <c r="U385" s="73" t="str">
        <f t="shared" si="148"/>
        <v>O</v>
      </c>
      <c r="V385" s="73"/>
      <c r="W385" s="482">
        <f t="shared" si="149"/>
        <v>250000</v>
      </c>
      <c r="X385" s="73"/>
      <c r="Y385" s="73"/>
    </row>
    <row r="386" spans="1:25" ht="30" hidden="1" customHeight="1" x14ac:dyDescent="0.25">
      <c r="A386" s="82">
        <v>171020</v>
      </c>
      <c r="B386" s="664" t="s">
        <v>590</v>
      </c>
      <c r="C386" s="71" t="s">
        <v>585</v>
      </c>
      <c r="D386" s="71">
        <v>60</v>
      </c>
      <c r="E386" s="102">
        <v>7500</v>
      </c>
      <c r="F386" s="102">
        <f t="shared" si="142"/>
        <v>495000.00000000006</v>
      </c>
      <c r="G386" s="102">
        <f t="shared" si="143"/>
        <v>450000</v>
      </c>
      <c r="H386" s="690" t="s">
        <v>173</v>
      </c>
      <c r="I386" s="71" t="s">
        <v>144</v>
      </c>
      <c r="J386" s="53">
        <f>(G386-(VLOOKUP(C386,Price!B:D,3,FALSE)*D386))</f>
        <v>43800</v>
      </c>
      <c r="K386" s="63">
        <f t="shared" si="144"/>
        <v>9.7333333333333327E-2</v>
      </c>
      <c r="L386" s="792">
        <v>17.100000000000001</v>
      </c>
      <c r="M386" s="468"/>
      <c r="N386" s="664">
        <f t="shared" si="119"/>
        <v>171020</v>
      </c>
      <c r="O386" s="71" t="s">
        <v>147</v>
      </c>
      <c r="P386" s="132" t="str">
        <f t="shared" si="147"/>
        <v>프리미어(적)</v>
      </c>
      <c r="Q386" s="73">
        <f t="shared" si="120"/>
        <v>60</v>
      </c>
      <c r="R386" s="147">
        <v>6770</v>
      </c>
      <c r="S386" s="147">
        <f>R386*Q386*1.1</f>
        <v>446820.00000000006</v>
      </c>
      <c r="T386" s="147">
        <f>R386*Q386</f>
        <v>406200</v>
      </c>
      <c r="U386" s="73" t="str">
        <f t="shared" si="148"/>
        <v>O</v>
      </c>
      <c r="V386" s="71"/>
      <c r="W386" s="482">
        <f t="shared" si="149"/>
        <v>43800</v>
      </c>
      <c r="X386" s="71"/>
      <c r="Y386" s="71"/>
    </row>
    <row r="387" spans="1:25" ht="30" hidden="1" customHeight="1" x14ac:dyDescent="0.25">
      <c r="A387" s="82">
        <v>171020</v>
      </c>
      <c r="B387" s="664" t="s">
        <v>590</v>
      </c>
      <c r="C387" s="71" t="s">
        <v>586</v>
      </c>
      <c r="D387" s="71">
        <v>84</v>
      </c>
      <c r="E387" s="102">
        <v>6750</v>
      </c>
      <c r="F387" s="102">
        <f t="shared" si="142"/>
        <v>623700</v>
      </c>
      <c r="G387" s="102">
        <f t="shared" si="143"/>
        <v>567000</v>
      </c>
      <c r="H387" s="690" t="s">
        <v>173</v>
      </c>
      <c r="I387" s="71" t="s">
        <v>144</v>
      </c>
      <c r="J387" s="53">
        <f>(G387-(VLOOKUP(C387,Price!B:D,3,FALSE)*D387))</f>
        <v>47880</v>
      </c>
      <c r="K387" s="63">
        <f t="shared" si="144"/>
        <v>8.4444444444444447E-2</v>
      </c>
      <c r="L387" s="792">
        <v>17.100000000000001</v>
      </c>
      <c r="M387" s="468"/>
      <c r="N387" s="664">
        <f t="shared" si="119"/>
        <v>171020</v>
      </c>
      <c r="O387" s="71" t="s">
        <v>147</v>
      </c>
      <c r="P387" s="103" t="str">
        <f t="shared" si="147"/>
        <v>프리미어(황)</v>
      </c>
      <c r="Q387" s="71">
        <f t="shared" si="120"/>
        <v>84</v>
      </c>
      <c r="R387" s="102">
        <v>6180</v>
      </c>
      <c r="S387" s="102">
        <f>R387*Q387*1.1</f>
        <v>571032</v>
      </c>
      <c r="T387" s="102">
        <f>R387*Q387</f>
        <v>519120</v>
      </c>
      <c r="U387" s="71" t="str">
        <f t="shared" si="148"/>
        <v>O</v>
      </c>
      <c r="V387" s="71"/>
      <c r="W387" s="482">
        <f t="shared" si="149"/>
        <v>47880</v>
      </c>
      <c r="X387" s="71"/>
      <c r="Y387" s="71"/>
    </row>
    <row r="388" spans="1:25" ht="30" hidden="1" customHeight="1" x14ac:dyDescent="0.25">
      <c r="A388" s="82">
        <v>171020</v>
      </c>
      <c r="B388" s="664" t="s">
        <v>590</v>
      </c>
      <c r="C388" s="71" t="s">
        <v>587</v>
      </c>
      <c r="D388" s="71">
        <v>72</v>
      </c>
      <c r="E388" s="102">
        <v>8000</v>
      </c>
      <c r="F388" s="102">
        <f t="shared" si="142"/>
        <v>633600</v>
      </c>
      <c r="G388" s="102">
        <f t="shared" si="143"/>
        <v>576000</v>
      </c>
      <c r="H388" s="690" t="s">
        <v>173</v>
      </c>
      <c r="I388" s="71" t="s">
        <v>144</v>
      </c>
      <c r="J388" s="53">
        <f>(G388-(VLOOKUP(C388,Price!B:D,3,FALSE)*D388))</f>
        <v>78480</v>
      </c>
      <c r="K388" s="63">
        <f t="shared" si="144"/>
        <v>0.13625000000000001</v>
      </c>
      <c r="L388" s="792">
        <v>17.100000000000001</v>
      </c>
      <c r="M388" s="468"/>
      <c r="N388" s="664">
        <f t="shared" si="119"/>
        <v>171020</v>
      </c>
      <c r="O388" s="71" t="s">
        <v>147</v>
      </c>
      <c r="P388" s="103" t="str">
        <f t="shared" si="147"/>
        <v>프리미어(청)</v>
      </c>
      <c r="Q388" s="71">
        <f t="shared" si="120"/>
        <v>72</v>
      </c>
      <c r="R388" s="102">
        <v>6910</v>
      </c>
      <c r="S388" s="102">
        <f>R388*Q388*1.1</f>
        <v>547272</v>
      </c>
      <c r="T388" s="102">
        <f>R388*Q388</f>
        <v>497520</v>
      </c>
      <c r="U388" s="71" t="str">
        <f t="shared" si="148"/>
        <v>O</v>
      </c>
      <c r="V388" s="71"/>
      <c r="W388" s="482">
        <f t="shared" si="149"/>
        <v>78480</v>
      </c>
      <c r="X388" s="71"/>
      <c r="Y388" s="71"/>
    </row>
    <row r="389" spans="1:25" s="602" customFormat="1" ht="30" hidden="1" customHeight="1" x14ac:dyDescent="0.25">
      <c r="A389" s="85">
        <v>171020</v>
      </c>
      <c r="B389" s="668" t="s">
        <v>590</v>
      </c>
      <c r="C389" s="84" t="s">
        <v>616</v>
      </c>
      <c r="D389" s="84">
        <v>48</v>
      </c>
      <c r="E389" s="189">
        <v>6600</v>
      </c>
      <c r="F389" s="189">
        <f t="shared" si="142"/>
        <v>348480</v>
      </c>
      <c r="G389" s="189">
        <f t="shared" si="143"/>
        <v>316800</v>
      </c>
      <c r="H389" s="691" t="s">
        <v>173</v>
      </c>
      <c r="I389" s="84" t="s">
        <v>144</v>
      </c>
      <c r="J389" s="61">
        <f>(G389-(VLOOKUP(C389,Price!B:D,3,FALSE)*D389))</f>
        <v>33600</v>
      </c>
      <c r="K389" s="62">
        <f t="shared" si="144"/>
        <v>0.10606060606060606</v>
      </c>
      <c r="L389" s="793">
        <v>17.100000000000001</v>
      </c>
      <c r="M389" s="601"/>
      <c r="N389" s="668">
        <f t="shared" si="119"/>
        <v>171020</v>
      </c>
      <c r="O389" s="84" t="s">
        <v>147</v>
      </c>
      <c r="P389" s="133" t="str">
        <f t="shared" si="147"/>
        <v>프리미어(먹)</v>
      </c>
      <c r="Q389" s="84">
        <f t="shared" si="120"/>
        <v>48</v>
      </c>
      <c r="R389" s="189">
        <v>5900</v>
      </c>
      <c r="S389" s="189">
        <f>R389*Q389*1.1</f>
        <v>311520</v>
      </c>
      <c r="T389" s="189">
        <f>R389*Q389</f>
        <v>283200</v>
      </c>
      <c r="U389" s="84" t="str">
        <f t="shared" si="148"/>
        <v>O</v>
      </c>
      <c r="V389" s="84"/>
      <c r="W389" s="481">
        <f t="shared" si="149"/>
        <v>33600</v>
      </c>
      <c r="X389" s="84"/>
      <c r="Y389" s="84"/>
    </row>
    <row r="390" spans="1:25" ht="30" hidden="1" customHeight="1" x14ac:dyDescent="0.25">
      <c r="A390" s="80">
        <v>171024</v>
      </c>
      <c r="B390" s="663" t="s">
        <v>640</v>
      </c>
      <c r="C390" s="73" t="s">
        <v>137</v>
      </c>
      <c r="D390" s="73">
        <v>7</v>
      </c>
      <c r="E390" s="147">
        <v>172000</v>
      </c>
      <c r="F390" s="147">
        <f t="shared" si="142"/>
        <v>1324400</v>
      </c>
      <c r="G390" s="147">
        <f t="shared" si="143"/>
        <v>1204000</v>
      </c>
      <c r="H390" s="689" t="s">
        <v>173</v>
      </c>
      <c r="I390" s="73" t="s">
        <v>108</v>
      </c>
      <c r="J390" s="60">
        <f>(G390-(VLOOKUP(C390,Price!B:D,3,FALSE)*D390))</f>
        <v>399000</v>
      </c>
      <c r="K390" s="427">
        <f t="shared" ref="K390:K396" si="150">(J390/(F390/11*10))</f>
        <v>0.33139534883720928</v>
      </c>
      <c r="L390" s="788">
        <v>17.100000000000001</v>
      </c>
      <c r="M390" s="584"/>
      <c r="N390" s="663">
        <f t="shared" si="119"/>
        <v>171024</v>
      </c>
      <c r="O390" s="73" t="s">
        <v>150</v>
      </c>
      <c r="P390" s="132" t="str">
        <f>(C390)</f>
        <v>윤전용 세척제(Web 504)</v>
      </c>
      <c r="Q390" s="73">
        <f t="shared" si="120"/>
        <v>7</v>
      </c>
      <c r="R390" s="147">
        <v>115000</v>
      </c>
      <c r="S390" s="147">
        <f>(R390*D390)*1.1</f>
        <v>885500.00000000012</v>
      </c>
      <c r="T390" s="147">
        <f>(R390*Q390)</f>
        <v>805000</v>
      </c>
      <c r="U390" s="73" t="str">
        <f t="shared" si="148"/>
        <v>O</v>
      </c>
      <c r="V390" s="73"/>
      <c r="W390" s="482">
        <f t="shared" si="149"/>
        <v>399000</v>
      </c>
      <c r="X390" s="73"/>
      <c r="Y390" s="73"/>
    </row>
    <row r="391" spans="1:25" s="209" customFormat="1" ht="30" hidden="1" customHeight="1" x14ac:dyDescent="0.25">
      <c r="A391" s="203">
        <v>171024</v>
      </c>
      <c r="B391" s="671" t="s">
        <v>567</v>
      </c>
      <c r="C391" s="682" t="s">
        <v>236</v>
      </c>
      <c r="D391" s="682">
        <v>10</v>
      </c>
      <c r="E391" s="702">
        <v>65000</v>
      </c>
      <c r="F391" s="702">
        <f t="shared" si="142"/>
        <v>715000</v>
      </c>
      <c r="G391" s="702">
        <f t="shared" si="143"/>
        <v>650000</v>
      </c>
      <c r="H391" s="694" t="s">
        <v>173</v>
      </c>
      <c r="I391" s="201" t="s">
        <v>142</v>
      </c>
      <c r="J391" s="60">
        <f>(G391-(VLOOKUP(C391,Price!B:D,3,FALSE)*D391))</f>
        <v>150000</v>
      </c>
      <c r="K391" s="54">
        <f t="shared" si="150"/>
        <v>0.23076923076923078</v>
      </c>
      <c r="L391" s="788">
        <v>17.100000000000001</v>
      </c>
      <c r="M391" s="579"/>
      <c r="N391" s="671">
        <f t="shared" ref="N391:N455" si="151">A391</f>
        <v>171024</v>
      </c>
      <c r="O391" s="682" t="s">
        <v>153</v>
      </c>
      <c r="P391" s="164" t="str">
        <f>(C391)</f>
        <v>아스테이지(국전)</v>
      </c>
      <c r="Q391" s="201">
        <f t="shared" ref="Q391:Q455" si="152">D391</f>
        <v>10</v>
      </c>
      <c r="R391" s="202">
        <v>50000</v>
      </c>
      <c r="S391" s="147">
        <f>(R391*D391)*1.1</f>
        <v>550000</v>
      </c>
      <c r="T391" s="147">
        <f>(R391*Q391)</f>
        <v>500000</v>
      </c>
      <c r="U391" s="209" t="str">
        <f t="shared" si="148"/>
        <v>O</v>
      </c>
      <c r="W391" s="482">
        <f t="shared" si="149"/>
        <v>150000</v>
      </c>
    </row>
    <row r="392" spans="1:25" ht="30" customHeight="1" x14ac:dyDescent="0.25">
      <c r="A392" s="82">
        <v>171024</v>
      </c>
      <c r="B392" s="664" t="s">
        <v>422</v>
      </c>
      <c r="C392" s="760" t="s">
        <v>218</v>
      </c>
      <c r="D392" s="71">
        <v>5</v>
      </c>
      <c r="E392" s="102">
        <v>235000</v>
      </c>
      <c r="F392" s="102">
        <f t="shared" si="142"/>
        <v>1292500</v>
      </c>
      <c r="G392" s="102">
        <f t="shared" si="143"/>
        <v>1175000</v>
      </c>
      <c r="H392" s="690" t="s">
        <v>173</v>
      </c>
      <c r="I392" s="71" t="s">
        <v>120</v>
      </c>
      <c r="J392" s="53">
        <f>(G392-(VLOOKUP(C392,Price!B:D,3,FALSE)*D392))</f>
        <v>612500</v>
      </c>
      <c r="K392" s="63">
        <f t="shared" si="150"/>
        <v>0.52127659574468088</v>
      </c>
      <c r="L392" s="792">
        <v>17.100000000000001</v>
      </c>
      <c r="M392" s="468"/>
      <c r="N392" s="664">
        <f t="shared" si="151"/>
        <v>171024</v>
      </c>
      <c r="O392" s="71" t="s">
        <v>150</v>
      </c>
      <c r="P392" s="103" t="str">
        <f>C392</f>
        <v>Fount Web 551AF</v>
      </c>
      <c r="Q392" s="71">
        <f t="shared" si="152"/>
        <v>5</v>
      </c>
      <c r="R392" s="102">
        <v>112500</v>
      </c>
      <c r="S392" s="102">
        <f t="shared" ref="S392:S407" si="153">R392*Q392*1.1</f>
        <v>618750</v>
      </c>
      <c r="T392" s="102">
        <f t="shared" ref="T392:T407" si="154">R392*Q392</f>
        <v>562500</v>
      </c>
      <c r="U392" s="71" t="str">
        <f t="shared" si="148"/>
        <v>O</v>
      </c>
      <c r="V392" s="71"/>
      <c r="W392" s="482">
        <f t="shared" si="149"/>
        <v>612500</v>
      </c>
      <c r="X392" s="71"/>
      <c r="Y392" s="71"/>
    </row>
    <row r="393" spans="1:25" ht="30" hidden="1" customHeight="1" x14ac:dyDescent="0.25">
      <c r="A393" s="82">
        <v>171024</v>
      </c>
      <c r="B393" s="663" t="s">
        <v>442</v>
      </c>
      <c r="C393" s="73" t="s">
        <v>133</v>
      </c>
      <c r="D393" s="73">
        <v>2</v>
      </c>
      <c r="E393" s="147">
        <v>327000</v>
      </c>
      <c r="F393" s="147">
        <f t="shared" si="142"/>
        <v>719400</v>
      </c>
      <c r="G393" s="147">
        <f t="shared" si="143"/>
        <v>654000</v>
      </c>
      <c r="H393" s="689" t="s">
        <v>173</v>
      </c>
      <c r="I393" s="73" t="s">
        <v>141</v>
      </c>
      <c r="J393" s="60">
        <f>(G393-(VLOOKUP(C393,Price!B:D,3,FALSE)*D393))</f>
        <v>115800</v>
      </c>
      <c r="K393" s="427">
        <f t="shared" si="150"/>
        <v>0.17706422018348625</v>
      </c>
      <c r="L393" s="788">
        <v>17.100000000000001</v>
      </c>
      <c r="M393" s="584"/>
      <c r="N393" s="663">
        <f t="shared" si="151"/>
        <v>171024</v>
      </c>
      <c r="O393" s="73" t="s">
        <v>145</v>
      </c>
      <c r="P393" s="132" t="str">
        <f>C393</f>
        <v>Agfa Film(24inch)</v>
      </c>
      <c r="Q393" s="73">
        <f t="shared" si="152"/>
        <v>2</v>
      </c>
      <c r="R393" s="147">
        <v>269100</v>
      </c>
      <c r="S393" s="147">
        <f t="shared" si="153"/>
        <v>592020</v>
      </c>
      <c r="T393" s="147">
        <f t="shared" si="154"/>
        <v>538200</v>
      </c>
      <c r="U393" s="73" t="str">
        <f t="shared" si="148"/>
        <v>O</v>
      </c>
      <c r="V393" s="73"/>
      <c r="W393" s="482">
        <f t="shared" si="149"/>
        <v>115800</v>
      </c>
      <c r="X393" s="73"/>
      <c r="Y393" s="73"/>
    </row>
    <row r="394" spans="1:25" ht="30" hidden="1" customHeight="1" x14ac:dyDescent="0.25">
      <c r="A394" s="82">
        <v>171024</v>
      </c>
      <c r="B394" s="664" t="s">
        <v>442</v>
      </c>
      <c r="C394" s="71" t="s">
        <v>134</v>
      </c>
      <c r="D394" s="71">
        <v>2</v>
      </c>
      <c r="E394" s="102">
        <v>401000</v>
      </c>
      <c r="F394" s="102">
        <f t="shared" si="142"/>
        <v>882200.00000000012</v>
      </c>
      <c r="G394" s="102">
        <f t="shared" si="143"/>
        <v>802000</v>
      </c>
      <c r="H394" s="690" t="s">
        <v>173</v>
      </c>
      <c r="I394" s="71" t="s">
        <v>141</v>
      </c>
      <c r="J394" s="53">
        <f>(G394-(VLOOKUP(C394,Price!B:D,3,FALSE)*D394))</f>
        <v>174080</v>
      </c>
      <c r="K394" s="63">
        <f t="shared" si="150"/>
        <v>0.21705735660847877</v>
      </c>
      <c r="L394" s="792">
        <v>17.100000000000001</v>
      </c>
      <c r="M394" s="468"/>
      <c r="N394" s="664">
        <f t="shared" si="151"/>
        <v>171024</v>
      </c>
      <c r="O394" s="71" t="s">
        <v>145</v>
      </c>
      <c r="P394" s="103" t="str">
        <f>C394</f>
        <v>Agfa Film(28inch)</v>
      </c>
      <c r="Q394" s="71">
        <f t="shared" si="152"/>
        <v>2</v>
      </c>
      <c r="R394" s="102">
        <v>313960</v>
      </c>
      <c r="S394" s="102">
        <f t="shared" si="153"/>
        <v>690712</v>
      </c>
      <c r="T394" s="102">
        <f t="shared" si="154"/>
        <v>627920</v>
      </c>
      <c r="U394" s="71" t="str">
        <f t="shared" si="148"/>
        <v>O</v>
      </c>
      <c r="V394" s="71"/>
      <c r="W394" s="482">
        <f t="shared" si="149"/>
        <v>174080</v>
      </c>
      <c r="X394" s="71"/>
      <c r="Y394" s="71"/>
    </row>
    <row r="395" spans="1:25" ht="30" hidden="1" customHeight="1" x14ac:dyDescent="0.25">
      <c r="A395" s="82">
        <v>171024</v>
      </c>
      <c r="B395" s="664" t="s">
        <v>442</v>
      </c>
      <c r="C395" s="71" t="s">
        <v>135</v>
      </c>
      <c r="D395" s="71">
        <v>2</v>
      </c>
      <c r="E395" s="102">
        <v>448000</v>
      </c>
      <c r="F395" s="102">
        <f t="shared" si="142"/>
        <v>985600.00000000012</v>
      </c>
      <c r="G395" s="102">
        <f t="shared" si="143"/>
        <v>896000</v>
      </c>
      <c r="H395" s="690" t="s">
        <v>173</v>
      </c>
      <c r="I395" s="71" t="s">
        <v>141</v>
      </c>
      <c r="J395" s="53">
        <f>(G395-(VLOOKUP(C395,Price!B:D,3,FALSE)*D395))</f>
        <v>155980</v>
      </c>
      <c r="K395" s="63">
        <f t="shared" si="150"/>
        <v>0.1740848214285714</v>
      </c>
      <c r="L395" s="792">
        <v>17.100000000000001</v>
      </c>
      <c r="M395" s="468"/>
      <c r="N395" s="664">
        <f t="shared" si="151"/>
        <v>171024</v>
      </c>
      <c r="O395" s="71" t="s">
        <v>145</v>
      </c>
      <c r="P395" s="103" t="str">
        <f>C395</f>
        <v>Agfa Film(32inch)</v>
      </c>
      <c r="Q395" s="71">
        <f t="shared" si="152"/>
        <v>2</v>
      </c>
      <c r="R395" s="102">
        <v>370010</v>
      </c>
      <c r="S395" s="102">
        <f t="shared" si="153"/>
        <v>814022.00000000012</v>
      </c>
      <c r="T395" s="102">
        <f t="shared" si="154"/>
        <v>740020</v>
      </c>
      <c r="U395" s="71" t="str">
        <f t="shared" si="148"/>
        <v>O</v>
      </c>
      <c r="V395" s="71"/>
      <c r="W395" s="482">
        <f t="shared" si="149"/>
        <v>155980</v>
      </c>
      <c r="X395" s="71"/>
      <c r="Y395" s="71"/>
    </row>
    <row r="396" spans="1:25" ht="30" hidden="1" customHeight="1" x14ac:dyDescent="0.25">
      <c r="A396" s="82">
        <v>171024</v>
      </c>
      <c r="B396" s="664" t="s">
        <v>442</v>
      </c>
      <c r="C396" s="71" t="s">
        <v>649</v>
      </c>
      <c r="D396" s="71">
        <v>3</v>
      </c>
      <c r="E396" s="102">
        <v>41000</v>
      </c>
      <c r="F396" s="102">
        <f t="shared" si="142"/>
        <v>135300</v>
      </c>
      <c r="G396" s="102">
        <f t="shared" si="143"/>
        <v>123000</v>
      </c>
      <c r="H396" s="690" t="s">
        <v>173</v>
      </c>
      <c r="I396" s="71" t="s">
        <v>141</v>
      </c>
      <c r="J396" s="53">
        <f>(G396-(VLOOKUP(C396,Price!B:D,3,FALSE)*D396))</f>
        <v>48000</v>
      </c>
      <c r="K396" s="63">
        <f t="shared" si="150"/>
        <v>0.3902439024390244</v>
      </c>
      <c r="L396" s="792">
        <v>17.100000000000001</v>
      </c>
      <c r="M396" s="468"/>
      <c r="N396" s="664">
        <f t="shared" si="151"/>
        <v>171024</v>
      </c>
      <c r="O396" s="71" t="s">
        <v>145</v>
      </c>
      <c r="P396" s="103" t="str">
        <f>C396</f>
        <v>Agfa 현상액 G101C(10L)</v>
      </c>
      <c r="Q396" s="71">
        <f t="shared" si="152"/>
        <v>3</v>
      </c>
      <c r="R396" s="102">
        <v>25000</v>
      </c>
      <c r="S396" s="102">
        <f t="shared" si="153"/>
        <v>82500</v>
      </c>
      <c r="T396" s="102">
        <f t="shared" si="154"/>
        <v>75000</v>
      </c>
      <c r="U396" s="71" t="str">
        <f t="shared" si="148"/>
        <v>O</v>
      </c>
      <c r="V396" s="71"/>
      <c r="W396" s="482">
        <f t="shared" si="149"/>
        <v>48000</v>
      </c>
      <c r="X396" s="71"/>
      <c r="Y396" s="71"/>
    </row>
    <row r="397" spans="1:25" ht="30" hidden="1" customHeight="1" x14ac:dyDescent="0.25">
      <c r="A397" s="82">
        <v>171024</v>
      </c>
      <c r="B397" s="664" t="s">
        <v>627</v>
      </c>
      <c r="C397" s="71" t="s">
        <v>848</v>
      </c>
      <c r="D397" s="71">
        <v>2</v>
      </c>
      <c r="E397" s="102">
        <v>1400000</v>
      </c>
      <c r="F397" s="102">
        <f t="shared" si="142"/>
        <v>3080000.0000000005</v>
      </c>
      <c r="G397" s="102">
        <f t="shared" si="143"/>
        <v>2800000</v>
      </c>
      <c r="H397" s="779" t="s">
        <v>113</v>
      </c>
      <c r="I397" s="71"/>
      <c r="J397" s="53">
        <f>(G397-Import!H38)</f>
        <v>1827288.7674617725</v>
      </c>
      <c r="K397" s="63">
        <f>(J397/(F397/11*10))</f>
        <v>0.65260313123634728</v>
      </c>
      <c r="L397" s="792">
        <v>17.100000000000001</v>
      </c>
      <c r="M397" s="468"/>
      <c r="N397" s="664">
        <f t="shared" si="151"/>
        <v>171024</v>
      </c>
      <c r="O397" s="808" t="s">
        <v>113</v>
      </c>
      <c r="P397" s="103" t="str">
        <f t="shared" ref="P397:P474" si="155">C397</f>
        <v>연소 튜브</v>
      </c>
      <c r="Q397" s="71">
        <f t="shared" si="152"/>
        <v>2</v>
      </c>
      <c r="R397" s="102"/>
      <c r="S397" s="102">
        <f t="shared" si="153"/>
        <v>0</v>
      </c>
      <c r="T397" s="102">
        <f t="shared" si="154"/>
        <v>0</v>
      </c>
      <c r="U397" s="71" t="str">
        <f t="shared" si="148"/>
        <v>X</v>
      </c>
      <c r="V397" s="71"/>
      <c r="W397" s="482">
        <f t="shared" si="149"/>
        <v>2800000</v>
      </c>
      <c r="X397" s="71"/>
      <c r="Y397" s="71"/>
    </row>
    <row r="398" spans="1:25" ht="30" hidden="1" customHeight="1" x14ac:dyDescent="0.25">
      <c r="A398" s="82">
        <v>171024</v>
      </c>
      <c r="B398" s="664" t="s">
        <v>627</v>
      </c>
      <c r="C398" s="71" t="s">
        <v>849</v>
      </c>
      <c r="D398" s="71">
        <v>2</v>
      </c>
      <c r="E398" s="102">
        <v>480000</v>
      </c>
      <c r="F398" s="102">
        <f t="shared" si="142"/>
        <v>1056000</v>
      </c>
      <c r="G398" s="102">
        <f t="shared" si="143"/>
        <v>960000</v>
      </c>
      <c r="H398" s="779" t="s">
        <v>113</v>
      </c>
      <c r="I398" s="71"/>
      <c r="J398" s="53">
        <f>(G398-(VLOOKUP(C398,Import!C:G,4,FALSE)*D398))</f>
        <v>960000</v>
      </c>
      <c r="K398" s="63">
        <f>(J398/(F398/11*10))</f>
        <v>1</v>
      </c>
      <c r="L398" s="792">
        <v>17.100000000000001</v>
      </c>
      <c r="M398" s="468"/>
      <c r="N398" s="664">
        <f t="shared" si="151"/>
        <v>171024</v>
      </c>
      <c r="O398" s="808" t="s">
        <v>113</v>
      </c>
      <c r="P398" s="103" t="str">
        <f t="shared" si="155"/>
        <v>점화 플러그</v>
      </c>
      <c r="Q398" s="71">
        <f t="shared" si="152"/>
        <v>2</v>
      </c>
      <c r="R398" s="102"/>
      <c r="S398" s="102">
        <f t="shared" si="153"/>
        <v>0</v>
      </c>
      <c r="T398" s="102">
        <f t="shared" si="154"/>
        <v>0</v>
      </c>
      <c r="U398" s="71" t="str">
        <f t="shared" si="148"/>
        <v>O</v>
      </c>
      <c r="V398" s="71"/>
      <c r="W398" s="482">
        <f t="shared" si="149"/>
        <v>960000</v>
      </c>
      <c r="X398" s="71"/>
      <c r="Y398" s="71"/>
    </row>
    <row r="399" spans="1:25" ht="30" hidden="1" customHeight="1" x14ac:dyDescent="0.25">
      <c r="A399" s="82">
        <v>171024</v>
      </c>
      <c r="B399" s="664" t="s">
        <v>627</v>
      </c>
      <c r="C399" s="71" t="s">
        <v>850</v>
      </c>
      <c r="D399" s="71">
        <v>2</v>
      </c>
      <c r="E399" s="102">
        <v>520000</v>
      </c>
      <c r="F399" s="102">
        <f t="shared" si="142"/>
        <v>1144000</v>
      </c>
      <c r="G399" s="102">
        <f t="shared" si="143"/>
        <v>1040000</v>
      </c>
      <c r="H399" s="779" t="s">
        <v>113</v>
      </c>
      <c r="I399" s="71"/>
      <c r="J399" s="53">
        <f>(G399-(VLOOKUP(C399,Import!C:G,4,FALSE)*D399))</f>
        <v>1040000</v>
      </c>
      <c r="K399" s="63">
        <f>(J399/(F399/11*10))</f>
        <v>1</v>
      </c>
      <c r="L399" s="792">
        <v>17.100000000000001</v>
      </c>
      <c r="M399" s="468"/>
      <c r="N399" s="664">
        <f t="shared" si="151"/>
        <v>171024</v>
      </c>
      <c r="O399" s="808" t="s">
        <v>113</v>
      </c>
      <c r="P399" s="103" t="str">
        <f t="shared" si="155"/>
        <v>프레임 로드</v>
      </c>
      <c r="Q399" s="71">
        <f t="shared" si="152"/>
        <v>2</v>
      </c>
      <c r="R399" s="102"/>
      <c r="S399" s="102">
        <f t="shared" si="153"/>
        <v>0</v>
      </c>
      <c r="T399" s="102">
        <f t="shared" si="154"/>
        <v>0</v>
      </c>
      <c r="U399" s="71" t="str">
        <f t="shared" si="148"/>
        <v>O</v>
      </c>
      <c r="V399" s="71"/>
      <c r="W399" s="482">
        <f t="shared" si="149"/>
        <v>1040000</v>
      </c>
      <c r="X399" s="71"/>
      <c r="Y399" s="71"/>
    </row>
    <row r="400" spans="1:25" s="602" customFormat="1" ht="30" hidden="1" customHeight="1" x14ac:dyDescent="0.25">
      <c r="A400" s="85">
        <v>171024</v>
      </c>
      <c r="B400" s="668" t="s">
        <v>627</v>
      </c>
      <c r="C400" s="84" t="s">
        <v>851</v>
      </c>
      <c r="D400" s="84">
        <v>-1</v>
      </c>
      <c r="E400" s="189">
        <v>800000</v>
      </c>
      <c r="F400" s="189">
        <f t="shared" si="142"/>
        <v>-880000.00000000012</v>
      </c>
      <c r="G400" s="189">
        <f t="shared" si="143"/>
        <v>-800000</v>
      </c>
      <c r="H400" s="781" t="s">
        <v>113</v>
      </c>
      <c r="I400" s="84"/>
      <c r="J400" s="61">
        <f>G400</f>
        <v>-800000</v>
      </c>
      <c r="K400" s="63">
        <f>(J400/(F400/11*10))</f>
        <v>0.99999999999999989</v>
      </c>
      <c r="L400" s="793">
        <v>17.100000000000001</v>
      </c>
      <c r="M400" s="601"/>
      <c r="N400" s="668">
        <f t="shared" si="151"/>
        <v>171024</v>
      </c>
      <c r="O400" s="84"/>
      <c r="P400" s="133" t="str">
        <f t="shared" si="155"/>
        <v>가격조정</v>
      </c>
      <c r="Q400" s="84">
        <f t="shared" si="152"/>
        <v>-1</v>
      </c>
      <c r="R400" s="189"/>
      <c r="S400" s="189">
        <f t="shared" si="153"/>
        <v>0</v>
      </c>
      <c r="T400" s="189">
        <f t="shared" si="154"/>
        <v>0</v>
      </c>
      <c r="U400" s="84" t="str">
        <f t="shared" si="148"/>
        <v>O</v>
      </c>
      <c r="V400" s="84"/>
      <c r="W400" s="481">
        <f t="shared" si="149"/>
        <v>-800000</v>
      </c>
      <c r="X400" s="84"/>
      <c r="Y400" s="84"/>
    </row>
    <row r="401" spans="1:25" ht="30" hidden="1" customHeight="1" x14ac:dyDescent="0.25">
      <c r="A401" s="80">
        <v>171025</v>
      </c>
      <c r="B401" s="663" t="s">
        <v>590</v>
      </c>
      <c r="C401" s="73" t="s">
        <v>585</v>
      </c>
      <c r="D401" s="73">
        <v>60</v>
      </c>
      <c r="E401" s="147">
        <v>7500</v>
      </c>
      <c r="F401" s="147">
        <f t="shared" ref="F401:F411" si="156">(E401*D401)*1.1</f>
        <v>495000.00000000006</v>
      </c>
      <c r="G401" s="147">
        <f t="shared" ref="G401:G411" si="157">(E401*D401)</f>
        <v>450000</v>
      </c>
      <c r="H401" s="689" t="s">
        <v>173</v>
      </c>
      <c r="I401" s="73" t="s">
        <v>144</v>
      </c>
      <c r="J401" s="60">
        <f>(G401-(VLOOKUP(C401,Price!B:D,3,FALSE)*D401))</f>
        <v>43800</v>
      </c>
      <c r="K401" s="427">
        <f t="shared" ref="K401:K409" si="158">(J401/(F401/11*10))</f>
        <v>9.7333333333333327E-2</v>
      </c>
      <c r="L401" s="788">
        <v>17.100000000000001</v>
      </c>
      <c r="M401" s="584"/>
      <c r="N401" s="663">
        <f t="shared" si="151"/>
        <v>171025</v>
      </c>
      <c r="O401" s="73" t="s">
        <v>147</v>
      </c>
      <c r="P401" s="132" t="str">
        <f t="shared" si="155"/>
        <v>프리미어(적)</v>
      </c>
      <c r="Q401" s="73">
        <f t="shared" si="152"/>
        <v>60</v>
      </c>
      <c r="R401" s="147">
        <v>6770</v>
      </c>
      <c r="S401" s="147">
        <f t="shared" si="153"/>
        <v>446820.00000000006</v>
      </c>
      <c r="T401" s="147">
        <f t="shared" si="154"/>
        <v>406200</v>
      </c>
      <c r="U401" s="73" t="str">
        <f t="shared" si="148"/>
        <v>O</v>
      </c>
      <c r="V401" s="73"/>
      <c r="W401" s="482">
        <f t="shared" si="149"/>
        <v>43800</v>
      </c>
      <c r="X401" s="73"/>
      <c r="Y401" s="73"/>
    </row>
    <row r="402" spans="1:25" ht="30" hidden="1" customHeight="1" x14ac:dyDescent="0.25">
      <c r="A402" s="82">
        <v>171025</v>
      </c>
      <c r="B402" s="664" t="s">
        <v>590</v>
      </c>
      <c r="C402" s="71" t="s">
        <v>586</v>
      </c>
      <c r="D402" s="71">
        <v>84</v>
      </c>
      <c r="E402" s="102">
        <v>6750</v>
      </c>
      <c r="F402" s="102">
        <f t="shared" si="156"/>
        <v>623700</v>
      </c>
      <c r="G402" s="102">
        <f t="shared" si="157"/>
        <v>567000</v>
      </c>
      <c r="H402" s="690" t="s">
        <v>173</v>
      </c>
      <c r="I402" s="71" t="s">
        <v>144</v>
      </c>
      <c r="J402" s="53">
        <f>(G402-(VLOOKUP(C402,Price!B:D,3,FALSE)*D402))</f>
        <v>47880</v>
      </c>
      <c r="K402" s="63">
        <f t="shared" si="158"/>
        <v>8.4444444444444447E-2</v>
      </c>
      <c r="L402" s="792">
        <v>17.100000000000001</v>
      </c>
      <c r="M402" s="468"/>
      <c r="N402" s="664">
        <f t="shared" si="151"/>
        <v>171025</v>
      </c>
      <c r="O402" s="71" t="s">
        <v>147</v>
      </c>
      <c r="P402" s="103" t="str">
        <f t="shared" si="155"/>
        <v>프리미어(황)</v>
      </c>
      <c r="Q402" s="71">
        <f t="shared" si="152"/>
        <v>84</v>
      </c>
      <c r="R402" s="102">
        <v>6180</v>
      </c>
      <c r="S402" s="102">
        <f t="shared" si="153"/>
        <v>571032</v>
      </c>
      <c r="T402" s="102">
        <f t="shared" si="154"/>
        <v>519120</v>
      </c>
      <c r="U402" s="71" t="str">
        <f t="shared" si="148"/>
        <v>O</v>
      </c>
      <c r="V402" s="71"/>
      <c r="W402" s="482">
        <f t="shared" si="149"/>
        <v>47880</v>
      </c>
      <c r="X402" s="71"/>
      <c r="Y402" s="71"/>
    </row>
    <row r="403" spans="1:25" ht="33" hidden="1" customHeight="1" x14ac:dyDescent="0.25">
      <c r="A403" s="82">
        <v>171025</v>
      </c>
      <c r="B403" s="664" t="s">
        <v>590</v>
      </c>
      <c r="C403" s="71" t="s">
        <v>587</v>
      </c>
      <c r="D403" s="71">
        <v>60</v>
      </c>
      <c r="E403" s="102">
        <v>8000</v>
      </c>
      <c r="F403" s="102">
        <f t="shared" si="156"/>
        <v>528000</v>
      </c>
      <c r="G403" s="102">
        <f t="shared" si="157"/>
        <v>480000</v>
      </c>
      <c r="H403" s="690" t="s">
        <v>173</v>
      </c>
      <c r="I403" s="71" t="s">
        <v>144</v>
      </c>
      <c r="J403" s="53">
        <f>(G403-(VLOOKUP(C403,Price!B:D,3,FALSE)*D403))</f>
        <v>65400</v>
      </c>
      <c r="K403" s="63">
        <f t="shared" si="158"/>
        <v>0.13625000000000001</v>
      </c>
      <c r="L403" s="792">
        <v>17.100000000000001</v>
      </c>
      <c r="M403" s="468"/>
      <c r="N403" s="664">
        <f t="shared" si="151"/>
        <v>171025</v>
      </c>
      <c r="O403" s="71" t="s">
        <v>147</v>
      </c>
      <c r="P403" s="103" t="str">
        <f t="shared" si="155"/>
        <v>프리미어(청)</v>
      </c>
      <c r="Q403" s="71">
        <f t="shared" si="152"/>
        <v>60</v>
      </c>
      <c r="R403" s="102">
        <v>6910</v>
      </c>
      <c r="S403" s="102">
        <f t="shared" si="153"/>
        <v>456060.00000000006</v>
      </c>
      <c r="T403" s="102">
        <f t="shared" si="154"/>
        <v>414600</v>
      </c>
      <c r="U403" s="71" t="str">
        <f t="shared" si="148"/>
        <v>O</v>
      </c>
      <c r="V403" s="71"/>
      <c r="W403" s="482">
        <f t="shared" si="149"/>
        <v>65400</v>
      </c>
      <c r="X403" s="71"/>
      <c r="Y403" s="71"/>
    </row>
    <row r="404" spans="1:25" s="616" customFormat="1" ht="30" hidden="1" customHeight="1" x14ac:dyDescent="0.25">
      <c r="A404" s="82">
        <v>171025</v>
      </c>
      <c r="B404" s="664" t="s">
        <v>590</v>
      </c>
      <c r="C404" s="71" t="s">
        <v>616</v>
      </c>
      <c r="D404" s="71">
        <v>60</v>
      </c>
      <c r="E404" s="102">
        <v>6600</v>
      </c>
      <c r="F404" s="102">
        <f t="shared" si="156"/>
        <v>435600.00000000006</v>
      </c>
      <c r="G404" s="102">
        <f t="shared" si="157"/>
        <v>396000</v>
      </c>
      <c r="H404" s="690" t="s">
        <v>173</v>
      </c>
      <c r="I404" s="71" t="s">
        <v>144</v>
      </c>
      <c r="J404" s="53">
        <f>(G404-(VLOOKUP(C404,Price!B:D,3,FALSE)*D404))</f>
        <v>42000</v>
      </c>
      <c r="K404" s="63">
        <f t="shared" si="158"/>
        <v>0.10606060606060605</v>
      </c>
      <c r="L404" s="792">
        <v>17.100000000000001</v>
      </c>
      <c r="M404" s="468"/>
      <c r="N404" s="664">
        <f t="shared" si="151"/>
        <v>171025</v>
      </c>
      <c r="O404" s="71" t="s">
        <v>147</v>
      </c>
      <c r="P404" s="103" t="str">
        <f t="shared" si="155"/>
        <v>프리미어(먹)</v>
      </c>
      <c r="Q404" s="71">
        <f t="shared" si="152"/>
        <v>60</v>
      </c>
      <c r="R404" s="102">
        <v>5900</v>
      </c>
      <c r="S404" s="102">
        <f t="shared" si="153"/>
        <v>389400.00000000006</v>
      </c>
      <c r="T404" s="102">
        <f t="shared" si="154"/>
        <v>354000</v>
      </c>
      <c r="U404" s="71" t="str">
        <f t="shared" si="148"/>
        <v>O</v>
      </c>
      <c r="V404" s="71"/>
      <c r="W404" s="520">
        <f t="shared" si="149"/>
        <v>42000</v>
      </c>
      <c r="X404" s="71"/>
      <c r="Y404" s="71"/>
    </row>
    <row r="405" spans="1:25" ht="30" hidden="1" customHeight="1" x14ac:dyDescent="0.25">
      <c r="A405" s="82">
        <v>171025</v>
      </c>
      <c r="B405" s="663" t="s">
        <v>627</v>
      </c>
      <c r="C405" s="73" t="s">
        <v>114</v>
      </c>
      <c r="D405" s="73">
        <v>20</v>
      </c>
      <c r="E405" s="147">
        <v>19000</v>
      </c>
      <c r="F405" s="147">
        <f>(E405*D405)*1.1</f>
        <v>418000.00000000006</v>
      </c>
      <c r="G405" s="147">
        <f>(E405*D405)</f>
        <v>380000</v>
      </c>
      <c r="H405" s="786" t="s">
        <v>113</v>
      </c>
      <c r="I405" s="73"/>
      <c r="J405" s="60">
        <f>(G405-(VLOOKUP(C405,Price!B:D,3,FALSE)*D405))</f>
        <v>200000</v>
      </c>
      <c r="K405" s="427">
        <f>(J405/(F405/11*10))</f>
        <v>0.52631578947368418</v>
      </c>
      <c r="L405" s="792">
        <v>17.100000000000001</v>
      </c>
      <c r="M405" s="584"/>
      <c r="N405" s="663">
        <f t="shared" si="151"/>
        <v>171025</v>
      </c>
      <c r="O405" s="807" t="s">
        <v>113</v>
      </c>
      <c r="P405" s="132" t="str">
        <f>C405</f>
        <v>스트리퍼</v>
      </c>
      <c r="Q405" s="73">
        <f>D405</f>
        <v>20</v>
      </c>
      <c r="R405" s="147"/>
      <c r="S405" s="147">
        <f t="shared" si="153"/>
        <v>0</v>
      </c>
      <c r="T405" s="147">
        <f t="shared" si="154"/>
        <v>0</v>
      </c>
      <c r="U405" s="73" t="str">
        <f t="shared" si="148"/>
        <v>X</v>
      </c>
      <c r="V405" s="73"/>
      <c r="W405" s="482">
        <f t="shared" si="149"/>
        <v>380000</v>
      </c>
      <c r="X405" s="73"/>
      <c r="Y405" s="73"/>
    </row>
    <row r="406" spans="1:25" ht="30" hidden="1" customHeight="1" x14ac:dyDescent="0.25">
      <c r="A406" s="82">
        <v>171025</v>
      </c>
      <c r="B406" s="664" t="s">
        <v>627</v>
      </c>
      <c r="C406" s="71" t="s">
        <v>853</v>
      </c>
      <c r="D406" s="71">
        <v>1</v>
      </c>
      <c r="E406" s="102">
        <v>590000</v>
      </c>
      <c r="F406" s="102">
        <f t="shared" si="156"/>
        <v>649000</v>
      </c>
      <c r="G406" s="102">
        <f t="shared" si="157"/>
        <v>590000</v>
      </c>
      <c r="H406" s="779" t="s">
        <v>113</v>
      </c>
      <c r="I406" s="71"/>
      <c r="J406" s="53">
        <f>(G406-(VLOOKUP(C406,Import!C:G,4,FALSE)*D406))</f>
        <v>590000</v>
      </c>
      <c r="K406" s="63">
        <f>(J406/(F406/11*10))</f>
        <v>1</v>
      </c>
      <c r="L406" s="792">
        <v>17.100000000000001</v>
      </c>
      <c r="M406" s="468"/>
      <c r="N406" s="664">
        <f t="shared" si="151"/>
        <v>171025</v>
      </c>
      <c r="O406" s="808" t="s">
        <v>113</v>
      </c>
      <c r="P406" s="103" t="str">
        <f>C406</f>
        <v>잉크키 보호 필름</v>
      </c>
      <c r="Q406" s="71">
        <f t="shared" si="152"/>
        <v>1</v>
      </c>
      <c r="R406" s="102"/>
      <c r="S406" s="102">
        <f t="shared" si="153"/>
        <v>0</v>
      </c>
      <c r="T406" s="102">
        <f t="shared" si="154"/>
        <v>0</v>
      </c>
      <c r="U406" s="71" t="str">
        <f t="shared" si="148"/>
        <v>O</v>
      </c>
      <c r="V406" s="71"/>
      <c r="W406" s="482">
        <f t="shared" si="149"/>
        <v>590000</v>
      </c>
      <c r="X406" s="71"/>
      <c r="Y406" s="71"/>
    </row>
    <row r="407" spans="1:25" s="635" customFormat="1" ht="30" hidden="1" customHeight="1" x14ac:dyDescent="0.25">
      <c r="A407" s="159">
        <v>171026</v>
      </c>
      <c r="B407" s="676" t="s">
        <v>545</v>
      </c>
      <c r="C407" s="157" t="s">
        <v>132</v>
      </c>
      <c r="D407" s="157">
        <v>4</v>
      </c>
      <c r="E407" s="526">
        <v>135000</v>
      </c>
      <c r="F407" s="526">
        <f t="shared" si="156"/>
        <v>594000</v>
      </c>
      <c r="G407" s="526">
        <f t="shared" si="157"/>
        <v>540000</v>
      </c>
      <c r="H407" s="790" t="s">
        <v>173</v>
      </c>
      <c r="I407" s="157" t="s">
        <v>108</v>
      </c>
      <c r="J407" s="503">
        <f>(G407-(VLOOKUP(C407,Price!B:D,3,FALSE)*D407))</f>
        <v>100000</v>
      </c>
      <c r="K407" s="65">
        <f t="shared" si="158"/>
        <v>0.18518518518518517</v>
      </c>
      <c r="L407" s="791">
        <v>17.100000000000001</v>
      </c>
      <c r="M407" s="634"/>
      <c r="N407" s="676">
        <f t="shared" si="151"/>
        <v>171026</v>
      </c>
      <c r="O407" s="157" t="s">
        <v>148</v>
      </c>
      <c r="P407" s="633" t="str">
        <f>C407</f>
        <v>UV wash(20L)</v>
      </c>
      <c r="Q407" s="157">
        <f t="shared" si="152"/>
        <v>4</v>
      </c>
      <c r="R407" s="526">
        <v>110000</v>
      </c>
      <c r="S407" s="526">
        <f t="shared" si="153"/>
        <v>484000.00000000006</v>
      </c>
      <c r="T407" s="526">
        <f t="shared" si="154"/>
        <v>440000</v>
      </c>
      <c r="U407" s="157" t="str">
        <f t="shared" si="148"/>
        <v>O</v>
      </c>
      <c r="V407" s="157"/>
      <c r="W407" s="508">
        <f t="shared" si="149"/>
        <v>100000</v>
      </c>
      <c r="X407" s="157"/>
      <c r="Y407" s="157"/>
    </row>
    <row r="408" spans="1:25" ht="30" hidden="1" customHeight="1" x14ac:dyDescent="0.25">
      <c r="A408" s="514">
        <v>171026</v>
      </c>
      <c r="B408" s="674" t="s">
        <v>575</v>
      </c>
      <c r="C408" s="409" t="s">
        <v>803</v>
      </c>
      <c r="D408" s="409">
        <v>1</v>
      </c>
      <c r="E408" s="208"/>
      <c r="F408" s="208"/>
      <c r="G408" s="208"/>
      <c r="H408" s="524" t="s">
        <v>985</v>
      </c>
      <c r="I408" s="409"/>
      <c r="J408" s="97"/>
      <c r="K408" s="58"/>
      <c r="L408" s="916">
        <v>17.100000000000001</v>
      </c>
      <c r="M408" s="583" t="s">
        <v>1073</v>
      </c>
      <c r="N408" s="674">
        <f t="shared" si="151"/>
        <v>171026</v>
      </c>
      <c r="O408" s="409"/>
      <c r="P408" s="209" t="str">
        <f>C408</f>
        <v>M-600 서비스</v>
      </c>
      <c r="Q408" s="209">
        <f t="shared" si="152"/>
        <v>1</v>
      </c>
      <c r="R408" s="524"/>
      <c r="S408" s="208"/>
      <c r="T408" s="208"/>
      <c r="U408" s="209"/>
      <c r="V408" s="209"/>
      <c r="W408" s="515"/>
      <c r="X408" s="209"/>
      <c r="Y408" s="209"/>
    </row>
    <row r="409" spans="1:25" s="758" customFormat="1" ht="30" hidden="1" customHeight="1" x14ac:dyDescent="0.25">
      <c r="A409" s="799">
        <v>171026</v>
      </c>
      <c r="B409" s="668" t="s">
        <v>631</v>
      </c>
      <c r="C409" s="83" t="s">
        <v>956</v>
      </c>
      <c r="D409" s="84">
        <v>10</v>
      </c>
      <c r="E409" s="189">
        <v>82500</v>
      </c>
      <c r="F409" s="189">
        <f t="shared" si="156"/>
        <v>907500.00000000012</v>
      </c>
      <c r="G409" s="189">
        <f t="shared" si="157"/>
        <v>825000</v>
      </c>
      <c r="H409" s="765" t="s">
        <v>173</v>
      </c>
      <c r="I409" s="84" t="s">
        <v>109</v>
      </c>
      <c r="J409" s="61">
        <f>(G409-(VLOOKUP(C409,Price!B:D,3,FALSE)*D409))</f>
        <v>185000</v>
      </c>
      <c r="K409" s="62">
        <f t="shared" si="158"/>
        <v>0.22424242424242422</v>
      </c>
      <c r="L409" s="793">
        <v>17.100000000000001</v>
      </c>
      <c r="M409" s="601"/>
      <c r="N409" s="668">
        <f t="shared" si="151"/>
        <v>171026</v>
      </c>
      <c r="O409" s="84" t="s">
        <v>149</v>
      </c>
      <c r="P409" s="800" t="str">
        <f>(C409)</f>
        <v>Bar블랑켓 830*750</v>
      </c>
      <c r="Q409" s="801">
        <f t="shared" si="152"/>
        <v>10</v>
      </c>
      <c r="R409" s="802">
        <v>64000</v>
      </c>
      <c r="S409" s="189">
        <f>(R409*D409)*1.1</f>
        <v>704000</v>
      </c>
      <c r="T409" s="189">
        <f>(R409*Q409)</f>
        <v>640000</v>
      </c>
      <c r="U409" s="758" t="str">
        <f>IF(J409=W409,"O", "X")</f>
        <v>O</v>
      </c>
      <c r="W409" s="766">
        <f>(G409-T409)</f>
        <v>185000</v>
      </c>
    </row>
    <row r="410" spans="1:25" ht="30" hidden="1" customHeight="1" x14ac:dyDescent="0.25">
      <c r="A410" s="514">
        <v>171030</v>
      </c>
      <c r="B410" s="663" t="s">
        <v>620</v>
      </c>
      <c r="C410" s="73" t="s">
        <v>107</v>
      </c>
      <c r="D410" s="73">
        <v>4</v>
      </c>
      <c r="E410" s="147">
        <v>120000</v>
      </c>
      <c r="F410" s="147">
        <f t="shared" si="156"/>
        <v>528000</v>
      </c>
      <c r="G410" s="147">
        <f t="shared" si="157"/>
        <v>480000</v>
      </c>
      <c r="H410" s="689" t="s">
        <v>172</v>
      </c>
      <c r="I410" s="73" t="s">
        <v>109</v>
      </c>
      <c r="J410" s="60">
        <f>(G410-(VLOOKUP(C410,Price!B:D,3,FALSE)*D410))</f>
        <v>158000</v>
      </c>
      <c r="K410" s="65">
        <f>(J410/(F410/11*10))</f>
        <v>0.32916666666666666</v>
      </c>
      <c r="L410" s="788">
        <v>17.100000000000001</v>
      </c>
      <c r="M410" s="584" t="s">
        <v>672</v>
      </c>
      <c r="N410" s="663">
        <f t="shared" si="151"/>
        <v>171030</v>
      </c>
      <c r="O410" s="73" t="s">
        <v>147</v>
      </c>
      <c r="P410" s="132" t="str">
        <f>(C410)</f>
        <v>Blanket(1050*840)</v>
      </c>
      <c r="Q410" s="73">
        <f t="shared" si="152"/>
        <v>4</v>
      </c>
      <c r="R410" s="147">
        <v>80500</v>
      </c>
      <c r="S410" s="147">
        <f>(R410*D410)*1.1</f>
        <v>354200</v>
      </c>
      <c r="T410" s="147">
        <f>(R410*Q410)</f>
        <v>322000</v>
      </c>
      <c r="U410" s="73" t="str">
        <f>IF(J410=W410,"O", "X")</f>
        <v>O</v>
      </c>
      <c r="V410" s="73"/>
      <c r="W410" s="482">
        <f>(G410-T410)</f>
        <v>158000</v>
      </c>
      <c r="X410" s="73"/>
      <c r="Y410" s="73"/>
    </row>
    <row r="411" spans="1:25" ht="30" hidden="1" customHeight="1" x14ac:dyDescent="0.25">
      <c r="A411" s="82">
        <v>171030</v>
      </c>
      <c r="B411" s="664" t="s">
        <v>546</v>
      </c>
      <c r="C411" s="71" t="s">
        <v>854</v>
      </c>
      <c r="D411" s="71">
        <v>1</v>
      </c>
      <c r="E411" s="102">
        <v>2500000</v>
      </c>
      <c r="F411" s="102">
        <f t="shared" si="156"/>
        <v>2750000</v>
      </c>
      <c r="G411" s="102">
        <f t="shared" si="157"/>
        <v>2500000</v>
      </c>
      <c r="H411" s="779" t="s">
        <v>113</v>
      </c>
      <c r="I411" s="71"/>
      <c r="J411" s="53">
        <f>G411-T411</f>
        <v>1800000</v>
      </c>
      <c r="K411" s="58">
        <f>(J411/(F411/11*10))</f>
        <v>0.72</v>
      </c>
      <c r="L411" s="792">
        <v>17.100000000000001</v>
      </c>
      <c r="M411" s="468"/>
      <c r="N411" s="664">
        <f t="shared" si="151"/>
        <v>171030</v>
      </c>
      <c r="O411" s="808" t="s">
        <v>113</v>
      </c>
      <c r="P411" s="103" t="str">
        <f t="shared" si="155"/>
        <v>LTM1000 기판</v>
      </c>
      <c r="Q411" s="71">
        <f t="shared" si="152"/>
        <v>1</v>
      </c>
      <c r="R411" s="102">
        <v>700000</v>
      </c>
      <c r="S411" s="102">
        <f>R411*Q411*1.1</f>
        <v>770000.00000000012</v>
      </c>
      <c r="T411" s="102">
        <f>R411*Q411</f>
        <v>700000</v>
      </c>
      <c r="U411" s="71" t="str">
        <f>IF(J411=W411,"O", "X")</f>
        <v>O</v>
      </c>
      <c r="V411" s="71" t="s">
        <v>906</v>
      </c>
      <c r="W411" s="482">
        <f>(G411-T411)</f>
        <v>1800000</v>
      </c>
      <c r="X411" s="71"/>
      <c r="Y411" s="71"/>
    </row>
    <row r="412" spans="1:25" s="496" customFormat="1" ht="45" hidden="1" customHeight="1" x14ac:dyDescent="0.25">
      <c r="A412" s="787">
        <v>2017.11</v>
      </c>
      <c r="B412" s="675" t="s">
        <v>544</v>
      </c>
      <c r="C412" s="488"/>
      <c r="D412" s="488"/>
      <c r="E412" s="489"/>
      <c r="F412" s="489"/>
      <c r="G412" s="489"/>
      <c r="H412" s="490"/>
      <c r="I412" s="491"/>
      <c r="J412" s="492"/>
      <c r="K412" s="493"/>
      <c r="L412" s="851">
        <v>17.11</v>
      </c>
      <c r="M412" s="645"/>
      <c r="N412" s="725">
        <f t="shared" si="151"/>
        <v>2017.11</v>
      </c>
      <c r="O412" s="488" t="s">
        <v>154</v>
      </c>
      <c r="P412" s="729"/>
      <c r="Q412" s="494"/>
      <c r="R412" s="495"/>
      <c r="S412" s="492"/>
      <c r="T412" s="492"/>
      <c r="W412" s="497"/>
    </row>
    <row r="413" spans="1:25" ht="30" hidden="1" customHeight="1" x14ac:dyDescent="0.25">
      <c r="A413" s="82">
        <v>171101</v>
      </c>
      <c r="B413" s="664" t="s">
        <v>748</v>
      </c>
      <c r="C413" s="71" t="s">
        <v>114</v>
      </c>
      <c r="D413" s="71">
        <v>100</v>
      </c>
      <c r="E413" s="102">
        <v>18500</v>
      </c>
      <c r="F413" s="102">
        <f>(E413*D413)*1.1</f>
        <v>2035000.0000000002</v>
      </c>
      <c r="G413" s="102">
        <f>(E413*D413)</f>
        <v>1850000</v>
      </c>
      <c r="H413" s="779" t="s">
        <v>113</v>
      </c>
      <c r="I413" s="71"/>
      <c r="J413" s="53">
        <f>(G413-(VLOOKUP(C413,Price!B:D,3,FALSE)*D413))</f>
        <v>950000</v>
      </c>
      <c r="K413" s="63">
        <f>(J413/(F413/11*10))</f>
        <v>0.51351351351351349</v>
      </c>
      <c r="L413" s="82">
        <v>17.11</v>
      </c>
      <c r="M413" s="468"/>
      <c r="N413" s="664">
        <f t="shared" si="151"/>
        <v>171101</v>
      </c>
      <c r="O413" s="808" t="s">
        <v>113</v>
      </c>
      <c r="P413" s="103" t="str">
        <f t="shared" si="155"/>
        <v>스트리퍼</v>
      </c>
      <c r="Q413" s="71">
        <f t="shared" si="152"/>
        <v>100</v>
      </c>
      <c r="R413" s="102"/>
      <c r="S413" s="102">
        <f>R413*Q413*1.1</f>
        <v>0</v>
      </c>
      <c r="T413" s="102">
        <f>R413*Q413</f>
        <v>0</v>
      </c>
      <c r="U413" s="71" t="str">
        <f t="shared" ref="U413:U423" si="159">IF(J413=W413,"O", "X")</f>
        <v>X</v>
      </c>
      <c r="V413" s="71"/>
      <c r="W413" s="482">
        <f t="shared" ref="W413:W429" si="160">(G413-T413)</f>
        <v>1850000</v>
      </c>
      <c r="X413" s="71"/>
      <c r="Y413" s="71"/>
    </row>
    <row r="414" spans="1:25" ht="30" hidden="1" customHeight="1" x14ac:dyDescent="0.25">
      <c r="A414" s="82">
        <v>171101</v>
      </c>
      <c r="B414" s="664" t="s">
        <v>631</v>
      </c>
      <c r="C414" s="71" t="s">
        <v>855</v>
      </c>
      <c r="D414" s="71">
        <v>5</v>
      </c>
      <c r="E414" s="102">
        <v>115000</v>
      </c>
      <c r="F414" s="102">
        <f>(E414*D414)*1.1</f>
        <v>632500</v>
      </c>
      <c r="G414" s="102">
        <f>(E414*D414)</f>
        <v>575000</v>
      </c>
      <c r="H414" s="690" t="s">
        <v>173</v>
      </c>
      <c r="I414" s="71" t="s">
        <v>109</v>
      </c>
      <c r="J414" s="53">
        <f>G414-T414</f>
        <v>125000</v>
      </c>
      <c r="K414" s="598">
        <f>(J414/(F414/11*10))</f>
        <v>0.21739130434782608</v>
      </c>
      <c r="L414" s="82">
        <v>17.11</v>
      </c>
      <c r="M414" s="468"/>
      <c r="N414" s="664">
        <f t="shared" si="151"/>
        <v>171101</v>
      </c>
      <c r="O414" s="71" t="s">
        <v>149</v>
      </c>
      <c r="P414" s="103" t="str">
        <f t="shared" si="155"/>
        <v>코팅용 블랑켓</v>
      </c>
      <c r="Q414" s="71">
        <f t="shared" si="152"/>
        <v>5</v>
      </c>
      <c r="R414" s="102">
        <v>90000</v>
      </c>
      <c r="S414" s="102">
        <f>R414*Q414*1.1</f>
        <v>495000.00000000006</v>
      </c>
      <c r="T414" s="102">
        <f>R414*Q414</f>
        <v>450000</v>
      </c>
      <c r="U414" s="71" t="str">
        <f t="shared" si="159"/>
        <v>O</v>
      </c>
      <c r="V414" s="71"/>
      <c r="W414" s="482">
        <f t="shared" si="160"/>
        <v>125000</v>
      </c>
      <c r="X414" s="71"/>
      <c r="Y414" s="71"/>
    </row>
    <row r="415" spans="1:25" s="616" customFormat="1" ht="30" hidden="1" customHeight="1" x14ac:dyDescent="0.25">
      <c r="A415" s="184">
        <v>171101</v>
      </c>
      <c r="B415" s="663" t="s">
        <v>590</v>
      </c>
      <c r="C415" s="73" t="s">
        <v>753</v>
      </c>
      <c r="D415" s="73">
        <v>660</v>
      </c>
      <c r="E415" s="147">
        <v>3890</v>
      </c>
      <c r="F415" s="147">
        <f t="shared" ref="F415:F422" si="161">(E415*D415)*1.1</f>
        <v>2824140</v>
      </c>
      <c r="G415" s="147">
        <f t="shared" ref="G415:G422" si="162">(E415*D415)</f>
        <v>2567400</v>
      </c>
      <c r="H415" s="689" t="s">
        <v>173</v>
      </c>
      <c r="I415" s="73" t="s">
        <v>140</v>
      </c>
      <c r="J415" s="597">
        <f>(G415-(VLOOKUP(C415,Price!B:D,3,FALSE)*D415))</f>
        <v>528000</v>
      </c>
      <c r="K415" s="598">
        <f>(J415/(F415/11*10))</f>
        <v>0.20565552699228792</v>
      </c>
      <c r="L415" s="792">
        <v>17.11</v>
      </c>
      <c r="M415" s="584"/>
      <c r="N415" s="663">
        <f t="shared" si="151"/>
        <v>171101</v>
      </c>
      <c r="O415" s="73" t="s">
        <v>145</v>
      </c>
      <c r="P415" s="132" t="str">
        <f>(C415)</f>
        <v>ELITEPRO 30WEB(883*552)</v>
      </c>
      <c r="Q415" s="73">
        <f t="shared" si="152"/>
        <v>660</v>
      </c>
      <c r="R415" s="147">
        <v>3090</v>
      </c>
      <c r="S415" s="147">
        <f>(R415*D415)*1.1</f>
        <v>2243340</v>
      </c>
      <c r="T415" s="147">
        <f>(R415*Q415)</f>
        <v>2039400</v>
      </c>
      <c r="U415" s="73" t="str">
        <f t="shared" si="159"/>
        <v>O</v>
      </c>
      <c r="V415" s="73"/>
      <c r="W415" s="520">
        <f t="shared" si="160"/>
        <v>528000</v>
      </c>
      <c r="X415" s="73"/>
      <c r="Y415" s="73"/>
    </row>
    <row r="416" spans="1:25" s="803" customFormat="1" ht="30" hidden="1" customHeight="1" x14ac:dyDescent="0.25">
      <c r="A416" s="85">
        <v>171101</v>
      </c>
      <c r="B416" s="668" t="s">
        <v>590</v>
      </c>
      <c r="C416" s="83" t="s">
        <v>197</v>
      </c>
      <c r="D416" s="84">
        <v>10</v>
      </c>
      <c r="E416" s="189">
        <v>58000</v>
      </c>
      <c r="F416" s="189">
        <f t="shared" si="161"/>
        <v>638000</v>
      </c>
      <c r="G416" s="189">
        <f t="shared" si="162"/>
        <v>580000</v>
      </c>
      <c r="H416" s="691" t="s">
        <v>173</v>
      </c>
      <c r="I416" s="84" t="s">
        <v>140</v>
      </c>
      <c r="J416" s="61">
        <f>(G416-(VLOOKUP(C416,Price!B:D,3,FALSE)*D416))</f>
        <v>230000</v>
      </c>
      <c r="K416" s="62">
        <f>(J416/(F416/11*10))</f>
        <v>0.39655172413793105</v>
      </c>
      <c r="L416" s="793">
        <v>17.11</v>
      </c>
      <c r="M416" s="601"/>
      <c r="N416" s="668">
        <f t="shared" si="151"/>
        <v>171101</v>
      </c>
      <c r="O416" s="84" t="s">
        <v>145</v>
      </c>
      <c r="P416" s="133" t="str">
        <f>C416</f>
        <v>THR200(20L)</v>
      </c>
      <c r="Q416" s="84">
        <f t="shared" si="152"/>
        <v>10</v>
      </c>
      <c r="R416" s="189">
        <v>35000</v>
      </c>
      <c r="S416" s="189">
        <f>R416*Q416*1.1</f>
        <v>385000.00000000006</v>
      </c>
      <c r="T416" s="189">
        <f>R416*Q416</f>
        <v>350000</v>
      </c>
      <c r="U416" s="84" t="str">
        <f t="shared" si="159"/>
        <v>O</v>
      </c>
      <c r="V416" s="84"/>
      <c r="W416" s="766">
        <f t="shared" si="160"/>
        <v>230000</v>
      </c>
      <c r="X416" s="84"/>
      <c r="Y416" s="84"/>
    </row>
    <row r="417" spans="1:25" s="610" customFormat="1" ht="30" hidden="1" customHeight="1" x14ac:dyDescent="0.25">
      <c r="A417" s="89">
        <v>171102</v>
      </c>
      <c r="B417" s="673" t="s">
        <v>856</v>
      </c>
      <c r="C417" s="1002" t="s">
        <v>900</v>
      </c>
      <c r="D417" s="88">
        <v>1</v>
      </c>
      <c r="E417" s="470">
        <v>250000</v>
      </c>
      <c r="F417" s="701">
        <f t="shared" si="161"/>
        <v>275000</v>
      </c>
      <c r="G417" s="701">
        <f t="shared" si="162"/>
        <v>250000</v>
      </c>
      <c r="H417" s="1004" t="s">
        <v>39</v>
      </c>
      <c r="I417" s="88"/>
      <c r="J417" s="107">
        <f>(G417-(VLOOKUP(C417,Import!C:G,4,FALSE)*D417))</f>
        <v>250000</v>
      </c>
      <c r="K417" s="469">
        <f>(J417/(F417/11*10))</f>
        <v>1</v>
      </c>
      <c r="L417" s="797">
        <v>17.11</v>
      </c>
      <c r="M417" s="575" t="s">
        <v>858</v>
      </c>
      <c r="N417" s="673">
        <f t="shared" si="151"/>
        <v>171102</v>
      </c>
      <c r="O417" s="1002" t="s">
        <v>39</v>
      </c>
      <c r="P417" s="134" t="str">
        <f t="shared" si="155"/>
        <v>Technotrans Dosing piston</v>
      </c>
      <c r="Q417" s="88">
        <f t="shared" si="152"/>
        <v>1</v>
      </c>
      <c r="R417" s="470"/>
      <c r="S417" s="470">
        <f>R417*Q417*1.1</f>
        <v>0</v>
      </c>
      <c r="T417" s="470">
        <f>R417*Q417</f>
        <v>0</v>
      </c>
      <c r="U417" s="88" t="str">
        <f t="shared" si="159"/>
        <v>O</v>
      </c>
      <c r="V417" s="88"/>
      <c r="W417" s="483">
        <f t="shared" si="160"/>
        <v>250000</v>
      </c>
      <c r="X417" s="88"/>
      <c r="Y417" s="88"/>
    </row>
    <row r="418" spans="1:25" ht="30.75" hidden="1" customHeight="1" x14ac:dyDescent="0.25">
      <c r="A418" s="82">
        <v>171103</v>
      </c>
      <c r="B418" s="664" t="s">
        <v>590</v>
      </c>
      <c r="C418" s="71" t="s">
        <v>585</v>
      </c>
      <c r="D418" s="71">
        <v>72</v>
      </c>
      <c r="E418" s="102">
        <v>7500</v>
      </c>
      <c r="F418" s="102">
        <f t="shared" si="161"/>
        <v>594000</v>
      </c>
      <c r="G418" s="102">
        <f t="shared" si="162"/>
        <v>540000</v>
      </c>
      <c r="H418" s="690" t="s">
        <v>173</v>
      </c>
      <c r="I418" s="71" t="s">
        <v>144</v>
      </c>
      <c r="J418" s="53">
        <f>(G418-(VLOOKUP(C418,Price!B:D,3,FALSE)*D418))</f>
        <v>52560</v>
      </c>
      <c r="K418" s="63">
        <f t="shared" ref="K418:K432" si="163">(J418/(F418/11*10))</f>
        <v>9.7333333333333327E-2</v>
      </c>
      <c r="L418" s="792">
        <v>17.11</v>
      </c>
      <c r="M418" s="468"/>
      <c r="N418" s="664">
        <f t="shared" si="151"/>
        <v>171103</v>
      </c>
      <c r="O418" s="71" t="s">
        <v>147</v>
      </c>
      <c r="P418" s="103" t="str">
        <f t="shared" si="155"/>
        <v>프리미어(적)</v>
      </c>
      <c r="Q418" s="71">
        <f t="shared" si="152"/>
        <v>72</v>
      </c>
      <c r="R418" s="102">
        <v>6770</v>
      </c>
      <c r="S418" s="102">
        <f>R418*Q418*1.1</f>
        <v>536184</v>
      </c>
      <c r="T418" s="102">
        <f>R418*Q418</f>
        <v>487440</v>
      </c>
      <c r="U418" s="71" t="str">
        <f t="shared" si="159"/>
        <v>O</v>
      </c>
      <c r="V418" s="71"/>
      <c r="W418" s="482">
        <f t="shared" si="160"/>
        <v>52560</v>
      </c>
      <c r="X418" s="71"/>
      <c r="Y418" s="71"/>
    </row>
    <row r="419" spans="1:25" ht="30" hidden="1" customHeight="1" x14ac:dyDescent="0.25">
      <c r="A419" s="82">
        <v>171103</v>
      </c>
      <c r="B419" s="664" t="s">
        <v>590</v>
      </c>
      <c r="C419" s="71" t="s">
        <v>586</v>
      </c>
      <c r="D419" s="71">
        <v>120</v>
      </c>
      <c r="E419" s="102">
        <v>6750</v>
      </c>
      <c r="F419" s="102">
        <f t="shared" si="161"/>
        <v>891000.00000000012</v>
      </c>
      <c r="G419" s="102">
        <f t="shared" si="162"/>
        <v>810000</v>
      </c>
      <c r="H419" s="690" t="s">
        <v>173</v>
      </c>
      <c r="I419" s="71" t="s">
        <v>144</v>
      </c>
      <c r="J419" s="53">
        <f>(G419-(VLOOKUP(C419,Price!B:D,3,FALSE)*D419))</f>
        <v>68400</v>
      </c>
      <c r="K419" s="63">
        <f t="shared" si="163"/>
        <v>8.4444444444444433E-2</v>
      </c>
      <c r="L419" s="792">
        <v>17.11</v>
      </c>
      <c r="M419" s="468"/>
      <c r="N419" s="664">
        <f t="shared" si="151"/>
        <v>171103</v>
      </c>
      <c r="O419" s="71" t="s">
        <v>147</v>
      </c>
      <c r="P419" s="103" t="str">
        <f t="shared" si="155"/>
        <v>프리미어(황)</v>
      </c>
      <c r="Q419" s="71">
        <f t="shared" si="152"/>
        <v>120</v>
      </c>
      <c r="R419" s="102">
        <v>6180</v>
      </c>
      <c r="S419" s="102">
        <f>R419*Q419*1.1</f>
        <v>815760.00000000012</v>
      </c>
      <c r="T419" s="102">
        <f>R419*Q419</f>
        <v>741600</v>
      </c>
      <c r="U419" s="71" t="str">
        <f t="shared" si="159"/>
        <v>O</v>
      </c>
      <c r="V419" s="71"/>
      <c r="W419" s="482">
        <f t="shared" si="160"/>
        <v>68400</v>
      </c>
      <c r="X419" s="71"/>
      <c r="Y419" s="71"/>
    </row>
    <row r="420" spans="1:25" s="602" customFormat="1" ht="30" hidden="1" customHeight="1" x14ac:dyDescent="0.25">
      <c r="A420" s="85">
        <v>171103</v>
      </c>
      <c r="B420" s="668" t="s">
        <v>590</v>
      </c>
      <c r="C420" s="84" t="s">
        <v>587</v>
      </c>
      <c r="D420" s="84">
        <v>72</v>
      </c>
      <c r="E420" s="189">
        <v>8000</v>
      </c>
      <c r="F420" s="189">
        <f t="shared" si="161"/>
        <v>633600</v>
      </c>
      <c r="G420" s="189">
        <f t="shared" si="162"/>
        <v>576000</v>
      </c>
      <c r="H420" s="691" t="s">
        <v>173</v>
      </c>
      <c r="I420" s="84" t="s">
        <v>144</v>
      </c>
      <c r="J420" s="61">
        <f>(G420-(VLOOKUP(C420,Price!B:D,3,FALSE)*D420))</f>
        <v>78480</v>
      </c>
      <c r="K420" s="62">
        <f t="shared" si="163"/>
        <v>0.13625000000000001</v>
      </c>
      <c r="L420" s="793">
        <v>17.11</v>
      </c>
      <c r="M420" s="601"/>
      <c r="N420" s="668">
        <f t="shared" si="151"/>
        <v>171103</v>
      </c>
      <c r="O420" s="84" t="s">
        <v>147</v>
      </c>
      <c r="P420" s="133" t="str">
        <f t="shared" si="155"/>
        <v>프리미어(청)</v>
      </c>
      <c r="Q420" s="84">
        <f t="shared" si="152"/>
        <v>72</v>
      </c>
      <c r="R420" s="189">
        <v>6910</v>
      </c>
      <c r="S420" s="189">
        <f>R420*Q420*1.1</f>
        <v>547272</v>
      </c>
      <c r="T420" s="189">
        <f>R420*Q420</f>
        <v>497520</v>
      </c>
      <c r="U420" s="84" t="str">
        <f t="shared" si="159"/>
        <v>O</v>
      </c>
      <c r="V420" s="84"/>
      <c r="W420" s="481">
        <f t="shared" si="160"/>
        <v>78480</v>
      </c>
      <c r="X420" s="84"/>
      <c r="Y420" s="84"/>
    </row>
    <row r="421" spans="1:25" s="507" customFormat="1" ht="30" customHeight="1" x14ac:dyDescent="0.25">
      <c r="A421" s="499">
        <v>171106</v>
      </c>
      <c r="B421" s="676" t="s">
        <v>565</v>
      </c>
      <c r="C421" s="157" t="s">
        <v>583</v>
      </c>
      <c r="D421" s="157">
        <v>24</v>
      </c>
      <c r="E421" s="526">
        <v>89000</v>
      </c>
      <c r="F421" s="526">
        <f t="shared" si="161"/>
        <v>2349600</v>
      </c>
      <c r="G421" s="526">
        <f t="shared" si="162"/>
        <v>2136000</v>
      </c>
      <c r="H421" s="506" t="s">
        <v>173</v>
      </c>
      <c r="I421" s="157" t="s">
        <v>108</v>
      </c>
      <c r="J421" s="503">
        <f>(G421-(VLOOKUP(C421,Price!B:D,3,FALSE)*D421))</f>
        <v>1080000</v>
      </c>
      <c r="K421" s="65">
        <f t="shared" si="163"/>
        <v>0.5056179775280899</v>
      </c>
      <c r="L421" s="804">
        <v>17.11</v>
      </c>
      <c r="M421" s="634" t="s">
        <v>795</v>
      </c>
      <c r="N421" s="676">
        <f t="shared" si="151"/>
        <v>171106</v>
      </c>
      <c r="O421" s="157" t="s">
        <v>599</v>
      </c>
      <c r="P421" s="500" t="str">
        <f>(C421)</f>
        <v>M600 윤전 세정포</v>
      </c>
      <c r="Q421" s="501">
        <f t="shared" si="152"/>
        <v>24</v>
      </c>
      <c r="R421" s="502">
        <v>44000</v>
      </c>
      <c r="S421" s="502">
        <f>(R421*D421)*1.1</f>
        <v>1161600</v>
      </c>
      <c r="T421" s="502">
        <f>(R421*Q421)</f>
        <v>1056000</v>
      </c>
      <c r="U421" s="507" t="str">
        <f t="shared" si="159"/>
        <v>O</v>
      </c>
      <c r="V421" s="507" t="s">
        <v>902</v>
      </c>
      <c r="W421" s="508">
        <f t="shared" si="160"/>
        <v>1080000</v>
      </c>
    </row>
    <row r="422" spans="1:25" ht="30" hidden="1" customHeight="1" x14ac:dyDescent="0.25">
      <c r="A422" s="80">
        <v>171106</v>
      </c>
      <c r="B422" s="663" t="s">
        <v>690</v>
      </c>
      <c r="C422" s="73" t="s">
        <v>217</v>
      </c>
      <c r="D422" s="73">
        <v>5</v>
      </c>
      <c r="E422" s="147">
        <v>145000</v>
      </c>
      <c r="F422" s="147">
        <f t="shared" si="161"/>
        <v>797500.00000000012</v>
      </c>
      <c r="G422" s="147">
        <f t="shared" si="162"/>
        <v>725000</v>
      </c>
      <c r="H422" s="689" t="s">
        <v>173</v>
      </c>
      <c r="I422" s="73" t="s">
        <v>108</v>
      </c>
      <c r="J422" s="60">
        <f>(G422-(VLOOKUP(C422,Price!B:D,3,FALSE)*D422))</f>
        <v>325000</v>
      </c>
      <c r="K422" s="427">
        <f t="shared" si="163"/>
        <v>0.44827586206896547</v>
      </c>
      <c r="L422" s="792">
        <v>17.11</v>
      </c>
      <c r="M422" s="584"/>
      <c r="N422" s="663">
        <f t="shared" si="151"/>
        <v>171106</v>
      </c>
      <c r="O422" s="73" t="s">
        <v>150</v>
      </c>
      <c r="P422" s="132" t="str">
        <f t="shared" si="155"/>
        <v>Fount 511</v>
      </c>
      <c r="Q422" s="73">
        <f t="shared" si="152"/>
        <v>5</v>
      </c>
      <c r="R422" s="147">
        <v>80000</v>
      </c>
      <c r="S422" s="147">
        <f t="shared" ref="S422:S427" si="164">R422*Q422*1.1</f>
        <v>440000.00000000006</v>
      </c>
      <c r="T422" s="147">
        <f t="shared" ref="T422:T427" si="165">R422*Q422</f>
        <v>400000</v>
      </c>
      <c r="U422" s="73" t="str">
        <f t="shared" si="159"/>
        <v>O</v>
      </c>
      <c r="V422" s="73"/>
      <c r="W422" s="482">
        <f t="shared" si="160"/>
        <v>325000</v>
      </c>
      <c r="X422" s="73"/>
      <c r="Y422" s="73"/>
    </row>
    <row r="423" spans="1:25" ht="30" customHeight="1" x14ac:dyDescent="0.25">
      <c r="A423" s="82">
        <v>171106</v>
      </c>
      <c r="B423" s="664" t="s">
        <v>565</v>
      </c>
      <c r="C423" s="71" t="s">
        <v>857</v>
      </c>
      <c r="D423" s="71">
        <v>8</v>
      </c>
      <c r="E423" s="102">
        <v>30000</v>
      </c>
      <c r="F423" s="102">
        <f t="shared" ref="F423:F432" si="166">(E423*D423)*1.1</f>
        <v>264000</v>
      </c>
      <c r="G423" s="102">
        <f t="shared" ref="G423:G432" si="167">(E423*D423)</f>
        <v>240000</v>
      </c>
      <c r="H423" s="690" t="s">
        <v>173</v>
      </c>
      <c r="I423" s="71" t="s">
        <v>142</v>
      </c>
      <c r="J423" s="53">
        <f>(G423-(VLOOKUP(C423,Price!B:D,3,FALSE)*D423))</f>
        <v>96000</v>
      </c>
      <c r="K423" s="63">
        <f t="shared" si="163"/>
        <v>0.4</v>
      </c>
      <c r="L423" s="792">
        <v>17.11</v>
      </c>
      <c r="M423" s="468" t="s">
        <v>901</v>
      </c>
      <c r="N423" s="664">
        <f t="shared" si="151"/>
        <v>171106</v>
      </c>
      <c r="O423" s="71" t="s">
        <v>903</v>
      </c>
      <c r="P423" s="103" t="str">
        <f t="shared" si="155"/>
        <v>롤러 크리너</v>
      </c>
      <c r="Q423" s="71">
        <f t="shared" si="152"/>
        <v>8</v>
      </c>
      <c r="R423" s="102">
        <v>18000</v>
      </c>
      <c r="S423" s="102">
        <f t="shared" si="164"/>
        <v>158400</v>
      </c>
      <c r="T423" s="102">
        <f t="shared" si="165"/>
        <v>144000</v>
      </c>
      <c r="U423" s="71" t="str">
        <f t="shared" si="159"/>
        <v>O</v>
      </c>
      <c r="V423" s="71"/>
      <c r="W423" s="482">
        <f t="shared" si="160"/>
        <v>96000</v>
      </c>
      <c r="X423" s="71"/>
      <c r="Y423" s="71"/>
    </row>
    <row r="424" spans="1:25" ht="30" customHeight="1" x14ac:dyDescent="0.25">
      <c r="A424" s="648">
        <v>171106</v>
      </c>
      <c r="B424" s="733" t="s">
        <v>565</v>
      </c>
      <c r="C424" s="96" t="s">
        <v>921</v>
      </c>
      <c r="D424" s="96">
        <v>1</v>
      </c>
      <c r="E424" s="734">
        <v>240000000</v>
      </c>
      <c r="F424" s="734">
        <f t="shared" si="166"/>
        <v>264000000.00000003</v>
      </c>
      <c r="G424" s="734">
        <f t="shared" si="167"/>
        <v>240000000</v>
      </c>
      <c r="H424" s="735" t="s">
        <v>142</v>
      </c>
      <c r="I424" s="96" t="s">
        <v>1001</v>
      </c>
      <c r="J424" s="586">
        <f>G424-T424</f>
        <v>35000000</v>
      </c>
      <c r="K424" s="63">
        <f t="shared" si="163"/>
        <v>0.14583333333333331</v>
      </c>
      <c r="L424" s="831">
        <v>17.11</v>
      </c>
      <c r="M424" s="736"/>
      <c r="N424" s="733">
        <f t="shared" si="151"/>
        <v>171106</v>
      </c>
      <c r="O424" s="96" t="s">
        <v>145</v>
      </c>
      <c r="P424" s="737" t="str">
        <f t="shared" si="155"/>
        <v>AGFA 써멀 CTP</v>
      </c>
      <c r="Q424" s="96">
        <f t="shared" si="152"/>
        <v>1</v>
      </c>
      <c r="R424" s="734">
        <v>205000000</v>
      </c>
      <c r="S424" s="734">
        <f t="shared" si="164"/>
        <v>225500000.00000003</v>
      </c>
      <c r="T424" s="734">
        <f t="shared" si="165"/>
        <v>205000000</v>
      </c>
      <c r="U424" s="96"/>
      <c r="V424" s="96"/>
      <c r="W424" s="482">
        <f t="shared" si="160"/>
        <v>35000000</v>
      </c>
      <c r="X424" s="96"/>
      <c r="Y424" s="96"/>
    </row>
    <row r="425" spans="1:25" s="602" customFormat="1" ht="31.5" hidden="1" customHeight="1" x14ac:dyDescent="0.25">
      <c r="A425" s="85">
        <v>171106</v>
      </c>
      <c r="B425" s="668" t="s">
        <v>746</v>
      </c>
      <c r="C425" s="84" t="s">
        <v>123</v>
      </c>
      <c r="D425" s="84">
        <v>5</v>
      </c>
      <c r="E425" s="189">
        <v>30000</v>
      </c>
      <c r="F425" s="189">
        <f t="shared" si="166"/>
        <v>165000</v>
      </c>
      <c r="G425" s="189">
        <f t="shared" si="167"/>
        <v>150000</v>
      </c>
      <c r="H425" s="1006" t="s">
        <v>39</v>
      </c>
      <c r="I425" s="84"/>
      <c r="J425" s="61">
        <f>(G425-(VLOOKUP(C425,Import!C:G,4,FALSE)*D425))</f>
        <v>150000</v>
      </c>
      <c r="K425" s="62">
        <f t="shared" si="163"/>
        <v>1</v>
      </c>
      <c r="L425" s="793">
        <v>17.11</v>
      </c>
      <c r="M425" s="601"/>
      <c r="N425" s="668">
        <f t="shared" si="151"/>
        <v>171106</v>
      </c>
      <c r="O425" s="1007" t="s">
        <v>39</v>
      </c>
      <c r="P425" s="133" t="str">
        <f t="shared" si="155"/>
        <v>필터백</v>
      </c>
      <c r="Q425" s="84">
        <f t="shared" si="152"/>
        <v>5</v>
      </c>
      <c r="R425" s="189"/>
      <c r="S425" s="189">
        <f t="shared" si="164"/>
        <v>0</v>
      </c>
      <c r="T425" s="189">
        <f t="shared" si="165"/>
        <v>0</v>
      </c>
      <c r="U425" s="84" t="str">
        <f>IF(J425=W425,"O", "X")</f>
        <v>O</v>
      </c>
      <c r="V425" s="84"/>
      <c r="W425" s="481">
        <f t="shared" si="160"/>
        <v>150000</v>
      </c>
      <c r="X425" s="84"/>
      <c r="Y425" s="84"/>
    </row>
    <row r="426" spans="1:25" ht="30" hidden="1" customHeight="1" x14ac:dyDescent="0.25">
      <c r="A426" s="80">
        <v>171107</v>
      </c>
      <c r="B426" s="663" t="s">
        <v>545</v>
      </c>
      <c r="C426" s="73" t="s">
        <v>167</v>
      </c>
      <c r="D426" s="73">
        <v>10</v>
      </c>
      <c r="E426" s="147">
        <v>110000</v>
      </c>
      <c r="F426" s="147">
        <f t="shared" si="166"/>
        <v>1210000</v>
      </c>
      <c r="G426" s="147">
        <f t="shared" si="167"/>
        <v>1100000</v>
      </c>
      <c r="H426" s="689" t="s">
        <v>173</v>
      </c>
      <c r="I426" s="73" t="s">
        <v>109</v>
      </c>
      <c r="J426" s="60">
        <f>(G426-(VLOOKUP(C426,Price!B:D,3,FALSE)*D426))</f>
        <v>271000</v>
      </c>
      <c r="K426" s="427">
        <f t="shared" si="163"/>
        <v>0.24636363636363637</v>
      </c>
      <c r="L426" s="788">
        <v>17.11</v>
      </c>
      <c r="M426" s="584"/>
      <c r="N426" s="663">
        <f t="shared" si="151"/>
        <v>171107</v>
      </c>
      <c r="O426" s="73" t="s">
        <v>147</v>
      </c>
      <c r="P426" s="132" t="str">
        <f t="shared" si="155"/>
        <v>Blanket(1060*860)</v>
      </c>
      <c r="Q426" s="73">
        <f t="shared" si="152"/>
        <v>10</v>
      </c>
      <c r="R426" s="147">
        <v>82900</v>
      </c>
      <c r="S426" s="147">
        <f t="shared" si="164"/>
        <v>911900.00000000012</v>
      </c>
      <c r="T426" s="147">
        <f t="shared" si="165"/>
        <v>829000</v>
      </c>
      <c r="U426" s="73" t="str">
        <f>IF(J426=W426,"O", "X")</f>
        <v>O</v>
      </c>
      <c r="V426" s="73"/>
      <c r="W426" s="482">
        <f t="shared" si="160"/>
        <v>271000</v>
      </c>
      <c r="X426" s="73"/>
      <c r="Y426" s="73"/>
    </row>
    <row r="427" spans="1:25" ht="30" hidden="1" customHeight="1" x14ac:dyDescent="0.25">
      <c r="A427" s="82">
        <v>171107</v>
      </c>
      <c r="B427" s="664" t="s">
        <v>444</v>
      </c>
      <c r="C427" s="71" t="s">
        <v>131</v>
      </c>
      <c r="D427" s="71">
        <v>4</v>
      </c>
      <c r="E427" s="102">
        <v>135000</v>
      </c>
      <c r="F427" s="102">
        <f t="shared" si="166"/>
        <v>594000</v>
      </c>
      <c r="G427" s="102">
        <f t="shared" si="167"/>
        <v>540000</v>
      </c>
      <c r="H427" s="690" t="s">
        <v>173</v>
      </c>
      <c r="I427" s="71" t="s">
        <v>108</v>
      </c>
      <c r="J427" s="53">
        <f>(G427-(VLOOKUP(C427,Price!B:D,3,FALSE)*D427))</f>
        <v>100000</v>
      </c>
      <c r="K427" s="63">
        <f t="shared" si="163"/>
        <v>0.18518518518518517</v>
      </c>
      <c r="L427" s="792">
        <v>17.11</v>
      </c>
      <c r="M427" s="468"/>
      <c r="N427" s="664">
        <f t="shared" si="151"/>
        <v>171107</v>
      </c>
      <c r="O427" s="71" t="s">
        <v>148</v>
      </c>
      <c r="P427" s="71" t="str">
        <f t="shared" si="155"/>
        <v>UV wash(20L)</v>
      </c>
      <c r="Q427" s="71">
        <f t="shared" si="152"/>
        <v>4</v>
      </c>
      <c r="R427" s="102">
        <v>110000</v>
      </c>
      <c r="S427" s="102">
        <f t="shared" si="164"/>
        <v>484000.00000000006</v>
      </c>
      <c r="T427" s="102">
        <f t="shared" si="165"/>
        <v>440000</v>
      </c>
      <c r="U427" s="71" t="str">
        <f>IF(J427=W427,"O", "X")</f>
        <v>O</v>
      </c>
      <c r="V427" s="71"/>
      <c r="W427" s="482">
        <f t="shared" si="160"/>
        <v>100000</v>
      </c>
      <c r="X427" s="71"/>
      <c r="Y427" s="71"/>
    </row>
    <row r="428" spans="1:25" s="209" customFormat="1" ht="30" hidden="1" customHeight="1" x14ac:dyDescent="0.25">
      <c r="A428" s="203">
        <v>171107</v>
      </c>
      <c r="B428" s="671" t="s">
        <v>567</v>
      </c>
      <c r="C428" s="682" t="s">
        <v>236</v>
      </c>
      <c r="D428" s="682">
        <v>5</v>
      </c>
      <c r="E428" s="702">
        <v>65000</v>
      </c>
      <c r="F428" s="702">
        <f t="shared" si="166"/>
        <v>357500</v>
      </c>
      <c r="G428" s="702">
        <f t="shared" si="167"/>
        <v>325000</v>
      </c>
      <c r="H428" s="694" t="s">
        <v>173</v>
      </c>
      <c r="I428" s="201" t="s">
        <v>142</v>
      </c>
      <c r="J428" s="60">
        <f>(G428-(VLOOKUP(C428,Price!B:D,3,FALSE)*D428))</f>
        <v>75000</v>
      </c>
      <c r="K428" s="54">
        <f t="shared" si="163"/>
        <v>0.23076923076923078</v>
      </c>
      <c r="L428" s="788">
        <v>17.11</v>
      </c>
      <c r="M428" s="579"/>
      <c r="N428" s="671">
        <f t="shared" si="151"/>
        <v>171107</v>
      </c>
      <c r="O428" s="71" t="s">
        <v>153</v>
      </c>
      <c r="P428" s="71" t="str">
        <f>(C428)</f>
        <v>아스테이지(국전)</v>
      </c>
      <c r="Q428" s="71">
        <f t="shared" si="152"/>
        <v>5</v>
      </c>
      <c r="R428" s="102">
        <v>50000</v>
      </c>
      <c r="S428" s="102">
        <f>(R428*D428)*1.1</f>
        <v>275000</v>
      </c>
      <c r="T428" s="102">
        <f>(R428*Q428)</f>
        <v>250000</v>
      </c>
      <c r="U428" s="71" t="str">
        <f>IF(J428=W428,"O", "X")</f>
        <v>O</v>
      </c>
      <c r="V428" s="71"/>
      <c r="W428" s="482">
        <f t="shared" si="160"/>
        <v>75000</v>
      </c>
    </row>
    <row r="429" spans="1:25" ht="30" hidden="1" customHeight="1" x14ac:dyDescent="0.25">
      <c r="A429" s="82">
        <v>171107</v>
      </c>
      <c r="B429" s="664" t="s">
        <v>764</v>
      </c>
      <c r="C429" s="71" t="s">
        <v>236</v>
      </c>
      <c r="D429" s="71">
        <v>5</v>
      </c>
      <c r="E429" s="102">
        <v>100000</v>
      </c>
      <c r="F429" s="102">
        <f t="shared" si="166"/>
        <v>550000</v>
      </c>
      <c r="G429" s="102">
        <f t="shared" si="167"/>
        <v>500000</v>
      </c>
      <c r="H429" s="690" t="s">
        <v>173</v>
      </c>
      <c r="I429" s="71" t="s">
        <v>142</v>
      </c>
      <c r="J429" s="60">
        <f>(G429-(VLOOKUP(C429,Price!B:D,3,FALSE)*D429))</f>
        <v>250000</v>
      </c>
      <c r="K429" s="54">
        <f t="shared" si="163"/>
        <v>0.5</v>
      </c>
      <c r="L429" s="788">
        <v>17.11</v>
      </c>
      <c r="M429" s="468"/>
      <c r="N429" s="664">
        <f t="shared" si="151"/>
        <v>171107</v>
      </c>
      <c r="O429" s="71" t="s">
        <v>153</v>
      </c>
      <c r="P429" s="71" t="str">
        <f t="shared" si="155"/>
        <v>아스테이지(국전)</v>
      </c>
      <c r="Q429" s="71">
        <f t="shared" si="152"/>
        <v>5</v>
      </c>
      <c r="R429" s="102">
        <v>50000</v>
      </c>
      <c r="S429" s="102">
        <f>(R429*D429)*1.1</f>
        <v>275000</v>
      </c>
      <c r="T429" s="102">
        <f>(R429*Q429)</f>
        <v>250000</v>
      </c>
      <c r="U429" s="71" t="str">
        <f>IF(J429=W429,"O", "X")</f>
        <v>O</v>
      </c>
      <c r="V429" s="71"/>
      <c r="W429" s="482">
        <f t="shared" si="160"/>
        <v>250000</v>
      </c>
      <c r="X429" s="71"/>
      <c r="Y429" s="71"/>
    </row>
    <row r="430" spans="1:25" ht="30" hidden="1" customHeight="1" x14ac:dyDescent="0.25">
      <c r="A430" s="82">
        <v>171107</v>
      </c>
      <c r="B430" s="664" t="s">
        <v>546</v>
      </c>
      <c r="C430" s="71" t="s">
        <v>114</v>
      </c>
      <c r="D430" s="71">
        <v>40</v>
      </c>
      <c r="E430" s="102">
        <v>18000</v>
      </c>
      <c r="F430" s="102">
        <f t="shared" si="166"/>
        <v>792000.00000000012</v>
      </c>
      <c r="G430" s="102">
        <f t="shared" si="167"/>
        <v>720000</v>
      </c>
      <c r="H430" s="779" t="s">
        <v>113</v>
      </c>
      <c r="I430" s="71"/>
      <c r="J430" s="60">
        <f>(G430-(VLOOKUP(C430,Price!B:D,3,FALSE)*D430))</f>
        <v>360000</v>
      </c>
      <c r="K430" s="54">
        <f t="shared" si="163"/>
        <v>0.49999999999999994</v>
      </c>
      <c r="L430" s="788">
        <v>17.11</v>
      </c>
      <c r="M430" s="468"/>
      <c r="N430" s="664">
        <f t="shared" si="151"/>
        <v>171107</v>
      </c>
      <c r="O430" s="808" t="s">
        <v>113</v>
      </c>
      <c r="P430" s="71" t="str">
        <f t="shared" si="155"/>
        <v>스트리퍼</v>
      </c>
      <c r="Q430" s="71">
        <f t="shared" si="152"/>
        <v>40</v>
      </c>
      <c r="R430" s="102"/>
      <c r="S430" s="102"/>
      <c r="T430" s="102"/>
      <c r="U430" s="71"/>
      <c r="V430" s="71"/>
      <c r="X430" s="71"/>
      <c r="Y430" s="71"/>
    </row>
    <row r="431" spans="1:25" ht="30" hidden="1" customHeight="1" x14ac:dyDescent="0.25">
      <c r="A431" s="82">
        <v>171107</v>
      </c>
      <c r="B431" s="664" t="s">
        <v>546</v>
      </c>
      <c r="C431" s="71" t="s">
        <v>114</v>
      </c>
      <c r="D431" s="71">
        <v>10</v>
      </c>
      <c r="E431" s="102">
        <v>18000</v>
      </c>
      <c r="F431" s="102">
        <f t="shared" si="166"/>
        <v>198000.00000000003</v>
      </c>
      <c r="G431" s="102">
        <f t="shared" si="167"/>
        <v>180000</v>
      </c>
      <c r="H431" s="779" t="s">
        <v>113</v>
      </c>
      <c r="I431" s="71"/>
      <c r="J431" s="60">
        <f>(G431-(VLOOKUP(C431,Price!B:D,3,FALSE)*D431))</f>
        <v>90000</v>
      </c>
      <c r="K431" s="54">
        <f t="shared" si="163"/>
        <v>0.49999999999999994</v>
      </c>
      <c r="L431" s="788">
        <v>17.11</v>
      </c>
      <c r="M431" s="468"/>
      <c r="N431" s="664">
        <f t="shared" si="151"/>
        <v>171107</v>
      </c>
      <c r="O431" s="808" t="s">
        <v>113</v>
      </c>
      <c r="P431" s="71" t="str">
        <f t="shared" si="155"/>
        <v>스트리퍼</v>
      </c>
      <c r="Q431" s="71">
        <f t="shared" si="152"/>
        <v>10</v>
      </c>
      <c r="R431" s="102"/>
      <c r="S431" s="102"/>
      <c r="T431" s="102"/>
      <c r="U431" s="71"/>
      <c r="V431" s="71"/>
      <c r="X431" s="71"/>
      <c r="Y431" s="71"/>
    </row>
    <row r="432" spans="1:25" ht="30" customHeight="1" x14ac:dyDescent="0.25">
      <c r="A432" s="82">
        <v>171107</v>
      </c>
      <c r="B432" s="664" t="s">
        <v>422</v>
      </c>
      <c r="C432" s="71" t="s">
        <v>130</v>
      </c>
      <c r="D432" s="71">
        <v>10</v>
      </c>
      <c r="E432" s="102">
        <v>125000</v>
      </c>
      <c r="F432" s="102">
        <f t="shared" si="166"/>
        <v>1375000</v>
      </c>
      <c r="G432" s="102">
        <f t="shared" si="167"/>
        <v>1250000</v>
      </c>
      <c r="H432" s="690" t="s">
        <v>173</v>
      </c>
      <c r="I432" s="71" t="s">
        <v>109</v>
      </c>
      <c r="J432" s="53">
        <f>(G432-(VLOOKUP(C432,Price!B:D,3,FALSE)*D432))</f>
        <v>260000</v>
      </c>
      <c r="K432" s="63">
        <f t="shared" si="163"/>
        <v>0.20799999999999999</v>
      </c>
      <c r="L432" s="788">
        <v>17.11</v>
      </c>
      <c r="M432" s="468"/>
      <c r="N432" s="664">
        <f t="shared" si="151"/>
        <v>171107</v>
      </c>
      <c r="O432" s="71" t="s">
        <v>150</v>
      </c>
      <c r="P432" s="71" t="str">
        <f t="shared" si="155"/>
        <v>XL106 Blanket(1077*885)</v>
      </c>
      <c r="Q432" s="71">
        <f t="shared" si="152"/>
        <v>10</v>
      </c>
      <c r="R432" s="102">
        <v>99000</v>
      </c>
      <c r="S432" s="102">
        <f>R432*Q432*1.1</f>
        <v>1089000</v>
      </c>
      <c r="T432" s="102">
        <f>R432*Q432</f>
        <v>990000</v>
      </c>
      <c r="U432" s="71" t="str">
        <f>IF(J432=W432,"O", "X")</f>
        <v>O</v>
      </c>
      <c r="V432" s="71"/>
      <c r="W432" s="482">
        <f>(G432-T432)</f>
        <v>260000</v>
      </c>
      <c r="X432" s="71"/>
      <c r="Y432" s="71"/>
    </row>
    <row r="433" spans="1:25" ht="30" customHeight="1" x14ac:dyDescent="0.25">
      <c r="A433" s="82">
        <v>171107</v>
      </c>
      <c r="B433" s="664" t="s">
        <v>422</v>
      </c>
      <c r="C433" s="71" t="s">
        <v>129</v>
      </c>
      <c r="D433" s="71">
        <v>5</v>
      </c>
      <c r="E433" s="102">
        <v>272000</v>
      </c>
      <c r="F433" s="102">
        <f>(E433*D433)*1.1</f>
        <v>1496000.0000000002</v>
      </c>
      <c r="G433" s="102">
        <f>(E433*D433)</f>
        <v>1360000</v>
      </c>
      <c r="H433" s="690" t="s">
        <v>173</v>
      </c>
      <c r="I433" s="71" t="s">
        <v>108</v>
      </c>
      <c r="J433" s="60">
        <f>(G433-(VLOOKUP(C433,Price!B:D,3,FALSE)*D433))</f>
        <v>320000</v>
      </c>
      <c r="K433" s="63">
        <v>0.23529411764705879</v>
      </c>
      <c r="L433" s="788">
        <v>17.11</v>
      </c>
      <c r="M433" s="468"/>
      <c r="N433" s="664">
        <f t="shared" si="151"/>
        <v>171107</v>
      </c>
      <c r="O433" s="71" t="s">
        <v>149</v>
      </c>
      <c r="P433" s="71" t="s">
        <v>220</v>
      </c>
      <c r="Q433" s="71">
        <f t="shared" si="152"/>
        <v>5</v>
      </c>
      <c r="R433" s="102">
        <v>208000</v>
      </c>
      <c r="S433" s="102">
        <f>(R433*Q433)*1.1</f>
        <v>1144000</v>
      </c>
      <c r="T433" s="147">
        <v>624000</v>
      </c>
      <c r="U433" s="71" t="s">
        <v>859</v>
      </c>
      <c r="V433" s="71"/>
      <c r="W433" s="482">
        <v>192000</v>
      </c>
      <c r="X433" s="71"/>
      <c r="Y433" s="71"/>
    </row>
    <row r="434" spans="1:25" ht="30" customHeight="1" x14ac:dyDescent="0.25">
      <c r="A434" s="82">
        <v>171107</v>
      </c>
      <c r="B434" s="664" t="s">
        <v>422</v>
      </c>
      <c r="C434" s="760" t="s">
        <v>138</v>
      </c>
      <c r="D434" s="71">
        <v>10</v>
      </c>
      <c r="E434" s="102">
        <v>68000</v>
      </c>
      <c r="F434" s="102">
        <f>(E434*D434)*1.1</f>
        <v>748000.00000000012</v>
      </c>
      <c r="G434" s="102">
        <f>(E434*D434)</f>
        <v>680000</v>
      </c>
      <c r="H434" s="690" t="s">
        <v>173</v>
      </c>
      <c r="I434" s="71" t="s">
        <v>120</v>
      </c>
      <c r="J434" s="60">
        <f>(G434-(VLOOKUP(C434,Price!B:D,3,FALSE)*D434))</f>
        <v>170000</v>
      </c>
      <c r="K434" s="63">
        <v>0.52127659574468088</v>
      </c>
      <c r="L434" s="788">
        <v>17.11</v>
      </c>
      <c r="M434" s="468"/>
      <c r="N434" s="664">
        <f t="shared" si="151"/>
        <v>171107</v>
      </c>
      <c r="O434" s="71" t="s">
        <v>150</v>
      </c>
      <c r="P434" s="71" t="str">
        <f t="shared" si="155"/>
        <v>매엽용 세척제(Wash 562)</v>
      </c>
      <c r="Q434" s="71">
        <f t="shared" si="152"/>
        <v>10</v>
      </c>
      <c r="R434" s="102">
        <v>51000</v>
      </c>
      <c r="S434" s="102">
        <f t="shared" ref="S434:S442" si="168">R434*Q434*1.1</f>
        <v>561000</v>
      </c>
      <c r="T434" s="102">
        <f t="shared" ref="T434:T442" si="169">R434*Q434</f>
        <v>510000</v>
      </c>
      <c r="U434" s="71" t="str">
        <f t="shared" ref="U434:U442" si="170">IF(J434=W434,"O", "X")</f>
        <v>O</v>
      </c>
      <c r="V434" s="71"/>
      <c r="W434" s="482">
        <f t="shared" ref="W434:W442" si="171">(G434-T434)</f>
        <v>170000</v>
      </c>
      <c r="X434" s="71"/>
      <c r="Y434" s="71"/>
    </row>
    <row r="435" spans="1:25" s="616" customFormat="1" ht="30" customHeight="1" x14ac:dyDescent="0.25">
      <c r="A435" s="82">
        <v>171107</v>
      </c>
      <c r="B435" s="664" t="s">
        <v>422</v>
      </c>
      <c r="C435" s="71" t="s">
        <v>584</v>
      </c>
      <c r="D435" s="71">
        <v>2</v>
      </c>
      <c r="E435" s="102">
        <v>270000</v>
      </c>
      <c r="F435" s="102">
        <f>(E435*D435)*1.1</f>
        <v>594000</v>
      </c>
      <c r="G435" s="102">
        <f>(E435*D435)</f>
        <v>540000</v>
      </c>
      <c r="H435" s="690" t="s">
        <v>173</v>
      </c>
      <c r="I435" s="71" t="s">
        <v>142</v>
      </c>
      <c r="J435" s="53">
        <f>(G435-(VLOOKUP(C435,Price!B:D,3,FALSE)*D435))</f>
        <v>108000</v>
      </c>
      <c r="K435" s="63">
        <f t="shared" ref="K435:K447" si="172">(J435/(F435/11*10))</f>
        <v>0.2</v>
      </c>
      <c r="L435" s="788">
        <v>17.11</v>
      </c>
      <c r="M435" s="468"/>
      <c r="N435" s="664">
        <f t="shared" si="151"/>
        <v>171107</v>
      </c>
      <c r="O435" s="71" t="s">
        <v>150</v>
      </c>
      <c r="P435" s="71" t="str">
        <f>C435</f>
        <v>데리바리 석션벨트</v>
      </c>
      <c r="Q435" s="71">
        <f t="shared" si="152"/>
        <v>2</v>
      </c>
      <c r="R435" s="102">
        <v>216000</v>
      </c>
      <c r="S435" s="102">
        <f t="shared" si="168"/>
        <v>475200.00000000006</v>
      </c>
      <c r="T435" s="102">
        <f t="shared" si="169"/>
        <v>432000</v>
      </c>
      <c r="U435" s="71" t="str">
        <f t="shared" si="170"/>
        <v>O</v>
      </c>
      <c r="V435" s="71"/>
      <c r="W435" s="520">
        <f t="shared" si="171"/>
        <v>108000</v>
      </c>
      <c r="X435" s="71"/>
      <c r="Y435" s="71"/>
    </row>
    <row r="436" spans="1:25" ht="30" hidden="1" customHeight="1" x14ac:dyDescent="0.25">
      <c r="A436" s="82">
        <v>171107</v>
      </c>
      <c r="B436" s="664" t="s">
        <v>575</v>
      </c>
      <c r="C436" s="71" t="s">
        <v>881</v>
      </c>
      <c r="D436" s="71">
        <v>100</v>
      </c>
      <c r="E436" s="102">
        <v>18000</v>
      </c>
      <c r="F436" s="102">
        <f t="shared" ref="F436:F443" si="173">(E436*D436)*1.1</f>
        <v>1980000.0000000002</v>
      </c>
      <c r="G436" s="102">
        <f t="shared" ref="G436:G443" si="174">(E436*D436)</f>
        <v>1800000</v>
      </c>
      <c r="H436" s="779" t="s">
        <v>113</v>
      </c>
      <c r="I436" s="71"/>
      <c r="J436" s="53">
        <f>(G436-(VLOOKUP(C436,Import!C:G,4,FALSE)*D436))</f>
        <v>1800000</v>
      </c>
      <c r="K436" s="63">
        <f t="shared" si="172"/>
        <v>0.99999999999999989</v>
      </c>
      <c r="L436" s="788">
        <v>17.11</v>
      </c>
      <c r="M436" s="468"/>
      <c r="N436" s="664">
        <f t="shared" si="151"/>
        <v>171107</v>
      </c>
      <c r="O436" s="808" t="s">
        <v>113</v>
      </c>
      <c r="P436" s="71" t="str">
        <f t="shared" ref="P436:P448" si="175">C436</f>
        <v>스트리퍼(대)</v>
      </c>
      <c r="Q436" s="71">
        <f t="shared" si="152"/>
        <v>100</v>
      </c>
      <c r="R436" s="102"/>
      <c r="S436" s="102">
        <f t="shared" si="168"/>
        <v>0</v>
      </c>
      <c r="T436" s="102">
        <f t="shared" si="169"/>
        <v>0</v>
      </c>
      <c r="U436" s="71" t="str">
        <f t="shared" si="170"/>
        <v>O</v>
      </c>
      <c r="V436" s="71"/>
      <c r="W436" s="482">
        <f t="shared" si="171"/>
        <v>1800000</v>
      </c>
      <c r="X436" s="71"/>
      <c r="Y436" s="71"/>
    </row>
    <row r="437" spans="1:25" ht="30" hidden="1" customHeight="1" x14ac:dyDescent="0.25">
      <c r="A437" s="82">
        <v>171107</v>
      </c>
      <c r="B437" s="664" t="s">
        <v>575</v>
      </c>
      <c r="C437" s="71" t="s">
        <v>882</v>
      </c>
      <c r="D437" s="71">
        <v>30</v>
      </c>
      <c r="E437" s="102">
        <v>18000</v>
      </c>
      <c r="F437" s="102">
        <f t="shared" si="173"/>
        <v>594000</v>
      </c>
      <c r="G437" s="102">
        <f t="shared" si="174"/>
        <v>540000</v>
      </c>
      <c r="H437" s="779" t="s">
        <v>113</v>
      </c>
      <c r="I437" s="71"/>
      <c r="J437" s="53">
        <f>(G437-(VLOOKUP(C437,Import!C:G,4,FALSE)*D437))</f>
        <v>540000</v>
      </c>
      <c r="K437" s="63">
        <f t="shared" si="172"/>
        <v>1</v>
      </c>
      <c r="L437" s="788">
        <v>17.11</v>
      </c>
      <c r="M437" s="468"/>
      <c r="N437" s="664">
        <f t="shared" si="151"/>
        <v>171107</v>
      </c>
      <c r="O437" s="808" t="s">
        <v>113</v>
      </c>
      <c r="P437" s="71" t="str">
        <f t="shared" si="175"/>
        <v>스트리퍼(소)</v>
      </c>
      <c r="Q437" s="71">
        <f t="shared" si="152"/>
        <v>30</v>
      </c>
      <c r="R437" s="102"/>
      <c r="S437" s="102">
        <f t="shared" si="168"/>
        <v>0</v>
      </c>
      <c r="T437" s="102">
        <f t="shared" si="169"/>
        <v>0</v>
      </c>
      <c r="U437" s="71" t="str">
        <f t="shared" si="170"/>
        <v>O</v>
      </c>
      <c r="V437" s="71"/>
      <c r="W437" s="482">
        <f t="shared" si="171"/>
        <v>540000</v>
      </c>
      <c r="X437" s="71"/>
      <c r="Y437" s="71"/>
    </row>
    <row r="438" spans="1:25" ht="30" hidden="1" customHeight="1" x14ac:dyDescent="0.25">
      <c r="A438" s="82">
        <v>171107</v>
      </c>
      <c r="B438" s="664" t="s">
        <v>575</v>
      </c>
      <c r="C438" s="71" t="s">
        <v>883</v>
      </c>
      <c r="D438" s="71">
        <v>50</v>
      </c>
      <c r="E438" s="102">
        <v>22000</v>
      </c>
      <c r="F438" s="102">
        <f t="shared" si="173"/>
        <v>1210000</v>
      </c>
      <c r="G438" s="102">
        <f t="shared" si="174"/>
        <v>1100000</v>
      </c>
      <c r="H438" s="779" t="s">
        <v>113</v>
      </c>
      <c r="I438" s="71"/>
      <c r="J438" s="53">
        <f>(G438-(VLOOKUP(C438,Import!C:G,4,FALSE)*D438))</f>
        <v>1100000</v>
      </c>
      <c r="K438" s="63">
        <f t="shared" si="172"/>
        <v>1</v>
      </c>
      <c r="L438" s="788">
        <v>17.11</v>
      </c>
      <c r="M438" s="468"/>
      <c r="N438" s="664">
        <f t="shared" si="151"/>
        <v>171107</v>
      </c>
      <c r="O438" s="808" t="s">
        <v>113</v>
      </c>
      <c r="P438" s="71" t="str">
        <f t="shared" si="175"/>
        <v>벨트</v>
      </c>
      <c r="Q438" s="71">
        <f t="shared" si="152"/>
        <v>50</v>
      </c>
      <c r="R438" s="102"/>
      <c r="S438" s="102">
        <f t="shared" si="168"/>
        <v>0</v>
      </c>
      <c r="T438" s="102">
        <f t="shared" si="169"/>
        <v>0</v>
      </c>
      <c r="U438" s="71" t="str">
        <f t="shared" si="170"/>
        <v>O</v>
      </c>
      <c r="V438" s="71"/>
      <c r="W438" s="482">
        <f t="shared" si="171"/>
        <v>1100000</v>
      </c>
      <c r="X438" s="71"/>
      <c r="Y438" s="71"/>
    </row>
    <row r="439" spans="1:25" ht="30" hidden="1" customHeight="1" x14ac:dyDescent="0.25">
      <c r="A439" s="82">
        <v>171107</v>
      </c>
      <c r="B439" s="664" t="s">
        <v>575</v>
      </c>
      <c r="C439" s="71" t="s">
        <v>884</v>
      </c>
      <c r="D439" s="71">
        <v>5</v>
      </c>
      <c r="E439" s="102">
        <v>55000</v>
      </c>
      <c r="F439" s="102">
        <f t="shared" si="173"/>
        <v>302500</v>
      </c>
      <c r="G439" s="102">
        <f t="shared" si="174"/>
        <v>275000</v>
      </c>
      <c r="H439" s="779" t="s">
        <v>113</v>
      </c>
      <c r="I439" s="71"/>
      <c r="J439" s="53">
        <f>(G439-(VLOOKUP(C439,Import!C:G,4,FALSE)*D439))</f>
        <v>275000</v>
      </c>
      <c r="K439" s="63">
        <f t="shared" si="172"/>
        <v>1</v>
      </c>
      <c r="L439" s="788">
        <v>17.11</v>
      </c>
      <c r="M439" s="468"/>
      <c r="N439" s="664">
        <f t="shared" si="151"/>
        <v>171107</v>
      </c>
      <c r="O439" s="808" t="s">
        <v>113</v>
      </c>
      <c r="P439" s="71" t="str">
        <f t="shared" si="175"/>
        <v>재단목</v>
      </c>
      <c r="Q439" s="71">
        <f t="shared" si="152"/>
        <v>5</v>
      </c>
      <c r="R439" s="102"/>
      <c r="S439" s="102">
        <f t="shared" si="168"/>
        <v>0</v>
      </c>
      <c r="T439" s="102">
        <f t="shared" si="169"/>
        <v>0</v>
      </c>
      <c r="U439" s="71" t="str">
        <f t="shared" si="170"/>
        <v>O</v>
      </c>
      <c r="V439" s="71"/>
      <c r="W439" s="482">
        <f t="shared" si="171"/>
        <v>275000</v>
      </c>
      <c r="X439" s="71"/>
      <c r="Y439" s="71"/>
    </row>
    <row r="440" spans="1:25" ht="30" hidden="1" customHeight="1" x14ac:dyDescent="0.25">
      <c r="A440" s="82">
        <v>171107</v>
      </c>
      <c r="B440" s="664" t="s">
        <v>575</v>
      </c>
      <c r="C440" s="71" t="s">
        <v>885</v>
      </c>
      <c r="D440" s="71">
        <v>8</v>
      </c>
      <c r="E440" s="102">
        <v>50000</v>
      </c>
      <c r="F440" s="102">
        <f t="shared" si="173"/>
        <v>440000.00000000006</v>
      </c>
      <c r="G440" s="102">
        <f t="shared" si="174"/>
        <v>400000</v>
      </c>
      <c r="H440" s="779" t="s">
        <v>113</v>
      </c>
      <c r="I440" s="71"/>
      <c r="J440" s="53">
        <f>(G440-(VLOOKUP(C440,Import!C:G,4,FALSE)*D440))</f>
        <v>400000</v>
      </c>
      <c r="K440" s="63">
        <f t="shared" si="172"/>
        <v>0.99999999999999989</v>
      </c>
      <c r="L440" s="788">
        <v>17.11</v>
      </c>
      <c r="M440" s="468"/>
      <c r="N440" s="664">
        <f t="shared" si="151"/>
        <v>171107</v>
      </c>
      <c r="O440" s="808" t="s">
        <v>113</v>
      </c>
      <c r="P440" s="103" t="str">
        <f t="shared" si="175"/>
        <v>재단칼 러버</v>
      </c>
      <c r="Q440" s="71">
        <f t="shared" si="152"/>
        <v>8</v>
      </c>
      <c r="R440" s="102"/>
      <c r="S440" s="102">
        <f t="shared" si="168"/>
        <v>0</v>
      </c>
      <c r="T440" s="102">
        <f t="shared" si="169"/>
        <v>0</v>
      </c>
      <c r="U440" s="71" t="str">
        <f t="shared" si="170"/>
        <v>O</v>
      </c>
      <c r="V440" s="71"/>
      <c r="W440" s="482">
        <f t="shared" si="171"/>
        <v>400000</v>
      </c>
      <c r="X440" s="71"/>
      <c r="Y440" s="71"/>
    </row>
    <row r="441" spans="1:25" ht="30" hidden="1" customHeight="1" x14ac:dyDescent="0.25">
      <c r="A441" s="82">
        <v>171107</v>
      </c>
      <c r="B441" s="664" t="s">
        <v>575</v>
      </c>
      <c r="C441" s="71" t="s">
        <v>886</v>
      </c>
      <c r="D441" s="71">
        <v>2</v>
      </c>
      <c r="E441" s="102">
        <v>270000</v>
      </c>
      <c r="F441" s="102">
        <f t="shared" si="173"/>
        <v>594000</v>
      </c>
      <c r="G441" s="102">
        <f t="shared" si="174"/>
        <v>540000</v>
      </c>
      <c r="H441" s="779" t="s">
        <v>113</v>
      </c>
      <c r="I441" s="71"/>
      <c r="J441" s="53">
        <f>(G441-(VLOOKUP(C441,Import!C:G,4,FALSE)*D441))</f>
        <v>540000</v>
      </c>
      <c r="K441" s="63">
        <f t="shared" si="172"/>
        <v>1</v>
      </c>
      <c r="L441" s="788">
        <v>17.11</v>
      </c>
      <c r="M441" s="468"/>
      <c r="N441" s="664">
        <f t="shared" si="151"/>
        <v>171107</v>
      </c>
      <c r="O441" s="808" t="s">
        <v>113</v>
      </c>
      <c r="P441" s="103" t="str">
        <f t="shared" si="175"/>
        <v>횡미싱</v>
      </c>
      <c r="Q441" s="71">
        <f t="shared" si="152"/>
        <v>2</v>
      </c>
      <c r="R441" s="102"/>
      <c r="S441" s="102">
        <f t="shared" si="168"/>
        <v>0</v>
      </c>
      <c r="T441" s="102">
        <f t="shared" si="169"/>
        <v>0</v>
      </c>
      <c r="U441" s="71" t="str">
        <f t="shared" si="170"/>
        <v>O</v>
      </c>
      <c r="V441" s="71"/>
      <c r="W441" s="482">
        <f t="shared" si="171"/>
        <v>540000</v>
      </c>
      <c r="X441" s="71"/>
      <c r="Y441" s="71"/>
    </row>
    <row r="442" spans="1:25" ht="30" hidden="1" customHeight="1" x14ac:dyDescent="0.25">
      <c r="A442" s="82">
        <v>171107</v>
      </c>
      <c r="B442" s="664" t="s">
        <v>575</v>
      </c>
      <c r="C442" s="71" t="s">
        <v>887</v>
      </c>
      <c r="D442" s="71">
        <v>4</v>
      </c>
      <c r="E442" s="102">
        <v>36000</v>
      </c>
      <c r="F442" s="102">
        <f t="shared" si="173"/>
        <v>158400</v>
      </c>
      <c r="G442" s="102">
        <f t="shared" si="174"/>
        <v>144000</v>
      </c>
      <c r="H442" s="779" t="s">
        <v>113</v>
      </c>
      <c r="I442" s="71"/>
      <c r="J442" s="53">
        <f>G442-T442</f>
        <v>76000</v>
      </c>
      <c r="K442" s="63">
        <f t="shared" si="172"/>
        <v>0.52777777777777779</v>
      </c>
      <c r="L442" s="788">
        <v>17.11</v>
      </c>
      <c r="M442" s="468"/>
      <c r="N442" s="664">
        <f t="shared" si="151"/>
        <v>171107</v>
      </c>
      <c r="O442" s="71" t="s">
        <v>150</v>
      </c>
      <c r="P442" s="103" t="str">
        <f t="shared" si="175"/>
        <v>벨트 접착제</v>
      </c>
      <c r="Q442" s="71">
        <f t="shared" si="152"/>
        <v>4</v>
      </c>
      <c r="R442" s="102">
        <v>17000</v>
      </c>
      <c r="S442" s="102">
        <f t="shared" si="168"/>
        <v>74800</v>
      </c>
      <c r="T442" s="102">
        <f t="shared" si="169"/>
        <v>68000</v>
      </c>
      <c r="U442" s="71" t="str">
        <f t="shared" si="170"/>
        <v>O</v>
      </c>
      <c r="V442" s="71"/>
      <c r="W442" s="482">
        <f t="shared" si="171"/>
        <v>76000</v>
      </c>
      <c r="X442" s="71"/>
      <c r="Y442" s="71"/>
    </row>
    <row r="443" spans="1:25" ht="30" hidden="1" customHeight="1" x14ac:dyDescent="0.25">
      <c r="A443" s="80">
        <v>171107</v>
      </c>
      <c r="B443" s="664" t="s">
        <v>575</v>
      </c>
      <c r="C443" s="71" t="s">
        <v>851</v>
      </c>
      <c r="D443" s="71">
        <v>-1</v>
      </c>
      <c r="E443" s="102">
        <v>20000</v>
      </c>
      <c r="F443" s="102">
        <f t="shared" si="173"/>
        <v>-22000</v>
      </c>
      <c r="G443" s="102">
        <f t="shared" si="174"/>
        <v>-20000</v>
      </c>
      <c r="H443" s="779" t="s">
        <v>113</v>
      </c>
      <c r="I443" s="71"/>
      <c r="J443" s="53">
        <f>G443-T443</f>
        <v>-20000</v>
      </c>
      <c r="K443" s="63">
        <f t="shared" si="172"/>
        <v>1</v>
      </c>
      <c r="L443" s="788">
        <v>17.11</v>
      </c>
      <c r="M443" s="468"/>
      <c r="N443" s="664">
        <f t="shared" si="151"/>
        <v>171107</v>
      </c>
      <c r="O443" s="71"/>
      <c r="P443" s="103" t="str">
        <f t="shared" si="175"/>
        <v>가격조정</v>
      </c>
      <c r="Q443" s="71">
        <f t="shared" si="152"/>
        <v>-1</v>
      </c>
      <c r="R443" s="102"/>
      <c r="S443" s="102"/>
      <c r="T443" s="102"/>
      <c r="U443" s="71"/>
      <c r="V443" s="71"/>
      <c r="X443" s="73"/>
      <c r="Y443" s="73"/>
    </row>
    <row r="444" spans="1:25" ht="30" hidden="1" customHeight="1" x14ac:dyDescent="0.25">
      <c r="A444" s="80">
        <v>171107</v>
      </c>
      <c r="B444" s="664" t="s">
        <v>590</v>
      </c>
      <c r="C444" s="71" t="s">
        <v>585</v>
      </c>
      <c r="D444" s="71">
        <v>60</v>
      </c>
      <c r="E444" s="102">
        <v>7500</v>
      </c>
      <c r="F444" s="102">
        <f t="shared" ref="F444:F450" si="176">(E444*D444)*1.1</f>
        <v>495000.00000000006</v>
      </c>
      <c r="G444" s="102">
        <f t="shared" ref="G444:G450" si="177">(E444*D444)</f>
        <v>450000</v>
      </c>
      <c r="H444" s="690" t="s">
        <v>173</v>
      </c>
      <c r="I444" s="71" t="s">
        <v>144</v>
      </c>
      <c r="J444" s="53">
        <f>(G444-(VLOOKUP(C444,Price!B:D,3,FALSE)*D444))</f>
        <v>43800</v>
      </c>
      <c r="K444" s="63">
        <f t="shared" si="172"/>
        <v>9.7333333333333327E-2</v>
      </c>
      <c r="L444" s="788">
        <v>17.11</v>
      </c>
      <c r="M444" s="468"/>
      <c r="N444" s="664">
        <f t="shared" si="151"/>
        <v>171107</v>
      </c>
      <c r="O444" s="71" t="s">
        <v>147</v>
      </c>
      <c r="P444" s="132" t="str">
        <f t="shared" si="175"/>
        <v>프리미어(적)</v>
      </c>
      <c r="Q444" s="73">
        <f t="shared" si="152"/>
        <v>60</v>
      </c>
      <c r="R444" s="147">
        <v>6770</v>
      </c>
      <c r="S444" s="147">
        <f>R444*Q444*1.1</f>
        <v>446820.00000000006</v>
      </c>
      <c r="T444" s="147">
        <f>R444*Q444</f>
        <v>406200</v>
      </c>
      <c r="U444" s="73" t="str">
        <f>IF(J444=W444,"O", "X")</f>
        <v>O</v>
      </c>
      <c r="V444" s="71"/>
      <c r="W444" s="482">
        <f>(G444-T444)</f>
        <v>43800</v>
      </c>
      <c r="X444" s="73"/>
      <c r="Y444" s="73"/>
    </row>
    <row r="445" spans="1:25" ht="30" hidden="1" customHeight="1" x14ac:dyDescent="0.25">
      <c r="A445" s="82">
        <v>171107</v>
      </c>
      <c r="B445" s="664" t="s">
        <v>590</v>
      </c>
      <c r="C445" s="71" t="s">
        <v>586</v>
      </c>
      <c r="D445" s="71">
        <v>60</v>
      </c>
      <c r="E445" s="102">
        <v>6750</v>
      </c>
      <c r="F445" s="102">
        <f t="shared" si="176"/>
        <v>445500.00000000006</v>
      </c>
      <c r="G445" s="102">
        <f t="shared" si="177"/>
        <v>405000</v>
      </c>
      <c r="H445" s="690" t="s">
        <v>173</v>
      </c>
      <c r="I445" s="71" t="s">
        <v>144</v>
      </c>
      <c r="J445" s="53">
        <f>(G445-(VLOOKUP(C445,Price!B:D,3,FALSE)*D445))</f>
        <v>34200</v>
      </c>
      <c r="K445" s="63">
        <f t="shared" si="172"/>
        <v>8.4444444444444433E-2</v>
      </c>
      <c r="L445" s="788">
        <v>17.11</v>
      </c>
      <c r="M445" s="468"/>
      <c r="N445" s="664">
        <f t="shared" si="151"/>
        <v>171107</v>
      </c>
      <c r="O445" s="71" t="s">
        <v>147</v>
      </c>
      <c r="P445" s="103" t="str">
        <f t="shared" si="175"/>
        <v>프리미어(황)</v>
      </c>
      <c r="Q445" s="71">
        <f t="shared" si="152"/>
        <v>60</v>
      </c>
      <c r="R445" s="102">
        <v>6180</v>
      </c>
      <c r="S445" s="102">
        <f>R445*Q445*1.1</f>
        <v>407880.00000000006</v>
      </c>
      <c r="T445" s="102">
        <f>R445*Q445</f>
        <v>370800</v>
      </c>
      <c r="U445" s="71" t="str">
        <f>IF(J445=W445,"O", "X")</f>
        <v>O</v>
      </c>
      <c r="V445" s="71"/>
      <c r="W445" s="482">
        <f>(G445-T445)</f>
        <v>34200</v>
      </c>
      <c r="X445" s="71"/>
      <c r="Y445" s="71"/>
    </row>
    <row r="446" spans="1:25" ht="33" hidden="1" customHeight="1" x14ac:dyDescent="0.25">
      <c r="A446" s="82">
        <v>171107</v>
      </c>
      <c r="B446" s="664" t="s">
        <v>590</v>
      </c>
      <c r="C446" s="71" t="s">
        <v>587</v>
      </c>
      <c r="D446" s="71">
        <v>60</v>
      </c>
      <c r="E446" s="102">
        <v>8000</v>
      </c>
      <c r="F446" s="102">
        <f t="shared" si="176"/>
        <v>528000</v>
      </c>
      <c r="G446" s="102">
        <f t="shared" si="177"/>
        <v>480000</v>
      </c>
      <c r="H446" s="690" t="s">
        <v>173</v>
      </c>
      <c r="I446" s="71" t="s">
        <v>144</v>
      </c>
      <c r="J446" s="53">
        <f>(G446-(VLOOKUP(C446,Price!B:D,3,FALSE)*D446))</f>
        <v>65400</v>
      </c>
      <c r="K446" s="63">
        <f t="shared" si="172"/>
        <v>0.13625000000000001</v>
      </c>
      <c r="L446" s="788">
        <v>17.11</v>
      </c>
      <c r="M446" s="468"/>
      <c r="N446" s="664">
        <f t="shared" si="151"/>
        <v>171107</v>
      </c>
      <c r="O446" s="71" t="s">
        <v>147</v>
      </c>
      <c r="P446" s="103" t="str">
        <f t="shared" si="175"/>
        <v>프리미어(청)</v>
      </c>
      <c r="Q446" s="71">
        <f t="shared" si="152"/>
        <v>60</v>
      </c>
      <c r="R446" s="102">
        <v>6910</v>
      </c>
      <c r="S446" s="102">
        <f>R446*Q446*1.1</f>
        <v>456060.00000000006</v>
      </c>
      <c r="T446" s="102">
        <f>R446*Q446</f>
        <v>414600</v>
      </c>
      <c r="U446" s="71" t="str">
        <f>IF(J446=W446,"O", "X")</f>
        <v>O</v>
      </c>
      <c r="V446" s="71"/>
      <c r="W446" s="482">
        <f>(G446-T446)</f>
        <v>65400</v>
      </c>
      <c r="X446" s="71"/>
      <c r="Y446" s="71"/>
    </row>
    <row r="447" spans="1:25" s="602" customFormat="1" ht="30" hidden="1" customHeight="1" x14ac:dyDescent="0.25">
      <c r="A447" s="85">
        <v>171107</v>
      </c>
      <c r="B447" s="668" t="s">
        <v>590</v>
      </c>
      <c r="C447" s="84" t="s">
        <v>616</v>
      </c>
      <c r="D447" s="84">
        <v>60</v>
      </c>
      <c r="E447" s="189">
        <v>6600</v>
      </c>
      <c r="F447" s="189">
        <f t="shared" si="176"/>
        <v>435600.00000000006</v>
      </c>
      <c r="G447" s="189">
        <f t="shared" si="177"/>
        <v>396000</v>
      </c>
      <c r="H447" s="691" t="s">
        <v>173</v>
      </c>
      <c r="I447" s="84" t="s">
        <v>144</v>
      </c>
      <c r="J447" s="61">
        <f>(G447-(VLOOKUP(C447,Price!B:D,3,FALSE)*D447))</f>
        <v>42000</v>
      </c>
      <c r="K447" s="62">
        <f t="shared" si="172"/>
        <v>0.10606060606060605</v>
      </c>
      <c r="L447" s="789">
        <v>17.11</v>
      </c>
      <c r="M447" s="601"/>
      <c r="N447" s="668">
        <f t="shared" si="151"/>
        <v>171107</v>
      </c>
      <c r="O447" s="84" t="s">
        <v>147</v>
      </c>
      <c r="P447" s="133" t="str">
        <f t="shared" si="175"/>
        <v>프리미어(먹)</v>
      </c>
      <c r="Q447" s="84">
        <f t="shared" si="152"/>
        <v>60</v>
      </c>
      <c r="R447" s="189">
        <v>5900</v>
      </c>
      <c r="S447" s="189">
        <f>R447*Q447*1.1</f>
        <v>389400.00000000006</v>
      </c>
      <c r="T447" s="189">
        <f>R447*Q447</f>
        <v>354000</v>
      </c>
      <c r="U447" s="84" t="str">
        <f>IF(J447=W447,"O", "X")</f>
        <v>O</v>
      </c>
      <c r="V447" s="84"/>
      <c r="W447" s="481">
        <f>(G447-T447)</f>
        <v>42000</v>
      </c>
      <c r="X447" s="84"/>
      <c r="Y447" s="84"/>
    </row>
    <row r="448" spans="1:25" s="635" customFormat="1" ht="30" hidden="1" customHeight="1" x14ac:dyDescent="0.25">
      <c r="A448" s="159">
        <v>171108</v>
      </c>
      <c r="B448" s="676" t="s">
        <v>575</v>
      </c>
      <c r="C448" s="157" t="s">
        <v>916</v>
      </c>
      <c r="D448" s="157">
        <v>1</v>
      </c>
      <c r="E448" s="526">
        <v>37787904</v>
      </c>
      <c r="F448" s="526">
        <f t="shared" si="176"/>
        <v>41566694.400000006</v>
      </c>
      <c r="G448" s="526">
        <f t="shared" si="177"/>
        <v>37787904</v>
      </c>
      <c r="H448" s="784" t="s">
        <v>142</v>
      </c>
      <c r="I448" s="157" t="s">
        <v>142</v>
      </c>
      <c r="J448" s="503">
        <f>G448-R448</f>
        <v>8922671.9999999963</v>
      </c>
      <c r="K448" s="65"/>
      <c r="L448" s="791">
        <v>17.11</v>
      </c>
      <c r="M448" s="634"/>
      <c r="N448" s="676">
        <f t="shared" si="151"/>
        <v>171108</v>
      </c>
      <c r="O448" s="812" t="s">
        <v>113</v>
      </c>
      <c r="P448" s="633" t="str">
        <f t="shared" si="175"/>
        <v>옴니콘 운영체제 업그레이드 계약금</v>
      </c>
      <c r="Q448" s="157">
        <f t="shared" si="152"/>
        <v>1</v>
      </c>
      <c r="R448" s="526">
        <f>Import!G80</f>
        <v>28865232.000000004</v>
      </c>
      <c r="S448" s="526">
        <f>(R448*Q448)*1.1</f>
        <v>31751755.200000007</v>
      </c>
      <c r="T448" s="526">
        <f>(R448*Q448)</f>
        <v>28865232.000000004</v>
      </c>
      <c r="U448" s="157"/>
      <c r="V448" s="157"/>
      <c r="W448" s="508"/>
      <c r="X448" s="157"/>
      <c r="Y448" s="157"/>
    </row>
    <row r="449" spans="1:25" s="616" customFormat="1" ht="30" hidden="1" customHeight="1" x14ac:dyDescent="0.25">
      <c r="A449" s="80">
        <v>171109</v>
      </c>
      <c r="B449" s="663" t="s">
        <v>546</v>
      </c>
      <c r="C449" s="73" t="s">
        <v>121</v>
      </c>
      <c r="D449" s="73">
        <v>8</v>
      </c>
      <c r="E449" s="147">
        <v>110000</v>
      </c>
      <c r="F449" s="147">
        <f t="shared" si="176"/>
        <v>968000.00000000012</v>
      </c>
      <c r="G449" s="147">
        <f t="shared" si="177"/>
        <v>880000</v>
      </c>
      <c r="H449" s="689" t="s">
        <v>173</v>
      </c>
      <c r="I449" s="73" t="s">
        <v>142</v>
      </c>
      <c r="J449" s="60">
        <f>(G449-(VLOOKUP(C449,Price!B:D,3,FALSE)*D449))</f>
        <v>152000</v>
      </c>
      <c r="K449" s="427">
        <f>(J449/(F449/11*10))</f>
        <v>0.1727272727272727</v>
      </c>
      <c r="L449" s="788">
        <v>17.11</v>
      </c>
      <c r="M449" s="584"/>
      <c r="N449" s="663">
        <f t="shared" si="151"/>
        <v>171109</v>
      </c>
      <c r="O449" s="73" t="s">
        <v>150</v>
      </c>
      <c r="P449" s="132" t="str">
        <f t="shared" si="155"/>
        <v>윤전용 실리콘</v>
      </c>
      <c r="Q449" s="73">
        <f t="shared" si="152"/>
        <v>8</v>
      </c>
      <c r="R449" s="147">
        <v>91000</v>
      </c>
      <c r="S449" s="147">
        <f>R449*Q449*1.1</f>
        <v>800800.00000000012</v>
      </c>
      <c r="T449" s="147">
        <f>R449*Q449</f>
        <v>728000</v>
      </c>
      <c r="U449" s="73" t="str">
        <f>IF(J449=W449,"O", "X")</f>
        <v>O</v>
      </c>
      <c r="V449" s="73"/>
      <c r="W449" s="520">
        <f>(G449-T449)</f>
        <v>152000</v>
      </c>
      <c r="X449" s="73"/>
      <c r="Y449" s="73"/>
    </row>
    <row r="450" spans="1:25" s="803" customFormat="1" ht="30" hidden="1" customHeight="1" x14ac:dyDescent="0.25">
      <c r="A450" s="85">
        <v>171109</v>
      </c>
      <c r="B450" s="668" t="s">
        <v>690</v>
      </c>
      <c r="C450" s="84" t="s">
        <v>123</v>
      </c>
      <c r="D450" s="84">
        <v>10</v>
      </c>
      <c r="E450" s="189">
        <v>30000</v>
      </c>
      <c r="F450" s="189">
        <f t="shared" si="176"/>
        <v>330000</v>
      </c>
      <c r="G450" s="189">
        <f t="shared" si="177"/>
        <v>300000</v>
      </c>
      <c r="H450" s="1006" t="s">
        <v>39</v>
      </c>
      <c r="I450" s="84"/>
      <c r="J450" s="61">
        <f>(G450-(VLOOKUP(C450,Import!C:G,4,FALSE)*D450))</f>
        <v>300000</v>
      </c>
      <c r="K450" s="62">
        <f>(J450/(F450/11*10))</f>
        <v>1</v>
      </c>
      <c r="L450" s="793">
        <v>17.11</v>
      </c>
      <c r="M450" s="601"/>
      <c r="N450" s="668">
        <f t="shared" si="151"/>
        <v>171109</v>
      </c>
      <c r="O450" s="1007" t="s">
        <v>39</v>
      </c>
      <c r="P450" s="133" t="str">
        <f t="shared" si="155"/>
        <v>필터백</v>
      </c>
      <c r="Q450" s="84">
        <f t="shared" si="152"/>
        <v>10</v>
      </c>
      <c r="R450" s="189"/>
      <c r="S450" s="189"/>
      <c r="T450" s="189"/>
      <c r="U450" s="84"/>
      <c r="V450" s="84"/>
      <c r="W450" s="766"/>
      <c r="X450" s="84"/>
      <c r="Y450" s="84"/>
    </row>
    <row r="451" spans="1:25" s="610" customFormat="1" ht="30" hidden="1" customHeight="1" x14ac:dyDescent="0.25">
      <c r="A451" s="89">
        <v>171110</v>
      </c>
      <c r="B451" s="673" t="s">
        <v>545</v>
      </c>
      <c r="C451" s="88" t="s">
        <v>131</v>
      </c>
      <c r="D451" s="88">
        <v>4</v>
      </c>
      <c r="E451" s="470">
        <v>135000</v>
      </c>
      <c r="F451" s="470">
        <f>(E451*D451)*1.1</f>
        <v>594000</v>
      </c>
      <c r="G451" s="470">
        <f>(E451*D451)</f>
        <v>540000</v>
      </c>
      <c r="H451" s="695" t="s">
        <v>173</v>
      </c>
      <c r="I451" s="88" t="s">
        <v>108</v>
      </c>
      <c r="J451" s="107">
        <f>(G451-(VLOOKUP(C451,Price!B:D,3,FALSE)*D451))</f>
        <v>100000</v>
      </c>
      <c r="K451" s="469">
        <f t="shared" ref="K451:K457" si="178">(J451/(F451/11*10))</f>
        <v>0.18518518518518517</v>
      </c>
      <c r="L451" s="797">
        <v>17.11</v>
      </c>
      <c r="M451" s="575"/>
      <c r="N451" s="673">
        <f t="shared" si="151"/>
        <v>171110</v>
      </c>
      <c r="O451" s="88" t="s">
        <v>148</v>
      </c>
      <c r="P451" s="134" t="str">
        <f>C451</f>
        <v>UV wash(20L)</v>
      </c>
      <c r="Q451" s="88">
        <f t="shared" si="152"/>
        <v>4</v>
      </c>
      <c r="R451" s="470">
        <v>110000</v>
      </c>
      <c r="S451" s="470">
        <f t="shared" ref="S451:S484" si="179">R451*Q451*1.1</f>
        <v>484000.00000000006</v>
      </c>
      <c r="T451" s="470">
        <f t="shared" ref="T451:T483" si="180">R451*Q451</f>
        <v>440000</v>
      </c>
      <c r="U451" s="88" t="str">
        <f t="shared" ref="U451:U483" si="181">IF(J451=W451,"O", "X")</f>
        <v>O</v>
      </c>
      <c r="V451" s="88"/>
      <c r="W451" s="483">
        <f t="shared" ref="W451:W483" si="182">(G451-T451)</f>
        <v>100000</v>
      </c>
      <c r="X451" s="88"/>
      <c r="Y451" s="88"/>
    </row>
    <row r="452" spans="1:25" ht="30" hidden="1" customHeight="1" x14ac:dyDescent="0.25">
      <c r="A452" s="80">
        <v>171113</v>
      </c>
      <c r="B452" s="663" t="s">
        <v>442</v>
      </c>
      <c r="C452" s="73" t="s">
        <v>133</v>
      </c>
      <c r="D452" s="73">
        <v>2</v>
      </c>
      <c r="E452" s="147">
        <v>327000</v>
      </c>
      <c r="F452" s="147">
        <f t="shared" ref="F452:F476" si="183">(E452*D452)*1.1</f>
        <v>719400</v>
      </c>
      <c r="G452" s="147">
        <f t="shared" ref="G452:G476" si="184">(E452*D452)</f>
        <v>654000</v>
      </c>
      <c r="H452" s="689" t="s">
        <v>173</v>
      </c>
      <c r="I452" s="73" t="s">
        <v>141</v>
      </c>
      <c r="J452" s="60">
        <f>(G452-(VLOOKUP(C452,Price!B:D,3,FALSE)*D452))</f>
        <v>115800</v>
      </c>
      <c r="K452" s="427">
        <f t="shared" si="178"/>
        <v>0.17706422018348625</v>
      </c>
      <c r="L452" s="80">
        <v>17.11</v>
      </c>
      <c r="M452" s="584"/>
      <c r="N452" s="663">
        <f t="shared" si="151"/>
        <v>171113</v>
      </c>
      <c r="O452" s="73" t="s">
        <v>145</v>
      </c>
      <c r="P452" s="132" t="str">
        <f>C452</f>
        <v>Agfa Film(24inch)</v>
      </c>
      <c r="Q452" s="73">
        <f>D452</f>
        <v>2</v>
      </c>
      <c r="R452" s="147">
        <v>269100</v>
      </c>
      <c r="S452" s="147">
        <f t="shared" si="179"/>
        <v>592020</v>
      </c>
      <c r="T452" s="147">
        <f t="shared" si="180"/>
        <v>538200</v>
      </c>
      <c r="U452" s="73" t="str">
        <f t="shared" si="181"/>
        <v>O</v>
      </c>
      <c r="V452" s="73"/>
      <c r="W452" s="482">
        <f t="shared" si="182"/>
        <v>115800</v>
      </c>
      <c r="X452" s="73"/>
      <c r="Y452" s="73"/>
    </row>
    <row r="453" spans="1:25" ht="30" hidden="1" customHeight="1" x14ac:dyDescent="0.25">
      <c r="A453" s="82">
        <v>171113</v>
      </c>
      <c r="B453" s="664" t="s">
        <v>442</v>
      </c>
      <c r="C453" s="71" t="s">
        <v>134</v>
      </c>
      <c r="D453" s="71">
        <v>2</v>
      </c>
      <c r="E453" s="102">
        <v>401000</v>
      </c>
      <c r="F453" s="102">
        <f t="shared" si="183"/>
        <v>882200.00000000012</v>
      </c>
      <c r="G453" s="102">
        <f t="shared" si="184"/>
        <v>802000</v>
      </c>
      <c r="H453" s="690" t="s">
        <v>173</v>
      </c>
      <c r="I453" s="71" t="s">
        <v>141</v>
      </c>
      <c r="J453" s="53">
        <f>(G453-(VLOOKUP(C453,Price!B:D,3,FALSE)*D453))</f>
        <v>174080</v>
      </c>
      <c r="K453" s="63">
        <f t="shared" si="178"/>
        <v>0.21705735660847877</v>
      </c>
      <c r="L453" s="82">
        <v>17.11</v>
      </c>
      <c r="M453" s="468"/>
      <c r="N453" s="664">
        <f t="shared" si="151"/>
        <v>171113</v>
      </c>
      <c r="O453" s="71" t="s">
        <v>145</v>
      </c>
      <c r="P453" s="103" t="str">
        <f>C453</f>
        <v>Agfa Film(28inch)</v>
      </c>
      <c r="Q453" s="71">
        <f>D453</f>
        <v>2</v>
      </c>
      <c r="R453" s="102">
        <v>313960</v>
      </c>
      <c r="S453" s="102">
        <f t="shared" si="179"/>
        <v>690712</v>
      </c>
      <c r="T453" s="102">
        <f t="shared" si="180"/>
        <v>627920</v>
      </c>
      <c r="U453" s="71" t="str">
        <f t="shared" si="181"/>
        <v>O</v>
      </c>
      <c r="V453" s="71"/>
      <c r="W453" s="482">
        <f t="shared" si="182"/>
        <v>174080</v>
      </c>
      <c r="X453" s="71"/>
      <c r="Y453" s="71"/>
    </row>
    <row r="454" spans="1:25" ht="30" hidden="1" customHeight="1" x14ac:dyDescent="0.25">
      <c r="A454" s="82">
        <v>171113</v>
      </c>
      <c r="B454" s="664" t="s">
        <v>442</v>
      </c>
      <c r="C454" s="71" t="s">
        <v>135</v>
      </c>
      <c r="D454" s="71">
        <v>2</v>
      </c>
      <c r="E454" s="102">
        <v>448000</v>
      </c>
      <c r="F454" s="102">
        <f t="shared" si="183"/>
        <v>985600.00000000012</v>
      </c>
      <c r="G454" s="102">
        <f t="shared" si="184"/>
        <v>896000</v>
      </c>
      <c r="H454" s="690" t="s">
        <v>173</v>
      </c>
      <c r="I454" s="71" t="s">
        <v>141</v>
      </c>
      <c r="J454" s="53">
        <f>(G454-(VLOOKUP(C454,Price!B:D,3,FALSE)*D454))</f>
        <v>155980</v>
      </c>
      <c r="K454" s="63">
        <f t="shared" si="178"/>
        <v>0.1740848214285714</v>
      </c>
      <c r="L454" s="82">
        <v>17.11</v>
      </c>
      <c r="M454" s="468"/>
      <c r="N454" s="664">
        <f t="shared" si="151"/>
        <v>171113</v>
      </c>
      <c r="O454" s="71" t="s">
        <v>145</v>
      </c>
      <c r="P454" s="103" t="str">
        <f>C454</f>
        <v>Agfa Film(32inch)</v>
      </c>
      <c r="Q454" s="71">
        <f>D454</f>
        <v>2</v>
      </c>
      <c r="R454" s="102">
        <v>370010</v>
      </c>
      <c r="S454" s="102">
        <f t="shared" si="179"/>
        <v>814022.00000000012</v>
      </c>
      <c r="T454" s="102">
        <f t="shared" si="180"/>
        <v>740020</v>
      </c>
      <c r="U454" s="71" t="str">
        <f t="shared" si="181"/>
        <v>O</v>
      </c>
      <c r="V454" s="71"/>
      <c r="W454" s="482">
        <f t="shared" si="182"/>
        <v>155980</v>
      </c>
      <c r="X454" s="71"/>
      <c r="Y454" s="71"/>
    </row>
    <row r="455" spans="1:25" ht="30" hidden="1" customHeight="1" x14ac:dyDescent="0.25">
      <c r="A455" s="82">
        <v>171113</v>
      </c>
      <c r="B455" s="664" t="s">
        <v>442</v>
      </c>
      <c r="C455" s="71" t="s">
        <v>649</v>
      </c>
      <c r="D455" s="71">
        <v>2</v>
      </c>
      <c r="E455" s="102">
        <v>41000</v>
      </c>
      <c r="F455" s="102">
        <f t="shared" si="183"/>
        <v>90200.000000000015</v>
      </c>
      <c r="G455" s="102">
        <f t="shared" si="184"/>
        <v>82000</v>
      </c>
      <c r="H455" s="690" t="s">
        <v>173</v>
      </c>
      <c r="I455" s="71" t="s">
        <v>141</v>
      </c>
      <c r="J455" s="53">
        <f>(G455-(VLOOKUP(C455,Price!B:D,3,FALSE)*D455))</f>
        <v>32000</v>
      </c>
      <c r="K455" s="63">
        <f t="shared" si="178"/>
        <v>0.39024390243902435</v>
      </c>
      <c r="L455" s="82">
        <v>17.11</v>
      </c>
      <c r="M455" s="468"/>
      <c r="N455" s="664">
        <f t="shared" si="151"/>
        <v>171113</v>
      </c>
      <c r="O455" s="71" t="s">
        <v>145</v>
      </c>
      <c r="P455" s="103" t="str">
        <f t="shared" si="155"/>
        <v>Agfa 현상액 G101C(10L)</v>
      </c>
      <c r="Q455" s="71">
        <f t="shared" si="152"/>
        <v>2</v>
      </c>
      <c r="R455" s="102">
        <v>25000</v>
      </c>
      <c r="S455" s="102">
        <f t="shared" si="179"/>
        <v>55000.000000000007</v>
      </c>
      <c r="T455" s="102">
        <f t="shared" si="180"/>
        <v>50000</v>
      </c>
      <c r="U455" s="71" t="str">
        <f t="shared" si="181"/>
        <v>O</v>
      </c>
      <c r="V455" s="71"/>
      <c r="W455" s="482">
        <f t="shared" si="182"/>
        <v>32000</v>
      </c>
      <c r="X455" s="71"/>
      <c r="Y455" s="71"/>
    </row>
    <row r="456" spans="1:25" s="602" customFormat="1" ht="30" hidden="1" customHeight="1" x14ac:dyDescent="0.2">
      <c r="A456" s="85">
        <v>171113</v>
      </c>
      <c r="B456" s="668" t="s">
        <v>442</v>
      </c>
      <c r="C456" s="84" t="s">
        <v>650</v>
      </c>
      <c r="D456" s="84">
        <v>1</v>
      </c>
      <c r="E456" s="189">
        <v>93000</v>
      </c>
      <c r="F456" s="190">
        <f t="shared" si="183"/>
        <v>102300.00000000001</v>
      </c>
      <c r="G456" s="190">
        <f t="shared" si="184"/>
        <v>93000</v>
      </c>
      <c r="H456" s="191" t="s">
        <v>172</v>
      </c>
      <c r="I456" s="84" t="s">
        <v>141</v>
      </c>
      <c r="J456" s="61">
        <f>(G456-(VLOOKUP(C456,Price!B:D,3,FALSE)*D456))</f>
        <v>33000</v>
      </c>
      <c r="K456" s="62">
        <f t="shared" si="178"/>
        <v>0.35483870967741932</v>
      </c>
      <c r="L456" s="85">
        <v>17.11</v>
      </c>
      <c r="M456" s="601"/>
      <c r="N456" s="668">
        <f t="shared" ref="N456:N522" si="185">A456</f>
        <v>171113</v>
      </c>
      <c r="O456" s="84" t="s">
        <v>145</v>
      </c>
      <c r="P456" s="133" t="str">
        <f t="shared" si="155"/>
        <v>Agfa 정착액 G333C(20L)</v>
      </c>
      <c r="Q456" s="84">
        <f t="shared" ref="Q456:Q522" si="186">D456</f>
        <v>1</v>
      </c>
      <c r="R456" s="189">
        <v>60000</v>
      </c>
      <c r="S456" s="189">
        <f t="shared" si="179"/>
        <v>66000</v>
      </c>
      <c r="T456" s="189">
        <f t="shared" si="180"/>
        <v>60000</v>
      </c>
      <c r="U456" s="84" t="str">
        <f t="shared" si="181"/>
        <v>O</v>
      </c>
      <c r="V456" s="84"/>
      <c r="W456" s="481">
        <f t="shared" si="182"/>
        <v>33000</v>
      </c>
      <c r="X456" s="84"/>
      <c r="Y456" s="84"/>
    </row>
    <row r="457" spans="1:25" ht="30" hidden="1" customHeight="1" x14ac:dyDescent="0.25">
      <c r="A457" s="82">
        <v>171115</v>
      </c>
      <c r="B457" s="664" t="s">
        <v>627</v>
      </c>
      <c r="C457" s="71" t="s">
        <v>914</v>
      </c>
      <c r="D457" s="71">
        <v>1</v>
      </c>
      <c r="E457" s="102">
        <v>1500000</v>
      </c>
      <c r="F457" s="102">
        <f t="shared" si="183"/>
        <v>1650000.0000000002</v>
      </c>
      <c r="G457" s="102">
        <f t="shared" si="184"/>
        <v>1500000</v>
      </c>
      <c r="H457" s="748" t="s">
        <v>165</v>
      </c>
      <c r="I457" s="71"/>
      <c r="J457" s="53">
        <f>G457</f>
        <v>1500000</v>
      </c>
      <c r="K457" s="63">
        <f t="shared" si="178"/>
        <v>0.99999999999999989</v>
      </c>
      <c r="L457" s="82">
        <v>17.11</v>
      </c>
      <c r="M457" s="468"/>
      <c r="N457" s="664">
        <f t="shared" si="185"/>
        <v>171115</v>
      </c>
      <c r="O457" s="71"/>
      <c r="P457" s="103" t="str">
        <f>C457</f>
        <v>서비스 비용</v>
      </c>
      <c r="Q457" s="71">
        <f t="shared" si="186"/>
        <v>1</v>
      </c>
      <c r="R457" s="102"/>
      <c r="S457" s="102">
        <f t="shared" si="179"/>
        <v>0</v>
      </c>
      <c r="T457" s="102">
        <f t="shared" si="180"/>
        <v>0</v>
      </c>
      <c r="U457" s="71" t="str">
        <f t="shared" si="181"/>
        <v>O</v>
      </c>
      <c r="V457" s="71"/>
      <c r="W457" s="482">
        <f t="shared" si="182"/>
        <v>1500000</v>
      </c>
      <c r="X457" s="71"/>
      <c r="Y457" s="71"/>
    </row>
    <row r="458" spans="1:25" s="616" customFormat="1" ht="30" hidden="1" customHeight="1" x14ac:dyDescent="0.25">
      <c r="A458" s="82">
        <v>171115</v>
      </c>
      <c r="B458" s="664" t="s">
        <v>627</v>
      </c>
      <c r="C458" s="71" t="s">
        <v>915</v>
      </c>
      <c r="D458" s="71">
        <v>1</v>
      </c>
      <c r="E458" s="102">
        <v>180000</v>
      </c>
      <c r="F458" s="102">
        <f>(E458*D458)*1.1</f>
        <v>198000.00000000003</v>
      </c>
      <c r="G458" s="102">
        <f>(E458*D458)</f>
        <v>180000</v>
      </c>
      <c r="H458" s="748" t="s">
        <v>165</v>
      </c>
      <c r="I458" s="71"/>
      <c r="J458" s="53">
        <f>G458</f>
        <v>180000</v>
      </c>
      <c r="K458" s="63">
        <f>(J458/(F458/11*10))</f>
        <v>0.99999999999999989</v>
      </c>
      <c r="L458" s="82">
        <v>17.11</v>
      </c>
      <c r="M458" s="468"/>
      <c r="N458" s="664">
        <f t="shared" si="185"/>
        <v>171115</v>
      </c>
      <c r="O458" s="71"/>
      <c r="P458" s="103" t="str">
        <f>C458</f>
        <v>외국 엔지니어 체류 비용</v>
      </c>
      <c r="Q458" s="71">
        <f t="shared" si="186"/>
        <v>1</v>
      </c>
      <c r="R458" s="102"/>
      <c r="S458" s="102">
        <f t="shared" si="179"/>
        <v>0</v>
      </c>
      <c r="T458" s="102">
        <f t="shared" si="180"/>
        <v>0</v>
      </c>
      <c r="U458" s="71" t="str">
        <f t="shared" si="181"/>
        <v>O</v>
      </c>
      <c r="V458" s="71"/>
      <c r="W458" s="520">
        <f t="shared" si="182"/>
        <v>180000</v>
      </c>
      <c r="X458" s="71"/>
      <c r="Y458" s="71"/>
    </row>
    <row r="459" spans="1:25" s="602" customFormat="1" ht="30" hidden="1" customHeight="1" x14ac:dyDescent="0.25">
      <c r="A459" s="612">
        <v>171115</v>
      </c>
      <c r="B459" s="672" t="s">
        <v>549</v>
      </c>
      <c r="C459" s="411" t="s">
        <v>217</v>
      </c>
      <c r="D459" s="411">
        <v>10</v>
      </c>
      <c r="E459" s="198">
        <v>112500</v>
      </c>
      <c r="F459" s="198">
        <f t="shared" si="183"/>
        <v>1237500</v>
      </c>
      <c r="G459" s="198">
        <f t="shared" si="184"/>
        <v>1125000</v>
      </c>
      <c r="H459" s="696" t="s">
        <v>173</v>
      </c>
      <c r="I459" s="411" t="s">
        <v>120</v>
      </c>
      <c r="J459" s="64">
        <f>(G459-(VLOOKUP(C459,Price!B:D,3,FALSE)*D459))</f>
        <v>325000</v>
      </c>
      <c r="K459" s="62">
        <f t="shared" ref="K459:K469" si="187">(J459/(F459/11*10))</f>
        <v>0.28888888888888886</v>
      </c>
      <c r="L459" s="612">
        <v>17.11</v>
      </c>
      <c r="M459" s="581"/>
      <c r="N459" s="672">
        <f t="shared" si="185"/>
        <v>171115</v>
      </c>
      <c r="O459" s="411" t="s">
        <v>150</v>
      </c>
      <c r="P459" s="465" t="str">
        <f t="shared" si="155"/>
        <v>Fount 511</v>
      </c>
      <c r="Q459" s="411">
        <f t="shared" si="186"/>
        <v>10</v>
      </c>
      <c r="R459" s="198">
        <v>80000</v>
      </c>
      <c r="S459" s="198">
        <f t="shared" si="179"/>
        <v>880000.00000000012</v>
      </c>
      <c r="T459" s="198">
        <f t="shared" si="180"/>
        <v>800000</v>
      </c>
      <c r="U459" s="411" t="str">
        <f t="shared" si="181"/>
        <v>O</v>
      </c>
      <c r="V459" s="411"/>
      <c r="W459" s="481">
        <f t="shared" si="182"/>
        <v>325000</v>
      </c>
      <c r="X459" s="411"/>
      <c r="Y459" s="411"/>
    </row>
    <row r="460" spans="1:25" ht="30" customHeight="1" x14ac:dyDescent="0.25">
      <c r="A460" s="80">
        <v>171116</v>
      </c>
      <c r="B460" s="663" t="s">
        <v>422</v>
      </c>
      <c r="C460" s="829" t="s">
        <v>218</v>
      </c>
      <c r="D460" s="73">
        <v>5</v>
      </c>
      <c r="E460" s="147">
        <v>235000</v>
      </c>
      <c r="F460" s="147">
        <f t="shared" si="183"/>
        <v>1292500</v>
      </c>
      <c r="G460" s="147">
        <f t="shared" si="184"/>
        <v>1175000</v>
      </c>
      <c r="H460" s="689" t="s">
        <v>173</v>
      </c>
      <c r="I460" s="73" t="s">
        <v>120</v>
      </c>
      <c r="J460" s="60">
        <f>(G460-(VLOOKUP(C460,Price!B:D,3,FALSE)*D460))</f>
        <v>612500</v>
      </c>
      <c r="K460" s="427">
        <f t="shared" si="187"/>
        <v>0.52127659574468088</v>
      </c>
      <c r="L460" s="80">
        <v>17.11</v>
      </c>
      <c r="M460" s="584"/>
      <c r="N460" s="663">
        <f t="shared" si="185"/>
        <v>171116</v>
      </c>
      <c r="O460" s="73" t="s">
        <v>150</v>
      </c>
      <c r="P460" s="132" t="str">
        <f t="shared" si="155"/>
        <v>Fount Web 551AF</v>
      </c>
      <c r="Q460" s="73">
        <f t="shared" si="186"/>
        <v>5</v>
      </c>
      <c r="R460" s="147">
        <v>112500</v>
      </c>
      <c r="S460" s="147">
        <f t="shared" si="179"/>
        <v>618750</v>
      </c>
      <c r="T460" s="147">
        <f t="shared" si="180"/>
        <v>562500</v>
      </c>
      <c r="U460" s="73" t="str">
        <f t="shared" si="181"/>
        <v>O</v>
      </c>
      <c r="V460" s="73"/>
      <c r="W460" s="482">
        <f t="shared" si="182"/>
        <v>612500</v>
      </c>
      <c r="X460" s="73"/>
      <c r="Y460" s="73"/>
    </row>
    <row r="461" spans="1:25" s="602" customFormat="1" ht="30" customHeight="1" x14ac:dyDescent="0.25">
      <c r="A461" s="85">
        <v>171116</v>
      </c>
      <c r="B461" s="668" t="s">
        <v>422</v>
      </c>
      <c r="C461" s="84" t="s">
        <v>692</v>
      </c>
      <c r="D461" s="84">
        <v>10</v>
      </c>
      <c r="E461" s="189">
        <v>218000</v>
      </c>
      <c r="F461" s="189">
        <f t="shared" si="183"/>
        <v>2398000</v>
      </c>
      <c r="G461" s="189">
        <f t="shared" si="184"/>
        <v>2180000</v>
      </c>
      <c r="H461" s="691" t="s">
        <v>173</v>
      </c>
      <c r="I461" s="84" t="s">
        <v>109</v>
      </c>
      <c r="J461" s="61">
        <f>(G461-(VLOOKUP(C461,Price!B:D,3,FALSE)*D461))</f>
        <v>580000</v>
      </c>
      <c r="K461" s="62">
        <f t="shared" si="187"/>
        <v>0.26605504587155965</v>
      </c>
      <c r="L461" s="85">
        <v>17.11</v>
      </c>
      <c r="M461" s="601"/>
      <c r="N461" s="668">
        <f t="shared" si="185"/>
        <v>171116</v>
      </c>
      <c r="O461" s="84" t="s">
        <v>150</v>
      </c>
      <c r="P461" s="133" t="str">
        <f t="shared" si="155"/>
        <v>윤전 블랑켓</v>
      </c>
      <c r="Q461" s="84">
        <f t="shared" si="186"/>
        <v>10</v>
      </c>
      <c r="R461" s="189">
        <v>160000</v>
      </c>
      <c r="S461" s="189">
        <f t="shared" si="179"/>
        <v>1760000.0000000002</v>
      </c>
      <c r="T461" s="189">
        <f t="shared" si="180"/>
        <v>1600000</v>
      </c>
      <c r="U461" s="84" t="str">
        <f t="shared" si="181"/>
        <v>O</v>
      </c>
      <c r="V461" s="84"/>
      <c r="W461" s="481">
        <f t="shared" si="182"/>
        <v>580000</v>
      </c>
      <c r="X461" s="84"/>
      <c r="Y461" s="84"/>
    </row>
    <row r="462" spans="1:25" ht="30" hidden="1" customHeight="1" x14ac:dyDescent="0.2">
      <c r="A462" s="80">
        <v>171117</v>
      </c>
      <c r="B462" s="663" t="s">
        <v>445</v>
      </c>
      <c r="C462" s="73" t="s">
        <v>107</v>
      </c>
      <c r="D462" s="73">
        <v>10</v>
      </c>
      <c r="E462" s="147">
        <v>108000</v>
      </c>
      <c r="F462" s="160">
        <f t="shared" si="183"/>
        <v>1188000</v>
      </c>
      <c r="G462" s="160">
        <f t="shared" si="184"/>
        <v>1080000</v>
      </c>
      <c r="H462" s="161" t="s">
        <v>172</v>
      </c>
      <c r="I462" s="73" t="s">
        <v>109</v>
      </c>
      <c r="J462" s="60">
        <f>(G462-(VLOOKUP(C462,Price!B:D,3,FALSE)*D462))</f>
        <v>275000</v>
      </c>
      <c r="K462" s="427">
        <f t="shared" si="187"/>
        <v>0.25462962962962965</v>
      </c>
      <c r="L462" s="80">
        <v>17.11</v>
      </c>
      <c r="M462" s="584"/>
      <c r="N462" s="663">
        <f t="shared" si="185"/>
        <v>171117</v>
      </c>
      <c r="O462" s="73" t="s">
        <v>147</v>
      </c>
      <c r="P462" s="132" t="str">
        <f t="shared" si="155"/>
        <v>Blanket(1050*840)</v>
      </c>
      <c r="Q462" s="73">
        <f t="shared" si="186"/>
        <v>10</v>
      </c>
      <c r="R462" s="147">
        <v>80500</v>
      </c>
      <c r="S462" s="147">
        <f t="shared" si="179"/>
        <v>885500.00000000012</v>
      </c>
      <c r="T462" s="147">
        <f t="shared" si="180"/>
        <v>805000</v>
      </c>
      <c r="U462" s="73" t="str">
        <f t="shared" si="181"/>
        <v>O</v>
      </c>
      <c r="V462" s="73"/>
      <c r="W462" s="482">
        <f t="shared" si="182"/>
        <v>275000</v>
      </c>
      <c r="X462" s="73"/>
      <c r="Y462" s="73"/>
    </row>
    <row r="463" spans="1:25" s="602" customFormat="1" ht="30" hidden="1" customHeight="1" x14ac:dyDescent="0.2">
      <c r="A463" s="85">
        <v>171117</v>
      </c>
      <c r="B463" s="668" t="s">
        <v>445</v>
      </c>
      <c r="C463" s="84" t="s">
        <v>231</v>
      </c>
      <c r="D463" s="84">
        <v>10</v>
      </c>
      <c r="E463" s="189">
        <v>120000</v>
      </c>
      <c r="F463" s="190">
        <f t="shared" si="183"/>
        <v>1320000</v>
      </c>
      <c r="G463" s="190">
        <f t="shared" si="184"/>
        <v>1200000</v>
      </c>
      <c r="H463" s="191" t="s">
        <v>172</v>
      </c>
      <c r="I463" s="84" t="s">
        <v>109</v>
      </c>
      <c r="J463" s="61">
        <f>(G463-(VLOOKUP(C463,Price!B:D,3,FALSE)*D463))</f>
        <v>80000</v>
      </c>
      <c r="K463" s="62">
        <f t="shared" si="187"/>
        <v>6.6666666666666666E-2</v>
      </c>
      <c r="L463" s="85">
        <v>17.11</v>
      </c>
      <c r="M463" s="601"/>
      <c r="N463" s="668">
        <f t="shared" si="185"/>
        <v>171117</v>
      </c>
      <c r="O463" s="84" t="s">
        <v>151</v>
      </c>
      <c r="P463" s="133" t="str">
        <f t="shared" si="155"/>
        <v>Blanket(990*725)</v>
      </c>
      <c r="Q463" s="84">
        <f t="shared" si="186"/>
        <v>10</v>
      </c>
      <c r="R463" s="189">
        <v>112000</v>
      </c>
      <c r="S463" s="189">
        <f t="shared" si="179"/>
        <v>1232000</v>
      </c>
      <c r="T463" s="189">
        <f t="shared" si="180"/>
        <v>1120000</v>
      </c>
      <c r="U463" s="84" t="str">
        <f t="shared" si="181"/>
        <v>O</v>
      </c>
      <c r="V463" s="84"/>
      <c r="W463" s="481">
        <f t="shared" si="182"/>
        <v>80000</v>
      </c>
      <c r="X463" s="84"/>
      <c r="Y463" s="84"/>
    </row>
    <row r="464" spans="1:25" s="610" customFormat="1" ht="30" hidden="1" customHeight="1" x14ac:dyDescent="0.25">
      <c r="A464" s="89">
        <v>171118</v>
      </c>
      <c r="B464" s="673" t="s">
        <v>764</v>
      </c>
      <c r="C464" s="88" t="s">
        <v>236</v>
      </c>
      <c r="D464" s="88">
        <v>5</v>
      </c>
      <c r="E464" s="470">
        <v>100000</v>
      </c>
      <c r="F464" s="470">
        <f t="shared" si="183"/>
        <v>550000</v>
      </c>
      <c r="G464" s="470">
        <f t="shared" si="184"/>
        <v>500000</v>
      </c>
      <c r="H464" s="695" t="s">
        <v>173</v>
      </c>
      <c r="I464" s="88" t="s">
        <v>142</v>
      </c>
      <c r="J464" s="107">
        <f>(G464-(VLOOKUP(C464,Price!B:D,3,FALSE)*D464))</f>
        <v>250000</v>
      </c>
      <c r="K464" s="469">
        <f t="shared" si="187"/>
        <v>0.5</v>
      </c>
      <c r="L464" s="797">
        <v>17.11</v>
      </c>
      <c r="M464" s="575"/>
      <c r="N464" s="673">
        <f t="shared" si="185"/>
        <v>171118</v>
      </c>
      <c r="O464" s="88" t="s">
        <v>153</v>
      </c>
      <c r="P464" s="134" t="str">
        <f t="shared" si="155"/>
        <v>아스테이지(국전)</v>
      </c>
      <c r="Q464" s="88">
        <f t="shared" si="186"/>
        <v>5</v>
      </c>
      <c r="R464" s="470">
        <v>50000</v>
      </c>
      <c r="S464" s="470">
        <f t="shared" si="179"/>
        <v>275000</v>
      </c>
      <c r="T464" s="470">
        <f t="shared" si="180"/>
        <v>250000</v>
      </c>
      <c r="U464" s="88" t="str">
        <f t="shared" si="181"/>
        <v>O</v>
      </c>
      <c r="V464" s="88"/>
      <c r="W464" s="483">
        <f t="shared" si="182"/>
        <v>250000</v>
      </c>
      <c r="X464" s="88"/>
      <c r="Y464" s="88"/>
    </row>
    <row r="465" spans="1:25" s="610" customFormat="1" ht="30" hidden="1" customHeight="1" x14ac:dyDescent="0.25">
      <c r="A465" s="89">
        <v>171122</v>
      </c>
      <c r="B465" s="673" t="s">
        <v>819</v>
      </c>
      <c r="C465" s="88" t="s">
        <v>908</v>
      </c>
      <c r="D465" s="88">
        <v>1</v>
      </c>
      <c r="E465" s="470">
        <v>980000</v>
      </c>
      <c r="F465" s="470">
        <f t="shared" si="183"/>
        <v>1078000</v>
      </c>
      <c r="G465" s="470">
        <f t="shared" si="184"/>
        <v>980000</v>
      </c>
      <c r="H465" s="1004" t="s">
        <v>39</v>
      </c>
      <c r="I465" s="88"/>
      <c r="J465" s="107">
        <f>(G465-(VLOOKUP(C465,Import!C:G,4,FALSE)*D465))</f>
        <v>980000</v>
      </c>
      <c r="K465" s="469">
        <f t="shared" si="187"/>
        <v>1</v>
      </c>
      <c r="L465" s="89">
        <v>17.11</v>
      </c>
      <c r="M465" s="575"/>
      <c r="N465" s="673">
        <f t="shared" si="185"/>
        <v>171122</v>
      </c>
      <c r="O465" s="1007" t="s">
        <v>39</v>
      </c>
      <c r="P465" s="134" t="str">
        <f t="shared" si="155"/>
        <v>Spare part kit flow sensor</v>
      </c>
      <c r="Q465" s="88">
        <f t="shared" si="186"/>
        <v>1</v>
      </c>
      <c r="R465" s="470"/>
      <c r="S465" s="470">
        <f t="shared" si="179"/>
        <v>0</v>
      </c>
      <c r="T465" s="470">
        <f t="shared" si="180"/>
        <v>0</v>
      </c>
      <c r="U465" s="88" t="str">
        <f t="shared" si="181"/>
        <v>O</v>
      </c>
      <c r="V465" s="88"/>
      <c r="W465" s="483">
        <f t="shared" si="182"/>
        <v>980000</v>
      </c>
      <c r="X465" s="88"/>
      <c r="Y465" s="88"/>
    </row>
    <row r="466" spans="1:25" ht="30" hidden="1" customHeight="1" x14ac:dyDescent="0.25">
      <c r="A466" s="80">
        <v>171123</v>
      </c>
      <c r="B466" s="663" t="s">
        <v>640</v>
      </c>
      <c r="C466" s="73" t="s">
        <v>137</v>
      </c>
      <c r="D466" s="73">
        <v>8</v>
      </c>
      <c r="E466" s="147">
        <v>172000</v>
      </c>
      <c r="F466" s="147">
        <f t="shared" si="183"/>
        <v>1513600.0000000002</v>
      </c>
      <c r="G466" s="147">
        <f t="shared" si="184"/>
        <v>1376000</v>
      </c>
      <c r="H466" s="689" t="s">
        <v>173</v>
      </c>
      <c r="I466" s="73" t="s">
        <v>108</v>
      </c>
      <c r="J466" s="60">
        <f>(G466-(VLOOKUP(C466,Price!B:D,3,FALSE)*D466))</f>
        <v>456000</v>
      </c>
      <c r="K466" s="427">
        <f t="shared" si="187"/>
        <v>0.33139534883720922</v>
      </c>
      <c r="L466" s="80">
        <v>17.11</v>
      </c>
      <c r="M466" s="584"/>
      <c r="N466" s="663">
        <f t="shared" si="185"/>
        <v>171123</v>
      </c>
      <c r="O466" s="73" t="s">
        <v>150</v>
      </c>
      <c r="P466" s="132" t="str">
        <f t="shared" si="155"/>
        <v>윤전용 세척제(Web 504)</v>
      </c>
      <c r="Q466" s="73">
        <f t="shared" si="186"/>
        <v>8</v>
      </c>
      <c r="R466" s="147">
        <v>115000</v>
      </c>
      <c r="S466" s="147">
        <f t="shared" si="179"/>
        <v>1012000.0000000001</v>
      </c>
      <c r="T466" s="147">
        <f t="shared" si="180"/>
        <v>920000</v>
      </c>
      <c r="U466" s="73" t="str">
        <f t="shared" si="181"/>
        <v>O</v>
      </c>
      <c r="V466" s="73"/>
      <c r="W466" s="482">
        <f t="shared" si="182"/>
        <v>456000</v>
      </c>
      <c r="X466" s="73"/>
      <c r="Y466" s="73"/>
    </row>
    <row r="467" spans="1:25" s="602" customFormat="1" ht="30" hidden="1" customHeight="1" x14ac:dyDescent="0.25">
      <c r="A467" s="85">
        <v>171123</v>
      </c>
      <c r="B467" s="668" t="s">
        <v>411</v>
      </c>
      <c r="C467" s="84" t="s">
        <v>123</v>
      </c>
      <c r="D467" s="84">
        <v>20</v>
      </c>
      <c r="E467" s="189">
        <v>35000</v>
      </c>
      <c r="F467" s="189">
        <f t="shared" si="183"/>
        <v>770000.00000000012</v>
      </c>
      <c r="G467" s="189">
        <f t="shared" si="184"/>
        <v>700000</v>
      </c>
      <c r="H467" s="1006" t="s">
        <v>39</v>
      </c>
      <c r="I467" s="84"/>
      <c r="J467" s="61">
        <f>(G467-(VLOOKUP(C467,Import!C:G,4,FALSE)*D467))</f>
        <v>700000</v>
      </c>
      <c r="K467" s="62">
        <f t="shared" si="187"/>
        <v>0.99999999999999989</v>
      </c>
      <c r="L467" s="85">
        <v>17.11</v>
      </c>
      <c r="M467" s="601"/>
      <c r="N467" s="668">
        <f t="shared" si="185"/>
        <v>171123</v>
      </c>
      <c r="O467" s="1007" t="s">
        <v>39</v>
      </c>
      <c r="P467" s="133" t="str">
        <f t="shared" si="155"/>
        <v>필터백</v>
      </c>
      <c r="Q467" s="84">
        <f t="shared" si="186"/>
        <v>20</v>
      </c>
      <c r="R467" s="189"/>
      <c r="S467" s="189">
        <f t="shared" si="179"/>
        <v>0</v>
      </c>
      <c r="T467" s="189">
        <f t="shared" si="180"/>
        <v>0</v>
      </c>
      <c r="U467" s="84" t="str">
        <f t="shared" si="181"/>
        <v>O</v>
      </c>
      <c r="V467" s="84"/>
      <c r="W467" s="481">
        <f t="shared" si="182"/>
        <v>700000</v>
      </c>
      <c r="X467" s="84"/>
      <c r="Y467" s="84"/>
    </row>
    <row r="468" spans="1:25" ht="30" hidden="1" customHeight="1" x14ac:dyDescent="0.25">
      <c r="A468" s="80">
        <v>171124</v>
      </c>
      <c r="B468" s="663" t="s">
        <v>450</v>
      </c>
      <c r="C468" s="73" t="s">
        <v>909</v>
      </c>
      <c r="D468" s="73">
        <v>2</v>
      </c>
      <c r="E468" s="147">
        <v>135000</v>
      </c>
      <c r="F468" s="147">
        <f t="shared" si="183"/>
        <v>297000</v>
      </c>
      <c r="G468" s="147">
        <f t="shared" si="184"/>
        <v>270000</v>
      </c>
      <c r="H468" s="689" t="s">
        <v>173</v>
      </c>
      <c r="I468" s="73" t="s">
        <v>142</v>
      </c>
      <c r="J468" s="60">
        <f>G468-T468</f>
        <v>54000</v>
      </c>
      <c r="K468" s="63">
        <f t="shared" si="187"/>
        <v>0.2</v>
      </c>
      <c r="L468" s="80">
        <v>17.11</v>
      </c>
      <c r="M468" s="584"/>
      <c r="N468" s="663">
        <f t="shared" si="185"/>
        <v>171124</v>
      </c>
      <c r="O468" s="73" t="s">
        <v>150</v>
      </c>
      <c r="P468" s="132" t="str">
        <f t="shared" si="155"/>
        <v>GLP 500(Lubricant)</v>
      </c>
      <c r="Q468" s="73">
        <f t="shared" si="186"/>
        <v>2</v>
      </c>
      <c r="R468" s="147">
        <v>108000</v>
      </c>
      <c r="S468" s="147">
        <f t="shared" si="179"/>
        <v>237600.00000000003</v>
      </c>
      <c r="T468" s="147">
        <f t="shared" si="180"/>
        <v>216000</v>
      </c>
      <c r="U468" s="73" t="str">
        <f t="shared" si="181"/>
        <v>O</v>
      </c>
      <c r="V468" s="73"/>
      <c r="W468" s="482">
        <f t="shared" si="182"/>
        <v>54000</v>
      </c>
      <c r="X468" s="73"/>
      <c r="Y468" s="73"/>
    </row>
    <row r="469" spans="1:25" ht="30" customHeight="1" x14ac:dyDescent="0.25">
      <c r="A469" s="80">
        <v>171124</v>
      </c>
      <c r="B469" s="664" t="s">
        <v>565</v>
      </c>
      <c r="C469" s="71" t="s">
        <v>910</v>
      </c>
      <c r="D469" s="71">
        <v>40</v>
      </c>
      <c r="E469" s="102">
        <v>95000</v>
      </c>
      <c r="F469" s="147">
        <f>(E469*D469)*1.1</f>
        <v>4180000.0000000005</v>
      </c>
      <c r="G469" s="147">
        <f>(E469*D469)</f>
        <v>3800000</v>
      </c>
      <c r="H469" s="779" t="s">
        <v>142</v>
      </c>
      <c r="I469" s="71" t="s">
        <v>142</v>
      </c>
      <c r="J469" s="53">
        <f>G469-T469</f>
        <v>1560000</v>
      </c>
      <c r="K469" s="63">
        <f t="shared" si="187"/>
        <v>0.41052631578947363</v>
      </c>
      <c r="L469" s="82">
        <v>17.11</v>
      </c>
      <c r="M469" s="468"/>
      <c r="N469" s="664">
        <f t="shared" si="185"/>
        <v>171124</v>
      </c>
      <c r="O469" s="71" t="s">
        <v>931</v>
      </c>
      <c r="P469" s="103" t="str">
        <f>C469</f>
        <v>솔레노이드 밸브</v>
      </c>
      <c r="Q469" s="71">
        <f t="shared" si="186"/>
        <v>40</v>
      </c>
      <c r="R469" s="102">
        <v>56000</v>
      </c>
      <c r="S469" s="102">
        <f t="shared" si="179"/>
        <v>2464000</v>
      </c>
      <c r="T469" s="102">
        <f t="shared" si="180"/>
        <v>2240000</v>
      </c>
      <c r="U469" s="71" t="str">
        <f t="shared" si="181"/>
        <v>O</v>
      </c>
      <c r="V469" s="71"/>
      <c r="W469" s="482">
        <f t="shared" si="182"/>
        <v>1560000</v>
      </c>
      <c r="X469" s="71"/>
      <c r="Y469" s="71"/>
    </row>
    <row r="470" spans="1:25" ht="30" customHeight="1" x14ac:dyDescent="0.25">
      <c r="A470" s="80">
        <v>171124</v>
      </c>
      <c r="B470" s="664" t="s">
        <v>565</v>
      </c>
      <c r="C470" s="71" t="s">
        <v>910</v>
      </c>
      <c r="D470" s="71">
        <v>10</v>
      </c>
      <c r="E470" s="102">
        <v>95000</v>
      </c>
      <c r="F470" s="147">
        <f>(E470*D470)*1.1</f>
        <v>1045000.0000000001</v>
      </c>
      <c r="G470" s="147">
        <f>(E470*D470)</f>
        <v>950000</v>
      </c>
      <c r="H470" s="779" t="s">
        <v>142</v>
      </c>
      <c r="I470" s="71" t="s">
        <v>142</v>
      </c>
      <c r="J470" s="53">
        <f>G470-T470</f>
        <v>555000</v>
      </c>
      <c r="K470" s="63">
        <f>(J470/(F470/11*10))</f>
        <v>0.5842105263157894</v>
      </c>
      <c r="L470" s="82">
        <v>17.11</v>
      </c>
      <c r="M470" s="468"/>
      <c r="N470" s="664">
        <f t="shared" si="185"/>
        <v>171124</v>
      </c>
      <c r="O470" s="71" t="s">
        <v>931</v>
      </c>
      <c r="P470" s="103" t="str">
        <f>C470</f>
        <v>솔레노이드 밸브</v>
      </c>
      <c r="Q470" s="71">
        <f t="shared" si="186"/>
        <v>10</v>
      </c>
      <c r="R470" s="102">
        <v>39500</v>
      </c>
      <c r="S470" s="102">
        <f t="shared" si="179"/>
        <v>434500.00000000006</v>
      </c>
      <c r="T470" s="102">
        <f t="shared" si="180"/>
        <v>395000</v>
      </c>
      <c r="U470" s="71" t="str">
        <f t="shared" si="181"/>
        <v>O</v>
      </c>
      <c r="V470" s="71"/>
      <c r="W470" s="482">
        <f t="shared" si="182"/>
        <v>555000</v>
      </c>
      <c r="X470" s="71"/>
      <c r="Y470" s="71"/>
    </row>
    <row r="471" spans="1:25" ht="30" customHeight="1" x14ac:dyDescent="0.25">
      <c r="A471" s="80">
        <v>171124</v>
      </c>
      <c r="B471" s="664" t="s">
        <v>565</v>
      </c>
      <c r="C471" s="71" t="s">
        <v>910</v>
      </c>
      <c r="D471" s="71">
        <v>10</v>
      </c>
      <c r="E471" s="102">
        <v>129000</v>
      </c>
      <c r="F471" s="147">
        <f>(E471*D471)*1.1</f>
        <v>1419000</v>
      </c>
      <c r="G471" s="147">
        <f>(E471*D471)</f>
        <v>1290000</v>
      </c>
      <c r="H471" s="779" t="s">
        <v>142</v>
      </c>
      <c r="I471" s="71" t="s">
        <v>142</v>
      </c>
      <c r="J471" s="53">
        <f>G471-T471</f>
        <v>540000</v>
      </c>
      <c r="K471" s="63">
        <f t="shared" ref="K471:K481" si="188">(J471/(F471/11*10))</f>
        <v>0.41860465116279072</v>
      </c>
      <c r="L471" s="82">
        <v>17.11</v>
      </c>
      <c r="M471" s="468"/>
      <c r="N471" s="664">
        <f t="shared" si="185"/>
        <v>171124</v>
      </c>
      <c r="O471" s="71" t="s">
        <v>931</v>
      </c>
      <c r="P471" s="103" t="str">
        <f>C471</f>
        <v>솔레노이드 밸브</v>
      </c>
      <c r="Q471" s="71">
        <f t="shared" si="186"/>
        <v>10</v>
      </c>
      <c r="R471" s="102">
        <v>75000</v>
      </c>
      <c r="S471" s="102">
        <f t="shared" si="179"/>
        <v>825000.00000000012</v>
      </c>
      <c r="T471" s="102">
        <f t="shared" si="180"/>
        <v>750000</v>
      </c>
      <c r="U471" s="71" t="str">
        <f t="shared" si="181"/>
        <v>O</v>
      </c>
      <c r="V471" s="71"/>
      <c r="W471" s="482">
        <f t="shared" si="182"/>
        <v>540000</v>
      </c>
      <c r="X471" s="71"/>
      <c r="Y471" s="71"/>
    </row>
    <row r="472" spans="1:25" ht="30" customHeight="1" x14ac:dyDescent="0.25">
      <c r="A472" s="80">
        <v>171124</v>
      </c>
      <c r="B472" s="664" t="s">
        <v>565</v>
      </c>
      <c r="C472" s="71" t="s">
        <v>910</v>
      </c>
      <c r="D472" s="71">
        <v>1</v>
      </c>
      <c r="E472" s="102">
        <v>139000</v>
      </c>
      <c r="F472" s="147">
        <f>(E472*D472)*1.1</f>
        <v>152900</v>
      </c>
      <c r="G472" s="147">
        <f>(E472*D472)</f>
        <v>139000</v>
      </c>
      <c r="H472" s="779" t="s">
        <v>142</v>
      </c>
      <c r="I472" s="71" t="s">
        <v>142</v>
      </c>
      <c r="J472" s="53">
        <f>G472-T472</f>
        <v>67000</v>
      </c>
      <c r="K472" s="63">
        <f t="shared" si="188"/>
        <v>0.48201438848920863</v>
      </c>
      <c r="L472" s="82">
        <v>17.11</v>
      </c>
      <c r="M472" s="468"/>
      <c r="N472" s="664">
        <f t="shared" si="185"/>
        <v>171124</v>
      </c>
      <c r="O472" s="71" t="s">
        <v>931</v>
      </c>
      <c r="P472" s="103" t="str">
        <f>C472</f>
        <v>솔레노이드 밸브</v>
      </c>
      <c r="Q472" s="71">
        <f t="shared" si="186"/>
        <v>1</v>
      </c>
      <c r="R472" s="102">
        <v>72000</v>
      </c>
      <c r="S472" s="102">
        <f t="shared" si="179"/>
        <v>79200</v>
      </c>
      <c r="T472" s="102">
        <f t="shared" si="180"/>
        <v>72000</v>
      </c>
      <c r="U472" s="71" t="str">
        <f t="shared" si="181"/>
        <v>O</v>
      </c>
      <c r="V472" s="71"/>
      <c r="W472" s="482">
        <f t="shared" si="182"/>
        <v>67000</v>
      </c>
      <c r="X472" s="71"/>
      <c r="Y472" s="71"/>
    </row>
    <row r="473" spans="1:25" ht="30" hidden="1" customHeight="1" x14ac:dyDescent="0.25">
      <c r="A473" s="82">
        <v>171124</v>
      </c>
      <c r="B473" s="664" t="s">
        <v>590</v>
      </c>
      <c r="C473" s="71" t="s">
        <v>585</v>
      </c>
      <c r="D473" s="71">
        <v>60</v>
      </c>
      <c r="E473" s="102">
        <v>7500</v>
      </c>
      <c r="F473" s="102">
        <f t="shared" si="183"/>
        <v>495000.00000000006</v>
      </c>
      <c r="G473" s="102">
        <f t="shared" si="184"/>
        <v>450000</v>
      </c>
      <c r="H473" s="690" t="s">
        <v>173</v>
      </c>
      <c r="I473" s="71" t="s">
        <v>144</v>
      </c>
      <c r="J473" s="53">
        <f>(G473-(VLOOKUP(C473,Price!B:D,3,FALSE)*D473))</f>
        <v>43800</v>
      </c>
      <c r="K473" s="63">
        <f t="shared" si="188"/>
        <v>9.7333333333333327E-2</v>
      </c>
      <c r="L473" s="792">
        <v>17.11</v>
      </c>
      <c r="M473" s="468"/>
      <c r="N473" s="664">
        <f t="shared" si="185"/>
        <v>171124</v>
      </c>
      <c r="O473" s="71" t="s">
        <v>147</v>
      </c>
      <c r="P473" s="103" t="str">
        <f t="shared" si="155"/>
        <v>프리미어(적)</v>
      </c>
      <c r="Q473" s="71">
        <f t="shared" si="186"/>
        <v>60</v>
      </c>
      <c r="R473" s="147">
        <v>6770</v>
      </c>
      <c r="S473" s="102">
        <f t="shared" si="179"/>
        <v>446820.00000000006</v>
      </c>
      <c r="T473" s="102">
        <f t="shared" si="180"/>
        <v>406200</v>
      </c>
      <c r="U473" s="71" t="str">
        <f t="shared" si="181"/>
        <v>O</v>
      </c>
      <c r="V473" s="71"/>
      <c r="W473" s="482">
        <f t="shared" si="182"/>
        <v>43800</v>
      </c>
      <c r="X473" s="71"/>
      <c r="Y473" s="71"/>
    </row>
    <row r="474" spans="1:25" ht="26.25" hidden="1" customHeight="1" x14ac:dyDescent="0.25">
      <c r="A474" s="82">
        <v>171124</v>
      </c>
      <c r="B474" s="664" t="s">
        <v>590</v>
      </c>
      <c r="C474" s="71" t="s">
        <v>586</v>
      </c>
      <c r="D474" s="71">
        <v>260</v>
      </c>
      <c r="E474" s="102">
        <v>6750</v>
      </c>
      <c r="F474" s="102">
        <f t="shared" si="183"/>
        <v>1930500.0000000002</v>
      </c>
      <c r="G474" s="102">
        <f t="shared" si="184"/>
        <v>1755000</v>
      </c>
      <c r="H474" s="690" t="s">
        <v>173</v>
      </c>
      <c r="I474" s="71" t="s">
        <v>144</v>
      </c>
      <c r="J474" s="53">
        <f>(G474-(VLOOKUP(C474,Price!B:D,3,FALSE)*D474))</f>
        <v>148200</v>
      </c>
      <c r="K474" s="63">
        <f t="shared" si="188"/>
        <v>8.4444444444444433E-2</v>
      </c>
      <c r="L474" s="792">
        <v>17.11</v>
      </c>
      <c r="M474" s="468"/>
      <c r="N474" s="664">
        <f t="shared" si="185"/>
        <v>171124</v>
      </c>
      <c r="O474" s="71" t="s">
        <v>147</v>
      </c>
      <c r="P474" s="103" t="str">
        <f t="shared" si="155"/>
        <v>프리미어(황)</v>
      </c>
      <c r="Q474" s="71">
        <f t="shared" si="186"/>
        <v>260</v>
      </c>
      <c r="R474" s="102">
        <v>6180</v>
      </c>
      <c r="S474" s="102">
        <f t="shared" si="179"/>
        <v>1767480.0000000002</v>
      </c>
      <c r="T474" s="102">
        <f t="shared" si="180"/>
        <v>1606800</v>
      </c>
      <c r="U474" s="71" t="str">
        <f t="shared" si="181"/>
        <v>O</v>
      </c>
      <c r="V474" s="71"/>
      <c r="W474" s="482">
        <f t="shared" si="182"/>
        <v>148200</v>
      </c>
      <c r="X474" s="71"/>
      <c r="Y474" s="71"/>
    </row>
    <row r="475" spans="1:25" ht="30" hidden="1" customHeight="1" x14ac:dyDescent="0.25">
      <c r="A475" s="82">
        <v>171124</v>
      </c>
      <c r="B475" s="664" t="s">
        <v>590</v>
      </c>
      <c r="C475" s="71" t="s">
        <v>587</v>
      </c>
      <c r="D475" s="71">
        <v>248</v>
      </c>
      <c r="E475" s="102">
        <v>8000</v>
      </c>
      <c r="F475" s="102">
        <f t="shared" si="183"/>
        <v>2182400</v>
      </c>
      <c r="G475" s="102">
        <f t="shared" si="184"/>
        <v>1984000</v>
      </c>
      <c r="H475" s="690" t="s">
        <v>173</v>
      </c>
      <c r="I475" s="71" t="s">
        <v>144</v>
      </c>
      <c r="J475" s="53">
        <f>(G475-(VLOOKUP(C475,Price!B:D,3,FALSE)*D475))</f>
        <v>270320</v>
      </c>
      <c r="K475" s="63">
        <f t="shared" si="188"/>
        <v>0.13625000000000001</v>
      </c>
      <c r="L475" s="792">
        <v>17.11</v>
      </c>
      <c r="M475" s="468"/>
      <c r="N475" s="664">
        <f t="shared" si="185"/>
        <v>171124</v>
      </c>
      <c r="O475" s="71" t="s">
        <v>147</v>
      </c>
      <c r="P475" s="103" t="str">
        <f t="shared" ref="P475:P484" si="189">C475</f>
        <v>프리미어(청)</v>
      </c>
      <c r="Q475" s="71">
        <f t="shared" si="186"/>
        <v>248</v>
      </c>
      <c r="R475" s="102">
        <v>6910</v>
      </c>
      <c r="S475" s="102">
        <f t="shared" si="179"/>
        <v>1885048.0000000002</v>
      </c>
      <c r="T475" s="102">
        <f t="shared" si="180"/>
        <v>1713680</v>
      </c>
      <c r="U475" s="71" t="str">
        <f t="shared" si="181"/>
        <v>O</v>
      </c>
      <c r="V475" s="71"/>
      <c r="W475" s="482">
        <f t="shared" si="182"/>
        <v>270320</v>
      </c>
      <c r="X475" s="71"/>
      <c r="Y475" s="71"/>
    </row>
    <row r="476" spans="1:25" s="602" customFormat="1" ht="30" hidden="1" customHeight="1" x14ac:dyDescent="0.25">
      <c r="A476" s="85">
        <v>171124</v>
      </c>
      <c r="B476" s="668" t="s">
        <v>590</v>
      </c>
      <c r="C476" s="84" t="s">
        <v>616</v>
      </c>
      <c r="D476" s="84">
        <v>248</v>
      </c>
      <c r="E476" s="189">
        <v>6600</v>
      </c>
      <c r="F476" s="189">
        <f t="shared" si="183"/>
        <v>1800480.0000000002</v>
      </c>
      <c r="G476" s="189">
        <f t="shared" si="184"/>
        <v>1636800</v>
      </c>
      <c r="H476" s="691" t="s">
        <v>173</v>
      </c>
      <c r="I476" s="84" t="s">
        <v>144</v>
      </c>
      <c r="J476" s="61">
        <f>(G476-(VLOOKUP(C476,Price!B:D,3,FALSE)*D476))</f>
        <v>173600</v>
      </c>
      <c r="K476" s="62">
        <f t="shared" si="188"/>
        <v>0.10606060606060605</v>
      </c>
      <c r="L476" s="793">
        <v>17.11</v>
      </c>
      <c r="M476" s="601"/>
      <c r="N476" s="668">
        <f t="shared" si="185"/>
        <v>171124</v>
      </c>
      <c r="O476" s="84" t="s">
        <v>147</v>
      </c>
      <c r="P476" s="133" t="str">
        <f t="shared" si="189"/>
        <v>프리미어(먹)</v>
      </c>
      <c r="Q476" s="84">
        <f t="shared" si="186"/>
        <v>248</v>
      </c>
      <c r="R476" s="189">
        <v>5900</v>
      </c>
      <c r="S476" s="189">
        <f t="shared" si="179"/>
        <v>1609520.0000000002</v>
      </c>
      <c r="T476" s="189">
        <f t="shared" si="180"/>
        <v>1463200</v>
      </c>
      <c r="U476" s="84" t="str">
        <f t="shared" si="181"/>
        <v>O</v>
      </c>
      <c r="V476" s="84"/>
      <c r="W476" s="481">
        <f t="shared" si="182"/>
        <v>173600</v>
      </c>
      <c r="X476" s="84"/>
      <c r="Y476" s="84"/>
    </row>
    <row r="477" spans="1:25" ht="30" hidden="1" customHeight="1" x14ac:dyDescent="0.25">
      <c r="A477" s="82">
        <v>171128</v>
      </c>
      <c r="B477" s="664" t="s">
        <v>546</v>
      </c>
      <c r="C477" s="71" t="s">
        <v>121</v>
      </c>
      <c r="D477" s="71">
        <v>8</v>
      </c>
      <c r="E477" s="102">
        <v>110000</v>
      </c>
      <c r="F477" s="102">
        <f t="shared" ref="F477:F484" si="190">(E477*D477)*1.1</f>
        <v>968000.00000000012</v>
      </c>
      <c r="G477" s="102">
        <f t="shared" ref="G477:G484" si="191">(E477*D477)</f>
        <v>880000</v>
      </c>
      <c r="H477" s="690" t="s">
        <v>173</v>
      </c>
      <c r="I477" s="71" t="s">
        <v>142</v>
      </c>
      <c r="J477" s="53">
        <f>(G477-(VLOOKUP(C477,Price!B:D,3,FALSE)*D477))</f>
        <v>152000</v>
      </c>
      <c r="K477" s="63">
        <f t="shared" si="188"/>
        <v>0.1727272727272727</v>
      </c>
      <c r="L477" s="82">
        <v>17.11</v>
      </c>
      <c r="M477" s="468"/>
      <c r="N477" s="664">
        <f t="shared" si="185"/>
        <v>171128</v>
      </c>
      <c r="O477" s="71" t="s">
        <v>150</v>
      </c>
      <c r="P477" s="103" t="str">
        <f t="shared" si="189"/>
        <v>윤전용 실리콘</v>
      </c>
      <c r="Q477" s="71">
        <f t="shared" si="186"/>
        <v>8</v>
      </c>
      <c r="R477" s="102">
        <v>91000</v>
      </c>
      <c r="S477" s="102">
        <f t="shared" si="179"/>
        <v>800800.00000000012</v>
      </c>
      <c r="T477" s="102">
        <f t="shared" si="180"/>
        <v>728000</v>
      </c>
      <c r="U477" s="71" t="str">
        <f t="shared" si="181"/>
        <v>O</v>
      </c>
      <c r="V477" s="71"/>
      <c r="W477" s="482">
        <f t="shared" si="182"/>
        <v>152000</v>
      </c>
      <c r="X477" s="71"/>
      <c r="Y477" s="71"/>
    </row>
    <row r="478" spans="1:25" ht="30" customHeight="1" x14ac:dyDescent="0.25">
      <c r="A478" s="82">
        <v>171128</v>
      </c>
      <c r="B478" s="664" t="s">
        <v>422</v>
      </c>
      <c r="C478" s="760" t="s">
        <v>218</v>
      </c>
      <c r="D478" s="71">
        <v>5</v>
      </c>
      <c r="E478" s="102">
        <v>235000</v>
      </c>
      <c r="F478" s="102">
        <f t="shared" si="190"/>
        <v>1292500</v>
      </c>
      <c r="G478" s="102">
        <f t="shared" si="191"/>
        <v>1175000</v>
      </c>
      <c r="H478" s="690" t="s">
        <v>173</v>
      </c>
      <c r="I478" s="71" t="s">
        <v>120</v>
      </c>
      <c r="J478" s="53">
        <f>(G478-(VLOOKUP(C478,Price!B:D,3,FALSE)*D478))</f>
        <v>612500</v>
      </c>
      <c r="K478" s="63">
        <f t="shared" si="188"/>
        <v>0.52127659574468088</v>
      </c>
      <c r="L478" s="82">
        <v>17.11</v>
      </c>
      <c r="M478" s="468"/>
      <c r="N478" s="664">
        <f t="shared" si="185"/>
        <v>171128</v>
      </c>
      <c r="O478" s="71" t="s">
        <v>150</v>
      </c>
      <c r="P478" s="103" t="str">
        <f t="shared" si="189"/>
        <v>Fount Web 551AF</v>
      </c>
      <c r="Q478" s="71">
        <f t="shared" si="186"/>
        <v>5</v>
      </c>
      <c r="R478" s="102">
        <v>112500</v>
      </c>
      <c r="S478" s="102">
        <f t="shared" si="179"/>
        <v>618750</v>
      </c>
      <c r="T478" s="102">
        <f t="shared" si="180"/>
        <v>562500</v>
      </c>
      <c r="U478" s="71" t="str">
        <f t="shared" si="181"/>
        <v>O</v>
      </c>
      <c r="V478" s="71"/>
      <c r="W478" s="482">
        <f t="shared" si="182"/>
        <v>612500</v>
      </c>
      <c r="X478" s="71"/>
      <c r="Y478" s="71"/>
    </row>
    <row r="479" spans="1:25" ht="30" hidden="1" customHeight="1" x14ac:dyDescent="0.2">
      <c r="A479" s="80">
        <v>171129</v>
      </c>
      <c r="B479" s="663" t="s">
        <v>445</v>
      </c>
      <c r="C479" s="73" t="s">
        <v>121</v>
      </c>
      <c r="D479" s="73">
        <v>3</v>
      </c>
      <c r="E479" s="147">
        <v>110000</v>
      </c>
      <c r="F479" s="160">
        <f t="shared" si="190"/>
        <v>363000.00000000006</v>
      </c>
      <c r="G479" s="160">
        <f t="shared" si="191"/>
        <v>330000</v>
      </c>
      <c r="H479" s="161" t="s">
        <v>172</v>
      </c>
      <c r="I479" s="73" t="s">
        <v>142</v>
      </c>
      <c r="J479" s="60">
        <f>(G479-(VLOOKUP(C479,Price!B:D,3,FALSE)*D479))</f>
        <v>57000</v>
      </c>
      <c r="K479" s="427">
        <f>(J479/(F479/11*10))</f>
        <v>0.1727272727272727</v>
      </c>
      <c r="L479" s="80">
        <v>17.11</v>
      </c>
      <c r="M479" s="584"/>
      <c r="N479" s="663">
        <f t="shared" si="185"/>
        <v>171129</v>
      </c>
      <c r="O479" s="73" t="s">
        <v>150</v>
      </c>
      <c r="P479" s="132" t="str">
        <f t="shared" si="189"/>
        <v>윤전용 실리콘</v>
      </c>
      <c r="Q479" s="73">
        <f t="shared" si="186"/>
        <v>3</v>
      </c>
      <c r="R479" s="147">
        <v>91000</v>
      </c>
      <c r="S479" s="147">
        <f t="shared" si="179"/>
        <v>300300</v>
      </c>
      <c r="T479" s="147">
        <f t="shared" si="180"/>
        <v>273000</v>
      </c>
      <c r="U479" s="73" t="str">
        <f t="shared" si="181"/>
        <v>O</v>
      </c>
      <c r="V479" s="73"/>
      <c r="W479" s="482">
        <f t="shared" si="182"/>
        <v>57000</v>
      </c>
      <c r="X479" s="73"/>
      <c r="Y479" s="73"/>
    </row>
    <row r="480" spans="1:25" ht="30" hidden="1" customHeight="1" x14ac:dyDescent="0.25">
      <c r="A480" s="82">
        <v>171130</v>
      </c>
      <c r="B480" s="664" t="s">
        <v>640</v>
      </c>
      <c r="C480" s="71" t="s">
        <v>912</v>
      </c>
      <c r="D480" s="71">
        <v>1</v>
      </c>
      <c r="E480" s="102">
        <v>8650000</v>
      </c>
      <c r="F480" s="102">
        <f t="shared" si="190"/>
        <v>9515000</v>
      </c>
      <c r="G480" s="102">
        <f t="shared" si="191"/>
        <v>8650000</v>
      </c>
      <c r="H480" s="748" t="s">
        <v>165</v>
      </c>
      <c r="I480" s="71"/>
      <c r="J480" s="53">
        <v>2000000</v>
      </c>
      <c r="K480" s="63">
        <f t="shared" si="188"/>
        <v>0.23121387283236994</v>
      </c>
      <c r="L480" s="82">
        <v>17.11</v>
      </c>
      <c r="M480" s="468"/>
      <c r="N480" s="664">
        <f t="shared" si="185"/>
        <v>171130</v>
      </c>
      <c r="O480" s="71"/>
      <c r="P480" s="103" t="str">
        <f t="shared" si="189"/>
        <v>드라이어 정비 서비스</v>
      </c>
      <c r="Q480" s="71">
        <f t="shared" si="186"/>
        <v>1</v>
      </c>
      <c r="R480" s="102"/>
      <c r="S480" s="102">
        <f t="shared" si="179"/>
        <v>0</v>
      </c>
      <c r="T480" s="102">
        <f t="shared" si="180"/>
        <v>0</v>
      </c>
      <c r="U480" s="71" t="str">
        <f t="shared" si="181"/>
        <v>X</v>
      </c>
      <c r="V480" s="71"/>
      <c r="W480" s="482">
        <f t="shared" si="182"/>
        <v>8650000</v>
      </c>
      <c r="X480" s="71"/>
      <c r="Y480" s="71"/>
    </row>
    <row r="481" spans="1:25" ht="30" hidden="1" customHeight="1" x14ac:dyDescent="0.25">
      <c r="A481" s="82">
        <v>171130</v>
      </c>
      <c r="B481" s="664" t="s">
        <v>546</v>
      </c>
      <c r="C481" s="71" t="s">
        <v>912</v>
      </c>
      <c r="D481" s="71">
        <v>1</v>
      </c>
      <c r="E481" s="102">
        <v>440000</v>
      </c>
      <c r="F481" s="102">
        <f t="shared" si="190"/>
        <v>484000.00000000006</v>
      </c>
      <c r="G481" s="102">
        <f t="shared" si="191"/>
        <v>440000</v>
      </c>
      <c r="H481" s="748" t="s">
        <v>165</v>
      </c>
      <c r="I481" s="71"/>
      <c r="J481" s="53"/>
      <c r="K481" s="63">
        <f t="shared" si="188"/>
        <v>0</v>
      </c>
      <c r="L481" s="82">
        <v>17.11</v>
      </c>
      <c r="M481" s="468"/>
      <c r="N481" s="664">
        <f t="shared" si="185"/>
        <v>171130</v>
      </c>
      <c r="O481" s="71"/>
      <c r="P481" s="103" t="str">
        <f t="shared" si="189"/>
        <v>드라이어 정비 서비스</v>
      </c>
      <c r="Q481" s="71">
        <f t="shared" si="186"/>
        <v>1</v>
      </c>
      <c r="R481" s="102"/>
      <c r="S481" s="102">
        <f t="shared" si="179"/>
        <v>0</v>
      </c>
      <c r="T481" s="102">
        <f t="shared" si="180"/>
        <v>0</v>
      </c>
      <c r="U481" s="71" t="str">
        <f t="shared" si="181"/>
        <v>X</v>
      </c>
      <c r="V481" s="71"/>
      <c r="W481" s="482">
        <f t="shared" si="182"/>
        <v>440000</v>
      </c>
      <c r="X481" s="71"/>
      <c r="Y481" s="71"/>
    </row>
    <row r="482" spans="1:25" ht="30" hidden="1" customHeight="1" x14ac:dyDescent="0.25">
      <c r="A482" s="82">
        <v>171130</v>
      </c>
      <c r="B482" s="664" t="s">
        <v>546</v>
      </c>
      <c r="C482" s="71" t="s">
        <v>920</v>
      </c>
      <c r="D482" s="71">
        <v>2</v>
      </c>
      <c r="E482" s="102">
        <v>160000</v>
      </c>
      <c r="F482" s="102">
        <f t="shared" si="190"/>
        <v>352000</v>
      </c>
      <c r="G482" s="102">
        <f t="shared" si="191"/>
        <v>320000</v>
      </c>
      <c r="H482" s="779" t="s">
        <v>113</v>
      </c>
      <c r="I482" s="71"/>
      <c r="J482" s="53">
        <f>(G482-(VLOOKUP(C482,Import!C:G,4,FALSE)*D482))</f>
        <v>320000</v>
      </c>
      <c r="K482" s="63">
        <f>(J482/(F482/11*10))</f>
        <v>1</v>
      </c>
      <c r="L482" s="82">
        <v>17.11</v>
      </c>
      <c r="M482" s="468"/>
      <c r="N482" s="664">
        <f t="shared" si="185"/>
        <v>171130</v>
      </c>
      <c r="O482" s="808" t="s">
        <v>113</v>
      </c>
      <c r="P482" s="103" t="str">
        <f t="shared" si="189"/>
        <v>에어 실린더</v>
      </c>
      <c r="Q482" s="71">
        <f t="shared" si="186"/>
        <v>2</v>
      </c>
      <c r="R482" s="102"/>
      <c r="S482" s="102">
        <f t="shared" si="179"/>
        <v>0</v>
      </c>
      <c r="T482" s="102">
        <f t="shared" si="180"/>
        <v>0</v>
      </c>
      <c r="U482" s="71" t="str">
        <f t="shared" si="181"/>
        <v>O</v>
      </c>
      <c r="V482" s="71"/>
      <c r="W482" s="482">
        <f t="shared" si="182"/>
        <v>320000</v>
      </c>
      <c r="X482" s="71"/>
      <c r="Y482" s="71"/>
    </row>
    <row r="483" spans="1:25" ht="30" hidden="1" customHeight="1" x14ac:dyDescent="0.25">
      <c r="A483" s="82">
        <v>171130</v>
      </c>
      <c r="B483" s="664" t="s">
        <v>546</v>
      </c>
      <c r="C483" s="71" t="s">
        <v>934</v>
      </c>
      <c r="D483" s="71">
        <v>30</v>
      </c>
      <c r="E483" s="102">
        <v>4500</v>
      </c>
      <c r="F483" s="102">
        <f t="shared" si="190"/>
        <v>148500</v>
      </c>
      <c r="G483" s="102">
        <f t="shared" si="191"/>
        <v>135000</v>
      </c>
      <c r="H483" s="779" t="s">
        <v>113</v>
      </c>
      <c r="I483" s="71"/>
      <c r="J483" s="53">
        <f>(G483-(VLOOKUP(C483,Import!C:G,4,FALSE)*D483))</f>
        <v>135000</v>
      </c>
      <c r="K483" s="63">
        <f>(J483/(F483/11*10))</f>
        <v>1</v>
      </c>
      <c r="L483" s="82">
        <v>17.11</v>
      </c>
      <c r="M483" s="468"/>
      <c r="N483" s="664">
        <f t="shared" si="185"/>
        <v>171130</v>
      </c>
      <c r="O483" s="808" t="s">
        <v>113</v>
      </c>
      <c r="P483" s="103" t="str">
        <f t="shared" si="189"/>
        <v>양면 테이프</v>
      </c>
      <c r="Q483" s="71">
        <f t="shared" si="186"/>
        <v>30</v>
      </c>
      <c r="R483" s="102"/>
      <c r="S483" s="102">
        <f t="shared" si="179"/>
        <v>0</v>
      </c>
      <c r="T483" s="102">
        <f t="shared" si="180"/>
        <v>0</v>
      </c>
      <c r="U483" s="71" t="str">
        <f t="shared" si="181"/>
        <v>O</v>
      </c>
      <c r="V483" s="71"/>
      <c r="W483" s="482">
        <f t="shared" si="182"/>
        <v>135000</v>
      </c>
      <c r="X483" s="71"/>
      <c r="Y483" s="71"/>
    </row>
    <row r="484" spans="1:25" ht="30" hidden="1" customHeight="1" x14ac:dyDescent="0.25">
      <c r="A484" s="611">
        <v>171130</v>
      </c>
      <c r="B484" s="674" t="s">
        <v>690</v>
      </c>
      <c r="C484" s="409" t="s">
        <v>913</v>
      </c>
      <c r="D484" s="409">
        <v>1</v>
      </c>
      <c r="E484" s="208">
        <v>760000</v>
      </c>
      <c r="F484" s="208">
        <f t="shared" si="190"/>
        <v>836000.00000000012</v>
      </c>
      <c r="G484" s="208">
        <f t="shared" si="191"/>
        <v>760000</v>
      </c>
      <c r="H484" s="830" t="s">
        <v>173</v>
      </c>
      <c r="I484" s="139" t="s">
        <v>142</v>
      </c>
      <c r="J484" s="97">
        <f>G484-R484</f>
        <v>260000</v>
      </c>
      <c r="K484" s="63">
        <f>(J484/(F484/11*10))</f>
        <v>0.34210526315789469</v>
      </c>
      <c r="L484" s="611">
        <v>17.11</v>
      </c>
      <c r="M484" s="583"/>
      <c r="N484" s="674">
        <f t="shared" si="185"/>
        <v>171130</v>
      </c>
      <c r="O484" s="409" t="s">
        <v>242</v>
      </c>
      <c r="P484" s="139" t="str">
        <f t="shared" si="189"/>
        <v>필름 출력기 서비스 비용 외</v>
      </c>
      <c r="Q484" s="409">
        <f t="shared" si="186"/>
        <v>1</v>
      </c>
      <c r="R484" s="208">
        <v>500000</v>
      </c>
      <c r="S484" s="102">
        <f t="shared" si="179"/>
        <v>550000</v>
      </c>
      <c r="T484" s="208"/>
      <c r="U484" s="409"/>
      <c r="V484" s="409"/>
      <c r="X484" s="409"/>
      <c r="Y484" s="409"/>
    </row>
    <row r="485" spans="1:25" s="496" customFormat="1" ht="45" hidden="1" customHeight="1" x14ac:dyDescent="0.25">
      <c r="A485" s="787">
        <v>2017.12</v>
      </c>
      <c r="B485" s="675" t="s">
        <v>544</v>
      </c>
      <c r="C485" s="488"/>
      <c r="D485" s="488"/>
      <c r="E485" s="489"/>
      <c r="F485" s="489"/>
      <c r="G485" s="489"/>
      <c r="H485" s="490"/>
      <c r="I485" s="491"/>
      <c r="J485" s="492"/>
      <c r="K485" s="493"/>
      <c r="L485" s="851">
        <v>17.12</v>
      </c>
      <c r="M485" s="645"/>
      <c r="N485" s="725">
        <f t="shared" si="185"/>
        <v>2017.12</v>
      </c>
      <c r="O485" s="488" t="s">
        <v>154</v>
      </c>
      <c r="P485" s="729"/>
      <c r="Q485" s="494"/>
      <c r="R485" s="495"/>
      <c r="S485" s="492"/>
      <c r="T485" s="492"/>
      <c r="W485" s="497"/>
    </row>
    <row r="486" spans="1:25" s="602" customFormat="1" ht="30" hidden="1" customHeight="1" x14ac:dyDescent="0.25">
      <c r="A486" s="85">
        <v>171128</v>
      </c>
      <c r="B486" s="668" t="s">
        <v>640</v>
      </c>
      <c r="C486" s="84" t="s">
        <v>980</v>
      </c>
      <c r="D486" s="84">
        <v>1</v>
      </c>
      <c r="E486" s="189">
        <v>300000</v>
      </c>
      <c r="F486" s="189">
        <f>(E486*D486)*1.1</f>
        <v>330000</v>
      </c>
      <c r="G486" s="189">
        <f>(E486*D486)</f>
        <v>300000</v>
      </c>
      <c r="H486" s="1006" t="s">
        <v>39</v>
      </c>
      <c r="I486" s="84"/>
      <c r="J486" s="61">
        <f>(G486-(VLOOKUP(C486,Import!C:G,4,FALSE)*D486))</f>
        <v>300000</v>
      </c>
      <c r="K486" s="62">
        <f>(J486/(F486/11*10))</f>
        <v>1</v>
      </c>
      <c r="L486" s="85">
        <v>17.12</v>
      </c>
      <c r="M486" s="601"/>
      <c r="N486" s="668">
        <f t="shared" si="185"/>
        <v>171128</v>
      </c>
      <c r="O486" s="1007" t="s">
        <v>39</v>
      </c>
      <c r="P486" s="133" t="str">
        <f>C486</f>
        <v>Temperature sensor KTY 10-6</v>
      </c>
      <c r="Q486" s="84">
        <f t="shared" si="186"/>
        <v>1</v>
      </c>
      <c r="R486" s="189"/>
      <c r="S486" s="189">
        <f t="shared" ref="S486:S504" si="192">R486*Q486*1.1</f>
        <v>0</v>
      </c>
      <c r="T486" s="189">
        <f t="shared" ref="T486:T504" si="193">R486*Q486</f>
        <v>0</v>
      </c>
      <c r="U486" s="84" t="str">
        <f t="shared" ref="U486:U504" si="194">IF(J486=W486,"O", "X")</f>
        <v>O</v>
      </c>
      <c r="V486" s="84"/>
      <c r="W486" s="481">
        <f t="shared" ref="W486:W517" si="195">(G486-T486)</f>
        <v>300000</v>
      </c>
      <c r="X486" s="84"/>
      <c r="Y486" s="84"/>
    </row>
    <row r="487" spans="1:25" ht="30" hidden="1" customHeight="1" x14ac:dyDescent="0.25">
      <c r="A487" s="80">
        <v>171128</v>
      </c>
      <c r="B487" s="663" t="s">
        <v>442</v>
      </c>
      <c r="C487" s="73" t="s">
        <v>133</v>
      </c>
      <c r="D487" s="73">
        <v>2</v>
      </c>
      <c r="E487" s="147">
        <v>327000</v>
      </c>
      <c r="F487" s="147">
        <f t="shared" ref="F487:F514" si="196">(E487*D487)*1.1</f>
        <v>719400</v>
      </c>
      <c r="G487" s="147">
        <f t="shared" ref="G487:G514" si="197">(E487*D487)</f>
        <v>654000</v>
      </c>
      <c r="H487" s="689" t="s">
        <v>173</v>
      </c>
      <c r="I487" s="73" t="s">
        <v>141</v>
      </c>
      <c r="J487" s="60">
        <f>(G487-(VLOOKUP(C487,Price!B:D,3,FALSE)*D487))</f>
        <v>115800</v>
      </c>
      <c r="K487" s="427">
        <f t="shared" ref="K487:K498" si="198">(J487/(F487/11*10))</f>
        <v>0.17706422018348625</v>
      </c>
      <c r="L487" s="80">
        <v>17.12</v>
      </c>
      <c r="M487" s="584"/>
      <c r="N487" s="663">
        <f t="shared" si="185"/>
        <v>171128</v>
      </c>
      <c r="O487" s="73" t="s">
        <v>145</v>
      </c>
      <c r="P487" s="132" t="str">
        <f t="shared" ref="P487:P509" si="199">C487</f>
        <v>Agfa Film(24inch)</v>
      </c>
      <c r="Q487" s="73">
        <f t="shared" si="186"/>
        <v>2</v>
      </c>
      <c r="R487" s="147">
        <v>269100</v>
      </c>
      <c r="S487" s="147">
        <f t="shared" si="192"/>
        <v>592020</v>
      </c>
      <c r="T487" s="147">
        <f t="shared" si="193"/>
        <v>538200</v>
      </c>
      <c r="U487" s="73" t="str">
        <f t="shared" si="194"/>
        <v>O</v>
      </c>
      <c r="V487" s="73"/>
      <c r="W487" s="482">
        <f t="shared" si="195"/>
        <v>115800</v>
      </c>
      <c r="X487" s="73"/>
      <c r="Y487" s="73"/>
    </row>
    <row r="488" spans="1:25" ht="30" hidden="1" customHeight="1" x14ac:dyDescent="0.25">
      <c r="A488" s="80">
        <v>171128</v>
      </c>
      <c r="B488" s="664" t="s">
        <v>442</v>
      </c>
      <c r="C488" s="71" t="s">
        <v>134</v>
      </c>
      <c r="D488" s="71">
        <v>2</v>
      </c>
      <c r="E488" s="102">
        <v>401000</v>
      </c>
      <c r="F488" s="102">
        <f t="shared" si="196"/>
        <v>882200.00000000012</v>
      </c>
      <c r="G488" s="102">
        <f t="shared" si="197"/>
        <v>802000</v>
      </c>
      <c r="H488" s="690" t="s">
        <v>173</v>
      </c>
      <c r="I488" s="71" t="s">
        <v>141</v>
      </c>
      <c r="J488" s="53">
        <f>(G488-(VLOOKUP(C488,Price!B:D,3,FALSE)*D488))</f>
        <v>174080</v>
      </c>
      <c r="K488" s="63">
        <f t="shared" si="198"/>
        <v>0.21705735660847877</v>
      </c>
      <c r="L488" s="82">
        <v>17.12</v>
      </c>
      <c r="M488" s="468"/>
      <c r="N488" s="664">
        <f t="shared" si="185"/>
        <v>171128</v>
      </c>
      <c r="O488" s="71" t="s">
        <v>145</v>
      </c>
      <c r="P488" s="103" t="str">
        <f t="shared" si="199"/>
        <v>Agfa Film(28inch)</v>
      </c>
      <c r="Q488" s="71">
        <f t="shared" si="186"/>
        <v>2</v>
      </c>
      <c r="R488" s="102">
        <v>313960</v>
      </c>
      <c r="S488" s="102">
        <f t="shared" si="192"/>
        <v>690712</v>
      </c>
      <c r="T488" s="102">
        <f t="shared" si="193"/>
        <v>627920</v>
      </c>
      <c r="U488" s="71" t="str">
        <f t="shared" si="194"/>
        <v>O</v>
      </c>
      <c r="V488" s="71"/>
      <c r="W488" s="482">
        <f t="shared" si="195"/>
        <v>174080</v>
      </c>
      <c r="X488" s="71"/>
      <c r="Y488" s="71"/>
    </row>
    <row r="489" spans="1:25" ht="30" hidden="1" customHeight="1" x14ac:dyDescent="0.25">
      <c r="A489" s="80">
        <v>171128</v>
      </c>
      <c r="B489" s="664" t="s">
        <v>442</v>
      </c>
      <c r="C489" s="71" t="s">
        <v>135</v>
      </c>
      <c r="D489" s="71">
        <v>2</v>
      </c>
      <c r="E489" s="102">
        <v>448000</v>
      </c>
      <c r="F489" s="102">
        <f t="shared" si="196"/>
        <v>985600.00000000012</v>
      </c>
      <c r="G489" s="102">
        <f t="shared" si="197"/>
        <v>896000</v>
      </c>
      <c r="H489" s="690" t="s">
        <v>173</v>
      </c>
      <c r="I489" s="71" t="s">
        <v>141</v>
      </c>
      <c r="J489" s="53">
        <f>(G489-(VLOOKUP(C489,Price!B:D,3,FALSE)*D489))</f>
        <v>155980</v>
      </c>
      <c r="K489" s="63">
        <f t="shared" si="198"/>
        <v>0.1740848214285714</v>
      </c>
      <c r="L489" s="82">
        <v>17.12</v>
      </c>
      <c r="M489" s="468"/>
      <c r="N489" s="664">
        <f t="shared" si="185"/>
        <v>171128</v>
      </c>
      <c r="O489" s="71" t="s">
        <v>145</v>
      </c>
      <c r="P489" s="103" t="str">
        <f t="shared" si="199"/>
        <v>Agfa Film(32inch)</v>
      </c>
      <c r="Q489" s="71">
        <f t="shared" si="186"/>
        <v>2</v>
      </c>
      <c r="R489" s="102">
        <v>370010</v>
      </c>
      <c r="S489" s="102">
        <f t="shared" si="192"/>
        <v>814022.00000000012</v>
      </c>
      <c r="T489" s="102">
        <f t="shared" si="193"/>
        <v>740020</v>
      </c>
      <c r="U489" s="71" t="str">
        <f t="shared" si="194"/>
        <v>O</v>
      </c>
      <c r="V489" s="71"/>
      <c r="W489" s="482">
        <f t="shared" si="195"/>
        <v>155980</v>
      </c>
      <c r="X489" s="71"/>
      <c r="Y489" s="71"/>
    </row>
    <row r="490" spans="1:25" ht="30" hidden="1" customHeight="1" x14ac:dyDescent="0.25">
      <c r="A490" s="80">
        <v>171128</v>
      </c>
      <c r="B490" s="664" t="s">
        <v>442</v>
      </c>
      <c r="C490" s="71" t="s">
        <v>649</v>
      </c>
      <c r="D490" s="71">
        <v>2</v>
      </c>
      <c r="E490" s="102">
        <v>41000</v>
      </c>
      <c r="F490" s="102">
        <f t="shared" si="196"/>
        <v>90200.000000000015</v>
      </c>
      <c r="G490" s="102">
        <f t="shared" si="197"/>
        <v>82000</v>
      </c>
      <c r="H490" s="690" t="s">
        <v>173</v>
      </c>
      <c r="I490" s="71" t="s">
        <v>141</v>
      </c>
      <c r="J490" s="53">
        <f>(G490-(VLOOKUP(C490,Price!B:D,3,FALSE)*D490))</f>
        <v>32000</v>
      </c>
      <c r="K490" s="63">
        <f t="shared" si="198"/>
        <v>0.39024390243902435</v>
      </c>
      <c r="L490" s="82">
        <v>17.12</v>
      </c>
      <c r="M490" s="468"/>
      <c r="N490" s="664">
        <f t="shared" si="185"/>
        <v>171128</v>
      </c>
      <c r="O490" s="71" t="s">
        <v>145</v>
      </c>
      <c r="P490" s="103" t="str">
        <f t="shared" si="199"/>
        <v>Agfa 현상액 G101C(10L)</v>
      </c>
      <c r="Q490" s="71">
        <f t="shared" si="186"/>
        <v>2</v>
      </c>
      <c r="R490" s="102">
        <v>25000</v>
      </c>
      <c r="S490" s="102">
        <f t="shared" si="192"/>
        <v>55000.000000000007</v>
      </c>
      <c r="T490" s="102">
        <f t="shared" si="193"/>
        <v>50000</v>
      </c>
      <c r="U490" s="71" t="str">
        <f t="shared" si="194"/>
        <v>O</v>
      </c>
      <c r="V490" s="71"/>
      <c r="W490" s="482">
        <f t="shared" si="195"/>
        <v>32000</v>
      </c>
      <c r="X490" s="71"/>
      <c r="Y490" s="71"/>
    </row>
    <row r="491" spans="1:25" s="602" customFormat="1" ht="30" hidden="1" customHeight="1" x14ac:dyDescent="0.2">
      <c r="A491" s="612">
        <v>171128</v>
      </c>
      <c r="B491" s="668" t="s">
        <v>442</v>
      </c>
      <c r="C491" s="84" t="s">
        <v>650</v>
      </c>
      <c r="D491" s="84">
        <v>1</v>
      </c>
      <c r="E491" s="189">
        <v>93000</v>
      </c>
      <c r="F491" s="190">
        <f t="shared" si="196"/>
        <v>102300.00000000001</v>
      </c>
      <c r="G491" s="190">
        <f t="shared" si="197"/>
        <v>93000</v>
      </c>
      <c r="H491" s="191" t="s">
        <v>172</v>
      </c>
      <c r="I491" s="84" t="s">
        <v>141</v>
      </c>
      <c r="J491" s="61">
        <f>(G491-(VLOOKUP(C491,Price!B:D,3,FALSE)*D491))</f>
        <v>33000</v>
      </c>
      <c r="K491" s="62">
        <f t="shared" si="198"/>
        <v>0.35483870967741932</v>
      </c>
      <c r="L491" s="85">
        <v>17.12</v>
      </c>
      <c r="M491" s="601"/>
      <c r="N491" s="668">
        <f t="shared" si="185"/>
        <v>171128</v>
      </c>
      <c r="O491" s="84" t="s">
        <v>145</v>
      </c>
      <c r="P491" s="133" t="str">
        <f t="shared" si="199"/>
        <v>Agfa 정착액 G333C(20L)</v>
      </c>
      <c r="Q491" s="84">
        <f t="shared" si="186"/>
        <v>1</v>
      </c>
      <c r="R491" s="189">
        <v>60000</v>
      </c>
      <c r="S491" s="189">
        <f t="shared" si="192"/>
        <v>66000</v>
      </c>
      <c r="T491" s="189">
        <f t="shared" si="193"/>
        <v>60000</v>
      </c>
      <c r="U491" s="84" t="str">
        <f t="shared" si="194"/>
        <v>O</v>
      </c>
      <c r="V491" s="84"/>
      <c r="W491" s="481">
        <f t="shared" si="195"/>
        <v>33000</v>
      </c>
      <c r="X491" s="84"/>
      <c r="Y491" s="84"/>
    </row>
    <row r="492" spans="1:25" ht="31.5" hidden="1" customHeight="1" x14ac:dyDescent="0.25">
      <c r="A492" s="80">
        <v>171129</v>
      </c>
      <c r="B492" s="663" t="s">
        <v>545</v>
      </c>
      <c r="C492" s="73" t="s">
        <v>123</v>
      </c>
      <c r="D492" s="73">
        <v>5</v>
      </c>
      <c r="E492" s="147">
        <v>42000</v>
      </c>
      <c r="F492" s="147">
        <f t="shared" si="196"/>
        <v>231000.00000000003</v>
      </c>
      <c r="G492" s="147">
        <f t="shared" si="197"/>
        <v>210000</v>
      </c>
      <c r="H492" s="1005" t="s">
        <v>39</v>
      </c>
      <c r="I492" s="73"/>
      <c r="J492" s="60">
        <f>(G492-(VLOOKUP(C492,Import!C:G,4,FALSE)*D492))</f>
        <v>210000</v>
      </c>
      <c r="K492" s="427">
        <f t="shared" si="198"/>
        <v>0.99999999999999989</v>
      </c>
      <c r="L492" s="788">
        <v>17.12</v>
      </c>
      <c r="M492" s="584"/>
      <c r="N492" s="663">
        <f t="shared" si="185"/>
        <v>171129</v>
      </c>
      <c r="O492" s="987" t="s">
        <v>39</v>
      </c>
      <c r="P492" s="132" t="str">
        <f t="shared" si="199"/>
        <v>필터백</v>
      </c>
      <c r="Q492" s="73">
        <f t="shared" si="186"/>
        <v>5</v>
      </c>
      <c r="R492" s="147">
        <v>22461</v>
      </c>
      <c r="S492" s="147">
        <f t="shared" si="192"/>
        <v>123535.50000000001</v>
      </c>
      <c r="T492" s="147">
        <f t="shared" si="193"/>
        <v>112305</v>
      </c>
      <c r="U492" s="73" t="str">
        <f t="shared" si="194"/>
        <v>X</v>
      </c>
      <c r="V492" s="73"/>
      <c r="W492" s="482">
        <f t="shared" si="195"/>
        <v>97695</v>
      </c>
      <c r="X492" s="73"/>
      <c r="Y492" s="73"/>
    </row>
    <row r="493" spans="1:25" ht="31.5" hidden="1" customHeight="1" x14ac:dyDescent="0.25">
      <c r="A493" s="82">
        <v>171129</v>
      </c>
      <c r="B493" s="664" t="s">
        <v>545</v>
      </c>
      <c r="C493" s="71" t="s">
        <v>911</v>
      </c>
      <c r="D493" s="71">
        <v>1</v>
      </c>
      <c r="E493" s="102">
        <v>250000</v>
      </c>
      <c r="F493" s="102">
        <f t="shared" si="196"/>
        <v>275000</v>
      </c>
      <c r="G493" s="102">
        <f t="shared" si="197"/>
        <v>250000</v>
      </c>
      <c r="H493" s="690" t="s">
        <v>173</v>
      </c>
      <c r="I493" s="71" t="s">
        <v>142</v>
      </c>
      <c r="J493" s="53">
        <f>E493-75000</f>
        <v>175000</v>
      </c>
      <c r="K493" s="63">
        <f t="shared" si="198"/>
        <v>0.7</v>
      </c>
      <c r="L493" s="792">
        <v>17.12</v>
      </c>
      <c r="M493" s="468"/>
      <c r="N493" s="664">
        <f t="shared" si="185"/>
        <v>171129</v>
      </c>
      <c r="O493" s="71" t="s">
        <v>994</v>
      </c>
      <c r="P493" s="103" t="str">
        <f t="shared" si="199"/>
        <v>콤푸레샤 에어필터</v>
      </c>
      <c r="Q493" s="71">
        <f t="shared" si="186"/>
        <v>1</v>
      </c>
      <c r="R493" s="102">
        <v>75000</v>
      </c>
      <c r="S493" s="102">
        <f t="shared" si="192"/>
        <v>82500</v>
      </c>
      <c r="T493" s="102">
        <f t="shared" si="193"/>
        <v>75000</v>
      </c>
      <c r="U493" s="71" t="str">
        <f t="shared" si="194"/>
        <v>O</v>
      </c>
      <c r="V493" s="71"/>
      <c r="W493" s="482">
        <f t="shared" si="195"/>
        <v>175000</v>
      </c>
      <c r="X493" s="71"/>
      <c r="Y493" s="71"/>
    </row>
    <row r="494" spans="1:25" s="602" customFormat="1" ht="28.5" hidden="1" customHeight="1" x14ac:dyDescent="0.25">
      <c r="A494" s="85">
        <v>171129</v>
      </c>
      <c r="B494" s="668" t="s">
        <v>545</v>
      </c>
      <c r="C494" s="84" t="s">
        <v>131</v>
      </c>
      <c r="D494" s="84">
        <v>6</v>
      </c>
      <c r="E494" s="189">
        <v>135000</v>
      </c>
      <c r="F494" s="189">
        <f t="shared" si="196"/>
        <v>891000.00000000012</v>
      </c>
      <c r="G494" s="189">
        <f t="shared" si="197"/>
        <v>810000</v>
      </c>
      <c r="H494" s="691" t="s">
        <v>173</v>
      </c>
      <c r="I494" s="84" t="s">
        <v>108</v>
      </c>
      <c r="J494" s="61">
        <f>(G494-(VLOOKUP(C494,Price!B:D,3,FALSE)*D494))</f>
        <v>150000</v>
      </c>
      <c r="K494" s="62">
        <f t="shared" si="198"/>
        <v>0.18518518518518515</v>
      </c>
      <c r="L494" s="793">
        <v>17.12</v>
      </c>
      <c r="M494" s="601"/>
      <c r="N494" s="668">
        <f t="shared" si="185"/>
        <v>171129</v>
      </c>
      <c r="O494" s="84" t="s">
        <v>148</v>
      </c>
      <c r="P494" s="133" t="str">
        <f t="shared" si="199"/>
        <v>UV wash(20L)</v>
      </c>
      <c r="Q494" s="84">
        <f t="shared" si="186"/>
        <v>6</v>
      </c>
      <c r="R494" s="189">
        <v>110000</v>
      </c>
      <c r="S494" s="189">
        <f t="shared" si="192"/>
        <v>726000.00000000012</v>
      </c>
      <c r="T494" s="189">
        <f t="shared" si="193"/>
        <v>660000</v>
      </c>
      <c r="U494" s="84" t="str">
        <f t="shared" si="194"/>
        <v>O</v>
      </c>
      <c r="V494" s="84"/>
      <c r="W494" s="481">
        <f t="shared" si="195"/>
        <v>150000</v>
      </c>
      <c r="X494" s="84"/>
      <c r="Y494" s="84"/>
    </row>
    <row r="495" spans="1:25" s="635" customFormat="1" ht="30" hidden="1" customHeight="1" x14ac:dyDescent="0.25">
      <c r="A495" s="159">
        <v>171201</v>
      </c>
      <c r="B495" s="676" t="s">
        <v>549</v>
      </c>
      <c r="C495" s="157" t="s">
        <v>119</v>
      </c>
      <c r="D495" s="157">
        <v>15</v>
      </c>
      <c r="E495" s="526">
        <v>115000</v>
      </c>
      <c r="F495" s="526">
        <f t="shared" si="196"/>
        <v>1897500.0000000002</v>
      </c>
      <c r="G495" s="526">
        <f t="shared" si="197"/>
        <v>1725000</v>
      </c>
      <c r="H495" s="790" t="s">
        <v>173</v>
      </c>
      <c r="I495" s="157" t="s">
        <v>109</v>
      </c>
      <c r="J495" s="503">
        <f>(G495-(VLOOKUP(C495,Price!B:D,3,FALSE)*D495))</f>
        <v>394500</v>
      </c>
      <c r="K495" s="65">
        <f t="shared" si="198"/>
        <v>0.22869565217391302</v>
      </c>
      <c r="L495" s="159">
        <v>17.12</v>
      </c>
      <c r="M495" s="634"/>
      <c r="N495" s="676">
        <f t="shared" si="185"/>
        <v>171201</v>
      </c>
      <c r="O495" s="157" t="s">
        <v>150</v>
      </c>
      <c r="P495" s="132" t="str">
        <f t="shared" ref="P495:Q498" si="200">C495</f>
        <v>미쯔비시 Blanket(1035*910)</v>
      </c>
      <c r="Q495" s="157">
        <f t="shared" si="186"/>
        <v>15</v>
      </c>
      <c r="R495" s="526">
        <v>88700</v>
      </c>
      <c r="S495" s="147">
        <f t="shared" si="192"/>
        <v>1463550.0000000002</v>
      </c>
      <c r="T495" s="147">
        <f t="shared" si="193"/>
        <v>1330500</v>
      </c>
      <c r="U495" s="73" t="str">
        <f t="shared" si="194"/>
        <v>O</v>
      </c>
      <c r="V495" s="157"/>
      <c r="W495" s="520">
        <f t="shared" si="195"/>
        <v>394500</v>
      </c>
      <c r="X495" s="157"/>
      <c r="Y495" s="157"/>
    </row>
    <row r="496" spans="1:25" s="616" customFormat="1" ht="30" hidden="1" customHeight="1" x14ac:dyDescent="0.25">
      <c r="A496" s="80">
        <v>171201</v>
      </c>
      <c r="B496" s="663" t="s">
        <v>590</v>
      </c>
      <c r="C496" s="73" t="s">
        <v>585</v>
      </c>
      <c r="D496" s="73">
        <v>48</v>
      </c>
      <c r="E496" s="147">
        <v>7500</v>
      </c>
      <c r="F496" s="147">
        <f t="shared" si="196"/>
        <v>396000.00000000006</v>
      </c>
      <c r="G496" s="147">
        <f t="shared" si="197"/>
        <v>360000</v>
      </c>
      <c r="H496" s="689" t="s">
        <v>142</v>
      </c>
      <c r="I496" s="73" t="s">
        <v>144</v>
      </c>
      <c r="J496" s="60">
        <f>(G496-(VLOOKUP(C496,Price!B:D,3,FALSE)*D496))</f>
        <v>35040</v>
      </c>
      <c r="K496" s="427">
        <f t="shared" si="198"/>
        <v>9.7333333333333313E-2</v>
      </c>
      <c r="L496" s="788">
        <v>17.12</v>
      </c>
      <c r="M496" s="584"/>
      <c r="N496" s="663">
        <f>A496</f>
        <v>171201</v>
      </c>
      <c r="O496" s="73" t="s">
        <v>147</v>
      </c>
      <c r="P496" s="132" t="str">
        <f t="shared" si="200"/>
        <v>프리미어(적)</v>
      </c>
      <c r="Q496" s="73">
        <f t="shared" si="200"/>
        <v>48</v>
      </c>
      <c r="R496" s="147">
        <v>6770</v>
      </c>
      <c r="S496" s="147">
        <f t="shared" si="192"/>
        <v>357456</v>
      </c>
      <c r="T496" s="147">
        <f t="shared" si="193"/>
        <v>324960</v>
      </c>
      <c r="U496" s="73" t="str">
        <f t="shared" si="194"/>
        <v>O</v>
      </c>
      <c r="V496" s="73"/>
      <c r="W496" s="520">
        <f t="shared" si="195"/>
        <v>35040</v>
      </c>
      <c r="X496" s="73"/>
      <c r="Y496" s="73"/>
    </row>
    <row r="497" spans="1:25" s="657" customFormat="1" ht="26.25" hidden="1" customHeight="1" x14ac:dyDescent="0.25">
      <c r="A497" s="82">
        <v>171201</v>
      </c>
      <c r="B497" s="664" t="s">
        <v>590</v>
      </c>
      <c r="C497" s="71" t="s">
        <v>586</v>
      </c>
      <c r="D497" s="71">
        <v>48</v>
      </c>
      <c r="E497" s="102">
        <v>6750</v>
      </c>
      <c r="F497" s="102">
        <f t="shared" si="196"/>
        <v>356400</v>
      </c>
      <c r="G497" s="102">
        <f t="shared" si="197"/>
        <v>324000</v>
      </c>
      <c r="H497" s="689" t="s">
        <v>142</v>
      </c>
      <c r="I497" s="71" t="s">
        <v>144</v>
      </c>
      <c r="J497" s="53">
        <f>(G497-(VLOOKUP(C497,Price!B:D,3,FALSE)*D497))</f>
        <v>27360</v>
      </c>
      <c r="K497" s="63">
        <f t="shared" si="198"/>
        <v>8.4444444444444447E-2</v>
      </c>
      <c r="L497" s="792">
        <v>17.12</v>
      </c>
      <c r="M497" s="468"/>
      <c r="N497" s="664">
        <f>A497</f>
        <v>171201</v>
      </c>
      <c r="O497" s="71" t="s">
        <v>147</v>
      </c>
      <c r="P497" s="103" t="str">
        <f t="shared" si="200"/>
        <v>프리미어(황)</v>
      </c>
      <c r="Q497" s="71">
        <f t="shared" si="200"/>
        <v>48</v>
      </c>
      <c r="R497" s="102">
        <v>6180</v>
      </c>
      <c r="S497" s="102">
        <f t="shared" si="192"/>
        <v>326304</v>
      </c>
      <c r="T497" s="102">
        <f t="shared" si="193"/>
        <v>296640</v>
      </c>
      <c r="U497" s="71" t="str">
        <f t="shared" si="194"/>
        <v>O</v>
      </c>
      <c r="V497" s="71"/>
      <c r="W497" s="656">
        <f t="shared" si="195"/>
        <v>27360</v>
      </c>
      <c r="X497" s="71"/>
      <c r="Y497" s="71"/>
    </row>
    <row r="498" spans="1:25" s="867" customFormat="1" ht="30" hidden="1" customHeight="1" x14ac:dyDescent="0.25">
      <c r="A498" s="864">
        <v>171201</v>
      </c>
      <c r="B498" s="665" t="s">
        <v>590</v>
      </c>
      <c r="C498" s="167" t="s">
        <v>587</v>
      </c>
      <c r="D498" s="167">
        <v>48</v>
      </c>
      <c r="E498" s="169">
        <v>8000</v>
      </c>
      <c r="F498" s="169">
        <f t="shared" si="196"/>
        <v>422400.00000000006</v>
      </c>
      <c r="G498" s="169">
        <f t="shared" si="197"/>
        <v>384000</v>
      </c>
      <c r="H498" s="865" t="s">
        <v>142</v>
      </c>
      <c r="I498" s="167" t="s">
        <v>144</v>
      </c>
      <c r="J498" s="55">
        <f>(G498-(VLOOKUP(C498,Price!B:D,3,FALSE)*D498))</f>
        <v>52320</v>
      </c>
      <c r="K498" s="56">
        <f t="shared" si="198"/>
        <v>0.13624999999999998</v>
      </c>
      <c r="L498" s="868">
        <v>17.12</v>
      </c>
      <c r="M498" s="641"/>
      <c r="N498" s="665">
        <f>A498</f>
        <v>171201</v>
      </c>
      <c r="O498" s="167" t="s">
        <v>147</v>
      </c>
      <c r="P498" s="172" t="str">
        <f t="shared" si="200"/>
        <v>프리미어(청)</v>
      </c>
      <c r="Q498" s="167">
        <f t="shared" si="200"/>
        <v>48</v>
      </c>
      <c r="R498" s="169">
        <v>6910</v>
      </c>
      <c r="S498" s="169">
        <f t="shared" si="192"/>
        <v>364848.00000000006</v>
      </c>
      <c r="T498" s="169">
        <f t="shared" si="193"/>
        <v>331680</v>
      </c>
      <c r="U498" s="167" t="str">
        <f t="shared" si="194"/>
        <v>O</v>
      </c>
      <c r="V498" s="167"/>
      <c r="W498" s="866">
        <f t="shared" si="195"/>
        <v>52320</v>
      </c>
      <c r="X498" s="167"/>
      <c r="Y498" s="167"/>
    </row>
    <row r="499" spans="1:25" ht="30" hidden="1" customHeight="1" x14ac:dyDescent="0.25">
      <c r="A499" s="80">
        <v>171204</v>
      </c>
      <c r="B499" s="663" t="s">
        <v>591</v>
      </c>
      <c r="C499" s="73" t="s">
        <v>917</v>
      </c>
      <c r="D499" s="73">
        <v>1</v>
      </c>
      <c r="E499" s="147">
        <v>300000</v>
      </c>
      <c r="F499" s="147">
        <f t="shared" si="196"/>
        <v>330000</v>
      </c>
      <c r="G499" s="147">
        <f t="shared" si="197"/>
        <v>300000</v>
      </c>
      <c r="H499" s="689" t="s">
        <v>173</v>
      </c>
      <c r="I499" s="73" t="s">
        <v>143</v>
      </c>
      <c r="J499" s="60">
        <f>(G499-(VLOOKUP(C499,Price!B:D,3,FALSE)*D499))</f>
        <v>80000</v>
      </c>
      <c r="K499" s="427">
        <f t="shared" ref="K499:K506" si="201">(J499/(F499/11*10))</f>
        <v>0.26666666666666666</v>
      </c>
      <c r="L499" s="80">
        <v>17.12</v>
      </c>
      <c r="M499" s="584"/>
      <c r="N499" s="663">
        <f t="shared" si="185"/>
        <v>171204</v>
      </c>
      <c r="O499" s="73" t="s">
        <v>612</v>
      </c>
      <c r="P499" s="132" t="str">
        <f>C499</f>
        <v>Ink Roller</v>
      </c>
      <c r="Q499" s="73">
        <f t="shared" si="186"/>
        <v>1</v>
      </c>
      <c r="R499" s="147">
        <v>220000</v>
      </c>
      <c r="S499" s="147">
        <f t="shared" si="192"/>
        <v>242000.00000000003</v>
      </c>
      <c r="T499" s="147">
        <f t="shared" si="193"/>
        <v>220000</v>
      </c>
      <c r="U499" s="73" t="str">
        <f t="shared" si="194"/>
        <v>O</v>
      </c>
      <c r="V499" s="73"/>
      <c r="W499" s="482">
        <f t="shared" si="195"/>
        <v>80000</v>
      </c>
      <c r="X499" s="73"/>
      <c r="Y499" s="73"/>
    </row>
    <row r="500" spans="1:25" ht="30" hidden="1" customHeight="1" x14ac:dyDescent="0.25">
      <c r="A500" s="80">
        <v>171204</v>
      </c>
      <c r="B500" s="663" t="s">
        <v>591</v>
      </c>
      <c r="C500" s="71" t="s">
        <v>918</v>
      </c>
      <c r="D500" s="71">
        <v>2</v>
      </c>
      <c r="E500" s="102">
        <v>260000</v>
      </c>
      <c r="F500" s="102">
        <f t="shared" si="196"/>
        <v>572000</v>
      </c>
      <c r="G500" s="102">
        <f t="shared" si="197"/>
        <v>520000</v>
      </c>
      <c r="H500" s="690" t="s">
        <v>173</v>
      </c>
      <c r="I500" s="71" t="s">
        <v>143</v>
      </c>
      <c r="J500" s="53">
        <f>(G500-(VLOOKUP(C500,Price!B:D,3,FALSE)*D500))</f>
        <v>140000</v>
      </c>
      <c r="K500" s="63">
        <f t="shared" si="201"/>
        <v>0.26923076923076922</v>
      </c>
      <c r="L500" s="82">
        <v>17.12</v>
      </c>
      <c r="M500" s="468"/>
      <c r="N500" s="664">
        <f t="shared" si="185"/>
        <v>171204</v>
      </c>
      <c r="O500" s="71" t="s">
        <v>612</v>
      </c>
      <c r="P500" s="103" t="str">
        <f>C500</f>
        <v>Ink Duct Roller</v>
      </c>
      <c r="Q500" s="71">
        <f t="shared" si="186"/>
        <v>2</v>
      </c>
      <c r="R500" s="102">
        <v>190000</v>
      </c>
      <c r="S500" s="102">
        <f t="shared" si="192"/>
        <v>418000.00000000006</v>
      </c>
      <c r="T500" s="102">
        <f t="shared" si="193"/>
        <v>380000</v>
      </c>
      <c r="U500" s="71" t="str">
        <f t="shared" si="194"/>
        <v>O</v>
      </c>
      <c r="V500" s="71"/>
      <c r="W500" s="482">
        <f t="shared" si="195"/>
        <v>140000</v>
      </c>
      <c r="X500" s="71"/>
      <c r="Y500" s="71"/>
    </row>
    <row r="501" spans="1:25" s="602" customFormat="1" ht="30" hidden="1" customHeight="1" x14ac:dyDescent="0.25">
      <c r="A501" s="612">
        <v>171204</v>
      </c>
      <c r="B501" s="668" t="s">
        <v>591</v>
      </c>
      <c r="C501" s="84" t="s">
        <v>919</v>
      </c>
      <c r="D501" s="84">
        <v>1</v>
      </c>
      <c r="E501" s="189">
        <v>6940000</v>
      </c>
      <c r="F501" s="189">
        <f t="shared" si="196"/>
        <v>7634000.0000000009</v>
      </c>
      <c r="G501" s="189">
        <f t="shared" si="197"/>
        <v>6940000</v>
      </c>
      <c r="H501" s="691" t="s">
        <v>173</v>
      </c>
      <c r="I501" s="84" t="s">
        <v>143</v>
      </c>
      <c r="J501" s="61">
        <f>G501-T501</f>
        <v>1780000</v>
      </c>
      <c r="K501" s="62">
        <f t="shared" si="201"/>
        <v>0.25648414985590773</v>
      </c>
      <c r="L501" s="85">
        <v>17.12</v>
      </c>
      <c r="M501" s="601"/>
      <c r="N501" s="668">
        <f t="shared" si="185"/>
        <v>171204</v>
      </c>
      <c r="O501" s="84" t="s">
        <v>612</v>
      </c>
      <c r="P501" s="133" t="str">
        <f>C501</f>
        <v>고모리 롤러 세트</v>
      </c>
      <c r="Q501" s="84">
        <f t="shared" si="186"/>
        <v>1</v>
      </c>
      <c r="R501" s="189">
        <f>5760000-220000-380000</f>
        <v>5160000</v>
      </c>
      <c r="S501" s="189">
        <f t="shared" si="192"/>
        <v>5676000</v>
      </c>
      <c r="T501" s="189">
        <f t="shared" si="193"/>
        <v>5160000</v>
      </c>
      <c r="U501" s="84" t="str">
        <f t="shared" si="194"/>
        <v>O</v>
      </c>
      <c r="V501" s="84"/>
      <c r="W501" s="481">
        <f t="shared" si="195"/>
        <v>1780000</v>
      </c>
      <c r="X501" s="84"/>
      <c r="Y501" s="84"/>
    </row>
    <row r="502" spans="1:25" ht="30" hidden="1" customHeight="1" x14ac:dyDescent="0.25">
      <c r="A502" s="80">
        <v>171205</v>
      </c>
      <c r="B502" s="663" t="s">
        <v>545</v>
      </c>
      <c r="C502" s="73" t="s">
        <v>167</v>
      </c>
      <c r="D502" s="73">
        <v>5</v>
      </c>
      <c r="E502" s="147">
        <v>110000</v>
      </c>
      <c r="F502" s="147">
        <f t="shared" si="196"/>
        <v>605000</v>
      </c>
      <c r="G502" s="147">
        <f t="shared" si="197"/>
        <v>550000</v>
      </c>
      <c r="H502" s="689" t="s">
        <v>173</v>
      </c>
      <c r="I502" s="73" t="s">
        <v>109</v>
      </c>
      <c r="J502" s="60">
        <f>(G502-(VLOOKUP(C502,Price!B:D,3,FALSE)*D502))</f>
        <v>135500</v>
      </c>
      <c r="K502" s="427">
        <f t="shared" si="201"/>
        <v>0.24636363636363637</v>
      </c>
      <c r="L502" s="788">
        <v>17.12</v>
      </c>
      <c r="M502" s="584"/>
      <c r="N502" s="663">
        <f t="shared" si="185"/>
        <v>171205</v>
      </c>
      <c r="O502" s="73" t="s">
        <v>147</v>
      </c>
      <c r="P502" s="132" t="str">
        <f t="shared" si="199"/>
        <v>Blanket(1060*860)</v>
      </c>
      <c r="Q502" s="73">
        <f t="shared" si="186"/>
        <v>5</v>
      </c>
      <c r="R502" s="147">
        <v>82900</v>
      </c>
      <c r="S502" s="147">
        <f t="shared" si="192"/>
        <v>455950.00000000006</v>
      </c>
      <c r="T502" s="147">
        <f t="shared" si="193"/>
        <v>414500</v>
      </c>
      <c r="U502" s="73" t="str">
        <f t="shared" si="194"/>
        <v>O</v>
      </c>
      <c r="V502" s="73"/>
      <c r="W502" s="482">
        <f t="shared" si="195"/>
        <v>135500</v>
      </c>
      <c r="X502" s="73"/>
      <c r="Y502" s="73"/>
    </row>
    <row r="503" spans="1:25" s="616" customFormat="1" ht="30" hidden="1" customHeight="1" x14ac:dyDescent="0.25">
      <c r="A503" s="82">
        <v>171205</v>
      </c>
      <c r="B503" s="664" t="s">
        <v>444</v>
      </c>
      <c r="C503" s="71" t="s">
        <v>131</v>
      </c>
      <c r="D503" s="71">
        <v>6</v>
      </c>
      <c r="E503" s="102">
        <v>135000</v>
      </c>
      <c r="F503" s="102">
        <f t="shared" si="196"/>
        <v>891000.00000000012</v>
      </c>
      <c r="G503" s="102">
        <f t="shared" si="197"/>
        <v>810000</v>
      </c>
      <c r="H503" s="690" t="s">
        <v>173</v>
      </c>
      <c r="I503" s="71" t="s">
        <v>108</v>
      </c>
      <c r="J503" s="53">
        <f>(G503-(VLOOKUP(C503,Price!B:D,3,FALSE)*D503))</f>
        <v>150000</v>
      </c>
      <c r="K503" s="63">
        <f t="shared" si="201"/>
        <v>0.18518518518518515</v>
      </c>
      <c r="L503" s="792">
        <v>17.12</v>
      </c>
      <c r="M503" s="468"/>
      <c r="N503" s="664">
        <f t="shared" si="185"/>
        <v>171205</v>
      </c>
      <c r="O503" s="71" t="s">
        <v>148</v>
      </c>
      <c r="P503" s="103" t="str">
        <f t="shared" si="199"/>
        <v>UV wash(20L)</v>
      </c>
      <c r="Q503" s="71">
        <f t="shared" si="186"/>
        <v>6</v>
      </c>
      <c r="R503" s="102">
        <v>110000</v>
      </c>
      <c r="S503" s="102">
        <f t="shared" si="192"/>
        <v>726000.00000000012</v>
      </c>
      <c r="T503" s="102">
        <f t="shared" si="193"/>
        <v>660000</v>
      </c>
      <c r="U503" s="71" t="str">
        <f t="shared" si="194"/>
        <v>O</v>
      </c>
      <c r="V503" s="71"/>
      <c r="W503" s="520">
        <f t="shared" si="195"/>
        <v>150000</v>
      </c>
      <c r="X503" s="71"/>
      <c r="Y503" s="71"/>
    </row>
    <row r="504" spans="1:25" ht="30" hidden="1" customHeight="1" x14ac:dyDescent="0.25">
      <c r="A504" s="82">
        <v>171205</v>
      </c>
      <c r="B504" s="663" t="s">
        <v>998</v>
      </c>
      <c r="C504" s="73" t="s">
        <v>123</v>
      </c>
      <c r="D504" s="73">
        <v>3</v>
      </c>
      <c r="E504" s="147">
        <v>35000</v>
      </c>
      <c r="F504" s="147">
        <f t="shared" si="196"/>
        <v>115500.00000000001</v>
      </c>
      <c r="G504" s="147">
        <f t="shared" si="197"/>
        <v>105000</v>
      </c>
      <c r="H504" s="1005" t="s">
        <v>39</v>
      </c>
      <c r="I504" s="73"/>
      <c r="J504" s="60">
        <f>(G504-(VLOOKUP(C504,Import!C:G,4,FALSE)*D504))</f>
        <v>105000</v>
      </c>
      <c r="K504" s="427">
        <f t="shared" si="201"/>
        <v>0.99999999999999989</v>
      </c>
      <c r="L504" s="788">
        <v>17.12</v>
      </c>
      <c r="M504" s="584"/>
      <c r="N504" s="663">
        <f t="shared" si="185"/>
        <v>171205</v>
      </c>
      <c r="O504" s="987" t="s">
        <v>39</v>
      </c>
      <c r="P504" s="132" t="str">
        <f t="shared" si="199"/>
        <v>필터백</v>
      </c>
      <c r="Q504" s="73">
        <f t="shared" si="186"/>
        <v>3</v>
      </c>
      <c r="R504" s="734">
        <f>(VLOOKUP(C504,Import!C:G,4,FALSE))</f>
        <v>0</v>
      </c>
      <c r="S504" s="147">
        <f t="shared" si="192"/>
        <v>0</v>
      </c>
      <c r="T504" s="147">
        <f t="shared" si="193"/>
        <v>0</v>
      </c>
      <c r="U504" s="71" t="str">
        <f t="shared" si="194"/>
        <v>O</v>
      </c>
      <c r="V504" s="73"/>
      <c r="W504" s="515">
        <f t="shared" si="195"/>
        <v>105000</v>
      </c>
      <c r="X504" s="73"/>
      <c r="Y504" s="73"/>
    </row>
    <row r="505" spans="1:25" ht="30" customHeight="1" x14ac:dyDescent="0.25">
      <c r="A505" s="82">
        <v>171205</v>
      </c>
      <c r="B505" s="663" t="s">
        <v>422</v>
      </c>
      <c r="C505" s="73" t="s">
        <v>129</v>
      </c>
      <c r="D505" s="73">
        <v>5</v>
      </c>
      <c r="E505" s="147">
        <v>272000</v>
      </c>
      <c r="F505" s="147">
        <f>(E505*D505)*1.1</f>
        <v>1496000.0000000002</v>
      </c>
      <c r="G505" s="147">
        <f>(E505*D505)</f>
        <v>1360000</v>
      </c>
      <c r="H505" s="689" t="s">
        <v>173</v>
      </c>
      <c r="I505" s="73" t="s">
        <v>108</v>
      </c>
      <c r="J505" s="60">
        <f>(G505-(VLOOKUP(C505,Price!B:D,3,FALSE)*D505))</f>
        <v>320000</v>
      </c>
      <c r="K505" s="427">
        <f t="shared" si="201"/>
        <v>0.23529411764705879</v>
      </c>
      <c r="L505" s="788">
        <v>17.12</v>
      </c>
      <c r="M505" s="584"/>
      <c r="N505" s="663">
        <f t="shared" si="185"/>
        <v>171205</v>
      </c>
      <c r="O505" s="73" t="s">
        <v>149</v>
      </c>
      <c r="P505" s="132" t="s">
        <v>220</v>
      </c>
      <c r="Q505" s="73">
        <f t="shared" si="186"/>
        <v>5</v>
      </c>
      <c r="R505" s="147">
        <v>208000</v>
      </c>
      <c r="S505" s="102">
        <f>(R505*Q505)*1.1</f>
        <v>1144000</v>
      </c>
      <c r="T505" s="147">
        <v>624000</v>
      </c>
      <c r="U505" s="73" t="s">
        <v>859</v>
      </c>
      <c r="V505" s="73"/>
      <c r="W505" s="482">
        <f t="shared" si="195"/>
        <v>736000</v>
      </c>
      <c r="X505" s="73"/>
      <c r="Y505" s="73"/>
    </row>
    <row r="506" spans="1:25" ht="30" customHeight="1" x14ac:dyDescent="0.25">
      <c r="A506" s="82">
        <v>171205</v>
      </c>
      <c r="B506" s="664" t="s">
        <v>565</v>
      </c>
      <c r="C506" s="71" t="s">
        <v>922</v>
      </c>
      <c r="D506" s="71">
        <v>2</v>
      </c>
      <c r="E506" s="102">
        <v>91000</v>
      </c>
      <c r="F506" s="102">
        <f>(E506*D506)*1.1</f>
        <v>200200.00000000003</v>
      </c>
      <c r="G506" s="102">
        <f>(E506*D506)</f>
        <v>182000</v>
      </c>
      <c r="H506" s="690" t="s">
        <v>173</v>
      </c>
      <c r="I506" s="71" t="s">
        <v>142</v>
      </c>
      <c r="J506" s="53">
        <v>36800</v>
      </c>
      <c r="K506" s="63">
        <f t="shared" si="201"/>
        <v>0.20219780219780217</v>
      </c>
      <c r="L506" s="82">
        <v>17.12</v>
      </c>
      <c r="M506" s="468"/>
      <c r="N506" s="664">
        <f t="shared" si="185"/>
        <v>171205</v>
      </c>
      <c r="O506" s="71" t="s">
        <v>150</v>
      </c>
      <c r="P506" s="103" t="str">
        <f t="shared" si="199"/>
        <v>필터-XL106</v>
      </c>
      <c r="Q506" s="71">
        <f t="shared" si="186"/>
        <v>2</v>
      </c>
      <c r="R506" s="102">
        <v>72600</v>
      </c>
      <c r="S506" s="102">
        <f>R506*Q506*1.1</f>
        <v>159720</v>
      </c>
      <c r="T506" s="102">
        <f>R506*Q506</f>
        <v>145200</v>
      </c>
      <c r="U506" s="71" t="str">
        <f t="shared" ref="U506:U537" si="202">IF(J506=W506,"O", "X")</f>
        <v>O</v>
      </c>
      <c r="V506" s="71"/>
      <c r="W506" s="482">
        <f t="shared" si="195"/>
        <v>36800</v>
      </c>
      <c r="X506" s="71"/>
      <c r="Y506" s="71"/>
    </row>
    <row r="507" spans="1:25" s="602" customFormat="1" ht="30" customHeight="1" x14ac:dyDescent="0.25">
      <c r="A507" s="85">
        <v>171205</v>
      </c>
      <c r="B507" s="668" t="s">
        <v>422</v>
      </c>
      <c r="C507" s="84" t="s">
        <v>584</v>
      </c>
      <c r="D507" s="84">
        <v>2</v>
      </c>
      <c r="E507" s="189">
        <v>270000</v>
      </c>
      <c r="F507" s="189">
        <f>(E507*D507)*1.1</f>
        <v>594000</v>
      </c>
      <c r="G507" s="189">
        <f>(E507*D507)</f>
        <v>540000</v>
      </c>
      <c r="H507" s="691" t="s">
        <v>173</v>
      </c>
      <c r="I507" s="84" t="s">
        <v>142</v>
      </c>
      <c r="J507" s="61">
        <f>(G507-(VLOOKUP(C507,Price!B:D,3,FALSE)*D507))</f>
        <v>108000</v>
      </c>
      <c r="K507" s="62">
        <f t="shared" ref="K507:K512" si="203">(J507/(F507/11*10))</f>
        <v>0.2</v>
      </c>
      <c r="L507" s="793">
        <v>17.12</v>
      </c>
      <c r="M507" s="601"/>
      <c r="N507" s="668">
        <f t="shared" si="185"/>
        <v>171205</v>
      </c>
      <c r="O507" s="84" t="s">
        <v>150</v>
      </c>
      <c r="P507" s="133" t="str">
        <f>C507</f>
        <v>데리바리 석션벨트</v>
      </c>
      <c r="Q507" s="84">
        <f t="shared" si="186"/>
        <v>2</v>
      </c>
      <c r="R507" s="189">
        <v>216000</v>
      </c>
      <c r="S507" s="189">
        <f>R507*Q507*1.1</f>
        <v>475200.00000000006</v>
      </c>
      <c r="T507" s="189">
        <f>R507*Q507</f>
        <v>432000</v>
      </c>
      <c r="U507" s="84" t="str">
        <f t="shared" si="202"/>
        <v>O</v>
      </c>
      <c r="V507" s="84"/>
      <c r="W507" s="481">
        <f t="shared" si="195"/>
        <v>108000</v>
      </c>
      <c r="X507" s="84"/>
      <c r="Y507" s="84"/>
    </row>
    <row r="508" spans="1:25" ht="30" hidden="1" customHeight="1" x14ac:dyDescent="0.25">
      <c r="A508" s="80">
        <v>171206</v>
      </c>
      <c r="B508" s="663" t="s">
        <v>590</v>
      </c>
      <c r="C508" s="73" t="s">
        <v>524</v>
      </c>
      <c r="D508" s="73">
        <v>900</v>
      </c>
      <c r="E508" s="147">
        <v>3990</v>
      </c>
      <c r="F508" s="147">
        <f t="shared" si="196"/>
        <v>3950100.0000000005</v>
      </c>
      <c r="G508" s="147">
        <f t="shared" si="197"/>
        <v>3591000</v>
      </c>
      <c r="H508" s="689" t="s">
        <v>142</v>
      </c>
      <c r="I508" s="73" t="s">
        <v>140</v>
      </c>
      <c r="J508" s="60">
        <f>(G508-(VLOOKUP(C508,Price!B:D,3,FALSE)*D508))</f>
        <v>1125000</v>
      </c>
      <c r="K508" s="427">
        <f t="shared" si="203"/>
        <v>0.31328320802005011</v>
      </c>
      <c r="L508" s="788">
        <v>17.12</v>
      </c>
      <c r="M508" s="584"/>
      <c r="N508" s="663">
        <f t="shared" si="185"/>
        <v>171206</v>
      </c>
      <c r="O508" s="73" t="s">
        <v>145</v>
      </c>
      <c r="P508" s="132" t="str">
        <f t="shared" si="199"/>
        <v>ENGAGE 900X570 - 27RO</v>
      </c>
      <c r="Q508" s="73">
        <f t="shared" si="186"/>
        <v>900</v>
      </c>
      <c r="R508" s="147">
        <v>2740</v>
      </c>
      <c r="S508" s="147">
        <f>R508*Q508*1.1</f>
        <v>2712600</v>
      </c>
      <c r="T508" s="147">
        <f>R508*Q508</f>
        <v>2466000</v>
      </c>
      <c r="U508" s="73" t="str">
        <f t="shared" si="202"/>
        <v>O</v>
      </c>
      <c r="V508" s="73"/>
      <c r="W508" s="482">
        <f t="shared" si="195"/>
        <v>1125000</v>
      </c>
      <c r="X508" s="73"/>
      <c r="Y508" s="73"/>
    </row>
    <row r="509" spans="1:25" ht="30" hidden="1" customHeight="1" x14ac:dyDescent="0.25">
      <c r="A509" s="82">
        <v>171206</v>
      </c>
      <c r="B509" s="664" t="s">
        <v>590</v>
      </c>
      <c r="C509" s="67" t="s">
        <v>197</v>
      </c>
      <c r="D509" s="71">
        <v>10</v>
      </c>
      <c r="E509" s="102">
        <v>58000</v>
      </c>
      <c r="F509" s="102">
        <f t="shared" si="196"/>
        <v>638000</v>
      </c>
      <c r="G509" s="102">
        <f t="shared" si="197"/>
        <v>580000</v>
      </c>
      <c r="H509" s="690" t="s">
        <v>142</v>
      </c>
      <c r="I509" s="71" t="s">
        <v>140</v>
      </c>
      <c r="J509" s="53">
        <f>(G509-(VLOOKUP(C509,Price!B:D,3,FALSE)*D509))</f>
        <v>230000</v>
      </c>
      <c r="K509" s="63">
        <f t="shared" si="203"/>
        <v>0.39655172413793105</v>
      </c>
      <c r="L509" s="792">
        <v>17.12</v>
      </c>
      <c r="M509" s="468"/>
      <c r="N509" s="664">
        <f t="shared" si="185"/>
        <v>171206</v>
      </c>
      <c r="O509" s="71" t="s">
        <v>145</v>
      </c>
      <c r="P509" s="103" t="str">
        <f t="shared" si="199"/>
        <v>THR200(20L)</v>
      </c>
      <c r="Q509" s="71">
        <f t="shared" si="186"/>
        <v>10</v>
      </c>
      <c r="R509" s="102">
        <v>35000</v>
      </c>
      <c r="S509" s="102">
        <f>R509*Q509*1.1</f>
        <v>385000.00000000006</v>
      </c>
      <c r="T509" s="102">
        <f>R509*Q509</f>
        <v>350000</v>
      </c>
      <c r="U509" s="71" t="str">
        <f t="shared" si="202"/>
        <v>O</v>
      </c>
      <c r="V509" s="71"/>
      <c r="W509" s="482">
        <f t="shared" si="195"/>
        <v>230000</v>
      </c>
      <c r="X509" s="71"/>
      <c r="Y509" s="71"/>
    </row>
    <row r="510" spans="1:25" ht="30" hidden="1" customHeight="1" x14ac:dyDescent="0.25">
      <c r="A510" s="82">
        <v>171206</v>
      </c>
      <c r="B510" s="664" t="s">
        <v>590</v>
      </c>
      <c r="C510" s="71" t="s">
        <v>750</v>
      </c>
      <c r="D510" s="71">
        <v>5</v>
      </c>
      <c r="E510" s="102">
        <v>58000</v>
      </c>
      <c r="F510" s="102">
        <f t="shared" si="196"/>
        <v>319000</v>
      </c>
      <c r="G510" s="102">
        <f t="shared" si="197"/>
        <v>290000</v>
      </c>
      <c r="H510" s="690" t="s">
        <v>142</v>
      </c>
      <c r="I510" s="71" t="s">
        <v>140</v>
      </c>
      <c r="J510" s="53">
        <f>(G510-(VLOOKUP(C510,Price!B:D,3,FALSE)*D510))</f>
        <v>115000</v>
      </c>
      <c r="K510" s="63">
        <f t="shared" si="203"/>
        <v>0.39655172413793105</v>
      </c>
      <c r="L510" s="82">
        <v>17.12</v>
      </c>
      <c r="M510" s="468"/>
      <c r="N510" s="664">
        <f t="shared" si="185"/>
        <v>171206</v>
      </c>
      <c r="O510" s="71" t="s">
        <v>145</v>
      </c>
      <c r="P510" s="103" t="str">
        <f>(C510)</f>
        <v>THD200(20L)</v>
      </c>
      <c r="Q510" s="71">
        <f t="shared" si="186"/>
        <v>5</v>
      </c>
      <c r="R510" s="102">
        <v>35000</v>
      </c>
      <c r="S510" s="102">
        <f>(R510*D510)*1.1</f>
        <v>192500.00000000003</v>
      </c>
      <c r="T510" s="102">
        <f>(R510*Q510)</f>
        <v>175000</v>
      </c>
      <c r="U510" s="71" t="str">
        <f t="shared" si="202"/>
        <v>O</v>
      </c>
      <c r="V510" s="71"/>
      <c r="W510" s="515">
        <f t="shared" si="195"/>
        <v>115000</v>
      </c>
      <c r="X510" s="71"/>
      <c r="Y510" s="71"/>
    </row>
    <row r="511" spans="1:25" ht="30" hidden="1" customHeight="1" x14ac:dyDescent="0.25">
      <c r="A511" s="648">
        <v>171206</v>
      </c>
      <c r="B511" s="733" t="s">
        <v>546</v>
      </c>
      <c r="C511" s="96" t="s">
        <v>960</v>
      </c>
      <c r="D511" s="96">
        <v>6</v>
      </c>
      <c r="E511" s="734">
        <v>240000</v>
      </c>
      <c r="F511" s="734">
        <f t="shared" si="196"/>
        <v>1584000.0000000002</v>
      </c>
      <c r="G511" s="734">
        <f t="shared" si="197"/>
        <v>1440000</v>
      </c>
      <c r="H511" s="780" t="s">
        <v>113</v>
      </c>
      <c r="I511" s="96"/>
      <c r="J511" s="586">
        <f>(G511-(VLOOKUP(C511,Import!C:G,4,FALSE)*D511))</f>
        <v>1440000</v>
      </c>
      <c r="K511" s="54">
        <f t="shared" si="203"/>
        <v>0.99999999999999989</v>
      </c>
      <c r="L511" s="648">
        <v>17.12</v>
      </c>
      <c r="M511" s="736"/>
      <c r="N511" s="733">
        <f t="shared" si="185"/>
        <v>171206</v>
      </c>
      <c r="O511" s="878" t="s">
        <v>113</v>
      </c>
      <c r="P511" s="737" t="str">
        <f>(C511)</f>
        <v>파이프</v>
      </c>
      <c r="Q511" s="96">
        <f t="shared" si="186"/>
        <v>6</v>
      </c>
      <c r="R511" s="734">
        <f>(VLOOKUP(C511,Import!C:G,4,FALSE))</f>
        <v>0</v>
      </c>
      <c r="S511" s="102">
        <f>(R511*D511)*1.1</f>
        <v>0</v>
      </c>
      <c r="T511" s="102">
        <f>(R511*Q511)</f>
        <v>0</v>
      </c>
      <c r="U511" s="71" t="str">
        <f t="shared" si="202"/>
        <v>O</v>
      </c>
      <c r="V511" s="96"/>
      <c r="W511" s="515">
        <f t="shared" si="195"/>
        <v>1440000</v>
      </c>
      <c r="X511" s="96"/>
      <c r="Y511" s="96"/>
    </row>
    <row r="512" spans="1:25" s="602" customFormat="1" ht="30" hidden="1" customHeight="1" x14ac:dyDescent="0.25">
      <c r="A512" s="85">
        <v>171206</v>
      </c>
      <c r="B512" s="668" t="s">
        <v>620</v>
      </c>
      <c r="C512" s="84" t="s">
        <v>107</v>
      </c>
      <c r="D512" s="84">
        <v>3</v>
      </c>
      <c r="E512" s="189">
        <v>120000</v>
      </c>
      <c r="F512" s="189">
        <f t="shared" si="196"/>
        <v>396000.00000000006</v>
      </c>
      <c r="G512" s="189">
        <f t="shared" si="197"/>
        <v>360000</v>
      </c>
      <c r="H512" s="691" t="s">
        <v>173</v>
      </c>
      <c r="I512" s="84" t="s">
        <v>109</v>
      </c>
      <c r="J512" s="61">
        <f>(G512-(VLOOKUP(C512,Price!B:D,3,FALSE)*D512))</f>
        <v>118500</v>
      </c>
      <c r="K512" s="62">
        <f t="shared" si="203"/>
        <v>0.32916666666666661</v>
      </c>
      <c r="L512" s="85">
        <v>17.12</v>
      </c>
      <c r="M512" s="601"/>
      <c r="N512" s="668">
        <f t="shared" si="185"/>
        <v>171206</v>
      </c>
      <c r="O512" s="84" t="s">
        <v>147</v>
      </c>
      <c r="P512" s="133" t="str">
        <f t="shared" ref="P512:P522" si="204">C512</f>
        <v>Blanket(1050*840)</v>
      </c>
      <c r="Q512" s="84">
        <f t="shared" si="186"/>
        <v>3</v>
      </c>
      <c r="R512" s="189">
        <v>80500</v>
      </c>
      <c r="S512" s="189">
        <f t="shared" ref="S512:S522" si="205">R512*Q512*1.1</f>
        <v>265650</v>
      </c>
      <c r="T512" s="189">
        <f t="shared" ref="T512:T522" si="206">R512*Q512</f>
        <v>241500</v>
      </c>
      <c r="U512" s="84" t="str">
        <f t="shared" si="202"/>
        <v>O</v>
      </c>
      <c r="V512" s="84"/>
      <c r="W512" s="481">
        <f t="shared" si="195"/>
        <v>118500</v>
      </c>
      <c r="X512" s="84"/>
      <c r="Y512" s="84"/>
    </row>
    <row r="513" spans="1:25" ht="30" hidden="1" customHeight="1" x14ac:dyDescent="0.25">
      <c r="A513" s="80">
        <v>171207</v>
      </c>
      <c r="B513" s="663" t="s">
        <v>590</v>
      </c>
      <c r="C513" s="73" t="s">
        <v>587</v>
      </c>
      <c r="D513" s="73">
        <v>200</v>
      </c>
      <c r="E513" s="147">
        <v>8000</v>
      </c>
      <c r="F513" s="147">
        <f t="shared" si="196"/>
        <v>1760000.0000000002</v>
      </c>
      <c r="G513" s="147">
        <f t="shared" si="197"/>
        <v>1600000</v>
      </c>
      <c r="H513" s="689" t="s">
        <v>142</v>
      </c>
      <c r="I513" s="73" t="s">
        <v>144</v>
      </c>
      <c r="J513" s="60">
        <f>(G513-(VLOOKUP(C513,Price!B:D,3,FALSE)*D513))</f>
        <v>218000</v>
      </c>
      <c r="K513" s="427">
        <f t="shared" ref="K513:K524" si="207">(J513/(F513/11*10))</f>
        <v>0.13624999999999998</v>
      </c>
      <c r="L513" s="788">
        <v>17.12</v>
      </c>
      <c r="M513" s="584"/>
      <c r="N513" s="663">
        <f t="shared" si="185"/>
        <v>171207</v>
      </c>
      <c r="O513" s="73" t="s">
        <v>147</v>
      </c>
      <c r="P513" s="132" t="str">
        <f t="shared" si="204"/>
        <v>프리미어(청)</v>
      </c>
      <c r="Q513" s="73">
        <f t="shared" si="186"/>
        <v>200</v>
      </c>
      <c r="R513" s="102">
        <v>6910</v>
      </c>
      <c r="S513" s="147">
        <f t="shared" si="205"/>
        <v>1520200.0000000002</v>
      </c>
      <c r="T513" s="147">
        <f t="shared" si="206"/>
        <v>1382000</v>
      </c>
      <c r="U513" s="73" t="str">
        <f t="shared" si="202"/>
        <v>O</v>
      </c>
      <c r="V513" s="73"/>
      <c r="W513" s="482">
        <f t="shared" si="195"/>
        <v>218000</v>
      </c>
      <c r="X513" s="73"/>
      <c r="Y513" s="73"/>
    </row>
    <row r="514" spans="1:25" ht="30" hidden="1" customHeight="1" x14ac:dyDescent="0.25">
      <c r="A514" s="82">
        <v>171207</v>
      </c>
      <c r="B514" s="664" t="s">
        <v>590</v>
      </c>
      <c r="C514" s="71" t="s">
        <v>586</v>
      </c>
      <c r="D514" s="71">
        <v>260</v>
      </c>
      <c r="E514" s="102">
        <v>6750</v>
      </c>
      <c r="F514" s="102">
        <f t="shared" si="196"/>
        <v>1930500.0000000002</v>
      </c>
      <c r="G514" s="102">
        <f t="shared" si="197"/>
        <v>1755000</v>
      </c>
      <c r="H514" s="689" t="s">
        <v>142</v>
      </c>
      <c r="I514" s="71" t="s">
        <v>144</v>
      </c>
      <c r="J514" s="53">
        <f>(G514-(VLOOKUP(C514,Price!B:D,3,FALSE)*D514))</f>
        <v>148200</v>
      </c>
      <c r="K514" s="63">
        <f t="shared" si="207"/>
        <v>8.4444444444444433E-2</v>
      </c>
      <c r="L514" s="792">
        <v>17.12</v>
      </c>
      <c r="M514" s="468"/>
      <c r="N514" s="664">
        <f t="shared" si="185"/>
        <v>171207</v>
      </c>
      <c r="O514" s="71" t="s">
        <v>147</v>
      </c>
      <c r="P514" s="103" t="str">
        <f t="shared" si="204"/>
        <v>프리미어(황)</v>
      </c>
      <c r="Q514" s="71">
        <f t="shared" si="186"/>
        <v>260</v>
      </c>
      <c r="R514" s="102">
        <v>6180</v>
      </c>
      <c r="S514" s="102">
        <f t="shared" si="205"/>
        <v>1767480.0000000002</v>
      </c>
      <c r="T514" s="102">
        <f t="shared" si="206"/>
        <v>1606800</v>
      </c>
      <c r="U514" s="71" t="str">
        <f t="shared" si="202"/>
        <v>O</v>
      </c>
      <c r="V514" s="71"/>
      <c r="W514" s="482">
        <f t="shared" si="195"/>
        <v>148200</v>
      </c>
      <c r="X514" s="71"/>
      <c r="Y514" s="71"/>
    </row>
    <row r="515" spans="1:25" s="602" customFormat="1" ht="30" hidden="1" customHeight="1" x14ac:dyDescent="0.25">
      <c r="A515" s="85">
        <v>171207</v>
      </c>
      <c r="B515" s="668" t="s">
        <v>545</v>
      </c>
      <c r="C515" s="84" t="s">
        <v>131</v>
      </c>
      <c r="D515" s="84">
        <v>4</v>
      </c>
      <c r="E515" s="189">
        <v>135000</v>
      </c>
      <c r="F515" s="189">
        <f>(E515*D515)*1.1</f>
        <v>594000</v>
      </c>
      <c r="G515" s="189">
        <f>(E515*D515)</f>
        <v>540000</v>
      </c>
      <c r="H515" s="691" t="s">
        <v>173</v>
      </c>
      <c r="I515" s="84" t="s">
        <v>108</v>
      </c>
      <c r="J515" s="61">
        <f>(G515-(VLOOKUP(C515,Price!B:D,3,FALSE)*D515))</f>
        <v>100000</v>
      </c>
      <c r="K515" s="62">
        <f t="shared" si="207"/>
        <v>0.18518518518518517</v>
      </c>
      <c r="L515" s="793">
        <v>17.12</v>
      </c>
      <c r="M515" s="601"/>
      <c r="N515" s="668">
        <f t="shared" si="185"/>
        <v>171207</v>
      </c>
      <c r="O515" s="84" t="s">
        <v>148</v>
      </c>
      <c r="P515" s="133" t="str">
        <f t="shared" si="204"/>
        <v>UV wash(20L)</v>
      </c>
      <c r="Q515" s="84">
        <f t="shared" si="186"/>
        <v>4</v>
      </c>
      <c r="R515" s="189">
        <v>110000</v>
      </c>
      <c r="S515" s="189">
        <f t="shared" si="205"/>
        <v>484000.00000000006</v>
      </c>
      <c r="T515" s="189">
        <f t="shared" si="206"/>
        <v>440000</v>
      </c>
      <c r="U515" s="84" t="str">
        <f t="shared" si="202"/>
        <v>O</v>
      </c>
      <c r="V515" s="84"/>
      <c r="W515" s="481">
        <f t="shared" si="195"/>
        <v>100000</v>
      </c>
      <c r="X515" s="84"/>
      <c r="Y515" s="84"/>
    </row>
    <row r="516" spans="1:25" ht="30" hidden="1" customHeight="1" x14ac:dyDescent="0.25">
      <c r="A516" s="80">
        <v>171208</v>
      </c>
      <c r="B516" s="663" t="s">
        <v>764</v>
      </c>
      <c r="C516" s="73" t="s">
        <v>236</v>
      </c>
      <c r="D516" s="73">
        <v>5</v>
      </c>
      <c r="E516" s="147">
        <v>100000</v>
      </c>
      <c r="F516" s="147">
        <f>(E516*D516)*1.1</f>
        <v>550000</v>
      </c>
      <c r="G516" s="147">
        <f>(E516*D516)</f>
        <v>500000</v>
      </c>
      <c r="H516" s="689" t="s">
        <v>173</v>
      </c>
      <c r="I516" s="73" t="s">
        <v>142</v>
      </c>
      <c r="J516" s="60">
        <f>(G516-(VLOOKUP(C516,Price!B:D,3,FALSE)*D516))</f>
        <v>250000</v>
      </c>
      <c r="K516" s="427">
        <f t="shared" si="207"/>
        <v>0.5</v>
      </c>
      <c r="L516" s="80">
        <v>17.12</v>
      </c>
      <c r="M516" s="584"/>
      <c r="N516" s="663">
        <f t="shared" si="185"/>
        <v>171208</v>
      </c>
      <c r="O516" s="73" t="s">
        <v>153</v>
      </c>
      <c r="P516" s="132" t="str">
        <f t="shared" si="204"/>
        <v>아스테이지(국전)</v>
      </c>
      <c r="Q516" s="73">
        <f t="shared" si="186"/>
        <v>5</v>
      </c>
      <c r="R516" s="147">
        <v>50000</v>
      </c>
      <c r="S516" s="147">
        <f t="shared" si="205"/>
        <v>275000</v>
      </c>
      <c r="T516" s="147">
        <f t="shared" si="206"/>
        <v>250000</v>
      </c>
      <c r="U516" s="73" t="str">
        <f t="shared" si="202"/>
        <v>O</v>
      </c>
      <c r="V516" s="73"/>
      <c r="W516" s="482">
        <f t="shared" si="195"/>
        <v>250000</v>
      </c>
      <c r="X516" s="73"/>
      <c r="Y516" s="73"/>
    </row>
    <row r="517" spans="1:25" s="602" customFormat="1" ht="30" hidden="1" customHeight="1" x14ac:dyDescent="0.25">
      <c r="A517" s="85">
        <v>171208</v>
      </c>
      <c r="B517" s="668" t="s">
        <v>590</v>
      </c>
      <c r="C517" s="84" t="s">
        <v>585</v>
      </c>
      <c r="D517" s="84">
        <v>60</v>
      </c>
      <c r="E517" s="189">
        <v>7500</v>
      </c>
      <c r="F517" s="189">
        <f>(E517*D517)*1.1</f>
        <v>495000.00000000006</v>
      </c>
      <c r="G517" s="189">
        <f>(E517*D517)</f>
        <v>450000</v>
      </c>
      <c r="H517" s="691" t="s">
        <v>142</v>
      </c>
      <c r="I517" s="84" t="s">
        <v>144</v>
      </c>
      <c r="J517" s="61">
        <f>(G517-(VLOOKUP(C517,Price!B:D,3,FALSE)*D517))</f>
        <v>43800</v>
      </c>
      <c r="K517" s="62">
        <f t="shared" si="207"/>
        <v>9.7333333333333327E-2</v>
      </c>
      <c r="L517" s="85">
        <v>17.12</v>
      </c>
      <c r="M517" s="601"/>
      <c r="N517" s="668">
        <f t="shared" si="185"/>
        <v>171208</v>
      </c>
      <c r="O517" s="84" t="s">
        <v>147</v>
      </c>
      <c r="P517" s="133" t="str">
        <f t="shared" si="204"/>
        <v>프리미어(적)</v>
      </c>
      <c r="Q517" s="84">
        <f t="shared" si="186"/>
        <v>60</v>
      </c>
      <c r="R517" s="189">
        <v>6770</v>
      </c>
      <c r="S517" s="189">
        <f t="shared" si="205"/>
        <v>446820.00000000006</v>
      </c>
      <c r="T517" s="189">
        <f t="shared" si="206"/>
        <v>406200</v>
      </c>
      <c r="U517" s="84" t="str">
        <f t="shared" si="202"/>
        <v>O</v>
      </c>
      <c r="V517" s="84"/>
      <c r="W517" s="481">
        <f t="shared" si="195"/>
        <v>43800</v>
      </c>
      <c r="X517" s="84"/>
      <c r="Y517" s="84"/>
    </row>
    <row r="518" spans="1:25" ht="30" hidden="1" customHeight="1" x14ac:dyDescent="0.25">
      <c r="A518" s="80">
        <v>171211</v>
      </c>
      <c r="B518" s="663" t="s">
        <v>442</v>
      </c>
      <c r="C518" s="73" t="s">
        <v>133</v>
      </c>
      <c r="D518" s="73">
        <v>2</v>
      </c>
      <c r="E518" s="147">
        <v>327000</v>
      </c>
      <c r="F518" s="147">
        <f t="shared" ref="F518:F547" si="208">(E518*D518)*1.1</f>
        <v>719400</v>
      </c>
      <c r="G518" s="147">
        <f t="shared" ref="G518:G547" si="209">(E518*D518)</f>
        <v>654000</v>
      </c>
      <c r="H518" s="689" t="s">
        <v>173</v>
      </c>
      <c r="I518" s="73" t="s">
        <v>141</v>
      </c>
      <c r="J518" s="60">
        <f>(G518-(VLOOKUP(C518,Price!B:D,3,FALSE)*D518))</f>
        <v>115800</v>
      </c>
      <c r="K518" s="427">
        <f t="shared" si="207"/>
        <v>0.17706422018348625</v>
      </c>
      <c r="L518" s="80">
        <v>17.12</v>
      </c>
      <c r="M518" s="584"/>
      <c r="N518" s="663">
        <f t="shared" si="185"/>
        <v>171211</v>
      </c>
      <c r="O518" s="73" t="s">
        <v>145</v>
      </c>
      <c r="P518" s="132" t="str">
        <f t="shared" si="204"/>
        <v>Agfa Film(24inch)</v>
      </c>
      <c r="Q518" s="73">
        <f t="shared" si="186"/>
        <v>2</v>
      </c>
      <c r="R518" s="147">
        <v>269100</v>
      </c>
      <c r="S518" s="147">
        <f t="shared" si="205"/>
        <v>592020</v>
      </c>
      <c r="T518" s="147">
        <f t="shared" si="206"/>
        <v>538200</v>
      </c>
      <c r="U518" s="73" t="str">
        <f t="shared" si="202"/>
        <v>O</v>
      </c>
      <c r="V518" s="73"/>
      <c r="W518" s="482">
        <f t="shared" ref="W518:W549" si="210">(G518-T518)</f>
        <v>115800</v>
      </c>
      <c r="X518" s="73"/>
      <c r="Y518" s="73"/>
    </row>
    <row r="519" spans="1:25" ht="30" hidden="1" customHeight="1" x14ac:dyDescent="0.25">
      <c r="A519" s="80">
        <v>171211</v>
      </c>
      <c r="B519" s="664" t="s">
        <v>442</v>
      </c>
      <c r="C519" s="71" t="s">
        <v>134</v>
      </c>
      <c r="D519" s="71">
        <v>2</v>
      </c>
      <c r="E519" s="102">
        <v>401000</v>
      </c>
      <c r="F519" s="102">
        <f t="shared" si="208"/>
        <v>882200.00000000012</v>
      </c>
      <c r="G519" s="102">
        <f t="shared" si="209"/>
        <v>802000</v>
      </c>
      <c r="H519" s="690" t="s">
        <v>173</v>
      </c>
      <c r="I519" s="71" t="s">
        <v>141</v>
      </c>
      <c r="J519" s="53">
        <f>(G519-(VLOOKUP(C519,Price!B:D,3,FALSE)*D519))</f>
        <v>174080</v>
      </c>
      <c r="K519" s="63">
        <f t="shared" si="207"/>
        <v>0.21705735660847877</v>
      </c>
      <c r="L519" s="82">
        <v>17.12</v>
      </c>
      <c r="M519" s="468"/>
      <c r="N519" s="664">
        <f t="shared" si="185"/>
        <v>171211</v>
      </c>
      <c r="O519" s="71" t="s">
        <v>145</v>
      </c>
      <c r="P519" s="103" t="str">
        <f t="shared" si="204"/>
        <v>Agfa Film(28inch)</v>
      </c>
      <c r="Q519" s="71">
        <f t="shared" si="186"/>
        <v>2</v>
      </c>
      <c r="R519" s="102">
        <v>313960</v>
      </c>
      <c r="S519" s="102">
        <f t="shared" si="205"/>
        <v>690712</v>
      </c>
      <c r="T519" s="102">
        <f t="shared" si="206"/>
        <v>627920</v>
      </c>
      <c r="U519" s="71" t="str">
        <f t="shared" si="202"/>
        <v>O</v>
      </c>
      <c r="V519" s="71"/>
      <c r="W519" s="482">
        <f t="shared" si="210"/>
        <v>174080</v>
      </c>
      <c r="X519" s="71"/>
      <c r="Y519" s="71"/>
    </row>
    <row r="520" spans="1:25" ht="30" hidden="1" customHeight="1" x14ac:dyDescent="0.25">
      <c r="A520" s="80">
        <v>171211</v>
      </c>
      <c r="B520" s="664" t="s">
        <v>442</v>
      </c>
      <c r="C520" s="71" t="s">
        <v>135</v>
      </c>
      <c r="D520" s="71">
        <v>2</v>
      </c>
      <c r="E520" s="102">
        <v>448000</v>
      </c>
      <c r="F520" s="102">
        <f t="shared" si="208"/>
        <v>985600.00000000012</v>
      </c>
      <c r="G520" s="102">
        <f t="shared" si="209"/>
        <v>896000</v>
      </c>
      <c r="H520" s="690" t="s">
        <v>173</v>
      </c>
      <c r="I520" s="71" t="s">
        <v>141</v>
      </c>
      <c r="J520" s="53">
        <f>(G520-(VLOOKUP(C520,Price!B:D,3,FALSE)*D520))</f>
        <v>155980</v>
      </c>
      <c r="K520" s="63">
        <f t="shared" si="207"/>
        <v>0.1740848214285714</v>
      </c>
      <c r="L520" s="82">
        <v>17.12</v>
      </c>
      <c r="M520" s="468"/>
      <c r="N520" s="664">
        <f t="shared" si="185"/>
        <v>171211</v>
      </c>
      <c r="O520" s="71" t="s">
        <v>145</v>
      </c>
      <c r="P520" s="103" t="str">
        <f t="shared" si="204"/>
        <v>Agfa Film(32inch)</v>
      </c>
      <c r="Q520" s="71">
        <f t="shared" si="186"/>
        <v>2</v>
      </c>
      <c r="R520" s="102">
        <v>370010</v>
      </c>
      <c r="S520" s="102">
        <f t="shared" si="205"/>
        <v>814022.00000000012</v>
      </c>
      <c r="T520" s="102">
        <f t="shared" si="206"/>
        <v>740020</v>
      </c>
      <c r="U520" s="71" t="str">
        <f t="shared" si="202"/>
        <v>O</v>
      </c>
      <c r="V520" s="71"/>
      <c r="W520" s="482">
        <f t="shared" si="210"/>
        <v>155980</v>
      </c>
      <c r="X520" s="71"/>
      <c r="Y520" s="71"/>
    </row>
    <row r="521" spans="1:25" ht="30" hidden="1" customHeight="1" x14ac:dyDescent="0.25">
      <c r="A521" s="80">
        <v>171211</v>
      </c>
      <c r="B521" s="664" t="s">
        <v>442</v>
      </c>
      <c r="C521" s="71" t="s">
        <v>649</v>
      </c>
      <c r="D521" s="71">
        <v>2</v>
      </c>
      <c r="E521" s="102">
        <v>41000</v>
      </c>
      <c r="F521" s="102">
        <f t="shared" si="208"/>
        <v>90200.000000000015</v>
      </c>
      <c r="G521" s="102">
        <f t="shared" si="209"/>
        <v>82000</v>
      </c>
      <c r="H521" s="690" t="s">
        <v>173</v>
      </c>
      <c r="I521" s="71" t="s">
        <v>141</v>
      </c>
      <c r="J521" s="53">
        <f>(G521-(VLOOKUP(C521,Price!B:D,3,FALSE)*D521))</f>
        <v>32000</v>
      </c>
      <c r="K521" s="63">
        <f t="shared" si="207"/>
        <v>0.39024390243902435</v>
      </c>
      <c r="L521" s="82">
        <v>17.12</v>
      </c>
      <c r="M521" s="468"/>
      <c r="N521" s="664">
        <f t="shared" si="185"/>
        <v>171211</v>
      </c>
      <c r="O521" s="71" t="s">
        <v>145</v>
      </c>
      <c r="P521" s="103" t="str">
        <f t="shared" si="204"/>
        <v>Agfa 현상액 G101C(10L)</v>
      </c>
      <c r="Q521" s="71">
        <f t="shared" si="186"/>
        <v>2</v>
      </c>
      <c r="R521" s="102">
        <v>25000</v>
      </c>
      <c r="S521" s="102">
        <f t="shared" si="205"/>
        <v>55000.000000000007</v>
      </c>
      <c r="T521" s="102">
        <f t="shared" si="206"/>
        <v>50000</v>
      </c>
      <c r="U521" s="71" t="str">
        <f t="shared" si="202"/>
        <v>O</v>
      </c>
      <c r="V521" s="71"/>
      <c r="W521" s="482">
        <f t="shared" si="210"/>
        <v>32000</v>
      </c>
      <c r="X521" s="71"/>
      <c r="Y521" s="71"/>
    </row>
    <row r="522" spans="1:25" ht="30" hidden="1" customHeight="1" x14ac:dyDescent="0.2">
      <c r="A522" s="80">
        <v>171211</v>
      </c>
      <c r="B522" s="664" t="s">
        <v>442</v>
      </c>
      <c r="C522" s="71" t="s">
        <v>650</v>
      </c>
      <c r="D522" s="71">
        <v>1</v>
      </c>
      <c r="E522" s="102">
        <v>93000</v>
      </c>
      <c r="F522" s="163">
        <f t="shared" si="208"/>
        <v>102300.00000000001</v>
      </c>
      <c r="G522" s="163">
        <f t="shared" si="209"/>
        <v>93000</v>
      </c>
      <c r="H522" s="165" t="s">
        <v>172</v>
      </c>
      <c r="I522" s="71" t="s">
        <v>141</v>
      </c>
      <c r="J522" s="53">
        <f>(G522-(VLOOKUP(C522,Price!B:D,3,FALSE)*D522))</f>
        <v>33000</v>
      </c>
      <c r="K522" s="63">
        <f t="shared" si="207"/>
        <v>0.35483870967741932</v>
      </c>
      <c r="L522" s="82">
        <v>17.12</v>
      </c>
      <c r="M522" s="468"/>
      <c r="N522" s="664">
        <f t="shared" si="185"/>
        <v>171211</v>
      </c>
      <c r="O522" s="71" t="s">
        <v>145</v>
      </c>
      <c r="P522" s="103" t="str">
        <f t="shared" si="204"/>
        <v>Agfa 정착액 G333C(20L)</v>
      </c>
      <c r="Q522" s="71">
        <f t="shared" si="186"/>
        <v>1</v>
      </c>
      <c r="R522" s="102">
        <v>60000</v>
      </c>
      <c r="S522" s="102">
        <f t="shared" si="205"/>
        <v>66000</v>
      </c>
      <c r="T522" s="102">
        <f t="shared" si="206"/>
        <v>60000</v>
      </c>
      <c r="U522" s="71" t="str">
        <f t="shared" si="202"/>
        <v>O</v>
      </c>
      <c r="V522" s="71"/>
      <c r="W522" s="515">
        <f t="shared" si="210"/>
        <v>33000</v>
      </c>
      <c r="X522" s="71"/>
      <c r="Y522" s="71"/>
    </row>
    <row r="523" spans="1:25" s="209" customFormat="1" ht="30" hidden="1" customHeight="1" x14ac:dyDescent="0.25">
      <c r="A523" s="611">
        <v>171211</v>
      </c>
      <c r="B523" s="733" t="s">
        <v>567</v>
      </c>
      <c r="C523" s="96" t="s">
        <v>236</v>
      </c>
      <c r="D523" s="96">
        <v>5</v>
      </c>
      <c r="E523" s="734">
        <v>65000</v>
      </c>
      <c r="F523" s="734">
        <f t="shared" si="208"/>
        <v>357500</v>
      </c>
      <c r="G523" s="734">
        <f t="shared" si="209"/>
        <v>325000</v>
      </c>
      <c r="H523" s="735" t="s">
        <v>173</v>
      </c>
      <c r="I523" s="96" t="s">
        <v>142</v>
      </c>
      <c r="J523" s="586">
        <f>(G523-(VLOOKUP(C523,Price!B:D,3,FALSE)*D523))</f>
        <v>75000</v>
      </c>
      <c r="K523" s="54">
        <f t="shared" si="207"/>
        <v>0.23076923076923078</v>
      </c>
      <c r="L523" s="831">
        <v>17.12</v>
      </c>
      <c r="M523" s="736"/>
      <c r="N523" s="733">
        <f t="shared" ref="N523:N590" si="211">A523</f>
        <v>171211</v>
      </c>
      <c r="O523" s="96" t="s">
        <v>153</v>
      </c>
      <c r="P523" s="737" t="str">
        <f>(C523)</f>
        <v>아스테이지(국전)</v>
      </c>
      <c r="Q523" s="96">
        <f t="shared" ref="Q523:Q535" si="212">D523</f>
        <v>5</v>
      </c>
      <c r="R523" s="734">
        <v>50000</v>
      </c>
      <c r="S523" s="734">
        <f>(R523*D523)*1.1</f>
        <v>275000</v>
      </c>
      <c r="T523" s="734">
        <f>(R523*Q523)</f>
        <v>250000</v>
      </c>
      <c r="U523" s="96" t="str">
        <f t="shared" si="202"/>
        <v>O</v>
      </c>
      <c r="V523" s="96"/>
      <c r="W523" s="515">
        <f t="shared" si="210"/>
        <v>75000</v>
      </c>
      <c r="X523" s="96"/>
      <c r="Y523" s="96"/>
    </row>
    <row r="524" spans="1:25" s="602" customFormat="1" ht="30" hidden="1" customHeight="1" x14ac:dyDescent="0.25">
      <c r="A524" s="85">
        <v>171211</v>
      </c>
      <c r="B524" s="668" t="s">
        <v>673</v>
      </c>
      <c r="C524" s="84" t="s">
        <v>236</v>
      </c>
      <c r="D524" s="84">
        <v>2</v>
      </c>
      <c r="E524" s="189">
        <v>110000</v>
      </c>
      <c r="F524" s="189">
        <f t="shared" si="208"/>
        <v>242000.00000000003</v>
      </c>
      <c r="G524" s="189">
        <f t="shared" si="209"/>
        <v>220000</v>
      </c>
      <c r="H524" s="691" t="s">
        <v>173</v>
      </c>
      <c r="I524" s="84" t="s">
        <v>142</v>
      </c>
      <c r="J524" s="61">
        <f>(G524-(VLOOKUP(C524,Price!B:D,3,FALSE)*D524))</f>
        <v>120000</v>
      </c>
      <c r="K524" s="62">
        <f t="shared" si="207"/>
        <v>0.54545454545454541</v>
      </c>
      <c r="L524" s="85">
        <v>17.12</v>
      </c>
      <c r="M524" s="601"/>
      <c r="N524" s="668">
        <f t="shared" si="211"/>
        <v>171211</v>
      </c>
      <c r="O524" s="84" t="s">
        <v>153</v>
      </c>
      <c r="P524" s="133" t="str">
        <f>(C524)</f>
        <v>아스테이지(국전)</v>
      </c>
      <c r="Q524" s="84">
        <f t="shared" si="212"/>
        <v>2</v>
      </c>
      <c r="R524" s="189">
        <v>50000</v>
      </c>
      <c r="S524" s="189">
        <f>(R524*D524)*1.1</f>
        <v>110000.00000000001</v>
      </c>
      <c r="T524" s="189">
        <f>(R524*Q524)</f>
        <v>100000</v>
      </c>
      <c r="U524" s="84" t="str">
        <f t="shared" si="202"/>
        <v>O</v>
      </c>
      <c r="V524" s="84"/>
      <c r="W524" s="481">
        <f t="shared" si="210"/>
        <v>120000</v>
      </c>
      <c r="X524" s="84"/>
      <c r="Y524" s="84"/>
    </row>
    <row r="525" spans="1:25" ht="30" hidden="1" customHeight="1" x14ac:dyDescent="0.25">
      <c r="A525" s="80">
        <v>171212</v>
      </c>
      <c r="B525" s="663" t="s">
        <v>549</v>
      </c>
      <c r="C525" s="73" t="s">
        <v>217</v>
      </c>
      <c r="D525" s="73">
        <v>15</v>
      </c>
      <c r="E525" s="147">
        <v>112500</v>
      </c>
      <c r="F525" s="147">
        <f t="shared" si="208"/>
        <v>1856250.0000000002</v>
      </c>
      <c r="G525" s="147">
        <f t="shared" si="209"/>
        <v>1687500</v>
      </c>
      <c r="H525" s="689" t="s">
        <v>173</v>
      </c>
      <c r="I525" s="73" t="s">
        <v>120</v>
      </c>
      <c r="J525" s="60">
        <f>(G525-(VLOOKUP(C525,Price!B:D,3,FALSE)*D525))</f>
        <v>487500</v>
      </c>
      <c r="K525" s="427">
        <f>(J525/(F525/11*10))</f>
        <v>0.28888888888888886</v>
      </c>
      <c r="L525" s="80">
        <v>17.12</v>
      </c>
      <c r="M525" s="584"/>
      <c r="N525" s="663">
        <f t="shared" si="211"/>
        <v>171212</v>
      </c>
      <c r="O525" s="73" t="s">
        <v>150</v>
      </c>
      <c r="P525" s="132" t="str">
        <f>C525</f>
        <v>Fount 511</v>
      </c>
      <c r="Q525" s="73">
        <f t="shared" si="212"/>
        <v>15</v>
      </c>
      <c r="R525" s="147">
        <v>80000</v>
      </c>
      <c r="S525" s="147">
        <f>R525*Q525*1.1</f>
        <v>1320000</v>
      </c>
      <c r="T525" s="147">
        <f>R525*Q525</f>
        <v>1200000</v>
      </c>
      <c r="U525" s="73" t="str">
        <f t="shared" si="202"/>
        <v>O</v>
      </c>
      <c r="V525" s="73"/>
      <c r="W525" s="515">
        <f t="shared" si="210"/>
        <v>487500</v>
      </c>
      <c r="X525" s="73"/>
      <c r="Y525" s="73"/>
    </row>
    <row r="526" spans="1:25" s="209" customFormat="1" ht="30" customHeight="1" x14ac:dyDescent="0.25">
      <c r="A526" s="82">
        <v>171212</v>
      </c>
      <c r="B526" s="664" t="s">
        <v>565</v>
      </c>
      <c r="C526" s="71" t="s">
        <v>583</v>
      </c>
      <c r="D526" s="71">
        <v>24</v>
      </c>
      <c r="E526" s="102">
        <v>89000</v>
      </c>
      <c r="F526" s="102">
        <f t="shared" si="208"/>
        <v>2349600</v>
      </c>
      <c r="G526" s="102">
        <f t="shared" si="209"/>
        <v>2136000</v>
      </c>
      <c r="H526" s="690" t="s">
        <v>173</v>
      </c>
      <c r="I526" s="71" t="s">
        <v>108</v>
      </c>
      <c r="J526" s="53">
        <f>(G526-(VLOOKUP(C526,Price!B:D,3,FALSE)*D526))</f>
        <v>1080000</v>
      </c>
      <c r="K526" s="63">
        <f>(J526/(F526/11*10))</f>
        <v>0.5056179775280899</v>
      </c>
      <c r="L526" s="80">
        <v>17.12</v>
      </c>
      <c r="M526" s="468" t="s">
        <v>795</v>
      </c>
      <c r="N526" s="664">
        <f t="shared" si="211"/>
        <v>171212</v>
      </c>
      <c r="O526" s="71" t="s">
        <v>599</v>
      </c>
      <c r="P526" s="103" t="str">
        <f>(C526)</f>
        <v>M600 윤전 세정포</v>
      </c>
      <c r="Q526" s="71">
        <f t="shared" si="212"/>
        <v>24</v>
      </c>
      <c r="R526" s="102">
        <v>44000</v>
      </c>
      <c r="S526" s="102">
        <f>(R526*D526)*1.1</f>
        <v>1161600</v>
      </c>
      <c r="T526" s="102">
        <f>(R526*Q526)</f>
        <v>1056000</v>
      </c>
      <c r="U526" s="71" t="str">
        <f t="shared" si="202"/>
        <v>O</v>
      </c>
      <c r="V526" s="71"/>
      <c r="W526" s="515">
        <f t="shared" si="210"/>
        <v>1080000</v>
      </c>
      <c r="X526" s="71"/>
      <c r="Y526" s="71"/>
    </row>
    <row r="527" spans="1:25" ht="30" customHeight="1" x14ac:dyDescent="0.25">
      <c r="A527" s="82">
        <v>171212</v>
      </c>
      <c r="B527" s="664" t="s">
        <v>422</v>
      </c>
      <c r="C527" s="71" t="s">
        <v>218</v>
      </c>
      <c r="D527" s="71">
        <v>5</v>
      </c>
      <c r="E527" s="102">
        <v>235000</v>
      </c>
      <c r="F527" s="102">
        <f t="shared" si="208"/>
        <v>1292500</v>
      </c>
      <c r="G527" s="102">
        <f t="shared" si="209"/>
        <v>1175000</v>
      </c>
      <c r="H527" s="690" t="s">
        <v>173</v>
      </c>
      <c r="I527" s="71" t="s">
        <v>120</v>
      </c>
      <c r="J527" s="53">
        <f>(G527-(VLOOKUP(C527,Price!B:D,3,FALSE)*D527))</f>
        <v>612500</v>
      </c>
      <c r="K527" s="63">
        <f>(J527/(F527/11*10))</f>
        <v>0.52127659574468088</v>
      </c>
      <c r="L527" s="80">
        <v>17.12</v>
      </c>
      <c r="M527" s="468"/>
      <c r="N527" s="664">
        <f t="shared" si="211"/>
        <v>171212</v>
      </c>
      <c r="O527" s="71" t="s">
        <v>150</v>
      </c>
      <c r="P527" s="103" t="str">
        <f>C527</f>
        <v>Fount Web 551AF</v>
      </c>
      <c r="Q527" s="71">
        <f t="shared" si="212"/>
        <v>5</v>
      </c>
      <c r="R527" s="102">
        <v>112500</v>
      </c>
      <c r="S527" s="102">
        <f>R527*Q527*1.1</f>
        <v>618750</v>
      </c>
      <c r="T527" s="102">
        <f>R527*Q527</f>
        <v>562500</v>
      </c>
      <c r="U527" s="71" t="str">
        <f t="shared" si="202"/>
        <v>O</v>
      </c>
      <c r="V527" s="71"/>
      <c r="W527" s="482">
        <f t="shared" si="210"/>
        <v>612500</v>
      </c>
      <c r="X527" s="71"/>
      <c r="Y527" s="71"/>
    </row>
    <row r="528" spans="1:25" s="602" customFormat="1" ht="30" hidden="1" customHeight="1" x14ac:dyDescent="0.25">
      <c r="A528" s="85">
        <v>171212</v>
      </c>
      <c r="B528" s="668" t="s">
        <v>923</v>
      </c>
      <c r="C528" s="84" t="s">
        <v>924</v>
      </c>
      <c r="D528" s="84">
        <v>1</v>
      </c>
      <c r="E528" s="189">
        <v>27400000</v>
      </c>
      <c r="F528" s="189">
        <f t="shared" si="208"/>
        <v>30140000.000000004</v>
      </c>
      <c r="G528" s="189">
        <f t="shared" si="209"/>
        <v>27400000</v>
      </c>
      <c r="H528" s="691" t="s">
        <v>142</v>
      </c>
      <c r="I528" s="84" t="s">
        <v>1001</v>
      </c>
      <c r="J528" s="61"/>
      <c r="K528" s="62"/>
      <c r="L528" s="85">
        <v>17.12</v>
      </c>
      <c r="M528" s="601"/>
      <c r="N528" s="668">
        <f t="shared" si="211"/>
        <v>171212</v>
      </c>
      <c r="O528" s="84" t="s">
        <v>565</v>
      </c>
      <c r="P528" s="133" t="str">
        <f>C528</f>
        <v>중고 CTP</v>
      </c>
      <c r="Q528" s="84">
        <f t="shared" si="212"/>
        <v>1</v>
      </c>
      <c r="R528" s="189"/>
      <c r="S528" s="189">
        <f>R528*Q528*1.1</f>
        <v>0</v>
      </c>
      <c r="T528" s="189">
        <f>R528*Q528</f>
        <v>0</v>
      </c>
      <c r="U528" s="84" t="str">
        <f t="shared" si="202"/>
        <v>X</v>
      </c>
      <c r="V528" s="84"/>
      <c r="W528" s="481">
        <f t="shared" si="210"/>
        <v>27400000</v>
      </c>
      <c r="X528" s="84"/>
      <c r="Y528" s="84"/>
    </row>
    <row r="529" spans="1:25" s="610" customFormat="1" ht="30" hidden="1" customHeight="1" x14ac:dyDescent="0.25">
      <c r="A529" s="89">
        <v>171213</v>
      </c>
      <c r="B529" s="673" t="s">
        <v>545</v>
      </c>
      <c r="C529" s="88" t="s">
        <v>131</v>
      </c>
      <c r="D529" s="88">
        <v>4</v>
      </c>
      <c r="E529" s="470">
        <v>135000</v>
      </c>
      <c r="F529" s="470">
        <f>(E529*D529)*1.1</f>
        <v>594000</v>
      </c>
      <c r="G529" s="470">
        <f>(E529*D529)</f>
        <v>540000</v>
      </c>
      <c r="H529" s="695" t="s">
        <v>173</v>
      </c>
      <c r="I529" s="88" t="s">
        <v>108</v>
      </c>
      <c r="J529" s="107">
        <f>(G529-(VLOOKUP(C529,Price!B:D,3,FALSE)*D529))</f>
        <v>100000</v>
      </c>
      <c r="K529" s="469">
        <f t="shared" ref="K529:K540" si="213">(J529/(F529/11*10))</f>
        <v>0.18518518518518517</v>
      </c>
      <c r="L529" s="797">
        <v>17.12</v>
      </c>
      <c r="M529" s="575"/>
      <c r="N529" s="673">
        <f t="shared" si="211"/>
        <v>171213</v>
      </c>
      <c r="O529" s="88" t="s">
        <v>148</v>
      </c>
      <c r="P529" s="134" t="str">
        <f>C529</f>
        <v>UV wash(20L)</v>
      </c>
      <c r="Q529" s="88">
        <f t="shared" si="212"/>
        <v>4</v>
      </c>
      <c r="R529" s="470">
        <v>110000</v>
      </c>
      <c r="S529" s="470">
        <f>R529*Q529*1.1</f>
        <v>484000.00000000006</v>
      </c>
      <c r="T529" s="470">
        <f>R529*Q529</f>
        <v>440000</v>
      </c>
      <c r="U529" s="88" t="str">
        <f t="shared" si="202"/>
        <v>O</v>
      </c>
      <c r="V529" s="88"/>
      <c r="W529" s="483">
        <f t="shared" si="210"/>
        <v>100000</v>
      </c>
      <c r="X529" s="88"/>
      <c r="Y529" s="88"/>
    </row>
    <row r="530" spans="1:25" ht="30" hidden="1" customHeight="1" x14ac:dyDescent="0.2">
      <c r="A530" s="80">
        <v>171214</v>
      </c>
      <c r="B530" s="663" t="s">
        <v>445</v>
      </c>
      <c r="C530" s="73" t="s">
        <v>121</v>
      </c>
      <c r="D530" s="73">
        <v>4</v>
      </c>
      <c r="E530" s="147">
        <v>110000</v>
      </c>
      <c r="F530" s="160">
        <f t="shared" si="208"/>
        <v>484000.00000000006</v>
      </c>
      <c r="G530" s="160">
        <f t="shared" si="209"/>
        <v>440000</v>
      </c>
      <c r="H530" s="161" t="s">
        <v>172</v>
      </c>
      <c r="I530" s="73" t="s">
        <v>142</v>
      </c>
      <c r="J530" s="60">
        <f>(G530-(VLOOKUP(C530,Price!B:D,3,FALSE)*D530))</f>
        <v>76000</v>
      </c>
      <c r="K530" s="427">
        <f t="shared" si="213"/>
        <v>0.1727272727272727</v>
      </c>
      <c r="L530" s="80">
        <v>17.12</v>
      </c>
      <c r="M530" s="584"/>
      <c r="N530" s="663">
        <f t="shared" si="211"/>
        <v>171214</v>
      </c>
      <c r="O530" s="73" t="s">
        <v>150</v>
      </c>
      <c r="P530" s="132" t="str">
        <f>C530</f>
        <v>윤전용 실리콘</v>
      </c>
      <c r="Q530" s="73">
        <f t="shared" si="212"/>
        <v>4</v>
      </c>
      <c r="R530" s="147">
        <v>91000</v>
      </c>
      <c r="S530" s="147">
        <f>R530*Q530*1.1</f>
        <v>400400.00000000006</v>
      </c>
      <c r="T530" s="147">
        <f>R530*Q530</f>
        <v>364000</v>
      </c>
      <c r="U530" s="73" t="str">
        <f t="shared" si="202"/>
        <v>O</v>
      </c>
      <c r="V530" s="73"/>
      <c r="W530" s="482">
        <f t="shared" si="210"/>
        <v>76000</v>
      </c>
      <c r="X530" s="73"/>
      <c r="Y530" s="73"/>
    </row>
    <row r="531" spans="1:25" s="71" customFormat="1" ht="30" hidden="1" customHeight="1" x14ac:dyDescent="0.2">
      <c r="A531" s="429">
        <v>171214</v>
      </c>
      <c r="B531" s="664" t="s">
        <v>445</v>
      </c>
      <c r="C531" s="71" t="s">
        <v>107</v>
      </c>
      <c r="D531" s="71">
        <v>10</v>
      </c>
      <c r="E531" s="102">
        <v>108000</v>
      </c>
      <c r="F531" s="163">
        <f t="shared" si="208"/>
        <v>1188000</v>
      </c>
      <c r="G531" s="163">
        <f t="shared" si="209"/>
        <v>1080000</v>
      </c>
      <c r="H531" s="165" t="s">
        <v>172</v>
      </c>
      <c r="I531" s="103" t="s">
        <v>109</v>
      </c>
      <c r="J531" s="53">
        <f>(G531-(VLOOKUP(C531,Price!B:D,3,FALSE)*D531))</f>
        <v>275000</v>
      </c>
      <c r="K531" s="63">
        <f t="shared" si="213"/>
        <v>0.25462962962962965</v>
      </c>
      <c r="L531" s="185">
        <v>17.12</v>
      </c>
      <c r="M531" s="468"/>
      <c r="N531" s="664">
        <f t="shared" si="211"/>
        <v>171214</v>
      </c>
      <c r="O531" s="71" t="s">
        <v>147</v>
      </c>
      <c r="P531" s="103" t="str">
        <f>(C531)</f>
        <v>Blanket(1050*840)</v>
      </c>
      <c r="Q531" s="71">
        <f t="shared" si="212"/>
        <v>10</v>
      </c>
      <c r="R531" s="102">
        <v>80500</v>
      </c>
      <c r="S531" s="102">
        <f>(R531*D531)*1.1</f>
        <v>885500.00000000012</v>
      </c>
      <c r="T531" s="102">
        <f>(R531*Q531)</f>
        <v>805000</v>
      </c>
      <c r="U531" s="71" t="str">
        <f t="shared" si="202"/>
        <v>O</v>
      </c>
      <c r="V531" s="71" t="s">
        <v>687</v>
      </c>
      <c r="W531" s="474">
        <f t="shared" si="210"/>
        <v>275000</v>
      </c>
    </row>
    <row r="532" spans="1:25" s="209" customFormat="1" ht="30" hidden="1" customHeight="1" x14ac:dyDescent="0.2">
      <c r="A532" s="429">
        <v>171214</v>
      </c>
      <c r="B532" s="664" t="s">
        <v>690</v>
      </c>
      <c r="C532" s="71" t="s">
        <v>123</v>
      </c>
      <c r="D532" s="71">
        <v>10</v>
      </c>
      <c r="E532" s="102">
        <v>32000</v>
      </c>
      <c r="F532" s="163">
        <f t="shared" si="208"/>
        <v>352000</v>
      </c>
      <c r="G532" s="163">
        <f t="shared" si="209"/>
        <v>320000</v>
      </c>
      <c r="H532" s="1011" t="s">
        <v>39</v>
      </c>
      <c r="I532" s="103"/>
      <c r="J532" s="53">
        <f>(G532-(VLOOKUP(C532,Import!C:G,4,FALSE)*D532))</f>
        <v>320000</v>
      </c>
      <c r="K532" s="63">
        <f t="shared" si="213"/>
        <v>1</v>
      </c>
      <c r="L532" s="185">
        <v>17.12</v>
      </c>
      <c r="M532" s="468"/>
      <c r="N532" s="664">
        <f t="shared" si="211"/>
        <v>171214</v>
      </c>
      <c r="O532" s="991" t="s">
        <v>39</v>
      </c>
      <c r="P532" s="103" t="str">
        <f>(C532)</f>
        <v>필터백</v>
      </c>
      <c r="Q532" s="71">
        <f t="shared" si="212"/>
        <v>10</v>
      </c>
      <c r="R532" s="734">
        <f>(VLOOKUP(C532,Import!C:G,4,FALSE))</f>
        <v>0</v>
      </c>
      <c r="S532" s="102">
        <f>(R532*D532)*1.1</f>
        <v>0</v>
      </c>
      <c r="T532" s="102">
        <f>(R532*Q532)</f>
        <v>0</v>
      </c>
      <c r="U532" s="71" t="str">
        <f t="shared" si="202"/>
        <v>O</v>
      </c>
      <c r="V532" s="71"/>
      <c r="W532" s="515">
        <f t="shared" si="210"/>
        <v>320000</v>
      </c>
      <c r="X532" s="71"/>
      <c r="Y532" s="71"/>
    </row>
    <row r="533" spans="1:25" ht="30" hidden="1" customHeight="1" x14ac:dyDescent="0.25">
      <c r="A533" s="82">
        <v>171214</v>
      </c>
      <c r="B533" s="664" t="s">
        <v>631</v>
      </c>
      <c r="C533" s="67" t="s">
        <v>956</v>
      </c>
      <c r="D533" s="71">
        <v>10</v>
      </c>
      <c r="E533" s="102">
        <v>82500</v>
      </c>
      <c r="F533" s="102">
        <f t="shared" si="208"/>
        <v>907500.00000000012</v>
      </c>
      <c r="G533" s="102">
        <f t="shared" si="209"/>
        <v>825000</v>
      </c>
      <c r="H533" s="690" t="s">
        <v>173</v>
      </c>
      <c r="I533" s="71" t="s">
        <v>109</v>
      </c>
      <c r="J533" s="53">
        <f>(G533-(VLOOKUP(C533,Price!B:D,3,FALSE)*D533))</f>
        <v>185000</v>
      </c>
      <c r="K533" s="63">
        <f t="shared" si="213"/>
        <v>0.22424242424242422</v>
      </c>
      <c r="L533" s="82">
        <v>17.12</v>
      </c>
      <c r="M533" s="468"/>
      <c r="N533" s="664">
        <f>A533</f>
        <v>171214</v>
      </c>
      <c r="O533" s="71" t="s">
        <v>149</v>
      </c>
      <c r="P533" s="103" t="str">
        <f>C533</f>
        <v>Bar블랑켓 830*750</v>
      </c>
      <c r="Q533" s="71">
        <f t="shared" si="212"/>
        <v>10</v>
      </c>
      <c r="R533" s="102">
        <v>64000</v>
      </c>
      <c r="S533" s="102">
        <f t="shared" ref="S533:S569" si="214">R533*Q533*1.1</f>
        <v>704000</v>
      </c>
      <c r="T533" s="102">
        <f t="shared" ref="T533:T569" si="215">R533*Q533</f>
        <v>640000</v>
      </c>
      <c r="U533" s="71" t="str">
        <f t="shared" si="202"/>
        <v>O</v>
      </c>
      <c r="V533" s="71"/>
      <c r="W533" s="482">
        <f t="shared" si="210"/>
        <v>185000</v>
      </c>
      <c r="X533" s="71"/>
      <c r="Y533" s="71"/>
    </row>
    <row r="534" spans="1:25" s="602" customFormat="1" ht="30" hidden="1" customHeight="1" x14ac:dyDescent="0.25">
      <c r="A534" s="85">
        <v>171214</v>
      </c>
      <c r="B534" s="668" t="s">
        <v>631</v>
      </c>
      <c r="C534" s="83" t="s">
        <v>201</v>
      </c>
      <c r="D534" s="84">
        <v>10</v>
      </c>
      <c r="E534" s="189">
        <v>75000</v>
      </c>
      <c r="F534" s="189">
        <f t="shared" si="208"/>
        <v>825000.00000000012</v>
      </c>
      <c r="G534" s="189">
        <f t="shared" si="209"/>
        <v>750000</v>
      </c>
      <c r="H534" s="691" t="s">
        <v>173</v>
      </c>
      <c r="I534" s="84" t="s">
        <v>109</v>
      </c>
      <c r="J534" s="61">
        <f>(G534-(VLOOKUP(C534,Price!B:D,3,FALSE)*D534))</f>
        <v>200000</v>
      </c>
      <c r="K534" s="62">
        <f t="shared" si="213"/>
        <v>0.26666666666666661</v>
      </c>
      <c r="L534" s="85">
        <v>17.12</v>
      </c>
      <c r="M534" s="601"/>
      <c r="N534" s="668">
        <f>A534</f>
        <v>171214</v>
      </c>
      <c r="O534" s="84" t="s">
        <v>149</v>
      </c>
      <c r="P534" s="133" t="str">
        <f>C534</f>
        <v>Bar블랑켓 730*710</v>
      </c>
      <c r="Q534" s="84">
        <f t="shared" si="212"/>
        <v>10</v>
      </c>
      <c r="R534" s="189">
        <v>55000</v>
      </c>
      <c r="S534" s="189">
        <f t="shared" si="214"/>
        <v>605000</v>
      </c>
      <c r="T534" s="189">
        <f t="shared" si="215"/>
        <v>550000</v>
      </c>
      <c r="U534" s="84" t="str">
        <f t="shared" si="202"/>
        <v>O</v>
      </c>
      <c r="V534" s="84"/>
      <c r="W534" s="481">
        <f t="shared" si="210"/>
        <v>200000</v>
      </c>
      <c r="X534" s="84"/>
      <c r="Y534" s="84"/>
    </row>
    <row r="535" spans="1:25" s="616" customFormat="1" ht="30" hidden="1" customHeight="1" x14ac:dyDescent="0.25">
      <c r="A535" s="80">
        <v>171215</v>
      </c>
      <c r="B535" s="663" t="s">
        <v>444</v>
      </c>
      <c r="C535" s="73" t="s">
        <v>131</v>
      </c>
      <c r="D535" s="73">
        <v>6</v>
      </c>
      <c r="E535" s="147">
        <v>135000</v>
      </c>
      <c r="F535" s="147">
        <f t="shared" si="208"/>
        <v>891000.00000000012</v>
      </c>
      <c r="G535" s="147">
        <f t="shared" si="209"/>
        <v>810000</v>
      </c>
      <c r="H535" s="689" t="s">
        <v>173</v>
      </c>
      <c r="I535" s="73" t="s">
        <v>108</v>
      </c>
      <c r="J535" s="60">
        <f>(G535-(VLOOKUP(C535,Price!B:D,3,FALSE)*D535))</f>
        <v>150000</v>
      </c>
      <c r="K535" s="427">
        <f t="shared" si="213"/>
        <v>0.18518518518518515</v>
      </c>
      <c r="L535" s="788">
        <v>17.12</v>
      </c>
      <c r="M535" s="584"/>
      <c r="N535" s="663">
        <f t="shared" si="211"/>
        <v>171215</v>
      </c>
      <c r="O535" s="73" t="s">
        <v>148</v>
      </c>
      <c r="P535" s="132" t="str">
        <f>C535</f>
        <v>UV wash(20L)</v>
      </c>
      <c r="Q535" s="73">
        <f t="shared" si="212"/>
        <v>6</v>
      </c>
      <c r="R535" s="147">
        <v>110000</v>
      </c>
      <c r="S535" s="147">
        <f t="shared" si="214"/>
        <v>726000.00000000012</v>
      </c>
      <c r="T535" s="147">
        <f t="shared" si="215"/>
        <v>660000</v>
      </c>
      <c r="U535" s="73" t="str">
        <f t="shared" si="202"/>
        <v>O</v>
      </c>
      <c r="V535" s="73"/>
      <c r="W535" s="520">
        <f t="shared" si="210"/>
        <v>150000</v>
      </c>
      <c r="X535" s="73"/>
      <c r="Y535" s="73"/>
    </row>
    <row r="536" spans="1:25" ht="30" hidden="1" customHeight="1" x14ac:dyDescent="0.25">
      <c r="A536" s="82">
        <v>171215</v>
      </c>
      <c r="B536" s="664" t="s">
        <v>590</v>
      </c>
      <c r="C536" s="71" t="s">
        <v>585</v>
      </c>
      <c r="D536" s="71">
        <v>36</v>
      </c>
      <c r="E536" s="102">
        <v>7500</v>
      </c>
      <c r="F536" s="102">
        <f t="shared" si="208"/>
        <v>297000</v>
      </c>
      <c r="G536" s="102">
        <f t="shared" si="209"/>
        <v>270000</v>
      </c>
      <c r="H536" s="689" t="s">
        <v>142</v>
      </c>
      <c r="I536" s="71" t="s">
        <v>144</v>
      </c>
      <c r="J536" s="53">
        <f>(G536-(VLOOKUP(C536,Price!B:D,3,FALSE)*D536))</f>
        <v>26280</v>
      </c>
      <c r="K536" s="63">
        <f>(J536/(F536/11*10))</f>
        <v>9.7333333333333327E-2</v>
      </c>
      <c r="L536" s="792">
        <v>17.12</v>
      </c>
      <c r="M536" s="468"/>
      <c r="N536" s="664">
        <f t="shared" si="211"/>
        <v>171215</v>
      </c>
      <c r="O536" s="71" t="s">
        <v>147</v>
      </c>
      <c r="P536" s="103" t="str">
        <f t="shared" ref="P536:P548" si="216">C536</f>
        <v>프리미어(적)</v>
      </c>
      <c r="Q536" s="71">
        <f t="shared" ref="Q536:Q548" si="217">D536</f>
        <v>36</v>
      </c>
      <c r="R536" s="147">
        <v>6770</v>
      </c>
      <c r="S536" s="102">
        <f t="shared" si="214"/>
        <v>268092</v>
      </c>
      <c r="T536" s="102">
        <f t="shared" si="215"/>
        <v>243720</v>
      </c>
      <c r="U536" s="71" t="str">
        <f t="shared" si="202"/>
        <v>O</v>
      </c>
      <c r="V536" s="71"/>
      <c r="W536" s="482">
        <f t="shared" si="210"/>
        <v>26280</v>
      </c>
      <c r="X536" s="71"/>
      <c r="Y536" s="71"/>
    </row>
    <row r="537" spans="1:25" ht="30" hidden="1" customHeight="1" x14ac:dyDescent="0.25">
      <c r="A537" s="82">
        <v>171215</v>
      </c>
      <c r="B537" s="664" t="s">
        <v>590</v>
      </c>
      <c r="C537" s="71" t="s">
        <v>586</v>
      </c>
      <c r="D537" s="71">
        <v>84</v>
      </c>
      <c r="E537" s="102">
        <v>6750</v>
      </c>
      <c r="F537" s="102">
        <f t="shared" si="208"/>
        <v>623700</v>
      </c>
      <c r="G537" s="102">
        <f t="shared" si="209"/>
        <v>567000</v>
      </c>
      <c r="H537" s="689" t="s">
        <v>142</v>
      </c>
      <c r="I537" s="71" t="s">
        <v>144</v>
      </c>
      <c r="J537" s="53">
        <f>(G537-(VLOOKUP(C537,Price!B:D,3,FALSE)*D537))</f>
        <v>47880</v>
      </c>
      <c r="K537" s="63">
        <f>(J537/(F537/11*10))</f>
        <v>8.4444444444444447E-2</v>
      </c>
      <c r="L537" s="792">
        <v>17.12</v>
      </c>
      <c r="M537" s="468"/>
      <c r="N537" s="664">
        <f t="shared" si="211"/>
        <v>171215</v>
      </c>
      <c r="O537" s="71" t="s">
        <v>147</v>
      </c>
      <c r="P537" s="103" t="str">
        <f t="shared" si="216"/>
        <v>프리미어(황)</v>
      </c>
      <c r="Q537" s="71">
        <f t="shared" si="217"/>
        <v>84</v>
      </c>
      <c r="R537" s="102">
        <v>6180</v>
      </c>
      <c r="S537" s="102">
        <f t="shared" si="214"/>
        <v>571032</v>
      </c>
      <c r="T537" s="102">
        <f t="shared" si="215"/>
        <v>519120</v>
      </c>
      <c r="U537" s="71" t="str">
        <f t="shared" si="202"/>
        <v>O</v>
      </c>
      <c r="V537" s="71"/>
      <c r="W537" s="482">
        <f t="shared" si="210"/>
        <v>47880</v>
      </c>
      <c r="X537" s="71"/>
      <c r="Y537" s="71"/>
    </row>
    <row r="538" spans="1:25" ht="30" hidden="1" customHeight="1" x14ac:dyDescent="0.25">
      <c r="A538" s="82">
        <v>171215</v>
      </c>
      <c r="B538" s="664" t="s">
        <v>590</v>
      </c>
      <c r="C538" s="71" t="s">
        <v>587</v>
      </c>
      <c r="D538" s="71">
        <v>60</v>
      </c>
      <c r="E538" s="102">
        <v>8000</v>
      </c>
      <c r="F538" s="102">
        <f t="shared" si="208"/>
        <v>528000</v>
      </c>
      <c r="G538" s="102">
        <f t="shared" si="209"/>
        <v>480000</v>
      </c>
      <c r="H538" s="689" t="s">
        <v>142</v>
      </c>
      <c r="I538" s="71" t="s">
        <v>144</v>
      </c>
      <c r="J538" s="53">
        <f>(G538-(VLOOKUP(C538,Price!B:D,3,FALSE)*D538))</f>
        <v>65400</v>
      </c>
      <c r="K538" s="63">
        <f t="shared" si="213"/>
        <v>0.13625000000000001</v>
      </c>
      <c r="L538" s="792">
        <v>17.12</v>
      </c>
      <c r="M538" s="468"/>
      <c r="N538" s="664">
        <f t="shared" si="211"/>
        <v>171215</v>
      </c>
      <c r="O538" s="71" t="s">
        <v>147</v>
      </c>
      <c r="P538" s="103" t="str">
        <f t="shared" si="216"/>
        <v>프리미어(청)</v>
      </c>
      <c r="Q538" s="71">
        <f t="shared" si="217"/>
        <v>60</v>
      </c>
      <c r="R538" s="102">
        <v>6910</v>
      </c>
      <c r="S538" s="102">
        <f t="shared" si="214"/>
        <v>456060.00000000006</v>
      </c>
      <c r="T538" s="102">
        <f t="shared" si="215"/>
        <v>414600</v>
      </c>
      <c r="U538" s="71" t="str">
        <f t="shared" ref="U538:U569" si="218">IF(J538=W538,"O", "X")</f>
        <v>O</v>
      </c>
      <c r="V538" s="71"/>
      <c r="W538" s="482">
        <f t="shared" si="210"/>
        <v>65400</v>
      </c>
      <c r="X538" s="71"/>
      <c r="Y538" s="71"/>
    </row>
    <row r="539" spans="1:25" ht="30" hidden="1" customHeight="1" x14ac:dyDescent="0.25">
      <c r="A539" s="82">
        <v>171215</v>
      </c>
      <c r="B539" s="664" t="s">
        <v>590</v>
      </c>
      <c r="C539" s="71" t="s">
        <v>616</v>
      </c>
      <c r="D539" s="71">
        <v>60</v>
      </c>
      <c r="E539" s="102">
        <v>6600</v>
      </c>
      <c r="F539" s="102">
        <f t="shared" si="208"/>
        <v>435600.00000000006</v>
      </c>
      <c r="G539" s="102">
        <f t="shared" si="209"/>
        <v>396000</v>
      </c>
      <c r="H539" s="689" t="s">
        <v>142</v>
      </c>
      <c r="I539" s="71" t="s">
        <v>144</v>
      </c>
      <c r="J539" s="53">
        <f>(G539-(VLOOKUP(C539,Price!B:D,3,FALSE)*D539))</f>
        <v>42000</v>
      </c>
      <c r="K539" s="63">
        <f t="shared" si="213"/>
        <v>0.10606060606060605</v>
      </c>
      <c r="L539" s="792">
        <v>17.12</v>
      </c>
      <c r="M539" s="468"/>
      <c r="N539" s="664">
        <f t="shared" si="211"/>
        <v>171215</v>
      </c>
      <c r="O539" s="71" t="s">
        <v>147</v>
      </c>
      <c r="P539" s="103" t="str">
        <f t="shared" si="216"/>
        <v>프리미어(먹)</v>
      </c>
      <c r="Q539" s="71">
        <f t="shared" si="217"/>
        <v>60</v>
      </c>
      <c r="R539" s="102">
        <v>5900</v>
      </c>
      <c r="S539" s="102">
        <f t="shared" si="214"/>
        <v>389400.00000000006</v>
      </c>
      <c r="T539" s="102">
        <f t="shared" si="215"/>
        <v>354000</v>
      </c>
      <c r="U539" s="71" t="str">
        <f t="shared" si="218"/>
        <v>O</v>
      </c>
      <c r="V539" s="71"/>
      <c r="W539" s="482">
        <f t="shared" si="210"/>
        <v>42000</v>
      </c>
      <c r="X539" s="71"/>
      <c r="Y539" s="71"/>
    </row>
    <row r="540" spans="1:25" s="602" customFormat="1" ht="30" hidden="1" customHeight="1" x14ac:dyDescent="0.25">
      <c r="A540" s="85">
        <v>171215</v>
      </c>
      <c r="B540" s="668" t="s">
        <v>442</v>
      </c>
      <c r="C540" s="84" t="s">
        <v>107</v>
      </c>
      <c r="D540" s="84">
        <v>6</v>
      </c>
      <c r="E540" s="189">
        <v>110000</v>
      </c>
      <c r="F540" s="189">
        <f t="shared" si="208"/>
        <v>726000.00000000012</v>
      </c>
      <c r="G540" s="189">
        <f t="shared" si="209"/>
        <v>660000</v>
      </c>
      <c r="H540" s="691" t="s">
        <v>173</v>
      </c>
      <c r="I540" s="84" t="s">
        <v>109</v>
      </c>
      <c r="J540" s="61">
        <f>(G540-(VLOOKUP(C540,Price!B:D,3,FALSE)*D540))</f>
        <v>177000</v>
      </c>
      <c r="K540" s="62">
        <f t="shared" si="213"/>
        <v>0.26818181818181813</v>
      </c>
      <c r="L540" s="85">
        <v>17.12</v>
      </c>
      <c r="M540" s="601"/>
      <c r="N540" s="668">
        <f t="shared" si="211"/>
        <v>171215</v>
      </c>
      <c r="O540" s="84" t="s">
        <v>147</v>
      </c>
      <c r="P540" s="133" t="str">
        <f t="shared" si="216"/>
        <v>Blanket(1050*840)</v>
      </c>
      <c r="Q540" s="84">
        <f t="shared" si="217"/>
        <v>6</v>
      </c>
      <c r="R540" s="198">
        <v>80500</v>
      </c>
      <c r="S540" s="189">
        <f t="shared" si="214"/>
        <v>531300</v>
      </c>
      <c r="T540" s="189">
        <f t="shared" si="215"/>
        <v>483000</v>
      </c>
      <c r="U540" s="84" t="str">
        <f t="shared" si="218"/>
        <v>O</v>
      </c>
      <c r="V540" s="84"/>
      <c r="W540" s="481">
        <f t="shared" si="210"/>
        <v>177000</v>
      </c>
      <c r="X540" s="84"/>
      <c r="Y540" s="84"/>
    </row>
    <row r="541" spans="1:25" ht="30" customHeight="1" x14ac:dyDescent="0.25">
      <c r="A541" s="80">
        <v>171218</v>
      </c>
      <c r="B541" s="663" t="s">
        <v>565</v>
      </c>
      <c r="C541" s="73" t="s">
        <v>114</v>
      </c>
      <c r="D541" s="73">
        <v>60</v>
      </c>
      <c r="E541" s="147">
        <v>20000</v>
      </c>
      <c r="F541" s="147">
        <f t="shared" si="208"/>
        <v>1320000</v>
      </c>
      <c r="G541" s="147">
        <f t="shared" si="209"/>
        <v>1200000</v>
      </c>
      <c r="H541" s="786" t="s">
        <v>113</v>
      </c>
      <c r="I541" s="73"/>
      <c r="J541" s="60">
        <f>(G541-(VLOOKUP(C541,Price!B:D,3,FALSE)*D541))</f>
        <v>660000</v>
      </c>
      <c r="K541" s="427">
        <f t="shared" ref="K541:K549" si="219">(J541/(F541/11*10))</f>
        <v>0.55000000000000004</v>
      </c>
      <c r="L541" s="80">
        <v>17.12</v>
      </c>
      <c r="M541" s="584"/>
      <c r="N541" s="663">
        <f t="shared" si="211"/>
        <v>171218</v>
      </c>
      <c r="O541" s="807" t="s">
        <v>113</v>
      </c>
      <c r="P541" s="132" t="str">
        <f t="shared" si="216"/>
        <v>스트리퍼</v>
      </c>
      <c r="Q541" s="73">
        <f t="shared" si="217"/>
        <v>60</v>
      </c>
      <c r="R541" s="147">
        <v>9000</v>
      </c>
      <c r="S541" s="147">
        <f t="shared" si="214"/>
        <v>594000</v>
      </c>
      <c r="T541" s="147">
        <f t="shared" si="215"/>
        <v>540000</v>
      </c>
      <c r="U541" s="73" t="str">
        <f t="shared" si="218"/>
        <v>O</v>
      </c>
      <c r="V541" s="73"/>
      <c r="W541" s="482">
        <f t="shared" si="210"/>
        <v>660000</v>
      </c>
      <c r="X541" s="73"/>
      <c r="Y541" s="73"/>
    </row>
    <row r="542" spans="1:25" s="602" customFormat="1" ht="30" hidden="1" customHeight="1" x14ac:dyDescent="0.25">
      <c r="A542" s="85">
        <v>171218</v>
      </c>
      <c r="B542" s="668" t="s">
        <v>546</v>
      </c>
      <c r="C542" s="84" t="s">
        <v>803</v>
      </c>
      <c r="D542" s="84">
        <v>1</v>
      </c>
      <c r="E542" s="189">
        <v>250000</v>
      </c>
      <c r="F542" s="189">
        <f t="shared" si="208"/>
        <v>275000</v>
      </c>
      <c r="G542" s="189">
        <f t="shared" si="209"/>
        <v>250000</v>
      </c>
      <c r="H542" s="749" t="s">
        <v>165</v>
      </c>
      <c r="I542" s="84"/>
      <c r="J542" s="61">
        <v>250000</v>
      </c>
      <c r="K542" s="62">
        <f t="shared" si="219"/>
        <v>1</v>
      </c>
      <c r="L542" s="85">
        <v>17.12</v>
      </c>
      <c r="M542" s="601"/>
      <c r="N542" s="668">
        <f t="shared" si="211"/>
        <v>171218</v>
      </c>
      <c r="O542" s="879"/>
      <c r="P542" s="133" t="str">
        <f t="shared" si="216"/>
        <v>M-600 서비스</v>
      </c>
      <c r="Q542" s="84">
        <f t="shared" si="217"/>
        <v>1</v>
      </c>
      <c r="R542" s="189"/>
      <c r="S542" s="189">
        <f t="shared" si="214"/>
        <v>0</v>
      </c>
      <c r="T542" s="189">
        <f t="shared" si="215"/>
        <v>0</v>
      </c>
      <c r="U542" s="84" t="str">
        <f t="shared" si="218"/>
        <v>O</v>
      </c>
      <c r="V542" s="84"/>
      <c r="W542" s="481">
        <f t="shared" si="210"/>
        <v>250000</v>
      </c>
      <c r="X542" s="84"/>
      <c r="Y542" s="84"/>
    </row>
    <row r="543" spans="1:25" ht="30" hidden="1" customHeight="1" x14ac:dyDescent="0.2">
      <c r="A543" s="80">
        <v>171219</v>
      </c>
      <c r="B543" s="663" t="s">
        <v>548</v>
      </c>
      <c r="C543" s="73" t="s">
        <v>107</v>
      </c>
      <c r="D543" s="73">
        <v>20</v>
      </c>
      <c r="E543" s="147">
        <v>100000</v>
      </c>
      <c r="F543" s="160">
        <f t="shared" si="208"/>
        <v>2200000</v>
      </c>
      <c r="G543" s="160">
        <f t="shared" si="209"/>
        <v>2000000</v>
      </c>
      <c r="H543" s="161" t="s">
        <v>172</v>
      </c>
      <c r="I543" s="73" t="s">
        <v>109</v>
      </c>
      <c r="J543" s="60">
        <f>(G543-(VLOOKUP(C543,Price!B:D,3,FALSE)*D543))</f>
        <v>390000</v>
      </c>
      <c r="K543" s="427">
        <f t="shared" si="219"/>
        <v>0.19500000000000001</v>
      </c>
      <c r="L543" s="80">
        <v>17.12</v>
      </c>
      <c r="M543" s="584"/>
      <c r="N543" s="663">
        <f t="shared" si="211"/>
        <v>171219</v>
      </c>
      <c r="O543" s="73" t="s">
        <v>147</v>
      </c>
      <c r="P543" s="132" t="str">
        <f t="shared" si="216"/>
        <v>Blanket(1050*840)</v>
      </c>
      <c r="Q543" s="73">
        <f t="shared" si="217"/>
        <v>20</v>
      </c>
      <c r="R543" s="147">
        <v>80500</v>
      </c>
      <c r="S543" s="147">
        <f t="shared" si="214"/>
        <v>1771000.0000000002</v>
      </c>
      <c r="T543" s="147">
        <f t="shared" si="215"/>
        <v>1610000</v>
      </c>
      <c r="U543" s="73" t="str">
        <f t="shared" si="218"/>
        <v>O</v>
      </c>
      <c r="V543" s="73"/>
      <c r="W543" s="482">
        <f t="shared" si="210"/>
        <v>390000</v>
      </c>
      <c r="X543" s="73"/>
      <c r="Y543" s="73"/>
    </row>
    <row r="544" spans="1:25" s="602" customFormat="1" ht="30" hidden="1" customHeight="1" x14ac:dyDescent="0.25">
      <c r="A544" s="85">
        <v>171219</v>
      </c>
      <c r="B544" s="668" t="s">
        <v>939</v>
      </c>
      <c r="C544" s="84" t="s">
        <v>940</v>
      </c>
      <c r="D544" s="84">
        <v>3</v>
      </c>
      <c r="E544" s="189">
        <v>95000</v>
      </c>
      <c r="F544" s="189">
        <f t="shared" si="208"/>
        <v>313500</v>
      </c>
      <c r="G544" s="189">
        <f t="shared" si="209"/>
        <v>285000</v>
      </c>
      <c r="H544" s="691" t="s">
        <v>173</v>
      </c>
      <c r="I544" s="84" t="s">
        <v>142</v>
      </c>
      <c r="J544" s="61">
        <f>(G544-(VLOOKUP(C544,Price!B:D,3,FALSE)*D544))</f>
        <v>45000</v>
      </c>
      <c r="K544" s="62">
        <f t="shared" si="219"/>
        <v>0.15789473684210525</v>
      </c>
      <c r="L544" s="85">
        <v>17.12</v>
      </c>
      <c r="M544" s="601"/>
      <c r="N544" s="668">
        <f t="shared" si="211"/>
        <v>171219</v>
      </c>
      <c r="O544" s="84" t="s">
        <v>153</v>
      </c>
      <c r="P544" s="133" t="str">
        <f t="shared" si="216"/>
        <v>닥터호일 아스테이지(UV용)</v>
      </c>
      <c r="Q544" s="84">
        <f t="shared" si="217"/>
        <v>3</v>
      </c>
      <c r="R544" s="189">
        <v>80000</v>
      </c>
      <c r="S544" s="189">
        <f t="shared" si="214"/>
        <v>264000</v>
      </c>
      <c r="T544" s="189">
        <f t="shared" si="215"/>
        <v>240000</v>
      </c>
      <c r="U544" s="84" t="str">
        <f t="shared" si="218"/>
        <v>O</v>
      </c>
      <c r="V544" s="84"/>
      <c r="W544" s="481">
        <f t="shared" si="210"/>
        <v>45000</v>
      </c>
      <c r="X544" s="84"/>
      <c r="Y544" s="84"/>
    </row>
    <row r="545" spans="1:25" s="616" customFormat="1" ht="30" hidden="1" customHeight="1" x14ac:dyDescent="0.25">
      <c r="A545" s="80">
        <v>171220</v>
      </c>
      <c r="B545" s="663" t="s">
        <v>590</v>
      </c>
      <c r="C545" s="73" t="s">
        <v>585</v>
      </c>
      <c r="D545" s="73">
        <v>200</v>
      </c>
      <c r="E545" s="147">
        <v>7500</v>
      </c>
      <c r="F545" s="147">
        <f>(E545*D545)*1.1</f>
        <v>1650000.0000000002</v>
      </c>
      <c r="G545" s="147">
        <f>(E545*D545)</f>
        <v>1500000</v>
      </c>
      <c r="H545" s="689" t="s">
        <v>142</v>
      </c>
      <c r="I545" s="73" t="s">
        <v>144</v>
      </c>
      <c r="J545" s="60">
        <f>(G545-(VLOOKUP(C545,Price!B:D,3,FALSE)*D545))</f>
        <v>146000</v>
      </c>
      <c r="K545" s="427">
        <f t="shared" si="219"/>
        <v>9.7333333333333313E-2</v>
      </c>
      <c r="L545" s="788">
        <v>17.12</v>
      </c>
      <c r="M545" s="584"/>
      <c r="N545" s="663">
        <f t="shared" si="211"/>
        <v>171220</v>
      </c>
      <c r="O545" s="73" t="s">
        <v>147</v>
      </c>
      <c r="P545" s="132" t="str">
        <f>C545</f>
        <v>프리미어(적)</v>
      </c>
      <c r="Q545" s="73">
        <f>D545</f>
        <v>200</v>
      </c>
      <c r="R545" s="147">
        <v>6770</v>
      </c>
      <c r="S545" s="147">
        <f t="shared" si="214"/>
        <v>1489400.0000000002</v>
      </c>
      <c r="T545" s="147">
        <f t="shared" si="215"/>
        <v>1354000</v>
      </c>
      <c r="U545" s="73" t="str">
        <f t="shared" si="218"/>
        <v>O</v>
      </c>
      <c r="V545" s="73"/>
      <c r="W545" s="520">
        <f t="shared" si="210"/>
        <v>146000</v>
      </c>
      <c r="X545" s="73"/>
      <c r="Y545" s="73"/>
    </row>
    <row r="546" spans="1:25" s="657" customFormat="1" ht="30" hidden="1" customHeight="1" x14ac:dyDescent="0.25">
      <c r="A546" s="82">
        <v>171220</v>
      </c>
      <c r="B546" s="664" t="s">
        <v>590</v>
      </c>
      <c r="C546" s="71" t="s">
        <v>586</v>
      </c>
      <c r="D546" s="71">
        <v>200</v>
      </c>
      <c r="E546" s="102">
        <v>6750</v>
      </c>
      <c r="F546" s="102">
        <f>(E546*D546)*1.1</f>
        <v>1485000.0000000002</v>
      </c>
      <c r="G546" s="102">
        <f>(E546*D546)</f>
        <v>1350000</v>
      </c>
      <c r="H546" s="689" t="s">
        <v>142</v>
      </c>
      <c r="I546" s="71" t="s">
        <v>144</v>
      </c>
      <c r="J546" s="53">
        <f>(G546-(VLOOKUP(C546,Price!B:D,3,FALSE)*D546))</f>
        <v>114000</v>
      </c>
      <c r="K546" s="63">
        <f t="shared" si="219"/>
        <v>8.4444444444444433E-2</v>
      </c>
      <c r="L546" s="792">
        <v>17.12</v>
      </c>
      <c r="M546" s="468"/>
      <c r="N546" s="663">
        <f t="shared" si="211"/>
        <v>171220</v>
      </c>
      <c r="O546" s="71" t="s">
        <v>147</v>
      </c>
      <c r="P546" s="103" t="str">
        <f>C546</f>
        <v>프리미어(황)</v>
      </c>
      <c r="Q546" s="71">
        <f>D546</f>
        <v>200</v>
      </c>
      <c r="R546" s="102">
        <v>6180</v>
      </c>
      <c r="S546" s="102">
        <f t="shared" si="214"/>
        <v>1359600</v>
      </c>
      <c r="T546" s="102">
        <f t="shared" si="215"/>
        <v>1236000</v>
      </c>
      <c r="U546" s="71" t="str">
        <f t="shared" si="218"/>
        <v>O</v>
      </c>
      <c r="V546" s="71"/>
      <c r="W546" s="656">
        <f t="shared" si="210"/>
        <v>114000</v>
      </c>
      <c r="X546" s="71"/>
      <c r="Y546" s="71"/>
    </row>
    <row r="547" spans="1:25" ht="30" customHeight="1" x14ac:dyDescent="0.25">
      <c r="A547" s="80">
        <v>171220</v>
      </c>
      <c r="B547" s="663" t="s">
        <v>422</v>
      </c>
      <c r="C547" s="73" t="s">
        <v>130</v>
      </c>
      <c r="D547" s="73">
        <v>10</v>
      </c>
      <c r="E547" s="147">
        <v>125000</v>
      </c>
      <c r="F547" s="147">
        <f t="shared" si="208"/>
        <v>1375000</v>
      </c>
      <c r="G547" s="147">
        <f t="shared" si="209"/>
        <v>1250000</v>
      </c>
      <c r="H547" s="689" t="s">
        <v>173</v>
      </c>
      <c r="I547" s="73" t="s">
        <v>109</v>
      </c>
      <c r="J547" s="60">
        <f>(G547-(VLOOKUP(C547,Price!B:D,3,FALSE)*D547))</f>
        <v>260000</v>
      </c>
      <c r="K547" s="427">
        <f t="shared" si="219"/>
        <v>0.20799999999999999</v>
      </c>
      <c r="L547" s="80">
        <v>17.12</v>
      </c>
      <c r="M547" s="584"/>
      <c r="N547" s="663">
        <f t="shared" si="211"/>
        <v>171220</v>
      </c>
      <c r="O547" s="73" t="s">
        <v>150</v>
      </c>
      <c r="P547" s="132" t="str">
        <f t="shared" si="216"/>
        <v>XL106 Blanket(1077*885)</v>
      </c>
      <c r="Q547" s="73">
        <f t="shared" si="217"/>
        <v>10</v>
      </c>
      <c r="R547" s="147">
        <v>99000</v>
      </c>
      <c r="S547" s="147">
        <f t="shared" si="214"/>
        <v>1089000</v>
      </c>
      <c r="T547" s="147">
        <f t="shared" si="215"/>
        <v>990000</v>
      </c>
      <c r="U547" s="73" t="str">
        <f t="shared" si="218"/>
        <v>O</v>
      </c>
      <c r="V547" s="73"/>
      <c r="W547" s="482">
        <f t="shared" si="210"/>
        <v>260000</v>
      </c>
      <c r="X547" s="73"/>
      <c r="Y547" s="73"/>
    </row>
    <row r="548" spans="1:25" ht="30" customHeight="1" x14ac:dyDescent="0.25">
      <c r="A548" s="82">
        <v>171220</v>
      </c>
      <c r="B548" s="663" t="s">
        <v>422</v>
      </c>
      <c r="C548" s="71" t="s">
        <v>129</v>
      </c>
      <c r="D548" s="71">
        <v>5</v>
      </c>
      <c r="E548" s="102">
        <v>272000</v>
      </c>
      <c r="F548" s="102">
        <f t="shared" ref="F548:F568" si="220">(E548*D548)*1.1</f>
        <v>1496000.0000000002</v>
      </c>
      <c r="G548" s="102">
        <f t="shared" ref="G548:G568" si="221">(E548*D548)</f>
        <v>1360000</v>
      </c>
      <c r="H548" s="690" t="s">
        <v>173</v>
      </c>
      <c r="I548" s="71" t="s">
        <v>108</v>
      </c>
      <c r="J548" s="53">
        <f>(G548-(VLOOKUP(C548,Price!B:D,3,FALSE)*D548))</f>
        <v>320000</v>
      </c>
      <c r="K548" s="63">
        <v>0.23529411764705879</v>
      </c>
      <c r="L548" s="82">
        <v>17.12</v>
      </c>
      <c r="M548" s="468"/>
      <c r="N548" s="664">
        <f t="shared" si="211"/>
        <v>171220</v>
      </c>
      <c r="O548" s="71" t="s">
        <v>149</v>
      </c>
      <c r="P548" s="103" t="str">
        <f t="shared" si="216"/>
        <v>세정포-XL106</v>
      </c>
      <c r="Q548" s="71">
        <f t="shared" si="217"/>
        <v>5</v>
      </c>
      <c r="R548" s="102">
        <v>208000</v>
      </c>
      <c r="S548" s="102">
        <f t="shared" si="214"/>
        <v>1144000</v>
      </c>
      <c r="T548" s="102">
        <f t="shared" si="215"/>
        <v>1040000</v>
      </c>
      <c r="U548" s="71" t="str">
        <f t="shared" si="218"/>
        <v>O</v>
      </c>
      <c r="V548" s="71"/>
      <c r="W548" s="515">
        <f t="shared" si="210"/>
        <v>320000</v>
      </c>
      <c r="X548" s="71"/>
      <c r="Y548" s="71"/>
    </row>
    <row r="549" spans="1:25" ht="30" customHeight="1" x14ac:dyDescent="0.25">
      <c r="A549" s="82">
        <v>171220</v>
      </c>
      <c r="B549" s="663" t="s">
        <v>422</v>
      </c>
      <c r="C549" s="760" t="s">
        <v>138</v>
      </c>
      <c r="D549" s="71">
        <v>10</v>
      </c>
      <c r="E549" s="102">
        <v>68000</v>
      </c>
      <c r="F549" s="102">
        <f t="shared" si="220"/>
        <v>748000.00000000012</v>
      </c>
      <c r="G549" s="102">
        <f t="shared" si="221"/>
        <v>680000</v>
      </c>
      <c r="H549" s="690" t="s">
        <v>173</v>
      </c>
      <c r="I549" s="71" t="s">
        <v>120</v>
      </c>
      <c r="J549" s="53">
        <f>(G549-(VLOOKUP(C549,Price!B:D,3,FALSE)*D549))</f>
        <v>170000</v>
      </c>
      <c r="K549" s="427">
        <f t="shared" si="219"/>
        <v>0.24999999999999994</v>
      </c>
      <c r="L549" s="82">
        <v>17.12</v>
      </c>
      <c r="M549" s="468"/>
      <c r="N549" s="664">
        <f t="shared" si="211"/>
        <v>171220</v>
      </c>
      <c r="O549" s="71" t="s">
        <v>150</v>
      </c>
      <c r="P549" s="103" t="str">
        <f t="shared" ref="P549:P621" si="222">C549</f>
        <v>매엽용 세척제(Wash 562)</v>
      </c>
      <c r="Q549" s="71">
        <f t="shared" ref="Q549:Q621" si="223">D549</f>
        <v>10</v>
      </c>
      <c r="R549" s="102">
        <v>51000</v>
      </c>
      <c r="S549" s="102">
        <f t="shared" si="214"/>
        <v>561000</v>
      </c>
      <c r="T549" s="102">
        <f t="shared" si="215"/>
        <v>510000</v>
      </c>
      <c r="U549" s="71" t="str">
        <f t="shared" si="218"/>
        <v>O</v>
      </c>
      <c r="V549" s="71"/>
      <c r="W549" s="482">
        <f t="shared" si="210"/>
        <v>170000</v>
      </c>
      <c r="X549" s="71"/>
      <c r="Y549" s="71"/>
    </row>
    <row r="550" spans="1:25" s="602" customFormat="1" ht="30" customHeight="1" x14ac:dyDescent="0.25">
      <c r="A550" s="85">
        <v>171220</v>
      </c>
      <c r="B550" s="672" t="s">
        <v>422</v>
      </c>
      <c r="C550" s="84" t="s">
        <v>584</v>
      </c>
      <c r="D550" s="84">
        <v>2</v>
      </c>
      <c r="E550" s="189">
        <v>270000</v>
      </c>
      <c r="F550" s="189">
        <f t="shared" si="220"/>
        <v>594000</v>
      </c>
      <c r="G550" s="189">
        <f t="shared" si="221"/>
        <v>540000</v>
      </c>
      <c r="H550" s="691" t="s">
        <v>173</v>
      </c>
      <c r="I550" s="84" t="s">
        <v>142</v>
      </c>
      <c r="J550" s="61">
        <f>(G550-(VLOOKUP(C550,Price!B:D,3,FALSE)*D550))</f>
        <v>108000</v>
      </c>
      <c r="K550" s="62">
        <f>(J550/(F550/11*10))</f>
        <v>0.2</v>
      </c>
      <c r="L550" s="85">
        <v>17.12</v>
      </c>
      <c r="M550" s="601"/>
      <c r="N550" s="668">
        <f t="shared" si="211"/>
        <v>171220</v>
      </c>
      <c r="O550" s="84" t="s">
        <v>150</v>
      </c>
      <c r="P550" s="133" t="str">
        <f t="shared" si="222"/>
        <v>데리바리 석션벨트</v>
      </c>
      <c r="Q550" s="84">
        <f t="shared" si="223"/>
        <v>2</v>
      </c>
      <c r="R550" s="189">
        <v>216000</v>
      </c>
      <c r="S550" s="189">
        <f t="shared" si="214"/>
        <v>475200.00000000006</v>
      </c>
      <c r="T550" s="189">
        <f t="shared" si="215"/>
        <v>432000</v>
      </c>
      <c r="U550" s="84" t="str">
        <f t="shared" si="218"/>
        <v>O</v>
      </c>
      <c r="V550" s="84"/>
      <c r="W550" s="481">
        <f t="shared" ref="W550:W569" si="224">(G550-T550)</f>
        <v>108000</v>
      </c>
      <c r="X550" s="84"/>
      <c r="Y550" s="84"/>
    </row>
    <row r="551" spans="1:25" ht="30" hidden="1" customHeight="1" x14ac:dyDescent="0.2">
      <c r="A551" s="80">
        <v>171221</v>
      </c>
      <c r="B551" s="663" t="s">
        <v>640</v>
      </c>
      <c r="C551" s="73" t="s">
        <v>138</v>
      </c>
      <c r="D551" s="73">
        <v>10</v>
      </c>
      <c r="E551" s="147">
        <v>59500</v>
      </c>
      <c r="F551" s="163">
        <f t="shared" si="220"/>
        <v>654500</v>
      </c>
      <c r="G551" s="163">
        <f t="shared" si="221"/>
        <v>595000</v>
      </c>
      <c r="H551" s="161" t="s">
        <v>172</v>
      </c>
      <c r="I551" s="73" t="s">
        <v>108</v>
      </c>
      <c r="J551" s="60">
        <f>(G551-(VLOOKUP(C551,Price!B:D,3,FALSE)*D551))</f>
        <v>85000</v>
      </c>
      <c r="K551" s="427">
        <f>(J551/(F551/11*10))</f>
        <v>0.14285714285714285</v>
      </c>
      <c r="L551" s="80">
        <v>17.12</v>
      </c>
      <c r="M551" s="584"/>
      <c r="N551" s="663">
        <f t="shared" si="211"/>
        <v>171221</v>
      </c>
      <c r="O551" s="73" t="s">
        <v>150</v>
      </c>
      <c r="P551" s="132" t="str">
        <f t="shared" si="222"/>
        <v>매엽용 세척제(Wash 562)</v>
      </c>
      <c r="Q551" s="73">
        <f t="shared" si="223"/>
        <v>10</v>
      </c>
      <c r="R551" s="147">
        <v>51000</v>
      </c>
      <c r="S551" s="147">
        <f t="shared" si="214"/>
        <v>561000</v>
      </c>
      <c r="T551" s="147">
        <f t="shared" si="215"/>
        <v>510000</v>
      </c>
      <c r="U551" s="73" t="str">
        <f t="shared" si="218"/>
        <v>O</v>
      </c>
      <c r="V551" s="73"/>
      <c r="W551" s="482">
        <f t="shared" si="224"/>
        <v>85000</v>
      </c>
      <c r="X551" s="73"/>
      <c r="Y551" s="73"/>
    </row>
    <row r="552" spans="1:25" ht="30" hidden="1" customHeight="1" x14ac:dyDescent="0.25">
      <c r="A552" s="82">
        <v>171221</v>
      </c>
      <c r="B552" s="664" t="s">
        <v>545</v>
      </c>
      <c r="C552" s="71" t="s">
        <v>167</v>
      </c>
      <c r="D552" s="71">
        <v>5</v>
      </c>
      <c r="E552" s="102">
        <v>110000</v>
      </c>
      <c r="F552" s="102">
        <f t="shared" si="220"/>
        <v>605000</v>
      </c>
      <c r="G552" s="102">
        <f t="shared" si="221"/>
        <v>550000</v>
      </c>
      <c r="H552" s="690" t="s">
        <v>173</v>
      </c>
      <c r="I552" s="71" t="s">
        <v>109</v>
      </c>
      <c r="J552" s="53">
        <f>(G552-(VLOOKUP(C552,Price!B:D,3,FALSE)*D552))</f>
        <v>135500</v>
      </c>
      <c r="K552" s="63">
        <f t="shared" ref="K552:K561" si="225">(J552/(F552/11*10))</f>
        <v>0.24636363636363637</v>
      </c>
      <c r="L552" s="792">
        <v>17.12</v>
      </c>
      <c r="M552" s="468"/>
      <c r="N552" s="664">
        <f t="shared" si="211"/>
        <v>171221</v>
      </c>
      <c r="O552" s="71" t="s">
        <v>147</v>
      </c>
      <c r="P552" s="103" t="str">
        <f t="shared" si="222"/>
        <v>Blanket(1060*860)</v>
      </c>
      <c r="Q552" s="71">
        <f t="shared" si="223"/>
        <v>5</v>
      </c>
      <c r="R552" s="102">
        <v>82900</v>
      </c>
      <c r="S552" s="102">
        <f t="shared" si="214"/>
        <v>455950.00000000006</v>
      </c>
      <c r="T552" s="102">
        <f t="shared" si="215"/>
        <v>414500</v>
      </c>
      <c r="U552" s="71" t="str">
        <f t="shared" si="218"/>
        <v>O</v>
      </c>
      <c r="V552" s="71"/>
      <c r="W552" s="482">
        <f t="shared" si="224"/>
        <v>135500</v>
      </c>
      <c r="X552" s="71"/>
      <c r="Y552" s="71"/>
    </row>
    <row r="553" spans="1:25" s="602" customFormat="1" ht="30" hidden="1" customHeight="1" x14ac:dyDescent="0.25">
      <c r="A553" s="85">
        <v>171221</v>
      </c>
      <c r="B553" s="668" t="s">
        <v>545</v>
      </c>
      <c r="C553" s="84" t="s">
        <v>131</v>
      </c>
      <c r="D553" s="84">
        <v>6</v>
      </c>
      <c r="E553" s="189">
        <v>135000</v>
      </c>
      <c r="F553" s="189">
        <f t="shared" si="220"/>
        <v>891000.00000000012</v>
      </c>
      <c r="G553" s="189">
        <f t="shared" si="221"/>
        <v>810000</v>
      </c>
      <c r="H553" s="691" t="s">
        <v>173</v>
      </c>
      <c r="I553" s="84" t="s">
        <v>108</v>
      </c>
      <c r="J553" s="61">
        <f>(G553-(VLOOKUP(C553,Price!B:D,3,FALSE)*D553))</f>
        <v>150000</v>
      </c>
      <c r="K553" s="62">
        <f t="shared" si="225"/>
        <v>0.18518518518518515</v>
      </c>
      <c r="L553" s="793">
        <v>17.12</v>
      </c>
      <c r="M553" s="601"/>
      <c r="N553" s="668">
        <f t="shared" si="211"/>
        <v>171221</v>
      </c>
      <c r="O553" s="84" t="s">
        <v>148</v>
      </c>
      <c r="P553" s="133" t="str">
        <f t="shared" si="222"/>
        <v>UV wash(20L)</v>
      </c>
      <c r="Q553" s="84">
        <f t="shared" si="223"/>
        <v>6</v>
      </c>
      <c r="R553" s="189">
        <v>110000</v>
      </c>
      <c r="S553" s="189">
        <f t="shared" si="214"/>
        <v>726000.00000000012</v>
      </c>
      <c r="T553" s="189">
        <f t="shared" si="215"/>
        <v>660000</v>
      </c>
      <c r="U553" s="84" t="str">
        <f t="shared" si="218"/>
        <v>O</v>
      </c>
      <c r="V553" s="84"/>
      <c r="W553" s="481">
        <f t="shared" si="224"/>
        <v>150000</v>
      </c>
      <c r="X553" s="84"/>
      <c r="Y553" s="84"/>
    </row>
    <row r="554" spans="1:25" s="635" customFormat="1" ht="30" hidden="1" customHeight="1" x14ac:dyDescent="0.25">
      <c r="A554" s="159">
        <v>171222</v>
      </c>
      <c r="B554" s="676" t="s">
        <v>546</v>
      </c>
      <c r="C554" s="157" t="s">
        <v>114</v>
      </c>
      <c r="D554" s="157">
        <v>50</v>
      </c>
      <c r="E554" s="526">
        <v>18000</v>
      </c>
      <c r="F554" s="526">
        <f t="shared" si="220"/>
        <v>990000.00000000012</v>
      </c>
      <c r="G554" s="526">
        <f t="shared" si="221"/>
        <v>900000</v>
      </c>
      <c r="H554" s="784" t="s">
        <v>113</v>
      </c>
      <c r="I554" s="157"/>
      <c r="J554" s="503">
        <f>(G554-(VLOOKUP(C554,Price!B:D,3,FALSE)*D554))</f>
        <v>450000</v>
      </c>
      <c r="K554" s="65">
        <f>(J554/(F554/11*10))</f>
        <v>0.49999999999999994</v>
      </c>
      <c r="L554" s="791">
        <v>17.12</v>
      </c>
      <c r="M554" s="634" t="s">
        <v>1891</v>
      </c>
      <c r="N554" s="676">
        <f t="shared" si="211"/>
        <v>171222</v>
      </c>
      <c r="O554" s="812" t="s">
        <v>113</v>
      </c>
      <c r="P554" s="633" t="str">
        <f t="shared" si="222"/>
        <v>스트리퍼</v>
      </c>
      <c r="Q554" s="157">
        <f t="shared" si="223"/>
        <v>50</v>
      </c>
      <c r="R554" s="526">
        <v>9000</v>
      </c>
      <c r="S554" s="526">
        <f t="shared" si="214"/>
        <v>495000.00000000006</v>
      </c>
      <c r="T554" s="526">
        <f t="shared" si="215"/>
        <v>450000</v>
      </c>
      <c r="U554" s="157" t="str">
        <f t="shared" si="218"/>
        <v>O</v>
      </c>
      <c r="V554" s="157"/>
      <c r="W554" s="508">
        <f t="shared" si="224"/>
        <v>450000</v>
      </c>
      <c r="X554" s="157"/>
      <c r="Y554" s="157"/>
    </row>
    <row r="555" spans="1:25" s="657" customFormat="1" ht="30" hidden="1" customHeight="1" x14ac:dyDescent="0.25">
      <c r="A555" s="82">
        <v>171222</v>
      </c>
      <c r="B555" s="664" t="s">
        <v>575</v>
      </c>
      <c r="C555" s="71" t="s">
        <v>950</v>
      </c>
      <c r="D555" s="71">
        <v>1</v>
      </c>
      <c r="E555" s="102">
        <v>5000000</v>
      </c>
      <c r="F555" s="102">
        <f t="shared" si="220"/>
        <v>5500000</v>
      </c>
      <c r="G555" s="102">
        <f t="shared" si="221"/>
        <v>5000000</v>
      </c>
      <c r="H555" s="779" t="s">
        <v>113</v>
      </c>
      <c r="I555" s="71"/>
      <c r="J555" s="53">
        <f>(G555-(VLOOKUP(C555,Import!C:G,4,FALSE)*D555))</f>
        <v>5000000</v>
      </c>
      <c r="K555" s="63">
        <f>(J555/(F555/11*10))</f>
        <v>1</v>
      </c>
      <c r="L555" s="792">
        <v>17.12</v>
      </c>
      <c r="M555" s="468"/>
      <c r="N555" s="664">
        <f t="shared" si="211"/>
        <v>171222</v>
      </c>
      <c r="O555" s="808" t="s">
        <v>113</v>
      </c>
      <c r="P555" s="103" t="str">
        <f t="shared" si="222"/>
        <v>상하 핀맞춤 모터</v>
      </c>
      <c r="Q555" s="71">
        <f t="shared" si="223"/>
        <v>1</v>
      </c>
      <c r="R555" s="734">
        <f>(VLOOKUP(C555,Import!C:G,4,FALSE))</f>
        <v>0</v>
      </c>
      <c r="S555" s="102">
        <f t="shared" si="214"/>
        <v>0</v>
      </c>
      <c r="T555" s="102">
        <f t="shared" si="215"/>
        <v>0</v>
      </c>
      <c r="U555" s="71" t="str">
        <f t="shared" si="218"/>
        <v>O</v>
      </c>
      <c r="V555" s="71"/>
      <c r="W555" s="656">
        <f t="shared" si="224"/>
        <v>5000000</v>
      </c>
      <c r="X555" s="71"/>
      <c r="Y555" s="71"/>
    </row>
    <row r="556" spans="1:25" ht="30" hidden="1" customHeight="1" x14ac:dyDescent="0.25">
      <c r="A556" s="80">
        <v>171223</v>
      </c>
      <c r="B556" s="663" t="s">
        <v>442</v>
      </c>
      <c r="C556" s="73" t="s">
        <v>133</v>
      </c>
      <c r="D556" s="73">
        <v>2</v>
      </c>
      <c r="E556" s="147">
        <v>327000</v>
      </c>
      <c r="F556" s="147">
        <f t="shared" si="220"/>
        <v>719400</v>
      </c>
      <c r="G556" s="147">
        <f t="shared" si="221"/>
        <v>654000</v>
      </c>
      <c r="H556" s="689" t="s">
        <v>173</v>
      </c>
      <c r="I556" s="73" t="s">
        <v>141</v>
      </c>
      <c r="J556" s="60">
        <f>(G556-(VLOOKUP(C556,Price!B:D,3,FALSE)*D556))</f>
        <v>115800</v>
      </c>
      <c r="K556" s="427">
        <f t="shared" si="225"/>
        <v>0.17706422018348625</v>
      </c>
      <c r="L556" s="80">
        <v>17.12</v>
      </c>
      <c r="M556" s="584"/>
      <c r="N556" s="663">
        <f t="shared" si="211"/>
        <v>171223</v>
      </c>
      <c r="O556" s="73" t="s">
        <v>145</v>
      </c>
      <c r="P556" s="132" t="str">
        <f t="shared" si="222"/>
        <v>Agfa Film(24inch)</v>
      </c>
      <c r="Q556" s="73">
        <f t="shared" si="223"/>
        <v>2</v>
      </c>
      <c r="R556" s="147">
        <v>269100</v>
      </c>
      <c r="S556" s="147">
        <f t="shared" si="214"/>
        <v>592020</v>
      </c>
      <c r="T556" s="147">
        <f t="shared" si="215"/>
        <v>538200</v>
      </c>
      <c r="U556" s="73" t="str">
        <f t="shared" si="218"/>
        <v>O</v>
      </c>
      <c r="V556" s="73"/>
      <c r="W556" s="482">
        <f t="shared" si="224"/>
        <v>115800</v>
      </c>
      <c r="X556" s="73"/>
      <c r="Y556" s="73"/>
    </row>
    <row r="557" spans="1:25" ht="30" hidden="1" customHeight="1" x14ac:dyDescent="0.25">
      <c r="A557" s="80">
        <v>171223</v>
      </c>
      <c r="B557" s="664" t="s">
        <v>442</v>
      </c>
      <c r="C557" s="71" t="s">
        <v>134</v>
      </c>
      <c r="D557" s="71">
        <v>2</v>
      </c>
      <c r="E557" s="102">
        <v>401000</v>
      </c>
      <c r="F557" s="102">
        <f t="shared" si="220"/>
        <v>882200.00000000012</v>
      </c>
      <c r="G557" s="102">
        <f t="shared" si="221"/>
        <v>802000</v>
      </c>
      <c r="H557" s="690" t="s">
        <v>173</v>
      </c>
      <c r="I557" s="71" t="s">
        <v>141</v>
      </c>
      <c r="J557" s="53">
        <f>(G557-(VLOOKUP(C557,Price!B:D,3,FALSE)*D557))</f>
        <v>174080</v>
      </c>
      <c r="K557" s="63">
        <f t="shared" si="225"/>
        <v>0.21705735660847877</v>
      </c>
      <c r="L557" s="82">
        <v>17.12</v>
      </c>
      <c r="M557" s="468"/>
      <c r="N557" s="664">
        <f t="shared" si="211"/>
        <v>171223</v>
      </c>
      <c r="O557" s="71" t="s">
        <v>145</v>
      </c>
      <c r="P557" s="103" t="str">
        <f t="shared" si="222"/>
        <v>Agfa Film(28inch)</v>
      </c>
      <c r="Q557" s="71">
        <f t="shared" si="223"/>
        <v>2</v>
      </c>
      <c r="R557" s="102">
        <v>313960</v>
      </c>
      <c r="S557" s="102">
        <f t="shared" si="214"/>
        <v>690712</v>
      </c>
      <c r="T557" s="102">
        <f t="shared" si="215"/>
        <v>627920</v>
      </c>
      <c r="U557" s="71" t="str">
        <f t="shared" si="218"/>
        <v>O</v>
      </c>
      <c r="V557" s="71"/>
      <c r="W557" s="482">
        <f t="shared" si="224"/>
        <v>174080</v>
      </c>
      <c r="X557" s="71"/>
      <c r="Y557" s="71"/>
    </row>
    <row r="558" spans="1:25" ht="30" hidden="1" customHeight="1" x14ac:dyDescent="0.25">
      <c r="A558" s="80">
        <v>171223</v>
      </c>
      <c r="B558" s="664" t="s">
        <v>442</v>
      </c>
      <c r="C558" s="71" t="s">
        <v>135</v>
      </c>
      <c r="D558" s="71">
        <v>2</v>
      </c>
      <c r="E558" s="102">
        <v>448000</v>
      </c>
      <c r="F558" s="102">
        <f t="shared" si="220"/>
        <v>985600.00000000012</v>
      </c>
      <c r="G558" s="102">
        <f t="shared" si="221"/>
        <v>896000</v>
      </c>
      <c r="H558" s="690" t="s">
        <v>173</v>
      </c>
      <c r="I558" s="71" t="s">
        <v>141</v>
      </c>
      <c r="J558" s="53">
        <f>(G558-(VLOOKUP(C558,Price!B:D,3,FALSE)*D558))</f>
        <v>155980</v>
      </c>
      <c r="K558" s="63">
        <f t="shared" si="225"/>
        <v>0.1740848214285714</v>
      </c>
      <c r="L558" s="82">
        <v>17.12</v>
      </c>
      <c r="M558" s="468"/>
      <c r="N558" s="664">
        <f t="shared" si="211"/>
        <v>171223</v>
      </c>
      <c r="O558" s="71" t="s">
        <v>145</v>
      </c>
      <c r="P558" s="103" t="str">
        <f t="shared" si="222"/>
        <v>Agfa Film(32inch)</v>
      </c>
      <c r="Q558" s="71">
        <f t="shared" si="223"/>
        <v>2</v>
      </c>
      <c r="R558" s="102">
        <v>370010</v>
      </c>
      <c r="S558" s="102">
        <f t="shared" si="214"/>
        <v>814022.00000000012</v>
      </c>
      <c r="T558" s="102">
        <f t="shared" si="215"/>
        <v>740020</v>
      </c>
      <c r="U558" s="71" t="str">
        <f t="shared" si="218"/>
        <v>O</v>
      </c>
      <c r="V558" s="71"/>
      <c r="W558" s="482">
        <f t="shared" si="224"/>
        <v>155980</v>
      </c>
      <c r="X558" s="71"/>
      <c r="Y558" s="71"/>
    </row>
    <row r="559" spans="1:25" s="602" customFormat="1" ht="30" hidden="1" customHeight="1" x14ac:dyDescent="0.25">
      <c r="A559" s="612">
        <v>171223</v>
      </c>
      <c r="B559" s="668" t="s">
        <v>442</v>
      </c>
      <c r="C559" s="84" t="s">
        <v>649</v>
      </c>
      <c r="D559" s="84">
        <v>2</v>
      </c>
      <c r="E559" s="189">
        <v>41000</v>
      </c>
      <c r="F559" s="189">
        <f t="shared" si="220"/>
        <v>90200.000000000015</v>
      </c>
      <c r="G559" s="189">
        <f t="shared" si="221"/>
        <v>82000</v>
      </c>
      <c r="H559" s="691" t="s">
        <v>173</v>
      </c>
      <c r="I559" s="84" t="s">
        <v>141</v>
      </c>
      <c r="J559" s="61">
        <f>(G559-(VLOOKUP(C559,Price!B:D,3,FALSE)*D559))</f>
        <v>32000</v>
      </c>
      <c r="K559" s="62">
        <f t="shared" si="225"/>
        <v>0.39024390243902435</v>
      </c>
      <c r="L559" s="85">
        <v>17.12</v>
      </c>
      <c r="M559" s="601"/>
      <c r="N559" s="668">
        <f t="shared" si="211"/>
        <v>171223</v>
      </c>
      <c r="O559" s="84" t="s">
        <v>145</v>
      </c>
      <c r="P559" s="133" t="str">
        <f t="shared" si="222"/>
        <v>Agfa 현상액 G101C(10L)</v>
      </c>
      <c r="Q559" s="84">
        <f t="shared" si="223"/>
        <v>2</v>
      </c>
      <c r="R559" s="189">
        <v>25000</v>
      </c>
      <c r="S559" s="189">
        <f t="shared" si="214"/>
        <v>55000.000000000007</v>
      </c>
      <c r="T559" s="189">
        <f t="shared" si="215"/>
        <v>50000</v>
      </c>
      <c r="U559" s="84" t="str">
        <f t="shared" si="218"/>
        <v>O</v>
      </c>
      <c r="V559" s="84"/>
      <c r="W559" s="481">
        <f t="shared" si="224"/>
        <v>32000</v>
      </c>
      <c r="X559" s="84"/>
      <c r="Y559" s="84"/>
    </row>
    <row r="560" spans="1:25" ht="30" hidden="1" customHeight="1" x14ac:dyDescent="0.25">
      <c r="A560" s="80">
        <v>171226</v>
      </c>
      <c r="B560" s="663" t="s">
        <v>569</v>
      </c>
      <c r="C560" s="73" t="s">
        <v>976</v>
      </c>
      <c r="D560" s="73">
        <v>1</v>
      </c>
      <c r="E560" s="147">
        <v>650000</v>
      </c>
      <c r="F560" s="147">
        <f t="shared" si="220"/>
        <v>715000</v>
      </c>
      <c r="G560" s="147">
        <f t="shared" si="221"/>
        <v>650000</v>
      </c>
      <c r="H560" s="1005" t="s">
        <v>39</v>
      </c>
      <c r="I560" s="73"/>
      <c r="J560" s="53">
        <f>(G560-(VLOOKUP(C560,Import!C:G,4,FALSE)*D560))</f>
        <v>650000</v>
      </c>
      <c r="K560" s="63">
        <f t="shared" si="225"/>
        <v>1</v>
      </c>
      <c r="L560" s="80">
        <v>17.12</v>
      </c>
      <c r="M560" s="584"/>
      <c r="N560" s="663">
        <f t="shared" si="211"/>
        <v>171226</v>
      </c>
      <c r="O560" s="987" t="s">
        <v>39</v>
      </c>
      <c r="P560" s="132" t="str">
        <f t="shared" si="222"/>
        <v>Tank FZT55 incl. insulation</v>
      </c>
      <c r="Q560" s="73">
        <f t="shared" si="223"/>
        <v>1</v>
      </c>
      <c r="R560" s="147"/>
      <c r="S560" s="147">
        <f t="shared" si="214"/>
        <v>0</v>
      </c>
      <c r="T560" s="147">
        <f t="shared" si="215"/>
        <v>0</v>
      </c>
      <c r="U560" s="73" t="str">
        <f t="shared" si="218"/>
        <v>O</v>
      </c>
      <c r="V560" s="73"/>
      <c r="W560" s="482">
        <f t="shared" si="224"/>
        <v>650000</v>
      </c>
      <c r="X560" s="73"/>
      <c r="Y560" s="73"/>
    </row>
    <row r="561" spans="1:25" ht="30" hidden="1" customHeight="1" x14ac:dyDescent="0.25">
      <c r="A561" s="82">
        <v>171226</v>
      </c>
      <c r="B561" s="664" t="s">
        <v>569</v>
      </c>
      <c r="C561" s="71" t="s">
        <v>978</v>
      </c>
      <c r="D561" s="71">
        <v>1</v>
      </c>
      <c r="E561" s="102">
        <v>650000</v>
      </c>
      <c r="F561" s="102">
        <f t="shared" si="220"/>
        <v>715000</v>
      </c>
      <c r="G561" s="102">
        <f t="shared" si="221"/>
        <v>650000</v>
      </c>
      <c r="H561" s="1010" t="s">
        <v>39</v>
      </c>
      <c r="I561" s="71"/>
      <c r="J561" s="53">
        <f>(G561-(VLOOKUP(C561,Import!C:G,4,FALSE)*D561))</f>
        <v>650000</v>
      </c>
      <c r="K561" s="63">
        <f t="shared" si="225"/>
        <v>1</v>
      </c>
      <c r="L561" s="82">
        <v>17.12</v>
      </c>
      <c r="M561" s="468"/>
      <c r="N561" s="664">
        <f t="shared" si="211"/>
        <v>171226</v>
      </c>
      <c r="O561" s="991" t="s">
        <v>39</v>
      </c>
      <c r="P561" s="103" t="str">
        <f t="shared" si="222"/>
        <v>Spare Parts for mechanical floater ball</v>
      </c>
      <c r="Q561" s="71">
        <f t="shared" si="223"/>
        <v>1</v>
      </c>
      <c r="R561" s="102"/>
      <c r="S561" s="102">
        <f t="shared" si="214"/>
        <v>0</v>
      </c>
      <c r="T561" s="102">
        <f t="shared" si="215"/>
        <v>0</v>
      </c>
      <c r="U561" s="71" t="str">
        <f t="shared" si="218"/>
        <v>O</v>
      </c>
      <c r="V561" s="71"/>
      <c r="W561" s="482">
        <f t="shared" si="224"/>
        <v>650000</v>
      </c>
      <c r="X561" s="71"/>
      <c r="Y561" s="71"/>
    </row>
    <row r="562" spans="1:25" s="616" customFormat="1" ht="30" hidden="1" customHeight="1" x14ac:dyDescent="0.25">
      <c r="A562" s="82">
        <v>171226</v>
      </c>
      <c r="B562" s="664" t="s">
        <v>569</v>
      </c>
      <c r="C562" s="71" t="s">
        <v>123</v>
      </c>
      <c r="D562" s="71">
        <v>2</v>
      </c>
      <c r="E562" s="102">
        <v>45000</v>
      </c>
      <c r="F562" s="102">
        <f t="shared" si="220"/>
        <v>99000.000000000015</v>
      </c>
      <c r="G562" s="102">
        <f t="shared" si="221"/>
        <v>90000</v>
      </c>
      <c r="H562" s="1010" t="s">
        <v>39</v>
      </c>
      <c r="I562" s="71"/>
      <c r="J562" s="53">
        <f>(G562-(VLOOKUP(C562,Import!C:G,4,FALSE)*D562))</f>
        <v>90000</v>
      </c>
      <c r="K562" s="63">
        <f t="shared" ref="K562:K568" si="226">(J562/(F562/11*10))</f>
        <v>0.99999999999999989</v>
      </c>
      <c r="L562" s="82">
        <v>17.12</v>
      </c>
      <c r="M562" s="468"/>
      <c r="N562" s="664">
        <f t="shared" si="211"/>
        <v>171226</v>
      </c>
      <c r="O562" s="991" t="s">
        <v>39</v>
      </c>
      <c r="P562" s="103" t="str">
        <f t="shared" si="222"/>
        <v>필터백</v>
      </c>
      <c r="Q562" s="71">
        <f t="shared" si="223"/>
        <v>2</v>
      </c>
      <c r="R562" s="102">
        <v>22461</v>
      </c>
      <c r="S562" s="102">
        <f t="shared" si="214"/>
        <v>49414.200000000004</v>
      </c>
      <c r="T562" s="102">
        <f t="shared" si="215"/>
        <v>44922</v>
      </c>
      <c r="U562" s="71" t="str">
        <f t="shared" si="218"/>
        <v>X</v>
      </c>
      <c r="V562" s="71"/>
      <c r="W562" s="520">
        <f t="shared" si="224"/>
        <v>45078</v>
      </c>
      <c r="X562" s="71"/>
      <c r="Y562" s="71"/>
    </row>
    <row r="563" spans="1:25" ht="30" hidden="1" customHeight="1" x14ac:dyDescent="0.25">
      <c r="A563" s="80">
        <v>171226</v>
      </c>
      <c r="B563" s="663" t="s">
        <v>546</v>
      </c>
      <c r="C563" s="73" t="s">
        <v>121</v>
      </c>
      <c r="D563" s="73">
        <v>8</v>
      </c>
      <c r="E563" s="147">
        <v>110000</v>
      </c>
      <c r="F563" s="147">
        <f t="shared" si="220"/>
        <v>968000.00000000012</v>
      </c>
      <c r="G563" s="147">
        <f t="shared" si="221"/>
        <v>880000</v>
      </c>
      <c r="H563" s="689" t="s">
        <v>173</v>
      </c>
      <c r="I563" s="73" t="s">
        <v>142</v>
      </c>
      <c r="J563" s="60">
        <f>(G563-(VLOOKUP(C563,Price!B:D,3,FALSE)*D563))</f>
        <v>152000</v>
      </c>
      <c r="K563" s="427">
        <f t="shared" si="226"/>
        <v>0.1727272727272727</v>
      </c>
      <c r="L563" s="788">
        <v>17.12</v>
      </c>
      <c r="M563" s="584"/>
      <c r="N563" s="663">
        <f t="shared" si="211"/>
        <v>171226</v>
      </c>
      <c r="O563" s="73" t="s">
        <v>150</v>
      </c>
      <c r="P563" s="132" t="str">
        <f t="shared" si="222"/>
        <v>윤전용 실리콘</v>
      </c>
      <c r="Q563" s="73">
        <f t="shared" si="223"/>
        <v>8</v>
      </c>
      <c r="R563" s="147">
        <v>91000</v>
      </c>
      <c r="S563" s="147">
        <f t="shared" si="214"/>
        <v>800800.00000000012</v>
      </c>
      <c r="T563" s="147">
        <f t="shared" si="215"/>
        <v>728000</v>
      </c>
      <c r="U563" s="73" t="str">
        <f t="shared" si="218"/>
        <v>O</v>
      </c>
      <c r="V563" s="73"/>
      <c r="W563" s="515">
        <f t="shared" si="224"/>
        <v>152000</v>
      </c>
      <c r="X563" s="73"/>
      <c r="Y563" s="73"/>
    </row>
    <row r="564" spans="1:25" s="610" customFormat="1" ht="30" customHeight="1" x14ac:dyDescent="0.25">
      <c r="A564" s="89">
        <v>171227</v>
      </c>
      <c r="B564" s="673" t="s">
        <v>422</v>
      </c>
      <c r="C564" s="872" t="s">
        <v>218</v>
      </c>
      <c r="D564" s="88">
        <v>5</v>
      </c>
      <c r="E564" s="470">
        <v>235000</v>
      </c>
      <c r="F564" s="470">
        <f t="shared" si="220"/>
        <v>1292500</v>
      </c>
      <c r="G564" s="470">
        <f t="shared" si="221"/>
        <v>1175000</v>
      </c>
      <c r="H564" s="695" t="s">
        <v>173</v>
      </c>
      <c r="I564" s="88" t="s">
        <v>120</v>
      </c>
      <c r="J564" s="107">
        <f>(G564-(VLOOKUP(C564,Price!B:D,3,FALSE)*D564))</f>
        <v>612500</v>
      </c>
      <c r="K564" s="469">
        <f t="shared" si="226"/>
        <v>0.52127659574468088</v>
      </c>
      <c r="L564" s="89">
        <v>17.12</v>
      </c>
      <c r="M564" s="575"/>
      <c r="N564" s="673">
        <f t="shared" si="211"/>
        <v>171227</v>
      </c>
      <c r="O564" s="88" t="s">
        <v>150</v>
      </c>
      <c r="P564" s="134" t="str">
        <f t="shared" si="222"/>
        <v>Fount Web 551AF</v>
      </c>
      <c r="Q564" s="88">
        <f t="shared" si="223"/>
        <v>5</v>
      </c>
      <c r="R564" s="470">
        <v>112500</v>
      </c>
      <c r="S564" s="470">
        <f t="shared" si="214"/>
        <v>618750</v>
      </c>
      <c r="T564" s="470">
        <f t="shared" si="215"/>
        <v>562500</v>
      </c>
      <c r="U564" s="88" t="str">
        <f t="shared" si="218"/>
        <v>O</v>
      </c>
      <c r="V564" s="88"/>
      <c r="W564" s="483">
        <f t="shared" si="224"/>
        <v>612500</v>
      </c>
      <c r="X564" s="88"/>
      <c r="Y564" s="88"/>
    </row>
    <row r="565" spans="1:25" ht="30" hidden="1" customHeight="1" x14ac:dyDescent="0.25">
      <c r="A565" s="80">
        <v>171228</v>
      </c>
      <c r="B565" s="663" t="s">
        <v>558</v>
      </c>
      <c r="C565" s="73" t="s">
        <v>993</v>
      </c>
      <c r="D565" s="73">
        <v>3</v>
      </c>
      <c r="E565" s="147">
        <v>125000</v>
      </c>
      <c r="F565" s="147">
        <f t="shared" si="220"/>
        <v>412500.00000000006</v>
      </c>
      <c r="G565" s="147">
        <f t="shared" si="221"/>
        <v>375000</v>
      </c>
      <c r="H565" s="689" t="s">
        <v>173</v>
      </c>
      <c r="I565" s="73" t="s">
        <v>109</v>
      </c>
      <c r="J565" s="60">
        <f>(G565-(VLOOKUP(C565,Price!B:D,3,FALSE)*D565))</f>
        <v>160800</v>
      </c>
      <c r="K565" s="427">
        <f t="shared" si="226"/>
        <v>0.42879999999999996</v>
      </c>
      <c r="L565" s="80">
        <v>17.12</v>
      </c>
      <c r="M565" s="584"/>
      <c r="N565" s="663">
        <f t="shared" si="211"/>
        <v>171228</v>
      </c>
      <c r="O565" s="73" t="s">
        <v>560</v>
      </c>
      <c r="P565" s="132" t="str">
        <f t="shared" si="222"/>
        <v>코팅용 Blanket(1047*794)bar</v>
      </c>
      <c r="Q565" s="73">
        <f t="shared" si="223"/>
        <v>3</v>
      </c>
      <c r="R565" s="147">
        <v>71400</v>
      </c>
      <c r="S565" s="147">
        <f t="shared" si="214"/>
        <v>235620.00000000003</v>
      </c>
      <c r="T565" s="147">
        <f t="shared" si="215"/>
        <v>214200</v>
      </c>
      <c r="U565" s="73" t="str">
        <f t="shared" si="218"/>
        <v>O</v>
      </c>
      <c r="V565" s="73"/>
      <c r="W565" s="482">
        <f t="shared" si="224"/>
        <v>160800</v>
      </c>
      <c r="X565" s="73"/>
      <c r="Y565" s="73"/>
    </row>
    <row r="566" spans="1:25" s="602" customFormat="1" ht="30" hidden="1" customHeight="1" x14ac:dyDescent="0.25">
      <c r="A566" s="612">
        <v>171228</v>
      </c>
      <c r="B566" s="668" t="s">
        <v>549</v>
      </c>
      <c r="C566" s="84" t="s">
        <v>119</v>
      </c>
      <c r="D566" s="84">
        <v>15</v>
      </c>
      <c r="E566" s="189">
        <v>115000</v>
      </c>
      <c r="F566" s="189">
        <f t="shared" si="220"/>
        <v>1897500.0000000002</v>
      </c>
      <c r="G566" s="189">
        <f t="shared" si="221"/>
        <v>1725000</v>
      </c>
      <c r="H566" s="691" t="s">
        <v>173</v>
      </c>
      <c r="I566" s="84" t="s">
        <v>109</v>
      </c>
      <c r="J566" s="61">
        <f>(G566-(VLOOKUP(C566,Price!B:D,3,FALSE)*D566))</f>
        <v>394500</v>
      </c>
      <c r="K566" s="62">
        <f t="shared" si="226"/>
        <v>0.22869565217391302</v>
      </c>
      <c r="L566" s="85">
        <v>17.12</v>
      </c>
      <c r="M566" s="601"/>
      <c r="N566" s="668">
        <f t="shared" si="211"/>
        <v>171228</v>
      </c>
      <c r="O566" s="84" t="s">
        <v>150</v>
      </c>
      <c r="P566" s="133" t="str">
        <f t="shared" si="222"/>
        <v>미쯔비시 Blanket(1035*910)</v>
      </c>
      <c r="Q566" s="84">
        <f t="shared" si="223"/>
        <v>15</v>
      </c>
      <c r="R566" s="189">
        <v>88700</v>
      </c>
      <c r="S566" s="189">
        <f t="shared" si="214"/>
        <v>1463550.0000000002</v>
      </c>
      <c r="T566" s="189">
        <f t="shared" si="215"/>
        <v>1330500</v>
      </c>
      <c r="U566" s="84" t="str">
        <f t="shared" si="218"/>
        <v>O</v>
      </c>
      <c r="V566" s="84"/>
      <c r="W566" s="481">
        <f t="shared" si="224"/>
        <v>394500</v>
      </c>
      <c r="X566" s="84"/>
      <c r="Y566" s="84"/>
    </row>
    <row r="567" spans="1:25" ht="30" hidden="1" customHeight="1" x14ac:dyDescent="0.2">
      <c r="A567" s="80">
        <v>171229</v>
      </c>
      <c r="B567" s="663" t="s">
        <v>445</v>
      </c>
      <c r="C567" s="73" t="s">
        <v>121</v>
      </c>
      <c r="D567" s="73">
        <v>2</v>
      </c>
      <c r="E567" s="147">
        <v>110000</v>
      </c>
      <c r="F567" s="160">
        <f t="shared" si="220"/>
        <v>242000.00000000003</v>
      </c>
      <c r="G567" s="160">
        <f t="shared" si="221"/>
        <v>220000</v>
      </c>
      <c r="H567" s="161" t="s">
        <v>172</v>
      </c>
      <c r="I567" s="73" t="s">
        <v>142</v>
      </c>
      <c r="J567" s="60">
        <f>(G567-(VLOOKUP(C567,Price!B:D,3,FALSE)*D567))</f>
        <v>38000</v>
      </c>
      <c r="K567" s="427">
        <f t="shared" si="226"/>
        <v>0.1727272727272727</v>
      </c>
      <c r="L567" s="80">
        <v>17.12</v>
      </c>
      <c r="M567" s="584"/>
      <c r="N567" s="663">
        <f>A567</f>
        <v>171229</v>
      </c>
      <c r="O567" s="73" t="s">
        <v>150</v>
      </c>
      <c r="P567" s="132" t="str">
        <f>C567</f>
        <v>윤전용 실리콘</v>
      </c>
      <c r="Q567" s="73">
        <f t="shared" si="223"/>
        <v>2</v>
      </c>
      <c r="R567" s="147">
        <v>91000</v>
      </c>
      <c r="S567" s="147">
        <f t="shared" si="214"/>
        <v>200200.00000000003</v>
      </c>
      <c r="T567" s="147">
        <f t="shared" si="215"/>
        <v>182000</v>
      </c>
      <c r="U567" s="73" t="str">
        <f t="shared" si="218"/>
        <v>O</v>
      </c>
      <c r="V567" s="73"/>
      <c r="W567" s="482">
        <f t="shared" si="224"/>
        <v>38000</v>
      </c>
      <c r="X567" s="73"/>
      <c r="Y567" s="73"/>
    </row>
    <row r="568" spans="1:25" s="602" customFormat="1" ht="30" hidden="1" customHeight="1" x14ac:dyDescent="0.25">
      <c r="A568" s="85">
        <v>171229</v>
      </c>
      <c r="B568" s="668" t="s">
        <v>640</v>
      </c>
      <c r="C568" s="84" t="s">
        <v>137</v>
      </c>
      <c r="D568" s="84">
        <v>10</v>
      </c>
      <c r="E568" s="189">
        <v>172000</v>
      </c>
      <c r="F568" s="189">
        <f t="shared" si="220"/>
        <v>1892000.0000000002</v>
      </c>
      <c r="G568" s="189">
        <f t="shared" si="221"/>
        <v>1720000</v>
      </c>
      <c r="H568" s="691" t="s">
        <v>173</v>
      </c>
      <c r="I568" s="84" t="s">
        <v>108</v>
      </c>
      <c r="J568" s="61">
        <f>(G568-(VLOOKUP(C568,Price!B:D,3,FALSE)*D568))</f>
        <v>570000</v>
      </c>
      <c r="K568" s="62">
        <f t="shared" si="226"/>
        <v>0.33139534883720928</v>
      </c>
      <c r="L568" s="85">
        <v>17.12</v>
      </c>
      <c r="M568" s="601"/>
      <c r="N568" s="668">
        <f>A568</f>
        <v>171229</v>
      </c>
      <c r="O568" s="84" t="s">
        <v>150</v>
      </c>
      <c r="P568" s="133" t="str">
        <f>C568</f>
        <v>윤전용 세척제(Web 504)</v>
      </c>
      <c r="Q568" s="84">
        <f t="shared" si="223"/>
        <v>10</v>
      </c>
      <c r="R568" s="189">
        <v>115000</v>
      </c>
      <c r="S568" s="189">
        <f t="shared" si="214"/>
        <v>1265000</v>
      </c>
      <c r="T568" s="189">
        <f t="shared" si="215"/>
        <v>1150000</v>
      </c>
      <c r="U568" s="84" t="str">
        <f t="shared" si="218"/>
        <v>O</v>
      </c>
      <c r="V568" s="84"/>
      <c r="W568" s="481">
        <f t="shared" si="224"/>
        <v>570000</v>
      </c>
      <c r="X568" s="84"/>
      <c r="Y568" s="84"/>
    </row>
    <row r="569" spans="1:25" s="894" customFormat="1" ht="30" hidden="1" customHeight="1" x14ac:dyDescent="0.25">
      <c r="A569" s="886">
        <v>171219</v>
      </c>
      <c r="B569" s="887" t="s">
        <v>941</v>
      </c>
      <c r="C569" s="888" t="s">
        <v>942</v>
      </c>
      <c r="D569" s="888">
        <v>1</v>
      </c>
      <c r="E569" s="889">
        <v>6300000</v>
      </c>
      <c r="F569" s="889">
        <f>(E569*D569)*1.1</f>
        <v>6930000.0000000009</v>
      </c>
      <c r="G569" s="889">
        <f>(E569*D569)</f>
        <v>6300000</v>
      </c>
      <c r="H569" s="890" t="s">
        <v>173</v>
      </c>
      <c r="I569" s="888" t="s">
        <v>944</v>
      </c>
      <c r="J569" s="889"/>
      <c r="K569" s="891"/>
      <c r="L569" s="886">
        <v>17.12</v>
      </c>
      <c r="M569" s="892" t="s">
        <v>995</v>
      </c>
      <c r="N569" s="887">
        <f>A569</f>
        <v>171219</v>
      </c>
      <c r="O569" s="888" t="s">
        <v>943</v>
      </c>
      <c r="P569" s="893" t="str">
        <f>C569</f>
        <v>농도계</v>
      </c>
      <c r="Q569" s="888">
        <f>D569</f>
        <v>1</v>
      </c>
      <c r="R569" s="889"/>
      <c r="S569" s="889">
        <f t="shared" si="214"/>
        <v>0</v>
      </c>
      <c r="T569" s="889">
        <f t="shared" si="215"/>
        <v>0</v>
      </c>
      <c r="U569" s="888" t="str">
        <f t="shared" si="218"/>
        <v>X</v>
      </c>
      <c r="V569" s="888"/>
      <c r="W569" s="481">
        <f t="shared" si="224"/>
        <v>6300000</v>
      </c>
      <c r="X569" s="888"/>
      <c r="Y569" s="888"/>
    </row>
    <row r="570" spans="1:25" s="496" customFormat="1" ht="45" hidden="1" customHeight="1" x14ac:dyDescent="0.25">
      <c r="A570" s="869">
        <v>2018.1</v>
      </c>
      <c r="B570" s="675" t="s">
        <v>544</v>
      </c>
      <c r="C570" s="488"/>
      <c r="D570" s="488"/>
      <c r="E570" s="489"/>
      <c r="F570" s="489"/>
      <c r="G570" s="489"/>
      <c r="H570" s="490"/>
      <c r="I570" s="491"/>
      <c r="J570" s="492"/>
      <c r="K570" s="493"/>
      <c r="L570" s="870">
        <v>18.100000000000001</v>
      </c>
      <c r="M570" s="645"/>
      <c r="N570" s="725">
        <f t="shared" si="211"/>
        <v>2018.1</v>
      </c>
      <c r="O570" s="488" t="s">
        <v>154</v>
      </c>
      <c r="P570" s="729"/>
      <c r="Q570" s="494"/>
      <c r="R570" s="495"/>
      <c r="S570" s="492"/>
      <c r="T570" s="492"/>
      <c r="W570" s="497"/>
    </row>
    <row r="571" spans="1:25" s="610" customFormat="1" ht="30" hidden="1" customHeight="1" x14ac:dyDescent="0.25">
      <c r="A571" s="89">
        <v>171221</v>
      </c>
      <c r="B571" s="673" t="s">
        <v>764</v>
      </c>
      <c r="C571" s="88" t="s">
        <v>968</v>
      </c>
      <c r="D571" s="88">
        <v>1</v>
      </c>
      <c r="E571" s="470">
        <v>375000</v>
      </c>
      <c r="F571" s="470">
        <f>(E571*D571)*1.1</f>
        <v>412500.00000000006</v>
      </c>
      <c r="G571" s="470">
        <f>(E571*D571)</f>
        <v>375000</v>
      </c>
      <c r="H571" s="1004" t="s">
        <v>39</v>
      </c>
      <c r="I571" s="88"/>
      <c r="J571" s="107">
        <v>244073.4564</v>
      </c>
      <c r="K571" s="880">
        <f>(J571/(F571/11*10))</f>
        <v>0.65086255039999985</v>
      </c>
      <c r="L571" s="89">
        <v>18.100000000000001</v>
      </c>
      <c r="M571" s="575"/>
      <c r="N571" s="673">
        <f>A571</f>
        <v>171221</v>
      </c>
      <c r="O571" s="1002" t="s">
        <v>39</v>
      </c>
      <c r="P571" s="134" t="str">
        <f>C571</f>
        <v>Quick Coupling Water</v>
      </c>
      <c r="Q571" s="88">
        <f>D571</f>
        <v>1</v>
      </c>
      <c r="R571" s="470">
        <f>(VLOOKUP(C571,Import!C:G,4,FALSE))</f>
        <v>0</v>
      </c>
      <c r="S571" s="470">
        <f>R571*Q571*1.1</f>
        <v>0</v>
      </c>
      <c r="T571" s="470">
        <f>R571*Q571</f>
        <v>0</v>
      </c>
      <c r="U571" s="88" t="str">
        <f t="shared" ref="U571:U589" si="227">IF(J571=W571,"O", "X")</f>
        <v>X</v>
      </c>
      <c r="V571" s="88"/>
      <c r="W571" s="483">
        <f t="shared" ref="W571:W589" si="228">(G571-T571)</f>
        <v>375000</v>
      </c>
      <c r="X571" s="88"/>
      <c r="Y571" s="88"/>
    </row>
    <row r="572" spans="1:25" ht="30" hidden="1" customHeight="1" x14ac:dyDescent="0.25">
      <c r="A572" s="80">
        <v>171226</v>
      </c>
      <c r="B572" s="663" t="s">
        <v>545</v>
      </c>
      <c r="C572" s="73" t="s">
        <v>952</v>
      </c>
      <c r="D572" s="73">
        <v>1</v>
      </c>
      <c r="E572" s="147">
        <v>630000</v>
      </c>
      <c r="F572" s="147">
        <f t="shared" ref="F572:F588" si="229">(E572*D572)*1.1</f>
        <v>693000</v>
      </c>
      <c r="G572" s="147">
        <f t="shared" ref="G572:G588" si="230">(E572*D572)</f>
        <v>630000</v>
      </c>
      <c r="H572" s="689" t="s">
        <v>173</v>
      </c>
      <c r="I572" s="73" t="s">
        <v>108</v>
      </c>
      <c r="J572" s="60">
        <f>(G572-(VLOOKUP(C572,Price!B:D,3,FALSE)*D572))</f>
        <v>180000</v>
      </c>
      <c r="K572" s="427">
        <f t="shared" ref="K572:K577" si="231">(J572/(F572/11*10))</f>
        <v>0.2857142857142857</v>
      </c>
      <c r="L572" s="80">
        <v>18.100000000000001</v>
      </c>
      <c r="M572" s="584"/>
      <c r="N572" s="663">
        <f>A572</f>
        <v>171226</v>
      </c>
      <c r="O572" s="73" t="s">
        <v>599</v>
      </c>
      <c r="P572" s="132" t="str">
        <f t="shared" ref="P572:Q575" si="232">C572</f>
        <v>점보롤 세정포</v>
      </c>
      <c r="Q572" s="73">
        <f t="shared" si="232"/>
        <v>1</v>
      </c>
      <c r="R572" s="147">
        <v>450000</v>
      </c>
      <c r="S572" s="147">
        <f>R572*Q572*1.1</f>
        <v>495000.00000000006</v>
      </c>
      <c r="T572" s="147">
        <f>R572*Q572</f>
        <v>450000</v>
      </c>
      <c r="U572" s="73" t="str">
        <f t="shared" si="227"/>
        <v>O</v>
      </c>
      <c r="V572" s="73"/>
      <c r="W572" s="482">
        <f t="shared" si="228"/>
        <v>180000</v>
      </c>
      <c r="X572" s="73"/>
      <c r="Y572" s="73"/>
    </row>
    <row r="573" spans="1:25" s="602" customFormat="1" ht="30" hidden="1" customHeight="1" x14ac:dyDescent="0.25">
      <c r="A573" s="85">
        <v>171226</v>
      </c>
      <c r="B573" s="668" t="s">
        <v>545</v>
      </c>
      <c r="C573" s="84" t="s">
        <v>131</v>
      </c>
      <c r="D573" s="84">
        <v>6</v>
      </c>
      <c r="E573" s="189">
        <v>135000</v>
      </c>
      <c r="F573" s="189">
        <f t="shared" si="229"/>
        <v>891000.00000000012</v>
      </c>
      <c r="G573" s="189">
        <f t="shared" si="230"/>
        <v>810000</v>
      </c>
      <c r="H573" s="691" t="s">
        <v>173</v>
      </c>
      <c r="I573" s="84" t="s">
        <v>108</v>
      </c>
      <c r="J573" s="61">
        <f>(G573-(VLOOKUP(C573,Price!B:D,3,FALSE)*D573))</f>
        <v>150000</v>
      </c>
      <c r="K573" s="62">
        <f t="shared" si="231"/>
        <v>0.18518518518518515</v>
      </c>
      <c r="L573" s="873">
        <v>18.100000000000001</v>
      </c>
      <c r="M573" s="601"/>
      <c r="N573" s="668">
        <f>A573</f>
        <v>171226</v>
      </c>
      <c r="O573" s="84" t="s">
        <v>148</v>
      </c>
      <c r="P573" s="133" t="str">
        <f t="shared" si="232"/>
        <v>UV wash(20L)</v>
      </c>
      <c r="Q573" s="84">
        <f t="shared" si="232"/>
        <v>6</v>
      </c>
      <c r="R573" s="189">
        <v>110000</v>
      </c>
      <c r="S573" s="189">
        <f>R573*Q573*1.1</f>
        <v>726000.00000000012</v>
      </c>
      <c r="T573" s="189">
        <f>R573*Q573</f>
        <v>660000</v>
      </c>
      <c r="U573" s="84" t="str">
        <f t="shared" si="227"/>
        <v>O</v>
      </c>
      <c r="V573" s="84"/>
      <c r="W573" s="481">
        <f t="shared" si="228"/>
        <v>150000</v>
      </c>
      <c r="X573" s="84"/>
      <c r="Y573" s="84"/>
    </row>
    <row r="574" spans="1:25" ht="30" hidden="1" customHeight="1" x14ac:dyDescent="0.25">
      <c r="A574" s="80">
        <v>171227</v>
      </c>
      <c r="B574" s="663" t="s">
        <v>1051</v>
      </c>
      <c r="C574" s="73" t="s">
        <v>524</v>
      </c>
      <c r="D574" s="73">
        <v>900</v>
      </c>
      <c r="E574" s="147">
        <v>3990</v>
      </c>
      <c r="F574" s="147">
        <f t="shared" si="229"/>
        <v>3950100.0000000005</v>
      </c>
      <c r="G574" s="147">
        <f t="shared" si="230"/>
        <v>3591000</v>
      </c>
      <c r="H574" s="689" t="s">
        <v>142</v>
      </c>
      <c r="I574" s="73" t="s">
        <v>140</v>
      </c>
      <c r="J574" s="60">
        <f>(G574-(VLOOKUP(C574,Price!B:D,3,FALSE)*D574))</f>
        <v>1125000</v>
      </c>
      <c r="K574" s="427">
        <f t="shared" si="231"/>
        <v>0.31328320802005011</v>
      </c>
      <c r="L574" s="874">
        <v>18.100000000000001</v>
      </c>
      <c r="M574" s="584"/>
      <c r="N574" s="663">
        <f t="shared" si="211"/>
        <v>171227</v>
      </c>
      <c r="O574" s="73" t="s">
        <v>145</v>
      </c>
      <c r="P574" s="132" t="str">
        <f t="shared" si="232"/>
        <v>ENGAGE 900X570 - 27RO</v>
      </c>
      <c r="Q574" s="73">
        <f t="shared" si="232"/>
        <v>900</v>
      </c>
      <c r="R574" s="147">
        <v>2740</v>
      </c>
      <c r="S574" s="147">
        <f>R574*Q574*1.1</f>
        <v>2712600</v>
      </c>
      <c r="T574" s="147">
        <f>R574*Q574</f>
        <v>2466000</v>
      </c>
      <c r="U574" s="73" t="str">
        <f t="shared" si="227"/>
        <v>O</v>
      </c>
      <c r="V574" s="73"/>
      <c r="W574" s="482">
        <f t="shared" si="228"/>
        <v>1125000</v>
      </c>
      <c r="X574" s="73"/>
      <c r="Y574" s="73"/>
    </row>
    <row r="575" spans="1:25" ht="30" hidden="1" customHeight="1" x14ac:dyDescent="0.25">
      <c r="A575" s="82">
        <v>171227</v>
      </c>
      <c r="B575" s="663" t="s">
        <v>1051</v>
      </c>
      <c r="C575" s="67" t="s">
        <v>197</v>
      </c>
      <c r="D575" s="71">
        <v>10</v>
      </c>
      <c r="E575" s="102">
        <v>58000</v>
      </c>
      <c r="F575" s="102">
        <f t="shared" si="229"/>
        <v>638000</v>
      </c>
      <c r="G575" s="102">
        <f t="shared" si="230"/>
        <v>580000</v>
      </c>
      <c r="H575" s="690" t="s">
        <v>142</v>
      </c>
      <c r="I575" s="71" t="s">
        <v>140</v>
      </c>
      <c r="J575" s="53">
        <f>(G575-(VLOOKUP(C575,Price!B:D,3,FALSE)*D575))</f>
        <v>230000</v>
      </c>
      <c r="K575" s="63">
        <f t="shared" si="231"/>
        <v>0.39655172413793105</v>
      </c>
      <c r="L575" s="871">
        <v>18.100000000000001</v>
      </c>
      <c r="M575" s="468"/>
      <c r="N575" s="664">
        <f t="shared" si="211"/>
        <v>171227</v>
      </c>
      <c r="O575" s="71" t="s">
        <v>145</v>
      </c>
      <c r="P575" s="103" t="str">
        <f t="shared" si="232"/>
        <v>THR200(20L)</v>
      </c>
      <c r="Q575" s="71">
        <f t="shared" si="232"/>
        <v>10</v>
      </c>
      <c r="R575" s="102">
        <v>35000</v>
      </c>
      <c r="S575" s="102">
        <f>R575*Q575*1.1</f>
        <v>385000.00000000006</v>
      </c>
      <c r="T575" s="102">
        <f>R575*Q575</f>
        <v>350000</v>
      </c>
      <c r="U575" s="71" t="str">
        <f t="shared" si="227"/>
        <v>O</v>
      </c>
      <c r="V575" s="71"/>
      <c r="W575" s="482">
        <f t="shared" si="228"/>
        <v>230000</v>
      </c>
      <c r="X575" s="71"/>
      <c r="Y575" s="71"/>
    </row>
    <row r="576" spans="1:25" s="602" customFormat="1" ht="30" hidden="1" customHeight="1" x14ac:dyDescent="0.25">
      <c r="A576" s="85">
        <v>171227</v>
      </c>
      <c r="B576" s="668" t="s">
        <v>1051</v>
      </c>
      <c r="C576" s="84" t="s">
        <v>951</v>
      </c>
      <c r="D576" s="84">
        <v>900</v>
      </c>
      <c r="E576" s="189">
        <v>3800</v>
      </c>
      <c r="F576" s="189">
        <f t="shared" si="229"/>
        <v>3762000.0000000005</v>
      </c>
      <c r="G576" s="189">
        <f t="shared" si="230"/>
        <v>3420000</v>
      </c>
      <c r="H576" s="691" t="s">
        <v>142</v>
      </c>
      <c r="I576" s="84" t="s">
        <v>140</v>
      </c>
      <c r="J576" s="61">
        <f>G576-T576</f>
        <v>1080000</v>
      </c>
      <c r="K576" s="62">
        <f t="shared" si="231"/>
        <v>0.31578947368421051</v>
      </c>
      <c r="L576" s="873">
        <v>18.100000000000001</v>
      </c>
      <c r="M576" s="601"/>
      <c r="N576" s="668">
        <f t="shared" si="211"/>
        <v>171227</v>
      </c>
      <c r="O576" s="84" t="s">
        <v>145</v>
      </c>
      <c r="P576" s="133" t="str">
        <f>(C576)</f>
        <v>ENGAGE 30WEB(883*552)</v>
      </c>
      <c r="Q576" s="84">
        <f>D576</f>
        <v>900</v>
      </c>
      <c r="R576" s="189">
        <v>2600</v>
      </c>
      <c r="S576" s="189">
        <f>(R576*D576)*1.1</f>
        <v>2574000</v>
      </c>
      <c r="T576" s="189">
        <f>(R576*Q576)</f>
        <v>2340000</v>
      </c>
      <c r="U576" s="84" t="str">
        <f t="shared" si="227"/>
        <v>O</v>
      </c>
      <c r="V576" s="84" t="s">
        <v>1114</v>
      </c>
      <c r="W576" s="481">
        <f t="shared" si="228"/>
        <v>1080000</v>
      </c>
      <c r="X576" s="84"/>
      <c r="Y576" s="84"/>
    </row>
    <row r="577" spans="1:25" s="610" customFormat="1" ht="30" hidden="1" customHeight="1" x14ac:dyDescent="0.25">
      <c r="A577" s="89">
        <v>171228</v>
      </c>
      <c r="B577" s="673" t="s">
        <v>764</v>
      </c>
      <c r="C577" s="88" t="s">
        <v>236</v>
      </c>
      <c r="D577" s="88">
        <v>5</v>
      </c>
      <c r="E577" s="470">
        <v>100000</v>
      </c>
      <c r="F577" s="470">
        <f t="shared" si="229"/>
        <v>550000</v>
      </c>
      <c r="G577" s="470">
        <f t="shared" si="230"/>
        <v>500000</v>
      </c>
      <c r="H577" s="695" t="s">
        <v>173</v>
      </c>
      <c r="I577" s="88" t="s">
        <v>142</v>
      </c>
      <c r="J577" s="107">
        <f>(G577-(VLOOKUP(C577,Price!B:D,3,FALSE)*D577))</f>
        <v>250000</v>
      </c>
      <c r="K577" s="469">
        <f t="shared" si="231"/>
        <v>0.5</v>
      </c>
      <c r="L577" s="875">
        <v>18.100000000000001</v>
      </c>
      <c r="M577" s="575"/>
      <c r="N577" s="673">
        <f t="shared" si="211"/>
        <v>171228</v>
      </c>
      <c r="O577" s="88" t="s">
        <v>153</v>
      </c>
      <c r="P577" s="134" t="str">
        <f t="shared" si="222"/>
        <v>아스테이지(국전)</v>
      </c>
      <c r="Q577" s="88">
        <f t="shared" si="223"/>
        <v>5</v>
      </c>
      <c r="R577" s="470">
        <v>50000</v>
      </c>
      <c r="S577" s="470">
        <f t="shared" ref="S577:S585" si="233">R577*Q577*1.1</f>
        <v>275000</v>
      </c>
      <c r="T577" s="470">
        <f t="shared" ref="T577:T585" si="234">R577*Q577</f>
        <v>250000</v>
      </c>
      <c r="U577" s="88" t="str">
        <f t="shared" si="227"/>
        <v>O</v>
      </c>
      <c r="V577" s="88"/>
      <c r="W577" s="483">
        <f t="shared" si="228"/>
        <v>250000</v>
      </c>
      <c r="X577" s="88"/>
      <c r="Y577" s="88"/>
    </row>
    <row r="578" spans="1:25" s="610" customFormat="1" ht="30" hidden="1" customHeight="1" x14ac:dyDescent="0.25">
      <c r="A578" s="89">
        <v>171229</v>
      </c>
      <c r="B578" s="673" t="s">
        <v>764</v>
      </c>
      <c r="C578" s="88" t="s">
        <v>123</v>
      </c>
      <c r="D578" s="88">
        <v>20</v>
      </c>
      <c r="E578" s="470">
        <v>35000</v>
      </c>
      <c r="F578" s="470">
        <f t="shared" si="229"/>
        <v>770000.00000000012</v>
      </c>
      <c r="G578" s="470">
        <f t="shared" si="230"/>
        <v>700000</v>
      </c>
      <c r="H578" s="1004" t="s">
        <v>39</v>
      </c>
      <c r="I578" s="88"/>
      <c r="J578" s="107">
        <f>(G578-(VLOOKUP(C578,Price!B:D,3,FALSE)*D578))</f>
        <v>250780</v>
      </c>
      <c r="K578" s="880">
        <f>(J578/(F578/11*10))</f>
        <v>0.35825714285714277</v>
      </c>
      <c r="L578" s="875">
        <v>18.100000000000001</v>
      </c>
      <c r="M578" s="575"/>
      <c r="N578" s="673">
        <f t="shared" si="211"/>
        <v>171229</v>
      </c>
      <c r="O578" s="1002" t="s">
        <v>39</v>
      </c>
      <c r="P578" s="134" t="str">
        <f t="shared" si="222"/>
        <v>필터백</v>
      </c>
      <c r="Q578" s="88">
        <f t="shared" si="223"/>
        <v>20</v>
      </c>
      <c r="R578" s="470"/>
      <c r="S578" s="470">
        <f t="shared" si="233"/>
        <v>0</v>
      </c>
      <c r="T578" s="470">
        <f t="shared" si="234"/>
        <v>0</v>
      </c>
      <c r="U578" s="88" t="str">
        <f t="shared" si="227"/>
        <v>X</v>
      </c>
      <c r="V578" s="88"/>
      <c r="W578" s="483">
        <f t="shared" si="228"/>
        <v>700000</v>
      </c>
      <c r="X578" s="88"/>
      <c r="Y578" s="88"/>
    </row>
    <row r="579" spans="1:25" ht="30" customHeight="1" x14ac:dyDescent="0.25">
      <c r="A579" s="80">
        <v>180103</v>
      </c>
      <c r="B579" s="663" t="s">
        <v>565</v>
      </c>
      <c r="C579" s="73" t="s">
        <v>966</v>
      </c>
      <c r="D579" s="73">
        <v>2</v>
      </c>
      <c r="E579" s="147">
        <v>815000</v>
      </c>
      <c r="F579" s="147">
        <f t="shared" si="229"/>
        <v>1793000.0000000002</v>
      </c>
      <c r="G579" s="147">
        <f t="shared" si="230"/>
        <v>1630000</v>
      </c>
      <c r="H579" s="689" t="s">
        <v>173</v>
      </c>
      <c r="I579" s="73" t="s">
        <v>140</v>
      </c>
      <c r="J579" s="60">
        <v>0</v>
      </c>
      <c r="K579" s="427">
        <v>0</v>
      </c>
      <c r="L579" s="874">
        <v>18.100000000000001</v>
      </c>
      <c r="M579" s="584" t="s">
        <v>967</v>
      </c>
      <c r="N579" s="663">
        <f t="shared" si="211"/>
        <v>180103</v>
      </c>
      <c r="O579" s="73" t="s">
        <v>145</v>
      </c>
      <c r="P579" s="132" t="str">
        <f t="shared" si="222"/>
        <v>브러쉬 롤러</v>
      </c>
      <c r="Q579" s="73">
        <f t="shared" si="223"/>
        <v>2</v>
      </c>
      <c r="R579" s="147">
        <v>815000</v>
      </c>
      <c r="S579" s="147">
        <f t="shared" si="233"/>
        <v>1793000.0000000002</v>
      </c>
      <c r="T579" s="147">
        <f t="shared" si="234"/>
        <v>1630000</v>
      </c>
      <c r="U579" s="73" t="str">
        <f t="shared" si="227"/>
        <v>O</v>
      </c>
      <c r="V579" s="73"/>
      <c r="W579" s="482">
        <f t="shared" si="228"/>
        <v>0</v>
      </c>
      <c r="X579" s="73"/>
      <c r="Y579" s="73"/>
    </row>
    <row r="580" spans="1:25" ht="30" hidden="1" customHeight="1" x14ac:dyDescent="0.25">
      <c r="A580" s="611">
        <v>180103</v>
      </c>
      <c r="B580" s="674" t="s">
        <v>748</v>
      </c>
      <c r="C580" s="409" t="s">
        <v>803</v>
      </c>
      <c r="D580" s="409">
        <v>1</v>
      </c>
      <c r="E580" s="208">
        <v>250000</v>
      </c>
      <c r="F580" s="208">
        <f t="shared" si="229"/>
        <v>275000</v>
      </c>
      <c r="G580" s="208">
        <f t="shared" si="230"/>
        <v>250000</v>
      </c>
      <c r="H580" s="830" t="s">
        <v>985</v>
      </c>
      <c r="I580" s="409"/>
      <c r="J580" s="97">
        <v>0</v>
      </c>
      <c r="K580" s="58"/>
      <c r="L580" s="902">
        <v>18.100000000000001</v>
      </c>
      <c r="M580" s="583"/>
      <c r="N580" s="674">
        <f t="shared" si="211"/>
        <v>180103</v>
      </c>
      <c r="O580" s="409"/>
      <c r="P580" s="139" t="str">
        <f t="shared" si="222"/>
        <v>M-600 서비스</v>
      </c>
      <c r="Q580" s="409">
        <f t="shared" si="223"/>
        <v>1</v>
      </c>
      <c r="R580" s="208"/>
      <c r="S580" s="208">
        <f t="shared" si="233"/>
        <v>0</v>
      </c>
      <c r="T580" s="208">
        <f t="shared" si="234"/>
        <v>0</v>
      </c>
      <c r="U580" s="409" t="str">
        <f t="shared" si="227"/>
        <v>X</v>
      </c>
      <c r="V580" s="409"/>
      <c r="W580" s="482">
        <f t="shared" si="228"/>
        <v>250000</v>
      </c>
      <c r="X580" s="409"/>
      <c r="Y580" s="409"/>
    </row>
    <row r="581" spans="1:25" s="602" customFormat="1" ht="30" hidden="1" customHeight="1" x14ac:dyDescent="0.25">
      <c r="A581" s="85">
        <v>180103</v>
      </c>
      <c r="B581" s="668" t="s">
        <v>1051</v>
      </c>
      <c r="C581" s="84" t="s">
        <v>951</v>
      </c>
      <c r="D581" s="84">
        <v>1200</v>
      </c>
      <c r="E581" s="189">
        <v>3800</v>
      </c>
      <c r="F581" s="189">
        <f t="shared" si="229"/>
        <v>5016000</v>
      </c>
      <c r="G581" s="189">
        <f t="shared" si="230"/>
        <v>4560000</v>
      </c>
      <c r="H581" s="691" t="s">
        <v>142</v>
      </c>
      <c r="I581" s="84" t="s">
        <v>140</v>
      </c>
      <c r="J581" s="61">
        <f>G581-T581</f>
        <v>1440000</v>
      </c>
      <c r="K581" s="62">
        <f t="shared" ref="K581:K590" si="235">(J581/(F581/11*10))</f>
        <v>0.31578947368421051</v>
      </c>
      <c r="L581" s="873">
        <v>18.100000000000001</v>
      </c>
      <c r="M581" s="601"/>
      <c r="N581" s="668">
        <f t="shared" si="211"/>
        <v>180103</v>
      </c>
      <c r="O581" s="84" t="s">
        <v>145</v>
      </c>
      <c r="P581" s="133" t="str">
        <f t="shared" si="222"/>
        <v>ENGAGE 30WEB(883*552)</v>
      </c>
      <c r="Q581" s="84">
        <f t="shared" si="223"/>
        <v>1200</v>
      </c>
      <c r="R581" s="189">
        <v>2600</v>
      </c>
      <c r="S581" s="189">
        <f t="shared" si="233"/>
        <v>3432000.0000000005</v>
      </c>
      <c r="T581" s="189">
        <f t="shared" si="234"/>
        <v>3120000</v>
      </c>
      <c r="U581" s="84" t="str">
        <f t="shared" si="227"/>
        <v>O</v>
      </c>
      <c r="V581" s="84" t="s">
        <v>1114</v>
      </c>
      <c r="W581" s="481">
        <f t="shared" si="228"/>
        <v>1440000</v>
      </c>
      <c r="X581" s="84"/>
      <c r="Y581" s="84"/>
    </row>
    <row r="582" spans="1:25" ht="30" hidden="1" customHeight="1" x14ac:dyDescent="0.25">
      <c r="A582" s="80">
        <v>180105</v>
      </c>
      <c r="B582" s="663" t="s">
        <v>150</v>
      </c>
      <c r="C582" s="73" t="s">
        <v>1004</v>
      </c>
      <c r="D582" s="73">
        <v>1</v>
      </c>
      <c r="E582" s="147">
        <v>5000000</v>
      </c>
      <c r="F582" s="147">
        <f t="shared" si="229"/>
        <v>5500000</v>
      </c>
      <c r="G582" s="147">
        <f t="shared" si="230"/>
        <v>5000000</v>
      </c>
      <c r="H582" s="786" t="s">
        <v>113</v>
      </c>
      <c r="I582" s="73"/>
      <c r="J582" s="60">
        <f>(G582-(VLOOKUP(C582,Import!C:G,4,FALSE)*D582))</f>
        <v>5000000</v>
      </c>
      <c r="K582" s="427">
        <f t="shared" si="235"/>
        <v>1</v>
      </c>
      <c r="L582" s="874">
        <v>18.100000000000001</v>
      </c>
      <c r="M582" s="584"/>
      <c r="N582" s="663">
        <f t="shared" si="211"/>
        <v>180105</v>
      </c>
      <c r="O582" s="807" t="s">
        <v>113</v>
      </c>
      <c r="P582" s="132" t="str">
        <f t="shared" si="222"/>
        <v>Inking Motor Reducer Siemens</v>
      </c>
      <c r="Q582" s="73">
        <f t="shared" si="223"/>
        <v>1</v>
      </c>
      <c r="R582" s="147">
        <f>Import!G57</f>
        <v>2879362.0594160794</v>
      </c>
      <c r="S582" s="147">
        <f t="shared" si="233"/>
        <v>3167298.2653576876</v>
      </c>
      <c r="T582" s="147">
        <f t="shared" si="234"/>
        <v>2879362.0594160794</v>
      </c>
      <c r="U582" s="73" t="str">
        <f t="shared" si="227"/>
        <v>X</v>
      </c>
      <c r="V582" s="73"/>
      <c r="W582" s="482">
        <f t="shared" si="228"/>
        <v>2120637.9405839206</v>
      </c>
      <c r="X582" s="73"/>
      <c r="Y582" s="73"/>
    </row>
    <row r="583" spans="1:25" ht="30" hidden="1" customHeight="1" x14ac:dyDescent="0.25">
      <c r="A583" s="82">
        <v>180105</v>
      </c>
      <c r="B583" s="664" t="s">
        <v>150</v>
      </c>
      <c r="C583" s="71" t="s">
        <v>1005</v>
      </c>
      <c r="D583" s="71">
        <v>34</v>
      </c>
      <c r="E583" s="102">
        <v>22000</v>
      </c>
      <c r="F583" s="102">
        <f t="shared" si="229"/>
        <v>822800.00000000012</v>
      </c>
      <c r="G583" s="102">
        <f t="shared" si="230"/>
        <v>748000</v>
      </c>
      <c r="H583" s="779" t="s">
        <v>113</v>
      </c>
      <c r="I583" s="71"/>
      <c r="J583" s="53">
        <f>(G583-(VLOOKUP(C583,Import!C:G,4,FALSE)*D583))</f>
        <v>748000</v>
      </c>
      <c r="K583" s="63">
        <f t="shared" si="235"/>
        <v>0.99999999999999989</v>
      </c>
      <c r="L583" s="871">
        <v>18.100000000000001</v>
      </c>
      <c r="M583" s="468"/>
      <c r="N583" s="664">
        <f t="shared" si="211"/>
        <v>180105</v>
      </c>
      <c r="O583" s="808" t="s">
        <v>113</v>
      </c>
      <c r="P583" s="103" t="str">
        <f t="shared" si="222"/>
        <v>Link, Chain</v>
      </c>
      <c r="Q583" s="71">
        <f t="shared" si="223"/>
        <v>34</v>
      </c>
      <c r="R583" s="102">
        <f>Import!G58</f>
        <v>10017.535805409427</v>
      </c>
      <c r="S583" s="102">
        <f t="shared" si="233"/>
        <v>374655.83912231261</v>
      </c>
      <c r="T583" s="102">
        <f t="shared" si="234"/>
        <v>340596.21738392051</v>
      </c>
      <c r="U583" s="71" t="str">
        <f t="shared" si="227"/>
        <v>X</v>
      </c>
      <c r="V583" s="71"/>
      <c r="W583" s="482">
        <f t="shared" si="228"/>
        <v>407403.78261607949</v>
      </c>
      <c r="X583" s="71"/>
      <c r="Y583" s="71"/>
    </row>
    <row r="584" spans="1:25" ht="30" hidden="1" customHeight="1" x14ac:dyDescent="0.25">
      <c r="A584" s="82">
        <v>180105</v>
      </c>
      <c r="B584" s="664" t="s">
        <v>150</v>
      </c>
      <c r="C584" s="71" t="s">
        <v>1006</v>
      </c>
      <c r="D584" s="71">
        <v>1</v>
      </c>
      <c r="E584" s="102">
        <v>5800000</v>
      </c>
      <c r="F584" s="102">
        <f t="shared" si="229"/>
        <v>6380000.0000000009</v>
      </c>
      <c r="G584" s="102">
        <f t="shared" si="230"/>
        <v>5800000</v>
      </c>
      <c r="H584" s="779" t="s">
        <v>113</v>
      </c>
      <c r="I584" s="71"/>
      <c r="J584" s="53">
        <v>5195771.5259441119</v>
      </c>
      <c r="K584" s="63">
        <f t="shared" si="235"/>
        <v>0.89582267688691575</v>
      </c>
      <c r="L584" s="871">
        <v>18.100000000000001</v>
      </c>
      <c r="M584" s="468"/>
      <c r="N584" s="664">
        <f t="shared" si="211"/>
        <v>180105</v>
      </c>
      <c r="O584" s="808" t="s">
        <v>113</v>
      </c>
      <c r="P584" s="103" t="str">
        <f t="shared" si="222"/>
        <v>Assembly, Multicam Scanner</v>
      </c>
      <c r="Q584" s="71">
        <f t="shared" si="223"/>
        <v>1</v>
      </c>
      <c r="R584" s="102">
        <f>Import!G715</f>
        <v>580265.99968844058</v>
      </c>
      <c r="S584" s="102">
        <f t="shared" si="233"/>
        <v>638292.59965728468</v>
      </c>
      <c r="T584" s="102">
        <f t="shared" si="234"/>
        <v>580265.99968844058</v>
      </c>
      <c r="U584" s="71" t="str">
        <f t="shared" si="227"/>
        <v>X</v>
      </c>
      <c r="V584" s="71"/>
      <c r="W584" s="482">
        <f t="shared" si="228"/>
        <v>5219734.0003115591</v>
      </c>
      <c r="X584" s="71"/>
      <c r="Y584" s="71"/>
    </row>
    <row r="585" spans="1:25" ht="30" hidden="1" customHeight="1" x14ac:dyDescent="0.25">
      <c r="A585" s="82">
        <v>180105</v>
      </c>
      <c r="B585" s="664" t="s">
        <v>150</v>
      </c>
      <c r="C585" s="71" t="s">
        <v>1007</v>
      </c>
      <c r="D585" s="71">
        <v>1</v>
      </c>
      <c r="E585" s="102">
        <v>200000</v>
      </c>
      <c r="F585" s="102">
        <f t="shared" si="229"/>
        <v>220000.00000000003</v>
      </c>
      <c r="G585" s="102">
        <f t="shared" si="230"/>
        <v>200000</v>
      </c>
      <c r="H585" s="779" t="s">
        <v>113</v>
      </c>
      <c r="I585" s="71"/>
      <c r="J585" s="53">
        <v>141690.11215588779</v>
      </c>
      <c r="K585" s="63">
        <f t="shared" si="235"/>
        <v>0.70845056077943891</v>
      </c>
      <c r="L585" s="871">
        <v>18.100000000000001</v>
      </c>
      <c r="M585" s="468"/>
      <c r="N585" s="664">
        <f t="shared" si="211"/>
        <v>180105</v>
      </c>
      <c r="O585" s="71" t="s">
        <v>1016</v>
      </c>
      <c r="P585" s="103" t="str">
        <f t="shared" si="222"/>
        <v>Upgrade Kit, USB</v>
      </c>
      <c r="Q585" s="71">
        <f t="shared" si="223"/>
        <v>1</v>
      </c>
      <c r="R585" s="102">
        <f>Import!G716</f>
        <v>55997.436093114418</v>
      </c>
      <c r="S585" s="102">
        <f t="shared" si="233"/>
        <v>61597.179702425863</v>
      </c>
      <c r="T585" s="102">
        <f t="shared" si="234"/>
        <v>55997.436093114418</v>
      </c>
      <c r="U585" s="71" t="str">
        <f t="shared" si="227"/>
        <v>X</v>
      </c>
      <c r="V585" s="71"/>
      <c r="W585" s="482">
        <f t="shared" si="228"/>
        <v>144002.56390688557</v>
      </c>
      <c r="X585" s="71"/>
      <c r="Y585" s="71"/>
    </row>
    <row r="586" spans="1:25" s="210" customFormat="1" ht="30" hidden="1" customHeight="1" x14ac:dyDescent="0.25">
      <c r="A586" s="85">
        <v>180105</v>
      </c>
      <c r="B586" s="668" t="s">
        <v>567</v>
      </c>
      <c r="C586" s="84" t="s">
        <v>236</v>
      </c>
      <c r="D586" s="84">
        <v>10</v>
      </c>
      <c r="E586" s="189">
        <v>65000</v>
      </c>
      <c r="F586" s="189">
        <f t="shared" si="229"/>
        <v>715000</v>
      </c>
      <c r="G586" s="189">
        <f t="shared" si="230"/>
        <v>650000</v>
      </c>
      <c r="H586" s="691" t="s">
        <v>173</v>
      </c>
      <c r="I586" s="84" t="s">
        <v>142</v>
      </c>
      <c r="J586" s="61">
        <f>(G586-(VLOOKUP(C586,Price!B:D,3,FALSE)*D586))</f>
        <v>150000</v>
      </c>
      <c r="K586" s="62">
        <f t="shared" si="235"/>
        <v>0.23076923076923078</v>
      </c>
      <c r="L586" s="873">
        <v>18.100000000000001</v>
      </c>
      <c r="M586" s="601"/>
      <c r="N586" s="668">
        <f>A586</f>
        <v>180105</v>
      </c>
      <c r="O586" s="84" t="s">
        <v>153</v>
      </c>
      <c r="P586" s="133" t="str">
        <f>(C586)</f>
        <v>아스테이지(국전)</v>
      </c>
      <c r="Q586" s="84">
        <f t="shared" si="223"/>
        <v>10</v>
      </c>
      <c r="R586" s="189">
        <v>50000</v>
      </c>
      <c r="S586" s="189">
        <f>(R586*D586)*1.1</f>
        <v>550000</v>
      </c>
      <c r="T586" s="189">
        <f>(R586*Q586)</f>
        <v>500000</v>
      </c>
      <c r="U586" s="84" t="str">
        <f t="shared" si="227"/>
        <v>O</v>
      </c>
      <c r="V586" s="84"/>
      <c r="W586" s="481">
        <f t="shared" si="228"/>
        <v>150000</v>
      </c>
      <c r="X586" s="84"/>
      <c r="Y586" s="84"/>
    </row>
    <row r="587" spans="1:25" ht="30" hidden="1" customHeight="1" x14ac:dyDescent="0.25">
      <c r="A587" s="80">
        <v>180109</v>
      </c>
      <c r="B587" s="663" t="s">
        <v>983</v>
      </c>
      <c r="C587" s="73" t="s">
        <v>1009</v>
      </c>
      <c r="D587" s="73">
        <v>480</v>
      </c>
      <c r="E587" s="147">
        <v>3900</v>
      </c>
      <c r="F587" s="147">
        <f t="shared" si="229"/>
        <v>2059200.0000000002</v>
      </c>
      <c r="G587" s="147">
        <f t="shared" si="230"/>
        <v>1872000</v>
      </c>
      <c r="H587" s="689" t="s">
        <v>173</v>
      </c>
      <c r="I587" s="73" t="s">
        <v>140</v>
      </c>
      <c r="J587" s="53">
        <f>(G587-(VLOOKUP(C587,Price!B:D,3,FALSE)*D587))</f>
        <v>288000</v>
      </c>
      <c r="K587" s="63">
        <f t="shared" si="235"/>
        <v>0.15384615384615383</v>
      </c>
      <c r="L587" s="874">
        <v>18.100000000000001</v>
      </c>
      <c r="M587" s="584"/>
      <c r="N587" s="663">
        <f t="shared" si="211"/>
        <v>180109</v>
      </c>
      <c r="O587" s="73" t="s">
        <v>147</v>
      </c>
      <c r="P587" s="132" t="str">
        <f t="shared" si="222"/>
        <v>CTP판(1030*790mm)</v>
      </c>
      <c r="Q587" s="73">
        <f t="shared" si="223"/>
        <v>480</v>
      </c>
      <c r="R587" s="147">
        <v>3300</v>
      </c>
      <c r="S587" s="147">
        <f t="shared" ref="S587:S603" si="236">R587*Q587*1.1</f>
        <v>1742400.0000000002</v>
      </c>
      <c r="T587" s="147">
        <f t="shared" ref="T587:T603" si="237">R587*Q587</f>
        <v>1584000</v>
      </c>
      <c r="U587" s="73" t="str">
        <f t="shared" si="227"/>
        <v>O</v>
      </c>
      <c r="V587" s="73"/>
      <c r="W587" s="482">
        <f t="shared" si="228"/>
        <v>288000</v>
      </c>
      <c r="X587" s="73"/>
      <c r="Y587" s="73"/>
    </row>
    <row r="588" spans="1:25" ht="30" hidden="1" customHeight="1" x14ac:dyDescent="0.25">
      <c r="A588" s="82">
        <v>180109</v>
      </c>
      <c r="B588" s="664" t="s">
        <v>983</v>
      </c>
      <c r="C588" s="71" t="s">
        <v>984</v>
      </c>
      <c r="D588" s="71">
        <v>10</v>
      </c>
      <c r="E588" s="102">
        <v>45000</v>
      </c>
      <c r="F588" s="102">
        <f t="shared" si="229"/>
        <v>495000.00000000006</v>
      </c>
      <c r="G588" s="102">
        <f t="shared" si="230"/>
        <v>450000</v>
      </c>
      <c r="H588" s="690" t="s">
        <v>173</v>
      </c>
      <c r="I588" s="71" t="s">
        <v>140</v>
      </c>
      <c r="J588" s="53">
        <f>(G588-(VLOOKUP(C588,Price!B:D,3,FALSE)*D588))</f>
        <v>100000</v>
      </c>
      <c r="K588" s="63">
        <f t="shared" si="235"/>
        <v>0.22222222222222218</v>
      </c>
      <c r="L588" s="871">
        <v>18.100000000000001</v>
      </c>
      <c r="M588" s="468"/>
      <c r="N588" s="664">
        <f t="shared" si="211"/>
        <v>180109</v>
      </c>
      <c r="O588" s="71" t="s">
        <v>147</v>
      </c>
      <c r="P588" s="103" t="str">
        <f t="shared" si="222"/>
        <v>CTP 현상액</v>
      </c>
      <c r="Q588" s="71">
        <f t="shared" si="223"/>
        <v>10</v>
      </c>
      <c r="R588" s="102">
        <v>35000</v>
      </c>
      <c r="S588" s="102">
        <f t="shared" si="236"/>
        <v>385000.00000000006</v>
      </c>
      <c r="T588" s="102">
        <f t="shared" si="237"/>
        <v>350000</v>
      </c>
      <c r="U588" s="71" t="str">
        <f t="shared" si="227"/>
        <v>O</v>
      </c>
      <c r="V588" s="71"/>
      <c r="W588" s="482">
        <f t="shared" si="228"/>
        <v>100000</v>
      </c>
      <c r="X588" s="71"/>
      <c r="Y588" s="71"/>
    </row>
    <row r="589" spans="1:25" ht="30" hidden="1" customHeight="1" x14ac:dyDescent="0.25">
      <c r="A589" s="82">
        <v>180109</v>
      </c>
      <c r="B589" s="664" t="s">
        <v>545</v>
      </c>
      <c r="C589" s="991" t="s">
        <v>1122</v>
      </c>
      <c r="D589" s="71">
        <v>1</v>
      </c>
      <c r="E589" s="102">
        <v>46000000</v>
      </c>
      <c r="F589" s="102">
        <f>(E589*D589)*1.1</f>
        <v>50600000.000000007</v>
      </c>
      <c r="G589" s="102">
        <f>(E589*D589)</f>
        <v>46000000</v>
      </c>
      <c r="H589" s="1010" t="s">
        <v>39</v>
      </c>
      <c r="I589" s="71"/>
      <c r="J589" s="53">
        <f>W589</f>
        <v>12606469.110623363</v>
      </c>
      <c r="K589" s="63">
        <f t="shared" si="235"/>
        <v>0.27405367631789918</v>
      </c>
      <c r="L589" s="871">
        <v>18.100000000000001</v>
      </c>
      <c r="M589" s="468"/>
      <c r="N589" s="664">
        <f t="shared" si="211"/>
        <v>180109</v>
      </c>
      <c r="O589" s="991" t="s">
        <v>39</v>
      </c>
      <c r="P589" s="103" t="str">
        <f t="shared" si="222"/>
        <v>Technotrans Beta.f</v>
      </c>
      <c r="Q589" s="71">
        <f t="shared" si="223"/>
        <v>1</v>
      </c>
      <c r="R589" s="102">
        <f>Import!H620</f>
        <v>33393530.889376637</v>
      </c>
      <c r="S589" s="102">
        <f t="shared" si="236"/>
        <v>36732883.978314303</v>
      </c>
      <c r="T589" s="102">
        <f t="shared" si="237"/>
        <v>33393530.889376637</v>
      </c>
      <c r="U589" s="71" t="str">
        <f t="shared" si="227"/>
        <v>O</v>
      </c>
      <c r="V589" s="71"/>
      <c r="W589" s="482">
        <f t="shared" si="228"/>
        <v>12606469.110623363</v>
      </c>
      <c r="X589" s="71"/>
      <c r="Y589" s="71"/>
    </row>
    <row r="590" spans="1:25" ht="30" hidden="1" customHeight="1" x14ac:dyDescent="0.25">
      <c r="A590" s="82">
        <v>180109</v>
      </c>
      <c r="B590" s="664" t="s">
        <v>640</v>
      </c>
      <c r="C590" s="71" t="s">
        <v>803</v>
      </c>
      <c r="D590" s="71">
        <v>1</v>
      </c>
      <c r="E590" s="102">
        <v>150000</v>
      </c>
      <c r="F590" s="102">
        <f>(E590*D590)*1.1</f>
        <v>165000</v>
      </c>
      <c r="G590" s="102">
        <f>(E590*D590)</f>
        <v>150000</v>
      </c>
      <c r="H590" s="690" t="s">
        <v>985</v>
      </c>
      <c r="I590" s="71"/>
      <c r="J590" s="53">
        <v>0</v>
      </c>
      <c r="K590" s="63">
        <f t="shared" si="235"/>
        <v>0</v>
      </c>
      <c r="L590" s="871">
        <v>18.100000000000001</v>
      </c>
      <c r="M590" s="468"/>
      <c r="N590" s="664">
        <f t="shared" si="211"/>
        <v>180109</v>
      </c>
      <c r="O590" s="71"/>
      <c r="P590" s="103" t="str">
        <f t="shared" si="222"/>
        <v>M-600 서비스</v>
      </c>
      <c r="Q590" s="71">
        <f t="shared" si="223"/>
        <v>1</v>
      </c>
      <c r="R590" s="102"/>
      <c r="S590" s="102">
        <f t="shared" si="236"/>
        <v>0</v>
      </c>
      <c r="T590" s="102">
        <f t="shared" si="237"/>
        <v>0</v>
      </c>
      <c r="U590" s="71"/>
      <c r="V590" s="71"/>
      <c r="X590" s="71"/>
      <c r="Y590" s="71"/>
    </row>
    <row r="591" spans="1:25" ht="30" hidden="1" customHeight="1" x14ac:dyDescent="0.25">
      <c r="A591" s="82">
        <v>180109</v>
      </c>
      <c r="B591" s="664" t="s">
        <v>1052</v>
      </c>
      <c r="C591" s="71" t="s">
        <v>587</v>
      </c>
      <c r="D591" s="71">
        <v>200</v>
      </c>
      <c r="E591" s="102">
        <v>8000</v>
      </c>
      <c r="F591" s="102">
        <f>(E591*D591)*1.1</f>
        <v>1760000.0000000002</v>
      </c>
      <c r="G591" s="102">
        <f>(E591*D591)</f>
        <v>1600000</v>
      </c>
      <c r="H591" s="690" t="s">
        <v>142</v>
      </c>
      <c r="I591" s="71" t="s">
        <v>144</v>
      </c>
      <c r="J591" s="53">
        <f>(G591-(VLOOKUP(C591,Price!B:D,3,FALSE)*D591))</f>
        <v>218000</v>
      </c>
      <c r="K591" s="63">
        <f>(J591/(F591/11*10))</f>
        <v>0.13624999999999998</v>
      </c>
      <c r="L591" s="871">
        <v>18.100000000000001</v>
      </c>
      <c r="M591" s="468"/>
      <c r="N591" s="664">
        <f>A591</f>
        <v>180109</v>
      </c>
      <c r="O591" s="71" t="s">
        <v>147</v>
      </c>
      <c r="P591" s="103" t="str">
        <f t="shared" si="222"/>
        <v>프리미어(청)</v>
      </c>
      <c r="Q591" s="71">
        <f t="shared" si="223"/>
        <v>200</v>
      </c>
      <c r="R591" s="102">
        <v>6910</v>
      </c>
      <c r="S591" s="102">
        <f t="shared" si="236"/>
        <v>1520200.0000000002</v>
      </c>
      <c r="T591" s="102">
        <f t="shared" si="237"/>
        <v>1382000</v>
      </c>
      <c r="U591" s="71" t="str">
        <f t="shared" ref="U591:U629" si="238">IF(J591=W591,"O", "X")</f>
        <v>O</v>
      </c>
      <c r="V591" s="71"/>
      <c r="W591" s="482">
        <f t="shared" ref="W591:W629" si="239">(G591-T591)</f>
        <v>218000</v>
      </c>
      <c r="X591" s="71"/>
      <c r="Y591" s="71"/>
    </row>
    <row r="592" spans="1:25" s="602" customFormat="1" ht="30" hidden="1" customHeight="1" x14ac:dyDescent="0.25">
      <c r="A592" s="85">
        <v>180109</v>
      </c>
      <c r="B592" s="668" t="s">
        <v>1052</v>
      </c>
      <c r="C592" s="84" t="s">
        <v>616</v>
      </c>
      <c r="D592" s="84">
        <v>200</v>
      </c>
      <c r="E592" s="189">
        <v>6600</v>
      </c>
      <c r="F592" s="189">
        <f>(E592*D592)*1.1</f>
        <v>1452000.0000000002</v>
      </c>
      <c r="G592" s="189">
        <f>(E592*D592)</f>
        <v>1320000</v>
      </c>
      <c r="H592" s="691" t="s">
        <v>142</v>
      </c>
      <c r="I592" s="84" t="s">
        <v>144</v>
      </c>
      <c r="J592" s="61">
        <f>(G592-(VLOOKUP(C592,Price!B:D,3,FALSE)*D592))</f>
        <v>140000</v>
      </c>
      <c r="K592" s="62">
        <f>(J592/(F592/11*10))</f>
        <v>0.10606060606060604</v>
      </c>
      <c r="L592" s="873">
        <v>18.100000000000001</v>
      </c>
      <c r="M592" s="601"/>
      <c r="N592" s="668">
        <f>A592</f>
        <v>180109</v>
      </c>
      <c r="O592" s="84" t="s">
        <v>147</v>
      </c>
      <c r="P592" s="133" t="str">
        <f t="shared" si="222"/>
        <v>프리미어(먹)</v>
      </c>
      <c r="Q592" s="84">
        <f t="shared" si="223"/>
        <v>200</v>
      </c>
      <c r="R592" s="189">
        <v>5900</v>
      </c>
      <c r="S592" s="189">
        <f t="shared" si="236"/>
        <v>1298000</v>
      </c>
      <c r="T592" s="189">
        <f t="shared" si="237"/>
        <v>1180000</v>
      </c>
      <c r="U592" s="84" t="str">
        <f t="shared" si="238"/>
        <v>O</v>
      </c>
      <c r="V592" s="84"/>
      <c r="W592" s="481">
        <f t="shared" si="239"/>
        <v>140000</v>
      </c>
      <c r="X592" s="84"/>
      <c r="Y592" s="84"/>
    </row>
    <row r="593" spans="1:25" ht="30" hidden="1" customHeight="1" x14ac:dyDescent="0.25">
      <c r="A593" s="80">
        <v>180110</v>
      </c>
      <c r="B593" s="663" t="s">
        <v>1051</v>
      </c>
      <c r="C593" s="73" t="s">
        <v>524</v>
      </c>
      <c r="D593" s="73">
        <v>900</v>
      </c>
      <c r="E593" s="147">
        <v>3990</v>
      </c>
      <c r="F593" s="147">
        <f t="shared" ref="F593:F606" si="240">(E593*D593)*1.1</f>
        <v>3950100.0000000005</v>
      </c>
      <c r="G593" s="147">
        <f t="shared" ref="G593:G607" si="241">(E593*D593)</f>
        <v>3591000</v>
      </c>
      <c r="H593" s="689" t="s">
        <v>142</v>
      </c>
      <c r="I593" s="73" t="s">
        <v>140</v>
      </c>
      <c r="J593" s="60">
        <f>(G593-(VLOOKUP(C593,Price!B:D,3,FALSE)*D593))</f>
        <v>1125000</v>
      </c>
      <c r="K593" s="427">
        <f t="shared" ref="K593:K599" si="242">(J593/(F593/11*10))</f>
        <v>0.31328320802005011</v>
      </c>
      <c r="L593" s="874">
        <v>18.100000000000001</v>
      </c>
      <c r="M593" s="584"/>
      <c r="N593" s="663">
        <f t="shared" ref="N593:N598" si="243">A593</f>
        <v>180110</v>
      </c>
      <c r="O593" s="73" t="s">
        <v>145</v>
      </c>
      <c r="P593" s="132" t="str">
        <f t="shared" si="222"/>
        <v>ENGAGE 900X570 - 27RO</v>
      </c>
      <c r="Q593" s="73">
        <f t="shared" si="223"/>
        <v>900</v>
      </c>
      <c r="R593" s="147">
        <v>2740</v>
      </c>
      <c r="S593" s="147">
        <f t="shared" si="236"/>
        <v>2712600</v>
      </c>
      <c r="T593" s="147">
        <f t="shared" si="237"/>
        <v>2466000</v>
      </c>
      <c r="U593" s="73" t="str">
        <f t="shared" si="238"/>
        <v>O</v>
      </c>
      <c r="V593" s="73"/>
      <c r="W593" s="482">
        <f t="shared" si="239"/>
        <v>1125000</v>
      </c>
      <c r="X593" s="73"/>
      <c r="Y593" s="73"/>
    </row>
    <row r="594" spans="1:25" ht="30" hidden="1" customHeight="1" x14ac:dyDescent="0.25">
      <c r="A594" s="82">
        <v>180110</v>
      </c>
      <c r="B594" s="664" t="s">
        <v>1051</v>
      </c>
      <c r="C594" s="67" t="s">
        <v>197</v>
      </c>
      <c r="D594" s="71">
        <v>10</v>
      </c>
      <c r="E594" s="102">
        <v>58000</v>
      </c>
      <c r="F594" s="102">
        <f t="shared" si="240"/>
        <v>638000</v>
      </c>
      <c r="G594" s="102">
        <f t="shared" si="241"/>
        <v>580000</v>
      </c>
      <c r="H594" s="690" t="s">
        <v>142</v>
      </c>
      <c r="I594" s="71" t="s">
        <v>140</v>
      </c>
      <c r="J594" s="53">
        <f>(G594-(VLOOKUP(C594,Price!B:D,3,FALSE)*D594))</f>
        <v>230000</v>
      </c>
      <c r="K594" s="63">
        <f t="shared" si="242"/>
        <v>0.39655172413793105</v>
      </c>
      <c r="L594" s="871">
        <v>18.100000000000001</v>
      </c>
      <c r="M594" s="468"/>
      <c r="N594" s="664">
        <f t="shared" si="243"/>
        <v>180110</v>
      </c>
      <c r="O594" s="71" t="s">
        <v>145</v>
      </c>
      <c r="P594" s="103" t="str">
        <f t="shared" si="222"/>
        <v>THR200(20L)</v>
      </c>
      <c r="Q594" s="71">
        <f t="shared" si="223"/>
        <v>10</v>
      </c>
      <c r="R594" s="102">
        <v>35000</v>
      </c>
      <c r="S594" s="102">
        <f t="shared" si="236"/>
        <v>385000.00000000006</v>
      </c>
      <c r="T594" s="102">
        <f t="shared" si="237"/>
        <v>350000</v>
      </c>
      <c r="U594" s="71" t="str">
        <f t="shared" si="238"/>
        <v>O</v>
      </c>
      <c r="V594" s="71"/>
      <c r="W594" s="482">
        <f t="shared" si="239"/>
        <v>230000</v>
      </c>
      <c r="X594" s="71"/>
      <c r="Y594" s="71"/>
    </row>
    <row r="595" spans="1:25" ht="30" hidden="1" customHeight="1" x14ac:dyDescent="0.25">
      <c r="A595" s="82">
        <v>180110</v>
      </c>
      <c r="B595" s="664" t="s">
        <v>442</v>
      </c>
      <c r="C595" s="71" t="s">
        <v>133</v>
      </c>
      <c r="D595" s="71">
        <v>2</v>
      </c>
      <c r="E595" s="102">
        <v>327000</v>
      </c>
      <c r="F595" s="102">
        <f t="shared" si="240"/>
        <v>719400</v>
      </c>
      <c r="G595" s="102">
        <f t="shared" si="241"/>
        <v>654000</v>
      </c>
      <c r="H595" s="690" t="s">
        <v>173</v>
      </c>
      <c r="I595" s="71" t="s">
        <v>141</v>
      </c>
      <c r="J595" s="53">
        <f>G595-T595</f>
        <v>135260</v>
      </c>
      <c r="K595" s="63">
        <f t="shared" si="242"/>
        <v>0.20681957186544342</v>
      </c>
      <c r="L595" s="871">
        <v>18.100000000000001</v>
      </c>
      <c r="M595" s="468"/>
      <c r="N595" s="664">
        <f t="shared" si="243"/>
        <v>180110</v>
      </c>
      <c r="O595" s="71" t="s">
        <v>145</v>
      </c>
      <c r="P595" s="103" t="str">
        <f t="shared" ref="P595:Q600" si="244">C595</f>
        <v>Agfa Film(24inch)</v>
      </c>
      <c r="Q595" s="71">
        <f t="shared" si="244"/>
        <v>2</v>
      </c>
      <c r="R595" s="102">
        <v>259370</v>
      </c>
      <c r="S595" s="102">
        <f t="shared" si="236"/>
        <v>570614</v>
      </c>
      <c r="T595" s="102">
        <f t="shared" si="237"/>
        <v>518740</v>
      </c>
      <c r="U595" s="71" t="str">
        <f t="shared" si="238"/>
        <v>O</v>
      </c>
      <c r="V595" s="71" t="s">
        <v>1080</v>
      </c>
      <c r="W595" s="482">
        <f t="shared" si="239"/>
        <v>135260</v>
      </c>
      <c r="X595" s="71"/>
      <c r="Y595" s="71"/>
    </row>
    <row r="596" spans="1:25" ht="30" hidden="1" customHeight="1" x14ac:dyDescent="0.25">
      <c r="A596" s="82">
        <v>180110</v>
      </c>
      <c r="B596" s="664" t="s">
        <v>442</v>
      </c>
      <c r="C596" s="71" t="s">
        <v>134</v>
      </c>
      <c r="D596" s="71">
        <v>2</v>
      </c>
      <c r="E596" s="102">
        <v>401000</v>
      </c>
      <c r="F596" s="102">
        <f t="shared" si="240"/>
        <v>882200.00000000012</v>
      </c>
      <c r="G596" s="102">
        <f t="shared" si="241"/>
        <v>802000</v>
      </c>
      <c r="H596" s="690" t="s">
        <v>173</v>
      </c>
      <c r="I596" s="71" t="s">
        <v>141</v>
      </c>
      <c r="J596" s="53">
        <f>G596-T596</f>
        <v>196800</v>
      </c>
      <c r="K596" s="63">
        <f t="shared" si="242"/>
        <v>0.24538653366583538</v>
      </c>
      <c r="L596" s="871">
        <v>18.100000000000001</v>
      </c>
      <c r="M596" s="468"/>
      <c r="N596" s="664">
        <f t="shared" si="243"/>
        <v>180110</v>
      </c>
      <c r="O596" s="71" t="s">
        <v>145</v>
      </c>
      <c r="P596" s="103" t="str">
        <f t="shared" si="244"/>
        <v>Agfa Film(28inch)</v>
      </c>
      <c r="Q596" s="71">
        <f t="shared" si="244"/>
        <v>2</v>
      </c>
      <c r="R596" s="102">
        <v>302600</v>
      </c>
      <c r="S596" s="102">
        <f t="shared" si="236"/>
        <v>665720</v>
      </c>
      <c r="T596" s="102">
        <f t="shared" si="237"/>
        <v>605200</v>
      </c>
      <c r="U596" s="71" t="str">
        <f t="shared" si="238"/>
        <v>O</v>
      </c>
      <c r="V596" s="71" t="s">
        <v>1080</v>
      </c>
      <c r="W596" s="482">
        <f t="shared" si="239"/>
        <v>196800</v>
      </c>
      <c r="X596" s="71"/>
      <c r="Y596" s="71"/>
    </row>
    <row r="597" spans="1:25" ht="30" hidden="1" customHeight="1" x14ac:dyDescent="0.25">
      <c r="A597" s="82">
        <v>180110</v>
      </c>
      <c r="B597" s="664" t="s">
        <v>442</v>
      </c>
      <c r="C597" s="71" t="s">
        <v>135</v>
      </c>
      <c r="D597" s="71">
        <v>2</v>
      </c>
      <c r="E597" s="102">
        <v>448000</v>
      </c>
      <c r="F597" s="102">
        <f t="shared" si="240"/>
        <v>985600.00000000012</v>
      </c>
      <c r="G597" s="102">
        <f t="shared" si="241"/>
        <v>896000</v>
      </c>
      <c r="H597" s="690" t="s">
        <v>173</v>
      </c>
      <c r="I597" s="71" t="s">
        <v>141</v>
      </c>
      <c r="J597" s="53">
        <f>G597-T597</f>
        <v>182740</v>
      </c>
      <c r="K597" s="63">
        <f t="shared" si="242"/>
        <v>0.20395089285714282</v>
      </c>
      <c r="L597" s="871">
        <v>18.100000000000001</v>
      </c>
      <c r="M597" s="468"/>
      <c r="N597" s="664">
        <f t="shared" si="243"/>
        <v>180110</v>
      </c>
      <c r="O597" s="71" t="s">
        <v>145</v>
      </c>
      <c r="P597" s="103" t="str">
        <f t="shared" si="244"/>
        <v>Agfa Film(32inch)</v>
      </c>
      <c r="Q597" s="71">
        <f t="shared" si="244"/>
        <v>2</v>
      </c>
      <c r="R597" s="102">
        <v>356630</v>
      </c>
      <c r="S597" s="102">
        <f t="shared" si="236"/>
        <v>784586.00000000012</v>
      </c>
      <c r="T597" s="102">
        <f t="shared" si="237"/>
        <v>713260</v>
      </c>
      <c r="U597" s="71" t="str">
        <f t="shared" si="238"/>
        <v>O</v>
      </c>
      <c r="V597" s="71" t="s">
        <v>1080</v>
      </c>
      <c r="W597" s="482">
        <f t="shared" si="239"/>
        <v>182740</v>
      </c>
      <c r="X597" s="71"/>
      <c r="Y597" s="71"/>
    </row>
    <row r="598" spans="1:25" ht="30" hidden="1" customHeight="1" x14ac:dyDescent="0.25">
      <c r="A598" s="82">
        <v>180110</v>
      </c>
      <c r="B598" s="664" t="s">
        <v>442</v>
      </c>
      <c r="C598" s="71" t="s">
        <v>649</v>
      </c>
      <c r="D598" s="71">
        <v>2</v>
      </c>
      <c r="E598" s="102">
        <v>41000</v>
      </c>
      <c r="F598" s="102">
        <f t="shared" si="240"/>
        <v>90200.000000000015</v>
      </c>
      <c r="G598" s="102">
        <f t="shared" si="241"/>
        <v>82000</v>
      </c>
      <c r="H598" s="690" t="s">
        <v>173</v>
      </c>
      <c r="I598" s="71" t="s">
        <v>141</v>
      </c>
      <c r="J598" s="53">
        <f>(G598-(VLOOKUP(C598,Price!B:D,3,FALSE)*D598))</f>
        <v>32000</v>
      </c>
      <c r="K598" s="63">
        <f t="shared" si="242"/>
        <v>0.39024390243902435</v>
      </c>
      <c r="L598" s="871">
        <v>18.100000000000001</v>
      </c>
      <c r="M598" s="468"/>
      <c r="N598" s="664">
        <f t="shared" si="243"/>
        <v>180110</v>
      </c>
      <c r="O598" s="71" t="s">
        <v>145</v>
      </c>
      <c r="P598" s="103" t="str">
        <f t="shared" si="244"/>
        <v>Agfa 현상액 G101C(10L)</v>
      </c>
      <c r="Q598" s="71">
        <f t="shared" si="244"/>
        <v>2</v>
      </c>
      <c r="R598" s="102">
        <v>25000</v>
      </c>
      <c r="S598" s="102">
        <f t="shared" si="236"/>
        <v>55000.000000000007</v>
      </c>
      <c r="T598" s="102">
        <f t="shared" si="237"/>
        <v>50000</v>
      </c>
      <c r="U598" s="71" t="str">
        <f t="shared" si="238"/>
        <v>O</v>
      </c>
      <c r="V598" s="71"/>
      <c r="W598" s="515">
        <f t="shared" si="239"/>
        <v>32000</v>
      </c>
      <c r="X598" s="71"/>
      <c r="Y598" s="71"/>
    </row>
    <row r="599" spans="1:25" s="602" customFormat="1" ht="30" hidden="1" customHeight="1" x14ac:dyDescent="0.25">
      <c r="A599" s="85">
        <v>180110</v>
      </c>
      <c r="B599" s="668" t="s">
        <v>545</v>
      </c>
      <c r="C599" s="84" t="s">
        <v>131</v>
      </c>
      <c r="D599" s="84">
        <v>6</v>
      </c>
      <c r="E599" s="189">
        <v>135000</v>
      </c>
      <c r="F599" s="189">
        <f t="shared" si="240"/>
        <v>891000.00000000012</v>
      </c>
      <c r="G599" s="189">
        <f t="shared" si="241"/>
        <v>810000</v>
      </c>
      <c r="H599" s="691" t="s">
        <v>173</v>
      </c>
      <c r="I599" s="84" t="s">
        <v>108</v>
      </c>
      <c r="J599" s="61">
        <f>(G599-(VLOOKUP(C599,Price!B:D,3,FALSE)*D599))</f>
        <v>150000</v>
      </c>
      <c r="K599" s="62">
        <f t="shared" si="242"/>
        <v>0.18518518518518515</v>
      </c>
      <c r="L599" s="873">
        <v>18.100000000000001</v>
      </c>
      <c r="M599" s="601"/>
      <c r="N599" s="668">
        <f>A599</f>
        <v>180110</v>
      </c>
      <c r="O599" s="84" t="s">
        <v>148</v>
      </c>
      <c r="P599" s="133" t="str">
        <f t="shared" si="244"/>
        <v>UV wash(20L)</v>
      </c>
      <c r="Q599" s="84">
        <f t="shared" si="244"/>
        <v>6</v>
      </c>
      <c r="R599" s="189">
        <v>110000</v>
      </c>
      <c r="S599" s="189">
        <f t="shared" si="236"/>
        <v>726000.00000000012</v>
      </c>
      <c r="T599" s="189">
        <f t="shared" si="237"/>
        <v>660000</v>
      </c>
      <c r="U599" s="84" t="str">
        <f t="shared" si="238"/>
        <v>O</v>
      </c>
      <c r="V599" s="84"/>
      <c r="W599" s="481">
        <f t="shared" si="239"/>
        <v>150000</v>
      </c>
      <c r="X599" s="84"/>
      <c r="Y599" s="84"/>
    </row>
    <row r="600" spans="1:25" ht="30" customHeight="1" x14ac:dyDescent="0.25">
      <c r="A600" s="80">
        <v>180111</v>
      </c>
      <c r="B600" s="663" t="s">
        <v>422</v>
      </c>
      <c r="C600" s="829" t="s">
        <v>218</v>
      </c>
      <c r="D600" s="73">
        <v>5</v>
      </c>
      <c r="E600" s="147">
        <v>235000</v>
      </c>
      <c r="F600" s="147">
        <f t="shared" si="240"/>
        <v>1292500</v>
      </c>
      <c r="G600" s="147">
        <f t="shared" si="241"/>
        <v>1175000</v>
      </c>
      <c r="H600" s="689" t="s">
        <v>173</v>
      </c>
      <c r="I600" s="73" t="s">
        <v>120</v>
      </c>
      <c r="J600" s="60">
        <f>(G600-(VLOOKUP(C600,Price!B:D,3,FALSE)*D600))</f>
        <v>612500</v>
      </c>
      <c r="K600" s="427">
        <f t="shared" ref="K600:K606" si="245">(J600/(F600/11*10))</f>
        <v>0.52127659574468088</v>
      </c>
      <c r="L600" s="80">
        <v>18.100000000000001</v>
      </c>
      <c r="M600" s="584"/>
      <c r="N600" s="663">
        <f>A600</f>
        <v>180111</v>
      </c>
      <c r="O600" s="73" t="s">
        <v>150</v>
      </c>
      <c r="P600" s="132" t="str">
        <f t="shared" si="244"/>
        <v>Fount Web 551AF</v>
      </c>
      <c r="Q600" s="73">
        <f t="shared" si="244"/>
        <v>5</v>
      </c>
      <c r="R600" s="147">
        <v>112500</v>
      </c>
      <c r="S600" s="147">
        <f t="shared" si="236"/>
        <v>618750</v>
      </c>
      <c r="T600" s="147">
        <f t="shared" si="237"/>
        <v>562500</v>
      </c>
      <c r="U600" s="73" t="str">
        <f t="shared" si="238"/>
        <v>O</v>
      </c>
      <c r="V600" s="73"/>
      <c r="W600" s="515">
        <f t="shared" si="239"/>
        <v>612500</v>
      </c>
      <c r="X600" s="73"/>
      <c r="Y600" s="73"/>
    </row>
    <row r="601" spans="1:25" ht="30" hidden="1" customHeight="1" x14ac:dyDescent="0.25">
      <c r="A601" s="82">
        <v>180111</v>
      </c>
      <c r="B601" s="664" t="s">
        <v>545</v>
      </c>
      <c r="C601" s="71" t="s">
        <v>805</v>
      </c>
      <c r="D601" s="71">
        <v>2</v>
      </c>
      <c r="E601" s="102">
        <v>180000</v>
      </c>
      <c r="F601" s="102">
        <f t="shared" si="240"/>
        <v>396000.00000000006</v>
      </c>
      <c r="G601" s="102">
        <f t="shared" si="241"/>
        <v>360000</v>
      </c>
      <c r="H601" s="690" t="s">
        <v>173</v>
      </c>
      <c r="I601" s="71" t="s">
        <v>120</v>
      </c>
      <c r="J601" s="53">
        <f>(G601-(VLOOKUP(C601,Price!B:D,3,FALSE)*D601))</f>
        <v>80000</v>
      </c>
      <c r="K601" s="63">
        <f t="shared" si="245"/>
        <v>0.22222222222222218</v>
      </c>
      <c r="L601" s="871">
        <v>18.100000000000001</v>
      </c>
      <c r="M601" s="468"/>
      <c r="N601" s="664">
        <f t="shared" ref="N601:N662" si="246">A601</f>
        <v>180111</v>
      </c>
      <c r="O601" s="71" t="s">
        <v>150</v>
      </c>
      <c r="P601" s="103" t="str">
        <f t="shared" si="222"/>
        <v>Fount 554</v>
      </c>
      <c r="Q601" s="71">
        <v>4</v>
      </c>
      <c r="R601" s="102">
        <v>140000</v>
      </c>
      <c r="S601" s="102">
        <f t="shared" si="236"/>
        <v>616000</v>
      </c>
      <c r="T601" s="102">
        <f t="shared" si="237"/>
        <v>560000</v>
      </c>
      <c r="U601" s="71" t="str">
        <f t="shared" si="238"/>
        <v>X</v>
      </c>
      <c r="V601" s="71" t="s">
        <v>1079</v>
      </c>
      <c r="W601" s="482">
        <f t="shared" si="239"/>
        <v>-200000</v>
      </c>
      <c r="X601" s="71"/>
      <c r="Y601" s="71"/>
    </row>
    <row r="602" spans="1:25" ht="30" hidden="1" customHeight="1" x14ac:dyDescent="0.25">
      <c r="A602" s="82">
        <v>180111</v>
      </c>
      <c r="B602" s="664" t="s">
        <v>631</v>
      </c>
      <c r="C602" s="67" t="s">
        <v>201</v>
      </c>
      <c r="D602" s="71">
        <v>10</v>
      </c>
      <c r="E602" s="102">
        <v>75000</v>
      </c>
      <c r="F602" s="102">
        <f t="shared" si="240"/>
        <v>825000.00000000012</v>
      </c>
      <c r="G602" s="102">
        <f t="shared" si="241"/>
        <v>750000</v>
      </c>
      <c r="H602" s="690" t="s">
        <v>173</v>
      </c>
      <c r="I602" s="71" t="s">
        <v>109</v>
      </c>
      <c r="J602" s="53">
        <f>(G602-(VLOOKUP(C602,Price!B:D,3,FALSE)*D602))</f>
        <v>200000</v>
      </c>
      <c r="K602" s="63">
        <f t="shared" si="245"/>
        <v>0.26666666666666661</v>
      </c>
      <c r="L602" s="82">
        <v>18.100000000000001</v>
      </c>
      <c r="M602" s="468"/>
      <c r="N602" s="664">
        <f>A602</f>
        <v>180111</v>
      </c>
      <c r="O602" s="71" t="s">
        <v>149</v>
      </c>
      <c r="P602" s="103" t="str">
        <f>C602</f>
        <v>Bar블랑켓 730*710</v>
      </c>
      <c r="Q602" s="71">
        <f t="shared" si="223"/>
        <v>10</v>
      </c>
      <c r="R602" s="102">
        <v>55000</v>
      </c>
      <c r="S602" s="102">
        <f t="shared" si="236"/>
        <v>605000</v>
      </c>
      <c r="T602" s="102">
        <f t="shared" si="237"/>
        <v>550000</v>
      </c>
      <c r="U602" s="71" t="str">
        <f t="shared" si="238"/>
        <v>O</v>
      </c>
      <c r="V602" s="71"/>
      <c r="W602" s="515">
        <f t="shared" si="239"/>
        <v>200000</v>
      </c>
      <c r="X602" s="71"/>
      <c r="Y602" s="71"/>
    </row>
    <row r="603" spans="1:25" ht="30" hidden="1" customHeight="1" x14ac:dyDescent="0.2">
      <c r="A603" s="80">
        <v>180111</v>
      </c>
      <c r="B603" s="663" t="s">
        <v>445</v>
      </c>
      <c r="C603" s="73" t="s">
        <v>121</v>
      </c>
      <c r="D603" s="73">
        <v>2</v>
      </c>
      <c r="E603" s="147">
        <v>110000</v>
      </c>
      <c r="F603" s="160">
        <f t="shared" si="240"/>
        <v>242000.00000000003</v>
      </c>
      <c r="G603" s="160">
        <f t="shared" si="241"/>
        <v>220000</v>
      </c>
      <c r="H603" s="161" t="s">
        <v>172</v>
      </c>
      <c r="I603" s="73" t="s">
        <v>142</v>
      </c>
      <c r="J603" s="60">
        <f>(G603-(VLOOKUP(C603,Price!B:D,3,FALSE)*D603))</f>
        <v>38000</v>
      </c>
      <c r="K603" s="427">
        <f t="shared" si="245"/>
        <v>0.1727272727272727</v>
      </c>
      <c r="L603" s="80">
        <v>18.100000000000001</v>
      </c>
      <c r="M603" s="584"/>
      <c r="N603" s="663">
        <f>A603</f>
        <v>180111</v>
      </c>
      <c r="O603" s="73" t="s">
        <v>150</v>
      </c>
      <c r="P603" s="132" t="str">
        <f>C603</f>
        <v>윤전용 실리콘</v>
      </c>
      <c r="Q603" s="73">
        <f>D603</f>
        <v>2</v>
      </c>
      <c r="R603" s="147">
        <v>91000</v>
      </c>
      <c r="S603" s="147">
        <f t="shared" si="236"/>
        <v>200200.00000000003</v>
      </c>
      <c r="T603" s="147">
        <f t="shared" si="237"/>
        <v>182000</v>
      </c>
      <c r="U603" s="73" t="str">
        <f t="shared" si="238"/>
        <v>O</v>
      </c>
      <c r="V603" s="73"/>
      <c r="W603" s="482">
        <f t="shared" si="239"/>
        <v>38000</v>
      </c>
      <c r="X603" s="73"/>
      <c r="Y603" s="73"/>
    </row>
    <row r="604" spans="1:25" s="71" customFormat="1" ht="30" hidden="1" customHeight="1" x14ac:dyDescent="0.2">
      <c r="A604" s="429">
        <v>180111</v>
      </c>
      <c r="B604" s="664" t="s">
        <v>445</v>
      </c>
      <c r="C604" s="71" t="s">
        <v>107</v>
      </c>
      <c r="D604" s="71">
        <v>5</v>
      </c>
      <c r="E604" s="102">
        <v>108000</v>
      </c>
      <c r="F604" s="163">
        <f t="shared" si="240"/>
        <v>594000</v>
      </c>
      <c r="G604" s="163">
        <f t="shared" si="241"/>
        <v>540000</v>
      </c>
      <c r="H604" s="165" t="s">
        <v>172</v>
      </c>
      <c r="I604" s="103" t="s">
        <v>109</v>
      </c>
      <c r="J604" s="53">
        <f>(G604-(VLOOKUP(C604,Price!B:D,3,FALSE)*D604))</f>
        <v>137500</v>
      </c>
      <c r="K604" s="63">
        <f t="shared" si="245"/>
        <v>0.25462962962962965</v>
      </c>
      <c r="L604" s="185">
        <v>18.100000000000001</v>
      </c>
      <c r="M604" s="468"/>
      <c r="N604" s="664">
        <f>A604</f>
        <v>180111</v>
      </c>
      <c r="O604" s="71" t="s">
        <v>147</v>
      </c>
      <c r="P604" s="103" t="str">
        <f>(C604)</f>
        <v>Blanket(1050*840)</v>
      </c>
      <c r="Q604" s="71">
        <f>D604</f>
        <v>5</v>
      </c>
      <c r="R604" s="102">
        <v>80500</v>
      </c>
      <c r="S604" s="102">
        <f>(R604*D604)*1.1</f>
        <v>442750.00000000006</v>
      </c>
      <c r="T604" s="102">
        <f>(R604*Q604)</f>
        <v>402500</v>
      </c>
      <c r="U604" s="71" t="str">
        <f t="shared" si="238"/>
        <v>O</v>
      </c>
      <c r="V604" s="71" t="s">
        <v>687</v>
      </c>
      <c r="W604" s="474">
        <f t="shared" si="239"/>
        <v>137500</v>
      </c>
    </row>
    <row r="605" spans="1:25" s="803" customFormat="1" ht="30" hidden="1" customHeight="1" x14ac:dyDescent="0.2">
      <c r="A605" s="85">
        <v>180111</v>
      </c>
      <c r="B605" s="668" t="s">
        <v>445</v>
      </c>
      <c r="C605" s="84" t="s">
        <v>231</v>
      </c>
      <c r="D605" s="84">
        <v>5</v>
      </c>
      <c r="E605" s="189">
        <v>120000</v>
      </c>
      <c r="F605" s="190">
        <f t="shared" si="240"/>
        <v>660000</v>
      </c>
      <c r="G605" s="190">
        <f t="shared" si="241"/>
        <v>600000</v>
      </c>
      <c r="H605" s="191" t="s">
        <v>172</v>
      </c>
      <c r="I605" s="84" t="s">
        <v>109</v>
      </c>
      <c r="J605" s="61">
        <f>(G605-(VLOOKUP(C605,Price!B:D,3,FALSE)*D605))</f>
        <v>40000</v>
      </c>
      <c r="K605" s="62">
        <f t="shared" si="245"/>
        <v>6.6666666666666666E-2</v>
      </c>
      <c r="L605" s="85">
        <v>18.100000000000001</v>
      </c>
      <c r="M605" s="601"/>
      <c r="N605" s="668">
        <f>A605</f>
        <v>180111</v>
      </c>
      <c r="O605" s="84" t="s">
        <v>151</v>
      </c>
      <c r="P605" s="133" t="str">
        <f>C605</f>
        <v>Blanket(990*725)</v>
      </c>
      <c r="Q605" s="84">
        <f>D605</f>
        <v>5</v>
      </c>
      <c r="R605" s="189">
        <v>112000</v>
      </c>
      <c r="S605" s="189">
        <f t="shared" ref="S605:S629" si="247">R605*Q605*1.1</f>
        <v>616000</v>
      </c>
      <c r="T605" s="189">
        <f t="shared" ref="T605:T629" si="248">R605*Q605</f>
        <v>560000</v>
      </c>
      <c r="U605" s="84" t="str">
        <f t="shared" si="238"/>
        <v>O</v>
      </c>
      <c r="V605" s="84"/>
      <c r="W605" s="766">
        <f t="shared" si="239"/>
        <v>40000</v>
      </c>
      <c r="X605" s="84"/>
      <c r="Y605" s="84"/>
    </row>
    <row r="606" spans="1:25" s="610" customFormat="1" ht="30" hidden="1" customHeight="1" x14ac:dyDescent="0.25">
      <c r="A606" s="89">
        <v>180112</v>
      </c>
      <c r="B606" s="673" t="s">
        <v>764</v>
      </c>
      <c r="C606" s="88" t="s">
        <v>236</v>
      </c>
      <c r="D606" s="88">
        <v>5</v>
      </c>
      <c r="E606" s="470">
        <v>100000</v>
      </c>
      <c r="F606" s="470">
        <f t="shared" si="240"/>
        <v>550000</v>
      </c>
      <c r="G606" s="470">
        <f t="shared" si="241"/>
        <v>500000</v>
      </c>
      <c r="H606" s="695" t="s">
        <v>173</v>
      </c>
      <c r="I606" s="88" t="s">
        <v>142</v>
      </c>
      <c r="J606" s="107">
        <f>(G606-(VLOOKUP(C606,Price!B:D,3,FALSE)*D606))</f>
        <v>250000</v>
      </c>
      <c r="K606" s="469">
        <f t="shared" si="245"/>
        <v>0.5</v>
      </c>
      <c r="L606" s="875">
        <v>18.100000000000001</v>
      </c>
      <c r="M606" s="575"/>
      <c r="N606" s="673">
        <f>A606</f>
        <v>180112</v>
      </c>
      <c r="O606" s="88" t="s">
        <v>153</v>
      </c>
      <c r="P606" s="134" t="str">
        <f>C606</f>
        <v>아스테이지(국전)</v>
      </c>
      <c r="Q606" s="88">
        <f>D606</f>
        <v>5</v>
      </c>
      <c r="R606" s="189">
        <f>VLOOKUP(P606,Price!B:D,3,FALSE)</f>
        <v>50000</v>
      </c>
      <c r="S606" s="470">
        <f t="shared" si="247"/>
        <v>275000</v>
      </c>
      <c r="T606" s="470">
        <f t="shared" si="248"/>
        <v>250000</v>
      </c>
      <c r="U606" s="88" t="str">
        <f t="shared" si="238"/>
        <v>O</v>
      </c>
      <c r="V606" s="88"/>
      <c r="W606" s="483">
        <f t="shared" si="239"/>
        <v>250000</v>
      </c>
      <c r="X606" s="88"/>
      <c r="Y606" s="88"/>
    </row>
    <row r="607" spans="1:25" s="610" customFormat="1" ht="30" hidden="1" customHeight="1" x14ac:dyDescent="0.25">
      <c r="A607" s="89">
        <v>180115</v>
      </c>
      <c r="B607" s="673" t="s">
        <v>575</v>
      </c>
      <c r="C607" s="88" t="s">
        <v>803</v>
      </c>
      <c r="D607" s="88">
        <v>1</v>
      </c>
      <c r="E607" s="470">
        <v>0</v>
      </c>
      <c r="F607" s="470">
        <v>0</v>
      </c>
      <c r="G607" s="470">
        <f t="shared" si="241"/>
        <v>0</v>
      </c>
      <c r="H607" s="695" t="s">
        <v>985</v>
      </c>
      <c r="I607" s="88"/>
      <c r="J607" s="107">
        <v>0</v>
      </c>
      <c r="K607" s="469"/>
      <c r="L607" s="875">
        <v>18.100000000000001</v>
      </c>
      <c r="M607" s="575" t="s">
        <v>988</v>
      </c>
      <c r="N607" s="673">
        <f t="shared" si="246"/>
        <v>180115</v>
      </c>
      <c r="O607" s="88"/>
      <c r="P607" s="134" t="str">
        <f t="shared" si="222"/>
        <v>M-600 서비스</v>
      </c>
      <c r="Q607" s="88">
        <f t="shared" si="223"/>
        <v>1</v>
      </c>
      <c r="R607" s="470"/>
      <c r="S607" s="470">
        <f t="shared" si="247"/>
        <v>0</v>
      </c>
      <c r="T607" s="470">
        <f t="shared" si="248"/>
        <v>0</v>
      </c>
      <c r="U607" s="88" t="str">
        <f t="shared" si="238"/>
        <v>O</v>
      </c>
      <c r="V607" s="88"/>
      <c r="W607" s="483">
        <f t="shared" si="239"/>
        <v>0</v>
      </c>
      <c r="X607" s="88"/>
      <c r="Y607" s="88"/>
    </row>
    <row r="608" spans="1:25" ht="30" customHeight="1" x14ac:dyDescent="0.25">
      <c r="A608" s="80">
        <v>180116</v>
      </c>
      <c r="B608" s="663" t="s">
        <v>422</v>
      </c>
      <c r="C608" s="73" t="s">
        <v>130</v>
      </c>
      <c r="D608" s="73">
        <v>10</v>
      </c>
      <c r="E608" s="147">
        <v>125000</v>
      </c>
      <c r="F608" s="147">
        <f t="shared" ref="F608:F615" si="249">(E608*D608)*1.1</f>
        <v>1375000</v>
      </c>
      <c r="G608" s="147">
        <f t="shared" ref="G608:G615" si="250">(E608*D608)</f>
        <v>1250000</v>
      </c>
      <c r="H608" s="689" t="s">
        <v>173</v>
      </c>
      <c r="I608" s="73" t="s">
        <v>109</v>
      </c>
      <c r="J608" s="60">
        <f>(G608-(VLOOKUP(C608,Price!B:D,3,FALSE)*D608))</f>
        <v>260000</v>
      </c>
      <c r="K608" s="427">
        <f>(J608/(F608/11*10))</f>
        <v>0.20799999999999999</v>
      </c>
      <c r="L608" s="80">
        <v>18.100000000000001</v>
      </c>
      <c r="M608" s="584"/>
      <c r="N608" s="663">
        <f t="shared" si="246"/>
        <v>180116</v>
      </c>
      <c r="O608" s="73" t="s">
        <v>150</v>
      </c>
      <c r="P608" s="132" t="str">
        <f t="shared" si="222"/>
        <v>XL106 Blanket(1077*885)</v>
      </c>
      <c r="Q608" s="73">
        <f t="shared" si="223"/>
        <v>10</v>
      </c>
      <c r="R608" s="147">
        <v>99000</v>
      </c>
      <c r="S608" s="147">
        <f t="shared" si="247"/>
        <v>1089000</v>
      </c>
      <c r="T608" s="147">
        <f t="shared" si="248"/>
        <v>990000</v>
      </c>
      <c r="U608" s="73" t="str">
        <f t="shared" si="238"/>
        <v>O</v>
      </c>
      <c r="V608" s="73"/>
      <c r="W608" s="482">
        <f t="shared" si="239"/>
        <v>260000</v>
      </c>
      <c r="X608" s="73"/>
      <c r="Y608" s="73"/>
    </row>
    <row r="609" spans="1:25" ht="30" customHeight="1" x14ac:dyDescent="0.25">
      <c r="A609" s="80">
        <v>180116</v>
      </c>
      <c r="B609" s="664" t="s">
        <v>422</v>
      </c>
      <c r="C609" s="71" t="s">
        <v>129</v>
      </c>
      <c r="D609" s="71">
        <v>5</v>
      </c>
      <c r="E609" s="102">
        <v>272000</v>
      </c>
      <c r="F609" s="102">
        <f t="shared" si="249"/>
        <v>1496000.0000000002</v>
      </c>
      <c r="G609" s="102">
        <f t="shared" si="250"/>
        <v>1360000</v>
      </c>
      <c r="H609" s="690" t="s">
        <v>173</v>
      </c>
      <c r="I609" s="71" t="s">
        <v>108</v>
      </c>
      <c r="J609" s="53">
        <f>(G609-(VLOOKUP(C609,Price!B:D,3,FALSE)*D609))</f>
        <v>320000</v>
      </c>
      <c r="K609" s="63">
        <v>0.23529411764705879</v>
      </c>
      <c r="L609" s="80">
        <v>18.100000000000001</v>
      </c>
      <c r="M609" s="468"/>
      <c r="N609" s="664">
        <f t="shared" si="246"/>
        <v>180116</v>
      </c>
      <c r="O609" s="71" t="s">
        <v>149</v>
      </c>
      <c r="P609" s="103" t="str">
        <f t="shared" si="222"/>
        <v>세정포-XL106</v>
      </c>
      <c r="Q609" s="71">
        <f t="shared" si="223"/>
        <v>5</v>
      </c>
      <c r="R609" s="102">
        <v>208000</v>
      </c>
      <c r="S609" s="102">
        <f t="shared" si="247"/>
        <v>1144000</v>
      </c>
      <c r="T609" s="102">
        <f t="shared" si="248"/>
        <v>1040000</v>
      </c>
      <c r="U609" s="71" t="str">
        <f t="shared" si="238"/>
        <v>O</v>
      </c>
      <c r="V609" s="71"/>
      <c r="W609" s="515">
        <f t="shared" si="239"/>
        <v>320000</v>
      </c>
      <c r="X609" s="71"/>
      <c r="Y609" s="71"/>
    </row>
    <row r="610" spans="1:25" ht="30" customHeight="1" x14ac:dyDescent="0.25">
      <c r="A610" s="80">
        <v>180116</v>
      </c>
      <c r="B610" s="664" t="s">
        <v>422</v>
      </c>
      <c r="C610" s="760" t="s">
        <v>989</v>
      </c>
      <c r="D610" s="71">
        <v>10</v>
      </c>
      <c r="E610" s="102">
        <v>4500</v>
      </c>
      <c r="F610" s="102">
        <f t="shared" si="249"/>
        <v>49500.000000000007</v>
      </c>
      <c r="G610" s="102">
        <f t="shared" si="250"/>
        <v>45000</v>
      </c>
      <c r="H610" s="690" t="s">
        <v>173</v>
      </c>
      <c r="I610" s="71" t="s">
        <v>142</v>
      </c>
      <c r="J610" s="53">
        <v>9000</v>
      </c>
      <c r="K610" s="63">
        <v>0.23529411764705879</v>
      </c>
      <c r="L610" s="80">
        <v>18.100000000000001</v>
      </c>
      <c r="M610" s="468"/>
      <c r="N610" s="664">
        <f t="shared" si="246"/>
        <v>180116</v>
      </c>
      <c r="O610" s="71" t="s">
        <v>150</v>
      </c>
      <c r="P610" s="103" t="str">
        <f t="shared" ref="P610:Q615" si="251">C610</f>
        <v>고무사카</v>
      </c>
      <c r="Q610" s="71">
        <f t="shared" si="251"/>
        <v>10</v>
      </c>
      <c r="R610" s="102">
        <v>3600</v>
      </c>
      <c r="S610" s="102">
        <f t="shared" si="247"/>
        <v>39600</v>
      </c>
      <c r="T610" s="102">
        <f t="shared" si="248"/>
        <v>36000</v>
      </c>
      <c r="U610" s="71" t="str">
        <f t="shared" si="238"/>
        <v>O</v>
      </c>
      <c r="V610" s="71" t="s">
        <v>1078</v>
      </c>
      <c r="W610" s="482">
        <f t="shared" si="239"/>
        <v>9000</v>
      </c>
      <c r="X610" s="71"/>
      <c r="Y610" s="71"/>
    </row>
    <row r="611" spans="1:25" ht="30" customHeight="1" x14ac:dyDescent="0.25">
      <c r="A611" s="80">
        <v>180116</v>
      </c>
      <c r="B611" s="664" t="s">
        <v>422</v>
      </c>
      <c r="C611" s="71" t="s">
        <v>584</v>
      </c>
      <c r="D611" s="71">
        <v>2</v>
      </c>
      <c r="E611" s="102">
        <v>270000</v>
      </c>
      <c r="F611" s="102">
        <f t="shared" si="249"/>
        <v>594000</v>
      </c>
      <c r="G611" s="102">
        <f t="shared" si="250"/>
        <v>540000</v>
      </c>
      <c r="H611" s="690" t="s">
        <v>173</v>
      </c>
      <c r="I611" s="71" t="s">
        <v>142</v>
      </c>
      <c r="J611" s="53">
        <f>(G611-(VLOOKUP(C611,Price!B:D,3,FALSE)*D611))</f>
        <v>108000</v>
      </c>
      <c r="K611" s="63">
        <f>(J611/(F611/11*10))</f>
        <v>0.2</v>
      </c>
      <c r="L611" s="80">
        <v>18.100000000000001</v>
      </c>
      <c r="M611" s="468"/>
      <c r="N611" s="664">
        <f t="shared" si="246"/>
        <v>180116</v>
      </c>
      <c r="O611" s="71" t="s">
        <v>150</v>
      </c>
      <c r="P611" s="103" t="str">
        <f t="shared" si="251"/>
        <v>데리바리 석션벨트</v>
      </c>
      <c r="Q611" s="71">
        <f t="shared" si="251"/>
        <v>2</v>
      </c>
      <c r="R611" s="102">
        <v>216000</v>
      </c>
      <c r="S611" s="102">
        <f t="shared" si="247"/>
        <v>475200.00000000006</v>
      </c>
      <c r="T611" s="102">
        <f t="shared" si="248"/>
        <v>432000</v>
      </c>
      <c r="U611" s="71" t="str">
        <f t="shared" si="238"/>
        <v>O</v>
      </c>
      <c r="V611" s="71" t="s">
        <v>1078</v>
      </c>
      <c r="W611" s="515">
        <f t="shared" si="239"/>
        <v>108000</v>
      </c>
      <c r="X611" s="71"/>
      <c r="Y611" s="71"/>
    </row>
    <row r="612" spans="1:25" ht="30" hidden="1" customHeight="1" x14ac:dyDescent="0.25">
      <c r="A612" s="80">
        <v>180116</v>
      </c>
      <c r="B612" s="664" t="s">
        <v>545</v>
      </c>
      <c r="C612" s="71" t="s">
        <v>131</v>
      </c>
      <c r="D612" s="71">
        <v>4</v>
      </c>
      <c r="E612" s="102">
        <v>135000</v>
      </c>
      <c r="F612" s="102">
        <f t="shared" si="249"/>
        <v>594000</v>
      </c>
      <c r="G612" s="102">
        <f t="shared" si="250"/>
        <v>540000</v>
      </c>
      <c r="H612" s="690" t="s">
        <v>173</v>
      </c>
      <c r="I612" s="71" t="s">
        <v>108</v>
      </c>
      <c r="J612" s="53">
        <f>(G612-(VLOOKUP(C612,Price!B:D,3,FALSE)*D612))</f>
        <v>100000</v>
      </c>
      <c r="K612" s="63">
        <f>(J612/(F612/11*10))</f>
        <v>0.18518518518518517</v>
      </c>
      <c r="L612" s="871">
        <v>18.100000000000001</v>
      </c>
      <c r="M612" s="468"/>
      <c r="N612" s="664">
        <f t="shared" ref="N612:N620" si="252">A612</f>
        <v>180116</v>
      </c>
      <c r="O612" s="71" t="s">
        <v>148</v>
      </c>
      <c r="P612" s="103" t="str">
        <f t="shared" si="251"/>
        <v>UV wash(20L)</v>
      </c>
      <c r="Q612" s="71">
        <f t="shared" si="251"/>
        <v>4</v>
      </c>
      <c r="R612" s="102">
        <v>110000</v>
      </c>
      <c r="S612" s="102">
        <f t="shared" si="247"/>
        <v>484000.00000000006</v>
      </c>
      <c r="T612" s="102">
        <f t="shared" si="248"/>
        <v>440000</v>
      </c>
      <c r="U612" s="71" t="str">
        <f t="shared" si="238"/>
        <v>O</v>
      </c>
      <c r="V612" s="71"/>
      <c r="W612" s="515">
        <f t="shared" si="239"/>
        <v>100000</v>
      </c>
      <c r="X612" s="71"/>
      <c r="Y612" s="71"/>
    </row>
    <row r="613" spans="1:25" ht="30" hidden="1" customHeight="1" x14ac:dyDescent="0.25">
      <c r="A613" s="80">
        <v>180116</v>
      </c>
      <c r="B613" s="664" t="s">
        <v>545</v>
      </c>
      <c r="C613" s="71" t="s">
        <v>805</v>
      </c>
      <c r="D613" s="71">
        <v>4</v>
      </c>
      <c r="E613" s="102">
        <v>180000</v>
      </c>
      <c r="F613" s="102">
        <f t="shared" si="249"/>
        <v>792000.00000000012</v>
      </c>
      <c r="G613" s="102">
        <f t="shared" si="250"/>
        <v>720000</v>
      </c>
      <c r="H613" s="690" t="s">
        <v>173</v>
      </c>
      <c r="I613" s="71" t="s">
        <v>120</v>
      </c>
      <c r="J613" s="53">
        <f>(G613-(VLOOKUP(C613,Price!B:D,3,FALSE)*D613))</f>
        <v>160000</v>
      </c>
      <c r="K613" s="63">
        <f>(J613/(F613/11*10))</f>
        <v>0.22222222222222218</v>
      </c>
      <c r="L613" s="871">
        <v>18.100000000000001</v>
      </c>
      <c r="M613" s="468"/>
      <c r="N613" s="664">
        <f t="shared" si="252"/>
        <v>180116</v>
      </c>
      <c r="O613" s="71" t="s">
        <v>150</v>
      </c>
      <c r="P613" s="103" t="str">
        <f t="shared" si="251"/>
        <v>Fount 554</v>
      </c>
      <c r="Q613" s="71">
        <f t="shared" si="251"/>
        <v>4</v>
      </c>
      <c r="R613" s="102">
        <v>140000</v>
      </c>
      <c r="S613" s="102">
        <f t="shared" si="247"/>
        <v>616000</v>
      </c>
      <c r="T613" s="102">
        <f t="shared" si="248"/>
        <v>560000</v>
      </c>
      <c r="U613" s="71" t="str">
        <f t="shared" si="238"/>
        <v>O</v>
      </c>
      <c r="V613" s="71"/>
      <c r="W613" s="482">
        <f t="shared" si="239"/>
        <v>160000</v>
      </c>
      <c r="X613" s="71"/>
      <c r="Y613" s="71"/>
    </row>
    <row r="614" spans="1:25" s="602" customFormat="1" ht="33.75" hidden="1" customHeight="1" x14ac:dyDescent="0.25">
      <c r="A614" s="612">
        <v>180116</v>
      </c>
      <c r="B614" s="668" t="s">
        <v>545</v>
      </c>
      <c r="C614" s="84" t="s">
        <v>167</v>
      </c>
      <c r="D614" s="84">
        <v>10</v>
      </c>
      <c r="E614" s="189">
        <v>110000</v>
      </c>
      <c r="F614" s="189">
        <f t="shared" si="249"/>
        <v>1210000</v>
      </c>
      <c r="G614" s="189">
        <f t="shared" si="250"/>
        <v>1100000</v>
      </c>
      <c r="H614" s="691" t="s">
        <v>173</v>
      </c>
      <c r="I614" s="84" t="s">
        <v>109</v>
      </c>
      <c r="J614" s="61">
        <f>(G614-(VLOOKUP(C614,Price!B:D,3,FALSE)*D614))</f>
        <v>271000</v>
      </c>
      <c r="K614" s="62">
        <f t="shared" ref="K614:K620" si="253">(J614/(F614/11*10))</f>
        <v>0.24636363636363637</v>
      </c>
      <c r="L614" s="873">
        <v>18.100000000000001</v>
      </c>
      <c r="M614" s="601"/>
      <c r="N614" s="668">
        <f t="shared" si="252"/>
        <v>180116</v>
      </c>
      <c r="O614" s="84" t="s">
        <v>147</v>
      </c>
      <c r="P614" s="133" t="str">
        <f t="shared" si="251"/>
        <v>Blanket(1060*860)</v>
      </c>
      <c r="Q614" s="84">
        <f t="shared" si="251"/>
        <v>10</v>
      </c>
      <c r="R614" s="189">
        <v>82900</v>
      </c>
      <c r="S614" s="189">
        <f t="shared" si="247"/>
        <v>911900.00000000012</v>
      </c>
      <c r="T614" s="189">
        <f t="shared" si="248"/>
        <v>829000</v>
      </c>
      <c r="U614" s="84" t="str">
        <f t="shared" si="238"/>
        <v>O</v>
      </c>
      <c r="V614" s="84"/>
      <c r="W614" s="481">
        <f t="shared" si="239"/>
        <v>271000</v>
      </c>
      <c r="X614" s="84"/>
      <c r="Y614" s="84"/>
    </row>
    <row r="615" spans="1:25" s="610" customFormat="1" ht="30" hidden="1" customHeight="1" x14ac:dyDescent="0.25">
      <c r="A615" s="89">
        <v>180117</v>
      </c>
      <c r="B615" s="673" t="s">
        <v>575</v>
      </c>
      <c r="C615" s="88" t="s">
        <v>991</v>
      </c>
      <c r="D615" s="88">
        <v>2</v>
      </c>
      <c r="E615" s="470">
        <v>1100000</v>
      </c>
      <c r="F615" s="470">
        <f t="shared" si="249"/>
        <v>2420000</v>
      </c>
      <c r="G615" s="470">
        <f t="shared" si="250"/>
        <v>2200000</v>
      </c>
      <c r="H615" s="815" t="s">
        <v>113</v>
      </c>
      <c r="I615" s="88"/>
      <c r="J615" s="107">
        <v>1117468.8678729702</v>
      </c>
      <c r="K615" s="65">
        <f>(J615/(F615/11*10))</f>
        <v>0.50794039448771366</v>
      </c>
      <c r="L615" s="875">
        <v>18.100000000000001</v>
      </c>
      <c r="M615" s="575"/>
      <c r="N615" s="673">
        <f t="shared" si="252"/>
        <v>180117</v>
      </c>
      <c r="O615" s="731" t="s">
        <v>113</v>
      </c>
      <c r="P615" s="134" t="str">
        <f t="shared" si="251"/>
        <v>드라이어 압력 컨버터</v>
      </c>
      <c r="Q615" s="88">
        <f t="shared" si="251"/>
        <v>2</v>
      </c>
      <c r="R615" s="470">
        <f>Import!G63</f>
        <v>541265.56606351491</v>
      </c>
      <c r="S615" s="470">
        <f t="shared" si="247"/>
        <v>1190784.2453397328</v>
      </c>
      <c r="T615" s="470">
        <f t="shared" si="248"/>
        <v>1082531.1321270298</v>
      </c>
      <c r="U615" s="88" t="str">
        <f t="shared" si="238"/>
        <v>O</v>
      </c>
      <c r="V615" s="88"/>
      <c r="W615" s="483">
        <f t="shared" si="239"/>
        <v>1117468.8678729702</v>
      </c>
      <c r="X615" s="88"/>
      <c r="Y615" s="88"/>
    </row>
    <row r="616" spans="1:25" ht="30" hidden="1" customHeight="1" x14ac:dyDescent="0.25">
      <c r="A616" s="80">
        <v>180118</v>
      </c>
      <c r="B616" s="664" t="s">
        <v>1052</v>
      </c>
      <c r="C616" s="73" t="s">
        <v>585</v>
      </c>
      <c r="D616" s="73">
        <v>200</v>
      </c>
      <c r="E616" s="147">
        <v>7500</v>
      </c>
      <c r="F616" s="147">
        <f t="shared" ref="F616:F636" si="254">(E616*D616)*1.1</f>
        <v>1650000.0000000002</v>
      </c>
      <c r="G616" s="147">
        <f t="shared" ref="G616:G636" si="255">(E616*D616)</f>
        <v>1500000</v>
      </c>
      <c r="H616" s="689" t="s">
        <v>142</v>
      </c>
      <c r="I616" s="73" t="s">
        <v>144</v>
      </c>
      <c r="J616" s="60">
        <f>(G616-(VLOOKUP(C616,Price!B:D,3,FALSE)*D616))</f>
        <v>146000</v>
      </c>
      <c r="K616" s="427">
        <f t="shared" si="253"/>
        <v>9.7333333333333313E-2</v>
      </c>
      <c r="L616" s="874">
        <v>18.100000000000001</v>
      </c>
      <c r="M616" s="584"/>
      <c r="N616" s="663">
        <f t="shared" si="252"/>
        <v>180118</v>
      </c>
      <c r="O616" s="73" t="s">
        <v>147</v>
      </c>
      <c r="P616" s="132" t="str">
        <f t="shared" ref="P616:Q620" si="256">C616</f>
        <v>프리미어(적)</v>
      </c>
      <c r="Q616" s="73">
        <f t="shared" si="256"/>
        <v>200</v>
      </c>
      <c r="R616" s="147">
        <v>6770</v>
      </c>
      <c r="S616" s="147">
        <f t="shared" si="247"/>
        <v>1489400.0000000002</v>
      </c>
      <c r="T616" s="147">
        <f t="shared" si="248"/>
        <v>1354000</v>
      </c>
      <c r="U616" s="73" t="str">
        <f t="shared" si="238"/>
        <v>O</v>
      </c>
      <c r="V616" s="73"/>
      <c r="W616" s="515">
        <f t="shared" si="239"/>
        <v>146000</v>
      </c>
      <c r="X616" s="73"/>
      <c r="Y616" s="73"/>
    </row>
    <row r="617" spans="1:25" ht="30" hidden="1" customHeight="1" x14ac:dyDescent="0.25">
      <c r="A617" s="82">
        <v>180118</v>
      </c>
      <c r="B617" s="664" t="s">
        <v>1052</v>
      </c>
      <c r="C617" s="71" t="s">
        <v>586</v>
      </c>
      <c r="D617" s="71">
        <v>200</v>
      </c>
      <c r="E617" s="102">
        <v>6750</v>
      </c>
      <c r="F617" s="102">
        <f t="shared" si="254"/>
        <v>1485000.0000000002</v>
      </c>
      <c r="G617" s="102">
        <f t="shared" si="255"/>
        <v>1350000</v>
      </c>
      <c r="H617" s="690" t="s">
        <v>142</v>
      </c>
      <c r="I617" s="71" t="s">
        <v>144</v>
      </c>
      <c r="J617" s="53">
        <f>(G617-(VLOOKUP(C617,Price!B:D,3,FALSE)*D617))</f>
        <v>114000</v>
      </c>
      <c r="K617" s="63">
        <f t="shared" si="253"/>
        <v>8.4444444444444433E-2</v>
      </c>
      <c r="L617" s="871">
        <v>18.100000000000001</v>
      </c>
      <c r="M617" s="468"/>
      <c r="N617" s="664">
        <f t="shared" si="252"/>
        <v>180118</v>
      </c>
      <c r="O617" s="71" t="s">
        <v>147</v>
      </c>
      <c r="P617" s="103" t="str">
        <f t="shared" si="256"/>
        <v>프리미어(황)</v>
      </c>
      <c r="Q617" s="71">
        <f t="shared" si="256"/>
        <v>200</v>
      </c>
      <c r="R617" s="102">
        <v>6180</v>
      </c>
      <c r="S617" s="102">
        <f t="shared" si="247"/>
        <v>1359600</v>
      </c>
      <c r="T617" s="102">
        <f t="shared" si="248"/>
        <v>1236000</v>
      </c>
      <c r="U617" s="71" t="str">
        <f t="shared" si="238"/>
        <v>O</v>
      </c>
      <c r="V617" s="71"/>
      <c r="W617" s="515">
        <f t="shared" si="239"/>
        <v>114000</v>
      </c>
      <c r="X617" s="71"/>
      <c r="Y617" s="71"/>
    </row>
    <row r="618" spans="1:25" ht="30" hidden="1" customHeight="1" x14ac:dyDescent="0.25">
      <c r="A618" s="82">
        <v>180118</v>
      </c>
      <c r="B618" s="664" t="s">
        <v>1052</v>
      </c>
      <c r="C618" s="71" t="s">
        <v>587</v>
      </c>
      <c r="D618" s="71">
        <v>200</v>
      </c>
      <c r="E618" s="102">
        <v>8000</v>
      </c>
      <c r="F618" s="102">
        <f t="shared" si="254"/>
        <v>1760000.0000000002</v>
      </c>
      <c r="G618" s="102">
        <f t="shared" si="255"/>
        <v>1600000</v>
      </c>
      <c r="H618" s="690" t="s">
        <v>142</v>
      </c>
      <c r="I618" s="71" t="s">
        <v>144</v>
      </c>
      <c r="J618" s="53">
        <f>(G618-(VLOOKUP(C618,Price!B:D,3,FALSE)*D618))</f>
        <v>218000</v>
      </c>
      <c r="K618" s="63">
        <f t="shared" si="253"/>
        <v>0.13624999999999998</v>
      </c>
      <c r="L618" s="871">
        <v>18.100000000000001</v>
      </c>
      <c r="M618" s="468"/>
      <c r="N618" s="664">
        <f t="shared" si="252"/>
        <v>180118</v>
      </c>
      <c r="O618" s="71" t="s">
        <v>147</v>
      </c>
      <c r="P618" s="103" t="str">
        <f t="shared" si="256"/>
        <v>프리미어(청)</v>
      </c>
      <c r="Q618" s="71">
        <f t="shared" si="256"/>
        <v>200</v>
      </c>
      <c r="R618" s="102">
        <v>6910</v>
      </c>
      <c r="S618" s="102">
        <f t="shared" si="247"/>
        <v>1520200.0000000002</v>
      </c>
      <c r="T618" s="102">
        <f t="shared" si="248"/>
        <v>1382000</v>
      </c>
      <c r="U618" s="71" t="str">
        <f t="shared" si="238"/>
        <v>O</v>
      </c>
      <c r="V618" s="71"/>
      <c r="W618" s="482">
        <f t="shared" si="239"/>
        <v>218000</v>
      </c>
      <c r="X618" s="71"/>
      <c r="Y618" s="71"/>
    </row>
    <row r="619" spans="1:25" ht="30" hidden="1" customHeight="1" x14ac:dyDescent="0.25">
      <c r="A619" s="82">
        <v>180118</v>
      </c>
      <c r="B619" s="664" t="s">
        <v>1052</v>
      </c>
      <c r="C619" s="71" t="s">
        <v>616</v>
      </c>
      <c r="D619" s="71">
        <v>200</v>
      </c>
      <c r="E619" s="102">
        <v>6600</v>
      </c>
      <c r="F619" s="102">
        <f t="shared" si="254"/>
        <v>1452000.0000000002</v>
      </c>
      <c r="G619" s="102">
        <f t="shared" si="255"/>
        <v>1320000</v>
      </c>
      <c r="H619" s="690" t="s">
        <v>142</v>
      </c>
      <c r="I619" s="71" t="s">
        <v>144</v>
      </c>
      <c r="J619" s="53">
        <f>(G619-(VLOOKUP(C619,Price!B:D,3,FALSE)*D619))</f>
        <v>140000</v>
      </c>
      <c r="K619" s="63">
        <f t="shared" si="253"/>
        <v>0.10606060606060604</v>
      </c>
      <c r="L619" s="871">
        <v>18.100000000000001</v>
      </c>
      <c r="M619" s="468"/>
      <c r="N619" s="664">
        <f t="shared" si="252"/>
        <v>180118</v>
      </c>
      <c r="O619" s="71" t="s">
        <v>147</v>
      </c>
      <c r="P619" s="103" t="str">
        <f t="shared" si="256"/>
        <v>프리미어(먹)</v>
      </c>
      <c r="Q619" s="71">
        <f t="shared" si="256"/>
        <v>200</v>
      </c>
      <c r="R619" s="102">
        <v>5900</v>
      </c>
      <c r="S619" s="102">
        <f t="shared" si="247"/>
        <v>1298000</v>
      </c>
      <c r="T619" s="102">
        <f t="shared" si="248"/>
        <v>1180000</v>
      </c>
      <c r="U619" s="71" t="str">
        <f t="shared" si="238"/>
        <v>O</v>
      </c>
      <c r="V619" s="71"/>
      <c r="W619" s="515">
        <f t="shared" si="239"/>
        <v>140000</v>
      </c>
      <c r="X619" s="71"/>
      <c r="Y619" s="71"/>
    </row>
    <row r="620" spans="1:25" ht="30" hidden="1" customHeight="1" x14ac:dyDescent="0.25">
      <c r="A620" s="82">
        <v>180118</v>
      </c>
      <c r="B620" s="664" t="s">
        <v>545</v>
      </c>
      <c r="C620" s="71" t="s">
        <v>131</v>
      </c>
      <c r="D620" s="71">
        <v>3</v>
      </c>
      <c r="E620" s="102">
        <v>135000</v>
      </c>
      <c r="F620" s="102">
        <f t="shared" si="254"/>
        <v>445500.00000000006</v>
      </c>
      <c r="G620" s="102">
        <f t="shared" si="255"/>
        <v>405000</v>
      </c>
      <c r="H620" s="690" t="s">
        <v>173</v>
      </c>
      <c r="I620" s="71" t="s">
        <v>108</v>
      </c>
      <c r="J620" s="53">
        <f>(G620-(VLOOKUP(C620,Price!B:D,3,FALSE)*D620))</f>
        <v>75000</v>
      </c>
      <c r="K620" s="63">
        <f t="shared" si="253"/>
        <v>0.18518518518518515</v>
      </c>
      <c r="L620" s="871">
        <v>18.100000000000001</v>
      </c>
      <c r="M620" s="468"/>
      <c r="N620" s="664">
        <f t="shared" si="252"/>
        <v>180118</v>
      </c>
      <c r="O620" s="71" t="s">
        <v>148</v>
      </c>
      <c r="P620" s="103" t="str">
        <f t="shared" si="256"/>
        <v>UV wash(20L)</v>
      </c>
      <c r="Q620" s="71">
        <f t="shared" si="256"/>
        <v>3</v>
      </c>
      <c r="R620" s="102">
        <v>110000</v>
      </c>
      <c r="S620" s="102">
        <f t="shared" si="247"/>
        <v>363000.00000000006</v>
      </c>
      <c r="T620" s="102">
        <f t="shared" si="248"/>
        <v>330000</v>
      </c>
      <c r="U620" s="71" t="str">
        <f t="shared" si="238"/>
        <v>O</v>
      </c>
      <c r="V620" s="71"/>
      <c r="W620" s="515">
        <f t="shared" si="239"/>
        <v>75000</v>
      </c>
      <c r="X620" s="71"/>
      <c r="Y620" s="71"/>
    </row>
    <row r="621" spans="1:25" ht="30" hidden="1" customHeight="1" x14ac:dyDescent="0.25">
      <c r="A621" s="82">
        <v>180118</v>
      </c>
      <c r="B621" s="664" t="s">
        <v>545</v>
      </c>
      <c r="C621" s="71" t="s">
        <v>1010</v>
      </c>
      <c r="D621" s="71">
        <v>3</v>
      </c>
      <c r="E621" s="102">
        <v>135000</v>
      </c>
      <c r="F621" s="102">
        <f t="shared" si="254"/>
        <v>445500.00000000006</v>
      </c>
      <c r="G621" s="102">
        <f t="shared" si="255"/>
        <v>405000</v>
      </c>
      <c r="H621" s="690" t="s">
        <v>173</v>
      </c>
      <c r="I621" s="71" t="s">
        <v>108</v>
      </c>
      <c r="J621" s="53">
        <f>(G621-(VLOOKUP(C621,Price!B:D,3,FALSE)*D621))</f>
        <v>75000</v>
      </c>
      <c r="K621" s="63">
        <f t="shared" ref="K621:K629" si="257">(J621/(F621/11*10))</f>
        <v>0.18518518518518515</v>
      </c>
      <c r="L621" s="871">
        <v>18.100000000000001</v>
      </c>
      <c r="M621" s="468"/>
      <c r="N621" s="664">
        <f t="shared" si="246"/>
        <v>180118</v>
      </c>
      <c r="O621" s="71" t="s">
        <v>148</v>
      </c>
      <c r="P621" s="103" t="str">
        <f t="shared" si="222"/>
        <v>Offset UV wash</v>
      </c>
      <c r="Q621" s="71">
        <f t="shared" si="223"/>
        <v>3</v>
      </c>
      <c r="R621" s="102">
        <v>110000</v>
      </c>
      <c r="S621" s="102">
        <f t="shared" si="247"/>
        <v>363000.00000000006</v>
      </c>
      <c r="T621" s="102">
        <f t="shared" si="248"/>
        <v>330000</v>
      </c>
      <c r="U621" s="71" t="str">
        <f t="shared" si="238"/>
        <v>O</v>
      </c>
      <c r="V621" s="71"/>
      <c r="W621" s="482">
        <f t="shared" si="239"/>
        <v>75000</v>
      </c>
      <c r="X621" s="71"/>
      <c r="Y621" s="71"/>
    </row>
    <row r="622" spans="1:25" s="602" customFormat="1" ht="30" hidden="1" customHeight="1" x14ac:dyDescent="0.25">
      <c r="A622" s="85">
        <v>180118</v>
      </c>
      <c r="B622" s="668" t="s">
        <v>545</v>
      </c>
      <c r="C622" s="84" t="s">
        <v>952</v>
      </c>
      <c r="D622" s="84">
        <v>1</v>
      </c>
      <c r="E622" s="189">
        <v>630000</v>
      </c>
      <c r="F622" s="189">
        <f t="shared" si="254"/>
        <v>693000</v>
      </c>
      <c r="G622" s="189">
        <f t="shared" si="255"/>
        <v>630000</v>
      </c>
      <c r="H622" s="691" t="s">
        <v>173</v>
      </c>
      <c r="I622" s="84" t="s">
        <v>108</v>
      </c>
      <c r="J622" s="61">
        <f>(G622-(VLOOKUP(C622,Price!B:D,3,FALSE)*D622))</f>
        <v>180000</v>
      </c>
      <c r="K622" s="62">
        <f t="shared" si="257"/>
        <v>0.2857142857142857</v>
      </c>
      <c r="L622" s="85">
        <v>18.100000000000001</v>
      </c>
      <c r="M622" s="601"/>
      <c r="N622" s="668">
        <f>A622</f>
        <v>180118</v>
      </c>
      <c r="O622" s="84" t="s">
        <v>599</v>
      </c>
      <c r="P622" s="133" t="str">
        <f>C622</f>
        <v>점보롤 세정포</v>
      </c>
      <c r="Q622" s="84">
        <f>D622</f>
        <v>1</v>
      </c>
      <c r="R622" s="189">
        <v>450000</v>
      </c>
      <c r="S622" s="189">
        <f t="shared" si="247"/>
        <v>495000.00000000006</v>
      </c>
      <c r="T622" s="189">
        <f t="shared" si="248"/>
        <v>450000</v>
      </c>
      <c r="U622" s="84" t="str">
        <f t="shared" si="238"/>
        <v>O</v>
      </c>
      <c r="V622" s="84"/>
      <c r="W622" s="481">
        <f t="shared" si="239"/>
        <v>180000</v>
      </c>
      <c r="X622" s="84"/>
      <c r="Y622" s="84"/>
    </row>
    <row r="623" spans="1:25" s="635" customFormat="1" ht="30" hidden="1" customHeight="1" x14ac:dyDescent="0.25">
      <c r="A623" s="159">
        <v>180119</v>
      </c>
      <c r="B623" s="676" t="s">
        <v>546</v>
      </c>
      <c r="C623" s="157" t="s">
        <v>990</v>
      </c>
      <c r="D623" s="157">
        <v>30</v>
      </c>
      <c r="E623" s="526">
        <v>27000</v>
      </c>
      <c r="F623" s="526">
        <f t="shared" si="254"/>
        <v>891000.00000000012</v>
      </c>
      <c r="G623" s="526">
        <f t="shared" si="255"/>
        <v>810000</v>
      </c>
      <c r="H623" s="784" t="s">
        <v>113</v>
      </c>
      <c r="I623" s="157"/>
      <c r="J623" s="503">
        <v>476305.43470772577</v>
      </c>
      <c r="K623" s="65">
        <f t="shared" si="257"/>
        <v>0.5880314008737354</v>
      </c>
      <c r="L623" s="900">
        <v>18.100000000000001</v>
      </c>
      <c r="M623" s="634"/>
      <c r="N623" s="676">
        <f t="shared" si="246"/>
        <v>180119</v>
      </c>
      <c r="O623" s="812" t="s">
        <v>113</v>
      </c>
      <c r="P623" s="633" t="str">
        <f t="shared" ref="P623:P662" si="258">C623</f>
        <v>브러쉬, 헤드 스톱</v>
      </c>
      <c r="Q623" s="157">
        <f t="shared" ref="Q623:Q662" si="259">D623</f>
        <v>30</v>
      </c>
      <c r="R623" s="526">
        <f>Import!G65</f>
        <v>11123.152176409141</v>
      </c>
      <c r="S623" s="526">
        <f t="shared" si="247"/>
        <v>367064.02182150166</v>
      </c>
      <c r="T623" s="526">
        <f t="shared" si="248"/>
        <v>333694.56529227423</v>
      </c>
      <c r="U623" s="157" t="str">
        <f t="shared" si="238"/>
        <v>O</v>
      </c>
      <c r="V623" s="157"/>
      <c r="W623" s="508">
        <f t="shared" si="239"/>
        <v>476305.43470772577</v>
      </c>
      <c r="X623" s="157"/>
      <c r="Y623" s="157"/>
    </row>
    <row r="624" spans="1:25" s="657" customFormat="1" ht="30" hidden="1" customHeight="1" x14ac:dyDescent="0.25">
      <c r="A624" s="82">
        <v>180119</v>
      </c>
      <c r="B624" s="664" t="s">
        <v>546</v>
      </c>
      <c r="C624" s="71" t="s">
        <v>121</v>
      </c>
      <c r="D624" s="71">
        <v>8</v>
      </c>
      <c r="E624" s="102">
        <v>110000</v>
      </c>
      <c r="F624" s="102">
        <f t="shared" si="254"/>
        <v>968000.00000000012</v>
      </c>
      <c r="G624" s="102">
        <f t="shared" si="255"/>
        <v>880000</v>
      </c>
      <c r="H624" s="690" t="s">
        <v>173</v>
      </c>
      <c r="I624" s="71" t="s">
        <v>142</v>
      </c>
      <c r="J624" s="53">
        <f>(G624-(VLOOKUP(C624,Price!B:D,3,FALSE)*D624))</f>
        <v>152000</v>
      </c>
      <c r="K624" s="63">
        <f t="shared" si="257"/>
        <v>0.1727272727272727</v>
      </c>
      <c r="L624" s="871">
        <v>18.100000000000001</v>
      </c>
      <c r="M624" s="468"/>
      <c r="N624" s="664">
        <f t="shared" si="246"/>
        <v>180119</v>
      </c>
      <c r="O624" s="71" t="s">
        <v>150</v>
      </c>
      <c r="P624" s="103" t="str">
        <f t="shared" si="258"/>
        <v>윤전용 실리콘</v>
      </c>
      <c r="Q624" s="71">
        <f t="shared" si="259"/>
        <v>8</v>
      </c>
      <c r="R624" s="102">
        <v>91000</v>
      </c>
      <c r="S624" s="102">
        <f t="shared" si="247"/>
        <v>800800.00000000012</v>
      </c>
      <c r="T624" s="102">
        <f t="shared" si="248"/>
        <v>728000</v>
      </c>
      <c r="U624" s="71" t="str">
        <f t="shared" si="238"/>
        <v>O</v>
      </c>
      <c r="V624" s="71"/>
      <c r="W624" s="656">
        <f t="shared" si="239"/>
        <v>152000</v>
      </c>
      <c r="X624" s="71"/>
      <c r="Y624" s="71"/>
    </row>
    <row r="625" spans="1:25" s="657" customFormat="1" ht="30" hidden="1" customHeight="1" x14ac:dyDescent="0.25">
      <c r="A625" s="82">
        <v>180119</v>
      </c>
      <c r="B625" s="664" t="s">
        <v>763</v>
      </c>
      <c r="C625" s="71" t="s">
        <v>1012</v>
      </c>
      <c r="D625" s="71">
        <v>5</v>
      </c>
      <c r="E625" s="102">
        <v>497000</v>
      </c>
      <c r="F625" s="102">
        <f t="shared" si="254"/>
        <v>2733500</v>
      </c>
      <c r="G625" s="102">
        <f t="shared" si="255"/>
        <v>2485000</v>
      </c>
      <c r="H625" s="779" t="s">
        <v>113</v>
      </c>
      <c r="I625" s="71"/>
      <c r="J625" s="53">
        <v>485000</v>
      </c>
      <c r="K625" s="63">
        <f t="shared" si="257"/>
        <v>0.19517102615694165</v>
      </c>
      <c r="L625" s="871">
        <v>18.100000000000001</v>
      </c>
      <c r="M625" s="468" t="s">
        <v>1034</v>
      </c>
      <c r="N625" s="664">
        <f t="shared" si="246"/>
        <v>180119</v>
      </c>
      <c r="O625" s="71" t="s">
        <v>150</v>
      </c>
      <c r="P625" s="103" t="str">
        <f t="shared" si="258"/>
        <v>잉크키 모터</v>
      </c>
      <c r="Q625" s="71">
        <f t="shared" si="259"/>
        <v>5</v>
      </c>
      <c r="R625" s="102">
        <v>400000</v>
      </c>
      <c r="S625" s="102">
        <f t="shared" si="247"/>
        <v>2200000</v>
      </c>
      <c r="T625" s="102">
        <f t="shared" si="248"/>
        <v>2000000</v>
      </c>
      <c r="U625" s="71" t="str">
        <f t="shared" si="238"/>
        <v>O</v>
      </c>
      <c r="V625" s="71"/>
      <c r="W625" s="508">
        <f t="shared" si="239"/>
        <v>485000</v>
      </c>
      <c r="X625" s="71"/>
      <c r="Y625" s="71"/>
    </row>
    <row r="626" spans="1:25" s="602" customFormat="1" ht="30" hidden="1" customHeight="1" x14ac:dyDescent="0.25">
      <c r="A626" s="612">
        <v>180119</v>
      </c>
      <c r="B626" s="672" t="s">
        <v>575</v>
      </c>
      <c r="C626" s="411" t="s">
        <v>1011</v>
      </c>
      <c r="D626" s="411">
        <v>1</v>
      </c>
      <c r="E626" s="198">
        <v>375000</v>
      </c>
      <c r="F626" s="198">
        <f t="shared" si="254"/>
        <v>412500.00000000006</v>
      </c>
      <c r="G626" s="198">
        <f t="shared" si="255"/>
        <v>375000</v>
      </c>
      <c r="H626" s="816" t="s">
        <v>113</v>
      </c>
      <c r="I626" s="411"/>
      <c r="J626" s="64">
        <v>176200</v>
      </c>
      <c r="K626" s="425">
        <f t="shared" si="257"/>
        <v>0.4698666666666666</v>
      </c>
      <c r="L626" s="899">
        <v>18.100000000000001</v>
      </c>
      <c r="M626" s="581" t="s">
        <v>1033</v>
      </c>
      <c r="N626" s="672">
        <f t="shared" si="246"/>
        <v>180119</v>
      </c>
      <c r="O626" s="730" t="s">
        <v>113</v>
      </c>
      <c r="P626" s="465" t="str">
        <f t="shared" si="258"/>
        <v>압력 스위치</v>
      </c>
      <c r="Q626" s="411">
        <f t="shared" si="259"/>
        <v>1</v>
      </c>
      <c r="R626" s="198">
        <v>198800</v>
      </c>
      <c r="S626" s="198">
        <f t="shared" si="247"/>
        <v>218680.00000000003</v>
      </c>
      <c r="T626" s="198">
        <f t="shared" si="248"/>
        <v>198800</v>
      </c>
      <c r="U626" s="411" t="str">
        <f t="shared" si="238"/>
        <v>O</v>
      </c>
      <c r="V626" s="411"/>
      <c r="W626" s="481">
        <f t="shared" si="239"/>
        <v>176200</v>
      </c>
      <c r="X626" s="411"/>
      <c r="Y626" s="411"/>
    </row>
    <row r="627" spans="1:25" ht="30" hidden="1" customHeight="1" x14ac:dyDescent="0.2">
      <c r="A627" s="80">
        <v>180122</v>
      </c>
      <c r="B627" s="663" t="s">
        <v>445</v>
      </c>
      <c r="C627" s="73" t="s">
        <v>121</v>
      </c>
      <c r="D627" s="73">
        <v>3</v>
      </c>
      <c r="E627" s="147">
        <v>110000</v>
      </c>
      <c r="F627" s="160">
        <f t="shared" si="254"/>
        <v>363000.00000000006</v>
      </c>
      <c r="G627" s="160">
        <f t="shared" si="255"/>
        <v>330000</v>
      </c>
      <c r="H627" s="161" t="s">
        <v>172</v>
      </c>
      <c r="I627" s="73" t="s">
        <v>142</v>
      </c>
      <c r="J627" s="60">
        <f>(G627-(VLOOKUP(C627,Price!B:D,3,FALSE)*D627))</f>
        <v>57000</v>
      </c>
      <c r="K627" s="427">
        <f t="shared" si="257"/>
        <v>0.1727272727272727</v>
      </c>
      <c r="L627" s="80">
        <v>18.100000000000001</v>
      </c>
      <c r="M627" s="584"/>
      <c r="N627" s="663">
        <f>A627</f>
        <v>180122</v>
      </c>
      <c r="O627" s="73" t="s">
        <v>150</v>
      </c>
      <c r="P627" s="132" t="str">
        <f>C627</f>
        <v>윤전용 실리콘</v>
      </c>
      <c r="Q627" s="73">
        <f>D627</f>
        <v>3</v>
      </c>
      <c r="R627" s="147">
        <v>91000</v>
      </c>
      <c r="S627" s="147">
        <f t="shared" si="247"/>
        <v>300300</v>
      </c>
      <c r="T627" s="147">
        <f t="shared" si="248"/>
        <v>273000</v>
      </c>
      <c r="U627" s="73" t="str">
        <f t="shared" si="238"/>
        <v>O</v>
      </c>
      <c r="V627" s="73"/>
      <c r="W627" s="482">
        <f t="shared" si="239"/>
        <v>57000</v>
      </c>
      <c r="X627" s="73"/>
      <c r="Y627" s="73"/>
    </row>
    <row r="628" spans="1:25" ht="30" hidden="1" customHeight="1" x14ac:dyDescent="0.25">
      <c r="A628" s="80">
        <v>180122</v>
      </c>
      <c r="B628" s="663" t="s">
        <v>640</v>
      </c>
      <c r="C628" s="73" t="s">
        <v>138</v>
      </c>
      <c r="D628" s="73">
        <v>5</v>
      </c>
      <c r="E628" s="147">
        <v>59500</v>
      </c>
      <c r="F628" s="147">
        <f t="shared" si="254"/>
        <v>327250</v>
      </c>
      <c r="G628" s="147">
        <f t="shared" si="255"/>
        <v>297500</v>
      </c>
      <c r="H628" s="689" t="s">
        <v>173</v>
      </c>
      <c r="I628" s="73" t="s">
        <v>108</v>
      </c>
      <c r="J628" s="60">
        <f>(G628-(VLOOKUP(C628,Price!B:D,3,FALSE)*D628))</f>
        <v>42500</v>
      </c>
      <c r="K628" s="427">
        <f t="shared" si="257"/>
        <v>0.14285714285714285</v>
      </c>
      <c r="L628" s="874">
        <v>18.100000000000001</v>
      </c>
      <c r="M628" s="584"/>
      <c r="N628" s="663">
        <f>A628</f>
        <v>180122</v>
      </c>
      <c r="O628" s="73" t="s">
        <v>150</v>
      </c>
      <c r="P628" s="132" t="str">
        <f>C628</f>
        <v>매엽용 세척제(Wash 562)</v>
      </c>
      <c r="Q628" s="73">
        <f>D628</f>
        <v>5</v>
      </c>
      <c r="R628" s="147">
        <v>51000</v>
      </c>
      <c r="S628" s="147">
        <f t="shared" si="247"/>
        <v>280500</v>
      </c>
      <c r="T628" s="147">
        <f t="shared" si="248"/>
        <v>255000</v>
      </c>
      <c r="U628" s="73" t="str">
        <f t="shared" si="238"/>
        <v>O</v>
      </c>
      <c r="V628" s="73"/>
      <c r="W628" s="482">
        <f t="shared" si="239"/>
        <v>42500</v>
      </c>
      <c r="X628" s="73"/>
      <c r="Y628" s="73"/>
    </row>
    <row r="629" spans="1:25" s="635" customFormat="1" ht="30" hidden="1" customHeight="1" x14ac:dyDescent="0.25">
      <c r="A629" s="159">
        <v>180123</v>
      </c>
      <c r="B629" s="676" t="s">
        <v>545</v>
      </c>
      <c r="C629" s="157" t="s">
        <v>131</v>
      </c>
      <c r="D629" s="157">
        <v>4</v>
      </c>
      <c r="E629" s="526">
        <v>135000</v>
      </c>
      <c r="F629" s="526">
        <f t="shared" si="254"/>
        <v>594000</v>
      </c>
      <c r="G629" s="526">
        <f t="shared" si="255"/>
        <v>540000</v>
      </c>
      <c r="H629" s="790" t="s">
        <v>173</v>
      </c>
      <c r="I629" s="157" t="s">
        <v>108</v>
      </c>
      <c r="J629" s="503">
        <f>(G629-(VLOOKUP(C629,Price!B:D,3,FALSE)*D629))</f>
        <v>100000</v>
      </c>
      <c r="K629" s="65">
        <f t="shared" si="257"/>
        <v>0.18518518518518517</v>
      </c>
      <c r="L629" s="900">
        <v>18.100000000000001</v>
      </c>
      <c r="M629" s="634"/>
      <c r="N629" s="676">
        <f t="shared" si="246"/>
        <v>180123</v>
      </c>
      <c r="O629" s="157" t="s">
        <v>148</v>
      </c>
      <c r="P629" s="633" t="str">
        <f t="shared" si="258"/>
        <v>UV wash(20L)</v>
      </c>
      <c r="Q629" s="157">
        <f t="shared" si="259"/>
        <v>4</v>
      </c>
      <c r="R629" s="526">
        <v>110000</v>
      </c>
      <c r="S629" s="526">
        <f t="shared" si="247"/>
        <v>484000.00000000006</v>
      </c>
      <c r="T629" s="526">
        <f t="shared" si="248"/>
        <v>440000</v>
      </c>
      <c r="U629" s="157" t="str">
        <f t="shared" si="238"/>
        <v>O</v>
      </c>
      <c r="V629" s="157"/>
      <c r="W629" s="508">
        <f t="shared" si="239"/>
        <v>100000</v>
      </c>
      <c r="X629" s="157"/>
      <c r="Y629" s="157"/>
    </row>
    <row r="630" spans="1:25" s="657" customFormat="1" ht="30" hidden="1" customHeight="1" x14ac:dyDescent="0.25">
      <c r="A630" s="82">
        <v>180123</v>
      </c>
      <c r="B630" s="664" t="s">
        <v>575</v>
      </c>
      <c r="C630" s="71" t="s">
        <v>803</v>
      </c>
      <c r="D630" s="71">
        <v>1</v>
      </c>
      <c r="E630" s="102">
        <v>0</v>
      </c>
      <c r="F630" s="102">
        <f t="shared" si="254"/>
        <v>0</v>
      </c>
      <c r="G630" s="102">
        <f t="shared" si="255"/>
        <v>0</v>
      </c>
      <c r="H630" s="690" t="s">
        <v>985</v>
      </c>
      <c r="I630" s="71"/>
      <c r="J630" s="53">
        <v>0</v>
      </c>
      <c r="K630" s="63"/>
      <c r="L630" s="871">
        <v>18.100000000000001</v>
      </c>
      <c r="M630" s="468" t="s">
        <v>1013</v>
      </c>
      <c r="N630" s="664">
        <f t="shared" si="246"/>
        <v>180123</v>
      </c>
      <c r="O630" s="71"/>
      <c r="P630" s="103" t="str">
        <f t="shared" si="258"/>
        <v>M-600 서비스</v>
      </c>
      <c r="Q630" s="71">
        <f t="shared" si="259"/>
        <v>1</v>
      </c>
      <c r="R630" s="102"/>
      <c r="S630" s="102"/>
      <c r="T630" s="102"/>
      <c r="U630" s="71"/>
      <c r="V630" s="71"/>
      <c r="W630" s="656"/>
      <c r="X630" s="71"/>
      <c r="Y630" s="71"/>
    </row>
    <row r="631" spans="1:25" s="602" customFormat="1" ht="30" hidden="1" customHeight="1" x14ac:dyDescent="0.25">
      <c r="A631" s="612">
        <v>180123</v>
      </c>
      <c r="B631" s="672" t="s">
        <v>546</v>
      </c>
      <c r="C631" s="411" t="s">
        <v>123</v>
      </c>
      <c r="D631" s="411">
        <v>20</v>
      </c>
      <c r="E631" s="198">
        <v>30000</v>
      </c>
      <c r="F631" s="198">
        <f t="shared" si="254"/>
        <v>660000</v>
      </c>
      <c r="G631" s="198">
        <f t="shared" si="255"/>
        <v>600000</v>
      </c>
      <c r="H631" s="1008" t="s">
        <v>39</v>
      </c>
      <c r="I631" s="411"/>
      <c r="J631" s="61">
        <f>(G631-(VLOOKUP(C631,Price!B:D,3,FALSE)*D631))</f>
        <v>150780</v>
      </c>
      <c r="K631" s="62">
        <f>(J631/(F631/11*10))</f>
        <v>0.25130000000000002</v>
      </c>
      <c r="L631" s="899">
        <v>18.100000000000001</v>
      </c>
      <c r="M631" s="581"/>
      <c r="N631" s="672">
        <f t="shared" si="246"/>
        <v>180123</v>
      </c>
      <c r="O631" s="1009" t="s">
        <v>39</v>
      </c>
      <c r="P631" s="465" t="str">
        <f t="shared" si="258"/>
        <v>필터백</v>
      </c>
      <c r="Q631" s="411">
        <f t="shared" si="259"/>
        <v>20</v>
      </c>
      <c r="R631" s="189">
        <f>VLOOKUP(P631,Price!B:D,3,FALSE)</f>
        <v>22461</v>
      </c>
      <c r="S631" s="198">
        <f t="shared" ref="S631:S642" si="260">R631*Q631*1.1</f>
        <v>494142.00000000006</v>
      </c>
      <c r="T631" s="198">
        <f t="shared" ref="T631:T642" si="261">R631*Q631</f>
        <v>449220</v>
      </c>
      <c r="U631" s="411" t="str">
        <f t="shared" ref="U631:U642" si="262">IF(J631=W631,"O", "X")</f>
        <v>O</v>
      </c>
      <c r="V631" s="411"/>
      <c r="W631" s="481">
        <f t="shared" ref="W631:W642" si="263">(G631-T631)</f>
        <v>150780</v>
      </c>
      <c r="X631" s="411"/>
      <c r="Y631" s="411"/>
    </row>
    <row r="632" spans="1:25" ht="30" hidden="1" customHeight="1" x14ac:dyDescent="0.25">
      <c r="A632" s="80">
        <v>180124</v>
      </c>
      <c r="B632" s="663" t="s">
        <v>442</v>
      </c>
      <c r="C632" s="73" t="s">
        <v>914</v>
      </c>
      <c r="D632" s="73">
        <v>1</v>
      </c>
      <c r="E632" s="147">
        <v>300000</v>
      </c>
      <c r="F632" s="147">
        <f t="shared" si="254"/>
        <v>330000</v>
      </c>
      <c r="G632" s="147">
        <f t="shared" si="255"/>
        <v>300000</v>
      </c>
      <c r="H632" s="689" t="s">
        <v>173</v>
      </c>
      <c r="I632" s="73" t="s">
        <v>142</v>
      </c>
      <c r="J632" s="97">
        <f>G632-R632</f>
        <v>0</v>
      </c>
      <c r="K632" s="63">
        <f>(J632/(F632/11*10))</f>
        <v>0</v>
      </c>
      <c r="L632" s="874">
        <v>18.100000000000001</v>
      </c>
      <c r="M632" s="584"/>
      <c r="N632" s="663">
        <f t="shared" si="246"/>
        <v>180124</v>
      </c>
      <c r="O632" s="73" t="s">
        <v>242</v>
      </c>
      <c r="P632" s="132" t="str">
        <f t="shared" si="258"/>
        <v>서비스 비용</v>
      </c>
      <c r="Q632" s="73">
        <f t="shared" si="259"/>
        <v>1</v>
      </c>
      <c r="R632" s="147">
        <v>300000</v>
      </c>
      <c r="S632" s="147">
        <f t="shared" si="260"/>
        <v>330000</v>
      </c>
      <c r="T632" s="147">
        <f t="shared" si="261"/>
        <v>300000</v>
      </c>
      <c r="U632" s="73" t="str">
        <f t="shared" si="262"/>
        <v>O</v>
      </c>
      <c r="V632" s="73"/>
      <c r="W632" s="482">
        <f t="shared" si="263"/>
        <v>0</v>
      </c>
      <c r="X632" s="73"/>
      <c r="Y632" s="73"/>
    </row>
    <row r="633" spans="1:25" s="616" customFormat="1" ht="30" hidden="1" customHeight="1" x14ac:dyDescent="0.25">
      <c r="A633" s="82">
        <v>180124</v>
      </c>
      <c r="B633" s="664" t="s">
        <v>442</v>
      </c>
      <c r="C633" s="71" t="s">
        <v>1008</v>
      </c>
      <c r="D633" s="71">
        <v>1</v>
      </c>
      <c r="E633" s="102">
        <v>350000</v>
      </c>
      <c r="F633" s="102">
        <f t="shared" si="254"/>
        <v>385000.00000000006</v>
      </c>
      <c r="G633" s="102">
        <f t="shared" si="255"/>
        <v>350000</v>
      </c>
      <c r="H633" s="690" t="s">
        <v>173</v>
      </c>
      <c r="I633" s="71" t="s">
        <v>142</v>
      </c>
      <c r="J633" s="53">
        <v>50000</v>
      </c>
      <c r="K633" s="63">
        <f t="shared" ref="K633:K642" si="264">(J633/(F633/11*10))</f>
        <v>0.14285714285714282</v>
      </c>
      <c r="L633" s="871">
        <v>18.100000000000001</v>
      </c>
      <c r="M633" s="468"/>
      <c r="N633" s="664">
        <f t="shared" si="246"/>
        <v>180124</v>
      </c>
      <c r="O633" s="71" t="s">
        <v>242</v>
      </c>
      <c r="P633" s="103" t="str">
        <f t="shared" si="258"/>
        <v>필름 출력현상기 판넬부품</v>
      </c>
      <c r="Q633" s="71">
        <f t="shared" si="259"/>
        <v>1</v>
      </c>
      <c r="R633" s="102">
        <v>300000</v>
      </c>
      <c r="S633" s="102">
        <f t="shared" si="260"/>
        <v>330000</v>
      </c>
      <c r="T633" s="102">
        <f t="shared" si="261"/>
        <v>300000</v>
      </c>
      <c r="U633" s="71" t="str">
        <f t="shared" si="262"/>
        <v>O</v>
      </c>
      <c r="V633" s="71" t="s">
        <v>1038</v>
      </c>
      <c r="W633" s="520">
        <f t="shared" si="263"/>
        <v>50000</v>
      </c>
      <c r="X633" s="71"/>
      <c r="Y633" s="71"/>
    </row>
    <row r="634" spans="1:25" s="657" customFormat="1" ht="30" hidden="1" customHeight="1" x14ac:dyDescent="0.25">
      <c r="A634" s="82">
        <v>180124</v>
      </c>
      <c r="B634" s="664" t="s">
        <v>764</v>
      </c>
      <c r="C634" s="71" t="s">
        <v>236</v>
      </c>
      <c r="D634" s="71">
        <v>5</v>
      </c>
      <c r="E634" s="102">
        <v>100000</v>
      </c>
      <c r="F634" s="102">
        <f t="shared" si="254"/>
        <v>550000</v>
      </c>
      <c r="G634" s="102">
        <f t="shared" si="255"/>
        <v>500000</v>
      </c>
      <c r="H634" s="690" t="s">
        <v>173</v>
      </c>
      <c r="I634" s="71" t="s">
        <v>142</v>
      </c>
      <c r="J634" s="53">
        <f>(G634-(VLOOKUP(C634,Price!B:D,3,FALSE)*D634))</f>
        <v>250000</v>
      </c>
      <c r="K634" s="63">
        <f t="shared" si="264"/>
        <v>0.5</v>
      </c>
      <c r="L634" s="871">
        <v>18.100000000000001</v>
      </c>
      <c r="M634" s="468"/>
      <c r="N634" s="664">
        <f t="shared" si="246"/>
        <v>180124</v>
      </c>
      <c r="O634" s="71" t="s">
        <v>153</v>
      </c>
      <c r="P634" s="103" t="str">
        <f t="shared" si="258"/>
        <v>아스테이지(국전)</v>
      </c>
      <c r="Q634" s="71">
        <f t="shared" si="259"/>
        <v>5</v>
      </c>
      <c r="R634" s="102">
        <f>VLOOKUP(P634,Price!B:D,3,FALSE)</f>
        <v>50000</v>
      </c>
      <c r="S634" s="102">
        <f t="shared" si="260"/>
        <v>275000</v>
      </c>
      <c r="T634" s="102">
        <f t="shared" si="261"/>
        <v>250000</v>
      </c>
      <c r="U634" s="71" t="str">
        <f t="shared" si="262"/>
        <v>O</v>
      </c>
      <c r="V634" s="71"/>
      <c r="W634" s="656">
        <f t="shared" si="263"/>
        <v>250000</v>
      </c>
      <c r="X634" s="71"/>
      <c r="Y634" s="71"/>
    </row>
    <row r="635" spans="1:25" ht="30" hidden="1" customHeight="1" x14ac:dyDescent="0.25">
      <c r="A635" s="80">
        <v>180124</v>
      </c>
      <c r="B635" s="663" t="s">
        <v>983</v>
      </c>
      <c r="C635" s="73" t="s">
        <v>1009</v>
      </c>
      <c r="D635" s="73">
        <v>520</v>
      </c>
      <c r="E635" s="147">
        <v>3900</v>
      </c>
      <c r="F635" s="147">
        <f t="shared" si="254"/>
        <v>2230800</v>
      </c>
      <c r="G635" s="147">
        <f t="shared" si="255"/>
        <v>2028000</v>
      </c>
      <c r="H635" s="689" t="s">
        <v>173</v>
      </c>
      <c r="I635" s="73" t="s">
        <v>140</v>
      </c>
      <c r="J635" s="53">
        <f>(G635-(VLOOKUP(C635,Price!B:D,3,FALSE)*D635))</f>
        <v>312000</v>
      </c>
      <c r="K635" s="63">
        <f t="shared" si="264"/>
        <v>0.15384615384615385</v>
      </c>
      <c r="L635" s="874">
        <v>18.100000000000001</v>
      </c>
      <c r="M635" s="584"/>
      <c r="N635" s="663">
        <f t="shared" si="246"/>
        <v>180124</v>
      </c>
      <c r="O635" s="73" t="s">
        <v>147</v>
      </c>
      <c r="P635" s="132" t="str">
        <f t="shared" si="258"/>
        <v>CTP판(1030*790mm)</v>
      </c>
      <c r="Q635" s="73">
        <f t="shared" si="259"/>
        <v>520</v>
      </c>
      <c r="R635" s="147">
        <v>3300</v>
      </c>
      <c r="S635" s="147">
        <f t="shared" si="260"/>
        <v>1887600.0000000002</v>
      </c>
      <c r="T635" s="147">
        <f t="shared" si="261"/>
        <v>1716000</v>
      </c>
      <c r="U635" s="73" t="str">
        <f t="shared" si="262"/>
        <v>O</v>
      </c>
      <c r="V635" s="73"/>
      <c r="W635" s="482">
        <f t="shared" si="263"/>
        <v>312000</v>
      </c>
      <c r="X635" s="73"/>
      <c r="Y635" s="73"/>
    </row>
    <row r="636" spans="1:25" s="602" customFormat="1" ht="30" hidden="1" customHeight="1" x14ac:dyDescent="0.25">
      <c r="A636" s="85">
        <v>180124</v>
      </c>
      <c r="B636" s="668" t="s">
        <v>983</v>
      </c>
      <c r="C636" s="84" t="s">
        <v>984</v>
      </c>
      <c r="D636" s="84">
        <v>6</v>
      </c>
      <c r="E636" s="189">
        <v>45000</v>
      </c>
      <c r="F636" s="189">
        <f t="shared" si="254"/>
        <v>297000</v>
      </c>
      <c r="G636" s="189">
        <f t="shared" si="255"/>
        <v>270000</v>
      </c>
      <c r="H636" s="691" t="s">
        <v>173</v>
      </c>
      <c r="I636" s="84" t="s">
        <v>140</v>
      </c>
      <c r="J636" s="61">
        <f>(G636-(VLOOKUP(C636,Price!B:D,3,FALSE)*D636))</f>
        <v>60000</v>
      </c>
      <c r="K636" s="62">
        <f t="shared" si="264"/>
        <v>0.22222222222222221</v>
      </c>
      <c r="L636" s="873">
        <v>18.100000000000001</v>
      </c>
      <c r="M636" s="601"/>
      <c r="N636" s="668">
        <f t="shared" si="246"/>
        <v>180124</v>
      </c>
      <c r="O636" s="84" t="s">
        <v>147</v>
      </c>
      <c r="P636" s="133" t="str">
        <f t="shared" si="258"/>
        <v>CTP 현상액</v>
      </c>
      <c r="Q636" s="84">
        <f t="shared" si="259"/>
        <v>6</v>
      </c>
      <c r="R636" s="189">
        <v>35000</v>
      </c>
      <c r="S636" s="189">
        <f t="shared" si="260"/>
        <v>231000.00000000003</v>
      </c>
      <c r="T636" s="189">
        <f t="shared" si="261"/>
        <v>210000</v>
      </c>
      <c r="U636" s="84" t="str">
        <f t="shared" si="262"/>
        <v>O</v>
      </c>
      <c r="V636" s="84"/>
      <c r="W636" s="481">
        <f t="shared" si="263"/>
        <v>60000</v>
      </c>
      <c r="X636" s="84"/>
      <c r="Y636" s="84"/>
    </row>
    <row r="637" spans="1:25" ht="30" hidden="1" customHeight="1" x14ac:dyDescent="0.25">
      <c r="A637" s="82">
        <v>180125</v>
      </c>
      <c r="B637" s="664" t="s">
        <v>545</v>
      </c>
      <c r="C637" s="71" t="s">
        <v>1010</v>
      </c>
      <c r="D637" s="71">
        <v>2</v>
      </c>
      <c r="E637" s="102">
        <v>135000</v>
      </c>
      <c r="F637" s="102">
        <f t="shared" ref="F637:F642" si="265">(E637*D637)*1.1</f>
        <v>297000</v>
      </c>
      <c r="G637" s="102">
        <f t="shared" ref="G637:G642" si="266">(E637*D637)</f>
        <v>270000</v>
      </c>
      <c r="H637" s="690" t="s">
        <v>173</v>
      </c>
      <c r="I637" s="71" t="s">
        <v>108</v>
      </c>
      <c r="J637" s="53">
        <f>(G637-(VLOOKUP(C637,Price!B:D,3,FALSE)*D637))</f>
        <v>50000</v>
      </c>
      <c r="K637" s="63">
        <f t="shared" si="264"/>
        <v>0.18518518518518517</v>
      </c>
      <c r="L637" s="871">
        <v>18.100000000000001</v>
      </c>
      <c r="M637" s="468"/>
      <c r="N637" s="664">
        <f t="shared" si="246"/>
        <v>180125</v>
      </c>
      <c r="O637" s="71" t="s">
        <v>148</v>
      </c>
      <c r="P637" s="103" t="str">
        <f t="shared" si="258"/>
        <v>Offset UV wash</v>
      </c>
      <c r="Q637" s="71">
        <f t="shared" si="259"/>
        <v>2</v>
      </c>
      <c r="R637" s="102">
        <v>110000</v>
      </c>
      <c r="S637" s="102">
        <f t="shared" si="260"/>
        <v>242000.00000000003</v>
      </c>
      <c r="T637" s="102">
        <f t="shared" si="261"/>
        <v>220000</v>
      </c>
      <c r="U637" s="71" t="str">
        <f t="shared" si="262"/>
        <v>O</v>
      </c>
      <c r="V637" s="71"/>
      <c r="W637" s="515">
        <f t="shared" si="263"/>
        <v>50000</v>
      </c>
      <c r="X637" s="71"/>
      <c r="Y637" s="71"/>
    </row>
    <row r="638" spans="1:25" ht="30" hidden="1" customHeight="1" x14ac:dyDescent="0.25">
      <c r="A638" s="648">
        <v>180125</v>
      </c>
      <c r="B638" s="733" t="s">
        <v>764</v>
      </c>
      <c r="C638" s="96" t="s">
        <v>1015</v>
      </c>
      <c r="D638" s="96">
        <v>1</v>
      </c>
      <c r="E638" s="734">
        <v>2500000</v>
      </c>
      <c r="F638" s="734">
        <f t="shared" si="265"/>
        <v>2750000</v>
      </c>
      <c r="G638" s="734">
        <f t="shared" si="266"/>
        <v>2500000</v>
      </c>
      <c r="H638" s="1012" t="s">
        <v>39</v>
      </c>
      <c r="I638" s="96"/>
      <c r="J638" s="586">
        <f>G638-R638</f>
        <v>1044813.0783584102</v>
      </c>
      <c r="K638" s="54">
        <f t="shared" si="264"/>
        <v>0.41792523134336407</v>
      </c>
      <c r="L638" s="901">
        <v>18.100000000000001</v>
      </c>
      <c r="M638" s="736"/>
      <c r="N638" s="733">
        <f t="shared" si="246"/>
        <v>180125</v>
      </c>
      <c r="O638" s="1013" t="s">
        <v>39</v>
      </c>
      <c r="P638" s="737" t="str">
        <f t="shared" si="258"/>
        <v>Electronic CC 4.3</v>
      </c>
      <c r="Q638" s="96">
        <f t="shared" si="259"/>
        <v>1</v>
      </c>
      <c r="R638" s="734">
        <f>Import!G619</f>
        <v>1455186.9216415898</v>
      </c>
      <c r="S638" s="734">
        <f t="shared" si="260"/>
        <v>1600705.613805749</v>
      </c>
      <c r="T638" s="734">
        <f t="shared" si="261"/>
        <v>1455186.9216415898</v>
      </c>
      <c r="U638" s="96" t="str">
        <f t="shared" si="262"/>
        <v>O</v>
      </c>
      <c r="V638" s="96"/>
      <c r="W638" s="515">
        <f t="shared" si="263"/>
        <v>1044813.0783584102</v>
      </c>
      <c r="X638" s="96"/>
      <c r="Y638" s="96"/>
    </row>
    <row r="639" spans="1:25" s="602" customFormat="1" ht="30" hidden="1" customHeight="1" x14ac:dyDescent="0.25">
      <c r="A639" s="85">
        <v>180125</v>
      </c>
      <c r="B639" s="668" t="s">
        <v>549</v>
      </c>
      <c r="C639" s="84" t="s">
        <v>119</v>
      </c>
      <c r="D639" s="84">
        <v>20</v>
      </c>
      <c r="E639" s="189">
        <v>115000</v>
      </c>
      <c r="F639" s="189">
        <f t="shared" si="265"/>
        <v>2530000</v>
      </c>
      <c r="G639" s="189">
        <f t="shared" si="266"/>
        <v>2300000</v>
      </c>
      <c r="H639" s="691" t="s">
        <v>173</v>
      </c>
      <c r="I639" s="84" t="s">
        <v>109</v>
      </c>
      <c r="J639" s="61">
        <f>(G639-(VLOOKUP(C639,Price!B:D,3,FALSE)*D639))</f>
        <v>526000</v>
      </c>
      <c r="K639" s="62">
        <f t="shared" si="264"/>
        <v>0.22869565217391305</v>
      </c>
      <c r="L639" s="85">
        <v>18.100000000000001</v>
      </c>
      <c r="M639" s="601"/>
      <c r="N639" s="668">
        <f t="shared" si="246"/>
        <v>180125</v>
      </c>
      <c r="O639" s="84" t="s">
        <v>150</v>
      </c>
      <c r="P639" s="133" t="str">
        <f t="shared" si="258"/>
        <v>미쯔비시 Blanket(1035*910)</v>
      </c>
      <c r="Q639" s="84">
        <f t="shared" si="259"/>
        <v>20</v>
      </c>
      <c r="R639" s="189">
        <v>88700</v>
      </c>
      <c r="S639" s="189">
        <f t="shared" si="260"/>
        <v>1951400.0000000002</v>
      </c>
      <c r="T639" s="189">
        <f t="shared" si="261"/>
        <v>1774000</v>
      </c>
      <c r="U639" s="84" t="str">
        <f t="shared" si="262"/>
        <v>O</v>
      </c>
      <c r="V639" s="84" t="s">
        <v>1078</v>
      </c>
      <c r="W639" s="481">
        <f t="shared" si="263"/>
        <v>526000</v>
      </c>
      <c r="X639" s="84"/>
      <c r="Y639" s="84"/>
    </row>
    <row r="640" spans="1:25" ht="30" hidden="1" customHeight="1" x14ac:dyDescent="0.2">
      <c r="A640" s="80">
        <v>180126</v>
      </c>
      <c r="B640" s="663" t="s">
        <v>640</v>
      </c>
      <c r="C640" s="73" t="s">
        <v>138</v>
      </c>
      <c r="D640" s="73">
        <v>10</v>
      </c>
      <c r="E640" s="147">
        <v>59500</v>
      </c>
      <c r="F640" s="160">
        <f t="shared" si="265"/>
        <v>654500</v>
      </c>
      <c r="G640" s="160">
        <f t="shared" si="266"/>
        <v>595000</v>
      </c>
      <c r="H640" s="161" t="s">
        <v>172</v>
      </c>
      <c r="I640" s="73" t="s">
        <v>108</v>
      </c>
      <c r="J640" s="60">
        <f>(G640-(VLOOKUP(C640,Price!B:D,3,FALSE)*D640))</f>
        <v>85000</v>
      </c>
      <c r="K640" s="427">
        <f t="shared" si="264"/>
        <v>0.14285714285714285</v>
      </c>
      <c r="L640" s="80">
        <v>18.100000000000001</v>
      </c>
      <c r="M640" s="584"/>
      <c r="N640" s="663">
        <f t="shared" si="246"/>
        <v>180126</v>
      </c>
      <c r="O640" s="73" t="s">
        <v>150</v>
      </c>
      <c r="P640" s="132" t="str">
        <f t="shared" si="258"/>
        <v>매엽용 세척제(Wash 562)</v>
      </c>
      <c r="Q640" s="73">
        <f t="shared" si="259"/>
        <v>10</v>
      </c>
      <c r="R640" s="147">
        <v>51000</v>
      </c>
      <c r="S640" s="147">
        <f t="shared" si="260"/>
        <v>561000</v>
      </c>
      <c r="T640" s="147">
        <f t="shared" si="261"/>
        <v>510000</v>
      </c>
      <c r="U640" s="73" t="str">
        <f t="shared" si="262"/>
        <v>O</v>
      </c>
      <c r="V640" s="73"/>
      <c r="W640" s="482">
        <f t="shared" si="263"/>
        <v>85000</v>
      </c>
      <c r="X640" s="73"/>
      <c r="Y640" s="73"/>
    </row>
    <row r="641" spans="1:25" s="602" customFormat="1" ht="30" hidden="1" customHeight="1" x14ac:dyDescent="0.25">
      <c r="A641" s="85">
        <v>180126</v>
      </c>
      <c r="B641" s="668" t="s">
        <v>1014</v>
      </c>
      <c r="C641" s="84" t="s">
        <v>123</v>
      </c>
      <c r="D641" s="84">
        <v>10</v>
      </c>
      <c r="E641" s="189">
        <v>45000</v>
      </c>
      <c r="F641" s="189">
        <f t="shared" si="265"/>
        <v>495000.00000000006</v>
      </c>
      <c r="G641" s="189">
        <f t="shared" si="266"/>
        <v>450000</v>
      </c>
      <c r="H641" s="1006" t="s">
        <v>39</v>
      </c>
      <c r="I641" s="84"/>
      <c r="J641" s="61">
        <f>(G641-(VLOOKUP(C641,Import!C:G,4,FALSE)*D641))</f>
        <v>450000</v>
      </c>
      <c r="K641" s="62">
        <f t="shared" si="264"/>
        <v>0.99999999999999989</v>
      </c>
      <c r="L641" s="873">
        <v>18.100000000000001</v>
      </c>
      <c r="M641" s="601"/>
      <c r="N641" s="668">
        <f t="shared" si="246"/>
        <v>180126</v>
      </c>
      <c r="O641" s="1007" t="s">
        <v>39</v>
      </c>
      <c r="P641" s="133" t="str">
        <f t="shared" si="258"/>
        <v>필터백</v>
      </c>
      <c r="Q641" s="84">
        <f t="shared" si="259"/>
        <v>10</v>
      </c>
      <c r="R641" s="189">
        <f>VLOOKUP(P641,Price!B:D,3,FALSE)</f>
        <v>22461</v>
      </c>
      <c r="S641" s="189">
        <f t="shared" si="260"/>
        <v>247071.00000000003</v>
      </c>
      <c r="T641" s="189">
        <f t="shared" si="261"/>
        <v>224610</v>
      </c>
      <c r="U641" s="84" t="str">
        <f t="shared" si="262"/>
        <v>X</v>
      </c>
      <c r="V641" s="84"/>
      <c r="W641" s="481">
        <f t="shared" si="263"/>
        <v>225390</v>
      </c>
      <c r="X641" s="84"/>
      <c r="Y641" s="84"/>
    </row>
    <row r="642" spans="1:25" s="610" customFormat="1" ht="30" hidden="1" customHeight="1" x14ac:dyDescent="0.25">
      <c r="A642" s="89">
        <v>180131</v>
      </c>
      <c r="B642" s="673" t="s">
        <v>1045</v>
      </c>
      <c r="C642" s="88" t="s">
        <v>123</v>
      </c>
      <c r="D642" s="88">
        <v>3</v>
      </c>
      <c r="E642" s="470">
        <v>35000</v>
      </c>
      <c r="F642" s="470">
        <f t="shared" si="265"/>
        <v>115500.00000000001</v>
      </c>
      <c r="G642" s="470">
        <f t="shared" si="266"/>
        <v>105000</v>
      </c>
      <c r="H642" s="1004" t="s">
        <v>39</v>
      </c>
      <c r="I642" s="88"/>
      <c r="J642" s="107">
        <f>(G642-(VLOOKUP(C642,Import!C:G,4,FALSE)*D642))</f>
        <v>105000</v>
      </c>
      <c r="K642" s="469">
        <f t="shared" si="264"/>
        <v>0.99999999999999989</v>
      </c>
      <c r="L642" s="875">
        <v>18.100000000000001</v>
      </c>
      <c r="M642" s="575"/>
      <c r="N642" s="673">
        <f>A642</f>
        <v>180131</v>
      </c>
      <c r="O642" s="1002" t="s">
        <v>39</v>
      </c>
      <c r="P642" s="134" t="str">
        <f>C642</f>
        <v>필터백</v>
      </c>
      <c r="Q642" s="88">
        <f>D642</f>
        <v>3</v>
      </c>
      <c r="R642" s="189">
        <f>VLOOKUP(P642,Price!B:D,3,FALSE)</f>
        <v>22461</v>
      </c>
      <c r="S642" s="470">
        <f t="shared" si="260"/>
        <v>74121.3</v>
      </c>
      <c r="T642" s="470">
        <f t="shared" si="261"/>
        <v>67383</v>
      </c>
      <c r="U642" s="88" t="str">
        <f t="shared" si="262"/>
        <v>X</v>
      </c>
      <c r="V642" s="88"/>
      <c r="W642" s="483">
        <f t="shared" si="263"/>
        <v>37617</v>
      </c>
      <c r="X642" s="88"/>
      <c r="Y642" s="88"/>
    </row>
    <row r="643" spans="1:25" s="496" customFormat="1" ht="45" hidden="1" customHeight="1" x14ac:dyDescent="0.25">
      <c r="A643" s="869">
        <v>2018.2</v>
      </c>
      <c r="B643" s="675" t="s">
        <v>544</v>
      </c>
      <c r="C643" s="488"/>
      <c r="D643" s="488"/>
      <c r="E643" s="489"/>
      <c r="F643" s="489"/>
      <c r="G643" s="489"/>
      <c r="H643" s="490"/>
      <c r="I643" s="491"/>
      <c r="J643" s="492"/>
      <c r="K643" s="493"/>
      <c r="L643" s="870">
        <v>18.2</v>
      </c>
      <c r="M643" s="645"/>
      <c r="N643" s="725">
        <f t="shared" si="246"/>
        <v>2018.2</v>
      </c>
      <c r="O643" s="488" t="s">
        <v>154</v>
      </c>
      <c r="P643" s="729"/>
      <c r="Q643" s="494"/>
      <c r="R643" s="495"/>
      <c r="S643" s="492"/>
      <c r="T643" s="492"/>
      <c r="W643" s="497"/>
    </row>
    <row r="644" spans="1:25" ht="30" hidden="1" customHeight="1" x14ac:dyDescent="0.25">
      <c r="A644" s="80">
        <v>180129</v>
      </c>
      <c r="B644" s="663" t="s">
        <v>1051</v>
      </c>
      <c r="C644" s="73" t="s">
        <v>524</v>
      </c>
      <c r="D644" s="73">
        <v>900</v>
      </c>
      <c r="E644" s="147">
        <v>3990</v>
      </c>
      <c r="F644" s="147">
        <f>(E644*D644)*1.1</f>
        <v>3950100.0000000005</v>
      </c>
      <c r="G644" s="147">
        <f>(E644*D644)</f>
        <v>3591000</v>
      </c>
      <c r="H644" s="689" t="s">
        <v>142</v>
      </c>
      <c r="I644" s="73" t="s">
        <v>140</v>
      </c>
      <c r="J644" s="60">
        <f>(G644-(VLOOKUP(C644,Price!B:D,3,FALSE)*D644))</f>
        <v>1125000</v>
      </c>
      <c r="K644" s="427">
        <f>(J644/(F644/11*10))</f>
        <v>0.31328320802005011</v>
      </c>
      <c r="L644" s="874">
        <v>18.2</v>
      </c>
      <c r="M644" s="584"/>
      <c r="N644" s="663">
        <f>A644</f>
        <v>180129</v>
      </c>
      <c r="O644" s="73" t="s">
        <v>145</v>
      </c>
      <c r="P644" s="132" t="str">
        <f>C644</f>
        <v>ENGAGE 900X570 - 27RO</v>
      </c>
      <c r="Q644" s="73">
        <f>D644</f>
        <v>900</v>
      </c>
      <c r="R644" s="147">
        <v>2740</v>
      </c>
      <c r="S644" s="147">
        <f>R644*Q644*1.1</f>
        <v>2712600</v>
      </c>
      <c r="T644" s="147">
        <f>R644*Q644</f>
        <v>2466000</v>
      </c>
      <c r="U644" s="73" t="str">
        <f t="shared" ref="U644:U675" si="267">IF(J644=W644,"O", "X")</f>
        <v>O</v>
      </c>
      <c r="V644" s="73"/>
      <c r="W644" s="482">
        <f t="shared" ref="W644:W675" si="268">(G644-T644)</f>
        <v>1125000</v>
      </c>
      <c r="X644" s="73"/>
      <c r="Y644" s="73"/>
    </row>
    <row r="645" spans="1:25" ht="30" hidden="1" customHeight="1" x14ac:dyDescent="0.25">
      <c r="A645" s="82">
        <v>180129</v>
      </c>
      <c r="B645" s="664" t="s">
        <v>1051</v>
      </c>
      <c r="C645" s="67" t="s">
        <v>197</v>
      </c>
      <c r="D645" s="71">
        <v>10</v>
      </c>
      <c r="E645" s="102">
        <v>58000</v>
      </c>
      <c r="F645" s="102">
        <f>(E645*D645)*1.1</f>
        <v>638000</v>
      </c>
      <c r="G645" s="102">
        <f>(E645*D645)</f>
        <v>580000</v>
      </c>
      <c r="H645" s="690" t="s">
        <v>142</v>
      </c>
      <c r="I645" s="71" t="s">
        <v>140</v>
      </c>
      <c r="J645" s="53">
        <f>(G645-(VLOOKUP(C645,Price!B:D,3,FALSE)*D645))</f>
        <v>230000</v>
      </c>
      <c r="K645" s="63">
        <f>(J645/(F645/11*10))</f>
        <v>0.39655172413793105</v>
      </c>
      <c r="L645" s="871">
        <v>18.2</v>
      </c>
      <c r="M645" s="468"/>
      <c r="N645" s="664">
        <f>A645</f>
        <v>180129</v>
      </c>
      <c r="O645" s="71" t="s">
        <v>145</v>
      </c>
      <c r="P645" s="103" t="str">
        <f>C645</f>
        <v>THR200(20L)</v>
      </c>
      <c r="Q645" s="71">
        <f>D645</f>
        <v>10</v>
      </c>
      <c r="R645" s="102">
        <v>35000</v>
      </c>
      <c r="S645" s="102">
        <f>R645*Q645*1.1</f>
        <v>385000.00000000006</v>
      </c>
      <c r="T645" s="102">
        <f>R645*Q645</f>
        <v>350000</v>
      </c>
      <c r="U645" s="71" t="str">
        <f t="shared" si="267"/>
        <v>O</v>
      </c>
      <c r="V645" s="71"/>
      <c r="W645" s="482">
        <f t="shared" si="268"/>
        <v>230000</v>
      </c>
      <c r="X645" s="71"/>
      <c r="Y645" s="71"/>
    </row>
    <row r="646" spans="1:25" s="602" customFormat="1" ht="30" hidden="1" customHeight="1" x14ac:dyDescent="0.25">
      <c r="A646" s="85">
        <v>180129</v>
      </c>
      <c r="B646" s="668" t="s">
        <v>1051</v>
      </c>
      <c r="C646" s="84" t="s">
        <v>951</v>
      </c>
      <c r="D646" s="84">
        <v>900</v>
      </c>
      <c r="E646" s="189">
        <v>3800</v>
      </c>
      <c r="F646" s="189">
        <f>(E646*D646)*1.1</f>
        <v>3762000.0000000005</v>
      </c>
      <c r="G646" s="189">
        <f>(E646*D646)</f>
        <v>3420000</v>
      </c>
      <c r="H646" s="691" t="s">
        <v>142</v>
      </c>
      <c r="I646" s="84" t="s">
        <v>140</v>
      </c>
      <c r="J646" s="61">
        <f>(G646-(VLOOKUP(C646,Price!B:D,3,FALSE)*D646))</f>
        <v>1080000</v>
      </c>
      <c r="K646" s="62">
        <f>(J646/(F646/11*10))</f>
        <v>0.31578947368421051</v>
      </c>
      <c r="L646" s="873">
        <v>18.2</v>
      </c>
      <c r="M646" s="601"/>
      <c r="N646" s="668">
        <f>A646</f>
        <v>180129</v>
      </c>
      <c r="O646" s="84" t="s">
        <v>145</v>
      </c>
      <c r="P646" s="133" t="str">
        <f>(C646)</f>
        <v>ENGAGE 30WEB(883*552)</v>
      </c>
      <c r="Q646" s="84">
        <f>D646</f>
        <v>900</v>
      </c>
      <c r="R646" s="189">
        <v>2600</v>
      </c>
      <c r="S646" s="189">
        <f>(R646*D646)*1.1</f>
        <v>2574000</v>
      </c>
      <c r="T646" s="189">
        <f>(R646*Q646)</f>
        <v>2340000</v>
      </c>
      <c r="U646" s="84" t="str">
        <f t="shared" si="267"/>
        <v>O</v>
      </c>
      <c r="V646" s="84"/>
      <c r="W646" s="481">
        <f t="shared" si="268"/>
        <v>1080000</v>
      </c>
      <c r="X646" s="84"/>
      <c r="Y646" s="84"/>
    </row>
    <row r="647" spans="1:25" ht="30" hidden="1" customHeight="1" x14ac:dyDescent="0.25">
      <c r="A647" s="80">
        <v>180130</v>
      </c>
      <c r="B647" s="663" t="s">
        <v>545</v>
      </c>
      <c r="C647" s="73" t="s">
        <v>167</v>
      </c>
      <c r="D647" s="73">
        <v>10</v>
      </c>
      <c r="E647" s="147">
        <v>110000</v>
      </c>
      <c r="F647" s="147">
        <f t="shared" ref="F647:F668" si="269">(E647*D647)*1.1</f>
        <v>1210000</v>
      </c>
      <c r="G647" s="147">
        <f t="shared" ref="G647:G668" si="270">(E647*D647)</f>
        <v>1100000</v>
      </c>
      <c r="H647" s="689" t="s">
        <v>173</v>
      </c>
      <c r="I647" s="73" t="s">
        <v>109</v>
      </c>
      <c r="J647" s="60">
        <f>(G647-(VLOOKUP(C647,Price!B:D,3,FALSE)*D647))</f>
        <v>271000</v>
      </c>
      <c r="K647" s="427">
        <f t="shared" ref="K647:K656" si="271">(J647/(F647/11*10))</f>
        <v>0.24636363636363637</v>
      </c>
      <c r="L647" s="874">
        <v>18.2</v>
      </c>
      <c r="M647" s="584"/>
      <c r="N647" s="663">
        <f t="shared" si="246"/>
        <v>180130</v>
      </c>
      <c r="O647" s="73" t="s">
        <v>147</v>
      </c>
      <c r="P647" s="132" t="str">
        <f t="shared" si="258"/>
        <v>Blanket(1060*860)</v>
      </c>
      <c r="Q647" s="73">
        <f t="shared" si="259"/>
        <v>10</v>
      </c>
      <c r="R647" s="102">
        <f>VLOOKUP(P647,Price!B:D,3,FALSE)</f>
        <v>82900</v>
      </c>
      <c r="S647" s="147">
        <f t="shared" ref="S647:S657" si="272">R647*Q647*1.1</f>
        <v>911900.00000000012</v>
      </c>
      <c r="T647" s="147">
        <f t="shared" ref="T647:T657" si="273">R647*Q647</f>
        <v>829000</v>
      </c>
      <c r="U647" s="73" t="str">
        <f t="shared" si="267"/>
        <v>O</v>
      </c>
      <c r="V647" s="73"/>
      <c r="W647" s="482">
        <f t="shared" si="268"/>
        <v>271000</v>
      </c>
      <c r="X647" s="73"/>
      <c r="Y647" s="73"/>
    </row>
    <row r="648" spans="1:25" s="602" customFormat="1" ht="30" hidden="1" customHeight="1" x14ac:dyDescent="0.25">
      <c r="A648" s="85">
        <v>180130</v>
      </c>
      <c r="B648" s="668" t="s">
        <v>545</v>
      </c>
      <c r="C648" s="84" t="s">
        <v>131</v>
      </c>
      <c r="D648" s="84">
        <v>4</v>
      </c>
      <c r="E648" s="189">
        <v>135000</v>
      </c>
      <c r="F648" s="189">
        <f t="shared" si="269"/>
        <v>594000</v>
      </c>
      <c r="G648" s="189">
        <f t="shared" si="270"/>
        <v>540000</v>
      </c>
      <c r="H648" s="691" t="s">
        <v>173</v>
      </c>
      <c r="I648" s="84" t="s">
        <v>108</v>
      </c>
      <c r="J648" s="61">
        <f>(G648-(VLOOKUP(C648,Price!B:D,3,FALSE)*D648))</f>
        <v>100000</v>
      </c>
      <c r="K648" s="62">
        <f t="shared" si="271"/>
        <v>0.18518518518518517</v>
      </c>
      <c r="L648" s="873">
        <v>18.2</v>
      </c>
      <c r="M648" s="601"/>
      <c r="N648" s="668">
        <f t="shared" si="246"/>
        <v>180130</v>
      </c>
      <c r="O648" s="84" t="s">
        <v>148</v>
      </c>
      <c r="P648" s="133" t="str">
        <f t="shared" si="258"/>
        <v>UV wash(20L)</v>
      </c>
      <c r="Q648" s="84">
        <f t="shared" si="259"/>
        <v>4</v>
      </c>
      <c r="R648" s="189">
        <f>VLOOKUP(P648,Price!B:D,3,FALSE)</f>
        <v>110000</v>
      </c>
      <c r="S648" s="189">
        <f t="shared" si="272"/>
        <v>484000.00000000006</v>
      </c>
      <c r="T648" s="189">
        <f t="shared" si="273"/>
        <v>440000</v>
      </c>
      <c r="U648" s="84" t="str">
        <f t="shared" si="267"/>
        <v>O</v>
      </c>
      <c r="V648" s="84"/>
      <c r="W648" s="481">
        <f t="shared" si="268"/>
        <v>100000</v>
      </c>
      <c r="X648" s="84"/>
      <c r="Y648" s="84"/>
    </row>
    <row r="649" spans="1:25" ht="30" hidden="1" customHeight="1" x14ac:dyDescent="0.25">
      <c r="A649" s="80">
        <v>180131</v>
      </c>
      <c r="B649" s="663" t="s">
        <v>442</v>
      </c>
      <c r="C649" s="73" t="s">
        <v>133</v>
      </c>
      <c r="D649" s="73">
        <v>2</v>
      </c>
      <c r="E649" s="147">
        <v>327000</v>
      </c>
      <c r="F649" s="147">
        <f t="shared" si="269"/>
        <v>719400</v>
      </c>
      <c r="G649" s="147">
        <f t="shared" si="270"/>
        <v>654000</v>
      </c>
      <c r="H649" s="689" t="s">
        <v>173</v>
      </c>
      <c r="I649" s="73" t="s">
        <v>141</v>
      </c>
      <c r="J649" s="60">
        <f>(G649-(VLOOKUP(C649,Price!B:D,3,FALSE)*D649))</f>
        <v>115800</v>
      </c>
      <c r="K649" s="427">
        <f t="shared" si="271"/>
        <v>0.17706422018348625</v>
      </c>
      <c r="L649" s="874">
        <v>18.2</v>
      </c>
      <c r="M649" s="584"/>
      <c r="N649" s="663">
        <f t="shared" si="246"/>
        <v>180131</v>
      </c>
      <c r="O649" s="73" t="s">
        <v>145</v>
      </c>
      <c r="P649" s="132" t="str">
        <f t="shared" si="258"/>
        <v>Agfa Film(24inch)</v>
      </c>
      <c r="Q649" s="73">
        <f t="shared" si="259"/>
        <v>2</v>
      </c>
      <c r="R649" s="102">
        <f>VLOOKUP(P649,Price!B:D,3,FALSE)</f>
        <v>269100</v>
      </c>
      <c r="S649" s="147">
        <f t="shared" si="272"/>
        <v>592020</v>
      </c>
      <c r="T649" s="147">
        <f t="shared" si="273"/>
        <v>538200</v>
      </c>
      <c r="U649" s="73" t="str">
        <f t="shared" si="267"/>
        <v>O</v>
      </c>
      <c r="V649" s="73"/>
      <c r="W649" s="482">
        <f t="shared" si="268"/>
        <v>115800</v>
      </c>
      <c r="X649" s="73"/>
      <c r="Y649" s="73"/>
    </row>
    <row r="650" spans="1:25" ht="30" hidden="1" customHeight="1" x14ac:dyDescent="0.25">
      <c r="A650" s="82">
        <v>180131</v>
      </c>
      <c r="B650" s="664" t="s">
        <v>442</v>
      </c>
      <c r="C650" s="71" t="s">
        <v>134</v>
      </c>
      <c r="D650" s="71">
        <v>2</v>
      </c>
      <c r="E650" s="102">
        <v>401000</v>
      </c>
      <c r="F650" s="102">
        <f t="shared" si="269"/>
        <v>882200.00000000012</v>
      </c>
      <c r="G650" s="102">
        <f t="shared" si="270"/>
        <v>802000</v>
      </c>
      <c r="H650" s="690" t="s">
        <v>173</v>
      </c>
      <c r="I650" s="71" t="s">
        <v>141</v>
      </c>
      <c r="J650" s="53">
        <f>(G650-(VLOOKUP(C650,Price!B:D,3,FALSE)*D650))</f>
        <v>174080</v>
      </c>
      <c r="K650" s="63">
        <f t="shared" si="271"/>
        <v>0.21705735660847877</v>
      </c>
      <c r="L650" s="871">
        <v>18.2</v>
      </c>
      <c r="M650" s="468"/>
      <c r="N650" s="664">
        <f t="shared" si="246"/>
        <v>180131</v>
      </c>
      <c r="O650" s="71" t="s">
        <v>145</v>
      </c>
      <c r="P650" s="103" t="str">
        <f t="shared" si="258"/>
        <v>Agfa Film(28inch)</v>
      </c>
      <c r="Q650" s="71">
        <f t="shared" si="259"/>
        <v>2</v>
      </c>
      <c r="R650" s="102">
        <f>VLOOKUP(P650,Price!B:D,3,FALSE)</f>
        <v>313960</v>
      </c>
      <c r="S650" s="102">
        <f t="shared" si="272"/>
        <v>690712</v>
      </c>
      <c r="T650" s="102">
        <f t="shared" si="273"/>
        <v>627920</v>
      </c>
      <c r="U650" s="71" t="str">
        <f t="shared" si="267"/>
        <v>O</v>
      </c>
      <c r="V650" s="71"/>
      <c r="W650" s="482">
        <f t="shared" si="268"/>
        <v>174080</v>
      </c>
      <c r="X650" s="71"/>
      <c r="Y650" s="71"/>
    </row>
    <row r="651" spans="1:25" ht="30" hidden="1" customHeight="1" x14ac:dyDescent="0.25">
      <c r="A651" s="82">
        <v>180131</v>
      </c>
      <c r="B651" s="664" t="s">
        <v>442</v>
      </c>
      <c r="C651" s="71" t="s">
        <v>135</v>
      </c>
      <c r="D651" s="71">
        <v>2</v>
      </c>
      <c r="E651" s="102">
        <v>448000</v>
      </c>
      <c r="F651" s="102">
        <f t="shared" si="269"/>
        <v>985600.00000000012</v>
      </c>
      <c r="G651" s="102">
        <f t="shared" si="270"/>
        <v>896000</v>
      </c>
      <c r="H651" s="690" t="s">
        <v>173</v>
      </c>
      <c r="I651" s="71" t="s">
        <v>141</v>
      </c>
      <c r="J651" s="53">
        <f>(G651-(VLOOKUP(C651,Price!B:D,3,FALSE)*D651))</f>
        <v>155980</v>
      </c>
      <c r="K651" s="63">
        <f t="shared" si="271"/>
        <v>0.1740848214285714</v>
      </c>
      <c r="L651" s="871">
        <v>18.2</v>
      </c>
      <c r="M651" s="468"/>
      <c r="N651" s="664">
        <f t="shared" si="246"/>
        <v>180131</v>
      </c>
      <c r="O651" s="71" t="s">
        <v>145</v>
      </c>
      <c r="P651" s="103" t="str">
        <f t="shared" si="258"/>
        <v>Agfa Film(32inch)</v>
      </c>
      <c r="Q651" s="71">
        <f t="shared" si="259"/>
        <v>2</v>
      </c>
      <c r="R651" s="102">
        <f>VLOOKUP(P651,Price!B:D,3,FALSE)</f>
        <v>370010</v>
      </c>
      <c r="S651" s="102">
        <f t="shared" si="272"/>
        <v>814022.00000000012</v>
      </c>
      <c r="T651" s="102">
        <f t="shared" si="273"/>
        <v>740020</v>
      </c>
      <c r="U651" s="71" t="str">
        <f t="shared" si="267"/>
        <v>O</v>
      </c>
      <c r="V651" s="71"/>
      <c r="W651" s="482">
        <f t="shared" si="268"/>
        <v>155980</v>
      </c>
      <c r="X651" s="71"/>
      <c r="Y651" s="71"/>
    </row>
    <row r="652" spans="1:25" ht="30" hidden="1" customHeight="1" x14ac:dyDescent="0.25">
      <c r="A652" s="82">
        <v>180131</v>
      </c>
      <c r="B652" s="664" t="s">
        <v>442</v>
      </c>
      <c r="C652" s="71" t="s">
        <v>649</v>
      </c>
      <c r="D652" s="71">
        <v>2</v>
      </c>
      <c r="E652" s="102">
        <v>41000</v>
      </c>
      <c r="F652" s="102">
        <f t="shared" si="269"/>
        <v>90200.000000000015</v>
      </c>
      <c r="G652" s="102">
        <f t="shared" si="270"/>
        <v>82000</v>
      </c>
      <c r="H652" s="690" t="s">
        <v>173</v>
      </c>
      <c r="I652" s="71" t="s">
        <v>141</v>
      </c>
      <c r="J652" s="53">
        <f>(G652-(VLOOKUP(C652,Price!B:D,3,FALSE)*D652))</f>
        <v>32000</v>
      </c>
      <c r="K652" s="63">
        <f t="shared" si="271"/>
        <v>0.39024390243902435</v>
      </c>
      <c r="L652" s="871">
        <v>18.2</v>
      </c>
      <c r="M652" s="468"/>
      <c r="N652" s="664">
        <f t="shared" si="246"/>
        <v>180131</v>
      </c>
      <c r="O652" s="71" t="s">
        <v>145</v>
      </c>
      <c r="P652" s="103" t="str">
        <f t="shared" si="258"/>
        <v>Agfa 현상액 G101C(10L)</v>
      </c>
      <c r="Q652" s="71">
        <f t="shared" si="259"/>
        <v>2</v>
      </c>
      <c r="R652" s="102">
        <f>VLOOKUP(P652,Price!B:D,3,FALSE)</f>
        <v>25000</v>
      </c>
      <c r="S652" s="102">
        <f t="shared" si="272"/>
        <v>55000.000000000007</v>
      </c>
      <c r="T652" s="102">
        <f t="shared" si="273"/>
        <v>50000</v>
      </c>
      <c r="U652" s="71" t="str">
        <f t="shared" si="267"/>
        <v>O</v>
      </c>
      <c r="V652" s="71"/>
      <c r="W652" s="482">
        <f t="shared" si="268"/>
        <v>32000</v>
      </c>
      <c r="X652" s="71"/>
      <c r="Y652" s="71"/>
    </row>
    <row r="653" spans="1:25" ht="30" hidden="1" customHeight="1" x14ac:dyDescent="0.2">
      <c r="A653" s="82">
        <v>180131</v>
      </c>
      <c r="B653" s="664" t="s">
        <v>442</v>
      </c>
      <c r="C653" s="71" t="s">
        <v>650</v>
      </c>
      <c r="D653" s="71">
        <v>1</v>
      </c>
      <c r="E653" s="102">
        <v>93000</v>
      </c>
      <c r="F653" s="163">
        <f t="shared" si="269"/>
        <v>102300.00000000001</v>
      </c>
      <c r="G653" s="163">
        <f t="shared" si="270"/>
        <v>93000</v>
      </c>
      <c r="H653" s="165" t="s">
        <v>172</v>
      </c>
      <c r="I653" s="71" t="s">
        <v>141</v>
      </c>
      <c r="J653" s="53">
        <f>(G653-(VLOOKUP(C653,Price!B:D,3,FALSE)*D653))</f>
        <v>33000</v>
      </c>
      <c r="K653" s="63">
        <f t="shared" si="271"/>
        <v>0.35483870967741932</v>
      </c>
      <c r="L653" s="871">
        <v>18.2</v>
      </c>
      <c r="M653" s="468"/>
      <c r="N653" s="664">
        <f t="shared" si="246"/>
        <v>180131</v>
      </c>
      <c r="O653" s="71" t="s">
        <v>145</v>
      </c>
      <c r="P653" s="103" t="str">
        <f t="shared" si="258"/>
        <v>Agfa 정착액 G333C(20L)</v>
      </c>
      <c r="Q653" s="71">
        <f t="shared" si="259"/>
        <v>1</v>
      </c>
      <c r="R653" s="102">
        <f>VLOOKUP(P653,Price!B:D,3,FALSE)</f>
        <v>60000</v>
      </c>
      <c r="S653" s="102">
        <f t="shared" si="272"/>
        <v>66000</v>
      </c>
      <c r="T653" s="102">
        <f t="shared" si="273"/>
        <v>60000</v>
      </c>
      <c r="U653" s="71" t="str">
        <f t="shared" si="267"/>
        <v>O</v>
      </c>
      <c r="V653" s="71"/>
      <c r="W653" s="482">
        <f t="shared" si="268"/>
        <v>33000</v>
      </c>
      <c r="X653" s="71"/>
      <c r="Y653" s="71"/>
    </row>
    <row r="654" spans="1:25" ht="30" hidden="1" customHeight="1" x14ac:dyDescent="0.25">
      <c r="A654" s="82">
        <v>180131</v>
      </c>
      <c r="B654" s="664" t="s">
        <v>690</v>
      </c>
      <c r="C654" s="71" t="s">
        <v>217</v>
      </c>
      <c r="D654" s="71">
        <v>5</v>
      </c>
      <c r="E654" s="102">
        <v>145000</v>
      </c>
      <c r="F654" s="102">
        <f t="shared" si="269"/>
        <v>797500.00000000012</v>
      </c>
      <c r="G654" s="102">
        <f t="shared" si="270"/>
        <v>725000</v>
      </c>
      <c r="H654" s="690" t="s">
        <v>173</v>
      </c>
      <c r="I654" s="71" t="s">
        <v>108</v>
      </c>
      <c r="J654" s="53">
        <f>(G654-(VLOOKUP(C654,Price!B:D,3,FALSE)*D654))</f>
        <v>325000</v>
      </c>
      <c r="K654" s="63">
        <f t="shared" si="271"/>
        <v>0.44827586206896547</v>
      </c>
      <c r="L654" s="871">
        <v>18.2</v>
      </c>
      <c r="M654" s="468"/>
      <c r="N654" s="664">
        <f t="shared" si="246"/>
        <v>180131</v>
      </c>
      <c r="O654" s="71" t="s">
        <v>150</v>
      </c>
      <c r="P654" s="103" t="str">
        <f t="shared" si="258"/>
        <v>Fount 511</v>
      </c>
      <c r="Q654" s="71">
        <f t="shared" si="259"/>
        <v>5</v>
      </c>
      <c r="R654" s="102">
        <f>VLOOKUP(P654,Price!B:D,3,FALSE)</f>
        <v>80000</v>
      </c>
      <c r="S654" s="102">
        <f t="shared" si="272"/>
        <v>440000.00000000006</v>
      </c>
      <c r="T654" s="102">
        <f t="shared" si="273"/>
        <v>400000</v>
      </c>
      <c r="U654" s="71" t="str">
        <f t="shared" si="267"/>
        <v>O</v>
      </c>
      <c r="V654" s="71"/>
      <c r="W654" s="482">
        <f t="shared" si="268"/>
        <v>325000</v>
      </c>
      <c r="X654" s="71"/>
      <c r="Y654" s="71"/>
    </row>
    <row r="655" spans="1:25" ht="30" hidden="1" customHeight="1" x14ac:dyDescent="0.25">
      <c r="A655" s="82">
        <v>180131</v>
      </c>
      <c r="B655" s="664" t="s">
        <v>442</v>
      </c>
      <c r="C655" s="71" t="s">
        <v>138</v>
      </c>
      <c r="D655" s="71">
        <v>20</v>
      </c>
      <c r="E655" s="102">
        <v>69000</v>
      </c>
      <c r="F655" s="102">
        <f t="shared" si="269"/>
        <v>1518000.0000000002</v>
      </c>
      <c r="G655" s="102">
        <f t="shared" si="270"/>
        <v>1380000</v>
      </c>
      <c r="H655" s="690" t="s">
        <v>173</v>
      </c>
      <c r="I655" s="71" t="s">
        <v>108</v>
      </c>
      <c r="J655" s="53">
        <f>(G655-(VLOOKUP(C655,Price!B:D,3,FALSE)*D655))</f>
        <v>360000</v>
      </c>
      <c r="K655" s="63">
        <f t="shared" si="271"/>
        <v>0.26086956521739124</v>
      </c>
      <c r="L655" s="871">
        <v>18.2</v>
      </c>
      <c r="M655" s="468"/>
      <c r="N655" s="664">
        <f t="shared" si="246"/>
        <v>180131</v>
      </c>
      <c r="O655" s="71" t="s">
        <v>150</v>
      </c>
      <c r="P655" s="103" t="str">
        <f t="shared" si="258"/>
        <v>매엽용 세척제(Wash 562)</v>
      </c>
      <c r="Q655" s="71">
        <f t="shared" si="259"/>
        <v>20</v>
      </c>
      <c r="R655" s="102">
        <f>VLOOKUP(P655,Price!B:D,3,FALSE)</f>
        <v>51000</v>
      </c>
      <c r="S655" s="102">
        <f t="shared" si="272"/>
        <v>1122000</v>
      </c>
      <c r="T655" s="102">
        <f t="shared" si="273"/>
        <v>1020000</v>
      </c>
      <c r="U655" s="71" t="str">
        <f t="shared" si="267"/>
        <v>O</v>
      </c>
      <c r="V655" s="71"/>
      <c r="W655" s="482">
        <f t="shared" si="268"/>
        <v>360000</v>
      </c>
      <c r="X655" s="71"/>
      <c r="Y655" s="71"/>
    </row>
    <row r="656" spans="1:25" ht="30" hidden="1" customHeight="1" x14ac:dyDescent="0.25">
      <c r="A656" s="82">
        <v>180131</v>
      </c>
      <c r="B656" s="664" t="s">
        <v>764</v>
      </c>
      <c r="C656" s="71" t="s">
        <v>123</v>
      </c>
      <c r="D656" s="71">
        <v>20</v>
      </c>
      <c r="E656" s="102">
        <v>35000</v>
      </c>
      <c r="F656" s="102">
        <f t="shared" si="269"/>
        <v>770000.00000000012</v>
      </c>
      <c r="G656" s="102">
        <f t="shared" si="270"/>
        <v>700000</v>
      </c>
      <c r="H656" s="1010" t="s">
        <v>39</v>
      </c>
      <c r="I656" s="71"/>
      <c r="J656" s="53">
        <f>G656-T656</f>
        <v>250780</v>
      </c>
      <c r="K656" s="63">
        <f t="shared" si="271"/>
        <v>0.35825714285714277</v>
      </c>
      <c r="L656" s="871">
        <v>18.2</v>
      </c>
      <c r="M656" s="468"/>
      <c r="N656" s="664">
        <f t="shared" si="246"/>
        <v>180131</v>
      </c>
      <c r="O656" s="991" t="s">
        <v>39</v>
      </c>
      <c r="P656" s="103" t="str">
        <f t="shared" si="258"/>
        <v>필터백</v>
      </c>
      <c r="Q656" s="71">
        <f t="shared" si="259"/>
        <v>20</v>
      </c>
      <c r="R656" s="102">
        <f>VLOOKUP(P656,Price!B:D,3,FALSE)</f>
        <v>22461</v>
      </c>
      <c r="S656" s="102">
        <f t="shared" si="272"/>
        <v>494142.00000000006</v>
      </c>
      <c r="T656" s="102">
        <f t="shared" si="273"/>
        <v>449220</v>
      </c>
      <c r="U656" s="71" t="str">
        <f t="shared" si="267"/>
        <v>O</v>
      </c>
      <c r="V656" s="71"/>
      <c r="W656" s="482">
        <f t="shared" si="268"/>
        <v>250780</v>
      </c>
      <c r="X656" s="71"/>
      <c r="Y656" s="71"/>
    </row>
    <row r="657" spans="1:25" ht="30" customHeight="1" x14ac:dyDescent="0.25">
      <c r="A657" s="82">
        <v>180131</v>
      </c>
      <c r="B657" s="664" t="s">
        <v>422</v>
      </c>
      <c r="C657" s="760" t="s">
        <v>218</v>
      </c>
      <c r="D657" s="71">
        <v>5</v>
      </c>
      <c r="E657" s="102">
        <v>235000</v>
      </c>
      <c r="F657" s="102">
        <f t="shared" si="269"/>
        <v>1292500</v>
      </c>
      <c r="G657" s="102">
        <f t="shared" si="270"/>
        <v>1175000</v>
      </c>
      <c r="H657" s="690" t="s">
        <v>173</v>
      </c>
      <c r="I657" s="71" t="s">
        <v>120</v>
      </c>
      <c r="J657" s="53">
        <f>(G657-(VLOOKUP(C657,Price!B:D,3,FALSE)*D657))</f>
        <v>612500</v>
      </c>
      <c r="K657" s="63">
        <f t="shared" ref="K657:K666" si="274">(J657/(F657/11*10))</f>
        <v>0.52127659574468088</v>
      </c>
      <c r="L657" s="82">
        <v>18.2</v>
      </c>
      <c r="M657" s="468"/>
      <c r="N657" s="664">
        <f t="shared" si="246"/>
        <v>180131</v>
      </c>
      <c r="O657" s="71" t="s">
        <v>150</v>
      </c>
      <c r="P657" s="103" t="str">
        <f t="shared" si="258"/>
        <v>Fount Web 551AF</v>
      </c>
      <c r="Q657" s="71">
        <f t="shared" si="259"/>
        <v>5</v>
      </c>
      <c r="R657" s="102">
        <v>112500</v>
      </c>
      <c r="S657" s="102">
        <f t="shared" si="272"/>
        <v>618750</v>
      </c>
      <c r="T657" s="102">
        <f t="shared" si="273"/>
        <v>562500</v>
      </c>
      <c r="U657" s="71" t="str">
        <f t="shared" si="267"/>
        <v>O</v>
      </c>
      <c r="V657" s="71"/>
      <c r="W657" s="515">
        <f t="shared" si="268"/>
        <v>612500</v>
      </c>
      <c r="X657" s="71"/>
      <c r="Y657" s="71"/>
    </row>
    <row r="658" spans="1:25" s="210" customFormat="1" ht="30" customHeight="1" x14ac:dyDescent="0.25">
      <c r="A658" s="85">
        <v>180131</v>
      </c>
      <c r="B658" s="668" t="s">
        <v>565</v>
      </c>
      <c r="C658" s="84" t="s">
        <v>583</v>
      </c>
      <c r="D658" s="84">
        <v>16</v>
      </c>
      <c r="E658" s="189">
        <v>89000</v>
      </c>
      <c r="F658" s="189">
        <f t="shared" si="269"/>
        <v>1566400.0000000002</v>
      </c>
      <c r="G658" s="189">
        <f t="shared" si="270"/>
        <v>1424000</v>
      </c>
      <c r="H658" s="691" t="s">
        <v>173</v>
      </c>
      <c r="I658" s="84" t="s">
        <v>108</v>
      </c>
      <c r="J658" s="61">
        <f>(G658-(VLOOKUP(C658,Price!B:D,3,FALSE)*D658))</f>
        <v>720000</v>
      </c>
      <c r="K658" s="62">
        <f t="shared" si="274"/>
        <v>0.50561797752808979</v>
      </c>
      <c r="L658" s="85">
        <v>18.2</v>
      </c>
      <c r="M658" s="601" t="s">
        <v>795</v>
      </c>
      <c r="N658" s="668">
        <f t="shared" si="246"/>
        <v>180131</v>
      </c>
      <c r="O658" s="84" t="s">
        <v>599</v>
      </c>
      <c r="P658" s="133" t="str">
        <f>(C658)</f>
        <v>M600 윤전 세정포</v>
      </c>
      <c r="Q658" s="84">
        <f t="shared" si="259"/>
        <v>16</v>
      </c>
      <c r="R658" s="189">
        <v>44000</v>
      </c>
      <c r="S658" s="189">
        <f>(R658*D658)*1.1</f>
        <v>774400.00000000012</v>
      </c>
      <c r="T658" s="189">
        <f>(R658*Q658)</f>
        <v>704000</v>
      </c>
      <c r="U658" s="84" t="str">
        <f t="shared" si="267"/>
        <v>O</v>
      </c>
      <c r="V658" s="84"/>
      <c r="W658" s="481">
        <f t="shared" si="268"/>
        <v>720000</v>
      </c>
      <c r="X658" s="84"/>
      <c r="Y658" s="84"/>
    </row>
    <row r="659" spans="1:25" ht="30" hidden="1" customHeight="1" x14ac:dyDescent="0.25">
      <c r="A659" s="80">
        <v>180202</v>
      </c>
      <c r="B659" s="663" t="s">
        <v>1052</v>
      </c>
      <c r="C659" s="73" t="s">
        <v>585</v>
      </c>
      <c r="D659" s="73">
        <v>200</v>
      </c>
      <c r="E659" s="147">
        <v>7500</v>
      </c>
      <c r="F659" s="147">
        <f t="shared" si="269"/>
        <v>1650000.0000000002</v>
      </c>
      <c r="G659" s="147">
        <f t="shared" si="270"/>
        <v>1500000</v>
      </c>
      <c r="H659" s="689" t="s">
        <v>142</v>
      </c>
      <c r="I659" s="73" t="s">
        <v>144</v>
      </c>
      <c r="J659" s="60">
        <f>(G659-(VLOOKUP(C659,Price!B:D,3,FALSE)*D659))</f>
        <v>146000</v>
      </c>
      <c r="K659" s="427">
        <f t="shared" si="274"/>
        <v>9.7333333333333313E-2</v>
      </c>
      <c r="L659" s="874">
        <v>18.2</v>
      </c>
      <c r="M659" s="584"/>
      <c r="N659" s="663">
        <f t="shared" si="246"/>
        <v>180202</v>
      </c>
      <c r="O659" s="73" t="s">
        <v>147</v>
      </c>
      <c r="P659" s="132" t="str">
        <f t="shared" si="258"/>
        <v>프리미어(적)</v>
      </c>
      <c r="Q659" s="73">
        <f t="shared" si="259"/>
        <v>200</v>
      </c>
      <c r="R659" s="147">
        <v>6770</v>
      </c>
      <c r="S659" s="147">
        <f t="shared" ref="S659:S665" si="275">R659*Q659*1.1</f>
        <v>1489400.0000000002</v>
      </c>
      <c r="T659" s="147">
        <f t="shared" ref="T659:T665" si="276">R659*Q659</f>
        <v>1354000</v>
      </c>
      <c r="U659" s="73" t="str">
        <f t="shared" si="267"/>
        <v>O</v>
      </c>
      <c r="V659" s="73"/>
      <c r="W659" s="515">
        <f t="shared" si="268"/>
        <v>146000</v>
      </c>
      <c r="X659" s="73"/>
      <c r="Y659" s="73"/>
    </row>
    <row r="660" spans="1:25" ht="30" hidden="1" customHeight="1" x14ac:dyDescent="0.25">
      <c r="A660" s="82">
        <v>180202</v>
      </c>
      <c r="B660" s="664" t="s">
        <v>1061</v>
      </c>
      <c r="C660" s="71" t="s">
        <v>586</v>
      </c>
      <c r="D660" s="71">
        <v>200</v>
      </c>
      <c r="E660" s="102">
        <v>6750</v>
      </c>
      <c r="F660" s="102">
        <f t="shared" si="269"/>
        <v>1485000.0000000002</v>
      </c>
      <c r="G660" s="102">
        <f t="shared" si="270"/>
        <v>1350000</v>
      </c>
      <c r="H660" s="690" t="s">
        <v>142</v>
      </c>
      <c r="I660" s="71" t="s">
        <v>144</v>
      </c>
      <c r="J660" s="53">
        <f>(G660-(VLOOKUP(C660,Price!B:D,3,FALSE)*D660))</f>
        <v>114000</v>
      </c>
      <c r="K660" s="63">
        <f t="shared" si="274"/>
        <v>8.4444444444444433E-2</v>
      </c>
      <c r="L660" s="871">
        <v>18.2</v>
      </c>
      <c r="M660" s="468"/>
      <c r="N660" s="664">
        <f t="shared" si="246"/>
        <v>180202</v>
      </c>
      <c r="O660" s="71" t="s">
        <v>147</v>
      </c>
      <c r="P660" s="103" t="str">
        <f t="shared" si="258"/>
        <v>프리미어(황)</v>
      </c>
      <c r="Q660" s="71">
        <f t="shared" si="259"/>
        <v>200</v>
      </c>
      <c r="R660" s="102">
        <v>6180</v>
      </c>
      <c r="S660" s="102">
        <f t="shared" si="275"/>
        <v>1359600</v>
      </c>
      <c r="T660" s="102">
        <f t="shared" si="276"/>
        <v>1236000</v>
      </c>
      <c r="U660" s="71" t="str">
        <f t="shared" si="267"/>
        <v>O</v>
      </c>
      <c r="V660" s="71"/>
      <c r="W660" s="515">
        <f t="shared" si="268"/>
        <v>114000</v>
      </c>
      <c r="X660" s="71"/>
      <c r="Y660" s="71"/>
    </row>
    <row r="661" spans="1:25" ht="30" hidden="1" customHeight="1" x14ac:dyDescent="0.25">
      <c r="A661" s="82">
        <v>180202</v>
      </c>
      <c r="B661" s="664" t="s">
        <v>1061</v>
      </c>
      <c r="C661" s="71" t="s">
        <v>587</v>
      </c>
      <c r="D661" s="71">
        <v>200</v>
      </c>
      <c r="E661" s="102">
        <v>8000</v>
      </c>
      <c r="F661" s="102">
        <f t="shared" si="269"/>
        <v>1760000.0000000002</v>
      </c>
      <c r="G661" s="102">
        <f t="shared" si="270"/>
        <v>1600000</v>
      </c>
      <c r="H661" s="690" t="s">
        <v>142</v>
      </c>
      <c r="I661" s="71" t="s">
        <v>144</v>
      </c>
      <c r="J661" s="53">
        <f>(G661-(VLOOKUP(C661,Price!B:D,3,FALSE)*D661))</f>
        <v>218000</v>
      </c>
      <c r="K661" s="63">
        <f t="shared" si="274"/>
        <v>0.13624999999999998</v>
      </c>
      <c r="L661" s="871">
        <v>18.2</v>
      </c>
      <c r="M661" s="468"/>
      <c r="N661" s="664">
        <f t="shared" si="246"/>
        <v>180202</v>
      </c>
      <c r="O661" s="71" t="s">
        <v>147</v>
      </c>
      <c r="P661" s="103" t="str">
        <f t="shared" si="258"/>
        <v>프리미어(청)</v>
      </c>
      <c r="Q661" s="71">
        <f t="shared" si="259"/>
        <v>200</v>
      </c>
      <c r="R661" s="102">
        <v>6910</v>
      </c>
      <c r="S661" s="102">
        <f t="shared" si="275"/>
        <v>1520200.0000000002</v>
      </c>
      <c r="T661" s="102">
        <f t="shared" si="276"/>
        <v>1382000</v>
      </c>
      <c r="U661" s="71" t="str">
        <f t="shared" si="267"/>
        <v>O</v>
      </c>
      <c r="V661" s="71"/>
      <c r="W661" s="482">
        <f t="shared" si="268"/>
        <v>218000</v>
      </c>
      <c r="X661" s="71"/>
      <c r="Y661" s="71"/>
    </row>
    <row r="662" spans="1:25" s="602" customFormat="1" ht="30" hidden="1" customHeight="1" x14ac:dyDescent="0.25">
      <c r="A662" s="85">
        <v>180202</v>
      </c>
      <c r="B662" s="668" t="s">
        <v>1061</v>
      </c>
      <c r="C662" s="84" t="s">
        <v>616</v>
      </c>
      <c r="D662" s="84">
        <v>200</v>
      </c>
      <c r="E662" s="189">
        <v>6600</v>
      </c>
      <c r="F662" s="189">
        <f t="shared" si="269"/>
        <v>1452000.0000000002</v>
      </c>
      <c r="G662" s="189">
        <f t="shared" si="270"/>
        <v>1320000</v>
      </c>
      <c r="H662" s="691" t="s">
        <v>142</v>
      </c>
      <c r="I662" s="84" t="s">
        <v>144</v>
      </c>
      <c r="J662" s="61">
        <f>(G662-(VLOOKUP(C662,Price!B:D,3,FALSE)*D662))</f>
        <v>140000</v>
      </c>
      <c r="K662" s="62">
        <f t="shared" si="274"/>
        <v>0.10606060606060604</v>
      </c>
      <c r="L662" s="873">
        <v>18.2</v>
      </c>
      <c r="M662" s="601"/>
      <c r="N662" s="668">
        <f t="shared" si="246"/>
        <v>180202</v>
      </c>
      <c r="O662" s="84" t="s">
        <v>147</v>
      </c>
      <c r="P662" s="133" t="str">
        <f t="shared" si="258"/>
        <v>프리미어(먹)</v>
      </c>
      <c r="Q662" s="84">
        <f t="shared" si="259"/>
        <v>200</v>
      </c>
      <c r="R662" s="189">
        <v>5900</v>
      </c>
      <c r="S662" s="189">
        <f t="shared" si="275"/>
        <v>1298000</v>
      </c>
      <c r="T662" s="189">
        <f t="shared" si="276"/>
        <v>1180000</v>
      </c>
      <c r="U662" s="84" t="str">
        <f t="shared" si="267"/>
        <v>O</v>
      </c>
      <c r="V662" s="84"/>
      <c r="W662" s="481">
        <f t="shared" si="268"/>
        <v>140000</v>
      </c>
      <c r="X662" s="84"/>
      <c r="Y662" s="84"/>
    </row>
    <row r="663" spans="1:25" ht="30" hidden="1" customHeight="1" x14ac:dyDescent="0.25">
      <c r="A663" s="80">
        <v>180203</v>
      </c>
      <c r="B663" s="663" t="s">
        <v>983</v>
      </c>
      <c r="C663" s="73" t="s">
        <v>1009</v>
      </c>
      <c r="D663" s="73">
        <v>520</v>
      </c>
      <c r="E663" s="147">
        <v>3900</v>
      </c>
      <c r="F663" s="147">
        <f t="shared" si="269"/>
        <v>2230800</v>
      </c>
      <c r="G663" s="147">
        <f t="shared" si="270"/>
        <v>2028000</v>
      </c>
      <c r="H663" s="689" t="s">
        <v>173</v>
      </c>
      <c r="I663" s="73" t="s">
        <v>140</v>
      </c>
      <c r="J663" s="60">
        <f>(G663-(VLOOKUP(C663,Price!B:D,3,FALSE)*D663))</f>
        <v>312000</v>
      </c>
      <c r="K663" s="427">
        <f t="shared" si="274"/>
        <v>0.15384615384615385</v>
      </c>
      <c r="L663" s="874">
        <v>18.2</v>
      </c>
      <c r="M663" s="584"/>
      <c r="N663" s="663">
        <f t="shared" ref="N663:N674" si="277">A663</f>
        <v>180203</v>
      </c>
      <c r="O663" s="73" t="s">
        <v>147</v>
      </c>
      <c r="P663" s="132" t="str">
        <f t="shared" ref="P663:Q666" si="278">C663</f>
        <v>CTP판(1030*790mm)</v>
      </c>
      <c r="Q663" s="73">
        <f t="shared" si="278"/>
        <v>520</v>
      </c>
      <c r="R663" s="147">
        <v>3300</v>
      </c>
      <c r="S663" s="147">
        <f t="shared" si="275"/>
        <v>1887600.0000000002</v>
      </c>
      <c r="T663" s="147">
        <f t="shared" si="276"/>
        <v>1716000</v>
      </c>
      <c r="U663" s="73" t="str">
        <f t="shared" si="267"/>
        <v>O</v>
      </c>
      <c r="V663" s="73"/>
      <c r="W663" s="482">
        <f t="shared" si="268"/>
        <v>312000</v>
      </c>
      <c r="X663" s="73"/>
      <c r="Y663" s="73"/>
    </row>
    <row r="664" spans="1:25" s="616" customFormat="1" ht="30" hidden="1" customHeight="1" x14ac:dyDescent="0.25">
      <c r="A664" s="82">
        <v>180203</v>
      </c>
      <c r="B664" s="664" t="s">
        <v>983</v>
      </c>
      <c r="C664" s="71" t="s">
        <v>984</v>
      </c>
      <c r="D664" s="71">
        <v>6</v>
      </c>
      <c r="E664" s="102">
        <v>45000</v>
      </c>
      <c r="F664" s="102">
        <f t="shared" si="269"/>
        <v>297000</v>
      </c>
      <c r="G664" s="102">
        <f t="shared" si="270"/>
        <v>270000</v>
      </c>
      <c r="H664" s="690" t="s">
        <v>173</v>
      </c>
      <c r="I664" s="71" t="s">
        <v>140</v>
      </c>
      <c r="J664" s="53">
        <f>(G664-(VLOOKUP(C664,Price!B:D,3,FALSE)*D664))</f>
        <v>60000</v>
      </c>
      <c r="K664" s="63">
        <f t="shared" si="274"/>
        <v>0.22222222222222221</v>
      </c>
      <c r="L664" s="871">
        <v>18.2</v>
      </c>
      <c r="M664" s="468"/>
      <c r="N664" s="664">
        <f t="shared" si="277"/>
        <v>180203</v>
      </c>
      <c r="O664" s="71" t="s">
        <v>147</v>
      </c>
      <c r="P664" s="103" t="str">
        <f t="shared" si="278"/>
        <v>CTP 현상액</v>
      </c>
      <c r="Q664" s="71">
        <f t="shared" si="278"/>
        <v>6</v>
      </c>
      <c r="R664" s="102">
        <v>35000</v>
      </c>
      <c r="S664" s="102">
        <f t="shared" si="275"/>
        <v>231000.00000000003</v>
      </c>
      <c r="T664" s="102">
        <f t="shared" si="276"/>
        <v>210000</v>
      </c>
      <c r="U664" s="71" t="str">
        <f t="shared" si="267"/>
        <v>O</v>
      </c>
      <c r="V664" s="71"/>
      <c r="W664" s="520">
        <f t="shared" si="268"/>
        <v>60000</v>
      </c>
      <c r="X664" s="71"/>
      <c r="Y664" s="71"/>
    </row>
    <row r="665" spans="1:25" s="657" customFormat="1" ht="30" hidden="1" customHeight="1" x14ac:dyDescent="0.25">
      <c r="A665" s="82">
        <v>180203</v>
      </c>
      <c r="B665" s="664" t="s">
        <v>546</v>
      </c>
      <c r="C665" s="71" t="s">
        <v>881</v>
      </c>
      <c r="D665" s="71">
        <v>50</v>
      </c>
      <c r="E665" s="102">
        <v>18000</v>
      </c>
      <c r="F665" s="102">
        <f t="shared" si="269"/>
        <v>990000.00000000012</v>
      </c>
      <c r="G665" s="102">
        <f t="shared" si="270"/>
        <v>900000</v>
      </c>
      <c r="H665" s="779" t="s">
        <v>113</v>
      </c>
      <c r="I665" s="71"/>
      <c r="J665" s="53">
        <f>G665-T665</f>
        <v>450000</v>
      </c>
      <c r="K665" s="63">
        <f t="shared" si="274"/>
        <v>0.49999999999999994</v>
      </c>
      <c r="L665" s="871">
        <v>18.2</v>
      </c>
      <c r="M665" s="468" t="s">
        <v>1891</v>
      </c>
      <c r="N665" s="664">
        <f t="shared" si="277"/>
        <v>180203</v>
      </c>
      <c r="O665" s="808" t="s">
        <v>113</v>
      </c>
      <c r="P665" s="103" t="str">
        <f t="shared" si="278"/>
        <v>스트리퍼(대)</v>
      </c>
      <c r="Q665" s="71">
        <f t="shared" si="278"/>
        <v>50</v>
      </c>
      <c r="R665" s="102">
        <v>9000</v>
      </c>
      <c r="S665" s="102">
        <f t="shared" si="275"/>
        <v>495000.00000000006</v>
      </c>
      <c r="T665" s="102">
        <f t="shared" si="276"/>
        <v>450000</v>
      </c>
      <c r="U665" s="71" t="str">
        <f t="shared" si="267"/>
        <v>O</v>
      </c>
      <c r="V665" s="71"/>
      <c r="W665" s="656">
        <f t="shared" si="268"/>
        <v>450000</v>
      </c>
      <c r="X665" s="71"/>
      <c r="Y665" s="71"/>
    </row>
    <row r="666" spans="1:25" s="602" customFormat="1" ht="30" hidden="1" customHeight="1" x14ac:dyDescent="0.25">
      <c r="A666" s="612">
        <v>180203</v>
      </c>
      <c r="B666" s="672" t="s">
        <v>575</v>
      </c>
      <c r="C666" s="411" t="s">
        <v>1017</v>
      </c>
      <c r="D666" s="411">
        <v>1</v>
      </c>
      <c r="E666" s="198">
        <v>6800000</v>
      </c>
      <c r="F666" s="198">
        <f t="shared" si="269"/>
        <v>7480000.0000000009</v>
      </c>
      <c r="G666" s="198">
        <f t="shared" si="270"/>
        <v>6800000</v>
      </c>
      <c r="H666" s="1008" t="s">
        <v>39</v>
      </c>
      <c r="I666" s="411"/>
      <c r="J666" s="64">
        <f>(G666-(VLOOKUP(C666,Import!C:G,4,FALSE)*D666))-600000</f>
        <v>6200000</v>
      </c>
      <c r="K666" s="425">
        <f t="shared" si="274"/>
        <v>0.91176470588235281</v>
      </c>
      <c r="L666" s="899">
        <v>18.2</v>
      </c>
      <c r="M666" s="581" t="s">
        <v>1018</v>
      </c>
      <c r="N666" s="672">
        <f t="shared" si="277"/>
        <v>180203</v>
      </c>
      <c r="O666" s="730" t="s">
        <v>113</v>
      </c>
      <c r="P666" s="465" t="str">
        <f t="shared" si="278"/>
        <v>냉각기 컴프레셔</v>
      </c>
      <c r="Q666" s="411">
        <f t="shared" si="278"/>
        <v>1</v>
      </c>
      <c r="R666" s="198"/>
      <c r="S666" s="198"/>
      <c r="T666" s="198"/>
      <c r="U666" s="411" t="str">
        <f t="shared" si="267"/>
        <v>X</v>
      </c>
      <c r="V666" s="411"/>
      <c r="W666" s="481">
        <f t="shared" si="268"/>
        <v>6800000</v>
      </c>
      <c r="X666" s="411"/>
      <c r="Y666" s="411"/>
    </row>
    <row r="667" spans="1:25" s="209" customFormat="1" ht="30" hidden="1" customHeight="1" x14ac:dyDescent="0.2">
      <c r="A667" s="80">
        <v>180205</v>
      </c>
      <c r="B667" s="663" t="s">
        <v>564</v>
      </c>
      <c r="C667" s="73" t="s">
        <v>805</v>
      </c>
      <c r="D667" s="73">
        <v>2</v>
      </c>
      <c r="E667" s="147">
        <v>270000</v>
      </c>
      <c r="F667" s="160">
        <f t="shared" si="269"/>
        <v>594000</v>
      </c>
      <c r="G667" s="160">
        <f t="shared" si="270"/>
        <v>540000</v>
      </c>
      <c r="H667" s="161" t="s">
        <v>173</v>
      </c>
      <c r="I667" s="73" t="s">
        <v>120</v>
      </c>
      <c r="J667" s="60">
        <f>(G667-(VLOOKUP(C667,Price!B:D,3,FALSE)*D667))</f>
        <v>260000</v>
      </c>
      <c r="K667" s="427">
        <f>(J667/(F667/11*10))</f>
        <v>0.48148148148148145</v>
      </c>
      <c r="L667" s="80">
        <v>18.2</v>
      </c>
      <c r="M667" s="584"/>
      <c r="N667" s="663">
        <f t="shared" si="277"/>
        <v>180205</v>
      </c>
      <c r="O667" s="73" t="s">
        <v>150</v>
      </c>
      <c r="P667" s="132" t="str">
        <f>(C667)</f>
        <v>Fount 554</v>
      </c>
      <c r="Q667" s="73">
        <f t="shared" ref="Q667:Q677" si="279">D667</f>
        <v>2</v>
      </c>
      <c r="R667" s="147">
        <v>140000</v>
      </c>
      <c r="S667" s="147">
        <f>(R667*D667)*1.1</f>
        <v>308000</v>
      </c>
      <c r="T667" s="147">
        <f>(R667*Q667)</f>
        <v>280000</v>
      </c>
      <c r="U667" s="73" t="str">
        <f t="shared" si="267"/>
        <v>O</v>
      </c>
      <c r="V667" s="73"/>
      <c r="W667" s="515">
        <f t="shared" si="268"/>
        <v>260000</v>
      </c>
      <c r="X667" s="73"/>
      <c r="Y667" s="73"/>
    </row>
    <row r="668" spans="1:25" ht="30" hidden="1" customHeight="1" x14ac:dyDescent="0.25">
      <c r="A668" s="82">
        <v>180205</v>
      </c>
      <c r="B668" s="664" t="s">
        <v>545</v>
      </c>
      <c r="C668" s="71" t="s">
        <v>825</v>
      </c>
      <c r="D668" s="71">
        <v>1</v>
      </c>
      <c r="E668" s="102">
        <v>110000</v>
      </c>
      <c r="F668" s="102">
        <f t="shared" si="269"/>
        <v>121000.00000000001</v>
      </c>
      <c r="G668" s="102">
        <f t="shared" si="270"/>
        <v>110000</v>
      </c>
      <c r="H668" s="690" t="s">
        <v>173</v>
      </c>
      <c r="I668" s="71" t="s">
        <v>142</v>
      </c>
      <c r="J668" s="53">
        <f>G668-R668</f>
        <v>15000</v>
      </c>
      <c r="K668" s="63">
        <v>0.23529411764705879</v>
      </c>
      <c r="L668" s="871">
        <v>18.2</v>
      </c>
      <c r="M668" s="468"/>
      <c r="N668" s="664">
        <f t="shared" si="277"/>
        <v>180205</v>
      </c>
      <c r="O668" s="71" t="s">
        <v>150</v>
      </c>
      <c r="P668" s="103" t="str">
        <f t="shared" ref="P668:P677" si="280">C668</f>
        <v>독일제 정품 잉크호일 아스테이지</v>
      </c>
      <c r="Q668" s="71">
        <f t="shared" si="279"/>
        <v>1</v>
      </c>
      <c r="R668" s="102">
        <v>95000</v>
      </c>
      <c r="S668" s="102">
        <f t="shared" ref="S668:S673" si="281">R668*Q668*1.1</f>
        <v>104500.00000000001</v>
      </c>
      <c r="T668" s="102">
        <f t="shared" ref="T668:T673" si="282">R668*Q668</f>
        <v>95000</v>
      </c>
      <c r="U668" s="71" t="str">
        <f t="shared" si="267"/>
        <v>O</v>
      </c>
      <c r="V668" s="71"/>
      <c r="W668" s="482">
        <f t="shared" si="268"/>
        <v>15000</v>
      </c>
      <c r="X668" s="71"/>
      <c r="Y668" s="71"/>
    </row>
    <row r="669" spans="1:25" ht="30" customHeight="1" x14ac:dyDescent="0.25">
      <c r="A669" s="82">
        <v>180205</v>
      </c>
      <c r="B669" s="664" t="s">
        <v>422</v>
      </c>
      <c r="C669" s="71" t="s">
        <v>129</v>
      </c>
      <c r="D669" s="71">
        <v>5</v>
      </c>
      <c r="E669" s="102">
        <v>272000</v>
      </c>
      <c r="F669" s="102">
        <f t="shared" ref="F669:F676" si="283">(E669*D669)*1.1</f>
        <v>1496000.0000000002</v>
      </c>
      <c r="G669" s="102">
        <f t="shared" ref="G669:G676" si="284">(E669*D669)</f>
        <v>1360000</v>
      </c>
      <c r="H669" s="690" t="s">
        <v>173</v>
      </c>
      <c r="I669" s="71" t="s">
        <v>108</v>
      </c>
      <c r="J669" s="53">
        <f>(G669-(VLOOKUP(C669,Price!B:D,3,FALSE)*D669))</f>
        <v>320000</v>
      </c>
      <c r="K669" s="63">
        <v>0.23529411764705879</v>
      </c>
      <c r="L669" s="82">
        <v>18.2</v>
      </c>
      <c r="M669" s="468"/>
      <c r="N669" s="664">
        <f t="shared" si="277"/>
        <v>180205</v>
      </c>
      <c r="O669" s="71" t="s">
        <v>149</v>
      </c>
      <c r="P669" s="103" t="str">
        <f t="shared" si="280"/>
        <v>세정포-XL106</v>
      </c>
      <c r="Q669" s="71">
        <f t="shared" si="279"/>
        <v>5</v>
      </c>
      <c r="R669" s="102">
        <v>208000</v>
      </c>
      <c r="S669" s="102">
        <f t="shared" si="281"/>
        <v>1144000</v>
      </c>
      <c r="T669" s="102">
        <f t="shared" si="282"/>
        <v>1040000</v>
      </c>
      <c r="U669" s="71" t="str">
        <f t="shared" si="267"/>
        <v>O</v>
      </c>
      <c r="V669" s="71"/>
      <c r="W669" s="515">
        <f t="shared" si="268"/>
        <v>320000</v>
      </c>
      <c r="X669" s="71"/>
      <c r="Y669" s="71"/>
    </row>
    <row r="670" spans="1:25" ht="30" customHeight="1" x14ac:dyDescent="0.25">
      <c r="A670" s="82">
        <v>180205</v>
      </c>
      <c r="B670" s="664" t="s">
        <v>422</v>
      </c>
      <c r="C670" s="760" t="s">
        <v>138</v>
      </c>
      <c r="D670" s="71">
        <v>10</v>
      </c>
      <c r="E670" s="102">
        <v>68000</v>
      </c>
      <c r="F670" s="102">
        <f t="shared" si="283"/>
        <v>748000.00000000012</v>
      </c>
      <c r="G670" s="102">
        <f t="shared" si="284"/>
        <v>680000</v>
      </c>
      <c r="H670" s="690" t="s">
        <v>173</v>
      </c>
      <c r="I670" s="71" t="s">
        <v>120</v>
      </c>
      <c r="J670" s="53">
        <f>(G670-(VLOOKUP(C670,Price!B:D,3,FALSE)*D670))</f>
        <v>170000</v>
      </c>
      <c r="K670" s="63">
        <v>0.52127659574468088</v>
      </c>
      <c r="L670" s="82">
        <v>18.2</v>
      </c>
      <c r="M670" s="468"/>
      <c r="N670" s="664">
        <f t="shared" si="277"/>
        <v>180205</v>
      </c>
      <c r="O670" s="71" t="s">
        <v>150</v>
      </c>
      <c r="P670" s="103" t="str">
        <f t="shared" si="280"/>
        <v>매엽용 세척제(Wash 562)</v>
      </c>
      <c r="Q670" s="71">
        <f t="shared" si="279"/>
        <v>10</v>
      </c>
      <c r="R670" s="102">
        <v>51000</v>
      </c>
      <c r="S670" s="102">
        <f t="shared" si="281"/>
        <v>561000</v>
      </c>
      <c r="T670" s="102">
        <f t="shared" si="282"/>
        <v>510000</v>
      </c>
      <c r="U670" s="71" t="str">
        <f t="shared" si="267"/>
        <v>O</v>
      </c>
      <c r="V670" s="71"/>
      <c r="W670" s="482">
        <f t="shared" si="268"/>
        <v>170000</v>
      </c>
      <c r="X670" s="71"/>
      <c r="Y670" s="71"/>
    </row>
    <row r="671" spans="1:25" s="602" customFormat="1" ht="30" customHeight="1" x14ac:dyDescent="0.25">
      <c r="A671" s="85">
        <v>180205</v>
      </c>
      <c r="B671" s="668" t="s">
        <v>565</v>
      </c>
      <c r="C671" s="84" t="s">
        <v>123</v>
      </c>
      <c r="D671" s="84">
        <v>5</v>
      </c>
      <c r="E671" s="189">
        <v>45000</v>
      </c>
      <c r="F671" s="189">
        <f t="shared" si="283"/>
        <v>247500.00000000003</v>
      </c>
      <c r="G671" s="189">
        <f t="shared" si="284"/>
        <v>225000</v>
      </c>
      <c r="H671" s="1006" t="s">
        <v>39</v>
      </c>
      <c r="I671" s="84"/>
      <c r="J671" s="61">
        <f>(G671-(VLOOKUP(C671,Price!B:D,3,FALSE)*D671))</f>
        <v>112695</v>
      </c>
      <c r="K671" s="62">
        <f>(J671/(F671/11*10))</f>
        <v>0.50086666666666657</v>
      </c>
      <c r="L671" s="873">
        <v>18.2</v>
      </c>
      <c r="M671" s="601"/>
      <c r="N671" s="668">
        <f t="shared" si="277"/>
        <v>180205</v>
      </c>
      <c r="O671" s="1007" t="s">
        <v>39</v>
      </c>
      <c r="P671" s="133" t="str">
        <f t="shared" si="280"/>
        <v>필터백</v>
      </c>
      <c r="Q671" s="84">
        <f t="shared" si="279"/>
        <v>5</v>
      </c>
      <c r="R671" s="189">
        <v>19800</v>
      </c>
      <c r="S671" s="189">
        <f t="shared" si="281"/>
        <v>108900.00000000001</v>
      </c>
      <c r="T671" s="189">
        <f t="shared" si="282"/>
        <v>99000</v>
      </c>
      <c r="U671" s="84" t="str">
        <f t="shared" si="267"/>
        <v>X</v>
      </c>
      <c r="V671" s="84"/>
      <c r="W671" s="481">
        <f t="shared" si="268"/>
        <v>126000</v>
      </c>
      <c r="X671" s="84"/>
      <c r="Y671" s="84"/>
    </row>
    <row r="672" spans="1:25" s="610" customFormat="1" ht="30" hidden="1" customHeight="1" x14ac:dyDescent="0.25">
      <c r="A672" s="89">
        <v>180206</v>
      </c>
      <c r="B672" s="673" t="s">
        <v>546</v>
      </c>
      <c r="C672" s="88" t="s">
        <v>121</v>
      </c>
      <c r="D672" s="88">
        <v>8</v>
      </c>
      <c r="E672" s="470">
        <v>110000</v>
      </c>
      <c r="F672" s="470">
        <f t="shared" si="283"/>
        <v>968000.00000000012</v>
      </c>
      <c r="G672" s="470">
        <f t="shared" si="284"/>
        <v>880000</v>
      </c>
      <c r="H672" s="695" t="s">
        <v>173</v>
      </c>
      <c r="I672" s="88" t="s">
        <v>142</v>
      </c>
      <c r="J672" s="107">
        <f>(G672-(VLOOKUP(C672,Price!B:D,3,FALSE)*D672))</f>
        <v>152000</v>
      </c>
      <c r="K672" s="469">
        <f>(J672/(F672/11*10))</f>
        <v>0.1727272727272727</v>
      </c>
      <c r="L672" s="875">
        <v>18.2</v>
      </c>
      <c r="M672" s="575"/>
      <c r="N672" s="673">
        <f t="shared" si="277"/>
        <v>180206</v>
      </c>
      <c r="O672" s="88" t="s">
        <v>150</v>
      </c>
      <c r="P672" s="134" t="str">
        <f t="shared" si="280"/>
        <v>윤전용 실리콘</v>
      </c>
      <c r="Q672" s="88">
        <f t="shared" si="279"/>
        <v>8</v>
      </c>
      <c r="R672" s="470">
        <v>91000</v>
      </c>
      <c r="S672" s="470">
        <f t="shared" si="281"/>
        <v>800800.00000000012</v>
      </c>
      <c r="T672" s="470">
        <f t="shared" si="282"/>
        <v>728000</v>
      </c>
      <c r="U672" s="88" t="str">
        <f t="shared" si="267"/>
        <v>O</v>
      </c>
      <c r="V672" s="88"/>
      <c r="W672" s="483">
        <f t="shared" si="268"/>
        <v>152000</v>
      </c>
      <c r="X672" s="88"/>
      <c r="Y672" s="88"/>
    </row>
    <row r="673" spans="1:25" s="635" customFormat="1" ht="30" hidden="1" customHeight="1" x14ac:dyDescent="0.25">
      <c r="A673" s="159">
        <v>180208</v>
      </c>
      <c r="B673" s="676" t="s">
        <v>748</v>
      </c>
      <c r="C673" s="157" t="s">
        <v>1019</v>
      </c>
      <c r="D673" s="157">
        <v>2</v>
      </c>
      <c r="E673" s="526">
        <v>780000</v>
      </c>
      <c r="F673" s="526">
        <f t="shared" si="283"/>
        <v>1716000.0000000002</v>
      </c>
      <c r="G673" s="526">
        <f t="shared" si="284"/>
        <v>1560000</v>
      </c>
      <c r="H673" s="784" t="s">
        <v>113</v>
      </c>
      <c r="I673" s="157"/>
      <c r="J673" s="503">
        <f>G673-T673</f>
        <v>815419.40765473386</v>
      </c>
      <c r="K673" s="65">
        <f>(J673/(F673/11*10))</f>
        <v>0.52270474849662418</v>
      </c>
      <c r="L673" s="900">
        <v>18.2</v>
      </c>
      <c r="M673" s="634"/>
      <c r="N673" s="676">
        <f t="shared" si="277"/>
        <v>180208</v>
      </c>
      <c r="O673" s="812" t="s">
        <v>113</v>
      </c>
      <c r="P673" s="633" t="str">
        <f t="shared" si="280"/>
        <v>다이아프램</v>
      </c>
      <c r="Q673" s="157">
        <f t="shared" si="279"/>
        <v>2</v>
      </c>
      <c r="R673" s="526">
        <f>Import!G69</f>
        <v>372290.29617263307</v>
      </c>
      <c r="S673" s="526">
        <f t="shared" si="281"/>
        <v>819038.65157979284</v>
      </c>
      <c r="T673" s="526">
        <f t="shared" si="282"/>
        <v>744580.59234526614</v>
      </c>
      <c r="U673" s="157" t="str">
        <f t="shared" si="267"/>
        <v>O</v>
      </c>
      <c r="V673" s="157"/>
      <c r="W673" s="508">
        <f t="shared" si="268"/>
        <v>815419.40765473386</v>
      </c>
      <c r="X673" s="157"/>
      <c r="Y673" s="157"/>
    </row>
    <row r="674" spans="1:25" ht="30" hidden="1" customHeight="1" x14ac:dyDescent="0.25">
      <c r="A674" s="80">
        <v>180208</v>
      </c>
      <c r="B674" s="663" t="s">
        <v>923</v>
      </c>
      <c r="C674" s="73" t="s">
        <v>1065</v>
      </c>
      <c r="D674" s="73">
        <v>1</v>
      </c>
      <c r="E674" s="147">
        <v>149500</v>
      </c>
      <c r="F674" s="147">
        <f t="shared" si="283"/>
        <v>164450</v>
      </c>
      <c r="G674" s="147">
        <f t="shared" si="284"/>
        <v>149500</v>
      </c>
      <c r="H674" s="689" t="s">
        <v>142</v>
      </c>
      <c r="I674" s="73" t="s">
        <v>140</v>
      </c>
      <c r="J674" s="60"/>
      <c r="K674" s="427"/>
      <c r="L674" s="874">
        <v>18.2</v>
      </c>
      <c r="M674" s="584"/>
      <c r="N674" s="663">
        <f t="shared" si="277"/>
        <v>180208</v>
      </c>
      <c r="O674" s="73" t="s">
        <v>983</v>
      </c>
      <c r="P674" s="132" t="str">
        <f t="shared" si="280"/>
        <v>은성 CTP 폐판</v>
      </c>
      <c r="Q674" s="73">
        <f t="shared" si="279"/>
        <v>1</v>
      </c>
      <c r="R674" s="147">
        <v>0</v>
      </c>
      <c r="S674" s="147">
        <v>0</v>
      </c>
      <c r="T674" s="147">
        <v>0</v>
      </c>
      <c r="U674" s="73" t="str">
        <f t="shared" si="267"/>
        <v>X</v>
      </c>
      <c r="V674" s="73"/>
      <c r="W674" s="515">
        <f t="shared" si="268"/>
        <v>149500</v>
      </c>
      <c r="X674" s="73"/>
      <c r="Y674" s="73"/>
    </row>
    <row r="675" spans="1:25" ht="30" hidden="1" customHeight="1" x14ac:dyDescent="0.25">
      <c r="A675" s="80">
        <v>180208</v>
      </c>
      <c r="B675" s="663" t="s">
        <v>1060</v>
      </c>
      <c r="C675" s="79" t="s">
        <v>197</v>
      </c>
      <c r="D675" s="73">
        <v>10</v>
      </c>
      <c r="E675" s="147">
        <v>58000</v>
      </c>
      <c r="F675" s="147">
        <f t="shared" si="283"/>
        <v>638000</v>
      </c>
      <c r="G675" s="147">
        <f t="shared" si="284"/>
        <v>580000</v>
      </c>
      <c r="H675" s="689" t="s">
        <v>142</v>
      </c>
      <c r="I675" s="73" t="s">
        <v>140</v>
      </c>
      <c r="J675" s="60">
        <f>(G675-(VLOOKUP(C675,Price!B:D,3,FALSE)*D675))</f>
        <v>230000</v>
      </c>
      <c r="K675" s="427">
        <f>(J675/(F675/11*10))</f>
        <v>0.39655172413793105</v>
      </c>
      <c r="L675" s="874">
        <v>18.2</v>
      </c>
      <c r="M675" s="584"/>
      <c r="N675" s="663">
        <f>A675</f>
        <v>180208</v>
      </c>
      <c r="O675" s="73" t="s">
        <v>145</v>
      </c>
      <c r="P675" s="132" t="str">
        <f>C675</f>
        <v>THR200(20L)</v>
      </c>
      <c r="Q675" s="73">
        <f t="shared" si="279"/>
        <v>10</v>
      </c>
      <c r="R675" s="147">
        <v>35000</v>
      </c>
      <c r="S675" s="147">
        <f>R675*Q675*1.1</f>
        <v>385000.00000000006</v>
      </c>
      <c r="T675" s="147">
        <f>R675*Q675</f>
        <v>350000</v>
      </c>
      <c r="U675" s="73" t="str">
        <f t="shared" si="267"/>
        <v>O</v>
      </c>
      <c r="V675" s="73"/>
      <c r="W675" s="482">
        <f t="shared" si="268"/>
        <v>230000</v>
      </c>
      <c r="X675" s="73"/>
      <c r="Y675" s="73"/>
    </row>
    <row r="676" spans="1:25" s="602" customFormat="1" ht="30" hidden="1" customHeight="1" x14ac:dyDescent="0.25">
      <c r="A676" s="85">
        <v>180208</v>
      </c>
      <c r="B676" s="668" t="s">
        <v>1060</v>
      </c>
      <c r="C676" s="84" t="s">
        <v>951</v>
      </c>
      <c r="D676" s="84">
        <v>900</v>
      </c>
      <c r="E676" s="189">
        <v>3800</v>
      </c>
      <c r="F676" s="189">
        <f t="shared" si="283"/>
        <v>3762000.0000000005</v>
      </c>
      <c r="G676" s="189">
        <f t="shared" si="284"/>
        <v>3420000</v>
      </c>
      <c r="H676" s="691" t="s">
        <v>142</v>
      </c>
      <c r="I676" s="84" t="s">
        <v>140</v>
      </c>
      <c r="J676" s="61">
        <f>(G676-(VLOOKUP(C676,Price!B:D,3,FALSE)*D676))</f>
        <v>1080000</v>
      </c>
      <c r="K676" s="62">
        <f>(J676/(F676/11*10))</f>
        <v>0.31578947368421051</v>
      </c>
      <c r="L676" s="873">
        <v>18.2</v>
      </c>
      <c r="M676" s="601"/>
      <c r="N676" s="668">
        <f>A676</f>
        <v>180208</v>
      </c>
      <c r="O676" s="84" t="s">
        <v>145</v>
      </c>
      <c r="P676" s="133" t="str">
        <f>(C676)</f>
        <v>ENGAGE 30WEB(883*552)</v>
      </c>
      <c r="Q676" s="84">
        <f t="shared" si="279"/>
        <v>900</v>
      </c>
      <c r="R676" s="189">
        <v>2600</v>
      </c>
      <c r="S676" s="189">
        <f>(R676*D676)*1.1</f>
        <v>2574000</v>
      </c>
      <c r="T676" s="189">
        <f>(R676*Q676)</f>
        <v>2340000</v>
      </c>
      <c r="U676" s="84" t="str">
        <f t="shared" ref="U676:U707" si="285">IF(J676=W676,"O", "X")</f>
        <v>O</v>
      </c>
      <c r="V676" s="84"/>
      <c r="W676" s="481">
        <f t="shared" ref="W676:W707" si="286">(G676-T676)</f>
        <v>1080000</v>
      </c>
      <c r="X676" s="84"/>
      <c r="Y676" s="84"/>
    </row>
    <row r="677" spans="1:25" ht="30" hidden="1" customHeight="1" x14ac:dyDescent="0.25">
      <c r="A677" s="80">
        <v>180209</v>
      </c>
      <c r="B677" s="663" t="s">
        <v>640</v>
      </c>
      <c r="C677" s="73" t="s">
        <v>137</v>
      </c>
      <c r="D677" s="73">
        <v>5</v>
      </c>
      <c r="E677" s="147">
        <v>172000</v>
      </c>
      <c r="F677" s="147">
        <f t="shared" ref="F677:F703" si="287">(E677*D677)*1.1</f>
        <v>946000.00000000012</v>
      </c>
      <c r="G677" s="147">
        <f t="shared" ref="G677:G703" si="288">(E677*D677)</f>
        <v>860000</v>
      </c>
      <c r="H677" s="689" t="s">
        <v>173</v>
      </c>
      <c r="I677" s="73" t="s">
        <v>108</v>
      </c>
      <c r="J677" s="60">
        <f>(G677-(VLOOKUP(C677,Price!B:D,3,FALSE)*D677))</f>
        <v>285000</v>
      </c>
      <c r="K677" s="427">
        <f>(J677/(F677/11*10))</f>
        <v>0.33139534883720928</v>
      </c>
      <c r="L677" s="80">
        <v>18.2</v>
      </c>
      <c r="M677" s="584"/>
      <c r="N677" s="663">
        <f t="shared" ref="N677:N691" si="289">A677</f>
        <v>180209</v>
      </c>
      <c r="O677" s="73" t="s">
        <v>150</v>
      </c>
      <c r="P677" s="132" t="str">
        <f t="shared" si="280"/>
        <v>윤전용 세척제(Web 504)</v>
      </c>
      <c r="Q677" s="73">
        <f t="shared" si="279"/>
        <v>5</v>
      </c>
      <c r="R677" s="147">
        <v>115000</v>
      </c>
      <c r="S677" s="147">
        <f>R677*Q677*1.1</f>
        <v>632500</v>
      </c>
      <c r="T677" s="147">
        <f>R677*Q677</f>
        <v>575000</v>
      </c>
      <c r="U677" s="73" t="str">
        <f t="shared" si="285"/>
        <v>O</v>
      </c>
      <c r="V677" s="73"/>
      <c r="W677" s="515">
        <f t="shared" si="286"/>
        <v>285000</v>
      </c>
      <c r="X677" s="73"/>
      <c r="Y677" s="73"/>
    </row>
    <row r="678" spans="1:25" s="209" customFormat="1" ht="30" hidden="1" customHeight="1" x14ac:dyDescent="0.2">
      <c r="A678" s="429">
        <v>180209</v>
      </c>
      <c r="B678" s="664" t="s">
        <v>445</v>
      </c>
      <c r="C678" s="71" t="s">
        <v>107</v>
      </c>
      <c r="D678" s="71">
        <v>5</v>
      </c>
      <c r="E678" s="102">
        <v>108000</v>
      </c>
      <c r="F678" s="163">
        <f t="shared" si="287"/>
        <v>594000</v>
      </c>
      <c r="G678" s="163">
        <f t="shared" si="288"/>
        <v>540000</v>
      </c>
      <c r="H678" s="165" t="s">
        <v>172</v>
      </c>
      <c r="I678" s="71" t="s">
        <v>109</v>
      </c>
      <c r="J678" s="53">
        <f>(G678-(VLOOKUP(C678,Price!B:D,3,FALSE)*D678))</f>
        <v>137500</v>
      </c>
      <c r="K678" s="63">
        <f>(J678/(F678/11*10))</f>
        <v>0.25462962962962965</v>
      </c>
      <c r="L678" s="82">
        <v>18.2</v>
      </c>
      <c r="M678" s="468"/>
      <c r="N678" s="664">
        <f t="shared" si="289"/>
        <v>180209</v>
      </c>
      <c r="O678" s="71" t="s">
        <v>147</v>
      </c>
      <c r="P678" s="103" t="str">
        <f>(C678)</f>
        <v>Blanket(1050*840)</v>
      </c>
      <c r="Q678" s="71">
        <f t="shared" ref="Q678:Q691" si="290">D678</f>
        <v>5</v>
      </c>
      <c r="R678" s="102">
        <v>80500</v>
      </c>
      <c r="S678" s="102">
        <f>(R678*D678)*1.1</f>
        <v>442750.00000000006</v>
      </c>
      <c r="T678" s="102">
        <f>(R678*Q678)</f>
        <v>402500</v>
      </c>
      <c r="U678" s="71" t="str">
        <f t="shared" si="285"/>
        <v>O</v>
      </c>
      <c r="V678" s="71" t="s">
        <v>687</v>
      </c>
      <c r="W678" s="515">
        <f t="shared" si="286"/>
        <v>137500</v>
      </c>
      <c r="X678" s="71"/>
      <c r="Y678" s="71"/>
    </row>
    <row r="679" spans="1:25" ht="30" hidden="1" customHeight="1" x14ac:dyDescent="0.2">
      <c r="A679" s="82">
        <v>180209</v>
      </c>
      <c r="B679" s="664" t="s">
        <v>445</v>
      </c>
      <c r="C679" s="71" t="s">
        <v>231</v>
      </c>
      <c r="D679" s="71">
        <v>10</v>
      </c>
      <c r="E679" s="102">
        <v>120000</v>
      </c>
      <c r="F679" s="163">
        <f t="shared" si="287"/>
        <v>1320000</v>
      </c>
      <c r="G679" s="163">
        <f t="shared" si="288"/>
        <v>1200000</v>
      </c>
      <c r="H679" s="165" t="s">
        <v>172</v>
      </c>
      <c r="I679" s="71" t="s">
        <v>109</v>
      </c>
      <c r="J679" s="53">
        <f>(G679-(VLOOKUP(C679,Price!B:D,3,FALSE)*D679))</f>
        <v>80000</v>
      </c>
      <c r="K679" s="63">
        <f>(J679/(F679/11*10))</f>
        <v>6.6666666666666666E-2</v>
      </c>
      <c r="L679" s="82">
        <v>18.2</v>
      </c>
      <c r="M679" s="468"/>
      <c r="N679" s="664">
        <f t="shared" si="289"/>
        <v>180209</v>
      </c>
      <c r="O679" s="71" t="s">
        <v>151</v>
      </c>
      <c r="P679" s="103" t="str">
        <f t="shared" ref="P679:P693" si="291">C679</f>
        <v>Blanket(990*725)</v>
      </c>
      <c r="Q679" s="71">
        <f t="shared" si="290"/>
        <v>10</v>
      </c>
      <c r="R679" s="102">
        <v>112000</v>
      </c>
      <c r="S679" s="102">
        <f>R679*Q679*1.1</f>
        <v>1232000</v>
      </c>
      <c r="T679" s="102">
        <f>R679*Q679</f>
        <v>1120000</v>
      </c>
      <c r="U679" s="71" t="str">
        <f t="shared" si="285"/>
        <v>O</v>
      </c>
      <c r="V679" s="71"/>
      <c r="W679" s="515">
        <f t="shared" si="286"/>
        <v>80000</v>
      </c>
      <c r="X679" s="71"/>
      <c r="Y679" s="71"/>
    </row>
    <row r="680" spans="1:25" ht="30" hidden="1" customHeight="1" x14ac:dyDescent="0.25">
      <c r="A680" s="82">
        <v>180209</v>
      </c>
      <c r="B680" s="664" t="s">
        <v>445</v>
      </c>
      <c r="C680" s="71" t="s">
        <v>934</v>
      </c>
      <c r="D680" s="71">
        <v>20</v>
      </c>
      <c r="E680" s="102">
        <v>4500</v>
      </c>
      <c r="F680" s="102">
        <f t="shared" si="287"/>
        <v>99000.000000000015</v>
      </c>
      <c r="G680" s="102">
        <f t="shared" si="288"/>
        <v>90000</v>
      </c>
      <c r="H680" s="779" t="s">
        <v>113</v>
      </c>
      <c r="I680" s="71"/>
      <c r="J680" s="53">
        <f>G680-T680</f>
        <v>60054.931862440593</v>
      </c>
      <c r="K680" s="63">
        <f t="shared" ref="K680:K689" si="292">(J680/(F680/11*10))</f>
        <v>0.66727702069378425</v>
      </c>
      <c r="L680" s="82">
        <v>18.2</v>
      </c>
      <c r="M680" s="468"/>
      <c r="N680" s="664">
        <f t="shared" si="289"/>
        <v>180209</v>
      </c>
      <c r="O680" s="808" t="s">
        <v>113</v>
      </c>
      <c r="P680" s="103" t="str">
        <f t="shared" si="291"/>
        <v>양면 테이프</v>
      </c>
      <c r="Q680" s="71">
        <f t="shared" si="290"/>
        <v>20</v>
      </c>
      <c r="R680" s="102">
        <f>Import!G4</f>
        <v>1497.2534068779703</v>
      </c>
      <c r="S680" s="102">
        <f>R680*Q680*1.1</f>
        <v>32939.57495131535</v>
      </c>
      <c r="T680" s="102">
        <f>R680*Q680</f>
        <v>29945.068137559407</v>
      </c>
      <c r="U680" s="71" t="str">
        <f t="shared" si="285"/>
        <v>O</v>
      </c>
      <c r="V680" s="71"/>
      <c r="W680" s="482">
        <f t="shared" si="286"/>
        <v>60054.931862440593</v>
      </c>
      <c r="X680" s="71"/>
      <c r="Y680" s="71"/>
    </row>
    <row r="681" spans="1:25" ht="30" hidden="1" customHeight="1" x14ac:dyDescent="0.25">
      <c r="A681" s="82">
        <v>180209</v>
      </c>
      <c r="B681" s="664" t="s">
        <v>445</v>
      </c>
      <c r="C681" s="71" t="s">
        <v>1062</v>
      </c>
      <c r="D681" s="71">
        <v>20</v>
      </c>
      <c r="E681" s="102">
        <v>14500</v>
      </c>
      <c r="F681" s="102">
        <f t="shared" si="287"/>
        <v>319000</v>
      </c>
      <c r="G681" s="102">
        <f t="shared" si="288"/>
        <v>290000</v>
      </c>
      <c r="H681" s="779" t="s">
        <v>113</v>
      </c>
      <c r="I681" s="71"/>
      <c r="J681" s="53">
        <f>G681-T681</f>
        <v>128634.48012000954</v>
      </c>
      <c r="K681" s="63">
        <f t="shared" si="292"/>
        <v>0.44356717282761909</v>
      </c>
      <c r="L681" s="82">
        <v>18.2</v>
      </c>
      <c r="M681" s="468"/>
      <c r="N681" s="664">
        <f t="shared" si="289"/>
        <v>180209</v>
      </c>
      <c r="O681" s="808" t="s">
        <v>113</v>
      </c>
      <c r="P681" s="103" t="str">
        <f t="shared" si="291"/>
        <v>워시-업 블레이드</v>
      </c>
      <c r="Q681" s="71">
        <f t="shared" si="290"/>
        <v>20</v>
      </c>
      <c r="R681" s="102">
        <f>Import!G67</f>
        <v>8068.2759939995231</v>
      </c>
      <c r="S681" s="102">
        <f>R681*Q681*1.1</f>
        <v>177502.07186798952</v>
      </c>
      <c r="T681" s="102">
        <f>R681*Q681</f>
        <v>161365.51987999046</v>
      </c>
      <c r="U681" s="71" t="str">
        <f t="shared" si="285"/>
        <v>O</v>
      </c>
      <c r="V681" s="71"/>
      <c r="W681" s="482">
        <f t="shared" si="286"/>
        <v>128634.48012000954</v>
      </c>
      <c r="X681" s="71"/>
      <c r="Y681" s="71"/>
    </row>
    <row r="682" spans="1:25" ht="30" hidden="1" customHeight="1" x14ac:dyDescent="0.25">
      <c r="A682" s="82">
        <v>180209</v>
      </c>
      <c r="B682" s="664" t="s">
        <v>445</v>
      </c>
      <c r="C682" s="71" t="s">
        <v>1063</v>
      </c>
      <c r="D682" s="71">
        <v>1</v>
      </c>
      <c r="E682" s="102">
        <v>480000</v>
      </c>
      <c r="F682" s="102">
        <f t="shared" si="287"/>
        <v>528000</v>
      </c>
      <c r="G682" s="102">
        <f t="shared" si="288"/>
        <v>480000</v>
      </c>
      <c r="H682" s="779" t="s">
        <v>113</v>
      </c>
      <c r="I682" s="71"/>
      <c r="J682" s="53">
        <f>G682-T682</f>
        <v>253789.32480177152</v>
      </c>
      <c r="K682" s="63">
        <f t="shared" si="292"/>
        <v>0.52872776000369071</v>
      </c>
      <c r="L682" s="82">
        <v>18.2</v>
      </c>
      <c r="M682" s="468"/>
      <c r="N682" s="664">
        <f t="shared" si="289"/>
        <v>180209</v>
      </c>
      <c r="O682" s="808" t="s">
        <v>113</v>
      </c>
      <c r="P682" s="103" t="str">
        <f t="shared" si="291"/>
        <v>에어 실린더(X73208)</v>
      </c>
      <c r="Q682" s="71">
        <f t="shared" si="290"/>
        <v>1</v>
      </c>
      <c r="R682" s="918">
        <f>Import!G68*2</f>
        <v>226210.67519822848</v>
      </c>
      <c r="S682" s="102">
        <f>R682*Q682*1.1</f>
        <v>248831.74271805133</v>
      </c>
      <c r="T682" s="102">
        <f>R682*Q682</f>
        <v>226210.67519822848</v>
      </c>
      <c r="U682" s="71" t="str">
        <f t="shared" si="285"/>
        <v>O</v>
      </c>
      <c r="V682" s="71"/>
      <c r="W682" s="482">
        <f t="shared" si="286"/>
        <v>253789.32480177152</v>
      </c>
      <c r="X682" s="71"/>
      <c r="Y682" s="71"/>
    </row>
    <row r="683" spans="1:25" ht="30" hidden="1" customHeight="1" x14ac:dyDescent="0.25">
      <c r="A683" s="82">
        <v>180209</v>
      </c>
      <c r="B683" s="664" t="s">
        <v>445</v>
      </c>
      <c r="C683" s="71" t="s">
        <v>1064</v>
      </c>
      <c r="D683" s="71">
        <v>1</v>
      </c>
      <c r="E683" s="102">
        <v>720000</v>
      </c>
      <c r="F683" s="102">
        <f t="shared" si="287"/>
        <v>792000.00000000012</v>
      </c>
      <c r="G683" s="102">
        <f t="shared" si="288"/>
        <v>720000</v>
      </c>
      <c r="H683" s="779" t="s">
        <v>113</v>
      </c>
      <c r="I683" s="71"/>
      <c r="J683" s="53">
        <f>G683-T683</f>
        <v>170000</v>
      </c>
      <c r="K683" s="63">
        <f t="shared" si="292"/>
        <v>0.23611111111111108</v>
      </c>
      <c r="L683" s="82">
        <v>18.2</v>
      </c>
      <c r="M683" s="468"/>
      <c r="N683" s="664">
        <f t="shared" si="289"/>
        <v>180209</v>
      </c>
      <c r="O683" s="808" t="s">
        <v>113</v>
      </c>
      <c r="P683" s="103" t="str">
        <f t="shared" si="291"/>
        <v>에어 실린더(00.580.2489)</v>
      </c>
      <c r="Q683" s="71">
        <f t="shared" si="290"/>
        <v>1</v>
      </c>
      <c r="R683" s="102">
        <v>550000</v>
      </c>
      <c r="S683" s="102">
        <f>R683*Q683*1.1</f>
        <v>605000</v>
      </c>
      <c r="T683" s="102">
        <f>R683*Q683</f>
        <v>550000</v>
      </c>
      <c r="U683" s="71" t="str">
        <f t="shared" si="285"/>
        <v>O</v>
      </c>
      <c r="V683" s="71"/>
      <c r="W683" s="482">
        <f t="shared" si="286"/>
        <v>170000</v>
      </c>
      <c r="X683" s="71"/>
      <c r="Y683" s="71"/>
    </row>
    <row r="684" spans="1:25" ht="30" hidden="1" customHeight="1" x14ac:dyDescent="0.2">
      <c r="A684" s="82">
        <v>180209</v>
      </c>
      <c r="B684" s="664" t="s">
        <v>763</v>
      </c>
      <c r="C684" s="71" t="s">
        <v>803</v>
      </c>
      <c r="D684" s="71">
        <v>1</v>
      </c>
      <c r="E684" s="102">
        <v>550000</v>
      </c>
      <c r="F684" s="163">
        <f t="shared" si="287"/>
        <v>605000</v>
      </c>
      <c r="G684" s="163">
        <f t="shared" si="288"/>
        <v>550000</v>
      </c>
      <c r="H684" s="165" t="s">
        <v>985</v>
      </c>
      <c r="I684" s="71"/>
      <c r="J684" s="53"/>
      <c r="K684" s="63"/>
      <c r="L684" s="82">
        <v>18.2</v>
      </c>
      <c r="M684" s="468"/>
      <c r="N684" s="664">
        <f t="shared" si="289"/>
        <v>180209</v>
      </c>
      <c r="O684" s="71"/>
      <c r="P684" s="103" t="str">
        <f t="shared" si="291"/>
        <v>M-600 서비스</v>
      </c>
      <c r="Q684" s="71">
        <f t="shared" si="290"/>
        <v>1</v>
      </c>
      <c r="R684" s="102"/>
      <c r="S684" s="102"/>
      <c r="T684" s="102"/>
      <c r="U684" s="71" t="str">
        <f t="shared" si="285"/>
        <v>X</v>
      </c>
      <c r="V684" s="71"/>
      <c r="W684" s="482">
        <f t="shared" si="286"/>
        <v>550000</v>
      </c>
      <c r="X684" s="71"/>
      <c r="Y684" s="71"/>
    </row>
    <row r="685" spans="1:25" ht="30" hidden="1" customHeight="1" x14ac:dyDescent="0.2">
      <c r="A685" s="82">
        <v>180209</v>
      </c>
      <c r="B685" s="664" t="s">
        <v>763</v>
      </c>
      <c r="C685" s="71" t="s">
        <v>883</v>
      </c>
      <c r="D685" s="71">
        <v>20</v>
      </c>
      <c r="E685" s="102">
        <v>25000</v>
      </c>
      <c r="F685" s="163">
        <f t="shared" si="287"/>
        <v>550000</v>
      </c>
      <c r="G685" s="163">
        <f t="shared" si="288"/>
        <v>500000</v>
      </c>
      <c r="H685" s="941" t="s">
        <v>113</v>
      </c>
      <c r="I685" s="71"/>
      <c r="J685" s="53">
        <f>G685-T685</f>
        <v>385284.3886449862</v>
      </c>
      <c r="K685" s="63">
        <f t="shared" si="292"/>
        <v>0.77056877728997242</v>
      </c>
      <c r="L685" s="82">
        <v>18.2</v>
      </c>
      <c r="M685" s="468"/>
      <c r="N685" s="664">
        <f t="shared" si="289"/>
        <v>180209</v>
      </c>
      <c r="O685" s="808" t="s">
        <v>113</v>
      </c>
      <c r="P685" s="103" t="str">
        <f t="shared" si="291"/>
        <v>벨트</v>
      </c>
      <c r="Q685" s="71">
        <f t="shared" si="290"/>
        <v>20</v>
      </c>
      <c r="R685" s="102">
        <f>Import!G71</f>
        <v>5735.7805677506885</v>
      </c>
      <c r="S685" s="102">
        <f t="shared" ref="S685:S698" si="293">R685*Q685*1.1</f>
        <v>126187.17249051515</v>
      </c>
      <c r="T685" s="102">
        <f t="shared" ref="T685:T696" si="294">R685*Q685</f>
        <v>114715.61135501377</v>
      </c>
      <c r="U685" s="71" t="str">
        <f t="shared" si="285"/>
        <v>O</v>
      </c>
      <c r="V685" s="71"/>
      <c r="W685" s="482">
        <f t="shared" si="286"/>
        <v>385284.3886449862</v>
      </c>
      <c r="X685" s="71"/>
      <c r="Y685" s="71"/>
    </row>
    <row r="686" spans="1:25" ht="30" hidden="1" customHeight="1" x14ac:dyDescent="0.2">
      <c r="A686" s="82">
        <v>180209</v>
      </c>
      <c r="B686" s="664" t="s">
        <v>763</v>
      </c>
      <c r="C686" s="71" t="s">
        <v>1020</v>
      </c>
      <c r="D686" s="71">
        <v>1</v>
      </c>
      <c r="E686" s="102">
        <v>1150000</v>
      </c>
      <c r="F686" s="163">
        <f t="shared" si="287"/>
        <v>1265000</v>
      </c>
      <c r="G686" s="163">
        <f t="shared" si="288"/>
        <v>1150000</v>
      </c>
      <c r="H686" s="941" t="s">
        <v>113</v>
      </c>
      <c r="I686" s="71"/>
      <c r="J686" s="53">
        <f>G686-T686</f>
        <v>519265.50913229934</v>
      </c>
      <c r="K686" s="63">
        <f t="shared" si="292"/>
        <v>0.45153522533243423</v>
      </c>
      <c r="L686" s="82">
        <v>18.2</v>
      </c>
      <c r="M686" s="468"/>
      <c r="N686" s="664">
        <v>180209</v>
      </c>
      <c r="O686" s="808" t="s">
        <v>113</v>
      </c>
      <c r="P686" s="103" t="str">
        <f t="shared" si="291"/>
        <v>온도 센서(WH.942725)</v>
      </c>
      <c r="Q686" s="71">
        <f t="shared" si="290"/>
        <v>1</v>
      </c>
      <c r="R686" s="102">
        <f>Import!G72</f>
        <v>630734.49086770066</v>
      </c>
      <c r="S686" s="102">
        <f t="shared" si="293"/>
        <v>693807.93995447073</v>
      </c>
      <c r="T686" s="102">
        <f t="shared" si="294"/>
        <v>630734.49086770066</v>
      </c>
      <c r="U686" s="71" t="str">
        <f t="shared" si="285"/>
        <v>O</v>
      </c>
      <c r="V686" s="71"/>
      <c r="W686" s="482">
        <f t="shared" si="286"/>
        <v>519265.50913229934</v>
      </c>
      <c r="X686" s="71"/>
      <c r="Y686" s="71"/>
    </row>
    <row r="687" spans="1:25" ht="30" hidden="1" customHeight="1" x14ac:dyDescent="0.2">
      <c r="A687" s="82">
        <v>180209</v>
      </c>
      <c r="B687" s="664" t="s">
        <v>763</v>
      </c>
      <c r="C687" s="71" t="s">
        <v>1021</v>
      </c>
      <c r="D687" s="71">
        <v>1</v>
      </c>
      <c r="E687" s="102">
        <v>650000</v>
      </c>
      <c r="F687" s="163">
        <f t="shared" si="287"/>
        <v>715000</v>
      </c>
      <c r="G687" s="163">
        <f t="shared" si="288"/>
        <v>650000</v>
      </c>
      <c r="H687" s="941" t="s">
        <v>113</v>
      </c>
      <c r="I687" s="71"/>
      <c r="J687" s="53">
        <f>G687-T687</f>
        <v>307239.84260175412</v>
      </c>
      <c r="K687" s="63">
        <f t="shared" si="292"/>
        <v>0.47267668092577558</v>
      </c>
      <c r="L687" s="82">
        <v>18.2</v>
      </c>
      <c r="M687" s="468"/>
      <c r="N687" s="664">
        <v>180209</v>
      </c>
      <c r="O687" s="808" t="s">
        <v>113</v>
      </c>
      <c r="P687" s="103" t="str">
        <f t="shared" si="291"/>
        <v>온도 센서(WH.916671)</v>
      </c>
      <c r="Q687" s="71">
        <f t="shared" si="290"/>
        <v>1</v>
      </c>
      <c r="R687" s="102">
        <f>Import!G73</f>
        <v>342760.15739824588</v>
      </c>
      <c r="S687" s="102">
        <f t="shared" si="293"/>
        <v>377036.1731380705</v>
      </c>
      <c r="T687" s="102">
        <f t="shared" si="294"/>
        <v>342760.15739824588</v>
      </c>
      <c r="U687" s="71" t="str">
        <f t="shared" si="285"/>
        <v>O</v>
      </c>
      <c r="V687" s="71"/>
      <c r="W687" s="482">
        <f t="shared" si="286"/>
        <v>307239.84260175412</v>
      </c>
      <c r="X687" s="71"/>
      <c r="Y687" s="71"/>
    </row>
    <row r="688" spans="1:25" ht="30" hidden="1" customHeight="1" x14ac:dyDescent="0.2">
      <c r="A688" s="82">
        <v>180209</v>
      </c>
      <c r="B688" s="664" t="s">
        <v>763</v>
      </c>
      <c r="C688" s="71" t="s">
        <v>960</v>
      </c>
      <c r="D688" s="71">
        <v>4</v>
      </c>
      <c r="E688" s="102">
        <v>240000</v>
      </c>
      <c r="F688" s="163">
        <f t="shared" si="287"/>
        <v>1056000</v>
      </c>
      <c r="G688" s="163">
        <f t="shared" si="288"/>
        <v>960000</v>
      </c>
      <c r="H688" s="941" t="s">
        <v>113</v>
      </c>
      <c r="I688" s="71"/>
      <c r="J688" s="53">
        <f>G688-T688</f>
        <v>436947.70154895697</v>
      </c>
      <c r="K688" s="63">
        <f t="shared" si="292"/>
        <v>0.45515385578016354</v>
      </c>
      <c r="L688" s="82">
        <v>18.2</v>
      </c>
      <c r="M688" s="468"/>
      <c r="N688" s="664">
        <v>180209</v>
      </c>
      <c r="O688" s="808" t="s">
        <v>113</v>
      </c>
      <c r="P688" s="103" t="str">
        <f t="shared" si="291"/>
        <v>파이프</v>
      </c>
      <c r="Q688" s="71">
        <f t="shared" si="290"/>
        <v>4</v>
      </c>
      <c r="R688" s="102">
        <f>Import!G66</f>
        <v>130763.07461276076</v>
      </c>
      <c r="S688" s="102">
        <f t="shared" si="293"/>
        <v>575357.52829614736</v>
      </c>
      <c r="T688" s="102">
        <f t="shared" si="294"/>
        <v>523052.29845104303</v>
      </c>
      <c r="U688" s="71" t="str">
        <f t="shared" si="285"/>
        <v>O</v>
      </c>
      <c r="V688" s="71"/>
      <c r="W688" s="482">
        <f t="shared" si="286"/>
        <v>436947.70154895697</v>
      </c>
      <c r="X688" s="71"/>
      <c r="Y688" s="71"/>
    </row>
    <row r="689" spans="1:25" ht="30" hidden="1" customHeight="1" x14ac:dyDescent="0.25">
      <c r="A689" s="82">
        <v>180209</v>
      </c>
      <c r="B689" s="664" t="s">
        <v>442</v>
      </c>
      <c r="C689" s="71" t="s">
        <v>133</v>
      </c>
      <c r="D689" s="71">
        <v>2</v>
      </c>
      <c r="E689" s="102">
        <v>327000</v>
      </c>
      <c r="F689" s="102">
        <f t="shared" si="287"/>
        <v>719400</v>
      </c>
      <c r="G689" s="102">
        <f t="shared" si="288"/>
        <v>654000</v>
      </c>
      <c r="H689" s="690" t="s">
        <v>173</v>
      </c>
      <c r="I689" s="71" t="s">
        <v>141</v>
      </c>
      <c r="J689" s="53">
        <f>(G689-(VLOOKUP(C689,Price!B:D,3,FALSE)*D689))</f>
        <v>115800</v>
      </c>
      <c r="K689" s="63">
        <f t="shared" si="292"/>
        <v>0.17706422018348625</v>
      </c>
      <c r="L689" s="871">
        <v>18.2</v>
      </c>
      <c r="M689" s="468" t="s">
        <v>1145</v>
      </c>
      <c r="N689" s="664">
        <f t="shared" si="289"/>
        <v>180209</v>
      </c>
      <c r="O689" s="71" t="s">
        <v>145</v>
      </c>
      <c r="P689" s="103" t="str">
        <f t="shared" si="291"/>
        <v>Agfa Film(24inch)</v>
      </c>
      <c r="Q689" s="71">
        <v>1</v>
      </c>
      <c r="R689" s="102">
        <f>VLOOKUP(P689,Price!B:D,3,FALSE)</f>
        <v>269100</v>
      </c>
      <c r="S689" s="102">
        <f t="shared" si="293"/>
        <v>296010</v>
      </c>
      <c r="T689" s="102">
        <f t="shared" si="294"/>
        <v>269100</v>
      </c>
      <c r="U689" s="71" t="str">
        <f t="shared" si="285"/>
        <v>X</v>
      </c>
      <c r="V689" s="71"/>
      <c r="W689" s="482">
        <f t="shared" si="286"/>
        <v>384900</v>
      </c>
      <c r="X689" s="71"/>
      <c r="Y689" s="71"/>
    </row>
    <row r="690" spans="1:25" ht="30" hidden="1" customHeight="1" x14ac:dyDescent="0.25">
      <c r="A690" s="82">
        <v>180209</v>
      </c>
      <c r="B690" s="664" t="s">
        <v>442</v>
      </c>
      <c r="C690" s="71" t="s">
        <v>134</v>
      </c>
      <c r="D690" s="71">
        <v>1</v>
      </c>
      <c r="E690" s="102">
        <v>401000</v>
      </c>
      <c r="F690" s="102">
        <f t="shared" si="287"/>
        <v>441100.00000000006</v>
      </c>
      <c r="G690" s="102">
        <f t="shared" si="288"/>
        <v>401000</v>
      </c>
      <c r="H690" s="690" t="s">
        <v>173</v>
      </c>
      <c r="I690" s="71" t="s">
        <v>141</v>
      </c>
      <c r="J690" s="53">
        <f>(G690-(VLOOKUP(C690,Price!B:D,3,FALSE)*D690))</f>
        <v>87040</v>
      </c>
      <c r="K690" s="63">
        <f t="shared" ref="K690:K698" si="295">(J690/(F690/11*10))</f>
        <v>0.21705735660847877</v>
      </c>
      <c r="L690" s="871">
        <v>18.2</v>
      </c>
      <c r="M690" s="468"/>
      <c r="N690" s="664">
        <f t="shared" si="289"/>
        <v>180209</v>
      </c>
      <c r="O690" s="71" t="s">
        <v>145</v>
      </c>
      <c r="P690" s="103" t="str">
        <f t="shared" si="291"/>
        <v>Agfa Film(28inch)</v>
      </c>
      <c r="Q690" s="71">
        <f t="shared" si="290"/>
        <v>1</v>
      </c>
      <c r="R690" s="102">
        <f>VLOOKUP(P690,Price!B:D,3,FALSE)</f>
        <v>313960</v>
      </c>
      <c r="S690" s="102">
        <f t="shared" si="293"/>
        <v>345356</v>
      </c>
      <c r="T690" s="102">
        <f t="shared" si="294"/>
        <v>313960</v>
      </c>
      <c r="U690" s="71" t="str">
        <f t="shared" si="285"/>
        <v>O</v>
      </c>
      <c r="V690" s="71"/>
      <c r="W690" s="482">
        <f t="shared" si="286"/>
        <v>87040</v>
      </c>
      <c r="X690" s="71"/>
      <c r="Y690" s="71"/>
    </row>
    <row r="691" spans="1:25" ht="30" hidden="1" customHeight="1" x14ac:dyDescent="0.25">
      <c r="A691" s="82">
        <v>180209</v>
      </c>
      <c r="B691" s="664" t="s">
        <v>442</v>
      </c>
      <c r="C691" s="71" t="s">
        <v>135</v>
      </c>
      <c r="D691" s="71">
        <v>2</v>
      </c>
      <c r="E691" s="102">
        <v>448000</v>
      </c>
      <c r="F691" s="102">
        <f t="shared" si="287"/>
        <v>985600.00000000012</v>
      </c>
      <c r="G691" s="102">
        <f t="shared" si="288"/>
        <v>896000</v>
      </c>
      <c r="H691" s="690" t="s">
        <v>173</v>
      </c>
      <c r="I691" s="71" t="s">
        <v>141</v>
      </c>
      <c r="J691" s="53">
        <f>(G691-(VLOOKUP(C691,Price!B:D,3,FALSE)*D691))</f>
        <v>155980</v>
      </c>
      <c r="K691" s="63">
        <f t="shared" si="295"/>
        <v>0.1740848214285714</v>
      </c>
      <c r="L691" s="871">
        <v>18.2</v>
      </c>
      <c r="M691" s="468"/>
      <c r="N691" s="664">
        <f t="shared" si="289"/>
        <v>180209</v>
      </c>
      <c r="O691" s="71" t="s">
        <v>145</v>
      </c>
      <c r="P691" s="103" t="str">
        <f t="shared" si="291"/>
        <v>Agfa Film(32inch)</v>
      </c>
      <c r="Q691" s="71">
        <f t="shared" si="290"/>
        <v>2</v>
      </c>
      <c r="R691" s="102">
        <f>VLOOKUP(P691,Price!B:D,3,FALSE)</f>
        <v>370010</v>
      </c>
      <c r="S691" s="102">
        <f t="shared" si="293"/>
        <v>814022.00000000012</v>
      </c>
      <c r="T691" s="102">
        <f t="shared" si="294"/>
        <v>740020</v>
      </c>
      <c r="U691" s="71" t="str">
        <f t="shared" si="285"/>
        <v>O</v>
      </c>
      <c r="V691" s="71"/>
      <c r="W691" s="482">
        <f t="shared" si="286"/>
        <v>155980</v>
      </c>
      <c r="X691" s="71"/>
      <c r="Y691" s="71"/>
    </row>
    <row r="692" spans="1:25" ht="30" hidden="1" customHeight="1" x14ac:dyDescent="0.25">
      <c r="A692" s="82">
        <v>180209</v>
      </c>
      <c r="B692" s="664" t="s">
        <v>550</v>
      </c>
      <c r="C692" s="71" t="s">
        <v>2012</v>
      </c>
      <c r="D692" s="71">
        <v>2</v>
      </c>
      <c r="E692" s="102">
        <v>850000</v>
      </c>
      <c r="F692" s="102">
        <f t="shared" si="287"/>
        <v>1870000.0000000002</v>
      </c>
      <c r="G692" s="102">
        <f t="shared" si="288"/>
        <v>1700000</v>
      </c>
      <c r="H692" s="1010" t="s">
        <v>39</v>
      </c>
      <c r="I692" s="71"/>
      <c r="J692" s="53">
        <f>G692-T692</f>
        <v>769539.63448435429</v>
      </c>
      <c r="K692" s="63">
        <f t="shared" si="295"/>
        <v>0.45267037322609072</v>
      </c>
      <c r="L692" s="871">
        <v>18.2</v>
      </c>
      <c r="M692" s="468"/>
      <c r="N692" s="664">
        <f>A692</f>
        <v>180209</v>
      </c>
      <c r="O692" s="991" t="s">
        <v>39</v>
      </c>
      <c r="P692" s="103" t="str">
        <f t="shared" si="291"/>
        <v>beta.f 필터 set</v>
      </c>
      <c r="Q692" s="71">
        <f>D692</f>
        <v>2</v>
      </c>
      <c r="R692" s="102">
        <f>Import!G621</f>
        <v>465230.18275782285</v>
      </c>
      <c r="S692" s="102">
        <f t="shared" si="293"/>
        <v>1023506.4020672104</v>
      </c>
      <c r="T692" s="102">
        <f t="shared" si="294"/>
        <v>930460.36551564571</v>
      </c>
      <c r="U692" s="71" t="str">
        <f t="shared" si="285"/>
        <v>O</v>
      </c>
      <c r="V692" s="71"/>
      <c r="W692" s="482">
        <f t="shared" si="286"/>
        <v>769539.63448435429</v>
      </c>
      <c r="X692" s="71"/>
      <c r="Y692" s="71"/>
    </row>
    <row r="693" spans="1:25" s="602" customFormat="1" ht="30" hidden="1" customHeight="1" x14ac:dyDescent="0.25">
      <c r="A693" s="85">
        <v>180209</v>
      </c>
      <c r="B693" s="668" t="s">
        <v>550</v>
      </c>
      <c r="C693" s="84" t="s">
        <v>123</v>
      </c>
      <c r="D693" s="84">
        <v>10</v>
      </c>
      <c r="E693" s="189">
        <v>30000</v>
      </c>
      <c r="F693" s="189">
        <f t="shared" si="287"/>
        <v>330000</v>
      </c>
      <c r="G693" s="189">
        <f t="shared" si="288"/>
        <v>300000</v>
      </c>
      <c r="H693" s="1006" t="s">
        <v>39</v>
      </c>
      <c r="I693" s="84"/>
      <c r="J693" s="61">
        <f>G693-T693</f>
        <v>75390</v>
      </c>
      <c r="K693" s="62">
        <f t="shared" si="295"/>
        <v>0.25130000000000002</v>
      </c>
      <c r="L693" s="873">
        <v>18.2</v>
      </c>
      <c r="M693" s="601"/>
      <c r="N693" s="668">
        <f>A693</f>
        <v>180209</v>
      </c>
      <c r="O693" s="1007" t="s">
        <v>39</v>
      </c>
      <c r="P693" s="133" t="str">
        <f t="shared" si="291"/>
        <v>필터백</v>
      </c>
      <c r="Q693" s="84">
        <f>D693</f>
        <v>10</v>
      </c>
      <c r="R693" s="189">
        <f>VLOOKUP(P693,Price!B:D,3,FALSE)</f>
        <v>22461</v>
      </c>
      <c r="S693" s="189">
        <f t="shared" si="293"/>
        <v>247071.00000000003</v>
      </c>
      <c r="T693" s="189">
        <f t="shared" si="294"/>
        <v>224610</v>
      </c>
      <c r="U693" s="84" t="str">
        <f t="shared" si="285"/>
        <v>O</v>
      </c>
      <c r="V693" s="84"/>
      <c r="W693" s="481">
        <f t="shared" si="286"/>
        <v>75390</v>
      </c>
      <c r="X693" s="84"/>
      <c r="Y693" s="84"/>
    </row>
    <row r="694" spans="1:25" ht="30" hidden="1" customHeight="1" x14ac:dyDescent="0.25">
      <c r="A694" s="80">
        <v>180212</v>
      </c>
      <c r="B694" s="663" t="s">
        <v>764</v>
      </c>
      <c r="C694" s="73" t="s">
        <v>236</v>
      </c>
      <c r="D694" s="73">
        <v>5</v>
      </c>
      <c r="E694" s="147">
        <v>100000</v>
      </c>
      <c r="F694" s="147">
        <f t="shared" si="287"/>
        <v>550000</v>
      </c>
      <c r="G694" s="147">
        <f t="shared" si="288"/>
        <v>500000</v>
      </c>
      <c r="H694" s="689" t="s">
        <v>173</v>
      </c>
      <c r="I694" s="73" t="s">
        <v>142</v>
      </c>
      <c r="J694" s="60">
        <f>(G694-(VLOOKUP(C694,Price!B:D,3,FALSE)*D694))</f>
        <v>250000</v>
      </c>
      <c r="K694" s="427">
        <f t="shared" si="295"/>
        <v>0.5</v>
      </c>
      <c r="L694" s="874">
        <v>18.2</v>
      </c>
      <c r="M694" s="584"/>
      <c r="N694" s="663">
        <f t="shared" ref="N694:N704" si="296">A694</f>
        <v>180212</v>
      </c>
      <c r="O694" s="73" t="s">
        <v>153</v>
      </c>
      <c r="P694" s="132" t="str">
        <f t="shared" ref="P694:Q704" si="297">C694</f>
        <v>아스테이지(국전)</v>
      </c>
      <c r="Q694" s="73">
        <f t="shared" si="297"/>
        <v>5</v>
      </c>
      <c r="R694" s="147">
        <f>VLOOKUP(P694,Price!B:D,3,FALSE)</f>
        <v>50000</v>
      </c>
      <c r="S694" s="147">
        <f t="shared" si="293"/>
        <v>275000</v>
      </c>
      <c r="T694" s="147">
        <f t="shared" si="294"/>
        <v>250000</v>
      </c>
      <c r="U694" s="73" t="str">
        <f t="shared" si="285"/>
        <v>O</v>
      </c>
      <c r="V694" s="73"/>
      <c r="W694" s="515">
        <f t="shared" si="286"/>
        <v>250000</v>
      </c>
      <c r="X694" s="73"/>
      <c r="Y694" s="73"/>
    </row>
    <row r="695" spans="1:25" ht="30" hidden="1" customHeight="1" x14ac:dyDescent="0.25">
      <c r="A695" s="80">
        <v>180212</v>
      </c>
      <c r="B695" s="663" t="s">
        <v>764</v>
      </c>
      <c r="C695" s="73" t="s">
        <v>1124</v>
      </c>
      <c r="D695" s="73">
        <v>1</v>
      </c>
      <c r="E695" s="147">
        <v>234000</v>
      </c>
      <c r="F695" s="147">
        <f t="shared" si="287"/>
        <v>257400.00000000003</v>
      </c>
      <c r="G695" s="147">
        <f t="shared" si="288"/>
        <v>234000</v>
      </c>
      <c r="H695" s="1005" t="s">
        <v>39</v>
      </c>
      <c r="I695" s="73"/>
      <c r="J695" s="53">
        <f>(G695-(VLOOKUP(C695,Import!C:G,4,FALSE)*D695))</f>
        <v>234000</v>
      </c>
      <c r="K695" s="63">
        <f t="shared" si="295"/>
        <v>0.99999999999999989</v>
      </c>
      <c r="L695" s="874">
        <v>18.2</v>
      </c>
      <c r="M695" s="584"/>
      <c r="N695" s="663">
        <f t="shared" si="296"/>
        <v>180212</v>
      </c>
      <c r="O695" s="987" t="s">
        <v>39</v>
      </c>
      <c r="P695" s="132" t="str">
        <f t="shared" si="297"/>
        <v>Quick Coupling Water.</v>
      </c>
      <c r="Q695" s="73">
        <f t="shared" si="297"/>
        <v>1</v>
      </c>
      <c r="R695" s="147">
        <f>Import!G627</f>
        <v>65820.525182847021</v>
      </c>
      <c r="S695" s="147">
        <f t="shared" si="293"/>
        <v>72402.577701131726</v>
      </c>
      <c r="T695" s="147">
        <f t="shared" si="294"/>
        <v>65820.525182847021</v>
      </c>
      <c r="U695" s="73" t="str">
        <f t="shared" si="285"/>
        <v>X</v>
      </c>
      <c r="V695" s="73"/>
      <c r="W695" s="515">
        <f t="shared" si="286"/>
        <v>168179.47481715298</v>
      </c>
      <c r="X695" s="73"/>
      <c r="Y695" s="73"/>
    </row>
    <row r="696" spans="1:25" ht="30" hidden="1" customHeight="1" x14ac:dyDescent="0.25">
      <c r="A696" s="80">
        <v>180212</v>
      </c>
      <c r="B696" s="663" t="s">
        <v>764</v>
      </c>
      <c r="C696" s="73" t="s">
        <v>1066</v>
      </c>
      <c r="D696" s="73">
        <v>1</v>
      </c>
      <c r="E696" s="147">
        <v>234000</v>
      </c>
      <c r="F696" s="147">
        <f t="shared" si="287"/>
        <v>257400.00000000003</v>
      </c>
      <c r="G696" s="147">
        <f t="shared" si="288"/>
        <v>234000</v>
      </c>
      <c r="H696" s="1005" t="s">
        <v>39</v>
      </c>
      <c r="I696" s="73"/>
      <c r="J696" s="53">
        <f>(G696-(VLOOKUP(C696,Import!C:G,4,FALSE)*D696))</f>
        <v>234000</v>
      </c>
      <c r="K696" s="63">
        <f t="shared" si="295"/>
        <v>0.99999999999999989</v>
      </c>
      <c r="L696" s="874">
        <v>18.2</v>
      </c>
      <c r="M696" s="584"/>
      <c r="N696" s="663">
        <f t="shared" si="296"/>
        <v>180212</v>
      </c>
      <c r="O696" s="987" t="s">
        <v>39</v>
      </c>
      <c r="P696" s="132" t="str">
        <f t="shared" si="297"/>
        <v>Quick Coupling alcohol</v>
      </c>
      <c r="Q696" s="73">
        <f t="shared" si="297"/>
        <v>1</v>
      </c>
      <c r="R696" s="147">
        <f>Import!G628</f>
        <v>70911.954437438151</v>
      </c>
      <c r="S696" s="147">
        <f t="shared" si="293"/>
        <v>78003.149881181977</v>
      </c>
      <c r="T696" s="147">
        <f t="shared" si="294"/>
        <v>70911.954437438151</v>
      </c>
      <c r="U696" s="73" t="str">
        <f t="shared" si="285"/>
        <v>X</v>
      </c>
      <c r="V696" s="73"/>
      <c r="W696" s="515">
        <f t="shared" si="286"/>
        <v>163088.04556256183</v>
      </c>
      <c r="X696" s="73"/>
      <c r="Y696" s="73"/>
    </row>
    <row r="697" spans="1:25" ht="30" hidden="1" customHeight="1" x14ac:dyDescent="0.25">
      <c r="A697" s="82">
        <v>180212</v>
      </c>
      <c r="B697" s="664" t="s">
        <v>545</v>
      </c>
      <c r="C697" s="71" t="s">
        <v>952</v>
      </c>
      <c r="D697" s="71">
        <v>1</v>
      </c>
      <c r="E697" s="102">
        <v>630000</v>
      </c>
      <c r="F697" s="102">
        <f t="shared" si="287"/>
        <v>693000</v>
      </c>
      <c r="G697" s="102">
        <f t="shared" si="288"/>
        <v>630000</v>
      </c>
      <c r="H697" s="690" t="s">
        <v>173</v>
      </c>
      <c r="I697" s="71" t="s">
        <v>108</v>
      </c>
      <c r="J697" s="60">
        <f>(G697-(VLOOKUP(C697,Price!B:D,3,FALSE)*D697))</f>
        <v>180000</v>
      </c>
      <c r="K697" s="427">
        <f t="shared" si="295"/>
        <v>0.2857142857142857</v>
      </c>
      <c r="L697" s="82">
        <v>18.2</v>
      </c>
      <c r="M697" s="468"/>
      <c r="N697" s="664">
        <f t="shared" si="296"/>
        <v>180212</v>
      </c>
      <c r="O697" s="71" t="s">
        <v>599</v>
      </c>
      <c r="P697" s="103" t="str">
        <f t="shared" si="297"/>
        <v>점보롤 세정포</v>
      </c>
      <c r="Q697" s="71">
        <f t="shared" si="297"/>
        <v>1</v>
      </c>
      <c r="R697" s="102">
        <v>440000</v>
      </c>
      <c r="S697" s="102">
        <f t="shared" si="293"/>
        <v>484000.00000000006</v>
      </c>
      <c r="T697" s="102">
        <v>440000</v>
      </c>
      <c r="U697" s="71" t="str">
        <f t="shared" si="285"/>
        <v>X</v>
      </c>
      <c r="V697" s="71"/>
      <c r="W697" s="515">
        <f t="shared" si="286"/>
        <v>190000</v>
      </c>
      <c r="X697" s="71"/>
      <c r="Y697" s="71"/>
    </row>
    <row r="698" spans="1:25" ht="30" hidden="1" customHeight="1" x14ac:dyDescent="0.25">
      <c r="A698" s="82">
        <v>180212</v>
      </c>
      <c r="B698" s="664" t="s">
        <v>545</v>
      </c>
      <c r="C698" s="71" t="s">
        <v>131</v>
      </c>
      <c r="D698" s="71">
        <v>5</v>
      </c>
      <c r="E698" s="102">
        <v>135000</v>
      </c>
      <c r="F698" s="102">
        <f t="shared" si="287"/>
        <v>742500.00000000012</v>
      </c>
      <c r="G698" s="102">
        <f t="shared" si="288"/>
        <v>675000</v>
      </c>
      <c r="H698" s="690" t="s">
        <v>173</v>
      </c>
      <c r="I698" s="71" t="s">
        <v>108</v>
      </c>
      <c r="J698" s="53">
        <f>(G698-(VLOOKUP(C698,Price!B:D,3,FALSE)*D698))</f>
        <v>125000</v>
      </c>
      <c r="K698" s="63">
        <f t="shared" si="295"/>
        <v>0.18518518518518515</v>
      </c>
      <c r="L698" s="871">
        <v>18.2</v>
      </c>
      <c r="M698" s="468"/>
      <c r="N698" s="664">
        <f t="shared" si="296"/>
        <v>180212</v>
      </c>
      <c r="O698" s="71" t="s">
        <v>148</v>
      </c>
      <c r="P698" s="103" t="str">
        <f t="shared" si="297"/>
        <v>UV wash(20L)</v>
      </c>
      <c r="Q698" s="71">
        <f t="shared" si="297"/>
        <v>5</v>
      </c>
      <c r="R698" s="102">
        <v>110000</v>
      </c>
      <c r="S698" s="102">
        <f t="shared" si="293"/>
        <v>605000</v>
      </c>
      <c r="T698" s="102">
        <f>R698*Q698</f>
        <v>550000</v>
      </c>
      <c r="U698" s="71" t="str">
        <f t="shared" si="285"/>
        <v>O</v>
      </c>
      <c r="V698" s="71"/>
      <c r="W698" s="515">
        <f t="shared" si="286"/>
        <v>125000</v>
      </c>
      <c r="X698" s="71"/>
      <c r="Y698" s="71"/>
    </row>
    <row r="699" spans="1:25" ht="30" hidden="1" customHeight="1" x14ac:dyDescent="0.25">
      <c r="A699" s="648">
        <v>180212</v>
      </c>
      <c r="B699" s="733" t="s">
        <v>575</v>
      </c>
      <c r="C699" s="96" t="s">
        <v>803</v>
      </c>
      <c r="D699" s="96">
        <v>1</v>
      </c>
      <c r="E699" s="734"/>
      <c r="F699" s="734"/>
      <c r="G699" s="734"/>
      <c r="H699" s="735" t="s">
        <v>985</v>
      </c>
      <c r="I699" s="96"/>
      <c r="J699" s="586"/>
      <c r="K699" s="54"/>
      <c r="L699" s="901">
        <v>18.2</v>
      </c>
      <c r="M699" s="736" t="s">
        <v>1073</v>
      </c>
      <c r="N699" s="733">
        <f t="shared" si="296"/>
        <v>180212</v>
      </c>
      <c r="O699" s="96"/>
      <c r="P699" s="737" t="str">
        <f t="shared" si="297"/>
        <v>M-600 서비스</v>
      </c>
      <c r="Q699" s="96">
        <f t="shared" si="297"/>
        <v>1</v>
      </c>
      <c r="R699" s="734"/>
      <c r="S699" s="734"/>
      <c r="T699" s="734"/>
      <c r="U699" s="96" t="str">
        <f t="shared" si="285"/>
        <v>O</v>
      </c>
      <c r="V699" s="96"/>
      <c r="W699" s="515">
        <f t="shared" si="286"/>
        <v>0</v>
      </c>
      <c r="X699" s="96"/>
      <c r="Y699" s="96"/>
    </row>
    <row r="700" spans="1:25" ht="30" hidden="1" customHeight="1" x14ac:dyDescent="0.25">
      <c r="A700" s="648">
        <v>180212</v>
      </c>
      <c r="B700" s="733" t="s">
        <v>1061</v>
      </c>
      <c r="C700" s="96" t="s">
        <v>586</v>
      </c>
      <c r="D700" s="96">
        <v>200</v>
      </c>
      <c r="E700" s="734">
        <v>6750</v>
      </c>
      <c r="F700" s="734">
        <f t="shared" si="287"/>
        <v>1485000.0000000002</v>
      </c>
      <c r="G700" s="734">
        <f t="shared" si="288"/>
        <v>1350000</v>
      </c>
      <c r="H700" s="735" t="s">
        <v>142</v>
      </c>
      <c r="I700" s="96" t="s">
        <v>144</v>
      </c>
      <c r="J700" s="586">
        <f>(G700-(VLOOKUP(C700,Price!B:D,3,FALSE)*D700))</f>
        <v>114000</v>
      </c>
      <c r="K700" s="54">
        <f t="shared" ref="K700:K707" si="298">(J700/(F700/11*10))</f>
        <v>8.4444444444444433E-2</v>
      </c>
      <c r="L700" s="901">
        <v>18.2</v>
      </c>
      <c r="M700" s="736"/>
      <c r="N700" s="733">
        <f t="shared" si="296"/>
        <v>180212</v>
      </c>
      <c r="O700" s="96" t="s">
        <v>147</v>
      </c>
      <c r="P700" s="737" t="str">
        <f t="shared" si="297"/>
        <v>프리미어(황)</v>
      </c>
      <c r="Q700" s="96">
        <f t="shared" si="297"/>
        <v>200</v>
      </c>
      <c r="R700" s="734">
        <v>6180</v>
      </c>
      <c r="S700" s="734">
        <f t="shared" ref="S700:S713" si="299">R700*Q700*1.1</f>
        <v>1359600</v>
      </c>
      <c r="T700" s="734">
        <f t="shared" ref="T700:T713" si="300">R700*Q700</f>
        <v>1236000</v>
      </c>
      <c r="U700" s="96" t="str">
        <f t="shared" si="285"/>
        <v>O</v>
      </c>
      <c r="V700" s="96"/>
      <c r="W700" s="515">
        <f t="shared" si="286"/>
        <v>114000</v>
      </c>
      <c r="X700" s="96"/>
      <c r="Y700" s="96"/>
    </row>
    <row r="701" spans="1:25" s="602" customFormat="1" ht="30" hidden="1" customHeight="1" x14ac:dyDescent="0.25">
      <c r="A701" s="85">
        <v>180212</v>
      </c>
      <c r="B701" s="668" t="s">
        <v>558</v>
      </c>
      <c r="C701" s="84" t="s">
        <v>993</v>
      </c>
      <c r="D701" s="84">
        <v>2</v>
      </c>
      <c r="E701" s="189">
        <v>125000</v>
      </c>
      <c r="F701" s="189">
        <f t="shared" si="287"/>
        <v>275000</v>
      </c>
      <c r="G701" s="189">
        <f t="shared" si="288"/>
        <v>250000</v>
      </c>
      <c r="H701" s="691" t="s">
        <v>173</v>
      </c>
      <c r="I701" s="84" t="s">
        <v>109</v>
      </c>
      <c r="J701" s="61">
        <f>(G701-(VLOOKUP(C701,Price!B:D,3,FALSE)*D701))</f>
        <v>107200</v>
      </c>
      <c r="K701" s="62">
        <f t="shared" si="298"/>
        <v>0.42880000000000001</v>
      </c>
      <c r="L701" s="873">
        <v>18.2</v>
      </c>
      <c r="M701" s="601"/>
      <c r="N701" s="668">
        <f t="shared" si="296"/>
        <v>180212</v>
      </c>
      <c r="O701" s="84" t="s">
        <v>560</v>
      </c>
      <c r="P701" s="133" t="str">
        <f t="shared" si="297"/>
        <v>코팅용 Blanket(1047*794)bar</v>
      </c>
      <c r="Q701" s="84">
        <f t="shared" si="297"/>
        <v>2</v>
      </c>
      <c r="R701" s="189">
        <v>71400</v>
      </c>
      <c r="S701" s="189">
        <f t="shared" si="299"/>
        <v>157080</v>
      </c>
      <c r="T701" s="189">
        <f t="shared" si="300"/>
        <v>142800</v>
      </c>
      <c r="U701" s="84" t="str">
        <f t="shared" si="285"/>
        <v>O</v>
      </c>
      <c r="V701" s="84"/>
      <c r="W701" s="481">
        <f t="shared" si="286"/>
        <v>107200</v>
      </c>
      <c r="X701" s="84"/>
      <c r="Y701" s="84"/>
    </row>
    <row r="702" spans="1:25" ht="30" hidden="1" customHeight="1" x14ac:dyDescent="0.25">
      <c r="A702" s="80">
        <v>180213</v>
      </c>
      <c r="B702" s="663" t="s">
        <v>983</v>
      </c>
      <c r="C702" s="73" t="s">
        <v>1009</v>
      </c>
      <c r="D702" s="73">
        <v>480</v>
      </c>
      <c r="E702" s="147">
        <v>3900</v>
      </c>
      <c r="F702" s="147">
        <f t="shared" si="287"/>
        <v>2059200.0000000002</v>
      </c>
      <c r="G702" s="147">
        <f t="shared" si="288"/>
        <v>1872000</v>
      </c>
      <c r="H702" s="689" t="s">
        <v>173</v>
      </c>
      <c r="I702" s="73" t="s">
        <v>140</v>
      </c>
      <c r="J702" s="60">
        <f>G702-T702</f>
        <v>288000</v>
      </c>
      <c r="K702" s="427">
        <f t="shared" si="298"/>
        <v>0.15384615384615383</v>
      </c>
      <c r="L702" s="874">
        <v>18.2</v>
      </c>
      <c r="M702" s="584"/>
      <c r="N702" s="663">
        <f t="shared" si="296"/>
        <v>180213</v>
      </c>
      <c r="O702" s="73" t="s">
        <v>147</v>
      </c>
      <c r="P702" s="132" t="str">
        <f t="shared" si="297"/>
        <v>CTP판(1030*790mm)</v>
      </c>
      <c r="Q702" s="73">
        <f t="shared" si="297"/>
        <v>480</v>
      </c>
      <c r="R702" s="147">
        <v>3300</v>
      </c>
      <c r="S702" s="147">
        <f t="shared" si="299"/>
        <v>1742400.0000000002</v>
      </c>
      <c r="T702" s="147">
        <f t="shared" si="300"/>
        <v>1584000</v>
      </c>
      <c r="U702" s="73" t="str">
        <f t="shared" si="285"/>
        <v>O</v>
      </c>
      <c r="V702" s="73"/>
      <c r="W702" s="482">
        <f t="shared" si="286"/>
        <v>288000</v>
      </c>
      <c r="X702" s="73"/>
      <c r="Y702" s="73"/>
    </row>
    <row r="703" spans="1:25" ht="30" hidden="1" customHeight="1" x14ac:dyDescent="0.25">
      <c r="A703" s="82">
        <v>180213</v>
      </c>
      <c r="B703" s="664" t="s">
        <v>983</v>
      </c>
      <c r="C703" s="71" t="s">
        <v>984</v>
      </c>
      <c r="D703" s="71">
        <v>10</v>
      </c>
      <c r="E703" s="102">
        <v>45000</v>
      </c>
      <c r="F703" s="102">
        <f t="shared" si="287"/>
        <v>495000.00000000006</v>
      </c>
      <c r="G703" s="102">
        <f t="shared" si="288"/>
        <v>450000</v>
      </c>
      <c r="H703" s="690" t="s">
        <v>173</v>
      </c>
      <c r="I703" s="71" t="s">
        <v>140</v>
      </c>
      <c r="J703" s="53">
        <f>G703-T703</f>
        <v>100000</v>
      </c>
      <c r="K703" s="63">
        <f t="shared" si="298"/>
        <v>0.22222222222222218</v>
      </c>
      <c r="L703" s="871">
        <v>18.2</v>
      </c>
      <c r="M703" s="468"/>
      <c r="N703" s="664">
        <f t="shared" si="296"/>
        <v>180213</v>
      </c>
      <c r="O703" s="71" t="s">
        <v>147</v>
      </c>
      <c r="P703" s="103" t="str">
        <f t="shared" si="297"/>
        <v>CTP 현상액</v>
      </c>
      <c r="Q703" s="71">
        <f t="shared" si="297"/>
        <v>10</v>
      </c>
      <c r="R703" s="102">
        <v>35000</v>
      </c>
      <c r="S703" s="102">
        <f t="shared" si="299"/>
        <v>385000.00000000006</v>
      </c>
      <c r="T703" s="102">
        <f t="shared" si="300"/>
        <v>350000</v>
      </c>
      <c r="U703" s="71" t="str">
        <f t="shared" si="285"/>
        <v>O</v>
      </c>
      <c r="V703" s="71"/>
      <c r="W703" s="515">
        <f t="shared" si="286"/>
        <v>100000</v>
      </c>
      <c r="X703" s="71"/>
      <c r="Y703" s="71"/>
    </row>
    <row r="704" spans="1:25" s="602" customFormat="1" ht="30" hidden="1" customHeight="1" x14ac:dyDescent="0.25">
      <c r="A704" s="85">
        <v>180213</v>
      </c>
      <c r="B704" s="668" t="s">
        <v>1060</v>
      </c>
      <c r="C704" s="84" t="s">
        <v>524</v>
      </c>
      <c r="D704" s="84">
        <v>900</v>
      </c>
      <c r="E704" s="189">
        <v>3990</v>
      </c>
      <c r="F704" s="189">
        <f>(E704*D704)*1.1</f>
        <v>3950100.0000000005</v>
      </c>
      <c r="G704" s="189">
        <f>(E704*D704)</f>
        <v>3591000</v>
      </c>
      <c r="H704" s="691" t="s">
        <v>142</v>
      </c>
      <c r="I704" s="84" t="s">
        <v>140</v>
      </c>
      <c r="J704" s="61">
        <f>(G704-(VLOOKUP(C704,Price!B:D,3,FALSE)*D704))</f>
        <v>1125000</v>
      </c>
      <c r="K704" s="62">
        <f t="shared" si="298"/>
        <v>0.31328320802005011</v>
      </c>
      <c r="L704" s="873">
        <v>18.2</v>
      </c>
      <c r="M704" s="601"/>
      <c r="N704" s="668">
        <f t="shared" si="296"/>
        <v>180213</v>
      </c>
      <c r="O704" s="84" t="s">
        <v>145</v>
      </c>
      <c r="P704" s="133" t="str">
        <f t="shared" si="297"/>
        <v>ENGAGE 900X570 - 27RO</v>
      </c>
      <c r="Q704" s="84">
        <f t="shared" si="297"/>
        <v>900</v>
      </c>
      <c r="R704" s="189">
        <v>2740</v>
      </c>
      <c r="S704" s="189">
        <f t="shared" si="299"/>
        <v>2712600</v>
      </c>
      <c r="T704" s="189">
        <f t="shared" si="300"/>
        <v>2466000</v>
      </c>
      <c r="U704" s="84" t="str">
        <f t="shared" si="285"/>
        <v>O</v>
      </c>
      <c r="V704" s="84"/>
      <c r="W704" s="481">
        <f t="shared" si="286"/>
        <v>1125000</v>
      </c>
      <c r="X704" s="84"/>
      <c r="Y704" s="84"/>
    </row>
    <row r="705" spans="1:25" s="610" customFormat="1" ht="30" hidden="1" customHeight="1" x14ac:dyDescent="0.25">
      <c r="A705" s="89">
        <v>180214</v>
      </c>
      <c r="B705" s="673" t="s">
        <v>562</v>
      </c>
      <c r="C705" s="88" t="s">
        <v>1022</v>
      </c>
      <c r="D705" s="88">
        <v>1</v>
      </c>
      <c r="E705" s="470">
        <v>600000</v>
      </c>
      <c r="F705" s="470">
        <f>(E705*D705)*1.1</f>
        <v>660000</v>
      </c>
      <c r="G705" s="470">
        <f>(E705*D705)</f>
        <v>600000</v>
      </c>
      <c r="H705" s="695" t="s">
        <v>173</v>
      </c>
      <c r="I705" s="88" t="s">
        <v>142</v>
      </c>
      <c r="J705" s="107">
        <f>G705-R705</f>
        <v>223785</v>
      </c>
      <c r="K705" s="469">
        <f t="shared" si="298"/>
        <v>0.372975</v>
      </c>
      <c r="L705" s="875">
        <v>18.2</v>
      </c>
      <c r="M705" s="575"/>
      <c r="N705" s="673">
        <f t="shared" ref="N705:N713" si="301">A705</f>
        <v>180214</v>
      </c>
      <c r="O705" s="88" t="s">
        <v>1095</v>
      </c>
      <c r="P705" s="134" t="str">
        <f t="shared" ref="P705:P713" si="302">C705</f>
        <v>UV Lamp</v>
      </c>
      <c r="Q705" s="88">
        <f t="shared" ref="Q705:Q715" si="303">D705</f>
        <v>1</v>
      </c>
      <c r="R705" s="470">
        <v>376215</v>
      </c>
      <c r="S705" s="470">
        <f t="shared" si="299"/>
        <v>413836.50000000006</v>
      </c>
      <c r="T705" s="470">
        <f t="shared" si="300"/>
        <v>376215</v>
      </c>
      <c r="U705" s="88" t="str">
        <f t="shared" si="285"/>
        <v>O</v>
      </c>
      <c r="V705" s="88" t="s">
        <v>1096</v>
      </c>
      <c r="W705" s="483">
        <f t="shared" si="286"/>
        <v>223785</v>
      </c>
      <c r="X705" s="88"/>
      <c r="Y705" s="88"/>
    </row>
    <row r="706" spans="1:25" ht="30" hidden="1" customHeight="1" x14ac:dyDescent="0.25">
      <c r="A706" s="80">
        <v>180219</v>
      </c>
      <c r="B706" s="663" t="s">
        <v>748</v>
      </c>
      <c r="C706" s="73" t="s">
        <v>1019</v>
      </c>
      <c r="D706" s="73">
        <v>1</v>
      </c>
      <c r="E706" s="147">
        <v>480000</v>
      </c>
      <c r="F706" s="147">
        <f>(E706*D706)*1.1</f>
        <v>528000</v>
      </c>
      <c r="G706" s="147">
        <f>(E706*D706)</f>
        <v>480000</v>
      </c>
      <c r="H706" s="786" t="s">
        <v>113</v>
      </c>
      <c r="I706" s="73"/>
      <c r="J706" s="53">
        <f>G706-T706</f>
        <v>242001.45874101296</v>
      </c>
      <c r="K706" s="427">
        <f t="shared" si="298"/>
        <v>0.50416970571044362</v>
      </c>
      <c r="L706" s="874">
        <v>18.2</v>
      </c>
      <c r="M706" s="584"/>
      <c r="N706" s="663">
        <f t="shared" si="301"/>
        <v>180219</v>
      </c>
      <c r="O706" s="807" t="s">
        <v>113</v>
      </c>
      <c r="P706" s="132" t="str">
        <f t="shared" si="302"/>
        <v>다이아프램</v>
      </c>
      <c r="Q706" s="73">
        <f t="shared" si="303"/>
        <v>1</v>
      </c>
      <c r="R706" s="147">
        <f>Import!G75</f>
        <v>237998.54125898704</v>
      </c>
      <c r="S706" s="147">
        <f t="shared" si="299"/>
        <v>261798.39538488578</v>
      </c>
      <c r="T706" s="147">
        <f t="shared" si="300"/>
        <v>237998.54125898704</v>
      </c>
      <c r="U706" s="73" t="str">
        <f t="shared" si="285"/>
        <v>O</v>
      </c>
      <c r="V706" s="73"/>
      <c r="W706" s="482">
        <f t="shared" si="286"/>
        <v>242001.45874101296</v>
      </c>
      <c r="X706" s="73"/>
      <c r="Y706" s="73"/>
    </row>
    <row r="707" spans="1:25" s="602" customFormat="1" ht="30" hidden="1" customHeight="1" x14ac:dyDescent="0.25">
      <c r="A707" s="85">
        <v>180219</v>
      </c>
      <c r="B707" s="668" t="s">
        <v>748</v>
      </c>
      <c r="C707" s="84" t="s">
        <v>1087</v>
      </c>
      <c r="D707" s="84">
        <v>1</v>
      </c>
      <c r="E707" s="189">
        <v>780000</v>
      </c>
      <c r="F707" s="189">
        <f>(E707*D707)*1.1</f>
        <v>858000.00000000012</v>
      </c>
      <c r="G707" s="189">
        <f>(E707*D707)</f>
        <v>780000</v>
      </c>
      <c r="H707" s="781" t="s">
        <v>113</v>
      </c>
      <c r="I707" s="84"/>
      <c r="J707" s="61">
        <f>G707-T707</f>
        <v>145666.87635440251</v>
      </c>
      <c r="K707" s="62">
        <f t="shared" si="298"/>
        <v>0.18675240558256731</v>
      </c>
      <c r="L707" s="873">
        <v>18.2</v>
      </c>
      <c r="M707" s="601"/>
      <c r="N707" s="668">
        <f t="shared" si="301"/>
        <v>180219</v>
      </c>
      <c r="O707" s="814" t="s">
        <v>113</v>
      </c>
      <c r="P707" s="133" t="str">
        <f t="shared" si="302"/>
        <v>스프링 블레이드 set</v>
      </c>
      <c r="Q707" s="84">
        <f t="shared" si="303"/>
        <v>1</v>
      </c>
      <c r="R707" s="189">
        <f>SUM(Import!H76,Import!H77)</f>
        <v>634333.12364559749</v>
      </c>
      <c r="S707" s="189">
        <f t="shared" si="299"/>
        <v>697766.43601015734</v>
      </c>
      <c r="T707" s="189">
        <f t="shared" si="300"/>
        <v>634333.12364559749</v>
      </c>
      <c r="U707" s="84" t="str">
        <f t="shared" si="285"/>
        <v>O</v>
      </c>
      <c r="V707" s="84"/>
      <c r="W707" s="481">
        <f t="shared" si="286"/>
        <v>145666.87635440251</v>
      </c>
      <c r="X707" s="84"/>
      <c r="Y707" s="84"/>
    </row>
    <row r="708" spans="1:25" ht="30" hidden="1" customHeight="1" x14ac:dyDescent="0.25">
      <c r="A708" s="80">
        <v>180220</v>
      </c>
      <c r="B708" s="663" t="s">
        <v>1784</v>
      </c>
      <c r="C708" s="73" t="s">
        <v>1785</v>
      </c>
      <c r="D708" s="73">
        <v>20</v>
      </c>
      <c r="E708" s="147">
        <v>119000</v>
      </c>
      <c r="F708" s="147">
        <f>(E708*D708)*1.1</f>
        <v>2618000</v>
      </c>
      <c r="G708" s="147">
        <f>(E708*D708)</f>
        <v>2380000</v>
      </c>
      <c r="H708" s="689" t="s">
        <v>179</v>
      </c>
      <c r="I708" s="73" t="s">
        <v>1786</v>
      </c>
      <c r="J708" s="53">
        <f>G708-T708</f>
        <v>727165.51859548874</v>
      </c>
      <c r="K708" s="427">
        <f t="shared" ref="K708:K713" si="304">(J708/(F708/11*10))</f>
        <v>0.3055317305023062</v>
      </c>
      <c r="L708" s="874">
        <v>18.2</v>
      </c>
      <c r="M708" s="584"/>
      <c r="N708" s="663">
        <f t="shared" si="301"/>
        <v>180220</v>
      </c>
      <c r="O708" s="73" t="s">
        <v>1786</v>
      </c>
      <c r="P708" s="132" t="str">
        <f t="shared" si="302"/>
        <v>잉크 키 모터 24DVC</v>
      </c>
      <c r="Q708" s="73">
        <f t="shared" si="303"/>
        <v>20</v>
      </c>
      <c r="R708" s="147">
        <f>[4]Import!F70</f>
        <v>82641.724070225566</v>
      </c>
      <c r="S708" s="147">
        <f t="shared" si="299"/>
        <v>1818117.9295449625</v>
      </c>
      <c r="T708" s="147">
        <f t="shared" si="300"/>
        <v>1652834.4814045113</v>
      </c>
      <c r="U708" s="73" t="str">
        <f t="shared" ref="U708:U729" si="305">IF(J708=W708,"O", "X")</f>
        <v>O</v>
      </c>
      <c r="V708" s="73"/>
      <c r="W708" s="482">
        <f t="shared" ref="W708:W729" si="306">(G708-T708)</f>
        <v>727165.51859548874</v>
      </c>
      <c r="X708" s="73"/>
      <c r="Y708" s="73"/>
    </row>
    <row r="709" spans="1:25" ht="30" hidden="1" customHeight="1" x14ac:dyDescent="0.25">
      <c r="A709" s="82">
        <v>180220</v>
      </c>
      <c r="B709" s="664" t="s">
        <v>819</v>
      </c>
      <c r="C709" s="71" t="s">
        <v>123</v>
      </c>
      <c r="D709" s="71">
        <v>10</v>
      </c>
      <c r="E709" s="102">
        <v>40000</v>
      </c>
      <c r="F709" s="102">
        <f t="shared" ref="F709:F729" si="307">(E709*D709)*1.1</f>
        <v>440000.00000000006</v>
      </c>
      <c r="G709" s="102">
        <f t="shared" ref="G709:G729" si="308">(E709*D709)</f>
        <v>400000</v>
      </c>
      <c r="H709" s="1010" t="s">
        <v>39</v>
      </c>
      <c r="I709" s="71"/>
      <c r="J709" s="53">
        <f>G709-T709</f>
        <v>175390</v>
      </c>
      <c r="K709" s="63">
        <f t="shared" si="304"/>
        <v>0.43847499999999995</v>
      </c>
      <c r="L709" s="871">
        <v>18.2</v>
      </c>
      <c r="M709" s="468"/>
      <c r="N709" s="664">
        <f t="shared" si="301"/>
        <v>180220</v>
      </c>
      <c r="O709" s="991" t="s">
        <v>39</v>
      </c>
      <c r="P709" s="103" t="str">
        <f t="shared" si="302"/>
        <v>필터백</v>
      </c>
      <c r="Q709" s="71">
        <f t="shared" si="303"/>
        <v>10</v>
      </c>
      <c r="R709" s="102">
        <f>VLOOKUP(P709,Price!B:D,3,FALSE)</f>
        <v>22461</v>
      </c>
      <c r="S709" s="102">
        <f t="shared" si="299"/>
        <v>247071.00000000003</v>
      </c>
      <c r="T709" s="102">
        <f t="shared" si="300"/>
        <v>224610</v>
      </c>
      <c r="U709" s="71" t="str">
        <f t="shared" si="305"/>
        <v>O</v>
      </c>
      <c r="V709" s="71"/>
      <c r="W709" s="482">
        <f t="shared" si="306"/>
        <v>175390</v>
      </c>
      <c r="X709" s="71"/>
      <c r="Y709" s="71"/>
    </row>
    <row r="710" spans="1:25" s="602" customFormat="1" ht="30" hidden="1" customHeight="1" x14ac:dyDescent="0.2">
      <c r="A710" s="85">
        <v>180220</v>
      </c>
      <c r="B710" s="668" t="s">
        <v>640</v>
      </c>
      <c r="C710" s="84" t="s">
        <v>138</v>
      </c>
      <c r="D710" s="84">
        <v>10</v>
      </c>
      <c r="E710" s="189">
        <v>59500</v>
      </c>
      <c r="F710" s="909">
        <f t="shared" si="307"/>
        <v>654500</v>
      </c>
      <c r="G710" s="909">
        <f t="shared" si="308"/>
        <v>595000</v>
      </c>
      <c r="H710" s="403" t="s">
        <v>172</v>
      </c>
      <c r="I710" s="84" t="s">
        <v>108</v>
      </c>
      <c r="J710" s="61">
        <f>(G710-(VLOOKUP(C710,Price!B:D,3,FALSE)*D710))</f>
        <v>85000</v>
      </c>
      <c r="K710" s="62">
        <f t="shared" si="304"/>
        <v>0.14285714285714285</v>
      </c>
      <c r="L710" s="85">
        <v>18.2</v>
      </c>
      <c r="M710" s="601"/>
      <c r="N710" s="668">
        <f t="shared" si="301"/>
        <v>180220</v>
      </c>
      <c r="O710" s="84" t="s">
        <v>150</v>
      </c>
      <c r="P710" s="133" t="str">
        <f t="shared" si="302"/>
        <v>매엽용 세척제(Wash 562)</v>
      </c>
      <c r="Q710" s="84">
        <f t="shared" si="303"/>
        <v>10</v>
      </c>
      <c r="R710" s="189">
        <v>51000</v>
      </c>
      <c r="S710" s="189">
        <f t="shared" si="299"/>
        <v>561000</v>
      </c>
      <c r="T710" s="189">
        <f t="shared" si="300"/>
        <v>510000</v>
      </c>
      <c r="U710" s="84" t="str">
        <f t="shared" si="305"/>
        <v>O</v>
      </c>
      <c r="V710" s="84"/>
      <c r="W710" s="481">
        <f t="shared" si="306"/>
        <v>85000</v>
      </c>
      <c r="X710" s="84"/>
      <c r="Y710" s="84"/>
    </row>
    <row r="711" spans="1:25" ht="30" hidden="1" customHeight="1" x14ac:dyDescent="0.25">
      <c r="A711" s="80">
        <v>180221</v>
      </c>
      <c r="B711" s="663" t="s">
        <v>690</v>
      </c>
      <c r="C711" s="73" t="s">
        <v>825</v>
      </c>
      <c r="D711" s="73">
        <v>1</v>
      </c>
      <c r="E711" s="147">
        <v>150000</v>
      </c>
      <c r="F711" s="147">
        <f t="shared" si="307"/>
        <v>165000</v>
      </c>
      <c r="G711" s="147">
        <f t="shared" si="308"/>
        <v>150000</v>
      </c>
      <c r="H711" s="689" t="s">
        <v>173</v>
      </c>
      <c r="I711" s="73" t="s">
        <v>142</v>
      </c>
      <c r="J711" s="60">
        <f>G711-T711</f>
        <v>55000</v>
      </c>
      <c r="K711" s="427">
        <f t="shared" si="304"/>
        <v>0.36666666666666664</v>
      </c>
      <c r="L711" s="874">
        <v>18.2</v>
      </c>
      <c r="M711" s="584"/>
      <c r="N711" s="663">
        <f t="shared" si="301"/>
        <v>180221</v>
      </c>
      <c r="O711" s="73" t="s">
        <v>150</v>
      </c>
      <c r="P711" s="132" t="str">
        <f t="shared" si="302"/>
        <v>독일제 정품 잉크호일 아스테이지</v>
      </c>
      <c r="Q711" s="73">
        <f t="shared" si="303"/>
        <v>1</v>
      </c>
      <c r="R711" s="147">
        <v>95000</v>
      </c>
      <c r="S711" s="147">
        <f t="shared" si="299"/>
        <v>104500.00000000001</v>
      </c>
      <c r="T711" s="147">
        <f t="shared" si="300"/>
        <v>95000</v>
      </c>
      <c r="U711" s="73" t="str">
        <f t="shared" si="305"/>
        <v>O</v>
      </c>
      <c r="V711" s="73"/>
      <c r="W711" s="482">
        <f t="shared" si="306"/>
        <v>55000</v>
      </c>
      <c r="X711" s="73"/>
      <c r="Y711" s="73"/>
    </row>
    <row r="712" spans="1:25" s="602" customFormat="1" ht="30" hidden="1" customHeight="1" x14ac:dyDescent="0.25">
      <c r="A712" s="85">
        <v>180221</v>
      </c>
      <c r="B712" s="668" t="s">
        <v>545</v>
      </c>
      <c r="C712" s="84" t="s">
        <v>805</v>
      </c>
      <c r="D712" s="84">
        <v>4</v>
      </c>
      <c r="E712" s="189">
        <v>180000</v>
      </c>
      <c r="F712" s="189">
        <f t="shared" si="307"/>
        <v>792000.00000000012</v>
      </c>
      <c r="G712" s="189">
        <f t="shared" si="308"/>
        <v>720000</v>
      </c>
      <c r="H712" s="691" t="s">
        <v>173</v>
      </c>
      <c r="I712" s="84" t="s">
        <v>120</v>
      </c>
      <c r="J712" s="61">
        <f>(G712-(VLOOKUP(C712,Price!B:D,3,FALSE)*D712))</f>
        <v>160000</v>
      </c>
      <c r="K712" s="62">
        <f t="shared" si="304"/>
        <v>0.22222222222222218</v>
      </c>
      <c r="L712" s="873">
        <v>18.2</v>
      </c>
      <c r="M712" s="601"/>
      <c r="N712" s="668">
        <f t="shared" si="301"/>
        <v>180221</v>
      </c>
      <c r="O712" s="84" t="s">
        <v>150</v>
      </c>
      <c r="P712" s="133" t="str">
        <f t="shared" si="302"/>
        <v>Fount 554</v>
      </c>
      <c r="Q712" s="84">
        <f t="shared" si="303"/>
        <v>4</v>
      </c>
      <c r="R712" s="189">
        <v>140000</v>
      </c>
      <c r="S712" s="189">
        <f t="shared" si="299"/>
        <v>616000</v>
      </c>
      <c r="T712" s="189">
        <f t="shared" si="300"/>
        <v>560000</v>
      </c>
      <c r="U712" s="84" t="str">
        <f t="shared" si="305"/>
        <v>O</v>
      </c>
      <c r="V712" s="84"/>
      <c r="W712" s="481">
        <f t="shared" si="306"/>
        <v>160000</v>
      </c>
      <c r="X712" s="84"/>
      <c r="Y712" s="84"/>
    </row>
    <row r="713" spans="1:25" ht="30" hidden="1" customHeight="1" x14ac:dyDescent="0.25">
      <c r="A713" s="80">
        <v>180222</v>
      </c>
      <c r="B713" s="663" t="s">
        <v>764</v>
      </c>
      <c r="C713" s="73" t="s">
        <v>123</v>
      </c>
      <c r="D713" s="73">
        <v>20</v>
      </c>
      <c r="E713" s="147">
        <v>35000</v>
      </c>
      <c r="F713" s="147">
        <f t="shared" si="307"/>
        <v>770000.00000000012</v>
      </c>
      <c r="G713" s="147">
        <f t="shared" si="308"/>
        <v>700000</v>
      </c>
      <c r="H713" s="1005" t="s">
        <v>39</v>
      </c>
      <c r="I713" s="73"/>
      <c r="J713" s="60">
        <f>G713-T713</f>
        <v>250780</v>
      </c>
      <c r="K713" s="427">
        <f t="shared" si="304"/>
        <v>0.35825714285714277</v>
      </c>
      <c r="L713" s="874">
        <v>18.2</v>
      </c>
      <c r="M713" s="584"/>
      <c r="N713" s="663">
        <f t="shared" si="301"/>
        <v>180222</v>
      </c>
      <c r="O713" s="987" t="s">
        <v>39</v>
      </c>
      <c r="P713" s="132" t="str">
        <f t="shared" si="302"/>
        <v>필터백</v>
      </c>
      <c r="Q713" s="73">
        <f t="shared" si="303"/>
        <v>20</v>
      </c>
      <c r="R713" s="147">
        <f>VLOOKUP(P713,Price!B:D,3,FALSE)</f>
        <v>22461</v>
      </c>
      <c r="S713" s="147">
        <f t="shared" si="299"/>
        <v>494142.00000000006</v>
      </c>
      <c r="T713" s="147">
        <f t="shared" si="300"/>
        <v>449220</v>
      </c>
      <c r="U713" s="73" t="str">
        <f t="shared" si="305"/>
        <v>O</v>
      </c>
      <c r="V713" s="73"/>
      <c r="W713" s="482">
        <f t="shared" si="306"/>
        <v>250780</v>
      </c>
      <c r="X713" s="73"/>
      <c r="Y713" s="73"/>
    </row>
    <row r="714" spans="1:25" s="209" customFormat="1" ht="30" hidden="1" customHeight="1" x14ac:dyDescent="0.25">
      <c r="A714" s="82">
        <v>180222</v>
      </c>
      <c r="B714" s="664" t="s">
        <v>567</v>
      </c>
      <c r="C714" s="71" t="s">
        <v>236</v>
      </c>
      <c r="D714" s="71">
        <v>10</v>
      </c>
      <c r="E714" s="102">
        <v>65000</v>
      </c>
      <c r="F714" s="102">
        <f t="shared" si="307"/>
        <v>715000</v>
      </c>
      <c r="G714" s="102">
        <f t="shared" si="308"/>
        <v>650000</v>
      </c>
      <c r="H714" s="690" t="s">
        <v>173</v>
      </c>
      <c r="I714" s="71" t="s">
        <v>142</v>
      </c>
      <c r="J714" s="53">
        <f>(G714-(VLOOKUP(C714,Price!B:D,3,FALSE)*D714))</f>
        <v>150000</v>
      </c>
      <c r="K714" s="63">
        <f t="shared" ref="K714:K723" si="309">(J714/(F714/11*10))</f>
        <v>0.23076923076923078</v>
      </c>
      <c r="L714" s="871">
        <v>18.2</v>
      </c>
      <c r="M714" s="468"/>
      <c r="N714" s="664">
        <f>A714</f>
        <v>180222</v>
      </c>
      <c r="O714" s="71" t="s">
        <v>153</v>
      </c>
      <c r="P714" s="103" t="str">
        <f>(C714)</f>
        <v>아스테이지(국전)</v>
      </c>
      <c r="Q714" s="71">
        <f t="shared" si="303"/>
        <v>10</v>
      </c>
      <c r="R714" s="102">
        <v>50000</v>
      </c>
      <c r="S714" s="102">
        <f>(R714*D714)*1.1</f>
        <v>550000</v>
      </c>
      <c r="T714" s="102">
        <f>(R714*Q714)</f>
        <v>500000</v>
      </c>
      <c r="U714" s="71" t="str">
        <f t="shared" si="305"/>
        <v>O</v>
      </c>
      <c r="V714" s="71"/>
      <c r="W714" s="515">
        <f t="shared" si="306"/>
        <v>150000</v>
      </c>
      <c r="X714" s="71"/>
      <c r="Y714" s="71"/>
    </row>
    <row r="715" spans="1:25" ht="30" hidden="1" customHeight="1" x14ac:dyDescent="0.25">
      <c r="A715" s="82">
        <v>180222</v>
      </c>
      <c r="B715" s="664" t="s">
        <v>631</v>
      </c>
      <c r="C715" s="67" t="s">
        <v>201</v>
      </c>
      <c r="D715" s="71">
        <v>10</v>
      </c>
      <c r="E715" s="102">
        <v>75000</v>
      </c>
      <c r="F715" s="102">
        <f t="shared" si="307"/>
        <v>825000.00000000012</v>
      </c>
      <c r="G715" s="102">
        <f t="shared" si="308"/>
        <v>750000</v>
      </c>
      <c r="H715" s="690" t="s">
        <v>173</v>
      </c>
      <c r="I715" s="71" t="s">
        <v>109</v>
      </c>
      <c r="J715" s="53">
        <f>(G715-(VLOOKUP(C715,Price!B:D,3,FALSE)*D715))</f>
        <v>200000</v>
      </c>
      <c r="K715" s="63">
        <f t="shared" si="309"/>
        <v>0.26666666666666661</v>
      </c>
      <c r="L715" s="871">
        <v>18.2</v>
      </c>
      <c r="M715" s="468"/>
      <c r="N715" s="664">
        <f>A715</f>
        <v>180222</v>
      </c>
      <c r="O715" s="71" t="s">
        <v>149</v>
      </c>
      <c r="P715" s="103" t="str">
        <f t="shared" ref="P715:P722" si="310">C715</f>
        <v>Bar블랑켓 730*710</v>
      </c>
      <c r="Q715" s="71">
        <f t="shared" si="303"/>
        <v>10</v>
      </c>
      <c r="R715" s="102">
        <v>55000</v>
      </c>
      <c r="S715" s="102">
        <f t="shared" ref="S715:S722" si="311">R715*Q715*1.1</f>
        <v>605000</v>
      </c>
      <c r="T715" s="102">
        <f t="shared" ref="T715:T722" si="312">R715*Q715</f>
        <v>550000</v>
      </c>
      <c r="U715" s="71" t="str">
        <f t="shared" si="305"/>
        <v>O</v>
      </c>
      <c r="V715" s="71"/>
      <c r="W715" s="515">
        <f t="shared" si="306"/>
        <v>200000</v>
      </c>
      <c r="X715" s="71"/>
      <c r="Y715" s="71"/>
    </row>
    <row r="716" spans="1:25" ht="30" hidden="1" customHeight="1" x14ac:dyDescent="0.25">
      <c r="A716" s="82">
        <v>180222</v>
      </c>
      <c r="B716" s="664" t="s">
        <v>442</v>
      </c>
      <c r="C716" s="71" t="s">
        <v>133</v>
      </c>
      <c r="D716" s="71">
        <v>2</v>
      </c>
      <c r="E716" s="102">
        <v>327000</v>
      </c>
      <c r="F716" s="102">
        <f t="shared" si="307"/>
        <v>719400</v>
      </c>
      <c r="G716" s="102">
        <f t="shared" si="308"/>
        <v>654000</v>
      </c>
      <c r="H716" s="690" t="s">
        <v>173</v>
      </c>
      <c r="I716" s="71" t="s">
        <v>141</v>
      </c>
      <c r="J716" s="53">
        <f>(G716-(VLOOKUP(C716,Price!B:D,3,FALSE)*D716))</f>
        <v>115800</v>
      </c>
      <c r="K716" s="63">
        <f t="shared" si="309"/>
        <v>0.17706422018348625</v>
      </c>
      <c r="L716" s="871">
        <v>18.2</v>
      </c>
      <c r="M716" s="468"/>
      <c r="N716" s="664">
        <f t="shared" ref="N716:N788" si="313">A716</f>
        <v>180222</v>
      </c>
      <c r="O716" s="71" t="s">
        <v>145</v>
      </c>
      <c r="P716" s="103" t="str">
        <f t="shared" si="310"/>
        <v>Agfa Film(24inch)</v>
      </c>
      <c r="Q716" s="71">
        <f t="shared" ref="Q716:Q729" si="314">D716</f>
        <v>2</v>
      </c>
      <c r="R716" s="102">
        <f>VLOOKUP(P716,Price!B:D,3,FALSE)</f>
        <v>269100</v>
      </c>
      <c r="S716" s="102">
        <f t="shared" si="311"/>
        <v>592020</v>
      </c>
      <c r="T716" s="102">
        <f t="shared" si="312"/>
        <v>538200</v>
      </c>
      <c r="U716" s="71" t="str">
        <f t="shared" si="305"/>
        <v>O</v>
      </c>
      <c r="V716" s="71"/>
      <c r="W716" s="482">
        <f t="shared" si="306"/>
        <v>115800</v>
      </c>
      <c r="X716" s="71"/>
      <c r="Y716" s="71"/>
    </row>
    <row r="717" spans="1:25" ht="30" hidden="1" customHeight="1" x14ac:dyDescent="0.25">
      <c r="A717" s="82">
        <v>180222</v>
      </c>
      <c r="B717" s="664" t="s">
        <v>442</v>
      </c>
      <c r="C717" s="71" t="s">
        <v>134</v>
      </c>
      <c r="D717" s="71">
        <v>2</v>
      </c>
      <c r="E717" s="102">
        <v>401000</v>
      </c>
      <c r="F717" s="102">
        <f t="shared" si="307"/>
        <v>882200.00000000012</v>
      </c>
      <c r="G717" s="102">
        <f t="shared" si="308"/>
        <v>802000</v>
      </c>
      <c r="H717" s="690" t="s">
        <v>173</v>
      </c>
      <c r="I717" s="71" t="s">
        <v>141</v>
      </c>
      <c r="J717" s="53">
        <f>(G717-(VLOOKUP(C717,Price!B:D,3,FALSE)*D717))</f>
        <v>174080</v>
      </c>
      <c r="K717" s="63">
        <f t="shared" si="309"/>
        <v>0.21705735660847877</v>
      </c>
      <c r="L717" s="871">
        <v>18.2</v>
      </c>
      <c r="M717" s="468"/>
      <c r="N717" s="664">
        <f t="shared" si="313"/>
        <v>180222</v>
      </c>
      <c r="O717" s="71" t="s">
        <v>145</v>
      </c>
      <c r="P717" s="103" t="str">
        <f t="shared" si="310"/>
        <v>Agfa Film(28inch)</v>
      </c>
      <c r="Q717" s="71">
        <f t="shared" si="314"/>
        <v>2</v>
      </c>
      <c r="R717" s="102">
        <f>VLOOKUP(P717,Price!B:D,3,FALSE)</f>
        <v>313960</v>
      </c>
      <c r="S717" s="102">
        <f t="shared" si="311"/>
        <v>690712</v>
      </c>
      <c r="T717" s="102">
        <f t="shared" si="312"/>
        <v>627920</v>
      </c>
      <c r="U717" s="71" t="str">
        <f t="shared" si="305"/>
        <v>O</v>
      </c>
      <c r="V717" s="71"/>
      <c r="W717" s="482">
        <f t="shared" si="306"/>
        <v>174080</v>
      </c>
      <c r="X717" s="71"/>
      <c r="Y717" s="71"/>
    </row>
    <row r="718" spans="1:25" ht="30" hidden="1" customHeight="1" x14ac:dyDescent="0.25">
      <c r="A718" s="82">
        <v>180222</v>
      </c>
      <c r="B718" s="664" t="s">
        <v>442</v>
      </c>
      <c r="C718" s="71" t="s">
        <v>135</v>
      </c>
      <c r="D718" s="71">
        <v>2</v>
      </c>
      <c r="E718" s="102">
        <v>448000</v>
      </c>
      <c r="F718" s="102">
        <f t="shared" si="307"/>
        <v>985600.00000000012</v>
      </c>
      <c r="G718" s="102">
        <f t="shared" si="308"/>
        <v>896000</v>
      </c>
      <c r="H718" s="690" t="s">
        <v>173</v>
      </c>
      <c r="I718" s="71" t="s">
        <v>141</v>
      </c>
      <c r="J718" s="53">
        <f>(G718-(VLOOKUP(C718,Price!B:D,3,FALSE)*D718))</f>
        <v>155980</v>
      </c>
      <c r="K718" s="63">
        <f t="shared" si="309"/>
        <v>0.1740848214285714</v>
      </c>
      <c r="L718" s="871">
        <v>18.2</v>
      </c>
      <c r="M718" s="468"/>
      <c r="N718" s="664">
        <f t="shared" si="313"/>
        <v>180222</v>
      </c>
      <c r="O718" s="71" t="s">
        <v>145</v>
      </c>
      <c r="P718" s="103" t="str">
        <f t="shared" si="310"/>
        <v>Agfa Film(32inch)</v>
      </c>
      <c r="Q718" s="71">
        <f t="shared" si="314"/>
        <v>2</v>
      </c>
      <c r="R718" s="102">
        <f>VLOOKUP(P718,Price!B:D,3,FALSE)</f>
        <v>370010</v>
      </c>
      <c r="S718" s="102">
        <f t="shared" si="311"/>
        <v>814022.00000000012</v>
      </c>
      <c r="T718" s="102">
        <f t="shared" si="312"/>
        <v>740020</v>
      </c>
      <c r="U718" s="71" t="str">
        <f t="shared" si="305"/>
        <v>O</v>
      </c>
      <c r="V718" s="71"/>
      <c r="W718" s="482">
        <f t="shared" si="306"/>
        <v>155980</v>
      </c>
      <c r="X718" s="71"/>
      <c r="Y718" s="71"/>
    </row>
    <row r="719" spans="1:25" ht="30" hidden="1" customHeight="1" x14ac:dyDescent="0.25">
      <c r="A719" s="82">
        <v>180222</v>
      </c>
      <c r="B719" s="664" t="s">
        <v>442</v>
      </c>
      <c r="C719" s="71" t="s">
        <v>649</v>
      </c>
      <c r="D719" s="71">
        <v>2</v>
      </c>
      <c r="E719" s="102">
        <v>41000</v>
      </c>
      <c r="F719" s="102">
        <f t="shared" si="307"/>
        <v>90200.000000000015</v>
      </c>
      <c r="G719" s="102">
        <f t="shared" si="308"/>
        <v>82000</v>
      </c>
      <c r="H719" s="690" t="s">
        <v>173</v>
      </c>
      <c r="I719" s="71" t="s">
        <v>141</v>
      </c>
      <c r="J719" s="53">
        <f>(G719-(VLOOKUP(C719,Price!B:D,3,FALSE)*D719))</f>
        <v>32000</v>
      </c>
      <c r="K719" s="63">
        <f t="shared" si="309"/>
        <v>0.39024390243902435</v>
      </c>
      <c r="L719" s="871">
        <v>18.2</v>
      </c>
      <c r="M719" s="468"/>
      <c r="N719" s="664">
        <f t="shared" si="313"/>
        <v>180222</v>
      </c>
      <c r="O719" s="71" t="s">
        <v>145</v>
      </c>
      <c r="P719" s="103" t="str">
        <f t="shared" si="310"/>
        <v>Agfa 현상액 G101C(10L)</v>
      </c>
      <c r="Q719" s="71">
        <f t="shared" si="314"/>
        <v>2</v>
      </c>
      <c r="R719" s="102">
        <f>VLOOKUP(P719,Price!B:D,3,FALSE)</f>
        <v>25000</v>
      </c>
      <c r="S719" s="102">
        <f t="shared" si="311"/>
        <v>55000.000000000007</v>
      </c>
      <c r="T719" s="102">
        <f t="shared" si="312"/>
        <v>50000</v>
      </c>
      <c r="U719" s="71" t="str">
        <f t="shared" si="305"/>
        <v>O</v>
      </c>
      <c r="V719" s="71"/>
      <c r="W719" s="482">
        <f t="shared" si="306"/>
        <v>32000</v>
      </c>
      <c r="X719" s="71"/>
      <c r="Y719" s="71"/>
    </row>
    <row r="720" spans="1:25" s="602" customFormat="1" ht="30" hidden="1" customHeight="1" x14ac:dyDescent="0.2">
      <c r="A720" s="85">
        <v>180222</v>
      </c>
      <c r="B720" s="668" t="s">
        <v>442</v>
      </c>
      <c r="C720" s="84" t="s">
        <v>650</v>
      </c>
      <c r="D720" s="84">
        <v>1</v>
      </c>
      <c r="E720" s="189">
        <v>93000</v>
      </c>
      <c r="F720" s="190">
        <f t="shared" si="307"/>
        <v>102300.00000000001</v>
      </c>
      <c r="G720" s="190">
        <f t="shared" si="308"/>
        <v>93000</v>
      </c>
      <c r="H720" s="191" t="s">
        <v>172</v>
      </c>
      <c r="I720" s="84" t="s">
        <v>141</v>
      </c>
      <c r="J720" s="61">
        <f>(G720-(VLOOKUP(C720,Price!B:D,3,FALSE)*D720))</f>
        <v>33000</v>
      </c>
      <c r="K720" s="62">
        <f t="shared" si="309"/>
        <v>0.35483870967741932</v>
      </c>
      <c r="L720" s="873">
        <v>18.2</v>
      </c>
      <c r="M720" s="601"/>
      <c r="N720" s="668">
        <f t="shared" si="313"/>
        <v>180222</v>
      </c>
      <c r="O720" s="84" t="s">
        <v>145</v>
      </c>
      <c r="P720" s="133" t="str">
        <f t="shared" si="310"/>
        <v>Agfa 정착액 G333C(20L)</v>
      </c>
      <c r="Q720" s="84">
        <f t="shared" si="314"/>
        <v>1</v>
      </c>
      <c r="R720" s="189">
        <f>VLOOKUP(P720,Price!B:D,3,FALSE)</f>
        <v>60000</v>
      </c>
      <c r="S720" s="189">
        <f t="shared" si="311"/>
        <v>66000</v>
      </c>
      <c r="T720" s="189">
        <f t="shared" si="312"/>
        <v>60000</v>
      </c>
      <c r="U720" s="84" t="str">
        <f t="shared" si="305"/>
        <v>O</v>
      </c>
      <c r="V720" s="84"/>
      <c r="W720" s="481">
        <f t="shared" si="306"/>
        <v>33000</v>
      </c>
      <c r="X720" s="84"/>
      <c r="Y720" s="84"/>
    </row>
    <row r="721" spans="1:25" ht="30" hidden="1" customHeight="1" x14ac:dyDescent="0.25">
      <c r="A721" s="80">
        <v>180223</v>
      </c>
      <c r="B721" s="663" t="s">
        <v>545</v>
      </c>
      <c r="C721" s="73" t="s">
        <v>1010</v>
      </c>
      <c r="D721" s="73">
        <v>3</v>
      </c>
      <c r="E721" s="147">
        <v>135000</v>
      </c>
      <c r="F721" s="147">
        <f t="shared" si="307"/>
        <v>445500.00000000006</v>
      </c>
      <c r="G721" s="147">
        <f t="shared" si="308"/>
        <v>405000</v>
      </c>
      <c r="H721" s="689" t="s">
        <v>173</v>
      </c>
      <c r="I721" s="73" t="s">
        <v>108</v>
      </c>
      <c r="J721" s="60">
        <f>(G721-(VLOOKUP(C721,Price!B:D,3,FALSE)*D721))</f>
        <v>75000</v>
      </c>
      <c r="K721" s="427">
        <f t="shared" si="309"/>
        <v>0.18518518518518515</v>
      </c>
      <c r="L721" s="874">
        <v>18.2</v>
      </c>
      <c r="M721" s="584"/>
      <c r="N721" s="663">
        <f t="shared" si="313"/>
        <v>180223</v>
      </c>
      <c r="O721" s="73" t="s">
        <v>148</v>
      </c>
      <c r="P721" s="132" t="str">
        <f t="shared" si="310"/>
        <v>Offset UV wash</v>
      </c>
      <c r="Q721" s="73">
        <f t="shared" si="314"/>
        <v>3</v>
      </c>
      <c r="R721" s="147">
        <v>110000</v>
      </c>
      <c r="S721" s="147">
        <f t="shared" si="311"/>
        <v>363000.00000000006</v>
      </c>
      <c r="T721" s="147">
        <f t="shared" si="312"/>
        <v>330000</v>
      </c>
      <c r="U721" s="73" t="str">
        <f t="shared" si="305"/>
        <v>O</v>
      </c>
      <c r="V721" s="73"/>
      <c r="W721" s="515">
        <f t="shared" si="306"/>
        <v>75000</v>
      </c>
      <c r="X721" s="73"/>
      <c r="Y721" s="73"/>
    </row>
    <row r="722" spans="1:25" s="616" customFormat="1" ht="30" hidden="1" customHeight="1" x14ac:dyDescent="0.25">
      <c r="A722" s="80">
        <v>180223</v>
      </c>
      <c r="B722" s="663" t="s">
        <v>546</v>
      </c>
      <c r="C722" s="73" t="s">
        <v>1063</v>
      </c>
      <c r="D722" s="73">
        <v>1</v>
      </c>
      <c r="E722" s="147">
        <v>800000</v>
      </c>
      <c r="F722" s="147">
        <f t="shared" si="307"/>
        <v>880000.00000000012</v>
      </c>
      <c r="G722" s="147">
        <f t="shared" si="308"/>
        <v>800000</v>
      </c>
      <c r="H722" s="786" t="s">
        <v>113</v>
      </c>
      <c r="I722" s="73"/>
      <c r="J722" s="60">
        <f>G722-T722</f>
        <v>677326.30060229218</v>
      </c>
      <c r="K722" s="427">
        <f t="shared" si="309"/>
        <v>0.84665787575286511</v>
      </c>
      <c r="L722" s="874">
        <v>18.2</v>
      </c>
      <c r="M722" s="584"/>
      <c r="N722" s="663">
        <f t="shared" si="313"/>
        <v>180223</v>
      </c>
      <c r="O722" s="807" t="s">
        <v>113</v>
      </c>
      <c r="P722" s="132" t="str">
        <f t="shared" si="310"/>
        <v>에어 실린더(X73208)</v>
      </c>
      <c r="Q722" s="73">
        <f t="shared" si="314"/>
        <v>1</v>
      </c>
      <c r="R722" s="147">
        <f>Import!G74</f>
        <v>122673.69939770777</v>
      </c>
      <c r="S722" s="102">
        <f t="shared" si="311"/>
        <v>134941.06933747855</v>
      </c>
      <c r="T722" s="102">
        <f t="shared" si="312"/>
        <v>122673.69939770777</v>
      </c>
      <c r="U722" s="71" t="str">
        <f t="shared" si="305"/>
        <v>O</v>
      </c>
      <c r="V722" s="73"/>
      <c r="W722" s="520">
        <f t="shared" si="306"/>
        <v>677326.30060229218</v>
      </c>
      <c r="X722" s="73"/>
      <c r="Y722" s="73"/>
    </row>
    <row r="723" spans="1:25" s="602" customFormat="1" ht="30" hidden="1" customHeight="1" x14ac:dyDescent="0.25">
      <c r="A723" s="612">
        <v>180223</v>
      </c>
      <c r="B723" s="672" t="s">
        <v>445</v>
      </c>
      <c r="C723" s="411" t="s">
        <v>121</v>
      </c>
      <c r="D723" s="411">
        <v>5</v>
      </c>
      <c r="E723" s="198">
        <v>110000</v>
      </c>
      <c r="F723" s="198">
        <f t="shared" si="307"/>
        <v>605000</v>
      </c>
      <c r="G723" s="198">
        <f t="shared" si="308"/>
        <v>550000</v>
      </c>
      <c r="H723" s="696" t="s">
        <v>173</v>
      </c>
      <c r="I723" s="411" t="s">
        <v>142</v>
      </c>
      <c r="J723" s="64">
        <f>(G723-(VLOOKUP(C723,Price!B:D,3,FALSE)*D723))</f>
        <v>95000</v>
      </c>
      <c r="K723" s="425">
        <f t="shared" si="309"/>
        <v>0.17272727272727273</v>
      </c>
      <c r="L723" s="612">
        <v>18.2</v>
      </c>
      <c r="M723" s="581"/>
      <c r="N723" s="672">
        <f t="shared" si="313"/>
        <v>180223</v>
      </c>
      <c r="O723" s="411" t="s">
        <v>150</v>
      </c>
      <c r="P723" s="465" t="str">
        <f>(C723)</f>
        <v>윤전용 실리콘</v>
      </c>
      <c r="Q723" s="411">
        <f t="shared" si="314"/>
        <v>5</v>
      </c>
      <c r="R723" s="198">
        <v>91000</v>
      </c>
      <c r="S723" s="198">
        <f>(R723*D723)*1.1</f>
        <v>500500.00000000006</v>
      </c>
      <c r="T723" s="198">
        <f>(R723*Q723)</f>
        <v>455000</v>
      </c>
      <c r="U723" s="411" t="str">
        <f t="shared" si="305"/>
        <v>O</v>
      </c>
      <c r="V723" s="411"/>
      <c r="W723" s="481">
        <f t="shared" si="306"/>
        <v>95000</v>
      </c>
      <c r="X723" s="411"/>
      <c r="Y723" s="411"/>
    </row>
    <row r="724" spans="1:25" ht="30" hidden="1" customHeight="1" x14ac:dyDescent="0.25">
      <c r="A724" s="80">
        <v>180224</v>
      </c>
      <c r="B724" s="663" t="s">
        <v>620</v>
      </c>
      <c r="C724" s="73" t="s">
        <v>107</v>
      </c>
      <c r="D724" s="73">
        <v>3</v>
      </c>
      <c r="E724" s="147">
        <v>120000</v>
      </c>
      <c r="F724" s="147">
        <f t="shared" si="307"/>
        <v>396000.00000000006</v>
      </c>
      <c r="G724" s="147">
        <f t="shared" si="308"/>
        <v>360000</v>
      </c>
      <c r="H724" s="689" t="s">
        <v>172</v>
      </c>
      <c r="I724" s="73" t="s">
        <v>109</v>
      </c>
      <c r="J724" s="60">
        <f>(G724-(VLOOKUP(C724,Price!B:D,3,FALSE)*D724))</f>
        <v>118500</v>
      </c>
      <c r="K724" s="427">
        <f>(J724/(F724/11*10))</f>
        <v>0.32916666666666661</v>
      </c>
      <c r="L724" s="80">
        <v>18.2</v>
      </c>
      <c r="M724" s="584" t="s">
        <v>672</v>
      </c>
      <c r="N724" s="663">
        <f t="shared" si="313"/>
        <v>180224</v>
      </c>
      <c r="O724" s="73" t="s">
        <v>147</v>
      </c>
      <c r="P724" s="132" t="str">
        <f>(C724)</f>
        <v>Blanket(1050*840)</v>
      </c>
      <c r="Q724" s="73">
        <f t="shared" si="314"/>
        <v>3</v>
      </c>
      <c r="R724" s="147">
        <v>80500</v>
      </c>
      <c r="S724" s="147">
        <f>(R724*D724)*1.1</f>
        <v>265650</v>
      </c>
      <c r="T724" s="147">
        <f>(R724*Q724)</f>
        <v>241500</v>
      </c>
      <c r="U724" s="73" t="str">
        <f t="shared" si="305"/>
        <v>O</v>
      </c>
      <c r="V724" s="73"/>
      <c r="W724" s="482">
        <f t="shared" si="306"/>
        <v>118500</v>
      </c>
      <c r="X724" s="73"/>
      <c r="Y724" s="73"/>
    </row>
    <row r="725" spans="1:25" s="602" customFormat="1" ht="30" hidden="1" customHeight="1" x14ac:dyDescent="0.25">
      <c r="A725" s="85">
        <v>180224</v>
      </c>
      <c r="B725" s="668" t="s">
        <v>620</v>
      </c>
      <c r="C725" s="84" t="s">
        <v>1059</v>
      </c>
      <c r="D725" s="84">
        <v>1</v>
      </c>
      <c r="E725" s="189">
        <v>110000</v>
      </c>
      <c r="F725" s="189">
        <f t="shared" si="307"/>
        <v>121000.00000000001</v>
      </c>
      <c r="G725" s="189">
        <f t="shared" si="308"/>
        <v>110000</v>
      </c>
      <c r="H725" s="691" t="s">
        <v>173</v>
      </c>
      <c r="I725" s="84" t="s">
        <v>142</v>
      </c>
      <c r="J725" s="61">
        <f>G725-R725</f>
        <v>60000</v>
      </c>
      <c r="K725" s="62">
        <f>(J725/(F725/11*10))</f>
        <v>0.54545454545454541</v>
      </c>
      <c r="L725" s="873">
        <v>18.2</v>
      </c>
      <c r="M725" s="601"/>
      <c r="N725" s="668">
        <f t="shared" si="313"/>
        <v>180224</v>
      </c>
      <c r="O725" s="84" t="s">
        <v>153</v>
      </c>
      <c r="P725" s="133" t="str">
        <f>C725</f>
        <v>아스테이지(닥트호일)</v>
      </c>
      <c r="Q725" s="84">
        <f t="shared" si="314"/>
        <v>1</v>
      </c>
      <c r="R725" s="189">
        <v>50000</v>
      </c>
      <c r="S725" s="189">
        <f>R725*Q725*1.1</f>
        <v>55000.000000000007</v>
      </c>
      <c r="T725" s="189">
        <f>R725*Q725</f>
        <v>50000</v>
      </c>
      <c r="U725" s="84" t="str">
        <f t="shared" si="305"/>
        <v>O</v>
      </c>
      <c r="V725" s="84" t="s">
        <v>1146</v>
      </c>
      <c r="W725" s="481">
        <f t="shared" si="306"/>
        <v>60000</v>
      </c>
      <c r="X725" s="84"/>
      <c r="Y725" s="84"/>
    </row>
    <row r="726" spans="1:25" ht="30" hidden="1" customHeight="1" x14ac:dyDescent="0.25">
      <c r="A726" s="80">
        <v>180226</v>
      </c>
      <c r="B726" s="663" t="s">
        <v>546</v>
      </c>
      <c r="C726" s="73" t="s">
        <v>121</v>
      </c>
      <c r="D726" s="73">
        <v>8</v>
      </c>
      <c r="E726" s="147">
        <v>110000</v>
      </c>
      <c r="F726" s="147">
        <f t="shared" si="307"/>
        <v>968000.00000000012</v>
      </c>
      <c r="G726" s="147">
        <f t="shared" si="308"/>
        <v>880000</v>
      </c>
      <c r="H726" s="689" t="s">
        <v>173</v>
      </c>
      <c r="I726" s="73" t="s">
        <v>142</v>
      </c>
      <c r="J726" s="60">
        <f>(G726-(VLOOKUP(C726,Price!B:D,3,FALSE)*D726))</f>
        <v>152000</v>
      </c>
      <c r="K726" s="427">
        <f>(J726/(F726/11*10))</f>
        <v>0.1727272727272727</v>
      </c>
      <c r="L726" s="874">
        <v>18.2</v>
      </c>
      <c r="M726" s="584"/>
      <c r="N726" s="663">
        <f t="shared" si="313"/>
        <v>180226</v>
      </c>
      <c r="O726" s="73" t="s">
        <v>150</v>
      </c>
      <c r="P726" s="132" t="str">
        <f>C726</f>
        <v>윤전용 실리콘</v>
      </c>
      <c r="Q726" s="73">
        <f t="shared" si="314"/>
        <v>8</v>
      </c>
      <c r="R726" s="147">
        <v>91000</v>
      </c>
      <c r="S726" s="147">
        <f>R726*Q726*1.1</f>
        <v>800800.00000000012</v>
      </c>
      <c r="T726" s="147">
        <f>R726*Q726</f>
        <v>728000</v>
      </c>
      <c r="U726" s="73" t="str">
        <f t="shared" si="305"/>
        <v>O</v>
      </c>
      <c r="V726" s="73"/>
      <c r="W726" s="515">
        <f t="shared" si="306"/>
        <v>152000</v>
      </c>
      <c r="X726" s="73"/>
      <c r="Y726" s="73"/>
    </row>
    <row r="727" spans="1:25" ht="30" customHeight="1" x14ac:dyDescent="0.25">
      <c r="A727" s="82">
        <v>180226</v>
      </c>
      <c r="B727" s="664" t="s">
        <v>422</v>
      </c>
      <c r="C727" s="71" t="s">
        <v>129</v>
      </c>
      <c r="D727" s="71">
        <v>7</v>
      </c>
      <c r="E727" s="102">
        <v>272000</v>
      </c>
      <c r="F727" s="102">
        <f t="shared" si="307"/>
        <v>2094400.0000000002</v>
      </c>
      <c r="G727" s="102">
        <f t="shared" si="308"/>
        <v>1904000</v>
      </c>
      <c r="H727" s="690" t="s">
        <v>173</v>
      </c>
      <c r="I727" s="71" t="s">
        <v>108</v>
      </c>
      <c r="J727" s="53">
        <f>(G727-(VLOOKUP(C727,Price!B:D,3,FALSE)*D727))</f>
        <v>448000</v>
      </c>
      <c r="K727" s="63">
        <v>0.23529411764705879</v>
      </c>
      <c r="L727" s="82">
        <v>18.2</v>
      </c>
      <c r="M727" s="468"/>
      <c r="N727" s="664">
        <f t="shared" si="313"/>
        <v>180226</v>
      </c>
      <c r="O727" s="71" t="s">
        <v>149</v>
      </c>
      <c r="P727" s="103" t="str">
        <f>C727</f>
        <v>세정포-XL106</v>
      </c>
      <c r="Q727" s="71">
        <f t="shared" si="314"/>
        <v>7</v>
      </c>
      <c r="R727" s="102">
        <v>208000</v>
      </c>
      <c r="S727" s="102">
        <f>R727*Q727*1.1</f>
        <v>1601600.0000000002</v>
      </c>
      <c r="T727" s="102">
        <f>R727*Q727</f>
        <v>1456000</v>
      </c>
      <c r="U727" s="71" t="str">
        <f t="shared" si="305"/>
        <v>O</v>
      </c>
      <c r="V727" s="71"/>
      <c r="W727" s="515">
        <f t="shared" si="306"/>
        <v>448000</v>
      </c>
      <c r="X727" s="71"/>
      <c r="Y727" s="71"/>
    </row>
    <row r="728" spans="1:25" s="602" customFormat="1" ht="30" customHeight="1" x14ac:dyDescent="0.25">
      <c r="A728" s="85">
        <v>180226</v>
      </c>
      <c r="B728" s="668" t="s">
        <v>422</v>
      </c>
      <c r="C728" s="84" t="s">
        <v>584</v>
      </c>
      <c r="D728" s="84">
        <v>2</v>
      </c>
      <c r="E728" s="189">
        <v>270000</v>
      </c>
      <c r="F728" s="189">
        <f t="shared" si="307"/>
        <v>594000</v>
      </c>
      <c r="G728" s="189">
        <f t="shared" si="308"/>
        <v>540000</v>
      </c>
      <c r="H728" s="691" t="s">
        <v>173</v>
      </c>
      <c r="I728" s="84" t="s">
        <v>142</v>
      </c>
      <c r="J728" s="61">
        <f>(G728-(VLOOKUP(C728,Price!B:D,3,FALSE)*D728))</f>
        <v>108000</v>
      </c>
      <c r="K728" s="62">
        <f>(J728/(F728/11*10))</f>
        <v>0.2</v>
      </c>
      <c r="L728" s="85">
        <v>18.2</v>
      </c>
      <c r="M728" s="601"/>
      <c r="N728" s="668">
        <f t="shared" si="313"/>
        <v>180226</v>
      </c>
      <c r="O728" s="84" t="s">
        <v>150</v>
      </c>
      <c r="P728" s="133" t="str">
        <f>C728</f>
        <v>데리바리 석션벨트</v>
      </c>
      <c r="Q728" s="84">
        <f t="shared" si="314"/>
        <v>2</v>
      </c>
      <c r="R728" s="189">
        <v>216000</v>
      </c>
      <c r="S728" s="189">
        <f>R728*Q728*1.1</f>
        <v>475200.00000000006</v>
      </c>
      <c r="T728" s="189">
        <f>R728*Q728</f>
        <v>432000</v>
      </c>
      <c r="U728" s="84" t="str">
        <f t="shared" si="305"/>
        <v>O</v>
      </c>
      <c r="V728" s="84"/>
      <c r="W728" s="481">
        <f t="shared" si="306"/>
        <v>108000</v>
      </c>
      <c r="X728" s="84"/>
      <c r="Y728" s="84"/>
    </row>
    <row r="729" spans="1:25" s="635" customFormat="1" ht="30" hidden="1" customHeight="1" x14ac:dyDescent="0.25">
      <c r="A729" s="159">
        <v>180228</v>
      </c>
      <c r="B729" s="676" t="s">
        <v>558</v>
      </c>
      <c r="C729" s="157" t="s">
        <v>559</v>
      </c>
      <c r="D729" s="157">
        <v>10</v>
      </c>
      <c r="E729" s="526">
        <v>130000</v>
      </c>
      <c r="F729" s="526">
        <f t="shared" si="307"/>
        <v>1430000</v>
      </c>
      <c r="G729" s="526">
        <f t="shared" si="308"/>
        <v>1300000</v>
      </c>
      <c r="H729" s="790" t="s">
        <v>173</v>
      </c>
      <c r="I729" s="157" t="s">
        <v>109</v>
      </c>
      <c r="J729" s="503">
        <f>(G729-(VLOOKUP(C729,Price!B:D,3,FALSE)*D729))</f>
        <v>450000</v>
      </c>
      <c r="K729" s="65">
        <f>(J729/(F729/11*10))</f>
        <v>0.34615384615384615</v>
      </c>
      <c r="L729" s="900">
        <v>18.2</v>
      </c>
      <c r="M729" s="634"/>
      <c r="N729" s="676">
        <f>A729</f>
        <v>180228</v>
      </c>
      <c r="O729" s="157" t="s">
        <v>560</v>
      </c>
      <c r="P729" s="633" t="str">
        <f>(C729)</f>
        <v>Blanket(1050*840)bar</v>
      </c>
      <c r="Q729" s="157">
        <f t="shared" si="314"/>
        <v>10</v>
      </c>
      <c r="R729" s="526">
        <v>85000</v>
      </c>
      <c r="S729" s="526">
        <f>(R729*D729)*1.1</f>
        <v>935000.00000000012</v>
      </c>
      <c r="T729" s="526">
        <f>(R729*Q729)</f>
        <v>850000</v>
      </c>
      <c r="U729" s="157" t="str">
        <f t="shared" si="305"/>
        <v>O</v>
      </c>
      <c r="V729" s="157"/>
      <c r="W729" s="508">
        <f t="shared" si="306"/>
        <v>450000</v>
      </c>
      <c r="X729" s="157"/>
      <c r="Y729" s="157"/>
    </row>
    <row r="730" spans="1:25" s="496" customFormat="1" ht="45" hidden="1" customHeight="1" x14ac:dyDescent="0.25">
      <c r="A730" s="869">
        <v>2018.3</v>
      </c>
      <c r="B730" s="675" t="s">
        <v>544</v>
      </c>
      <c r="C730" s="488"/>
      <c r="D730" s="488"/>
      <c r="E730" s="489"/>
      <c r="F730" s="489"/>
      <c r="G730" s="489"/>
      <c r="H730" s="490"/>
      <c r="I730" s="491"/>
      <c r="J730" s="492"/>
      <c r="K730" s="493"/>
      <c r="L730" s="870">
        <v>18.3</v>
      </c>
      <c r="M730" s="645"/>
      <c r="N730" s="725">
        <f t="shared" si="313"/>
        <v>2018.3</v>
      </c>
      <c r="O730" s="488" t="s">
        <v>154</v>
      </c>
      <c r="P730" s="729"/>
      <c r="Q730" s="494"/>
      <c r="R730" s="495"/>
      <c r="S730" s="492"/>
      <c r="T730" s="492"/>
      <c r="W730" s="497"/>
    </row>
    <row r="731" spans="1:25" ht="30" hidden="1" customHeight="1" x14ac:dyDescent="0.25">
      <c r="A731" s="82">
        <v>180226</v>
      </c>
      <c r="B731" s="664" t="s">
        <v>591</v>
      </c>
      <c r="C731" s="71" t="s">
        <v>1123</v>
      </c>
      <c r="D731" s="71">
        <v>1</v>
      </c>
      <c r="E731" s="102">
        <v>2580000</v>
      </c>
      <c r="F731" s="102">
        <f>(E731*D731)*1.1</f>
        <v>2838000</v>
      </c>
      <c r="G731" s="102">
        <f>(E731*D731)</f>
        <v>2580000</v>
      </c>
      <c r="H731" s="690" t="s">
        <v>173</v>
      </c>
      <c r="I731" s="71" t="s">
        <v>143</v>
      </c>
      <c r="J731" s="53">
        <f>G731-T731</f>
        <v>640000</v>
      </c>
      <c r="K731" s="63">
        <f t="shared" ref="K731:K740" si="315">(J731/(F731/11*10))</f>
        <v>0.24806201550387597</v>
      </c>
      <c r="L731" s="871">
        <v>18.3</v>
      </c>
      <c r="M731" s="468"/>
      <c r="N731" s="664">
        <f>A731</f>
        <v>180226</v>
      </c>
      <c r="O731" s="71" t="s">
        <v>612</v>
      </c>
      <c r="P731" s="103" t="str">
        <f>C731</f>
        <v>M600&amp;고모리 롤러 Set</v>
      </c>
      <c r="Q731" s="71">
        <f>D731</f>
        <v>1</v>
      </c>
      <c r="R731" s="102">
        <v>1940000</v>
      </c>
      <c r="S731" s="102">
        <f t="shared" ref="S731:S746" si="316">R731*Q731*1.1</f>
        <v>2134000</v>
      </c>
      <c r="T731" s="102">
        <f t="shared" ref="T731:T746" si="317">R731*Q731</f>
        <v>1940000</v>
      </c>
      <c r="U731" s="71" t="str">
        <f t="shared" ref="U731:U762" si="318">IF(J731=W731,"O", "X")</f>
        <v>O</v>
      </c>
      <c r="V731" s="71"/>
      <c r="W731" s="482">
        <f t="shared" ref="W731:W762" si="319">(G731-T731)</f>
        <v>640000</v>
      </c>
      <c r="X731" s="71"/>
      <c r="Y731" s="71"/>
    </row>
    <row r="732" spans="1:25" ht="30" hidden="1" customHeight="1" x14ac:dyDescent="0.25">
      <c r="A732" s="82">
        <v>180226</v>
      </c>
      <c r="B732" s="664" t="s">
        <v>764</v>
      </c>
      <c r="C732" s="71" t="s">
        <v>1067</v>
      </c>
      <c r="D732" s="71">
        <v>5</v>
      </c>
      <c r="E732" s="102">
        <v>98000</v>
      </c>
      <c r="F732" s="102">
        <f t="shared" ref="F732:F740" si="320">(E732*D732)*1.1</f>
        <v>539000</v>
      </c>
      <c r="G732" s="102">
        <f t="shared" ref="G732:G740" si="321">(E732*D732)</f>
        <v>490000</v>
      </c>
      <c r="H732" s="1010" t="s">
        <v>39</v>
      </c>
      <c r="I732" s="71"/>
      <c r="J732" s="53">
        <f>G732-S732</f>
        <v>277183.32462759386</v>
      </c>
      <c r="K732" s="63">
        <f t="shared" si="315"/>
        <v>0.56568025434202829</v>
      </c>
      <c r="L732" s="871">
        <v>18.3</v>
      </c>
      <c r="M732" s="468"/>
      <c r="N732" s="664">
        <f>A732</f>
        <v>180226</v>
      </c>
      <c r="O732" s="991" t="s">
        <v>39</v>
      </c>
      <c r="P732" s="103" t="str">
        <f t="shared" ref="P732:P746" si="322">C732</f>
        <v>Filter Catridge AKTIVKOHL TYP 108</v>
      </c>
      <c r="Q732" s="71">
        <f t="shared" ref="Q732:Q748" si="323">D732</f>
        <v>5</v>
      </c>
      <c r="R732" s="102">
        <f>Import!G618</f>
        <v>38693.940976801117</v>
      </c>
      <c r="S732" s="102">
        <f t="shared" si="316"/>
        <v>212816.67537240617</v>
      </c>
      <c r="T732" s="102">
        <f t="shared" si="317"/>
        <v>193469.70488400559</v>
      </c>
      <c r="U732" s="71" t="str">
        <f t="shared" si="318"/>
        <v>X</v>
      </c>
      <c r="V732" s="71"/>
      <c r="W732" s="482">
        <f t="shared" si="319"/>
        <v>296530.29511599441</v>
      </c>
      <c r="X732" s="71"/>
      <c r="Y732" s="71"/>
    </row>
    <row r="733" spans="1:25" ht="30" hidden="1" customHeight="1" x14ac:dyDescent="0.25">
      <c r="A733" s="82">
        <v>180226</v>
      </c>
      <c r="B733" s="664" t="s">
        <v>764</v>
      </c>
      <c r="C733" s="71" t="s">
        <v>1068</v>
      </c>
      <c r="D733" s="71">
        <v>30</v>
      </c>
      <c r="E733" s="102">
        <v>22400</v>
      </c>
      <c r="F733" s="102">
        <f t="shared" si="320"/>
        <v>739200.00000000012</v>
      </c>
      <c r="G733" s="102">
        <f t="shared" si="321"/>
        <v>672000</v>
      </c>
      <c r="H733" s="1010" t="s">
        <v>39</v>
      </c>
      <c r="I733" s="71"/>
      <c r="J733" s="53">
        <f>G733-S733</f>
        <v>399951.99277663417</v>
      </c>
      <c r="K733" s="63">
        <f t="shared" si="315"/>
        <v>0.59516665591761031</v>
      </c>
      <c r="L733" s="871">
        <v>18.3</v>
      </c>
      <c r="M733" s="468"/>
      <c r="N733" s="664">
        <f>A733</f>
        <v>180226</v>
      </c>
      <c r="O733" s="991" t="s">
        <v>39</v>
      </c>
      <c r="P733" s="103" t="str">
        <f t="shared" si="322"/>
        <v>Nozzle fine filter, 20 micron</v>
      </c>
      <c r="Q733" s="71">
        <f t="shared" si="323"/>
        <v>30</v>
      </c>
      <c r="R733" s="102">
        <f>Import!G623</f>
        <v>8243.8790067686605</v>
      </c>
      <c r="S733" s="102">
        <f t="shared" si="316"/>
        <v>272048.00722336583</v>
      </c>
      <c r="T733" s="102">
        <f t="shared" si="317"/>
        <v>247316.37020305981</v>
      </c>
      <c r="U733" s="71" t="str">
        <f t="shared" si="318"/>
        <v>X</v>
      </c>
      <c r="V733" s="71"/>
      <c r="W733" s="482">
        <f t="shared" si="319"/>
        <v>424683.62979694019</v>
      </c>
      <c r="X733" s="71"/>
      <c r="Y733" s="71"/>
    </row>
    <row r="734" spans="1:25" ht="30" hidden="1" customHeight="1" x14ac:dyDescent="0.25">
      <c r="A734" s="82">
        <v>180226</v>
      </c>
      <c r="B734" s="664" t="s">
        <v>764</v>
      </c>
      <c r="C734" s="71" t="s">
        <v>1070</v>
      </c>
      <c r="D734" s="71">
        <v>5</v>
      </c>
      <c r="E734" s="102">
        <v>9800</v>
      </c>
      <c r="F734" s="102">
        <f t="shared" si="320"/>
        <v>53900.000000000007</v>
      </c>
      <c r="G734" s="102">
        <f t="shared" si="321"/>
        <v>49000</v>
      </c>
      <c r="H734" s="1010" t="s">
        <v>39</v>
      </c>
      <c r="I734" s="71"/>
      <c r="J734" s="53">
        <f>G734-S734</f>
        <v>18929.147879364613</v>
      </c>
      <c r="K734" s="63">
        <f t="shared" si="315"/>
        <v>0.38630914039519615</v>
      </c>
      <c r="L734" s="871">
        <v>18.3</v>
      </c>
      <c r="M734" s="468"/>
      <c r="N734" s="664">
        <f>A734</f>
        <v>180226</v>
      </c>
      <c r="O734" s="991" t="s">
        <v>39</v>
      </c>
      <c r="P734" s="103" t="str">
        <f t="shared" si="322"/>
        <v>O-ring seal NBR70, 6.07x1.78mm</v>
      </c>
      <c r="Q734" s="71">
        <f t="shared" si="323"/>
        <v>5</v>
      </c>
      <c r="R734" s="102">
        <f>Import!G624</f>
        <v>5467.4276582973425</v>
      </c>
      <c r="S734" s="102">
        <f t="shared" si="316"/>
        <v>30070.852120635387</v>
      </c>
      <c r="T734" s="102">
        <f t="shared" si="317"/>
        <v>27337.138291486714</v>
      </c>
      <c r="U734" s="71" t="str">
        <f t="shared" si="318"/>
        <v>X</v>
      </c>
      <c r="V734" s="71"/>
      <c r="W734" s="482">
        <f t="shared" si="319"/>
        <v>21662.861708513286</v>
      </c>
      <c r="X734" s="71"/>
      <c r="Y734" s="71"/>
    </row>
    <row r="735" spans="1:25" s="616" customFormat="1" ht="30" hidden="1" customHeight="1" x14ac:dyDescent="0.25">
      <c r="A735" s="82">
        <v>180226</v>
      </c>
      <c r="B735" s="664" t="s">
        <v>764</v>
      </c>
      <c r="C735" s="71" t="s">
        <v>1069</v>
      </c>
      <c r="D735" s="71">
        <v>5</v>
      </c>
      <c r="E735" s="102">
        <v>9800</v>
      </c>
      <c r="F735" s="102">
        <f t="shared" si="320"/>
        <v>53900.000000000007</v>
      </c>
      <c r="G735" s="102">
        <f t="shared" si="321"/>
        <v>49000</v>
      </c>
      <c r="H735" s="1010" t="s">
        <v>39</v>
      </c>
      <c r="I735" s="71"/>
      <c r="J735" s="53">
        <f>G735-S735</f>
        <v>18929.147879364613</v>
      </c>
      <c r="K735" s="63">
        <f>(J735/(F735/11*10))</f>
        <v>0.38630914039519615</v>
      </c>
      <c r="L735" s="871">
        <v>18.3</v>
      </c>
      <c r="M735" s="468"/>
      <c r="N735" s="664">
        <f>A735</f>
        <v>180226</v>
      </c>
      <c r="O735" s="991" t="s">
        <v>39</v>
      </c>
      <c r="P735" s="103" t="str">
        <f t="shared" si="322"/>
        <v>O-ring seal NBR70, 7.00x1.50mm</v>
      </c>
      <c r="Q735" s="71">
        <f t="shared" si="323"/>
        <v>5</v>
      </c>
      <c r="R735" s="102">
        <f>R734</f>
        <v>5467.4276582973425</v>
      </c>
      <c r="S735" s="102">
        <f t="shared" si="316"/>
        <v>30070.852120635387</v>
      </c>
      <c r="T735" s="102">
        <f t="shared" si="317"/>
        <v>27337.138291486714</v>
      </c>
      <c r="U735" s="71" t="str">
        <f t="shared" si="318"/>
        <v>X</v>
      </c>
      <c r="V735" s="71"/>
      <c r="W735" s="520">
        <f t="shared" si="319"/>
        <v>21662.861708513286</v>
      </c>
      <c r="X735" s="71"/>
      <c r="Y735" s="71"/>
    </row>
    <row r="736" spans="1:25" s="602" customFormat="1" ht="30" hidden="1" customHeight="1" x14ac:dyDescent="0.25">
      <c r="A736" s="612">
        <v>180226</v>
      </c>
      <c r="B736" s="672" t="s">
        <v>764</v>
      </c>
      <c r="C736" s="411" t="s">
        <v>236</v>
      </c>
      <c r="D736" s="411">
        <v>5</v>
      </c>
      <c r="E736" s="198">
        <v>100000</v>
      </c>
      <c r="F736" s="198">
        <f t="shared" si="320"/>
        <v>550000</v>
      </c>
      <c r="G736" s="198">
        <f t="shared" si="321"/>
        <v>500000</v>
      </c>
      <c r="H736" s="696" t="s">
        <v>173</v>
      </c>
      <c r="I736" s="411" t="s">
        <v>142</v>
      </c>
      <c r="J736" s="64">
        <f>(G736-(VLOOKUP(C736,Price!B:D,3,FALSE)*D736))</f>
        <v>250000</v>
      </c>
      <c r="K736" s="425">
        <f t="shared" si="315"/>
        <v>0.5</v>
      </c>
      <c r="L736" s="899">
        <v>18.3</v>
      </c>
      <c r="M736" s="581"/>
      <c r="N736" s="672">
        <f t="shared" si="313"/>
        <v>180226</v>
      </c>
      <c r="O736" s="411" t="s">
        <v>153</v>
      </c>
      <c r="P736" s="465" t="str">
        <f t="shared" si="322"/>
        <v>아스테이지(국전)</v>
      </c>
      <c r="Q736" s="411">
        <f t="shared" si="323"/>
        <v>5</v>
      </c>
      <c r="R736" s="198">
        <f>VLOOKUP(P736,Price!B:D,3,FALSE)</f>
        <v>50000</v>
      </c>
      <c r="S736" s="198">
        <f t="shared" si="316"/>
        <v>275000</v>
      </c>
      <c r="T736" s="198">
        <f t="shared" si="317"/>
        <v>250000</v>
      </c>
      <c r="U736" s="411" t="str">
        <f t="shared" si="318"/>
        <v>O</v>
      </c>
      <c r="V736" s="411"/>
      <c r="W736" s="481">
        <f t="shared" si="319"/>
        <v>250000</v>
      </c>
      <c r="X736" s="411"/>
      <c r="Y736" s="411"/>
    </row>
    <row r="737" spans="1:25" s="610" customFormat="1" ht="30" customHeight="1" x14ac:dyDescent="0.25">
      <c r="A737" s="89">
        <v>180228</v>
      </c>
      <c r="B737" s="673" t="s">
        <v>422</v>
      </c>
      <c r="C737" s="872" t="s">
        <v>218</v>
      </c>
      <c r="D737" s="88">
        <v>5</v>
      </c>
      <c r="E737" s="470">
        <v>235000</v>
      </c>
      <c r="F737" s="470">
        <f>(E737*D737)*1.1</f>
        <v>1292500</v>
      </c>
      <c r="G737" s="470">
        <f>(E737*D737)</f>
        <v>1175000</v>
      </c>
      <c r="H737" s="695" t="s">
        <v>173</v>
      </c>
      <c r="I737" s="88" t="s">
        <v>120</v>
      </c>
      <c r="J737" s="107">
        <f>(G737-(VLOOKUP(C737,Price!B:D,3,FALSE)*D737))</f>
        <v>612500</v>
      </c>
      <c r="K737" s="469">
        <f t="shared" si="315"/>
        <v>0.52127659574468088</v>
      </c>
      <c r="L737" s="89">
        <v>18.3</v>
      </c>
      <c r="M737" s="575"/>
      <c r="N737" s="673">
        <f>A737</f>
        <v>180228</v>
      </c>
      <c r="O737" s="88" t="s">
        <v>150</v>
      </c>
      <c r="P737" s="134" t="str">
        <f>C737</f>
        <v>Fount Web 551AF</v>
      </c>
      <c r="Q737" s="88">
        <f>D737</f>
        <v>5</v>
      </c>
      <c r="R737" s="470">
        <v>112500</v>
      </c>
      <c r="S737" s="470">
        <f t="shared" si="316"/>
        <v>618750</v>
      </c>
      <c r="T737" s="470">
        <f t="shared" si="317"/>
        <v>562500</v>
      </c>
      <c r="U737" s="88" t="str">
        <f t="shared" si="318"/>
        <v>O</v>
      </c>
      <c r="V737" s="88" t="s">
        <v>1078</v>
      </c>
      <c r="W737" s="483">
        <f t="shared" si="319"/>
        <v>612500</v>
      </c>
      <c r="X737" s="88"/>
      <c r="Y737" s="88"/>
    </row>
    <row r="738" spans="1:25" ht="30" hidden="1" customHeight="1" x14ac:dyDescent="0.25">
      <c r="A738" s="80">
        <v>180301</v>
      </c>
      <c r="B738" s="663" t="s">
        <v>545</v>
      </c>
      <c r="C738" s="73" t="s">
        <v>167</v>
      </c>
      <c r="D738" s="73">
        <v>10</v>
      </c>
      <c r="E738" s="147">
        <v>110000</v>
      </c>
      <c r="F738" s="147">
        <f t="shared" si="320"/>
        <v>1210000</v>
      </c>
      <c r="G738" s="147">
        <f t="shared" si="321"/>
        <v>1100000</v>
      </c>
      <c r="H738" s="689" t="s">
        <v>173</v>
      </c>
      <c r="I738" s="73" t="s">
        <v>109</v>
      </c>
      <c r="J738" s="60">
        <f>(G738-(VLOOKUP(C738,Price!B:D,3,FALSE)*D738))</f>
        <v>271000</v>
      </c>
      <c r="K738" s="427">
        <f t="shared" si="315"/>
        <v>0.24636363636363637</v>
      </c>
      <c r="L738" s="874">
        <v>18.3</v>
      </c>
      <c r="M738" s="584"/>
      <c r="N738" s="663">
        <f t="shared" si="313"/>
        <v>180301</v>
      </c>
      <c r="O738" s="73" t="s">
        <v>147</v>
      </c>
      <c r="P738" s="132" t="str">
        <f t="shared" si="322"/>
        <v>Blanket(1060*860)</v>
      </c>
      <c r="Q738" s="73">
        <f t="shared" si="323"/>
        <v>10</v>
      </c>
      <c r="R738" s="147">
        <v>82900</v>
      </c>
      <c r="S738" s="147">
        <f t="shared" si="316"/>
        <v>911900.00000000012</v>
      </c>
      <c r="T738" s="147">
        <f t="shared" si="317"/>
        <v>829000</v>
      </c>
      <c r="U738" s="73" t="str">
        <f t="shared" si="318"/>
        <v>O</v>
      </c>
      <c r="V738" s="73"/>
      <c r="W738" s="482">
        <f t="shared" si="319"/>
        <v>271000</v>
      </c>
      <c r="X738" s="73"/>
      <c r="Y738" s="73"/>
    </row>
    <row r="739" spans="1:25" s="616" customFormat="1" ht="30" hidden="1" customHeight="1" x14ac:dyDescent="0.25">
      <c r="A739" s="82">
        <v>180301</v>
      </c>
      <c r="B739" s="664" t="s">
        <v>444</v>
      </c>
      <c r="C739" s="71" t="s">
        <v>132</v>
      </c>
      <c r="D739" s="71">
        <v>3</v>
      </c>
      <c r="E739" s="102">
        <v>135000</v>
      </c>
      <c r="F739" s="102">
        <f t="shared" si="320"/>
        <v>445500.00000000006</v>
      </c>
      <c r="G739" s="102">
        <f t="shared" si="321"/>
        <v>405000</v>
      </c>
      <c r="H739" s="690" t="s">
        <v>173</v>
      </c>
      <c r="I739" s="71" t="s">
        <v>108</v>
      </c>
      <c r="J739" s="53">
        <f>(G739-(VLOOKUP(C739,Price!B:D,3,FALSE)*D739))</f>
        <v>75000</v>
      </c>
      <c r="K739" s="63">
        <f t="shared" si="315"/>
        <v>0.18518518518518515</v>
      </c>
      <c r="L739" s="871">
        <v>18.3</v>
      </c>
      <c r="M739" s="468"/>
      <c r="N739" s="664">
        <f t="shared" si="313"/>
        <v>180301</v>
      </c>
      <c r="O739" s="71" t="s">
        <v>148</v>
      </c>
      <c r="P739" s="103" t="str">
        <f t="shared" si="322"/>
        <v>UV wash(20L)</v>
      </c>
      <c r="Q739" s="71">
        <f t="shared" si="323"/>
        <v>3</v>
      </c>
      <c r="R739" s="102">
        <v>110000</v>
      </c>
      <c r="S739" s="102">
        <f t="shared" si="316"/>
        <v>363000.00000000006</v>
      </c>
      <c r="T739" s="102">
        <f t="shared" si="317"/>
        <v>330000</v>
      </c>
      <c r="U739" s="71" t="str">
        <f t="shared" si="318"/>
        <v>O</v>
      </c>
      <c r="V739" s="71"/>
      <c r="W739" s="520">
        <f t="shared" si="319"/>
        <v>75000</v>
      </c>
      <c r="X739" s="71"/>
      <c r="Y739" s="71"/>
    </row>
    <row r="740" spans="1:25" s="803" customFormat="1" ht="30" hidden="1" customHeight="1" x14ac:dyDescent="0.25">
      <c r="A740" s="85">
        <v>180301</v>
      </c>
      <c r="B740" s="668" t="s">
        <v>983</v>
      </c>
      <c r="C740" s="84" t="s">
        <v>1009</v>
      </c>
      <c r="D740" s="84">
        <v>520</v>
      </c>
      <c r="E740" s="189">
        <v>3900</v>
      </c>
      <c r="F740" s="189">
        <f t="shared" si="320"/>
        <v>2230800</v>
      </c>
      <c r="G740" s="189">
        <f t="shared" si="321"/>
        <v>2028000</v>
      </c>
      <c r="H740" s="691" t="s">
        <v>173</v>
      </c>
      <c r="I740" s="84" t="s">
        <v>140</v>
      </c>
      <c r="J740" s="61">
        <f>(G740-(VLOOKUP(C740,Price!B:D,3,FALSE)*D740))</f>
        <v>312000</v>
      </c>
      <c r="K740" s="62">
        <f t="shared" si="315"/>
        <v>0.15384615384615385</v>
      </c>
      <c r="L740" s="873">
        <v>18.3</v>
      </c>
      <c r="M740" s="601"/>
      <c r="N740" s="668">
        <f t="shared" si="313"/>
        <v>180301</v>
      </c>
      <c r="O740" s="84" t="s">
        <v>147</v>
      </c>
      <c r="P740" s="133" t="str">
        <f t="shared" si="322"/>
        <v>CTP판(1030*790mm)</v>
      </c>
      <c r="Q740" s="84">
        <f t="shared" si="323"/>
        <v>520</v>
      </c>
      <c r="R740" s="189">
        <v>3300</v>
      </c>
      <c r="S740" s="189">
        <f t="shared" si="316"/>
        <v>1887600.0000000002</v>
      </c>
      <c r="T740" s="189">
        <f t="shared" si="317"/>
        <v>1716000</v>
      </c>
      <c r="U740" s="84" t="str">
        <f t="shared" si="318"/>
        <v>O</v>
      </c>
      <c r="V740" s="84"/>
      <c r="W740" s="766">
        <f t="shared" si="319"/>
        <v>312000</v>
      </c>
      <c r="X740" s="84"/>
      <c r="Y740" s="84"/>
    </row>
    <row r="741" spans="1:25" ht="30" hidden="1" customHeight="1" x14ac:dyDescent="0.25">
      <c r="A741" s="80">
        <v>180302</v>
      </c>
      <c r="B741" s="663" t="s">
        <v>1052</v>
      </c>
      <c r="C741" s="73" t="s">
        <v>585</v>
      </c>
      <c r="D741" s="73">
        <v>200</v>
      </c>
      <c r="E741" s="147">
        <v>7500</v>
      </c>
      <c r="F741" s="147">
        <f t="shared" ref="F741:F754" si="324">(E741*D741)*1.1</f>
        <v>1650000.0000000002</v>
      </c>
      <c r="G741" s="147">
        <f t="shared" ref="G741:G754" si="325">(E741*D741)</f>
        <v>1500000</v>
      </c>
      <c r="H741" s="689" t="s">
        <v>142</v>
      </c>
      <c r="I741" s="73" t="s">
        <v>144</v>
      </c>
      <c r="J741" s="60">
        <f>(G741-(VLOOKUP(C741,Price!B:D,3,FALSE)*D741))</f>
        <v>146000</v>
      </c>
      <c r="K741" s="427">
        <f t="shared" ref="K741:K751" si="326">(J741/(F741/11*10))</f>
        <v>9.7333333333333313E-2</v>
      </c>
      <c r="L741" s="874">
        <v>18.3</v>
      </c>
      <c r="M741" s="584"/>
      <c r="N741" s="663">
        <f t="shared" si="313"/>
        <v>180302</v>
      </c>
      <c r="O741" s="73" t="s">
        <v>147</v>
      </c>
      <c r="P741" s="132" t="str">
        <f t="shared" si="322"/>
        <v>프리미어(적)</v>
      </c>
      <c r="Q741" s="73">
        <f t="shared" si="323"/>
        <v>200</v>
      </c>
      <c r="R741" s="147">
        <v>6770</v>
      </c>
      <c r="S741" s="147">
        <f t="shared" si="316"/>
        <v>1489400.0000000002</v>
      </c>
      <c r="T741" s="147">
        <f t="shared" si="317"/>
        <v>1354000</v>
      </c>
      <c r="U741" s="73" t="str">
        <f t="shared" si="318"/>
        <v>O</v>
      </c>
      <c r="V741" s="73"/>
      <c r="W741" s="515">
        <f t="shared" si="319"/>
        <v>146000</v>
      </c>
      <c r="X741" s="73"/>
      <c r="Y741" s="73"/>
    </row>
    <row r="742" spans="1:25" ht="30" hidden="1" customHeight="1" x14ac:dyDescent="0.25">
      <c r="A742" s="82">
        <v>180302</v>
      </c>
      <c r="B742" s="664" t="s">
        <v>1061</v>
      </c>
      <c r="C742" s="71" t="s">
        <v>586</v>
      </c>
      <c r="D742" s="71">
        <v>200</v>
      </c>
      <c r="E742" s="102">
        <v>6750</v>
      </c>
      <c r="F742" s="102">
        <f t="shared" si="324"/>
        <v>1485000.0000000002</v>
      </c>
      <c r="G742" s="102">
        <f t="shared" si="325"/>
        <v>1350000</v>
      </c>
      <c r="H742" s="690" t="s">
        <v>142</v>
      </c>
      <c r="I742" s="71" t="s">
        <v>144</v>
      </c>
      <c r="J742" s="53">
        <f>(G742-(VLOOKUP(C742,Price!B:D,3,FALSE)*D742))</f>
        <v>114000</v>
      </c>
      <c r="K742" s="63">
        <f t="shared" si="326"/>
        <v>8.4444444444444433E-2</v>
      </c>
      <c r="L742" s="871">
        <v>18.3</v>
      </c>
      <c r="M742" s="468"/>
      <c r="N742" s="664">
        <f t="shared" si="313"/>
        <v>180302</v>
      </c>
      <c r="O742" s="71" t="s">
        <v>147</v>
      </c>
      <c r="P742" s="103" t="str">
        <f t="shared" si="322"/>
        <v>프리미어(황)</v>
      </c>
      <c r="Q742" s="71">
        <f t="shared" si="323"/>
        <v>200</v>
      </c>
      <c r="R742" s="102">
        <v>6180</v>
      </c>
      <c r="S742" s="102">
        <f t="shared" si="316"/>
        <v>1359600</v>
      </c>
      <c r="T742" s="102">
        <f t="shared" si="317"/>
        <v>1236000</v>
      </c>
      <c r="U742" s="71" t="str">
        <f t="shared" si="318"/>
        <v>O</v>
      </c>
      <c r="V742" s="71"/>
      <c r="W742" s="515">
        <f t="shared" si="319"/>
        <v>114000</v>
      </c>
      <c r="X742" s="71"/>
      <c r="Y742" s="71"/>
    </row>
    <row r="743" spans="1:25" ht="30" hidden="1" customHeight="1" x14ac:dyDescent="0.25">
      <c r="A743" s="82">
        <v>180302</v>
      </c>
      <c r="B743" s="664" t="s">
        <v>1061</v>
      </c>
      <c r="C743" s="71" t="s">
        <v>587</v>
      </c>
      <c r="D743" s="71">
        <v>200</v>
      </c>
      <c r="E743" s="102">
        <v>8000</v>
      </c>
      <c r="F743" s="102">
        <f t="shared" si="324"/>
        <v>1760000.0000000002</v>
      </c>
      <c r="G743" s="102">
        <f t="shared" si="325"/>
        <v>1600000</v>
      </c>
      <c r="H743" s="690" t="s">
        <v>142</v>
      </c>
      <c r="I743" s="71" t="s">
        <v>144</v>
      </c>
      <c r="J743" s="53">
        <f>(G743-(VLOOKUP(C743,Price!B:D,3,FALSE)*D743))</f>
        <v>218000</v>
      </c>
      <c r="K743" s="63">
        <f t="shared" si="326"/>
        <v>0.13624999999999998</v>
      </c>
      <c r="L743" s="871">
        <v>18.3</v>
      </c>
      <c r="M743" s="468"/>
      <c r="N743" s="664">
        <f t="shared" si="313"/>
        <v>180302</v>
      </c>
      <c r="O743" s="71" t="s">
        <v>147</v>
      </c>
      <c r="P743" s="103" t="str">
        <f t="shared" si="322"/>
        <v>프리미어(청)</v>
      </c>
      <c r="Q743" s="71">
        <f t="shared" si="323"/>
        <v>200</v>
      </c>
      <c r="R743" s="102">
        <v>6910</v>
      </c>
      <c r="S743" s="102">
        <f t="shared" si="316"/>
        <v>1520200.0000000002</v>
      </c>
      <c r="T743" s="102">
        <f t="shared" si="317"/>
        <v>1382000</v>
      </c>
      <c r="U743" s="71" t="str">
        <f t="shared" si="318"/>
        <v>O</v>
      </c>
      <c r="V743" s="71"/>
      <c r="W743" s="482">
        <f t="shared" si="319"/>
        <v>218000</v>
      </c>
      <c r="X743" s="71"/>
      <c r="Y743" s="71"/>
    </row>
    <row r="744" spans="1:25" ht="30" hidden="1" customHeight="1" x14ac:dyDescent="0.25">
      <c r="A744" s="82">
        <v>180302</v>
      </c>
      <c r="B744" s="664" t="s">
        <v>1061</v>
      </c>
      <c r="C744" s="71" t="s">
        <v>616</v>
      </c>
      <c r="D744" s="71">
        <v>200</v>
      </c>
      <c r="E744" s="102">
        <v>6600</v>
      </c>
      <c r="F744" s="102">
        <f t="shared" si="324"/>
        <v>1452000.0000000002</v>
      </c>
      <c r="G744" s="102">
        <f t="shared" si="325"/>
        <v>1320000</v>
      </c>
      <c r="H744" s="690" t="s">
        <v>142</v>
      </c>
      <c r="I744" s="71" t="s">
        <v>144</v>
      </c>
      <c r="J744" s="53">
        <f>(G744-(VLOOKUP(C744,Price!B:D,3,FALSE)*D744))</f>
        <v>140000</v>
      </c>
      <c r="K744" s="63">
        <f t="shared" si="326"/>
        <v>0.10606060606060604</v>
      </c>
      <c r="L744" s="871">
        <v>18.3</v>
      </c>
      <c r="M744" s="468"/>
      <c r="N744" s="664">
        <f t="shared" si="313"/>
        <v>180302</v>
      </c>
      <c r="O744" s="71" t="s">
        <v>147</v>
      </c>
      <c r="P744" s="103" t="str">
        <f t="shared" si="322"/>
        <v>프리미어(먹)</v>
      </c>
      <c r="Q744" s="71">
        <f t="shared" si="323"/>
        <v>200</v>
      </c>
      <c r="R744" s="102">
        <v>5900</v>
      </c>
      <c r="S744" s="102">
        <f t="shared" si="316"/>
        <v>1298000</v>
      </c>
      <c r="T744" s="102">
        <f t="shared" si="317"/>
        <v>1180000</v>
      </c>
      <c r="U744" s="71" t="str">
        <f t="shared" si="318"/>
        <v>O</v>
      </c>
      <c r="V744" s="71"/>
      <c r="W744" s="515">
        <f t="shared" si="319"/>
        <v>140000</v>
      </c>
      <c r="X744" s="71"/>
      <c r="Y744" s="71"/>
    </row>
    <row r="745" spans="1:25" ht="30" hidden="1" customHeight="1" x14ac:dyDescent="0.25">
      <c r="A745" s="82">
        <v>180302</v>
      </c>
      <c r="B745" s="664" t="s">
        <v>640</v>
      </c>
      <c r="C745" s="71" t="s">
        <v>138</v>
      </c>
      <c r="D745" s="71">
        <v>10</v>
      </c>
      <c r="E745" s="102">
        <v>59500</v>
      </c>
      <c r="F745" s="102">
        <f t="shared" si="324"/>
        <v>654500</v>
      </c>
      <c r="G745" s="102">
        <f t="shared" si="325"/>
        <v>595000</v>
      </c>
      <c r="H745" s="690" t="s">
        <v>173</v>
      </c>
      <c r="I745" s="71" t="s">
        <v>108</v>
      </c>
      <c r="J745" s="53">
        <f>(G745-(VLOOKUP(C745,Price!B:D,3,FALSE)*D745))</f>
        <v>85000</v>
      </c>
      <c r="K745" s="63">
        <f t="shared" si="326"/>
        <v>0.14285714285714285</v>
      </c>
      <c r="L745" s="871">
        <v>18.3</v>
      </c>
      <c r="M745" s="468"/>
      <c r="N745" s="664">
        <f>A745</f>
        <v>180302</v>
      </c>
      <c r="O745" s="71" t="s">
        <v>150</v>
      </c>
      <c r="P745" s="103" t="str">
        <f t="shared" si="322"/>
        <v>매엽용 세척제(Wash 562)</v>
      </c>
      <c r="Q745" s="71">
        <f t="shared" si="323"/>
        <v>10</v>
      </c>
      <c r="R745" s="102">
        <v>51000</v>
      </c>
      <c r="S745" s="102">
        <f t="shared" si="316"/>
        <v>561000</v>
      </c>
      <c r="T745" s="102">
        <f t="shared" si="317"/>
        <v>510000</v>
      </c>
      <c r="U745" s="71" t="str">
        <f t="shared" si="318"/>
        <v>O</v>
      </c>
      <c r="V745" s="71"/>
      <c r="W745" s="482">
        <f t="shared" si="319"/>
        <v>85000</v>
      </c>
      <c r="X745" s="71"/>
      <c r="Y745" s="71"/>
    </row>
    <row r="746" spans="1:25" s="602" customFormat="1" ht="30" hidden="1" customHeight="1" x14ac:dyDescent="0.25">
      <c r="A746" s="85">
        <v>180302</v>
      </c>
      <c r="B746" s="668" t="s">
        <v>640</v>
      </c>
      <c r="C746" s="84" t="s">
        <v>137</v>
      </c>
      <c r="D746" s="84">
        <v>5</v>
      </c>
      <c r="E746" s="189">
        <v>172000</v>
      </c>
      <c r="F746" s="189">
        <f t="shared" si="324"/>
        <v>946000.00000000012</v>
      </c>
      <c r="G746" s="189">
        <f t="shared" si="325"/>
        <v>860000</v>
      </c>
      <c r="H746" s="691" t="s">
        <v>173</v>
      </c>
      <c r="I746" s="84" t="s">
        <v>108</v>
      </c>
      <c r="J746" s="61">
        <f>(G746-(VLOOKUP(C746,Price!B:D,3,FALSE)*D746))</f>
        <v>285000</v>
      </c>
      <c r="K746" s="62">
        <f t="shared" si="326"/>
        <v>0.33139534883720928</v>
      </c>
      <c r="L746" s="85">
        <v>18.3</v>
      </c>
      <c r="M746" s="601"/>
      <c r="N746" s="668">
        <f>A746</f>
        <v>180302</v>
      </c>
      <c r="O746" s="84" t="s">
        <v>150</v>
      </c>
      <c r="P746" s="133" t="str">
        <f t="shared" si="322"/>
        <v>윤전용 세척제(Web 504)</v>
      </c>
      <c r="Q746" s="84">
        <f t="shared" si="323"/>
        <v>5</v>
      </c>
      <c r="R746" s="189">
        <v>115000</v>
      </c>
      <c r="S746" s="189">
        <f t="shared" si="316"/>
        <v>632500</v>
      </c>
      <c r="T746" s="189">
        <f t="shared" si="317"/>
        <v>575000</v>
      </c>
      <c r="U746" s="84" t="str">
        <f t="shared" si="318"/>
        <v>O</v>
      </c>
      <c r="V746" s="84"/>
      <c r="W746" s="481">
        <f t="shared" si="319"/>
        <v>285000</v>
      </c>
      <c r="X746" s="84"/>
      <c r="Y746" s="84"/>
    </row>
    <row r="747" spans="1:25" s="209" customFormat="1" ht="30" hidden="1" customHeight="1" x14ac:dyDescent="0.25">
      <c r="A747" s="80">
        <v>180305</v>
      </c>
      <c r="B747" s="663" t="s">
        <v>562</v>
      </c>
      <c r="C747" s="73" t="s">
        <v>580</v>
      </c>
      <c r="D747" s="73">
        <v>10</v>
      </c>
      <c r="E747" s="147">
        <v>85000</v>
      </c>
      <c r="F747" s="147">
        <f t="shared" si="324"/>
        <v>935000.00000000012</v>
      </c>
      <c r="G747" s="147">
        <f t="shared" si="325"/>
        <v>850000</v>
      </c>
      <c r="H747" s="689" t="s">
        <v>173</v>
      </c>
      <c r="I747" s="73" t="s">
        <v>109</v>
      </c>
      <c r="J747" s="60">
        <f>(G747-(VLOOKUP(C747,Price!B:D,3,FALSE)*D747))</f>
        <v>319000</v>
      </c>
      <c r="K747" s="427">
        <f t="shared" si="326"/>
        <v>0.37529411764705878</v>
      </c>
      <c r="L747" s="80">
        <v>18.3</v>
      </c>
      <c r="M747" s="584"/>
      <c r="N747" s="663">
        <f>A747</f>
        <v>180305</v>
      </c>
      <c r="O747" s="73" t="s">
        <v>147</v>
      </c>
      <c r="P747" s="132" t="str">
        <f>(C747)</f>
        <v>Blanket(770*700)bar</v>
      </c>
      <c r="Q747" s="73">
        <f t="shared" si="323"/>
        <v>10</v>
      </c>
      <c r="R747" s="147">
        <v>53100</v>
      </c>
      <c r="S747" s="147">
        <f>(R747*D747)*1.1</f>
        <v>584100</v>
      </c>
      <c r="T747" s="147">
        <f>(R747*Q747)</f>
        <v>531000</v>
      </c>
      <c r="U747" s="73" t="str">
        <f t="shared" si="318"/>
        <v>O</v>
      </c>
      <c r="V747" s="73"/>
      <c r="W747" s="482">
        <f t="shared" si="319"/>
        <v>319000</v>
      </c>
      <c r="X747" s="73"/>
      <c r="Y747" s="73"/>
    </row>
    <row r="748" spans="1:25" s="209" customFormat="1" ht="30" hidden="1" customHeight="1" x14ac:dyDescent="0.2">
      <c r="A748" s="429">
        <v>180305</v>
      </c>
      <c r="B748" s="664" t="s">
        <v>562</v>
      </c>
      <c r="C748" s="71" t="s">
        <v>563</v>
      </c>
      <c r="D748" s="71">
        <v>2</v>
      </c>
      <c r="E748" s="102">
        <v>85000</v>
      </c>
      <c r="F748" s="163">
        <f t="shared" si="324"/>
        <v>187000.00000000003</v>
      </c>
      <c r="G748" s="163">
        <f t="shared" si="325"/>
        <v>170000</v>
      </c>
      <c r="H748" s="165" t="s">
        <v>173</v>
      </c>
      <c r="I748" s="71" t="s">
        <v>142</v>
      </c>
      <c r="J748" s="53">
        <f>(G748-(VLOOKUP(C748,Price!B:D,3,FALSE)*D748))</f>
        <v>90000</v>
      </c>
      <c r="K748" s="63">
        <f t="shared" si="326"/>
        <v>0.52941176470588225</v>
      </c>
      <c r="L748" s="82">
        <v>18.3</v>
      </c>
      <c r="M748" s="468"/>
      <c r="N748" s="664">
        <f>A748</f>
        <v>180305</v>
      </c>
      <c r="O748" s="71" t="s">
        <v>152</v>
      </c>
      <c r="P748" s="103" t="str">
        <f>(C748)</f>
        <v>아스테이지(T-3절)</v>
      </c>
      <c r="Q748" s="71">
        <f t="shared" si="323"/>
        <v>2</v>
      </c>
      <c r="R748" s="102">
        <v>40000</v>
      </c>
      <c r="S748" s="102">
        <f>(R748*D748)*1.1</f>
        <v>88000</v>
      </c>
      <c r="T748" s="102">
        <f>(R748*Q748)</f>
        <v>80000</v>
      </c>
      <c r="U748" s="71" t="str">
        <f t="shared" si="318"/>
        <v>O</v>
      </c>
      <c r="V748" s="71"/>
      <c r="W748" s="515">
        <f t="shared" si="319"/>
        <v>90000</v>
      </c>
      <c r="X748" s="71"/>
      <c r="Y748" s="71"/>
    </row>
    <row r="749" spans="1:25" s="602" customFormat="1" ht="30" hidden="1" customHeight="1" x14ac:dyDescent="0.25">
      <c r="A749" s="85">
        <v>180305</v>
      </c>
      <c r="B749" s="668" t="s">
        <v>1143</v>
      </c>
      <c r="C749" s="84" t="s">
        <v>798</v>
      </c>
      <c r="D749" s="84">
        <v>1</v>
      </c>
      <c r="E749" s="189">
        <v>4500000</v>
      </c>
      <c r="F749" s="189">
        <f t="shared" si="324"/>
        <v>4950000</v>
      </c>
      <c r="G749" s="189">
        <f t="shared" si="325"/>
        <v>4500000</v>
      </c>
      <c r="H749" s="1006" t="s">
        <v>39</v>
      </c>
      <c r="I749" s="84"/>
      <c r="J749" s="61">
        <f>G749-T749</f>
        <v>1357075.1313373195</v>
      </c>
      <c r="K749" s="63">
        <f t="shared" si="326"/>
        <v>0.30157225140829325</v>
      </c>
      <c r="L749" s="873">
        <v>18.3</v>
      </c>
      <c r="M749" s="601"/>
      <c r="N749" s="668">
        <f t="shared" si="313"/>
        <v>180305</v>
      </c>
      <c r="O749" s="1007" t="s">
        <v>39</v>
      </c>
      <c r="P749" s="133" t="str">
        <f>C749</f>
        <v>Alcocontrol</v>
      </c>
      <c r="Q749" s="84">
        <f>D749</f>
        <v>1</v>
      </c>
      <c r="R749" s="189">
        <f>Import!G604</f>
        <v>3142924.8686626805</v>
      </c>
      <c r="S749" s="189">
        <f>R749*Q749*1.1</f>
        <v>3457217.3555289488</v>
      </c>
      <c r="T749" s="189">
        <f>R749*Q749</f>
        <v>3142924.8686626805</v>
      </c>
      <c r="U749" s="84" t="str">
        <f t="shared" si="318"/>
        <v>O</v>
      </c>
      <c r="V749" s="84"/>
      <c r="W749" s="481">
        <f t="shared" si="319"/>
        <v>1357075.1313373195</v>
      </c>
      <c r="X749" s="84"/>
      <c r="Y749" s="84"/>
    </row>
    <row r="750" spans="1:25" s="635" customFormat="1" ht="30" hidden="1" customHeight="1" x14ac:dyDescent="0.25">
      <c r="A750" s="159">
        <v>180306</v>
      </c>
      <c r="B750" s="676" t="s">
        <v>1119</v>
      </c>
      <c r="C750" s="157" t="s">
        <v>123</v>
      </c>
      <c r="D750" s="157">
        <v>4</v>
      </c>
      <c r="E750" s="526">
        <v>40000</v>
      </c>
      <c r="F750" s="526">
        <f t="shared" si="324"/>
        <v>176000</v>
      </c>
      <c r="G750" s="526">
        <f t="shared" si="325"/>
        <v>160000</v>
      </c>
      <c r="H750" s="1014" t="s">
        <v>39</v>
      </c>
      <c r="I750" s="157"/>
      <c r="J750" s="503">
        <f>(G750-(VLOOKUP(C750,Import!C:G,4,FALSE)*D750))</f>
        <v>160000</v>
      </c>
      <c r="K750" s="65">
        <f t="shared" si="326"/>
        <v>1</v>
      </c>
      <c r="L750" s="900">
        <v>18.3</v>
      </c>
      <c r="M750" s="634"/>
      <c r="N750" s="676">
        <f t="shared" si="313"/>
        <v>180306</v>
      </c>
      <c r="O750" s="1015" t="s">
        <v>39</v>
      </c>
      <c r="P750" s="633" t="s">
        <v>123</v>
      </c>
      <c r="Q750" s="157">
        <f t="shared" ref="Q750:Q761" si="327">D750</f>
        <v>4</v>
      </c>
      <c r="R750" s="147">
        <f>VLOOKUP(P750,Price!B:D,3,FALSE)</f>
        <v>22461</v>
      </c>
      <c r="S750" s="147">
        <f>R750*Q750*1.1</f>
        <v>98828.400000000009</v>
      </c>
      <c r="T750" s="147">
        <f>R750*Q750</f>
        <v>89844</v>
      </c>
      <c r="U750" s="73" t="str">
        <f t="shared" si="318"/>
        <v>X</v>
      </c>
      <c r="V750" s="157"/>
      <c r="W750" s="508">
        <f t="shared" si="319"/>
        <v>70156</v>
      </c>
      <c r="X750" s="157"/>
      <c r="Y750" s="157"/>
    </row>
    <row r="751" spans="1:25" s="602" customFormat="1" ht="30" hidden="1" customHeight="1" x14ac:dyDescent="0.25">
      <c r="A751" s="612">
        <v>180306</v>
      </c>
      <c r="B751" s="672" t="s">
        <v>1120</v>
      </c>
      <c r="C751" s="411" t="s">
        <v>123</v>
      </c>
      <c r="D751" s="411">
        <v>5</v>
      </c>
      <c r="E751" s="198">
        <v>35000</v>
      </c>
      <c r="F751" s="198">
        <f t="shared" si="324"/>
        <v>192500.00000000003</v>
      </c>
      <c r="G751" s="198">
        <f t="shared" si="325"/>
        <v>175000</v>
      </c>
      <c r="H751" s="1008" t="s">
        <v>39</v>
      </c>
      <c r="I751" s="411"/>
      <c r="J751" s="64">
        <f>(G751-(VLOOKUP(C751,Import!C:G,4,FALSE)*D751))</f>
        <v>175000</v>
      </c>
      <c r="K751" s="425">
        <f t="shared" si="326"/>
        <v>0.99999999999999989</v>
      </c>
      <c r="L751" s="899">
        <v>18.3</v>
      </c>
      <c r="M751" s="581"/>
      <c r="N751" s="672">
        <f t="shared" si="313"/>
        <v>180306</v>
      </c>
      <c r="O751" s="1009" t="s">
        <v>39</v>
      </c>
      <c r="P751" s="465" t="s">
        <v>123</v>
      </c>
      <c r="Q751" s="411">
        <f t="shared" si="327"/>
        <v>5</v>
      </c>
      <c r="R751" s="198">
        <f>VLOOKUP(P751,Price!B:D,3,FALSE)</f>
        <v>22461</v>
      </c>
      <c r="S751" s="198">
        <f>R751*Q751*1.1</f>
        <v>123535.50000000001</v>
      </c>
      <c r="T751" s="198">
        <f>R751*Q751</f>
        <v>112305</v>
      </c>
      <c r="U751" s="411" t="str">
        <f t="shared" si="318"/>
        <v>X</v>
      </c>
      <c r="V751" s="411"/>
      <c r="W751" s="481">
        <f t="shared" si="319"/>
        <v>62695</v>
      </c>
      <c r="X751" s="411"/>
      <c r="Y751" s="411"/>
    </row>
    <row r="752" spans="1:25" ht="30" hidden="1" customHeight="1" x14ac:dyDescent="0.25">
      <c r="A752" s="80">
        <v>180307</v>
      </c>
      <c r="B752" s="663" t="s">
        <v>442</v>
      </c>
      <c r="C752" s="73" t="s">
        <v>773</v>
      </c>
      <c r="D752" s="73">
        <v>4</v>
      </c>
      <c r="E752" s="147">
        <v>192000</v>
      </c>
      <c r="F752" s="147">
        <f t="shared" si="324"/>
        <v>844800.00000000012</v>
      </c>
      <c r="G752" s="147">
        <f t="shared" si="325"/>
        <v>768000</v>
      </c>
      <c r="H752" s="689" t="s">
        <v>173</v>
      </c>
      <c r="I752" s="73" t="s">
        <v>109</v>
      </c>
      <c r="J752" s="60">
        <f>(G752-(VLOOKUP(C752,Price!B:D,3,FALSE)*D752))</f>
        <v>96000</v>
      </c>
      <c r="K752" s="427">
        <f>(J752/(F752/11*10))</f>
        <v>0.12499999999999999</v>
      </c>
      <c r="L752" s="80">
        <v>18.3</v>
      </c>
      <c r="M752" s="584"/>
      <c r="N752" s="663">
        <f t="shared" si="313"/>
        <v>180307</v>
      </c>
      <c r="O752" s="73" t="s">
        <v>151</v>
      </c>
      <c r="P752" s="132" t="str">
        <f>(C752)</f>
        <v>로랜드 전지 블랑켓(1460*1165)bar</v>
      </c>
      <c r="Q752" s="73">
        <f t="shared" si="327"/>
        <v>4</v>
      </c>
      <c r="R752" s="147">
        <v>168000</v>
      </c>
      <c r="S752" s="147">
        <f>(R752*D752)*1.1</f>
        <v>739200.00000000012</v>
      </c>
      <c r="T752" s="147">
        <f>(R752*Q752)</f>
        <v>672000</v>
      </c>
      <c r="U752" s="73" t="str">
        <f t="shared" si="318"/>
        <v>O</v>
      </c>
      <c r="V752" s="73"/>
      <c r="W752" s="515">
        <f t="shared" si="319"/>
        <v>96000</v>
      </c>
      <c r="X752" s="73"/>
      <c r="Y752" s="73"/>
    </row>
    <row r="753" spans="1:25" s="209" customFormat="1" ht="30" hidden="1" customHeight="1" x14ac:dyDescent="0.25">
      <c r="A753" s="82">
        <v>180307</v>
      </c>
      <c r="B753" s="664" t="s">
        <v>442</v>
      </c>
      <c r="C753" s="71" t="s">
        <v>107</v>
      </c>
      <c r="D753" s="71">
        <v>5</v>
      </c>
      <c r="E753" s="102">
        <v>110000</v>
      </c>
      <c r="F753" s="102">
        <f t="shared" si="324"/>
        <v>605000</v>
      </c>
      <c r="G753" s="102">
        <f t="shared" si="325"/>
        <v>550000</v>
      </c>
      <c r="H753" s="690" t="s">
        <v>173</v>
      </c>
      <c r="I753" s="71" t="s">
        <v>109</v>
      </c>
      <c r="J753" s="53">
        <f>(G753-(VLOOKUP(C753,Price!B:D,3,FALSE)*D753))</f>
        <v>147500</v>
      </c>
      <c r="K753" s="63">
        <f>(J753/(F753/11*10))</f>
        <v>0.26818181818181819</v>
      </c>
      <c r="L753" s="82">
        <v>18.3</v>
      </c>
      <c r="M753" s="468"/>
      <c r="N753" s="664">
        <f t="shared" si="313"/>
        <v>180307</v>
      </c>
      <c r="O753" s="71" t="s">
        <v>147</v>
      </c>
      <c r="P753" s="103" t="str">
        <f>(C753)</f>
        <v>Blanket(1050*840)</v>
      </c>
      <c r="Q753" s="71">
        <f t="shared" si="327"/>
        <v>5</v>
      </c>
      <c r="R753" s="102">
        <v>80500</v>
      </c>
      <c r="S753" s="102">
        <f>(R753*D753)*1.1</f>
        <v>442750.00000000006</v>
      </c>
      <c r="T753" s="102">
        <f>(R753*Q753)</f>
        <v>402500</v>
      </c>
      <c r="U753" s="71" t="str">
        <f t="shared" si="318"/>
        <v>O</v>
      </c>
      <c r="V753" s="71"/>
      <c r="W753" s="482">
        <f t="shared" si="319"/>
        <v>147500</v>
      </c>
      <c r="X753" s="71"/>
      <c r="Y753" s="71"/>
    </row>
    <row r="754" spans="1:25" s="602" customFormat="1" ht="30" hidden="1" customHeight="1" x14ac:dyDescent="0.25">
      <c r="A754" s="85">
        <v>180307</v>
      </c>
      <c r="B754" s="668" t="s">
        <v>690</v>
      </c>
      <c r="C754" s="84" t="s">
        <v>825</v>
      </c>
      <c r="D754" s="84">
        <v>2</v>
      </c>
      <c r="E754" s="189">
        <v>150000</v>
      </c>
      <c r="F754" s="189">
        <f t="shared" si="324"/>
        <v>330000</v>
      </c>
      <c r="G754" s="189">
        <f t="shared" si="325"/>
        <v>300000</v>
      </c>
      <c r="H754" s="691" t="s">
        <v>173</v>
      </c>
      <c r="I754" s="84" t="s">
        <v>142</v>
      </c>
      <c r="J754" s="61">
        <f>G754-T754</f>
        <v>110000</v>
      </c>
      <c r="K754" s="62">
        <f>(J754/(F754/11*10))</f>
        <v>0.36666666666666664</v>
      </c>
      <c r="L754" s="873">
        <v>18.3</v>
      </c>
      <c r="M754" s="601"/>
      <c r="N754" s="668">
        <f t="shared" si="313"/>
        <v>180307</v>
      </c>
      <c r="O754" s="84" t="s">
        <v>150</v>
      </c>
      <c r="P754" s="133" t="str">
        <f>C754</f>
        <v>독일제 정품 잉크호일 아스테이지</v>
      </c>
      <c r="Q754" s="84">
        <f t="shared" si="327"/>
        <v>2</v>
      </c>
      <c r="R754" s="189">
        <v>95000</v>
      </c>
      <c r="S754" s="189">
        <f>R754*Q754*1.1</f>
        <v>209000.00000000003</v>
      </c>
      <c r="T754" s="189">
        <f>R754*Q754</f>
        <v>190000</v>
      </c>
      <c r="U754" s="84" t="str">
        <f t="shared" si="318"/>
        <v>O</v>
      </c>
      <c r="V754" s="84"/>
      <c r="W754" s="481">
        <f t="shared" si="319"/>
        <v>110000</v>
      </c>
      <c r="X754" s="84"/>
      <c r="Y754" s="84"/>
    </row>
    <row r="755" spans="1:25" ht="30" customHeight="1" x14ac:dyDescent="0.25">
      <c r="A755" s="80">
        <v>180308</v>
      </c>
      <c r="B755" s="663" t="s">
        <v>565</v>
      </c>
      <c r="C755" s="73" t="s">
        <v>1071</v>
      </c>
      <c r="D755" s="73">
        <v>3</v>
      </c>
      <c r="E755" s="147"/>
      <c r="F755" s="147"/>
      <c r="G755" s="147"/>
      <c r="H755" s="689" t="s">
        <v>142</v>
      </c>
      <c r="I755" s="73" t="s">
        <v>1786</v>
      </c>
      <c r="J755" s="60"/>
      <c r="K755" s="427"/>
      <c r="L755" s="874">
        <v>18.3</v>
      </c>
      <c r="M755" s="584" t="s">
        <v>1072</v>
      </c>
      <c r="N755" s="663">
        <f t="shared" si="313"/>
        <v>180308</v>
      </c>
      <c r="O755" s="807" t="s">
        <v>113</v>
      </c>
      <c r="P755" s="132" t="str">
        <f>C755</f>
        <v>TCS-210 CORE BRAKE CONTROL</v>
      </c>
      <c r="Q755" s="73">
        <f t="shared" si="327"/>
        <v>3</v>
      </c>
      <c r="R755" s="147"/>
      <c r="S755" s="147">
        <f>R755*Q755*1.1</f>
        <v>0</v>
      </c>
      <c r="T755" s="147">
        <f>R755*Q755</f>
        <v>0</v>
      </c>
      <c r="U755" s="73" t="str">
        <f t="shared" si="318"/>
        <v>O</v>
      </c>
      <c r="V755" s="73"/>
      <c r="W755" s="482">
        <f t="shared" si="319"/>
        <v>0</v>
      </c>
      <c r="X755" s="73"/>
      <c r="Y755" s="73" t="s">
        <v>1131</v>
      </c>
    </row>
    <row r="756" spans="1:25" s="209" customFormat="1" ht="30" hidden="1" customHeight="1" x14ac:dyDescent="0.2">
      <c r="A756" s="429">
        <v>180308</v>
      </c>
      <c r="B756" s="664" t="s">
        <v>445</v>
      </c>
      <c r="C756" s="71" t="s">
        <v>107</v>
      </c>
      <c r="D756" s="71">
        <v>10</v>
      </c>
      <c r="E756" s="102">
        <v>108000</v>
      </c>
      <c r="F756" s="163">
        <f>(E756*D756)*1.1</f>
        <v>1188000</v>
      </c>
      <c r="G756" s="163">
        <f>(E756*D756)</f>
        <v>1080000</v>
      </c>
      <c r="H756" s="165" t="s">
        <v>172</v>
      </c>
      <c r="I756" s="71" t="s">
        <v>109</v>
      </c>
      <c r="J756" s="53">
        <f>(G756-(VLOOKUP(C756,Price!B:D,3,FALSE)*D756))</f>
        <v>275000</v>
      </c>
      <c r="K756" s="63">
        <f>(J756/(F756/11*10))</f>
        <v>0.25462962962962965</v>
      </c>
      <c r="L756" s="82">
        <v>18.3</v>
      </c>
      <c r="M756" s="468"/>
      <c r="N756" s="664">
        <f t="shared" si="313"/>
        <v>180308</v>
      </c>
      <c r="O756" s="71" t="s">
        <v>147</v>
      </c>
      <c r="P756" s="103" t="str">
        <f>(C756)</f>
        <v>Blanket(1050*840)</v>
      </c>
      <c r="Q756" s="71">
        <f t="shared" si="327"/>
        <v>10</v>
      </c>
      <c r="R756" s="102">
        <v>80500</v>
      </c>
      <c r="S756" s="102">
        <f>(R756*D756)*1.1</f>
        <v>885500.00000000012</v>
      </c>
      <c r="T756" s="102">
        <f>(R756*Q756)</f>
        <v>805000</v>
      </c>
      <c r="U756" s="71" t="str">
        <f t="shared" si="318"/>
        <v>O</v>
      </c>
      <c r="V756" s="71"/>
      <c r="W756" s="515">
        <f t="shared" si="319"/>
        <v>275000</v>
      </c>
      <c r="X756" s="71"/>
      <c r="Y756" s="71"/>
    </row>
    <row r="757" spans="1:25" s="210" customFormat="1" ht="30" hidden="1" customHeight="1" x14ac:dyDescent="0.2">
      <c r="A757" s="433">
        <v>180308</v>
      </c>
      <c r="B757" s="668" t="s">
        <v>445</v>
      </c>
      <c r="C757" s="84" t="s">
        <v>231</v>
      </c>
      <c r="D757" s="84">
        <v>10</v>
      </c>
      <c r="E757" s="189">
        <v>120000</v>
      </c>
      <c r="F757" s="190">
        <f>(E757*D757)*1.1</f>
        <v>1320000</v>
      </c>
      <c r="G757" s="190">
        <f>(E757*D757)</f>
        <v>1200000</v>
      </c>
      <c r="H757" s="191" t="s">
        <v>172</v>
      </c>
      <c r="I757" s="84" t="s">
        <v>109</v>
      </c>
      <c r="J757" s="61">
        <f>(G757-(VLOOKUP(C757,Price!B:D,3,FALSE)*D757))</f>
        <v>80000</v>
      </c>
      <c r="K757" s="62">
        <f>(J757/(F757/11*10))</f>
        <v>6.6666666666666666E-2</v>
      </c>
      <c r="L757" s="85">
        <v>18.3</v>
      </c>
      <c r="M757" s="601"/>
      <c r="N757" s="668">
        <f t="shared" si="313"/>
        <v>180308</v>
      </c>
      <c r="O757" s="84" t="s">
        <v>151</v>
      </c>
      <c r="P757" s="133" t="str">
        <f>(C757)</f>
        <v>Blanket(990*725)</v>
      </c>
      <c r="Q757" s="84">
        <f t="shared" si="327"/>
        <v>10</v>
      </c>
      <c r="R757" s="189">
        <v>112000</v>
      </c>
      <c r="S757" s="189">
        <f>(R757*D757)*1.1</f>
        <v>1232000</v>
      </c>
      <c r="T757" s="189">
        <f>(R757*Q757)</f>
        <v>1120000</v>
      </c>
      <c r="U757" s="84" t="str">
        <f t="shared" si="318"/>
        <v>O</v>
      </c>
      <c r="V757" s="84"/>
      <c r="W757" s="481">
        <f t="shared" si="319"/>
        <v>80000</v>
      </c>
      <c r="X757" s="84"/>
      <c r="Y757" s="84"/>
    </row>
    <row r="758" spans="1:25" ht="30" hidden="1" customHeight="1" x14ac:dyDescent="0.25">
      <c r="A758" s="80">
        <v>180309</v>
      </c>
      <c r="B758" s="663" t="s">
        <v>444</v>
      </c>
      <c r="C758" s="73" t="s">
        <v>131</v>
      </c>
      <c r="D758" s="73">
        <v>3</v>
      </c>
      <c r="E758" s="147">
        <v>135000</v>
      </c>
      <c r="F758" s="147">
        <f t="shared" ref="F758:F772" si="328">(E758*D758)*1.1</f>
        <v>445500.00000000006</v>
      </c>
      <c r="G758" s="147">
        <f t="shared" ref="G758:G772" si="329">(E758*D758)</f>
        <v>405000</v>
      </c>
      <c r="H758" s="689" t="s">
        <v>173</v>
      </c>
      <c r="I758" s="73" t="s">
        <v>108</v>
      </c>
      <c r="J758" s="60">
        <f>(G758-(VLOOKUP(C758,Price!B:D,3,FALSE)*D758))</f>
        <v>75000</v>
      </c>
      <c r="K758" s="427">
        <f>(J758/(F758/11*10))</f>
        <v>0.18518518518518515</v>
      </c>
      <c r="L758" s="874">
        <v>18.3</v>
      </c>
      <c r="M758" s="584"/>
      <c r="N758" s="663">
        <f>A758</f>
        <v>180309</v>
      </c>
      <c r="O758" s="73" t="s">
        <v>148</v>
      </c>
      <c r="P758" s="132" t="str">
        <f t="shared" ref="P758:P766" si="330">C758</f>
        <v>UV wash(20L)</v>
      </c>
      <c r="Q758" s="73">
        <f t="shared" si="327"/>
        <v>3</v>
      </c>
      <c r="R758" s="147">
        <v>110000</v>
      </c>
      <c r="S758" s="147">
        <f t="shared" ref="S758:S766" si="331">R758*Q758*1.1</f>
        <v>363000.00000000006</v>
      </c>
      <c r="T758" s="147">
        <f t="shared" ref="T758:T766" si="332">R758*Q758</f>
        <v>330000</v>
      </c>
      <c r="U758" s="73" t="str">
        <f t="shared" si="318"/>
        <v>O</v>
      </c>
      <c r="V758" s="409"/>
      <c r="W758" s="515">
        <f t="shared" si="319"/>
        <v>75000</v>
      </c>
      <c r="X758" s="409"/>
      <c r="Y758" s="73"/>
    </row>
    <row r="759" spans="1:25" ht="30" hidden="1" customHeight="1" x14ac:dyDescent="0.25">
      <c r="A759" s="82">
        <v>180309</v>
      </c>
      <c r="B759" s="664" t="s">
        <v>545</v>
      </c>
      <c r="C759" s="71" t="s">
        <v>952</v>
      </c>
      <c r="D759" s="71">
        <v>1</v>
      </c>
      <c r="E759" s="102">
        <v>630000</v>
      </c>
      <c r="F759" s="102">
        <f t="shared" si="328"/>
        <v>693000</v>
      </c>
      <c r="G759" s="102">
        <f t="shared" si="329"/>
        <v>630000</v>
      </c>
      <c r="H759" s="690" t="s">
        <v>173</v>
      </c>
      <c r="I759" s="71" t="s">
        <v>108</v>
      </c>
      <c r="J759" s="53">
        <f>(G759-(VLOOKUP(C759,Price!B:D,3,FALSE)*D759))</f>
        <v>180000</v>
      </c>
      <c r="K759" s="63">
        <f t="shared" ref="K759:K766" si="333">(J759/(F759/11*10))</f>
        <v>0.2857142857142857</v>
      </c>
      <c r="L759" s="82">
        <v>18.3</v>
      </c>
      <c r="M759" s="468"/>
      <c r="N759" s="664">
        <f>A759</f>
        <v>180309</v>
      </c>
      <c r="O759" s="71" t="s">
        <v>599</v>
      </c>
      <c r="P759" s="103" t="str">
        <f t="shared" si="330"/>
        <v>점보롤 세정포</v>
      </c>
      <c r="Q759" s="71">
        <f t="shared" si="327"/>
        <v>1</v>
      </c>
      <c r="R759" s="102">
        <v>440000</v>
      </c>
      <c r="S759" s="102">
        <f t="shared" si="331"/>
        <v>484000.00000000006</v>
      </c>
      <c r="T759" s="102">
        <f t="shared" si="332"/>
        <v>440000</v>
      </c>
      <c r="U759" s="71" t="str">
        <f t="shared" si="318"/>
        <v>X</v>
      </c>
      <c r="V759" s="71"/>
      <c r="W759" s="474">
        <f t="shared" si="319"/>
        <v>190000</v>
      </c>
      <c r="X759" s="71"/>
      <c r="Y759" s="71"/>
    </row>
    <row r="760" spans="1:25" ht="30" hidden="1" customHeight="1" x14ac:dyDescent="0.25">
      <c r="A760" s="82">
        <v>180309</v>
      </c>
      <c r="B760" s="664" t="s">
        <v>545</v>
      </c>
      <c r="C760" s="71" t="s">
        <v>1010</v>
      </c>
      <c r="D760" s="71">
        <v>3</v>
      </c>
      <c r="E760" s="102">
        <v>135000</v>
      </c>
      <c r="F760" s="102">
        <f t="shared" si="328"/>
        <v>445500.00000000006</v>
      </c>
      <c r="G760" s="102">
        <f t="shared" si="329"/>
        <v>405000</v>
      </c>
      <c r="H760" s="690" t="s">
        <v>173</v>
      </c>
      <c r="I760" s="71" t="s">
        <v>108</v>
      </c>
      <c r="J760" s="53">
        <f>(G760-(VLOOKUP(C760,Price!B:D,3,FALSE)*D760))</f>
        <v>75000</v>
      </c>
      <c r="K760" s="63">
        <f t="shared" si="333"/>
        <v>0.18518518518518515</v>
      </c>
      <c r="L760" s="871">
        <v>18.3</v>
      </c>
      <c r="M760" s="468"/>
      <c r="N760" s="664">
        <f t="shared" ref="N760:N767" si="334">A760</f>
        <v>180309</v>
      </c>
      <c r="O760" s="71" t="s">
        <v>148</v>
      </c>
      <c r="P760" s="103" t="str">
        <f t="shared" si="330"/>
        <v>Offset UV wash</v>
      </c>
      <c r="Q760" s="71">
        <f t="shared" si="327"/>
        <v>3</v>
      </c>
      <c r="R760" s="102">
        <v>110000</v>
      </c>
      <c r="S760" s="102">
        <f t="shared" si="331"/>
        <v>363000.00000000006</v>
      </c>
      <c r="T760" s="102">
        <f t="shared" si="332"/>
        <v>330000</v>
      </c>
      <c r="U760" s="71" t="str">
        <f t="shared" si="318"/>
        <v>O</v>
      </c>
      <c r="V760" s="71"/>
      <c r="W760" s="474">
        <f t="shared" si="319"/>
        <v>75000</v>
      </c>
      <c r="X760" s="71"/>
      <c r="Y760" s="71"/>
    </row>
    <row r="761" spans="1:25" ht="30" hidden="1" customHeight="1" x14ac:dyDescent="0.25">
      <c r="A761" s="82">
        <v>180309</v>
      </c>
      <c r="B761" s="664" t="s">
        <v>442</v>
      </c>
      <c r="C761" s="71" t="s">
        <v>133</v>
      </c>
      <c r="D761" s="71">
        <v>1</v>
      </c>
      <c r="E761" s="102">
        <v>327000</v>
      </c>
      <c r="F761" s="102">
        <f t="shared" si="328"/>
        <v>359700</v>
      </c>
      <c r="G761" s="102">
        <f t="shared" si="329"/>
        <v>327000</v>
      </c>
      <c r="H761" s="690" t="s">
        <v>173</v>
      </c>
      <c r="I761" s="71" t="s">
        <v>141</v>
      </c>
      <c r="J761" s="53">
        <f>(G761-(VLOOKUP(C761,Price!B:D,3,FALSE)*D761))</f>
        <v>57900</v>
      </c>
      <c r="K761" s="63">
        <f t="shared" si="333"/>
        <v>0.17706422018348625</v>
      </c>
      <c r="L761" s="871">
        <v>18.3</v>
      </c>
      <c r="M761" s="468"/>
      <c r="N761" s="664">
        <f t="shared" si="334"/>
        <v>180309</v>
      </c>
      <c r="O761" s="71" t="s">
        <v>145</v>
      </c>
      <c r="P761" s="103" t="str">
        <f t="shared" si="330"/>
        <v>Agfa Film(24inch)</v>
      </c>
      <c r="Q761" s="71">
        <f t="shared" si="327"/>
        <v>1</v>
      </c>
      <c r="R761" s="102">
        <f>VLOOKUP(P761,Price!B:D,3,FALSE)</f>
        <v>269100</v>
      </c>
      <c r="S761" s="102">
        <f t="shared" si="331"/>
        <v>296010</v>
      </c>
      <c r="T761" s="102">
        <f t="shared" si="332"/>
        <v>269100</v>
      </c>
      <c r="U761" s="71" t="str">
        <f t="shared" si="318"/>
        <v>O</v>
      </c>
      <c r="V761" s="71" t="s">
        <v>1179</v>
      </c>
      <c r="W761" s="474">
        <f t="shared" si="319"/>
        <v>57900</v>
      </c>
      <c r="X761" s="71"/>
      <c r="Y761" s="71"/>
    </row>
    <row r="762" spans="1:25" ht="30" hidden="1" customHeight="1" x14ac:dyDescent="0.25">
      <c r="A762" s="82">
        <v>180309</v>
      </c>
      <c r="B762" s="664" t="s">
        <v>442</v>
      </c>
      <c r="C762" s="71" t="s">
        <v>134</v>
      </c>
      <c r="D762" s="71">
        <v>1</v>
      </c>
      <c r="E762" s="102">
        <v>401000</v>
      </c>
      <c r="F762" s="102">
        <f t="shared" si="328"/>
        <v>441100.00000000006</v>
      </c>
      <c r="G762" s="102">
        <f t="shared" si="329"/>
        <v>401000</v>
      </c>
      <c r="H762" s="690" t="s">
        <v>173</v>
      </c>
      <c r="I762" s="71" t="s">
        <v>141</v>
      </c>
      <c r="J762" s="53">
        <f>(G762-(VLOOKUP(C762,Price!B:D,3,FALSE)*D762))</f>
        <v>87040</v>
      </c>
      <c r="K762" s="63">
        <f t="shared" si="333"/>
        <v>0.21705735660847877</v>
      </c>
      <c r="L762" s="871">
        <v>18.3</v>
      </c>
      <c r="M762" s="468"/>
      <c r="N762" s="664">
        <f t="shared" si="334"/>
        <v>180309</v>
      </c>
      <c r="O762" s="71" t="s">
        <v>145</v>
      </c>
      <c r="P762" s="103" t="str">
        <f t="shared" si="330"/>
        <v>Agfa Film(28inch)</v>
      </c>
      <c r="Q762" s="71">
        <f t="shared" ref="Q762:Q767" si="335">D762</f>
        <v>1</v>
      </c>
      <c r="R762" s="102">
        <f>VLOOKUP(P762,Price!B:D,3,FALSE)</f>
        <v>313960</v>
      </c>
      <c r="S762" s="102">
        <f t="shared" si="331"/>
        <v>345356</v>
      </c>
      <c r="T762" s="102">
        <f t="shared" si="332"/>
        <v>313960</v>
      </c>
      <c r="U762" s="71" t="str">
        <f t="shared" si="318"/>
        <v>O</v>
      </c>
      <c r="V762" s="71"/>
      <c r="W762" s="474">
        <f t="shared" si="319"/>
        <v>87040</v>
      </c>
      <c r="X762" s="71"/>
      <c r="Y762" s="71"/>
    </row>
    <row r="763" spans="1:25" ht="30" hidden="1" customHeight="1" x14ac:dyDescent="0.25">
      <c r="A763" s="82">
        <v>180309</v>
      </c>
      <c r="B763" s="664" t="s">
        <v>442</v>
      </c>
      <c r="C763" s="71" t="s">
        <v>135</v>
      </c>
      <c r="D763" s="71">
        <v>2</v>
      </c>
      <c r="E763" s="102">
        <v>448000</v>
      </c>
      <c r="F763" s="102">
        <f t="shared" si="328"/>
        <v>985600.00000000012</v>
      </c>
      <c r="G763" s="102">
        <f t="shared" si="329"/>
        <v>896000</v>
      </c>
      <c r="H763" s="690" t="s">
        <v>173</v>
      </c>
      <c r="I763" s="71" t="s">
        <v>141</v>
      </c>
      <c r="J763" s="53">
        <f>(G763-(VLOOKUP(C763,Price!B:D,3,FALSE)*D763))</f>
        <v>155980</v>
      </c>
      <c r="K763" s="63">
        <f t="shared" si="333"/>
        <v>0.1740848214285714</v>
      </c>
      <c r="L763" s="871">
        <v>18.3</v>
      </c>
      <c r="M763" s="468"/>
      <c r="N763" s="664">
        <f t="shared" si="334"/>
        <v>180309</v>
      </c>
      <c r="O763" s="71" t="s">
        <v>145</v>
      </c>
      <c r="P763" s="103" t="str">
        <f t="shared" si="330"/>
        <v>Agfa Film(32inch)</v>
      </c>
      <c r="Q763" s="71">
        <f t="shared" si="335"/>
        <v>2</v>
      </c>
      <c r="R763" s="102">
        <f>VLOOKUP(P763,Price!B:D,3,FALSE)</f>
        <v>370010</v>
      </c>
      <c r="S763" s="102">
        <f t="shared" si="331"/>
        <v>814022.00000000012</v>
      </c>
      <c r="T763" s="102">
        <f t="shared" si="332"/>
        <v>740020</v>
      </c>
      <c r="U763" s="71" t="str">
        <f t="shared" ref="U763:U794" si="336">IF(J763=W763,"O", "X")</f>
        <v>O</v>
      </c>
      <c r="V763" s="71"/>
      <c r="W763" s="474">
        <f t="shared" ref="W763:W794" si="337">(G763-T763)</f>
        <v>155980</v>
      </c>
      <c r="X763" s="71"/>
      <c r="Y763" s="71"/>
    </row>
    <row r="764" spans="1:25" ht="30" hidden="1" customHeight="1" x14ac:dyDescent="0.25">
      <c r="A764" s="82">
        <v>180309</v>
      </c>
      <c r="B764" s="664" t="s">
        <v>442</v>
      </c>
      <c r="C764" s="71" t="s">
        <v>649</v>
      </c>
      <c r="D764" s="71">
        <v>2</v>
      </c>
      <c r="E764" s="102">
        <v>41000</v>
      </c>
      <c r="F764" s="102">
        <f t="shared" si="328"/>
        <v>90200.000000000015</v>
      </c>
      <c r="G764" s="102">
        <f t="shared" si="329"/>
        <v>82000</v>
      </c>
      <c r="H764" s="690" t="s">
        <v>173</v>
      </c>
      <c r="I764" s="71" t="s">
        <v>141</v>
      </c>
      <c r="J764" s="53">
        <f>(G764-(VLOOKUP(C764,Price!B:D,3,FALSE)*D764))</f>
        <v>32000</v>
      </c>
      <c r="K764" s="63">
        <f t="shared" si="333"/>
        <v>0.39024390243902435</v>
      </c>
      <c r="L764" s="871">
        <v>18.3</v>
      </c>
      <c r="M764" s="468"/>
      <c r="N764" s="664">
        <f t="shared" si="334"/>
        <v>180309</v>
      </c>
      <c r="O764" s="71" t="s">
        <v>145</v>
      </c>
      <c r="P764" s="103" t="str">
        <f t="shared" si="330"/>
        <v>Agfa 현상액 G101C(10L)</v>
      </c>
      <c r="Q764" s="71">
        <f t="shared" si="335"/>
        <v>2</v>
      </c>
      <c r="R764" s="102">
        <f>VLOOKUP(P764,Price!B:D,3,FALSE)</f>
        <v>25000</v>
      </c>
      <c r="S764" s="102">
        <f t="shared" si="331"/>
        <v>55000.000000000007</v>
      </c>
      <c r="T764" s="102">
        <f t="shared" si="332"/>
        <v>50000</v>
      </c>
      <c r="U764" s="71" t="str">
        <f t="shared" si="336"/>
        <v>O</v>
      </c>
      <c r="V764" s="71"/>
      <c r="W764" s="474">
        <f t="shared" si="337"/>
        <v>32000</v>
      </c>
      <c r="X764" s="71"/>
      <c r="Y764" s="71"/>
    </row>
    <row r="765" spans="1:25" ht="30" hidden="1" customHeight="1" x14ac:dyDescent="0.25">
      <c r="A765" s="82">
        <v>180309</v>
      </c>
      <c r="B765" s="664" t="s">
        <v>1051</v>
      </c>
      <c r="C765" s="71" t="s">
        <v>524</v>
      </c>
      <c r="D765" s="71">
        <v>900</v>
      </c>
      <c r="E765" s="102">
        <v>3990</v>
      </c>
      <c r="F765" s="102">
        <f t="shared" si="328"/>
        <v>3950100.0000000005</v>
      </c>
      <c r="G765" s="102">
        <f t="shared" si="329"/>
        <v>3591000</v>
      </c>
      <c r="H765" s="690" t="s">
        <v>142</v>
      </c>
      <c r="I765" s="71" t="s">
        <v>140</v>
      </c>
      <c r="J765" s="53">
        <f>(G765-(VLOOKUP(C765,Price!B:D,3,FALSE)*D765))</f>
        <v>1125000</v>
      </c>
      <c r="K765" s="63">
        <f t="shared" si="333"/>
        <v>0.31328320802005011</v>
      </c>
      <c r="L765" s="871">
        <v>18.3</v>
      </c>
      <c r="M765" s="468"/>
      <c r="N765" s="664">
        <f t="shared" si="334"/>
        <v>180309</v>
      </c>
      <c r="O765" s="71" t="s">
        <v>145</v>
      </c>
      <c r="P765" s="103" t="str">
        <f t="shared" si="330"/>
        <v>ENGAGE 900X570 - 27RO</v>
      </c>
      <c r="Q765" s="71">
        <f t="shared" si="335"/>
        <v>900</v>
      </c>
      <c r="R765" s="102">
        <v>2740</v>
      </c>
      <c r="S765" s="102">
        <f t="shared" si="331"/>
        <v>2712600</v>
      </c>
      <c r="T765" s="102">
        <f t="shared" si="332"/>
        <v>2466000</v>
      </c>
      <c r="U765" s="71" t="str">
        <f t="shared" si="336"/>
        <v>O</v>
      </c>
      <c r="V765" s="71"/>
      <c r="W765" s="474">
        <f t="shared" si="337"/>
        <v>1125000</v>
      </c>
      <c r="X765" s="71"/>
      <c r="Y765" s="71"/>
    </row>
    <row r="766" spans="1:25" ht="30" hidden="1" customHeight="1" x14ac:dyDescent="0.25">
      <c r="A766" s="82">
        <v>180309</v>
      </c>
      <c r="B766" s="664" t="s">
        <v>1051</v>
      </c>
      <c r="C766" s="67" t="s">
        <v>197</v>
      </c>
      <c r="D766" s="71">
        <v>10</v>
      </c>
      <c r="E766" s="102">
        <v>58000</v>
      </c>
      <c r="F766" s="102">
        <f t="shared" si="328"/>
        <v>638000</v>
      </c>
      <c r="G766" s="102">
        <f t="shared" si="329"/>
        <v>580000</v>
      </c>
      <c r="H766" s="690" t="s">
        <v>142</v>
      </c>
      <c r="I766" s="71" t="s">
        <v>140</v>
      </c>
      <c r="J766" s="53">
        <f>(G766-(VLOOKUP(C766,Price!B:D,3,FALSE)*D766))</f>
        <v>230000</v>
      </c>
      <c r="K766" s="63">
        <f t="shared" si="333"/>
        <v>0.39655172413793105</v>
      </c>
      <c r="L766" s="871">
        <v>18.3</v>
      </c>
      <c r="M766" s="468"/>
      <c r="N766" s="664">
        <f t="shared" si="334"/>
        <v>180309</v>
      </c>
      <c r="O766" s="71" t="s">
        <v>145</v>
      </c>
      <c r="P766" s="103" t="str">
        <f t="shared" si="330"/>
        <v>THR200(20L)</v>
      </c>
      <c r="Q766" s="71">
        <f t="shared" si="335"/>
        <v>10</v>
      </c>
      <c r="R766" s="102">
        <v>35000</v>
      </c>
      <c r="S766" s="102">
        <f t="shared" si="331"/>
        <v>385000.00000000006</v>
      </c>
      <c r="T766" s="102">
        <f t="shared" si="332"/>
        <v>350000</v>
      </c>
      <c r="U766" s="71" t="str">
        <f t="shared" si="336"/>
        <v>O</v>
      </c>
      <c r="V766" s="71"/>
      <c r="W766" s="474">
        <f t="shared" si="337"/>
        <v>230000</v>
      </c>
      <c r="X766" s="71"/>
      <c r="Y766" s="71"/>
    </row>
    <row r="767" spans="1:25" ht="30" hidden="1" customHeight="1" x14ac:dyDescent="0.25">
      <c r="A767" s="82">
        <v>180309</v>
      </c>
      <c r="B767" s="664" t="s">
        <v>1051</v>
      </c>
      <c r="C767" s="71" t="s">
        <v>750</v>
      </c>
      <c r="D767" s="71">
        <v>5</v>
      </c>
      <c r="E767" s="102">
        <v>58000</v>
      </c>
      <c r="F767" s="102">
        <f t="shared" si="328"/>
        <v>319000</v>
      </c>
      <c r="G767" s="102">
        <f t="shared" si="329"/>
        <v>290000</v>
      </c>
      <c r="H767" s="690" t="s">
        <v>142</v>
      </c>
      <c r="I767" s="71" t="s">
        <v>140</v>
      </c>
      <c r="J767" s="53">
        <f>(G767-(VLOOKUP(C767,Price!B:D,3,FALSE)*D767))</f>
        <v>115000</v>
      </c>
      <c r="K767" s="63">
        <f>(J767/(F767/11*10))</f>
        <v>0.39655172413793105</v>
      </c>
      <c r="L767" s="82">
        <v>18.3</v>
      </c>
      <c r="M767" s="468"/>
      <c r="N767" s="664">
        <f t="shared" si="334"/>
        <v>180309</v>
      </c>
      <c r="O767" s="71" t="s">
        <v>145</v>
      </c>
      <c r="P767" s="103" t="str">
        <f>(C767)</f>
        <v>THD200(20L)</v>
      </c>
      <c r="Q767" s="71">
        <f t="shared" si="335"/>
        <v>5</v>
      </c>
      <c r="R767" s="102">
        <v>35000</v>
      </c>
      <c r="S767" s="102">
        <f>(R767*D767)*1.1</f>
        <v>192500.00000000003</v>
      </c>
      <c r="T767" s="102">
        <f>(R767*Q767)</f>
        <v>175000</v>
      </c>
      <c r="U767" s="71" t="str">
        <f t="shared" si="336"/>
        <v>O</v>
      </c>
      <c r="V767" s="71"/>
      <c r="W767" s="474">
        <f t="shared" si="337"/>
        <v>115000</v>
      </c>
      <c r="X767" s="71"/>
      <c r="Y767" s="71"/>
    </row>
    <row r="768" spans="1:25" ht="30" hidden="1" customHeight="1" x14ac:dyDescent="0.25">
      <c r="A768" s="82">
        <v>180309</v>
      </c>
      <c r="B768" s="664" t="s">
        <v>550</v>
      </c>
      <c r="C768" s="71" t="s">
        <v>848</v>
      </c>
      <c r="D768" s="71">
        <v>1</v>
      </c>
      <c r="E768" s="102">
        <v>1200000</v>
      </c>
      <c r="F768" s="102">
        <f t="shared" si="328"/>
        <v>1320000</v>
      </c>
      <c r="G768" s="102">
        <f t="shared" si="329"/>
        <v>1200000</v>
      </c>
      <c r="H768" s="779" t="s">
        <v>113</v>
      </c>
      <c r="I768" s="71"/>
      <c r="J768" s="53">
        <f>G768-T768</f>
        <v>609628.10347481398</v>
      </c>
      <c r="K768" s="63">
        <f>(J768/(F768/11*10))</f>
        <v>0.50802341956234498</v>
      </c>
      <c r="L768" s="871">
        <v>18.3</v>
      </c>
      <c r="M768" s="468"/>
      <c r="N768" s="664">
        <f t="shared" si="313"/>
        <v>180309</v>
      </c>
      <c r="O768" s="808" t="s">
        <v>113</v>
      </c>
      <c r="P768" s="103" t="str">
        <f t="shared" ref="P768:Q773" si="338">C768</f>
        <v>연소 튜브</v>
      </c>
      <c r="Q768" s="71">
        <f t="shared" si="338"/>
        <v>1</v>
      </c>
      <c r="R768" s="102">
        <f>Import!G79</f>
        <v>590371.89652518602</v>
      </c>
      <c r="S768" s="102">
        <f t="shared" ref="S768:S773" si="339">R768*Q768*1.1</f>
        <v>649409.08617770462</v>
      </c>
      <c r="T768" s="102">
        <f t="shared" ref="T768:T773" si="340">R768*Q768</f>
        <v>590371.89652518602</v>
      </c>
      <c r="U768" s="71" t="str">
        <f t="shared" si="336"/>
        <v>O</v>
      </c>
      <c r="V768" s="71"/>
      <c r="W768" s="474">
        <f t="shared" si="337"/>
        <v>609628.10347481398</v>
      </c>
      <c r="X768" s="71"/>
      <c r="Y768" s="71"/>
    </row>
    <row r="769" spans="1:25" ht="30" hidden="1" customHeight="1" x14ac:dyDescent="0.25">
      <c r="A769" s="82">
        <v>180309</v>
      </c>
      <c r="B769" s="664" t="s">
        <v>546</v>
      </c>
      <c r="C769" s="71" t="s">
        <v>1076</v>
      </c>
      <c r="D769" s="71">
        <v>1</v>
      </c>
      <c r="E769" s="102">
        <v>750000</v>
      </c>
      <c r="F769" s="102">
        <f t="shared" si="328"/>
        <v>825000.00000000012</v>
      </c>
      <c r="G769" s="102">
        <f t="shared" si="329"/>
        <v>750000</v>
      </c>
      <c r="H769" s="779" t="s">
        <v>113</v>
      </c>
      <c r="I769" s="71"/>
      <c r="J769" s="53">
        <f>G769-T769</f>
        <v>442931.75422518601</v>
      </c>
      <c r="K769" s="63">
        <f>(J769/(F769/11*10))</f>
        <v>0.59057567230024788</v>
      </c>
      <c r="L769" s="871">
        <v>18.3</v>
      </c>
      <c r="M769" s="468"/>
      <c r="N769" s="664">
        <f t="shared" si="313"/>
        <v>180309</v>
      </c>
      <c r="O769" s="808" t="s">
        <v>113</v>
      </c>
      <c r="P769" s="103" t="str">
        <f t="shared" si="338"/>
        <v>롤러 브라켓</v>
      </c>
      <c r="Q769" s="71">
        <f t="shared" si="338"/>
        <v>1</v>
      </c>
      <c r="R769" s="102">
        <f>Import!G78</f>
        <v>307068.24577481399</v>
      </c>
      <c r="S769" s="102">
        <f t="shared" si="339"/>
        <v>337775.07035229541</v>
      </c>
      <c r="T769" s="102">
        <f t="shared" si="340"/>
        <v>307068.24577481399</v>
      </c>
      <c r="U769" s="71" t="str">
        <f t="shared" si="336"/>
        <v>O</v>
      </c>
      <c r="V769" s="71"/>
      <c r="W769" s="474">
        <f t="shared" si="337"/>
        <v>442931.75422518601</v>
      </c>
      <c r="X769" s="71"/>
      <c r="Y769" s="71"/>
    </row>
    <row r="770" spans="1:25" s="602" customFormat="1" ht="30" hidden="1" customHeight="1" x14ac:dyDescent="0.25">
      <c r="A770" s="85">
        <v>180309</v>
      </c>
      <c r="B770" s="668" t="s">
        <v>546</v>
      </c>
      <c r="C770" s="84" t="s">
        <v>1077</v>
      </c>
      <c r="D770" s="84">
        <v>1</v>
      </c>
      <c r="E770" s="189">
        <v>450000</v>
      </c>
      <c r="F770" s="189">
        <f t="shared" si="328"/>
        <v>495000.00000000006</v>
      </c>
      <c r="G770" s="189">
        <f t="shared" si="329"/>
        <v>450000</v>
      </c>
      <c r="H770" s="781" t="s">
        <v>113</v>
      </c>
      <c r="I770" s="84"/>
      <c r="J770" s="61">
        <f>G770-T770</f>
        <v>216099.76756919402</v>
      </c>
      <c r="K770" s="62">
        <f>(J770/(F770/11*10))</f>
        <v>0.48022170570931999</v>
      </c>
      <c r="L770" s="873">
        <v>18.3</v>
      </c>
      <c r="M770" s="601"/>
      <c r="N770" s="668">
        <f t="shared" si="313"/>
        <v>180309</v>
      </c>
      <c r="O770" s="814" t="s">
        <v>113</v>
      </c>
      <c r="P770" s="133" t="str">
        <f t="shared" si="338"/>
        <v>스터드</v>
      </c>
      <c r="Q770" s="84">
        <f t="shared" si="338"/>
        <v>1</v>
      </c>
      <c r="R770" s="189">
        <f>Import!G54</f>
        <v>233900.23243080598</v>
      </c>
      <c r="S770" s="189">
        <f t="shared" si="339"/>
        <v>257290.2556738866</v>
      </c>
      <c r="T770" s="189">
        <f t="shared" si="340"/>
        <v>233900.23243080598</v>
      </c>
      <c r="U770" s="84" t="str">
        <f t="shared" si="336"/>
        <v>O</v>
      </c>
      <c r="V770" s="84"/>
      <c r="W770" s="478">
        <f t="shared" si="337"/>
        <v>216099.76756919402</v>
      </c>
      <c r="X770" s="84"/>
      <c r="Y770" s="84"/>
    </row>
    <row r="771" spans="1:25" ht="30" hidden="1" customHeight="1" x14ac:dyDescent="0.25">
      <c r="A771" s="80">
        <v>180314</v>
      </c>
      <c r="B771" s="663" t="s">
        <v>809</v>
      </c>
      <c r="C771" s="73" t="s">
        <v>1081</v>
      </c>
      <c r="D771" s="73">
        <v>5</v>
      </c>
      <c r="E771" s="147">
        <v>156000</v>
      </c>
      <c r="F771" s="147">
        <f t="shared" si="328"/>
        <v>858000.00000000012</v>
      </c>
      <c r="G771" s="147">
        <f t="shared" si="329"/>
        <v>780000</v>
      </c>
      <c r="H771" s="689" t="s">
        <v>173</v>
      </c>
      <c r="I771" s="73" t="s">
        <v>142</v>
      </c>
      <c r="J771" s="60">
        <f>G771-T771</f>
        <v>180000</v>
      </c>
      <c r="K771" s="427">
        <f t="shared" ref="K771:K788" si="341">(J771/(F771/11*10))</f>
        <v>0.23076923076923073</v>
      </c>
      <c r="L771" s="874">
        <v>18.3</v>
      </c>
      <c r="M771" s="584"/>
      <c r="N771" s="663">
        <f t="shared" si="313"/>
        <v>180314</v>
      </c>
      <c r="O771" s="73" t="s">
        <v>147</v>
      </c>
      <c r="P771" s="132" t="str">
        <f t="shared" si="338"/>
        <v>파우더</v>
      </c>
      <c r="Q771" s="73">
        <f t="shared" si="338"/>
        <v>5</v>
      </c>
      <c r="R771" s="147">
        <v>120000</v>
      </c>
      <c r="S771" s="147">
        <f t="shared" si="339"/>
        <v>660000</v>
      </c>
      <c r="T771" s="147">
        <f t="shared" si="340"/>
        <v>600000</v>
      </c>
      <c r="U771" s="73" t="str">
        <f t="shared" si="336"/>
        <v>O</v>
      </c>
      <c r="V771" s="73"/>
      <c r="W771" s="473">
        <f t="shared" si="337"/>
        <v>180000</v>
      </c>
      <c r="X771" s="73"/>
      <c r="Y771" s="73"/>
    </row>
    <row r="772" spans="1:25" s="602" customFormat="1" ht="30" hidden="1" customHeight="1" x14ac:dyDescent="0.25">
      <c r="A772" s="85">
        <v>180314</v>
      </c>
      <c r="B772" s="668" t="s">
        <v>809</v>
      </c>
      <c r="C772" s="84" t="s">
        <v>236</v>
      </c>
      <c r="D772" s="84">
        <v>6</v>
      </c>
      <c r="E772" s="189">
        <v>100000</v>
      </c>
      <c r="F772" s="189">
        <f t="shared" si="328"/>
        <v>660000</v>
      </c>
      <c r="G772" s="189">
        <f t="shared" si="329"/>
        <v>600000</v>
      </c>
      <c r="H772" s="691" t="s">
        <v>173</v>
      </c>
      <c r="I772" s="84" t="s">
        <v>142</v>
      </c>
      <c r="J772" s="61">
        <f>(G772-(VLOOKUP(C772,Price!B:D,3,FALSE)*D772))</f>
        <v>300000</v>
      </c>
      <c r="K772" s="62">
        <f t="shared" si="341"/>
        <v>0.5</v>
      </c>
      <c r="L772" s="873">
        <v>18.3</v>
      </c>
      <c r="M772" s="601"/>
      <c r="N772" s="668">
        <f t="shared" si="313"/>
        <v>180314</v>
      </c>
      <c r="O772" s="84" t="s">
        <v>153</v>
      </c>
      <c r="P772" s="133" t="str">
        <f t="shared" si="338"/>
        <v>아스테이지(국전)</v>
      </c>
      <c r="Q772" s="84">
        <f t="shared" si="338"/>
        <v>6</v>
      </c>
      <c r="R772" s="189">
        <v>50000</v>
      </c>
      <c r="S772" s="189">
        <f t="shared" si="339"/>
        <v>330000</v>
      </c>
      <c r="T772" s="189">
        <f t="shared" si="340"/>
        <v>300000</v>
      </c>
      <c r="U772" s="84" t="str">
        <f t="shared" si="336"/>
        <v>O</v>
      </c>
      <c r="V772" s="411"/>
      <c r="W772" s="481">
        <f t="shared" si="337"/>
        <v>300000</v>
      </c>
      <c r="X772" s="411"/>
      <c r="Y772" s="84"/>
    </row>
    <row r="773" spans="1:25" ht="30" customHeight="1" x14ac:dyDescent="0.25">
      <c r="A773" s="80">
        <v>180315</v>
      </c>
      <c r="B773" s="663" t="s">
        <v>422</v>
      </c>
      <c r="C773" s="829" t="s">
        <v>218</v>
      </c>
      <c r="D773" s="73">
        <v>5</v>
      </c>
      <c r="E773" s="147">
        <v>235000</v>
      </c>
      <c r="F773" s="147">
        <f t="shared" ref="F773:F787" si="342">(E773*D773)*1.1</f>
        <v>1292500</v>
      </c>
      <c r="G773" s="147">
        <f t="shared" ref="G773:G787" si="343">(E773*D773)</f>
        <v>1175000</v>
      </c>
      <c r="H773" s="689" t="s">
        <v>173</v>
      </c>
      <c r="I773" s="73" t="s">
        <v>120</v>
      </c>
      <c r="J773" s="60">
        <f>(G773-(VLOOKUP(C773,Price!B:D,3,FALSE)*D773))</f>
        <v>612500</v>
      </c>
      <c r="K773" s="427">
        <f t="shared" si="341"/>
        <v>0.52127659574468088</v>
      </c>
      <c r="L773" s="80">
        <v>18.3</v>
      </c>
      <c r="M773" s="584"/>
      <c r="N773" s="663">
        <f t="shared" ref="N773:N781" si="344">A773</f>
        <v>180315</v>
      </c>
      <c r="O773" s="73" t="s">
        <v>150</v>
      </c>
      <c r="P773" s="132" t="str">
        <f t="shared" si="338"/>
        <v>Fount Web 551AF</v>
      </c>
      <c r="Q773" s="73">
        <f t="shared" si="338"/>
        <v>5</v>
      </c>
      <c r="R773" s="147">
        <v>112500</v>
      </c>
      <c r="S773" s="147">
        <f t="shared" si="339"/>
        <v>618750</v>
      </c>
      <c r="T773" s="147">
        <f t="shared" si="340"/>
        <v>562500</v>
      </c>
      <c r="U773" s="73" t="str">
        <f t="shared" si="336"/>
        <v>O</v>
      </c>
      <c r="V773" s="409"/>
      <c r="W773" s="515">
        <f t="shared" si="337"/>
        <v>612500</v>
      </c>
      <c r="X773" s="409"/>
      <c r="Y773" s="73"/>
    </row>
    <row r="774" spans="1:25" s="209" customFormat="1" ht="30" hidden="1" customHeight="1" x14ac:dyDescent="0.25">
      <c r="A774" s="82">
        <v>180315</v>
      </c>
      <c r="B774" s="664" t="s">
        <v>442</v>
      </c>
      <c r="C774" s="71" t="s">
        <v>138</v>
      </c>
      <c r="D774" s="71">
        <v>20</v>
      </c>
      <c r="E774" s="102">
        <v>69000</v>
      </c>
      <c r="F774" s="102">
        <f t="shared" si="342"/>
        <v>1518000.0000000002</v>
      </c>
      <c r="G774" s="102">
        <f t="shared" si="343"/>
        <v>1380000</v>
      </c>
      <c r="H774" s="690" t="s">
        <v>173</v>
      </c>
      <c r="I774" s="71" t="s">
        <v>108</v>
      </c>
      <c r="J774" s="53">
        <f>(G774-(VLOOKUP(C774,Price!B:D,3,FALSE)*D774))</f>
        <v>360000</v>
      </c>
      <c r="K774" s="63">
        <f t="shared" si="341"/>
        <v>0.26086956521739124</v>
      </c>
      <c r="L774" s="82">
        <v>18.3</v>
      </c>
      <c r="M774" s="468"/>
      <c r="N774" s="664">
        <f t="shared" si="344"/>
        <v>180315</v>
      </c>
      <c r="O774" s="71" t="s">
        <v>150</v>
      </c>
      <c r="P774" s="103" t="str">
        <f>(C774)</f>
        <v>매엽용 세척제(Wash 562)</v>
      </c>
      <c r="Q774" s="71">
        <f t="shared" ref="Q774:Q784" si="345">D774</f>
        <v>20</v>
      </c>
      <c r="R774" s="102">
        <v>51000</v>
      </c>
      <c r="S774" s="102">
        <f>(R774*D774)*1.1</f>
        <v>1122000</v>
      </c>
      <c r="T774" s="102">
        <f>(R774*Q774)</f>
        <v>1020000</v>
      </c>
      <c r="U774" s="71" t="str">
        <f t="shared" si="336"/>
        <v>O</v>
      </c>
      <c r="V774" s="71"/>
      <c r="W774" s="474">
        <f t="shared" si="337"/>
        <v>360000</v>
      </c>
      <c r="X774" s="71"/>
      <c r="Y774" s="71"/>
    </row>
    <row r="775" spans="1:25" s="209" customFormat="1" ht="30" hidden="1" customHeight="1" x14ac:dyDescent="0.25">
      <c r="A775" s="648">
        <v>180315</v>
      </c>
      <c r="B775" s="733" t="s">
        <v>764</v>
      </c>
      <c r="C775" s="1013" t="s">
        <v>1411</v>
      </c>
      <c r="D775" s="96">
        <v>1</v>
      </c>
      <c r="E775" s="734">
        <v>980000</v>
      </c>
      <c r="F775" s="734">
        <f t="shared" si="342"/>
        <v>1078000</v>
      </c>
      <c r="G775" s="734">
        <f t="shared" si="343"/>
        <v>980000</v>
      </c>
      <c r="H775" s="1012" t="s">
        <v>39</v>
      </c>
      <c r="I775" s="96"/>
      <c r="J775" s="586">
        <f>G775-R775</f>
        <v>514769.81724217715</v>
      </c>
      <c r="K775" s="63">
        <f t="shared" si="341"/>
        <v>0.52527532371650731</v>
      </c>
      <c r="L775" s="648">
        <v>18.3</v>
      </c>
      <c r="M775" s="736"/>
      <c r="N775" s="733">
        <f t="shared" si="344"/>
        <v>180315</v>
      </c>
      <c r="O775" s="1013" t="s">
        <v>39</v>
      </c>
      <c r="P775" s="737" t="str">
        <f>(C775)</f>
        <v>Technotrans Beta.f 필터 set</v>
      </c>
      <c r="Q775" s="96">
        <f t="shared" si="345"/>
        <v>1</v>
      </c>
      <c r="R775" s="734">
        <f>Import!G621</f>
        <v>465230.18275782285</v>
      </c>
      <c r="S775" s="734">
        <f>(R775*D775)*1.1</f>
        <v>511753.2010336052</v>
      </c>
      <c r="T775" s="734">
        <f>(R775*Q775)</f>
        <v>465230.18275782285</v>
      </c>
      <c r="U775" s="71" t="str">
        <f t="shared" si="336"/>
        <v>O</v>
      </c>
      <c r="V775" s="71"/>
      <c r="W775" s="474">
        <f t="shared" si="337"/>
        <v>514769.81724217715</v>
      </c>
      <c r="X775" s="71"/>
      <c r="Y775" s="96"/>
    </row>
    <row r="776" spans="1:25" s="517" customFormat="1" ht="30" hidden="1" customHeight="1" x14ac:dyDescent="0.25">
      <c r="A776" s="82">
        <v>180315</v>
      </c>
      <c r="B776" s="664" t="s">
        <v>764</v>
      </c>
      <c r="C776" s="71" t="s">
        <v>236</v>
      </c>
      <c r="D776" s="71">
        <v>5</v>
      </c>
      <c r="E776" s="102">
        <v>100000</v>
      </c>
      <c r="F776" s="102">
        <f>(E776*D776)*1.1</f>
        <v>550000</v>
      </c>
      <c r="G776" s="102">
        <f>(E776*D776)</f>
        <v>500000</v>
      </c>
      <c r="H776" s="690" t="s">
        <v>173</v>
      </c>
      <c r="I776" s="71" t="s">
        <v>142</v>
      </c>
      <c r="J776" s="53">
        <f>(G776-(VLOOKUP(C776,Price!B:D,3,FALSE)*D776))</f>
        <v>250000</v>
      </c>
      <c r="K776" s="63">
        <f>(J776/(F776/11*10))</f>
        <v>0.5</v>
      </c>
      <c r="L776" s="871">
        <v>18.3</v>
      </c>
      <c r="M776" s="468"/>
      <c r="N776" s="664">
        <f t="shared" si="344"/>
        <v>180315</v>
      </c>
      <c r="O776" s="71" t="s">
        <v>153</v>
      </c>
      <c r="P776" s="103" t="str">
        <f>C776</f>
        <v>아스테이지(국전)</v>
      </c>
      <c r="Q776" s="71">
        <f t="shared" si="345"/>
        <v>5</v>
      </c>
      <c r="R776" s="102">
        <f>VLOOKUP(P776,Price!B:D,3,FALSE)</f>
        <v>50000</v>
      </c>
      <c r="S776" s="102">
        <f>R776*Q776*1.1</f>
        <v>275000</v>
      </c>
      <c r="T776" s="102">
        <f>R776*Q776</f>
        <v>250000</v>
      </c>
      <c r="U776" s="71" t="str">
        <f t="shared" si="336"/>
        <v>O</v>
      </c>
      <c r="V776" s="71"/>
      <c r="W776" s="474">
        <f t="shared" si="337"/>
        <v>250000</v>
      </c>
      <c r="X776" s="71"/>
      <c r="Y776" s="71"/>
    </row>
    <row r="777" spans="1:25" ht="30" hidden="1" customHeight="1" x14ac:dyDescent="0.25">
      <c r="A777" s="80">
        <v>180315</v>
      </c>
      <c r="B777" s="663" t="s">
        <v>983</v>
      </c>
      <c r="C777" s="73" t="s">
        <v>1009</v>
      </c>
      <c r="D777" s="73">
        <v>480</v>
      </c>
      <c r="E777" s="147">
        <v>3900</v>
      </c>
      <c r="F777" s="147">
        <f>(E777*D777)*1.1</f>
        <v>2059200.0000000002</v>
      </c>
      <c r="G777" s="147">
        <f>(E777*D777)</f>
        <v>1872000</v>
      </c>
      <c r="H777" s="689" t="s">
        <v>173</v>
      </c>
      <c r="I777" s="73" t="s">
        <v>140</v>
      </c>
      <c r="J777" s="60">
        <f>G777-T777</f>
        <v>288000</v>
      </c>
      <c r="K777" s="427">
        <f>(J777/(F777/11*10))</f>
        <v>0.15384615384615383</v>
      </c>
      <c r="L777" s="874">
        <v>18.3</v>
      </c>
      <c r="M777" s="584"/>
      <c r="N777" s="663">
        <f t="shared" si="344"/>
        <v>180315</v>
      </c>
      <c r="O777" s="73" t="s">
        <v>147</v>
      </c>
      <c r="P777" s="132" t="str">
        <f>C777</f>
        <v>CTP판(1030*790mm)</v>
      </c>
      <c r="Q777" s="73">
        <f t="shared" si="345"/>
        <v>480</v>
      </c>
      <c r="R777" s="147">
        <v>3300</v>
      </c>
      <c r="S777" s="147">
        <f>R777*Q777*1.1</f>
        <v>1742400.0000000002</v>
      </c>
      <c r="T777" s="147">
        <f>R777*Q777</f>
        <v>1584000</v>
      </c>
      <c r="U777" s="73" t="str">
        <f t="shared" si="336"/>
        <v>O</v>
      </c>
      <c r="V777" s="73"/>
      <c r="W777" s="482">
        <f t="shared" si="337"/>
        <v>288000</v>
      </c>
      <c r="X777" s="73"/>
      <c r="Y777" s="73"/>
    </row>
    <row r="778" spans="1:25" s="616" customFormat="1" ht="30" hidden="1" customHeight="1" x14ac:dyDescent="0.25">
      <c r="A778" s="80">
        <v>180315</v>
      </c>
      <c r="B778" s="663" t="s">
        <v>983</v>
      </c>
      <c r="C778" s="73" t="s">
        <v>984</v>
      </c>
      <c r="D778" s="73">
        <v>7</v>
      </c>
      <c r="E778" s="147">
        <v>45000</v>
      </c>
      <c r="F778" s="147">
        <f>(E778*D778)*1.1</f>
        <v>346500</v>
      </c>
      <c r="G778" s="147">
        <f>(E778*D778)</f>
        <v>315000</v>
      </c>
      <c r="H778" s="689" t="s">
        <v>173</v>
      </c>
      <c r="I778" s="73" t="s">
        <v>140</v>
      </c>
      <c r="J778" s="60">
        <f>G778-T778</f>
        <v>70000</v>
      </c>
      <c r="K778" s="427">
        <f>(J778/(F778/11*10))</f>
        <v>0.22222222222222221</v>
      </c>
      <c r="L778" s="874">
        <v>18.3</v>
      </c>
      <c r="M778" s="584"/>
      <c r="N778" s="663">
        <f t="shared" si="344"/>
        <v>180315</v>
      </c>
      <c r="O778" s="73" t="s">
        <v>147</v>
      </c>
      <c r="P778" s="132" t="str">
        <f>C778</f>
        <v>CTP 현상액</v>
      </c>
      <c r="Q778" s="73">
        <f t="shared" si="345"/>
        <v>7</v>
      </c>
      <c r="R778" s="147">
        <v>35000</v>
      </c>
      <c r="S778" s="147">
        <f>R778*Q778*1.1</f>
        <v>269500</v>
      </c>
      <c r="T778" s="147">
        <f>R778*Q778</f>
        <v>245000</v>
      </c>
      <c r="U778" s="73" t="str">
        <f t="shared" si="336"/>
        <v>O</v>
      </c>
      <c r="V778" s="73"/>
      <c r="W778" s="520">
        <f t="shared" si="337"/>
        <v>70000</v>
      </c>
      <c r="X778" s="73"/>
      <c r="Y778" s="73"/>
    </row>
    <row r="779" spans="1:25" s="657" customFormat="1" ht="30" hidden="1" customHeight="1" x14ac:dyDescent="0.25">
      <c r="A779" s="82">
        <v>180315</v>
      </c>
      <c r="B779" s="664" t="s">
        <v>1127</v>
      </c>
      <c r="C779" s="71" t="s">
        <v>1128</v>
      </c>
      <c r="D779" s="71">
        <v>1</v>
      </c>
      <c r="E779" s="102">
        <v>7000000</v>
      </c>
      <c r="F779" s="102">
        <f>(E779*D779)*1.1</f>
        <v>7700000.0000000009</v>
      </c>
      <c r="G779" s="102">
        <f>(E779*D779)</f>
        <v>7000000</v>
      </c>
      <c r="H779" s="779" t="s">
        <v>113</v>
      </c>
      <c r="I779" s="71"/>
      <c r="J779" s="53">
        <f>G779-R779</f>
        <v>3960170.2044847142</v>
      </c>
      <c r="K779" s="427">
        <f>(J779/(F779/11*10))</f>
        <v>0.56573860064067338</v>
      </c>
      <c r="L779" s="871">
        <v>18.3</v>
      </c>
      <c r="M779" s="468"/>
      <c r="N779" s="664">
        <f t="shared" si="344"/>
        <v>180315</v>
      </c>
      <c r="O779" s="991" t="s">
        <v>39</v>
      </c>
      <c r="P779" s="103" t="s">
        <v>1128</v>
      </c>
      <c r="Q779" s="71">
        <f t="shared" si="345"/>
        <v>1</v>
      </c>
      <c r="R779" s="102">
        <f>Import!G629</f>
        <v>3039829.7955152858</v>
      </c>
      <c r="S779" s="147">
        <f>R779*Q779*1.1</f>
        <v>3343812.7750668149</v>
      </c>
      <c r="T779" s="147">
        <f>R779*Q779</f>
        <v>3039829.7955152858</v>
      </c>
      <c r="U779" s="73" t="str">
        <f t="shared" si="336"/>
        <v>O</v>
      </c>
      <c r="V779" s="73"/>
      <c r="W779" s="520">
        <f t="shared" si="337"/>
        <v>3960170.2044847142</v>
      </c>
      <c r="X779" s="71"/>
      <c r="Y779" s="71"/>
    </row>
    <row r="780" spans="1:25" s="209" customFormat="1" ht="30" hidden="1" customHeight="1" x14ac:dyDescent="0.25">
      <c r="A780" s="611">
        <v>180315</v>
      </c>
      <c r="B780" s="674" t="s">
        <v>546</v>
      </c>
      <c r="C780" s="409" t="s">
        <v>1121</v>
      </c>
      <c r="D780" s="409">
        <v>5</v>
      </c>
      <c r="E780" s="208">
        <v>75000</v>
      </c>
      <c r="F780" s="208">
        <f t="shared" si="342"/>
        <v>412500.00000000006</v>
      </c>
      <c r="G780" s="208">
        <f t="shared" si="343"/>
        <v>375000</v>
      </c>
      <c r="H780" s="785" t="s">
        <v>113</v>
      </c>
      <c r="I780" s="409"/>
      <c r="J780" s="97">
        <f>G780-T780</f>
        <v>75000</v>
      </c>
      <c r="K780" s="427">
        <f t="shared" si="341"/>
        <v>0.19999999999999996</v>
      </c>
      <c r="L780" s="611">
        <v>18.3</v>
      </c>
      <c r="M780" s="583"/>
      <c r="N780" s="674">
        <f t="shared" si="344"/>
        <v>180315</v>
      </c>
      <c r="O780" s="409" t="s">
        <v>150</v>
      </c>
      <c r="P780" s="139" t="str">
        <f>(C780)</f>
        <v>포텐시오미터</v>
      </c>
      <c r="Q780" s="409">
        <f t="shared" si="345"/>
        <v>5</v>
      </c>
      <c r="R780" s="208">
        <v>60000</v>
      </c>
      <c r="S780" s="208">
        <f>(R780*D780)*1.1</f>
        <v>330000</v>
      </c>
      <c r="T780" s="208">
        <f>(R780*Q780)</f>
        <v>300000</v>
      </c>
      <c r="U780" s="73" t="str">
        <f t="shared" si="336"/>
        <v>O</v>
      </c>
      <c r="V780" s="73"/>
      <c r="W780" s="473">
        <f t="shared" si="337"/>
        <v>75000</v>
      </c>
      <c r="X780" s="73"/>
      <c r="Y780" s="409"/>
    </row>
    <row r="781" spans="1:25" s="209" customFormat="1" ht="30" hidden="1" customHeight="1" x14ac:dyDescent="0.2">
      <c r="A781" s="648">
        <v>180315</v>
      </c>
      <c r="B781" s="733" t="s">
        <v>445</v>
      </c>
      <c r="C781" s="96" t="s">
        <v>138</v>
      </c>
      <c r="D781" s="96">
        <v>10</v>
      </c>
      <c r="E781" s="734">
        <v>59500</v>
      </c>
      <c r="F781" s="937">
        <f t="shared" si="342"/>
        <v>654500</v>
      </c>
      <c r="G781" s="937">
        <f t="shared" si="343"/>
        <v>595000</v>
      </c>
      <c r="H781" s="938" t="s">
        <v>172</v>
      </c>
      <c r="I781" s="96" t="s">
        <v>108</v>
      </c>
      <c r="J781" s="586">
        <f>(G781-(VLOOKUP(C781,Price!B:D,3,FALSE)*D781))</f>
        <v>85000</v>
      </c>
      <c r="K781" s="54">
        <f t="shared" si="341"/>
        <v>0.14285714285714285</v>
      </c>
      <c r="L781" s="648">
        <v>18.3</v>
      </c>
      <c r="M781" s="736"/>
      <c r="N781" s="733">
        <f t="shared" si="344"/>
        <v>180315</v>
      </c>
      <c r="O781" s="96" t="s">
        <v>150</v>
      </c>
      <c r="P781" s="737" t="str">
        <f>(C781)</f>
        <v>매엽용 세척제(Wash 562)</v>
      </c>
      <c r="Q781" s="96">
        <f t="shared" si="345"/>
        <v>10</v>
      </c>
      <c r="R781" s="734">
        <v>51000</v>
      </c>
      <c r="S781" s="734">
        <f>(R781*D781)*1.1</f>
        <v>561000</v>
      </c>
      <c r="T781" s="734">
        <f>(R781*Q781)</f>
        <v>510000</v>
      </c>
      <c r="U781" s="96" t="str">
        <f t="shared" si="336"/>
        <v>O</v>
      </c>
      <c r="V781" s="71"/>
      <c r="W781" s="474">
        <f t="shared" si="337"/>
        <v>85000</v>
      </c>
      <c r="X781" s="71"/>
      <c r="Y781" s="96"/>
    </row>
    <row r="782" spans="1:25" s="602" customFormat="1" ht="30" hidden="1" customHeight="1" x14ac:dyDescent="0.25">
      <c r="A782" s="85">
        <v>180315</v>
      </c>
      <c r="B782" s="668" t="s">
        <v>1082</v>
      </c>
      <c r="C782" s="84" t="s">
        <v>121</v>
      </c>
      <c r="D782" s="84">
        <v>5</v>
      </c>
      <c r="E782" s="189">
        <v>110000</v>
      </c>
      <c r="F782" s="189">
        <f t="shared" si="342"/>
        <v>605000</v>
      </c>
      <c r="G782" s="189">
        <f t="shared" si="343"/>
        <v>550000</v>
      </c>
      <c r="H782" s="691" t="s">
        <v>173</v>
      </c>
      <c r="I782" s="84" t="s">
        <v>142</v>
      </c>
      <c r="J782" s="61">
        <f>(G782-(VLOOKUP(C782,Price!B:D,3,FALSE)*D782))</f>
        <v>95000</v>
      </c>
      <c r="K782" s="62">
        <f t="shared" si="341"/>
        <v>0.17272727272727273</v>
      </c>
      <c r="L782" s="873">
        <v>18.3</v>
      </c>
      <c r="M782" s="601"/>
      <c r="N782" s="668">
        <f t="shared" si="313"/>
        <v>180315</v>
      </c>
      <c r="O782" s="84" t="s">
        <v>150</v>
      </c>
      <c r="P782" s="133" t="str">
        <f>C782</f>
        <v>윤전용 실리콘</v>
      </c>
      <c r="Q782" s="84">
        <f t="shared" si="345"/>
        <v>5</v>
      </c>
      <c r="R782" s="189">
        <v>91000</v>
      </c>
      <c r="S782" s="189">
        <f>R782*Q782*1.1</f>
        <v>500500.00000000006</v>
      </c>
      <c r="T782" s="189">
        <f>R782*Q782</f>
        <v>455000</v>
      </c>
      <c r="U782" s="84" t="str">
        <f t="shared" si="336"/>
        <v>O</v>
      </c>
      <c r="V782" s="411"/>
      <c r="W782" s="481">
        <f t="shared" si="337"/>
        <v>95000</v>
      </c>
      <c r="X782" s="411"/>
      <c r="Y782" s="84"/>
    </row>
    <row r="783" spans="1:25" s="616" customFormat="1" ht="30" customHeight="1" x14ac:dyDescent="0.25">
      <c r="A783" s="184">
        <v>180317</v>
      </c>
      <c r="B783" s="663" t="s">
        <v>565</v>
      </c>
      <c r="C783" s="73" t="s">
        <v>692</v>
      </c>
      <c r="D783" s="73">
        <v>10</v>
      </c>
      <c r="E783" s="147">
        <v>218000</v>
      </c>
      <c r="F783" s="147">
        <f t="shared" si="342"/>
        <v>2398000</v>
      </c>
      <c r="G783" s="147">
        <f t="shared" si="343"/>
        <v>2180000</v>
      </c>
      <c r="H783" s="689" t="s">
        <v>173</v>
      </c>
      <c r="I783" s="73" t="s">
        <v>109</v>
      </c>
      <c r="J783" s="60">
        <f>(G783-(VLOOKUP(C783,Price!B:D,3,FALSE)*D783))</f>
        <v>580000</v>
      </c>
      <c r="K783" s="427">
        <f t="shared" si="341"/>
        <v>0.26605504587155965</v>
      </c>
      <c r="L783" s="80">
        <v>18.3</v>
      </c>
      <c r="M783" s="584"/>
      <c r="N783" s="663">
        <f t="shared" si="313"/>
        <v>180317</v>
      </c>
      <c r="O783" s="73" t="s">
        <v>150</v>
      </c>
      <c r="P783" s="132" t="str">
        <f>(C783)</f>
        <v>윤전 블랑켓</v>
      </c>
      <c r="Q783" s="73">
        <f t="shared" si="345"/>
        <v>10</v>
      </c>
      <c r="R783" s="147">
        <v>160000</v>
      </c>
      <c r="S783" s="147">
        <f>(R783*D783)*1.1</f>
        <v>1760000.0000000002</v>
      </c>
      <c r="T783" s="147">
        <f>(R783*Q783)</f>
        <v>1600000</v>
      </c>
      <c r="U783" s="73" t="str">
        <f t="shared" si="336"/>
        <v>O</v>
      </c>
      <c r="V783" s="409" t="s">
        <v>784</v>
      </c>
      <c r="W783" s="482">
        <f t="shared" si="337"/>
        <v>580000</v>
      </c>
      <c r="X783" s="409"/>
      <c r="Y783" s="73"/>
    </row>
    <row r="784" spans="1:25" ht="30" hidden="1" customHeight="1" x14ac:dyDescent="0.25">
      <c r="A784" s="82">
        <v>180319</v>
      </c>
      <c r="B784" s="664" t="s">
        <v>1061</v>
      </c>
      <c r="C784" s="71" t="s">
        <v>586</v>
      </c>
      <c r="D784" s="71">
        <v>200</v>
      </c>
      <c r="E784" s="102">
        <v>6750</v>
      </c>
      <c r="F784" s="102">
        <f t="shared" si="342"/>
        <v>1485000.0000000002</v>
      </c>
      <c r="G784" s="102">
        <f t="shared" si="343"/>
        <v>1350000</v>
      </c>
      <c r="H784" s="690" t="s">
        <v>142</v>
      </c>
      <c r="I784" s="71" t="s">
        <v>144</v>
      </c>
      <c r="J784" s="53">
        <f>(G784-(VLOOKUP(C784,Price!B:D,3,FALSE)*D784))</f>
        <v>114000</v>
      </c>
      <c r="K784" s="63">
        <f t="shared" si="341"/>
        <v>8.4444444444444433E-2</v>
      </c>
      <c r="L784" s="871">
        <v>18.3</v>
      </c>
      <c r="M784" s="468"/>
      <c r="N784" s="664">
        <f>A784</f>
        <v>180319</v>
      </c>
      <c r="O784" s="71" t="s">
        <v>147</v>
      </c>
      <c r="P784" s="103" t="str">
        <f>C784</f>
        <v>프리미어(황)</v>
      </c>
      <c r="Q784" s="71">
        <f t="shared" si="345"/>
        <v>200</v>
      </c>
      <c r="R784" s="102">
        <v>6180</v>
      </c>
      <c r="S784" s="102">
        <f t="shared" ref="S784:S791" si="346">R784*Q784*1.1</f>
        <v>1359600</v>
      </c>
      <c r="T784" s="102">
        <f t="shared" ref="T784:T791" si="347">R784*Q784</f>
        <v>1236000</v>
      </c>
      <c r="U784" s="71" t="str">
        <f t="shared" si="336"/>
        <v>O</v>
      </c>
      <c r="V784" s="71"/>
      <c r="W784" s="474">
        <f t="shared" si="337"/>
        <v>114000</v>
      </c>
      <c r="X784" s="71"/>
      <c r="Y784" s="71"/>
    </row>
    <row r="785" spans="1:25" ht="30" hidden="1" customHeight="1" x14ac:dyDescent="0.25">
      <c r="A785" s="82">
        <v>180319</v>
      </c>
      <c r="B785" s="664" t="s">
        <v>1082</v>
      </c>
      <c r="C785" s="71" t="s">
        <v>121</v>
      </c>
      <c r="D785" s="71">
        <v>10</v>
      </c>
      <c r="E785" s="102">
        <v>110000</v>
      </c>
      <c r="F785" s="102">
        <f t="shared" si="342"/>
        <v>1210000</v>
      </c>
      <c r="G785" s="102">
        <f t="shared" si="343"/>
        <v>1100000</v>
      </c>
      <c r="H785" s="690" t="s">
        <v>173</v>
      </c>
      <c r="I785" s="71" t="s">
        <v>142</v>
      </c>
      <c r="J785" s="53">
        <f>(G785-(VLOOKUP(C785,Price!B:D,3,FALSE)*D785))</f>
        <v>190000</v>
      </c>
      <c r="K785" s="63">
        <f t="shared" si="341"/>
        <v>0.17272727272727273</v>
      </c>
      <c r="L785" s="871">
        <v>18.3</v>
      </c>
      <c r="M785" s="468"/>
      <c r="N785" s="664">
        <f>A785</f>
        <v>180319</v>
      </c>
      <c r="O785" s="71" t="s">
        <v>150</v>
      </c>
      <c r="P785" s="103" t="str">
        <f t="shared" ref="P785:Q787" si="348">C785</f>
        <v>윤전용 실리콘</v>
      </c>
      <c r="Q785" s="71">
        <f t="shared" si="348"/>
        <v>10</v>
      </c>
      <c r="R785" s="102">
        <v>91000</v>
      </c>
      <c r="S785" s="102">
        <f t="shared" si="346"/>
        <v>1001000.0000000001</v>
      </c>
      <c r="T785" s="102">
        <f t="shared" si="347"/>
        <v>910000</v>
      </c>
      <c r="U785" s="71" t="str">
        <f t="shared" si="336"/>
        <v>O</v>
      </c>
      <c r="V785" s="71"/>
      <c r="W785" s="474">
        <f t="shared" si="337"/>
        <v>190000</v>
      </c>
      <c r="X785" s="71"/>
      <c r="Y785" s="71"/>
    </row>
    <row r="786" spans="1:25" ht="30" hidden="1" customHeight="1" x14ac:dyDescent="0.25">
      <c r="A786" s="82">
        <v>180319</v>
      </c>
      <c r="B786" s="664" t="s">
        <v>1052</v>
      </c>
      <c r="C786" s="71" t="s">
        <v>585</v>
      </c>
      <c r="D786" s="71">
        <v>200</v>
      </c>
      <c r="E786" s="102">
        <v>7500</v>
      </c>
      <c r="F786" s="102">
        <f t="shared" si="342"/>
        <v>1650000.0000000002</v>
      </c>
      <c r="G786" s="102">
        <f t="shared" si="343"/>
        <v>1500000</v>
      </c>
      <c r="H786" s="690" t="s">
        <v>142</v>
      </c>
      <c r="I786" s="71" t="s">
        <v>144</v>
      </c>
      <c r="J786" s="53">
        <f>(G786-(VLOOKUP(C786,Price!B:D,3,FALSE)*D786))</f>
        <v>146000</v>
      </c>
      <c r="K786" s="63">
        <f t="shared" si="341"/>
        <v>9.7333333333333313E-2</v>
      </c>
      <c r="L786" s="871">
        <v>18.3</v>
      </c>
      <c r="M786" s="468"/>
      <c r="N786" s="664">
        <f>A786</f>
        <v>180319</v>
      </c>
      <c r="O786" s="71" t="s">
        <v>147</v>
      </c>
      <c r="P786" s="103" t="str">
        <f t="shared" si="348"/>
        <v>프리미어(적)</v>
      </c>
      <c r="Q786" s="71">
        <f t="shared" si="348"/>
        <v>200</v>
      </c>
      <c r="R786" s="102">
        <v>6770</v>
      </c>
      <c r="S786" s="102">
        <f t="shared" si="346"/>
        <v>1489400.0000000002</v>
      </c>
      <c r="T786" s="102">
        <f t="shared" si="347"/>
        <v>1354000</v>
      </c>
      <c r="U786" s="71" t="str">
        <f t="shared" si="336"/>
        <v>O</v>
      </c>
      <c r="V786" s="71"/>
      <c r="W786" s="474">
        <f t="shared" si="337"/>
        <v>146000</v>
      </c>
      <c r="X786" s="71"/>
      <c r="Y786" s="71"/>
    </row>
    <row r="787" spans="1:25" s="602" customFormat="1" ht="30" hidden="1" customHeight="1" x14ac:dyDescent="0.25">
      <c r="A787" s="85">
        <v>180319</v>
      </c>
      <c r="B787" s="668" t="s">
        <v>1052</v>
      </c>
      <c r="C787" s="84" t="s">
        <v>587</v>
      </c>
      <c r="D787" s="84">
        <v>200</v>
      </c>
      <c r="E787" s="189">
        <v>8000</v>
      </c>
      <c r="F787" s="189">
        <f t="shared" si="342"/>
        <v>1760000.0000000002</v>
      </c>
      <c r="G787" s="189">
        <f t="shared" si="343"/>
        <v>1600000</v>
      </c>
      <c r="H787" s="691" t="s">
        <v>142</v>
      </c>
      <c r="I787" s="84" t="s">
        <v>144</v>
      </c>
      <c r="J787" s="61">
        <f>(G787-(VLOOKUP(C787,Price!B:D,3,FALSE)*D787))</f>
        <v>218000</v>
      </c>
      <c r="K787" s="62">
        <f t="shared" si="341"/>
        <v>0.13624999999999998</v>
      </c>
      <c r="L787" s="873">
        <v>18.3</v>
      </c>
      <c r="M787" s="601"/>
      <c r="N787" s="668">
        <f>A787</f>
        <v>180319</v>
      </c>
      <c r="O787" s="84" t="s">
        <v>147</v>
      </c>
      <c r="P787" s="133" t="str">
        <f t="shared" si="348"/>
        <v>프리미어(청)</v>
      </c>
      <c r="Q787" s="84">
        <f t="shared" si="348"/>
        <v>200</v>
      </c>
      <c r="R787" s="189">
        <v>6910</v>
      </c>
      <c r="S787" s="189">
        <f t="shared" si="346"/>
        <v>1520200.0000000002</v>
      </c>
      <c r="T787" s="189">
        <f t="shared" si="347"/>
        <v>1382000</v>
      </c>
      <c r="U787" s="84" t="str">
        <f t="shared" si="336"/>
        <v>O</v>
      </c>
      <c r="V787" s="411"/>
      <c r="W787" s="481">
        <f t="shared" si="337"/>
        <v>218000</v>
      </c>
      <c r="X787" s="411"/>
      <c r="Y787" s="84"/>
    </row>
    <row r="788" spans="1:25" ht="30" hidden="1" customHeight="1" x14ac:dyDescent="0.25">
      <c r="A788" s="80">
        <v>180321</v>
      </c>
      <c r="B788" s="663" t="s">
        <v>591</v>
      </c>
      <c r="C788" s="73" t="s">
        <v>1093</v>
      </c>
      <c r="D788" s="73">
        <v>4</v>
      </c>
      <c r="E788" s="147">
        <v>200000</v>
      </c>
      <c r="F788" s="147">
        <f t="shared" ref="F788:F808" si="349">(E788*D788)*1.1</f>
        <v>880000.00000000012</v>
      </c>
      <c r="G788" s="147">
        <f t="shared" ref="G788:G808" si="350">(E788*D788)</f>
        <v>800000</v>
      </c>
      <c r="H788" s="689" t="s">
        <v>173</v>
      </c>
      <c r="I788" s="73" t="s">
        <v>143</v>
      </c>
      <c r="J788" s="60">
        <f>G788-T788</f>
        <v>200000</v>
      </c>
      <c r="K788" s="427">
        <f t="shared" si="341"/>
        <v>0.24999999999999997</v>
      </c>
      <c r="L788" s="874">
        <v>18.3</v>
      </c>
      <c r="M788" s="584"/>
      <c r="N788" s="663">
        <f t="shared" si="313"/>
        <v>180321</v>
      </c>
      <c r="O788" s="73" t="s">
        <v>1130</v>
      </c>
      <c r="P788" s="132" t="str">
        <f>C788</f>
        <v>닙 롤러(M600)</v>
      </c>
      <c r="Q788" s="73">
        <f>D788</f>
        <v>4</v>
      </c>
      <c r="R788" s="147">
        <v>150000</v>
      </c>
      <c r="S788" s="147">
        <f t="shared" si="346"/>
        <v>660000</v>
      </c>
      <c r="T788" s="147">
        <f t="shared" si="347"/>
        <v>600000</v>
      </c>
      <c r="U788" s="73" t="str">
        <f t="shared" si="336"/>
        <v>O</v>
      </c>
      <c r="V788" s="409"/>
      <c r="W788" s="482">
        <f t="shared" si="337"/>
        <v>200000</v>
      </c>
      <c r="X788" s="409"/>
      <c r="Y788" s="73"/>
    </row>
    <row r="789" spans="1:25" ht="30" hidden="1" customHeight="1" x14ac:dyDescent="0.25">
      <c r="A789" s="82">
        <v>180321</v>
      </c>
      <c r="B789" s="664" t="s">
        <v>591</v>
      </c>
      <c r="C789" s="71" t="s">
        <v>1094</v>
      </c>
      <c r="D789" s="71">
        <v>5</v>
      </c>
      <c r="E789" s="102">
        <v>60000</v>
      </c>
      <c r="F789" s="102">
        <f t="shared" si="349"/>
        <v>330000</v>
      </c>
      <c r="G789" s="102">
        <f t="shared" si="350"/>
        <v>300000</v>
      </c>
      <c r="H789" s="690" t="s">
        <v>173</v>
      </c>
      <c r="I789" s="71" t="s">
        <v>143</v>
      </c>
      <c r="J789" s="53">
        <f>G789-T789</f>
        <v>100000</v>
      </c>
      <c r="K789" s="63">
        <f t="shared" ref="K789:K795" si="351">(J789/(F789/11*10))</f>
        <v>0.33333333333333331</v>
      </c>
      <c r="L789" s="871">
        <v>18.3</v>
      </c>
      <c r="M789" s="468"/>
      <c r="N789" s="664">
        <f t="shared" ref="N789:N808" si="352">A789</f>
        <v>180321</v>
      </c>
      <c r="O789" s="71" t="s">
        <v>612</v>
      </c>
      <c r="P789" s="103" t="str">
        <f t="shared" ref="P789:P805" si="353">C789</f>
        <v>닙 롤러(고모리)</v>
      </c>
      <c r="Q789" s="71">
        <f t="shared" ref="Q789:Q808" si="354">D789</f>
        <v>5</v>
      </c>
      <c r="R789" s="102">
        <v>40000</v>
      </c>
      <c r="S789" s="102">
        <f t="shared" si="346"/>
        <v>220000.00000000003</v>
      </c>
      <c r="T789" s="102">
        <f t="shared" si="347"/>
        <v>200000</v>
      </c>
      <c r="U789" s="71" t="str">
        <f t="shared" si="336"/>
        <v>O</v>
      </c>
      <c r="V789" s="71"/>
      <c r="W789" s="474">
        <f t="shared" si="337"/>
        <v>100000</v>
      </c>
      <c r="X789" s="71"/>
      <c r="Y789" s="71"/>
    </row>
    <row r="790" spans="1:25" ht="30" hidden="1" customHeight="1" x14ac:dyDescent="0.25">
      <c r="A790" s="82">
        <v>180321</v>
      </c>
      <c r="B790" s="664" t="s">
        <v>545</v>
      </c>
      <c r="C790" s="71" t="s">
        <v>227</v>
      </c>
      <c r="D790" s="71">
        <v>10</v>
      </c>
      <c r="E790" s="102">
        <v>110000</v>
      </c>
      <c r="F790" s="102">
        <f t="shared" si="349"/>
        <v>1210000</v>
      </c>
      <c r="G790" s="102">
        <f t="shared" si="350"/>
        <v>1100000</v>
      </c>
      <c r="H790" s="690" t="s">
        <v>173</v>
      </c>
      <c r="I790" s="71" t="s">
        <v>109</v>
      </c>
      <c r="J790" s="53">
        <f>(G790-(VLOOKUP(C790,Price!B:D,3,FALSE)*D790))</f>
        <v>271000</v>
      </c>
      <c r="K790" s="63">
        <f t="shared" si="351"/>
        <v>0.24636363636363637</v>
      </c>
      <c r="L790" s="871">
        <v>18.3</v>
      </c>
      <c r="M790" s="468"/>
      <c r="N790" s="664">
        <f t="shared" si="352"/>
        <v>180321</v>
      </c>
      <c r="O790" s="71" t="s">
        <v>147</v>
      </c>
      <c r="P790" s="103" t="str">
        <f t="shared" si="353"/>
        <v>Blanket(1060*860)</v>
      </c>
      <c r="Q790" s="71">
        <f t="shared" si="354"/>
        <v>10</v>
      </c>
      <c r="R790" s="102">
        <v>82900</v>
      </c>
      <c r="S790" s="102">
        <f t="shared" si="346"/>
        <v>911900.00000000012</v>
      </c>
      <c r="T790" s="102">
        <f t="shared" si="347"/>
        <v>829000</v>
      </c>
      <c r="U790" s="71" t="str">
        <f t="shared" si="336"/>
        <v>O</v>
      </c>
      <c r="V790" s="71"/>
      <c r="W790" s="474">
        <f t="shared" si="337"/>
        <v>271000</v>
      </c>
      <c r="X790" s="71"/>
      <c r="Y790" s="71"/>
    </row>
    <row r="791" spans="1:25" ht="30" hidden="1" customHeight="1" x14ac:dyDescent="0.25">
      <c r="A791" s="82">
        <v>180321</v>
      </c>
      <c r="B791" s="664" t="s">
        <v>444</v>
      </c>
      <c r="C791" s="71" t="s">
        <v>131</v>
      </c>
      <c r="D791" s="71">
        <v>3</v>
      </c>
      <c r="E791" s="102">
        <v>135000</v>
      </c>
      <c r="F791" s="102">
        <f t="shared" si="349"/>
        <v>445500.00000000006</v>
      </c>
      <c r="G791" s="102">
        <f t="shared" si="350"/>
        <v>405000</v>
      </c>
      <c r="H791" s="690" t="s">
        <v>173</v>
      </c>
      <c r="I791" s="71" t="s">
        <v>108</v>
      </c>
      <c r="J791" s="53">
        <f>(G791-(VLOOKUP(C791,Price!B:D,3,FALSE)*D791))</f>
        <v>75000</v>
      </c>
      <c r="K791" s="63">
        <f t="shared" si="351"/>
        <v>0.18518518518518515</v>
      </c>
      <c r="L791" s="871">
        <v>18.3</v>
      </c>
      <c r="M791" s="468"/>
      <c r="N791" s="664">
        <f t="shared" si="352"/>
        <v>180321</v>
      </c>
      <c r="O791" s="71" t="s">
        <v>148</v>
      </c>
      <c r="P791" s="103" t="str">
        <f t="shared" si="353"/>
        <v>UV wash(20L)</v>
      </c>
      <c r="Q791" s="71">
        <f t="shared" si="354"/>
        <v>3</v>
      </c>
      <c r="R791" s="102">
        <v>110000</v>
      </c>
      <c r="S791" s="102">
        <f t="shared" si="346"/>
        <v>363000.00000000006</v>
      </c>
      <c r="T791" s="102">
        <f t="shared" si="347"/>
        <v>330000</v>
      </c>
      <c r="U791" s="71" t="str">
        <f t="shared" si="336"/>
        <v>O</v>
      </c>
      <c r="V791" s="71"/>
      <c r="W791" s="474">
        <f t="shared" si="337"/>
        <v>75000</v>
      </c>
      <c r="X791" s="71"/>
      <c r="Y791" s="71"/>
    </row>
    <row r="792" spans="1:25" s="210" customFormat="1" ht="33" hidden="1" customHeight="1" x14ac:dyDescent="0.25">
      <c r="A792" s="85">
        <v>180321</v>
      </c>
      <c r="B792" s="668" t="s">
        <v>545</v>
      </c>
      <c r="C792" s="84" t="s">
        <v>129</v>
      </c>
      <c r="D792" s="84">
        <v>1</v>
      </c>
      <c r="E792" s="189">
        <v>256000</v>
      </c>
      <c r="F792" s="189">
        <f t="shared" si="349"/>
        <v>281600</v>
      </c>
      <c r="G792" s="189">
        <f t="shared" si="350"/>
        <v>256000</v>
      </c>
      <c r="H792" s="691" t="s">
        <v>173</v>
      </c>
      <c r="I792" s="84" t="s">
        <v>108</v>
      </c>
      <c r="J792" s="61">
        <f>(G792-(VLOOKUP(C792,Price!B:D,3,FALSE)*D792))</f>
        <v>48000</v>
      </c>
      <c r="K792" s="62">
        <f t="shared" si="351"/>
        <v>0.1875</v>
      </c>
      <c r="L792" s="85">
        <v>18.3</v>
      </c>
      <c r="M792" s="601"/>
      <c r="N792" s="668">
        <f t="shared" si="352"/>
        <v>180321</v>
      </c>
      <c r="O792" s="84" t="s">
        <v>149</v>
      </c>
      <c r="P792" s="133" t="str">
        <f>(C792)</f>
        <v>세정포-XL106</v>
      </c>
      <c r="Q792" s="84">
        <f t="shared" si="354"/>
        <v>1</v>
      </c>
      <c r="R792" s="189">
        <v>208000</v>
      </c>
      <c r="S792" s="189">
        <f>(R792*D792)*1.1</f>
        <v>228800.00000000003</v>
      </c>
      <c r="T792" s="189">
        <f>(R792*Q792)</f>
        <v>208000</v>
      </c>
      <c r="U792" s="84" t="str">
        <f t="shared" si="336"/>
        <v>O</v>
      </c>
      <c r="V792" s="411"/>
      <c r="W792" s="481">
        <f t="shared" si="337"/>
        <v>48000</v>
      </c>
      <c r="X792" s="411"/>
      <c r="Y792" s="84"/>
    </row>
    <row r="793" spans="1:25" ht="30" hidden="1" customHeight="1" x14ac:dyDescent="0.25">
      <c r="A793" s="80">
        <v>180322</v>
      </c>
      <c r="B793" s="663" t="s">
        <v>1051</v>
      </c>
      <c r="C793" s="73" t="s">
        <v>524</v>
      </c>
      <c r="D793" s="73">
        <v>1000</v>
      </c>
      <c r="E793" s="147">
        <v>3990</v>
      </c>
      <c r="F793" s="147">
        <f t="shared" si="349"/>
        <v>4389000</v>
      </c>
      <c r="G793" s="147">
        <f t="shared" si="350"/>
        <v>3990000</v>
      </c>
      <c r="H793" s="689" t="s">
        <v>142</v>
      </c>
      <c r="I793" s="73" t="s">
        <v>140</v>
      </c>
      <c r="J793" s="60">
        <f>(G793-(VLOOKUP(C793,Price!B:D,3,FALSE)*D793))</f>
        <v>1250000</v>
      </c>
      <c r="K793" s="427">
        <f t="shared" si="351"/>
        <v>0.31328320802005011</v>
      </c>
      <c r="L793" s="874">
        <v>18.3</v>
      </c>
      <c r="M793" s="584"/>
      <c r="N793" s="663">
        <f t="shared" si="352"/>
        <v>180322</v>
      </c>
      <c r="O793" s="73" t="s">
        <v>145</v>
      </c>
      <c r="P793" s="132" t="str">
        <f>C793</f>
        <v>ENGAGE 900X570 - 27RO</v>
      </c>
      <c r="Q793" s="73">
        <f t="shared" si="354"/>
        <v>1000</v>
      </c>
      <c r="R793" s="147">
        <v>2740</v>
      </c>
      <c r="S793" s="147">
        <f>R793*Q793*1.1</f>
        <v>3014000.0000000005</v>
      </c>
      <c r="T793" s="147">
        <f>R793*Q793</f>
        <v>2740000</v>
      </c>
      <c r="U793" s="73" t="str">
        <f t="shared" si="336"/>
        <v>O</v>
      </c>
      <c r="V793" s="409"/>
      <c r="W793" s="482">
        <f t="shared" si="337"/>
        <v>1250000</v>
      </c>
      <c r="X793" s="409"/>
      <c r="Y793" s="73"/>
    </row>
    <row r="794" spans="1:25" ht="30" hidden="1" customHeight="1" x14ac:dyDescent="0.25">
      <c r="A794" s="82">
        <v>180322</v>
      </c>
      <c r="B794" s="664" t="s">
        <v>1051</v>
      </c>
      <c r="C794" s="67" t="s">
        <v>197</v>
      </c>
      <c r="D794" s="71">
        <v>10</v>
      </c>
      <c r="E794" s="102">
        <v>58000</v>
      </c>
      <c r="F794" s="102">
        <f t="shared" si="349"/>
        <v>638000</v>
      </c>
      <c r="G794" s="102">
        <f t="shared" si="350"/>
        <v>580000</v>
      </c>
      <c r="H794" s="690" t="s">
        <v>142</v>
      </c>
      <c r="I794" s="71" t="s">
        <v>140</v>
      </c>
      <c r="J794" s="53">
        <f>(G794-(VLOOKUP(C794,Price!B:D,3,FALSE)*D794))</f>
        <v>230000</v>
      </c>
      <c r="K794" s="63">
        <f t="shared" si="351"/>
        <v>0.39655172413793105</v>
      </c>
      <c r="L794" s="871">
        <v>18.3</v>
      </c>
      <c r="M794" s="468"/>
      <c r="N794" s="664">
        <f t="shared" si="352"/>
        <v>180322</v>
      </c>
      <c r="O794" s="71" t="s">
        <v>145</v>
      </c>
      <c r="P794" s="103" t="str">
        <f>C794</f>
        <v>THR200(20L)</v>
      </c>
      <c r="Q794" s="71">
        <f t="shared" si="354"/>
        <v>10</v>
      </c>
      <c r="R794" s="102">
        <v>35000</v>
      </c>
      <c r="S794" s="102">
        <f>R794*Q794*1.1</f>
        <v>385000.00000000006</v>
      </c>
      <c r="T794" s="102">
        <f>R794*Q794</f>
        <v>350000</v>
      </c>
      <c r="U794" s="71" t="str">
        <f t="shared" si="336"/>
        <v>O</v>
      </c>
      <c r="V794" s="71"/>
      <c r="W794" s="474">
        <f t="shared" si="337"/>
        <v>230000</v>
      </c>
      <c r="X794" s="71"/>
      <c r="Y794" s="71"/>
    </row>
    <row r="795" spans="1:25" ht="30" hidden="1" customHeight="1" x14ac:dyDescent="0.25">
      <c r="A795" s="82">
        <v>180322</v>
      </c>
      <c r="B795" s="664" t="s">
        <v>1051</v>
      </c>
      <c r="C795" s="71" t="s">
        <v>951</v>
      </c>
      <c r="D795" s="71">
        <v>1000</v>
      </c>
      <c r="E795" s="102">
        <v>3800</v>
      </c>
      <c r="F795" s="102">
        <f t="shared" si="349"/>
        <v>4180000.0000000005</v>
      </c>
      <c r="G795" s="102">
        <f t="shared" si="350"/>
        <v>3800000</v>
      </c>
      <c r="H795" s="690" t="s">
        <v>142</v>
      </c>
      <c r="I795" s="71" t="s">
        <v>140</v>
      </c>
      <c r="J795" s="53">
        <f>(G795-(VLOOKUP(C795,Price!B:D,3,FALSE)*D795))</f>
        <v>1200000</v>
      </c>
      <c r="K795" s="63">
        <f t="shared" si="351"/>
        <v>0.31578947368421051</v>
      </c>
      <c r="L795" s="82">
        <v>18.3</v>
      </c>
      <c r="M795" s="468"/>
      <c r="N795" s="664">
        <f t="shared" si="352"/>
        <v>180322</v>
      </c>
      <c r="O795" s="71" t="s">
        <v>145</v>
      </c>
      <c r="P795" s="103" t="str">
        <f>(C795)</f>
        <v>ENGAGE 30WEB(883*552)</v>
      </c>
      <c r="Q795" s="71">
        <f t="shared" si="354"/>
        <v>1000</v>
      </c>
      <c r="R795" s="102">
        <v>2600</v>
      </c>
      <c r="S795" s="102">
        <f>(R795*D795)*1.1</f>
        <v>2860000</v>
      </c>
      <c r="T795" s="102">
        <f>(R795*Q795)</f>
        <v>2600000</v>
      </c>
      <c r="U795" s="71" t="str">
        <f t="shared" ref="U795:U804" si="355">IF(J795=W795,"O", "X")</f>
        <v>O</v>
      </c>
      <c r="V795" s="71"/>
      <c r="W795" s="474">
        <f t="shared" ref="W795:W804" si="356">(G795-T795)</f>
        <v>1200000</v>
      </c>
      <c r="X795" s="71"/>
      <c r="Y795" s="71"/>
    </row>
    <row r="796" spans="1:25" ht="30" hidden="1" customHeight="1" x14ac:dyDescent="0.25">
      <c r="A796" s="82">
        <v>180322</v>
      </c>
      <c r="B796" s="664" t="s">
        <v>1051</v>
      </c>
      <c r="C796" s="67" t="s">
        <v>1140</v>
      </c>
      <c r="D796" s="71">
        <v>900</v>
      </c>
      <c r="E796" s="102">
        <v>6830</v>
      </c>
      <c r="F796" s="102">
        <f t="shared" si="349"/>
        <v>6761700.0000000009</v>
      </c>
      <c r="G796" s="102">
        <f t="shared" si="350"/>
        <v>6147000</v>
      </c>
      <c r="H796" s="690" t="s">
        <v>142</v>
      </c>
      <c r="I796" s="71" t="s">
        <v>140</v>
      </c>
      <c r="J796" s="53">
        <f>(G796-(VLOOKUP(C796,Price!B:D,3,FALSE)*D796))</f>
        <v>1755000</v>
      </c>
      <c r="K796" s="63">
        <f>(J796/(F796/11*10))</f>
        <v>0.28550512445095166</v>
      </c>
      <c r="L796" s="871">
        <v>18.3</v>
      </c>
      <c r="M796" s="468"/>
      <c r="N796" s="664">
        <f t="shared" si="352"/>
        <v>180322</v>
      </c>
      <c r="O796" s="71" t="s">
        <v>145</v>
      </c>
      <c r="P796" s="103" t="str">
        <f t="shared" si="353"/>
        <v>ELITE PRO 30 1055X811</v>
      </c>
      <c r="Q796" s="71">
        <f t="shared" si="354"/>
        <v>900</v>
      </c>
      <c r="R796" s="102">
        <v>4880</v>
      </c>
      <c r="S796" s="102">
        <f>R796*Q796*1.1</f>
        <v>4831200</v>
      </c>
      <c r="T796" s="102">
        <f>R796*Q796</f>
        <v>4392000</v>
      </c>
      <c r="U796" s="71" t="str">
        <f t="shared" si="355"/>
        <v>O</v>
      </c>
      <c r="V796" s="71"/>
      <c r="W796" s="474">
        <f t="shared" si="356"/>
        <v>1755000</v>
      </c>
      <c r="X796" s="71"/>
      <c r="Y796" s="71"/>
    </row>
    <row r="797" spans="1:25" ht="30" hidden="1" customHeight="1" x14ac:dyDescent="0.25">
      <c r="A797" s="82">
        <v>180322</v>
      </c>
      <c r="B797" s="664" t="s">
        <v>746</v>
      </c>
      <c r="C797" s="71" t="s">
        <v>123</v>
      </c>
      <c r="D797" s="71">
        <v>5</v>
      </c>
      <c r="E797" s="102">
        <v>30000</v>
      </c>
      <c r="F797" s="102">
        <f t="shared" si="349"/>
        <v>165000</v>
      </c>
      <c r="G797" s="102">
        <f t="shared" si="350"/>
        <v>150000</v>
      </c>
      <c r="H797" s="1010" t="s">
        <v>39</v>
      </c>
      <c r="I797" s="71"/>
      <c r="J797" s="53">
        <f>(G797-(VLOOKUP(C797,Import!C:G,4,FALSE)*D797))</f>
        <v>150000</v>
      </c>
      <c r="K797" s="63">
        <f t="shared" ref="K797:K803" si="357">(J797/(F797/11*10))</f>
        <v>1</v>
      </c>
      <c r="L797" s="871">
        <v>18.3</v>
      </c>
      <c r="M797" s="468"/>
      <c r="N797" s="664">
        <f t="shared" si="352"/>
        <v>180322</v>
      </c>
      <c r="O797" s="991" t="s">
        <v>39</v>
      </c>
      <c r="P797" s="103" t="s">
        <v>123</v>
      </c>
      <c r="Q797" s="71">
        <f t="shared" si="354"/>
        <v>5</v>
      </c>
      <c r="R797" s="102">
        <f>VLOOKUP(P797,Price!B:D,3,FALSE)</f>
        <v>22461</v>
      </c>
      <c r="S797" s="102">
        <f>R797*Q797*1.1</f>
        <v>123535.50000000001</v>
      </c>
      <c r="T797" s="102">
        <f>R797*Q797</f>
        <v>112305</v>
      </c>
      <c r="U797" s="71" t="str">
        <f t="shared" si="355"/>
        <v>X</v>
      </c>
      <c r="V797" s="71"/>
      <c r="W797" s="474">
        <f t="shared" si="356"/>
        <v>37695</v>
      </c>
      <c r="X797" s="71"/>
      <c r="Y797" s="71"/>
    </row>
    <row r="798" spans="1:25" s="209" customFormat="1" ht="30" hidden="1" customHeight="1" x14ac:dyDescent="0.2">
      <c r="A798" s="429">
        <v>180322</v>
      </c>
      <c r="B798" s="664" t="s">
        <v>445</v>
      </c>
      <c r="C798" s="71" t="s">
        <v>121</v>
      </c>
      <c r="D798" s="71">
        <v>3</v>
      </c>
      <c r="E798" s="102">
        <v>110000</v>
      </c>
      <c r="F798" s="163">
        <f t="shared" si="349"/>
        <v>363000.00000000006</v>
      </c>
      <c r="G798" s="163">
        <f t="shared" si="350"/>
        <v>330000</v>
      </c>
      <c r="H798" s="165" t="s">
        <v>172</v>
      </c>
      <c r="I798" s="71" t="s">
        <v>142</v>
      </c>
      <c r="J798" s="53">
        <f>(G798-(VLOOKUP(C798,Price!B:D,3,FALSE)*D798))</f>
        <v>57000</v>
      </c>
      <c r="K798" s="63">
        <f t="shared" si="357"/>
        <v>0.1727272727272727</v>
      </c>
      <c r="L798" s="82">
        <v>18.3</v>
      </c>
      <c r="M798" s="468"/>
      <c r="N798" s="664">
        <f t="shared" si="352"/>
        <v>180322</v>
      </c>
      <c r="O798" s="71" t="s">
        <v>150</v>
      </c>
      <c r="P798" s="103" t="str">
        <f>(C798)</f>
        <v>윤전용 실리콘</v>
      </c>
      <c r="Q798" s="71">
        <f t="shared" si="354"/>
        <v>3</v>
      </c>
      <c r="R798" s="102">
        <v>91000</v>
      </c>
      <c r="S798" s="102">
        <f>(R798*D798)*1.1</f>
        <v>300300</v>
      </c>
      <c r="T798" s="102">
        <f>(R798*Q798)</f>
        <v>273000</v>
      </c>
      <c r="U798" s="71" t="str">
        <f t="shared" si="355"/>
        <v>O</v>
      </c>
      <c r="V798" s="71"/>
      <c r="W798" s="474">
        <f t="shared" si="356"/>
        <v>57000</v>
      </c>
      <c r="X798" s="71"/>
      <c r="Y798" s="71"/>
    </row>
    <row r="799" spans="1:25" ht="30" hidden="1" customHeight="1" x14ac:dyDescent="0.25">
      <c r="A799" s="82">
        <v>180322</v>
      </c>
      <c r="B799" s="664" t="s">
        <v>1051</v>
      </c>
      <c r="C799" s="71" t="s">
        <v>752</v>
      </c>
      <c r="D799" s="71">
        <v>1</v>
      </c>
      <c r="E799" s="102">
        <v>85000</v>
      </c>
      <c r="F799" s="102">
        <f t="shared" si="349"/>
        <v>93500.000000000015</v>
      </c>
      <c r="G799" s="102">
        <f t="shared" si="350"/>
        <v>85000</v>
      </c>
      <c r="H799" s="690" t="s">
        <v>142</v>
      </c>
      <c r="I799" s="71" t="s">
        <v>140</v>
      </c>
      <c r="J799" s="53">
        <f>(G799-(VLOOKUP(C799,Price!B:D,3,FALSE)*D799))</f>
        <v>20000</v>
      </c>
      <c r="K799" s="63">
        <f t="shared" si="357"/>
        <v>0.23529411764705879</v>
      </c>
      <c r="L799" s="82">
        <v>18.3</v>
      </c>
      <c r="M799" s="468"/>
      <c r="N799" s="664">
        <f t="shared" si="352"/>
        <v>180322</v>
      </c>
      <c r="O799" s="71" t="s">
        <v>145</v>
      </c>
      <c r="P799" s="103" t="str">
        <f>(C799)</f>
        <v>RC795(20L)</v>
      </c>
      <c r="Q799" s="71">
        <f t="shared" si="354"/>
        <v>1</v>
      </c>
      <c r="R799" s="102">
        <v>65000</v>
      </c>
      <c r="S799" s="102">
        <f>(R799*D799)*1.1</f>
        <v>71500</v>
      </c>
      <c r="T799" s="102">
        <f>(R799*Q799)</f>
        <v>65000</v>
      </c>
      <c r="U799" s="71" t="str">
        <f t="shared" si="355"/>
        <v>O</v>
      </c>
      <c r="V799" s="71"/>
      <c r="W799" s="474">
        <f t="shared" si="356"/>
        <v>20000</v>
      </c>
      <c r="X799" s="71"/>
      <c r="Y799" s="71"/>
    </row>
    <row r="800" spans="1:25" ht="30" hidden="1" customHeight="1" x14ac:dyDescent="0.25">
      <c r="A800" s="82">
        <v>180322</v>
      </c>
      <c r="B800" s="664" t="s">
        <v>1052</v>
      </c>
      <c r="C800" s="71" t="s">
        <v>1115</v>
      </c>
      <c r="D800" s="71">
        <v>100</v>
      </c>
      <c r="E800" s="102">
        <v>6200</v>
      </c>
      <c r="F800" s="102">
        <f t="shared" si="349"/>
        <v>682000</v>
      </c>
      <c r="G800" s="102">
        <f t="shared" si="350"/>
        <v>620000</v>
      </c>
      <c r="H800" s="690" t="s">
        <v>142</v>
      </c>
      <c r="I800" s="71" t="s">
        <v>144</v>
      </c>
      <c r="J800" s="53">
        <f t="shared" ref="J800:J805" si="358">G800-T800</f>
        <v>10000</v>
      </c>
      <c r="K800" s="63">
        <f t="shared" si="357"/>
        <v>1.6129032258064516E-2</v>
      </c>
      <c r="L800" s="871">
        <v>18.3</v>
      </c>
      <c r="M800" s="468"/>
      <c r="N800" s="664">
        <f t="shared" si="352"/>
        <v>180322</v>
      </c>
      <c r="O800" s="71" t="s">
        <v>147</v>
      </c>
      <c r="P800" s="103" t="str">
        <f t="shared" si="353"/>
        <v>한특 잉크(적)</v>
      </c>
      <c r="Q800" s="71">
        <f t="shared" si="354"/>
        <v>100</v>
      </c>
      <c r="R800" s="102">
        <v>6100</v>
      </c>
      <c r="S800" s="102">
        <f>R800*Q800*1.1</f>
        <v>671000</v>
      </c>
      <c r="T800" s="102">
        <f>R800*Q800</f>
        <v>610000</v>
      </c>
      <c r="U800" s="71" t="str">
        <f t="shared" si="355"/>
        <v>O</v>
      </c>
      <c r="V800" s="71"/>
      <c r="W800" s="474">
        <f t="shared" si="356"/>
        <v>10000</v>
      </c>
      <c r="X800" s="71"/>
      <c r="Y800" s="71"/>
    </row>
    <row r="801" spans="1:25" ht="30" hidden="1" customHeight="1" x14ac:dyDescent="0.25">
      <c r="A801" s="82">
        <v>180322</v>
      </c>
      <c r="B801" s="664" t="s">
        <v>1052</v>
      </c>
      <c r="C801" s="71" t="s">
        <v>1116</v>
      </c>
      <c r="D801" s="71">
        <v>100</v>
      </c>
      <c r="E801" s="102">
        <v>6000</v>
      </c>
      <c r="F801" s="102">
        <f t="shared" si="349"/>
        <v>660000</v>
      </c>
      <c r="G801" s="102">
        <f t="shared" si="350"/>
        <v>600000</v>
      </c>
      <c r="H801" s="690" t="s">
        <v>142</v>
      </c>
      <c r="I801" s="71" t="s">
        <v>144</v>
      </c>
      <c r="J801" s="53">
        <f t="shared" si="358"/>
        <v>10000</v>
      </c>
      <c r="K801" s="63">
        <f t="shared" si="357"/>
        <v>1.6666666666666666E-2</v>
      </c>
      <c r="L801" s="871">
        <v>18.3</v>
      </c>
      <c r="M801" s="468"/>
      <c r="N801" s="664">
        <f t="shared" si="352"/>
        <v>180322</v>
      </c>
      <c r="O801" s="71" t="s">
        <v>147</v>
      </c>
      <c r="P801" s="103" t="str">
        <f t="shared" si="353"/>
        <v>한특 잉크(황)</v>
      </c>
      <c r="Q801" s="71">
        <f t="shared" si="354"/>
        <v>100</v>
      </c>
      <c r="R801" s="102">
        <v>5900</v>
      </c>
      <c r="S801" s="102">
        <f>R801*Q801*1.1</f>
        <v>649000</v>
      </c>
      <c r="T801" s="102">
        <f>R801*Q801</f>
        <v>590000</v>
      </c>
      <c r="U801" s="71" t="str">
        <f t="shared" si="355"/>
        <v>O</v>
      </c>
      <c r="V801" s="71"/>
      <c r="W801" s="474">
        <f t="shared" si="356"/>
        <v>10000</v>
      </c>
      <c r="X801" s="71"/>
      <c r="Y801" s="71"/>
    </row>
    <row r="802" spans="1:25" ht="30" hidden="1" customHeight="1" x14ac:dyDescent="0.25">
      <c r="A802" s="82">
        <v>180322</v>
      </c>
      <c r="B802" s="664" t="s">
        <v>1052</v>
      </c>
      <c r="C802" s="71" t="s">
        <v>1117</v>
      </c>
      <c r="D802" s="71">
        <v>100</v>
      </c>
      <c r="E802" s="102">
        <v>6500</v>
      </c>
      <c r="F802" s="102">
        <f t="shared" si="349"/>
        <v>715000</v>
      </c>
      <c r="G802" s="102">
        <f t="shared" si="350"/>
        <v>650000</v>
      </c>
      <c r="H802" s="690" t="s">
        <v>142</v>
      </c>
      <c r="I802" s="71" t="s">
        <v>144</v>
      </c>
      <c r="J802" s="53">
        <f t="shared" si="358"/>
        <v>10000</v>
      </c>
      <c r="K802" s="63">
        <f t="shared" si="357"/>
        <v>1.5384615384615385E-2</v>
      </c>
      <c r="L802" s="871">
        <v>18.3</v>
      </c>
      <c r="M802" s="468"/>
      <c r="N802" s="664">
        <f t="shared" si="352"/>
        <v>180322</v>
      </c>
      <c r="O802" s="71" t="s">
        <v>147</v>
      </c>
      <c r="P802" s="103" t="str">
        <f t="shared" si="353"/>
        <v>한특 잉크(청)</v>
      </c>
      <c r="Q802" s="71">
        <f t="shared" si="354"/>
        <v>100</v>
      </c>
      <c r="R802" s="102">
        <v>6400</v>
      </c>
      <c r="S802" s="102">
        <f>R802*Q802*1.1</f>
        <v>704000</v>
      </c>
      <c r="T802" s="102">
        <f>R802*Q802</f>
        <v>640000</v>
      </c>
      <c r="U802" s="71" t="str">
        <f t="shared" si="355"/>
        <v>O</v>
      </c>
      <c r="V802" s="71"/>
      <c r="W802" s="474">
        <f t="shared" si="356"/>
        <v>10000</v>
      </c>
      <c r="X802" s="71"/>
      <c r="Y802" s="71"/>
    </row>
    <row r="803" spans="1:25" s="602" customFormat="1" ht="30" hidden="1" customHeight="1" x14ac:dyDescent="0.25">
      <c r="A803" s="85">
        <v>180322</v>
      </c>
      <c r="B803" s="668" t="s">
        <v>1052</v>
      </c>
      <c r="C803" s="84" t="s">
        <v>1118</v>
      </c>
      <c r="D803" s="84">
        <v>100</v>
      </c>
      <c r="E803" s="189">
        <v>5600</v>
      </c>
      <c r="F803" s="189">
        <f t="shared" si="349"/>
        <v>616000</v>
      </c>
      <c r="G803" s="189">
        <f t="shared" si="350"/>
        <v>560000</v>
      </c>
      <c r="H803" s="691" t="s">
        <v>142</v>
      </c>
      <c r="I803" s="84" t="s">
        <v>144</v>
      </c>
      <c r="J803" s="61">
        <f t="shared" si="358"/>
        <v>10000</v>
      </c>
      <c r="K803" s="62">
        <f t="shared" si="357"/>
        <v>1.7857142857142856E-2</v>
      </c>
      <c r="L803" s="873">
        <v>18.3</v>
      </c>
      <c r="M803" s="601"/>
      <c r="N803" s="668">
        <f t="shared" si="352"/>
        <v>180322</v>
      </c>
      <c r="O803" s="84" t="s">
        <v>147</v>
      </c>
      <c r="P803" s="133" t="str">
        <f t="shared" si="353"/>
        <v>한특 잉크(먹)</v>
      </c>
      <c r="Q803" s="84">
        <f t="shared" si="354"/>
        <v>100</v>
      </c>
      <c r="R803" s="189">
        <v>5500</v>
      </c>
      <c r="S803" s="189">
        <f>R803*Q803*1.1</f>
        <v>605000</v>
      </c>
      <c r="T803" s="189">
        <f>R803*Q803</f>
        <v>550000</v>
      </c>
      <c r="U803" s="84" t="str">
        <f t="shared" si="355"/>
        <v>O</v>
      </c>
      <c r="V803" s="411"/>
      <c r="W803" s="481">
        <f t="shared" si="356"/>
        <v>10000</v>
      </c>
      <c r="X803" s="411"/>
      <c r="Y803" s="84"/>
    </row>
    <row r="804" spans="1:25" s="635" customFormat="1" ht="30" hidden="1" customHeight="1" x14ac:dyDescent="0.25">
      <c r="A804" s="159">
        <v>180323</v>
      </c>
      <c r="B804" s="676" t="s">
        <v>575</v>
      </c>
      <c r="C804" s="157" t="s">
        <v>1156</v>
      </c>
      <c r="D804" s="157">
        <v>1</v>
      </c>
      <c r="E804" s="526">
        <f>47234880</f>
        <v>47234880</v>
      </c>
      <c r="F804" s="526">
        <f t="shared" si="349"/>
        <v>51958368.000000007</v>
      </c>
      <c r="G804" s="526">
        <f t="shared" si="350"/>
        <v>47234880</v>
      </c>
      <c r="H804" s="784" t="s">
        <v>113</v>
      </c>
      <c r="I804" s="157"/>
      <c r="J804" s="503">
        <f t="shared" si="358"/>
        <v>11392920</v>
      </c>
      <c r="K804" s="65"/>
      <c r="L804" s="900">
        <v>18.3</v>
      </c>
      <c r="M804" s="634"/>
      <c r="N804" s="676">
        <f t="shared" si="352"/>
        <v>180323</v>
      </c>
      <c r="O804" s="812" t="s">
        <v>113</v>
      </c>
      <c r="P804" s="633" t="str">
        <f t="shared" si="353"/>
        <v>옴니콘 업그레이드 중도금</v>
      </c>
      <c r="Q804" s="157">
        <f t="shared" si="354"/>
        <v>1</v>
      </c>
      <c r="R804" s="526">
        <f>Import!G81</f>
        <v>35841960</v>
      </c>
      <c r="S804" s="526">
        <f>(R804*Q804)*1.1</f>
        <v>39426156</v>
      </c>
      <c r="T804" s="526">
        <f>(R804*Q804)</f>
        <v>35841960</v>
      </c>
      <c r="U804" s="157" t="str">
        <f t="shared" si="355"/>
        <v>O</v>
      </c>
      <c r="V804" s="157"/>
      <c r="W804" s="508">
        <f t="shared" si="356"/>
        <v>11392920</v>
      </c>
      <c r="X804" s="157"/>
      <c r="Y804" s="157"/>
    </row>
    <row r="805" spans="1:25" ht="30" hidden="1" customHeight="1" x14ac:dyDescent="0.25">
      <c r="A805" s="611">
        <v>180323</v>
      </c>
      <c r="B805" s="674" t="s">
        <v>575</v>
      </c>
      <c r="C805" s="409" t="s">
        <v>1142</v>
      </c>
      <c r="D805" s="409">
        <v>1</v>
      </c>
      <c r="E805" s="208">
        <v>4878166</v>
      </c>
      <c r="F805" s="208">
        <f>(E805*D805)*1.1</f>
        <v>5365982.6000000006</v>
      </c>
      <c r="G805" s="208">
        <f>(E805*D805)</f>
        <v>4878166</v>
      </c>
      <c r="H805" s="785" t="s">
        <v>113</v>
      </c>
      <c r="I805" s="409"/>
      <c r="J805" s="97">
        <f t="shared" si="358"/>
        <v>-2715834</v>
      </c>
      <c r="K805" s="58"/>
      <c r="L805" s="902">
        <v>18.3</v>
      </c>
      <c r="M805" s="583"/>
      <c r="N805" s="674">
        <f t="shared" si="352"/>
        <v>180323</v>
      </c>
      <c r="O805" s="813"/>
      <c r="P805" s="139" t="str">
        <f t="shared" si="353"/>
        <v>옴니콘 업그레이드 잔금</v>
      </c>
      <c r="Q805" s="409">
        <f t="shared" si="354"/>
        <v>1</v>
      </c>
      <c r="R805" s="208">
        <f>Import!G82</f>
        <v>7594000</v>
      </c>
      <c r="S805" s="208">
        <f>(R805*Q805)*1.1</f>
        <v>8353400.0000000009</v>
      </c>
      <c r="T805" s="208">
        <f>(R805*Q805)</f>
        <v>7594000</v>
      </c>
      <c r="U805" s="409"/>
      <c r="V805" s="409"/>
      <c r="W805" s="515"/>
      <c r="X805" s="409"/>
      <c r="Y805" s="409"/>
    </row>
    <row r="806" spans="1:25" s="803" customFormat="1" ht="30" hidden="1" customHeight="1" x14ac:dyDescent="0.25">
      <c r="A806" s="85">
        <v>180323</v>
      </c>
      <c r="B806" s="668" t="s">
        <v>546</v>
      </c>
      <c r="C806" s="84" t="s">
        <v>121</v>
      </c>
      <c r="D806" s="84">
        <v>8</v>
      </c>
      <c r="E806" s="189">
        <v>110000</v>
      </c>
      <c r="F806" s="189">
        <f t="shared" si="349"/>
        <v>968000.00000000012</v>
      </c>
      <c r="G806" s="189">
        <f t="shared" si="350"/>
        <v>880000</v>
      </c>
      <c r="H806" s="691" t="s">
        <v>173</v>
      </c>
      <c r="I806" s="84" t="s">
        <v>142</v>
      </c>
      <c r="J806" s="61">
        <f>(G806-(VLOOKUP(C806,Price!B:D,3,FALSE)*D806))</f>
        <v>152000</v>
      </c>
      <c r="K806" s="62">
        <f>(J806/(F806/11*10))</f>
        <v>0.1727272727272727</v>
      </c>
      <c r="L806" s="873">
        <v>18.3</v>
      </c>
      <c r="M806" s="601"/>
      <c r="N806" s="668">
        <f t="shared" si="352"/>
        <v>180323</v>
      </c>
      <c r="O806" s="84" t="s">
        <v>150</v>
      </c>
      <c r="P806" s="133" t="str">
        <f>C806</f>
        <v>윤전용 실리콘</v>
      </c>
      <c r="Q806" s="84">
        <f t="shared" si="354"/>
        <v>8</v>
      </c>
      <c r="R806" s="189">
        <v>91000</v>
      </c>
      <c r="S806" s="189">
        <f>R806*Q806*1.1</f>
        <v>800800.00000000012</v>
      </c>
      <c r="T806" s="189">
        <f>R806*Q806</f>
        <v>728000</v>
      </c>
      <c r="U806" s="84" t="str">
        <f>IF(J806=W806,"O", "X")</f>
        <v>O</v>
      </c>
      <c r="V806" s="84"/>
      <c r="W806" s="766">
        <f>(G806-T806)</f>
        <v>152000</v>
      </c>
      <c r="X806" s="84"/>
      <c r="Y806" s="84"/>
    </row>
    <row r="807" spans="1:25" ht="30" hidden="1" customHeight="1" x14ac:dyDescent="0.25">
      <c r="A807" s="80">
        <v>180323</v>
      </c>
      <c r="B807" s="663" t="s">
        <v>1132</v>
      </c>
      <c r="C807" s="73" t="s">
        <v>1133</v>
      </c>
      <c r="D807" s="73">
        <v>1</v>
      </c>
      <c r="E807" s="147">
        <v>6350000</v>
      </c>
      <c r="F807" s="147">
        <f t="shared" si="349"/>
        <v>6985000.0000000009</v>
      </c>
      <c r="G807" s="147">
        <f t="shared" si="350"/>
        <v>6350000</v>
      </c>
      <c r="H807" s="689" t="s">
        <v>142</v>
      </c>
      <c r="I807" s="73" t="s">
        <v>142</v>
      </c>
      <c r="J807" s="60">
        <f>G807-T807</f>
        <v>1805000</v>
      </c>
      <c r="K807" s="427">
        <f>(J807/(F807/11*10))</f>
        <v>0.28425196850393697</v>
      </c>
      <c r="L807" s="874">
        <v>18.3</v>
      </c>
      <c r="M807" s="584"/>
      <c r="N807" s="663">
        <f t="shared" si="352"/>
        <v>180323</v>
      </c>
      <c r="O807" s="73" t="s">
        <v>1016</v>
      </c>
      <c r="P807" s="132" t="str">
        <f>C807</f>
        <v>QuadTech PCB 기판</v>
      </c>
      <c r="Q807" s="73">
        <f t="shared" si="354"/>
        <v>1</v>
      </c>
      <c r="R807" s="147">
        <v>4545000</v>
      </c>
      <c r="S807" s="147">
        <f>R807*Q807*1.1</f>
        <v>4999500</v>
      </c>
      <c r="T807" s="147">
        <f>R807*Q807</f>
        <v>4545000</v>
      </c>
      <c r="U807" s="73" t="str">
        <f>IF(J807=W807,"O", "X")</f>
        <v>X</v>
      </c>
      <c r="V807" s="73"/>
      <c r="X807" s="73"/>
      <c r="Y807" s="73"/>
    </row>
    <row r="808" spans="1:25" s="602" customFormat="1" ht="30" hidden="1" customHeight="1" x14ac:dyDescent="0.25">
      <c r="A808" s="612">
        <v>180330</v>
      </c>
      <c r="B808" s="672" t="s">
        <v>1051</v>
      </c>
      <c r="C808" s="411" t="s">
        <v>1141</v>
      </c>
      <c r="D808" s="411">
        <v>5650</v>
      </c>
      <c r="E808" s="198">
        <v>3180</v>
      </c>
      <c r="F808" s="198">
        <f t="shared" si="349"/>
        <v>19763700</v>
      </c>
      <c r="G808" s="198">
        <f t="shared" si="350"/>
        <v>17967000</v>
      </c>
      <c r="H808" s="696" t="s">
        <v>142</v>
      </c>
      <c r="I808" s="411" t="s">
        <v>140</v>
      </c>
      <c r="J808" s="64">
        <f>G808-T808</f>
        <v>6667000</v>
      </c>
      <c r="K808" s="425">
        <f>(J808/(F808/11*10))</f>
        <v>0.37106918238993708</v>
      </c>
      <c r="L808" s="899">
        <v>18.3</v>
      </c>
      <c r="M808" s="581"/>
      <c r="N808" s="672">
        <f t="shared" si="352"/>
        <v>180330</v>
      </c>
      <c r="O808" s="411" t="s">
        <v>1159</v>
      </c>
      <c r="P808" s="465" t="str">
        <f>C808</f>
        <v>코닥 AEM 900*570mm</v>
      </c>
      <c r="Q808" s="411">
        <f t="shared" si="354"/>
        <v>5650</v>
      </c>
      <c r="R808" s="198">
        <v>2000</v>
      </c>
      <c r="S808" s="198">
        <f>R808*Q808*1.1</f>
        <v>12430000.000000002</v>
      </c>
      <c r="T808" s="198">
        <f>R808*Q808</f>
        <v>11300000</v>
      </c>
      <c r="U808" s="411" t="str">
        <f>IF(J808=W808,"O", "X")</f>
        <v>X</v>
      </c>
      <c r="V808" s="411"/>
      <c r="W808" s="481"/>
      <c r="X808" s="411"/>
      <c r="Y808" s="411"/>
    </row>
    <row r="809" spans="1:25" s="496" customFormat="1" ht="45" hidden="1" customHeight="1" x14ac:dyDescent="0.25">
      <c r="A809" s="869">
        <v>2018.4</v>
      </c>
      <c r="B809" s="675" t="s">
        <v>544</v>
      </c>
      <c r="C809" s="488"/>
      <c r="D809" s="488"/>
      <c r="E809" s="489"/>
      <c r="F809" s="489"/>
      <c r="G809" s="489"/>
      <c r="H809" s="490"/>
      <c r="I809" s="491"/>
      <c r="J809" s="492"/>
      <c r="K809" s="493"/>
      <c r="L809" s="870">
        <v>18.399999999999999</v>
      </c>
      <c r="M809" s="645"/>
      <c r="N809" s="725">
        <f t="shared" ref="N809:N823" si="359">A809</f>
        <v>2018.4</v>
      </c>
      <c r="O809" s="488" t="s">
        <v>154</v>
      </c>
      <c r="P809" s="729"/>
      <c r="Q809" s="494"/>
      <c r="R809" s="495"/>
      <c r="S809" s="492"/>
      <c r="T809" s="492"/>
      <c r="W809" s="497">
        <f t="shared" ref="W809:W819" si="360">(G809-T809)</f>
        <v>0</v>
      </c>
    </row>
    <row r="810" spans="1:25" ht="30" hidden="1" customHeight="1" x14ac:dyDescent="0.25">
      <c r="A810" s="80">
        <v>180326</v>
      </c>
      <c r="B810" s="663" t="s">
        <v>983</v>
      </c>
      <c r="C810" s="73" t="s">
        <v>1009</v>
      </c>
      <c r="D810" s="73">
        <v>520</v>
      </c>
      <c r="E810" s="147">
        <v>3900</v>
      </c>
      <c r="F810" s="147">
        <f>(E810*D810)*1.1</f>
        <v>2230800</v>
      </c>
      <c r="G810" s="147">
        <f>(E810*D810)</f>
        <v>2028000</v>
      </c>
      <c r="H810" s="689" t="s">
        <v>173</v>
      </c>
      <c r="I810" s="73" t="s">
        <v>140</v>
      </c>
      <c r="J810" s="60">
        <f>G810-T810</f>
        <v>312000</v>
      </c>
      <c r="K810" s="427">
        <f t="shared" ref="K810:K820" si="361">(J810/(F810/11*10))</f>
        <v>0.15384615384615385</v>
      </c>
      <c r="L810" s="874">
        <v>18.399999999999999</v>
      </c>
      <c r="M810" s="584"/>
      <c r="N810" s="663">
        <f t="shared" si="359"/>
        <v>180326</v>
      </c>
      <c r="O810" s="73" t="s">
        <v>147</v>
      </c>
      <c r="P810" s="132" t="str">
        <f>C810</f>
        <v>CTP판(1030*790mm)</v>
      </c>
      <c r="Q810" s="73">
        <f>D810</f>
        <v>520</v>
      </c>
      <c r="R810" s="147">
        <v>3300</v>
      </c>
      <c r="S810" s="147">
        <f>R810*Q810*1.1</f>
        <v>1887600.0000000002</v>
      </c>
      <c r="T810" s="147">
        <f>R810*Q810</f>
        <v>1716000</v>
      </c>
      <c r="U810" s="73" t="str">
        <f t="shared" ref="U810:U851" si="362">IF(J810=W810,"O", "X")</f>
        <v>O</v>
      </c>
      <c r="V810" s="73"/>
      <c r="W810" s="482">
        <f t="shared" si="360"/>
        <v>312000</v>
      </c>
      <c r="X810" s="73"/>
      <c r="Y810" s="73"/>
    </row>
    <row r="811" spans="1:25" s="602" customFormat="1" ht="30" hidden="1" customHeight="1" x14ac:dyDescent="0.25">
      <c r="A811" s="612">
        <v>180326</v>
      </c>
      <c r="B811" s="672" t="s">
        <v>983</v>
      </c>
      <c r="C811" s="411" t="s">
        <v>984</v>
      </c>
      <c r="D811" s="411">
        <v>6</v>
      </c>
      <c r="E811" s="198">
        <v>45000</v>
      </c>
      <c r="F811" s="198">
        <f>(E811*D811)*1.1</f>
        <v>297000</v>
      </c>
      <c r="G811" s="198">
        <f>(E811*D811)</f>
        <v>270000</v>
      </c>
      <c r="H811" s="696" t="s">
        <v>173</v>
      </c>
      <c r="I811" s="411" t="s">
        <v>140</v>
      </c>
      <c r="J811" s="64">
        <f>G811-T811</f>
        <v>60000</v>
      </c>
      <c r="K811" s="425">
        <f t="shared" si="361"/>
        <v>0.22222222222222221</v>
      </c>
      <c r="L811" s="899">
        <v>18.399999999999999</v>
      </c>
      <c r="M811" s="581"/>
      <c r="N811" s="672">
        <f t="shared" si="359"/>
        <v>180326</v>
      </c>
      <c r="O811" s="411" t="s">
        <v>147</v>
      </c>
      <c r="P811" s="465" t="str">
        <f>C811</f>
        <v>CTP 현상액</v>
      </c>
      <c r="Q811" s="411">
        <f>D811</f>
        <v>6</v>
      </c>
      <c r="R811" s="198">
        <v>35000</v>
      </c>
      <c r="S811" s="198">
        <f>R811*Q811*1.1</f>
        <v>231000.00000000003</v>
      </c>
      <c r="T811" s="198">
        <f>R811*Q811</f>
        <v>210000</v>
      </c>
      <c r="U811" s="411" t="str">
        <f t="shared" si="362"/>
        <v>O</v>
      </c>
      <c r="V811" s="411"/>
      <c r="W811" s="481">
        <f t="shared" si="360"/>
        <v>60000</v>
      </c>
      <c r="X811" s="411"/>
      <c r="Y811" s="411"/>
    </row>
    <row r="812" spans="1:25" s="215" customFormat="1" ht="30" customHeight="1" x14ac:dyDescent="0.2">
      <c r="A812" s="942">
        <v>180328</v>
      </c>
      <c r="B812" s="673" t="s">
        <v>422</v>
      </c>
      <c r="C812" s="88" t="s">
        <v>130</v>
      </c>
      <c r="D812" s="88">
        <v>10</v>
      </c>
      <c r="E812" s="470">
        <v>125000</v>
      </c>
      <c r="F812" s="943">
        <f t="shared" ref="F812:F828" si="363">(E812*D812)*1.1</f>
        <v>1375000</v>
      </c>
      <c r="G812" s="943">
        <f t="shared" ref="G812:G828" si="364">(E812*D812)</f>
        <v>1250000</v>
      </c>
      <c r="H812" s="944" t="s">
        <v>172</v>
      </c>
      <c r="I812" s="88" t="s">
        <v>109</v>
      </c>
      <c r="J812" s="107">
        <f>(G812-(VLOOKUP(C812,Price!B:D,3,FALSE)*D812))</f>
        <v>260000</v>
      </c>
      <c r="K812" s="469">
        <f t="shared" si="361"/>
        <v>0.20799999999999999</v>
      </c>
      <c r="L812" s="89">
        <v>18.399999999999999</v>
      </c>
      <c r="M812" s="575"/>
      <c r="N812" s="673">
        <f t="shared" si="359"/>
        <v>180328</v>
      </c>
      <c r="O812" s="88" t="s">
        <v>150</v>
      </c>
      <c r="P812" s="134" t="str">
        <f>(C812)</f>
        <v>XL106 Blanket(1077*885)</v>
      </c>
      <c r="Q812" s="88">
        <f t="shared" ref="Q812:Q817" si="365">D812</f>
        <v>10</v>
      </c>
      <c r="R812" s="470">
        <v>99000</v>
      </c>
      <c r="S812" s="470">
        <f>(R812*D812)*1.1</f>
        <v>1089000</v>
      </c>
      <c r="T812" s="470">
        <f>(R812*Q812)</f>
        <v>990000</v>
      </c>
      <c r="U812" s="88" t="str">
        <f t="shared" si="362"/>
        <v>O</v>
      </c>
      <c r="V812" s="88"/>
      <c r="W812" s="483">
        <f t="shared" si="360"/>
        <v>260000</v>
      </c>
      <c r="X812" s="88"/>
      <c r="Y812" s="88"/>
    </row>
    <row r="813" spans="1:25" ht="30" customHeight="1" x14ac:dyDescent="0.25">
      <c r="A813" s="80">
        <v>180329</v>
      </c>
      <c r="B813" s="663" t="s">
        <v>565</v>
      </c>
      <c r="C813" s="73" t="s">
        <v>1125</v>
      </c>
      <c r="D813" s="73">
        <v>6</v>
      </c>
      <c r="E813" s="147">
        <v>47500</v>
      </c>
      <c r="F813" s="147">
        <f t="shared" si="363"/>
        <v>313500</v>
      </c>
      <c r="G813" s="147">
        <f t="shared" si="364"/>
        <v>285000</v>
      </c>
      <c r="H813" s="689" t="s">
        <v>173</v>
      </c>
      <c r="I813" s="73" t="s">
        <v>142</v>
      </c>
      <c r="J813" s="60">
        <f>G813-T813</f>
        <v>49800</v>
      </c>
      <c r="K813" s="427">
        <f t="shared" si="361"/>
        <v>0.17473684210526316</v>
      </c>
      <c r="L813" s="874">
        <v>18.399999999999999</v>
      </c>
      <c r="M813" s="584"/>
      <c r="N813" s="663">
        <f>A813</f>
        <v>180329</v>
      </c>
      <c r="O813" s="73" t="s">
        <v>150</v>
      </c>
      <c r="P813" s="132" t="str">
        <f>C813</f>
        <v>구리스</v>
      </c>
      <c r="Q813" s="73">
        <f t="shared" si="365"/>
        <v>6</v>
      </c>
      <c r="R813" s="147">
        <v>39200</v>
      </c>
      <c r="S813" s="147">
        <f>R813*Q813*1.1</f>
        <v>258720.00000000003</v>
      </c>
      <c r="T813" s="147">
        <f>R813*Q813</f>
        <v>235200</v>
      </c>
      <c r="U813" s="73" t="str">
        <f t="shared" si="362"/>
        <v>O</v>
      </c>
      <c r="V813" s="73"/>
      <c r="W813" s="473">
        <f t="shared" si="360"/>
        <v>49800</v>
      </c>
      <c r="X813" s="73"/>
      <c r="Y813" s="73"/>
    </row>
    <row r="814" spans="1:25" s="616" customFormat="1" ht="30" customHeight="1" x14ac:dyDescent="0.25">
      <c r="A814" s="82">
        <v>180329</v>
      </c>
      <c r="B814" s="664" t="s">
        <v>565</v>
      </c>
      <c r="C814" s="71" t="s">
        <v>1126</v>
      </c>
      <c r="D814" s="71">
        <v>1</v>
      </c>
      <c r="E814" s="102">
        <v>105000</v>
      </c>
      <c r="F814" s="102">
        <f t="shared" si="363"/>
        <v>115500.00000000001</v>
      </c>
      <c r="G814" s="102">
        <f t="shared" si="364"/>
        <v>105000</v>
      </c>
      <c r="H814" s="690" t="s">
        <v>173</v>
      </c>
      <c r="I814" s="71" t="s">
        <v>142</v>
      </c>
      <c r="J814" s="53">
        <f>G814-T814</f>
        <v>19500</v>
      </c>
      <c r="K814" s="63">
        <f t="shared" si="361"/>
        <v>0.18571428571428569</v>
      </c>
      <c r="L814" s="871">
        <v>18.399999999999999</v>
      </c>
      <c r="M814" s="468"/>
      <c r="N814" s="664">
        <f>A814</f>
        <v>180329</v>
      </c>
      <c r="O814" s="71" t="s">
        <v>150</v>
      </c>
      <c r="P814" s="103" t="str">
        <f>C814</f>
        <v>구리스 건</v>
      </c>
      <c r="Q814" s="71">
        <f t="shared" si="365"/>
        <v>1</v>
      </c>
      <c r="R814" s="102">
        <v>85500</v>
      </c>
      <c r="S814" s="102">
        <f>R814*Q814*1.1</f>
        <v>94050.000000000015</v>
      </c>
      <c r="T814" s="102">
        <f>R814*Q814</f>
        <v>85500</v>
      </c>
      <c r="U814" s="71" t="str">
        <f t="shared" si="362"/>
        <v>O</v>
      </c>
      <c r="V814" s="71"/>
      <c r="W814" s="474">
        <f t="shared" si="360"/>
        <v>19500</v>
      </c>
      <c r="X814" s="71"/>
      <c r="Y814" s="71"/>
    </row>
    <row r="815" spans="1:25" s="803" customFormat="1" ht="30" hidden="1" customHeight="1" x14ac:dyDescent="0.25">
      <c r="A815" s="85">
        <v>180329</v>
      </c>
      <c r="B815" s="668" t="s">
        <v>1051</v>
      </c>
      <c r="C815" s="84" t="s">
        <v>524</v>
      </c>
      <c r="D815" s="84">
        <v>900</v>
      </c>
      <c r="E815" s="189">
        <v>3990</v>
      </c>
      <c r="F815" s="189">
        <f t="shared" si="363"/>
        <v>3950100.0000000005</v>
      </c>
      <c r="G815" s="189">
        <f t="shared" si="364"/>
        <v>3591000</v>
      </c>
      <c r="H815" s="691" t="s">
        <v>142</v>
      </c>
      <c r="I815" s="84" t="s">
        <v>140</v>
      </c>
      <c r="J815" s="61">
        <f>(G815-(VLOOKUP(C815,Price!B:D,3,FALSE)*D815))</f>
        <v>1125000</v>
      </c>
      <c r="K815" s="62">
        <f t="shared" si="361"/>
        <v>0.31328320802005011</v>
      </c>
      <c r="L815" s="873">
        <v>18.399999999999999</v>
      </c>
      <c r="M815" s="601"/>
      <c r="N815" s="668">
        <f>A815</f>
        <v>180329</v>
      </c>
      <c r="O815" s="84" t="s">
        <v>145</v>
      </c>
      <c r="P815" s="133" t="str">
        <f>C815</f>
        <v>ENGAGE 900X570 - 27RO</v>
      </c>
      <c r="Q815" s="84">
        <f t="shared" si="365"/>
        <v>900</v>
      </c>
      <c r="R815" s="189">
        <v>2740</v>
      </c>
      <c r="S815" s="189">
        <f>R815*Q815*1.1</f>
        <v>2712600</v>
      </c>
      <c r="T815" s="189">
        <f>R815*Q815</f>
        <v>2466000</v>
      </c>
      <c r="U815" s="84" t="str">
        <f t="shared" si="362"/>
        <v>O</v>
      </c>
      <c r="V815" s="84"/>
      <c r="W815" s="478">
        <f t="shared" si="360"/>
        <v>1125000</v>
      </c>
      <c r="X815" s="84"/>
      <c r="Y815" s="84"/>
    </row>
    <row r="816" spans="1:25" s="215" customFormat="1" ht="30" hidden="1" customHeight="1" x14ac:dyDescent="0.2">
      <c r="A816" s="942">
        <v>180330</v>
      </c>
      <c r="B816" s="673" t="s">
        <v>445</v>
      </c>
      <c r="C816" s="88" t="s">
        <v>137</v>
      </c>
      <c r="D816" s="88">
        <v>7</v>
      </c>
      <c r="E816" s="470">
        <v>172000</v>
      </c>
      <c r="F816" s="943">
        <f t="shared" si="363"/>
        <v>1324400</v>
      </c>
      <c r="G816" s="943">
        <f t="shared" si="364"/>
        <v>1204000</v>
      </c>
      <c r="H816" s="944" t="s">
        <v>172</v>
      </c>
      <c r="I816" s="88" t="s">
        <v>108</v>
      </c>
      <c r="J816" s="107">
        <f>(G816-(VLOOKUP(C816,Price!B:D,3,FALSE)*D816))</f>
        <v>399000</v>
      </c>
      <c r="K816" s="469">
        <f t="shared" si="361"/>
        <v>0.33139534883720928</v>
      </c>
      <c r="L816" s="89">
        <v>18.399999999999999</v>
      </c>
      <c r="M816" s="575"/>
      <c r="N816" s="673">
        <f>A816</f>
        <v>180330</v>
      </c>
      <c r="O816" s="88" t="s">
        <v>150</v>
      </c>
      <c r="P816" s="134" t="str">
        <f>(C816)</f>
        <v>윤전용 세척제(Web 504)</v>
      </c>
      <c r="Q816" s="88">
        <f t="shared" si="365"/>
        <v>7</v>
      </c>
      <c r="R816" s="470">
        <v>115000</v>
      </c>
      <c r="S816" s="470">
        <f>(R816*D816)*1.1</f>
        <v>885500.00000000012</v>
      </c>
      <c r="T816" s="470">
        <f>(R816*Q816)</f>
        <v>805000</v>
      </c>
      <c r="U816" s="88" t="str">
        <f t="shared" si="362"/>
        <v>O</v>
      </c>
      <c r="V816" s="88"/>
      <c r="W816" s="945">
        <f t="shared" si="360"/>
        <v>399000</v>
      </c>
      <c r="X816" s="88"/>
      <c r="Y816" s="88"/>
    </row>
    <row r="817" spans="1:25" s="209" customFormat="1" ht="30" hidden="1" customHeight="1" x14ac:dyDescent="0.2">
      <c r="A817" s="80">
        <v>180402</v>
      </c>
      <c r="B817" s="663" t="s">
        <v>549</v>
      </c>
      <c r="C817" s="73" t="s">
        <v>217</v>
      </c>
      <c r="D817" s="73">
        <v>10</v>
      </c>
      <c r="E817" s="147">
        <v>112500</v>
      </c>
      <c r="F817" s="160">
        <f t="shared" si="363"/>
        <v>1237500</v>
      </c>
      <c r="G817" s="160">
        <f t="shared" si="364"/>
        <v>1125000</v>
      </c>
      <c r="H817" s="161" t="s">
        <v>172</v>
      </c>
      <c r="I817" s="73" t="s">
        <v>120</v>
      </c>
      <c r="J817" s="60">
        <f>(G817-(VLOOKUP(C817,Price!B:D,3,FALSE)*D817))</f>
        <v>325000</v>
      </c>
      <c r="K817" s="427">
        <f t="shared" si="361"/>
        <v>0.28888888888888886</v>
      </c>
      <c r="L817" s="80">
        <v>18.399999999999999</v>
      </c>
      <c r="M817" s="584"/>
      <c r="N817" s="663">
        <f>A817</f>
        <v>180402</v>
      </c>
      <c r="O817" s="73" t="s">
        <v>150</v>
      </c>
      <c r="P817" s="132" t="str">
        <f>(C817)</f>
        <v>Fount 511</v>
      </c>
      <c r="Q817" s="73">
        <f t="shared" si="365"/>
        <v>10</v>
      </c>
      <c r="R817" s="147">
        <v>80000</v>
      </c>
      <c r="S817" s="147">
        <f>(R817*D817)*1.1</f>
        <v>880000.00000000012</v>
      </c>
      <c r="T817" s="147">
        <f>(R817*Q817)</f>
        <v>800000</v>
      </c>
      <c r="U817" s="73" t="str">
        <f t="shared" si="362"/>
        <v>O</v>
      </c>
      <c r="V817" s="73"/>
      <c r="W817" s="473">
        <f t="shared" si="360"/>
        <v>325000</v>
      </c>
      <c r="X817" s="73"/>
      <c r="Y817" s="73"/>
    </row>
    <row r="818" spans="1:25" ht="30" hidden="1" customHeight="1" x14ac:dyDescent="0.25">
      <c r="A818" s="82">
        <v>180402</v>
      </c>
      <c r="B818" s="664" t="s">
        <v>631</v>
      </c>
      <c r="C818" s="71" t="s">
        <v>1129</v>
      </c>
      <c r="D818" s="71">
        <v>10</v>
      </c>
      <c r="E818" s="102">
        <v>78000</v>
      </c>
      <c r="F818" s="102">
        <f t="shared" si="363"/>
        <v>858000.00000000012</v>
      </c>
      <c r="G818" s="102">
        <f t="shared" si="364"/>
        <v>780000</v>
      </c>
      <c r="H818" s="690" t="s">
        <v>173</v>
      </c>
      <c r="I818" s="71" t="s">
        <v>109</v>
      </c>
      <c r="J818" s="53">
        <f>G818-T818</f>
        <v>249000</v>
      </c>
      <c r="K818" s="63">
        <f t="shared" si="361"/>
        <v>0.31923076923076921</v>
      </c>
      <c r="L818" s="871">
        <v>18.399999999999999</v>
      </c>
      <c r="M818" s="468"/>
      <c r="N818" s="664">
        <f t="shared" si="359"/>
        <v>180402</v>
      </c>
      <c r="O818" s="71" t="s">
        <v>147</v>
      </c>
      <c r="P818" s="103" t="str">
        <f>C818</f>
        <v>Blanket(770*700)</v>
      </c>
      <c r="Q818" s="71">
        <f t="shared" ref="Q818:Q828" si="366">D818</f>
        <v>10</v>
      </c>
      <c r="R818" s="102">
        <v>53100</v>
      </c>
      <c r="S818" s="102">
        <f>R818*Q818*1.1</f>
        <v>584100</v>
      </c>
      <c r="T818" s="102">
        <f>R818*Q818</f>
        <v>531000</v>
      </c>
      <c r="U818" s="71" t="str">
        <f t="shared" si="362"/>
        <v>O</v>
      </c>
      <c r="V818" s="71"/>
      <c r="W818" s="474">
        <f t="shared" si="360"/>
        <v>249000</v>
      </c>
      <c r="X818" s="71"/>
      <c r="Y818" s="71"/>
    </row>
    <row r="819" spans="1:25" s="209" customFormat="1" ht="30" hidden="1" customHeight="1" x14ac:dyDescent="0.2">
      <c r="A819" s="429">
        <v>180402</v>
      </c>
      <c r="B819" s="664" t="s">
        <v>557</v>
      </c>
      <c r="C819" s="71" t="s">
        <v>114</v>
      </c>
      <c r="D819" s="71">
        <v>20</v>
      </c>
      <c r="E819" s="102">
        <v>19000</v>
      </c>
      <c r="F819" s="163">
        <f t="shared" si="363"/>
        <v>418000.00000000006</v>
      </c>
      <c r="G819" s="163">
        <f t="shared" si="364"/>
        <v>380000</v>
      </c>
      <c r="H819" s="771" t="s">
        <v>113</v>
      </c>
      <c r="I819" s="71"/>
      <c r="J819" s="53">
        <f>G819-T819</f>
        <v>200000</v>
      </c>
      <c r="K819" s="63">
        <f t="shared" si="361"/>
        <v>0.52631578947368418</v>
      </c>
      <c r="L819" s="82">
        <v>18.399999999999999</v>
      </c>
      <c r="M819" s="468"/>
      <c r="N819" s="664">
        <f t="shared" si="359"/>
        <v>180402</v>
      </c>
      <c r="O819" s="808" t="s">
        <v>113</v>
      </c>
      <c r="P819" s="103" t="str">
        <f>(C819)</f>
        <v>스트리퍼</v>
      </c>
      <c r="Q819" s="71">
        <f t="shared" si="366"/>
        <v>20</v>
      </c>
      <c r="R819" s="102">
        <v>9000</v>
      </c>
      <c r="S819" s="102">
        <f>(R819*D819)*1.1</f>
        <v>198000.00000000003</v>
      </c>
      <c r="T819" s="102">
        <f>(R819*Q819)</f>
        <v>180000</v>
      </c>
      <c r="U819" s="71" t="str">
        <f t="shared" si="362"/>
        <v>O</v>
      </c>
      <c r="V819" s="71"/>
      <c r="W819" s="474">
        <f t="shared" si="360"/>
        <v>200000</v>
      </c>
      <c r="X819" s="71"/>
      <c r="Y819" s="71"/>
    </row>
    <row r="820" spans="1:25" s="209" customFormat="1" ht="30" hidden="1" customHeight="1" x14ac:dyDescent="0.2">
      <c r="A820" s="429">
        <v>180403</v>
      </c>
      <c r="B820" s="664" t="s">
        <v>673</v>
      </c>
      <c r="C820" s="71" t="s">
        <v>236</v>
      </c>
      <c r="D820" s="71">
        <v>2</v>
      </c>
      <c r="E820" s="102">
        <v>110000</v>
      </c>
      <c r="F820" s="163">
        <f t="shared" si="363"/>
        <v>242000.00000000003</v>
      </c>
      <c r="G820" s="163">
        <f t="shared" si="364"/>
        <v>220000</v>
      </c>
      <c r="H820" s="690" t="s">
        <v>173</v>
      </c>
      <c r="I820" s="71" t="s">
        <v>142</v>
      </c>
      <c r="J820" s="53">
        <f>(G820-(VLOOKUP(C820,Price!B:D,3,FALSE)*D820))</f>
        <v>120000</v>
      </c>
      <c r="K820" s="63">
        <f t="shared" si="361"/>
        <v>0.54545454545454541</v>
      </c>
      <c r="L820" s="82">
        <v>18.399999999999999</v>
      </c>
      <c r="M820" s="468"/>
      <c r="N820" s="664">
        <f t="shared" si="359"/>
        <v>180403</v>
      </c>
      <c r="O820" s="71" t="s">
        <v>153</v>
      </c>
      <c r="P820" s="103" t="str">
        <f t="shared" ref="P820:P828" si="367">C820</f>
        <v>아스테이지(국전)</v>
      </c>
      <c r="Q820" s="71">
        <f t="shared" si="366"/>
        <v>2</v>
      </c>
      <c r="R820" s="102">
        <v>50000</v>
      </c>
      <c r="S820" s="102">
        <f t="shared" ref="S820:S828" si="368">R820*Q820*1.1</f>
        <v>110000.00000000001</v>
      </c>
      <c r="T820" s="102">
        <f t="shared" ref="T820:T828" si="369">R820*Q820</f>
        <v>100000</v>
      </c>
      <c r="U820" s="71" t="str">
        <f t="shared" si="362"/>
        <v>X</v>
      </c>
      <c r="V820" s="71" t="s">
        <v>1147</v>
      </c>
      <c r="W820" s="474"/>
      <c r="X820" s="71"/>
      <c r="Y820" s="71"/>
    </row>
    <row r="821" spans="1:25" s="209" customFormat="1" ht="30" hidden="1" customHeight="1" x14ac:dyDescent="0.25">
      <c r="A821" s="82">
        <v>180403</v>
      </c>
      <c r="B821" s="664" t="s">
        <v>764</v>
      </c>
      <c r="C821" s="71" t="s">
        <v>236</v>
      </c>
      <c r="D821" s="71">
        <v>5</v>
      </c>
      <c r="E821" s="102">
        <v>100000</v>
      </c>
      <c r="F821" s="102">
        <f t="shared" si="363"/>
        <v>550000</v>
      </c>
      <c r="G821" s="102">
        <f t="shared" si="364"/>
        <v>500000</v>
      </c>
      <c r="H821" s="690" t="s">
        <v>173</v>
      </c>
      <c r="I821" s="71" t="s">
        <v>142</v>
      </c>
      <c r="J821" s="53">
        <f>(G821-(VLOOKUP(C821,Price!B:D,3,FALSE)*D821))</f>
        <v>250000</v>
      </c>
      <c r="K821" s="63">
        <f t="shared" ref="K821:K828" si="370">(J821/(F821/11*10))</f>
        <v>0.5</v>
      </c>
      <c r="L821" s="871">
        <v>18.399999999999999</v>
      </c>
      <c r="M821" s="468"/>
      <c r="N821" s="664">
        <f t="shared" si="359"/>
        <v>180403</v>
      </c>
      <c r="O821" s="71" t="s">
        <v>153</v>
      </c>
      <c r="P821" s="103" t="str">
        <f t="shared" si="367"/>
        <v>아스테이지(국전)</v>
      </c>
      <c r="Q821" s="71">
        <f t="shared" si="366"/>
        <v>5</v>
      </c>
      <c r="R821" s="102">
        <f>VLOOKUP(P821,Price!B:D,3,FALSE)</f>
        <v>50000</v>
      </c>
      <c r="S821" s="102">
        <f t="shared" si="368"/>
        <v>275000</v>
      </c>
      <c r="T821" s="102">
        <f t="shared" si="369"/>
        <v>250000</v>
      </c>
      <c r="U821" s="71" t="str">
        <f t="shared" si="362"/>
        <v>O</v>
      </c>
      <c r="V821" s="71" t="s">
        <v>1147</v>
      </c>
      <c r="W821" s="474">
        <f t="shared" ref="W821:W847" si="371">(G821-T821)</f>
        <v>250000</v>
      </c>
      <c r="X821" s="71"/>
      <c r="Y821" s="71"/>
    </row>
    <row r="822" spans="1:25" ht="30" hidden="1" customHeight="1" x14ac:dyDescent="0.25">
      <c r="A822" s="82">
        <v>180403</v>
      </c>
      <c r="B822" s="664" t="s">
        <v>983</v>
      </c>
      <c r="C822" s="71" t="s">
        <v>1009</v>
      </c>
      <c r="D822" s="71">
        <v>480</v>
      </c>
      <c r="E822" s="102">
        <v>3900</v>
      </c>
      <c r="F822" s="102">
        <f t="shared" si="363"/>
        <v>2059200.0000000002</v>
      </c>
      <c r="G822" s="102">
        <f t="shared" si="364"/>
        <v>1872000</v>
      </c>
      <c r="H822" s="690" t="s">
        <v>173</v>
      </c>
      <c r="I822" s="71" t="s">
        <v>140</v>
      </c>
      <c r="J822" s="53">
        <f>G822-T822</f>
        <v>288000</v>
      </c>
      <c r="K822" s="63">
        <f t="shared" si="370"/>
        <v>0.15384615384615383</v>
      </c>
      <c r="L822" s="871">
        <v>18.399999999999999</v>
      </c>
      <c r="M822" s="468"/>
      <c r="N822" s="664">
        <f t="shared" si="359"/>
        <v>180403</v>
      </c>
      <c r="O822" s="71" t="s">
        <v>147</v>
      </c>
      <c r="P822" s="103" t="str">
        <f t="shared" si="367"/>
        <v>CTP판(1030*790mm)</v>
      </c>
      <c r="Q822" s="71">
        <f t="shared" si="366"/>
        <v>480</v>
      </c>
      <c r="R822" s="102">
        <v>3300</v>
      </c>
      <c r="S822" s="102">
        <f t="shared" si="368"/>
        <v>1742400.0000000002</v>
      </c>
      <c r="T822" s="102">
        <f t="shared" si="369"/>
        <v>1584000</v>
      </c>
      <c r="U822" s="71" t="str">
        <f t="shared" si="362"/>
        <v>O</v>
      </c>
      <c r="V822" s="71"/>
      <c r="W822" s="474">
        <f t="shared" si="371"/>
        <v>288000</v>
      </c>
      <c r="X822" s="71"/>
      <c r="Y822" s="71"/>
    </row>
    <row r="823" spans="1:25" ht="30" hidden="1" customHeight="1" x14ac:dyDescent="0.25">
      <c r="A823" s="82">
        <v>180403</v>
      </c>
      <c r="B823" s="664" t="s">
        <v>983</v>
      </c>
      <c r="C823" s="71" t="s">
        <v>984</v>
      </c>
      <c r="D823" s="71">
        <v>6</v>
      </c>
      <c r="E823" s="102">
        <v>45000</v>
      </c>
      <c r="F823" s="102">
        <f t="shared" si="363"/>
        <v>297000</v>
      </c>
      <c r="G823" s="102">
        <f t="shared" si="364"/>
        <v>270000</v>
      </c>
      <c r="H823" s="690" t="s">
        <v>173</v>
      </c>
      <c r="I823" s="71" t="s">
        <v>140</v>
      </c>
      <c r="J823" s="53">
        <f>G823-T823</f>
        <v>60000</v>
      </c>
      <c r="K823" s="63">
        <f t="shared" si="370"/>
        <v>0.22222222222222221</v>
      </c>
      <c r="L823" s="871">
        <v>18.399999999999999</v>
      </c>
      <c r="M823" s="468"/>
      <c r="N823" s="664">
        <f t="shared" si="359"/>
        <v>180403</v>
      </c>
      <c r="O823" s="71" t="s">
        <v>147</v>
      </c>
      <c r="P823" s="103" t="str">
        <f t="shared" si="367"/>
        <v>CTP 현상액</v>
      </c>
      <c r="Q823" s="71">
        <f t="shared" si="366"/>
        <v>6</v>
      </c>
      <c r="R823" s="102">
        <v>35000</v>
      </c>
      <c r="S823" s="102">
        <f t="shared" si="368"/>
        <v>231000.00000000003</v>
      </c>
      <c r="T823" s="102">
        <f t="shared" si="369"/>
        <v>210000</v>
      </c>
      <c r="U823" s="71" t="str">
        <f t="shared" si="362"/>
        <v>O</v>
      </c>
      <c r="V823" s="71"/>
      <c r="W823" s="474">
        <f t="shared" si="371"/>
        <v>60000</v>
      </c>
      <c r="X823" s="71"/>
      <c r="Y823" s="71"/>
    </row>
    <row r="824" spans="1:25" ht="30" hidden="1" customHeight="1" x14ac:dyDescent="0.25">
      <c r="A824" s="82">
        <v>180403</v>
      </c>
      <c r="B824" s="664" t="s">
        <v>444</v>
      </c>
      <c r="C824" s="71" t="s">
        <v>131</v>
      </c>
      <c r="D824" s="71">
        <v>3</v>
      </c>
      <c r="E824" s="102">
        <v>135000</v>
      </c>
      <c r="F824" s="102">
        <f t="shared" si="363"/>
        <v>445500.00000000006</v>
      </c>
      <c r="G824" s="102">
        <f t="shared" si="364"/>
        <v>405000</v>
      </c>
      <c r="H824" s="690" t="s">
        <v>173</v>
      </c>
      <c r="I824" s="71" t="s">
        <v>108</v>
      </c>
      <c r="J824" s="53">
        <f>(G824-(VLOOKUP(C824,Price!B:D,3,FALSE)*D824))</f>
        <v>75000</v>
      </c>
      <c r="K824" s="63">
        <f t="shared" si="370"/>
        <v>0.18518518518518515</v>
      </c>
      <c r="L824" s="871">
        <v>18.399999999999999</v>
      </c>
      <c r="M824" s="468"/>
      <c r="N824" s="664">
        <f t="shared" ref="N824:N854" si="372">A824</f>
        <v>180403</v>
      </c>
      <c r="O824" s="71" t="s">
        <v>148</v>
      </c>
      <c r="P824" s="103" t="str">
        <f t="shared" si="367"/>
        <v>UV wash(20L)</v>
      </c>
      <c r="Q824" s="71">
        <f t="shared" si="366"/>
        <v>3</v>
      </c>
      <c r="R824" s="102">
        <v>110000</v>
      </c>
      <c r="S824" s="102">
        <f t="shared" si="368"/>
        <v>363000.00000000006</v>
      </c>
      <c r="T824" s="102">
        <f t="shared" si="369"/>
        <v>330000</v>
      </c>
      <c r="U824" s="71" t="str">
        <f t="shared" si="362"/>
        <v>O</v>
      </c>
      <c r="V824" s="71"/>
      <c r="W824" s="474">
        <f t="shared" si="371"/>
        <v>75000</v>
      </c>
      <c r="X824" s="71"/>
      <c r="Y824" s="71"/>
    </row>
    <row r="825" spans="1:25" ht="30" hidden="1" customHeight="1" x14ac:dyDescent="0.25">
      <c r="A825" s="82">
        <v>180403</v>
      </c>
      <c r="B825" s="664" t="s">
        <v>545</v>
      </c>
      <c r="C825" s="71" t="s">
        <v>952</v>
      </c>
      <c r="D825" s="71">
        <v>1</v>
      </c>
      <c r="E825" s="102">
        <v>630000</v>
      </c>
      <c r="F825" s="102">
        <f t="shared" si="363"/>
        <v>693000</v>
      </c>
      <c r="G825" s="102">
        <f t="shared" si="364"/>
        <v>630000</v>
      </c>
      <c r="H825" s="690" t="s">
        <v>173</v>
      </c>
      <c r="I825" s="71" t="s">
        <v>108</v>
      </c>
      <c r="J825" s="53">
        <f>(G825-(VLOOKUP(C825,Price!B:D,3,FALSE)*D825))</f>
        <v>180000</v>
      </c>
      <c r="K825" s="63">
        <f t="shared" si="370"/>
        <v>0.2857142857142857</v>
      </c>
      <c r="L825" s="82">
        <v>18.399999999999999</v>
      </c>
      <c r="M825" s="468"/>
      <c r="N825" s="664">
        <f t="shared" si="372"/>
        <v>180403</v>
      </c>
      <c r="O825" s="71" t="s">
        <v>599</v>
      </c>
      <c r="P825" s="103" t="str">
        <f t="shared" si="367"/>
        <v>점보롤 세정포</v>
      </c>
      <c r="Q825" s="71">
        <f t="shared" si="366"/>
        <v>1</v>
      </c>
      <c r="R825" s="102">
        <v>440000</v>
      </c>
      <c r="S825" s="102">
        <f t="shared" si="368"/>
        <v>484000.00000000006</v>
      </c>
      <c r="T825" s="102">
        <f t="shared" si="369"/>
        <v>440000</v>
      </c>
      <c r="U825" s="71" t="str">
        <f t="shared" si="362"/>
        <v>X</v>
      </c>
      <c r="V825" s="71"/>
      <c r="W825" s="474">
        <f t="shared" si="371"/>
        <v>190000</v>
      </c>
      <c r="X825" s="71"/>
      <c r="Y825" s="71"/>
    </row>
    <row r="826" spans="1:25" ht="30" hidden="1" customHeight="1" x14ac:dyDescent="0.25">
      <c r="A826" s="82">
        <v>180403</v>
      </c>
      <c r="B826" s="664" t="s">
        <v>545</v>
      </c>
      <c r="C826" s="71" t="s">
        <v>1010</v>
      </c>
      <c r="D826" s="71">
        <v>3</v>
      </c>
      <c r="E826" s="102">
        <v>135000</v>
      </c>
      <c r="F826" s="102">
        <f t="shared" si="363"/>
        <v>445500.00000000006</v>
      </c>
      <c r="G826" s="102">
        <f t="shared" si="364"/>
        <v>405000</v>
      </c>
      <c r="H826" s="690" t="s">
        <v>173</v>
      </c>
      <c r="I826" s="71" t="s">
        <v>108</v>
      </c>
      <c r="J826" s="53">
        <f>(G826-(VLOOKUP(C826,Price!B:D,3,FALSE)*D826))</f>
        <v>75000</v>
      </c>
      <c r="K826" s="63">
        <f t="shared" si="370"/>
        <v>0.18518518518518515</v>
      </c>
      <c r="L826" s="871">
        <v>18.399999999999999</v>
      </c>
      <c r="M826" s="468"/>
      <c r="N826" s="664">
        <f t="shared" si="372"/>
        <v>180403</v>
      </c>
      <c r="O826" s="71" t="s">
        <v>148</v>
      </c>
      <c r="P826" s="103" t="str">
        <f t="shared" si="367"/>
        <v>Offset UV wash</v>
      </c>
      <c r="Q826" s="71">
        <f t="shared" si="366"/>
        <v>3</v>
      </c>
      <c r="R826" s="102">
        <v>110000</v>
      </c>
      <c r="S826" s="102">
        <f t="shared" si="368"/>
        <v>363000.00000000006</v>
      </c>
      <c r="T826" s="102">
        <f t="shared" si="369"/>
        <v>330000</v>
      </c>
      <c r="U826" s="71" t="str">
        <f t="shared" si="362"/>
        <v>O</v>
      </c>
      <c r="V826" s="71"/>
      <c r="W826" s="474">
        <f t="shared" si="371"/>
        <v>75000</v>
      </c>
      <c r="X826" s="71"/>
      <c r="Y826" s="71"/>
    </row>
    <row r="827" spans="1:25" ht="30" customHeight="1" x14ac:dyDescent="0.25">
      <c r="A827" s="82">
        <v>180403</v>
      </c>
      <c r="B827" s="664" t="s">
        <v>422</v>
      </c>
      <c r="C827" s="71" t="s">
        <v>584</v>
      </c>
      <c r="D827" s="71">
        <v>2</v>
      </c>
      <c r="E827" s="102">
        <v>270000</v>
      </c>
      <c r="F827" s="102">
        <f t="shared" si="363"/>
        <v>594000</v>
      </c>
      <c r="G827" s="102">
        <f t="shared" si="364"/>
        <v>540000</v>
      </c>
      <c r="H827" s="690" t="s">
        <v>173</v>
      </c>
      <c r="I827" s="71" t="s">
        <v>142</v>
      </c>
      <c r="J827" s="53">
        <f>(G827-(VLOOKUP(C827,Price!B:D,3,FALSE)*D827))</f>
        <v>108000</v>
      </c>
      <c r="K827" s="63">
        <f t="shared" si="370"/>
        <v>0.2</v>
      </c>
      <c r="L827" s="82">
        <v>18.399999999999999</v>
      </c>
      <c r="M827" s="468"/>
      <c r="N827" s="664">
        <f t="shared" si="372"/>
        <v>180403</v>
      </c>
      <c r="O827" s="71" t="s">
        <v>150</v>
      </c>
      <c r="P827" s="103" t="str">
        <f t="shared" si="367"/>
        <v>데리바리 석션벨트</v>
      </c>
      <c r="Q827" s="71">
        <f t="shared" si="366"/>
        <v>2</v>
      </c>
      <c r="R827" s="102">
        <v>216000</v>
      </c>
      <c r="S827" s="102">
        <f t="shared" si="368"/>
        <v>475200.00000000006</v>
      </c>
      <c r="T827" s="102">
        <f t="shared" si="369"/>
        <v>432000</v>
      </c>
      <c r="U827" s="71" t="str">
        <f t="shared" si="362"/>
        <v>O</v>
      </c>
      <c r="V827" s="71"/>
      <c r="W827" s="474">
        <f t="shared" si="371"/>
        <v>108000</v>
      </c>
      <c r="X827" s="71"/>
      <c r="Y827" s="71"/>
    </row>
    <row r="828" spans="1:25" s="602" customFormat="1" ht="30" customHeight="1" x14ac:dyDescent="0.25">
      <c r="A828" s="85">
        <v>180403</v>
      </c>
      <c r="B828" s="668" t="s">
        <v>422</v>
      </c>
      <c r="C828" s="84" t="s">
        <v>129</v>
      </c>
      <c r="D828" s="84">
        <v>5</v>
      </c>
      <c r="E828" s="189">
        <v>272000</v>
      </c>
      <c r="F828" s="189">
        <f t="shared" si="363"/>
        <v>1496000.0000000002</v>
      </c>
      <c r="G828" s="189">
        <f t="shared" si="364"/>
        <v>1360000</v>
      </c>
      <c r="H828" s="691" t="s">
        <v>173</v>
      </c>
      <c r="I828" s="84" t="s">
        <v>108</v>
      </c>
      <c r="J828" s="61">
        <f>(G828-(VLOOKUP(C828,Price!B:D,3,FALSE)*D828))</f>
        <v>320000</v>
      </c>
      <c r="K828" s="62">
        <f t="shared" si="370"/>
        <v>0.23529411764705879</v>
      </c>
      <c r="L828" s="85">
        <v>18.399999999999999</v>
      </c>
      <c r="M828" s="601"/>
      <c r="N828" s="668">
        <f t="shared" si="372"/>
        <v>180403</v>
      </c>
      <c r="O828" s="84" t="s">
        <v>149</v>
      </c>
      <c r="P828" s="133" t="str">
        <f t="shared" si="367"/>
        <v>세정포-XL106</v>
      </c>
      <c r="Q828" s="84">
        <f t="shared" si="366"/>
        <v>5</v>
      </c>
      <c r="R828" s="189">
        <v>208000</v>
      </c>
      <c r="S828" s="189">
        <f t="shared" si="368"/>
        <v>1144000</v>
      </c>
      <c r="T828" s="189">
        <f t="shared" si="369"/>
        <v>1040000</v>
      </c>
      <c r="U828" s="84" t="str">
        <f t="shared" si="362"/>
        <v>O</v>
      </c>
      <c r="V828" s="84"/>
      <c r="W828" s="478">
        <f t="shared" si="371"/>
        <v>320000</v>
      </c>
      <c r="X828" s="84"/>
      <c r="Y828" s="84"/>
    </row>
    <row r="829" spans="1:25" s="209" customFormat="1" ht="30" hidden="1" customHeight="1" x14ac:dyDescent="0.25">
      <c r="A829" s="80">
        <v>180404</v>
      </c>
      <c r="B829" s="663" t="s">
        <v>567</v>
      </c>
      <c r="C829" s="73" t="s">
        <v>236</v>
      </c>
      <c r="D829" s="73">
        <v>10</v>
      </c>
      <c r="E829" s="147">
        <v>65000</v>
      </c>
      <c r="F829" s="147">
        <f t="shared" ref="F829:F850" si="373">(E829*D829)*1.1</f>
        <v>715000</v>
      </c>
      <c r="G829" s="147">
        <f t="shared" ref="G829:G850" si="374">(E829*D829)</f>
        <v>650000</v>
      </c>
      <c r="H829" s="689" t="s">
        <v>173</v>
      </c>
      <c r="I829" s="73" t="s">
        <v>142</v>
      </c>
      <c r="J829" s="60">
        <f>(G829-(VLOOKUP(C829,Price!B:D,3,FALSE)*D829))</f>
        <v>150000</v>
      </c>
      <c r="K829" s="427">
        <f t="shared" ref="K829:K835" si="375">(J829/(F829/11*10))</f>
        <v>0.23076923076923078</v>
      </c>
      <c r="L829" s="80">
        <v>18.399999999999999</v>
      </c>
      <c r="M829" s="584"/>
      <c r="N829" s="663">
        <f t="shared" si="372"/>
        <v>180404</v>
      </c>
      <c r="O829" s="73" t="s">
        <v>153</v>
      </c>
      <c r="P829" s="132" t="str">
        <f>(C829)</f>
        <v>아스테이지(국전)</v>
      </c>
      <c r="Q829" s="73">
        <f t="shared" ref="Q829:Q850" si="376">D829</f>
        <v>10</v>
      </c>
      <c r="R829" s="147">
        <v>50000</v>
      </c>
      <c r="S829" s="147">
        <f>(R829*D829)*1.1</f>
        <v>550000</v>
      </c>
      <c r="T829" s="147">
        <f>(R829*Q829)</f>
        <v>500000</v>
      </c>
      <c r="U829" s="73" t="str">
        <f t="shared" si="362"/>
        <v>O</v>
      </c>
      <c r="V829" s="73"/>
      <c r="W829" s="473">
        <f t="shared" si="371"/>
        <v>150000</v>
      </c>
      <c r="X829" s="73"/>
      <c r="Y829" s="73"/>
    </row>
    <row r="830" spans="1:25" ht="30" hidden="1" customHeight="1" x14ac:dyDescent="0.25">
      <c r="A830" s="82">
        <v>180404</v>
      </c>
      <c r="B830" s="664" t="s">
        <v>1052</v>
      </c>
      <c r="C830" s="71" t="s">
        <v>1115</v>
      </c>
      <c r="D830" s="71">
        <v>100</v>
      </c>
      <c r="E830" s="102">
        <v>6200</v>
      </c>
      <c r="F830" s="102">
        <f t="shared" si="373"/>
        <v>682000</v>
      </c>
      <c r="G830" s="102">
        <f t="shared" si="374"/>
        <v>620000</v>
      </c>
      <c r="H830" s="690" t="s">
        <v>142</v>
      </c>
      <c r="I830" s="71" t="s">
        <v>144</v>
      </c>
      <c r="J830" s="53">
        <f>G830-T830</f>
        <v>10000</v>
      </c>
      <c r="K830" s="63">
        <f t="shared" si="375"/>
        <v>1.6129032258064516E-2</v>
      </c>
      <c r="L830" s="871">
        <v>18.399999999999999</v>
      </c>
      <c r="M830" s="468"/>
      <c r="N830" s="664">
        <f t="shared" si="372"/>
        <v>180404</v>
      </c>
      <c r="O830" s="71" t="s">
        <v>147</v>
      </c>
      <c r="P830" s="103" t="str">
        <f>C830</f>
        <v>한특 잉크(적)</v>
      </c>
      <c r="Q830" s="71">
        <f t="shared" si="376"/>
        <v>100</v>
      </c>
      <c r="R830" s="102">
        <v>6100</v>
      </c>
      <c r="S830" s="102">
        <f t="shared" ref="S830:S851" si="377">R830*Q830*1.1</f>
        <v>671000</v>
      </c>
      <c r="T830" s="102">
        <f t="shared" ref="T830:T851" si="378">R830*Q830</f>
        <v>610000</v>
      </c>
      <c r="U830" s="71" t="str">
        <f t="shared" si="362"/>
        <v>O</v>
      </c>
      <c r="V830" s="71"/>
      <c r="W830" s="474">
        <f t="shared" si="371"/>
        <v>10000</v>
      </c>
      <c r="X830" s="71"/>
      <c r="Y830" s="71"/>
    </row>
    <row r="831" spans="1:25" ht="30" hidden="1" customHeight="1" x14ac:dyDescent="0.25">
      <c r="A831" s="82">
        <v>180404</v>
      </c>
      <c r="B831" s="664" t="s">
        <v>1052</v>
      </c>
      <c r="C831" s="71" t="s">
        <v>1116</v>
      </c>
      <c r="D831" s="71">
        <v>150</v>
      </c>
      <c r="E831" s="102">
        <v>6000</v>
      </c>
      <c r="F831" s="102">
        <f t="shared" si="373"/>
        <v>990000.00000000012</v>
      </c>
      <c r="G831" s="102">
        <f t="shared" si="374"/>
        <v>900000</v>
      </c>
      <c r="H831" s="690" t="s">
        <v>142</v>
      </c>
      <c r="I831" s="71" t="s">
        <v>144</v>
      </c>
      <c r="J831" s="53">
        <f>G831-T831</f>
        <v>15000</v>
      </c>
      <c r="K831" s="63">
        <f t="shared" si="375"/>
        <v>1.6666666666666663E-2</v>
      </c>
      <c r="L831" s="871">
        <v>18.399999999999999</v>
      </c>
      <c r="M831" s="468"/>
      <c r="N831" s="664">
        <f t="shared" si="372"/>
        <v>180404</v>
      </c>
      <c r="O831" s="71" t="s">
        <v>147</v>
      </c>
      <c r="P831" s="103" t="str">
        <f>C831</f>
        <v>한특 잉크(황)</v>
      </c>
      <c r="Q831" s="71">
        <f t="shared" si="376"/>
        <v>150</v>
      </c>
      <c r="R831" s="102">
        <v>5900</v>
      </c>
      <c r="S831" s="102">
        <f t="shared" si="377"/>
        <v>973500.00000000012</v>
      </c>
      <c r="T831" s="102">
        <f t="shared" si="378"/>
        <v>885000</v>
      </c>
      <c r="U831" s="71" t="str">
        <f t="shared" si="362"/>
        <v>O</v>
      </c>
      <c r="V831" s="71"/>
      <c r="W831" s="474">
        <f t="shared" si="371"/>
        <v>15000</v>
      </c>
      <c r="X831" s="71"/>
      <c r="Y831" s="71"/>
    </row>
    <row r="832" spans="1:25" ht="30" hidden="1" customHeight="1" x14ac:dyDescent="0.25">
      <c r="A832" s="82">
        <v>180404</v>
      </c>
      <c r="B832" s="664" t="s">
        <v>1052</v>
      </c>
      <c r="C832" s="71" t="s">
        <v>1117</v>
      </c>
      <c r="D832" s="71">
        <v>100</v>
      </c>
      <c r="E832" s="102">
        <v>6500</v>
      </c>
      <c r="F832" s="102">
        <f t="shared" si="373"/>
        <v>715000</v>
      </c>
      <c r="G832" s="102">
        <f t="shared" si="374"/>
        <v>650000</v>
      </c>
      <c r="H832" s="690" t="s">
        <v>142</v>
      </c>
      <c r="I832" s="71" t="s">
        <v>144</v>
      </c>
      <c r="J832" s="53">
        <f>G832-T832</f>
        <v>10000</v>
      </c>
      <c r="K832" s="63">
        <f t="shared" si="375"/>
        <v>1.5384615384615385E-2</v>
      </c>
      <c r="L832" s="871">
        <v>18.399999999999999</v>
      </c>
      <c r="M832" s="468"/>
      <c r="N832" s="664">
        <f t="shared" si="372"/>
        <v>180404</v>
      </c>
      <c r="O832" s="71" t="s">
        <v>147</v>
      </c>
      <c r="P832" s="103" t="str">
        <f>C832</f>
        <v>한특 잉크(청)</v>
      </c>
      <c r="Q832" s="71">
        <f t="shared" si="376"/>
        <v>100</v>
      </c>
      <c r="R832" s="102">
        <v>6400</v>
      </c>
      <c r="S832" s="102">
        <f t="shared" si="377"/>
        <v>704000</v>
      </c>
      <c r="T832" s="102">
        <f t="shared" si="378"/>
        <v>640000</v>
      </c>
      <c r="U832" s="71" t="str">
        <f t="shared" si="362"/>
        <v>O</v>
      </c>
      <c r="V832" s="71"/>
      <c r="W832" s="474">
        <f t="shared" si="371"/>
        <v>10000</v>
      </c>
      <c r="X832" s="71"/>
      <c r="Y832" s="71"/>
    </row>
    <row r="833" spans="1:25" ht="30" hidden="1" customHeight="1" x14ac:dyDescent="0.25">
      <c r="A833" s="82">
        <v>180404</v>
      </c>
      <c r="B833" s="664" t="s">
        <v>1052</v>
      </c>
      <c r="C833" s="71" t="s">
        <v>1118</v>
      </c>
      <c r="D833" s="71">
        <v>50</v>
      </c>
      <c r="E833" s="102">
        <v>5600</v>
      </c>
      <c r="F833" s="102">
        <f t="shared" si="373"/>
        <v>308000</v>
      </c>
      <c r="G833" s="102">
        <f t="shared" si="374"/>
        <v>280000</v>
      </c>
      <c r="H833" s="690" t="s">
        <v>142</v>
      </c>
      <c r="I833" s="71" t="s">
        <v>144</v>
      </c>
      <c r="J833" s="53">
        <f>G833-T833</f>
        <v>5000</v>
      </c>
      <c r="K833" s="63">
        <f t="shared" si="375"/>
        <v>1.7857142857142856E-2</v>
      </c>
      <c r="L833" s="871">
        <v>18.399999999999999</v>
      </c>
      <c r="M833" s="468"/>
      <c r="N833" s="664">
        <f t="shared" si="372"/>
        <v>180404</v>
      </c>
      <c r="O833" s="71" t="s">
        <v>147</v>
      </c>
      <c r="P833" s="103" t="str">
        <f>C833</f>
        <v>한특 잉크(먹)</v>
      </c>
      <c r="Q833" s="71">
        <f t="shared" si="376"/>
        <v>50</v>
      </c>
      <c r="R833" s="102">
        <v>5500</v>
      </c>
      <c r="S833" s="102">
        <f t="shared" si="377"/>
        <v>302500</v>
      </c>
      <c r="T833" s="102">
        <f t="shared" si="378"/>
        <v>275000</v>
      </c>
      <c r="U833" s="71" t="str">
        <f t="shared" si="362"/>
        <v>O</v>
      </c>
      <c r="V833" s="71"/>
      <c r="W833" s="474">
        <f t="shared" si="371"/>
        <v>5000</v>
      </c>
      <c r="X833" s="71"/>
      <c r="Y833" s="71"/>
    </row>
    <row r="834" spans="1:25" ht="30" hidden="1" customHeight="1" x14ac:dyDescent="0.25">
      <c r="A834" s="82">
        <v>180404</v>
      </c>
      <c r="B834" s="664" t="s">
        <v>1061</v>
      </c>
      <c r="C834" s="71" t="s">
        <v>586</v>
      </c>
      <c r="D834" s="71">
        <v>200</v>
      </c>
      <c r="E834" s="102">
        <v>6750</v>
      </c>
      <c r="F834" s="102">
        <f t="shared" si="373"/>
        <v>1485000.0000000002</v>
      </c>
      <c r="G834" s="102">
        <f t="shared" si="374"/>
        <v>1350000</v>
      </c>
      <c r="H834" s="690" t="s">
        <v>142</v>
      </c>
      <c r="I834" s="71" t="s">
        <v>144</v>
      </c>
      <c r="J834" s="53">
        <f>(G834-(VLOOKUP(C834,Price!B:D,3,FALSE)*D834))</f>
        <v>114000</v>
      </c>
      <c r="K834" s="63">
        <f t="shared" si="375"/>
        <v>8.4444444444444433E-2</v>
      </c>
      <c r="L834" s="871">
        <v>18.399999999999999</v>
      </c>
      <c r="M834" s="468"/>
      <c r="N834" s="664">
        <f t="shared" si="372"/>
        <v>180404</v>
      </c>
      <c r="O834" s="71" t="s">
        <v>147</v>
      </c>
      <c r="P834" s="103" t="str">
        <f>C834</f>
        <v>프리미어(황)</v>
      </c>
      <c r="Q834" s="71">
        <f t="shared" si="376"/>
        <v>200</v>
      </c>
      <c r="R834" s="102">
        <v>6180</v>
      </c>
      <c r="S834" s="102">
        <f t="shared" si="377"/>
        <v>1359600</v>
      </c>
      <c r="T834" s="102">
        <f t="shared" si="378"/>
        <v>1236000</v>
      </c>
      <c r="U834" s="71" t="str">
        <f t="shared" si="362"/>
        <v>O</v>
      </c>
      <c r="V834" s="71"/>
      <c r="W834" s="474">
        <f t="shared" si="371"/>
        <v>114000</v>
      </c>
      <c r="X834" s="71"/>
      <c r="Y834" s="71"/>
    </row>
    <row r="835" spans="1:25" s="602" customFormat="1" ht="30" hidden="1" customHeight="1" x14ac:dyDescent="0.25">
      <c r="A835" s="85">
        <v>180404</v>
      </c>
      <c r="B835" s="668" t="s">
        <v>640</v>
      </c>
      <c r="C835" s="84" t="s">
        <v>236</v>
      </c>
      <c r="D835" s="84">
        <v>2</v>
      </c>
      <c r="E835" s="189">
        <v>99000</v>
      </c>
      <c r="F835" s="189">
        <f t="shared" si="373"/>
        <v>217800.00000000003</v>
      </c>
      <c r="G835" s="189">
        <f t="shared" si="374"/>
        <v>198000</v>
      </c>
      <c r="H835" s="691" t="s">
        <v>173</v>
      </c>
      <c r="I835" s="84" t="s">
        <v>142</v>
      </c>
      <c r="J835" s="61">
        <f>(G835-(VLOOKUP(C835,Price!B:D,3,FALSE)*D835))</f>
        <v>98000</v>
      </c>
      <c r="K835" s="62">
        <f t="shared" si="375"/>
        <v>0.49494949494949486</v>
      </c>
      <c r="L835" s="873">
        <v>18.399999999999999</v>
      </c>
      <c r="M835" s="601"/>
      <c r="N835" s="668">
        <f t="shared" si="372"/>
        <v>180404</v>
      </c>
      <c r="O835" s="84" t="s">
        <v>153</v>
      </c>
      <c r="P835" s="133" t="str">
        <f t="shared" ref="P835:P849" si="379">C835</f>
        <v>아스테이지(국전)</v>
      </c>
      <c r="Q835" s="84">
        <f t="shared" si="376"/>
        <v>2</v>
      </c>
      <c r="R835" s="189">
        <v>50000</v>
      </c>
      <c r="S835" s="189">
        <f t="shared" si="377"/>
        <v>110000.00000000001</v>
      </c>
      <c r="T835" s="189">
        <f t="shared" si="378"/>
        <v>100000</v>
      </c>
      <c r="U835" s="84" t="str">
        <f t="shared" si="362"/>
        <v>O</v>
      </c>
      <c r="V835" s="84"/>
      <c r="W835" s="478">
        <f t="shared" si="371"/>
        <v>98000</v>
      </c>
      <c r="X835" s="84"/>
      <c r="Y835" s="84"/>
    </row>
    <row r="836" spans="1:25" ht="30" hidden="1" customHeight="1" x14ac:dyDescent="0.25">
      <c r="A836" s="80">
        <v>180410</v>
      </c>
      <c r="B836" s="663" t="s">
        <v>764</v>
      </c>
      <c r="C836" s="73" t="s">
        <v>123</v>
      </c>
      <c r="D836" s="73">
        <v>30</v>
      </c>
      <c r="E836" s="147">
        <v>35000</v>
      </c>
      <c r="F836" s="147">
        <f t="shared" si="373"/>
        <v>1155000</v>
      </c>
      <c r="G836" s="147">
        <f t="shared" si="374"/>
        <v>1050000</v>
      </c>
      <c r="H836" s="1005" t="s">
        <v>39</v>
      </c>
      <c r="I836" s="73"/>
      <c r="J836" s="60">
        <f>G836-T836</f>
        <v>376170</v>
      </c>
      <c r="K836" s="427">
        <f t="shared" ref="K836:K851" si="380">(J836/(F836/11*10))</f>
        <v>0.35825714285714283</v>
      </c>
      <c r="L836" s="874">
        <v>18.399999999999999</v>
      </c>
      <c r="M836" s="584"/>
      <c r="N836" s="663">
        <f t="shared" si="372"/>
        <v>180410</v>
      </c>
      <c r="O836" s="987" t="s">
        <v>39</v>
      </c>
      <c r="P836" s="132" t="str">
        <f t="shared" si="379"/>
        <v>필터백</v>
      </c>
      <c r="Q836" s="73">
        <f t="shared" si="376"/>
        <v>30</v>
      </c>
      <c r="R836" s="147">
        <f>VLOOKUP(P836,Price!B:D,3,FALSE)</f>
        <v>22461</v>
      </c>
      <c r="S836" s="147">
        <f t="shared" si="377"/>
        <v>741213.00000000012</v>
      </c>
      <c r="T836" s="147">
        <f t="shared" si="378"/>
        <v>673830</v>
      </c>
      <c r="U836" s="73" t="str">
        <f t="shared" si="362"/>
        <v>O</v>
      </c>
      <c r="V836" s="73"/>
      <c r="W836" s="473">
        <f t="shared" si="371"/>
        <v>376170</v>
      </c>
      <c r="X836" s="73"/>
      <c r="Y836" s="73"/>
    </row>
    <row r="837" spans="1:25" ht="30" hidden="1" customHeight="1" x14ac:dyDescent="0.25">
      <c r="A837" s="82">
        <v>180410</v>
      </c>
      <c r="B837" s="664" t="s">
        <v>690</v>
      </c>
      <c r="C837" s="71" t="s">
        <v>1186</v>
      </c>
      <c r="D837" s="71">
        <v>500</v>
      </c>
      <c r="E837" s="102">
        <f>3850+1050</f>
        <v>4900</v>
      </c>
      <c r="F837" s="102">
        <f t="shared" si="373"/>
        <v>2695000</v>
      </c>
      <c r="G837" s="102">
        <f t="shared" si="374"/>
        <v>2450000</v>
      </c>
      <c r="H837" s="690" t="s">
        <v>173</v>
      </c>
      <c r="I837" s="71" t="s">
        <v>140</v>
      </c>
      <c r="J837" s="53">
        <f>(G837-(VLOOKUP(C837,Price!B:D,3,FALSE)*D837))</f>
        <v>450000</v>
      </c>
      <c r="K837" s="63">
        <f t="shared" si="380"/>
        <v>0.18367346938775511</v>
      </c>
      <c r="L837" s="871">
        <v>18.399999999999999</v>
      </c>
      <c r="M837" s="468" t="s">
        <v>1190</v>
      </c>
      <c r="N837" s="664">
        <f t="shared" si="372"/>
        <v>180410</v>
      </c>
      <c r="O837" s="71" t="s">
        <v>145</v>
      </c>
      <c r="P837" s="103" t="str">
        <f t="shared" si="379"/>
        <v>CTP 판(1030*790mm)</v>
      </c>
      <c r="Q837" s="71">
        <f t="shared" si="376"/>
        <v>500</v>
      </c>
      <c r="R837" s="102">
        <v>4000</v>
      </c>
      <c r="S837" s="102">
        <f t="shared" si="377"/>
        <v>2200000</v>
      </c>
      <c r="T837" s="102">
        <f t="shared" si="378"/>
        <v>2000000</v>
      </c>
      <c r="U837" s="71" t="str">
        <f t="shared" si="362"/>
        <v>O</v>
      </c>
      <c r="V837" s="71"/>
      <c r="W837" s="473">
        <f t="shared" si="371"/>
        <v>450000</v>
      </c>
      <c r="X837" s="71"/>
      <c r="Y837" s="71"/>
    </row>
    <row r="838" spans="1:25" ht="30" hidden="1" customHeight="1" x14ac:dyDescent="0.25">
      <c r="A838" s="82">
        <v>180410</v>
      </c>
      <c r="B838" s="664" t="s">
        <v>690</v>
      </c>
      <c r="C838" s="67" t="s">
        <v>197</v>
      </c>
      <c r="D838" s="71">
        <v>4</v>
      </c>
      <c r="E838" s="102">
        <v>58000</v>
      </c>
      <c r="F838" s="102">
        <f t="shared" si="373"/>
        <v>255200.00000000003</v>
      </c>
      <c r="G838" s="102">
        <f t="shared" si="374"/>
        <v>232000</v>
      </c>
      <c r="H838" s="690" t="s">
        <v>173</v>
      </c>
      <c r="I838" s="71" t="s">
        <v>140</v>
      </c>
      <c r="J838" s="53">
        <f>(G838-(VLOOKUP(C838,Price!B:D,3,FALSE)*D838))</f>
        <v>92000</v>
      </c>
      <c r="K838" s="63">
        <f t="shared" si="380"/>
        <v>0.39655172413793099</v>
      </c>
      <c r="L838" s="871">
        <v>18.399999999999999</v>
      </c>
      <c r="M838" s="468"/>
      <c r="N838" s="664">
        <f t="shared" si="372"/>
        <v>180410</v>
      </c>
      <c r="O838" s="71" t="s">
        <v>145</v>
      </c>
      <c r="P838" s="103" t="str">
        <f t="shared" si="379"/>
        <v>THR200(20L)</v>
      </c>
      <c r="Q838" s="71">
        <f t="shared" si="376"/>
        <v>4</v>
      </c>
      <c r="R838" s="102">
        <v>35000</v>
      </c>
      <c r="S838" s="102">
        <f t="shared" si="377"/>
        <v>154000</v>
      </c>
      <c r="T838" s="102">
        <f t="shared" si="378"/>
        <v>140000</v>
      </c>
      <c r="U838" s="71" t="str">
        <f t="shared" si="362"/>
        <v>O</v>
      </c>
      <c r="V838" s="71"/>
      <c r="W838" s="473">
        <f t="shared" si="371"/>
        <v>92000</v>
      </c>
      <c r="X838" s="71"/>
      <c r="Y838" s="71"/>
    </row>
    <row r="839" spans="1:25" ht="30" hidden="1" customHeight="1" x14ac:dyDescent="0.25">
      <c r="A839" s="82">
        <v>180410</v>
      </c>
      <c r="B839" s="664" t="s">
        <v>690</v>
      </c>
      <c r="C839" s="71" t="s">
        <v>750</v>
      </c>
      <c r="D839" s="71">
        <v>1</v>
      </c>
      <c r="E839" s="102">
        <v>58000</v>
      </c>
      <c r="F839" s="102">
        <f t="shared" si="373"/>
        <v>63800.000000000007</v>
      </c>
      <c r="G839" s="102">
        <f t="shared" si="374"/>
        <v>58000</v>
      </c>
      <c r="H839" s="690" t="s">
        <v>173</v>
      </c>
      <c r="I839" s="71" t="s">
        <v>140</v>
      </c>
      <c r="J839" s="53">
        <f>(G839-(VLOOKUP(C839,Price!B:D,3,FALSE)*D839))</f>
        <v>23000</v>
      </c>
      <c r="K839" s="63">
        <f t="shared" si="380"/>
        <v>0.39655172413793099</v>
      </c>
      <c r="L839" s="871">
        <v>18.399999999999999</v>
      </c>
      <c r="M839" s="468"/>
      <c r="N839" s="664">
        <f t="shared" si="372"/>
        <v>180410</v>
      </c>
      <c r="O839" s="71" t="s">
        <v>145</v>
      </c>
      <c r="P839" s="103" t="str">
        <f t="shared" si="379"/>
        <v>THD200(20L)</v>
      </c>
      <c r="Q839" s="71">
        <f t="shared" si="376"/>
        <v>1</v>
      </c>
      <c r="R839" s="102">
        <v>35000</v>
      </c>
      <c r="S839" s="102">
        <f t="shared" si="377"/>
        <v>38500</v>
      </c>
      <c r="T839" s="102">
        <f t="shared" si="378"/>
        <v>35000</v>
      </c>
      <c r="U839" s="71" t="str">
        <f t="shared" si="362"/>
        <v>O</v>
      </c>
      <c r="V839" s="71"/>
      <c r="W839" s="473">
        <f t="shared" si="371"/>
        <v>23000</v>
      </c>
      <c r="X839" s="71"/>
      <c r="Y839" s="71"/>
    </row>
    <row r="840" spans="1:25" s="602" customFormat="1" ht="30" hidden="1" customHeight="1" x14ac:dyDescent="0.25">
      <c r="A840" s="85">
        <v>180410</v>
      </c>
      <c r="B840" s="668" t="s">
        <v>690</v>
      </c>
      <c r="C840" s="84" t="s">
        <v>752</v>
      </c>
      <c r="D840" s="84">
        <v>1</v>
      </c>
      <c r="E840" s="189">
        <v>85000</v>
      </c>
      <c r="F840" s="189">
        <f t="shared" si="373"/>
        <v>93500.000000000015</v>
      </c>
      <c r="G840" s="189">
        <f t="shared" si="374"/>
        <v>85000</v>
      </c>
      <c r="H840" s="691" t="s">
        <v>173</v>
      </c>
      <c r="I840" s="84" t="s">
        <v>140</v>
      </c>
      <c r="J840" s="61">
        <f>(G840-(VLOOKUP(C840,Price!B:D,3,FALSE)*D840))</f>
        <v>20000</v>
      </c>
      <c r="K840" s="62">
        <f t="shared" si="380"/>
        <v>0.23529411764705879</v>
      </c>
      <c r="L840" s="873">
        <v>18.399999999999999</v>
      </c>
      <c r="M840" s="601"/>
      <c r="N840" s="668">
        <f t="shared" si="372"/>
        <v>180410</v>
      </c>
      <c r="O840" s="84" t="s">
        <v>145</v>
      </c>
      <c r="P840" s="133" t="str">
        <f t="shared" si="379"/>
        <v>RC795(20L)</v>
      </c>
      <c r="Q840" s="84">
        <f t="shared" si="376"/>
        <v>1</v>
      </c>
      <c r="R840" s="189">
        <v>0</v>
      </c>
      <c r="S840" s="189">
        <f t="shared" si="377"/>
        <v>0</v>
      </c>
      <c r="T840" s="189">
        <f t="shared" si="378"/>
        <v>0</v>
      </c>
      <c r="U840" s="84" t="str">
        <f t="shared" si="362"/>
        <v>X</v>
      </c>
      <c r="V840" s="84"/>
      <c r="W840" s="478">
        <f t="shared" si="371"/>
        <v>85000</v>
      </c>
      <c r="X840" s="84"/>
      <c r="Y840" s="84"/>
    </row>
    <row r="841" spans="1:25" ht="30" hidden="1" customHeight="1" x14ac:dyDescent="0.25">
      <c r="A841" s="80">
        <v>180411</v>
      </c>
      <c r="B841" s="663" t="s">
        <v>445</v>
      </c>
      <c r="C841" s="73" t="s">
        <v>121</v>
      </c>
      <c r="D841" s="73">
        <v>5</v>
      </c>
      <c r="E841" s="147">
        <v>110000</v>
      </c>
      <c r="F841" s="147">
        <f t="shared" si="373"/>
        <v>605000</v>
      </c>
      <c r="G841" s="147">
        <f t="shared" si="374"/>
        <v>550000</v>
      </c>
      <c r="H841" s="689" t="s">
        <v>173</v>
      </c>
      <c r="I841" s="73" t="s">
        <v>142</v>
      </c>
      <c r="J841" s="60">
        <f>(G841-(VLOOKUP(C841,Price!B:D,3,FALSE)*D841))</f>
        <v>95000</v>
      </c>
      <c r="K841" s="427">
        <f t="shared" si="380"/>
        <v>0.17272727272727273</v>
      </c>
      <c r="L841" s="874">
        <v>18.399999999999999</v>
      </c>
      <c r="M841" s="584"/>
      <c r="N841" s="663">
        <f t="shared" si="372"/>
        <v>180411</v>
      </c>
      <c r="O841" s="73" t="s">
        <v>150</v>
      </c>
      <c r="P841" s="132" t="str">
        <f t="shared" si="379"/>
        <v>윤전용 실리콘</v>
      </c>
      <c r="Q841" s="73">
        <f t="shared" si="376"/>
        <v>5</v>
      </c>
      <c r="R841" s="147">
        <v>91000</v>
      </c>
      <c r="S841" s="526">
        <f t="shared" si="377"/>
        <v>500500.00000000006</v>
      </c>
      <c r="T841" s="526">
        <f t="shared" si="378"/>
        <v>455000</v>
      </c>
      <c r="U841" s="157" t="str">
        <f t="shared" si="362"/>
        <v>O</v>
      </c>
      <c r="V841" s="157"/>
      <c r="W841" s="946">
        <f t="shared" si="371"/>
        <v>95000</v>
      </c>
      <c r="X841" s="73"/>
      <c r="Y841" s="73"/>
    </row>
    <row r="842" spans="1:25" ht="30" hidden="1" customHeight="1" x14ac:dyDescent="0.25">
      <c r="A842" s="82">
        <v>180411</v>
      </c>
      <c r="B842" s="664" t="s">
        <v>546</v>
      </c>
      <c r="C842" s="71" t="s">
        <v>1148</v>
      </c>
      <c r="D842" s="71">
        <v>8</v>
      </c>
      <c r="E842" s="102">
        <v>240000</v>
      </c>
      <c r="F842" s="102">
        <f t="shared" si="373"/>
        <v>2112000</v>
      </c>
      <c r="G842" s="102">
        <f t="shared" si="374"/>
        <v>1920000</v>
      </c>
      <c r="H842" s="779" t="s">
        <v>113</v>
      </c>
      <c r="I842" s="71"/>
      <c r="J842" s="53">
        <f>G842-T842</f>
        <v>794703.62811826915</v>
      </c>
      <c r="K842" s="63">
        <f t="shared" si="380"/>
        <v>0.41390813964493184</v>
      </c>
      <c r="L842" s="871">
        <v>18.399999999999999</v>
      </c>
      <c r="M842" s="468" t="s">
        <v>1153</v>
      </c>
      <c r="N842" s="664">
        <f t="shared" si="372"/>
        <v>180411</v>
      </c>
      <c r="O842" s="808" t="s">
        <v>113</v>
      </c>
      <c r="P842" s="103" t="str">
        <f t="shared" si="379"/>
        <v>브레이크 라이닝</v>
      </c>
      <c r="Q842" s="71">
        <f t="shared" si="376"/>
        <v>8</v>
      </c>
      <c r="R842" s="102">
        <f>Import!G87</f>
        <v>140662.04648521636</v>
      </c>
      <c r="S842" s="102">
        <f t="shared" si="377"/>
        <v>1237826.009069904</v>
      </c>
      <c r="T842" s="102">
        <f t="shared" si="378"/>
        <v>1125296.3718817309</v>
      </c>
      <c r="U842" s="71" t="str">
        <f t="shared" si="362"/>
        <v>O</v>
      </c>
      <c r="V842" s="71"/>
      <c r="W842" s="474">
        <f t="shared" si="371"/>
        <v>794703.62811826915</v>
      </c>
      <c r="X842" s="71"/>
      <c r="Y842" s="71"/>
    </row>
    <row r="843" spans="1:25" ht="30" hidden="1" customHeight="1" x14ac:dyDescent="0.25">
      <c r="A843" s="82">
        <v>180411</v>
      </c>
      <c r="B843" s="664" t="s">
        <v>546</v>
      </c>
      <c r="C843" s="71" t="s">
        <v>990</v>
      </c>
      <c r="D843" s="71">
        <v>30</v>
      </c>
      <c r="E843" s="102">
        <v>27000</v>
      </c>
      <c r="F843" s="102">
        <f t="shared" si="373"/>
        <v>891000.00000000012</v>
      </c>
      <c r="G843" s="102">
        <f t="shared" si="374"/>
        <v>810000</v>
      </c>
      <c r="H843" s="779" t="s">
        <v>113</v>
      </c>
      <c r="I843" s="71"/>
      <c r="J843" s="53">
        <f>G843-T843</f>
        <v>458082.22886430391</v>
      </c>
      <c r="K843" s="63">
        <f t="shared" si="380"/>
        <v>0.56553361588185658</v>
      </c>
      <c r="L843" s="871">
        <v>18.399999999999999</v>
      </c>
      <c r="M843" s="468"/>
      <c r="N843" s="664">
        <f t="shared" si="372"/>
        <v>180411</v>
      </c>
      <c r="O843" s="808" t="s">
        <v>113</v>
      </c>
      <c r="P843" s="103" t="str">
        <f t="shared" si="379"/>
        <v>브러쉬, 헤드 스톱</v>
      </c>
      <c r="Q843" s="71">
        <f t="shared" si="376"/>
        <v>30</v>
      </c>
      <c r="R843" s="102">
        <f>Import!G83</f>
        <v>11730.59237118987</v>
      </c>
      <c r="S843" s="102">
        <f t="shared" si="377"/>
        <v>387109.54824926576</v>
      </c>
      <c r="T843" s="102">
        <f t="shared" si="378"/>
        <v>351917.77113569609</v>
      </c>
      <c r="U843" s="71" t="str">
        <f t="shared" si="362"/>
        <v>O</v>
      </c>
      <c r="V843" s="71"/>
      <c r="W843" s="474">
        <f t="shared" si="371"/>
        <v>458082.22886430391</v>
      </c>
      <c r="X843" s="71"/>
      <c r="Y843" s="71"/>
    </row>
    <row r="844" spans="1:25" ht="30" hidden="1" customHeight="1" x14ac:dyDescent="0.25">
      <c r="A844" s="82">
        <v>180411</v>
      </c>
      <c r="B844" s="664" t="s">
        <v>546</v>
      </c>
      <c r="C844" s="71" t="s">
        <v>881</v>
      </c>
      <c r="D844" s="71">
        <v>40</v>
      </c>
      <c r="E844" s="102">
        <v>18000</v>
      </c>
      <c r="F844" s="102">
        <f t="shared" si="373"/>
        <v>792000.00000000012</v>
      </c>
      <c r="G844" s="102">
        <f t="shared" si="374"/>
        <v>720000</v>
      </c>
      <c r="H844" s="779" t="s">
        <v>113</v>
      </c>
      <c r="I844" s="71"/>
      <c r="J844" s="53">
        <f>G844-T844</f>
        <v>360000</v>
      </c>
      <c r="K844" s="63">
        <f>(J844/(F844/11*10))</f>
        <v>0.49999999999999994</v>
      </c>
      <c r="L844" s="871">
        <v>18.399999999999999</v>
      </c>
      <c r="M844" s="468"/>
      <c r="N844" s="664">
        <f t="shared" si="372"/>
        <v>180411</v>
      </c>
      <c r="O844" s="808" t="s">
        <v>113</v>
      </c>
      <c r="P844" s="103" t="str">
        <f t="shared" si="379"/>
        <v>스트리퍼(대)</v>
      </c>
      <c r="Q844" s="71">
        <f t="shared" si="376"/>
        <v>40</v>
      </c>
      <c r="R844" s="102">
        <v>9000</v>
      </c>
      <c r="S844" s="102">
        <f t="shared" si="377"/>
        <v>396000.00000000006</v>
      </c>
      <c r="T844" s="102">
        <f t="shared" si="378"/>
        <v>360000</v>
      </c>
      <c r="U844" s="71" t="str">
        <f t="shared" si="362"/>
        <v>O</v>
      </c>
      <c r="V844" s="71"/>
      <c r="W844" s="474">
        <f t="shared" si="371"/>
        <v>360000</v>
      </c>
      <c r="X844" s="71"/>
      <c r="Y844" s="71"/>
    </row>
    <row r="845" spans="1:25" s="602" customFormat="1" ht="30" hidden="1" customHeight="1" x14ac:dyDescent="0.25">
      <c r="A845" s="85">
        <v>180411</v>
      </c>
      <c r="B845" s="668" t="s">
        <v>546</v>
      </c>
      <c r="C845" s="84" t="s">
        <v>882</v>
      </c>
      <c r="D845" s="84">
        <v>10</v>
      </c>
      <c r="E845" s="189">
        <v>18000</v>
      </c>
      <c r="F845" s="189">
        <f t="shared" si="373"/>
        <v>198000.00000000003</v>
      </c>
      <c r="G845" s="189">
        <f t="shared" si="374"/>
        <v>180000</v>
      </c>
      <c r="H845" s="781" t="s">
        <v>113</v>
      </c>
      <c r="I845" s="84"/>
      <c r="J845" s="61">
        <f>G845-T845</f>
        <v>86994.139299001385</v>
      </c>
      <c r="K845" s="62">
        <f t="shared" si="380"/>
        <v>0.48330077388334097</v>
      </c>
      <c r="L845" s="873">
        <v>18.399999999999999</v>
      </c>
      <c r="M845" s="601"/>
      <c r="N845" s="668">
        <f t="shared" si="372"/>
        <v>180411</v>
      </c>
      <c r="O845" s="814" t="s">
        <v>113</v>
      </c>
      <c r="P845" s="133" t="str">
        <f t="shared" si="379"/>
        <v>스트리퍼(소)</v>
      </c>
      <c r="Q845" s="84">
        <f t="shared" si="376"/>
        <v>10</v>
      </c>
      <c r="R845" s="189">
        <f>Import!G86</f>
        <v>9300.5860700998619</v>
      </c>
      <c r="S845" s="189">
        <f t="shared" si="377"/>
        <v>102306.44677109849</v>
      </c>
      <c r="T845" s="189">
        <f t="shared" si="378"/>
        <v>93005.860700998615</v>
      </c>
      <c r="U845" s="84" t="str">
        <f t="shared" si="362"/>
        <v>O</v>
      </c>
      <c r="V845" s="84"/>
      <c r="W845" s="478">
        <f t="shared" si="371"/>
        <v>86994.139299001385</v>
      </c>
      <c r="X845" s="84"/>
      <c r="Y845" s="84"/>
    </row>
    <row r="846" spans="1:25" s="635" customFormat="1" ht="30" hidden="1" customHeight="1" x14ac:dyDescent="0.25">
      <c r="A846" s="159">
        <v>180412</v>
      </c>
      <c r="B846" s="676" t="s">
        <v>1082</v>
      </c>
      <c r="C846" s="157" t="s">
        <v>121</v>
      </c>
      <c r="D846" s="157">
        <v>10</v>
      </c>
      <c r="E846" s="526">
        <v>110000</v>
      </c>
      <c r="F846" s="526">
        <f t="shared" si="373"/>
        <v>1210000</v>
      </c>
      <c r="G846" s="526">
        <f t="shared" si="374"/>
        <v>1100000</v>
      </c>
      <c r="H846" s="790" t="s">
        <v>173</v>
      </c>
      <c r="I846" s="157" t="s">
        <v>142</v>
      </c>
      <c r="J846" s="503">
        <f>(G846-(VLOOKUP(C846,Price!B:D,3,FALSE)*D846))</f>
        <v>190000</v>
      </c>
      <c r="K846" s="65">
        <f t="shared" si="380"/>
        <v>0.17272727272727273</v>
      </c>
      <c r="L846" s="900">
        <v>18.399999999999999</v>
      </c>
      <c r="M846" s="634"/>
      <c r="N846" s="676">
        <f t="shared" si="372"/>
        <v>180412</v>
      </c>
      <c r="O846" s="157" t="s">
        <v>150</v>
      </c>
      <c r="P846" s="633" t="str">
        <f>C846</f>
        <v>윤전용 실리콘</v>
      </c>
      <c r="Q846" s="157">
        <f t="shared" si="376"/>
        <v>10</v>
      </c>
      <c r="R846" s="526">
        <v>91000</v>
      </c>
      <c r="S846" s="526">
        <f t="shared" si="377"/>
        <v>1001000.0000000001</v>
      </c>
      <c r="T846" s="526">
        <f t="shared" si="378"/>
        <v>910000</v>
      </c>
      <c r="U846" s="157" t="str">
        <f t="shared" si="362"/>
        <v>O</v>
      </c>
      <c r="V846" s="157"/>
      <c r="W846" s="946">
        <f t="shared" si="371"/>
        <v>190000</v>
      </c>
      <c r="X846" s="157"/>
      <c r="Y846" s="157"/>
    </row>
    <row r="847" spans="1:25" ht="30" hidden="1" customHeight="1" x14ac:dyDescent="0.25">
      <c r="A847" s="80">
        <v>180412</v>
      </c>
      <c r="B847" s="663" t="s">
        <v>763</v>
      </c>
      <c r="C847" s="73" t="s">
        <v>1149</v>
      </c>
      <c r="D847" s="73">
        <v>1</v>
      </c>
      <c r="E847" s="147">
        <v>270000</v>
      </c>
      <c r="F847" s="147">
        <f t="shared" si="373"/>
        <v>297000</v>
      </c>
      <c r="G847" s="147">
        <f t="shared" si="374"/>
        <v>270000</v>
      </c>
      <c r="H847" s="689" t="s">
        <v>173</v>
      </c>
      <c r="I847" s="73" t="s">
        <v>142</v>
      </c>
      <c r="J847" s="60">
        <f>G847-T847</f>
        <v>70000</v>
      </c>
      <c r="K847" s="427">
        <f t="shared" si="380"/>
        <v>0.25925925925925924</v>
      </c>
      <c r="L847" s="874">
        <v>18.399999999999999</v>
      </c>
      <c r="M847" s="584"/>
      <c r="N847" s="664">
        <f t="shared" si="372"/>
        <v>180412</v>
      </c>
      <c r="O847" s="73" t="s">
        <v>150</v>
      </c>
      <c r="P847" s="132" t="str">
        <f t="shared" si="379"/>
        <v>아스테이지(M600)</v>
      </c>
      <c r="Q847" s="73">
        <f t="shared" si="376"/>
        <v>1</v>
      </c>
      <c r="R847" s="147">
        <v>200000</v>
      </c>
      <c r="S847" s="147">
        <f t="shared" si="377"/>
        <v>220000.00000000003</v>
      </c>
      <c r="T847" s="147">
        <f t="shared" si="378"/>
        <v>200000</v>
      </c>
      <c r="U847" s="73" t="str">
        <f t="shared" si="362"/>
        <v>O</v>
      </c>
      <c r="V847" s="73" t="s">
        <v>1181</v>
      </c>
      <c r="W847" s="473">
        <f t="shared" si="371"/>
        <v>70000</v>
      </c>
      <c r="X847" s="73"/>
      <c r="Y847" s="73"/>
    </row>
    <row r="848" spans="1:25" s="602" customFormat="1" ht="30" hidden="1" customHeight="1" x14ac:dyDescent="0.25">
      <c r="A848" s="85">
        <v>180412</v>
      </c>
      <c r="B848" s="668" t="s">
        <v>763</v>
      </c>
      <c r="C848" s="84" t="s">
        <v>1150</v>
      </c>
      <c r="D848" s="84">
        <v>6</v>
      </c>
      <c r="E848" s="189">
        <v>55000</v>
      </c>
      <c r="F848" s="189">
        <f t="shared" si="373"/>
        <v>363000.00000000006</v>
      </c>
      <c r="G848" s="189">
        <f t="shared" si="374"/>
        <v>330000</v>
      </c>
      <c r="H848" s="781" t="s">
        <v>113</v>
      </c>
      <c r="I848" s="84"/>
      <c r="J848" s="61">
        <f>G848-T848</f>
        <v>145913.35162741336</v>
      </c>
      <c r="K848" s="62">
        <f t="shared" si="380"/>
        <v>0.44216167159822223</v>
      </c>
      <c r="L848" s="873">
        <v>18.399999999999999</v>
      </c>
      <c r="M848" s="601"/>
      <c r="N848" s="668">
        <f t="shared" si="372"/>
        <v>180412</v>
      </c>
      <c r="O848" s="814" t="s">
        <v>113</v>
      </c>
      <c r="P848" s="133" t="str">
        <f t="shared" si="379"/>
        <v>컷팅 러버</v>
      </c>
      <c r="Q848" s="84">
        <f t="shared" si="376"/>
        <v>6</v>
      </c>
      <c r="R848" s="189">
        <f>Import!G84</f>
        <v>30681.108062097774</v>
      </c>
      <c r="S848" s="189">
        <f t="shared" si="377"/>
        <v>202495.31320984534</v>
      </c>
      <c r="T848" s="189">
        <f t="shared" si="378"/>
        <v>184086.64837258664</v>
      </c>
      <c r="U848" s="84" t="str">
        <f t="shared" si="362"/>
        <v>X</v>
      </c>
      <c r="V848" s="84"/>
      <c r="W848" s="478"/>
      <c r="X848" s="84"/>
      <c r="Y848" s="84"/>
    </row>
    <row r="849" spans="1:25" s="610" customFormat="1" ht="30" hidden="1" customHeight="1" x14ac:dyDescent="0.25">
      <c r="A849" s="89">
        <v>180413</v>
      </c>
      <c r="B849" s="673" t="s">
        <v>631</v>
      </c>
      <c r="C849" s="88" t="s">
        <v>1151</v>
      </c>
      <c r="D849" s="88">
        <v>4</v>
      </c>
      <c r="E849" s="470">
        <v>83000</v>
      </c>
      <c r="F849" s="470">
        <f t="shared" si="373"/>
        <v>365200.00000000006</v>
      </c>
      <c r="G849" s="470">
        <f t="shared" si="374"/>
        <v>332000</v>
      </c>
      <c r="H849" s="695" t="s">
        <v>173</v>
      </c>
      <c r="I849" s="88" t="s">
        <v>109</v>
      </c>
      <c r="J849" s="107">
        <f>G849-T849</f>
        <v>98800</v>
      </c>
      <c r="K849" s="469">
        <f t="shared" si="380"/>
        <v>0.2975903614457831</v>
      </c>
      <c r="L849" s="875">
        <v>18.399999999999999</v>
      </c>
      <c r="M849" s="575"/>
      <c r="N849" s="673">
        <f t="shared" si="372"/>
        <v>180413</v>
      </c>
      <c r="O849" s="88" t="s">
        <v>150</v>
      </c>
      <c r="P849" s="134" t="str">
        <f t="shared" si="379"/>
        <v>하이델 코팅용 블랑켓</v>
      </c>
      <c r="Q849" s="88">
        <f t="shared" si="376"/>
        <v>4</v>
      </c>
      <c r="R849" s="470">
        <v>58300</v>
      </c>
      <c r="S849" s="470">
        <f t="shared" si="377"/>
        <v>256520.00000000003</v>
      </c>
      <c r="T849" s="470">
        <f t="shared" si="378"/>
        <v>233200</v>
      </c>
      <c r="U849" s="88" t="str">
        <f t="shared" si="362"/>
        <v>X</v>
      </c>
      <c r="V849" s="88" t="s">
        <v>1176</v>
      </c>
      <c r="W849" s="945"/>
      <c r="X849" s="88"/>
      <c r="Y849" s="88"/>
    </row>
    <row r="850" spans="1:25" ht="30" hidden="1" customHeight="1" x14ac:dyDescent="0.25">
      <c r="A850" s="80">
        <v>180416</v>
      </c>
      <c r="B850" s="663" t="s">
        <v>1051</v>
      </c>
      <c r="C850" s="79" t="s">
        <v>197</v>
      </c>
      <c r="D850" s="73">
        <v>15</v>
      </c>
      <c r="E850" s="147">
        <v>58000</v>
      </c>
      <c r="F850" s="147">
        <f t="shared" si="373"/>
        <v>957000.00000000012</v>
      </c>
      <c r="G850" s="147">
        <f t="shared" si="374"/>
        <v>870000</v>
      </c>
      <c r="H850" s="689" t="s">
        <v>142</v>
      </c>
      <c r="I850" s="73" t="s">
        <v>140</v>
      </c>
      <c r="J850" s="60">
        <f>(G850-(VLOOKUP(C850,Price!B:D,3,FALSE)*D850))</f>
        <v>345000</v>
      </c>
      <c r="K850" s="427">
        <f t="shared" si="380"/>
        <v>0.39655172413793099</v>
      </c>
      <c r="L850" s="874">
        <v>18.399999999999999</v>
      </c>
      <c r="M850" s="584"/>
      <c r="N850" s="663">
        <f t="shared" si="372"/>
        <v>180416</v>
      </c>
      <c r="O850" s="73" t="s">
        <v>145</v>
      </c>
      <c r="P850" s="132" t="str">
        <f t="shared" ref="P850:P865" si="381">C850</f>
        <v>THR200(20L)</v>
      </c>
      <c r="Q850" s="73">
        <f t="shared" si="376"/>
        <v>15</v>
      </c>
      <c r="R850" s="147">
        <v>35000</v>
      </c>
      <c r="S850" s="147">
        <f t="shared" si="377"/>
        <v>577500</v>
      </c>
      <c r="T850" s="147">
        <f t="shared" si="378"/>
        <v>525000</v>
      </c>
      <c r="U850" s="73" t="str">
        <f t="shared" si="362"/>
        <v>O</v>
      </c>
      <c r="V850" s="73"/>
      <c r="W850" s="473">
        <f>(G850-T850)</f>
        <v>345000</v>
      </c>
      <c r="X850" s="73"/>
      <c r="Y850" s="73"/>
    </row>
    <row r="851" spans="1:25" ht="30" hidden="1" customHeight="1" x14ac:dyDescent="0.25">
      <c r="A851" s="82">
        <v>180416</v>
      </c>
      <c r="B851" s="664" t="s">
        <v>1051</v>
      </c>
      <c r="C851" s="71" t="s">
        <v>524</v>
      </c>
      <c r="D851" s="71">
        <v>900</v>
      </c>
      <c r="E851" s="102">
        <v>3990</v>
      </c>
      <c r="F851" s="102">
        <f>(E851*D851)*1.1</f>
        <v>3950100.0000000005</v>
      </c>
      <c r="G851" s="102">
        <f>(E851*D851)</f>
        <v>3591000</v>
      </c>
      <c r="H851" s="690" t="s">
        <v>142</v>
      </c>
      <c r="I851" s="71" t="s">
        <v>140</v>
      </c>
      <c r="J851" s="53">
        <f>(G851-(VLOOKUP(C851,Price!B:D,3,FALSE)*D851))</f>
        <v>1125000</v>
      </c>
      <c r="K851" s="63">
        <f t="shared" si="380"/>
        <v>0.31328320802005011</v>
      </c>
      <c r="L851" s="871">
        <v>18.399999999999999</v>
      </c>
      <c r="M851" s="468"/>
      <c r="N851" s="664">
        <f t="shared" si="372"/>
        <v>180416</v>
      </c>
      <c r="O851" s="71" t="s">
        <v>145</v>
      </c>
      <c r="P851" s="103" t="str">
        <f t="shared" si="381"/>
        <v>ENGAGE 900X570 - 27RO</v>
      </c>
      <c r="Q851" s="71">
        <f>D851</f>
        <v>900</v>
      </c>
      <c r="R851" s="102">
        <v>2740</v>
      </c>
      <c r="S851" s="102">
        <f t="shared" si="377"/>
        <v>2712600</v>
      </c>
      <c r="T851" s="102">
        <f t="shared" si="378"/>
        <v>2466000</v>
      </c>
      <c r="U851" s="71" t="str">
        <f t="shared" si="362"/>
        <v>O</v>
      </c>
      <c r="V851" s="71"/>
      <c r="W851" s="474">
        <f>(G851-T851)</f>
        <v>1125000</v>
      </c>
      <c r="X851" s="71"/>
      <c r="Y851" s="71"/>
    </row>
    <row r="852" spans="1:25" ht="30" hidden="1" customHeight="1" x14ac:dyDescent="0.25">
      <c r="A852" s="82">
        <v>180416</v>
      </c>
      <c r="B852" s="664" t="s">
        <v>575</v>
      </c>
      <c r="C852" s="71" t="s">
        <v>1806</v>
      </c>
      <c r="D852" s="71">
        <v>1</v>
      </c>
      <c r="E852" s="102">
        <v>1250000</v>
      </c>
      <c r="F852" s="102">
        <f>(E852*D852)*1.1</f>
        <v>1375000</v>
      </c>
      <c r="G852" s="102">
        <f>(E852*D852)</f>
        <v>1250000</v>
      </c>
      <c r="H852" s="690" t="s">
        <v>985</v>
      </c>
      <c r="I852" s="71"/>
      <c r="J852" s="53"/>
      <c r="K852" s="63"/>
      <c r="L852" s="871">
        <v>18.399999999999999</v>
      </c>
      <c r="M852" s="468"/>
      <c r="N852" s="664">
        <f t="shared" si="372"/>
        <v>180416</v>
      </c>
      <c r="O852" s="71"/>
      <c r="P852" s="103" t="str">
        <f t="shared" si="381"/>
        <v>M600 서비스 계약(1회차)</v>
      </c>
      <c r="Q852" s="71">
        <f>D852</f>
        <v>1</v>
      </c>
      <c r="R852" s="102"/>
      <c r="S852" s="102"/>
      <c r="T852" s="102"/>
      <c r="U852" s="71"/>
      <c r="V852" s="71"/>
      <c r="W852" s="474"/>
      <c r="X852" s="71"/>
      <c r="Y852" s="71"/>
    </row>
    <row r="853" spans="1:25" ht="30" customHeight="1" x14ac:dyDescent="0.25">
      <c r="A853" s="82">
        <v>180416</v>
      </c>
      <c r="B853" s="664" t="s">
        <v>422</v>
      </c>
      <c r="C853" s="760" t="s">
        <v>218</v>
      </c>
      <c r="D853" s="71">
        <v>5</v>
      </c>
      <c r="E853" s="102">
        <v>235000</v>
      </c>
      <c r="F853" s="102">
        <f>(E853*D853)*1.1</f>
        <v>1292500</v>
      </c>
      <c r="G853" s="102">
        <f>(E853*D853)</f>
        <v>1175000</v>
      </c>
      <c r="H853" s="690" t="s">
        <v>173</v>
      </c>
      <c r="I853" s="71" t="s">
        <v>120</v>
      </c>
      <c r="J853" s="53">
        <f>(G853-(VLOOKUP(C853,Price!B:D,3,FALSE)*D853))</f>
        <v>612500</v>
      </c>
      <c r="K853" s="63">
        <f>(J853/(F853/11*10))</f>
        <v>0.52127659574468088</v>
      </c>
      <c r="L853" s="82">
        <v>18.399999999999999</v>
      </c>
      <c r="M853" s="468"/>
      <c r="N853" s="664">
        <f t="shared" si="372"/>
        <v>180416</v>
      </c>
      <c r="O853" s="71" t="s">
        <v>150</v>
      </c>
      <c r="P853" s="103" t="str">
        <f t="shared" si="381"/>
        <v>Fount Web 551AF</v>
      </c>
      <c r="Q853" s="71">
        <f>D853</f>
        <v>5</v>
      </c>
      <c r="R853" s="102">
        <v>112500</v>
      </c>
      <c r="S853" s="102">
        <f t="shared" ref="S853:S873" si="382">R853*Q853*1.1</f>
        <v>618750</v>
      </c>
      <c r="T853" s="102">
        <f t="shared" ref="T853:T873" si="383">R853*Q853</f>
        <v>562500</v>
      </c>
      <c r="U853" s="71" t="str">
        <f t="shared" ref="U853:U883" si="384">IF(J853=W853,"O", "X")</f>
        <v>O</v>
      </c>
      <c r="V853" s="71"/>
      <c r="W853" s="474">
        <f t="shared" ref="W853:W870" si="385">(G853-T853)</f>
        <v>612500</v>
      </c>
      <c r="X853" s="71"/>
      <c r="Y853" s="71"/>
    </row>
    <row r="854" spans="1:25" ht="30" hidden="1" customHeight="1" x14ac:dyDescent="0.25">
      <c r="A854" s="82">
        <v>180416</v>
      </c>
      <c r="B854" s="664" t="s">
        <v>1052</v>
      </c>
      <c r="C854" s="71" t="s">
        <v>1152</v>
      </c>
      <c r="D854" s="71">
        <v>100</v>
      </c>
      <c r="E854" s="102">
        <v>8470</v>
      </c>
      <c r="F854" s="102">
        <f>(E854*D854)*1.1</f>
        <v>931700.00000000012</v>
      </c>
      <c r="G854" s="102">
        <f>(E854*D854)</f>
        <v>847000</v>
      </c>
      <c r="H854" s="690" t="s">
        <v>142</v>
      </c>
      <c r="I854" s="71" t="s">
        <v>144</v>
      </c>
      <c r="J854" s="53">
        <f>G854-T854</f>
        <v>77000</v>
      </c>
      <c r="K854" s="63">
        <f>(J854/(F854/11*10))</f>
        <v>9.0909090909090898E-2</v>
      </c>
      <c r="L854" s="871">
        <v>18.399999999999999</v>
      </c>
      <c r="M854" s="468"/>
      <c r="N854" s="664">
        <f t="shared" si="372"/>
        <v>180416</v>
      </c>
      <c r="O854" s="71" t="s">
        <v>147</v>
      </c>
      <c r="P854" s="103" t="str">
        <f t="shared" si="381"/>
        <v>무광 코팅 잉크</v>
      </c>
      <c r="Q854" s="71">
        <f>D854</f>
        <v>100</v>
      </c>
      <c r="R854" s="102">
        <v>7700</v>
      </c>
      <c r="S854" s="102">
        <f t="shared" si="382"/>
        <v>847000.00000000012</v>
      </c>
      <c r="T854" s="102">
        <f t="shared" si="383"/>
        <v>770000</v>
      </c>
      <c r="U854" s="71" t="str">
        <f t="shared" si="384"/>
        <v>O</v>
      </c>
      <c r="V854" s="71"/>
      <c r="W854" s="474">
        <f t="shared" si="385"/>
        <v>77000</v>
      </c>
      <c r="X854" s="71"/>
      <c r="Y854" s="71"/>
    </row>
    <row r="855" spans="1:25" s="602" customFormat="1" ht="30" hidden="1" customHeight="1" x14ac:dyDescent="0.25">
      <c r="A855" s="85">
        <v>180416</v>
      </c>
      <c r="B855" s="668" t="s">
        <v>1061</v>
      </c>
      <c r="C855" s="84" t="s">
        <v>616</v>
      </c>
      <c r="D855" s="84">
        <v>200</v>
      </c>
      <c r="E855" s="189">
        <v>6600</v>
      </c>
      <c r="F855" s="189">
        <f t="shared" ref="F855:F861" si="386">(E855*D855)*1.1</f>
        <v>1452000.0000000002</v>
      </c>
      <c r="G855" s="189">
        <f t="shared" ref="G855:G861" si="387">(E855*D855)</f>
        <v>1320000</v>
      </c>
      <c r="H855" s="691" t="s">
        <v>142</v>
      </c>
      <c r="I855" s="84" t="s">
        <v>144</v>
      </c>
      <c r="J855" s="61">
        <f>(G855-(VLOOKUP(C855,Price!B:D,3,FALSE)*D855))</f>
        <v>140000</v>
      </c>
      <c r="K855" s="62">
        <f t="shared" ref="K855:K861" si="388">(J855/(F855/11*10))</f>
        <v>0.10606060606060604</v>
      </c>
      <c r="L855" s="873">
        <v>18.399999999999999</v>
      </c>
      <c r="M855" s="601"/>
      <c r="N855" s="668">
        <f t="shared" ref="N855:N876" si="389">A855</f>
        <v>180416</v>
      </c>
      <c r="O855" s="84" t="s">
        <v>147</v>
      </c>
      <c r="P855" s="133" t="str">
        <f t="shared" si="381"/>
        <v>프리미어(먹)</v>
      </c>
      <c r="Q855" s="84">
        <f t="shared" ref="Q855:Q875" si="390">D855</f>
        <v>200</v>
      </c>
      <c r="R855" s="189">
        <v>5900</v>
      </c>
      <c r="S855" s="189">
        <f t="shared" si="382"/>
        <v>1298000</v>
      </c>
      <c r="T855" s="189">
        <f t="shared" si="383"/>
        <v>1180000</v>
      </c>
      <c r="U855" s="84" t="str">
        <f t="shared" si="384"/>
        <v>O</v>
      </c>
      <c r="V855" s="84"/>
      <c r="W855" s="478">
        <f t="shared" si="385"/>
        <v>140000</v>
      </c>
      <c r="X855" s="84"/>
      <c r="Y855" s="84"/>
    </row>
    <row r="856" spans="1:25" ht="30" hidden="1" customHeight="1" x14ac:dyDescent="0.25">
      <c r="A856" s="80">
        <v>180417</v>
      </c>
      <c r="B856" s="663" t="s">
        <v>1052</v>
      </c>
      <c r="C856" s="73" t="s">
        <v>1115</v>
      </c>
      <c r="D856" s="73">
        <v>30</v>
      </c>
      <c r="E856" s="147">
        <v>6200</v>
      </c>
      <c r="F856" s="147">
        <f t="shared" si="386"/>
        <v>204600.00000000003</v>
      </c>
      <c r="G856" s="147">
        <f t="shared" si="387"/>
        <v>186000</v>
      </c>
      <c r="H856" s="689" t="s">
        <v>142</v>
      </c>
      <c r="I856" s="73" t="s">
        <v>144</v>
      </c>
      <c r="J856" s="60">
        <f t="shared" ref="J856:J861" si="391">G856-T856</f>
        <v>3000</v>
      </c>
      <c r="K856" s="427">
        <f t="shared" si="388"/>
        <v>1.6129032258064512E-2</v>
      </c>
      <c r="L856" s="874">
        <v>18.399999999999999</v>
      </c>
      <c r="M856" s="584"/>
      <c r="N856" s="663">
        <f t="shared" si="389"/>
        <v>180417</v>
      </c>
      <c r="O856" s="73" t="s">
        <v>147</v>
      </c>
      <c r="P856" s="132" t="str">
        <f t="shared" si="381"/>
        <v>한특 잉크(적)</v>
      </c>
      <c r="Q856" s="73">
        <f t="shared" si="390"/>
        <v>30</v>
      </c>
      <c r="R856" s="147">
        <v>6100</v>
      </c>
      <c r="S856" s="147">
        <f t="shared" si="382"/>
        <v>201300.00000000003</v>
      </c>
      <c r="T856" s="147">
        <f t="shared" si="383"/>
        <v>183000</v>
      </c>
      <c r="U856" s="73" t="str">
        <f t="shared" si="384"/>
        <v>O</v>
      </c>
      <c r="V856" s="73"/>
      <c r="W856" s="473">
        <f t="shared" si="385"/>
        <v>3000</v>
      </c>
      <c r="X856" s="73"/>
      <c r="Y856" s="73"/>
    </row>
    <row r="857" spans="1:25" ht="30" hidden="1" customHeight="1" x14ac:dyDescent="0.25">
      <c r="A857" s="82">
        <v>180417</v>
      </c>
      <c r="B857" s="664" t="s">
        <v>1052</v>
      </c>
      <c r="C857" s="71" t="s">
        <v>1116</v>
      </c>
      <c r="D857" s="71">
        <v>30</v>
      </c>
      <c r="E857" s="102">
        <v>6000</v>
      </c>
      <c r="F857" s="102">
        <f t="shared" si="386"/>
        <v>198000.00000000003</v>
      </c>
      <c r="G857" s="102">
        <f t="shared" si="387"/>
        <v>180000</v>
      </c>
      <c r="H857" s="690" t="s">
        <v>142</v>
      </c>
      <c r="I857" s="71" t="s">
        <v>144</v>
      </c>
      <c r="J857" s="53">
        <f t="shared" si="391"/>
        <v>3000</v>
      </c>
      <c r="K857" s="63">
        <f t="shared" si="388"/>
        <v>1.6666666666666663E-2</v>
      </c>
      <c r="L857" s="871">
        <v>18.399999999999999</v>
      </c>
      <c r="M857" s="468"/>
      <c r="N857" s="664">
        <f t="shared" si="389"/>
        <v>180417</v>
      </c>
      <c r="O857" s="71" t="s">
        <v>147</v>
      </c>
      <c r="P857" s="103" t="str">
        <f t="shared" si="381"/>
        <v>한특 잉크(황)</v>
      </c>
      <c r="Q857" s="71">
        <f t="shared" si="390"/>
        <v>30</v>
      </c>
      <c r="R857" s="102">
        <v>5900</v>
      </c>
      <c r="S857" s="102">
        <f t="shared" si="382"/>
        <v>194700.00000000003</v>
      </c>
      <c r="T857" s="102">
        <f t="shared" si="383"/>
        <v>177000</v>
      </c>
      <c r="U857" s="71" t="str">
        <f t="shared" si="384"/>
        <v>O</v>
      </c>
      <c r="V857" s="71"/>
      <c r="W857" s="474">
        <f t="shared" si="385"/>
        <v>3000</v>
      </c>
      <c r="X857" s="71"/>
      <c r="Y857" s="71"/>
    </row>
    <row r="858" spans="1:25" ht="30" hidden="1" customHeight="1" x14ac:dyDescent="0.25">
      <c r="A858" s="82">
        <v>180417</v>
      </c>
      <c r="B858" s="664" t="s">
        <v>1052</v>
      </c>
      <c r="C858" s="71" t="s">
        <v>1117</v>
      </c>
      <c r="D858" s="71">
        <v>30</v>
      </c>
      <c r="E858" s="102">
        <v>6500</v>
      </c>
      <c r="F858" s="102">
        <f t="shared" si="386"/>
        <v>214500.00000000003</v>
      </c>
      <c r="G858" s="102">
        <f t="shared" si="387"/>
        <v>195000</v>
      </c>
      <c r="H858" s="690" t="s">
        <v>142</v>
      </c>
      <c r="I858" s="71" t="s">
        <v>144</v>
      </c>
      <c r="J858" s="53">
        <f t="shared" si="391"/>
        <v>3000</v>
      </c>
      <c r="K858" s="63">
        <f t="shared" si="388"/>
        <v>1.5384615384615382E-2</v>
      </c>
      <c r="L858" s="871">
        <v>18.399999999999999</v>
      </c>
      <c r="M858" s="468"/>
      <c r="N858" s="664">
        <f t="shared" si="389"/>
        <v>180417</v>
      </c>
      <c r="O858" s="71" t="s">
        <v>147</v>
      </c>
      <c r="P858" s="103" t="str">
        <f t="shared" si="381"/>
        <v>한특 잉크(청)</v>
      </c>
      <c r="Q858" s="71">
        <f t="shared" si="390"/>
        <v>30</v>
      </c>
      <c r="R858" s="102">
        <v>6400</v>
      </c>
      <c r="S858" s="102">
        <f t="shared" si="382"/>
        <v>211200.00000000003</v>
      </c>
      <c r="T858" s="102">
        <f t="shared" si="383"/>
        <v>192000</v>
      </c>
      <c r="U858" s="71" t="str">
        <f t="shared" si="384"/>
        <v>O</v>
      </c>
      <c r="V858" s="71"/>
      <c r="W858" s="474">
        <f t="shared" si="385"/>
        <v>3000</v>
      </c>
      <c r="X858" s="71"/>
      <c r="Y858" s="71"/>
    </row>
    <row r="859" spans="1:25" ht="30" hidden="1" customHeight="1" x14ac:dyDescent="0.25">
      <c r="A859" s="82">
        <v>180417</v>
      </c>
      <c r="B859" s="664" t="s">
        <v>1052</v>
      </c>
      <c r="C859" s="71" t="s">
        <v>1118</v>
      </c>
      <c r="D859" s="71">
        <v>50</v>
      </c>
      <c r="E859" s="102">
        <v>5600</v>
      </c>
      <c r="F859" s="102">
        <f t="shared" si="386"/>
        <v>308000</v>
      </c>
      <c r="G859" s="102">
        <f t="shared" si="387"/>
        <v>280000</v>
      </c>
      <c r="H859" s="690" t="s">
        <v>142</v>
      </c>
      <c r="I859" s="71" t="s">
        <v>144</v>
      </c>
      <c r="J859" s="53">
        <f t="shared" si="391"/>
        <v>5000</v>
      </c>
      <c r="K859" s="63">
        <f t="shared" si="388"/>
        <v>1.7857142857142856E-2</v>
      </c>
      <c r="L859" s="871">
        <v>18.399999999999999</v>
      </c>
      <c r="M859" s="468"/>
      <c r="N859" s="664">
        <f t="shared" si="389"/>
        <v>180417</v>
      </c>
      <c r="O859" s="71" t="s">
        <v>147</v>
      </c>
      <c r="P859" s="103" t="str">
        <f t="shared" si="381"/>
        <v>한특 잉크(먹)</v>
      </c>
      <c r="Q859" s="71">
        <f t="shared" si="390"/>
        <v>50</v>
      </c>
      <c r="R859" s="102">
        <v>5500</v>
      </c>
      <c r="S859" s="102">
        <f t="shared" si="382"/>
        <v>302500</v>
      </c>
      <c r="T859" s="102">
        <f t="shared" si="383"/>
        <v>275000</v>
      </c>
      <c r="U859" s="71" t="str">
        <f t="shared" si="384"/>
        <v>O</v>
      </c>
      <c r="V859" s="71"/>
      <c r="W859" s="474">
        <f t="shared" si="385"/>
        <v>5000</v>
      </c>
      <c r="X859" s="71"/>
      <c r="Y859" s="71"/>
    </row>
    <row r="860" spans="1:25" ht="30" hidden="1" customHeight="1" x14ac:dyDescent="0.25">
      <c r="A860" s="82">
        <v>180417</v>
      </c>
      <c r="B860" s="664" t="s">
        <v>983</v>
      </c>
      <c r="C860" s="71" t="s">
        <v>1009</v>
      </c>
      <c r="D860" s="71">
        <v>520</v>
      </c>
      <c r="E860" s="102">
        <v>3900</v>
      </c>
      <c r="F860" s="102">
        <f t="shared" si="386"/>
        <v>2230800</v>
      </c>
      <c r="G860" s="102">
        <f t="shared" si="387"/>
        <v>2028000</v>
      </c>
      <c r="H860" s="690" t="s">
        <v>173</v>
      </c>
      <c r="I860" s="71" t="s">
        <v>140</v>
      </c>
      <c r="J860" s="53">
        <f t="shared" si="391"/>
        <v>312000</v>
      </c>
      <c r="K860" s="63">
        <f t="shared" si="388"/>
        <v>0.15384615384615385</v>
      </c>
      <c r="L860" s="871">
        <v>18.399999999999999</v>
      </c>
      <c r="M860" s="468"/>
      <c r="N860" s="664">
        <f t="shared" si="389"/>
        <v>180417</v>
      </c>
      <c r="O860" s="71" t="s">
        <v>147</v>
      </c>
      <c r="P860" s="103" t="str">
        <f t="shared" si="381"/>
        <v>CTP판(1030*790mm)</v>
      </c>
      <c r="Q860" s="71">
        <f t="shared" si="390"/>
        <v>520</v>
      </c>
      <c r="R860" s="102">
        <v>3300</v>
      </c>
      <c r="S860" s="102">
        <f t="shared" si="382"/>
        <v>1887600.0000000002</v>
      </c>
      <c r="T860" s="102">
        <f t="shared" si="383"/>
        <v>1716000</v>
      </c>
      <c r="U860" s="71" t="str">
        <f t="shared" si="384"/>
        <v>O</v>
      </c>
      <c r="V860" s="71"/>
      <c r="W860" s="474">
        <f t="shared" si="385"/>
        <v>312000</v>
      </c>
      <c r="X860" s="71"/>
      <c r="Y860" s="71"/>
    </row>
    <row r="861" spans="1:25" ht="30" hidden="1" customHeight="1" x14ac:dyDescent="0.25">
      <c r="A861" s="82">
        <v>180417</v>
      </c>
      <c r="B861" s="664" t="s">
        <v>983</v>
      </c>
      <c r="C861" s="71" t="s">
        <v>984</v>
      </c>
      <c r="D861" s="71">
        <v>7</v>
      </c>
      <c r="E861" s="102">
        <v>45000</v>
      </c>
      <c r="F861" s="102">
        <f t="shared" si="386"/>
        <v>346500</v>
      </c>
      <c r="G861" s="102">
        <f t="shared" si="387"/>
        <v>315000</v>
      </c>
      <c r="H861" s="690" t="s">
        <v>173</v>
      </c>
      <c r="I861" s="71" t="s">
        <v>140</v>
      </c>
      <c r="J861" s="53">
        <f t="shared" si="391"/>
        <v>70000</v>
      </c>
      <c r="K861" s="63">
        <f t="shared" si="388"/>
        <v>0.22222222222222221</v>
      </c>
      <c r="L861" s="871">
        <v>18.399999999999999</v>
      </c>
      <c r="M861" s="468"/>
      <c r="N861" s="664">
        <f t="shared" si="389"/>
        <v>180417</v>
      </c>
      <c r="O861" s="71" t="s">
        <v>147</v>
      </c>
      <c r="P861" s="103" t="str">
        <f t="shared" si="381"/>
        <v>CTP 현상액</v>
      </c>
      <c r="Q861" s="71">
        <f t="shared" si="390"/>
        <v>7</v>
      </c>
      <c r="R861" s="102">
        <v>35000</v>
      </c>
      <c r="S861" s="102">
        <f t="shared" si="382"/>
        <v>269500</v>
      </c>
      <c r="T861" s="102">
        <f t="shared" si="383"/>
        <v>245000</v>
      </c>
      <c r="U861" s="71" t="str">
        <f t="shared" si="384"/>
        <v>O</v>
      </c>
      <c r="V861" s="71"/>
      <c r="W861" s="474">
        <f t="shared" si="385"/>
        <v>70000</v>
      </c>
      <c r="X861" s="71"/>
      <c r="Y861" s="71"/>
    </row>
    <row r="862" spans="1:25" s="209" customFormat="1" ht="30" hidden="1" customHeight="1" x14ac:dyDescent="0.25">
      <c r="A862" s="82">
        <v>180417</v>
      </c>
      <c r="B862" s="664" t="s">
        <v>764</v>
      </c>
      <c r="C862" s="71" t="s">
        <v>236</v>
      </c>
      <c r="D862" s="71">
        <v>5</v>
      </c>
      <c r="E862" s="102">
        <v>100000</v>
      </c>
      <c r="F862" s="102">
        <f>(E862*D862)*1.1</f>
        <v>550000</v>
      </c>
      <c r="G862" s="102">
        <f>(E862*D862)</f>
        <v>500000</v>
      </c>
      <c r="H862" s="690" t="s">
        <v>173</v>
      </c>
      <c r="I862" s="71" t="s">
        <v>142</v>
      </c>
      <c r="J862" s="53">
        <f>(G862-(VLOOKUP(C862,Price!B:D,3,FALSE)*D862))</f>
        <v>250000</v>
      </c>
      <c r="K862" s="63">
        <f t="shared" ref="K862:K870" si="392">(J862/(F862/11*10))</f>
        <v>0.5</v>
      </c>
      <c r="L862" s="871">
        <v>18.399999999999999</v>
      </c>
      <c r="M862" s="468"/>
      <c r="N862" s="664">
        <f t="shared" si="389"/>
        <v>180417</v>
      </c>
      <c r="O862" s="71" t="s">
        <v>153</v>
      </c>
      <c r="P862" s="103" t="str">
        <f t="shared" si="381"/>
        <v>아스테이지(국전)</v>
      </c>
      <c r="Q862" s="71">
        <f t="shared" si="390"/>
        <v>5</v>
      </c>
      <c r="R862" s="102">
        <f>VLOOKUP(P862,Price!B:D,3,FALSE)</f>
        <v>50000</v>
      </c>
      <c r="S862" s="102">
        <f t="shared" si="382"/>
        <v>275000</v>
      </c>
      <c r="T862" s="102">
        <f t="shared" si="383"/>
        <v>250000</v>
      </c>
      <c r="U862" s="71" t="str">
        <f t="shared" si="384"/>
        <v>O</v>
      </c>
      <c r="V862" s="71"/>
      <c r="W862" s="474">
        <f t="shared" si="385"/>
        <v>250000</v>
      </c>
      <c r="X862" s="71"/>
      <c r="Y862" s="71"/>
    </row>
    <row r="863" spans="1:25" s="602" customFormat="1" ht="30" hidden="1" customHeight="1" x14ac:dyDescent="0.25">
      <c r="A863" s="85">
        <v>180417</v>
      </c>
      <c r="B863" s="668" t="s">
        <v>620</v>
      </c>
      <c r="C863" s="84" t="s">
        <v>1154</v>
      </c>
      <c r="D863" s="84">
        <v>2</v>
      </c>
      <c r="E863" s="189">
        <v>65000</v>
      </c>
      <c r="F863" s="189">
        <f>(E863*D863)*1.1</f>
        <v>143000</v>
      </c>
      <c r="G863" s="189">
        <f>(E863*D863)</f>
        <v>130000</v>
      </c>
      <c r="H863" s="691" t="s">
        <v>173</v>
      </c>
      <c r="I863" s="84" t="s">
        <v>142</v>
      </c>
      <c r="J863" s="61">
        <f>G863-T863</f>
        <v>46800</v>
      </c>
      <c r="K863" s="62">
        <f t="shared" si="392"/>
        <v>0.36</v>
      </c>
      <c r="L863" s="873">
        <v>18.399999999999999</v>
      </c>
      <c r="M863" s="601"/>
      <c r="N863" s="668">
        <f t="shared" si="389"/>
        <v>180417</v>
      </c>
      <c r="O863" s="84" t="s">
        <v>150</v>
      </c>
      <c r="P863" s="133" t="str">
        <f t="shared" si="381"/>
        <v>플러스휘더 낚시줄</v>
      </c>
      <c r="Q863" s="84">
        <f t="shared" si="390"/>
        <v>2</v>
      </c>
      <c r="R863" s="189">
        <v>41600</v>
      </c>
      <c r="S863" s="189">
        <f t="shared" si="382"/>
        <v>91520.000000000015</v>
      </c>
      <c r="T863" s="189">
        <f t="shared" si="383"/>
        <v>83200</v>
      </c>
      <c r="U863" s="84" t="str">
        <f t="shared" si="384"/>
        <v>O</v>
      </c>
      <c r="V863" s="84"/>
      <c r="W863" s="478">
        <f t="shared" si="385"/>
        <v>46800</v>
      </c>
      <c r="X863" s="84"/>
      <c r="Y863" s="84"/>
    </row>
    <row r="864" spans="1:25" ht="30" hidden="1" customHeight="1" x14ac:dyDescent="0.25">
      <c r="A864" s="80">
        <v>180418</v>
      </c>
      <c r="B864" s="663" t="s">
        <v>1155</v>
      </c>
      <c r="C864" s="73" t="s">
        <v>881</v>
      </c>
      <c r="D864" s="73">
        <v>70</v>
      </c>
      <c r="E864" s="147">
        <v>18000</v>
      </c>
      <c r="F864" s="147">
        <f>(E864*D864)*1.1</f>
        <v>1386000</v>
      </c>
      <c r="G864" s="147">
        <f>(E864*D864)</f>
        <v>1260000</v>
      </c>
      <c r="H864" s="786" t="s">
        <v>113</v>
      </c>
      <c r="I864" s="73"/>
      <c r="J864" s="53">
        <f>G864-T864</f>
        <v>630000</v>
      </c>
      <c r="K864" s="63">
        <f t="shared" si="392"/>
        <v>0.5</v>
      </c>
      <c r="L864" s="874">
        <v>18.399999999999999</v>
      </c>
      <c r="M864" s="584"/>
      <c r="N864" s="663">
        <f t="shared" si="389"/>
        <v>180418</v>
      </c>
      <c r="O864" s="807" t="s">
        <v>113</v>
      </c>
      <c r="P864" s="132" t="str">
        <f t="shared" si="381"/>
        <v>스트리퍼(대)</v>
      </c>
      <c r="Q864" s="73">
        <f t="shared" si="390"/>
        <v>70</v>
      </c>
      <c r="R864" s="147">
        <f>Price!D72</f>
        <v>9000</v>
      </c>
      <c r="S864" s="147">
        <f t="shared" si="382"/>
        <v>693000</v>
      </c>
      <c r="T864" s="147">
        <f t="shared" si="383"/>
        <v>630000</v>
      </c>
      <c r="U864" s="73" t="str">
        <f t="shared" si="384"/>
        <v>O</v>
      </c>
      <c r="V864" s="73"/>
      <c r="W864" s="473">
        <f t="shared" si="385"/>
        <v>630000</v>
      </c>
      <c r="X864" s="73"/>
      <c r="Y864" s="73"/>
    </row>
    <row r="865" spans="1:25" s="602" customFormat="1" ht="30" hidden="1" customHeight="1" x14ac:dyDescent="0.25">
      <c r="A865" s="85">
        <v>180418</v>
      </c>
      <c r="B865" s="668" t="s">
        <v>1155</v>
      </c>
      <c r="C865" s="84" t="s">
        <v>882</v>
      </c>
      <c r="D865" s="84">
        <v>20</v>
      </c>
      <c r="E865" s="189">
        <v>18000</v>
      </c>
      <c r="F865" s="189">
        <f>(E865*D865)*1.1</f>
        <v>396000.00000000006</v>
      </c>
      <c r="G865" s="189">
        <f>(E865*D865)</f>
        <v>360000</v>
      </c>
      <c r="H865" s="781" t="s">
        <v>113</v>
      </c>
      <c r="I865" s="84"/>
      <c r="J865" s="61">
        <f>(G865-(VLOOKUP(C865,Price!B:D,3,FALSE)*D865))</f>
        <v>180000</v>
      </c>
      <c r="K865" s="62">
        <f t="shared" si="392"/>
        <v>0.49999999999999994</v>
      </c>
      <c r="L865" s="873">
        <v>18.399999999999999</v>
      </c>
      <c r="M865" s="601"/>
      <c r="N865" s="668">
        <f t="shared" si="389"/>
        <v>180418</v>
      </c>
      <c r="O865" s="814" t="s">
        <v>113</v>
      </c>
      <c r="P865" s="133" t="str">
        <f t="shared" si="381"/>
        <v>스트리퍼(소)</v>
      </c>
      <c r="Q865" s="84">
        <f t="shared" si="390"/>
        <v>20</v>
      </c>
      <c r="R865" s="189">
        <v>9000</v>
      </c>
      <c r="S865" s="189">
        <f t="shared" si="382"/>
        <v>198000.00000000003</v>
      </c>
      <c r="T865" s="189">
        <f t="shared" si="383"/>
        <v>180000</v>
      </c>
      <c r="U865" s="84" t="str">
        <f t="shared" si="384"/>
        <v>O</v>
      </c>
      <c r="V865" s="84"/>
      <c r="W865" s="478">
        <f t="shared" si="385"/>
        <v>180000</v>
      </c>
      <c r="X865" s="84"/>
      <c r="Y865" s="84"/>
    </row>
    <row r="866" spans="1:25" s="610" customFormat="1" ht="30" hidden="1" customHeight="1" x14ac:dyDescent="0.25">
      <c r="A866" s="89">
        <v>180419</v>
      </c>
      <c r="B866" s="673" t="s">
        <v>546</v>
      </c>
      <c r="C866" s="88" t="s">
        <v>121</v>
      </c>
      <c r="D866" s="88">
        <v>8</v>
      </c>
      <c r="E866" s="470">
        <v>110000</v>
      </c>
      <c r="F866" s="470">
        <f>(E866*D866)*1.1</f>
        <v>968000.00000000012</v>
      </c>
      <c r="G866" s="470">
        <f>(E866*D866)</f>
        <v>880000</v>
      </c>
      <c r="H866" s="695" t="s">
        <v>173</v>
      </c>
      <c r="I866" s="88" t="s">
        <v>142</v>
      </c>
      <c r="J866" s="107">
        <f>(G866-(VLOOKUP(C866,Price!B:D,3,FALSE)*D866))</f>
        <v>152000</v>
      </c>
      <c r="K866" s="469">
        <f t="shared" si="392"/>
        <v>0.1727272727272727</v>
      </c>
      <c r="L866" s="875">
        <v>18.399999999999999</v>
      </c>
      <c r="M866" s="575"/>
      <c r="N866" s="673">
        <f t="shared" si="389"/>
        <v>180419</v>
      </c>
      <c r="O866" s="88" t="s">
        <v>150</v>
      </c>
      <c r="P866" s="134" t="str">
        <f>C866</f>
        <v>윤전용 실리콘</v>
      </c>
      <c r="Q866" s="88">
        <f t="shared" si="390"/>
        <v>8</v>
      </c>
      <c r="R866" s="470">
        <v>91000</v>
      </c>
      <c r="S866" s="470">
        <f t="shared" si="382"/>
        <v>800800.00000000012</v>
      </c>
      <c r="T866" s="470">
        <f t="shared" si="383"/>
        <v>728000</v>
      </c>
      <c r="U866" s="88" t="str">
        <f t="shared" si="384"/>
        <v>O</v>
      </c>
      <c r="V866" s="88"/>
      <c r="W866" s="945">
        <f t="shared" si="385"/>
        <v>152000</v>
      </c>
      <c r="X866" s="88"/>
      <c r="Y866" s="88"/>
    </row>
    <row r="867" spans="1:25" ht="30" hidden="1" customHeight="1" x14ac:dyDescent="0.25">
      <c r="A867" s="80">
        <v>180420</v>
      </c>
      <c r="B867" s="663" t="s">
        <v>442</v>
      </c>
      <c r="C867" s="73" t="s">
        <v>133</v>
      </c>
      <c r="D867" s="73">
        <v>2</v>
      </c>
      <c r="E867" s="147">
        <v>327000</v>
      </c>
      <c r="F867" s="147">
        <f t="shared" ref="F867:F876" si="393">(E867*D867)*1.1</f>
        <v>719400</v>
      </c>
      <c r="G867" s="147">
        <f t="shared" ref="G867:G876" si="394">(E867*D867)</f>
        <v>654000</v>
      </c>
      <c r="H867" s="689" t="s">
        <v>173</v>
      </c>
      <c r="I867" s="73" t="s">
        <v>141</v>
      </c>
      <c r="J867" s="60">
        <f>(G867-(VLOOKUP(C867,Price!B:D,3,FALSE)*D867))</f>
        <v>115800</v>
      </c>
      <c r="K867" s="427">
        <f t="shared" si="392"/>
        <v>0.17706422018348625</v>
      </c>
      <c r="L867" s="874">
        <v>18.399999999999999</v>
      </c>
      <c r="M867" s="584"/>
      <c r="N867" s="663">
        <f t="shared" si="389"/>
        <v>180420</v>
      </c>
      <c r="O867" s="73" t="s">
        <v>145</v>
      </c>
      <c r="P867" s="132" t="str">
        <f t="shared" ref="P867:P872" si="395">C867</f>
        <v>Agfa Film(24inch)</v>
      </c>
      <c r="Q867" s="73">
        <f t="shared" si="390"/>
        <v>2</v>
      </c>
      <c r="R867" s="147">
        <f>VLOOKUP(P867,Price!B:D,3,FALSE)</f>
        <v>269100</v>
      </c>
      <c r="S867" s="147">
        <f t="shared" si="382"/>
        <v>592020</v>
      </c>
      <c r="T867" s="147">
        <f t="shared" si="383"/>
        <v>538200</v>
      </c>
      <c r="U867" s="73" t="str">
        <f t="shared" si="384"/>
        <v>O</v>
      </c>
      <c r="V867" s="73"/>
      <c r="W867" s="473">
        <f t="shared" si="385"/>
        <v>115800</v>
      </c>
      <c r="X867" s="73"/>
      <c r="Y867" s="73"/>
    </row>
    <row r="868" spans="1:25" ht="30" hidden="1" customHeight="1" x14ac:dyDescent="0.25">
      <c r="A868" s="82">
        <v>180420</v>
      </c>
      <c r="B868" s="664" t="s">
        <v>442</v>
      </c>
      <c r="C868" s="71" t="s">
        <v>134</v>
      </c>
      <c r="D868" s="71">
        <v>2</v>
      </c>
      <c r="E868" s="102">
        <v>401000</v>
      </c>
      <c r="F868" s="102">
        <f t="shared" si="393"/>
        <v>882200.00000000012</v>
      </c>
      <c r="G868" s="102">
        <f t="shared" si="394"/>
        <v>802000</v>
      </c>
      <c r="H868" s="690" t="s">
        <v>173</v>
      </c>
      <c r="I868" s="71" t="s">
        <v>141</v>
      </c>
      <c r="J868" s="53">
        <f>(G868-(VLOOKUP(C868,Price!B:D,3,FALSE)*D868))</f>
        <v>174080</v>
      </c>
      <c r="K868" s="63">
        <f t="shared" si="392"/>
        <v>0.21705735660847877</v>
      </c>
      <c r="L868" s="871">
        <v>18.399999999999999</v>
      </c>
      <c r="M868" s="468"/>
      <c r="N868" s="664">
        <f t="shared" si="389"/>
        <v>180420</v>
      </c>
      <c r="O868" s="71" t="s">
        <v>145</v>
      </c>
      <c r="P868" s="103" t="str">
        <f t="shared" si="395"/>
        <v>Agfa Film(28inch)</v>
      </c>
      <c r="Q868" s="71">
        <f t="shared" si="390"/>
        <v>2</v>
      </c>
      <c r="R868" s="102">
        <f>VLOOKUP(P868,Price!B:D,3,FALSE)</f>
        <v>313960</v>
      </c>
      <c r="S868" s="102">
        <f t="shared" si="382"/>
        <v>690712</v>
      </c>
      <c r="T868" s="102">
        <f t="shared" si="383"/>
        <v>627920</v>
      </c>
      <c r="U868" s="71" t="str">
        <f t="shared" si="384"/>
        <v>O</v>
      </c>
      <c r="V868" s="71"/>
      <c r="W868" s="474">
        <f t="shared" si="385"/>
        <v>174080</v>
      </c>
      <c r="X868" s="71"/>
      <c r="Y868" s="71"/>
    </row>
    <row r="869" spans="1:25" ht="30" hidden="1" customHeight="1" x14ac:dyDescent="0.25">
      <c r="A869" s="82">
        <v>180420</v>
      </c>
      <c r="B869" s="664" t="s">
        <v>442</v>
      </c>
      <c r="C869" s="71" t="s">
        <v>135</v>
      </c>
      <c r="D869" s="71">
        <v>2</v>
      </c>
      <c r="E869" s="102">
        <v>448000</v>
      </c>
      <c r="F869" s="102">
        <f t="shared" si="393"/>
        <v>985600.00000000012</v>
      </c>
      <c r="G869" s="102">
        <f t="shared" si="394"/>
        <v>896000</v>
      </c>
      <c r="H869" s="690" t="s">
        <v>173</v>
      </c>
      <c r="I869" s="71" t="s">
        <v>141</v>
      </c>
      <c r="J869" s="53">
        <f>(G869-(VLOOKUP(C869,Price!B:D,3,FALSE)*D869))</f>
        <v>155980</v>
      </c>
      <c r="K869" s="63">
        <f t="shared" si="392"/>
        <v>0.1740848214285714</v>
      </c>
      <c r="L869" s="871">
        <v>18.399999999999999</v>
      </c>
      <c r="M869" s="468"/>
      <c r="N869" s="664">
        <f t="shared" si="389"/>
        <v>180420</v>
      </c>
      <c r="O869" s="71" t="s">
        <v>145</v>
      </c>
      <c r="P869" s="103" t="str">
        <f t="shared" si="395"/>
        <v>Agfa Film(32inch)</v>
      </c>
      <c r="Q869" s="71">
        <f t="shared" si="390"/>
        <v>2</v>
      </c>
      <c r="R869" s="102">
        <f>VLOOKUP(P869,Price!B:D,3,FALSE)</f>
        <v>370010</v>
      </c>
      <c r="S869" s="102">
        <f t="shared" si="382"/>
        <v>814022.00000000012</v>
      </c>
      <c r="T869" s="102">
        <f t="shared" si="383"/>
        <v>740020</v>
      </c>
      <c r="U869" s="71" t="str">
        <f t="shared" si="384"/>
        <v>O</v>
      </c>
      <c r="V869" s="71"/>
      <c r="W869" s="474">
        <f t="shared" si="385"/>
        <v>155980</v>
      </c>
      <c r="X869" s="71"/>
      <c r="Y869" s="71"/>
    </row>
    <row r="870" spans="1:25" ht="30" hidden="1" customHeight="1" x14ac:dyDescent="0.25">
      <c r="A870" s="82">
        <v>180420</v>
      </c>
      <c r="B870" s="664" t="s">
        <v>442</v>
      </c>
      <c r="C870" s="71" t="s">
        <v>649</v>
      </c>
      <c r="D870" s="71">
        <v>2</v>
      </c>
      <c r="E870" s="102">
        <v>41000</v>
      </c>
      <c r="F870" s="102">
        <f t="shared" si="393"/>
        <v>90200.000000000015</v>
      </c>
      <c r="G870" s="102">
        <f t="shared" si="394"/>
        <v>82000</v>
      </c>
      <c r="H870" s="690" t="s">
        <v>173</v>
      </c>
      <c r="I870" s="71" t="s">
        <v>141</v>
      </c>
      <c r="J870" s="53">
        <f>(G870-(VLOOKUP(C870,Price!B:D,3,FALSE)*D870))</f>
        <v>32000</v>
      </c>
      <c r="K870" s="63">
        <f t="shared" si="392"/>
        <v>0.39024390243902435</v>
      </c>
      <c r="L870" s="871">
        <v>18.399999999999999</v>
      </c>
      <c r="M870" s="468"/>
      <c r="N870" s="664">
        <f t="shared" si="389"/>
        <v>180420</v>
      </c>
      <c r="O870" s="71" t="s">
        <v>145</v>
      </c>
      <c r="P870" s="103" t="str">
        <f t="shared" si="395"/>
        <v>Agfa 현상액 G101C(10L)</v>
      </c>
      <c r="Q870" s="71">
        <f t="shared" si="390"/>
        <v>2</v>
      </c>
      <c r="R870" s="102">
        <f>VLOOKUP(P870,Price!B:D,3,FALSE)</f>
        <v>25000</v>
      </c>
      <c r="S870" s="102">
        <f t="shared" si="382"/>
        <v>55000.000000000007</v>
      </c>
      <c r="T870" s="102">
        <f t="shared" si="383"/>
        <v>50000</v>
      </c>
      <c r="U870" s="71" t="str">
        <f t="shared" si="384"/>
        <v>O</v>
      </c>
      <c r="V870" s="71"/>
      <c r="W870" s="474">
        <f t="shared" si="385"/>
        <v>32000</v>
      </c>
      <c r="X870" s="71"/>
      <c r="Y870" s="71"/>
    </row>
    <row r="871" spans="1:25" ht="30" hidden="1" customHeight="1" x14ac:dyDescent="0.25">
      <c r="A871" s="82">
        <v>180420</v>
      </c>
      <c r="B871" s="664" t="s">
        <v>690</v>
      </c>
      <c r="C871" s="67" t="s">
        <v>197</v>
      </c>
      <c r="D871" s="71">
        <v>1</v>
      </c>
      <c r="E871" s="102">
        <v>58000</v>
      </c>
      <c r="F871" s="102">
        <f t="shared" si="393"/>
        <v>63800.000000000007</v>
      </c>
      <c r="G871" s="102">
        <f t="shared" si="394"/>
        <v>58000</v>
      </c>
      <c r="H871" s="690" t="s">
        <v>173</v>
      </c>
      <c r="I871" s="71" t="s">
        <v>140</v>
      </c>
      <c r="J871" s="53">
        <f>(G871-(VLOOKUP(C871,Price!B:D,3,FALSE)*D871))</f>
        <v>23000</v>
      </c>
      <c r="K871" s="63">
        <f>(J871/(F871/11*10))</f>
        <v>0.39655172413793099</v>
      </c>
      <c r="L871" s="871">
        <v>18.399999999999999</v>
      </c>
      <c r="M871" s="468"/>
      <c r="N871" s="664">
        <f t="shared" si="389"/>
        <v>180420</v>
      </c>
      <c r="O871" s="71" t="s">
        <v>145</v>
      </c>
      <c r="P871" s="103" t="str">
        <f t="shared" si="395"/>
        <v>THR200(20L)</v>
      </c>
      <c r="Q871" s="71">
        <f t="shared" si="390"/>
        <v>1</v>
      </c>
      <c r="R871" s="102">
        <v>0</v>
      </c>
      <c r="S871" s="102">
        <f t="shared" si="382"/>
        <v>0</v>
      </c>
      <c r="T871" s="102">
        <f t="shared" si="383"/>
        <v>0</v>
      </c>
      <c r="U871" s="71" t="str">
        <f t="shared" si="384"/>
        <v>X</v>
      </c>
      <c r="V871" s="71"/>
      <c r="W871" s="474"/>
      <c r="X871" s="71"/>
      <c r="Y871" s="71"/>
    </row>
    <row r="872" spans="1:25" s="602" customFormat="1" ht="30" hidden="1" customHeight="1" x14ac:dyDescent="0.25">
      <c r="A872" s="85">
        <v>180420</v>
      </c>
      <c r="B872" s="668" t="s">
        <v>442</v>
      </c>
      <c r="C872" s="84" t="s">
        <v>138</v>
      </c>
      <c r="D872" s="84">
        <v>20</v>
      </c>
      <c r="E872" s="189">
        <v>69000</v>
      </c>
      <c r="F872" s="189">
        <f t="shared" si="393"/>
        <v>1518000.0000000002</v>
      </c>
      <c r="G872" s="189">
        <f t="shared" si="394"/>
        <v>1380000</v>
      </c>
      <c r="H872" s="691" t="s">
        <v>173</v>
      </c>
      <c r="I872" s="84" t="s">
        <v>108</v>
      </c>
      <c r="J872" s="61">
        <f>(G872-(VLOOKUP(C872,Price!B:D,3,FALSE)*D872))</f>
        <v>360000</v>
      </c>
      <c r="K872" s="62">
        <f>(J872/(F872/11*10))</f>
        <v>0.26086956521739124</v>
      </c>
      <c r="L872" s="873">
        <v>18.399999999999999</v>
      </c>
      <c r="M872" s="601"/>
      <c r="N872" s="668">
        <f t="shared" si="389"/>
        <v>180420</v>
      </c>
      <c r="O872" s="84" t="s">
        <v>150</v>
      </c>
      <c r="P872" s="133" t="str">
        <f t="shared" si="395"/>
        <v>매엽용 세척제(Wash 562)</v>
      </c>
      <c r="Q872" s="84">
        <f t="shared" si="390"/>
        <v>20</v>
      </c>
      <c r="R872" s="189">
        <f>VLOOKUP(P872,Price!B:D,3,FALSE)</f>
        <v>51000</v>
      </c>
      <c r="S872" s="189">
        <f t="shared" si="382"/>
        <v>1122000</v>
      </c>
      <c r="T872" s="189">
        <f t="shared" si="383"/>
        <v>1020000</v>
      </c>
      <c r="U872" s="84" t="str">
        <f t="shared" si="384"/>
        <v>O</v>
      </c>
      <c r="V872" s="84"/>
      <c r="W872" s="481">
        <f>(G872-T872)</f>
        <v>360000</v>
      </c>
      <c r="X872" s="84"/>
      <c r="Y872" s="84"/>
    </row>
    <row r="873" spans="1:25" ht="30" hidden="1" customHeight="1" x14ac:dyDescent="0.25">
      <c r="A873" s="80">
        <v>180423</v>
      </c>
      <c r="B873" s="663" t="s">
        <v>631</v>
      </c>
      <c r="C873" s="73" t="s">
        <v>1129</v>
      </c>
      <c r="D873" s="73">
        <v>10</v>
      </c>
      <c r="E873" s="147">
        <v>78000</v>
      </c>
      <c r="F873" s="147">
        <f t="shared" si="393"/>
        <v>858000.00000000012</v>
      </c>
      <c r="G873" s="147">
        <f t="shared" si="394"/>
        <v>780000</v>
      </c>
      <c r="H873" s="689" t="s">
        <v>173</v>
      </c>
      <c r="I873" s="73" t="s">
        <v>109</v>
      </c>
      <c r="J873" s="60">
        <f>G873-T873</f>
        <v>249000</v>
      </c>
      <c r="K873" s="427">
        <f>(J873/(F873/11*10))</f>
        <v>0.31923076923076921</v>
      </c>
      <c r="L873" s="874">
        <v>18.399999999999999</v>
      </c>
      <c r="M873" s="584" t="s">
        <v>1270</v>
      </c>
      <c r="N873" s="663">
        <f t="shared" si="389"/>
        <v>180423</v>
      </c>
      <c r="O873" s="73" t="s">
        <v>147</v>
      </c>
      <c r="P873" s="132" t="str">
        <f>C873</f>
        <v>Blanket(770*700)</v>
      </c>
      <c r="Q873" s="73">
        <f t="shared" si="390"/>
        <v>10</v>
      </c>
      <c r="R873" s="147">
        <v>53100</v>
      </c>
      <c r="S873" s="147">
        <f t="shared" si="382"/>
        <v>584100</v>
      </c>
      <c r="T873" s="147">
        <f t="shared" si="383"/>
        <v>531000</v>
      </c>
      <c r="U873" s="73" t="str">
        <f t="shared" si="384"/>
        <v>O</v>
      </c>
      <c r="V873" s="73"/>
      <c r="W873" s="473">
        <f>(G873-T873)</f>
        <v>249000</v>
      </c>
      <c r="X873" s="73"/>
      <c r="Y873" s="73"/>
    </row>
    <row r="874" spans="1:25" ht="30" hidden="1" customHeight="1" x14ac:dyDescent="0.25">
      <c r="A874" s="80">
        <v>180423</v>
      </c>
      <c r="B874" s="663" t="s">
        <v>1051</v>
      </c>
      <c r="C874" s="73" t="s">
        <v>951</v>
      </c>
      <c r="D874" s="73">
        <v>900</v>
      </c>
      <c r="E874" s="147">
        <v>3800</v>
      </c>
      <c r="F874" s="147">
        <f t="shared" si="393"/>
        <v>3762000.0000000005</v>
      </c>
      <c r="G874" s="147">
        <f t="shared" si="394"/>
        <v>3420000</v>
      </c>
      <c r="H874" s="689" t="s">
        <v>142</v>
      </c>
      <c r="I874" s="73" t="s">
        <v>140</v>
      </c>
      <c r="J874" s="60">
        <f>(G874-(VLOOKUP(C874,Price!B:D,3,FALSE)*D874))</f>
        <v>1080000</v>
      </c>
      <c r="K874" s="427">
        <f>(J874/(F874/11*10))</f>
        <v>0.31578947368421051</v>
      </c>
      <c r="L874" s="80">
        <v>18.399999999999999</v>
      </c>
      <c r="M874" s="584"/>
      <c r="N874" s="663">
        <f t="shared" si="389"/>
        <v>180423</v>
      </c>
      <c r="O874" s="73" t="s">
        <v>145</v>
      </c>
      <c r="P874" s="132" t="str">
        <f>(C874)</f>
        <v>ENGAGE 30WEB(883*552)</v>
      </c>
      <c r="Q874" s="73">
        <f t="shared" si="390"/>
        <v>900</v>
      </c>
      <c r="R874" s="147">
        <v>2600</v>
      </c>
      <c r="S874" s="147">
        <f>(R874*D874)*1.1</f>
        <v>2574000</v>
      </c>
      <c r="T874" s="147">
        <f>(R874*Q874)</f>
        <v>2340000</v>
      </c>
      <c r="U874" s="73" t="str">
        <f t="shared" si="384"/>
        <v>O</v>
      </c>
      <c r="V874" s="73"/>
      <c r="W874" s="473">
        <f>(G874-T874)</f>
        <v>1080000</v>
      </c>
      <c r="X874" s="73"/>
      <c r="Y874" s="73"/>
    </row>
    <row r="875" spans="1:25" ht="30" hidden="1" customHeight="1" x14ac:dyDescent="0.25">
      <c r="A875" s="82">
        <v>180423</v>
      </c>
      <c r="B875" s="664" t="s">
        <v>545</v>
      </c>
      <c r="C875" s="71" t="s">
        <v>825</v>
      </c>
      <c r="D875" s="71">
        <v>1</v>
      </c>
      <c r="E875" s="102">
        <v>110000</v>
      </c>
      <c r="F875" s="102">
        <f t="shared" si="393"/>
        <v>121000.00000000001</v>
      </c>
      <c r="G875" s="102">
        <f t="shared" si="394"/>
        <v>110000</v>
      </c>
      <c r="H875" s="690" t="s">
        <v>173</v>
      </c>
      <c r="I875" s="71" t="s">
        <v>142</v>
      </c>
      <c r="J875" s="53">
        <f>G875-R875</f>
        <v>15000</v>
      </c>
      <c r="K875" s="63">
        <v>0.23529411764705879</v>
      </c>
      <c r="L875" s="871">
        <v>18.399999999999999</v>
      </c>
      <c r="M875" s="468"/>
      <c r="N875" s="664">
        <f t="shared" si="389"/>
        <v>180423</v>
      </c>
      <c r="O875" s="71" t="s">
        <v>150</v>
      </c>
      <c r="P875" s="103" t="str">
        <f t="shared" ref="P875:P881" si="396">C875</f>
        <v>독일제 정품 잉크호일 아스테이지</v>
      </c>
      <c r="Q875" s="71">
        <f t="shared" si="390"/>
        <v>1</v>
      </c>
      <c r="R875" s="102">
        <v>95000</v>
      </c>
      <c r="S875" s="102">
        <f t="shared" ref="S875:S883" si="397">R875*Q875*1.1</f>
        <v>104500.00000000001</v>
      </c>
      <c r="T875" s="102">
        <f t="shared" ref="T875:T883" si="398">R875*Q875</f>
        <v>95000</v>
      </c>
      <c r="U875" s="71" t="str">
        <f t="shared" si="384"/>
        <v>O</v>
      </c>
      <c r="V875" s="71"/>
      <c r="W875" s="474">
        <f>(G875-T875)</f>
        <v>15000</v>
      </c>
      <c r="X875" s="71"/>
      <c r="Y875" s="71"/>
    </row>
    <row r="876" spans="1:25" s="602" customFormat="1" ht="30" hidden="1" customHeight="1" x14ac:dyDescent="0.25">
      <c r="A876" s="85">
        <v>180423</v>
      </c>
      <c r="B876" s="668" t="s">
        <v>545</v>
      </c>
      <c r="C876" s="84" t="s">
        <v>805</v>
      </c>
      <c r="D876" s="84">
        <v>3</v>
      </c>
      <c r="E876" s="189">
        <v>180000</v>
      </c>
      <c r="F876" s="189">
        <f t="shared" si="393"/>
        <v>594000</v>
      </c>
      <c r="G876" s="189">
        <f t="shared" si="394"/>
        <v>540000</v>
      </c>
      <c r="H876" s="691" t="s">
        <v>173</v>
      </c>
      <c r="I876" s="84" t="s">
        <v>120</v>
      </c>
      <c r="J876" s="61">
        <f>(G876-(VLOOKUP(C876,Price!B:D,3,FALSE)*D876))</f>
        <v>120000</v>
      </c>
      <c r="K876" s="62">
        <f t="shared" ref="K876:K882" si="399">(J876/(F876/11*10))</f>
        <v>0.22222222222222221</v>
      </c>
      <c r="L876" s="873">
        <v>18.399999999999999</v>
      </c>
      <c r="M876" s="601"/>
      <c r="N876" s="668">
        <f t="shared" si="389"/>
        <v>180423</v>
      </c>
      <c r="O876" s="84" t="s">
        <v>150</v>
      </c>
      <c r="P876" s="133" t="str">
        <f t="shared" si="396"/>
        <v>Fount 554</v>
      </c>
      <c r="Q876" s="84">
        <v>3</v>
      </c>
      <c r="R876" s="189">
        <v>140000</v>
      </c>
      <c r="S876" s="189">
        <f t="shared" si="397"/>
        <v>462000.00000000006</v>
      </c>
      <c r="T876" s="189">
        <f t="shared" si="398"/>
        <v>420000</v>
      </c>
      <c r="U876" s="84" t="str">
        <f t="shared" si="384"/>
        <v>X</v>
      </c>
      <c r="V876" s="84"/>
      <c r="W876" s="478"/>
      <c r="X876" s="84"/>
      <c r="Y876" s="84"/>
    </row>
    <row r="877" spans="1:25" ht="30" hidden="1" customHeight="1" x14ac:dyDescent="0.25">
      <c r="A877" s="80">
        <v>180425</v>
      </c>
      <c r="B877" s="663" t="s">
        <v>1052</v>
      </c>
      <c r="C877" s="73" t="s">
        <v>1115</v>
      </c>
      <c r="D877" s="73">
        <v>50</v>
      </c>
      <c r="E877" s="147">
        <v>6200</v>
      </c>
      <c r="F877" s="147">
        <f t="shared" ref="F877:F883" si="400">(E877*D877)*1.1</f>
        <v>341000</v>
      </c>
      <c r="G877" s="147">
        <f t="shared" ref="G877:G883" si="401">(E877*D877)</f>
        <v>310000</v>
      </c>
      <c r="H877" s="689" t="s">
        <v>142</v>
      </c>
      <c r="I877" s="73" t="s">
        <v>144</v>
      </c>
      <c r="J877" s="60">
        <f>G877-T877</f>
        <v>5000</v>
      </c>
      <c r="K877" s="427">
        <f t="shared" si="399"/>
        <v>1.6129032258064516E-2</v>
      </c>
      <c r="L877" s="874">
        <v>18.399999999999999</v>
      </c>
      <c r="M877" s="584"/>
      <c r="N877" s="663">
        <f t="shared" ref="N877:N886" si="402">A877</f>
        <v>180425</v>
      </c>
      <c r="O877" s="73" t="s">
        <v>147</v>
      </c>
      <c r="P877" s="132" t="str">
        <f t="shared" si="396"/>
        <v>한특 잉크(적)</v>
      </c>
      <c r="Q877" s="73">
        <f t="shared" ref="Q877:Q883" si="403">D877</f>
        <v>50</v>
      </c>
      <c r="R877" s="147">
        <v>6100</v>
      </c>
      <c r="S877" s="147">
        <f t="shared" si="397"/>
        <v>335500</v>
      </c>
      <c r="T877" s="147">
        <f t="shared" si="398"/>
        <v>305000</v>
      </c>
      <c r="U877" s="73" t="str">
        <f t="shared" si="384"/>
        <v>O</v>
      </c>
      <c r="V877" s="73"/>
      <c r="W877" s="473">
        <f t="shared" ref="W877:W887" si="404">(G877-T877)</f>
        <v>5000</v>
      </c>
      <c r="X877" s="73"/>
      <c r="Y877" s="73"/>
    </row>
    <row r="878" spans="1:25" ht="30" hidden="1" customHeight="1" x14ac:dyDescent="0.25">
      <c r="A878" s="82">
        <v>180425</v>
      </c>
      <c r="B878" s="664" t="s">
        <v>1052</v>
      </c>
      <c r="C878" s="71" t="s">
        <v>1116</v>
      </c>
      <c r="D878" s="71">
        <v>50</v>
      </c>
      <c r="E878" s="102">
        <v>6000</v>
      </c>
      <c r="F878" s="102">
        <f t="shared" si="400"/>
        <v>330000</v>
      </c>
      <c r="G878" s="102">
        <f t="shared" si="401"/>
        <v>300000</v>
      </c>
      <c r="H878" s="690" t="s">
        <v>142</v>
      </c>
      <c r="I878" s="71" t="s">
        <v>144</v>
      </c>
      <c r="J878" s="53">
        <f>G878-T878</f>
        <v>5000</v>
      </c>
      <c r="K878" s="63">
        <f t="shared" si="399"/>
        <v>1.6666666666666666E-2</v>
      </c>
      <c r="L878" s="871">
        <v>18.399999999999999</v>
      </c>
      <c r="M878" s="468"/>
      <c r="N878" s="664">
        <f t="shared" si="402"/>
        <v>180425</v>
      </c>
      <c r="O878" s="71" t="s">
        <v>147</v>
      </c>
      <c r="P878" s="103" t="str">
        <f t="shared" si="396"/>
        <v>한특 잉크(황)</v>
      </c>
      <c r="Q878" s="71">
        <f t="shared" si="403"/>
        <v>50</v>
      </c>
      <c r="R878" s="102">
        <v>5900</v>
      </c>
      <c r="S878" s="102">
        <f t="shared" si="397"/>
        <v>324500</v>
      </c>
      <c r="T878" s="102">
        <f t="shared" si="398"/>
        <v>295000</v>
      </c>
      <c r="U878" s="71" t="str">
        <f t="shared" si="384"/>
        <v>O</v>
      </c>
      <c r="V878" s="71"/>
      <c r="W878" s="474">
        <f t="shared" si="404"/>
        <v>5000</v>
      </c>
      <c r="X878" s="71"/>
      <c r="Y878" s="71"/>
    </row>
    <row r="879" spans="1:25" ht="30" hidden="1" customHeight="1" x14ac:dyDescent="0.25">
      <c r="A879" s="82">
        <v>180425</v>
      </c>
      <c r="B879" s="664" t="s">
        <v>1052</v>
      </c>
      <c r="C879" s="71" t="s">
        <v>1117</v>
      </c>
      <c r="D879" s="71">
        <v>50</v>
      </c>
      <c r="E879" s="102">
        <v>6500</v>
      </c>
      <c r="F879" s="102">
        <f t="shared" si="400"/>
        <v>357500</v>
      </c>
      <c r="G879" s="102">
        <f t="shared" si="401"/>
        <v>325000</v>
      </c>
      <c r="H879" s="690" t="s">
        <v>142</v>
      </c>
      <c r="I879" s="71" t="s">
        <v>144</v>
      </c>
      <c r="J879" s="53">
        <f>G879-T879</f>
        <v>5000</v>
      </c>
      <c r="K879" s="63">
        <f t="shared" si="399"/>
        <v>1.5384615384615385E-2</v>
      </c>
      <c r="L879" s="871">
        <v>18.399999999999999</v>
      </c>
      <c r="M879" s="468"/>
      <c r="N879" s="664">
        <f t="shared" si="402"/>
        <v>180425</v>
      </c>
      <c r="O879" s="71" t="s">
        <v>147</v>
      </c>
      <c r="P879" s="103" t="str">
        <f t="shared" si="396"/>
        <v>한특 잉크(청)</v>
      </c>
      <c r="Q879" s="71">
        <f t="shared" si="403"/>
        <v>50</v>
      </c>
      <c r="R879" s="102">
        <v>6400</v>
      </c>
      <c r="S879" s="102">
        <f t="shared" si="397"/>
        <v>352000</v>
      </c>
      <c r="T879" s="102">
        <f t="shared" si="398"/>
        <v>320000</v>
      </c>
      <c r="U879" s="71" t="str">
        <f t="shared" si="384"/>
        <v>O</v>
      </c>
      <c r="V879" s="71"/>
      <c r="W879" s="474">
        <f t="shared" si="404"/>
        <v>5000</v>
      </c>
      <c r="X879" s="71"/>
      <c r="Y879" s="71"/>
    </row>
    <row r="880" spans="1:25" ht="30" hidden="1" customHeight="1" x14ac:dyDescent="0.25">
      <c r="A880" s="82">
        <v>180425</v>
      </c>
      <c r="B880" s="664" t="s">
        <v>1052</v>
      </c>
      <c r="C880" s="71" t="s">
        <v>1118</v>
      </c>
      <c r="D880" s="71">
        <v>50</v>
      </c>
      <c r="E880" s="102">
        <v>5600</v>
      </c>
      <c r="F880" s="102">
        <f t="shared" si="400"/>
        <v>308000</v>
      </c>
      <c r="G880" s="102">
        <f t="shared" si="401"/>
        <v>280000</v>
      </c>
      <c r="H880" s="690" t="s">
        <v>142</v>
      </c>
      <c r="I880" s="71" t="s">
        <v>144</v>
      </c>
      <c r="J880" s="53">
        <f>G880-T880</f>
        <v>5000</v>
      </c>
      <c r="K880" s="63">
        <f t="shared" si="399"/>
        <v>1.7857142857142856E-2</v>
      </c>
      <c r="L880" s="871">
        <v>18.399999999999999</v>
      </c>
      <c r="M880" s="468"/>
      <c r="N880" s="664">
        <f t="shared" si="402"/>
        <v>180425</v>
      </c>
      <c r="O880" s="71" t="s">
        <v>147</v>
      </c>
      <c r="P880" s="103" t="str">
        <f t="shared" si="396"/>
        <v>한특 잉크(먹)</v>
      </c>
      <c r="Q880" s="71">
        <f t="shared" si="403"/>
        <v>50</v>
      </c>
      <c r="R880" s="102">
        <v>5500</v>
      </c>
      <c r="S880" s="102">
        <f t="shared" si="397"/>
        <v>302500</v>
      </c>
      <c r="T880" s="102">
        <f t="shared" si="398"/>
        <v>275000</v>
      </c>
      <c r="U880" s="71" t="str">
        <f t="shared" si="384"/>
        <v>O</v>
      </c>
      <c r="V880" s="71"/>
      <c r="W880" s="474">
        <f t="shared" si="404"/>
        <v>5000</v>
      </c>
      <c r="X880" s="71"/>
      <c r="Y880" s="71"/>
    </row>
    <row r="881" spans="1:25" ht="30" hidden="1" customHeight="1" x14ac:dyDescent="0.25">
      <c r="A881" s="648">
        <v>180423</v>
      </c>
      <c r="B881" s="733" t="s">
        <v>1051</v>
      </c>
      <c r="C881" s="646" t="s">
        <v>1140</v>
      </c>
      <c r="D881" s="96">
        <v>4170</v>
      </c>
      <c r="E881" s="734">
        <v>6830</v>
      </c>
      <c r="F881" s="734">
        <f t="shared" si="400"/>
        <v>31329210.000000004</v>
      </c>
      <c r="G881" s="734">
        <f t="shared" si="401"/>
        <v>28481100</v>
      </c>
      <c r="H881" s="735" t="s">
        <v>142</v>
      </c>
      <c r="I881" s="96" t="s">
        <v>140</v>
      </c>
      <c r="J881" s="586">
        <f>(G881-(VLOOKUP(C881,Price!B:D,3,FALSE)*D881))</f>
        <v>8131500</v>
      </c>
      <c r="K881" s="54">
        <f>(J881/(F881/11*10))</f>
        <v>0.28550512445095166</v>
      </c>
      <c r="L881" s="901">
        <v>18.399999999999999</v>
      </c>
      <c r="M881" s="736"/>
      <c r="N881" s="733">
        <f t="shared" si="402"/>
        <v>180423</v>
      </c>
      <c r="O881" s="96" t="s">
        <v>145</v>
      </c>
      <c r="P881" s="737" t="str">
        <f t="shared" si="396"/>
        <v>ELITE PRO 30 1055X811</v>
      </c>
      <c r="Q881" s="71">
        <f t="shared" si="403"/>
        <v>4170</v>
      </c>
      <c r="R881" s="734">
        <v>4880</v>
      </c>
      <c r="S881" s="734">
        <f t="shared" si="397"/>
        <v>22384560</v>
      </c>
      <c r="T881" s="734">
        <f t="shared" si="398"/>
        <v>20349600</v>
      </c>
      <c r="U881" s="96" t="str">
        <f t="shared" si="384"/>
        <v>O</v>
      </c>
      <c r="V881" s="96"/>
      <c r="W881" s="480">
        <f t="shared" si="404"/>
        <v>8131500</v>
      </c>
      <c r="X881" s="96"/>
      <c r="Y881" s="96"/>
    </row>
    <row r="882" spans="1:25" s="602" customFormat="1" ht="30" hidden="1" customHeight="1" x14ac:dyDescent="0.25">
      <c r="A882" s="85">
        <v>180425</v>
      </c>
      <c r="B882" s="668" t="s">
        <v>1061</v>
      </c>
      <c r="C882" s="84" t="s">
        <v>586</v>
      </c>
      <c r="D882" s="84">
        <v>200</v>
      </c>
      <c r="E882" s="189">
        <v>6750</v>
      </c>
      <c r="F882" s="189">
        <f t="shared" si="400"/>
        <v>1485000.0000000002</v>
      </c>
      <c r="G882" s="189">
        <f t="shared" si="401"/>
        <v>1350000</v>
      </c>
      <c r="H882" s="691" t="s">
        <v>142</v>
      </c>
      <c r="I882" s="84" t="s">
        <v>144</v>
      </c>
      <c r="J882" s="61">
        <f>(G882-(VLOOKUP(C882,Price!B:D,3,FALSE)*D882))</f>
        <v>114000</v>
      </c>
      <c r="K882" s="62">
        <f t="shared" si="399"/>
        <v>8.4444444444444433E-2</v>
      </c>
      <c r="L882" s="873">
        <v>18.399999999999999</v>
      </c>
      <c r="M882" s="601"/>
      <c r="N882" s="668">
        <f t="shared" si="402"/>
        <v>180425</v>
      </c>
      <c r="O882" s="84" t="s">
        <v>147</v>
      </c>
      <c r="P882" s="133" t="str">
        <f>C882</f>
        <v>프리미어(황)</v>
      </c>
      <c r="Q882" s="84">
        <f t="shared" si="403"/>
        <v>200</v>
      </c>
      <c r="R882" s="189">
        <v>6180</v>
      </c>
      <c r="S882" s="189">
        <f t="shared" si="397"/>
        <v>1359600</v>
      </c>
      <c r="T882" s="189">
        <f t="shared" si="398"/>
        <v>1236000</v>
      </c>
      <c r="U882" s="84" t="str">
        <f t="shared" si="384"/>
        <v>O</v>
      </c>
      <c r="V882" s="84"/>
      <c r="W882" s="478">
        <f t="shared" si="404"/>
        <v>114000</v>
      </c>
      <c r="X882" s="84"/>
      <c r="Y882" s="84"/>
    </row>
    <row r="883" spans="1:25" ht="30" hidden="1" customHeight="1" x14ac:dyDescent="0.25">
      <c r="A883" s="80">
        <v>180427</v>
      </c>
      <c r="B883" s="663" t="s">
        <v>545</v>
      </c>
      <c r="C883" s="73" t="s">
        <v>825</v>
      </c>
      <c r="D883" s="73">
        <v>1</v>
      </c>
      <c r="E883" s="147">
        <v>110000</v>
      </c>
      <c r="F883" s="147">
        <f t="shared" si="400"/>
        <v>121000.00000000001</v>
      </c>
      <c r="G883" s="147">
        <f t="shared" si="401"/>
        <v>110000</v>
      </c>
      <c r="H883" s="689" t="s">
        <v>173</v>
      </c>
      <c r="I883" s="73" t="s">
        <v>142</v>
      </c>
      <c r="J883" s="60">
        <f>G883-R883</f>
        <v>15000</v>
      </c>
      <c r="K883" s="427">
        <v>0.23529411764705879</v>
      </c>
      <c r="L883" s="874">
        <v>18.399999999999999</v>
      </c>
      <c r="M883" s="584"/>
      <c r="N883" s="663">
        <f t="shared" si="402"/>
        <v>180427</v>
      </c>
      <c r="O883" s="73" t="s">
        <v>150</v>
      </c>
      <c r="P883" s="132" t="str">
        <f>C883</f>
        <v>독일제 정품 잉크호일 아스테이지</v>
      </c>
      <c r="Q883" s="73">
        <f t="shared" si="403"/>
        <v>1</v>
      </c>
      <c r="R883" s="147">
        <v>95000</v>
      </c>
      <c r="S883" s="147">
        <f t="shared" si="397"/>
        <v>104500.00000000001</v>
      </c>
      <c r="T883" s="147">
        <f t="shared" si="398"/>
        <v>95000</v>
      </c>
      <c r="U883" s="73" t="str">
        <f t="shared" si="384"/>
        <v>O</v>
      </c>
      <c r="V883" s="73"/>
      <c r="W883" s="473">
        <f t="shared" si="404"/>
        <v>15000</v>
      </c>
      <c r="X883" s="73"/>
      <c r="Y883" s="73"/>
    </row>
    <row r="884" spans="1:25" s="859" customFormat="1" ht="45" hidden="1" customHeight="1" x14ac:dyDescent="0.25">
      <c r="A884" s="947">
        <v>2018.5</v>
      </c>
      <c r="B884" s="948" t="s">
        <v>544</v>
      </c>
      <c r="C884" s="949"/>
      <c r="D884" s="949"/>
      <c r="E884" s="950"/>
      <c r="F884" s="950"/>
      <c r="G884" s="950"/>
      <c r="H884" s="951"/>
      <c r="I884" s="949"/>
      <c r="J884" s="952"/>
      <c r="K884" s="953"/>
      <c r="L884" s="954">
        <v>18.5</v>
      </c>
      <c r="M884" s="955"/>
      <c r="N884" s="956">
        <f t="shared" si="402"/>
        <v>2018.5</v>
      </c>
      <c r="O884" s="949" t="s">
        <v>154</v>
      </c>
      <c r="P884" s="957"/>
      <c r="Q884" s="958"/>
      <c r="R884" s="959"/>
      <c r="S884" s="952"/>
      <c r="T884" s="952"/>
      <c r="U884" s="960"/>
      <c r="V884" s="960"/>
      <c r="W884" s="961">
        <f t="shared" si="404"/>
        <v>0</v>
      </c>
      <c r="X884" s="960"/>
      <c r="Y884" s="960"/>
    </row>
    <row r="885" spans="1:25" s="210" customFormat="1" ht="30" hidden="1" customHeight="1" x14ac:dyDescent="0.2">
      <c r="A885" s="433">
        <v>180502</v>
      </c>
      <c r="B885" s="668" t="s">
        <v>548</v>
      </c>
      <c r="C885" s="84" t="s">
        <v>107</v>
      </c>
      <c r="D885" s="84">
        <v>20</v>
      </c>
      <c r="E885" s="189">
        <v>100000</v>
      </c>
      <c r="F885" s="190">
        <f t="shared" ref="F885:F916" si="405">(E885*D885)*1.1</f>
        <v>2200000</v>
      </c>
      <c r="G885" s="190">
        <f t="shared" ref="G885:G916" si="406">(E885*D885)</f>
        <v>2000000</v>
      </c>
      <c r="H885" s="191" t="s">
        <v>172</v>
      </c>
      <c r="I885" s="84" t="s">
        <v>109</v>
      </c>
      <c r="J885" s="61">
        <f>(G885-(VLOOKUP(C885,Price!B:D,3,FALSE)*D885))</f>
        <v>390000</v>
      </c>
      <c r="K885" s="62">
        <f>(J885/(F885/11*10))</f>
        <v>0.19500000000000001</v>
      </c>
      <c r="L885" s="85">
        <v>18.5</v>
      </c>
      <c r="M885" s="601"/>
      <c r="N885" s="668">
        <f t="shared" si="402"/>
        <v>180502</v>
      </c>
      <c r="O885" s="84" t="s">
        <v>147</v>
      </c>
      <c r="P885" s="133" t="str">
        <f>(C885)</f>
        <v>Blanket(1050*840)</v>
      </c>
      <c r="Q885" s="84">
        <f>D885</f>
        <v>20</v>
      </c>
      <c r="R885" s="189">
        <v>80500</v>
      </c>
      <c r="S885" s="189">
        <f>(R885*D885)*1.1</f>
        <v>1771000.0000000002</v>
      </c>
      <c r="T885" s="189">
        <f>(R885*Q885)</f>
        <v>1610000</v>
      </c>
      <c r="U885" s="84" t="str">
        <f>IF(J885=W885,"O", "X")</f>
        <v>O</v>
      </c>
      <c r="V885" s="84"/>
      <c r="W885" s="478">
        <f t="shared" si="404"/>
        <v>390000</v>
      </c>
      <c r="X885" s="84"/>
      <c r="Y885" s="84"/>
    </row>
    <row r="886" spans="1:25" ht="30" hidden="1" customHeight="1" x14ac:dyDescent="0.25">
      <c r="A886" s="80">
        <v>180503</v>
      </c>
      <c r="B886" s="663" t="s">
        <v>939</v>
      </c>
      <c r="C886" s="73" t="s">
        <v>123</v>
      </c>
      <c r="D886" s="73">
        <v>10</v>
      </c>
      <c r="E886" s="147">
        <v>33000</v>
      </c>
      <c r="F886" s="147">
        <f t="shared" si="405"/>
        <v>363000.00000000006</v>
      </c>
      <c r="G886" s="147">
        <f t="shared" si="406"/>
        <v>330000</v>
      </c>
      <c r="H886" s="1005" t="s">
        <v>39</v>
      </c>
      <c r="I886" s="73"/>
      <c r="J886" s="60">
        <f>G886-T886</f>
        <v>105390</v>
      </c>
      <c r="K886" s="427">
        <f>(J886/(F886/11*10))</f>
        <v>0.31936363636363629</v>
      </c>
      <c r="L886" s="874">
        <v>18.5</v>
      </c>
      <c r="M886" s="584"/>
      <c r="N886" s="663">
        <f t="shared" si="402"/>
        <v>180503</v>
      </c>
      <c r="O886" s="987" t="s">
        <v>39</v>
      </c>
      <c r="P886" s="132" t="str">
        <f>C886</f>
        <v>필터백</v>
      </c>
      <c r="Q886" s="73">
        <f>D886</f>
        <v>10</v>
      </c>
      <c r="R886" s="147">
        <f>VLOOKUP(P886,Price!B:D,3,FALSE)</f>
        <v>22461</v>
      </c>
      <c r="S886" s="147">
        <f>R886*Q886*1.1</f>
        <v>247071.00000000003</v>
      </c>
      <c r="T886" s="147">
        <f>R886*Q886</f>
        <v>224610</v>
      </c>
      <c r="U886" s="73" t="str">
        <f>IF(J886=W886,"O", "X")</f>
        <v>O</v>
      </c>
      <c r="V886" s="73"/>
      <c r="W886" s="473">
        <f t="shared" si="404"/>
        <v>105390</v>
      </c>
      <c r="X886" s="73"/>
      <c r="Y886" s="73"/>
    </row>
    <row r="887" spans="1:25" s="209" customFormat="1" ht="30" hidden="1" customHeight="1" x14ac:dyDescent="0.25">
      <c r="A887" s="82">
        <v>180503</v>
      </c>
      <c r="B887" s="664" t="s">
        <v>442</v>
      </c>
      <c r="C887" s="71" t="s">
        <v>107</v>
      </c>
      <c r="D887" s="71">
        <v>5</v>
      </c>
      <c r="E887" s="102">
        <v>110000</v>
      </c>
      <c r="F887" s="102">
        <f t="shared" si="405"/>
        <v>605000</v>
      </c>
      <c r="G887" s="102">
        <f t="shared" si="406"/>
        <v>550000</v>
      </c>
      <c r="H887" s="690" t="s">
        <v>173</v>
      </c>
      <c r="I887" s="71" t="s">
        <v>109</v>
      </c>
      <c r="J887" s="53">
        <f>(G887-(VLOOKUP(C887,Price!B:D,3,FALSE)*D887))</f>
        <v>147500</v>
      </c>
      <c r="K887" s="63">
        <f>(J887/(F887/11*10))</f>
        <v>0.26818181818181819</v>
      </c>
      <c r="L887" s="82">
        <v>18.5</v>
      </c>
      <c r="M887" s="468"/>
      <c r="N887" s="664">
        <f t="shared" ref="N887:N913" si="407">A887</f>
        <v>180503</v>
      </c>
      <c r="O887" s="71" t="s">
        <v>147</v>
      </c>
      <c r="P887" s="103" t="str">
        <f>(C887)</f>
        <v>Blanket(1050*840)</v>
      </c>
      <c r="Q887" s="71">
        <f t="shared" ref="Q887:Q921" si="408">D887</f>
        <v>5</v>
      </c>
      <c r="R887" s="102">
        <v>80500</v>
      </c>
      <c r="S887" s="102">
        <f>(R887*D887)*1.1</f>
        <v>442750.00000000006</v>
      </c>
      <c r="T887" s="102">
        <f>(R887*Q887)</f>
        <v>402500</v>
      </c>
      <c r="U887" s="71" t="str">
        <f>IF(J887=W887,"O", "X")</f>
        <v>O</v>
      </c>
      <c r="V887" s="71"/>
      <c r="W887" s="474">
        <f t="shared" si="404"/>
        <v>147500</v>
      </c>
      <c r="X887" s="71"/>
      <c r="Y887" s="71"/>
    </row>
    <row r="888" spans="1:25" ht="30" hidden="1" customHeight="1" x14ac:dyDescent="0.25">
      <c r="A888" s="82">
        <v>180503</v>
      </c>
      <c r="B888" s="664" t="s">
        <v>1178</v>
      </c>
      <c r="C888" s="71" t="s">
        <v>1223</v>
      </c>
      <c r="D888" s="71">
        <v>1</v>
      </c>
      <c r="E888" s="102"/>
      <c r="F888" s="102"/>
      <c r="G888" s="102"/>
      <c r="H888" s="690"/>
      <c r="I888" s="71"/>
      <c r="J888" s="53"/>
      <c r="K888" s="63"/>
      <c r="L888" s="82">
        <v>18.5</v>
      </c>
      <c r="M888" s="468" t="s">
        <v>1227</v>
      </c>
      <c r="N888" s="664">
        <f t="shared" si="407"/>
        <v>180503</v>
      </c>
      <c r="O888" s="71"/>
      <c r="P888" s="103"/>
      <c r="Q888" s="71"/>
      <c r="R888" s="102"/>
      <c r="S888" s="102"/>
      <c r="T888" s="102"/>
      <c r="U888" s="71"/>
      <c r="V888" s="71"/>
      <c r="W888" s="474"/>
      <c r="X888" s="71"/>
      <c r="Y888" s="71"/>
    </row>
    <row r="889" spans="1:25" ht="30" hidden="1" customHeight="1" x14ac:dyDescent="0.25">
      <c r="A889" s="82">
        <v>180503</v>
      </c>
      <c r="B889" s="664" t="s">
        <v>1178</v>
      </c>
      <c r="C889" s="71" t="s">
        <v>1224</v>
      </c>
      <c r="D889" s="71">
        <v>1</v>
      </c>
      <c r="E889" s="102"/>
      <c r="F889" s="102"/>
      <c r="G889" s="102"/>
      <c r="H889" s="690"/>
      <c r="I889" s="71"/>
      <c r="J889" s="53"/>
      <c r="K889" s="63"/>
      <c r="L889" s="82">
        <v>18.5</v>
      </c>
      <c r="M889" s="468" t="s">
        <v>1227</v>
      </c>
      <c r="N889" s="664">
        <f t="shared" si="407"/>
        <v>180503</v>
      </c>
      <c r="O889" s="71"/>
      <c r="P889" s="103"/>
      <c r="Q889" s="71"/>
      <c r="R889" s="102"/>
      <c r="S889" s="102"/>
      <c r="T889" s="102"/>
      <c r="U889" s="71"/>
      <c r="V889" s="71"/>
      <c r="W889" s="474"/>
      <c r="X889" s="71"/>
      <c r="Y889" s="71"/>
    </row>
    <row r="890" spans="1:25" ht="30" hidden="1" customHeight="1" x14ac:dyDescent="0.25">
      <c r="A890" s="82">
        <v>180503</v>
      </c>
      <c r="B890" s="664" t="s">
        <v>1178</v>
      </c>
      <c r="C890" s="71" t="s">
        <v>1225</v>
      </c>
      <c r="D890" s="71">
        <v>1</v>
      </c>
      <c r="E890" s="102"/>
      <c r="F890" s="102"/>
      <c r="G890" s="102"/>
      <c r="H890" s="690"/>
      <c r="I890" s="71"/>
      <c r="J890" s="53"/>
      <c r="K890" s="63"/>
      <c r="L890" s="82">
        <v>18.5</v>
      </c>
      <c r="M890" s="468" t="s">
        <v>1227</v>
      </c>
      <c r="N890" s="664">
        <f t="shared" si="407"/>
        <v>180503</v>
      </c>
      <c r="O890" s="71"/>
      <c r="P890" s="103"/>
      <c r="Q890" s="71"/>
      <c r="R890" s="102"/>
      <c r="S890" s="102"/>
      <c r="T890" s="102"/>
      <c r="U890" s="71"/>
      <c r="V890" s="71"/>
      <c r="W890" s="474"/>
      <c r="X890" s="71"/>
      <c r="Y890" s="71"/>
    </row>
    <row r="891" spans="1:25" ht="30" hidden="1" customHeight="1" x14ac:dyDescent="0.25">
      <c r="A891" s="82">
        <v>180503</v>
      </c>
      <c r="B891" s="664" t="s">
        <v>1178</v>
      </c>
      <c r="C891" s="71" t="s">
        <v>1226</v>
      </c>
      <c r="D891" s="71">
        <v>1</v>
      </c>
      <c r="E891" s="102"/>
      <c r="F891" s="102"/>
      <c r="G891" s="102"/>
      <c r="H891" s="690"/>
      <c r="I891" s="71"/>
      <c r="J891" s="53"/>
      <c r="K891" s="63"/>
      <c r="L891" s="82">
        <v>18.5</v>
      </c>
      <c r="M891" s="468" t="s">
        <v>1227</v>
      </c>
      <c r="N891" s="664">
        <f t="shared" si="407"/>
        <v>180503</v>
      </c>
      <c r="O891" s="71"/>
      <c r="P891" s="103"/>
      <c r="Q891" s="71"/>
      <c r="R891" s="102"/>
      <c r="S891" s="102"/>
      <c r="T891" s="102"/>
      <c r="U891" s="71"/>
      <c r="V891" s="71"/>
      <c r="W891" s="474"/>
      <c r="X891" s="71"/>
      <c r="Y891" s="71"/>
    </row>
    <row r="892" spans="1:25" ht="30" hidden="1" customHeight="1" x14ac:dyDescent="0.25">
      <c r="A892" s="82">
        <v>180503</v>
      </c>
      <c r="B892" s="664" t="s">
        <v>444</v>
      </c>
      <c r="C892" s="71" t="s">
        <v>131</v>
      </c>
      <c r="D892" s="71">
        <v>2</v>
      </c>
      <c r="E892" s="102">
        <v>135000</v>
      </c>
      <c r="F892" s="102">
        <f t="shared" si="405"/>
        <v>297000</v>
      </c>
      <c r="G892" s="102">
        <f t="shared" si="406"/>
        <v>270000</v>
      </c>
      <c r="H892" s="690" t="s">
        <v>173</v>
      </c>
      <c r="I892" s="71" t="s">
        <v>108</v>
      </c>
      <c r="J892" s="53">
        <f>(G892-(VLOOKUP(C892,Price!B:D,3,FALSE)*D892))</f>
        <v>50000</v>
      </c>
      <c r="K892" s="63">
        <f t="shared" ref="K892:K898" si="409">(J892/(F892/11*10))</f>
        <v>0.18518518518518517</v>
      </c>
      <c r="L892" s="82">
        <v>18.5</v>
      </c>
      <c r="M892" s="468"/>
      <c r="N892" s="664">
        <f t="shared" si="407"/>
        <v>180503</v>
      </c>
      <c r="O892" s="71" t="s">
        <v>148</v>
      </c>
      <c r="P892" s="103" t="str">
        <f t="shared" ref="P892:P913" si="410">C892</f>
        <v>UV wash(20L)</v>
      </c>
      <c r="Q892" s="71">
        <f t="shared" si="408"/>
        <v>2</v>
      </c>
      <c r="R892" s="102">
        <v>110000</v>
      </c>
      <c r="S892" s="102">
        <f t="shared" ref="S892:S903" si="411">R892*Q892*1.1</f>
        <v>242000.00000000003</v>
      </c>
      <c r="T892" s="102">
        <f t="shared" ref="T892:T903" si="412">R892*Q892</f>
        <v>220000</v>
      </c>
      <c r="U892" s="71" t="str">
        <f t="shared" ref="U892:U923" si="413">IF(J892=W892,"O", "X")</f>
        <v>O</v>
      </c>
      <c r="V892" s="71"/>
      <c r="W892" s="474">
        <f t="shared" ref="W892:W897" si="414">(G892-T892)</f>
        <v>50000</v>
      </c>
      <c r="X892" s="71"/>
      <c r="Y892" s="71"/>
    </row>
    <row r="893" spans="1:25" ht="30" hidden="1" customHeight="1" x14ac:dyDescent="0.25">
      <c r="A893" s="82">
        <v>180503</v>
      </c>
      <c r="B893" s="664" t="s">
        <v>545</v>
      </c>
      <c r="C893" s="71" t="s">
        <v>1010</v>
      </c>
      <c r="D893" s="71">
        <v>2</v>
      </c>
      <c r="E893" s="102">
        <v>135000</v>
      </c>
      <c r="F893" s="102">
        <f t="shared" si="405"/>
        <v>297000</v>
      </c>
      <c r="G893" s="102">
        <f t="shared" si="406"/>
        <v>270000</v>
      </c>
      <c r="H893" s="690" t="s">
        <v>173</v>
      </c>
      <c r="I893" s="71" t="s">
        <v>108</v>
      </c>
      <c r="J893" s="53">
        <f>(G893-(VLOOKUP(C893,Price!B:D,3,FALSE)*D893))</f>
        <v>50000</v>
      </c>
      <c r="K893" s="63">
        <f t="shared" si="409"/>
        <v>0.18518518518518517</v>
      </c>
      <c r="L893" s="871">
        <v>18.5</v>
      </c>
      <c r="M893" s="468"/>
      <c r="N893" s="664">
        <f t="shared" si="407"/>
        <v>180503</v>
      </c>
      <c r="O893" s="71" t="s">
        <v>148</v>
      </c>
      <c r="P893" s="103" t="str">
        <f t="shared" si="410"/>
        <v>Offset UV wash</v>
      </c>
      <c r="Q893" s="71">
        <f t="shared" si="408"/>
        <v>2</v>
      </c>
      <c r="R893" s="102">
        <v>110000</v>
      </c>
      <c r="S893" s="102">
        <f t="shared" si="411"/>
        <v>242000.00000000003</v>
      </c>
      <c r="T893" s="102">
        <f t="shared" si="412"/>
        <v>220000</v>
      </c>
      <c r="U893" s="71" t="str">
        <f t="shared" si="413"/>
        <v>O</v>
      </c>
      <c r="V893" s="71"/>
      <c r="W893" s="474">
        <f t="shared" si="414"/>
        <v>50000</v>
      </c>
      <c r="X893" s="71"/>
      <c r="Y893" s="71"/>
    </row>
    <row r="894" spans="1:25" s="602" customFormat="1" ht="30" hidden="1" customHeight="1" x14ac:dyDescent="0.25">
      <c r="A894" s="85">
        <v>180503</v>
      </c>
      <c r="B894" s="668" t="s">
        <v>545</v>
      </c>
      <c r="C894" s="84" t="s">
        <v>227</v>
      </c>
      <c r="D894" s="84">
        <v>10</v>
      </c>
      <c r="E894" s="189">
        <v>110000</v>
      </c>
      <c r="F894" s="189">
        <f t="shared" si="405"/>
        <v>1210000</v>
      </c>
      <c r="G894" s="189">
        <f t="shared" si="406"/>
        <v>1100000</v>
      </c>
      <c r="H894" s="691" t="s">
        <v>173</v>
      </c>
      <c r="I894" s="84" t="s">
        <v>109</v>
      </c>
      <c r="J894" s="61">
        <f>(G894-(VLOOKUP(C894,Price!B:D,3,FALSE)*D894))</f>
        <v>271000</v>
      </c>
      <c r="K894" s="62">
        <f t="shared" si="409"/>
        <v>0.24636363636363637</v>
      </c>
      <c r="L894" s="873">
        <v>18.5</v>
      </c>
      <c r="M894" s="601"/>
      <c r="N894" s="668">
        <f t="shared" si="407"/>
        <v>180503</v>
      </c>
      <c r="O894" s="84" t="s">
        <v>147</v>
      </c>
      <c r="P894" s="133" t="str">
        <f t="shared" si="410"/>
        <v>Blanket(1060*860)</v>
      </c>
      <c r="Q894" s="84">
        <f t="shared" si="408"/>
        <v>10</v>
      </c>
      <c r="R894" s="189">
        <v>82900</v>
      </c>
      <c r="S894" s="189">
        <f t="shared" si="411"/>
        <v>911900.00000000012</v>
      </c>
      <c r="T894" s="189">
        <f t="shared" si="412"/>
        <v>829000</v>
      </c>
      <c r="U894" s="84" t="str">
        <f t="shared" si="413"/>
        <v>O</v>
      </c>
      <c r="V894" s="84"/>
      <c r="W894" s="478">
        <f t="shared" si="414"/>
        <v>271000</v>
      </c>
      <c r="X894" s="84"/>
      <c r="Y894" s="84"/>
    </row>
    <row r="895" spans="1:25" ht="30" hidden="1" customHeight="1" x14ac:dyDescent="0.25">
      <c r="A895" s="80">
        <v>180504</v>
      </c>
      <c r="B895" s="663" t="s">
        <v>1052</v>
      </c>
      <c r="C895" s="73" t="s">
        <v>585</v>
      </c>
      <c r="D895" s="73">
        <v>200</v>
      </c>
      <c r="E895" s="147">
        <v>7500</v>
      </c>
      <c r="F895" s="147">
        <f t="shared" si="405"/>
        <v>1650000.0000000002</v>
      </c>
      <c r="G895" s="147">
        <f t="shared" si="406"/>
        <v>1500000</v>
      </c>
      <c r="H895" s="689" t="s">
        <v>142</v>
      </c>
      <c r="I895" s="73" t="s">
        <v>144</v>
      </c>
      <c r="J895" s="60">
        <f>(G895-(VLOOKUP(C895,Price!B:D,3,FALSE)*D895))</f>
        <v>146000</v>
      </c>
      <c r="K895" s="427">
        <f t="shared" si="409"/>
        <v>9.7333333333333313E-2</v>
      </c>
      <c r="L895" s="874">
        <v>18.5</v>
      </c>
      <c r="M895" s="584"/>
      <c r="N895" s="663">
        <f t="shared" si="407"/>
        <v>180504</v>
      </c>
      <c r="O895" s="73" t="s">
        <v>147</v>
      </c>
      <c r="P895" s="132" t="str">
        <f t="shared" si="410"/>
        <v>프리미어(적)</v>
      </c>
      <c r="Q895" s="73">
        <f t="shared" si="408"/>
        <v>200</v>
      </c>
      <c r="R895" s="147">
        <v>6770</v>
      </c>
      <c r="S895" s="147">
        <f t="shared" si="411"/>
        <v>1489400.0000000002</v>
      </c>
      <c r="T895" s="147">
        <f t="shared" si="412"/>
        <v>1354000</v>
      </c>
      <c r="U895" s="73" t="str">
        <f t="shared" si="413"/>
        <v>O</v>
      </c>
      <c r="V895" s="73"/>
      <c r="W895" s="473">
        <f t="shared" si="414"/>
        <v>146000</v>
      </c>
      <c r="X895" s="73"/>
      <c r="Y895" s="73"/>
    </row>
    <row r="896" spans="1:25" ht="30" hidden="1" customHeight="1" x14ac:dyDescent="0.25">
      <c r="A896" s="82">
        <v>180504</v>
      </c>
      <c r="B896" s="664" t="s">
        <v>1061</v>
      </c>
      <c r="C896" s="71" t="s">
        <v>586</v>
      </c>
      <c r="D896" s="71">
        <v>200</v>
      </c>
      <c r="E896" s="102">
        <v>6750</v>
      </c>
      <c r="F896" s="102">
        <f t="shared" si="405"/>
        <v>1485000.0000000002</v>
      </c>
      <c r="G896" s="102">
        <f t="shared" si="406"/>
        <v>1350000</v>
      </c>
      <c r="H896" s="690" t="s">
        <v>142</v>
      </c>
      <c r="I896" s="71" t="s">
        <v>144</v>
      </c>
      <c r="J896" s="53">
        <f>(G896-(VLOOKUP(C896,Price!B:D,3,FALSE)*D896))</f>
        <v>114000</v>
      </c>
      <c r="K896" s="63">
        <f t="shared" si="409"/>
        <v>8.4444444444444433E-2</v>
      </c>
      <c r="L896" s="871">
        <v>18.5</v>
      </c>
      <c r="M896" s="468"/>
      <c r="N896" s="664">
        <f t="shared" si="407"/>
        <v>180504</v>
      </c>
      <c r="O896" s="71" t="s">
        <v>147</v>
      </c>
      <c r="P896" s="103" t="str">
        <f t="shared" si="410"/>
        <v>프리미어(황)</v>
      </c>
      <c r="Q896" s="71">
        <f t="shared" si="408"/>
        <v>200</v>
      </c>
      <c r="R896" s="102">
        <v>6180</v>
      </c>
      <c r="S896" s="102">
        <f t="shared" si="411"/>
        <v>1359600</v>
      </c>
      <c r="T896" s="102">
        <f t="shared" si="412"/>
        <v>1236000</v>
      </c>
      <c r="U896" s="71" t="str">
        <f t="shared" si="413"/>
        <v>O</v>
      </c>
      <c r="V896" s="71"/>
      <c r="W896" s="474">
        <f t="shared" si="414"/>
        <v>114000</v>
      </c>
      <c r="X896" s="71"/>
      <c r="Y896" s="71"/>
    </row>
    <row r="897" spans="1:25" s="616" customFormat="1" ht="30" hidden="1" customHeight="1" x14ac:dyDescent="0.25">
      <c r="A897" s="82">
        <v>180504</v>
      </c>
      <c r="B897" s="664" t="s">
        <v>1061</v>
      </c>
      <c r="C897" s="71" t="s">
        <v>587</v>
      </c>
      <c r="D897" s="71">
        <v>200</v>
      </c>
      <c r="E897" s="102">
        <v>8000</v>
      </c>
      <c r="F897" s="102">
        <f t="shared" si="405"/>
        <v>1760000.0000000002</v>
      </c>
      <c r="G897" s="102">
        <f t="shared" si="406"/>
        <v>1600000</v>
      </c>
      <c r="H897" s="690" t="s">
        <v>142</v>
      </c>
      <c r="I897" s="71" t="s">
        <v>144</v>
      </c>
      <c r="J897" s="53">
        <f>(G897-(VLOOKUP(C897,Price!B:D,3,FALSE)*D897))</f>
        <v>218000</v>
      </c>
      <c r="K897" s="63">
        <f t="shared" si="409"/>
        <v>0.13624999999999998</v>
      </c>
      <c r="L897" s="871">
        <v>18.5</v>
      </c>
      <c r="M897" s="468"/>
      <c r="N897" s="664">
        <f t="shared" si="407"/>
        <v>180504</v>
      </c>
      <c r="O897" s="71" t="s">
        <v>147</v>
      </c>
      <c r="P897" s="103" t="str">
        <f t="shared" si="410"/>
        <v>프리미어(청)</v>
      </c>
      <c r="Q897" s="71">
        <f t="shared" si="408"/>
        <v>200</v>
      </c>
      <c r="R897" s="102">
        <v>6910</v>
      </c>
      <c r="S897" s="102">
        <f t="shared" si="411"/>
        <v>1520200.0000000002</v>
      </c>
      <c r="T897" s="102">
        <f t="shared" si="412"/>
        <v>1382000</v>
      </c>
      <c r="U897" s="71" t="str">
        <f t="shared" si="413"/>
        <v>O</v>
      </c>
      <c r="V897" s="71"/>
      <c r="W897" s="474">
        <f t="shared" si="414"/>
        <v>218000</v>
      </c>
      <c r="X897" s="71"/>
      <c r="Y897" s="71"/>
    </row>
    <row r="898" spans="1:25" s="657" customFormat="1" ht="30" customHeight="1" x14ac:dyDescent="0.25">
      <c r="A898" s="82">
        <v>180504</v>
      </c>
      <c r="B898" s="664" t="s">
        <v>422</v>
      </c>
      <c r="C898" s="71" t="s">
        <v>830</v>
      </c>
      <c r="D898" s="71">
        <v>1</v>
      </c>
      <c r="E898" s="102">
        <v>2000000</v>
      </c>
      <c r="F898" s="102">
        <f t="shared" si="405"/>
        <v>2200000</v>
      </c>
      <c r="G898" s="102">
        <f t="shared" si="406"/>
        <v>2000000</v>
      </c>
      <c r="H898" s="779" t="s">
        <v>113</v>
      </c>
      <c r="I898" s="71"/>
      <c r="J898" s="53">
        <f>G898-T898</f>
        <v>1117981.0499999998</v>
      </c>
      <c r="K898" s="63">
        <f t="shared" si="409"/>
        <v>0.5589905249999999</v>
      </c>
      <c r="L898" s="871">
        <v>18.5</v>
      </c>
      <c r="M898" s="468"/>
      <c r="N898" s="664">
        <f t="shared" si="407"/>
        <v>180504</v>
      </c>
      <c r="O898" s="808" t="s">
        <v>113</v>
      </c>
      <c r="P898" s="103" t="str">
        <f t="shared" si="410"/>
        <v>웹 가이드 센서</v>
      </c>
      <c r="Q898" s="71">
        <f t="shared" si="408"/>
        <v>1</v>
      </c>
      <c r="R898" s="102">
        <v>882018.95000000007</v>
      </c>
      <c r="S898" s="102">
        <f t="shared" si="411"/>
        <v>970220.8450000002</v>
      </c>
      <c r="T898" s="102">
        <f t="shared" si="412"/>
        <v>882018.95000000007</v>
      </c>
      <c r="U898" s="71" t="str">
        <f t="shared" si="413"/>
        <v>X</v>
      </c>
      <c r="V898" s="71"/>
      <c r="W898" s="474"/>
      <c r="X898" s="71"/>
      <c r="Y898" s="71"/>
    </row>
    <row r="899" spans="1:25" s="657" customFormat="1" ht="30" customHeight="1" x14ac:dyDescent="0.25">
      <c r="A899" s="82">
        <v>180504</v>
      </c>
      <c r="B899" s="664" t="s">
        <v>422</v>
      </c>
      <c r="C899" s="71" t="s">
        <v>1236</v>
      </c>
      <c r="D899" s="71">
        <v>6</v>
      </c>
      <c r="E899" s="102">
        <v>120000</v>
      </c>
      <c r="F899" s="102">
        <f t="shared" si="405"/>
        <v>792000.00000000012</v>
      </c>
      <c r="G899" s="102">
        <f t="shared" si="406"/>
        <v>720000</v>
      </c>
      <c r="H899" s="779" t="s">
        <v>113</v>
      </c>
      <c r="I899" s="71"/>
      <c r="J899" s="53">
        <f>G899-T899</f>
        <v>404580</v>
      </c>
      <c r="K899" s="63">
        <f>(J899/(F899/11*10))</f>
        <v>0.56191666666666662</v>
      </c>
      <c r="L899" s="871">
        <v>18.5</v>
      </c>
      <c r="M899" s="468"/>
      <c r="N899" s="664">
        <f t="shared" si="407"/>
        <v>180504</v>
      </c>
      <c r="O899" s="808" t="s">
        <v>113</v>
      </c>
      <c r="P899" s="103" t="str">
        <f t="shared" si="410"/>
        <v>접지칼</v>
      </c>
      <c r="Q899" s="71">
        <f t="shared" si="408"/>
        <v>6</v>
      </c>
      <c r="R899" s="102">
        <v>52570</v>
      </c>
      <c r="S899" s="102">
        <f t="shared" si="411"/>
        <v>346962</v>
      </c>
      <c r="T899" s="102">
        <f t="shared" si="412"/>
        <v>315420</v>
      </c>
      <c r="U899" s="71" t="str">
        <f t="shared" si="413"/>
        <v>X</v>
      </c>
      <c r="V899" s="71"/>
      <c r="W899" s="474"/>
      <c r="X899" s="71"/>
      <c r="Y899" s="71"/>
    </row>
    <row r="900" spans="1:25" s="602" customFormat="1" ht="30" hidden="1" customHeight="1" x14ac:dyDescent="0.25">
      <c r="A900" s="612">
        <v>180504</v>
      </c>
      <c r="B900" s="672" t="s">
        <v>748</v>
      </c>
      <c r="C900" s="411" t="s">
        <v>114</v>
      </c>
      <c r="D900" s="411">
        <v>50</v>
      </c>
      <c r="E900" s="198">
        <v>18000</v>
      </c>
      <c r="F900" s="198">
        <f t="shared" si="405"/>
        <v>990000.00000000012</v>
      </c>
      <c r="G900" s="198">
        <f t="shared" si="406"/>
        <v>900000</v>
      </c>
      <c r="H900" s="816" t="s">
        <v>113</v>
      </c>
      <c r="I900" s="411"/>
      <c r="J900" s="64">
        <f>(G900-(VLOOKUP(C900,Price!B:D,3,FALSE)*D900))</f>
        <v>450000</v>
      </c>
      <c r="K900" s="425">
        <f>(J900/(F900/11*10))</f>
        <v>0.49999999999999994</v>
      </c>
      <c r="L900" s="899">
        <v>18.5</v>
      </c>
      <c r="M900" s="581"/>
      <c r="N900" s="672">
        <f t="shared" si="407"/>
        <v>180504</v>
      </c>
      <c r="O900" s="730" t="s">
        <v>113</v>
      </c>
      <c r="P900" s="465" t="str">
        <f t="shared" si="410"/>
        <v>스트리퍼</v>
      </c>
      <c r="Q900" s="411">
        <f t="shared" si="408"/>
        <v>50</v>
      </c>
      <c r="R900" s="198">
        <v>9000</v>
      </c>
      <c r="S900" s="198">
        <f t="shared" si="411"/>
        <v>495000.00000000006</v>
      </c>
      <c r="T900" s="198">
        <f t="shared" si="412"/>
        <v>450000</v>
      </c>
      <c r="U900" s="411" t="str">
        <f t="shared" si="413"/>
        <v>O</v>
      </c>
      <c r="V900" s="411"/>
      <c r="W900" s="963">
        <f>(G900-T900)</f>
        <v>450000</v>
      </c>
      <c r="X900" s="411"/>
      <c r="Y900" s="411"/>
    </row>
    <row r="901" spans="1:25" ht="30" hidden="1" customHeight="1" x14ac:dyDescent="0.25">
      <c r="A901" s="80">
        <v>180508</v>
      </c>
      <c r="B901" s="663" t="s">
        <v>983</v>
      </c>
      <c r="C901" s="73" t="s">
        <v>1009</v>
      </c>
      <c r="D901" s="73">
        <v>480</v>
      </c>
      <c r="E901" s="147">
        <v>3900</v>
      </c>
      <c r="F901" s="147">
        <f t="shared" si="405"/>
        <v>2059200.0000000002</v>
      </c>
      <c r="G901" s="147">
        <f t="shared" si="406"/>
        <v>1872000</v>
      </c>
      <c r="H901" s="689" t="s">
        <v>173</v>
      </c>
      <c r="I901" s="73" t="s">
        <v>140</v>
      </c>
      <c r="J901" s="60">
        <f>G901-T901</f>
        <v>288000</v>
      </c>
      <c r="K901" s="427">
        <f>(J901/(F901/11*10))</f>
        <v>0.15384615384615383</v>
      </c>
      <c r="L901" s="874">
        <v>18.5</v>
      </c>
      <c r="M901" s="584"/>
      <c r="N901" s="663">
        <f t="shared" si="407"/>
        <v>180508</v>
      </c>
      <c r="O901" s="73" t="s">
        <v>147</v>
      </c>
      <c r="P901" s="132" t="str">
        <f t="shared" si="410"/>
        <v>CTP판(1030*790mm)</v>
      </c>
      <c r="Q901" s="73">
        <f t="shared" si="408"/>
        <v>480</v>
      </c>
      <c r="R901" s="147">
        <v>3300</v>
      </c>
      <c r="S901" s="147">
        <f t="shared" si="411"/>
        <v>1742400.0000000002</v>
      </c>
      <c r="T901" s="147">
        <f t="shared" si="412"/>
        <v>1584000</v>
      </c>
      <c r="U901" s="73" t="str">
        <f t="shared" si="413"/>
        <v>O</v>
      </c>
      <c r="V901" s="73"/>
      <c r="W901" s="473">
        <f>(G901-T901)</f>
        <v>288000</v>
      </c>
      <c r="X901" s="73"/>
      <c r="Y901" s="73"/>
    </row>
    <row r="902" spans="1:25" ht="30" hidden="1" customHeight="1" x14ac:dyDescent="0.25">
      <c r="A902" s="82">
        <v>180508</v>
      </c>
      <c r="B902" s="664" t="s">
        <v>983</v>
      </c>
      <c r="C902" s="71" t="s">
        <v>984</v>
      </c>
      <c r="D902" s="71">
        <v>9</v>
      </c>
      <c r="E902" s="102">
        <v>45000</v>
      </c>
      <c r="F902" s="102">
        <f t="shared" si="405"/>
        <v>445500.00000000006</v>
      </c>
      <c r="G902" s="102">
        <f t="shared" si="406"/>
        <v>405000</v>
      </c>
      <c r="H902" s="690" t="s">
        <v>173</v>
      </c>
      <c r="I902" s="71" t="s">
        <v>140</v>
      </c>
      <c r="J902" s="53">
        <f>G902-T902</f>
        <v>90000</v>
      </c>
      <c r="K902" s="63">
        <f>(J902/(F902/11*10))</f>
        <v>0.22222222222222218</v>
      </c>
      <c r="L902" s="871">
        <v>18.5</v>
      </c>
      <c r="M902" s="468"/>
      <c r="N902" s="664">
        <f t="shared" si="407"/>
        <v>180508</v>
      </c>
      <c r="O902" s="71" t="s">
        <v>147</v>
      </c>
      <c r="P902" s="103" t="str">
        <f t="shared" si="410"/>
        <v>CTP 현상액</v>
      </c>
      <c r="Q902" s="71">
        <f t="shared" si="408"/>
        <v>9</v>
      </c>
      <c r="R902" s="102">
        <v>35000</v>
      </c>
      <c r="S902" s="102">
        <f t="shared" si="411"/>
        <v>346500</v>
      </c>
      <c r="T902" s="102">
        <f t="shared" si="412"/>
        <v>315000</v>
      </c>
      <c r="U902" s="71" t="str">
        <f t="shared" si="413"/>
        <v>O</v>
      </c>
      <c r="V902" s="71"/>
      <c r="W902" s="474">
        <f>(G902-T902)</f>
        <v>90000</v>
      </c>
      <c r="X902" s="71"/>
      <c r="Y902" s="71"/>
    </row>
    <row r="903" spans="1:25" ht="30" hidden="1" customHeight="1" x14ac:dyDescent="0.25">
      <c r="A903" s="82">
        <v>180508</v>
      </c>
      <c r="B903" s="664" t="s">
        <v>445</v>
      </c>
      <c r="C903" s="71" t="s">
        <v>1144</v>
      </c>
      <c r="D903" s="71">
        <v>3</v>
      </c>
      <c r="E903" s="102">
        <v>110000</v>
      </c>
      <c r="F903" s="102">
        <f t="shared" si="405"/>
        <v>363000.00000000006</v>
      </c>
      <c r="G903" s="102">
        <f t="shared" si="406"/>
        <v>330000</v>
      </c>
      <c r="H903" s="690" t="s">
        <v>173</v>
      </c>
      <c r="I903" s="71" t="s">
        <v>142</v>
      </c>
      <c r="J903" s="53">
        <f>G903-T903</f>
        <v>57000</v>
      </c>
      <c r="K903" s="63">
        <f>(J903/(F903/11*10))</f>
        <v>0.1727272727272727</v>
      </c>
      <c r="L903" s="871">
        <v>18.5</v>
      </c>
      <c r="M903" s="468"/>
      <c r="N903" s="664">
        <f t="shared" si="407"/>
        <v>180508</v>
      </c>
      <c r="O903" s="71" t="s">
        <v>150</v>
      </c>
      <c r="P903" s="103" t="str">
        <f t="shared" si="410"/>
        <v>실리콘 에멀전</v>
      </c>
      <c r="Q903" s="71">
        <f t="shared" si="408"/>
        <v>3</v>
      </c>
      <c r="R903" s="102">
        <v>91000</v>
      </c>
      <c r="S903" s="102">
        <f t="shared" si="411"/>
        <v>300300</v>
      </c>
      <c r="T903" s="102">
        <f t="shared" si="412"/>
        <v>273000</v>
      </c>
      <c r="U903" s="71" t="str">
        <f t="shared" si="413"/>
        <v>X</v>
      </c>
      <c r="V903" s="71"/>
      <c r="W903" s="474"/>
      <c r="X903" s="71"/>
      <c r="Y903" s="71"/>
    </row>
    <row r="904" spans="1:25" s="209" customFormat="1" ht="30" hidden="1" customHeight="1" x14ac:dyDescent="0.25">
      <c r="A904" s="82">
        <v>180508</v>
      </c>
      <c r="B904" s="664" t="s">
        <v>445</v>
      </c>
      <c r="C904" s="71" t="s">
        <v>277</v>
      </c>
      <c r="D904" s="71">
        <v>5</v>
      </c>
      <c r="E904" s="102">
        <v>172000</v>
      </c>
      <c r="F904" s="102">
        <f t="shared" si="405"/>
        <v>946000.00000000012</v>
      </c>
      <c r="G904" s="102">
        <f t="shared" si="406"/>
        <v>860000</v>
      </c>
      <c r="H904" s="690" t="s">
        <v>173</v>
      </c>
      <c r="I904" s="71" t="s">
        <v>108</v>
      </c>
      <c r="J904" s="53">
        <f>(G904-(VLOOKUP(C904,Price!B:D,3,FALSE)*D904))</f>
        <v>285000</v>
      </c>
      <c r="K904" s="63">
        <f t="shared" ref="K904:K914" si="415">(J904/(F904/11*10))</f>
        <v>0.33139534883720928</v>
      </c>
      <c r="L904" s="871">
        <v>18.5</v>
      </c>
      <c r="M904" s="468"/>
      <c r="N904" s="664">
        <f t="shared" si="407"/>
        <v>180508</v>
      </c>
      <c r="O904" s="71" t="s">
        <v>150</v>
      </c>
      <c r="P904" s="103" t="str">
        <f>(C904)</f>
        <v>윤전용 세척제(Web 504)</v>
      </c>
      <c r="Q904" s="71">
        <f t="shared" si="408"/>
        <v>5</v>
      </c>
      <c r="R904" s="102">
        <v>115000</v>
      </c>
      <c r="S904" s="102">
        <f>(R904*D904)*1.1</f>
        <v>632500</v>
      </c>
      <c r="T904" s="102">
        <f>(R904*Q904)</f>
        <v>575000</v>
      </c>
      <c r="U904" s="71" t="str">
        <f t="shared" si="413"/>
        <v>O</v>
      </c>
      <c r="V904" s="71"/>
      <c r="W904" s="474">
        <f t="shared" ref="W904:W925" si="416">(G904-T904)</f>
        <v>285000</v>
      </c>
      <c r="X904" s="71"/>
      <c r="Y904" s="71"/>
    </row>
    <row r="905" spans="1:25" ht="30" hidden="1" customHeight="1" x14ac:dyDescent="0.25">
      <c r="A905" s="80">
        <v>180508</v>
      </c>
      <c r="B905" s="663" t="s">
        <v>1052</v>
      </c>
      <c r="C905" s="73" t="s">
        <v>1115</v>
      </c>
      <c r="D905" s="73">
        <v>30</v>
      </c>
      <c r="E905" s="147">
        <v>6200</v>
      </c>
      <c r="F905" s="147">
        <f t="shared" si="405"/>
        <v>204600.00000000003</v>
      </c>
      <c r="G905" s="147">
        <f t="shared" si="406"/>
        <v>186000</v>
      </c>
      <c r="H905" s="689" t="s">
        <v>142</v>
      </c>
      <c r="I905" s="73" t="s">
        <v>144</v>
      </c>
      <c r="J905" s="60">
        <f>G905-T905</f>
        <v>3000</v>
      </c>
      <c r="K905" s="427">
        <f t="shared" si="415"/>
        <v>1.6129032258064512E-2</v>
      </c>
      <c r="L905" s="871">
        <v>18.5</v>
      </c>
      <c r="M905" s="584"/>
      <c r="N905" s="663">
        <f t="shared" si="407"/>
        <v>180508</v>
      </c>
      <c r="O905" s="73" t="s">
        <v>147</v>
      </c>
      <c r="P905" s="132" t="str">
        <f>C905</f>
        <v>한특 잉크(적)</v>
      </c>
      <c r="Q905" s="73">
        <f t="shared" si="408"/>
        <v>30</v>
      </c>
      <c r="R905" s="147">
        <v>6100</v>
      </c>
      <c r="S905" s="147">
        <f>R905*Q905*1.1</f>
        <v>201300.00000000003</v>
      </c>
      <c r="T905" s="147">
        <f>R905*Q905</f>
        <v>183000</v>
      </c>
      <c r="U905" s="73" t="str">
        <f t="shared" si="413"/>
        <v>O</v>
      </c>
      <c r="V905" s="73"/>
      <c r="W905" s="473">
        <f t="shared" si="416"/>
        <v>3000</v>
      </c>
      <c r="X905" s="73"/>
      <c r="Y905" s="73"/>
    </row>
    <row r="906" spans="1:25" ht="30" hidden="1" customHeight="1" x14ac:dyDescent="0.25">
      <c r="A906" s="80">
        <v>180508</v>
      </c>
      <c r="B906" s="664" t="s">
        <v>1052</v>
      </c>
      <c r="C906" s="71" t="s">
        <v>1116</v>
      </c>
      <c r="D906" s="71">
        <v>30</v>
      </c>
      <c r="E906" s="102">
        <v>6000</v>
      </c>
      <c r="F906" s="102">
        <f t="shared" si="405"/>
        <v>198000.00000000003</v>
      </c>
      <c r="G906" s="102">
        <f t="shared" si="406"/>
        <v>180000</v>
      </c>
      <c r="H906" s="690" t="s">
        <v>142</v>
      </c>
      <c r="I906" s="71" t="s">
        <v>144</v>
      </c>
      <c r="J906" s="53">
        <f>G906-T906</f>
        <v>3000</v>
      </c>
      <c r="K906" s="63">
        <f t="shared" si="415"/>
        <v>1.6666666666666663E-2</v>
      </c>
      <c r="L906" s="871">
        <v>18.5</v>
      </c>
      <c r="M906" s="468"/>
      <c r="N906" s="664">
        <f t="shared" si="407"/>
        <v>180508</v>
      </c>
      <c r="O906" s="71" t="s">
        <v>147</v>
      </c>
      <c r="P906" s="103" t="str">
        <f>C906</f>
        <v>한특 잉크(황)</v>
      </c>
      <c r="Q906" s="71">
        <f t="shared" si="408"/>
        <v>30</v>
      </c>
      <c r="R906" s="102">
        <v>5900</v>
      </c>
      <c r="S906" s="102">
        <f>R906*Q906*1.1</f>
        <v>194700.00000000003</v>
      </c>
      <c r="T906" s="102">
        <f>R906*Q906</f>
        <v>177000</v>
      </c>
      <c r="U906" s="71" t="str">
        <f t="shared" si="413"/>
        <v>O</v>
      </c>
      <c r="V906" s="71"/>
      <c r="W906" s="474">
        <f t="shared" si="416"/>
        <v>3000</v>
      </c>
      <c r="X906" s="71"/>
      <c r="Y906" s="71"/>
    </row>
    <row r="907" spans="1:25" ht="30" hidden="1" customHeight="1" x14ac:dyDescent="0.25">
      <c r="A907" s="80">
        <v>180508</v>
      </c>
      <c r="B907" s="664" t="s">
        <v>1052</v>
      </c>
      <c r="C907" s="71" t="s">
        <v>1117</v>
      </c>
      <c r="D907" s="71">
        <v>30</v>
      </c>
      <c r="E907" s="102">
        <v>6500</v>
      </c>
      <c r="F907" s="102">
        <f t="shared" si="405"/>
        <v>214500.00000000003</v>
      </c>
      <c r="G907" s="102">
        <f t="shared" si="406"/>
        <v>195000</v>
      </c>
      <c r="H907" s="690" t="s">
        <v>142</v>
      </c>
      <c r="I907" s="71" t="s">
        <v>144</v>
      </c>
      <c r="J907" s="53">
        <f>G907-T907</f>
        <v>3000</v>
      </c>
      <c r="K907" s="63">
        <f t="shared" si="415"/>
        <v>1.5384615384615382E-2</v>
      </c>
      <c r="L907" s="871">
        <v>18.5</v>
      </c>
      <c r="M907" s="468"/>
      <c r="N907" s="664">
        <f t="shared" si="407"/>
        <v>180508</v>
      </c>
      <c r="O907" s="71" t="s">
        <v>147</v>
      </c>
      <c r="P907" s="103" t="str">
        <f>C907</f>
        <v>한특 잉크(청)</v>
      </c>
      <c r="Q907" s="71">
        <f t="shared" si="408"/>
        <v>30</v>
      </c>
      <c r="R907" s="102">
        <v>6400</v>
      </c>
      <c r="S907" s="102">
        <f>R907*Q907*1.1</f>
        <v>211200.00000000003</v>
      </c>
      <c r="T907" s="102">
        <f>R907*Q907</f>
        <v>192000</v>
      </c>
      <c r="U907" s="71" t="str">
        <f t="shared" si="413"/>
        <v>O</v>
      </c>
      <c r="V907" s="71"/>
      <c r="W907" s="474">
        <f t="shared" si="416"/>
        <v>3000</v>
      </c>
      <c r="X907" s="71"/>
      <c r="Y907" s="71"/>
    </row>
    <row r="908" spans="1:25" ht="30" hidden="1" customHeight="1" x14ac:dyDescent="0.25">
      <c r="A908" s="80">
        <v>180508</v>
      </c>
      <c r="B908" s="664" t="s">
        <v>1052</v>
      </c>
      <c r="C908" s="71" t="s">
        <v>1118</v>
      </c>
      <c r="D908" s="71">
        <v>50</v>
      </c>
      <c r="E908" s="102">
        <v>5600</v>
      </c>
      <c r="F908" s="102">
        <f t="shared" si="405"/>
        <v>308000</v>
      </c>
      <c r="G908" s="102">
        <f t="shared" si="406"/>
        <v>280000</v>
      </c>
      <c r="H908" s="690" t="s">
        <v>142</v>
      </c>
      <c r="I908" s="71" t="s">
        <v>144</v>
      </c>
      <c r="J908" s="53">
        <f>G908-T908</f>
        <v>5000</v>
      </c>
      <c r="K908" s="63">
        <f t="shared" si="415"/>
        <v>1.7857142857142856E-2</v>
      </c>
      <c r="L908" s="871">
        <v>18.5</v>
      </c>
      <c r="M908" s="468"/>
      <c r="N908" s="664">
        <f t="shared" si="407"/>
        <v>180508</v>
      </c>
      <c r="O908" s="71" t="s">
        <v>147</v>
      </c>
      <c r="P908" s="103" t="str">
        <f>C908</f>
        <v>한특 잉크(먹)</v>
      </c>
      <c r="Q908" s="71">
        <f t="shared" si="408"/>
        <v>50</v>
      </c>
      <c r="R908" s="102">
        <v>5500</v>
      </c>
      <c r="S908" s="102">
        <f>R908*Q908*1.1</f>
        <v>302500</v>
      </c>
      <c r="T908" s="102">
        <f>R908*Q908</f>
        <v>275000</v>
      </c>
      <c r="U908" s="71" t="str">
        <f t="shared" si="413"/>
        <v>O</v>
      </c>
      <c r="V908" s="71"/>
      <c r="W908" s="474">
        <f t="shared" si="416"/>
        <v>5000</v>
      </c>
      <c r="X908" s="71"/>
      <c r="Y908" s="71"/>
    </row>
    <row r="909" spans="1:25" ht="30" hidden="1" customHeight="1" x14ac:dyDescent="0.25">
      <c r="A909" s="80">
        <v>180508</v>
      </c>
      <c r="B909" s="663" t="s">
        <v>1051</v>
      </c>
      <c r="C909" s="73" t="s">
        <v>951</v>
      </c>
      <c r="D909" s="73">
        <v>900</v>
      </c>
      <c r="E909" s="147">
        <v>3800</v>
      </c>
      <c r="F909" s="147">
        <f t="shared" si="405"/>
        <v>3762000.0000000005</v>
      </c>
      <c r="G909" s="147">
        <f t="shared" si="406"/>
        <v>3420000</v>
      </c>
      <c r="H909" s="689" t="s">
        <v>142</v>
      </c>
      <c r="I909" s="73" t="s">
        <v>140</v>
      </c>
      <c r="J909" s="60">
        <f>(G909-(VLOOKUP(C909,Price!B:D,3,FALSE)*D909))</f>
        <v>1080000</v>
      </c>
      <c r="K909" s="427">
        <f t="shared" si="415"/>
        <v>0.31578947368421051</v>
      </c>
      <c r="L909" s="80">
        <v>18.5</v>
      </c>
      <c r="M909" s="584"/>
      <c r="N909" s="663">
        <f t="shared" si="407"/>
        <v>180508</v>
      </c>
      <c r="O909" s="73" t="s">
        <v>145</v>
      </c>
      <c r="P909" s="132" t="str">
        <f>(C909)</f>
        <v>ENGAGE 30WEB(883*552)</v>
      </c>
      <c r="Q909" s="73">
        <f t="shared" si="408"/>
        <v>900</v>
      </c>
      <c r="R909" s="147">
        <v>2600</v>
      </c>
      <c r="S909" s="147">
        <f>(R909*D909)*1.1</f>
        <v>2574000</v>
      </c>
      <c r="T909" s="147">
        <f>(R909*Q909)</f>
        <v>2340000</v>
      </c>
      <c r="U909" s="73" t="str">
        <f t="shared" si="413"/>
        <v>O</v>
      </c>
      <c r="V909" s="73"/>
      <c r="W909" s="473">
        <f t="shared" si="416"/>
        <v>1080000</v>
      </c>
      <c r="X909" s="73"/>
      <c r="Y909" s="73"/>
    </row>
    <row r="910" spans="1:25" ht="30" hidden="1" customHeight="1" x14ac:dyDescent="0.25">
      <c r="A910" s="80">
        <v>180508</v>
      </c>
      <c r="B910" s="664" t="s">
        <v>1051</v>
      </c>
      <c r="C910" s="71" t="s">
        <v>524</v>
      </c>
      <c r="D910" s="71">
        <v>900</v>
      </c>
      <c r="E910" s="102">
        <v>3990</v>
      </c>
      <c r="F910" s="102">
        <f>(E910*D910)*1.1</f>
        <v>3950100.0000000005</v>
      </c>
      <c r="G910" s="102">
        <f>(E910*D910)</f>
        <v>3591000</v>
      </c>
      <c r="H910" s="690" t="s">
        <v>142</v>
      </c>
      <c r="I910" s="71" t="s">
        <v>140</v>
      </c>
      <c r="J910" s="53">
        <f>(G910-(VLOOKUP(C910,Price!B:D,3,FALSE)*D910))</f>
        <v>1125000</v>
      </c>
      <c r="K910" s="63">
        <f t="shared" si="415"/>
        <v>0.31328320802005011</v>
      </c>
      <c r="L910" s="871">
        <v>18.5</v>
      </c>
      <c r="M910" s="468"/>
      <c r="N910" s="664">
        <f t="shared" si="407"/>
        <v>180508</v>
      </c>
      <c r="O910" s="71" t="s">
        <v>145</v>
      </c>
      <c r="P910" s="103" t="str">
        <f>C910</f>
        <v>ENGAGE 900X570 - 27RO</v>
      </c>
      <c r="Q910" s="71">
        <f>D910</f>
        <v>900</v>
      </c>
      <c r="R910" s="102">
        <v>2740</v>
      </c>
      <c r="S910" s="102">
        <f t="shared" ref="S910:S915" si="417">R910*Q910*1.1</f>
        <v>2712600</v>
      </c>
      <c r="T910" s="102">
        <f t="shared" ref="T910:T915" si="418">R910*Q910</f>
        <v>2466000</v>
      </c>
      <c r="U910" s="71" t="str">
        <f t="shared" si="413"/>
        <v>O</v>
      </c>
      <c r="V910" s="71"/>
      <c r="W910" s="474">
        <f t="shared" si="416"/>
        <v>1125000</v>
      </c>
      <c r="X910" s="71"/>
      <c r="Y910" s="71"/>
    </row>
    <row r="911" spans="1:25" ht="30" hidden="1" customHeight="1" x14ac:dyDescent="0.25">
      <c r="A911" s="80">
        <v>180508</v>
      </c>
      <c r="B911" s="663" t="s">
        <v>1051</v>
      </c>
      <c r="C911" s="79" t="s">
        <v>197</v>
      </c>
      <c r="D911" s="73">
        <v>10</v>
      </c>
      <c r="E911" s="147">
        <v>58000</v>
      </c>
      <c r="F911" s="147">
        <f>(E911*D911)*1.1</f>
        <v>638000</v>
      </c>
      <c r="G911" s="147">
        <f>(E911*D911)</f>
        <v>580000</v>
      </c>
      <c r="H911" s="689" t="s">
        <v>142</v>
      </c>
      <c r="I911" s="73" t="s">
        <v>140</v>
      </c>
      <c r="J911" s="60">
        <f>(G911-(VLOOKUP(C911,Price!B:D,3,FALSE)*D911))</f>
        <v>230000</v>
      </c>
      <c r="K911" s="427">
        <f t="shared" si="415"/>
        <v>0.39655172413793105</v>
      </c>
      <c r="L911" s="874">
        <v>18.5</v>
      </c>
      <c r="M911" s="584"/>
      <c r="N911" s="663">
        <f t="shared" si="407"/>
        <v>180508</v>
      </c>
      <c r="O911" s="73" t="s">
        <v>145</v>
      </c>
      <c r="P911" s="132" t="str">
        <f>C911</f>
        <v>THR200(20L)</v>
      </c>
      <c r="Q911" s="73">
        <f>D911</f>
        <v>10</v>
      </c>
      <c r="R911" s="147">
        <v>35000</v>
      </c>
      <c r="S911" s="147">
        <f t="shared" si="417"/>
        <v>385000.00000000006</v>
      </c>
      <c r="T911" s="147">
        <f t="shared" si="418"/>
        <v>350000</v>
      </c>
      <c r="U911" s="73" t="str">
        <f t="shared" si="413"/>
        <v>O</v>
      </c>
      <c r="V911" s="73"/>
      <c r="W911" s="473">
        <f t="shared" si="416"/>
        <v>230000</v>
      </c>
      <c r="X911" s="73"/>
      <c r="Y911" s="73"/>
    </row>
    <row r="912" spans="1:25" ht="30" customHeight="1" x14ac:dyDescent="0.25">
      <c r="A912" s="82">
        <v>180508</v>
      </c>
      <c r="B912" s="664" t="s">
        <v>422</v>
      </c>
      <c r="C912" s="71" t="s">
        <v>584</v>
      </c>
      <c r="D912" s="71">
        <v>2</v>
      </c>
      <c r="E912" s="102">
        <v>270000</v>
      </c>
      <c r="F912" s="102">
        <f t="shared" si="405"/>
        <v>594000</v>
      </c>
      <c r="G912" s="102">
        <f t="shared" si="406"/>
        <v>540000</v>
      </c>
      <c r="H912" s="690" t="s">
        <v>173</v>
      </c>
      <c r="I912" s="71" t="s">
        <v>142</v>
      </c>
      <c r="J912" s="53">
        <f>(G912-(VLOOKUP(C912,Price!B:D,3,FALSE)*D912))</f>
        <v>108000</v>
      </c>
      <c r="K912" s="63">
        <f t="shared" si="415"/>
        <v>0.2</v>
      </c>
      <c r="L912" s="871">
        <v>18.5</v>
      </c>
      <c r="M912" s="468"/>
      <c r="N912" s="664">
        <f t="shared" si="407"/>
        <v>180508</v>
      </c>
      <c r="O912" s="71" t="s">
        <v>150</v>
      </c>
      <c r="P912" s="103" t="str">
        <f t="shared" si="410"/>
        <v>데리바리 석션벨트</v>
      </c>
      <c r="Q912" s="71">
        <f t="shared" si="408"/>
        <v>2</v>
      </c>
      <c r="R912" s="102">
        <v>216000</v>
      </c>
      <c r="S912" s="102">
        <f t="shared" si="417"/>
        <v>475200.00000000006</v>
      </c>
      <c r="T912" s="102">
        <f t="shared" si="418"/>
        <v>432000</v>
      </c>
      <c r="U912" s="71" t="str">
        <f t="shared" si="413"/>
        <v>O</v>
      </c>
      <c r="V912" s="71"/>
      <c r="W912" s="474">
        <f t="shared" si="416"/>
        <v>108000</v>
      </c>
      <c r="X912" s="71"/>
      <c r="Y912" s="71"/>
    </row>
    <row r="913" spans="1:25" ht="30" customHeight="1" x14ac:dyDescent="0.25">
      <c r="A913" s="82">
        <v>180508</v>
      </c>
      <c r="B913" s="664" t="s">
        <v>422</v>
      </c>
      <c r="C913" s="71" t="s">
        <v>129</v>
      </c>
      <c r="D913" s="71">
        <v>7</v>
      </c>
      <c r="E913" s="102">
        <v>272000</v>
      </c>
      <c r="F913" s="102">
        <f t="shared" si="405"/>
        <v>2094400.0000000002</v>
      </c>
      <c r="G913" s="102">
        <f t="shared" si="406"/>
        <v>1904000</v>
      </c>
      <c r="H913" s="690" t="s">
        <v>173</v>
      </c>
      <c r="I913" s="71" t="s">
        <v>108</v>
      </c>
      <c r="J913" s="53">
        <f>(G913-(VLOOKUP(C913,Price!B:D,3,FALSE)*D913))</f>
        <v>448000</v>
      </c>
      <c r="K913" s="63">
        <f t="shared" si="415"/>
        <v>0.23529411764705879</v>
      </c>
      <c r="L913" s="871">
        <v>18.5</v>
      </c>
      <c r="M913" s="468"/>
      <c r="N913" s="664">
        <f t="shared" si="407"/>
        <v>180508</v>
      </c>
      <c r="O913" s="71" t="s">
        <v>149</v>
      </c>
      <c r="P913" s="103" t="str">
        <f t="shared" si="410"/>
        <v>세정포-XL106</v>
      </c>
      <c r="Q913" s="71">
        <f t="shared" si="408"/>
        <v>7</v>
      </c>
      <c r="R913" s="102">
        <v>208000</v>
      </c>
      <c r="S913" s="102">
        <f t="shared" si="417"/>
        <v>1601600.0000000002</v>
      </c>
      <c r="T913" s="102">
        <f t="shared" si="418"/>
        <v>1456000</v>
      </c>
      <c r="U913" s="71" t="str">
        <f t="shared" si="413"/>
        <v>O</v>
      </c>
      <c r="V913" s="71"/>
      <c r="W913" s="474">
        <f t="shared" si="416"/>
        <v>448000</v>
      </c>
      <c r="X913" s="71"/>
      <c r="Y913" s="71"/>
    </row>
    <row r="914" spans="1:25" ht="30" customHeight="1" x14ac:dyDescent="0.25">
      <c r="A914" s="82">
        <v>180508</v>
      </c>
      <c r="B914" s="664" t="s">
        <v>565</v>
      </c>
      <c r="C914" s="71" t="s">
        <v>1125</v>
      </c>
      <c r="D914" s="71">
        <v>6</v>
      </c>
      <c r="E914" s="102">
        <v>47500</v>
      </c>
      <c r="F914" s="102">
        <f t="shared" si="405"/>
        <v>313500</v>
      </c>
      <c r="G914" s="102">
        <f t="shared" si="406"/>
        <v>285000</v>
      </c>
      <c r="H914" s="690" t="s">
        <v>173</v>
      </c>
      <c r="I914" s="71" t="s">
        <v>142</v>
      </c>
      <c r="J914" s="60">
        <f>G914-T914</f>
        <v>57000</v>
      </c>
      <c r="K914" s="427">
        <f t="shared" si="415"/>
        <v>0.2</v>
      </c>
      <c r="L914" s="871">
        <v>18.5</v>
      </c>
      <c r="M914" s="468"/>
      <c r="N914" s="664">
        <f t="shared" ref="N914:N921" si="419">A914</f>
        <v>180508</v>
      </c>
      <c r="O914" s="71" t="s">
        <v>150</v>
      </c>
      <c r="P914" s="103" t="str">
        <f>C914</f>
        <v>구리스</v>
      </c>
      <c r="Q914" s="71">
        <f t="shared" si="408"/>
        <v>6</v>
      </c>
      <c r="R914" s="102">
        <v>38000</v>
      </c>
      <c r="S914" s="102">
        <f t="shared" si="417"/>
        <v>250800.00000000003</v>
      </c>
      <c r="T914" s="102">
        <f t="shared" si="418"/>
        <v>228000</v>
      </c>
      <c r="U914" s="71" t="str">
        <f t="shared" si="413"/>
        <v>O</v>
      </c>
      <c r="V914" s="71"/>
      <c r="W914" s="474">
        <f t="shared" si="416"/>
        <v>57000</v>
      </c>
      <c r="X914" s="71"/>
      <c r="Y914" s="71"/>
    </row>
    <row r="915" spans="1:25" s="602" customFormat="1" ht="30" customHeight="1" x14ac:dyDescent="0.25">
      <c r="A915" s="85">
        <v>180508</v>
      </c>
      <c r="B915" s="668" t="s">
        <v>422</v>
      </c>
      <c r="C915" s="962" t="s">
        <v>989</v>
      </c>
      <c r="D915" s="84">
        <v>10</v>
      </c>
      <c r="E915" s="189">
        <v>4500</v>
      </c>
      <c r="F915" s="189">
        <f>(E915*D915)*1.1</f>
        <v>49500.000000000007</v>
      </c>
      <c r="G915" s="189">
        <f t="shared" si="406"/>
        <v>45000</v>
      </c>
      <c r="H915" s="691" t="s">
        <v>173</v>
      </c>
      <c r="I915" s="84" t="s">
        <v>142</v>
      </c>
      <c r="J915" s="61">
        <f>G915-T915</f>
        <v>9000</v>
      </c>
      <c r="K915" s="62">
        <v>0.23529411764705879</v>
      </c>
      <c r="L915" s="873">
        <v>18.5</v>
      </c>
      <c r="M915" s="601"/>
      <c r="N915" s="668">
        <f t="shared" si="419"/>
        <v>180508</v>
      </c>
      <c r="O915" s="84" t="s">
        <v>150</v>
      </c>
      <c r="P915" s="133" t="str">
        <f>C915</f>
        <v>고무사카</v>
      </c>
      <c r="Q915" s="84">
        <f t="shared" si="408"/>
        <v>10</v>
      </c>
      <c r="R915" s="189">
        <v>3600</v>
      </c>
      <c r="S915" s="189">
        <f t="shared" si="417"/>
        <v>39600</v>
      </c>
      <c r="T915" s="189">
        <f t="shared" si="418"/>
        <v>36000</v>
      </c>
      <c r="U915" s="84" t="str">
        <f t="shared" si="413"/>
        <v>O</v>
      </c>
      <c r="V915" s="84"/>
      <c r="W915" s="478">
        <f t="shared" si="416"/>
        <v>9000</v>
      </c>
      <c r="X915" s="84"/>
      <c r="Y915" s="84"/>
    </row>
    <row r="916" spans="1:25" s="209" customFormat="1" ht="33" hidden="1" customHeight="1" x14ac:dyDescent="0.25">
      <c r="A916" s="80">
        <v>180510</v>
      </c>
      <c r="B916" s="663" t="s">
        <v>545</v>
      </c>
      <c r="C916" s="73" t="s">
        <v>129</v>
      </c>
      <c r="D916" s="73">
        <v>1</v>
      </c>
      <c r="E916" s="147">
        <v>256000</v>
      </c>
      <c r="F916" s="147">
        <f t="shared" si="405"/>
        <v>281600</v>
      </c>
      <c r="G916" s="147">
        <f t="shared" si="406"/>
        <v>256000</v>
      </c>
      <c r="H916" s="689" t="s">
        <v>173</v>
      </c>
      <c r="I916" s="73" t="s">
        <v>108</v>
      </c>
      <c r="J916" s="60">
        <f>(G916-(VLOOKUP(C916,Price!B:D,3,FALSE)*D916))</f>
        <v>48000</v>
      </c>
      <c r="K916" s="427">
        <f t="shared" ref="K916:K929" si="420">(J916/(F916/11*10))</f>
        <v>0.1875</v>
      </c>
      <c r="L916" s="80">
        <v>18.5</v>
      </c>
      <c r="M916" s="584"/>
      <c r="N916" s="663">
        <f t="shared" si="419"/>
        <v>180510</v>
      </c>
      <c r="O916" s="73" t="s">
        <v>149</v>
      </c>
      <c r="P916" s="132" t="str">
        <f>(C916)</f>
        <v>세정포-XL106</v>
      </c>
      <c r="Q916" s="73">
        <f t="shared" si="408"/>
        <v>1</v>
      </c>
      <c r="R916" s="147">
        <v>208000</v>
      </c>
      <c r="S916" s="147">
        <f>(R916*D916)*1.1</f>
        <v>228800.00000000003</v>
      </c>
      <c r="T916" s="147">
        <f>(R916*Q916)</f>
        <v>208000</v>
      </c>
      <c r="U916" s="73" t="str">
        <f t="shared" si="413"/>
        <v>O</v>
      </c>
      <c r="V916" s="73"/>
      <c r="W916" s="473">
        <f t="shared" si="416"/>
        <v>48000</v>
      </c>
      <c r="X916" s="73"/>
      <c r="Y916" s="73"/>
    </row>
    <row r="917" spans="1:25" s="209" customFormat="1" ht="30" hidden="1" customHeight="1" x14ac:dyDescent="0.25">
      <c r="A917" s="82">
        <v>180510</v>
      </c>
      <c r="B917" s="664" t="s">
        <v>764</v>
      </c>
      <c r="C917" s="71" t="s">
        <v>236</v>
      </c>
      <c r="D917" s="71">
        <v>5</v>
      </c>
      <c r="E917" s="102">
        <v>100000</v>
      </c>
      <c r="F917" s="102">
        <f t="shared" ref="F917:F926" si="421">(E917*D917)*1.1</f>
        <v>550000</v>
      </c>
      <c r="G917" s="102">
        <f t="shared" ref="G917:G926" si="422">(E917*D917)</f>
        <v>500000</v>
      </c>
      <c r="H917" s="690" t="s">
        <v>173</v>
      </c>
      <c r="I917" s="71" t="s">
        <v>142</v>
      </c>
      <c r="J917" s="53">
        <f>(G917-(VLOOKUP(C917,Price!B:D,3,FALSE)*D917))</f>
        <v>250000</v>
      </c>
      <c r="K917" s="63">
        <f t="shared" si="420"/>
        <v>0.5</v>
      </c>
      <c r="L917" s="871">
        <v>18.5</v>
      </c>
      <c r="M917" s="468"/>
      <c r="N917" s="664">
        <f t="shared" si="419"/>
        <v>180510</v>
      </c>
      <c r="O917" s="71" t="s">
        <v>153</v>
      </c>
      <c r="P917" s="103" t="str">
        <f>C917</f>
        <v>아스테이지(국전)</v>
      </c>
      <c r="Q917" s="71">
        <f t="shared" si="408"/>
        <v>5</v>
      </c>
      <c r="R917" s="102">
        <f>VLOOKUP(P917,Price!B:D,3,FALSE)</f>
        <v>50000</v>
      </c>
      <c r="S917" s="102">
        <f>R917*Q917*1.1</f>
        <v>275000</v>
      </c>
      <c r="T917" s="102">
        <f>R917*Q917</f>
        <v>250000</v>
      </c>
      <c r="U917" s="71" t="str">
        <f t="shared" si="413"/>
        <v>O</v>
      </c>
      <c r="V917" s="71"/>
      <c r="W917" s="474">
        <f t="shared" si="416"/>
        <v>250000</v>
      </c>
      <c r="X917" s="71"/>
      <c r="Y917" s="71"/>
    </row>
    <row r="918" spans="1:25" s="209" customFormat="1" ht="30" hidden="1" customHeight="1" x14ac:dyDescent="0.25">
      <c r="A918" s="82">
        <v>180510</v>
      </c>
      <c r="B918" s="664" t="s">
        <v>567</v>
      </c>
      <c r="C918" s="71" t="s">
        <v>236</v>
      </c>
      <c r="D918" s="71">
        <v>10</v>
      </c>
      <c r="E918" s="102">
        <v>65000</v>
      </c>
      <c r="F918" s="102">
        <f t="shared" si="421"/>
        <v>715000</v>
      </c>
      <c r="G918" s="102">
        <f t="shared" si="422"/>
        <v>650000</v>
      </c>
      <c r="H918" s="690" t="s">
        <v>173</v>
      </c>
      <c r="I918" s="71" t="s">
        <v>142</v>
      </c>
      <c r="J918" s="53">
        <f>(G918-(VLOOKUP(C918,Price!B:D,3,FALSE)*D918))</f>
        <v>150000</v>
      </c>
      <c r="K918" s="63">
        <f t="shared" si="420"/>
        <v>0.23076923076923078</v>
      </c>
      <c r="L918" s="82">
        <v>18.5</v>
      </c>
      <c r="M918" s="468"/>
      <c r="N918" s="664">
        <f t="shared" si="419"/>
        <v>180510</v>
      </c>
      <c r="O918" s="71" t="s">
        <v>153</v>
      </c>
      <c r="P918" s="103" t="str">
        <f>(C918)</f>
        <v>아스테이지(국전)</v>
      </c>
      <c r="Q918" s="71">
        <f t="shared" si="408"/>
        <v>10</v>
      </c>
      <c r="R918" s="102">
        <v>50000</v>
      </c>
      <c r="S918" s="102">
        <f>(R918*D918)*1.1</f>
        <v>550000</v>
      </c>
      <c r="T918" s="102">
        <f>(R918*Q918)</f>
        <v>500000</v>
      </c>
      <c r="U918" s="71" t="str">
        <f t="shared" si="413"/>
        <v>O</v>
      </c>
      <c r="V918" s="71"/>
      <c r="W918" s="474">
        <f t="shared" si="416"/>
        <v>150000</v>
      </c>
      <c r="X918" s="71"/>
      <c r="Y918" s="71"/>
    </row>
    <row r="919" spans="1:25" ht="30" hidden="1" customHeight="1" x14ac:dyDescent="0.25">
      <c r="A919" s="82">
        <v>180510</v>
      </c>
      <c r="B919" s="664" t="s">
        <v>620</v>
      </c>
      <c r="C919" s="71" t="s">
        <v>107</v>
      </c>
      <c r="D919" s="71">
        <v>3</v>
      </c>
      <c r="E919" s="102">
        <v>120000</v>
      </c>
      <c r="F919" s="102">
        <f>(E919*D919)*1.1</f>
        <v>396000.00000000006</v>
      </c>
      <c r="G919" s="102">
        <f>(E919*D919)</f>
        <v>360000</v>
      </c>
      <c r="H919" s="690" t="s">
        <v>173</v>
      </c>
      <c r="I919" s="71" t="s">
        <v>109</v>
      </c>
      <c r="J919" s="53">
        <f>G919-T919</f>
        <v>118500</v>
      </c>
      <c r="K919" s="63">
        <f t="shared" si="420"/>
        <v>0.32916666666666661</v>
      </c>
      <c r="L919" s="871">
        <v>18.5</v>
      </c>
      <c r="M919" s="468"/>
      <c r="N919" s="664">
        <f t="shared" si="419"/>
        <v>180510</v>
      </c>
      <c r="O919" s="71" t="s">
        <v>147</v>
      </c>
      <c r="P919" s="103" t="str">
        <f>C919</f>
        <v>Blanket(1050*840)</v>
      </c>
      <c r="Q919" s="71">
        <f t="shared" si="408"/>
        <v>3</v>
      </c>
      <c r="R919" s="102">
        <v>80500</v>
      </c>
      <c r="S919" s="102">
        <f>(R919*D919)*1.1</f>
        <v>265650</v>
      </c>
      <c r="T919" s="102">
        <f>(R919*Q919)</f>
        <v>241500</v>
      </c>
      <c r="U919" s="71" t="str">
        <f t="shared" si="413"/>
        <v>O</v>
      </c>
      <c r="V919" s="71"/>
      <c r="W919" s="474">
        <f t="shared" si="416"/>
        <v>118500</v>
      </c>
      <c r="X919" s="71"/>
      <c r="Y919" s="71"/>
    </row>
    <row r="920" spans="1:25" s="517" customFormat="1" ht="30" customHeight="1" x14ac:dyDescent="0.25">
      <c r="A920" s="82">
        <v>180515</v>
      </c>
      <c r="B920" s="664" t="s">
        <v>565</v>
      </c>
      <c r="C920" s="71" t="s">
        <v>583</v>
      </c>
      <c r="D920" s="71">
        <v>19</v>
      </c>
      <c r="E920" s="102">
        <v>89000</v>
      </c>
      <c r="F920" s="102">
        <f>(E920*D920)*1.1</f>
        <v>1860100.0000000002</v>
      </c>
      <c r="G920" s="102">
        <f>(E920*D920)</f>
        <v>1691000</v>
      </c>
      <c r="H920" s="690" t="s">
        <v>173</v>
      </c>
      <c r="I920" s="71" t="s">
        <v>108</v>
      </c>
      <c r="J920" s="53">
        <f>(G920-(VLOOKUP(C920,Price!B:D,3,FALSE)*D920))</f>
        <v>855000</v>
      </c>
      <c r="K920" s="63">
        <f t="shared" si="420"/>
        <v>0.50561797752808979</v>
      </c>
      <c r="L920" s="82">
        <v>18.5</v>
      </c>
      <c r="M920" s="468" t="s">
        <v>1271</v>
      </c>
      <c r="N920" s="664">
        <f t="shared" si="419"/>
        <v>180515</v>
      </c>
      <c r="O920" s="71" t="s">
        <v>599</v>
      </c>
      <c r="P920" s="103" t="str">
        <f>(C920)</f>
        <v>M600 윤전 세정포</v>
      </c>
      <c r="Q920" s="71">
        <f t="shared" si="408"/>
        <v>19</v>
      </c>
      <c r="R920" s="102">
        <v>44000</v>
      </c>
      <c r="S920" s="102">
        <f>(R920*D920)*1.1</f>
        <v>919600.00000000012</v>
      </c>
      <c r="T920" s="102">
        <f>(R920*Q920)</f>
        <v>836000</v>
      </c>
      <c r="U920" s="71" t="str">
        <f t="shared" si="413"/>
        <v>O</v>
      </c>
      <c r="V920" s="71"/>
      <c r="W920" s="520">
        <f t="shared" si="416"/>
        <v>855000</v>
      </c>
      <c r="X920" s="71"/>
      <c r="Y920" s="71"/>
    </row>
    <row r="921" spans="1:25" ht="30" hidden="1" customHeight="1" x14ac:dyDescent="0.25">
      <c r="A921" s="80">
        <v>180515</v>
      </c>
      <c r="B921" s="663" t="s">
        <v>764</v>
      </c>
      <c r="C921" s="987" t="s">
        <v>1412</v>
      </c>
      <c r="D921" s="73">
        <v>1</v>
      </c>
      <c r="E921" s="147">
        <v>2100000</v>
      </c>
      <c r="F921" s="147">
        <f t="shared" si="421"/>
        <v>2310000</v>
      </c>
      <c r="G921" s="147">
        <f t="shared" si="422"/>
        <v>2100000</v>
      </c>
      <c r="H921" s="1005" t="s">
        <v>39</v>
      </c>
      <c r="I921" s="73"/>
      <c r="J921" s="60">
        <f>G921-T921</f>
        <v>692172.51674166834</v>
      </c>
      <c r="K921" s="427">
        <f t="shared" si="420"/>
        <v>0.32960596035317541</v>
      </c>
      <c r="L921" s="874">
        <v>18.5</v>
      </c>
      <c r="M921" s="584"/>
      <c r="N921" s="663">
        <f t="shared" si="419"/>
        <v>180515</v>
      </c>
      <c r="O921" s="987" t="s">
        <v>39</v>
      </c>
      <c r="P921" s="132" t="str">
        <f>C921</f>
        <v>Technotrans 도져</v>
      </c>
      <c r="Q921" s="73">
        <f t="shared" si="408"/>
        <v>1</v>
      </c>
      <c r="R921" s="147">
        <f>Import!G630</f>
        <v>1407827.4832583317</v>
      </c>
      <c r="S921" s="147">
        <f>R921*Q921*1.1</f>
        <v>1548610.231584165</v>
      </c>
      <c r="T921" s="147">
        <f>R921*Q921</f>
        <v>1407827.4832583317</v>
      </c>
      <c r="U921" s="73" t="str">
        <f t="shared" si="413"/>
        <v>O</v>
      </c>
      <c r="V921" s="73"/>
      <c r="W921" s="473">
        <f t="shared" si="416"/>
        <v>692172.51674166834</v>
      </c>
      <c r="X921" s="73"/>
      <c r="Y921" s="73"/>
    </row>
    <row r="922" spans="1:25" ht="30" hidden="1" customHeight="1" x14ac:dyDescent="0.25">
      <c r="A922" s="82">
        <v>180515</v>
      </c>
      <c r="B922" s="664" t="s">
        <v>442</v>
      </c>
      <c r="C922" s="71" t="s">
        <v>773</v>
      </c>
      <c r="D922" s="71">
        <v>6</v>
      </c>
      <c r="E922" s="102">
        <v>192000</v>
      </c>
      <c r="F922" s="102">
        <f t="shared" si="421"/>
        <v>1267200</v>
      </c>
      <c r="G922" s="102">
        <f t="shared" si="422"/>
        <v>1152000</v>
      </c>
      <c r="H922" s="690" t="s">
        <v>173</v>
      </c>
      <c r="I922" s="71" t="s">
        <v>109</v>
      </c>
      <c r="J922" s="53">
        <f>(G922-(VLOOKUP(C922,Price!B:D,3,FALSE)*D922))</f>
        <v>144000</v>
      </c>
      <c r="K922" s="63">
        <f t="shared" si="420"/>
        <v>0.125</v>
      </c>
      <c r="L922" s="82">
        <v>18.5</v>
      </c>
      <c r="M922" s="468"/>
      <c r="N922" s="664">
        <f t="shared" ref="N922:N929" si="423">A922</f>
        <v>180515</v>
      </c>
      <c r="O922" s="71" t="s">
        <v>151</v>
      </c>
      <c r="P922" s="103" t="str">
        <f>(C922)</f>
        <v>로랜드 전지 블랑켓(1460*1165)bar</v>
      </c>
      <c r="Q922" s="71">
        <f t="shared" ref="Q922:Q929" si="424">D922</f>
        <v>6</v>
      </c>
      <c r="R922" s="102">
        <v>168000</v>
      </c>
      <c r="S922" s="102">
        <f>(R922*D922)*1.1</f>
        <v>1108800</v>
      </c>
      <c r="T922" s="102">
        <f>(R922*Q922)</f>
        <v>1008000</v>
      </c>
      <c r="U922" s="71" t="str">
        <f t="shared" si="413"/>
        <v>O</v>
      </c>
      <c r="V922" s="71"/>
      <c r="W922" s="474">
        <f t="shared" si="416"/>
        <v>144000</v>
      </c>
      <c r="X922" s="71"/>
      <c r="Y922" s="71"/>
    </row>
    <row r="923" spans="1:25" ht="30" hidden="1" customHeight="1" x14ac:dyDescent="0.25">
      <c r="A923" s="82">
        <v>180515</v>
      </c>
      <c r="B923" s="664" t="s">
        <v>690</v>
      </c>
      <c r="C923" s="71" t="s">
        <v>691</v>
      </c>
      <c r="D923" s="71">
        <v>6</v>
      </c>
      <c r="E923" s="102">
        <v>350000</v>
      </c>
      <c r="F923" s="102">
        <f t="shared" si="421"/>
        <v>2310000</v>
      </c>
      <c r="G923" s="102">
        <f t="shared" si="422"/>
        <v>2100000</v>
      </c>
      <c r="H923" s="690" t="s">
        <v>173</v>
      </c>
      <c r="I923" s="71" t="s">
        <v>109</v>
      </c>
      <c r="J923" s="53">
        <f>(G923-(VLOOKUP(C923,Price!B:D,3,FALSE)*D923))</f>
        <v>240000</v>
      </c>
      <c r="K923" s="63">
        <f t="shared" si="420"/>
        <v>0.11428571428571428</v>
      </c>
      <c r="L923" s="82">
        <v>18.5</v>
      </c>
      <c r="M923" s="468"/>
      <c r="N923" s="664">
        <f t="shared" si="423"/>
        <v>180515</v>
      </c>
      <c r="O923" s="71" t="s">
        <v>151</v>
      </c>
      <c r="P923" s="103" t="str">
        <f>(C923)</f>
        <v>피니토 하이델 국전용 블랑켓</v>
      </c>
      <c r="Q923" s="71">
        <f t="shared" si="424"/>
        <v>6</v>
      </c>
      <c r="R923" s="102">
        <v>310000</v>
      </c>
      <c r="S923" s="102">
        <f>(R923*D923)*1.1</f>
        <v>2046000.0000000002</v>
      </c>
      <c r="T923" s="102">
        <f>(R923*Q923)</f>
        <v>1860000</v>
      </c>
      <c r="U923" s="71" t="str">
        <f t="shared" si="413"/>
        <v>O</v>
      </c>
      <c r="V923" s="71"/>
      <c r="W923" s="474">
        <f t="shared" si="416"/>
        <v>240000</v>
      </c>
      <c r="X923" s="71"/>
      <c r="Y923" s="71"/>
    </row>
    <row r="924" spans="1:25" s="657" customFormat="1" ht="30" hidden="1" customHeight="1" x14ac:dyDescent="0.25">
      <c r="A924" s="82">
        <v>180515</v>
      </c>
      <c r="B924" s="664" t="s">
        <v>546</v>
      </c>
      <c r="C924" s="71" t="s">
        <v>114</v>
      </c>
      <c r="D924" s="71">
        <v>50</v>
      </c>
      <c r="E924" s="102">
        <v>18000</v>
      </c>
      <c r="F924" s="102">
        <f t="shared" si="421"/>
        <v>990000.00000000012</v>
      </c>
      <c r="G924" s="965">
        <f t="shared" si="422"/>
        <v>900000</v>
      </c>
      <c r="H924" s="779" t="s">
        <v>113</v>
      </c>
      <c r="I924" s="967"/>
      <c r="J924" s="968">
        <f>(G924-(VLOOKUP(C924,Price!B:D,3,FALSE)*D924))</f>
        <v>450000</v>
      </c>
      <c r="K924" s="969">
        <f t="shared" si="420"/>
        <v>0.49999999999999994</v>
      </c>
      <c r="L924" s="970">
        <v>18.5</v>
      </c>
      <c r="M924" s="468" t="s">
        <v>1891</v>
      </c>
      <c r="N924" s="971">
        <f t="shared" si="423"/>
        <v>180515</v>
      </c>
      <c r="O924" s="808" t="s">
        <v>113</v>
      </c>
      <c r="P924" s="103" t="str">
        <f>C924</f>
        <v>스트리퍼</v>
      </c>
      <c r="Q924" s="71">
        <f t="shared" si="424"/>
        <v>50</v>
      </c>
      <c r="R924" s="102">
        <v>9000</v>
      </c>
      <c r="S924" s="102">
        <f t="shared" ref="S924:S934" si="425">R924*Q924*1.1</f>
        <v>495000.00000000006</v>
      </c>
      <c r="T924" s="102">
        <f t="shared" ref="T924:T934" si="426">R924*Q924</f>
        <v>450000</v>
      </c>
      <c r="U924" s="71" t="str">
        <f t="shared" ref="U924:U941" si="427">IF(J924=W924,"O", "X")</f>
        <v>O</v>
      </c>
      <c r="V924" s="71"/>
      <c r="W924" s="656">
        <f t="shared" si="416"/>
        <v>450000</v>
      </c>
      <c r="X924" s="71"/>
      <c r="Y924" s="71"/>
    </row>
    <row r="925" spans="1:25" s="803" customFormat="1" ht="30" hidden="1" customHeight="1" x14ac:dyDescent="0.25">
      <c r="A925" s="85">
        <v>180515</v>
      </c>
      <c r="B925" s="668" t="s">
        <v>546</v>
      </c>
      <c r="C925" s="84" t="s">
        <v>123</v>
      </c>
      <c r="D925" s="84">
        <v>20</v>
      </c>
      <c r="E925" s="189">
        <v>30000</v>
      </c>
      <c r="F925" s="189">
        <f t="shared" si="421"/>
        <v>660000</v>
      </c>
      <c r="G925" s="189">
        <f t="shared" si="422"/>
        <v>600000</v>
      </c>
      <c r="H925" s="1006" t="s">
        <v>39</v>
      </c>
      <c r="I925" s="84"/>
      <c r="J925" s="61">
        <f>(G925-(VLOOKUP(C925,Price!B:D,3,FALSE)*D925))</f>
        <v>150780</v>
      </c>
      <c r="K925" s="62">
        <f t="shared" si="420"/>
        <v>0.25130000000000002</v>
      </c>
      <c r="L925" s="873">
        <v>18.5</v>
      </c>
      <c r="M925" s="601"/>
      <c r="N925" s="668">
        <f t="shared" si="423"/>
        <v>180515</v>
      </c>
      <c r="O925" s="1007" t="s">
        <v>39</v>
      </c>
      <c r="P925" s="133" t="str">
        <f>C925</f>
        <v>필터백</v>
      </c>
      <c r="Q925" s="84">
        <f t="shared" si="424"/>
        <v>20</v>
      </c>
      <c r="R925" s="189">
        <f>VLOOKUP(P925,Price!B:D,3,FALSE)</f>
        <v>22461</v>
      </c>
      <c r="S925" s="189">
        <f t="shared" si="425"/>
        <v>494142.00000000006</v>
      </c>
      <c r="T925" s="189">
        <f t="shared" si="426"/>
        <v>449220</v>
      </c>
      <c r="U925" s="84" t="str">
        <f t="shared" si="427"/>
        <v>O</v>
      </c>
      <c r="V925" s="84"/>
      <c r="W925" s="478">
        <f t="shared" si="416"/>
        <v>150780</v>
      </c>
      <c r="X925" s="84"/>
      <c r="Y925" s="84"/>
    </row>
    <row r="926" spans="1:25" ht="30" hidden="1" customHeight="1" x14ac:dyDescent="0.25">
      <c r="A926" s="80">
        <v>180516</v>
      </c>
      <c r="B926" s="663" t="s">
        <v>545</v>
      </c>
      <c r="C926" s="73" t="s">
        <v>805</v>
      </c>
      <c r="D926" s="73">
        <v>3</v>
      </c>
      <c r="E926" s="147">
        <v>180000</v>
      </c>
      <c r="F926" s="147">
        <f t="shared" si="421"/>
        <v>594000</v>
      </c>
      <c r="G926" s="147">
        <f t="shared" si="422"/>
        <v>540000</v>
      </c>
      <c r="H926" s="689" t="s">
        <v>173</v>
      </c>
      <c r="I926" s="73" t="s">
        <v>120</v>
      </c>
      <c r="J926" s="53">
        <f>(G926-(VLOOKUP(C926,Price!B:D,3,FALSE)*D926))</f>
        <v>120000</v>
      </c>
      <c r="K926" s="63">
        <f t="shared" si="420"/>
        <v>0.22222222222222221</v>
      </c>
      <c r="L926" s="874">
        <v>18.5</v>
      </c>
      <c r="M926" s="584"/>
      <c r="N926" s="663">
        <f t="shared" si="423"/>
        <v>180516</v>
      </c>
      <c r="O926" s="73" t="s">
        <v>150</v>
      </c>
      <c r="P926" s="132" t="str">
        <f>C926</f>
        <v>Fount 554</v>
      </c>
      <c r="Q926" s="73">
        <v>3</v>
      </c>
      <c r="R926" s="147">
        <v>140000</v>
      </c>
      <c r="S926" s="147">
        <f t="shared" si="425"/>
        <v>462000.00000000006</v>
      </c>
      <c r="T926" s="147">
        <f t="shared" si="426"/>
        <v>420000</v>
      </c>
      <c r="U926" s="73" t="str">
        <f t="shared" si="427"/>
        <v>X</v>
      </c>
      <c r="V926" s="73"/>
      <c r="W926" s="473"/>
      <c r="X926" s="73"/>
      <c r="Y926" s="73"/>
    </row>
    <row r="927" spans="1:25" ht="30" hidden="1" customHeight="1" x14ac:dyDescent="0.25">
      <c r="A927" s="80">
        <v>180516</v>
      </c>
      <c r="B927" s="664" t="s">
        <v>1061</v>
      </c>
      <c r="C927" s="71" t="s">
        <v>586</v>
      </c>
      <c r="D927" s="71">
        <v>200</v>
      </c>
      <c r="E927" s="102">
        <v>6750</v>
      </c>
      <c r="F927" s="102">
        <f t="shared" ref="F927:F935" si="428">(E927*D927)*1.1</f>
        <v>1485000.0000000002</v>
      </c>
      <c r="G927" s="102">
        <f t="shared" ref="G927:G935" si="429">(E927*D927)</f>
        <v>1350000</v>
      </c>
      <c r="H927" s="690" t="s">
        <v>142</v>
      </c>
      <c r="I927" s="71" t="s">
        <v>144</v>
      </c>
      <c r="J927" s="53">
        <f>(G927-(VLOOKUP(C927,Price!B:D,3,FALSE)*D927))</f>
        <v>114000</v>
      </c>
      <c r="K927" s="63">
        <f t="shared" si="420"/>
        <v>8.4444444444444433E-2</v>
      </c>
      <c r="L927" s="871">
        <v>18.5</v>
      </c>
      <c r="M927" s="468"/>
      <c r="N927" s="664">
        <f t="shared" si="423"/>
        <v>180516</v>
      </c>
      <c r="O927" s="71" t="s">
        <v>147</v>
      </c>
      <c r="P927" s="103" t="str">
        <f t="shared" ref="P927:P934" si="430">C927</f>
        <v>프리미어(황)</v>
      </c>
      <c r="Q927" s="71">
        <f t="shared" si="424"/>
        <v>200</v>
      </c>
      <c r="R927" s="102">
        <v>6180</v>
      </c>
      <c r="S927" s="102">
        <f t="shared" si="425"/>
        <v>1359600</v>
      </c>
      <c r="T927" s="102">
        <f t="shared" si="426"/>
        <v>1236000</v>
      </c>
      <c r="U927" s="71" t="str">
        <f t="shared" si="427"/>
        <v>O</v>
      </c>
      <c r="V927" s="71"/>
      <c r="W927" s="474">
        <f t="shared" ref="W927:W942" si="431">(G927-T927)</f>
        <v>114000</v>
      </c>
      <c r="X927" s="71"/>
      <c r="Y927" s="71"/>
    </row>
    <row r="928" spans="1:25" s="616" customFormat="1" ht="30" hidden="1" customHeight="1" x14ac:dyDescent="0.25">
      <c r="A928" s="80">
        <v>180516</v>
      </c>
      <c r="B928" s="664" t="s">
        <v>1061</v>
      </c>
      <c r="C928" s="71" t="s">
        <v>587</v>
      </c>
      <c r="D928" s="71">
        <v>200</v>
      </c>
      <c r="E928" s="102">
        <v>8000</v>
      </c>
      <c r="F928" s="102">
        <f t="shared" si="428"/>
        <v>1760000.0000000002</v>
      </c>
      <c r="G928" s="102">
        <f t="shared" si="429"/>
        <v>1600000</v>
      </c>
      <c r="H928" s="690" t="s">
        <v>142</v>
      </c>
      <c r="I928" s="71" t="s">
        <v>144</v>
      </c>
      <c r="J928" s="53">
        <f>(G928-(VLOOKUP(C928,Price!B:D,3,FALSE)*D928))</f>
        <v>218000</v>
      </c>
      <c r="K928" s="63">
        <f t="shared" si="420"/>
        <v>0.13624999999999998</v>
      </c>
      <c r="L928" s="871">
        <v>18.5</v>
      </c>
      <c r="M928" s="468"/>
      <c r="N928" s="664">
        <f t="shared" si="423"/>
        <v>180516</v>
      </c>
      <c r="O928" s="71" t="s">
        <v>147</v>
      </c>
      <c r="P928" s="103" t="str">
        <f t="shared" si="430"/>
        <v>프리미어(청)</v>
      </c>
      <c r="Q928" s="71">
        <f t="shared" si="424"/>
        <v>200</v>
      </c>
      <c r="R928" s="102">
        <v>6910</v>
      </c>
      <c r="S928" s="102">
        <f t="shared" si="425"/>
        <v>1520200.0000000002</v>
      </c>
      <c r="T928" s="102">
        <f t="shared" si="426"/>
        <v>1382000</v>
      </c>
      <c r="U928" s="71" t="str">
        <f t="shared" si="427"/>
        <v>O</v>
      </c>
      <c r="V928" s="71"/>
      <c r="W928" s="474">
        <f t="shared" si="431"/>
        <v>218000</v>
      </c>
      <c r="X928" s="71"/>
      <c r="Y928" s="71"/>
    </row>
    <row r="929" spans="1:25" s="657" customFormat="1" ht="30" hidden="1" customHeight="1" x14ac:dyDescent="0.25">
      <c r="A929" s="82">
        <v>180516</v>
      </c>
      <c r="B929" s="664" t="s">
        <v>1061</v>
      </c>
      <c r="C929" s="71" t="s">
        <v>616</v>
      </c>
      <c r="D929" s="71">
        <v>200</v>
      </c>
      <c r="E929" s="102">
        <v>6600</v>
      </c>
      <c r="F929" s="102">
        <f t="shared" si="428"/>
        <v>1452000.0000000002</v>
      </c>
      <c r="G929" s="102">
        <f t="shared" si="429"/>
        <v>1320000</v>
      </c>
      <c r="H929" s="690" t="s">
        <v>142</v>
      </c>
      <c r="I929" s="71" t="s">
        <v>144</v>
      </c>
      <c r="J929" s="53">
        <f>(G929-(VLOOKUP(C929,Price!B:D,3,FALSE)*D929))</f>
        <v>140000</v>
      </c>
      <c r="K929" s="63">
        <f t="shared" si="420"/>
        <v>0.10606060606060604</v>
      </c>
      <c r="L929" s="871">
        <v>18.5</v>
      </c>
      <c r="M929" s="468"/>
      <c r="N929" s="664">
        <f t="shared" si="423"/>
        <v>180516</v>
      </c>
      <c r="O929" s="71" t="s">
        <v>147</v>
      </c>
      <c r="P929" s="103" t="str">
        <f t="shared" si="430"/>
        <v>프리미어(먹)</v>
      </c>
      <c r="Q929" s="71">
        <f t="shared" si="424"/>
        <v>200</v>
      </c>
      <c r="R929" s="102">
        <v>5900</v>
      </c>
      <c r="S929" s="102">
        <f t="shared" si="425"/>
        <v>1298000</v>
      </c>
      <c r="T929" s="102">
        <f t="shared" si="426"/>
        <v>1180000</v>
      </c>
      <c r="U929" s="71" t="str">
        <f t="shared" si="427"/>
        <v>O</v>
      </c>
      <c r="V929" s="71"/>
      <c r="W929" s="474">
        <f t="shared" si="431"/>
        <v>140000</v>
      </c>
      <c r="X929" s="71"/>
      <c r="Y929" s="71"/>
    </row>
    <row r="930" spans="1:25" ht="30" hidden="1" customHeight="1" x14ac:dyDescent="0.25">
      <c r="A930" s="80">
        <v>180516</v>
      </c>
      <c r="B930" s="663" t="s">
        <v>546</v>
      </c>
      <c r="C930" s="73" t="s">
        <v>121</v>
      </c>
      <c r="D930" s="73">
        <v>8</v>
      </c>
      <c r="E930" s="147">
        <v>110000</v>
      </c>
      <c r="F930" s="147">
        <f t="shared" si="428"/>
        <v>968000.00000000012</v>
      </c>
      <c r="G930" s="147">
        <f t="shared" si="429"/>
        <v>880000</v>
      </c>
      <c r="H930" s="689" t="s">
        <v>173</v>
      </c>
      <c r="I930" s="73" t="s">
        <v>142</v>
      </c>
      <c r="J930" s="60">
        <f>(G930-(VLOOKUP(C930,Price!B:D,3,FALSE)*D930))</f>
        <v>152000</v>
      </c>
      <c r="K930" s="427">
        <f t="shared" ref="K930:K935" si="432">(J930/(F930/11*10))</f>
        <v>0.1727272727272727</v>
      </c>
      <c r="L930" s="874">
        <v>18.5</v>
      </c>
      <c r="M930" s="584"/>
      <c r="N930" s="663">
        <f t="shared" ref="N930:N948" si="433">A930</f>
        <v>180516</v>
      </c>
      <c r="O930" s="73" t="s">
        <v>150</v>
      </c>
      <c r="P930" s="132" t="str">
        <f t="shared" si="430"/>
        <v>윤전용 실리콘</v>
      </c>
      <c r="Q930" s="73">
        <f t="shared" ref="Q930:Q950" si="434">D930</f>
        <v>8</v>
      </c>
      <c r="R930" s="147">
        <v>91000</v>
      </c>
      <c r="S930" s="147">
        <f t="shared" si="425"/>
        <v>800800.00000000012</v>
      </c>
      <c r="T930" s="147">
        <f t="shared" si="426"/>
        <v>728000</v>
      </c>
      <c r="U930" s="73" t="str">
        <f t="shared" si="427"/>
        <v>O</v>
      </c>
      <c r="V930" s="73"/>
      <c r="W930" s="473">
        <f t="shared" si="431"/>
        <v>152000</v>
      </c>
      <c r="X930" s="73"/>
      <c r="Y930" s="73"/>
    </row>
    <row r="931" spans="1:25" ht="30" hidden="1" customHeight="1" x14ac:dyDescent="0.25">
      <c r="A931" s="80">
        <v>180516</v>
      </c>
      <c r="B931" s="663" t="s">
        <v>1052</v>
      </c>
      <c r="C931" s="73" t="s">
        <v>1115</v>
      </c>
      <c r="D931" s="73">
        <v>50</v>
      </c>
      <c r="E931" s="147">
        <v>6200</v>
      </c>
      <c r="F931" s="147">
        <f t="shared" si="428"/>
        <v>341000</v>
      </c>
      <c r="G931" s="147">
        <f t="shared" si="429"/>
        <v>310000</v>
      </c>
      <c r="H931" s="689" t="s">
        <v>142</v>
      </c>
      <c r="I931" s="73" t="s">
        <v>144</v>
      </c>
      <c r="J931" s="60">
        <f>G931-T931</f>
        <v>5000</v>
      </c>
      <c r="K931" s="427">
        <f t="shared" si="432"/>
        <v>1.6129032258064516E-2</v>
      </c>
      <c r="L931" s="874">
        <v>18.5</v>
      </c>
      <c r="M931" s="584"/>
      <c r="N931" s="663">
        <f t="shared" si="433"/>
        <v>180516</v>
      </c>
      <c r="O931" s="73" t="s">
        <v>147</v>
      </c>
      <c r="P931" s="132" t="str">
        <f t="shared" si="430"/>
        <v>한특 잉크(적)</v>
      </c>
      <c r="Q931" s="73">
        <f t="shared" si="434"/>
        <v>50</v>
      </c>
      <c r="R931" s="147">
        <v>6100</v>
      </c>
      <c r="S931" s="147">
        <f t="shared" si="425"/>
        <v>335500</v>
      </c>
      <c r="T931" s="147">
        <f t="shared" si="426"/>
        <v>305000</v>
      </c>
      <c r="U931" s="73" t="str">
        <f t="shared" si="427"/>
        <v>O</v>
      </c>
      <c r="V931" s="73"/>
      <c r="W931" s="473">
        <f t="shared" si="431"/>
        <v>5000</v>
      </c>
      <c r="X931" s="73"/>
      <c r="Y931" s="73"/>
    </row>
    <row r="932" spans="1:25" ht="30" hidden="1" customHeight="1" x14ac:dyDescent="0.25">
      <c r="A932" s="80">
        <v>180516</v>
      </c>
      <c r="B932" s="664" t="s">
        <v>1052</v>
      </c>
      <c r="C932" s="71" t="s">
        <v>1116</v>
      </c>
      <c r="D932" s="71">
        <v>50</v>
      </c>
      <c r="E932" s="102">
        <v>6000</v>
      </c>
      <c r="F932" s="102">
        <f t="shared" si="428"/>
        <v>330000</v>
      </c>
      <c r="G932" s="102">
        <f t="shared" si="429"/>
        <v>300000</v>
      </c>
      <c r="H932" s="690" t="s">
        <v>142</v>
      </c>
      <c r="I932" s="71" t="s">
        <v>144</v>
      </c>
      <c r="J932" s="53">
        <f>G932-T932</f>
        <v>5000</v>
      </c>
      <c r="K932" s="63">
        <f t="shared" si="432"/>
        <v>1.6666666666666666E-2</v>
      </c>
      <c r="L932" s="871">
        <v>18.5</v>
      </c>
      <c r="M932" s="468"/>
      <c r="N932" s="664">
        <f t="shared" si="433"/>
        <v>180516</v>
      </c>
      <c r="O932" s="71" t="s">
        <v>147</v>
      </c>
      <c r="P932" s="103" t="str">
        <f t="shared" si="430"/>
        <v>한특 잉크(황)</v>
      </c>
      <c r="Q932" s="71">
        <f t="shared" si="434"/>
        <v>50</v>
      </c>
      <c r="R932" s="102">
        <v>5900</v>
      </c>
      <c r="S932" s="102">
        <f t="shared" si="425"/>
        <v>324500</v>
      </c>
      <c r="T932" s="102">
        <f t="shared" si="426"/>
        <v>295000</v>
      </c>
      <c r="U932" s="71" t="str">
        <f t="shared" si="427"/>
        <v>O</v>
      </c>
      <c r="V932" s="71"/>
      <c r="W932" s="474">
        <f t="shared" si="431"/>
        <v>5000</v>
      </c>
      <c r="X932" s="71"/>
      <c r="Y932" s="71"/>
    </row>
    <row r="933" spans="1:25" ht="30" hidden="1" customHeight="1" x14ac:dyDescent="0.25">
      <c r="A933" s="80">
        <v>180516</v>
      </c>
      <c r="B933" s="664" t="s">
        <v>1052</v>
      </c>
      <c r="C933" s="71" t="s">
        <v>1117</v>
      </c>
      <c r="D933" s="71">
        <v>100</v>
      </c>
      <c r="E933" s="102">
        <v>6500</v>
      </c>
      <c r="F933" s="102">
        <f t="shared" si="428"/>
        <v>715000</v>
      </c>
      <c r="G933" s="102">
        <f t="shared" si="429"/>
        <v>650000</v>
      </c>
      <c r="H933" s="690" t="s">
        <v>142</v>
      </c>
      <c r="I933" s="71" t="s">
        <v>144</v>
      </c>
      <c r="J933" s="53">
        <f>G933-T933</f>
        <v>10000</v>
      </c>
      <c r="K933" s="63">
        <f t="shared" si="432"/>
        <v>1.5384615384615385E-2</v>
      </c>
      <c r="L933" s="871">
        <v>18.5</v>
      </c>
      <c r="M933" s="468"/>
      <c r="N933" s="664">
        <f t="shared" si="433"/>
        <v>180516</v>
      </c>
      <c r="O933" s="71" t="s">
        <v>147</v>
      </c>
      <c r="P933" s="103" t="str">
        <f t="shared" si="430"/>
        <v>한특 잉크(청)</v>
      </c>
      <c r="Q933" s="71">
        <f t="shared" si="434"/>
        <v>100</v>
      </c>
      <c r="R933" s="102">
        <v>6400</v>
      </c>
      <c r="S933" s="102">
        <f t="shared" si="425"/>
        <v>704000</v>
      </c>
      <c r="T933" s="102">
        <f t="shared" si="426"/>
        <v>640000</v>
      </c>
      <c r="U933" s="71" t="str">
        <f t="shared" si="427"/>
        <v>O</v>
      </c>
      <c r="V933" s="71"/>
      <c r="W933" s="474">
        <f t="shared" si="431"/>
        <v>10000</v>
      </c>
      <c r="X933" s="71"/>
      <c r="Y933" s="71"/>
    </row>
    <row r="934" spans="1:25" s="602" customFormat="1" ht="30" hidden="1" customHeight="1" x14ac:dyDescent="0.25">
      <c r="A934" s="612">
        <v>180516</v>
      </c>
      <c r="B934" s="668" t="s">
        <v>1052</v>
      </c>
      <c r="C934" s="84" t="s">
        <v>1118</v>
      </c>
      <c r="D934" s="84">
        <v>50</v>
      </c>
      <c r="E934" s="189">
        <v>5600</v>
      </c>
      <c r="F934" s="189">
        <f t="shared" si="428"/>
        <v>308000</v>
      </c>
      <c r="G934" s="189">
        <f t="shared" si="429"/>
        <v>280000</v>
      </c>
      <c r="H934" s="691" t="s">
        <v>142</v>
      </c>
      <c r="I934" s="84" t="s">
        <v>144</v>
      </c>
      <c r="J934" s="61">
        <f>G934-T934</f>
        <v>5000</v>
      </c>
      <c r="K934" s="62">
        <f t="shared" si="432"/>
        <v>1.7857142857142856E-2</v>
      </c>
      <c r="L934" s="873">
        <v>18.5</v>
      </c>
      <c r="M934" s="601"/>
      <c r="N934" s="668">
        <f t="shared" si="433"/>
        <v>180516</v>
      </c>
      <c r="O934" s="84" t="s">
        <v>147</v>
      </c>
      <c r="P934" s="133" t="str">
        <f t="shared" si="430"/>
        <v>한특 잉크(먹)</v>
      </c>
      <c r="Q934" s="84">
        <f t="shared" si="434"/>
        <v>50</v>
      </c>
      <c r="R934" s="189">
        <v>5500</v>
      </c>
      <c r="S934" s="189">
        <f t="shared" si="425"/>
        <v>302500</v>
      </c>
      <c r="T934" s="189">
        <f t="shared" si="426"/>
        <v>275000</v>
      </c>
      <c r="U934" s="84" t="str">
        <f t="shared" si="427"/>
        <v>O</v>
      </c>
      <c r="V934" s="84"/>
      <c r="W934" s="478">
        <f t="shared" si="431"/>
        <v>5000</v>
      </c>
      <c r="X934" s="84"/>
      <c r="Y934" s="84"/>
    </row>
    <row r="935" spans="1:25" s="215" customFormat="1" ht="30" customHeight="1" x14ac:dyDescent="0.2">
      <c r="A935" s="942">
        <v>180517</v>
      </c>
      <c r="B935" s="673" t="s">
        <v>422</v>
      </c>
      <c r="C935" s="88" t="s">
        <v>130</v>
      </c>
      <c r="D935" s="88">
        <v>10</v>
      </c>
      <c r="E935" s="470">
        <v>125000</v>
      </c>
      <c r="F935" s="943">
        <f t="shared" si="428"/>
        <v>1375000</v>
      </c>
      <c r="G935" s="943">
        <f t="shared" si="429"/>
        <v>1250000</v>
      </c>
      <c r="H935" s="944" t="s">
        <v>172</v>
      </c>
      <c r="I935" s="88" t="s">
        <v>109</v>
      </c>
      <c r="J935" s="107">
        <f>(G935-(VLOOKUP(C935,Price!B:D,3,FALSE)*D935))</f>
        <v>260000</v>
      </c>
      <c r="K935" s="469">
        <f t="shared" si="432"/>
        <v>0.20799999999999999</v>
      </c>
      <c r="L935" s="875">
        <v>18.5</v>
      </c>
      <c r="M935" s="575"/>
      <c r="N935" s="673">
        <f t="shared" si="433"/>
        <v>180517</v>
      </c>
      <c r="O935" s="88" t="s">
        <v>150</v>
      </c>
      <c r="P935" s="134" t="str">
        <f>(C935)</f>
        <v>XL106 Blanket(1077*885)</v>
      </c>
      <c r="Q935" s="88">
        <f t="shared" si="434"/>
        <v>10</v>
      </c>
      <c r="R935" s="470">
        <v>99000</v>
      </c>
      <c r="S935" s="470">
        <f>(R935*D935)*1.1</f>
        <v>1089000</v>
      </c>
      <c r="T935" s="470">
        <f>(R935*Q935)</f>
        <v>990000</v>
      </c>
      <c r="U935" s="88" t="str">
        <f t="shared" si="427"/>
        <v>O</v>
      </c>
      <c r="V935" s="88"/>
      <c r="W935" s="945">
        <f t="shared" si="431"/>
        <v>260000</v>
      </c>
      <c r="X935" s="88"/>
      <c r="Y935" s="88"/>
    </row>
    <row r="936" spans="1:25" s="209" customFormat="1" ht="30" hidden="1" customHeight="1" x14ac:dyDescent="0.2">
      <c r="A936" s="428">
        <v>180518</v>
      </c>
      <c r="B936" s="663" t="s">
        <v>445</v>
      </c>
      <c r="C936" s="73" t="s">
        <v>107</v>
      </c>
      <c r="D936" s="73">
        <v>5</v>
      </c>
      <c r="E936" s="147">
        <v>108000</v>
      </c>
      <c r="F936" s="160">
        <f t="shared" ref="F936:F965" si="435">(E936*D936)*1.1</f>
        <v>594000</v>
      </c>
      <c r="G936" s="160">
        <f t="shared" ref="G936:G965" si="436">(E936*D936)</f>
        <v>540000</v>
      </c>
      <c r="H936" s="161" t="s">
        <v>172</v>
      </c>
      <c r="I936" s="73" t="s">
        <v>109</v>
      </c>
      <c r="J936" s="60">
        <f>(G936-(VLOOKUP(C936,Price!B:D,3,FALSE)*D936))</f>
        <v>137500</v>
      </c>
      <c r="K936" s="427">
        <f>(J936/(F936/11*10))</f>
        <v>0.25462962962962965</v>
      </c>
      <c r="L936" s="874">
        <v>18.5</v>
      </c>
      <c r="M936" s="584"/>
      <c r="N936" s="663">
        <f t="shared" si="433"/>
        <v>180518</v>
      </c>
      <c r="O936" s="73" t="s">
        <v>147</v>
      </c>
      <c r="P936" s="132" t="str">
        <f>(C936)</f>
        <v>Blanket(1050*840)</v>
      </c>
      <c r="Q936" s="73">
        <f t="shared" si="434"/>
        <v>5</v>
      </c>
      <c r="R936" s="147">
        <v>80500</v>
      </c>
      <c r="S936" s="147">
        <f>(R936*D936)*1.1</f>
        <v>442750.00000000006</v>
      </c>
      <c r="T936" s="147">
        <f>(R936*Q936)</f>
        <v>402500</v>
      </c>
      <c r="U936" s="73" t="str">
        <f t="shared" si="427"/>
        <v>O</v>
      </c>
      <c r="V936" s="73"/>
      <c r="W936" s="473">
        <f t="shared" si="431"/>
        <v>137500</v>
      </c>
      <c r="X936" s="73"/>
      <c r="Y936" s="73"/>
    </row>
    <row r="937" spans="1:25" s="209" customFormat="1" ht="30" hidden="1" customHeight="1" x14ac:dyDescent="0.2">
      <c r="A937" s="429">
        <v>180518</v>
      </c>
      <c r="B937" s="664" t="s">
        <v>445</v>
      </c>
      <c r="C937" s="71" t="s">
        <v>231</v>
      </c>
      <c r="D937" s="71">
        <v>10</v>
      </c>
      <c r="E937" s="102">
        <v>120000</v>
      </c>
      <c r="F937" s="163">
        <f t="shared" si="435"/>
        <v>1320000</v>
      </c>
      <c r="G937" s="163">
        <f t="shared" si="436"/>
        <v>1200000</v>
      </c>
      <c r="H937" s="165" t="s">
        <v>172</v>
      </c>
      <c r="I937" s="71" t="s">
        <v>109</v>
      </c>
      <c r="J937" s="53">
        <f>(G937-(VLOOKUP(C937,Price!B:D,3,FALSE)*D937))</f>
        <v>80000</v>
      </c>
      <c r="K937" s="63">
        <f>(J937/(F937/11*10))</f>
        <v>6.6666666666666666E-2</v>
      </c>
      <c r="L937" s="871">
        <v>18.5</v>
      </c>
      <c r="M937" s="468"/>
      <c r="N937" s="664">
        <f t="shared" si="433"/>
        <v>180518</v>
      </c>
      <c r="O937" s="71" t="s">
        <v>151</v>
      </c>
      <c r="P937" s="103" t="str">
        <f>(C937)</f>
        <v>Blanket(990*725)</v>
      </c>
      <c r="Q937" s="71">
        <f t="shared" si="434"/>
        <v>10</v>
      </c>
      <c r="R937" s="102">
        <v>112000</v>
      </c>
      <c r="S937" s="102">
        <f>(R937*D937)*1.1</f>
        <v>1232000</v>
      </c>
      <c r="T937" s="102">
        <f>(R937*Q937)</f>
        <v>1120000</v>
      </c>
      <c r="U937" s="71" t="str">
        <f t="shared" si="427"/>
        <v>O</v>
      </c>
      <c r="V937" s="71"/>
      <c r="W937" s="474">
        <f t="shared" si="431"/>
        <v>80000</v>
      </c>
      <c r="X937" s="71"/>
      <c r="Y937" s="71"/>
    </row>
    <row r="938" spans="1:25" ht="30" hidden="1" customHeight="1" x14ac:dyDescent="0.25">
      <c r="A938" s="82">
        <v>180518</v>
      </c>
      <c r="B938" s="664" t="s">
        <v>690</v>
      </c>
      <c r="C938" s="71" t="s">
        <v>1186</v>
      </c>
      <c r="D938" s="71">
        <v>500</v>
      </c>
      <c r="E938" s="102">
        <v>3850</v>
      </c>
      <c r="F938" s="102">
        <f t="shared" si="435"/>
        <v>2117500</v>
      </c>
      <c r="G938" s="102">
        <f t="shared" si="436"/>
        <v>1925000</v>
      </c>
      <c r="H938" s="690" t="s">
        <v>173</v>
      </c>
      <c r="I938" s="71" t="s">
        <v>140</v>
      </c>
      <c r="J938" s="53">
        <f>(G938-(VLOOKUP(C938,Price!B:D,3,FALSE)*D938))</f>
        <v>-75000</v>
      </c>
      <c r="K938" s="63">
        <f>(J938/(F938/11*10))</f>
        <v>-3.896103896103896E-2</v>
      </c>
      <c r="L938" s="871">
        <v>18.5</v>
      </c>
      <c r="M938" s="468" t="s">
        <v>1190</v>
      </c>
      <c r="N938" s="664">
        <f t="shared" si="433"/>
        <v>180518</v>
      </c>
      <c r="O938" s="71" t="s">
        <v>145</v>
      </c>
      <c r="P938" s="103" t="str">
        <f t="shared" ref="P938:P944" si="437">C938</f>
        <v>CTP 판(1030*790mm)</v>
      </c>
      <c r="Q938" s="71">
        <f t="shared" si="434"/>
        <v>500</v>
      </c>
      <c r="R938" s="102">
        <v>4000</v>
      </c>
      <c r="S938" s="102">
        <f t="shared" ref="S938:S944" si="438">R938*Q938*1.1</f>
        <v>2200000</v>
      </c>
      <c r="T938" s="102">
        <f t="shared" ref="T938:T944" si="439">R938*Q938</f>
        <v>2000000</v>
      </c>
      <c r="U938" s="71" t="str">
        <f t="shared" si="427"/>
        <v>O</v>
      </c>
      <c r="V938" s="71"/>
      <c r="W938" s="474">
        <f t="shared" si="431"/>
        <v>-75000</v>
      </c>
      <c r="X938" s="71"/>
      <c r="Y938" s="71"/>
    </row>
    <row r="939" spans="1:25" ht="30" hidden="1" customHeight="1" x14ac:dyDescent="0.25">
      <c r="A939" s="82">
        <v>180518</v>
      </c>
      <c r="B939" s="664" t="s">
        <v>690</v>
      </c>
      <c r="C939" s="71" t="s">
        <v>750</v>
      </c>
      <c r="D939" s="71">
        <v>4</v>
      </c>
      <c r="E939" s="102">
        <v>58000</v>
      </c>
      <c r="F939" s="102">
        <f t="shared" si="435"/>
        <v>255200.00000000003</v>
      </c>
      <c r="G939" s="102">
        <f t="shared" si="436"/>
        <v>232000</v>
      </c>
      <c r="H939" s="690" t="s">
        <v>173</v>
      </c>
      <c r="I939" s="71" t="s">
        <v>140</v>
      </c>
      <c r="J939" s="53">
        <f>(G939-(VLOOKUP(C939,Price!B:D,3,FALSE)*D939))</f>
        <v>92000</v>
      </c>
      <c r="K939" s="63">
        <f>(J939/(F939/11*10))</f>
        <v>0.39655172413793099</v>
      </c>
      <c r="L939" s="871">
        <v>18.5</v>
      </c>
      <c r="M939" s="468"/>
      <c r="N939" s="664">
        <f t="shared" si="433"/>
        <v>180518</v>
      </c>
      <c r="O939" s="71" t="s">
        <v>145</v>
      </c>
      <c r="P939" s="103" t="str">
        <f t="shared" si="437"/>
        <v>THD200(20L)</v>
      </c>
      <c r="Q939" s="71">
        <f t="shared" si="434"/>
        <v>4</v>
      </c>
      <c r="R939" s="102">
        <v>35000</v>
      </c>
      <c r="S939" s="102">
        <f t="shared" si="438"/>
        <v>154000</v>
      </c>
      <c r="T939" s="102">
        <f t="shared" si="439"/>
        <v>140000</v>
      </c>
      <c r="U939" s="71" t="str">
        <f t="shared" si="427"/>
        <v>O</v>
      </c>
      <c r="V939" s="71"/>
      <c r="W939" s="474">
        <f t="shared" si="431"/>
        <v>92000</v>
      </c>
      <c r="X939" s="71"/>
      <c r="Y939" s="71"/>
    </row>
    <row r="940" spans="1:25" s="602" customFormat="1" ht="30" hidden="1" customHeight="1" x14ac:dyDescent="0.25">
      <c r="A940" s="85">
        <v>180518</v>
      </c>
      <c r="B940" s="668" t="s">
        <v>690</v>
      </c>
      <c r="C940" s="84" t="s">
        <v>752</v>
      </c>
      <c r="D940" s="84">
        <v>1</v>
      </c>
      <c r="E940" s="189">
        <v>85000</v>
      </c>
      <c r="F940" s="189">
        <f t="shared" si="435"/>
        <v>93500.000000000015</v>
      </c>
      <c r="G940" s="189">
        <f t="shared" si="436"/>
        <v>85000</v>
      </c>
      <c r="H940" s="691" t="s">
        <v>173</v>
      </c>
      <c r="I940" s="84" t="s">
        <v>140</v>
      </c>
      <c r="J940" s="61">
        <f>(G940-(VLOOKUP(C940,Price!B:D,3,FALSE)*D940))</f>
        <v>20000</v>
      </c>
      <c r="K940" s="62">
        <f>(J940/(F940/11*10))</f>
        <v>0.23529411764705879</v>
      </c>
      <c r="L940" s="873">
        <v>18.5</v>
      </c>
      <c r="M940" s="601"/>
      <c r="N940" s="668">
        <f t="shared" si="433"/>
        <v>180518</v>
      </c>
      <c r="O940" s="84" t="s">
        <v>145</v>
      </c>
      <c r="P940" s="133" t="str">
        <f t="shared" si="437"/>
        <v>RC795(20L)</v>
      </c>
      <c r="Q940" s="84">
        <f t="shared" si="434"/>
        <v>1</v>
      </c>
      <c r="R940" s="189">
        <v>65000</v>
      </c>
      <c r="S940" s="189">
        <f t="shared" si="438"/>
        <v>71500</v>
      </c>
      <c r="T940" s="189">
        <f t="shared" si="439"/>
        <v>65000</v>
      </c>
      <c r="U940" s="84" t="str">
        <f t="shared" si="427"/>
        <v>O</v>
      </c>
      <c r="V940" s="84"/>
      <c r="W940" s="478">
        <f t="shared" si="431"/>
        <v>20000</v>
      </c>
      <c r="X940" s="84"/>
      <c r="Y940" s="84"/>
    </row>
    <row r="941" spans="1:25" ht="30" hidden="1" customHeight="1" x14ac:dyDescent="0.25">
      <c r="A941" s="80">
        <v>180519</v>
      </c>
      <c r="B941" s="663" t="s">
        <v>545</v>
      </c>
      <c r="C941" s="73" t="s">
        <v>825</v>
      </c>
      <c r="D941" s="73">
        <v>2</v>
      </c>
      <c r="E941" s="147">
        <v>110000</v>
      </c>
      <c r="F941" s="147">
        <f t="shared" si="435"/>
        <v>242000.00000000003</v>
      </c>
      <c r="G941" s="147">
        <f t="shared" si="436"/>
        <v>220000</v>
      </c>
      <c r="H941" s="689" t="s">
        <v>173</v>
      </c>
      <c r="I941" s="73" t="s">
        <v>142</v>
      </c>
      <c r="J941" s="60">
        <f>G941-R941</f>
        <v>125000</v>
      </c>
      <c r="K941" s="427">
        <v>0.23529411764705879</v>
      </c>
      <c r="L941" s="874">
        <v>18.5</v>
      </c>
      <c r="M941" s="584"/>
      <c r="N941" s="663">
        <f t="shared" si="433"/>
        <v>180519</v>
      </c>
      <c r="O941" s="73" t="s">
        <v>150</v>
      </c>
      <c r="P941" s="132" t="str">
        <f t="shared" si="437"/>
        <v>독일제 정품 잉크호일 아스테이지</v>
      </c>
      <c r="Q941" s="73">
        <f t="shared" si="434"/>
        <v>2</v>
      </c>
      <c r="R941" s="147">
        <v>95000</v>
      </c>
      <c r="S941" s="147">
        <f t="shared" si="438"/>
        <v>209000.00000000003</v>
      </c>
      <c r="T941" s="147">
        <f t="shared" si="439"/>
        <v>190000</v>
      </c>
      <c r="U941" s="73" t="str">
        <f t="shared" si="427"/>
        <v>X</v>
      </c>
      <c r="V941" s="73"/>
      <c r="W941" s="473">
        <f t="shared" si="431"/>
        <v>30000</v>
      </c>
      <c r="X941" s="73"/>
      <c r="Y941" s="73"/>
    </row>
    <row r="942" spans="1:25" s="602" customFormat="1" ht="30" hidden="1" customHeight="1" x14ac:dyDescent="0.25">
      <c r="A942" s="85">
        <v>180519</v>
      </c>
      <c r="B942" s="668" t="s">
        <v>575</v>
      </c>
      <c r="C942" s="84" t="s">
        <v>1214</v>
      </c>
      <c r="D942" s="84">
        <v>1</v>
      </c>
      <c r="E942" s="189">
        <v>7050000</v>
      </c>
      <c r="F942" s="189">
        <f t="shared" si="435"/>
        <v>7755000.0000000009</v>
      </c>
      <c r="G942" s="189">
        <f t="shared" si="436"/>
        <v>7050000</v>
      </c>
      <c r="H942" s="691" t="s">
        <v>173</v>
      </c>
      <c r="I942" s="84" t="s">
        <v>143</v>
      </c>
      <c r="J942" s="61">
        <f>G942-R942</f>
        <v>1700000</v>
      </c>
      <c r="K942" s="62">
        <v>0.23529411764705879</v>
      </c>
      <c r="L942" s="873">
        <v>18.5</v>
      </c>
      <c r="M942" s="601"/>
      <c r="N942" s="668">
        <f t="shared" si="433"/>
        <v>180519</v>
      </c>
      <c r="O942" s="84" t="s">
        <v>612</v>
      </c>
      <c r="P942" s="133" t="str">
        <f t="shared" si="437"/>
        <v>롤러 Set</v>
      </c>
      <c r="Q942" s="84">
        <f t="shared" si="434"/>
        <v>1</v>
      </c>
      <c r="R942" s="189">
        <v>5350000</v>
      </c>
      <c r="S942" s="189">
        <f t="shared" si="438"/>
        <v>5885000.0000000009</v>
      </c>
      <c r="T942" s="189">
        <f t="shared" si="439"/>
        <v>5350000</v>
      </c>
      <c r="U942" s="84"/>
      <c r="V942" s="84"/>
      <c r="W942" s="478">
        <f t="shared" si="431"/>
        <v>1700000</v>
      </c>
      <c r="X942" s="84"/>
      <c r="Y942" s="84"/>
    </row>
    <row r="943" spans="1:25" s="610" customFormat="1" ht="30" hidden="1" customHeight="1" x14ac:dyDescent="0.25">
      <c r="A943" s="89">
        <v>180523</v>
      </c>
      <c r="B943" s="673" t="s">
        <v>442</v>
      </c>
      <c r="C943" s="88" t="s">
        <v>1221</v>
      </c>
      <c r="D943" s="88">
        <v>1</v>
      </c>
      <c r="E943" s="470">
        <v>580000</v>
      </c>
      <c r="F943" s="470">
        <f t="shared" si="435"/>
        <v>638000</v>
      </c>
      <c r="G943" s="470">
        <f t="shared" si="436"/>
        <v>580000</v>
      </c>
      <c r="H943" s="695" t="s">
        <v>173</v>
      </c>
      <c r="I943" s="88" t="s">
        <v>142</v>
      </c>
      <c r="J943" s="107">
        <f>G943-R943</f>
        <v>80000</v>
      </c>
      <c r="K943" s="469">
        <f>(J943/(F943/11*10))</f>
        <v>0.13793103448275862</v>
      </c>
      <c r="L943" s="875">
        <v>18.5</v>
      </c>
      <c r="M943" s="575"/>
      <c r="N943" s="673">
        <f t="shared" si="433"/>
        <v>180523</v>
      </c>
      <c r="O943" s="88" t="s">
        <v>242</v>
      </c>
      <c r="P943" s="134" t="str">
        <f t="shared" si="437"/>
        <v>필름 출력 현상기 롤라</v>
      </c>
      <c r="Q943" s="88">
        <f t="shared" si="434"/>
        <v>1</v>
      </c>
      <c r="R943" s="470">
        <v>500000</v>
      </c>
      <c r="S943" s="470">
        <f t="shared" si="438"/>
        <v>550000</v>
      </c>
      <c r="T943" s="470">
        <f t="shared" si="439"/>
        <v>500000</v>
      </c>
      <c r="U943" s="88" t="str">
        <f t="shared" ref="U943:U954" si="440">IF(J943=W943,"O", "X")</f>
        <v>X</v>
      </c>
      <c r="V943" s="88"/>
      <c r="W943" s="945"/>
      <c r="X943" s="88"/>
      <c r="Y943" s="88"/>
    </row>
    <row r="944" spans="1:25" ht="30" hidden="1" customHeight="1" x14ac:dyDescent="0.25">
      <c r="A944" s="80">
        <v>180525</v>
      </c>
      <c r="B944" s="663" t="s">
        <v>690</v>
      </c>
      <c r="C944" s="73" t="s">
        <v>217</v>
      </c>
      <c r="D944" s="73">
        <v>5</v>
      </c>
      <c r="E944" s="147">
        <v>145000</v>
      </c>
      <c r="F944" s="147">
        <f t="shared" si="435"/>
        <v>797500.00000000012</v>
      </c>
      <c r="G944" s="147">
        <f t="shared" si="436"/>
        <v>725000</v>
      </c>
      <c r="H944" s="689" t="s">
        <v>173</v>
      </c>
      <c r="I944" s="73" t="s">
        <v>108</v>
      </c>
      <c r="J944" s="60">
        <f>(G944-(VLOOKUP(C944,Price!B:D,3,FALSE)*D944))</f>
        <v>325000</v>
      </c>
      <c r="K944" s="427">
        <f>(J944/(F944/11*10))</f>
        <v>0.44827586206896547</v>
      </c>
      <c r="L944" s="874">
        <v>18.5</v>
      </c>
      <c r="M944" s="584"/>
      <c r="N944" s="663">
        <f t="shared" si="433"/>
        <v>180525</v>
      </c>
      <c r="O944" s="73" t="s">
        <v>150</v>
      </c>
      <c r="P944" s="132" t="str">
        <f t="shared" si="437"/>
        <v>Fount 511</v>
      </c>
      <c r="Q944" s="73">
        <f t="shared" si="434"/>
        <v>5</v>
      </c>
      <c r="R944" s="147">
        <f>VLOOKUP(P944,Price!B:D,3,FALSE)</f>
        <v>80000</v>
      </c>
      <c r="S944" s="147">
        <f t="shared" si="438"/>
        <v>440000.00000000006</v>
      </c>
      <c r="T944" s="147">
        <f t="shared" si="439"/>
        <v>400000</v>
      </c>
      <c r="U944" s="73" t="str">
        <f t="shared" si="440"/>
        <v>O</v>
      </c>
      <c r="V944" s="73"/>
      <c r="W944" s="473">
        <f t="shared" ref="W944:W962" si="441">(G944-T944)</f>
        <v>325000</v>
      </c>
      <c r="X944" s="73"/>
      <c r="Y944" s="73"/>
    </row>
    <row r="945" spans="1:25" s="209" customFormat="1" ht="30" hidden="1" customHeight="1" x14ac:dyDescent="0.25">
      <c r="A945" s="82">
        <v>180525</v>
      </c>
      <c r="B945" s="664" t="s">
        <v>442</v>
      </c>
      <c r="C945" s="71" t="s">
        <v>138</v>
      </c>
      <c r="D945" s="71">
        <v>20</v>
      </c>
      <c r="E945" s="102">
        <v>69000</v>
      </c>
      <c r="F945" s="102">
        <f t="shared" si="435"/>
        <v>1518000.0000000002</v>
      </c>
      <c r="G945" s="102">
        <f t="shared" si="436"/>
        <v>1380000</v>
      </c>
      <c r="H945" s="690" t="s">
        <v>173</v>
      </c>
      <c r="I945" s="71" t="s">
        <v>108</v>
      </c>
      <c r="J945" s="53">
        <f>(G945-(VLOOKUP(C945,Price!B:D,3,FALSE)*D945))</f>
        <v>360000</v>
      </c>
      <c r="K945" s="63">
        <f>(J945/(F945/11*10))</f>
        <v>0.26086956521739124</v>
      </c>
      <c r="L945" s="82">
        <v>18.5</v>
      </c>
      <c r="M945" s="468"/>
      <c r="N945" s="664">
        <f t="shared" si="433"/>
        <v>180525</v>
      </c>
      <c r="O945" s="71" t="s">
        <v>150</v>
      </c>
      <c r="P945" s="103" t="str">
        <f>(C945)</f>
        <v>매엽용 세척제(Wash 562)</v>
      </c>
      <c r="Q945" s="71">
        <f t="shared" si="434"/>
        <v>20</v>
      </c>
      <c r="R945" s="102">
        <v>51000</v>
      </c>
      <c r="S945" s="102">
        <f>(R945*D945)*1.1</f>
        <v>1122000</v>
      </c>
      <c r="T945" s="102">
        <f>(R945*Q945)</f>
        <v>1020000</v>
      </c>
      <c r="U945" s="71" t="str">
        <f t="shared" si="440"/>
        <v>O</v>
      </c>
      <c r="V945" s="71"/>
      <c r="W945" s="474">
        <f t="shared" si="441"/>
        <v>360000</v>
      </c>
      <c r="X945" s="71"/>
      <c r="Y945" s="71"/>
    </row>
    <row r="946" spans="1:25" s="209" customFormat="1" ht="30" customHeight="1" x14ac:dyDescent="0.25">
      <c r="A946" s="82">
        <v>180525</v>
      </c>
      <c r="B946" s="664" t="s">
        <v>565</v>
      </c>
      <c r="C946" s="71" t="s">
        <v>114</v>
      </c>
      <c r="D946" s="71">
        <v>60</v>
      </c>
      <c r="E946" s="102">
        <v>20000</v>
      </c>
      <c r="F946" s="102">
        <f t="shared" si="435"/>
        <v>1320000</v>
      </c>
      <c r="G946" s="102">
        <f t="shared" si="436"/>
        <v>1200000</v>
      </c>
      <c r="H946" s="779" t="s">
        <v>113</v>
      </c>
      <c r="I946" s="71"/>
      <c r="J946" s="53">
        <f>(G946-(VLOOKUP(C946,Price!B:D,3,FALSE)*D946))</f>
        <v>660000</v>
      </c>
      <c r="K946" s="63">
        <f>(J946/(F946/11*10))</f>
        <v>0.55000000000000004</v>
      </c>
      <c r="L946" s="82">
        <v>18.5</v>
      </c>
      <c r="M946" s="468"/>
      <c r="N946" s="664">
        <f t="shared" si="433"/>
        <v>180525</v>
      </c>
      <c r="O946" s="808" t="s">
        <v>113</v>
      </c>
      <c r="P946" s="103" t="str">
        <f>(C946)</f>
        <v>스트리퍼</v>
      </c>
      <c r="Q946" s="71">
        <f t="shared" si="434"/>
        <v>60</v>
      </c>
      <c r="R946" s="102">
        <v>9000</v>
      </c>
      <c r="S946" s="102">
        <f t="shared" ref="S946:S954" si="442">R946*Q946*1.1</f>
        <v>594000</v>
      </c>
      <c r="T946" s="102">
        <f t="shared" ref="T946:T954" si="443">R946*Q946</f>
        <v>540000</v>
      </c>
      <c r="U946" s="71" t="str">
        <f t="shared" si="440"/>
        <v>O</v>
      </c>
      <c r="V946" s="71"/>
      <c r="W946" s="474">
        <f t="shared" si="441"/>
        <v>660000</v>
      </c>
      <c r="X946" s="71"/>
      <c r="Y946" s="71"/>
    </row>
    <row r="947" spans="1:25" ht="30" hidden="1" customHeight="1" x14ac:dyDescent="0.25">
      <c r="A947" s="82">
        <v>180525</v>
      </c>
      <c r="B947" s="664" t="s">
        <v>545</v>
      </c>
      <c r="C947" s="71" t="s">
        <v>825</v>
      </c>
      <c r="D947" s="71">
        <v>2</v>
      </c>
      <c r="E947" s="102">
        <v>110000</v>
      </c>
      <c r="F947" s="102">
        <f t="shared" si="435"/>
        <v>242000.00000000003</v>
      </c>
      <c r="G947" s="102">
        <f t="shared" si="436"/>
        <v>220000</v>
      </c>
      <c r="H947" s="690" t="s">
        <v>173</v>
      </c>
      <c r="I947" s="71" t="s">
        <v>142</v>
      </c>
      <c r="J947" s="53">
        <f>G947-R947</f>
        <v>75000</v>
      </c>
      <c r="K947" s="63">
        <v>0.23529411764705879</v>
      </c>
      <c r="L947" s="871">
        <v>18.5</v>
      </c>
      <c r="M947" s="468"/>
      <c r="N947" s="664">
        <f t="shared" si="433"/>
        <v>180525</v>
      </c>
      <c r="O947" s="71" t="s">
        <v>150</v>
      </c>
      <c r="P947" s="103" t="str">
        <f t="shared" ref="P947:P955" si="444">C947</f>
        <v>독일제 정품 잉크호일 아스테이지</v>
      </c>
      <c r="Q947" s="71">
        <f t="shared" si="434"/>
        <v>2</v>
      </c>
      <c r="R947" s="102">
        <v>145000</v>
      </c>
      <c r="S947" s="102">
        <f t="shared" si="442"/>
        <v>319000</v>
      </c>
      <c r="T947" s="102">
        <f t="shared" si="443"/>
        <v>290000</v>
      </c>
      <c r="U947" s="71" t="str">
        <f t="shared" si="440"/>
        <v>X</v>
      </c>
      <c r="V947" s="71" t="s">
        <v>1232</v>
      </c>
      <c r="W947" s="474">
        <f t="shared" si="441"/>
        <v>-70000</v>
      </c>
      <c r="X947" s="71"/>
      <c r="Y947" s="71"/>
    </row>
    <row r="948" spans="1:25" ht="31.5" hidden="1" customHeight="1" x14ac:dyDescent="0.25">
      <c r="A948" s="82">
        <v>180525</v>
      </c>
      <c r="B948" s="664" t="s">
        <v>545</v>
      </c>
      <c r="C948" s="71" t="s">
        <v>123</v>
      </c>
      <c r="D948" s="71">
        <v>10</v>
      </c>
      <c r="E948" s="102">
        <v>42000</v>
      </c>
      <c r="F948" s="102">
        <f t="shared" si="435"/>
        <v>462000.00000000006</v>
      </c>
      <c r="G948" s="102">
        <f t="shared" si="436"/>
        <v>420000</v>
      </c>
      <c r="H948" s="1010" t="s">
        <v>39</v>
      </c>
      <c r="I948" s="71"/>
      <c r="J948" s="53">
        <f>(G948-(VLOOKUP(C948,Import!C:G,4,FALSE)*D948))</f>
        <v>420000</v>
      </c>
      <c r="K948" s="63">
        <f>(J948/(F948/11*10))</f>
        <v>0.99999999999999989</v>
      </c>
      <c r="L948" s="871">
        <v>18.5</v>
      </c>
      <c r="M948" s="468"/>
      <c r="N948" s="664">
        <f t="shared" si="433"/>
        <v>180525</v>
      </c>
      <c r="O948" s="991" t="s">
        <v>39</v>
      </c>
      <c r="P948" s="103" t="str">
        <f t="shared" si="444"/>
        <v>필터백</v>
      </c>
      <c r="Q948" s="71">
        <f t="shared" si="434"/>
        <v>10</v>
      </c>
      <c r="R948" s="102">
        <v>22461</v>
      </c>
      <c r="S948" s="102">
        <f t="shared" si="442"/>
        <v>247071.00000000003</v>
      </c>
      <c r="T948" s="102">
        <f t="shared" si="443"/>
        <v>224610</v>
      </c>
      <c r="U948" s="71" t="str">
        <f t="shared" si="440"/>
        <v>X</v>
      </c>
      <c r="V948" s="71"/>
      <c r="W948" s="474">
        <f t="shared" si="441"/>
        <v>195390</v>
      </c>
      <c r="X948" s="71"/>
      <c r="Y948" s="71"/>
    </row>
    <row r="949" spans="1:25" ht="30" hidden="1" customHeight="1" x14ac:dyDescent="0.25">
      <c r="A949" s="82">
        <v>180525</v>
      </c>
      <c r="B949" s="664" t="s">
        <v>545</v>
      </c>
      <c r="C949" s="71" t="s">
        <v>952</v>
      </c>
      <c r="D949" s="71">
        <v>1</v>
      </c>
      <c r="E949" s="102">
        <v>630000</v>
      </c>
      <c r="F949" s="102">
        <f t="shared" si="435"/>
        <v>693000</v>
      </c>
      <c r="G949" s="102">
        <f t="shared" si="436"/>
        <v>630000</v>
      </c>
      <c r="H949" s="690" t="s">
        <v>173</v>
      </c>
      <c r="I949" s="71" t="s">
        <v>108</v>
      </c>
      <c r="J949" s="53">
        <f>(G949-(VLOOKUP(C949,Price!B:D,3,FALSE)*D949))</f>
        <v>180000</v>
      </c>
      <c r="K949" s="63">
        <f>(J949/(F949/11*10))</f>
        <v>0.2857142857142857</v>
      </c>
      <c r="L949" s="82">
        <v>18.5</v>
      </c>
      <c r="M949" s="468"/>
      <c r="N949" s="664">
        <f>A949</f>
        <v>180525</v>
      </c>
      <c r="O949" s="71" t="s">
        <v>599</v>
      </c>
      <c r="P949" s="103" t="str">
        <f t="shared" si="444"/>
        <v>점보롤 세정포</v>
      </c>
      <c r="Q949" s="71">
        <f t="shared" si="434"/>
        <v>1</v>
      </c>
      <c r="R949" s="102">
        <v>440000</v>
      </c>
      <c r="S949" s="102">
        <f t="shared" si="442"/>
        <v>484000.00000000006</v>
      </c>
      <c r="T949" s="102">
        <f t="shared" si="443"/>
        <v>440000</v>
      </c>
      <c r="U949" s="71" t="str">
        <f t="shared" si="440"/>
        <v>X</v>
      </c>
      <c r="V949" s="71" t="s">
        <v>1228</v>
      </c>
      <c r="W949" s="474">
        <f t="shared" si="441"/>
        <v>190000</v>
      </c>
      <c r="X949" s="71"/>
      <c r="Y949" s="71"/>
    </row>
    <row r="950" spans="1:25" ht="30" hidden="1" customHeight="1" x14ac:dyDescent="0.25">
      <c r="A950" s="82">
        <v>180525</v>
      </c>
      <c r="B950" s="664" t="s">
        <v>1023</v>
      </c>
      <c r="C950" s="71" t="s">
        <v>1215</v>
      </c>
      <c r="D950" s="71">
        <v>2</v>
      </c>
      <c r="E950" s="102">
        <v>655000</v>
      </c>
      <c r="F950" s="102">
        <f t="shared" si="435"/>
        <v>1441000</v>
      </c>
      <c r="G950" s="102">
        <f t="shared" si="436"/>
        <v>1310000</v>
      </c>
      <c r="H950" s="689" t="s">
        <v>142</v>
      </c>
      <c r="I950" s="807" t="s">
        <v>113</v>
      </c>
      <c r="J950" s="60">
        <f t="shared" ref="J950:J959" si="445">G950-T950</f>
        <v>418887.37626555958</v>
      </c>
      <c r="K950" s="427">
        <f t="shared" ref="K950:K955" si="446">(J950/(F950/11*10))</f>
        <v>0.31976135592790805</v>
      </c>
      <c r="L950" s="82">
        <v>18.5</v>
      </c>
      <c r="M950" s="468"/>
      <c r="N950" s="664">
        <f>A950</f>
        <v>180525</v>
      </c>
      <c r="O950" s="808" t="s">
        <v>113</v>
      </c>
      <c r="P950" s="103" t="str">
        <f t="shared" si="444"/>
        <v>솔레노이드 밸브(single)</v>
      </c>
      <c r="Q950" s="71">
        <f t="shared" si="434"/>
        <v>2</v>
      </c>
      <c r="R950" s="102">
        <f>Import!G89</f>
        <v>445556.31186722021</v>
      </c>
      <c r="S950" s="147">
        <f t="shared" si="442"/>
        <v>980223.88610788458</v>
      </c>
      <c r="T950" s="147">
        <f t="shared" si="443"/>
        <v>891112.62373444042</v>
      </c>
      <c r="U950" s="73" t="str">
        <f t="shared" si="440"/>
        <v>O</v>
      </c>
      <c r="V950" s="71"/>
      <c r="W950" s="482">
        <f t="shared" si="441"/>
        <v>418887.37626555958</v>
      </c>
      <c r="X950" s="71"/>
      <c r="Y950" s="71"/>
    </row>
    <row r="951" spans="1:25" ht="30" hidden="1" customHeight="1" x14ac:dyDescent="0.25">
      <c r="A951" s="80">
        <v>180525</v>
      </c>
      <c r="B951" s="663" t="s">
        <v>1023</v>
      </c>
      <c r="C951" s="73" t="s">
        <v>1024</v>
      </c>
      <c r="D951" s="73">
        <v>20</v>
      </c>
      <c r="E951" s="147">
        <v>119000</v>
      </c>
      <c r="F951" s="147">
        <f t="shared" si="435"/>
        <v>2618000</v>
      </c>
      <c r="G951" s="147">
        <f t="shared" si="436"/>
        <v>2380000</v>
      </c>
      <c r="H951" s="689" t="s">
        <v>142</v>
      </c>
      <c r="I951" s="807" t="s">
        <v>113</v>
      </c>
      <c r="J951" s="60">
        <f t="shared" si="445"/>
        <v>727165.51859548874</v>
      </c>
      <c r="K951" s="427">
        <f t="shared" si="446"/>
        <v>0.3055317305023062</v>
      </c>
      <c r="L951" s="82">
        <v>18.5</v>
      </c>
      <c r="M951" s="584"/>
      <c r="N951" s="663">
        <f>A951</f>
        <v>180525</v>
      </c>
      <c r="O951" s="807" t="s">
        <v>113</v>
      </c>
      <c r="P951" s="132" t="str">
        <f t="shared" si="444"/>
        <v>잉크 키 모터 24DVC</v>
      </c>
      <c r="Q951" s="73">
        <f>D951</f>
        <v>20</v>
      </c>
      <c r="R951" s="147">
        <f>Import!G70</f>
        <v>82641.724070225566</v>
      </c>
      <c r="S951" s="147">
        <f t="shared" si="442"/>
        <v>1818117.9295449625</v>
      </c>
      <c r="T951" s="147">
        <f t="shared" si="443"/>
        <v>1652834.4814045113</v>
      </c>
      <c r="U951" s="73" t="str">
        <f t="shared" si="440"/>
        <v>O</v>
      </c>
      <c r="V951" s="73"/>
      <c r="W951" s="482">
        <f t="shared" si="441"/>
        <v>727165.51859548874</v>
      </c>
      <c r="X951" s="73"/>
      <c r="Y951" s="73"/>
    </row>
    <row r="952" spans="1:25" ht="30" hidden="1" customHeight="1" x14ac:dyDescent="0.25">
      <c r="A952" s="80">
        <v>180525</v>
      </c>
      <c r="B952" s="664" t="s">
        <v>1023</v>
      </c>
      <c r="C952" s="71" t="s">
        <v>1216</v>
      </c>
      <c r="D952" s="71">
        <v>2</v>
      </c>
      <c r="E952" s="102">
        <v>742000</v>
      </c>
      <c r="F952" s="102">
        <f t="shared" si="435"/>
        <v>1632400.0000000002</v>
      </c>
      <c r="G952" s="102">
        <f t="shared" si="436"/>
        <v>1484000</v>
      </c>
      <c r="H952" s="689" t="s">
        <v>142</v>
      </c>
      <c r="I952" s="807" t="s">
        <v>113</v>
      </c>
      <c r="J952" s="60">
        <f t="shared" si="445"/>
        <v>474080.73764215817</v>
      </c>
      <c r="K952" s="427">
        <f t="shared" si="446"/>
        <v>0.31946141350549739</v>
      </c>
      <c r="L952" s="82">
        <v>18.5</v>
      </c>
      <c r="M952" s="468"/>
      <c r="N952" s="663">
        <f t="shared" ref="N952:N989" si="447">A952</f>
        <v>180525</v>
      </c>
      <c r="O952" s="808" t="s">
        <v>113</v>
      </c>
      <c r="P952" s="103" t="str">
        <f t="shared" si="444"/>
        <v>솔레노이드 밸브(double)</v>
      </c>
      <c r="Q952" s="71">
        <f>D952</f>
        <v>2</v>
      </c>
      <c r="R952" s="102">
        <f>Import!G90</f>
        <v>504959.63117892091</v>
      </c>
      <c r="S952" s="102">
        <f t="shared" si="442"/>
        <v>1110911.188593626</v>
      </c>
      <c r="T952" s="102">
        <f t="shared" si="443"/>
        <v>1009919.2623578418</v>
      </c>
      <c r="U952" s="71" t="str">
        <f t="shared" si="440"/>
        <v>O</v>
      </c>
      <c r="V952" s="71"/>
      <c r="W952" s="474">
        <f t="shared" si="441"/>
        <v>474080.73764215817</v>
      </c>
      <c r="X952" s="71"/>
      <c r="Y952" s="71"/>
    </row>
    <row r="953" spans="1:25" ht="30" hidden="1" customHeight="1" x14ac:dyDescent="0.25">
      <c r="A953" s="80">
        <v>180525</v>
      </c>
      <c r="B953" s="664" t="s">
        <v>1023</v>
      </c>
      <c r="C953" s="71" t="s">
        <v>1217</v>
      </c>
      <c r="D953" s="71">
        <v>4</v>
      </c>
      <c r="E953" s="102">
        <v>1222000</v>
      </c>
      <c r="F953" s="102">
        <f t="shared" si="435"/>
        <v>5376800</v>
      </c>
      <c r="G953" s="102">
        <f t="shared" si="436"/>
        <v>4888000</v>
      </c>
      <c r="H953" s="689" t="s">
        <v>142</v>
      </c>
      <c r="I953" s="807" t="s">
        <v>113</v>
      </c>
      <c r="J953" s="60">
        <f t="shared" si="445"/>
        <v>1790382.5445545204</v>
      </c>
      <c r="K953" s="427">
        <f t="shared" si="446"/>
        <v>0.36628120796941904</v>
      </c>
      <c r="L953" s="82">
        <v>18.5</v>
      </c>
      <c r="M953" s="468"/>
      <c r="N953" s="663">
        <f t="shared" si="447"/>
        <v>180525</v>
      </c>
      <c r="O953" s="808" t="s">
        <v>113</v>
      </c>
      <c r="P953" s="103" t="str">
        <f t="shared" si="444"/>
        <v>체크 밸브</v>
      </c>
      <c r="Q953" s="71">
        <f>D953</f>
        <v>4</v>
      </c>
      <c r="R953" s="102">
        <f>Import!G91</f>
        <v>774404.3638613699</v>
      </c>
      <c r="S953" s="147">
        <f t="shared" si="442"/>
        <v>3407379.2009900277</v>
      </c>
      <c r="T953" s="147">
        <f t="shared" si="443"/>
        <v>3097617.4554454796</v>
      </c>
      <c r="U953" s="73" t="str">
        <f t="shared" si="440"/>
        <v>O</v>
      </c>
      <c r="V953" s="71"/>
      <c r="W953" s="474">
        <f t="shared" si="441"/>
        <v>1790382.5445545204</v>
      </c>
      <c r="X953" s="71"/>
      <c r="Y953" s="71"/>
    </row>
    <row r="954" spans="1:25" ht="30" hidden="1" customHeight="1" x14ac:dyDescent="0.25">
      <c r="A954" s="80">
        <v>180525</v>
      </c>
      <c r="B954" s="664" t="s">
        <v>1023</v>
      </c>
      <c r="C954" s="71" t="s">
        <v>1218</v>
      </c>
      <c r="D954" s="71">
        <v>10</v>
      </c>
      <c r="E954" s="102">
        <v>6600</v>
      </c>
      <c r="F954" s="102">
        <f t="shared" si="435"/>
        <v>72600</v>
      </c>
      <c r="G954" s="102">
        <f t="shared" si="436"/>
        <v>66000</v>
      </c>
      <c r="H954" s="689" t="s">
        <v>142</v>
      </c>
      <c r="I954" s="807" t="s">
        <v>113</v>
      </c>
      <c r="J954" s="60">
        <f t="shared" si="445"/>
        <v>25858.621937761556</v>
      </c>
      <c r="K954" s="427">
        <f t="shared" si="446"/>
        <v>0.3917973020872963</v>
      </c>
      <c r="L954" s="82">
        <v>18.5</v>
      </c>
      <c r="M954" s="468"/>
      <c r="N954" s="663">
        <f t="shared" si="447"/>
        <v>180525</v>
      </c>
      <c r="O954" s="808" t="s">
        <v>113</v>
      </c>
      <c r="P954" s="103" t="str">
        <f t="shared" si="444"/>
        <v>O-ring 0024</v>
      </c>
      <c r="Q954" s="71">
        <f>D954</f>
        <v>10</v>
      </c>
      <c r="R954" s="102">
        <f>Import!G92</f>
        <v>4014.1378062238446</v>
      </c>
      <c r="S954" s="102">
        <f t="shared" si="442"/>
        <v>44155.515868462295</v>
      </c>
      <c r="T954" s="102">
        <f t="shared" si="443"/>
        <v>40141.378062238444</v>
      </c>
      <c r="U954" s="71" t="str">
        <f t="shared" si="440"/>
        <v>O</v>
      </c>
      <c r="V954" s="71"/>
      <c r="W954" s="474">
        <f t="shared" si="441"/>
        <v>25858.621937761556</v>
      </c>
      <c r="X954" s="71"/>
      <c r="Y954" s="71"/>
    </row>
    <row r="955" spans="1:25" ht="30" hidden="1" customHeight="1" x14ac:dyDescent="0.25">
      <c r="A955" s="80">
        <v>180525</v>
      </c>
      <c r="B955" s="664" t="s">
        <v>1023</v>
      </c>
      <c r="C955" s="71" t="s">
        <v>1219</v>
      </c>
      <c r="D955" s="71">
        <v>-1</v>
      </c>
      <c r="E955" s="102">
        <v>303840</v>
      </c>
      <c r="F955" s="102">
        <f t="shared" si="435"/>
        <v>-334224</v>
      </c>
      <c r="G955" s="102">
        <f t="shared" si="436"/>
        <v>-303840</v>
      </c>
      <c r="H955" s="689" t="s">
        <v>142</v>
      </c>
      <c r="I955" s="807" t="s">
        <v>113</v>
      </c>
      <c r="J955" s="60">
        <f t="shared" si="445"/>
        <v>-303840</v>
      </c>
      <c r="K955" s="427">
        <f t="shared" si="446"/>
        <v>1</v>
      </c>
      <c r="L955" s="82">
        <v>18.5</v>
      </c>
      <c r="M955" s="468"/>
      <c r="N955" s="663">
        <f t="shared" si="447"/>
        <v>180525</v>
      </c>
      <c r="O955" s="808" t="s">
        <v>113</v>
      </c>
      <c r="P955" s="103" t="str">
        <f t="shared" si="444"/>
        <v>특별할인</v>
      </c>
      <c r="Q955" s="71">
        <f>D955</f>
        <v>-1</v>
      </c>
      <c r="R955" s="102"/>
      <c r="S955" s="102"/>
      <c r="T955" s="102"/>
      <c r="U955" s="71"/>
      <c r="V955" s="71"/>
      <c r="W955" s="474">
        <f t="shared" si="441"/>
        <v>-303840</v>
      </c>
      <c r="X955" s="71"/>
      <c r="Y955" s="71"/>
    </row>
    <row r="956" spans="1:25" ht="30" hidden="1" customHeight="1" x14ac:dyDescent="0.25">
      <c r="A956" s="80">
        <v>180525</v>
      </c>
      <c r="B956" s="664" t="s">
        <v>1052</v>
      </c>
      <c r="C956" s="71" t="s">
        <v>1115</v>
      </c>
      <c r="D956" s="71">
        <v>50</v>
      </c>
      <c r="E956" s="102">
        <v>6200</v>
      </c>
      <c r="F956" s="102">
        <f t="shared" si="435"/>
        <v>341000</v>
      </c>
      <c r="G956" s="102">
        <f t="shared" si="436"/>
        <v>310000</v>
      </c>
      <c r="H956" s="690" t="s">
        <v>142</v>
      </c>
      <c r="I956" s="71" t="s">
        <v>144</v>
      </c>
      <c r="J956" s="53">
        <f t="shared" si="445"/>
        <v>5000</v>
      </c>
      <c r="K956" s="63">
        <f t="shared" ref="K956:K961" si="448">(J956/(F956/11*10))</f>
        <v>1.6129032258064516E-2</v>
      </c>
      <c r="L956" s="871">
        <v>18.5</v>
      </c>
      <c r="M956" s="468"/>
      <c r="N956" s="663">
        <f t="shared" si="447"/>
        <v>180525</v>
      </c>
      <c r="O956" s="71" t="s">
        <v>147</v>
      </c>
      <c r="P956" s="103" t="str">
        <f t="shared" ref="P956:P965" si="449">C956</f>
        <v>한특 잉크(적)</v>
      </c>
      <c r="Q956" s="71">
        <f t="shared" ref="Q956:Q965" si="450">D956</f>
        <v>50</v>
      </c>
      <c r="R956" s="102">
        <v>6100</v>
      </c>
      <c r="S956" s="102">
        <f t="shared" ref="S956:S962" si="451">R956*Q956*1.1</f>
        <v>335500</v>
      </c>
      <c r="T956" s="102">
        <f t="shared" ref="T956:T962" si="452">R956*Q956</f>
        <v>305000</v>
      </c>
      <c r="U956" s="71" t="str">
        <f t="shared" ref="U956:U962" si="453">IF(J956=W956,"O", "X")</f>
        <v>O</v>
      </c>
      <c r="V956" s="71"/>
      <c r="W956" s="474">
        <f t="shared" si="441"/>
        <v>5000</v>
      </c>
      <c r="X956" s="71"/>
      <c r="Y956" s="71"/>
    </row>
    <row r="957" spans="1:25" ht="30" hidden="1" customHeight="1" x14ac:dyDescent="0.25">
      <c r="A957" s="80">
        <v>180525</v>
      </c>
      <c r="B957" s="664" t="s">
        <v>1052</v>
      </c>
      <c r="C957" s="71" t="s">
        <v>1116</v>
      </c>
      <c r="D957" s="71">
        <v>50</v>
      </c>
      <c r="E957" s="102">
        <v>6000</v>
      </c>
      <c r="F957" s="102">
        <f t="shared" si="435"/>
        <v>330000</v>
      </c>
      <c r="G957" s="102">
        <f t="shared" si="436"/>
        <v>300000</v>
      </c>
      <c r="H957" s="690" t="s">
        <v>142</v>
      </c>
      <c r="I957" s="71" t="s">
        <v>144</v>
      </c>
      <c r="J957" s="53">
        <f t="shared" si="445"/>
        <v>5000</v>
      </c>
      <c r="K957" s="63">
        <f t="shared" si="448"/>
        <v>1.6666666666666666E-2</v>
      </c>
      <c r="L957" s="871">
        <v>18.5</v>
      </c>
      <c r="M957" s="468"/>
      <c r="N957" s="663">
        <f t="shared" si="447"/>
        <v>180525</v>
      </c>
      <c r="O957" s="71" t="s">
        <v>147</v>
      </c>
      <c r="P957" s="103" t="str">
        <f t="shared" si="449"/>
        <v>한특 잉크(황)</v>
      </c>
      <c r="Q957" s="71">
        <f t="shared" si="450"/>
        <v>50</v>
      </c>
      <c r="R957" s="102">
        <v>5900</v>
      </c>
      <c r="S957" s="102">
        <f t="shared" si="451"/>
        <v>324500</v>
      </c>
      <c r="T957" s="102">
        <f t="shared" si="452"/>
        <v>295000</v>
      </c>
      <c r="U957" s="71" t="str">
        <f t="shared" si="453"/>
        <v>O</v>
      </c>
      <c r="V957" s="71"/>
      <c r="W957" s="474">
        <f t="shared" si="441"/>
        <v>5000</v>
      </c>
      <c r="X957" s="71"/>
      <c r="Y957" s="71"/>
    </row>
    <row r="958" spans="1:25" ht="30" hidden="1" customHeight="1" x14ac:dyDescent="0.25">
      <c r="A958" s="80">
        <v>180525</v>
      </c>
      <c r="B958" s="664" t="s">
        <v>1052</v>
      </c>
      <c r="C958" s="71" t="s">
        <v>1117</v>
      </c>
      <c r="D958" s="71">
        <v>50</v>
      </c>
      <c r="E958" s="102">
        <v>6500</v>
      </c>
      <c r="F958" s="102">
        <f t="shared" si="435"/>
        <v>357500</v>
      </c>
      <c r="G958" s="102">
        <f t="shared" si="436"/>
        <v>325000</v>
      </c>
      <c r="H958" s="690" t="s">
        <v>142</v>
      </c>
      <c r="I958" s="71" t="s">
        <v>144</v>
      </c>
      <c r="J958" s="53">
        <f t="shared" si="445"/>
        <v>5000</v>
      </c>
      <c r="K958" s="63">
        <f t="shared" si="448"/>
        <v>1.5384615384615385E-2</v>
      </c>
      <c r="L958" s="871">
        <v>18.5</v>
      </c>
      <c r="M958" s="468"/>
      <c r="N958" s="663">
        <f t="shared" si="447"/>
        <v>180525</v>
      </c>
      <c r="O958" s="71" t="s">
        <v>147</v>
      </c>
      <c r="P958" s="103" t="str">
        <f t="shared" si="449"/>
        <v>한특 잉크(청)</v>
      </c>
      <c r="Q958" s="71">
        <f t="shared" si="450"/>
        <v>50</v>
      </c>
      <c r="R958" s="102">
        <v>6400</v>
      </c>
      <c r="S958" s="102">
        <f t="shared" si="451"/>
        <v>352000</v>
      </c>
      <c r="T958" s="102">
        <f t="shared" si="452"/>
        <v>320000</v>
      </c>
      <c r="U958" s="71" t="str">
        <f t="shared" si="453"/>
        <v>O</v>
      </c>
      <c r="V958" s="71"/>
      <c r="W958" s="474">
        <f t="shared" si="441"/>
        <v>5000</v>
      </c>
      <c r="X958" s="71"/>
      <c r="Y958" s="71"/>
    </row>
    <row r="959" spans="1:25" ht="30" hidden="1" customHeight="1" x14ac:dyDescent="0.25">
      <c r="A959" s="80">
        <v>180525</v>
      </c>
      <c r="B959" s="664" t="s">
        <v>1052</v>
      </c>
      <c r="C959" s="71" t="s">
        <v>1118</v>
      </c>
      <c r="D959" s="71">
        <v>50</v>
      </c>
      <c r="E959" s="102">
        <v>5600</v>
      </c>
      <c r="F959" s="102">
        <f t="shared" si="435"/>
        <v>308000</v>
      </c>
      <c r="G959" s="102">
        <f t="shared" si="436"/>
        <v>280000</v>
      </c>
      <c r="H959" s="690" t="s">
        <v>142</v>
      </c>
      <c r="I959" s="71" t="s">
        <v>144</v>
      </c>
      <c r="J959" s="53">
        <f t="shared" si="445"/>
        <v>5000</v>
      </c>
      <c r="K959" s="63">
        <f t="shared" si="448"/>
        <v>1.7857142857142856E-2</v>
      </c>
      <c r="L959" s="871">
        <v>18.5</v>
      </c>
      <c r="M959" s="468"/>
      <c r="N959" s="663">
        <f t="shared" si="447"/>
        <v>180525</v>
      </c>
      <c r="O959" s="71" t="s">
        <v>147</v>
      </c>
      <c r="P959" s="103" t="str">
        <f t="shared" si="449"/>
        <v>한특 잉크(먹)</v>
      </c>
      <c r="Q959" s="71">
        <f t="shared" si="450"/>
        <v>50</v>
      </c>
      <c r="R959" s="102">
        <v>5500</v>
      </c>
      <c r="S959" s="102">
        <f t="shared" si="451"/>
        <v>302500</v>
      </c>
      <c r="T959" s="102">
        <f t="shared" si="452"/>
        <v>275000</v>
      </c>
      <c r="U959" s="71" t="str">
        <f t="shared" si="453"/>
        <v>O</v>
      </c>
      <c r="V959" s="71"/>
      <c r="W959" s="474">
        <f t="shared" si="441"/>
        <v>5000</v>
      </c>
      <c r="X959" s="71"/>
      <c r="Y959" s="71"/>
    </row>
    <row r="960" spans="1:25" ht="30" hidden="1" customHeight="1" x14ac:dyDescent="0.25">
      <c r="A960" s="80">
        <v>180525</v>
      </c>
      <c r="B960" s="664" t="s">
        <v>1061</v>
      </c>
      <c r="C960" s="71" t="s">
        <v>586</v>
      </c>
      <c r="D960" s="71">
        <v>200</v>
      </c>
      <c r="E960" s="102">
        <v>6750</v>
      </c>
      <c r="F960" s="102">
        <f t="shared" si="435"/>
        <v>1485000.0000000002</v>
      </c>
      <c r="G960" s="102">
        <f t="shared" si="436"/>
        <v>1350000</v>
      </c>
      <c r="H960" s="690" t="s">
        <v>142</v>
      </c>
      <c r="I960" s="71" t="s">
        <v>144</v>
      </c>
      <c r="J960" s="53">
        <f>(G960-(VLOOKUP(C960,Price!B:D,3,FALSE)*D960))</f>
        <v>114000</v>
      </c>
      <c r="K960" s="63">
        <f t="shared" si="448"/>
        <v>8.4444444444444433E-2</v>
      </c>
      <c r="L960" s="871">
        <v>18.5</v>
      </c>
      <c r="M960" s="468"/>
      <c r="N960" s="664">
        <f t="shared" si="447"/>
        <v>180525</v>
      </c>
      <c r="O960" s="71" t="s">
        <v>147</v>
      </c>
      <c r="P960" s="103" t="str">
        <f t="shared" si="449"/>
        <v>프리미어(황)</v>
      </c>
      <c r="Q960" s="71">
        <f t="shared" si="450"/>
        <v>200</v>
      </c>
      <c r="R960" s="102">
        <v>6180</v>
      </c>
      <c r="S960" s="102">
        <f t="shared" si="451"/>
        <v>1359600</v>
      </c>
      <c r="T960" s="102">
        <f t="shared" si="452"/>
        <v>1236000</v>
      </c>
      <c r="U960" s="71" t="str">
        <f t="shared" si="453"/>
        <v>O</v>
      </c>
      <c r="V960" s="71"/>
      <c r="W960" s="474">
        <f t="shared" si="441"/>
        <v>114000</v>
      </c>
      <c r="X960" s="71"/>
      <c r="Y960" s="71"/>
    </row>
    <row r="961" spans="1:25" s="602" customFormat="1" ht="30" hidden="1" customHeight="1" x14ac:dyDescent="0.25">
      <c r="A961" s="612">
        <v>180525</v>
      </c>
      <c r="B961" s="668" t="s">
        <v>1052</v>
      </c>
      <c r="C961" s="84" t="s">
        <v>585</v>
      </c>
      <c r="D961" s="84">
        <v>200</v>
      </c>
      <c r="E961" s="189">
        <v>7500</v>
      </c>
      <c r="F961" s="189">
        <f t="shared" si="435"/>
        <v>1650000.0000000002</v>
      </c>
      <c r="G961" s="189">
        <f t="shared" si="436"/>
        <v>1500000</v>
      </c>
      <c r="H961" s="691" t="s">
        <v>142</v>
      </c>
      <c r="I961" s="84" t="s">
        <v>144</v>
      </c>
      <c r="J961" s="61">
        <f>(G961-(VLOOKUP(C961,Price!B:D,3,FALSE)*D961))</f>
        <v>146000</v>
      </c>
      <c r="K961" s="62">
        <f t="shared" si="448"/>
        <v>9.7333333333333313E-2</v>
      </c>
      <c r="L961" s="873">
        <v>18.5</v>
      </c>
      <c r="M961" s="601"/>
      <c r="N961" s="672">
        <f t="shared" si="447"/>
        <v>180525</v>
      </c>
      <c r="O961" s="84" t="s">
        <v>147</v>
      </c>
      <c r="P961" s="133" t="str">
        <f t="shared" si="449"/>
        <v>프리미어(적)</v>
      </c>
      <c r="Q961" s="84">
        <f t="shared" si="450"/>
        <v>200</v>
      </c>
      <c r="R961" s="189">
        <v>6770</v>
      </c>
      <c r="S961" s="189">
        <f t="shared" si="451"/>
        <v>1489400.0000000002</v>
      </c>
      <c r="T961" s="189">
        <f t="shared" si="452"/>
        <v>1354000</v>
      </c>
      <c r="U961" s="84" t="str">
        <f t="shared" si="453"/>
        <v>O</v>
      </c>
      <c r="V961" s="84"/>
      <c r="W961" s="478">
        <f t="shared" si="441"/>
        <v>146000</v>
      </c>
      <c r="X961" s="84"/>
      <c r="Y961" s="84"/>
    </row>
    <row r="962" spans="1:25" ht="30" hidden="1" customHeight="1" x14ac:dyDescent="0.25">
      <c r="A962" s="80">
        <v>180528</v>
      </c>
      <c r="B962" s="663" t="s">
        <v>1220</v>
      </c>
      <c r="C962" s="73" t="s">
        <v>123</v>
      </c>
      <c r="D962" s="73">
        <v>5</v>
      </c>
      <c r="E962" s="147">
        <v>35000</v>
      </c>
      <c r="F962" s="147">
        <f t="shared" si="435"/>
        <v>192500.00000000003</v>
      </c>
      <c r="G962" s="147">
        <f t="shared" si="436"/>
        <v>175000</v>
      </c>
      <c r="H962" s="1005" t="s">
        <v>39</v>
      </c>
      <c r="I962" s="73"/>
      <c r="J962" s="60">
        <f>(G962-(VLOOKUP(C962,Import!C:G,4,FALSE)*D962))</f>
        <v>175000</v>
      </c>
      <c r="K962" s="427">
        <f>(J962/(F962/11*10))</f>
        <v>0.99999999999999989</v>
      </c>
      <c r="L962" s="874">
        <v>18.5</v>
      </c>
      <c r="M962" s="584"/>
      <c r="N962" s="663">
        <f t="shared" si="447"/>
        <v>180528</v>
      </c>
      <c r="O962" s="987" t="s">
        <v>39</v>
      </c>
      <c r="P962" s="132" t="str">
        <f t="shared" si="449"/>
        <v>필터백</v>
      </c>
      <c r="Q962" s="73">
        <f t="shared" si="450"/>
        <v>5</v>
      </c>
      <c r="R962" s="147">
        <f>VLOOKUP(P962,Price!B:D,3,FALSE)</f>
        <v>22461</v>
      </c>
      <c r="S962" s="147">
        <f t="shared" si="451"/>
        <v>123535.50000000001</v>
      </c>
      <c r="T962" s="147">
        <f t="shared" si="452"/>
        <v>112305</v>
      </c>
      <c r="U962" s="73" t="str">
        <f t="shared" si="453"/>
        <v>X</v>
      </c>
      <c r="V962" s="73"/>
      <c r="W962" s="473">
        <f t="shared" si="441"/>
        <v>62695</v>
      </c>
      <c r="X962" s="73"/>
      <c r="Y962" s="73"/>
    </row>
    <row r="963" spans="1:25" ht="30" hidden="1" customHeight="1" x14ac:dyDescent="0.25">
      <c r="A963" s="80">
        <v>180528</v>
      </c>
      <c r="B963" s="663" t="s">
        <v>797</v>
      </c>
      <c r="C963" s="73" t="s">
        <v>1229</v>
      </c>
      <c r="D963" s="73">
        <v>1</v>
      </c>
      <c r="E963" s="147">
        <v>490000</v>
      </c>
      <c r="F963" s="147">
        <f t="shared" si="435"/>
        <v>539000</v>
      </c>
      <c r="G963" s="147">
        <f t="shared" si="436"/>
        <v>490000</v>
      </c>
      <c r="H963" s="689" t="s">
        <v>173</v>
      </c>
      <c r="I963" s="73" t="s">
        <v>142</v>
      </c>
      <c r="J963" s="60"/>
      <c r="K963" s="427"/>
      <c r="L963" s="874">
        <v>18.5</v>
      </c>
      <c r="M963" s="584" t="s">
        <v>1241</v>
      </c>
      <c r="N963" s="663">
        <f t="shared" si="447"/>
        <v>180528</v>
      </c>
      <c r="O963" s="73"/>
      <c r="P963" s="132" t="str">
        <f t="shared" si="449"/>
        <v>인터덱 잭(IST UV Lamp)</v>
      </c>
      <c r="Q963" s="73">
        <f t="shared" si="450"/>
        <v>1</v>
      </c>
      <c r="R963" s="147"/>
      <c r="S963" s="147"/>
      <c r="T963" s="147"/>
      <c r="U963" s="73"/>
      <c r="V963" s="73"/>
      <c r="W963" s="473"/>
      <c r="X963" s="73"/>
      <c r="Y963" s="73"/>
    </row>
    <row r="964" spans="1:25" ht="30" hidden="1" customHeight="1" x14ac:dyDescent="0.25">
      <c r="A964" s="80">
        <v>180528</v>
      </c>
      <c r="B964" s="663" t="s">
        <v>797</v>
      </c>
      <c r="C964" s="73" t="s">
        <v>1230</v>
      </c>
      <c r="D964" s="73">
        <v>10</v>
      </c>
      <c r="E964" s="147">
        <v>3000</v>
      </c>
      <c r="F964" s="147">
        <f t="shared" si="435"/>
        <v>33000</v>
      </c>
      <c r="G964" s="147">
        <f t="shared" si="436"/>
        <v>30000</v>
      </c>
      <c r="H964" s="689" t="s">
        <v>173</v>
      </c>
      <c r="I964" s="73" t="s">
        <v>142</v>
      </c>
      <c r="J964" s="60"/>
      <c r="K964" s="427"/>
      <c r="L964" s="874">
        <v>18.5</v>
      </c>
      <c r="M964" s="584" t="s">
        <v>1241</v>
      </c>
      <c r="N964" s="663">
        <f t="shared" si="447"/>
        <v>180528</v>
      </c>
      <c r="O964" s="73"/>
      <c r="P964" s="132" t="str">
        <f t="shared" si="449"/>
        <v>핀</v>
      </c>
      <c r="Q964" s="73">
        <f t="shared" si="450"/>
        <v>10</v>
      </c>
      <c r="R964" s="147"/>
      <c r="S964" s="147"/>
      <c r="T964" s="147"/>
      <c r="U964" s="73"/>
      <c r="V964" s="73"/>
      <c r="W964" s="473"/>
      <c r="X964" s="73"/>
      <c r="Y964" s="73"/>
    </row>
    <row r="965" spans="1:25" ht="30" customHeight="1" x14ac:dyDescent="0.25">
      <c r="A965" s="82">
        <v>180528</v>
      </c>
      <c r="B965" s="664" t="s">
        <v>422</v>
      </c>
      <c r="C965" s="71" t="s">
        <v>1222</v>
      </c>
      <c r="D965" s="71">
        <v>150</v>
      </c>
      <c r="E965" s="102">
        <v>58700</v>
      </c>
      <c r="F965" s="102">
        <f t="shared" si="435"/>
        <v>9685500</v>
      </c>
      <c r="G965" s="102">
        <f t="shared" si="436"/>
        <v>8805000</v>
      </c>
      <c r="H965" s="690" t="s">
        <v>142</v>
      </c>
      <c r="I965" s="808" t="s">
        <v>113</v>
      </c>
      <c r="J965" s="53">
        <f>G965-T965</f>
        <v>2362950</v>
      </c>
      <c r="K965" s="63">
        <f>(J965/(F965/11*10))</f>
        <v>0.26836456558773425</v>
      </c>
      <c r="L965" s="871">
        <v>18.5</v>
      </c>
      <c r="M965" s="468"/>
      <c r="N965" s="663">
        <f t="shared" si="447"/>
        <v>180528</v>
      </c>
      <c r="O965" s="808" t="s">
        <v>113</v>
      </c>
      <c r="P965" s="103" t="str">
        <f t="shared" si="449"/>
        <v>페이퍼 홀더</v>
      </c>
      <c r="Q965" s="71">
        <f t="shared" si="450"/>
        <v>150</v>
      </c>
      <c r="R965" s="102">
        <v>42947</v>
      </c>
      <c r="S965" s="102">
        <f>R965*Q965*1.1</f>
        <v>7086255.0000000009</v>
      </c>
      <c r="T965" s="102">
        <f>R965*Q965</f>
        <v>6442050</v>
      </c>
      <c r="U965" s="71" t="str">
        <f>IF(J965=W965,"O", "X")</f>
        <v>O</v>
      </c>
      <c r="V965" s="71"/>
      <c r="W965" s="474">
        <f t="shared" ref="W965:W977" si="454">(G965-T965)</f>
        <v>2362950</v>
      </c>
      <c r="X965" s="71"/>
      <c r="Y965" s="71"/>
    </row>
    <row r="966" spans="1:25" ht="30" customHeight="1" x14ac:dyDescent="0.25">
      <c r="A966" s="82">
        <v>180530</v>
      </c>
      <c r="B966" s="664" t="s">
        <v>422</v>
      </c>
      <c r="C966" s="760" t="s">
        <v>218</v>
      </c>
      <c r="D966" s="71">
        <v>5</v>
      </c>
      <c r="E966" s="102">
        <v>235000</v>
      </c>
      <c r="F966" s="102">
        <f>(E966*D966)*1.1</f>
        <v>1292500</v>
      </c>
      <c r="G966" s="102">
        <f>(E966*D966)</f>
        <v>1175000</v>
      </c>
      <c r="H966" s="690" t="s">
        <v>173</v>
      </c>
      <c r="I966" s="71" t="s">
        <v>120</v>
      </c>
      <c r="J966" s="53">
        <f>(G966-(VLOOKUP(C966,Price!B:D,3,FALSE)*D966))</f>
        <v>612500</v>
      </c>
      <c r="K966" s="63">
        <f>(J966/(F966/11*10))</f>
        <v>0.52127659574468088</v>
      </c>
      <c r="L966" s="82">
        <v>18.5</v>
      </c>
      <c r="M966" s="468"/>
      <c r="N966" s="664">
        <f t="shared" si="447"/>
        <v>180530</v>
      </c>
      <c r="O966" s="71" t="s">
        <v>150</v>
      </c>
      <c r="P966" s="103" t="str">
        <f>C966</f>
        <v>Fount Web 551AF</v>
      </c>
      <c r="Q966" s="71">
        <f>D966</f>
        <v>5</v>
      </c>
      <c r="R966" s="102">
        <v>112500</v>
      </c>
      <c r="S966" s="102">
        <f>R966*Q966*1.1</f>
        <v>618750</v>
      </c>
      <c r="T966" s="102">
        <f>R966*Q966</f>
        <v>562500</v>
      </c>
      <c r="U966" s="71" t="str">
        <f>IF(J966=W966,"O", "X")</f>
        <v>O</v>
      </c>
      <c r="V966" s="71"/>
      <c r="W966" s="474">
        <f t="shared" si="454"/>
        <v>612500</v>
      </c>
      <c r="X966" s="71"/>
      <c r="Y966" s="71"/>
    </row>
    <row r="967" spans="1:25" ht="30" customHeight="1" x14ac:dyDescent="0.25">
      <c r="A967" s="82">
        <v>180530</v>
      </c>
      <c r="B967" s="664" t="s">
        <v>565</v>
      </c>
      <c r="C967" s="71" t="s">
        <v>692</v>
      </c>
      <c r="D967" s="71">
        <v>10</v>
      </c>
      <c r="E967" s="102">
        <v>218000</v>
      </c>
      <c r="F967" s="102">
        <f>(E967*D967)*1.1</f>
        <v>2398000</v>
      </c>
      <c r="G967" s="102">
        <f>(E967*D967)</f>
        <v>2180000</v>
      </c>
      <c r="H967" s="690" t="s">
        <v>173</v>
      </c>
      <c r="I967" s="71" t="s">
        <v>109</v>
      </c>
      <c r="J967" s="53">
        <f>(G967-(VLOOKUP(C967,Price!B:D,3,FALSE)*D967))</f>
        <v>580000</v>
      </c>
      <c r="K967" s="63">
        <f>(J967/(F967/11*10))</f>
        <v>0.26605504587155965</v>
      </c>
      <c r="L967" s="82">
        <v>18.5</v>
      </c>
      <c r="M967" s="468"/>
      <c r="N967" s="663">
        <f>A967</f>
        <v>180530</v>
      </c>
      <c r="O967" s="71" t="s">
        <v>150</v>
      </c>
      <c r="P967" s="103" t="str">
        <f>(C967)</f>
        <v>윤전 블랑켓</v>
      </c>
      <c r="Q967" s="71">
        <f>D967</f>
        <v>10</v>
      </c>
      <c r="R967" s="102">
        <v>160000</v>
      </c>
      <c r="S967" s="102">
        <f>(R967*D967)*1.1</f>
        <v>1760000.0000000002</v>
      </c>
      <c r="T967" s="102">
        <f>(R967*Q967)</f>
        <v>1600000</v>
      </c>
      <c r="U967" s="71" t="str">
        <f>IF(J967=W967,"O", "X")</f>
        <v>O</v>
      </c>
      <c r="V967" s="71" t="s">
        <v>784</v>
      </c>
      <c r="W967" s="474">
        <f t="shared" si="454"/>
        <v>580000</v>
      </c>
      <c r="X967" s="71"/>
      <c r="Y967" s="71"/>
    </row>
    <row r="968" spans="1:25" s="859" customFormat="1" ht="45" hidden="1" customHeight="1" x14ac:dyDescent="0.25">
      <c r="A968" s="947">
        <v>2018.6</v>
      </c>
      <c r="B968" s="948" t="s">
        <v>544</v>
      </c>
      <c r="C968" s="949"/>
      <c r="D968" s="949"/>
      <c r="E968" s="950"/>
      <c r="F968" s="950"/>
      <c r="G968" s="950"/>
      <c r="H968" s="951"/>
      <c r="I968" s="949"/>
      <c r="J968" s="952"/>
      <c r="K968" s="953"/>
      <c r="L968" s="954">
        <v>18.600000000000001</v>
      </c>
      <c r="M968" s="955"/>
      <c r="N968" s="964">
        <f t="shared" si="447"/>
        <v>2018.6</v>
      </c>
      <c r="O968" s="949" t="s">
        <v>154</v>
      </c>
      <c r="P968" s="957"/>
      <c r="Q968" s="958"/>
      <c r="R968" s="959"/>
      <c r="S968" s="952"/>
      <c r="T968" s="952"/>
      <c r="U968" s="960"/>
      <c r="V968" s="960"/>
      <c r="W968" s="961">
        <f t="shared" si="454"/>
        <v>0</v>
      </c>
      <c r="X968" s="960"/>
      <c r="Y968" s="960"/>
    </row>
    <row r="969" spans="1:25" ht="30" hidden="1" customHeight="1" x14ac:dyDescent="0.25">
      <c r="A969" s="80">
        <v>180405</v>
      </c>
      <c r="B969" s="663" t="s">
        <v>442</v>
      </c>
      <c r="C969" s="73" t="s">
        <v>133</v>
      </c>
      <c r="D969" s="73">
        <v>2</v>
      </c>
      <c r="E969" s="147">
        <v>327000</v>
      </c>
      <c r="F969" s="147">
        <f t="shared" ref="F969:F977" si="455">(E969*D969)*1.1</f>
        <v>719400</v>
      </c>
      <c r="G969" s="147">
        <f t="shared" ref="G969:G977" si="456">(E969*D969)</f>
        <v>654000</v>
      </c>
      <c r="H969" s="689" t="s">
        <v>173</v>
      </c>
      <c r="I969" s="73" t="s">
        <v>141</v>
      </c>
      <c r="J969" s="60">
        <f>(G969-(VLOOKUP(C969,Price!B:D,3,FALSE)*D969))</f>
        <v>115800</v>
      </c>
      <c r="K969" s="427">
        <f t="shared" ref="K969:K977" si="457">(J969/(F969/11*10))</f>
        <v>0.17706422018348625</v>
      </c>
      <c r="L969" s="874">
        <v>18.600000000000001</v>
      </c>
      <c r="M969" s="584" t="s">
        <v>1233</v>
      </c>
      <c r="N969" s="663">
        <f t="shared" si="447"/>
        <v>180405</v>
      </c>
      <c r="O969" s="73" t="s">
        <v>145</v>
      </c>
      <c r="P969" s="132" t="str">
        <f t="shared" ref="P969:Q972" si="458">C969</f>
        <v>Agfa Film(24inch)</v>
      </c>
      <c r="Q969" s="73">
        <f t="shared" si="458"/>
        <v>2</v>
      </c>
      <c r="R969" s="147">
        <f>VLOOKUP(P969,Price!B:D,3,FALSE)</f>
        <v>269100</v>
      </c>
      <c r="S969" s="147">
        <f t="shared" ref="S969:S978" si="459">R969*Q969*1.1</f>
        <v>592020</v>
      </c>
      <c r="T969" s="147">
        <f t="shared" ref="T969:T978" si="460">R969*Q969</f>
        <v>538200</v>
      </c>
      <c r="U969" s="73" t="str">
        <f t="shared" ref="U969:U975" si="461">IF(J969=W969,"O", "X")</f>
        <v>O</v>
      </c>
      <c r="V969" s="73"/>
      <c r="W969" s="473">
        <f t="shared" si="454"/>
        <v>115800</v>
      </c>
      <c r="X969" s="73"/>
      <c r="Y969" s="73"/>
    </row>
    <row r="970" spans="1:25" ht="30" hidden="1" customHeight="1" x14ac:dyDescent="0.25">
      <c r="A970" s="82">
        <v>180405</v>
      </c>
      <c r="B970" s="664" t="s">
        <v>442</v>
      </c>
      <c r="C970" s="71" t="s">
        <v>134</v>
      </c>
      <c r="D970" s="71">
        <v>2</v>
      </c>
      <c r="E970" s="102">
        <v>401000</v>
      </c>
      <c r="F970" s="102">
        <f t="shared" si="455"/>
        <v>882200.00000000012</v>
      </c>
      <c r="G970" s="102">
        <f t="shared" si="456"/>
        <v>802000</v>
      </c>
      <c r="H970" s="690" t="s">
        <v>173</v>
      </c>
      <c r="I970" s="71" t="s">
        <v>141</v>
      </c>
      <c r="J970" s="53">
        <f>(G970-(VLOOKUP(C970,Price!B:D,3,FALSE)*D970))</f>
        <v>174080</v>
      </c>
      <c r="K970" s="63">
        <f t="shared" si="457"/>
        <v>0.21705735660847877</v>
      </c>
      <c r="L970" s="871">
        <v>18.600000000000001</v>
      </c>
      <c r="M970" s="584" t="s">
        <v>1233</v>
      </c>
      <c r="N970" s="664">
        <f t="shared" si="447"/>
        <v>180405</v>
      </c>
      <c r="O970" s="71" t="s">
        <v>145</v>
      </c>
      <c r="P970" s="103" t="str">
        <f t="shared" si="458"/>
        <v>Agfa Film(28inch)</v>
      </c>
      <c r="Q970" s="71">
        <f t="shared" si="458"/>
        <v>2</v>
      </c>
      <c r="R970" s="102">
        <f>VLOOKUP(P970,Price!B:D,3,FALSE)</f>
        <v>313960</v>
      </c>
      <c r="S970" s="102">
        <f t="shared" si="459"/>
        <v>690712</v>
      </c>
      <c r="T970" s="102">
        <f t="shared" si="460"/>
        <v>627920</v>
      </c>
      <c r="U970" s="71" t="str">
        <f t="shared" si="461"/>
        <v>O</v>
      </c>
      <c r="V970" s="71"/>
      <c r="W970" s="474">
        <f t="shared" si="454"/>
        <v>174080</v>
      </c>
      <c r="X970" s="71"/>
      <c r="Y970" s="71"/>
    </row>
    <row r="971" spans="1:25" ht="30" hidden="1" customHeight="1" x14ac:dyDescent="0.25">
      <c r="A971" s="82">
        <v>180405</v>
      </c>
      <c r="B971" s="664" t="s">
        <v>442</v>
      </c>
      <c r="C971" s="71" t="s">
        <v>135</v>
      </c>
      <c r="D971" s="71">
        <v>2</v>
      </c>
      <c r="E971" s="102">
        <v>448000</v>
      </c>
      <c r="F971" s="102">
        <f t="shared" si="455"/>
        <v>985600.00000000012</v>
      </c>
      <c r="G971" s="102">
        <f t="shared" si="456"/>
        <v>896000</v>
      </c>
      <c r="H971" s="690" t="s">
        <v>173</v>
      </c>
      <c r="I971" s="71" t="s">
        <v>141</v>
      </c>
      <c r="J971" s="53">
        <f>(G971-(VLOOKUP(C971,Price!B:D,3,FALSE)*D971))</f>
        <v>155980</v>
      </c>
      <c r="K971" s="63">
        <f t="shared" si="457"/>
        <v>0.1740848214285714</v>
      </c>
      <c r="L971" s="871">
        <v>18.600000000000001</v>
      </c>
      <c r="M971" s="584" t="s">
        <v>1233</v>
      </c>
      <c r="N971" s="664">
        <f t="shared" si="447"/>
        <v>180405</v>
      </c>
      <c r="O971" s="71" t="s">
        <v>145</v>
      </c>
      <c r="P971" s="103" t="str">
        <f t="shared" si="458"/>
        <v>Agfa Film(32inch)</v>
      </c>
      <c r="Q971" s="71">
        <f t="shared" si="458"/>
        <v>2</v>
      </c>
      <c r="R971" s="102">
        <f>VLOOKUP(P971,Price!B:D,3,FALSE)</f>
        <v>370010</v>
      </c>
      <c r="S971" s="102">
        <f t="shared" si="459"/>
        <v>814022.00000000012</v>
      </c>
      <c r="T971" s="102">
        <f t="shared" si="460"/>
        <v>740020</v>
      </c>
      <c r="U971" s="71" t="str">
        <f t="shared" si="461"/>
        <v>O</v>
      </c>
      <c r="V971" s="71"/>
      <c r="W971" s="474">
        <f t="shared" si="454"/>
        <v>155980</v>
      </c>
      <c r="X971" s="71"/>
      <c r="Y971" s="71"/>
    </row>
    <row r="972" spans="1:25" ht="30" hidden="1" customHeight="1" x14ac:dyDescent="0.25">
      <c r="A972" s="82">
        <v>180611</v>
      </c>
      <c r="B972" s="664" t="s">
        <v>442</v>
      </c>
      <c r="C972" s="71" t="s">
        <v>649</v>
      </c>
      <c r="D972" s="71">
        <v>2</v>
      </c>
      <c r="E972" s="102">
        <v>41000</v>
      </c>
      <c r="F972" s="102">
        <f t="shared" si="455"/>
        <v>90200.000000000015</v>
      </c>
      <c r="G972" s="102">
        <f t="shared" si="456"/>
        <v>82000</v>
      </c>
      <c r="H972" s="690" t="s">
        <v>173</v>
      </c>
      <c r="I972" s="71" t="s">
        <v>141</v>
      </c>
      <c r="J972" s="53">
        <f>(G972-(VLOOKUP(C972,Price!B:D,3,FALSE)*D972))</f>
        <v>32000</v>
      </c>
      <c r="K972" s="63">
        <f t="shared" si="457"/>
        <v>0.39024390243902435</v>
      </c>
      <c r="L972" s="871">
        <v>18.600000000000001</v>
      </c>
      <c r="M972" s="584" t="s">
        <v>1233</v>
      </c>
      <c r="N972" s="664">
        <f t="shared" si="447"/>
        <v>180611</v>
      </c>
      <c r="O972" s="71" t="s">
        <v>145</v>
      </c>
      <c r="P972" s="103" t="str">
        <f t="shared" si="458"/>
        <v>Agfa 현상액 G101C(10L)</v>
      </c>
      <c r="Q972" s="71">
        <f t="shared" si="458"/>
        <v>2</v>
      </c>
      <c r="R972" s="102">
        <f>VLOOKUP(P972,Price!B:D,3,FALSE)</f>
        <v>25000</v>
      </c>
      <c r="S972" s="102">
        <f t="shared" si="459"/>
        <v>55000.000000000007</v>
      </c>
      <c r="T972" s="102">
        <f t="shared" si="460"/>
        <v>50000</v>
      </c>
      <c r="U972" s="71" t="str">
        <f t="shared" si="461"/>
        <v>O</v>
      </c>
      <c r="V972" s="71"/>
      <c r="W972" s="474">
        <f t="shared" si="454"/>
        <v>32000</v>
      </c>
      <c r="X972" s="71"/>
      <c r="Y972" s="71"/>
    </row>
    <row r="973" spans="1:25" ht="30" hidden="1" customHeight="1" x14ac:dyDescent="0.25">
      <c r="A973" s="82">
        <v>180530</v>
      </c>
      <c r="B973" s="664" t="s">
        <v>983</v>
      </c>
      <c r="C973" s="71" t="s">
        <v>1009</v>
      </c>
      <c r="D973" s="71">
        <v>520</v>
      </c>
      <c r="E973" s="102">
        <v>3900</v>
      </c>
      <c r="F973" s="102">
        <f t="shared" si="455"/>
        <v>2230800</v>
      </c>
      <c r="G973" s="102">
        <f t="shared" si="456"/>
        <v>2028000</v>
      </c>
      <c r="H973" s="690" t="s">
        <v>173</v>
      </c>
      <c r="I973" s="71" t="s">
        <v>140</v>
      </c>
      <c r="J973" s="53">
        <f>G973-T973</f>
        <v>312000</v>
      </c>
      <c r="K973" s="63">
        <f t="shared" si="457"/>
        <v>0.15384615384615385</v>
      </c>
      <c r="L973" s="871">
        <v>18.600000000000001</v>
      </c>
      <c r="M973" s="468"/>
      <c r="N973" s="664">
        <f t="shared" si="447"/>
        <v>180530</v>
      </c>
      <c r="O973" s="71" t="s">
        <v>147</v>
      </c>
      <c r="P973" s="103" t="str">
        <f t="shared" ref="P973:Q978" si="462">C973</f>
        <v>CTP판(1030*790mm)</v>
      </c>
      <c r="Q973" s="71">
        <f t="shared" si="462"/>
        <v>520</v>
      </c>
      <c r="R973" s="102">
        <v>3300</v>
      </c>
      <c r="S973" s="102">
        <f t="shared" si="459"/>
        <v>1887600.0000000002</v>
      </c>
      <c r="T973" s="102">
        <f t="shared" si="460"/>
        <v>1716000</v>
      </c>
      <c r="U973" s="71" t="str">
        <f t="shared" si="461"/>
        <v>O</v>
      </c>
      <c r="V973" s="71"/>
      <c r="W973" s="474">
        <f t="shared" si="454"/>
        <v>312000</v>
      </c>
      <c r="X973" s="71"/>
      <c r="Y973" s="71"/>
    </row>
    <row r="974" spans="1:25" ht="30" hidden="1" customHeight="1" x14ac:dyDescent="0.25">
      <c r="A974" s="82">
        <v>180530</v>
      </c>
      <c r="B974" s="664" t="s">
        <v>983</v>
      </c>
      <c r="C974" s="71" t="s">
        <v>984</v>
      </c>
      <c r="D974" s="71">
        <v>8</v>
      </c>
      <c r="E974" s="102">
        <v>45000</v>
      </c>
      <c r="F974" s="102">
        <f t="shared" si="455"/>
        <v>396000.00000000006</v>
      </c>
      <c r="G974" s="102">
        <f t="shared" si="456"/>
        <v>360000</v>
      </c>
      <c r="H974" s="690" t="s">
        <v>173</v>
      </c>
      <c r="I974" s="71" t="s">
        <v>140</v>
      </c>
      <c r="J974" s="53">
        <f>G974-T974</f>
        <v>80000</v>
      </c>
      <c r="K974" s="63">
        <f t="shared" si="457"/>
        <v>0.22222222222222218</v>
      </c>
      <c r="L974" s="871">
        <v>18.600000000000001</v>
      </c>
      <c r="M974" s="468"/>
      <c r="N974" s="664">
        <f t="shared" si="447"/>
        <v>180530</v>
      </c>
      <c r="O974" s="71" t="s">
        <v>147</v>
      </c>
      <c r="P974" s="103" t="str">
        <f t="shared" si="462"/>
        <v>CTP 현상액</v>
      </c>
      <c r="Q974" s="71">
        <f t="shared" si="462"/>
        <v>8</v>
      </c>
      <c r="R974" s="102">
        <v>35000</v>
      </c>
      <c r="S974" s="102">
        <f t="shared" si="459"/>
        <v>308000</v>
      </c>
      <c r="T974" s="102">
        <f t="shared" si="460"/>
        <v>280000</v>
      </c>
      <c r="U974" s="71" t="str">
        <f t="shared" si="461"/>
        <v>O</v>
      </c>
      <c r="V974" s="71"/>
      <c r="W974" s="474">
        <f t="shared" si="454"/>
        <v>80000</v>
      </c>
      <c r="X974" s="71"/>
      <c r="Y974" s="71"/>
    </row>
    <row r="975" spans="1:25" s="209" customFormat="1" ht="30" hidden="1" customHeight="1" x14ac:dyDescent="0.25">
      <c r="A975" s="82">
        <v>180530</v>
      </c>
      <c r="B975" s="664" t="s">
        <v>764</v>
      </c>
      <c r="C975" s="71" t="s">
        <v>236</v>
      </c>
      <c r="D975" s="71">
        <v>5</v>
      </c>
      <c r="E975" s="102">
        <v>100000</v>
      </c>
      <c r="F975" s="102">
        <f t="shared" si="455"/>
        <v>550000</v>
      </c>
      <c r="G975" s="102">
        <f t="shared" si="456"/>
        <v>500000</v>
      </c>
      <c r="H975" s="690" t="s">
        <v>173</v>
      </c>
      <c r="I975" s="71" t="s">
        <v>142</v>
      </c>
      <c r="J975" s="53">
        <f>(G975-(VLOOKUP(C975,Price!B:D,3,FALSE)*D975))</f>
        <v>250000</v>
      </c>
      <c r="K975" s="63">
        <f t="shared" si="457"/>
        <v>0.5</v>
      </c>
      <c r="L975" s="871">
        <v>18.600000000000001</v>
      </c>
      <c r="M975" s="468"/>
      <c r="N975" s="664">
        <f t="shared" si="447"/>
        <v>180530</v>
      </c>
      <c r="O975" s="71" t="s">
        <v>153</v>
      </c>
      <c r="P975" s="103" t="str">
        <f t="shared" si="462"/>
        <v>아스테이지(국전)</v>
      </c>
      <c r="Q975" s="71">
        <f t="shared" si="462"/>
        <v>5</v>
      </c>
      <c r="R975" s="102">
        <f>VLOOKUP(P975,Price!B:D,3,FALSE)</f>
        <v>50000</v>
      </c>
      <c r="S975" s="102">
        <f t="shared" si="459"/>
        <v>275000</v>
      </c>
      <c r="T975" s="102">
        <f t="shared" si="460"/>
        <v>250000</v>
      </c>
      <c r="U975" s="71" t="str">
        <f t="shared" si="461"/>
        <v>O</v>
      </c>
      <c r="V975" s="71"/>
      <c r="W975" s="474">
        <f t="shared" si="454"/>
        <v>250000</v>
      </c>
      <c r="X975" s="71"/>
      <c r="Y975" s="71"/>
    </row>
    <row r="976" spans="1:25" s="209" customFormat="1" ht="30" hidden="1" customHeight="1" x14ac:dyDescent="0.25">
      <c r="A976" s="82">
        <v>180530</v>
      </c>
      <c r="B976" s="664" t="s">
        <v>575</v>
      </c>
      <c r="C976" s="71" t="s">
        <v>1251</v>
      </c>
      <c r="D976" s="71">
        <v>2</v>
      </c>
      <c r="E976" s="102">
        <v>440000</v>
      </c>
      <c r="F976" s="102">
        <f t="shared" si="455"/>
        <v>968000.00000000012</v>
      </c>
      <c r="G976" s="102">
        <f t="shared" si="456"/>
        <v>880000</v>
      </c>
      <c r="H976" s="690" t="s">
        <v>173</v>
      </c>
      <c r="I976" s="71" t="s">
        <v>143</v>
      </c>
      <c r="J976" s="53">
        <f>G976-T976</f>
        <v>120000</v>
      </c>
      <c r="K976" s="63">
        <f t="shared" si="457"/>
        <v>0.13636363636363635</v>
      </c>
      <c r="L976" s="871">
        <v>18.600000000000001</v>
      </c>
      <c r="M976" s="468"/>
      <c r="N976" s="664">
        <f t="shared" si="447"/>
        <v>180530</v>
      </c>
      <c r="O976" s="71" t="s">
        <v>612</v>
      </c>
      <c r="P976" s="103" t="str">
        <f t="shared" si="462"/>
        <v>XL 롤러</v>
      </c>
      <c r="Q976" s="71">
        <f t="shared" si="462"/>
        <v>2</v>
      </c>
      <c r="R976" s="102">
        <v>380000</v>
      </c>
      <c r="S976" s="102">
        <f t="shared" si="459"/>
        <v>836000.00000000012</v>
      </c>
      <c r="T976" s="102">
        <f t="shared" si="460"/>
        <v>760000</v>
      </c>
      <c r="U976" s="71"/>
      <c r="V976" s="71"/>
      <c r="W976" s="474">
        <f t="shared" si="454"/>
        <v>120000</v>
      </c>
      <c r="X976" s="71"/>
      <c r="Y976" s="71"/>
    </row>
    <row r="977" spans="1:25" s="209" customFormat="1" ht="30" hidden="1" customHeight="1" x14ac:dyDescent="0.25">
      <c r="A977" s="82">
        <v>180530</v>
      </c>
      <c r="B977" s="664" t="s">
        <v>575</v>
      </c>
      <c r="C977" s="71" t="s">
        <v>1252</v>
      </c>
      <c r="D977" s="71">
        <v>4</v>
      </c>
      <c r="E977" s="102">
        <v>220000</v>
      </c>
      <c r="F977" s="102">
        <f t="shared" si="455"/>
        <v>968000.00000000012</v>
      </c>
      <c r="G977" s="102">
        <f t="shared" si="456"/>
        <v>880000</v>
      </c>
      <c r="H977" s="690" t="s">
        <v>173</v>
      </c>
      <c r="I977" s="71" t="s">
        <v>143</v>
      </c>
      <c r="J977" s="53">
        <f>G977-T977</f>
        <v>120000</v>
      </c>
      <c r="K977" s="63">
        <f t="shared" si="457"/>
        <v>0.13636363636363635</v>
      </c>
      <c r="L977" s="871">
        <v>18.600000000000001</v>
      </c>
      <c r="M977" s="468"/>
      <c r="N977" s="664">
        <f t="shared" si="447"/>
        <v>180530</v>
      </c>
      <c r="O977" s="71" t="s">
        <v>612</v>
      </c>
      <c r="P977" s="103" t="str">
        <f t="shared" si="462"/>
        <v>요비다시 롤러</v>
      </c>
      <c r="Q977" s="71">
        <f t="shared" si="462"/>
        <v>4</v>
      </c>
      <c r="R977" s="102">
        <v>190000</v>
      </c>
      <c r="S977" s="102">
        <f t="shared" si="459"/>
        <v>836000.00000000012</v>
      </c>
      <c r="T977" s="102">
        <f t="shared" si="460"/>
        <v>760000</v>
      </c>
      <c r="U977" s="71"/>
      <c r="V977" s="71"/>
      <c r="W977" s="474">
        <f t="shared" si="454"/>
        <v>120000</v>
      </c>
      <c r="X977" s="71"/>
      <c r="Y977" s="71"/>
    </row>
    <row r="978" spans="1:25" ht="30" hidden="1" customHeight="1" x14ac:dyDescent="0.25">
      <c r="A978" s="82">
        <v>180530</v>
      </c>
      <c r="B978" s="664" t="s">
        <v>748</v>
      </c>
      <c r="C978" s="71" t="s">
        <v>830</v>
      </c>
      <c r="D978" s="71">
        <v>1</v>
      </c>
      <c r="E978" s="102">
        <v>2000000</v>
      </c>
      <c r="F978" s="102">
        <f>(E978*D978)*1.1</f>
        <v>2200000</v>
      </c>
      <c r="G978" s="102">
        <f>(E978*D978)</f>
        <v>2000000</v>
      </c>
      <c r="H978" s="779" t="s">
        <v>113</v>
      </c>
      <c r="I978" s="71"/>
      <c r="J978" s="53">
        <f>G978-T978</f>
        <v>1117981.0499999998</v>
      </c>
      <c r="K978" s="63">
        <f>(J978/(F978/11*10))</f>
        <v>0.5589905249999999</v>
      </c>
      <c r="L978" s="871">
        <v>18.600000000000001</v>
      </c>
      <c r="M978" s="468"/>
      <c r="N978" s="733">
        <f t="shared" si="447"/>
        <v>180530</v>
      </c>
      <c r="O978" s="878" t="s">
        <v>113</v>
      </c>
      <c r="P978" s="737" t="str">
        <f t="shared" si="462"/>
        <v>웹 가이드 센서</v>
      </c>
      <c r="Q978" s="96">
        <f t="shared" si="462"/>
        <v>1</v>
      </c>
      <c r="R978" s="734">
        <v>882018.95000000007</v>
      </c>
      <c r="S978" s="102">
        <f t="shared" si="459"/>
        <v>970220.8450000002</v>
      </c>
      <c r="T978" s="102">
        <f t="shared" si="460"/>
        <v>882018.95000000007</v>
      </c>
      <c r="U978" s="71" t="str">
        <f t="shared" ref="U978:U1006" si="463">IF(J978=W978,"O", "X")</f>
        <v>X</v>
      </c>
      <c r="V978" s="71"/>
      <c r="W978" s="474"/>
      <c r="X978" s="71"/>
      <c r="Y978" s="71"/>
    </row>
    <row r="979" spans="1:25" ht="30" hidden="1" customHeight="1" x14ac:dyDescent="0.25">
      <c r="A979" s="80">
        <v>180530</v>
      </c>
      <c r="B979" s="663" t="s">
        <v>1051</v>
      </c>
      <c r="C979" s="73" t="s">
        <v>951</v>
      </c>
      <c r="D979" s="73">
        <v>900</v>
      </c>
      <c r="E979" s="147">
        <v>3800</v>
      </c>
      <c r="F979" s="147">
        <f>(E979*D979)*1.1</f>
        <v>3762000.0000000005</v>
      </c>
      <c r="G979" s="147">
        <f>(E979*D979)</f>
        <v>3420000</v>
      </c>
      <c r="H979" s="689" t="s">
        <v>142</v>
      </c>
      <c r="I979" s="73" t="s">
        <v>140</v>
      </c>
      <c r="J979" s="60">
        <f>(G979-(VLOOKUP(C979,Price!B:D,3,FALSE)*D979))</f>
        <v>1080000</v>
      </c>
      <c r="K979" s="427">
        <f>(J979/(F979/11*10))</f>
        <v>0.31578947368421051</v>
      </c>
      <c r="L979" s="80">
        <v>18.600000000000001</v>
      </c>
      <c r="M979" s="584"/>
      <c r="N979" s="663">
        <f t="shared" si="447"/>
        <v>180530</v>
      </c>
      <c r="O979" s="73" t="s">
        <v>145</v>
      </c>
      <c r="P979" s="132" t="str">
        <f>(C979)</f>
        <v>ENGAGE 30WEB(883*552)</v>
      </c>
      <c r="Q979" s="73">
        <f>D979</f>
        <v>900</v>
      </c>
      <c r="R979" s="147">
        <v>2600</v>
      </c>
      <c r="S979" s="147">
        <f>(R979*D979)*1.1</f>
        <v>2574000</v>
      </c>
      <c r="T979" s="147">
        <f>(R979*Q979)</f>
        <v>2340000</v>
      </c>
      <c r="U979" s="73" t="str">
        <f t="shared" si="463"/>
        <v>O</v>
      </c>
      <c r="V979" s="73"/>
      <c r="W979" s="473">
        <f t="shared" ref="W979:W989" si="464">(G979-T979)</f>
        <v>1080000</v>
      </c>
      <c r="X979" s="73"/>
      <c r="Y979" s="73"/>
    </row>
    <row r="980" spans="1:25" ht="30" hidden="1" customHeight="1" x14ac:dyDescent="0.25">
      <c r="A980" s="82">
        <v>180530</v>
      </c>
      <c r="B980" s="664" t="s">
        <v>1051</v>
      </c>
      <c r="C980" s="67" t="s">
        <v>197</v>
      </c>
      <c r="D980" s="71">
        <v>10</v>
      </c>
      <c r="E980" s="102">
        <v>58000</v>
      </c>
      <c r="F980" s="102">
        <f>(E980*D980)*1.1</f>
        <v>638000</v>
      </c>
      <c r="G980" s="102">
        <f>(E980*D980)</f>
        <v>580000</v>
      </c>
      <c r="H980" s="690" t="s">
        <v>142</v>
      </c>
      <c r="I980" s="71" t="s">
        <v>140</v>
      </c>
      <c r="J980" s="53">
        <f>(G980-(VLOOKUP(C980,Price!B:D,3,FALSE)*D980))</f>
        <v>230000</v>
      </c>
      <c r="K980" s="63">
        <f>(J980/(F980/11*10))</f>
        <v>0.39655172413793105</v>
      </c>
      <c r="L980" s="871">
        <v>18.600000000000001</v>
      </c>
      <c r="M980" s="468"/>
      <c r="N980" s="664">
        <f t="shared" si="447"/>
        <v>180530</v>
      </c>
      <c r="O980" s="71" t="s">
        <v>145</v>
      </c>
      <c r="P980" s="103" t="str">
        <f>C980</f>
        <v>THR200(20L)</v>
      </c>
      <c r="Q980" s="71">
        <f>D980</f>
        <v>10</v>
      </c>
      <c r="R980" s="102">
        <v>35000</v>
      </c>
      <c r="S980" s="102">
        <f t="shared" ref="S980:S987" si="465">R980*Q980*1.1</f>
        <v>385000.00000000006</v>
      </c>
      <c r="T980" s="102">
        <f t="shared" ref="T980:T987" si="466">R980*Q980</f>
        <v>350000</v>
      </c>
      <c r="U980" s="71" t="str">
        <f t="shared" si="463"/>
        <v>O</v>
      </c>
      <c r="V980" s="71"/>
      <c r="W980" s="474">
        <f t="shared" si="464"/>
        <v>230000</v>
      </c>
      <c r="X980" s="71"/>
      <c r="Y980" s="71"/>
    </row>
    <row r="981" spans="1:25" ht="30" hidden="1" customHeight="1" x14ac:dyDescent="0.25">
      <c r="A981" s="80">
        <v>180530</v>
      </c>
      <c r="B981" s="664" t="s">
        <v>1052</v>
      </c>
      <c r="C981" s="71" t="s">
        <v>1115</v>
      </c>
      <c r="D981" s="71">
        <v>50</v>
      </c>
      <c r="E981" s="102">
        <v>6200</v>
      </c>
      <c r="F981" s="102">
        <f t="shared" ref="F981:F987" si="467">(E981*D981)*1.1</f>
        <v>341000</v>
      </c>
      <c r="G981" s="102">
        <f t="shared" ref="G981:G987" si="468">(E981*D981)</f>
        <v>310000</v>
      </c>
      <c r="H981" s="690" t="s">
        <v>142</v>
      </c>
      <c r="I981" s="71" t="s">
        <v>144</v>
      </c>
      <c r="J981" s="53">
        <f>G981-T981</f>
        <v>5000</v>
      </c>
      <c r="K981" s="63">
        <f t="shared" ref="K981:K987" si="469">(J981/(F981/11*10))</f>
        <v>1.6129032258064516E-2</v>
      </c>
      <c r="L981" s="871">
        <v>18.600000000000001</v>
      </c>
      <c r="M981" s="468"/>
      <c r="N981" s="663">
        <f t="shared" ref="N981:N987" si="470">A981</f>
        <v>180530</v>
      </c>
      <c r="O981" s="71" t="s">
        <v>147</v>
      </c>
      <c r="P981" s="103" t="str">
        <f t="shared" ref="P981:P987" si="471">C981</f>
        <v>한특 잉크(적)</v>
      </c>
      <c r="Q981" s="71">
        <f t="shared" ref="Q981:Q987" si="472">D981</f>
        <v>50</v>
      </c>
      <c r="R981" s="102">
        <v>6100</v>
      </c>
      <c r="S981" s="102">
        <f t="shared" si="465"/>
        <v>335500</v>
      </c>
      <c r="T981" s="102">
        <f t="shared" si="466"/>
        <v>305000</v>
      </c>
      <c r="U981" s="71" t="str">
        <f t="shared" si="463"/>
        <v>O</v>
      </c>
      <c r="V981" s="71"/>
      <c r="W981" s="474">
        <f t="shared" si="464"/>
        <v>5000</v>
      </c>
      <c r="X981" s="71"/>
      <c r="Y981" s="71"/>
    </row>
    <row r="982" spans="1:25" ht="30" hidden="1" customHeight="1" x14ac:dyDescent="0.25">
      <c r="A982" s="80">
        <v>180530</v>
      </c>
      <c r="B982" s="664" t="s">
        <v>1052</v>
      </c>
      <c r="C982" s="71" t="s">
        <v>1116</v>
      </c>
      <c r="D982" s="71">
        <v>30</v>
      </c>
      <c r="E982" s="102">
        <v>6000</v>
      </c>
      <c r="F982" s="102">
        <f t="shared" si="467"/>
        <v>198000.00000000003</v>
      </c>
      <c r="G982" s="102">
        <f t="shared" si="468"/>
        <v>180000</v>
      </c>
      <c r="H982" s="690" t="s">
        <v>142</v>
      </c>
      <c r="I982" s="71" t="s">
        <v>144</v>
      </c>
      <c r="J982" s="53">
        <f>G982-T982</f>
        <v>3000</v>
      </c>
      <c r="K982" s="63">
        <f t="shared" si="469"/>
        <v>1.6666666666666663E-2</v>
      </c>
      <c r="L982" s="871">
        <v>18.600000000000001</v>
      </c>
      <c r="M982" s="468"/>
      <c r="N982" s="663">
        <f t="shared" si="470"/>
        <v>180530</v>
      </c>
      <c r="O982" s="71" t="s">
        <v>147</v>
      </c>
      <c r="P982" s="103" t="str">
        <f t="shared" si="471"/>
        <v>한특 잉크(황)</v>
      </c>
      <c r="Q982" s="71">
        <f t="shared" si="472"/>
        <v>30</v>
      </c>
      <c r="R982" s="102">
        <v>5900</v>
      </c>
      <c r="S982" s="102">
        <f t="shared" si="465"/>
        <v>194700.00000000003</v>
      </c>
      <c r="T982" s="102">
        <f t="shared" si="466"/>
        <v>177000</v>
      </c>
      <c r="U982" s="71" t="str">
        <f t="shared" si="463"/>
        <v>O</v>
      </c>
      <c r="V982" s="71"/>
      <c r="W982" s="474">
        <f t="shared" si="464"/>
        <v>3000</v>
      </c>
      <c r="X982" s="71"/>
      <c r="Y982" s="71"/>
    </row>
    <row r="983" spans="1:25" ht="30" hidden="1" customHeight="1" x14ac:dyDescent="0.25">
      <c r="A983" s="80">
        <v>180530</v>
      </c>
      <c r="B983" s="664" t="s">
        <v>1052</v>
      </c>
      <c r="C983" s="71" t="s">
        <v>1117</v>
      </c>
      <c r="D983" s="71">
        <v>30</v>
      </c>
      <c r="E983" s="102">
        <v>6500</v>
      </c>
      <c r="F983" s="102">
        <f t="shared" si="467"/>
        <v>214500.00000000003</v>
      </c>
      <c r="G983" s="102">
        <f t="shared" si="468"/>
        <v>195000</v>
      </c>
      <c r="H983" s="690" t="s">
        <v>142</v>
      </c>
      <c r="I983" s="71" t="s">
        <v>144</v>
      </c>
      <c r="J983" s="53">
        <f>G983-T983</f>
        <v>3000</v>
      </c>
      <c r="K983" s="63">
        <f t="shared" si="469"/>
        <v>1.5384615384615382E-2</v>
      </c>
      <c r="L983" s="871">
        <v>18.600000000000001</v>
      </c>
      <c r="M983" s="468"/>
      <c r="N983" s="663">
        <f t="shared" si="470"/>
        <v>180530</v>
      </c>
      <c r="O983" s="71" t="s">
        <v>147</v>
      </c>
      <c r="P983" s="103" t="str">
        <f t="shared" si="471"/>
        <v>한특 잉크(청)</v>
      </c>
      <c r="Q983" s="71">
        <f t="shared" si="472"/>
        <v>30</v>
      </c>
      <c r="R983" s="102">
        <v>6400</v>
      </c>
      <c r="S983" s="102">
        <f t="shared" si="465"/>
        <v>211200.00000000003</v>
      </c>
      <c r="T983" s="102">
        <f t="shared" si="466"/>
        <v>192000</v>
      </c>
      <c r="U983" s="71" t="str">
        <f t="shared" si="463"/>
        <v>O</v>
      </c>
      <c r="V983" s="71"/>
      <c r="W983" s="474">
        <f t="shared" si="464"/>
        <v>3000</v>
      </c>
      <c r="X983" s="71"/>
      <c r="Y983" s="71"/>
    </row>
    <row r="984" spans="1:25" ht="30" hidden="1" customHeight="1" x14ac:dyDescent="0.25">
      <c r="A984" s="80">
        <v>180530</v>
      </c>
      <c r="B984" s="664" t="s">
        <v>1052</v>
      </c>
      <c r="C984" s="71" t="s">
        <v>1118</v>
      </c>
      <c r="D984" s="71">
        <v>30</v>
      </c>
      <c r="E984" s="102">
        <v>5600</v>
      </c>
      <c r="F984" s="102">
        <f t="shared" si="467"/>
        <v>184800.00000000003</v>
      </c>
      <c r="G984" s="102">
        <f t="shared" si="468"/>
        <v>168000</v>
      </c>
      <c r="H984" s="690" t="s">
        <v>142</v>
      </c>
      <c r="I984" s="71" t="s">
        <v>144</v>
      </c>
      <c r="J984" s="53">
        <f>G984-T984</f>
        <v>3000</v>
      </c>
      <c r="K984" s="63">
        <f t="shared" si="469"/>
        <v>1.7857142857142853E-2</v>
      </c>
      <c r="L984" s="871">
        <v>18.600000000000001</v>
      </c>
      <c r="M984" s="468"/>
      <c r="N984" s="663">
        <f t="shared" si="470"/>
        <v>180530</v>
      </c>
      <c r="O984" s="71" t="s">
        <v>147</v>
      </c>
      <c r="P984" s="103" t="str">
        <f t="shared" si="471"/>
        <v>한특 잉크(먹)</v>
      </c>
      <c r="Q984" s="71">
        <f t="shared" si="472"/>
        <v>30</v>
      </c>
      <c r="R984" s="102">
        <v>5500</v>
      </c>
      <c r="S984" s="102">
        <f t="shared" si="465"/>
        <v>181500.00000000003</v>
      </c>
      <c r="T984" s="102">
        <f t="shared" si="466"/>
        <v>165000</v>
      </c>
      <c r="U984" s="71" t="str">
        <f t="shared" si="463"/>
        <v>O</v>
      </c>
      <c r="V984" s="71"/>
      <c r="W984" s="474">
        <f t="shared" si="464"/>
        <v>3000</v>
      </c>
      <c r="X984" s="71"/>
      <c r="Y984" s="71"/>
    </row>
    <row r="985" spans="1:25" s="616" customFormat="1" ht="30" hidden="1" customHeight="1" x14ac:dyDescent="0.25">
      <c r="A985" s="80">
        <v>180530</v>
      </c>
      <c r="B985" s="664" t="s">
        <v>1061</v>
      </c>
      <c r="C985" s="71" t="s">
        <v>587</v>
      </c>
      <c r="D985" s="71">
        <v>200</v>
      </c>
      <c r="E985" s="102">
        <v>8000</v>
      </c>
      <c r="F985" s="102">
        <f t="shared" si="467"/>
        <v>1760000.0000000002</v>
      </c>
      <c r="G985" s="102">
        <f t="shared" si="468"/>
        <v>1600000</v>
      </c>
      <c r="H985" s="690" t="s">
        <v>142</v>
      </c>
      <c r="I985" s="71" t="s">
        <v>144</v>
      </c>
      <c r="J985" s="53">
        <f>(G985-(VLOOKUP(C985,Price!B:D,3,FALSE)*D985))</f>
        <v>218000</v>
      </c>
      <c r="K985" s="63">
        <f>(J985/(F985/11*10))</f>
        <v>0.13624999999999998</v>
      </c>
      <c r="L985" s="871">
        <v>18.600000000000001</v>
      </c>
      <c r="M985" s="468"/>
      <c r="N985" s="664">
        <f t="shared" si="470"/>
        <v>180530</v>
      </c>
      <c r="O985" s="71" t="s">
        <v>147</v>
      </c>
      <c r="P985" s="103" t="str">
        <f t="shared" si="471"/>
        <v>프리미어(청)</v>
      </c>
      <c r="Q985" s="71">
        <f t="shared" si="472"/>
        <v>200</v>
      </c>
      <c r="R985" s="102">
        <v>6910</v>
      </c>
      <c r="S985" s="102">
        <f t="shared" si="465"/>
        <v>1520200.0000000002</v>
      </c>
      <c r="T985" s="102">
        <f t="shared" si="466"/>
        <v>1382000</v>
      </c>
      <c r="U985" s="71" t="str">
        <f t="shared" si="463"/>
        <v>O</v>
      </c>
      <c r="V985" s="71"/>
      <c r="W985" s="474">
        <f t="shared" si="464"/>
        <v>218000</v>
      </c>
      <c r="X985" s="71"/>
      <c r="Y985" s="71"/>
    </row>
    <row r="986" spans="1:25" s="657" customFormat="1" ht="30" hidden="1" customHeight="1" x14ac:dyDescent="0.25">
      <c r="A986" s="80">
        <v>180530</v>
      </c>
      <c r="B986" s="664" t="s">
        <v>1061</v>
      </c>
      <c r="C986" s="71" t="s">
        <v>616</v>
      </c>
      <c r="D986" s="71">
        <v>200</v>
      </c>
      <c r="E986" s="102">
        <v>6600</v>
      </c>
      <c r="F986" s="102">
        <f t="shared" si="467"/>
        <v>1452000.0000000002</v>
      </c>
      <c r="G986" s="102">
        <f t="shared" si="468"/>
        <v>1320000</v>
      </c>
      <c r="H986" s="690" t="s">
        <v>142</v>
      </c>
      <c r="I986" s="71" t="s">
        <v>144</v>
      </c>
      <c r="J986" s="53">
        <f>(G986-(VLOOKUP(C986,Price!B:D,3,FALSE)*D986))</f>
        <v>140000</v>
      </c>
      <c r="K986" s="63">
        <f>(J986/(F986/11*10))</f>
        <v>0.10606060606060604</v>
      </c>
      <c r="L986" s="871">
        <v>18.600000000000001</v>
      </c>
      <c r="M986" s="468"/>
      <c r="N986" s="664">
        <f t="shared" si="470"/>
        <v>180530</v>
      </c>
      <c r="O986" s="71" t="s">
        <v>147</v>
      </c>
      <c r="P986" s="103" t="str">
        <f t="shared" si="471"/>
        <v>프리미어(먹)</v>
      </c>
      <c r="Q986" s="71">
        <f t="shared" si="472"/>
        <v>200</v>
      </c>
      <c r="R986" s="102">
        <v>5900</v>
      </c>
      <c r="S986" s="102">
        <f t="shared" si="465"/>
        <v>1298000</v>
      </c>
      <c r="T986" s="102">
        <f t="shared" si="466"/>
        <v>1180000</v>
      </c>
      <c r="U986" s="71" t="str">
        <f t="shared" si="463"/>
        <v>O</v>
      </c>
      <c r="V986" s="71"/>
      <c r="W986" s="474">
        <f t="shared" si="464"/>
        <v>140000</v>
      </c>
      <c r="X986" s="71"/>
      <c r="Y986" s="71"/>
    </row>
    <row r="987" spans="1:25" s="803" customFormat="1" ht="30" hidden="1" customHeight="1" x14ac:dyDescent="0.25">
      <c r="A987" s="85">
        <v>180530</v>
      </c>
      <c r="B987" s="668" t="s">
        <v>1061</v>
      </c>
      <c r="C987" s="84" t="s">
        <v>586</v>
      </c>
      <c r="D987" s="84">
        <v>200</v>
      </c>
      <c r="E987" s="189">
        <v>6750</v>
      </c>
      <c r="F987" s="189">
        <f t="shared" si="467"/>
        <v>1485000.0000000002</v>
      </c>
      <c r="G987" s="189">
        <f t="shared" si="468"/>
        <v>1350000</v>
      </c>
      <c r="H987" s="691" t="s">
        <v>142</v>
      </c>
      <c r="I987" s="84" t="s">
        <v>144</v>
      </c>
      <c r="J987" s="61">
        <f>(G987-(VLOOKUP(C987,Price!B:D,3,FALSE)*D987))</f>
        <v>114000</v>
      </c>
      <c r="K987" s="62">
        <f t="shared" si="469"/>
        <v>8.4444444444444433E-2</v>
      </c>
      <c r="L987" s="873">
        <v>18.600000000000001</v>
      </c>
      <c r="M987" s="601"/>
      <c r="N987" s="668">
        <f t="shared" si="470"/>
        <v>180530</v>
      </c>
      <c r="O987" s="84" t="s">
        <v>147</v>
      </c>
      <c r="P987" s="133" t="str">
        <f t="shared" si="471"/>
        <v>프리미어(황)</v>
      </c>
      <c r="Q987" s="84">
        <f t="shared" si="472"/>
        <v>200</v>
      </c>
      <c r="R987" s="189">
        <v>6180</v>
      </c>
      <c r="S987" s="189">
        <f t="shared" si="465"/>
        <v>1359600</v>
      </c>
      <c r="T987" s="189">
        <f t="shared" si="466"/>
        <v>1236000</v>
      </c>
      <c r="U987" s="84" t="str">
        <f t="shared" si="463"/>
        <v>O</v>
      </c>
      <c r="V987" s="84"/>
      <c r="W987" s="478">
        <f t="shared" si="464"/>
        <v>114000</v>
      </c>
      <c r="X987" s="84"/>
      <c r="Y987" s="84"/>
    </row>
    <row r="988" spans="1:25" s="209" customFormat="1" ht="30" hidden="1" customHeight="1" x14ac:dyDescent="0.25">
      <c r="A988" s="80">
        <v>180531</v>
      </c>
      <c r="B988" s="663" t="s">
        <v>445</v>
      </c>
      <c r="C988" s="73" t="s">
        <v>277</v>
      </c>
      <c r="D988" s="73">
        <v>6</v>
      </c>
      <c r="E988" s="147">
        <v>172000</v>
      </c>
      <c r="F988" s="147">
        <f t="shared" ref="F988:F1001" si="473">(E988*D988)*1.1</f>
        <v>1135200</v>
      </c>
      <c r="G988" s="147">
        <f t="shared" ref="G988:G1001" si="474">(E988*D988)</f>
        <v>1032000</v>
      </c>
      <c r="H988" s="689" t="s">
        <v>173</v>
      </c>
      <c r="I988" s="73" t="s">
        <v>108</v>
      </c>
      <c r="J988" s="60">
        <f>(G988-(VLOOKUP(C988,Price!B:D,3,FALSE)*D988))</f>
        <v>342000</v>
      </c>
      <c r="K988" s="427">
        <f>(J988/(F988/11*10))</f>
        <v>0.33139534883720928</v>
      </c>
      <c r="L988" s="874">
        <v>18.600000000000001</v>
      </c>
      <c r="M988" s="584"/>
      <c r="N988" s="663">
        <f t="shared" si="447"/>
        <v>180531</v>
      </c>
      <c r="O988" s="73" t="s">
        <v>150</v>
      </c>
      <c r="P988" s="132" t="str">
        <f>(C988)</f>
        <v>윤전용 세척제(Web 504)</v>
      </c>
      <c r="Q988" s="73">
        <f t="shared" ref="Q988:Q1001" si="475">D988</f>
        <v>6</v>
      </c>
      <c r="R988" s="147">
        <v>115000</v>
      </c>
      <c r="S988" s="147">
        <f>(R988*D988)*1.1</f>
        <v>759000.00000000012</v>
      </c>
      <c r="T988" s="147">
        <f>(R988*Q988)</f>
        <v>690000</v>
      </c>
      <c r="U988" s="73" t="str">
        <f t="shared" si="463"/>
        <v>O</v>
      </c>
      <c r="V988" s="73"/>
      <c r="W988" s="473">
        <f t="shared" si="464"/>
        <v>342000</v>
      </c>
      <c r="X988" s="73"/>
      <c r="Y988" s="73"/>
    </row>
    <row r="989" spans="1:25" s="209" customFormat="1" ht="30" hidden="1" customHeight="1" x14ac:dyDescent="0.2">
      <c r="A989" s="82">
        <v>180531</v>
      </c>
      <c r="B989" s="664" t="s">
        <v>445</v>
      </c>
      <c r="C989" s="71" t="s">
        <v>138</v>
      </c>
      <c r="D989" s="71">
        <v>10</v>
      </c>
      <c r="E989" s="102">
        <v>59500</v>
      </c>
      <c r="F989" s="163">
        <f t="shared" si="473"/>
        <v>654500</v>
      </c>
      <c r="G989" s="163">
        <f t="shared" si="474"/>
        <v>595000</v>
      </c>
      <c r="H989" s="165" t="s">
        <v>172</v>
      </c>
      <c r="I989" s="71" t="s">
        <v>108</v>
      </c>
      <c r="J989" s="53">
        <f>(G989-(VLOOKUP(C989,Price!B:D,3,FALSE)*D989))</f>
        <v>85000</v>
      </c>
      <c r="K989" s="63">
        <f>(J989/(F989/11*10))</f>
        <v>0.14285714285714285</v>
      </c>
      <c r="L989" s="82">
        <v>18.600000000000001</v>
      </c>
      <c r="M989" s="468"/>
      <c r="N989" s="664">
        <f t="shared" si="447"/>
        <v>180531</v>
      </c>
      <c r="O989" s="71" t="s">
        <v>150</v>
      </c>
      <c r="P989" s="103" t="str">
        <f>(C989)</f>
        <v>매엽용 세척제(Wash 562)</v>
      </c>
      <c r="Q989" s="71">
        <f t="shared" si="475"/>
        <v>10</v>
      </c>
      <c r="R989" s="102">
        <v>51000</v>
      </c>
      <c r="S989" s="102">
        <f>(R989*D989)*1.1</f>
        <v>561000</v>
      </c>
      <c r="T989" s="102">
        <f>(R989*Q989)</f>
        <v>510000</v>
      </c>
      <c r="U989" s="71" t="str">
        <f t="shared" si="463"/>
        <v>O</v>
      </c>
      <c r="V989" s="71"/>
      <c r="W989" s="474">
        <f t="shared" si="464"/>
        <v>85000</v>
      </c>
      <c r="X989" s="71"/>
      <c r="Y989" s="71"/>
    </row>
    <row r="990" spans="1:25" ht="30" hidden="1" customHeight="1" x14ac:dyDescent="0.25">
      <c r="A990" s="82">
        <v>180531</v>
      </c>
      <c r="B990" s="664" t="s">
        <v>446</v>
      </c>
      <c r="C990" s="71" t="s">
        <v>1144</v>
      </c>
      <c r="D990" s="71">
        <v>8</v>
      </c>
      <c r="E990" s="102">
        <v>110000</v>
      </c>
      <c r="F990" s="102">
        <f t="shared" si="473"/>
        <v>968000.00000000012</v>
      </c>
      <c r="G990" s="102">
        <f t="shared" si="474"/>
        <v>880000</v>
      </c>
      <c r="H990" s="690" t="s">
        <v>173</v>
      </c>
      <c r="I990" s="71" t="s">
        <v>142</v>
      </c>
      <c r="J990" s="53">
        <f>G990-T990</f>
        <v>152000</v>
      </c>
      <c r="K990" s="63">
        <f>(J990/(F990/11*10))</f>
        <v>0.1727272727272727</v>
      </c>
      <c r="L990" s="871">
        <v>18.600000000000001</v>
      </c>
      <c r="M990" s="468"/>
      <c r="N990" s="664">
        <f t="shared" ref="N990:N1001" si="476">A990</f>
        <v>180531</v>
      </c>
      <c r="O990" s="71" t="s">
        <v>150</v>
      </c>
      <c r="P990" s="103" t="str">
        <f>C990</f>
        <v>실리콘 에멀전</v>
      </c>
      <c r="Q990" s="71">
        <f t="shared" si="475"/>
        <v>8</v>
      </c>
      <c r="R990" s="102">
        <v>91000</v>
      </c>
      <c r="S990" s="102">
        <f>(R990*D990)*1.1</f>
        <v>800800.00000000012</v>
      </c>
      <c r="T990" s="102">
        <f>(R990*Q990)</f>
        <v>728000</v>
      </c>
      <c r="U990" s="71" t="str">
        <f t="shared" si="463"/>
        <v>X</v>
      </c>
      <c r="V990" s="71"/>
      <c r="W990" s="474"/>
      <c r="X990" s="71"/>
      <c r="Y990" s="71"/>
    </row>
    <row r="991" spans="1:25" s="602" customFormat="1" ht="30" hidden="1" customHeight="1" x14ac:dyDescent="0.25">
      <c r="A991" s="85">
        <v>180531</v>
      </c>
      <c r="B991" s="668" t="s">
        <v>552</v>
      </c>
      <c r="C991" s="84" t="s">
        <v>1144</v>
      </c>
      <c r="D991" s="84">
        <v>10</v>
      </c>
      <c r="E991" s="189">
        <v>110000</v>
      </c>
      <c r="F991" s="189">
        <f t="shared" si="473"/>
        <v>1210000</v>
      </c>
      <c r="G991" s="189">
        <f t="shared" si="474"/>
        <v>1100000</v>
      </c>
      <c r="H991" s="691" t="s">
        <v>173</v>
      </c>
      <c r="I991" s="84" t="s">
        <v>142</v>
      </c>
      <c r="J991" s="53">
        <f>G991-T991</f>
        <v>190000</v>
      </c>
      <c r="K991" s="63">
        <f>(J991/(F991/11*10))</f>
        <v>0.17272727272727273</v>
      </c>
      <c r="L991" s="873">
        <v>18.600000000000001</v>
      </c>
      <c r="M991" s="601"/>
      <c r="N991" s="668">
        <f t="shared" si="476"/>
        <v>180531</v>
      </c>
      <c r="O991" s="84" t="s">
        <v>150</v>
      </c>
      <c r="P991" s="133" t="str">
        <f>C991</f>
        <v>실리콘 에멀전</v>
      </c>
      <c r="Q991" s="84">
        <f t="shared" si="475"/>
        <v>10</v>
      </c>
      <c r="R991" s="189">
        <v>91000</v>
      </c>
      <c r="S991" s="189">
        <f>(R991*D991)*1.1</f>
        <v>1001000.0000000001</v>
      </c>
      <c r="T991" s="189">
        <f>(R991*Q991)</f>
        <v>910000</v>
      </c>
      <c r="U991" s="84" t="str">
        <f t="shared" si="463"/>
        <v>X</v>
      </c>
      <c r="V991" s="84"/>
      <c r="W991" s="478"/>
      <c r="X991" s="84"/>
      <c r="Y991" s="84"/>
    </row>
    <row r="992" spans="1:25" s="616" customFormat="1" ht="30" hidden="1" customHeight="1" x14ac:dyDescent="0.25">
      <c r="A992" s="80">
        <v>180602</v>
      </c>
      <c r="B992" s="663" t="s">
        <v>545</v>
      </c>
      <c r="C992" s="73" t="s">
        <v>227</v>
      </c>
      <c r="D992" s="73">
        <v>10</v>
      </c>
      <c r="E992" s="147">
        <v>110000</v>
      </c>
      <c r="F992" s="147">
        <f t="shared" si="473"/>
        <v>1210000</v>
      </c>
      <c r="G992" s="147">
        <f t="shared" si="474"/>
        <v>1100000</v>
      </c>
      <c r="H992" s="689" t="s">
        <v>173</v>
      </c>
      <c r="I992" s="73" t="s">
        <v>109</v>
      </c>
      <c r="J992" s="60">
        <f>(G992-(VLOOKUP(C992,Price!B:D,3,FALSE)*D992))</f>
        <v>271000</v>
      </c>
      <c r="K992" s="427">
        <f t="shared" ref="K992:K1001" si="477">(J992/(F992/11*10))</f>
        <v>0.24636363636363637</v>
      </c>
      <c r="L992" s="874">
        <v>18.600000000000001</v>
      </c>
      <c r="M992" s="584"/>
      <c r="N992" s="663">
        <f t="shared" si="476"/>
        <v>180602</v>
      </c>
      <c r="O992" s="73" t="s">
        <v>147</v>
      </c>
      <c r="P992" s="132" t="str">
        <f>C992</f>
        <v>Blanket(1060*860)</v>
      </c>
      <c r="Q992" s="73">
        <f t="shared" si="475"/>
        <v>10</v>
      </c>
      <c r="R992" s="147">
        <v>82900</v>
      </c>
      <c r="S992" s="147">
        <f>R992*Q992*1.1</f>
        <v>911900.00000000012</v>
      </c>
      <c r="T992" s="147">
        <f>R992*Q992</f>
        <v>829000</v>
      </c>
      <c r="U992" s="73" t="str">
        <f t="shared" si="463"/>
        <v>O</v>
      </c>
      <c r="V992" s="73"/>
      <c r="W992" s="473">
        <f t="shared" ref="W992:W998" si="478">(G992-T992)</f>
        <v>271000</v>
      </c>
      <c r="X992" s="73"/>
      <c r="Y992" s="73"/>
    </row>
    <row r="993" spans="1:25" s="209" customFormat="1" ht="33" hidden="1" customHeight="1" x14ac:dyDescent="0.25">
      <c r="A993" s="80">
        <v>180602</v>
      </c>
      <c r="B993" s="663" t="s">
        <v>545</v>
      </c>
      <c r="C993" s="73" t="s">
        <v>129</v>
      </c>
      <c r="D993" s="73">
        <v>1</v>
      </c>
      <c r="E993" s="147">
        <v>256000</v>
      </c>
      <c r="F993" s="147">
        <f t="shared" si="473"/>
        <v>281600</v>
      </c>
      <c r="G993" s="147">
        <f t="shared" si="474"/>
        <v>256000</v>
      </c>
      <c r="H993" s="689" t="s">
        <v>173</v>
      </c>
      <c r="I993" s="73" t="s">
        <v>108</v>
      </c>
      <c r="J993" s="60">
        <f>(G993-(VLOOKUP(C993,Price!B:D,3,FALSE)*D993))</f>
        <v>48000</v>
      </c>
      <c r="K993" s="427">
        <f t="shared" si="477"/>
        <v>0.1875</v>
      </c>
      <c r="L993" s="871">
        <v>18.600000000000001</v>
      </c>
      <c r="M993" s="584" t="s">
        <v>1253</v>
      </c>
      <c r="N993" s="663">
        <f t="shared" si="476"/>
        <v>180602</v>
      </c>
      <c r="O993" s="73" t="s">
        <v>599</v>
      </c>
      <c r="P993" s="132" t="str">
        <f>(C993)</f>
        <v>세정포-XL106</v>
      </c>
      <c r="Q993" s="73">
        <f t="shared" si="475"/>
        <v>1</v>
      </c>
      <c r="R993" s="147">
        <v>172500</v>
      </c>
      <c r="S993" s="147">
        <f>(R993*D993)*1.1</f>
        <v>189750.00000000003</v>
      </c>
      <c r="T993" s="147">
        <f>(R993*Q993)</f>
        <v>172500</v>
      </c>
      <c r="U993" s="73" t="str">
        <f t="shared" si="463"/>
        <v>X</v>
      </c>
      <c r="V993" s="73"/>
      <c r="W993" s="473">
        <f t="shared" si="478"/>
        <v>83500</v>
      </c>
      <c r="X993" s="73"/>
      <c r="Y993" s="73"/>
    </row>
    <row r="994" spans="1:25" s="602" customFormat="1" ht="30" hidden="1" customHeight="1" x14ac:dyDescent="0.25">
      <c r="A994" s="612">
        <v>180602</v>
      </c>
      <c r="B994" s="672" t="s">
        <v>545</v>
      </c>
      <c r="C994" s="411" t="s">
        <v>805</v>
      </c>
      <c r="D994" s="411">
        <v>3</v>
      </c>
      <c r="E994" s="198">
        <v>180000</v>
      </c>
      <c r="F994" s="198">
        <f t="shared" si="473"/>
        <v>594000</v>
      </c>
      <c r="G994" s="198">
        <f t="shared" si="474"/>
        <v>540000</v>
      </c>
      <c r="H994" s="696" t="s">
        <v>173</v>
      </c>
      <c r="I994" s="411" t="s">
        <v>120</v>
      </c>
      <c r="J994" s="64">
        <f>G994-T994</f>
        <v>120000</v>
      </c>
      <c r="K994" s="425">
        <f t="shared" si="477"/>
        <v>0.22222222222222221</v>
      </c>
      <c r="L994" s="873">
        <v>18.600000000000001</v>
      </c>
      <c r="M994" s="581"/>
      <c r="N994" s="672">
        <f t="shared" si="476"/>
        <v>180602</v>
      </c>
      <c r="O994" s="411" t="s">
        <v>150</v>
      </c>
      <c r="P994" s="465" t="str">
        <f>(C994)</f>
        <v>Fount 554</v>
      </c>
      <c r="Q994" s="411">
        <f t="shared" si="475"/>
        <v>3</v>
      </c>
      <c r="R994" s="198">
        <v>140000</v>
      </c>
      <c r="S994" s="198">
        <f>(R994*D994)*1.1</f>
        <v>462000.00000000006</v>
      </c>
      <c r="T994" s="198">
        <f>(R994*Q994)</f>
        <v>420000</v>
      </c>
      <c r="U994" s="411" t="str">
        <f t="shared" si="463"/>
        <v>O</v>
      </c>
      <c r="V994" s="411"/>
      <c r="W994" s="963">
        <f t="shared" si="478"/>
        <v>120000</v>
      </c>
      <c r="X994" s="411"/>
      <c r="Y994" s="411"/>
    </row>
    <row r="995" spans="1:25" ht="30" hidden="1" customHeight="1" x14ac:dyDescent="0.25">
      <c r="A995" s="80">
        <v>180604</v>
      </c>
      <c r="B995" s="663" t="s">
        <v>442</v>
      </c>
      <c r="C995" s="73" t="s">
        <v>133</v>
      </c>
      <c r="D995" s="73">
        <v>2</v>
      </c>
      <c r="E995" s="147">
        <v>327000</v>
      </c>
      <c r="F995" s="147">
        <f t="shared" si="473"/>
        <v>719400</v>
      </c>
      <c r="G995" s="147">
        <f t="shared" si="474"/>
        <v>654000</v>
      </c>
      <c r="H995" s="689" t="s">
        <v>173</v>
      </c>
      <c r="I995" s="73" t="s">
        <v>141</v>
      </c>
      <c r="J995" s="60">
        <f>(G995-(VLOOKUP(C995,Price!B:D,3,FALSE)*D995))</f>
        <v>115800</v>
      </c>
      <c r="K995" s="427">
        <f t="shared" si="477"/>
        <v>0.17706422018348625</v>
      </c>
      <c r="L995" s="874">
        <v>18.600000000000001</v>
      </c>
      <c r="M995" s="584"/>
      <c r="N995" s="663">
        <f t="shared" si="476"/>
        <v>180604</v>
      </c>
      <c r="O995" s="73" t="s">
        <v>145</v>
      </c>
      <c r="P995" s="132" t="str">
        <f t="shared" ref="P995:P1001" si="479">C995</f>
        <v>Agfa Film(24inch)</v>
      </c>
      <c r="Q995" s="73">
        <f t="shared" si="475"/>
        <v>2</v>
      </c>
      <c r="R995" s="147">
        <f>VLOOKUP(P995,Price!B:D,3,FALSE)</f>
        <v>269100</v>
      </c>
      <c r="S995" s="147">
        <f>R995*Q995*1.1</f>
        <v>592020</v>
      </c>
      <c r="T995" s="147">
        <f>R995*Q995</f>
        <v>538200</v>
      </c>
      <c r="U995" s="73" t="str">
        <f t="shared" si="463"/>
        <v>O</v>
      </c>
      <c r="V995" s="73"/>
      <c r="W995" s="473">
        <f t="shared" si="478"/>
        <v>115800</v>
      </c>
      <c r="X995" s="73"/>
      <c r="Y995" s="73"/>
    </row>
    <row r="996" spans="1:25" ht="30" hidden="1" customHeight="1" x14ac:dyDescent="0.25">
      <c r="A996" s="82">
        <v>180604</v>
      </c>
      <c r="B996" s="664" t="s">
        <v>442</v>
      </c>
      <c r="C996" s="71" t="s">
        <v>134</v>
      </c>
      <c r="D996" s="71">
        <v>2</v>
      </c>
      <c r="E996" s="102">
        <v>401000</v>
      </c>
      <c r="F996" s="102">
        <f t="shared" si="473"/>
        <v>882200.00000000012</v>
      </c>
      <c r="G996" s="102">
        <f t="shared" si="474"/>
        <v>802000</v>
      </c>
      <c r="H996" s="690" t="s">
        <v>173</v>
      </c>
      <c r="I996" s="71" t="s">
        <v>141</v>
      </c>
      <c r="J996" s="53">
        <f>(G996-(VLOOKUP(C996,Price!B:D,3,FALSE)*D996))</f>
        <v>174080</v>
      </c>
      <c r="K996" s="63">
        <f t="shared" si="477"/>
        <v>0.21705735660847877</v>
      </c>
      <c r="L996" s="871">
        <v>18.600000000000001</v>
      </c>
      <c r="M996" s="468"/>
      <c r="N996" s="664">
        <f t="shared" si="476"/>
        <v>180604</v>
      </c>
      <c r="O996" s="71" t="s">
        <v>145</v>
      </c>
      <c r="P996" s="103" t="str">
        <f t="shared" si="479"/>
        <v>Agfa Film(28inch)</v>
      </c>
      <c r="Q996" s="71">
        <f t="shared" si="475"/>
        <v>2</v>
      </c>
      <c r="R996" s="102">
        <f>VLOOKUP(P996,Price!B:D,3,FALSE)</f>
        <v>313960</v>
      </c>
      <c r="S996" s="102">
        <f>R996*Q996*1.1</f>
        <v>690712</v>
      </c>
      <c r="T996" s="102">
        <f>R996*Q996</f>
        <v>627920</v>
      </c>
      <c r="U996" s="71" t="str">
        <f t="shared" si="463"/>
        <v>O</v>
      </c>
      <c r="V996" s="71"/>
      <c r="W996" s="474">
        <f t="shared" si="478"/>
        <v>174080</v>
      </c>
      <c r="X996" s="71"/>
      <c r="Y996" s="71"/>
    </row>
    <row r="997" spans="1:25" ht="30" hidden="1" customHeight="1" x14ac:dyDescent="0.25">
      <c r="A997" s="82">
        <v>180604</v>
      </c>
      <c r="B997" s="664" t="s">
        <v>442</v>
      </c>
      <c r="C997" s="71" t="s">
        <v>135</v>
      </c>
      <c r="D997" s="71">
        <v>2</v>
      </c>
      <c r="E997" s="102">
        <v>448000</v>
      </c>
      <c r="F997" s="102">
        <f t="shared" si="473"/>
        <v>985600.00000000012</v>
      </c>
      <c r="G997" s="102">
        <f t="shared" si="474"/>
        <v>896000</v>
      </c>
      <c r="H997" s="690" t="s">
        <v>173</v>
      </c>
      <c r="I997" s="71" t="s">
        <v>141</v>
      </c>
      <c r="J997" s="53">
        <f>(G997-(VLOOKUP(C997,Price!B:D,3,FALSE)*D997))</f>
        <v>155980</v>
      </c>
      <c r="K997" s="63">
        <f t="shared" si="477"/>
        <v>0.1740848214285714</v>
      </c>
      <c r="L997" s="871">
        <v>18.600000000000001</v>
      </c>
      <c r="M997" s="468"/>
      <c r="N997" s="664">
        <f t="shared" si="476"/>
        <v>180604</v>
      </c>
      <c r="O997" s="71" t="s">
        <v>145</v>
      </c>
      <c r="P997" s="103" t="str">
        <f t="shared" si="479"/>
        <v>Agfa Film(32inch)</v>
      </c>
      <c r="Q997" s="71">
        <f t="shared" si="475"/>
        <v>2</v>
      </c>
      <c r="R997" s="102">
        <f>VLOOKUP(P997,Price!B:D,3,FALSE)</f>
        <v>370010</v>
      </c>
      <c r="S997" s="102">
        <f>R997*Q997*1.1</f>
        <v>814022.00000000012</v>
      </c>
      <c r="T997" s="102">
        <f>R997*Q997</f>
        <v>740020</v>
      </c>
      <c r="U997" s="71" t="str">
        <f t="shared" si="463"/>
        <v>O</v>
      </c>
      <c r="V997" s="71"/>
      <c r="W997" s="474">
        <f t="shared" si="478"/>
        <v>155980</v>
      </c>
      <c r="X997" s="71"/>
      <c r="Y997" s="71"/>
    </row>
    <row r="998" spans="1:25" ht="30" hidden="1" customHeight="1" x14ac:dyDescent="0.25">
      <c r="A998" s="82">
        <v>180604</v>
      </c>
      <c r="B998" s="664" t="s">
        <v>442</v>
      </c>
      <c r="C998" s="71" t="s">
        <v>649</v>
      </c>
      <c r="D998" s="71">
        <v>2</v>
      </c>
      <c r="E998" s="102">
        <v>41000</v>
      </c>
      <c r="F998" s="102">
        <f t="shared" si="473"/>
        <v>90200.000000000015</v>
      </c>
      <c r="G998" s="102">
        <f t="shared" si="474"/>
        <v>82000</v>
      </c>
      <c r="H998" s="690" t="s">
        <v>173</v>
      </c>
      <c r="I998" s="71" t="s">
        <v>141</v>
      </c>
      <c r="J998" s="53">
        <f>(G998-(VLOOKUP(C998,Price!B:D,3,FALSE)*D998))</f>
        <v>32000</v>
      </c>
      <c r="K998" s="63">
        <f t="shared" si="477"/>
        <v>0.39024390243902435</v>
      </c>
      <c r="L998" s="871">
        <v>18.600000000000001</v>
      </c>
      <c r="M998" s="468"/>
      <c r="N998" s="664">
        <f t="shared" si="476"/>
        <v>180604</v>
      </c>
      <c r="O998" s="71" t="s">
        <v>145</v>
      </c>
      <c r="P998" s="103" t="str">
        <f t="shared" si="479"/>
        <v>Agfa 현상액 G101C(10L)</v>
      </c>
      <c r="Q998" s="71">
        <f t="shared" si="475"/>
        <v>2</v>
      </c>
      <c r="R998" s="102">
        <f>VLOOKUP(P998,Price!B:D,3,FALSE)</f>
        <v>25000</v>
      </c>
      <c r="S998" s="102">
        <f>R998*Q998*1.1</f>
        <v>55000.000000000007</v>
      </c>
      <c r="T998" s="102">
        <f>R998*Q998</f>
        <v>50000</v>
      </c>
      <c r="U998" s="71" t="str">
        <f t="shared" si="463"/>
        <v>O</v>
      </c>
      <c r="V998" s="71"/>
      <c r="W998" s="474">
        <f t="shared" si="478"/>
        <v>32000</v>
      </c>
      <c r="X998" s="71"/>
      <c r="Y998" s="71"/>
    </row>
    <row r="999" spans="1:25" ht="30" customHeight="1" x14ac:dyDescent="0.25">
      <c r="A999" s="648">
        <v>180604</v>
      </c>
      <c r="B999" s="733" t="s">
        <v>565</v>
      </c>
      <c r="C999" s="96" t="s">
        <v>830</v>
      </c>
      <c r="D999" s="96">
        <v>1</v>
      </c>
      <c r="E999" s="734">
        <v>2000000</v>
      </c>
      <c r="F999" s="734">
        <f t="shared" si="473"/>
        <v>2200000</v>
      </c>
      <c r="G999" s="734">
        <f t="shared" si="474"/>
        <v>2000000</v>
      </c>
      <c r="H999" s="780" t="s">
        <v>113</v>
      </c>
      <c r="I999" s="96"/>
      <c r="J999" s="53">
        <f>G999-T999</f>
        <v>1117981.0499999998</v>
      </c>
      <c r="K999" s="63">
        <f t="shared" si="477"/>
        <v>0.5589905249999999</v>
      </c>
      <c r="L999" s="901">
        <v>18.600000000000001</v>
      </c>
      <c r="M999" s="736"/>
      <c r="N999" s="733">
        <f t="shared" si="476"/>
        <v>180604</v>
      </c>
      <c r="O999" s="878" t="s">
        <v>113</v>
      </c>
      <c r="P999" s="737" t="str">
        <f t="shared" si="479"/>
        <v>웹 가이드 센서</v>
      </c>
      <c r="Q999" s="96">
        <f t="shared" si="475"/>
        <v>1</v>
      </c>
      <c r="R999" s="734">
        <f>Import!G94</f>
        <v>882018.95000000007</v>
      </c>
      <c r="S999" s="102">
        <f>R999*Q999*1.1</f>
        <v>970220.8450000002</v>
      </c>
      <c r="T999" s="102">
        <f>R999*Q999</f>
        <v>882018.95000000007</v>
      </c>
      <c r="U999" s="71" t="str">
        <f t="shared" si="463"/>
        <v>X</v>
      </c>
      <c r="V999" s="96"/>
      <c r="W999" s="480"/>
      <c r="X999" s="96"/>
      <c r="Y999" s="96"/>
    </row>
    <row r="1000" spans="1:25" s="602" customFormat="1" ht="30" hidden="1" customHeight="1" x14ac:dyDescent="0.25">
      <c r="A1000" s="85">
        <v>180604</v>
      </c>
      <c r="B1000" s="668" t="s">
        <v>1231</v>
      </c>
      <c r="C1000" s="84" t="s">
        <v>1125</v>
      </c>
      <c r="D1000" s="84">
        <v>5</v>
      </c>
      <c r="E1000" s="189">
        <v>90000</v>
      </c>
      <c r="F1000" s="189">
        <f t="shared" si="473"/>
        <v>495000.00000000006</v>
      </c>
      <c r="G1000" s="189">
        <f t="shared" si="474"/>
        <v>450000</v>
      </c>
      <c r="H1000" s="691" t="s">
        <v>173</v>
      </c>
      <c r="I1000" s="84" t="s">
        <v>142</v>
      </c>
      <c r="J1000" s="53">
        <f>G1000-T1000</f>
        <v>70000</v>
      </c>
      <c r="K1000" s="63">
        <f t="shared" si="477"/>
        <v>0.15555555555555553</v>
      </c>
      <c r="L1000" s="873">
        <v>18.600000000000001</v>
      </c>
      <c r="M1000" s="601"/>
      <c r="N1000" s="668">
        <f t="shared" si="476"/>
        <v>180604</v>
      </c>
      <c r="O1000" s="84" t="s">
        <v>150</v>
      </c>
      <c r="P1000" s="133" t="str">
        <f t="shared" si="479"/>
        <v>구리스</v>
      </c>
      <c r="Q1000" s="84">
        <f t="shared" si="475"/>
        <v>5</v>
      </c>
      <c r="R1000" s="189">
        <v>76000</v>
      </c>
      <c r="S1000" s="198">
        <f>(R1000*D1000)*1.1</f>
        <v>418000.00000000006</v>
      </c>
      <c r="T1000" s="198">
        <f>(R1000*Q1000)</f>
        <v>380000</v>
      </c>
      <c r="U1000" s="411" t="str">
        <f t="shared" si="463"/>
        <v>X</v>
      </c>
      <c r="V1000" s="84"/>
      <c r="W1000" s="478"/>
      <c r="X1000" s="84"/>
      <c r="Y1000" s="84"/>
    </row>
    <row r="1001" spans="1:25" s="610" customFormat="1" ht="30" hidden="1" customHeight="1" x14ac:dyDescent="0.25">
      <c r="A1001" s="89">
        <v>180605</v>
      </c>
      <c r="B1001" s="673" t="s">
        <v>445</v>
      </c>
      <c r="C1001" s="88" t="s">
        <v>1144</v>
      </c>
      <c r="D1001" s="88">
        <v>5</v>
      </c>
      <c r="E1001" s="470">
        <v>110000</v>
      </c>
      <c r="F1001" s="470">
        <f t="shared" si="473"/>
        <v>605000</v>
      </c>
      <c r="G1001" s="470">
        <f t="shared" si="474"/>
        <v>550000</v>
      </c>
      <c r="H1001" s="695" t="s">
        <v>173</v>
      </c>
      <c r="I1001" s="88" t="s">
        <v>142</v>
      </c>
      <c r="J1001" s="107">
        <f>G1001-T1001</f>
        <v>95000</v>
      </c>
      <c r="K1001" s="469">
        <f t="shared" si="477"/>
        <v>0.17272727272727273</v>
      </c>
      <c r="L1001" s="875">
        <v>18.600000000000001</v>
      </c>
      <c r="M1001" s="575"/>
      <c r="N1001" s="673">
        <f t="shared" si="476"/>
        <v>180605</v>
      </c>
      <c r="O1001" s="88" t="s">
        <v>150</v>
      </c>
      <c r="P1001" s="134" t="str">
        <f t="shared" si="479"/>
        <v>실리콘 에멀전</v>
      </c>
      <c r="Q1001" s="88">
        <f t="shared" si="475"/>
        <v>5</v>
      </c>
      <c r="R1001" s="470">
        <v>91000</v>
      </c>
      <c r="S1001" s="470">
        <f t="shared" ref="S1001:S1006" si="480">R1001*Q1001*1.1</f>
        <v>500500.00000000006</v>
      </c>
      <c r="T1001" s="470">
        <f t="shared" ref="T1001:T1006" si="481">R1001*Q1001</f>
        <v>455000</v>
      </c>
      <c r="U1001" s="88" t="str">
        <f t="shared" si="463"/>
        <v>O</v>
      </c>
      <c r="V1001" s="88"/>
      <c r="W1001" s="945">
        <f t="shared" ref="W1001:W1006" si="482">(G1001-T1001)</f>
        <v>95000</v>
      </c>
      <c r="X1001" s="88"/>
      <c r="Y1001" s="88"/>
    </row>
    <row r="1002" spans="1:25" ht="30" hidden="1" customHeight="1" x14ac:dyDescent="0.25">
      <c r="A1002" s="80">
        <v>180611</v>
      </c>
      <c r="B1002" s="663" t="s">
        <v>442</v>
      </c>
      <c r="C1002" s="73" t="s">
        <v>133</v>
      </c>
      <c r="D1002" s="73">
        <v>1</v>
      </c>
      <c r="E1002" s="147">
        <v>327000</v>
      </c>
      <c r="F1002" s="147">
        <f t="shared" ref="F1002:F1016" si="483">(E1002*D1002)*1.1</f>
        <v>359700</v>
      </c>
      <c r="G1002" s="147">
        <f t="shared" ref="G1002:G1013" si="484">(E1002*D1002)</f>
        <v>327000</v>
      </c>
      <c r="H1002" s="689" t="s">
        <v>173</v>
      </c>
      <c r="I1002" s="73" t="s">
        <v>141</v>
      </c>
      <c r="J1002" s="60">
        <f>(G1002-(VLOOKUP(C1002,Price!B:D,3,FALSE)*D1002))</f>
        <v>57900</v>
      </c>
      <c r="K1002" s="427">
        <f t="shared" ref="K1002:K1018" si="485">(J1002/(F1002/11*10))</f>
        <v>0.17706422018348625</v>
      </c>
      <c r="L1002" s="874">
        <v>18.600000000000001</v>
      </c>
      <c r="M1002" s="584"/>
      <c r="N1002" s="663">
        <f t="shared" ref="N1002:N1049" si="486">A1002</f>
        <v>180611</v>
      </c>
      <c r="O1002" s="73" t="s">
        <v>145</v>
      </c>
      <c r="P1002" s="132" t="str">
        <f t="shared" ref="P1002:P1014" si="487">C1002</f>
        <v>Agfa Film(24inch)</v>
      </c>
      <c r="Q1002" s="73">
        <f t="shared" ref="Q1002:Q1016" si="488">D1002</f>
        <v>1</v>
      </c>
      <c r="R1002" s="147">
        <f>VLOOKUP(P1002,Price!B:D,3,FALSE)</f>
        <v>269100</v>
      </c>
      <c r="S1002" s="147">
        <f t="shared" si="480"/>
        <v>296010</v>
      </c>
      <c r="T1002" s="147">
        <f t="shared" si="481"/>
        <v>269100</v>
      </c>
      <c r="U1002" s="73" t="str">
        <f t="shared" si="463"/>
        <v>O</v>
      </c>
      <c r="V1002" s="73"/>
      <c r="W1002" s="473">
        <f t="shared" si="482"/>
        <v>57900</v>
      </c>
      <c r="X1002" s="73"/>
      <c r="Y1002" s="73"/>
    </row>
    <row r="1003" spans="1:25" ht="30" hidden="1" customHeight="1" x14ac:dyDescent="0.25">
      <c r="A1003" s="82">
        <v>180611</v>
      </c>
      <c r="B1003" s="664" t="s">
        <v>442</v>
      </c>
      <c r="C1003" s="71" t="s">
        <v>134</v>
      </c>
      <c r="D1003" s="71">
        <v>1</v>
      </c>
      <c r="E1003" s="102">
        <v>401000</v>
      </c>
      <c r="F1003" s="102">
        <f t="shared" si="483"/>
        <v>441100.00000000006</v>
      </c>
      <c r="G1003" s="102">
        <f t="shared" si="484"/>
        <v>401000</v>
      </c>
      <c r="H1003" s="690" t="s">
        <v>173</v>
      </c>
      <c r="I1003" s="71" t="s">
        <v>141</v>
      </c>
      <c r="J1003" s="53">
        <f>(G1003-(VLOOKUP(C1003,Price!B:D,3,FALSE)*D1003))</f>
        <v>87040</v>
      </c>
      <c r="K1003" s="63">
        <f t="shared" si="485"/>
        <v>0.21705735660847877</v>
      </c>
      <c r="L1003" s="871">
        <v>18.600000000000001</v>
      </c>
      <c r="M1003" s="468"/>
      <c r="N1003" s="664">
        <f t="shared" si="486"/>
        <v>180611</v>
      </c>
      <c r="O1003" s="71" t="s">
        <v>145</v>
      </c>
      <c r="P1003" s="103" t="str">
        <f t="shared" si="487"/>
        <v>Agfa Film(28inch)</v>
      </c>
      <c r="Q1003" s="71">
        <f t="shared" si="488"/>
        <v>1</v>
      </c>
      <c r="R1003" s="102">
        <f>VLOOKUP(P1003,Price!B:D,3,FALSE)</f>
        <v>313960</v>
      </c>
      <c r="S1003" s="102">
        <f t="shared" si="480"/>
        <v>345356</v>
      </c>
      <c r="T1003" s="102">
        <f t="shared" si="481"/>
        <v>313960</v>
      </c>
      <c r="U1003" s="71" t="str">
        <f t="shared" si="463"/>
        <v>O</v>
      </c>
      <c r="V1003" s="71"/>
      <c r="W1003" s="474">
        <f t="shared" si="482"/>
        <v>87040</v>
      </c>
      <c r="X1003" s="71"/>
      <c r="Y1003" s="71"/>
    </row>
    <row r="1004" spans="1:25" ht="30" hidden="1" customHeight="1" x14ac:dyDescent="0.25">
      <c r="A1004" s="82">
        <v>180611</v>
      </c>
      <c r="B1004" s="664" t="s">
        <v>442</v>
      </c>
      <c r="C1004" s="71" t="s">
        <v>135</v>
      </c>
      <c r="D1004" s="71">
        <v>2</v>
      </c>
      <c r="E1004" s="102">
        <v>448000</v>
      </c>
      <c r="F1004" s="102">
        <f t="shared" si="483"/>
        <v>985600.00000000012</v>
      </c>
      <c r="G1004" s="102">
        <f t="shared" si="484"/>
        <v>896000</v>
      </c>
      <c r="H1004" s="690" t="s">
        <v>173</v>
      </c>
      <c r="I1004" s="71" t="s">
        <v>141</v>
      </c>
      <c r="J1004" s="53">
        <f>(G1004-(VLOOKUP(C1004,Price!B:D,3,FALSE)*D1004))</f>
        <v>155980</v>
      </c>
      <c r="K1004" s="63">
        <f t="shared" si="485"/>
        <v>0.1740848214285714</v>
      </c>
      <c r="L1004" s="871">
        <v>18.600000000000001</v>
      </c>
      <c r="M1004" s="468"/>
      <c r="N1004" s="664">
        <f t="shared" si="486"/>
        <v>180611</v>
      </c>
      <c r="O1004" s="71" t="s">
        <v>145</v>
      </c>
      <c r="P1004" s="103" t="str">
        <f t="shared" si="487"/>
        <v>Agfa Film(32inch)</v>
      </c>
      <c r="Q1004" s="71">
        <f t="shared" si="488"/>
        <v>2</v>
      </c>
      <c r="R1004" s="102">
        <f>VLOOKUP(P1004,Price!B:D,3,FALSE)</f>
        <v>370010</v>
      </c>
      <c r="S1004" s="102">
        <f t="shared" si="480"/>
        <v>814022.00000000012</v>
      </c>
      <c r="T1004" s="102">
        <f t="shared" si="481"/>
        <v>740020</v>
      </c>
      <c r="U1004" s="71" t="str">
        <f t="shared" si="463"/>
        <v>O</v>
      </c>
      <c r="V1004" s="71"/>
      <c r="W1004" s="474">
        <f t="shared" si="482"/>
        <v>155980</v>
      </c>
      <c r="X1004" s="71"/>
      <c r="Y1004" s="71"/>
    </row>
    <row r="1005" spans="1:25" ht="30" hidden="1" customHeight="1" x14ac:dyDescent="0.25">
      <c r="A1005" s="82">
        <v>180611</v>
      </c>
      <c r="B1005" s="664" t="s">
        <v>442</v>
      </c>
      <c r="C1005" s="71" t="s">
        <v>649</v>
      </c>
      <c r="D1005" s="71">
        <v>2</v>
      </c>
      <c r="E1005" s="102">
        <v>41000</v>
      </c>
      <c r="F1005" s="102">
        <f t="shared" si="483"/>
        <v>90200.000000000015</v>
      </c>
      <c r="G1005" s="102">
        <f t="shared" si="484"/>
        <v>82000</v>
      </c>
      <c r="H1005" s="690" t="s">
        <v>173</v>
      </c>
      <c r="I1005" s="71" t="s">
        <v>141</v>
      </c>
      <c r="J1005" s="53">
        <f>(G1005-(VLOOKUP(C1005,Price!B:D,3,FALSE)*D1005))</f>
        <v>32000</v>
      </c>
      <c r="K1005" s="63">
        <f t="shared" si="485"/>
        <v>0.39024390243902435</v>
      </c>
      <c r="L1005" s="871">
        <v>18.600000000000001</v>
      </c>
      <c r="M1005" s="468"/>
      <c r="N1005" s="664">
        <f t="shared" si="486"/>
        <v>180611</v>
      </c>
      <c r="O1005" s="71" t="s">
        <v>145</v>
      </c>
      <c r="P1005" s="103" t="str">
        <f t="shared" si="487"/>
        <v>Agfa 현상액 G101C(10L)</v>
      </c>
      <c r="Q1005" s="71">
        <f t="shared" si="488"/>
        <v>2</v>
      </c>
      <c r="R1005" s="102">
        <f>VLOOKUP(P1005,Price!B:D,3,FALSE)</f>
        <v>25000</v>
      </c>
      <c r="S1005" s="102">
        <f t="shared" si="480"/>
        <v>55000.000000000007</v>
      </c>
      <c r="T1005" s="102">
        <f t="shared" si="481"/>
        <v>50000</v>
      </c>
      <c r="U1005" s="71" t="str">
        <f t="shared" si="463"/>
        <v>O</v>
      </c>
      <c r="V1005" s="71"/>
      <c r="W1005" s="474">
        <f t="shared" si="482"/>
        <v>32000</v>
      </c>
      <c r="X1005" s="71"/>
      <c r="Y1005" s="71"/>
    </row>
    <row r="1006" spans="1:25" ht="30" hidden="1" customHeight="1" x14ac:dyDescent="0.2">
      <c r="A1006" s="82">
        <v>180611</v>
      </c>
      <c r="B1006" s="664" t="s">
        <v>442</v>
      </c>
      <c r="C1006" s="71" t="s">
        <v>650</v>
      </c>
      <c r="D1006" s="71">
        <v>1</v>
      </c>
      <c r="E1006" s="102">
        <v>93000</v>
      </c>
      <c r="F1006" s="163">
        <f t="shared" si="483"/>
        <v>102300.00000000001</v>
      </c>
      <c r="G1006" s="163">
        <f t="shared" si="484"/>
        <v>93000</v>
      </c>
      <c r="H1006" s="165" t="s">
        <v>172</v>
      </c>
      <c r="I1006" s="71" t="s">
        <v>141</v>
      </c>
      <c r="J1006" s="53">
        <f>(G1006-(VLOOKUP(C1006,Price!B:D,3,FALSE)*D1006))</f>
        <v>33000</v>
      </c>
      <c r="K1006" s="63">
        <f t="shared" si="485"/>
        <v>0.35483870967741932</v>
      </c>
      <c r="L1006" s="871">
        <v>18.600000000000001</v>
      </c>
      <c r="M1006" s="468"/>
      <c r="N1006" s="664">
        <f t="shared" si="486"/>
        <v>180611</v>
      </c>
      <c r="O1006" s="71" t="s">
        <v>145</v>
      </c>
      <c r="P1006" s="103" t="str">
        <f t="shared" si="487"/>
        <v>Agfa 정착액 G333C(20L)</v>
      </c>
      <c r="Q1006" s="71">
        <f t="shared" si="488"/>
        <v>1</v>
      </c>
      <c r="R1006" s="102">
        <f>VLOOKUP(P1006,Price!B:D,3,FALSE)</f>
        <v>60000</v>
      </c>
      <c r="S1006" s="102">
        <f t="shared" si="480"/>
        <v>66000</v>
      </c>
      <c r="T1006" s="102">
        <f t="shared" si="481"/>
        <v>60000</v>
      </c>
      <c r="U1006" s="71" t="str">
        <f t="shared" si="463"/>
        <v>O</v>
      </c>
      <c r="V1006" s="71"/>
      <c r="W1006" s="474">
        <f t="shared" si="482"/>
        <v>33000</v>
      </c>
      <c r="X1006" s="71"/>
      <c r="Y1006" s="71"/>
    </row>
    <row r="1007" spans="1:25" ht="30" hidden="1" customHeight="1" x14ac:dyDescent="0.2">
      <c r="A1007" s="82">
        <v>180611</v>
      </c>
      <c r="B1007" s="664" t="s">
        <v>923</v>
      </c>
      <c r="C1007" s="71" t="s">
        <v>1065</v>
      </c>
      <c r="D1007" s="71">
        <v>3320</v>
      </c>
      <c r="E1007" s="102">
        <v>50</v>
      </c>
      <c r="F1007" s="163">
        <f t="shared" si="483"/>
        <v>182600.00000000003</v>
      </c>
      <c r="G1007" s="163">
        <f t="shared" si="484"/>
        <v>166000</v>
      </c>
      <c r="H1007" s="165" t="s">
        <v>173</v>
      </c>
      <c r="I1007" s="71" t="s">
        <v>140</v>
      </c>
      <c r="J1007" s="53">
        <v>166000</v>
      </c>
      <c r="K1007" s="63"/>
      <c r="L1007" s="871">
        <v>18.600000000000001</v>
      </c>
      <c r="M1007" s="468"/>
      <c r="N1007" s="664">
        <f t="shared" si="486"/>
        <v>180611</v>
      </c>
      <c r="O1007" s="71"/>
      <c r="P1007" s="103" t="str">
        <f t="shared" si="487"/>
        <v>은성 CTP 폐판</v>
      </c>
      <c r="Q1007" s="71">
        <f t="shared" si="488"/>
        <v>3320</v>
      </c>
      <c r="R1007" s="102"/>
      <c r="S1007" s="102"/>
      <c r="T1007" s="102"/>
      <c r="U1007" s="71"/>
      <c r="V1007" s="71"/>
      <c r="W1007" s="474"/>
      <c r="X1007" s="71"/>
      <c r="Y1007" s="71"/>
    </row>
    <row r="1008" spans="1:25" ht="30" hidden="1" customHeight="1" x14ac:dyDescent="0.25">
      <c r="A1008" s="82">
        <v>180611</v>
      </c>
      <c r="B1008" s="664" t="s">
        <v>1052</v>
      </c>
      <c r="C1008" s="71" t="s">
        <v>1115</v>
      </c>
      <c r="D1008" s="71">
        <v>60</v>
      </c>
      <c r="E1008" s="102">
        <v>6200</v>
      </c>
      <c r="F1008" s="102">
        <f t="shared" si="483"/>
        <v>409200.00000000006</v>
      </c>
      <c r="G1008" s="102">
        <f t="shared" si="484"/>
        <v>372000</v>
      </c>
      <c r="H1008" s="690" t="s">
        <v>142</v>
      </c>
      <c r="I1008" s="71" t="s">
        <v>144</v>
      </c>
      <c r="J1008" s="53">
        <f>G1008-T1008</f>
        <v>6000</v>
      </c>
      <c r="K1008" s="63">
        <f t="shared" si="485"/>
        <v>1.6129032258064512E-2</v>
      </c>
      <c r="L1008" s="871">
        <v>18.600000000000001</v>
      </c>
      <c r="M1008" s="468"/>
      <c r="N1008" s="664">
        <f t="shared" si="486"/>
        <v>180611</v>
      </c>
      <c r="O1008" s="71" t="s">
        <v>147</v>
      </c>
      <c r="P1008" s="103" t="str">
        <f t="shared" si="487"/>
        <v>한특 잉크(적)</v>
      </c>
      <c r="Q1008" s="71">
        <f t="shared" si="488"/>
        <v>60</v>
      </c>
      <c r="R1008" s="102">
        <v>6100</v>
      </c>
      <c r="S1008" s="102">
        <f t="shared" ref="S1008:S1014" si="489">R1008*Q1008*1.1</f>
        <v>402600.00000000006</v>
      </c>
      <c r="T1008" s="102">
        <f t="shared" ref="T1008:T1014" si="490">R1008*Q1008</f>
        <v>366000</v>
      </c>
      <c r="U1008" s="71" t="str">
        <f t="shared" ref="U1008:U1030" si="491">IF(J1008=W1008,"O", "X")</f>
        <v>O</v>
      </c>
      <c r="V1008" s="71"/>
      <c r="W1008" s="474">
        <f t="shared" ref="W1008:W1023" si="492">(G1008-T1008)</f>
        <v>6000</v>
      </c>
      <c r="X1008" s="71"/>
      <c r="Y1008" s="71"/>
    </row>
    <row r="1009" spans="1:25" ht="30" hidden="1" customHeight="1" x14ac:dyDescent="0.25">
      <c r="A1009" s="82">
        <v>180611</v>
      </c>
      <c r="B1009" s="664" t="s">
        <v>1052</v>
      </c>
      <c r="C1009" s="71" t="s">
        <v>1116</v>
      </c>
      <c r="D1009" s="71">
        <v>30</v>
      </c>
      <c r="E1009" s="102">
        <v>6000</v>
      </c>
      <c r="F1009" s="102">
        <f t="shared" si="483"/>
        <v>198000.00000000003</v>
      </c>
      <c r="G1009" s="102">
        <f t="shared" si="484"/>
        <v>180000</v>
      </c>
      <c r="H1009" s="690" t="s">
        <v>142</v>
      </c>
      <c r="I1009" s="71" t="s">
        <v>144</v>
      </c>
      <c r="J1009" s="53">
        <f>G1009-T1009</f>
        <v>3000</v>
      </c>
      <c r="K1009" s="63">
        <f t="shared" si="485"/>
        <v>1.6666666666666663E-2</v>
      </c>
      <c r="L1009" s="871">
        <v>18.600000000000001</v>
      </c>
      <c r="M1009" s="468"/>
      <c r="N1009" s="664">
        <f t="shared" si="486"/>
        <v>180611</v>
      </c>
      <c r="O1009" s="71" t="s">
        <v>147</v>
      </c>
      <c r="P1009" s="103" t="str">
        <f t="shared" si="487"/>
        <v>한특 잉크(황)</v>
      </c>
      <c r="Q1009" s="71">
        <f t="shared" si="488"/>
        <v>30</v>
      </c>
      <c r="R1009" s="102">
        <v>5900</v>
      </c>
      <c r="S1009" s="102">
        <f t="shared" si="489"/>
        <v>194700.00000000003</v>
      </c>
      <c r="T1009" s="102">
        <f t="shared" si="490"/>
        <v>177000</v>
      </c>
      <c r="U1009" s="71" t="str">
        <f t="shared" si="491"/>
        <v>O</v>
      </c>
      <c r="V1009" s="71"/>
      <c r="W1009" s="474">
        <f t="shared" si="492"/>
        <v>3000</v>
      </c>
      <c r="X1009" s="71"/>
      <c r="Y1009" s="71"/>
    </row>
    <row r="1010" spans="1:25" ht="30" hidden="1" customHeight="1" x14ac:dyDescent="0.25">
      <c r="A1010" s="82">
        <v>180611</v>
      </c>
      <c r="B1010" s="664" t="s">
        <v>1052</v>
      </c>
      <c r="C1010" s="71" t="s">
        <v>1117</v>
      </c>
      <c r="D1010" s="71">
        <v>60</v>
      </c>
      <c r="E1010" s="102">
        <v>6500</v>
      </c>
      <c r="F1010" s="102">
        <f t="shared" si="483"/>
        <v>429000.00000000006</v>
      </c>
      <c r="G1010" s="102">
        <f t="shared" si="484"/>
        <v>390000</v>
      </c>
      <c r="H1010" s="690" t="s">
        <v>142</v>
      </c>
      <c r="I1010" s="71" t="s">
        <v>144</v>
      </c>
      <c r="J1010" s="53">
        <f>G1010-T1010</f>
        <v>6000</v>
      </c>
      <c r="K1010" s="63">
        <f t="shared" si="485"/>
        <v>1.5384615384615382E-2</v>
      </c>
      <c r="L1010" s="871">
        <v>18.600000000000001</v>
      </c>
      <c r="M1010" s="468"/>
      <c r="N1010" s="664">
        <f t="shared" si="486"/>
        <v>180611</v>
      </c>
      <c r="O1010" s="71" t="s">
        <v>147</v>
      </c>
      <c r="P1010" s="103" t="str">
        <f t="shared" si="487"/>
        <v>한특 잉크(청)</v>
      </c>
      <c r="Q1010" s="71">
        <f t="shared" si="488"/>
        <v>60</v>
      </c>
      <c r="R1010" s="102">
        <v>6400</v>
      </c>
      <c r="S1010" s="102">
        <f t="shared" si="489"/>
        <v>422400.00000000006</v>
      </c>
      <c r="T1010" s="102">
        <f t="shared" si="490"/>
        <v>384000</v>
      </c>
      <c r="U1010" s="71" t="str">
        <f t="shared" si="491"/>
        <v>O</v>
      </c>
      <c r="V1010" s="71"/>
      <c r="W1010" s="474">
        <f t="shared" si="492"/>
        <v>6000</v>
      </c>
      <c r="X1010" s="71"/>
      <c r="Y1010" s="71"/>
    </row>
    <row r="1011" spans="1:25" ht="30" hidden="1" customHeight="1" x14ac:dyDescent="0.25">
      <c r="A1011" s="82">
        <v>180611</v>
      </c>
      <c r="B1011" s="664" t="s">
        <v>1052</v>
      </c>
      <c r="C1011" s="71" t="s">
        <v>1118</v>
      </c>
      <c r="D1011" s="71">
        <v>30</v>
      </c>
      <c r="E1011" s="102">
        <v>5600</v>
      </c>
      <c r="F1011" s="102">
        <f t="shared" si="483"/>
        <v>184800.00000000003</v>
      </c>
      <c r="G1011" s="102">
        <f t="shared" si="484"/>
        <v>168000</v>
      </c>
      <c r="H1011" s="690" t="s">
        <v>142</v>
      </c>
      <c r="I1011" s="71" t="s">
        <v>144</v>
      </c>
      <c r="J1011" s="53">
        <f>G1011-T1011</f>
        <v>3000</v>
      </c>
      <c r="K1011" s="63">
        <f t="shared" si="485"/>
        <v>1.7857142857142853E-2</v>
      </c>
      <c r="L1011" s="871">
        <v>18.600000000000001</v>
      </c>
      <c r="M1011" s="468"/>
      <c r="N1011" s="664">
        <f t="shared" si="486"/>
        <v>180611</v>
      </c>
      <c r="O1011" s="71" t="s">
        <v>147</v>
      </c>
      <c r="P1011" s="103" t="str">
        <f t="shared" si="487"/>
        <v>한특 잉크(먹)</v>
      </c>
      <c r="Q1011" s="71">
        <f t="shared" si="488"/>
        <v>30</v>
      </c>
      <c r="R1011" s="102">
        <v>5500</v>
      </c>
      <c r="S1011" s="102">
        <f t="shared" si="489"/>
        <v>181500.00000000003</v>
      </c>
      <c r="T1011" s="102">
        <f t="shared" si="490"/>
        <v>165000</v>
      </c>
      <c r="U1011" s="71" t="str">
        <f t="shared" si="491"/>
        <v>O</v>
      </c>
      <c r="V1011" s="71"/>
      <c r="W1011" s="474">
        <f t="shared" si="492"/>
        <v>3000</v>
      </c>
      <c r="X1011" s="71"/>
      <c r="Y1011" s="71"/>
    </row>
    <row r="1012" spans="1:25" ht="30" hidden="1" customHeight="1" x14ac:dyDescent="0.25">
      <c r="A1012" s="82">
        <v>180611</v>
      </c>
      <c r="B1012" s="664" t="s">
        <v>1061</v>
      </c>
      <c r="C1012" s="71" t="s">
        <v>587</v>
      </c>
      <c r="D1012" s="71">
        <v>200</v>
      </c>
      <c r="E1012" s="102">
        <v>8000</v>
      </c>
      <c r="F1012" s="102">
        <f t="shared" si="483"/>
        <v>1760000.0000000002</v>
      </c>
      <c r="G1012" s="102">
        <f t="shared" si="484"/>
        <v>1600000</v>
      </c>
      <c r="H1012" s="690" t="s">
        <v>142</v>
      </c>
      <c r="I1012" s="71" t="s">
        <v>144</v>
      </c>
      <c r="J1012" s="53">
        <f>(G1012-(VLOOKUP(C1012,Price!B:D,3,FALSE)*D1012))</f>
        <v>218000</v>
      </c>
      <c r="K1012" s="63">
        <f t="shared" si="485"/>
        <v>0.13624999999999998</v>
      </c>
      <c r="L1012" s="871">
        <v>18.600000000000001</v>
      </c>
      <c r="M1012" s="468"/>
      <c r="N1012" s="664">
        <f t="shared" si="486"/>
        <v>180611</v>
      </c>
      <c r="O1012" s="71" t="s">
        <v>147</v>
      </c>
      <c r="P1012" s="103" t="str">
        <f t="shared" si="487"/>
        <v>프리미어(청)</v>
      </c>
      <c r="Q1012" s="71">
        <f t="shared" si="488"/>
        <v>200</v>
      </c>
      <c r="R1012" s="102">
        <v>6910</v>
      </c>
      <c r="S1012" s="102">
        <f t="shared" si="489"/>
        <v>1520200.0000000002</v>
      </c>
      <c r="T1012" s="102">
        <f t="shared" si="490"/>
        <v>1382000</v>
      </c>
      <c r="U1012" s="71" t="str">
        <f t="shared" si="491"/>
        <v>O</v>
      </c>
      <c r="V1012" s="71"/>
      <c r="W1012" s="474">
        <f t="shared" si="492"/>
        <v>218000</v>
      </c>
      <c r="X1012" s="71"/>
      <c r="Y1012" s="71"/>
    </row>
    <row r="1013" spans="1:25" ht="30" hidden="1" customHeight="1" x14ac:dyDescent="0.25">
      <c r="A1013" s="82">
        <v>180611</v>
      </c>
      <c r="B1013" s="664" t="s">
        <v>1052</v>
      </c>
      <c r="C1013" s="71" t="s">
        <v>585</v>
      </c>
      <c r="D1013" s="71">
        <v>200</v>
      </c>
      <c r="E1013" s="102">
        <v>7500</v>
      </c>
      <c r="F1013" s="102">
        <f t="shared" si="483"/>
        <v>1650000.0000000002</v>
      </c>
      <c r="G1013" s="102">
        <f t="shared" si="484"/>
        <v>1500000</v>
      </c>
      <c r="H1013" s="690" t="s">
        <v>142</v>
      </c>
      <c r="I1013" s="71" t="s">
        <v>144</v>
      </c>
      <c r="J1013" s="53">
        <f>(G1013-(VLOOKUP(C1013,Price!B:D,3,FALSE)*D1013))</f>
        <v>146000</v>
      </c>
      <c r="K1013" s="63">
        <f t="shared" si="485"/>
        <v>9.7333333333333313E-2</v>
      </c>
      <c r="L1013" s="871">
        <v>18.600000000000001</v>
      </c>
      <c r="M1013" s="468"/>
      <c r="N1013" s="664">
        <f t="shared" si="486"/>
        <v>180611</v>
      </c>
      <c r="O1013" s="71" t="s">
        <v>147</v>
      </c>
      <c r="P1013" s="103" t="str">
        <f t="shared" si="487"/>
        <v>프리미어(적)</v>
      </c>
      <c r="Q1013" s="71">
        <f t="shared" si="488"/>
        <v>200</v>
      </c>
      <c r="R1013" s="102">
        <v>6770</v>
      </c>
      <c r="S1013" s="102">
        <f t="shared" si="489"/>
        <v>1489400.0000000002</v>
      </c>
      <c r="T1013" s="102">
        <f t="shared" si="490"/>
        <v>1354000</v>
      </c>
      <c r="U1013" s="71" t="str">
        <f t="shared" si="491"/>
        <v>O</v>
      </c>
      <c r="V1013" s="71"/>
      <c r="W1013" s="474">
        <f t="shared" si="492"/>
        <v>146000</v>
      </c>
      <c r="X1013" s="71"/>
      <c r="Y1013" s="71"/>
    </row>
    <row r="1014" spans="1:25" s="602" customFormat="1" ht="30" hidden="1" customHeight="1" x14ac:dyDescent="0.25">
      <c r="A1014" s="85">
        <v>180611</v>
      </c>
      <c r="B1014" s="668" t="s">
        <v>1061</v>
      </c>
      <c r="C1014" s="84" t="s">
        <v>586</v>
      </c>
      <c r="D1014" s="84">
        <v>200</v>
      </c>
      <c r="E1014" s="189">
        <v>6750</v>
      </c>
      <c r="F1014" s="189">
        <f t="shared" si="483"/>
        <v>1485000.0000000002</v>
      </c>
      <c r="G1014" s="189">
        <f t="shared" ref="G1014:G1033" si="493">(E1014*D1014)</f>
        <v>1350000</v>
      </c>
      <c r="H1014" s="691" t="s">
        <v>142</v>
      </c>
      <c r="I1014" s="84" t="s">
        <v>144</v>
      </c>
      <c r="J1014" s="61">
        <f>(G1014-(VLOOKUP(C1014,Price!B:D,3,FALSE)*D1014))</f>
        <v>114000</v>
      </c>
      <c r="K1014" s="62">
        <f t="shared" si="485"/>
        <v>8.4444444444444433E-2</v>
      </c>
      <c r="L1014" s="873">
        <v>18.600000000000001</v>
      </c>
      <c r="M1014" s="601"/>
      <c r="N1014" s="668">
        <f t="shared" si="486"/>
        <v>180611</v>
      </c>
      <c r="O1014" s="84" t="s">
        <v>147</v>
      </c>
      <c r="P1014" s="133" t="str">
        <f t="shared" si="487"/>
        <v>프리미어(황)</v>
      </c>
      <c r="Q1014" s="84">
        <f t="shared" si="488"/>
        <v>200</v>
      </c>
      <c r="R1014" s="189">
        <v>6180</v>
      </c>
      <c r="S1014" s="189">
        <f t="shared" si="489"/>
        <v>1359600</v>
      </c>
      <c r="T1014" s="189">
        <f t="shared" si="490"/>
        <v>1236000</v>
      </c>
      <c r="U1014" s="84" t="str">
        <f t="shared" si="491"/>
        <v>O</v>
      </c>
      <c r="V1014" s="84"/>
      <c r="W1014" s="478">
        <f t="shared" si="492"/>
        <v>114000</v>
      </c>
      <c r="X1014" s="84"/>
      <c r="Y1014" s="84"/>
    </row>
    <row r="1015" spans="1:25" s="215" customFormat="1" ht="30" hidden="1" customHeight="1" x14ac:dyDescent="0.2">
      <c r="A1015" s="942">
        <v>180613</v>
      </c>
      <c r="B1015" s="673" t="s">
        <v>548</v>
      </c>
      <c r="C1015" s="88" t="s">
        <v>107</v>
      </c>
      <c r="D1015" s="88">
        <v>20</v>
      </c>
      <c r="E1015" s="470">
        <v>100000</v>
      </c>
      <c r="F1015" s="943">
        <f t="shared" si="483"/>
        <v>2200000</v>
      </c>
      <c r="G1015" s="943">
        <f t="shared" si="493"/>
        <v>2000000</v>
      </c>
      <c r="H1015" s="944" t="s">
        <v>172</v>
      </c>
      <c r="I1015" s="88" t="s">
        <v>109</v>
      </c>
      <c r="J1015" s="107">
        <f>(G1015-(VLOOKUP(C1015,Price!B:D,3,FALSE)*D1015))</f>
        <v>390000</v>
      </c>
      <c r="K1015" s="469">
        <f>(J1015/(F1015/11*10))</f>
        <v>0.19500000000000001</v>
      </c>
      <c r="L1015" s="89">
        <v>18.600000000000001</v>
      </c>
      <c r="M1015" s="575"/>
      <c r="N1015" s="673">
        <f t="shared" si="486"/>
        <v>180613</v>
      </c>
      <c r="O1015" s="88" t="s">
        <v>147</v>
      </c>
      <c r="P1015" s="134" t="str">
        <f>(C1015)</f>
        <v>Blanket(1050*840)</v>
      </c>
      <c r="Q1015" s="88">
        <f>D1015</f>
        <v>20</v>
      </c>
      <c r="R1015" s="470">
        <v>80500</v>
      </c>
      <c r="S1015" s="470">
        <f>(R1015*D1015)*1.1</f>
        <v>1771000.0000000002</v>
      </c>
      <c r="T1015" s="470">
        <f>(R1015*Q1015)</f>
        <v>1610000</v>
      </c>
      <c r="U1015" s="88" t="str">
        <f t="shared" si="491"/>
        <v>O</v>
      </c>
      <c r="V1015" s="88"/>
      <c r="W1015" s="945">
        <f t="shared" si="492"/>
        <v>390000</v>
      </c>
      <c r="X1015" s="88"/>
      <c r="Y1015" s="88"/>
    </row>
    <row r="1016" spans="1:25" ht="30" hidden="1" customHeight="1" x14ac:dyDescent="0.25">
      <c r="A1016" s="80">
        <v>180614</v>
      </c>
      <c r="B1016" s="663" t="s">
        <v>1051</v>
      </c>
      <c r="C1016" s="73" t="s">
        <v>951</v>
      </c>
      <c r="D1016" s="73">
        <v>900</v>
      </c>
      <c r="E1016" s="147">
        <v>3800</v>
      </c>
      <c r="F1016" s="147">
        <f t="shared" si="483"/>
        <v>3762000.0000000005</v>
      </c>
      <c r="G1016" s="147">
        <f t="shared" si="493"/>
        <v>3420000</v>
      </c>
      <c r="H1016" s="689" t="s">
        <v>142</v>
      </c>
      <c r="I1016" s="73" t="s">
        <v>140</v>
      </c>
      <c r="J1016" s="60">
        <f>(G1016-(VLOOKUP(C1016,Price!B:D,3,FALSE)*D1016))</f>
        <v>1080000</v>
      </c>
      <c r="K1016" s="427">
        <f t="shared" si="485"/>
        <v>0.31578947368421051</v>
      </c>
      <c r="L1016" s="80">
        <v>18.600000000000001</v>
      </c>
      <c r="M1016" s="584"/>
      <c r="N1016" s="663">
        <f t="shared" si="486"/>
        <v>180614</v>
      </c>
      <c r="O1016" s="73" t="s">
        <v>145</v>
      </c>
      <c r="P1016" s="132" t="str">
        <f>(C1016)</f>
        <v>ENGAGE 30WEB(883*552)</v>
      </c>
      <c r="Q1016" s="73">
        <f t="shared" si="488"/>
        <v>900</v>
      </c>
      <c r="R1016" s="147">
        <v>2600</v>
      </c>
      <c r="S1016" s="147">
        <f>(R1016*D1016)*1.1</f>
        <v>2574000</v>
      </c>
      <c r="T1016" s="147">
        <f>(R1016*Q1016)</f>
        <v>2340000</v>
      </c>
      <c r="U1016" s="73" t="str">
        <f t="shared" si="491"/>
        <v>O</v>
      </c>
      <c r="V1016" s="73"/>
      <c r="W1016" s="473">
        <f t="shared" si="492"/>
        <v>1080000</v>
      </c>
      <c r="X1016" s="73"/>
      <c r="Y1016" s="73"/>
    </row>
    <row r="1017" spans="1:25" ht="30" hidden="1" customHeight="1" x14ac:dyDescent="0.25">
      <c r="A1017" s="82">
        <v>180614</v>
      </c>
      <c r="B1017" s="664" t="s">
        <v>1051</v>
      </c>
      <c r="C1017" s="71" t="s">
        <v>524</v>
      </c>
      <c r="D1017" s="71">
        <v>900</v>
      </c>
      <c r="E1017" s="102">
        <v>3990</v>
      </c>
      <c r="F1017" s="102">
        <f t="shared" ref="F1017:F1061" si="494">(E1017*D1017)*1.1</f>
        <v>3950100.0000000005</v>
      </c>
      <c r="G1017" s="102">
        <f t="shared" si="493"/>
        <v>3591000</v>
      </c>
      <c r="H1017" s="690" t="s">
        <v>142</v>
      </c>
      <c r="I1017" s="71" t="s">
        <v>140</v>
      </c>
      <c r="J1017" s="53">
        <f>(G1017-(VLOOKUP(C1017,Price!B:D,3,FALSE)*D1017))</f>
        <v>1125000</v>
      </c>
      <c r="K1017" s="63">
        <f t="shared" si="485"/>
        <v>0.31328320802005011</v>
      </c>
      <c r="L1017" s="871">
        <v>18.600000000000001</v>
      </c>
      <c r="M1017" s="468"/>
      <c r="N1017" s="664">
        <f t="shared" si="486"/>
        <v>180614</v>
      </c>
      <c r="O1017" s="71" t="s">
        <v>145</v>
      </c>
      <c r="P1017" s="103" t="str">
        <f>C1017</f>
        <v>ENGAGE 900X570 - 27RO</v>
      </c>
      <c r="Q1017" s="71">
        <f>D1017</f>
        <v>900</v>
      </c>
      <c r="R1017" s="102">
        <v>2740</v>
      </c>
      <c r="S1017" s="102">
        <f>R1017*Q1017*1.1</f>
        <v>2712600</v>
      </c>
      <c r="T1017" s="102">
        <f>R1017*Q1017</f>
        <v>2466000</v>
      </c>
      <c r="U1017" s="71" t="str">
        <f t="shared" si="491"/>
        <v>O</v>
      </c>
      <c r="V1017" s="71"/>
      <c r="W1017" s="474">
        <f t="shared" si="492"/>
        <v>1125000</v>
      </c>
      <c r="X1017" s="71"/>
      <c r="Y1017" s="71"/>
    </row>
    <row r="1018" spans="1:25" ht="30" hidden="1" customHeight="1" x14ac:dyDescent="0.25">
      <c r="A1018" s="82">
        <v>180614</v>
      </c>
      <c r="B1018" s="664" t="s">
        <v>1051</v>
      </c>
      <c r="C1018" s="67" t="s">
        <v>197</v>
      </c>
      <c r="D1018" s="71">
        <v>5</v>
      </c>
      <c r="E1018" s="102">
        <v>58000</v>
      </c>
      <c r="F1018" s="102">
        <f t="shared" si="494"/>
        <v>319000</v>
      </c>
      <c r="G1018" s="102">
        <f t="shared" si="493"/>
        <v>290000</v>
      </c>
      <c r="H1018" s="690" t="s">
        <v>142</v>
      </c>
      <c r="I1018" s="71" t="s">
        <v>140</v>
      </c>
      <c r="J1018" s="53">
        <f>(G1018-(VLOOKUP(C1018,Price!B:D,3,FALSE)*D1018))</f>
        <v>115000</v>
      </c>
      <c r="K1018" s="63">
        <f t="shared" si="485"/>
        <v>0.39655172413793105</v>
      </c>
      <c r="L1018" s="871">
        <v>18.600000000000001</v>
      </c>
      <c r="M1018" s="468"/>
      <c r="N1018" s="664">
        <f t="shared" si="486"/>
        <v>180614</v>
      </c>
      <c r="O1018" s="71" t="s">
        <v>145</v>
      </c>
      <c r="P1018" s="103" t="str">
        <f>C1018</f>
        <v>THR200(20L)</v>
      </c>
      <c r="Q1018" s="71">
        <f>D1018</f>
        <v>5</v>
      </c>
      <c r="R1018" s="102">
        <v>35000</v>
      </c>
      <c r="S1018" s="102">
        <f>R1018*Q1018*1.1</f>
        <v>192500.00000000003</v>
      </c>
      <c r="T1018" s="102">
        <f>R1018*Q1018</f>
        <v>175000</v>
      </c>
      <c r="U1018" s="71" t="str">
        <f t="shared" si="491"/>
        <v>O</v>
      </c>
      <c r="V1018" s="71"/>
      <c r="W1018" s="474">
        <f t="shared" si="492"/>
        <v>115000</v>
      </c>
      <c r="X1018" s="71"/>
      <c r="Y1018" s="71"/>
    </row>
    <row r="1019" spans="1:25" ht="30" hidden="1" customHeight="1" x14ac:dyDescent="0.25">
      <c r="A1019" s="82">
        <v>180614</v>
      </c>
      <c r="B1019" s="664" t="s">
        <v>1051</v>
      </c>
      <c r="C1019" s="71" t="s">
        <v>750</v>
      </c>
      <c r="D1019" s="71">
        <v>5</v>
      </c>
      <c r="E1019" s="102">
        <v>58000</v>
      </c>
      <c r="F1019" s="102">
        <f t="shared" si="494"/>
        <v>319000</v>
      </c>
      <c r="G1019" s="102">
        <f t="shared" si="493"/>
        <v>290000</v>
      </c>
      <c r="H1019" s="690" t="s">
        <v>142</v>
      </c>
      <c r="I1019" s="71" t="s">
        <v>140</v>
      </c>
      <c r="J1019" s="53">
        <f>(G1019-(VLOOKUP(C1019,Price!B:D,3,FALSE)*D1019))</f>
        <v>115000</v>
      </c>
      <c r="K1019" s="63">
        <f>(J1019/(F1019/11*10))</f>
        <v>0.39655172413793105</v>
      </c>
      <c r="L1019" s="871">
        <v>18.600000000000001</v>
      </c>
      <c r="M1019" s="468"/>
      <c r="N1019" s="664">
        <f t="shared" si="486"/>
        <v>180614</v>
      </c>
      <c r="O1019" s="71" t="s">
        <v>145</v>
      </c>
      <c r="P1019" s="103" t="str">
        <f>(C1019)</f>
        <v>THD200(20L)</v>
      </c>
      <c r="Q1019" s="71">
        <f t="shared" ref="Q1019:Q1039" si="495">D1019</f>
        <v>5</v>
      </c>
      <c r="R1019" s="102">
        <v>35000</v>
      </c>
      <c r="S1019" s="102">
        <f>(R1019*D1019)*1.1</f>
        <v>192500.00000000003</v>
      </c>
      <c r="T1019" s="102">
        <f>(R1019*Q1019)</f>
        <v>175000</v>
      </c>
      <c r="U1019" s="71" t="str">
        <f t="shared" si="491"/>
        <v>O</v>
      </c>
      <c r="V1019" s="71"/>
      <c r="W1019" s="474">
        <f t="shared" si="492"/>
        <v>115000</v>
      </c>
      <c r="X1019" s="71"/>
      <c r="Y1019" s="71"/>
    </row>
    <row r="1020" spans="1:25" ht="30" hidden="1" customHeight="1" x14ac:dyDescent="0.25">
      <c r="A1020" s="82">
        <v>180614</v>
      </c>
      <c r="B1020" s="664" t="s">
        <v>1051</v>
      </c>
      <c r="C1020" s="71" t="s">
        <v>752</v>
      </c>
      <c r="D1020" s="71">
        <v>1</v>
      </c>
      <c r="E1020" s="102">
        <v>85000</v>
      </c>
      <c r="F1020" s="102">
        <f t="shared" si="494"/>
        <v>93500.000000000015</v>
      </c>
      <c r="G1020" s="102">
        <f t="shared" si="493"/>
        <v>85000</v>
      </c>
      <c r="H1020" s="690" t="s">
        <v>142</v>
      </c>
      <c r="I1020" s="71" t="s">
        <v>140</v>
      </c>
      <c r="J1020" s="53">
        <f>(G1020-(VLOOKUP(C1020,Price!B:D,3,FALSE)*D1020))</f>
        <v>20000</v>
      </c>
      <c r="K1020" s="63">
        <f>(J1020/(F1020/11*10))</f>
        <v>0.23529411764705879</v>
      </c>
      <c r="L1020" s="871">
        <v>18.600000000000001</v>
      </c>
      <c r="M1020" s="468"/>
      <c r="N1020" s="664">
        <f t="shared" si="486"/>
        <v>180614</v>
      </c>
      <c r="O1020" s="71" t="s">
        <v>145</v>
      </c>
      <c r="P1020" s="103" t="str">
        <f>(C1020)</f>
        <v>RC795(20L)</v>
      </c>
      <c r="Q1020" s="71">
        <f t="shared" si="495"/>
        <v>1</v>
      </c>
      <c r="R1020" s="102">
        <v>65000</v>
      </c>
      <c r="S1020" s="102">
        <f>(R1020*D1020)*1.1</f>
        <v>71500</v>
      </c>
      <c r="T1020" s="102">
        <f>(R1020*Q1020)</f>
        <v>65000</v>
      </c>
      <c r="U1020" s="71" t="str">
        <f t="shared" si="491"/>
        <v>O</v>
      </c>
      <c r="V1020" s="71"/>
      <c r="W1020" s="474">
        <f t="shared" si="492"/>
        <v>20000</v>
      </c>
      <c r="X1020" s="71"/>
      <c r="Y1020" s="71"/>
    </row>
    <row r="1021" spans="1:25" s="209" customFormat="1" ht="30" hidden="1" customHeight="1" x14ac:dyDescent="0.2">
      <c r="A1021" s="82">
        <v>180614</v>
      </c>
      <c r="B1021" s="664" t="s">
        <v>564</v>
      </c>
      <c r="C1021" s="71" t="s">
        <v>805</v>
      </c>
      <c r="D1021" s="71">
        <v>2</v>
      </c>
      <c r="E1021" s="102">
        <v>270000</v>
      </c>
      <c r="F1021" s="163">
        <f t="shared" si="494"/>
        <v>594000</v>
      </c>
      <c r="G1021" s="163">
        <f t="shared" si="493"/>
        <v>540000</v>
      </c>
      <c r="H1021" s="165" t="s">
        <v>173</v>
      </c>
      <c r="I1021" s="71" t="s">
        <v>120</v>
      </c>
      <c r="J1021" s="53">
        <f>(G1021-(VLOOKUP(C1021,Price!B:D,3,FALSE)*D1021))</f>
        <v>260000</v>
      </c>
      <c r="K1021" s="63">
        <f>(J1021/(F1021/11*10))</f>
        <v>0.48148148148148145</v>
      </c>
      <c r="L1021" s="82">
        <v>18.600000000000001</v>
      </c>
      <c r="M1021" s="468"/>
      <c r="N1021" s="664">
        <f t="shared" si="486"/>
        <v>180614</v>
      </c>
      <c r="O1021" s="71" t="s">
        <v>150</v>
      </c>
      <c r="P1021" s="103" t="str">
        <f>(C1021)</f>
        <v>Fount 554</v>
      </c>
      <c r="Q1021" s="71">
        <f t="shared" si="495"/>
        <v>2</v>
      </c>
      <c r="R1021" s="102">
        <v>140000</v>
      </c>
      <c r="S1021" s="102">
        <f>(R1021*D1021)*1.1</f>
        <v>308000</v>
      </c>
      <c r="T1021" s="102">
        <f>(R1021*Q1021)</f>
        <v>280000</v>
      </c>
      <c r="U1021" s="71" t="str">
        <f t="shared" si="491"/>
        <v>O</v>
      </c>
      <c r="V1021" s="71"/>
      <c r="W1021" s="474">
        <f t="shared" si="492"/>
        <v>260000</v>
      </c>
      <c r="X1021" s="71"/>
      <c r="Y1021" s="71"/>
    </row>
    <row r="1022" spans="1:25" ht="30" hidden="1" customHeight="1" x14ac:dyDescent="0.2">
      <c r="A1022" s="82">
        <v>180614</v>
      </c>
      <c r="B1022" s="664" t="s">
        <v>564</v>
      </c>
      <c r="C1022" s="71" t="s">
        <v>1235</v>
      </c>
      <c r="D1022" s="71">
        <v>1</v>
      </c>
      <c r="E1022" s="102">
        <v>165000</v>
      </c>
      <c r="F1022" s="163">
        <f>(E1022*D1022)*1.1</f>
        <v>181500.00000000003</v>
      </c>
      <c r="G1022" s="163">
        <f>(E1022*D1022)</f>
        <v>165000</v>
      </c>
      <c r="H1022" s="690" t="s">
        <v>173</v>
      </c>
      <c r="I1022" s="71" t="s">
        <v>142</v>
      </c>
      <c r="J1022" s="53">
        <f>G1022-T1022</f>
        <v>70000</v>
      </c>
      <c r="K1022" s="63">
        <f>(J1022/(F1022/11*10))</f>
        <v>0.42424242424242414</v>
      </c>
      <c r="L1022" s="871">
        <v>18.600000000000001</v>
      </c>
      <c r="M1022" s="468"/>
      <c r="N1022" s="664">
        <v>180614</v>
      </c>
      <c r="O1022" s="73" t="s">
        <v>150</v>
      </c>
      <c r="P1022" s="132" t="str">
        <f>C1022</f>
        <v>독일제 아스테이지</v>
      </c>
      <c r="Q1022" s="73">
        <f t="shared" si="495"/>
        <v>1</v>
      </c>
      <c r="R1022" s="147">
        <v>95000</v>
      </c>
      <c r="S1022" s="147">
        <f>R1022*Q1022*1.1</f>
        <v>104500.00000000001</v>
      </c>
      <c r="T1022" s="147">
        <f>R1022*Q1022</f>
        <v>95000</v>
      </c>
      <c r="U1022" s="73" t="str">
        <f t="shared" si="491"/>
        <v>O</v>
      </c>
      <c r="V1022" s="73"/>
      <c r="W1022" s="473">
        <f t="shared" si="492"/>
        <v>70000</v>
      </c>
      <c r="X1022" s="71"/>
      <c r="Y1022" s="71"/>
    </row>
    <row r="1023" spans="1:25" s="209" customFormat="1" ht="30" hidden="1" customHeight="1" x14ac:dyDescent="0.25">
      <c r="A1023" s="82">
        <v>180614</v>
      </c>
      <c r="B1023" s="664" t="s">
        <v>764</v>
      </c>
      <c r="C1023" s="71" t="s">
        <v>236</v>
      </c>
      <c r="D1023" s="71">
        <v>5</v>
      </c>
      <c r="E1023" s="102">
        <v>100000</v>
      </c>
      <c r="F1023" s="102">
        <f t="shared" ref="F1023:F1030" si="496">(E1023*D1023)*1.1</f>
        <v>550000</v>
      </c>
      <c r="G1023" s="102">
        <f t="shared" ref="G1023:G1030" si="497">(E1023*D1023)</f>
        <v>500000</v>
      </c>
      <c r="H1023" s="690" t="s">
        <v>173</v>
      </c>
      <c r="I1023" s="71" t="s">
        <v>142</v>
      </c>
      <c r="J1023" s="53">
        <f>(G1023-(VLOOKUP(C1023,Price!B:D,3,FALSE)*D1023))</f>
        <v>250000</v>
      </c>
      <c r="K1023" s="63">
        <f t="shared" ref="K1023:K1030" si="498">(J1023/(F1023/11*10))</f>
        <v>0.5</v>
      </c>
      <c r="L1023" s="871">
        <v>18.600000000000001</v>
      </c>
      <c r="M1023" s="468"/>
      <c r="N1023" s="664">
        <f t="shared" ref="N1023:N1030" si="499">A1023</f>
        <v>180614</v>
      </c>
      <c r="O1023" s="71" t="s">
        <v>153</v>
      </c>
      <c r="P1023" s="103" t="str">
        <f>C1023</f>
        <v>아스테이지(국전)</v>
      </c>
      <c r="Q1023" s="71">
        <f>D1023</f>
        <v>5</v>
      </c>
      <c r="R1023" s="102">
        <f>VLOOKUP(P1023,Price!B:D,3,FALSE)</f>
        <v>50000</v>
      </c>
      <c r="S1023" s="102">
        <f>R1023*Q1023*1.1</f>
        <v>275000</v>
      </c>
      <c r="T1023" s="102">
        <f>R1023*Q1023</f>
        <v>250000</v>
      </c>
      <c r="U1023" s="71" t="str">
        <f t="shared" si="491"/>
        <v>O</v>
      </c>
      <c r="V1023" s="71"/>
      <c r="W1023" s="474">
        <f t="shared" si="492"/>
        <v>250000</v>
      </c>
      <c r="X1023" s="71"/>
      <c r="Y1023" s="71"/>
    </row>
    <row r="1024" spans="1:25" ht="30" hidden="1" customHeight="1" x14ac:dyDescent="0.25">
      <c r="A1024" s="82">
        <v>180614</v>
      </c>
      <c r="B1024" s="664" t="s">
        <v>445</v>
      </c>
      <c r="C1024" s="71" t="s">
        <v>1144</v>
      </c>
      <c r="D1024" s="71">
        <v>3</v>
      </c>
      <c r="E1024" s="102">
        <v>110000</v>
      </c>
      <c r="F1024" s="102">
        <f t="shared" si="496"/>
        <v>363000.00000000006</v>
      </c>
      <c r="G1024" s="102">
        <f t="shared" si="497"/>
        <v>330000</v>
      </c>
      <c r="H1024" s="690" t="s">
        <v>173</v>
      </c>
      <c r="I1024" s="71" t="s">
        <v>142</v>
      </c>
      <c r="J1024" s="53">
        <f>G1024-T1024</f>
        <v>57000</v>
      </c>
      <c r="K1024" s="63">
        <f>(J1024/(F1024/11*10))</f>
        <v>0.1727272727272727</v>
      </c>
      <c r="L1024" s="871">
        <v>18.600000000000001</v>
      </c>
      <c r="M1024" s="468"/>
      <c r="N1024" s="664">
        <f t="shared" si="499"/>
        <v>180614</v>
      </c>
      <c r="O1024" s="71" t="s">
        <v>150</v>
      </c>
      <c r="P1024" s="103" t="str">
        <f>C1024</f>
        <v>실리콘 에멀전</v>
      </c>
      <c r="Q1024" s="71">
        <f>D1024</f>
        <v>3</v>
      </c>
      <c r="R1024" s="102">
        <v>91000</v>
      </c>
      <c r="S1024" s="102">
        <f>R1024*Q1024*1.1</f>
        <v>300300</v>
      </c>
      <c r="T1024" s="102">
        <f>R1024*Q1024</f>
        <v>273000</v>
      </c>
      <c r="U1024" s="71" t="str">
        <f t="shared" si="491"/>
        <v>X</v>
      </c>
      <c r="V1024" s="71"/>
      <c r="W1024" s="474"/>
      <c r="X1024" s="71"/>
      <c r="Y1024" s="71"/>
    </row>
    <row r="1025" spans="1:25" s="209" customFormat="1" ht="30" hidden="1" customHeight="1" x14ac:dyDescent="0.2">
      <c r="A1025" s="82">
        <v>180614</v>
      </c>
      <c r="B1025" s="664" t="s">
        <v>445</v>
      </c>
      <c r="C1025" s="71" t="s">
        <v>138</v>
      </c>
      <c r="D1025" s="71">
        <v>10</v>
      </c>
      <c r="E1025" s="102">
        <v>59500</v>
      </c>
      <c r="F1025" s="163">
        <f t="shared" si="496"/>
        <v>654500</v>
      </c>
      <c r="G1025" s="163">
        <f t="shared" si="497"/>
        <v>595000</v>
      </c>
      <c r="H1025" s="165" t="s">
        <v>172</v>
      </c>
      <c r="I1025" s="71" t="s">
        <v>108</v>
      </c>
      <c r="J1025" s="53">
        <f>(G1025-(VLOOKUP(C1025,Price!B:D,3,FALSE)*D1025))</f>
        <v>85000</v>
      </c>
      <c r="K1025" s="63">
        <f t="shared" si="498"/>
        <v>0.14285714285714285</v>
      </c>
      <c r="L1025" s="871">
        <v>18.600000000000001</v>
      </c>
      <c r="M1025" s="468"/>
      <c r="N1025" s="664">
        <f t="shared" si="499"/>
        <v>180614</v>
      </c>
      <c r="O1025" s="71" t="s">
        <v>150</v>
      </c>
      <c r="P1025" s="103" t="str">
        <f>(C1025)</f>
        <v>매엽용 세척제(Wash 562)</v>
      </c>
      <c r="Q1025" s="71">
        <f t="shared" ref="Q1025:Q1031" si="500">D1025</f>
        <v>10</v>
      </c>
      <c r="R1025" s="102">
        <v>51000</v>
      </c>
      <c r="S1025" s="102">
        <f>(R1025*D1025)*1.1</f>
        <v>561000</v>
      </c>
      <c r="T1025" s="102">
        <f>(R1025*Q1025)</f>
        <v>510000</v>
      </c>
      <c r="U1025" s="71" t="str">
        <f t="shared" si="491"/>
        <v>O</v>
      </c>
      <c r="V1025" s="71"/>
      <c r="W1025" s="474">
        <f t="shared" ref="W1025:W1030" si="501">(G1025-T1025)</f>
        <v>85000</v>
      </c>
      <c r="X1025" s="71"/>
      <c r="Y1025" s="71"/>
    </row>
    <row r="1026" spans="1:25" s="209" customFormat="1" ht="30" customHeight="1" x14ac:dyDescent="0.2">
      <c r="A1026" s="429">
        <v>180614</v>
      </c>
      <c r="B1026" s="664" t="s">
        <v>422</v>
      </c>
      <c r="C1026" s="71" t="s">
        <v>130</v>
      </c>
      <c r="D1026" s="71">
        <v>10</v>
      </c>
      <c r="E1026" s="102">
        <v>125000</v>
      </c>
      <c r="F1026" s="163">
        <f t="shared" si="496"/>
        <v>1375000</v>
      </c>
      <c r="G1026" s="163">
        <f t="shared" si="497"/>
        <v>1250000</v>
      </c>
      <c r="H1026" s="165" t="s">
        <v>172</v>
      </c>
      <c r="I1026" s="71" t="s">
        <v>109</v>
      </c>
      <c r="J1026" s="53">
        <f>(G1026-(VLOOKUP(C1026,Price!B:D,3,FALSE)*D1026))</f>
        <v>260000</v>
      </c>
      <c r="K1026" s="63">
        <f t="shared" si="498"/>
        <v>0.20799999999999999</v>
      </c>
      <c r="L1026" s="871">
        <v>18.600000000000001</v>
      </c>
      <c r="M1026" s="468"/>
      <c r="N1026" s="664">
        <f t="shared" si="499"/>
        <v>180614</v>
      </c>
      <c r="O1026" s="71" t="s">
        <v>150</v>
      </c>
      <c r="P1026" s="103" t="str">
        <f>(C1026)</f>
        <v>XL106 Blanket(1077*885)</v>
      </c>
      <c r="Q1026" s="71">
        <f t="shared" si="500"/>
        <v>10</v>
      </c>
      <c r="R1026" s="102">
        <v>99000</v>
      </c>
      <c r="S1026" s="102">
        <f>(R1026*D1026)*1.1</f>
        <v>1089000</v>
      </c>
      <c r="T1026" s="102">
        <f>(R1026*Q1026)</f>
        <v>990000</v>
      </c>
      <c r="U1026" s="71" t="str">
        <f t="shared" si="491"/>
        <v>O</v>
      </c>
      <c r="V1026" s="71"/>
      <c r="W1026" s="474">
        <f t="shared" si="501"/>
        <v>260000</v>
      </c>
      <c r="X1026" s="71"/>
      <c r="Y1026" s="71"/>
    </row>
    <row r="1027" spans="1:25" ht="30" customHeight="1" x14ac:dyDescent="0.25">
      <c r="A1027" s="82">
        <v>180614</v>
      </c>
      <c r="B1027" s="664" t="s">
        <v>422</v>
      </c>
      <c r="C1027" s="760" t="s">
        <v>138</v>
      </c>
      <c r="D1027" s="71">
        <v>20</v>
      </c>
      <c r="E1027" s="102">
        <v>68000</v>
      </c>
      <c r="F1027" s="102">
        <f t="shared" si="496"/>
        <v>1496000.0000000002</v>
      </c>
      <c r="G1027" s="102">
        <f t="shared" si="497"/>
        <v>1360000</v>
      </c>
      <c r="H1027" s="690" t="s">
        <v>173</v>
      </c>
      <c r="I1027" s="71" t="s">
        <v>120</v>
      </c>
      <c r="J1027" s="53">
        <f>(G1027-(VLOOKUP(C1027,Price!B:D,3,FALSE)*D1027))</f>
        <v>340000</v>
      </c>
      <c r="K1027" s="63">
        <f t="shared" si="498"/>
        <v>0.24999999999999994</v>
      </c>
      <c r="L1027" s="82">
        <v>18.600000000000001</v>
      </c>
      <c r="M1027" s="468"/>
      <c r="N1027" s="664">
        <f t="shared" si="499"/>
        <v>180614</v>
      </c>
      <c r="O1027" s="71" t="s">
        <v>150</v>
      </c>
      <c r="P1027" s="103" t="str">
        <f>C1027</f>
        <v>매엽용 세척제(Wash 562)</v>
      </c>
      <c r="Q1027" s="71">
        <f t="shared" si="500"/>
        <v>20</v>
      </c>
      <c r="R1027" s="102">
        <v>51000</v>
      </c>
      <c r="S1027" s="102">
        <f>R1027*Q1027*1.1</f>
        <v>1122000</v>
      </c>
      <c r="T1027" s="102">
        <f>R1027*Q1027</f>
        <v>1020000</v>
      </c>
      <c r="U1027" s="71" t="str">
        <f t="shared" si="491"/>
        <v>O</v>
      </c>
      <c r="V1027" s="71"/>
      <c r="W1027" s="474">
        <f t="shared" si="501"/>
        <v>340000</v>
      </c>
      <c r="X1027" s="71"/>
      <c r="Y1027" s="71"/>
    </row>
    <row r="1028" spans="1:25" ht="30" customHeight="1" x14ac:dyDescent="0.25">
      <c r="A1028" s="82">
        <v>180614</v>
      </c>
      <c r="B1028" s="664" t="s">
        <v>422</v>
      </c>
      <c r="C1028" s="71" t="s">
        <v>129</v>
      </c>
      <c r="D1028" s="71">
        <v>5</v>
      </c>
      <c r="E1028" s="102">
        <v>272000</v>
      </c>
      <c r="F1028" s="102">
        <f t="shared" si="496"/>
        <v>1496000.0000000002</v>
      </c>
      <c r="G1028" s="102">
        <f t="shared" si="497"/>
        <v>1360000</v>
      </c>
      <c r="H1028" s="690" t="s">
        <v>173</v>
      </c>
      <c r="I1028" s="71" t="s">
        <v>108</v>
      </c>
      <c r="J1028" s="53">
        <f>(G1028-(VLOOKUP(C1028,Price!B:D,3,FALSE)*D1028))</f>
        <v>320000</v>
      </c>
      <c r="K1028" s="63">
        <f t="shared" si="498"/>
        <v>0.23529411764705879</v>
      </c>
      <c r="L1028" s="82">
        <v>18.600000000000001</v>
      </c>
      <c r="M1028" s="468"/>
      <c r="N1028" s="664">
        <f t="shared" si="499"/>
        <v>180614</v>
      </c>
      <c r="O1028" s="71" t="s">
        <v>149</v>
      </c>
      <c r="P1028" s="103" t="str">
        <f>C1028</f>
        <v>세정포-XL106</v>
      </c>
      <c r="Q1028" s="71">
        <f t="shared" si="500"/>
        <v>5</v>
      </c>
      <c r="R1028" s="102">
        <v>208000</v>
      </c>
      <c r="S1028" s="102">
        <f>R1028*Q1028*1.1</f>
        <v>1144000</v>
      </c>
      <c r="T1028" s="102">
        <f>R1028*Q1028</f>
        <v>1040000</v>
      </c>
      <c r="U1028" s="71" t="str">
        <f t="shared" si="491"/>
        <v>O</v>
      </c>
      <c r="V1028" s="71"/>
      <c r="W1028" s="474">
        <f t="shared" si="501"/>
        <v>320000</v>
      </c>
      <c r="X1028" s="71"/>
      <c r="Y1028" s="71"/>
    </row>
    <row r="1029" spans="1:25" ht="30" customHeight="1" x14ac:dyDescent="0.2">
      <c r="A1029" s="82">
        <v>180614</v>
      </c>
      <c r="B1029" s="664" t="s">
        <v>565</v>
      </c>
      <c r="C1029" s="71" t="s">
        <v>1261</v>
      </c>
      <c r="D1029" s="71">
        <v>2</v>
      </c>
      <c r="E1029" s="102">
        <v>110000</v>
      </c>
      <c r="F1029" s="163">
        <f t="shared" si="496"/>
        <v>242000.00000000003</v>
      </c>
      <c r="G1029" s="163">
        <f t="shared" si="497"/>
        <v>220000</v>
      </c>
      <c r="H1029" s="690" t="s">
        <v>173</v>
      </c>
      <c r="I1029" s="71" t="s">
        <v>142</v>
      </c>
      <c r="J1029" s="53">
        <f>G1029-T1029</f>
        <v>30000</v>
      </c>
      <c r="K1029" s="63">
        <f t="shared" si="498"/>
        <v>0.13636363636363635</v>
      </c>
      <c r="L1029" s="871">
        <v>18.600000000000001</v>
      </c>
      <c r="M1029" s="468"/>
      <c r="N1029" s="664">
        <f t="shared" si="499"/>
        <v>180614</v>
      </c>
      <c r="O1029" s="73" t="s">
        <v>150</v>
      </c>
      <c r="P1029" s="132" t="str">
        <f>C1029</f>
        <v>아스테이지</v>
      </c>
      <c r="Q1029" s="73">
        <f t="shared" si="500"/>
        <v>2</v>
      </c>
      <c r="R1029" s="147">
        <v>95000</v>
      </c>
      <c r="S1029" s="147">
        <f>R1029*Q1029*1.1</f>
        <v>209000.00000000003</v>
      </c>
      <c r="T1029" s="147">
        <f>R1029*Q1029</f>
        <v>190000</v>
      </c>
      <c r="U1029" s="73" t="str">
        <f t="shared" si="491"/>
        <v>O</v>
      </c>
      <c r="V1029" s="73"/>
      <c r="W1029" s="473">
        <f t="shared" si="501"/>
        <v>30000</v>
      </c>
      <c r="X1029" s="71"/>
      <c r="Y1029" s="71"/>
    </row>
    <row r="1030" spans="1:25" ht="30" customHeight="1" x14ac:dyDescent="0.2">
      <c r="A1030" s="82">
        <v>180614</v>
      </c>
      <c r="B1030" s="664" t="s">
        <v>422</v>
      </c>
      <c r="C1030" s="71" t="s">
        <v>1262</v>
      </c>
      <c r="D1030" s="71">
        <v>2</v>
      </c>
      <c r="E1030" s="102">
        <v>231000</v>
      </c>
      <c r="F1030" s="163">
        <f t="shared" si="496"/>
        <v>508200.00000000006</v>
      </c>
      <c r="G1030" s="163">
        <f t="shared" si="497"/>
        <v>462000</v>
      </c>
      <c r="H1030" s="690" t="s">
        <v>173</v>
      </c>
      <c r="I1030" s="71" t="s">
        <v>142</v>
      </c>
      <c r="J1030" s="53">
        <f>G1030-T1030</f>
        <v>92400</v>
      </c>
      <c r="K1030" s="63">
        <f t="shared" si="498"/>
        <v>0.19999999999999998</v>
      </c>
      <c r="L1030" s="871">
        <v>18.600000000000001</v>
      </c>
      <c r="M1030" s="468"/>
      <c r="N1030" s="664">
        <f t="shared" si="499"/>
        <v>180614</v>
      </c>
      <c r="O1030" s="71" t="s">
        <v>150</v>
      </c>
      <c r="P1030" s="103" t="s">
        <v>1262</v>
      </c>
      <c r="Q1030" s="71">
        <f t="shared" si="500"/>
        <v>2</v>
      </c>
      <c r="R1030" s="102">
        <v>184800</v>
      </c>
      <c r="S1030" s="147">
        <f>R1030*Q1030*1.1</f>
        <v>406560.00000000006</v>
      </c>
      <c r="T1030" s="147">
        <f>R1030*Q1030</f>
        <v>369600</v>
      </c>
      <c r="U1030" s="73" t="str">
        <f t="shared" si="491"/>
        <v>O</v>
      </c>
      <c r="V1030" s="73"/>
      <c r="W1030" s="473">
        <f t="shared" si="501"/>
        <v>92400</v>
      </c>
      <c r="X1030" s="71"/>
      <c r="Y1030" s="71"/>
    </row>
    <row r="1031" spans="1:25" ht="30" hidden="1" customHeight="1" x14ac:dyDescent="0.25">
      <c r="A1031" s="82">
        <v>180615</v>
      </c>
      <c r="B1031" s="664" t="s">
        <v>575</v>
      </c>
      <c r="C1031" s="71" t="s">
        <v>1256</v>
      </c>
      <c r="D1031" s="71">
        <v>1</v>
      </c>
      <c r="E1031" s="102">
        <v>1250000</v>
      </c>
      <c r="F1031" s="102">
        <f>(E1031*D1031)*1.1</f>
        <v>1375000</v>
      </c>
      <c r="G1031" s="102">
        <f>(E1031*D1031)</f>
        <v>1250000</v>
      </c>
      <c r="H1031" s="690" t="s">
        <v>985</v>
      </c>
      <c r="I1031" s="71"/>
      <c r="J1031" s="53">
        <v>1250000</v>
      </c>
      <c r="K1031" s="427">
        <f>(J1031/(F1031/11*10))</f>
        <v>1</v>
      </c>
      <c r="L1031" s="871">
        <v>18.600000000000001</v>
      </c>
      <c r="M1031" s="468"/>
      <c r="N1031" s="664">
        <f>A1031</f>
        <v>180615</v>
      </c>
      <c r="O1031" s="71"/>
      <c r="P1031" s="103" t="str">
        <f>C1031</f>
        <v>M600 서비스 계약(2회차)</v>
      </c>
      <c r="Q1031" s="71">
        <f t="shared" si="500"/>
        <v>1</v>
      </c>
      <c r="R1031" s="102"/>
      <c r="S1031" s="102"/>
      <c r="T1031" s="102"/>
      <c r="U1031" s="71"/>
      <c r="V1031" s="71"/>
      <c r="W1031" s="474"/>
      <c r="X1031" s="71"/>
      <c r="Y1031" s="71"/>
    </row>
    <row r="1032" spans="1:25" ht="30" hidden="1" customHeight="1" x14ac:dyDescent="0.25">
      <c r="A1032" s="82">
        <v>180615</v>
      </c>
      <c r="B1032" s="664" t="s">
        <v>690</v>
      </c>
      <c r="C1032" s="71" t="s">
        <v>1186</v>
      </c>
      <c r="D1032" s="71">
        <v>500</v>
      </c>
      <c r="E1032" s="102">
        <v>3850</v>
      </c>
      <c r="F1032" s="102">
        <f t="shared" si="494"/>
        <v>2117500</v>
      </c>
      <c r="G1032" s="102">
        <f t="shared" si="493"/>
        <v>1925000</v>
      </c>
      <c r="H1032" s="690" t="s">
        <v>173</v>
      </c>
      <c r="I1032" s="71" t="s">
        <v>140</v>
      </c>
      <c r="J1032" s="53">
        <f>(G1032-(VLOOKUP(C1032,Price!B:D,3,FALSE)*D1032))</f>
        <v>-75000</v>
      </c>
      <c r="K1032" s="63">
        <f t="shared" ref="K1032:K1042" si="502">(J1032/(F1032/11*10))</f>
        <v>-3.896103896103896E-2</v>
      </c>
      <c r="L1032" s="871">
        <v>18.600000000000001</v>
      </c>
      <c r="M1032" s="468" t="s">
        <v>1190</v>
      </c>
      <c r="N1032" s="664">
        <f t="shared" si="486"/>
        <v>180615</v>
      </c>
      <c r="O1032" s="71" t="s">
        <v>145</v>
      </c>
      <c r="P1032" s="103" t="str">
        <f>C1032</f>
        <v>CTP 판(1030*790mm)</v>
      </c>
      <c r="Q1032" s="71">
        <f t="shared" si="495"/>
        <v>500</v>
      </c>
      <c r="R1032" s="102">
        <v>4000</v>
      </c>
      <c r="S1032" s="102">
        <f>R1032*Q1032*1.1</f>
        <v>2200000</v>
      </c>
      <c r="T1032" s="102">
        <f>R1032*Q1032</f>
        <v>2000000</v>
      </c>
      <c r="U1032" s="71" t="str">
        <f>IF(J1032=W1032,"O", "X")</f>
        <v>O</v>
      </c>
      <c r="V1032" s="71"/>
      <c r="W1032" s="474">
        <f t="shared" ref="W1032:W1038" si="503">(G1032-T1032)</f>
        <v>-75000</v>
      </c>
      <c r="X1032" s="71"/>
      <c r="Y1032" s="71"/>
    </row>
    <row r="1033" spans="1:25" ht="30" hidden="1" customHeight="1" x14ac:dyDescent="0.25">
      <c r="A1033" s="82">
        <v>180615</v>
      </c>
      <c r="B1033" s="664" t="s">
        <v>690</v>
      </c>
      <c r="C1033" s="71" t="s">
        <v>750</v>
      </c>
      <c r="D1033" s="71">
        <v>3</v>
      </c>
      <c r="E1033" s="102">
        <v>58000</v>
      </c>
      <c r="F1033" s="102">
        <f t="shared" si="494"/>
        <v>191400.00000000003</v>
      </c>
      <c r="G1033" s="102">
        <f t="shared" si="493"/>
        <v>174000</v>
      </c>
      <c r="H1033" s="690" t="s">
        <v>173</v>
      </c>
      <c r="I1033" s="71" t="s">
        <v>140</v>
      </c>
      <c r="J1033" s="53">
        <f>(G1033-(VLOOKUP(C1033,Price!B:D,3,FALSE)*D1033))</f>
        <v>69000</v>
      </c>
      <c r="K1033" s="63">
        <f t="shared" si="502"/>
        <v>0.39655172413793099</v>
      </c>
      <c r="L1033" s="871">
        <v>18.600000000000001</v>
      </c>
      <c r="M1033" s="468"/>
      <c r="N1033" s="664">
        <f t="shared" si="486"/>
        <v>180615</v>
      </c>
      <c r="O1033" s="71" t="s">
        <v>145</v>
      </c>
      <c r="P1033" s="103" t="str">
        <f>C1033</f>
        <v>THD200(20L)</v>
      </c>
      <c r="Q1033" s="71">
        <f t="shared" si="495"/>
        <v>3</v>
      </c>
      <c r="R1033" s="102">
        <v>35000</v>
      </c>
      <c r="S1033" s="102">
        <f>R1033*Q1033*1.1</f>
        <v>115500.00000000001</v>
      </c>
      <c r="T1033" s="102">
        <f>R1033*Q1033</f>
        <v>105000</v>
      </c>
      <c r="U1033" s="71" t="str">
        <f>IF(J1033=W1033,"O", "X")</f>
        <v>O</v>
      </c>
      <c r="V1033" s="71"/>
      <c r="W1033" s="474">
        <f t="shared" si="503"/>
        <v>69000</v>
      </c>
      <c r="X1033" s="71"/>
      <c r="Y1033" s="71"/>
    </row>
    <row r="1034" spans="1:25" ht="30" hidden="1" customHeight="1" x14ac:dyDescent="0.25">
      <c r="A1034" s="82">
        <v>180619</v>
      </c>
      <c r="B1034" s="664" t="s">
        <v>983</v>
      </c>
      <c r="C1034" s="71" t="s">
        <v>1009</v>
      </c>
      <c r="D1034" s="71">
        <v>520</v>
      </c>
      <c r="E1034" s="102">
        <v>3900</v>
      </c>
      <c r="F1034" s="102">
        <f t="shared" si="494"/>
        <v>2230800</v>
      </c>
      <c r="G1034" s="102">
        <f t="shared" ref="G1034:G1061" si="504">(E1034*D1034)</f>
        <v>2028000</v>
      </c>
      <c r="H1034" s="690" t="s">
        <v>173</v>
      </c>
      <c r="I1034" s="71" t="s">
        <v>140</v>
      </c>
      <c r="J1034" s="53">
        <f>G1034-T1034</f>
        <v>312000</v>
      </c>
      <c r="K1034" s="63">
        <f t="shared" si="502"/>
        <v>0.15384615384615385</v>
      </c>
      <c r="L1034" s="871">
        <v>18.600000000000001</v>
      </c>
      <c r="M1034" s="468"/>
      <c r="N1034" s="664">
        <f t="shared" si="486"/>
        <v>180619</v>
      </c>
      <c r="O1034" s="71" t="s">
        <v>147</v>
      </c>
      <c r="P1034" s="103" t="str">
        <f>C1034</f>
        <v>CTP판(1030*790mm)</v>
      </c>
      <c r="Q1034" s="71">
        <f t="shared" si="495"/>
        <v>520</v>
      </c>
      <c r="R1034" s="102">
        <v>3300</v>
      </c>
      <c r="S1034" s="102">
        <f>R1034*Q1034*1.1</f>
        <v>1887600.0000000002</v>
      </c>
      <c r="T1034" s="102">
        <f>R1034*Q1034</f>
        <v>1716000</v>
      </c>
      <c r="U1034" s="71" t="str">
        <f>IF(J1034=W1034,"O", "X")</f>
        <v>O</v>
      </c>
      <c r="V1034" s="71"/>
      <c r="W1034" s="474">
        <f t="shared" si="503"/>
        <v>312000</v>
      </c>
      <c r="X1034" s="71"/>
      <c r="Y1034" s="71"/>
    </row>
    <row r="1035" spans="1:25" ht="30" hidden="1" customHeight="1" x14ac:dyDescent="0.25">
      <c r="A1035" s="82">
        <v>180619</v>
      </c>
      <c r="B1035" s="664" t="s">
        <v>983</v>
      </c>
      <c r="C1035" s="71" t="s">
        <v>984</v>
      </c>
      <c r="D1035" s="71">
        <v>8</v>
      </c>
      <c r="E1035" s="102">
        <v>45000</v>
      </c>
      <c r="F1035" s="102">
        <f t="shared" si="494"/>
        <v>396000.00000000006</v>
      </c>
      <c r="G1035" s="102">
        <f t="shared" si="504"/>
        <v>360000</v>
      </c>
      <c r="H1035" s="690" t="s">
        <v>173</v>
      </c>
      <c r="I1035" s="71" t="s">
        <v>140</v>
      </c>
      <c r="J1035" s="53">
        <f>G1035-T1035</f>
        <v>80000</v>
      </c>
      <c r="K1035" s="63">
        <f t="shared" si="502"/>
        <v>0.22222222222222218</v>
      </c>
      <c r="L1035" s="871">
        <v>18.600000000000001</v>
      </c>
      <c r="M1035" s="468"/>
      <c r="N1035" s="664">
        <f t="shared" si="486"/>
        <v>180619</v>
      </c>
      <c r="O1035" s="71" t="s">
        <v>147</v>
      </c>
      <c r="P1035" s="103" t="str">
        <f>C1035</f>
        <v>CTP 현상액</v>
      </c>
      <c r="Q1035" s="71">
        <f t="shared" si="495"/>
        <v>8</v>
      </c>
      <c r="R1035" s="102">
        <v>35000</v>
      </c>
      <c r="S1035" s="102">
        <f>R1035*Q1035*1.1</f>
        <v>308000</v>
      </c>
      <c r="T1035" s="102">
        <f>R1035*Q1035</f>
        <v>280000</v>
      </c>
      <c r="U1035" s="71" t="str">
        <f>IF(J1035=W1035,"O", "X")</f>
        <v>O</v>
      </c>
      <c r="V1035" s="71"/>
      <c r="W1035" s="474">
        <f t="shared" si="503"/>
        <v>80000</v>
      </c>
      <c r="X1035" s="71"/>
      <c r="Y1035" s="71"/>
    </row>
    <row r="1036" spans="1:25" s="209" customFormat="1" ht="30" hidden="1" customHeight="1" x14ac:dyDescent="0.25">
      <c r="A1036" s="82">
        <v>180619</v>
      </c>
      <c r="B1036" s="664" t="s">
        <v>567</v>
      </c>
      <c r="C1036" s="71" t="s">
        <v>236</v>
      </c>
      <c r="D1036" s="71">
        <v>10</v>
      </c>
      <c r="E1036" s="102">
        <v>65000</v>
      </c>
      <c r="F1036" s="102">
        <f t="shared" si="494"/>
        <v>715000</v>
      </c>
      <c r="G1036" s="102">
        <f t="shared" si="504"/>
        <v>650000</v>
      </c>
      <c r="H1036" s="690" t="s">
        <v>173</v>
      </c>
      <c r="I1036" s="71" t="s">
        <v>142</v>
      </c>
      <c r="J1036" s="53">
        <f>(G1036-(VLOOKUP(C1036,Price!B:D,3,FALSE)*D1036))</f>
        <v>150000</v>
      </c>
      <c r="K1036" s="63">
        <f t="shared" si="502"/>
        <v>0.23076923076923078</v>
      </c>
      <c r="L1036" s="871">
        <v>18.600000000000001</v>
      </c>
      <c r="M1036" s="468"/>
      <c r="N1036" s="664">
        <f t="shared" si="486"/>
        <v>180619</v>
      </c>
      <c r="O1036" s="71" t="s">
        <v>153</v>
      </c>
      <c r="P1036" s="103" t="str">
        <f>(C1036)</f>
        <v>아스테이지(국전)</v>
      </c>
      <c r="Q1036" s="71">
        <f t="shared" si="495"/>
        <v>10</v>
      </c>
      <c r="R1036" s="102">
        <v>50000</v>
      </c>
      <c r="S1036" s="102">
        <f>(R1036*D1036)*1.1</f>
        <v>550000</v>
      </c>
      <c r="T1036" s="102">
        <f>(R1036*Q1036)</f>
        <v>500000</v>
      </c>
      <c r="U1036" s="71" t="str">
        <f>IF(J1036=W1036,"O", "X")</f>
        <v>O</v>
      </c>
      <c r="V1036" s="71"/>
      <c r="W1036" s="474">
        <f t="shared" si="503"/>
        <v>150000</v>
      </c>
      <c r="X1036" s="71"/>
      <c r="Y1036" s="71"/>
    </row>
    <row r="1037" spans="1:25" ht="30" hidden="1" customHeight="1" x14ac:dyDescent="0.25">
      <c r="A1037" s="82">
        <v>180619</v>
      </c>
      <c r="B1037" s="664" t="s">
        <v>575</v>
      </c>
      <c r="C1037" s="71" t="s">
        <v>1234</v>
      </c>
      <c r="D1037" s="71">
        <v>1</v>
      </c>
      <c r="E1037" s="102">
        <v>12230000</v>
      </c>
      <c r="F1037" s="102">
        <f t="shared" si="494"/>
        <v>13453000.000000002</v>
      </c>
      <c r="G1037" s="102">
        <f t="shared" si="504"/>
        <v>12230000</v>
      </c>
      <c r="H1037" s="690" t="s">
        <v>173</v>
      </c>
      <c r="I1037" s="71" t="s">
        <v>143</v>
      </c>
      <c r="J1037" s="53">
        <f>G1037-T1037</f>
        <v>3140000</v>
      </c>
      <c r="K1037" s="63">
        <f t="shared" si="502"/>
        <v>0.25674570727718721</v>
      </c>
      <c r="L1037" s="871">
        <v>18.600000000000001</v>
      </c>
      <c r="M1037" s="468"/>
      <c r="N1037" s="664">
        <f t="shared" si="486"/>
        <v>180619</v>
      </c>
      <c r="O1037" s="71" t="s">
        <v>612</v>
      </c>
      <c r="P1037" s="103" t="str">
        <f>(C1037)</f>
        <v>독일제 고모리 롤라 31개</v>
      </c>
      <c r="Q1037" s="71">
        <f t="shared" si="495"/>
        <v>1</v>
      </c>
      <c r="R1037" s="102">
        <v>9090000</v>
      </c>
      <c r="S1037" s="102">
        <f t="shared" ref="S1037:S1045" si="505">R1037*Q1037*1.1</f>
        <v>9999000</v>
      </c>
      <c r="T1037" s="102">
        <f t="shared" ref="T1037:T1045" si="506">R1037*Q1037</f>
        <v>9090000</v>
      </c>
      <c r="U1037" s="71"/>
      <c r="V1037" s="71"/>
      <c r="W1037" s="474">
        <f t="shared" si="503"/>
        <v>3140000</v>
      </c>
      <c r="X1037" s="71"/>
      <c r="Y1037" s="71"/>
    </row>
    <row r="1038" spans="1:25" ht="30" hidden="1" customHeight="1" x14ac:dyDescent="0.25">
      <c r="A1038" s="80">
        <v>180620</v>
      </c>
      <c r="B1038" s="663" t="s">
        <v>764</v>
      </c>
      <c r="C1038" s="73" t="s">
        <v>123</v>
      </c>
      <c r="D1038" s="73">
        <v>30</v>
      </c>
      <c r="E1038" s="147">
        <v>35000</v>
      </c>
      <c r="F1038" s="147">
        <f t="shared" si="494"/>
        <v>1155000</v>
      </c>
      <c r="G1038" s="147">
        <f t="shared" si="504"/>
        <v>1050000</v>
      </c>
      <c r="H1038" s="1005" t="s">
        <v>39</v>
      </c>
      <c r="I1038" s="73"/>
      <c r="J1038" s="60">
        <f>G1038-T1038</f>
        <v>376170</v>
      </c>
      <c r="K1038" s="427">
        <f t="shared" si="502"/>
        <v>0.35825714285714283</v>
      </c>
      <c r="L1038" s="874">
        <v>18.600000000000001</v>
      </c>
      <c r="M1038" s="584"/>
      <c r="N1038" s="663">
        <f t="shared" si="486"/>
        <v>180620</v>
      </c>
      <c r="O1038" s="987" t="s">
        <v>39</v>
      </c>
      <c r="P1038" s="132" t="str">
        <f>C1038</f>
        <v>필터백</v>
      </c>
      <c r="Q1038" s="73">
        <f t="shared" si="495"/>
        <v>30</v>
      </c>
      <c r="R1038" s="147">
        <f>VLOOKUP(P1038,Price!B:D,3,FALSE)</f>
        <v>22461</v>
      </c>
      <c r="S1038" s="147">
        <f t="shared" si="505"/>
        <v>741213.00000000012</v>
      </c>
      <c r="T1038" s="147">
        <f t="shared" si="506"/>
        <v>673830</v>
      </c>
      <c r="U1038" s="73" t="str">
        <f>IF(J1038=W1038,"O", "X")</f>
        <v>O</v>
      </c>
      <c r="V1038" s="73"/>
      <c r="W1038" s="473">
        <f t="shared" si="503"/>
        <v>376170</v>
      </c>
      <c r="X1038" s="73"/>
      <c r="Y1038" s="73"/>
    </row>
    <row r="1039" spans="1:25" ht="30" hidden="1" customHeight="1" x14ac:dyDescent="0.25">
      <c r="A1039" s="82">
        <v>180620</v>
      </c>
      <c r="B1039" s="664" t="s">
        <v>446</v>
      </c>
      <c r="C1039" s="71" t="s">
        <v>1144</v>
      </c>
      <c r="D1039" s="71">
        <v>8</v>
      </c>
      <c r="E1039" s="102">
        <v>110000</v>
      </c>
      <c r="F1039" s="102">
        <f t="shared" si="494"/>
        <v>968000.00000000012</v>
      </c>
      <c r="G1039" s="102">
        <f t="shared" si="504"/>
        <v>880000</v>
      </c>
      <c r="H1039" s="690" t="s">
        <v>173</v>
      </c>
      <c r="I1039" s="71" t="s">
        <v>142</v>
      </c>
      <c r="J1039" s="53">
        <f>G1039-T1039</f>
        <v>152000</v>
      </c>
      <c r="K1039" s="63">
        <f t="shared" si="502"/>
        <v>0.1727272727272727</v>
      </c>
      <c r="L1039" s="871">
        <v>18.600000000000001</v>
      </c>
      <c r="M1039" s="468"/>
      <c r="N1039" s="664">
        <f t="shared" si="486"/>
        <v>180620</v>
      </c>
      <c r="O1039" s="71" t="s">
        <v>150</v>
      </c>
      <c r="P1039" s="103" t="str">
        <f>C1039</f>
        <v>실리콘 에멀전</v>
      </c>
      <c r="Q1039" s="71">
        <f t="shared" si="495"/>
        <v>8</v>
      </c>
      <c r="R1039" s="102">
        <v>91000</v>
      </c>
      <c r="S1039" s="147">
        <f t="shared" si="505"/>
        <v>800800.00000000012</v>
      </c>
      <c r="T1039" s="147">
        <f t="shared" si="506"/>
        <v>728000</v>
      </c>
      <c r="U1039" s="73" t="str">
        <f>IF(J1039=W1039,"O", "X")</f>
        <v>X</v>
      </c>
      <c r="V1039" s="71"/>
      <c r="W1039" s="474"/>
      <c r="X1039" s="71"/>
      <c r="Y1039" s="71"/>
    </row>
    <row r="1040" spans="1:25" ht="30" hidden="1" customHeight="1" x14ac:dyDescent="0.25">
      <c r="A1040" s="82">
        <v>180621</v>
      </c>
      <c r="B1040" s="664" t="s">
        <v>545</v>
      </c>
      <c r="C1040" s="71" t="s">
        <v>825</v>
      </c>
      <c r="D1040" s="71">
        <v>1</v>
      </c>
      <c r="E1040" s="102">
        <v>110000</v>
      </c>
      <c r="F1040" s="102">
        <f t="shared" si="494"/>
        <v>121000.00000000001</v>
      </c>
      <c r="G1040" s="102">
        <f t="shared" si="504"/>
        <v>110000</v>
      </c>
      <c r="H1040" s="690" t="s">
        <v>173</v>
      </c>
      <c r="I1040" s="71" t="s">
        <v>142</v>
      </c>
      <c r="J1040" s="53">
        <f>G1040-R1040</f>
        <v>15000</v>
      </c>
      <c r="K1040" s="63">
        <f t="shared" si="502"/>
        <v>0.13636363636363635</v>
      </c>
      <c r="L1040" s="871">
        <v>18.600000000000001</v>
      </c>
      <c r="M1040" s="468"/>
      <c r="N1040" s="664">
        <f t="shared" si="486"/>
        <v>180621</v>
      </c>
      <c r="O1040" s="71" t="s">
        <v>150</v>
      </c>
      <c r="P1040" s="103" t="str">
        <f>C1040</f>
        <v>독일제 정품 잉크호일 아스테이지</v>
      </c>
      <c r="Q1040" s="71">
        <v>1</v>
      </c>
      <c r="R1040" s="102">
        <v>95000</v>
      </c>
      <c r="S1040" s="102">
        <f t="shared" si="505"/>
        <v>104500.00000000001</v>
      </c>
      <c r="T1040" s="102">
        <f t="shared" si="506"/>
        <v>95000</v>
      </c>
      <c r="U1040" s="71" t="str">
        <f>IF(J1040=W1040,"O", "X")</f>
        <v>O</v>
      </c>
      <c r="V1040" s="71" t="s">
        <v>1232</v>
      </c>
      <c r="W1040" s="474">
        <f>(G1040-T1040)</f>
        <v>15000</v>
      </c>
      <c r="X1040" s="71"/>
      <c r="Y1040" s="71"/>
    </row>
    <row r="1041" spans="1:25" ht="30" hidden="1" customHeight="1" x14ac:dyDescent="0.25">
      <c r="A1041" s="82">
        <v>180621</v>
      </c>
      <c r="B1041" s="664" t="s">
        <v>150</v>
      </c>
      <c r="C1041" s="71" t="s">
        <v>1264</v>
      </c>
      <c r="D1041" s="71">
        <v>1</v>
      </c>
      <c r="E1041" s="102">
        <v>2944455</v>
      </c>
      <c r="F1041" s="102">
        <f t="shared" si="494"/>
        <v>3238900.5000000005</v>
      </c>
      <c r="G1041" s="102">
        <f t="shared" si="504"/>
        <v>2944455</v>
      </c>
      <c r="H1041" s="690" t="s">
        <v>985</v>
      </c>
      <c r="I1041" s="71"/>
      <c r="J1041" s="53">
        <v>2400000</v>
      </c>
      <c r="K1041" s="427">
        <f>(J1041/(F1041/11*10))</f>
        <v>0.8150914175968047</v>
      </c>
      <c r="L1041" s="871">
        <v>18.600000000000001</v>
      </c>
      <c r="M1041" s="468"/>
      <c r="N1041" s="664">
        <f t="shared" si="486"/>
        <v>180621</v>
      </c>
      <c r="O1041" s="71" t="s">
        <v>150</v>
      </c>
      <c r="P1041" s="103" t="s">
        <v>1272</v>
      </c>
      <c r="Q1041" s="71">
        <f t="shared" ref="Q1041:Q1049" si="507">D1041</f>
        <v>1</v>
      </c>
      <c r="R1041" s="102">
        <v>544455</v>
      </c>
      <c r="S1041" s="102">
        <f t="shared" si="505"/>
        <v>598900.5</v>
      </c>
      <c r="T1041" s="102">
        <f t="shared" si="506"/>
        <v>544455</v>
      </c>
      <c r="U1041" s="71"/>
      <c r="V1041" s="71"/>
      <c r="W1041" s="474"/>
      <c r="X1041" s="71"/>
      <c r="Y1041" s="71"/>
    </row>
    <row r="1042" spans="1:25" ht="30" hidden="1" customHeight="1" x14ac:dyDescent="0.25">
      <c r="A1042" s="82">
        <v>180621</v>
      </c>
      <c r="B1042" s="664" t="s">
        <v>150</v>
      </c>
      <c r="C1042" s="71" t="s">
        <v>1260</v>
      </c>
      <c r="D1042" s="71">
        <v>1</v>
      </c>
      <c r="E1042" s="102">
        <v>63000000</v>
      </c>
      <c r="F1042" s="102">
        <f t="shared" si="494"/>
        <v>69300000</v>
      </c>
      <c r="G1042" s="102">
        <f t="shared" si="504"/>
        <v>63000000</v>
      </c>
      <c r="H1042" s="779" t="s">
        <v>113</v>
      </c>
      <c r="I1042" s="71"/>
      <c r="J1042" s="53">
        <f>G1042-R1042</f>
        <v>31097581</v>
      </c>
      <c r="K1042" s="63">
        <f t="shared" si="502"/>
        <v>0.49361239682539682</v>
      </c>
      <c r="L1042" s="871">
        <v>18.600000000000001</v>
      </c>
      <c r="M1042" s="468"/>
      <c r="N1042" s="664">
        <f t="shared" si="486"/>
        <v>180621</v>
      </c>
      <c r="O1042" s="808" t="s">
        <v>113</v>
      </c>
      <c r="P1042" s="103" t="s">
        <v>1260</v>
      </c>
      <c r="Q1042" s="71">
        <f t="shared" si="507"/>
        <v>1</v>
      </c>
      <c r="R1042" s="102">
        <v>31902419</v>
      </c>
      <c r="S1042" s="147">
        <f t="shared" si="505"/>
        <v>35092660.900000006</v>
      </c>
      <c r="T1042" s="147">
        <f t="shared" si="506"/>
        <v>31902419</v>
      </c>
      <c r="U1042" s="73" t="str">
        <f t="shared" ref="U1042:U1048" si="508">IF(J1042=W1042,"O", "X")</f>
        <v>O</v>
      </c>
      <c r="V1042" s="73"/>
      <c r="W1042" s="473">
        <f>(G1042-T1042)</f>
        <v>31097581</v>
      </c>
      <c r="X1042" s="71"/>
      <c r="Y1042" s="71"/>
    </row>
    <row r="1043" spans="1:25" s="616" customFormat="1" ht="30" hidden="1" customHeight="1" x14ac:dyDescent="0.25">
      <c r="A1043" s="82">
        <v>180621</v>
      </c>
      <c r="B1043" s="664" t="s">
        <v>545</v>
      </c>
      <c r="C1043" s="71" t="s">
        <v>1254</v>
      </c>
      <c r="D1043" s="71">
        <v>15</v>
      </c>
      <c r="E1043" s="102">
        <v>16000</v>
      </c>
      <c r="F1043" s="102">
        <f t="shared" si="494"/>
        <v>264000</v>
      </c>
      <c r="G1043" s="102">
        <f t="shared" si="504"/>
        <v>240000</v>
      </c>
      <c r="H1043" s="690" t="s">
        <v>173</v>
      </c>
      <c r="I1043" s="71" t="s">
        <v>108</v>
      </c>
      <c r="J1043" s="53">
        <f>G1043-T1043</f>
        <v>45000</v>
      </c>
      <c r="K1043" s="63">
        <f>(J1043/(F1043/11*10))</f>
        <v>0.1875</v>
      </c>
      <c r="L1043" s="871">
        <v>18.600000000000001</v>
      </c>
      <c r="M1043" s="468" t="s">
        <v>1255</v>
      </c>
      <c r="N1043" s="664">
        <f t="shared" si="486"/>
        <v>180621</v>
      </c>
      <c r="O1043" s="71" t="s">
        <v>150</v>
      </c>
      <c r="P1043" s="103" t="s">
        <v>1254</v>
      </c>
      <c r="Q1043" s="71">
        <f t="shared" si="507"/>
        <v>15</v>
      </c>
      <c r="R1043" s="102">
        <v>13000</v>
      </c>
      <c r="S1043" s="102">
        <f t="shared" si="505"/>
        <v>214500.00000000003</v>
      </c>
      <c r="T1043" s="102">
        <f t="shared" si="506"/>
        <v>195000</v>
      </c>
      <c r="U1043" s="71" t="str">
        <f t="shared" si="508"/>
        <v>X</v>
      </c>
      <c r="V1043" s="71"/>
      <c r="W1043" s="474"/>
      <c r="X1043" s="71"/>
      <c r="Y1043" s="71"/>
    </row>
    <row r="1044" spans="1:25" s="602" customFormat="1" ht="30" hidden="1" customHeight="1" x14ac:dyDescent="0.25">
      <c r="A1044" s="612">
        <v>180621</v>
      </c>
      <c r="B1044" s="672" t="s">
        <v>1045</v>
      </c>
      <c r="C1044" s="411" t="s">
        <v>123</v>
      </c>
      <c r="D1044" s="411">
        <v>3</v>
      </c>
      <c r="E1044" s="198">
        <v>35000</v>
      </c>
      <c r="F1044" s="198">
        <f t="shared" si="494"/>
        <v>115500.00000000001</v>
      </c>
      <c r="G1044" s="198">
        <f t="shared" si="504"/>
        <v>105000</v>
      </c>
      <c r="H1044" s="1008" t="s">
        <v>39</v>
      </c>
      <c r="I1044" s="411"/>
      <c r="J1044" s="64">
        <f>(G1044-(VLOOKUP(C1044,Import!C:G,4,FALSE)*D1044))</f>
        <v>105000</v>
      </c>
      <c r="K1044" s="425">
        <f t="shared" ref="K1044:K1057" si="509">(J1044/(F1044/11*10))</f>
        <v>0.99999999999999989</v>
      </c>
      <c r="L1044" s="899">
        <v>18.600000000000001</v>
      </c>
      <c r="M1044" s="581"/>
      <c r="N1044" s="672">
        <f>A1044</f>
        <v>180621</v>
      </c>
      <c r="O1044" s="1009" t="s">
        <v>39</v>
      </c>
      <c r="P1044" s="465" t="str">
        <f>C1044</f>
        <v>필터백</v>
      </c>
      <c r="Q1044" s="411">
        <f t="shared" si="507"/>
        <v>3</v>
      </c>
      <c r="R1044" s="198">
        <f>VLOOKUP(P1044,Price!B:D,3,FALSE)</f>
        <v>22461</v>
      </c>
      <c r="S1044" s="198">
        <f t="shared" si="505"/>
        <v>74121.3</v>
      </c>
      <c r="T1044" s="198">
        <f t="shared" si="506"/>
        <v>67383</v>
      </c>
      <c r="U1044" s="411" t="str">
        <f t="shared" si="508"/>
        <v>X</v>
      </c>
      <c r="V1044" s="411"/>
      <c r="W1044" s="481">
        <f>(G1044-T1044)</f>
        <v>37617</v>
      </c>
      <c r="X1044" s="411"/>
      <c r="Y1044" s="411"/>
    </row>
    <row r="1045" spans="1:25" ht="30" hidden="1" customHeight="1" x14ac:dyDescent="0.25">
      <c r="A1045" s="82">
        <v>180622</v>
      </c>
      <c r="B1045" s="664" t="s">
        <v>939</v>
      </c>
      <c r="C1045" s="71" t="s">
        <v>123</v>
      </c>
      <c r="D1045" s="71">
        <v>3</v>
      </c>
      <c r="E1045" s="102">
        <v>33000</v>
      </c>
      <c r="F1045" s="102">
        <f t="shared" si="494"/>
        <v>108900.00000000001</v>
      </c>
      <c r="G1045" s="102">
        <f t="shared" si="504"/>
        <v>99000</v>
      </c>
      <c r="H1045" s="1010" t="s">
        <v>39</v>
      </c>
      <c r="I1045" s="71"/>
      <c r="J1045" s="53">
        <f>G1045-T1045</f>
        <v>31617</v>
      </c>
      <c r="K1045" s="63">
        <f t="shared" si="509"/>
        <v>0.31936363636363629</v>
      </c>
      <c r="L1045" s="871">
        <v>18.600000000000001</v>
      </c>
      <c r="M1045" s="468"/>
      <c r="N1045" s="664">
        <f t="shared" si="486"/>
        <v>180622</v>
      </c>
      <c r="O1045" s="991" t="s">
        <v>39</v>
      </c>
      <c r="P1045" s="103" t="str">
        <f>C1045</f>
        <v>필터백</v>
      </c>
      <c r="Q1045" s="71">
        <f t="shared" si="507"/>
        <v>3</v>
      </c>
      <c r="R1045" s="102">
        <f>VLOOKUP(P1045,Price!B:D,3,FALSE)</f>
        <v>22461</v>
      </c>
      <c r="S1045" s="102">
        <f t="shared" si="505"/>
        <v>74121.3</v>
      </c>
      <c r="T1045" s="102">
        <f t="shared" si="506"/>
        <v>67383</v>
      </c>
      <c r="U1045" s="71" t="str">
        <f t="shared" si="508"/>
        <v>O</v>
      </c>
      <c r="V1045" s="71"/>
      <c r="W1045" s="474">
        <f>(G1045-T1045)</f>
        <v>31617</v>
      </c>
      <c r="X1045" s="71"/>
      <c r="Y1045" s="71"/>
    </row>
    <row r="1046" spans="1:25" s="209" customFormat="1" ht="30" hidden="1" customHeight="1" x14ac:dyDescent="0.25">
      <c r="A1046" s="82">
        <v>180622</v>
      </c>
      <c r="B1046" s="664" t="s">
        <v>445</v>
      </c>
      <c r="C1046" s="71" t="s">
        <v>277</v>
      </c>
      <c r="D1046" s="71">
        <v>4</v>
      </c>
      <c r="E1046" s="102">
        <v>172000</v>
      </c>
      <c r="F1046" s="102">
        <f t="shared" si="494"/>
        <v>756800.00000000012</v>
      </c>
      <c r="G1046" s="102">
        <f t="shared" si="504"/>
        <v>688000</v>
      </c>
      <c r="H1046" s="690" t="s">
        <v>173</v>
      </c>
      <c r="I1046" s="71" t="s">
        <v>108</v>
      </c>
      <c r="J1046" s="53">
        <f>(G1046-(VLOOKUP(C1046,Price!B:D,3,FALSE)*D1046))</f>
        <v>228000</v>
      </c>
      <c r="K1046" s="63">
        <f t="shared" si="509"/>
        <v>0.33139534883720922</v>
      </c>
      <c r="L1046" s="871">
        <v>18.600000000000001</v>
      </c>
      <c r="M1046" s="468"/>
      <c r="N1046" s="664">
        <f t="shared" si="486"/>
        <v>180622</v>
      </c>
      <c r="O1046" s="71" t="s">
        <v>150</v>
      </c>
      <c r="P1046" s="103" t="str">
        <f>(C1046)</f>
        <v>윤전용 세척제(Web 504)</v>
      </c>
      <c r="Q1046" s="71">
        <f t="shared" si="507"/>
        <v>4</v>
      </c>
      <c r="R1046" s="102">
        <v>115000</v>
      </c>
      <c r="S1046" s="102">
        <f>(R1046*D1046)*1.1</f>
        <v>506000.00000000006</v>
      </c>
      <c r="T1046" s="102">
        <f>(R1046*Q1046)</f>
        <v>460000</v>
      </c>
      <c r="U1046" s="71" t="str">
        <f t="shared" si="508"/>
        <v>O</v>
      </c>
      <c r="V1046" s="71"/>
      <c r="W1046" s="474">
        <f>(G1046-T1046)</f>
        <v>228000</v>
      </c>
      <c r="X1046" s="71"/>
      <c r="Y1046" s="71"/>
    </row>
    <row r="1047" spans="1:25" s="209" customFormat="1" ht="30" hidden="1" customHeight="1" x14ac:dyDescent="0.2">
      <c r="A1047" s="82">
        <v>180622</v>
      </c>
      <c r="B1047" s="664" t="s">
        <v>445</v>
      </c>
      <c r="C1047" s="71" t="s">
        <v>138</v>
      </c>
      <c r="D1047" s="71">
        <v>10</v>
      </c>
      <c r="E1047" s="102">
        <v>59500</v>
      </c>
      <c r="F1047" s="163">
        <f t="shared" si="494"/>
        <v>654500</v>
      </c>
      <c r="G1047" s="163">
        <f t="shared" si="504"/>
        <v>595000</v>
      </c>
      <c r="H1047" s="165" t="s">
        <v>172</v>
      </c>
      <c r="I1047" s="71" t="s">
        <v>108</v>
      </c>
      <c r="J1047" s="53">
        <f>(G1047-(VLOOKUP(C1047,Price!B:D,3,FALSE)*D1047))</f>
        <v>85000</v>
      </c>
      <c r="K1047" s="63">
        <f t="shared" si="509"/>
        <v>0.14285714285714285</v>
      </c>
      <c r="L1047" s="871">
        <v>18.600000000000001</v>
      </c>
      <c r="M1047" s="468"/>
      <c r="N1047" s="664">
        <f t="shared" si="486"/>
        <v>180622</v>
      </c>
      <c r="O1047" s="71" t="s">
        <v>150</v>
      </c>
      <c r="P1047" s="103" t="str">
        <f>(C1047)</f>
        <v>매엽용 세척제(Wash 562)</v>
      </c>
      <c r="Q1047" s="71">
        <f t="shared" si="507"/>
        <v>10</v>
      </c>
      <c r="R1047" s="102">
        <v>51000</v>
      </c>
      <c r="S1047" s="102">
        <f>(R1047*D1047)*1.1</f>
        <v>561000</v>
      </c>
      <c r="T1047" s="102">
        <f>(R1047*Q1047)</f>
        <v>510000</v>
      </c>
      <c r="U1047" s="71" t="str">
        <f t="shared" si="508"/>
        <v>O</v>
      </c>
      <c r="V1047" s="71"/>
      <c r="W1047" s="474">
        <f>(G1047-T1047)</f>
        <v>85000</v>
      </c>
      <c r="X1047" s="71"/>
      <c r="Y1047" s="71"/>
    </row>
    <row r="1048" spans="1:25" s="210" customFormat="1" ht="30" hidden="1" customHeight="1" x14ac:dyDescent="0.25">
      <c r="A1048" s="85">
        <v>180622</v>
      </c>
      <c r="B1048" s="668" t="s">
        <v>1051</v>
      </c>
      <c r="C1048" s="84" t="s">
        <v>652</v>
      </c>
      <c r="D1048" s="84">
        <v>600</v>
      </c>
      <c r="E1048" s="189">
        <v>6820</v>
      </c>
      <c r="F1048" s="189">
        <f t="shared" si="494"/>
        <v>4501200</v>
      </c>
      <c r="G1048" s="189">
        <f t="shared" si="504"/>
        <v>4092000</v>
      </c>
      <c r="H1048" s="691" t="s">
        <v>142</v>
      </c>
      <c r="I1048" s="84" t="s">
        <v>140</v>
      </c>
      <c r="J1048" s="61">
        <f>(G1048-(VLOOKUP(C1048,Price!B:D,3,FALSE)*D1048))</f>
        <v>1290000</v>
      </c>
      <c r="K1048" s="62">
        <f t="shared" si="509"/>
        <v>0.31524926686217009</v>
      </c>
      <c r="L1048" s="85">
        <v>18.600000000000001</v>
      </c>
      <c r="M1048" s="601"/>
      <c r="N1048" s="668">
        <f t="shared" si="486"/>
        <v>180622</v>
      </c>
      <c r="O1048" s="84" t="s">
        <v>145</v>
      </c>
      <c r="P1048" s="133" t="str">
        <f>(C1048)</f>
        <v>ENGAGE - 1092*800</v>
      </c>
      <c r="Q1048" s="84">
        <f t="shared" si="507"/>
        <v>600</v>
      </c>
      <c r="R1048" s="189">
        <v>4670</v>
      </c>
      <c r="S1048" s="189">
        <f>(R1048*D1048)*1.1</f>
        <v>3082200.0000000005</v>
      </c>
      <c r="T1048" s="189">
        <f>(R1048*Q1048)</f>
        <v>2802000</v>
      </c>
      <c r="U1048" s="84" t="str">
        <f t="shared" si="508"/>
        <v>O</v>
      </c>
      <c r="V1048" s="84"/>
      <c r="W1048" s="478">
        <f>(G1048-T1048)</f>
        <v>1290000</v>
      </c>
      <c r="X1048" s="84"/>
      <c r="Y1048" s="84"/>
    </row>
    <row r="1049" spans="1:25" s="635" customFormat="1" ht="30" hidden="1" customHeight="1" x14ac:dyDescent="0.25">
      <c r="A1049" s="159">
        <v>180625</v>
      </c>
      <c r="B1049" s="676" t="s">
        <v>1335</v>
      </c>
      <c r="C1049" s="157" t="s">
        <v>1332</v>
      </c>
      <c r="D1049" s="157">
        <v>1</v>
      </c>
      <c r="E1049" s="526">
        <v>7800000</v>
      </c>
      <c r="F1049" s="526">
        <f t="shared" si="494"/>
        <v>8580000</v>
      </c>
      <c r="G1049" s="526">
        <f t="shared" si="504"/>
        <v>7800000</v>
      </c>
      <c r="H1049" s="790" t="s">
        <v>142</v>
      </c>
      <c r="I1049" s="157" t="s">
        <v>1432</v>
      </c>
      <c r="J1049" s="503"/>
      <c r="K1049" s="65"/>
      <c r="L1049" s="900">
        <v>18.600000000000001</v>
      </c>
      <c r="M1049" s="634"/>
      <c r="N1049" s="676">
        <f t="shared" si="486"/>
        <v>180625</v>
      </c>
      <c r="O1049" s="157"/>
      <c r="P1049" s="633"/>
      <c r="Q1049" s="157">
        <f t="shared" si="507"/>
        <v>1</v>
      </c>
      <c r="R1049" s="526"/>
      <c r="S1049" s="526"/>
      <c r="T1049" s="526"/>
      <c r="U1049" s="157"/>
      <c r="V1049" s="157"/>
      <c r="W1049" s="946"/>
      <c r="X1049" s="157"/>
      <c r="Y1049" s="157"/>
    </row>
    <row r="1050" spans="1:25" ht="30" hidden="1" customHeight="1" x14ac:dyDescent="0.25">
      <c r="A1050" s="80">
        <v>180625</v>
      </c>
      <c r="B1050" s="663" t="s">
        <v>1052</v>
      </c>
      <c r="C1050" s="73" t="s">
        <v>1115</v>
      </c>
      <c r="D1050" s="73">
        <v>60</v>
      </c>
      <c r="E1050" s="147">
        <v>6200</v>
      </c>
      <c r="F1050" s="147">
        <f t="shared" si="494"/>
        <v>409200.00000000006</v>
      </c>
      <c r="G1050" s="147">
        <f t="shared" si="504"/>
        <v>372000</v>
      </c>
      <c r="H1050" s="689" t="s">
        <v>142</v>
      </c>
      <c r="I1050" s="73" t="s">
        <v>144</v>
      </c>
      <c r="J1050" s="60">
        <f>G1050-T1050</f>
        <v>6000</v>
      </c>
      <c r="K1050" s="427">
        <f t="shared" si="509"/>
        <v>1.6129032258064512E-2</v>
      </c>
      <c r="L1050" s="874">
        <v>18.600000000000001</v>
      </c>
      <c r="M1050" s="584"/>
      <c r="N1050" s="663">
        <f t="shared" ref="N1050:N1059" si="510">A1050</f>
        <v>180625</v>
      </c>
      <c r="O1050" s="73" t="s">
        <v>147</v>
      </c>
      <c r="P1050" s="132" t="str">
        <f t="shared" ref="P1050:P1057" si="511">C1050</f>
        <v>한특 잉크(적)</v>
      </c>
      <c r="Q1050" s="73">
        <f t="shared" ref="Q1050:Q1061" si="512">D1050</f>
        <v>60</v>
      </c>
      <c r="R1050" s="147">
        <v>6100</v>
      </c>
      <c r="S1050" s="147">
        <f t="shared" ref="S1050:S1063" si="513">R1050*Q1050*1.1</f>
        <v>402600.00000000006</v>
      </c>
      <c r="T1050" s="147">
        <f t="shared" ref="T1050:T1063" si="514">R1050*Q1050</f>
        <v>366000</v>
      </c>
      <c r="U1050" s="73" t="str">
        <f t="shared" ref="U1050:U1060" si="515">IF(J1050=W1050,"O", "X")</f>
        <v>O</v>
      </c>
      <c r="V1050" s="73"/>
      <c r="W1050" s="473">
        <f t="shared" ref="W1050:W1057" si="516">(G1050-T1050)</f>
        <v>6000</v>
      </c>
      <c r="X1050" s="73"/>
      <c r="Y1050" s="73"/>
    </row>
    <row r="1051" spans="1:25" ht="30" hidden="1" customHeight="1" x14ac:dyDescent="0.25">
      <c r="A1051" s="82">
        <v>180625</v>
      </c>
      <c r="B1051" s="664" t="s">
        <v>1052</v>
      </c>
      <c r="C1051" s="71" t="s">
        <v>1116</v>
      </c>
      <c r="D1051" s="71">
        <v>60</v>
      </c>
      <c r="E1051" s="102">
        <v>6000</v>
      </c>
      <c r="F1051" s="102">
        <f t="shared" si="494"/>
        <v>396000.00000000006</v>
      </c>
      <c r="G1051" s="102">
        <f t="shared" si="504"/>
        <v>360000</v>
      </c>
      <c r="H1051" s="690" t="s">
        <v>142</v>
      </c>
      <c r="I1051" s="71" t="s">
        <v>144</v>
      </c>
      <c r="J1051" s="53">
        <f>G1051-T1051</f>
        <v>6000</v>
      </c>
      <c r="K1051" s="63">
        <f t="shared" si="509"/>
        <v>1.6666666666666663E-2</v>
      </c>
      <c r="L1051" s="871">
        <v>18.600000000000001</v>
      </c>
      <c r="M1051" s="468"/>
      <c r="N1051" s="664">
        <f t="shared" si="510"/>
        <v>180625</v>
      </c>
      <c r="O1051" s="71" t="s">
        <v>147</v>
      </c>
      <c r="P1051" s="103" t="str">
        <f t="shared" si="511"/>
        <v>한특 잉크(황)</v>
      </c>
      <c r="Q1051" s="71">
        <f t="shared" si="512"/>
        <v>60</v>
      </c>
      <c r="R1051" s="102">
        <v>5900</v>
      </c>
      <c r="S1051" s="102">
        <f t="shared" si="513"/>
        <v>389400.00000000006</v>
      </c>
      <c r="T1051" s="102">
        <f t="shared" si="514"/>
        <v>354000</v>
      </c>
      <c r="U1051" s="71" t="str">
        <f t="shared" si="515"/>
        <v>O</v>
      </c>
      <c r="V1051" s="71"/>
      <c r="W1051" s="474">
        <f t="shared" si="516"/>
        <v>6000</v>
      </c>
      <c r="X1051" s="71"/>
      <c r="Y1051" s="71"/>
    </row>
    <row r="1052" spans="1:25" ht="30" hidden="1" customHeight="1" x14ac:dyDescent="0.25">
      <c r="A1052" s="82">
        <v>180625</v>
      </c>
      <c r="B1052" s="664" t="s">
        <v>1052</v>
      </c>
      <c r="C1052" s="71" t="s">
        <v>1117</v>
      </c>
      <c r="D1052" s="71">
        <v>30</v>
      </c>
      <c r="E1052" s="102">
        <v>6500</v>
      </c>
      <c r="F1052" s="102">
        <f t="shared" si="494"/>
        <v>214500.00000000003</v>
      </c>
      <c r="G1052" s="102">
        <f t="shared" si="504"/>
        <v>195000</v>
      </c>
      <c r="H1052" s="690" t="s">
        <v>142</v>
      </c>
      <c r="I1052" s="71" t="s">
        <v>144</v>
      </c>
      <c r="J1052" s="53">
        <f>G1052-T1052</f>
        <v>3000</v>
      </c>
      <c r="K1052" s="63">
        <f t="shared" si="509"/>
        <v>1.5384615384615382E-2</v>
      </c>
      <c r="L1052" s="871">
        <v>18.600000000000001</v>
      </c>
      <c r="M1052" s="468"/>
      <c r="N1052" s="664">
        <f t="shared" si="510"/>
        <v>180625</v>
      </c>
      <c r="O1052" s="71" t="s">
        <v>147</v>
      </c>
      <c r="P1052" s="103" t="str">
        <f t="shared" si="511"/>
        <v>한특 잉크(청)</v>
      </c>
      <c r="Q1052" s="71">
        <f t="shared" si="512"/>
        <v>30</v>
      </c>
      <c r="R1052" s="102">
        <v>6400</v>
      </c>
      <c r="S1052" s="102">
        <f t="shared" si="513"/>
        <v>211200.00000000003</v>
      </c>
      <c r="T1052" s="102">
        <f t="shared" si="514"/>
        <v>192000</v>
      </c>
      <c r="U1052" s="71" t="str">
        <f t="shared" si="515"/>
        <v>O</v>
      </c>
      <c r="V1052" s="71"/>
      <c r="W1052" s="474">
        <f t="shared" si="516"/>
        <v>3000</v>
      </c>
      <c r="X1052" s="71"/>
      <c r="Y1052" s="71"/>
    </row>
    <row r="1053" spans="1:25" ht="30" hidden="1" customHeight="1" x14ac:dyDescent="0.25">
      <c r="A1053" s="82">
        <v>180625</v>
      </c>
      <c r="B1053" s="664" t="s">
        <v>1052</v>
      </c>
      <c r="C1053" s="71" t="s">
        <v>1118</v>
      </c>
      <c r="D1053" s="71">
        <v>30</v>
      </c>
      <c r="E1053" s="102">
        <v>5600</v>
      </c>
      <c r="F1053" s="102">
        <f t="shared" si="494"/>
        <v>184800.00000000003</v>
      </c>
      <c r="G1053" s="102">
        <f t="shared" si="504"/>
        <v>168000</v>
      </c>
      <c r="H1053" s="690" t="s">
        <v>142</v>
      </c>
      <c r="I1053" s="71" t="s">
        <v>144</v>
      </c>
      <c r="J1053" s="53">
        <f>G1053-T1053</f>
        <v>3000</v>
      </c>
      <c r="K1053" s="63">
        <f t="shared" si="509"/>
        <v>1.7857142857142853E-2</v>
      </c>
      <c r="L1053" s="871">
        <v>18.600000000000001</v>
      </c>
      <c r="M1053" s="468"/>
      <c r="N1053" s="664">
        <f t="shared" si="510"/>
        <v>180625</v>
      </c>
      <c r="O1053" s="71" t="s">
        <v>147</v>
      </c>
      <c r="P1053" s="103" t="str">
        <f t="shared" si="511"/>
        <v>한특 잉크(먹)</v>
      </c>
      <c r="Q1053" s="71">
        <f t="shared" si="512"/>
        <v>30</v>
      </c>
      <c r="R1053" s="102">
        <v>5500</v>
      </c>
      <c r="S1053" s="102">
        <f t="shared" si="513"/>
        <v>181500.00000000003</v>
      </c>
      <c r="T1053" s="102">
        <f t="shared" si="514"/>
        <v>165000</v>
      </c>
      <c r="U1053" s="71" t="str">
        <f t="shared" si="515"/>
        <v>O</v>
      </c>
      <c r="V1053" s="71"/>
      <c r="W1053" s="474">
        <f t="shared" si="516"/>
        <v>3000</v>
      </c>
      <c r="X1053" s="71"/>
      <c r="Y1053" s="71"/>
    </row>
    <row r="1054" spans="1:25" ht="30" hidden="1" customHeight="1" x14ac:dyDescent="0.25">
      <c r="A1054" s="82">
        <v>180625</v>
      </c>
      <c r="B1054" s="664" t="s">
        <v>1061</v>
      </c>
      <c r="C1054" s="71" t="s">
        <v>586</v>
      </c>
      <c r="D1054" s="71">
        <v>200</v>
      </c>
      <c r="E1054" s="102">
        <v>6750</v>
      </c>
      <c r="F1054" s="102">
        <f t="shared" si="494"/>
        <v>1485000.0000000002</v>
      </c>
      <c r="G1054" s="102">
        <f t="shared" si="504"/>
        <v>1350000</v>
      </c>
      <c r="H1054" s="690" t="s">
        <v>142</v>
      </c>
      <c r="I1054" s="71" t="s">
        <v>144</v>
      </c>
      <c r="J1054" s="53">
        <f>(G1054-(VLOOKUP(C1054,Price!B:D,3,FALSE)*D1054))</f>
        <v>114000</v>
      </c>
      <c r="K1054" s="63">
        <f t="shared" si="509"/>
        <v>8.4444444444444433E-2</v>
      </c>
      <c r="L1054" s="871">
        <v>18.600000000000001</v>
      </c>
      <c r="M1054" s="468"/>
      <c r="N1054" s="664">
        <f t="shared" si="510"/>
        <v>180625</v>
      </c>
      <c r="O1054" s="71" t="s">
        <v>147</v>
      </c>
      <c r="P1054" s="103" t="str">
        <f t="shared" si="511"/>
        <v>프리미어(황)</v>
      </c>
      <c r="Q1054" s="71">
        <f t="shared" si="512"/>
        <v>200</v>
      </c>
      <c r="R1054" s="102">
        <v>6180</v>
      </c>
      <c r="S1054" s="102">
        <f t="shared" si="513"/>
        <v>1359600</v>
      </c>
      <c r="T1054" s="102">
        <f t="shared" si="514"/>
        <v>1236000</v>
      </c>
      <c r="U1054" s="71" t="str">
        <f t="shared" si="515"/>
        <v>O</v>
      </c>
      <c r="V1054" s="71"/>
      <c r="W1054" s="474">
        <f t="shared" si="516"/>
        <v>114000</v>
      </c>
      <c r="X1054" s="71"/>
      <c r="Y1054" s="71"/>
    </row>
    <row r="1055" spans="1:25" ht="30" hidden="1" customHeight="1" x14ac:dyDescent="0.25">
      <c r="A1055" s="82">
        <v>180625</v>
      </c>
      <c r="B1055" s="664" t="s">
        <v>746</v>
      </c>
      <c r="C1055" s="71" t="s">
        <v>123</v>
      </c>
      <c r="D1055" s="71">
        <v>5</v>
      </c>
      <c r="E1055" s="102">
        <v>30000</v>
      </c>
      <c r="F1055" s="102">
        <f t="shared" si="494"/>
        <v>165000</v>
      </c>
      <c r="G1055" s="102">
        <f t="shared" si="504"/>
        <v>150000</v>
      </c>
      <c r="H1055" s="1010" t="s">
        <v>39</v>
      </c>
      <c r="I1055" s="71"/>
      <c r="J1055" s="53">
        <f>(G1055-(VLOOKUP(C1055,Import!C:G,4,FALSE)*D1055))</f>
        <v>150000</v>
      </c>
      <c r="K1055" s="63">
        <f t="shared" si="509"/>
        <v>1</v>
      </c>
      <c r="L1055" s="871">
        <v>18.600000000000001</v>
      </c>
      <c r="M1055" s="468"/>
      <c r="N1055" s="664">
        <f t="shared" si="510"/>
        <v>180625</v>
      </c>
      <c r="O1055" s="991" t="s">
        <v>39</v>
      </c>
      <c r="P1055" s="103" t="s">
        <v>123</v>
      </c>
      <c r="Q1055" s="71">
        <f t="shared" si="512"/>
        <v>5</v>
      </c>
      <c r="R1055" s="102">
        <f>VLOOKUP(P1055,Price!B:D,3,FALSE)</f>
        <v>22461</v>
      </c>
      <c r="S1055" s="102">
        <f t="shared" si="513"/>
        <v>123535.50000000001</v>
      </c>
      <c r="T1055" s="102">
        <f t="shared" si="514"/>
        <v>112305</v>
      </c>
      <c r="U1055" s="71" t="str">
        <f t="shared" si="515"/>
        <v>X</v>
      </c>
      <c r="V1055" s="71"/>
      <c r="W1055" s="474">
        <f t="shared" si="516"/>
        <v>37695</v>
      </c>
      <c r="X1055" s="71"/>
      <c r="Y1055" s="71"/>
    </row>
    <row r="1056" spans="1:25" ht="30" customHeight="1" x14ac:dyDescent="0.25">
      <c r="A1056" s="648">
        <v>180625</v>
      </c>
      <c r="B1056" s="733" t="s">
        <v>565</v>
      </c>
      <c r="C1056" s="878" t="s">
        <v>1413</v>
      </c>
      <c r="D1056" s="96">
        <v>1</v>
      </c>
      <c r="E1056" s="734">
        <v>1074000</v>
      </c>
      <c r="F1056" s="734">
        <f t="shared" si="494"/>
        <v>1181400</v>
      </c>
      <c r="G1056" s="734">
        <f t="shared" si="504"/>
        <v>1074000</v>
      </c>
      <c r="H1056" s="735" t="s">
        <v>985</v>
      </c>
      <c r="I1056" s="96"/>
      <c r="J1056" s="586">
        <v>0</v>
      </c>
      <c r="K1056" s="54">
        <f t="shared" si="509"/>
        <v>0</v>
      </c>
      <c r="L1056" s="901">
        <v>18.600000000000001</v>
      </c>
      <c r="M1056" s="736"/>
      <c r="N1056" s="733">
        <f t="shared" si="510"/>
        <v>180625</v>
      </c>
      <c r="O1056" s="878" t="s">
        <v>113</v>
      </c>
      <c r="P1056" s="737" t="str">
        <f t="shared" si="511"/>
        <v>M600 탄 지멘스 수리 건(Goss)</v>
      </c>
      <c r="Q1056" s="96">
        <f t="shared" si="512"/>
        <v>1</v>
      </c>
      <c r="R1056" s="734">
        <f>819*1767.47</f>
        <v>1447557.93</v>
      </c>
      <c r="S1056" s="734">
        <f t="shared" si="513"/>
        <v>1592313.723</v>
      </c>
      <c r="T1056" s="734">
        <f t="shared" si="514"/>
        <v>1447557.93</v>
      </c>
      <c r="U1056" s="96" t="str">
        <f t="shared" si="515"/>
        <v>X</v>
      </c>
      <c r="V1056" s="96"/>
      <c r="W1056" s="480">
        <f t="shared" si="516"/>
        <v>-373557.92999999993</v>
      </c>
      <c r="X1056" s="96"/>
      <c r="Y1056" s="96"/>
    </row>
    <row r="1057" spans="1:25" ht="30" customHeight="1" x14ac:dyDescent="0.25">
      <c r="A1057" s="648">
        <v>180625</v>
      </c>
      <c r="B1057" s="733" t="s">
        <v>565</v>
      </c>
      <c r="C1057" s="96" t="s">
        <v>1273</v>
      </c>
      <c r="D1057" s="96">
        <v>1</v>
      </c>
      <c r="E1057" s="734">
        <v>4000000</v>
      </c>
      <c r="F1057" s="734">
        <f t="shared" si="494"/>
        <v>4400000</v>
      </c>
      <c r="G1057" s="734">
        <f t="shared" si="504"/>
        <v>4000000</v>
      </c>
      <c r="H1057" s="780" t="s">
        <v>113</v>
      </c>
      <c r="I1057" s="96"/>
      <c r="J1057" s="53">
        <f>G1057-T1057</f>
        <v>320000</v>
      </c>
      <c r="K1057" s="63">
        <f t="shared" si="509"/>
        <v>0.08</v>
      </c>
      <c r="L1057" s="901">
        <v>18.600000000000001</v>
      </c>
      <c r="M1057" s="736"/>
      <c r="N1057" s="733">
        <f t="shared" si="510"/>
        <v>180625</v>
      </c>
      <c r="O1057" s="96" t="s">
        <v>1274</v>
      </c>
      <c r="P1057" s="737" t="str">
        <f t="shared" si="511"/>
        <v>지멘스 서비스 및 부품</v>
      </c>
      <c r="Q1057" s="96">
        <f t="shared" si="512"/>
        <v>1</v>
      </c>
      <c r="R1057" s="734">
        <v>3680000</v>
      </c>
      <c r="S1057" s="102">
        <f t="shared" si="513"/>
        <v>4048000.0000000005</v>
      </c>
      <c r="T1057" s="102">
        <f t="shared" si="514"/>
        <v>3680000</v>
      </c>
      <c r="U1057" s="71" t="str">
        <f t="shared" si="515"/>
        <v>O</v>
      </c>
      <c r="V1057" s="71"/>
      <c r="W1057" s="474">
        <f t="shared" si="516"/>
        <v>320000</v>
      </c>
      <c r="X1057" s="96"/>
      <c r="Y1057" s="96"/>
    </row>
    <row r="1058" spans="1:25" s="602" customFormat="1" ht="30" hidden="1" customHeight="1" x14ac:dyDescent="0.25">
      <c r="A1058" s="85">
        <v>180625</v>
      </c>
      <c r="B1058" s="668" t="s">
        <v>748</v>
      </c>
      <c r="C1058" s="84" t="s">
        <v>830</v>
      </c>
      <c r="D1058" s="84">
        <v>1</v>
      </c>
      <c r="E1058" s="189">
        <v>2000000</v>
      </c>
      <c r="F1058" s="189">
        <f t="shared" si="494"/>
        <v>2200000</v>
      </c>
      <c r="G1058" s="189">
        <f t="shared" si="504"/>
        <v>2000000</v>
      </c>
      <c r="H1058" s="781" t="s">
        <v>113</v>
      </c>
      <c r="I1058" s="84"/>
      <c r="J1058" s="61">
        <f>G1058-T1058</f>
        <v>1117981.0499999998</v>
      </c>
      <c r="K1058" s="62">
        <f t="shared" ref="K1058:K1063" si="517">(J1058/(F1058/11*10))</f>
        <v>0.5589905249999999</v>
      </c>
      <c r="L1058" s="873">
        <v>18.600000000000001</v>
      </c>
      <c r="M1058" s="601"/>
      <c r="N1058" s="668">
        <f t="shared" si="510"/>
        <v>180625</v>
      </c>
      <c r="O1058" s="814" t="s">
        <v>113</v>
      </c>
      <c r="P1058" s="133" t="s">
        <v>830</v>
      </c>
      <c r="Q1058" s="84">
        <v>1</v>
      </c>
      <c r="R1058" s="189">
        <v>882018.95000000007</v>
      </c>
      <c r="S1058" s="189">
        <f t="shared" si="513"/>
        <v>970220.8450000002</v>
      </c>
      <c r="T1058" s="189">
        <f t="shared" si="514"/>
        <v>882018.95000000007</v>
      </c>
      <c r="U1058" s="84" t="str">
        <f t="shared" si="515"/>
        <v>X</v>
      </c>
      <c r="V1058" s="84"/>
      <c r="W1058" s="478"/>
      <c r="X1058" s="84"/>
      <c r="Y1058" s="84"/>
    </row>
    <row r="1059" spans="1:25" ht="30" hidden="1" customHeight="1" x14ac:dyDescent="0.25">
      <c r="A1059" s="80">
        <v>180626</v>
      </c>
      <c r="B1059" s="663" t="s">
        <v>545</v>
      </c>
      <c r="C1059" s="73" t="s">
        <v>227</v>
      </c>
      <c r="D1059" s="73">
        <v>10</v>
      </c>
      <c r="E1059" s="147">
        <v>110000</v>
      </c>
      <c r="F1059" s="147">
        <f t="shared" si="494"/>
        <v>1210000</v>
      </c>
      <c r="G1059" s="147">
        <f t="shared" si="504"/>
        <v>1100000</v>
      </c>
      <c r="H1059" s="689" t="s">
        <v>173</v>
      </c>
      <c r="I1059" s="73" t="s">
        <v>109</v>
      </c>
      <c r="J1059" s="60">
        <f>(G1059-(VLOOKUP(C1059,Price!B:D,3,FALSE)*D1059))</f>
        <v>271000</v>
      </c>
      <c r="K1059" s="427">
        <f t="shared" si="517"/>
        <v>0.24636363636363637</v>
      </c>
      <c r="L1059" s="874">
        <v>18.600000000000001</v>
      </c>
      <c r="M1059" s="584"/>
      <c r="N1059" s="663">
        <f t="shared" si="510"/>
        <v>180626</v>
      </c>
      <c r="O1059" s="73" t="s">
        <v>147</v>
      </c>
      <c r="P1059" s="132" t="str">
        <f>C1059</f>
        <v>Blanket(1060*860)</v>
      </c>
      <c r="Q1059" s="73">
        <f t="shared" si="512"/>
        <v>10</v>
      </c>
      <c r="R1059" s="147">
        <v>82900</v>
      </c>
      <c r="S1059" s="147">
        <f t="shared" si="513"/>
        <v>911900.00000000012</v>
      </c>
      <c r="T1059" s="147">
        <f t="shared" si="514"/>
        <v>829000</v>
      </c>
      <c r="U1059" s="73" t="str">
        <f t="shared" si="515"/>
        <v>O</v>
      </c>
      <c r="V1059" s="73"/>
      <c r="W1059" s="473">
        <f>(G1059-T1059)</f>
        <v>271000</v>
      </c>
      <c r="X1059" s="73"/>
      <c r="Y1059" s="73"/>
    </row>
    <row r="1060" spans="1:25" ht="30" hidden="1" customHeight="1" x14ac:dyDescent="0.25">
      <c r="A1060" s="82">
        <v>180626</v>
      </c>
      <c r="B1060" s="664" t="s">
        <v>545</v>
      </c>
      <c r="C1060" s="71" t="s">
        <v>952</v>
      </c>
      <c r="D1060" s="71">
        <v>1</v>
      </c>
      <c r="E1060" s="102">
        <v>630000</v>
      </c>
      <c r="F1060" s="102">
        <f t="shared" si="494"/>
        <v>693000</v>
      </c>
      <c r="G1060" s="102">
        <f t="shared" si="504"/>
        <v>630000</v>
      </c>
      <c r="H1060" s="690" t="s">
        <v>173</v>
      </c>
      <c r="I1060" s="71" t="s">
        <v>108</v>
      </c>
      <c r="J1060" s="53">
        <f>(G1060-(VLOOKUP(C1060,Price!B:D,3,FALSE)*D1060))</f>
        <v>180000</v>
      </c>
      <c r="K1060" s="63">
        <f t="shared" si="517"/>
        <v>0.2857142857142857</v>
      </c>
      <c r="L1060" s="82">
        <v>18.600000000000001</v>
      </c>
      <c r="M1060" s="468"/>
      <c r="N1060" s="664">
        <f t="shared" ref="N1060:N1069" si="518">A1060</f>
        <v>180626</v>
      </c>
      <c r="O1060" s="71" t="s">
        <v>599</v>
      </c>
      <c r="P1060" s="103" t="str">
        <f>C1060</f>
        <v>점보롤 세정포</v>
      </c>
      <c r="Q1060" s="71">
        <f t="shared" si="512"/>
        <v>1</v>
      </c>
      <c r="R1060" s="102">
        <v>440000</v>
      </c>
      <c r="S1060" s="102">
        <f t="shared" si="513"/>
        <v>484000.00000000006</v>
      </c>
      <c r="T1060" s="102">
        <f t="shared" si="514"/>
        <v>440000</v>
      </c>
      <c r="U1060" s="71" t="str">
        <f t="shared" si="515"/>
        <v>X</v>
      </c>
      <c r="V1060" s="71" t="s">
        <v>1228</v>
      </c>
      <c r="W1060" s="474">
        <f>(G1060-T1060)</f>
        <v>190000</v>
      </c>
      <c r="X1060" s="71"/>
      <c r="Y1060" s="71"/>
    </row>
    <row r="1061" spans="1:25" ht="30" hidden="1" customHeight="1" x14ac:dyDescent="0.25">
      <c r="A1061" s="82">
        <v>180628</v>
      </c>
      <c r="B1061" s="664" t="s">
        <v>631</v>
      </c>
      <c r="C1061" s="71" t="s">
        <v>1265</v>
      </c>
      <c r="D1061" s="71">
        <v>1</v>
      </c>
      <c r="E1061" s="102">
        <v>78000</v>
      </c>
      <c r="F1061" s="102">
        <f t="shared" si="494"/>
        <v>85800</v>
      </c>
      <c r="G1061" s="102">
        <f t="shared" si="504"/>
        <v>78000</v>
      </c>
      <c r="H1061" s="690" t="s">
        <v>173</v>
      </c>
      <c r="I1061" s="71" t="s">
        <v>109</v>
      </c>
      <c r="J1061" s="53">
        <f>G1061-T1061</f>
        <v>25000</v>
      </c>
      <c r="K1061" s="63">
        <f t="shared" si="517"/>
        <v>0.32051282051282054</v>
      </c>
      <c r="L1061" s="82">
        <v>18.600000000000001</v>
      </c>
      <c r="M1061" s="468"/>
      <c r="N1061" s="664">
        <f t="shared" si="518"/>
        <v>180628</v>
      </c>
      <c r="O1061" s="71" t="s">
        <v>153</v>
      </c>
      <c r="P1061" s="103" t="str">
        <f>C1061</f>
        <v>블랑켓(770*710mm)</v>
      </c>
      <c r="Q1061" s="71">
        <f t="shared" si="512"/>
        <v>1</v>
      </c>
      <c r="R1061" s="102">
        <v>53000</v>
      </c>
      <c r="S1061" s="102">
        <f t="shared" si="513"/>
        <v>58300.000000000007</v>
      </c>
      <c r="T1061" s="102">
        <f t="shared" si="514"/>
        <v>53000</v>
      </c>
      <c r="U1061" s="71"/>
      <c r="V1061" s="71"/>
      <c r="W1061" s="474"/>
      <c r="X1061" s="71"/>
      <c r="Y1061" s="71"/>
    </row>
    <row r="1062" spans="1:25" ht="30" customHeight="1" x14ac:dyDescent="0.25">
      <c r="A1062" s="82">
        <v>180628</v>
      </c>
      <c r="B1062" s="664" t="s">
        <v>422</v>
      </c>
      <c r="C1062" s="760" t="s">
        <v>218</v>
      </c>
      <c r="D1062" s="71">
        <v>5</v>
      </c>
      <c r="E1062" s="102">
        <v>235000</v>
      </c>
      <c r="F1062" s="102">
        <f>(E1062*D1062)*1.1</f>
        <v>1292500</v>
      </c>
      <c r="G1062" s="102">
        <f>(E1062*D1062)</f>
        <v>1175000</v>
      </c>
      <c r="H1062" s="690" t="s">
        <v>173</v>
      </c>
      <c r="I1062" s="71" t="s">
        <v>120</v>
      </c>
      <c r="J1062" s="53">
        <f>(G1062-(VLOOKUP(C1062,Price!B:D,3,FALSE)*D1062))</f>
        <v>612500</v>
      </c>
      <c r="K1062" s="63">
        <f t="shared" si="517"/>
        <v>0.52127659574468088</v>
      </c>
      <c r="L1062" s="871">
        <v>18.600000000000001</v>
      </c>
      <c r="M1062" s="468"/>
      <c r="N1062" s="664">
        <f t="shared" si="518"/>
        <v>180628</v>
      </c>
      <c r="O1062" s="71" t="s">
        <v>150</v>
      </c>
      <c r="P1062" s="103" t="str">
        <f>C1062</f>
        <v>Fount Web 551AF</v>
      </c>
      <c r="Q1062" s="71">
        <f>D1062</f>
        <v>5</v>
      </c>
      <c r="R1062" s="102">
        <v>112500</v>
      </c>
      <c r="S1062" s="102">
        <f t="shared" si="513"/>
        <v>618750</v>
      </c>
      <c r="T1062" s="102">
        <f t="shared" si="514"/>
        <v>562500</v>
      </c>
      <c r="U1062" s="71" t="str">
        <f>IF(J1062=W1062,"O", "X")</f>
        <v>O</v>
      </c>
      <c r="V1062" s="71"/>
      <c r="W1062" s="474">
        <f t="shared" ref="W1062:W1077" si="519">(G1062-T1062)</f>
        <v>612500</v>
      </c>
      <c r="X1062" s="71"/>
      <c r="Y1062" s="71"/>
    </row>
    <row r="1063" spans="1:25" ht="30" hidden="1" customHeight="1" x14ac:dyDescent="0.25">
      <c r="A1063" s="82">
        <v>180629</v>
      </c>
      <c r="B1063" s="664" t="s">
        <v>1263</v>
      </c>
      <c r="C1063" s="71" t="s">
        <v>123</v>
      </c>
      <c r="D1063" s="71">
        <v>10</v>
      </c>
      <c r="E1063" s="102">
        <v>25000</v>
      </c>
      <c r="F1063" s="102">
        <f>(E1063*D1063)*1.1</f>
        <v>275000</v>
      </c>
      <c r="G1063" s="102">
        <f>(E1063*D1063)</f>
        <v>250000</v>
      </c>
      <c r="H1063" s="1010" t="s">
        <v>39</v>
      </c>
      <c r="I1063" s="71"/>
      <c r="J1063" s="53">
        <f>G1063-T1063</f>
        <v>25390</v>
      </c>
      <c r="K1063" s="63">
        <f t="shared" si="517"/>
        <v>0.10156</v>
      </c>
      <c r="L1063" s="871">
        <v>18.600000000000001</v>
      </c>
      <c r="M1063" s="468"/>
      <c r="N1063" s="664">
        <f t="shared" si="518"/>
        <v>180629</v>
      </c>
      <c r="O1063" s="991" t="s">
        <v>39</v>
      </c>
      <c r="P1063" s="103" t="str">
        <f>C1063</f>
        <v>필터백</v>
      </c>
      <c r="Q1063" s="71">
        <f>D1063</f>
        <v>10</v>
      </c>
      <c r="R1063" s="102">
        <f>VLOOKUP(P1063,Price!B:D,3,FALSE)</f>
        <v>22461</v>
      </c>
      <c r="S1063" s="102">
        <f t="shared" si="513"/>
        <v>247071.00000000003</v>
      </c>
      <c r="T1063" s="102">
        <f t="shared" si="514"/>
        <v>224610</v>
      </c>
      <c r="U1063" s="71" t="str">
        <f>IF(J1063=W1063,"O", "X")</f>
        <v>O</v>
      </c>
      <c r="V1063" s="71"/>
      <c r="W1063" s="474">
        <f t="shared" si="519"/>
        <v>25390</v>
      </c>
      <c r="X1063" s="71"/>
      <c r="Y1063" s="71"/>
    </row>
    <row r="1064" spans="1:25" s="859" customFormat="1" ht="45" hidden="1" customHeight="1" x14ac:dyDescent="0.25">
      <c r="A1064" s="947">
        <v>2018.7</v>
      </c>
      <c r="B1064" s="948" t="s">
        <v>544</v>
      </c>
      <c r="C1064" s="949"/>
      <c r="D1064" s="949"/>
      <c r="E1064" s="950"/>
      <c r="F1064" s="950"/>
      <c r="G1064" s="950"/>
      <c r="H1064" s="951"/>
      <c r="I1064" s="949"/>
      <c r="J1064" s="952"/>
      <c r="K1064" s="953"/>
      <c r="L1064" s="954">
        <v>18.7</v>
      </c>
      <c r="M1064" s="955"/>
      <c r="N1064" s="964">
        <f t="shared" si="518"/>
        <v>2018.7</v>
      </c>
      <c r="O1064" s="949" t="s">
        <v>154</v>
      </c>
      <c r="P1064" s="957"/>
      <c r="Q1064" s="958"/>
      <c r="R1064" s="959"/>
      <c r="S1064" s="952"/>
      <c r="T1064" s="952"/>
      <c r="U1064" s="960"/>
      <c r="V1064" s="960"/>
      <c r="W1064" s="961">
        <f t="shared" si="519"/>
        <v>0</v>
      </c>
      <c r="X1064" s="960"/>
      <c r="Y1064" s="960"/>
    </row>
    <row r="1065" spans="1:25" ht="30" hidden="1" customHeight="1" x14ac:dyDescent="0.25">
      <c r="A1065" s="80">
        <v>180515</v>
      </c>
      <c r="B1065" s="663" t="s">
        <v>442</v>
      </c>
      <c r="C1065" s="73" t="s">
        <v>133</v>
      </c>
      <c r="D1065" s="73">
        <v>2</v>
      </c>
      <c r="E1065" s="147">
        <v>327000</v>
      </c>
      <c r="F1065" s="147">
        <f>(E1065*D1065)*1.1</f>
        <v>719400</v>
      </c>
      <c r="G1065" s="147">
        <f>(E1065*D1065)</f>
        <v>654000</v>
      </c>
      <c r="H1065" s="689" t="s">
        <v>173</v>
      </c>
      <c r="I1065" s="73" t="s">
        <v>141</v>
      </c>
      <c r="J1065" s="60">
        <f>(G1065-(VLOOKUP(C1065,Price!B:D,3,FALSE)*D1065))</f>
        <v>115800</v>
      </c>
      <c r="K1065" s="427">
        <f>(J1065/(F1065/11*10))</f>
        <v>0.17706422018348625</v>
      </c>
      <c r="L1065" s="874">
        <v>18.7</v>
      </c>
      <c r="M1065" s="584" t="s">
        <v>1303</v>
      </c>
      <c r="N1065" s="663">
        <f t="shared" si="518"/>
        <v>180515</v>
      </c>
      <c r="O1065" s="73" t="s">
        <v>145</v>
      </c>
      <c r="P1065" s="132" t="str">
        <f t="shared" ref="P1065:Q1069" si="520">C1065</f>
        <v>Agfa Film(24inch)</v>
      </c>
      <c r="Q1065" s="73">
        <f t="shared" si="520"/>
        <v>2</v>
      </c>
      <c r="R1065" s="147">
        <f>VLOOKUP(P1065,Price!B:D,3,FALSE)</f>
        <v>269100</v>
      </c>
      <c r="S1065" s="147">
        <f t="shared" ref="S1065:S1073" si="521">R1065*Q1065*1.1</f>
        <v>592020</v>
      </c>
      <c r="T1065" s="147">
        <f t="shared" ref="T1065:T1073" si="522">R1065*Q1065</f>
        <v>538200</v>
      </c>
      <c r="U1065" s="73" t="str">
        <f t="shared" ref="U1065:U1104" si="523">IF(J1065=W1065,"O", "X")</f>
        <v>O</v>
      </c>
      <c r="V1065" s="73"/>
      <c r="W1065" s="473">
        <f t="shared" si="519"/>
        <v>115800</v>
      </c>
      <c r="X1065" s="73"/>
      <c r="Y1065" s="73"/>
    </row>
    <row r="1066" spans="1:25" ht="30" hidden="1" customHeight="1" x14ac:dyDescent="0.25">
      <c r="A1066" s="82">
        <v>180515</v>
      </c>
      <c r="B1066" s="664" t="s">
        <v>442</v>
      </c>
      <c r="C1066" s="71" t="s">
        <v>134</v>
      </c>
      <c r="D1066" s="71">
        <v>2</v>
      </c>
      <c r="E1066" s="102">
        <v>401000</v>
      </c>
      <c r="F1066" s="102">
        <f>(E1066*D1066)*1.1</f>
        <v>882200.00000000012</v>
      </c>
      <c r="G1066" s="102">
        <f>(E1066*D1066)</f>
        <v>802000</v>
      </c>
      <c r="H1066" s="690" t="s">
        <v>173</v>
      </c>
      <c r="I1066" s="71" t="s">
        <v>141</v>
      </c>
      <c r="J1066" s="53">
        <f>(G1066-(VLOOKUP(C1066,Price!B:D,3,FALSE)*D1066))</f>
        <v>174080</v>
      </c>
      <c r="K1066" s="63">
        <f>(J1066/(F1066/11*10))</f>
        <v>0.21705735660847877</v>
      </c>
      <c r="L1066" s="871">
        <v>18.7</v>
      </c>
      <c r="M1066" s="584" t="s">
        <v>1303</v>
      </c>
      <c r="N1066" s="664">
        <f t="shared" si="518"/>
        <v>180515</v>
      </c>
      <c r="O1066" s="71" t="s">
        <v>145</v>
      </c>
      <c r="P1066" s="103" t="str">
        <f t="shared" si="520"/>
        <v>Agfa Film(28inch)</v>
      </c>
      <c r="Q1066" s="71">
        <f t="shared" si="520"/>
        <v>2</v>
      </c>
      <c r="R1066" s="102">
        <f>VLOOKUP(P1066,Price!B:D,3,FALSE)</f>
        <v>313960</v>
      </c>
      <c r="S1066" s="102">
        <f t="shared" si="521"/>
        <v>690712</v>
      </c>
      <c r="T1066" s="102">
        <f t="shared" si="522"/>
        <v>627920</v>
      </c>
      <c r="U1066" s="71" t="str">
        <f t="shared" si="523"/>
        <v>O</v>
      </c>
      <c r="V1066" s="71"/>
      <c r="W1066" s="474">
        <f t="shared" si="519"/>
        <v>174080</v>
      </c>
      <c r="X1066" s="71"/>
      <c r="Y1066" s="71"/>
    </row>
    <row r="1067" spans="1:25" ht="30" hidden="1" customHeight="1" x14ac:dyDescent="0.25">
      <c r="A1067" s="82">
        <v>180515</v>
      </c>
      <c r="B1067" s="664" t="s">
        <v>442</v>
      </c>
      <c r="C1067" s="71" t="s">
        <v>135</v>
      </c>
      <c r="D1067" s="71">
        <v>2</v>
      </c>
      <c r="E1067" s="102">
        <v>448000</v>
      </c>
      <c r="F1067" s="102">
        <f>(E1067*D1067)*1.1</f>
        <v>985600.00000000012</v>
      </c>
      <c r="G1067" s="102">
        <f>(E1067*D1067)</f>
        <v>896000</v>
      </c>
      <c r="H1067" s="690" t="s">
        <v>173</v>
      </c>
      <c r="I1067" s="71" t="s">
        <v>141</v>
      </c>
      <c r="J1067" s="53">
        <f>(G1067-(VLOOKUP(C1067,Price!B:D,3,FALSE)*D1067))</f>
        <v>155980</v>
      </c>
      <c r="K1067" s="63">
        <f>(J1067/(F1067/11*10))</f>
        <v>0.1740848214285714</v>
      </c>
      <c r="L1067" s="871">
        <v>18.7</v>
      </c>
      <c r="M1067" s="584" t="s">
        <v>1303</v>
      </c>
      <c r="N1067" s="664">
        <f t="shared" si="518"/>
        <v>180515</v>
      </c>
      <c r="O1067" s="71" t="s">
        <v>145</v>
      </c>
      <c r="P1067" s="103" t="str">
        <f t="shared" si="520"/>
        <v>Agfa Film(32inch)</v>
      </c>
      <c r="Q1067" s="71">
        <f t="shared" si="520"/>
        <v>2</v>
      </c>
      <c r="R1067" s="102">
        <f>VLOOKUP(P1067,Price!B:D,3,FALSE)</f>
        <v>370010</v>
      </c>
      <c r="S1067" s="102">
        <f t="shared" si="521"/>
        <v>814022.00000000012</v>
      </c>
      <c r="T1067" s="102">
        <f t="shared" si="522"/>
        <v>740020</v>
      </c>
      <c r="U1067" s="71" t="str">
        <f t="shared" si="523"/>
        <v>O</v>
      </c>
      <c r="V1067" s="71"/>
      <c r="W1067" s="474">
        <f t="shared" si="519"/>
        <v>155980</v>
      </c>
      <c r="X1067" s="71"/>
      <c r="Y1067" s="71"/>
    </row>
    <row r="1068" spans="1:25" ht="30" hidden="1" customHeight="1" x14ac:dyDescent="0.25">
      <c r="A1068" s="82">
        <v>180515</v>
      </c>
      <c r="B1068" s="664" t="s">
        <v>442</v>
      </c>
      <c r="C1068" s="71" t="s">
        <v>649</v>
      </c>
      <c r="D1068" s="71">
        <v>2</v>
      </c>
      <c r="E1068" s="102">
        <v>41000</v>
      </c>
      <c r="F1068" s="102">
        <f>(E1068*D1068)*1.1</f>
        <v>90200.000000000015</v>
      </c>
      <c r="G1068" s="102">
        <f>(E1068*D1068)</f>
        <v>82000</v>
      </c>
      <c r="H1068" s="690" t="s">
        <v>173</v>
      </c>
      <c r="I1068" s="71" t="s">
        <v>141</v>
      </c>
      <c r="J1068" s="53">
        <f>(G1068-(VLOOKUP(C1068,Price!B:D,3,FALSE)*D1068))</f>
        <v>32000</v>
      </c>
      <c r="K1068" s="63">
        <f>(J1068/(F1068/11*10))</f>
        <v>0.39024390243902435</v>
      </c>
      <c r="L1068" s="871">
        <v>18.7</v>
      </c>
      <c r="M1068" s="584" t="s">
        <v>1303</v>
      </c>
      <c r="N1068" s="664">
        <f t="shared" si="518"/>
        <v>180515</v>
      </c>
      <c r="O1068" s="71" t="s">
        <v>145</v>
      </c>
      <c r="P1068" s="103" t="str">
        <f t="shared" si="520"/>
        <v>Agfa 현상액 G101C(10L)</v>
      </c>
      <c r="Q1068" s="71">
        <f t="shared" si="520"/>
        <v>2</v>
      </c>
      <c r="R1068" s="102">
        <f>VLOOKUP(P1068,Price!B:D,3,FALSE)</f>
        <v>25000</v>
      </c>
      <c r="S1068" s="102">
        <f t="shared" si="521"/>
        <v>55000.000000000007</v>
      </c>
      <c r="T1068" s="102">
        <f t="shared" si="522"/>
        <v>50000</v>
      </c>
      <c r="U1068" s="71" t="str">
        <f t="shared" si="523"/>
        <v>O</v>
      </c>
      <c r="V1068" s="71"/>
      <c r="W1068" s="474">
        <f t="shared" si="519"/>
        <v>32000</v>
      </c>
      <c r="X1068" s="71"/>
      <c r="Y1068" s="71"/>
    </row>
    <row r="1069" spans="1:25" s="602" customFormat="1" ht="30" hidden="1" customHeight="1" x14ac:dyDescent="0.2">
      <c r="A1069" s="85">
        <v>180515</v>
      </c>
      <c r="B1069" s="668" t="s">
        <v>442</v>
      </c>
      <c r="C1069" s="84" t="s">
        <v>650</v>
      </c>
      <c r="D1069" s="84">
        <v>1</v>
      </c>
      <c r="E1069" s="189">
        <v>93000</v>
      </c>
      <c r="F1069" s="190">
        <f>(E1069*D1069)*1.1</f>
        <v>102300.00000000001</v>
      </c>
      <c r="G1069" s="190">
        <f>(E1069*D1069)</f>
        <v>93000</v>
      </c>
      <c r="H1069" s="191" t="s">
        <v>172</v>
      </c>
      <c r="I1069" s="84" t="s">
        <v>141</v>
      </c>
      <c r="J1069" s="61">
        <f>(G1069-(VLOOKUP(C1069,Price!B:D,3,FALSE)*D1069))</f>
        <v>33000</v>
      </c>
      <c r="K1069" s="62">
        <f>(J1069/(F1069/11*10))</f>
        <v>0.35483870967741932</v>
      </c>
      <c r="L1069" s="873">
        <v>18.7</v>
      </c>
      <c r="M1069" s="601" t="s">
        <v>1303</v>
      </c>
      <c r="N1069" s="668">
        <f t="shared" si="518"/>
        <v>180515</v>
      </c>
      <c r="O1069" s="84" t="s">
        <v>145</v>
      </c>
      <c r="P1069" s="133" t="str">
        <f t="shared" si="520"/>
        <v>Agfa 정착액 G333C(20L)</v>
      </c>
      <c r="Q1069" s="84">
        <f t="shared" si="520"/>
        <v>1</v>
      </c>
      <c r="R1069" s="189">
        <f>VLOOKUP(P1069,Price!B:D,3,FALSE)</f>
        <v>60000</v>
      </c>
      <c r="S1069" s="189">
        <f t="shared" si="521"/>
        <v>66000</v>
      </c>
      <c r="T1069" s="189">
        <f t="shared" si="522"/>
        <v>60000</v>
      </c>
      <c r="U1069" s="84" t="str">
        <f t="shared" si="523"/>
        <v>O</v>
      </c>
      <c r="V1069" s="84"/>
      <c r="W1069" s="478">
        <f t="shared" si="519"/>
        <v>33000</v>
      </c>
      <c r="X1069" s="84"/>
      <c r="Y1069" s="84"/>
    </row>
    <row r="1070" spans="1:25" ht="30" hidden="1" customHeight="1" x14ac:dyDescent="0.25">
      <c r="A1070" s="80">
        <v>180628</v>
      </c>
      <c r="B1070" s="663" t="s">
        <v>442</v>
      </c>
      <c r="C1070" s="73" t="s">
        <v>133</v>
      </c>
      <c r="D1070" s="73">
        <v>2</v>
      </c>
      <c r="E1070" s="147">
        <v>327000</v>
      </c>
      <c r="F1070" s="147">
        <f t="shared" ref="F1070:F1075" si="524">(E1070*D1070)*1.1</f>
        <v>719400</v>
      </c>
      <c r="G1070" s="147">
        <f t="shared" ref="G1070:G1075" si="525">(E1070*D1070)</f>
        <v>654000</v>
      </c>
      <c r="H1070" s="689" t="s">
        <v>173</v>
      </c>
      <c r="I1070" s="73" t="s">
        <v>141</v>
      </c>
      <c r="J1070" s="60">
        <f>(G1070-(VLOOKUP(C1070,Price!B:D,3,FALSE)*D1070))</f>
        <v>115800</v>
      </c>
      <c r="K1070" s="427">
        <f t="shared" ref="K1070:K1075" si="526">(J1070/(F1070/11*10))</f>
        <v>0.17706422018348625</v>
      </c>
      <c r="L1070" s="874">
        <v>18.7</v>
      </c>
      <c r="M1070" s="584"/>
      <c r="N1070" s="663">
        <f t="shared" ref="N1070:N1075" si="527">A1070</f>
        <v>180628</v>
      </c>
      <c r="O1070" s="73" t="s">
        <v>145</v>
      </c>
      <c r="P1070" s="132" t="str">
        <f>C1070</f>
        <v>Agfa Film(24inch)</v>
      </c>
      <c r="Q1070" s="73">
        <f t="shared" ref="Q1070:Q1075" si="528">D1070</f>
        <v>2</v>
      </c>
      <c r="R1070" s="147">
        <f>VLOOKUP(P1070,Price!B:D,3,FALSE)</f>
        <v>269100</v>
      </c>
      <c r="S1070" s="147">
        <f t="shared" si="521"/>
        <v>592020</v>
      </c>
      <c r="T1070" s="147">
        <f t="shared" si="522"/>
        <v>538200</v>
      </c>
      <c r="U1070" s="73" t="str">
        <f t="shared" si="523"/>
        <v>O</v>
      </c>
      <c r="V1070" s="73"/>
      <c r="W1070" s="473">
        <f t="shared" si="519"/>
        <v>115800</v>
      </c>
      <c r="X1070" s="73"/>
      <c r="Y1070" s="73"/>
    </row>
    <row r="1071" spans="1:25" ht="30" hidden="1" customHeight="1" x14ac:dyDescent="0.25">
      <c r="A1071" s="82">
        <v>180628</v>
      </c>
      <c r="B1071" s="664" t="s">
        <v>442</v>
      </c>
      <c r="C1071" s="71" t="s">
        <v>134</v>
      </c>
      <c r="D1071" s="71">
        <v>2</v>
      </c>
      <c r="E1071" s="102">
        <v>401000</v>
      </c>
      <c r="F1071" s="102">
        <f t="shared" si="524"/>
        <v>882200.00000000012</v>
      </c>
      <c r="G1071" s="102">
        <f t="shared" si="525"/>
        <v>802000</v>
      </c>
      <c r="H1071" s="690" t="s">
        <v>173</v>
      </c>
      <c r="I1071" s="71" t="s">
        <v>141</v>
      </c>
      <c r="J1071" s="53">
        <f>(G1071-(VLOOKUP(C1071,Price!B:D,3,FALSE)*D1071))</f>
        <v>174080</v>
      </c>
      <c r="K1071" s="63">
        <f t="shared" si="526"/>
        <v>0.21705735660847877</v>
      </c>
      <c r="L1071" s="871">
        <v>18.7</v>
      </c>
      <c r="M1071" s="468"/>
      <c r="N1071" s="664">
        <f t="shared" si="527"/>
        <v>180628</v>
      </c>
      <c r="O1071" s="71" t="s">
        <v>145</v>
      </c>
      <c r="P1071" s="103" t="str">
        <f>C1071</f>
        <v>Agfa Film(28inch)</v>
      </c>
      <c r="Q1071" s="71">
        <f t="shared" si="528"/>
        <v>2</v>
      </c>
      <c r="R1071" s="102">
        <f>VLOOKUP(P1071,Price!B:D,3,FALSE)</f>
        <v>313960</v>
      </c>
      <c r="S1071" s="102">
        <f t="shared" si="521"/>
        <v>690712</v>
      </c>
      <c r="T1071" s="102">
        <f t="shared" si="522"/>
        <v>627920</v>
      </c>
      <c r="U1071" s="71" t="str">
        <f t="shared" si="523"/>
        <v>O</v>
      </c>
      <c r="V1071" s="71"/>
      <c r="W1071" s="474">
        <f t="shared" si="519"/>
        <v>174080</v>
      </c>
      <c r="X1071" s="71"/>
      <c r="Y1071" s="71"/>
    </row>
    <row r="1072" spans="1:25" ht="30" hidden="1" customHeight="1" x14ac:dyDescent="0.25">
      <c r="A1072" s="82">
        <v>180628</v>
      </c>
      <c r="B1072" s="664" t="s">
        <v>442</v>
      </c>
      <c r="C1072" s="71" t="s">
        <v>135</v>
      </c>
      <c r="D1072" s="71">
        <v>2</v>
      </c>
      <c r="E1072" s="102">
        <v>448000</v>
      </c>
      <c r="F1072" s="102">
        <f t="shared" si="524"/>
        <v>985600.00000000012</v>
      </c>
      <c r="G1072" s="102">
        <f t="shared" si="525"/>
        <v>896000</v>
      </c>
      <c r="H1072" s="690" t="s">
        <v>173</v>
      </c>
      <c r="I1072" s="71" t="s">
        <v>141</v>
      </c>
      <c r="J1072" s="53">
        <f>(G1072-(VLOOKUP(C1072,Price!B:D,3,FALSE)*D1072))</f>
        <v>155980</v>
      </c>
      <c r="K1072" s="63">
        <f t="shared" si="526"/>
        <v>0.1740848214285714</v>
      </c>
      <c r="L1072" s="871">
        <v>18.7</v>
      </c>
      <c r="M1072" s="468"/>
      <c r="N1072" s="664">
        <f t="shared" si="527"/>
        <v>180628</v>
      </c>
      <c r="O1072" s="71" t="s">
        <v>145</v>
      </c>
      <c r="P1072" s="103" t="str">
        <f>C1072</f>
        <v>Agfa Film(32inch)</v>
      </c>
      <c r="Q1072" s="71">
        <f t="shared" si="528"/>
        <v>2</v>
      </c>
      <c r="R1072" s="102">
        <f>VLOOKUP(P1072,Price!B:D,3,FALSE)</f>
        <v>370010</v>
      </c>
      <c r="S1072" s="102">
        <f t="shared" si="521"/>
        <v>814022.00000000012</v>
      </c>
      <c r="T1072" s="102">
        <f t="shared" si="522"/>
        <v>740020</v>
      </c>
      <c r="U1072" s="71" t="str">
        <f t="shared" si="523"/>
        <v>O</v>
      </c>
      <c r="V1072" s="71"/>
      <c r="W1072" s="474">
        <f t="shared" si="519"/>
        <v>155980</v>
      </c>
      <c r="X1072" s="71"/>
      <c r="Y1072" s="71"/>
    </row>
    <row r="1073" spans="1:25" ht="30" hidden="1" customHeight="1" x14ac:dyDescent="0.25">
      <c r="A1073" s="82">
        <v>180628</v>
      </c>
      <c r="B1073" s="664" t="s">
        <v>442</v>
      </c>
      <c r="C1073" s="71" t="s">
        <v>649</v>
      </c>
      <c r="D1073" s="71">
        <v>2</v>
      </c>
      <c r="E1073" s="102">
        <v>41000</v>
      </c>
      <c r="F1073" s="102">
        <f t="shared" si="524"/>
        <v>90200.000000000015</v>
      </c>
      <c r="G1073" s="102">
        <f t="shared" si="525"/>
        <v>82000</v>
      </c>
      <c r="H1073" s="690" t="s">
        <v>173</v>
      </c>
      <c r="I1073" s="71" t="s">
        <v>141</v>
      </c>
      <c r="J1073" s="53">
        <f>(G1073-(VLOOKUP(C1073,Price!B:D,3,FALSE)*D1073))</f>
        <v>32000</v>
      </c>
      <c r="K1073" s="63">
        <f t="shared" si="526"/>
        <v>0.39024390243902435</v>
      </c>
      <c r="L1073" s="871">
        <v>18.7</v>
      </c>
      <c r="M1073" s="468"/>
      <c r="N1073" s="664">
        <f t="shared" si="527"/>
        <v>180628</v>
      </c>
      <c r="O1073" s="71" t="s">
        <v>145</v>
      </c>
      <c r="P1073" s="103" t="str">
        <f>C1073</f>
        <v>Agfa 현상액 G101C(10L)</v>
      </c>
      <c r="Q1073" s="71">
        <f t="shared" si="528"/>
        <v>2</v>
      </c>
      <c r="R1073" s="102">
        <f>VLOOKUP(P1073,Price!B:D,3,FALSE)</f>
        <v>25000</v>
      </c>
      <c r="S1073" s="102">
        <f t="shared" si="521"/>
        <v>55000.000000000007</v>
      </c>
      <c r="T1073" s="102">
        <f t="shared" si="522"/>
        <v>50000</v>
      </c>
      <c r="U1073" s="71" t="str">
        <f t="shared" si="523"/>
        <v>O</v>
      </c>
      <c r="V1073" s="71"/>
      <c r="W1073" s="474">
        <f t="shared" si="519"/>
        <v>32000</v>
      </c>
      <c r="X1073" s="71"/>
      <c r="Y1073" s="71"/>
    </row>
    <row r="1074" spans="1:25" ht="30" hidden="1" customHeight="1" x14ac:dyDescent="0.25">
      <c r="A1074" s="82">
        <v>180628</v>
      </c>
      <c r="B1074" s="664" t="s">
        <v>442</v>
      </c>
      <c r="C1074" s="71" t="s">
        <v>773</v>
      </c>
      <c r="D1074" s="71">
        <v>5</v>
      </c>
      <c r="E1074" s="102">
        <v>192000</v>
      </c>
      <c r="F1074" s="102">
        <f t="shared" si="524"/>
        <v>1056000</v>
      </c>
      <c r="G1074" s="102">
        <f t="shared" si="525"/>
        <v>960000</v>
      </c>
      <c r="H1074" s="690" t="s">
        <v>173</v>
      </c>
      <c r="I1074" s="71" t="s">
        <v>109</v>
      </c>
      <c r="J1074" s="53">
        <f>(G1074-(VLOOKUP(C1074,Price!B:D,3,FALSE)*D1074))</f>
        <v>120000</v>
      </c>
      <c r="K1074" s="63">
        <f t="shared" si="526"/>
        <v>0.125</v>
      </c>
      <c r="L1074" s="871">
        <v>18.7</v>
      </c>
      <c r="M1074" s="468"/>
      <c r="N1074" s="664">
        <f t="shared" si="527"/>
        <v>180628</v>
      </c>
      <c r="O1074" s="71" t="s">
        <v>151</v>
      </c>
      <c r="P1074" s="103" t="str">
        <f>(C1074)</f>
        <v>로랜드 전지 블랑켓(1460*1165)bar</v>
      </c>
      <c r="Q1074" s="71">
        <f t="shared" si="528"/>
        <v>5</v>
      </c>
      <c r="R1074" s="102">
        <v>168000</v>
      </c>
      <c r="S1074" s="102">
        <f>(R1074*D1074)*1.1</f>
        <v>924000.00000000012</v>
      </c>
      <c r="T1074" s="102">
        <f>(R1074*Q1074)</f>
        <v>840000</v>
      </c>
      <c r="U1074" s="71" t="str">
        <f t="shared" si="523"/>
        <v>O</v>
      </c>
      <c r="V1074" s="71"/>
      <c r="W1074" s="474">
        <f t="shared" si="519"/>
        <v>120000</v>
      </c>
      <c r="X1074" s="71"/>
      <c r="Y1074" s="71"/>
    </row>
    <row r="1075" spans="1:25" s="209" customFormat="1" ht="30" hidden="1" customHeight="1" x14ac:dyDescent="0.25">
      <c r="A1075" s="82">
        <v>180628</v>
      </c>
      <c r="B1075" s="664" t="s">
        <v>442</v>
      </c>
      <c r="C1075" s="71" t="s">
        <v>138</v>
      </c>
      <c r="D1075" s="71">
        <v>20</v>
      </c>
      <c r="E1075" s="102">
        <v>69000</v>
      </c>
      <c r="F1075" s="102">
        <f t="shared" si="524"/>
        <v>1518000.0000000002</v>
      </c>
      <c r="G1075" s="102">
        <f t="shared" si="525"/>
        <v>1380000</v>
      </c>
      <c r="H1075" s="690" t="s">
        <v>173</v>
      </c>
      <c r="I1075" s="71" t="s">
        <v>108</v>
      </c>
      <c r="J1075" s="53">
        <f>(G1075-(VLOOKUP(C1075,Price!B:D,3,FALSE)*D1075))</f>
        <v>360000</v>
      </c>
      <c r="K1075" s="63">
        <f t="shared" si="526"/>
        <v>0.26086956521739124</v>
      </c>
      <c r="L1075" s="871">
        <v>18.7</v>
      </c>
      <c r="M1075" s="468"/>
      <c r="N1075" s="664">
        <f t="shared" si="527"/>
        <v>180628</v>
      </c>
      <c r="O1075" s="71" t="s">
        <v>150</v>
      </c>
      <c r="P1075" s="103" t="str">
        <f>(C1075)</f>
        <v>매엽용 세척제(Wash 562)</v>
      </c>
      <c r="Q1075" s="71">
        <f t="shared" si="528"/>
        <v>20</v>
      </c>
      <c r="R1075" s="102">
        <v>51000</v>
      </c>
      <c r="S1075" s="102">
        <f>(R1075*D1075)*1.1</f>
        <v>1122000</v>
      </c>
      <c r="T1075" s="102">
        <f>(R1075*Q1075)</f>
        <v>1020000</v>
      </c>
      <c r="U1075" s="71" t="str">
        <f t="shared" si="523"/>
        <v>O</v>
      </c>
      <c r="V1075" s="71"/>
      <c r="W1075" s="474">
        <f t="shared" si="519"/>
        <v>360000</v>
      </c>
      <c r="X1075" s="71"/>
      <c r="Y1075" s="71"/>
    </row>
    <row r="1076" spans="1:25" ht="30" hidden="1" customHeight="1" x14ac:dyDescent="0.25">
      <c r="A1076" s="82">
        <v>180628</v>
      </c>
      <c r="B1076" s="664" t="s">
        <v>983</v>
      </c>
      <c r="C1076" s="71" t="s">
        <v>1009</v>
      </c>
      <c r="D1076" s="71">
        <v>520</v>
      </c>
      <c r="E1076" s="102">
        <v>3900</v>
      </c>
      <c r="F1076" s="102">
        <f t="shared" ref="F1076:F1082" si="529">(E1076*D1076)*1.1</f>
        <v>2230800</v>
      </c>
      <c r="G1076" s="102">
        <f t="shared" ref="G1076:G1082" si="530">(E1076*D1076)</f>
        <v>2028000</v>
      </c>
      <c r="H1076" s="690" t="s">
        <v>173</v>
      </c>
      <c r="I1076" s="71" t="s">
        <v>140</v>
      </c>
      <c r="J1076" s="53">
        <f>G1076-T1076</f>
        <v>312000</v>
      </c>
      <c r="K1076" s="63">
        <f>(J1076/(F1076/11*10))</f>
        <v>0.15384615384615385</v>
      </c>
      <c r="L1076" s="871">
        <v>18.7</v>
      </c>
      <c r="M1076" s="468"/>
      <c r="N1076" s="664">
        <f t="shared" ref="N1076:N1082" si="531">A1076</f>
        <v>180628</v>
      </c>
      <c r="O1076" s="71" t="s">
        <v>147</v>
      </c>
      <c r="P1076" s="103" t="str">
        <f t="shared" ref="P1076:Q1079" si="532">C1076</f>
        <v>CTP판(1030*790mm)</v>
      </c>
      <c r="Q1076" s="71">
        <f t="shared" si="532"/>
        <v>520</v>
      </c>
      <c r="R1076" s="102">
        <v>3300</v>
      </c>
      <c r="S1076" s="102">
        <f>R1076*Q1076*1.1</f>
        <v>1887600.0000000002</v>
      </c>
      <c r="T1076" s="102">
        <f>R1076*Q1076</f>
        <v>1716000</v>
      </c>
      <c r="U1076" s="71" t="str">
        <f t="shared" si="523"/>
        <v>O</v>
      </c>
      <c r="V1076" s="71"/>
      <c r="W1076" s="474">
        <f t="shared" si="519"/>
        <v>312000</v>
      </c>
      <c r="X1076" s="71"/>
      <c r="Y1076" s="71"/>
    </row>
    <row r="1077" spans="1:25" s="602" customFormat="1" ht="30" hidden="1" customHeight="1" x14ac:dyDescent="0.25">
      <c r="A1077" s="85">
        <v>180628</v>
      </c>
      <c r="B1077" s="668" t="s">
        <v>983</v>
      </c>
      <c r="C1077" s="84" t="s">
        <v>984</v>
      </c>
      <c r="D1077" s="84">
        <v>7</v>
      </c>
      <c r="E1077" s="189">
        <v>45000</v>
      </c>
      <c r="F1077" s="189">
        <f t="shared" si="529"/>
        <v>346500</v>
      </c>
      <c r="G1077" s="189">
        <f t="shared" si="530"/>
        <v>315000</v>
      </c>
      <c r="H1077" s="691" t="s">
        <v>173</v>
      </c>
      <c r="I1077" s="84" t="s">
        <v>140</v>
      </c>
      <c r="J1077" s="61">
        <f>G1077-T1077</f>
        <v>70000</v>
      </c>
      <c r="K1077" s="62">
        <f>(J1077/(F1077/11*10))</f>
        <v>0.22222222222222221</v>
      </c>
      <c r="L1077" s="873">
        <v>18.7</v>
      </c>
      <c r="M1077" s="601"/>
      <c r="N1077" s="668">
        <f t="shared" si="531"/>
        <v>180628</v>
      </c>
      <c r="O1077" s="84" t="s">
        <v>147</v>
      </c>
      <c r="P1077" s="133" t="str">
        <f t="shared" si="532"/>
        <v>CTP 현상액</v>
      </c>
      <c r="Q1077" s="84">
        <f t="shared" si="532"/>
        <v>7</v>
      </c>
      <c r="R1077" s="189">
        <v>35000</v>
      </c>
      <c r="S1077" s="189">
        <f>R1077*Q1077*1.1</f>
        <v>269500</v>
      </c>
      <c r="T1077" s="189">
        <f>R1077*Q1077</f>
        <v>245000</v>
      </c>
      <c r="U1077" s="84" t="str">
        <f t="shared" si="523"/>
        <v>O</v>
      </c>
      <c r="V1077" s="84"/>
      <c r="W1077" s="478">
        <f t="shared" si="519"/>
        <v>70000</v>
      </c>
      <c r="X1077" s="84"/>
      <c r="Y1077" s="84"/>
    </row>
    <row r="1078" spans="1:25" s="610" customFormat="1" ht="30" hidden="1" customHeight="1" x14ac:dyDescent="0.25">
      <c r="A1078" s="89">
        <v>180703</v>
      </c>
      <c r="B1078" s="673" t="s">
        <v>445</v>
      </c>
      <c r="C1078" s="88" t="s">
        <v>1144</v>
      </c>
      <c r="D1078" s="88">
        <v>10</v>
      </c>
      <c r="E1078" s="470">
        <v>110000</v>
      </c>
      <c r="F1078" s="470">
        <f t="shared" si="529"/>
        <v>1210000</v>
      </c>
      <c r="G1078" s="470">
        <f t="shared" si="530"/>
        <v>1100000</v>
      </c>
      <c r="H1078" s="695" t="s">
        <v>173</v>
      </c>
      <c r="I1078" s="88" t="s">
        <v>142</v>
      </c>
      <c r="J1078" s="107">
        <f>G1078-T1078</f>
        <v>190000</v>
      </c>
      <c r="K1078" s="469">
        <f>(J1078/(F1078/11*10))</f>
        <v>0.17272727272727273</v>
      </c>
      <c r="L1078" s="875">
        <v>18.7</v>
      </c>
      <c r="M1078" s="575"/>
      <c r="N1078" s="673">
        <f t="shared" si="531"/>
        <v>180703</v>
      </c>
      <c r="O1078" s="88" t="s">
        <v>150</v>
      </c>
      <c r="P1078" s="134" t="str">
        <f t="shared" si="532"/>
        <v>실리콘 에멀전</v>
      </c>
      <c r="Q1078" s="88">
        <f t="shared" si="532"/>
        <v>10</v>
      </c>
      <c r="R1078" s="470">
        <v>91000</v>
      </c>
      <c r="S1078" s="470">
        <f>(R1078*D1078)*1.1</f>
        <v>1001000.0000000001</v>
      </c>
      <c r="T1078" s="470">
        <f>(R1078*Q1078)</f>
        <v>910000</v>
      </c>
      <c r="U1078" s="88" t="str">
        <f t="shared" si="523"/>
        <v>X</v>
      </c>
      <c r="V1078" s="88"/>
      <c r="W1078" s="945"/>
      <c r="X1078" s="88"/>
      <c r="Y1078" s="88"/>
    </row>
    <row r="1079" spans="1:25" ht="30" hidden="1" customHeight="1" x14ac:dyDescent="0.25">
      <c r="A1079" s="80">
        <v>180704</v>
      </c>
      <c r="B1079" s="663" t="s">
        <v>545</v>
      </c>
      <c r="C1079" s="73" t="s">
        <v>227</v>
      </c>
      <c r="D1079" s="73">
        <v>10</v>
      </c>
      <c r="E1079" s="147">
        <v>110000</v>
      </c>
      <c r="F1079" s="147">
        <f t="shared" si="529"/>
        <v>1210000</v>
      </c>
      <c r="G1079" s="147">
        <f t="shared" si="530"/>
        <v>1100000</v>
      </c>
      <c r="H1079" s="689" t="s">
        <v>173</v>
      </c>
      <c r="I1079" s="73" t="s">
        <v>109</v>
      </c>
      <c r="J1079" s="60">
        <f>(G1079-(VLOOKUP(C1079,Price!B:D,3,FALSE)*D1079))</f>
        <v>271000</v>
      </c>
      <c r="K1079" s="427">
        <f t="shared" ref="K1079:K1090" si="533">(J1079/(F1079/11*10))</f>
        <v>0.24636363636363637</v>
      </c>
      <c r="L1079" s="874">
        <v>18.7</v>
      </c>
      <c r="M1079" s="584"/>
      <c r="N1079" s="663">
        <f t="shared" si="531"/>
        <v>180704</v>
      </c>
      <c r="O1079" s="73" t="s">
        <v>147</v>
      </c>
      <c r="P1079" s="132" t="str">
        <f t="shared" si="532"/>
        <v>Blanket(1060*860)</v>
      </c>
      <c r="Q1079" s="73">
        <f t="shared" si="532"/>
        <v>10</v>
      </c>
      <c r="R1079" s="147">
        <v>82900</v>
      </c>
      <c r="S1079" s="147">
        <f>R1079*Q1079*1.1</f>
        <v>911900.00000000012</v>
      </c>
      <c r="T1079" s="147">
        <f>R1079*Q1079</f>
        <v>829000</v>
      </c>
      <c r="U1079" s="73" t="str">
        <f t="shared" si="523"/>
        <v>O</v>
      </c>
      <c r="V1079" s="73"/>
      <c r="W1079" s="473">
        <f t="shared" ref="W1079:W1107" si="534">(G1079-T1079)</f>
        <v>271000</v>
      </c>
      <c r="X1079" s="73"/>
      <c r="Y1079" s="73"/>
    </row>
    <row r="1080" spans="1:25" s="209" customFormat="1" ht="30" hidden="1" customHeight="1" x14ac:dyDescent="0.2">
      <c r="A1080" s="82">
        <v>180704</v>
      </c>
      <c r="B1080" s="664" t="s">
        <v>445</v>
      </c>
      <c r="C1080" s="71" t="s">
        <v>138</v>
      </c>
      <c r="D1080" s="71">
        <v>10</v>
      </c>
      <c r="E1080" s="102">
        <v>59500</v>
      </c>
      <c r="F1080" s="163">
        <f t="shared" si="529"/>
        <v>654500</v>
      </c>
      <c r="G1080" s="163">
        <f t="shared" si="530"/>
        <v>595000</v>
      </c>
      <c r="H1080" s="165" t="s">
        <v>172</v>
      </c>
      <c r="I1080" s="71" t="s">
        <v>108</v>
      </c>
      <c r="J1080" s="53">
        <f>(G1080-(VLOOKUP(C1080,Price!B:D,3,FALSE)*D1080))</f>
        <v>85000</v>
      </c>
      <c r="K1080" s="63">
        <f t="shared" si="533"/>
        <v>0.14285714285714285</v>
      </c>
      <c r="L1080" s="871">
        <v>18.7</v>
      </c>
      <c r="M1080" s="468"/>
      <c r="N1080" s="664">
        <f t="shared" si="531"/>
        <v>180704</v>
      </c>
      <c r="O1080" s="71" t="s">
        <v>150</v>
      </c>
      <c r="P1080" s="103" t="str">
        <f>(C1080)</f>
        <v>매엽용 세척제(Wash 562)</v>
      </c>
      <c r="Q1080" s="71">
        <f t="shared" ref="Q1080:Q1091" si="535">D1080</f>
        <v>10</v>
      </c>
      <c r="R1080" s="102">
        <v>51000</v>
      </c>
      <c r="S1080" s="102">
        <f>(R1080*D1080)*1.1</f>
        <v>561000</v>
      </c>
      <c r="T1080" s="102">
        <f>(R1080*Q1080)</f>
        <v>510000</v>
      </c>
      <c r="U1080" s="71" t="str">
        <f t="shared" si="523"/>
        <v>O</v>
      </c>
      <c r="V1080" s="71"/>
      <c r="W1080" s="474">
        <f t="shared" si="534"/>
        <v>85000</v>
      </c>
      <c r="X1080" s="71"/>
      <c r="Y1080" s="71"/>
    </row>
    <row r="1081" spans="1:25" s="209" customFormat="1" ht="30" hidden="1" customHeight="1" x14ac:dyDescent="0.2">
      <c r="A1081" s="429">
        <v>180704</v>
      </c>
      <c r="B1081" s="664" t="s">
        <v>445</v>
      </c>
      <c r="C1081" s="71" t="s">
        <v>107</v>
      </c>
      <c r="D1081" s="71">
        <v>5</v>
      </c>
      <c r="E1081" s="102">
        <v>108000</v>
      </c>
      <c r="F1081" s="163">
        <f t="shared" si="529"/>
        <v>594000</v>
      </c>
      <c r="G1081" s="163">
        <f t="shared" si="530"/>
        <v>540000</v>
      </c>
      <c r="H1081" s="165" t="s">
        <v>172</v>
      </c>
      <c r="I1081" s="71" t="s">
        <v>109</v>
      </c>
      <c r="J1081" s="53">
        <f>(G1081-(VLOOKUP(C1081,Price!B:D,3,FALSE)*D1081))</f>
        <v>137500</v>
      </c>
      <c r="K1081" s="63">
        <f t="shared" si="533"/>
        <v>0.25462962962962965</v>
      </c>
      <c r="L1081" s="871">
        <v>18.7</v>
      </c>
      <c r="M1081" s="468"/>
      <c r="N1081" s="664">
        <f t="shared" si="531"/>
        <v>180704</v>
      </c>
      <c r="O1081" s="71" t="s">
        <v>147</v>
      </c>
      <c r="P1081" s="103" t="str">
        <f>(C1081)</f>
        <v>Blanket(1050*840)</v>
      </c>
      <c r="Q1081" s="71">
        <f t="shared" si="535"/>
        <v>5</v>
      </c>
      <c r="R1081" s="102">
        <v>80500</v>
      </c>
      <c r="S1081" s="102">
        <f>(R1081*D1081)*1.1</f>
        <v>442750.00000000006</v>
      </c>
      <c r="T1081" s="102">
        <f>(R1081*Q1081)</f>
        <v>402500</v>
      </c>
      <c r="U1081" s="71" t="str">
        <f t="shared" si="523"/>
        <v>O</v>
      </c>
      <c r="V1081" s="71"/>
      <c r="W1081" s="474">
        <f t="shared" si="534"/>
        <v>137500</v>
      </c>
      <c r="X1081" s="71"/>
      <c r="Y1081" s="71"/>
    </row>
    <row r="1082" spans="1:25" s="210" customFormat="1" ht="30" hidden="1" customHeight="1" x14ac:dyDescent="0.2">
      <c r="A1082" s="433">
        <v>180704</v>
      </c>
      <c r="B1082" s="668" t="s">
        <v>445</v>
      </c>
      <c r="C1082" s="84" t="s">
        <v>231</v>
      </c>
      <c r="D1082" s="84">
        <v>5</v>
      </c>
      <c r="E1082" s="189">
        <v>120000</v>
      </c>
      <c r="F1082" s="190">
        <f t="shared" si="529"/>
        <v>660000</v>
      </c>
      <c r="G1082" s="190">
        <f t="shared" si="530"/>
        <v>600000</v>
      </c>
      <c r="H1082" s="191" t="s">
        <v>172</v>
      </c>
      <c r="I1082" s="84" t="s">
        <v>109</v>
      </c>
      <c r="J1082" s="61">
        <f>(G1082-(VLOOKUP(C1082,Price!B:D,3,FALSE)*D1082))</f>
        <v>40000</v>
      </c>
      <c r="K1082" s="62">
        <f t="shared" si="533"/>
        <v>6.6666666666666666E-2</v>
      </c>
      <c r="L1082" s="873">
        <v>18.7</v>
      </c>
      <c r="M1082" s="601"/>
      <c r="N1082" s="668">
        <f t="shared" si="531"/>
        <v>180704</v>
      </c>
      <c r="O1082" s="84" t="s">
        <v>151</v>
      </c>
      <c r="P1082" s="133" t="str">
        <f>(C1082)</f>
        <v>Blanket(990*725)</v>
      </c>
      <c r="Q1082" s="84">
        <f t="shared" si="535"/>
        <v>5</v>
      </c>
      <c r="R1082" s="189">
        <v>112000</v>
      </c>
      <c r="S1082" s="189">
        <f>(R1082*D1082)*1.1</f>
        <v>616000</v>
      </c>
      <c r="T1082" s="189">
        <f>(R1082*Q1082)</f>
        <v>560000</v>
      </c>
      <c r="U1082" s="84" t="str">
        <f t="shared" si="523"/>
        <v>O</v>
      </c>
      <c r="V1082" s="84"/>
      <c r="W1082" s="478">
        <f t="shared" si="534"/>
        <v>40000</v>
      </c>
      <c r="X1082" s="84"/>
      <c r="Y1082" s="84"/>
    </row>
    <row r="1083" spans="1:25" ht="30" customHeight="1" x14ac:dyDescent="0.25">
      <c r="A1083" s="80">
        <v>180706</v>
      </c>
      <c r="B1083" s="663" t="s">
        <v>565</v>
      </c>
      <c r="C1083" s="73" t="s">
        <v>1125</v>
      </c>
      <c r="D1083" s="73">
        <v>2</v>
      </c>
      <c r="E1083" s="147">
        <v>47500</v>
      </c>
      <c r="F1083" s="147">
        <f t="shared" ref="F1083:F1111" si="536">(E1083*D1083)*1.1</f>
        <v>104500.00000000001</v>
      </c>
      <c r="G1083" s="147">
        <f t="shared" ref="G1083:G1111" si="537">(E1083*D1083)</f>
        <v>95000</v>
      </c>
      <c r="H1083" s="689" t="s">
        <v>173</v>
      </c>
      <c r="I1083" s="73" t="s">
        <v>142</v>
      </c>
      <c r="J1083" s="60">
        <f>G1083-T1083</f>
        <v>16600</v>
      </c>
      <c r="K1083" s="427">
        <f t="shared" si="533"/>
        <v>0.17473684210526313</v>
      </c>
      <c r="L1083" s="874">
        <v>18.7</v>
      </c>
      <c r="M1083" s="584"/>
      <c r="N1083" s="663">
        <f t="shared" ref="N1083:N1111" si="538">A1083</f>
        <v>180706</v>
      </c>
      <c r="O1083" s="73" t="s">
        <v>150</v>
      </c>
      <c r="P1083" s="132" t="str">
        <f>C1083</f>
        <v>구리스</v>
      </c>
      <c r="Q1083" s="73">
        <f t="shared" si="535"/>
        <v>2</v>
      </c>
      <c r="R1083" s="147">
        <v>39200</v>
      </c>
      <c r="S1083" s="147">
        <f>R1083*Q1083*1.1</f>
        <v>86240</v>
      </c>
      <c r="T1083" s="147">
        <f>R1083*Q1083</f>
        <v>78400</v>
      </c>
      <c r="U1083" s="73" t="str">
        <f t="shared" si="523"/>
        <v>O</v>
      </c>
      <c r="V1083" s="73"/>
      <c r="W1083" s="473">
        <f t="shared" si="534"/>
        <v>16600</v>
      </c>
      <c r="X1083" s="73"/>
      <c r="Y1083" s="73"/>
    </row>
    <row r="1084" spans="1:25" ht="30" customHeight="1" x14ac:dyDescent="0.25">
      <c r="A1084" s="82">
        <v>180706</v>
      </c>
      <c r="B1084" s="664" t="s">
        <v>422</v>
      </c>
      <c r="C1084" s="71" t="s">
        <v>129</v>
      </c>
      <c r="D1084" s="71">
        <v>5</v>
      </c>
      <c r="E1084" s="102">
        <v>272000</v>
      </c>
      <c r="F1084" s="102">
        <f t="shared" si="536"/>
        <v>1496000.0000000002</v>
      </c>
      <c r="G1084" s="102">
        <f t="shared" si="537"/>
        <v>1360000</v>
      </c>
      <c r="H1084" s="690" t="s">
        <v>173</v>
      </c>
      <c r="I1084" s="71" t="s">
        <v>108</v>
      </c>
      <c r="J1084" s="53">
        <f>(G1084-(VLOOKUP(C1084,Price!B:D,3,FALSE)*D1084))</f>
        <v>320000</v>
      </c>
      <c r="K1084" s="63">
        <f t="shared" si="533"/>
        <v>0.23529411764705879</v>
      </c>
      <c r="L1084" s="871">
        <v>18.7</v>
      </c>
      <c r="M1084" s="468"/>
      <c r="N1084" s="664">
        <f t="shared" si="538"/>
        <v>180706</v>
      </c>
      <c r="O1084" s="71" t="s">
        <v>149</v>
      </c>
      <c r="P1084" s="103" t="str">
        <f>C1084</f>
        <v>세정포-XL106</v>
      </c>
      <c r="Q1084" s="71">
        <f t="shared" si="535"/>
        <v>5</v>
      </c>
      <c r="R1084" s="102">
        <v>208000</v>
      </c>
      <c r="S1084" s="102">
        <f>R1084*Q1084*1.1</f>
        <v>1144000</v>
      </c>
      <c r="T1084" s="102">
        <f>R1084*Q1084</f>
        <v>1040000</v>
      </c>
      <c r="U1084" s="71" t="str">
        <f t="shared" si="523"/>
        <v>O</v>
      </c>
      <c r="V1084" s="71"/>
      <c r="W1084" s="474">
        <f t="shared" si="534"/>
        <v>320000</v>
      </c>
      <c r="X1084" s="71"/>
      <c r="Y1084" s="71"/>
    </row>
    <row r="1085" spans="1:25" ht="30" customHeight="1" x14ac:dyDescent="0.25">
      <c r="A1085" s="82">
        <v>180706</v>
      </c>
      <c r="B1085" s="664" t="s">
        <v>422</v>
      </c>
      <c r="C1085" s="71" t="s">
        <v>584</v>
      </c>
      <c r="D1085" s="71">
        <v>3</v>
      </c>
      <c r="E1085" s="102">
        <v>270000</v>
      </c>
      <c r="F1085" s="102">
        <f t="shared" si="536"/>
        <v>891000.00000000012</v>
      </c>
      <c r="G1085" s="102">
        <f t="shared" si="537"/>
        <v>810000</v>
      </c>
      <c r="H1085" s="690" t="s">
        <v>173</v>
      </c>
      <c r="I1085" s="71" t="s">
        <v>142</v>
      </c>
      <c r="J1085" s="53">
        <f>(G1085-(VLOOKUP(C1085,Price!B:D,3,FALSE)*D1085))</f>
        <v>162000</v>
      </c>
      <c r="K1085" s="63">
        <f t="shared" si="533"/>
        <v>0.19999999999999998</v>
      </c>
      <c r="L1085" s="871">
        <v>18.7</v>
      </c>
      <c r="M1085" s="468"/>
      <c r="N1085" s="664">
        <f t="shared" si="538"/>
        <v>180706</v>
      </c>
      <c r="O1085" s="71" t="s">
        <v>150</v>
      </c>
      <c r="P1085" s="103" t="str">
        <f>C1085</f>
        <v>데리바리 석션벨트</v>
      </c>
      <c r="Q1085" s="71">
        <f t="shared" si="535"/>
        <v>3</v>
      </c>
      <c r="R1085" s="102">
        <v>216000</v>
      </c>
      <c r="S1085" s="102">
        <f>R1085*Q1085*1.1</f>
        <v>712800</v>
      </c>
      <c r="T1085" s="102">
        <f>R1085*Q1085</f>
        <v>648000</v>
      </c>
      <c r="U1085" s="71" t="str">
        <f t="shared" si="523"/>
        <v>O</v>
      </c>
      <c r="V1085" s="71"/>
      <c r="W1085" s="474">
        <f t="shared" si="534"/>
        <v>162000</v>
      </c>
      <c r="X1085" s="71"/>
      <c r="Y1085" s="71"/>
    </row>
    <row r="1086" spans="1:25" s="209" customFormat="1" ht="30" customHeight="1" x14ac:dyDescent="0.2">
      <c r="A1086" s="82">
        <v>180706</v>
      </c>
      <c r="B1086" s="664" t="s">
        <v>422</v>
      </c>
      <c r="C1086" s="71" t="s">
        <v>130</v>
      </c>
      <c r="D1086" s="71">
        <v>10</v>
      </c>
      <c r="E1086" s="102">
        <v>125000</v>
      </c>
      <c r="F1086" s="163">
        <f t="shared" si="536"/>
        <v>1375000</v>
      </c>
      <c r="G1086" s="163">
        <f t="shared" si="537"/>
        <v>1250000</v>
      </c>
      <c r="H1086" s="165" t="s">
        <v>172</v>
      </c>
      <c r="I1086" s="71" t="s">
        <v>109</v>
      </c>
      <c r="J1086" s="53">
        <f>(G1086-(VLOOKUP(C1086,Price!B:D,3,FALSE)*D1086))</f>
        <v>260000</v>
      </c>
      <c r="K1086" s="63">
        <f t="shared" si="533"/>
        <v>0.20799999999999999</v>
      </c>
      <c r="L1086" s="871">
        <v>18.7</v>
      </c>
      <c r="M1086" s="468"/>
      <c r="N1086" s="664">
        <f t="shared" si="538"/>
        <v>180706</v>
      </c>
      <c r="O1086" s="71" t="s">
        <v>150</v>
      </c>
      <c r="P1086" s="103" t="str">
        <f>(C1086)</f>
        <v>XL106 Blanket(1077*885)</v>
      </c>
      <c r="Q1086" s="71">
        <f t="shared" si="535"/>
        <v>10</v>
      </c>
      <c r="R1086" s="102">
        <v>99000</v>
      </c>
      <c r="S1086" s="102">
        <f>(R1086*D1086)*1.1</f>
        <v>1089000</v>
      </c>
      <c r="T1086" s="102">
        <f>(R1086*Q1086)</f>
        <v>990000</v>
      </c>
      <c r="U1086" s="71" t="str">
        <f t="shared" si="523"/>
        <v>O</v>
      </c>
      <c r="V1086" s="71"/>
      <c r="W1086" s="474">
        <f t="shared" si="534"/>
        <v>260000</v>
      </c>
      <c r="X1086" s="71"/>
      <c r="Y1086" s="71"/>
    </row>
    <row r="1087" spans="1:25" ht="30" customHeight="1" x14ac:dyDescent="0.25">
      <c r="A1087" s="82">
        <v>180706</v>
      </c>
      <c r="B1087" s="664" t="s">
        <v>565</v>
      </c>
      <c r="C1087" s="71" t="s">
        <v>123</v>
      </c>
      <c r="D1087" s="71">
        <v>3</v>
      </c>
      <c r="E1087" s="102">
        <v>45000</v>
      </c>
      <c r="F1087" s="102">
        <f t="shared" si="536"/>
        <v>148500</v>
      </c>
      <c r="G1087" s="102">
        <f t="shared" si="537"/>
        <v>135000</v>
      </c>
      <c r="H1087" s="1010" t="s">
        <v>39</v>
      </c>
      <c r="I1087" s="71"/>
      <c r="J1087" s="53">
        <f>(G1087-(VLOOKUP(C1087,Price!B:D,3,FALSE)*D1087))</f>
        <v>67617</v>
      </c>
      <c r="K1087" s="63">
        <f t="shared" si="533"/>
        <v>0.50086666666666668</v>
      </c>
      <c r="L1087" s="871">
        <v>18.7</v>
      </c>
      <c r="M1087" s="468"/>
      <c r="N1087" s="664">
        <f t="shared" si="538"/>
        <v>180706</v>
      </c>
      <c r="O1087" s="991" t="s">
        <v>39</v>
      </c>
      <c r="P1087" s="103" t="str">
        <f t="shared" ref="P1087:P1098" si="539">C1087</f>
        <v>필터백</v>
      </c>
      <c r="Q1087" s="71">
        <f t="shared" si="535"/>
        <v>3</v>
      </c>
      <c r="R1087" s="102">
        <v>22461</v>
      </c>
      <c r="S1087" s="102">
        <f t="shared" ref="S1087:S1098" si="540">R1087*Q1087*1.1</f>
        <v>74121.3</v>
      </c>
      <c r="T1087" s="102">
        <f t="shared" ref="T1087:T1098" si="541">R1087*Q1087</f>
        <v>67383</v>
      </c>
      <c r="U1087" s="71" t="str">
        <f t="shared" si="523"/>
        <v>O</v>
      </c>
      <c r="V1087" s="71"/>
      <c r="W1087" s="474">
        <f t="shared" si="534"/>
        <v>67617</v>
      </c>
      <c r="X1087" s="71"/>
      <c r="Y1087" s="71"/>
    </row>
    <row r="1088" spans="1:25" ht="30" hidden="1" customHeight="1" x14ac:dyDescent="0.25">
      <c r="A1088" s="80">
        <v>180706</v>
      </c>
      <c r="B1088" s="664" t="s">
        <v>567</v>
      </c>
      <c r="C1088" s="71" t="s">
        <v>123</v>
      </c>
      <c r="D1088" s="71">
        <v>10</v>
      </c>
      <c r="E1088" s="102">
        <v>40000</v>
      </c>
      <c r="F1088" s="102">
        <f t="shared" si="536"/>
        <v>440000.00000000006</v>
      </c>
      <c r="G1088" s="102">
        <f t="shared" si="537"/>
        <v>400000</v>
      </c>
      <c r="H1088" s="1010" t="s">
        <v>39</v>
      </c>
      <c r="I1088" s="71"/>
      <c r="J1088" s="53">
        <f>(G1088-(VLOOKUP(C1088,Price!B:D,3,FALSE)*D1088))</f>
        <v>175390</v>
      </c>
      <c r="K1088" s="63">
        <f>(J1088/(F1088/11*10))</f>
        <v>0.43847499999999995</v>
      </c>
      <c r="L1088" s="871">
        <v>18.7</v>
      </c>
      <c r="M1088" s="468"/>
      <c r="N1088" s="664">
        <f t="shared" si="538"/>
        <v>180706</v>
      </c>
      <c r="O1088" s="991" t="s">
        <v>39</v>
      </c>
      <c r="P1088" s="103" t="str">
        <f t="shared" si="539"/>
        <v>필터백</v>
      </c>
      <c r="Q1088" s="71">
        <f t="shared" si="535"/>
        <v>10</v>
      </c>
      <c r="R1088" s="102">
        <v>22461</v>
      </c>
      <c r="S1088" s="102">
        <f t="shared" si="540"/>
        <v>247071.00000000003</v>
      </c>
      <c r="T1088" s="102">
        <f t="shared" si="541"/>
        <v>224610</v>
      </c>
      <c r="U1088" s="71" t="str">
        <f t="shared" si="523"/>
        <v>O</v>
      </c>
      <c r="V1088" s="71"/>
      <c r="W1088" s="474">
        <f t="shared" si="534"/>
        <v>175390</v>
      </c>
      <c r="X1088" s="71"/>
      <c r="Y1088" s="71"/>
    </row>
    <row r="1089" spans="1:25" s="657" customFormat="1" ht="30" hidden="1" customHeight="1" x14ac:dyDescent="0.25">
      <c r="A1089" s="80">
        <v>180706</v>
      </c>
      <c r="B1089" s="664" t="s">
        <v>1061</v>
      </c>
      <c r="C1089" s="71" t="s">
        <v>616</v>
      </c>
      <c r="D1089" s="71">
        <v>200</v>
      </c>
      <c r="E1089" s="102">
        <v>6600</v>
      </c>
      <c r="F1089" s="102">
        <f t="shared" si="536"/>
        <v>1452000.0000000002</v>
      </c>
      <c r="G1089" s="102">
        <f t="shared" si="537"/>
        <v>1320000</v>
      </c>
      <c r="H1089" s="690" t="s">
        <v>142</v>
      </c>
      <c r="I1089" s="71" t="s">
        <v>144</v>
      </c>
      <c r="J1089" s="53">
        <f>(G1089-(VLOOKUP(C1089,Price!B:D,3,FALSE)*D1089))</f>
        <v>140000</v>
      </c>
      <c r="K1089" s="63">
        <f>(J1089/(F1089/11*10))</f>
        <v>0.10606060606060604</v>
      </c>
      <c r="L1089" s="871">
        <v>18.7</v>
      </c>
      <c r="M1089" s="468"/>
      <c r="N1089" s="664">
        <f t="shared" si="538"/>
        <v>180706</v>
      </c>
      <c r="O1089" s="71" t="s">
        <v>147</v>
      </c>
      <c r="P1089" s="103" t="str">
        <f t="shared" si="539"/>
        <v>프리미어(먹)</v>
      </c>
      <c r="Q1089" s="71">
        <f t="shared" si="535"/>
        <v>200</v>
      </c>
      <c r="R1089" s="102">
        <v>5900</v>
      </c>
      <c r="S1089" s="102">
        <f t="shared" si="540"/>
        <v>1298000</v>
      </c>
      <c r="T1089" s="102">
        <f t="shared" si="541"/>
        <v>1180000</v>
      </c>
      <c r="U1089" s="71" t="str">
        <f t="shared" si="523"/>
        <v>O</v>
      </c>
      <c r="V1089" s="71"/>
      <c r="W1089" s="474">
        <f t="shared" si="534"/>
        <v>140000</v>
      </c>
      <c r="X1089" s="71"/>
      <c r="Y1089" s="71"/>
    </row>
    <row r="1090" spans="1:25" s="803" customFormat="1" ht="30" hidden="1" customHeight="1" x14ac:dyDescent="0.25">
      <c r="A1090" s="85">
        <v>180706</v>
      </c>
      <c r="B1090" s="668" t="s">
        <v>1061</v>
      </c>
      <c r="C1090" s="84" t="s">
        <v>586</v>
      </c>
      <c r="D1090" s="84">
        <v>200</v>
      </c>
      <c r="E1090" s="189">
        <v>6750</v>
      </c>
      <c r="F1090" s="189">
        <f>(E1090*D1090)*1.1</f>
        <v>1485000.0000000002</v>
      </c>
      <c r="G1090" s="189">
        <f>(E1090*D1090)</f>
        <v>1350000</v>
      </c>
      <c r="H1090" s="691" t="s">
        <v>142</v>
      </c>
      <c r="I1090" s="84" t="s">
        <v>144</v>
      </c>
      <c r="J1090" s="61">
        <f>(G1090-(VLOOKUP(C1090,Price!B:D,3,FALSE)*D1090))</f>
        <v>114000</v>
      </c>
      <c r="K1090" s="62">
        <f t="shared" si="533"/>
        <v>8.4444444444444433E-2</v>
      </c>
      <c r="L1090" s="85">
        <v>18.7</v>
      </c>
      <c r="M1090" s="601"/>
      <c r="N1090" s="668">
        <f>A1090</f>
        <v>180706</v>
      </c>
      <c r="O1090" s="84" t="s">
        <v>147</v>
      </c>
      <c r="P1090" s="133" t="str">
        <f t="shared" si="539"/>
        <v>프리미어(황)</v>
      </c>
      <c r="Q1090" s="84">
        <f t="shared" si="535"/>
        <v>200</v>
      </c>
      <c r="R1090" s="189">
        <v>6180</v>
      </c>
      <c r="S1090" s="189">
        <f t="shared" si="540"/>
        <v>1359600</v>
      </c>
      <c r="T1090" s="189">
        <f t="shared" si="541"/>
        <v>1236000</v>
      </c>
      <c r="U1090" s="84" t="str">
        <f t="shared" si="523"/>
        <v>O</v>
      </c>
      <c r="V1090" s="84"/>
      <c r="W1090" s="478">
        <f t="shared" si="534"/>
        <v>114000</v>
      </c>
      <c r="X1090" s="84"/>
      <c r="Y1090" s="84"/>
    </row>
    <row r="1091" spans="1:25" ht="30" hidden="1" customHeight="1" x14ac:dyDescent="0.25">
      <c r="A1091" s="80">
        <v>180710</v>
      </c>
      <c r="B1091" s="663" t="s">
        <v>819</v>
      </c>
      <c r="C1091" s="73" t="s">
        <v>123</v>
      </c>
      <c r="D1091" s="73">
        <v>20</v>
      </c>
      <c r="E1091" s="147">
        <v>40000</v>
      </c>
      <c r="F1091" s="147">
        <f t="shared" si="536"/>
        <v>880000.00000000012</v>
      </c>
      <c r="G1091" s="147">
        <f t="shared" si="537"/>
        <v>800000</v>
      </c>
      <c r="H1091" s="1005" t="s">
        <v>39</v>
      </c>
      <c r="I1091" s="73"/>
      <c r="J1091" s="60">
        <f>G1091-T1091</f>
        <v>350780</v>
      </c>
      <c r="K1091" s="427">
        <f t="shared" ref="K1091:K1104" si="542">(J1091/(F1091/11*10))</f>
        <v>0.43847499999999995</v>
      </c>
      <c r="L1091" s="874">
        <v>18.7</v>
      </c>
      <c r="M1091" s="584"/>
      <c r="N1091" s="663">
        <f t="shared" si="538"/>
        <v>180710</v>
      </c>
      <c r="O1091" s="987" t="s">
        <v>39</v>
      </c>
      <c r="P1091" s="132" t="str">
        <f t="shared" si="539"/>
        <v>필터백</v>
      </c>
      <c r="Q1091" s="73">
        <f t="shared" si="535"/>
        <v>20</v>
      </c>
      <c r="R1091" s="147">
        <f>VLOOKUP(P1091,Price!B:D,3,FALSE)</f>
        <v>22461</v>
      </c>
      <c r="S1091" s="147">
        <f t="shared" si="540"/>
        <v>494142.00000000006</v>
      </c>
      <c r="T1091" s="147">
        <f t="shared" si="541"/>
        <v>449220</v>
      </c>
      <c r="U1091" s="73" t="str">
        <f t="shared" si="523"/>
        <v>O</v>
      </c>
      <c r="V1091" s="73"/>
      <c r="W1091" s="473">
        <f t="shared" si="534"/>
        <v>350780</v>
      </c>
      <c r="X1091" s="73"/>
      <c r="Y1091" s="73"/>
    </row>
    <row r="1092" spans="1:25" s="210" customFormat="1" ht="30" hidden="1" customHeight="1" x14ac:dyDescent="0.25">
      <c r="A1092" s="85">
        <v>180710</v>
      </c>
      <c r="B1092" s="668" t="s">
        <v>764</v>
      </c>
      <c r="C1092" s="84" t="s">
        <v>236</v>
      </c>
      <c r="D1092" s="84">
        <v>5</v>
      </c>
      <c r="E1092" s="189">
        <v>100000</v>
      </c>
      <c r="F1092" s="189">
        <f t="shared" si="536"/>
        <v>550000</v>
      </c>
      <c r="G1092" s="189">
        <f t="shared" si="537"/>
        <v>500000</v>
      </c>
      <c r="H1092" s="691" t="s">
        <v>173</v>
      </c>
      <c r="I1092" s="84" t="s">
        <v>142</v>
      </c>
      <c r="J1092" s="61">
        <f>(G1092-(VLOOKUP(C1092,Price!B:D,3,FALSE)*D1092))</f>
        <v>250000</v>
      </c>
      <c r="K1092" s="62">
        <f t="shared" si="542"/>
        <v>0.5</v>
      </c>
      <c r="L1092" s="873">
        <v>18.7</v>
      </c>
      <c r="M1092" s="601"/>
      <c r="N1092" s="668">
        <f t="shared" si="538"/>
        <v>180710</v>
      </c>
      <c r="O1092" s="84" t="s">
        <v>153</v>
      </c>
      <c r="P1092" s="133" t="str">
        <f t="shared" si="539"/>
        <v>아스테이지(국전)</v>
      </c>
      <c r="Q1092" s="84">
        <f t="shared" ref="Q1092:Q1107" si="543">D1092</f>
        <v>5</v>
      </c>
      <c r="R1092" s="189">
        <f>VLOOKUP(P1092,Price!B:D,3,FALSE)</f>
        <v>50000</v>
      </c>
      <c r="S1092" s="189">
        <f t="shared" si="540"/>
        <v>275000</v>
      </c>
      <c r="T1092" s="189">
        <f t="shared" si="541"/>
        <v>250000</v>
      </c>
      <c r="U1092" s="84" t="str">
        <f t="shared" si="523"/>
        <v>O</v>
      </c>
      <c r="V1092" s="84"/>
      <c r="W1092" s="478">
        <f t="shared" si="534"/>
        <v>250000</v>
      </c>
      <c r="X1092" s="84"/>
      <c r="Y1092" s="84"/>
    </row>
    <row r="1093" spans="1:25" ht="30" hidden="1" customHeight="1" x14ac:dyDescent="0.25">
      <c r="A1093" s="80">
        <v>180711</v>
      </c>
      <c r="B1093" s="663" t="s">
        <v>690</v>
      </c>
      <c r="C1093" s="73" t="s">
        <v>1186</v>
      </c>
      <c r="D1093" s="73">
        <v>500</v>
      </c>
      <c r="E1093" s="147">
        <v>3850</v>
      </c>
      <c r="F1093" s="147">
        <f t="shared" si="536"/>
        <v>2117500</v>
      </c>
      <c r="G1093" s="147">
        <f t="shared" si="537"/>
        <v>1925000</v>
      </c>
      <c r="H1093" s="689" t="s">
        <v>173</v>
      </c>
      <c r="I1093" s="73" t="s">
        <v>140</v>
      </c>
      <c r="J1093" s="60">
        <f>(G1093-(VLOOKUP(C1093,Price!B:D,3,FALSE)*D1093))</f>
        <v>-75000</v>
      </c>
      <c r="K1093" s="427">
        <f t="shared" si="542"/>
        <v>-3.896103896103896E-2</v>
      </c>
      <c r="L1093" s="874">
        <v>18.7</v>
      </c>
      <c r="M1093" s="584" t="s">
        <v>1190</v>
      </c>
      <c r="N1093" s="663">
        <f t="shared" si="538"/>
        <v>180711</v>
      </c>
      <c r="O1093" s="73" t="s">
        <v>145</v>
      </c>
      <c r="P1093" s="132" t="str">
        <f t="shared" si="539"/>
        <v>CTP 판(1030*790mm)</v>
      </c>
      <c r="Q1093" s="73">
        <f t="shared" si="543"/>
        <v>500</v>
      </c>
      <c r="R1093" s="147">
        <v>4000</v>
      </c>
      <c r="S1093" s="147">
        <f t="shared" si="540"/>
        <v>2200000</v>
      </c>
      <c r="T1093" s="147">
        <f t="shared" si="541"/>
        <v>2000000</v>
      </c>
      <c r="U1093" s="73" t="str">
        <f t="shared" si="523"/>
        <v>O</v>
      </c>
      <c r="V1093" s="73"/>
      <c r="W1093" s="473">
        <f t="shared" si="534"/>
        <v>-75000</v>
      </c>
      <c r="X1093" s="73"/>
      <c r="Y1093" s="73"/>
    </row>
    <row r="1094" spans="1:25" ht="30" hidden="1" customHeight="1" x14ac:dyDescent="0.25">
      <c r="A1094" s="82">
        <v>180711</v>
      </c>
      <c r="B1094" s="664" t="s">
        <v>690</v>
      </c>
      <c r="C1094" s="71" t="s">
        <v>750</v>
      </c>
      <c r="D1094" s="71">
        <v>1</v>
      </c>
      <c r="E1094" s="102">
        <v>58000</v>
      </c>
      <c r="F1094" s="102">
        <f t="shared" si="536"/>
        <v>63800.000000000007</v>
      </c>
      <c r="G1094" s="102">
        <f t="shared" si="537"/>
        <v>58000</v>
      </c>
      <c r="H1094" s="690" t="s">
        <v>173</v>
      </c>
      <c r="I1094" s="71" t="s">
        <v>140</v>
      </c>
      <c r="J1094" s="53">
        <f>(G1094-(VLOOKUP(C1094,Price!B:D,3,FALSE)*D1094))</f>
        <v>23000</v>
      </c>
      <c r="K1094" s="63">
        <f t="shared" si="542"/>
        <v>0.39655172413793099</v>
      </c>
      <c r="L1094" s="871">
        <v>18.7</v>
      </c>
      <c r="M1094" s="468"/>
      <c r="N1094" s="664">
        <f t="shared" si="538"/>
        <v>180711</v>
      </c>
      <c r="O1094" s="71" t="s">
        <v>145</v>
      </c>
      <c r="P1094" s="103" t="str">
        <f t="shared" si="539"/>
        <v>THD200(20L)</v>
      </c>
      <c r="Q1094" s="71">
        <f t="shared" si="543"/>
        <v>1</v>
      </c>
      <c r="R1094" s="102">
        <v>35000</v>
      </c>
      <c r="S1094" s="102">
        <f t="shared" si="540"/>
        <v>38500</v>
      </c>
      <c r="T1094" s="102">
        <f t="shared" si="541"/>
        <v>35000</v>
      </c>
      <c r="U1094" s="71" t="str">
        <f t="shared" si="523"/>
        <v>O</v>
      </c>
      <c r="V1094" s="71"/>
      <c r="W1094" s="474">
        <f t="shared" si="534"/>
        <v>23000</v>
      </c>
      <c r="X1094" s="71"/>
      <c r="Y1094" s="71"/>
    </row>
    <row r="1095" spans="1:25" s="602" customFormat="1" ht="30" customHeight="1" x14ac:dyDescent="0.25">
      <c r="A1095" s="85">
        <v>180711</v>
      </c>
      <c r="B1095" s="668" t="s">
        <v>422</v>
      </c>
      <c r="C1095" s="962" t="s">
        <v>218</v>
      </c>
      <c r="D1095" s="84">
        <v>5</v>
      </c>
      <c r="E1095" s="189">
        <v>235000</v>
      </c>
      <c r="F1095" s="189">
        <f t="shared" si="536"/>
        <v>1292500</v>
      </c>
      <c r="G1095" s="189">
        <f t="shared" si="537"/>
        <v>1175000</v>
      </c>
      <c r="H1095" s="691" t="s">
        <v>173</v>
      </c>
      <c r="I1095" s="84" t="s">
        <v>120</v>
      </c>
      <c r="J1095" s="61">
        <f>(G1095-(VLOOKUP(C1095,Price!B:D,3,FALSE)*D1095))</f>
        <v>612500</v>
      </c>
      <c r="K1095" s="62">
        <f t="shared" si="542"/>
        <v>0.52127659574468088</v>
      </c>
      <c r="L1095" s="85">
        <v>18.7</v>
      </c>
      <c r="M1095" s="601"/>
      <c r="N1095" s="668">
        <f t="shared" si="538"/>
        <v>180711</v>
      </c>
      <c r="O1095" s="84" t="s">
        <v>150</v>
      </c>
      <c r="P1095" s="133" t="str">
        <f t="shared" si="539"/>
        <v>Fount Web 551AF</v>
      </c>
      <c r="Q1095" s="84">
        <f t="shared" si="543"/>
        <v>5</v>
      </c>
      <c r="R1095" s="189">
        <v>112500</v>
      </c>
      <c r="S1095" s="189">
        <f t="shared" si="540"/>
        <v>618750</v>
      </c>
      <c r="T1095" s="189">
        <f t="shared" si="541"/>
        <v>562500</v>
      </c>
      <c r="U1095" s="84" t="str">
        <f t="shared" si="523"/>
        <v>O</v>
      </c>
      <c r="V1095" s="84"/>
      <c r="W1095" s="478">
        <f t="shared" si="534"/>
        <v>612500</v>
      </c>
      <c r="X1095" s="84"/>
      <c r="Y1095" s="84"/>
    </row>
    <row r="1096" spans="1:25" s="610" customFormat="1" ht="30" hidden="1" customHeight="1" x14ac:dyDescent="0.25">
      <c r="A1096" s="89">
        <v>180712</v>
      </c>
      <c r="B1096" s="673" t="s">
        <v>631</v>
      </c>
      <c r="C1096" s="87" t="s">
        <v>956</v>
      </c>
      <c r="D1096" s="88">
        <v>10</v>
      </c>
      <c r="E1096" s="470">
        <v>82500</v>
      </c>
      <c r="F1096" s="470">
        <f t="shared" si="536"/>
        <v>907500.00000000012</v>
      </c>
      <c r="G1096" s="470">
        <f t="shared" si="537"/>
        <v>825000</v>
      </c>
      <c r="H1096" s="695" t="s">
        <v>173</v>
      </c>
      <c r="I1096" s="88" t="s">
        <v>109</v>
      </c>
      <c r="J1096" s="107">
        <f>(G1096-(VLOOKUP(C1096,Price!B:D,3,FALSE)*D1096))</f>
        <v>185000</v>
      </c>
      <c r="K1096" s="469">
        <f t="shared" si="542"/>
        <v>0.22424242424242422</v>
      </c>
      <c r="L1096" s="89">
        <v>18.7</v>
      </c>
      <c r="M1096" s="575"/>
      <c r="N1096" s="673">
        <f t="shared" si="538"/>
        <v>180712</v>
      </c>
      <c r="O1096" s="88" t="s">
        <v>149</v>
      </c>
      <c r="P1096" s="134" t="str">
        <f t="shared" si="539"/>
        <v>Bar블랑켓 830*750</v>
      </c>
      <c r="Q1096" s="88">
        <f t="shared" si="543"/>
        <v>10</v>
      </c>
      <c r="R1096" s="470">
        <v>64000</v>
      </c>
      <c r="S1096" s="470">
        <f t="shared" si="540"/>
        <v>704000</v>
      </c>
      <c r="T1096" s="470">
        <f t="shared" si="541"/>
        <v>640000</v>
      </c>
      <c r="U1096" s="88" t="str">
        <f t="shared" si="523"/>
        <v>O</v>
      </c>
      <c r="V1096" s="88"/>
      <c r="W1096" s="945">
        <f t="shared" si="534"/>
        <v>185000</v>
      </c>
      <c r="X1096" s="88"/>
      <c r="Y1096" s="88"/>
    </row>
    <row r="1097" spans="1:25" ht="30" hidden="1" customHeight="1" x14ac:dyDescent="0.25">
      <c r="A1097" s="80">
        <v>180713</v>
      </c>
      <c r="B1097" s="663" t="s">
        <v>983</v>
      </c>
      <c r="C1097" s="73" t="s">
        <v>1009</v>
      </c>
      <c r="D1097" s="73">
        <v>520</v>
      </c>
      <c r="E1097" s="147">
        <v>3900</v>
      </c>
      <c r="F1097" s="147">
        <f t="shared" si="536"/>
        <v>2230800</v>
      </c>
      <c r="G1097" s="147">
        <f t="shared" si="537"/>
        <v>2028000</v>
      </c>
      <c r="H1097" s="689" t="s">
        <v>173</v>
      </c>
      <c r="I1097" s="73" t="s">
        <v>140</v>
      </c>
      <c r="J1097" s="60">
        <f>G1097-T1097</f>
        <v>312000</v>
      </c>
      <c r="K1097" s="427">
        <f>(J1097/(F1097/11*10))</f>
        <v>0.15384615384615385</v>
      </c>
      <c r="L1097" s="874">
        <v>18.7</v>
      </c>
      <c r="M1097" s="584"/>
      <c r="N1097" s="663">
        <f t="shared" si="538"/>
        <v>180713</v>
      </c>
      <c r="O1097" s="73" t="s">
        <v>147</v>
      </c>
      <c r="P1097" s="132" t="str">
        <f t="shared" si="539"/>
        <v>CTP판(1030*790mm)</v>
      </c>
      <c r="Q1097" s="73">
        <f t="shared" si="543"/>
        <v>520</v>
      </c>
      <c r="R1097" s="147">
        <v>3300</v>
      </c>
      <c r="S1097" s="147">
        <f t="shared" si="540"/>
        <v>1887600.0000000002</v>
      </c>
      <c r="T1097" s="147">
        <f t="shared" si="541"/>
        <v>1716000</v>
      </c>
      <c r="U1097" s="73" t="str">
        <f t="shared" si="523"/>
        <v>O</v>
      </c>
      <c r="V1097" s="73"/>
      <c r="W1097" s="473">
        <f t="shared" si="534"/>
        <v>312000</v>
      </c>
      <c r="X1097" s="73"/>
      <c r="Y1097" s="73"/>
    </row>
    <row r="1098" spans="1:25" ht="30" hidden="1" customHeight="1" x14ac:dyDescent="0.25">
      <c r="A1098" s="82">
        <v>180713</v>
      </c>
      <c r="B1098" s="664" t="s">
        <v>983</v>
      </c>
      <c r="C1098" s="71" t="s">
        <v>984</v>
      </c>
      <c r="D1098" s="71">
        <v>5</v>
      </c>
      <c r="E1098" s="102">
        <v>45000</v>
      </c>
      <c r="F1098" s="102">
        <f t="shared" si="536"/>
        <v>247500.00000000003</v>
      </c>
      <c r="G1098" s="102">
        <f t="shared" si="537"/>
        <v>225000</v>
      </c>
      <c r="H1098" s="690" t="s">
        <v>173</v>
      </c>
      <c r="I1098" s="71" t="s">
        <v>140</v>
      </c>
      <c r="J1098" s="53">
        <f>G1098-T1098</f>
        <v>50000</v>
      </c>
      <c r="K1098" s="63">
        <f>(J1098/(F1098/11*10))</f>
        <v>0.22222222222222218</v>
      </c>
      <c r="L1098" s="871">
        <v>18.7</v>
      </c>
      <c r="M1098" s="468"/>
      <c r="N1098" s="664">
        <f t="shared" si="538"/>
        <v>180713</v>
      </c>
      <c r="O1098" s="71" t="s">
        <v>147</v>
      </c>
      <c r="P1098" s="103" t="str">
        <f t="shared" si="539"/>
        <v>CTP 현상액</v>
      </c>
      <c r="Q1098" s="71">
        <f t="shared" si="543"/>
        <v>5</v>
      </c>
      <c r="R1098" s="102">
        <v>35000</v>
      </c>
      <c r="S1098" s="102">
        <f t="shared" si="540"/>
        <v>192500.00000000003</v>
      </c>
      <c r="T1098" s="102">
        <f t="shared" si="541"/>
        <v>175000</v>
      </c>
      <c r="U1098" s="71" t="str">
        <f t="shared" si="523"/>
        <v>O</v>
      </c>
      <c r="V1098" s="71"/>
      <c r="W1098" s="474">
        <f t="shared" si="534"/>
        <v>50000</v>
      </c>
      <c r="X1098" s="71"/>
      <c r="Y1098" s="71"/>
    </row>
    <row r="1099" spans="1:25" s="209" customFormat="1" ht="30" customHeight="1" x14ac:dyDescent="0.25">
      <c r="A1099" s="82">
        <v>180713</v>
      </c>
      <c r="B1099" s="664" t="s">
        <v>565</v>
      </c>
      <c r="C1099" s="71" t="s">
        <v>583</v>
      </c>
      <c r="D1099" s="71">
        <v>24</v>
      </c>
      <c r="E1099" s="102">
        <v>89000</v>
      </c>
      <c r="F1099" s="102">
        <f t="shared" si="536"/>
        <v>2349600</v>
      </c>
      <c r="G1099" s="102">
        <f t="shared" si="537"/>
        <v>2136000</v>
      </c>
      <c r="H1099" s="690" t="s">
        <v>173</v>
      </c>
      <c r="I1099" s="71" t="s">
        <v>108</v>
      </c>
      <c r="J1099" s="53">
        <f>(G1099-(VLOOKUP(C1099,Price!B:D,3,FALSE)*D1099))</f>
        <v>1080000</v>
      </c>
      <c r="K1099" s="63">
        <f t="shared" si="542"/>
        <v>0.5056179775280899</v>
      </c>
      <c r="L1099" s="82">
        <v>18.7</v>
      </c>
      <c r="M1099" s="468"/>
      <c r="N1099" s="664">
        <f t="shared" si="538"/>
        <v>180713</v>
      </c>
      <c r="O1099" s="71" t="s">
        <v>599</v>
      </c>
      <c r="P1099" s="103" t="str">
        <f>(C1099)</f>
        <v>M600 윤전 세정포</v>
      </c>
      <c r="Q1099" s="71">
        <f t="shared" si="543"/>
        <v>24</v>
      </c>
      <c r="R1099" s="102">
        <v>44000</v>
      </c>
      <c r="S1099" s="102">
        <f>(R1099*D1099)*1.1</f>
        <v>1161600</v>
      </c>
      <c r="T1099" s="102">
        <f>(R1099*Q1099)</f>
        <v>1056000</v>
      </c>
      <c r="U1099" s="71" t="str">
        <f t="shared" si="523"/>
        <v>O</v>
      </c>
      <c r="V1099" s="71"/>
      <c r="W1099" s="474">
        <f t="shared" si="534"/>
        <v>1080000</v>
      </c>
      <c r="X1099" s="71"/>
      <c r="Y1099" s="71"/>
    </row>
    <row r="1100" spans="1:25" ht="30" hidden="1" customHeight="1" x14ac:dyDescent="0.25">
      <c r="A1100" s="82">
        <v>180713</v>
      </c>
      <c r="B1100" s="664" t="s">
        <v>1052</v>
      </c>
      <c r="C1100" s="71" t="s">
        <v>1115</v>
      </c>
      <c r="D1100" s="71">
        <v>100</v>
      </c>
      <c r="E1100" s="102">
        <v>6200</v>
      </c>
      <c r="F1100" s="102">
        <f t="shared" si="536"/>
        <v>682000</v>
      </c>
      <c r="G1100" s="102">
        <f t="shared" si="537"/>
        <v>620000</v>
      </c>
      <c r="H1100" s="690" t="s">
        <v>142</v>
      </c>
      <c r="I1100" s="71" t="s">
        <v>144</v>
      </c>
      <c r="J1100" s="53">
        <f>G1100-T1100</f>
        <v>10000</v>
      </c>
      <c r="K1100" s="63">
        <f t="shared" si="542"/>
        <v>1.6129032258064516E-2</v>
      </c>
      <c r="L1100" s="82">
        <v>18.7</v>
      </c>
      <c r="M1100" s="468"/>
      <c r="N1100" s="664">
        <f t="shared" si="538"/>
        <v>180713</v>
      </c>
      <c r="O1100" s="71" t="s">
        <v>147</v>
      </c>
      <c r="P1100" s="103" t="str">
        <f t="shared" ref="P1100:P1107" si="544">C1100</f>
        <v>한특 잉크(적)</v>
      </c>
      <c r="Q1100" s="71">
        <f t="shared" si="543"/>
        <v>100</v>
      </c>
      <c r="R1100" s="102">
        <v>6100</v>
      </c>
      <c r="S1100" s="102">
        <f>R1100*Q1100*1.1</f>
        <v>671000</v>
      </c>
      <c r="T1100" s="102">
        <f>R1100*Q1100</f>
        <v>610000</v>
      </c>
      <c r="U1100" s="71" t="str">
        <f t="shared" si="523"/>
        <v>O</v>
      </c>
      <c r="V1100" s="71"/>
      <c r="W1100" s="474">
        <f t="shared" si="534"/>
        <v>10000</v>
      </c>
      <c r="X1100" s="71"/>
      <c r="Y1100" s="71"/>
    </row>
    <row r="1101" spans="1:25" ht="30" hidden="1" customHeight="1" x14ac:dyDescent="0.25">
      <c r="A1101" s="82">
        <v>180713</v>
      </c>
      <c r="B1101" s="664" t="s">
        <v>1052</v>
      </c>
      <c r="C1101" s="71" t="s">
        <v>1116</v>
      </c>
      <c r="D1101" s="71">
        <v>100</v>
      </c>
      <c r="E1101" s="102">
        <v>6000</v>
      </c>
      <c r="F1101" s="102">
        <f t="shared" si="536"/>
        <v>660000</v>
      </c>
      <c r="G1101" s="102">
        <f t="shared" si="537"/>
        <v>600000</v>
      </c>
      <c r="H1101" s="690" t="s">
        <v>142</v>
      </c>
      <c r="I1101" s="71" t="s">
        <v>144</v>
      </c>
      <c r="J1101" s="53">
        <f>G1101-T1101</f>
        <v>10000</v>
      </c>
      <c r="K1101" s="63">
        <f t="shared" si="542"/>
        <v>1.6666666666666666E-2</v>
      </c>
      <c r="L1101" s="82">
        <v>18.7</v>
      </c>
      <c r="M1101" s="468"/>
      <c r="N1101" s="664">
        <f t="shared" si="538"/>
        <v>180713</v>
      </c>
      <c r="O1101" s="71" t="s">
        <v>147</v>
      </c>
      <c r="P1101" s="103" t="str">
        <f t="shared" si="544"/>
        <v>한특 잉크(황)</v>
      </c>
      <c r="Q1101" s="71">
        <f t="shared" si="543"/>
        <v>100</v>
      </c>
      <c r="R1101" s="102">
        <v>5900</v>
      </c>
      <c r="S1101" s="102">
        <f>R1101*Q1101*1.1</f>
        <v>649000</v>
      </c>
      <c r="T1101" s="102">
        <f>R1101*Q1101</f>
        <v>590000</v>
      </c>
      <c r="U1101" s="71" t="str">
        <f t="shared" si="523"/>
        <v>O</v>
      </c>
      <c r="V1101" s="71"/>
      <c r="W1101" s="474">
        <f t="shared" si="534"/>
        <v>10000</v>
      </c>
      <c r="X1101" s="71"/>
      <c r="Y1101" s="71"/>
    </row>
    <row r="1102" spans="1:25" ht="30" hidden="1" customHeight="1" x14ac:dyDescent="0.25">
      <c r="A1102" s="82">
        <v>180713</v>
      </c>
      <c r="B1102" s="664" t="s">
        <v>1052</v>
      </c>
      <c r="C1102" s="71" t="s">
        <v>1117</v>
      </c>
      <c r="D1102" s="71">
        <v>100</v>
      </c>
      <c r="E1102" s="102">
        <v>6500</v>
      </c>
      <c r="F1102" s="102">
        <f t="shared" si="536"/>
        <v>715000</v>
      </c>
      <c r="G1102" s="102">
        <f t="shared" si="537"/>
        <v>650000</v>
      </c>
      <c r="H1102" s="690" t="s">
        <v>142</v>
      </c>
      <c r="I1102" s="71" t="s">
        <v>144</v>
      </c>
      <c r="J1102" s="53">
        <f>G1102-T1102</f>
        <v>10000</v>
      </c>
      <c r="K1102" s="63">
        <f t="shared" si="542"/>
        <v>1.5384615384615385E-2</v>
      </c>
      <c r="L1102" s="82">
        <v>18.7</v>
      </c>
      <c r="M1102" s="468"/>
      <c r="N1102" s="664">
        <f t="shared" si="538"/>
        <v>180713</v>
      </c>
      <c r="O1102" s="71" t="s">
        <v>147</v>
      </c>
      <c r="P1102" s="103" t="str">
        <f t="shared" si="544"/>
        <v>한특 잉크(청)</v>
      </c>
      <c r="Q1102" s="71">
        <f t="shared" si="543"/>
        <v>100</v>
      </c>
      <c r="R1102" s="102">
        <v>6400</v>
      </c>
      <c r="S1102" s="102">
        <f>R1102*Q1102*1.1</f>
        <v>704000</v>
      </c>
      <c r="T1102" s="102">
        <f>R1102*Q1102</f>
        <v>640000</v>
      </c>
      <c r="U1102" s="71" t="str">
        <f t="shared" si="523"/>
        <v>O</v>
      </c>
      <c r="V1102" s="71"/>
      <c r="W1102" s="474">
        <f t="shared" si="534"/>
        <v>10000</v>
      </c>
      <c r="X1102" s="71"/>
      <c r="Y1102" s="71"/>
    </row>
    <row r="1103" spans="1:25" ht="30" hidden="1" customHeight="1" x14ac:dyDescent="0.25">
      <c r="A1103" s="82">
        <v>180713</v>
      </c>
      <c r="B1103" s="664" t="s">
        <v>1061</v>
      </c>
      <c r="C1103" s="71" t="s">
        <v>586</v>
      </c>
      <c r="D1103" s="71">
        <v>400</v>
      </c>
      <c r="E1103" s="102">
        <v>6750</v>
      </c>
      <c r="F1103" s="102">
        <f t="shared" si="536"/>
        <v>2970000.0000000005</v>
      </c>
      <c r="G1103" s="102">
        <f t="shared" si="537"/>
        <v>2700000</v>
      </c>
      <c r="H1103" s="690" t="s">
        <v>142</v>
      </c>
      <c r="I1103" s="71" t="s">
        <v>144</v>
      </c>
      <c r="J1103" s="53">
        <f>(G1103-(VLOOKUP(C1103,Price!B:D,3,FALSE)*D1103))</f>
        <v>228000</v>
      </c>
      <c r="K1103" s="63">
        <f t="shared" si="542"/>
        <v>8.4444444444444433E-2</v>
      </c>
      <c r="L1103" s="82">
        <v>18.7</v>
      </c>
      <c r="M1103" s="468"/>
      <c r="N1103" s="664">
        <f t="shared" si="538"/>
        <v>180713</v>
      </c>
      <c r="O1103" s="71" t="s">
        <v>147</v>
      </c>
      <c r="P1103" s="103" t="str">
        <f t="shared" si="544"/>
        <v>프리미어(황)</v>
      </c>
      <c r="Q1103" s="71">
        <f t="shared" si="543"/>
        <v>400</v>
      </c>
      <c r="R1103" s="102">
        <v>6180</v>
      </c>
      <c r="S1103" s="102">
        <f>R1103*Q1103*1.1</f>
        <v>2719200</v>
      </c>
      <c r="T1103" s="102">
        <f>R1103*Q1103</f>
        <v>2472000</v>
      </c>
      <c r="U1103" s="71" t="str">
        <f t="shared" si="523"/>
        <v>O</v>
      </c>
      <c r="V1103" s="71"/>
      <c r="W1103" s="474">
        <f t="shared" si="534"/>
        <v>228000</v>
      </c>
      <c r="X1103" s="71"/>
      <c r="Y1103" s="71"/>
    </row>
    <row r="1104" spans="1:25" ht="30" hidden="1" customHeight="1" x14ac:dyDescent="0.25">
      <c r="A1104" s="82">
        <v>180713</v>
      </c>
      <c r="B1104" s="664" t="s">
        <v>1061</v>
      </c>
      <c r="C1104" s="71" t="s">
        <v>587</v>
      </c>
      <c r="D1104" s="71">
        <v>200</v>
      </c>
      <c r="E1104" s="102">
        <v>8000</v>
      </c>
      <c r="F1104" s="102">
        <f t="shared" si="536"/>
        <v>1760000.0000000002</v>
      </c>
      <c r="G1104" s="102">
        <f t="shared" si="537"/>
        <v>1600000</v>
      </c>
      <c r="H1104" s="690" t="s">
        <v>142</v>
      </c>
      <c r="I1104" s="71" t="s">
        <v>144</v>
      </c>
      <c r="J1104" s="53">
        <f>(G1104-(VLOOKUP(C1104,Price!B:D,3,FALSE)*D1104))</f>
        <v>218000</v>
      </c>
      <c r="K1104" s="63">
        <f t="shared" si="542"/>
        <v>0.13624999999999998</v>
      </c>
      <c r="L1104" s="82">
        <v>18.7</v>
      </c>
      <c r="M1104" s="468"/>
      <c r="N1104" s="664">
        <f t="shared" si="538"/>
        <v>180713</v>
      </c>
      <c r="O1104" s="71" t="s">
        <v>147</v>
      </c>
      <c r="P1104" s="103" t="str">
        <f t="shared" si="544"/>
        <v>프리미어(청)</v>
      </c>
      <c r="Q1104" s="71">
        <f t="shared" si="543"/>
        <v>200</v>
      </c>
      <c r="R1104" s="102">
        <v>6910</v>
      </c>
      <c r="S1104" s="102">
        <f>R1104*Q1104*1.1</f>
        <v>1520200.0000000002</v>
      </c>
      <c r="T1104" s="102">
        <f>R1104*Q1104</f>
        <v>1382000</v>
      </c>
      <c r="U1104" s="71" t="str">
        <f t="shared" si="523"/>
        <v>O</v>
      </c>
      <c r="V1104" s="71"/>
      <c r="W1104" s="474">
        <f t="shared" si="534"/>
        <v>218000</v>
      </c>
      <c r="X1104" s="71"/>
      <c r="Y1104" s="71"/>
    </row>
    <row r="1105" spans="1:25" ht="30" hidden="1" customHeight="1" x14ac:dyDescent="0.25">
      <c r="A1105" s="82">
        <v>180713</v>
      </c>
      <c r="B1105" s="664" t="s">
        <v>1299</v>
      </c>
      <c r="C1105" s="71" t="s">
        <v>1300</v>
      </c>
      <c r="D1105" s="71">
        <v>50</v>
      </c>
      <c r="E1105" s="102">
        <v>23400</v>
      </c>
      <c r="F1105" s="102">
        <f t="shared" si="536"/>
        <v>1287000</v>
      </c>
      <c r="G1105" s="102">
        <f t="shared" si="537"/>
        <v>1170000</v>
      </c>
      <c r="H1105" s="690" t="s">
        <v>142</v>
      </c>
      <c r="I1105" s="71" t="s">
        <v>142</v>
      </c>
      <c r="J1105" s="53">
        <f>G1105-T1105</f>
        <v>1170000</v>
      </c>
      <c r="K1105" s="63">
        <f>(J1105/(F1105/11*10))</f>
        <v>1</v>
      </c>
      <c r="L1105" s="82">
        <v>18.7</v>
      </c>
      <c r="M1105" s="468" t="s">
        <v>1301</v>
      </c>
      <c r="N1105" s="664">
        <f t="shared" si="538"/>
        <v>180713</v>
      </c>
      <c r="O1105" s="991" t="s">
        <v>39</v>
      </c>
      <c r="P1105" s="103" t="str">
        <f t="shared" si="544"/>
        <v>솔레노이드 코일</v>
      </c>
      <c r="Q1105" s="71">
        <f t="shared" si="543"/>
        <v>50</v>
      </c>
      <c r="R1105" s="102"/>
      <c r="S1105" s="102"/>
      <c r="T1105" s="102"/>
      <c r="U1105" s="71"/>
      <c r="V1105" s="71"/>
      <c r="W1105" s="474">
        <f t="shared" si="534"/>
        <v>1170000</v>
      </c>
      <c r="X1105" s="71"/>
      <c r="Y1105" s="71"/>
    </row>
    <row r="1106" spans="1:25" ht="30" hidden="1" customHeight="1" x14ac:dyDescent="0.25">
      <c r="A1106" s="82">
        <v>180713</v>
      </c>
      <c r="B1106" s="664" t="s">
        <v>1155</v>
      </c>
      <c r="C1106" s="71" t="s">
        <v>884</v>
      </c>
      <c r="D1106" s="71">
        <v>10</v>
      </c>
      <c r="E1106" s="102">
        <v>60000</v>
      </c>
      <c r="F1106" s="102">
        <f t="shared" si="536"/>
        <v>660000</v>
      </c>
      <c r="G1106" s="102">
        <f t="shared" si="537"/>
        <v>600000</v>
      </c>
      <c r="H1106" s="779" t="s">
        <v>113</v>
      </c>
      <c r="I1106" s="71"/>
      <c r="J1106" s="53">
        <f>G1106-T1106</f>
        <v>300262.52590996964</v>
      </c>
      <c r="K1106" s="63">
        <f>(J1106/(F1106/11*10))</f>
        <v>0.50043754318328271</v>
      </c>
      <c r="L1106" s="871">
        <v>18.7</v>
      </c>
      <c r="M1106" s="468"/>
      <c r="N1106" s="664">
        <f t="shared" si="538"/>
        <v>180713</v>
      </c>
      <c r="O1106" s="808" t="s">
        <v>113</v>
      </c>
      <c r="P1106" s="103" t="str">
        <f t="shared" si="544"/>
        <v>재단목</v>
      </c>
      <c r="Q1106" s="71">
        <f t="shared" si="543"/>
        <v>10</v>
      </c>
      <c r="R1106" s="102">
        <f>Import!G98</f>
        <v>29973.747409003037</v>
      </c>
      <c r="S1106" s="102">
        <f>R1106*Q1106*1.1</f>
        <v>329711.22149903345</v>
      </c>
      <c r="T1106" s="102">
        <f>R1106*Q1106</f>
        <v>299737.47409003036</v>
      </c>
      <c r="U1106" s="71" t="str">
        <f t="shared" ref="U1106:U1119" si="545">IF(J1106=W1106,"O", "X")</f>
        <v>O</v>
      </c>
      <c r="V1106" s="71"/>
      <c r="W1106" s="474">
        <f t="shared" si="534"/>
        <v>300262.52590996964</v>
      </c>
      <c r="X1106" s="71"/>
      <c r="Y1106" s="71"/>
    </row>
    <row r="1107" spans="1:25" ht="30" hidden="1" customHeight="1" x14ac:dyDescent="0.25">
      <c r="A1107" s="80">
        <v>180713</v>
      </c>
      <c r="B1107" s="663" t="s">
        <v>545</v>
      </c>
      <c r="C1107" s="73" t="s">
        <v>825</v>
      </c>
      <c r="D1107" s="73">
        <v>1</v>
      </c>
      <c r="E1107" s="147">
        <v>110000</v>
      </c>
      <c r="F1107" s="147">
        <f t="shared" si="536"/>
        <v>121000.00000000001</v>
      </c>
      <c r="G1107" s="147">
        <f t="shared" si="537"/>
        <v>110000</v>
      </c>
      <c r="H1107" s="689" t="s">
        <v>173</v>
      </c>
      <c r="I1107" s="73" t="s">
        <v>142</v>
      </c>
      <c r="J1107" s="60">
        <f>G1107-R1107</f>
        <v>15000</v>
      </c>
      <c r="K1107" s="427">
        <f>(J1107/(F1107/11*10))</f>
        <v>0.13636363636363635</v>
      </c>
      <c r="L1107" s="874">
        <v>18.7</v>
      </c>
      <c r="M1107" s="584"/>
      <c r="N1107" s="663">
        <f t="shared" si="538"/>
        <v>180713</v>
      </c>
      <c r="O1107" s="73" t="s">
        <v>150</v>
      </c>
      <c r="P1107" s="132" t="str">
        <f t="shared" si="544"/>
        <v>독일제 정품 잉크호일 아스테이지</v>
      </c>
      <c r="Q1107" s="73">
        <f t="shared" si="543"/>
        <v>1</v>
      </c>
      <c r="R1107" s="147">
        <v>95000</v>
      </c>
      <c r="S1107" s="147">
        <f>R1107*Q1107*1.1</f>
        <v>104500.00000000001</v>
      </c>
      <c r="T1107" s="147">
        <f>R1107*Q1107</f>
        <v>95000</v>
      </c>
      <c r="U1107" s="73" t="str">
        <f t="shared" si="545"/>
        <v>O</v>
      </c>
      <c r="V1107" s="73"/>
      <c r="W1107" s="473">
        <f t="shared" si="534"/>
        <v>15000</v>
      </c>
      <c r="X1107" s="73"/>
      <c r="Y1107" s="73"/>
    </row>
    <row r="1108" spans="1:25" s="602" customFormat="1" ht="30" hidden="1" customHeight="1" x14ac:dyDescent="0.25">
      <c r="A1108" s="612">
        <v>180713</v>
      </c>
      <c r="B1108" s="672" t="s">
        <v>545</v>
      </c>
      <c r="C1108" s="411" t="s">
        <v>805</v>
      </c>
      <c r="D1108" s="411">
        <v>2</v>
      </c>
      <c r="E1108" s="198">
        <v>180000</v>
      </c>
      <c r="F1108" s="198">
        <f t="shared" si="536"/>
        <v>396000.00000000006</v>
      </c>
      <c r="G1108" s="198">
        <f t="shared" si="537"/>
        <v>360000</v>
      </c>
      <c r="H1108" s="696" t="s">
        <v>173</v>
      </c>
      <c r="I1108" s="411" t="s">
        <v>120</v>
      </c>
      <c r="J1108" s="61">
        <f>(G1108-(VLOOKUP(C1108,Price!B:D,3,FALSE)*D1108))</f>
        <v>80000</v>
      </c>
      <c r="K1108" s="62">
        <f t="shared" ref="K1108:K1117" si="546">(J1108/(F1108/11*10))</f>
        <v>0.22222222222222218</v>
      </c>
      <c r="L1108" s="899">
        <v>18.7</v>
      </c>
      <c r="M1108" s="581"/>
      <c r="N1108" s="672">
        <f t="shared" si="538"/>
        <v>180713</v>
      </c>
      <c r="O1108" s="411" t="s">
        <v>150</v>
      </c>
      <c r="P1108" s="465" t="str">
        <f>C1108</f>
        <v>Fount 554</v>
      </c>
      <c r="Q1108" s="411">
        <f>D1108</f>
        <v>2</v>
      </c>
      <c r="R1108" s="198">
        <v>140000</v>
      </c>
      <c r="S1108" s="198">
        <f>R1108*Q1108*1.1</f>
        <v>308000</v>
      </c>
      <c r="T1108" s="198">
        <f>R1108*Q1108</f>
        <v>280000</v>
      </c>
      <c r="U1108" s="411" t="str">
        <f t="shared" si="545"/>
        <v>X</v>
      </c>
      <c r="V1108" s="411"/>
      <c r="W1108" s="963"/>
      <c r="X1108" s="411"/>
      <c r="Y1108" s="411"/>
    </row>
    <row r="1109" spans="1:25" s="610" customFormat="1" ht="30" customHeight="1" x14ac:dyDescent="0.25">
      <c r="A1109" s="89">
        <v>180716</v>
      </c>
      <c r="B1109" s="673" t="s">
        <v>565</v>
      </c>
      <c r="C1109" s="88" t="s">
        <v>1298</v>
      </c>
      <c r="D1109" s="88">
        <v>5</v>
      </c>
      <c r="E1109" s="470">
        <v>120000</v>
      </c>
      <c r="F1109" s="470">
        <f t="shared" si="536"/>
        <v>660000</v>
      </c>
      <c r="G1109" s="470">
        <f t="shared" si="537"/>
        <v>600000</v>
      </c>
      <c r="H1109" s="815" t="s">
        <v>113</v>
      </c>
      <c r="I1109" s="88"/>
      <c r="J1109" s="107">
        <f>G1109-T1109</f>
        <v>269238.5216377938</v>
      </c>
      <c r="K1109" s="469">
        <f>(J1109/(F1109/11*10))</f>
        <v>0.44873086939632301</v>
      </c>
      <c r="L1109" s="875">
        <v>18.7</v>
      </c>
      <c r="M1109" s="575"/>
      <c r="N1109" s="673">
        <f t="shared" si="538"/>
        <v>180716</v>
      </c>
      <c r="O1109" s="731" t="s">
        <v>113</v>
      </c>
      <c r="P1109" s="134" t="str">
        <f>C1109</f>
        <v>재단칼</v>
      </c>
      <c r="Q1109" s="88">
        <v>5</v>
      </c>
      <c r="R1109" s="470">
        <f>Import!G99</f>
        <v>66152.295672441236</v>
      </c>
      <c r="S1109" s="470">
        <f>(R1109*D1109)*1.1</f>
        <v>363837.62619842682</v>
      </c>
      <c r="T1109" s="470">
        <f>(R1109*Q1109)</f>
        <v>330761.4783622062</v>
      </c>
      <c r="U1109" s="88" t="str">
        <f t="shared" si="545"/>
        <v>X</v>
      </c>
      <c r="V1109" s="88"/>
      <c r="W1109" s="945"/>
      <c r="X1109" s="88"/>
      <c r="Y1109" s="88"/>
    </row>
    <row r="1110" spans="1:25" s="209" customFormat="1" ht="30" hidden="1" customHeight="1" x14ac:dyDescent="0.2">
      <c r="A1110" s="428">
        <v>180718</v>
      </c>
      <c r="B1110" s="663" t="s">
        <v>1286</v>
      </c>
      <c r="C1110" s="73" t="s">
        <v>231</v>
      </c>
      <c r="D1110" s="73">
        <v>10</v>
      </c>
      <c r="E1110" s="147">
        <v>120000</v>
      </c>
      <c r="F1110" s="160">
        <f t="shared" si="536"/>
        <v>1320000</v>
      </c>
      <c r="G1110" s="160">
        <f t="shared" si="537"/>
        <v>1200000</v>
      </c>
      <c r="H1110" s="161" t="s">
        <v>172</v>
      </c>
      <c r="I1110" s="73" t="s">
        <v>109</v>
      </c>
      <c r="J1110" s="60">
        <f>(G1110-(VLOOKUP(C1110,Price!B:D,3,FALSE)*D1110))</f>
        <v>80000</v>
      </c>
      <c r="K1110" s="427">
        <f t="shared" si="546"/>
        <v>6.6666666666666666E-2</v>
      </c>
      <c r="L1110" s="874">
        <v>18.7</v>
      </c>
      <c r="M1110" s="584"/>
      <c r="N1110" s="663">
        <f t="shared" si="538"/>
        <v>180718</v>
      </c>
      <c r="O1110" s="73" t="s">
        <v>151</v>
      </c>
      <c r="P1110" s="132" t="str">
        <f>(C1110)</f>
        <v>Blanket(990*725)</v>
      </c>
      <c r="Q1110" s="73">
        <f>D1110</f>
        <v>10</v>
      </c>
      <c r="R1110" s="147">
        <v>112000</v>
      </c>
      <c r="S1110" s="147">
        <f>(R1110*D1110)*1.1</f>
        <v>1232000</v>
      </c>
      <c r="T1110" s="147">
        <f>(R1110*Q1110)</f>
        <v>1120000</v>
      </c>
      <c r="U1110" s="73" t="str">
        <f t="shared" si="545"/>
        <v>O</v>
      </c>
      <c r="V1110" s="73"/>
      <c r="W1110" s="473">
        <f>(G1110-T1110)</f>
        <v>80000</v>
      </c>
      <c r="X1110" s="73"/>
      <c r="Y1110" s="73"/>
    </row>
    <row r="1111" spans="1:25" ht="30" hidden="1" customHeight="1" x14ac:dyDescent="0.25">
      <c r="A1111" s="82">
        <v>180718</v>
      </c>
      <c r="B1111" s="664" t="s">
        <v>1286</v>
      </c>
      <c r="C1111" s="71" t="s">
        <v>1144</v>
      </c>
      <c r="D1111" s="71">
        <v>10</v>
      </c>
      <c r="E1111" s="102">
        <v>110000</v>
      </c>
      <c r="F1111" s="102">
        <f t="shared" si="536"/>
        <v>1210000</v>
      </c>
      <c r="G1111" s="102">
        <f t="shared" si="537"/>
        <v>1100000</v>
      </c>
      <c r="H1111" s="690" t="s">
        <v>173</v>
      </c>
      <c r="I1111" s="71" t="s">
        <v>142</v>
      </c>
      <c r="J1111" s="53">
        <f>G1111-T1111</f>
        <v>190000</v>
      </c>
      <c r="K1111" s="63">
        <f t="shared" si="546"/>
        <v>0.17272727272727273</v>
      </c>
      <c r="L1111" s="871">
        <v>18.7</v>
      </c>
      <c r="M1111" s="468"/>
      <c r="N1111" s="664">
        <f t="shared" si="538"/>
        <v>180718</v>
      </c>
      <c r="O1111" s="71" t="s">
        <v>150</v>
      </c>
      <c r="P1111" s="103" t="str">
        <f>C1111</f>
        <v>실리콘 에멀전</v>
      </c>
      <c r="Q1111" s="71">
        <f>D1111</f>
        <v>10</v>
      </c>
      <c r="R1111" s="102">
        <v>91000</v>
      </c>
      <c r="S1111" s="102">
        <f>R1111*Q1111*1.1</f>
        <v>1001000.0000000001</v>
      </c>
      <c r="T1111" s="102">
        <f>R1111*Q1111</f>
        <v>910000</v>
      </c>
      <c r="U1111" s="71" t="str">
        <f t="shared" si="545"/>
        <v>X</v>
      </c>
      <c r="V1111" s="71"/>
      <c r="W1111" s="474"/>
      <c r="X1111" s="71"/>
      <c r="Y1111" s="71"/>
    </row>
    <row r="1112" spans="1:25" s="209" customFormat="1" ht="30" hidden="1" customHeight="1" x14ac:dyDescent="0.25">
      <c r="A1112" s="82">
        <v>180718</v>
      </c>
      <c r="B1112" s="664" t="s">
        <v>1286</v>
      </c>
      <c r="C1112" s="71" t="s">
        <v>277</v>
      </c>
      <c r="D1112" s="71">
        <v>10</v>
      </c>
      <c r="E1112" s="102">
        <v>172000</v>
      </c>
      <c r="F1112" s="102">
        <f t="shared" ref="F1112:F1121" si="547">(E1112*D1112)*1.1</f>
        <v>1892000.0000000002</v>
      </c>
      <c r="G1112" s="102">
        <f t="shared" ref="G1112:G1121" si="548">(E1112*D1112)</f>
        <v>1720000</v>
      </c>
      <c r="H1112" s="690" t="s">
        <v>173</v>
      </c>
      <c r="I1112" s="71" t="s">
        <v>108</v>
      </c>
      <c r="J1112" s="53">
        <f>(G1112-(VLOOKUP(C1112,Price!B:D,3,FALSE)*D1112))</f>
        <v>570000</v>
      </c>
      <c r="K1112" s="63">
        <f t="shared" si="546"/>
        <v>0.33139534883720928</v>
      </c>
      <c r="L1112" s="871">
        <v>18.7</v>
      </c>
      <c r="M1112" s="468"/>
      <c r="N1112" s="664">
        <f t="shared" ref="N1112:N1118" si="549">A1112</f>
        <v>180718</v>
      </c>
      <c r="O1112" s="71" t="s">
        <v>150</v>
      </c>
      <c r="P1112" s="103" t="str">
        <f>(C1112)</f>
        <v>윤전용 세척제(Web 504)</v>
      </c>
      <c r="Q1112" s="71">
        <f>D1112</f>
        <v>10</v>
      </c>
      <c r="R1112" s="102">
        <v>115000</v>
      </c>
      <c r="S1112" s="102">
        <f>(R1112*D1112)*1.1</f>
        <v>1265000</v>
      </c>
      <c r="T1112" s="102">
        <f>(R1112*Q1112)</f>
        <v>1150000</v>
      </c>
      <c r="U1112" s="71" t="str">
        <f t="shared" si="545"/>
        <v>O</v>
      </c>
      <c r="V1112" s="71"/>
      <c r="W1112" s="474">
        <f t="shared" ref="W1112:W1117" si="550">(G1112-T1112)</f>
        <v>570000</v>
      </c>
      <c r="X1112" s="71"/>
      <c r="Y1112" s="71"/>
    </row>
    <row r="1113" spans="1:25" ht="30" hidden="1" customHeight="1" x14ac:dyDescent="0.25">
      <c r="A1113" s="82">
        <v>180718</v>
      </c>
      <c r="B1113" s="664" t="s">
        <v>442</v>
      </c>
      <c r="C1113" s="71" t="s">
        <v>133</v>
      </c>
      <c r="D1113" s="71">
        <v>2</v>
      </c>
      <c r="E1113" s="102">
        <v>327000</v>
      </c>
      <c r="F1113" s="102">
        <f t="shared" si="547"/>
        <v>719400</v>
      </c>
      <c r="G1113" s="102">
        <f t="shared" si="548"/>
        <v>654000</v>
      </c>
      <c r="H1113" s="690" t="s">
        <v>173</v>
      </c>
      <c r="I1113" s="71" t="s">
        <v>141</v>
      </c>
      <c r="J1113" s="53">
        <f>(G1113-(VLOOKUP(C1113,Price!B:D,3,FALSE)*D1113))</f>
        <v>115800</v>
      </c>
      <c r="K1113" s="63">
        <f t="shared" si="546"/>
        <v>0.17706422018348625</v>
      </c>
      <c r="L1113" s="871">
        <v>18.7</v>
      </c>
      <c r="M1113" s="468"/>
      <c r="N1113" s="664">
        <f t="shared" si="549"/>
        <v>180718</v>
      </c>
      <c r="O1113" s="71" t="s">
        <v>145</v>
      </c>
      <c r="P1113" s="103" t="str">
        <f t="shared" ref="P1113:P1119" si="551">C1113</f>
        <v>Agfa Film(24inch)</v>
      </c>
      <c r="Q1113" s="71">
        <f t="shared" ref="Q1113:Q1120" si="552">D1113</f>
        <v>2</v>
      </c>
      <c r="R1113" s="102">
        <f>VLOOKUP(P1113,Price!B:D,3,FALSE)</f>
        <v>269100</v>
      </c>
      <c r="S1113" s="102">
        <f t="shared" ref="S1113:S1120" si="553">R1113*Q1113*1.1</f>
        <v>592020</v>
      </c>
      <c r="T1113" s="102">
        <f t="shared" ref="T1113:T1120" si="554">R1113*Q1113</f>
        <v>538200</v>
      </c>
      <c r="U1113" s="71" t="str">
        <f t="shared" si="545"/>
        <v>O</v>
      </c>
      <c r="V1113" s="71"/>
      <c r="W1113" s="474">
        <f t="shared" si="550"/>
        <v>115800</v>
      </c>
      <c r="X1113" s="71"/>
      <c r="Y1113" s="71"/>
    </row>
    <row r="1114" spans="1:25" ht="30" hidden="1" customHeight="1" x14ac:dyDescent="0.25">
      <c r="A1114" s="82">
        <v>180718</v>
      </c>
      <c r="B1114" s="664" t="s">
        <v>442</v>
      </c>
      <c r="C1114" s="71" t="s">
        <v>134</v>
      </c>
      <c r="D1114" s="71">
        <v>2</v>
      </c>
      <c r="E1114" s="102">
        <v>401000</v>
      </c>
      <c r="F1114" s="102">
        <f t="shared" si="547"/>
        <v>882200.00000000012</v>
      </c>
      <c r="G1114" s="102">
        <f t="shared" si="548"/>
        <v>802000</v>
      </c>
      <c r="H1114" s="690" t="s">
        <v>173</v>
      </c>
      <c r="I1114" s="71" t="s">
        <v>141</v>
      </c>
      <c r="J1114" s="53">
        <f>(G1114-(VLOOKUP(C1114,Price!B:D,3,FALSE)*D1114))</f>
        <v>174080</v>
      </c>
      <c r="K1114" s="63">
        <f t="shared" si="546"/>
        <v>0.21705735660847877</v>
      </c>
      <c r="L1114" s="871">
        <v>18.7</v>
      </c>
      <c r="M1114" s="468"/>
      <c r="N1114" s="664">
        <f t="shared" si="549"/>
        <v>180718</v>
      </c>
      <c r="O1114" s="71" t="s">
        <v>145</v>
      </c>
      <c r="P1114" s="103" t="str">
        <f t="shared" si="551"/>
        <v>Agfa Film(28inch)</v>
      </c>
      <c r="Q1114" s="71">
        <f t="shared" si="552"/>
        <v>2</v>
      </c>
      <c r="R1114" s="102">
        <f>VLOOKUP(P1114,Price!B:D,3,FALSE)</f>
        <v>313960</v>
      </c>
      <c r="S1114" s="102">
        <f t="shared" si="553"/>
        <v>690712</v>
      </c>
      <c r="T1114" s="102">
        <f t="shared" si="554"/>
        <v>627920</v>
      </c>
      <c r="U1114" s="71" t="str">
        <f t="shared" si="545"/>
        <v>O</v>
      </c>
      <c r="V1114" s="71"/>
      <c r="W1114" s="474">
        <f t="shared" si="550"/>
        <v>174080</v>
      </c>
      <c r="X1114" s="71"/>
      <c r="Y1114" s="71"/>
    </row>
    <row r="1115" spans="1:25" ht="30" hidden="1" customHeight="1" x14ac:dyDescent="0.25">
      <c r="A1115" s="82">
        <v>180718</v>
      </c>
      <c r="B1115" s="664" t="s">
        <v>442</v>
      </c>
      <c r="C1115" s="71" t="s">
        <v>135</v>
      </c>
      <c r="D1115" s="71">
        <v>2</v>
      </c>
      <c r="E1115" s="102">
        <v>448000</v>
      </c>
      <c r="F1115" s="102">
        <f t="shared" si="547"/>
        <v>985600.00000000012</v>
      </c>
      <c r="G1115" s="102">
        <f t="shared" si="548"/>
        <v>896000</v>
      </c>
      <c r="H1115" s="690" t="s">
        <v>173</v>
      </c>
      <c r="I1115" s="71" t="s">
        <v>141</v>
      </c>
      <c r="J1115" s="53">
        <f>(G1115-(VLOOKUP(C1115,Price!B:D,3,FALSE)*D1115))</f>
        <v>155980</v>
      </c>
      <c r="K1115" s="63">
        <f t="shared" si="546"/>
        <v>0.1740848214285714</v>
      </c>
      <c r="L1115" s="871">
        <v>18.7</v>
      </c>
      <c r="M1115" s="468"/>
      <c r="N1115" s="664">
        <f t="shared" si="549"/>
        <v>180718</v>
      </c>
      <c r="O1115" s="71" t="s">
        <v>145</v>
      </c>
      <c r="P1115" s="103" t="str">
        <f t="shared" si="551"/>
        <v>Agfa Film(32inch)</v>
      </c>
      <c r="Q1115" s="71">
        <f t="shared" si="552"/>
        <v>2</v>
      </c>
      <c r="R1115" s="102">
        <f>VLOOKUP(P1115,Price!B:D,3,FALSE)</f>
        <v>370010</v>
      </c>
      <c r="S1115" s="102">
        <f t="shared" si="553"/>
        <v>814022.00000000012</v>
      </c>
      <c r="T1115" s="102">
        <f t="shared" si="554"/>
        <v>740020</v>
      </c>
      <c r="U1115" s="71" t="str">
        <f t="shared" si="545"/>
        <v>O</v>
      </c>
      <c r="V1115" s="71"/>
      <c r="W1115" s="474">
        <f t="shared" si="550"/>
        <v>155980</v>
      </c>
      <c r="X1115" s="71"/>
      <c r="Y1115" s="71"/>
    </row>
    <row r="1116" spans="1:25" ht="30" hidden="1" customHeight="1" x14ac:dyDescent="0.25">
      <c r="A1116" s="82">
        <v>180718</v>
      </c>
      <c r="B1116" s="664" t="s">
        <v>442</v>
      </c>
      <c r="C1116" s="71" t="s">
        <v>649</v>
      </c>
      <c r="D1116" s="71">
        <v>2</v>
      </c>
      <c r="E1116" s="102">
        <v>41000</v>
      </c>
      <c r="F1116" s="102">
        <f t="shared" si="547"/>
        <v>90200.000000000015</v>
      </c>
      <c r="G1116" s="102">
        <f t="shared" si="548"/>
        <v>82000</v>
      </c>
      <c r="H1116" s="690" t="s">
        <v>173</v>
      </c>
      <c r="I1116" s="71" t="s">
        <v>141</v>
      </c>
      <c r="J1116" s="53">
        <f>(G1116-(VLOOKUP(C1116,Price!B:D,3,FALSE)*D1116))</f>
        <v>32000</v>
      </c>
      <c r="K1116" s="63">
        <f t="shared" si="546"/>
        <v>0.39024390243902435</v>
      </c>
      <c r="L1116" s="871">
        <v>18.7</v>
      </c>
      <c r="M1116" s="468"/>
      <c r="N1116" s="664">
        <f t="shared" si="549"/>
        <v>180718</v>
      </c>
      <c r="O1116" s="71" t="s">
        <v>145</v>
      </c>
      <c r="P1116" s="103" t="str">
        <f t="shared" si="551"/>
        <v>Agfa 현상액 G101C(10L)</v>
      </c>
      <c r="Q1116" s="71">
        <f t="shared" si="552"/>
        <v>2</v>
      </c>
      <c r="R1116" s="102">
        <f>VLOOKUP(P1116,Price!B:D,3,FALSE)</f>
        <v>25000</v>
      </c>
      <c r="S1116" s="102">
        <f t="shared" si="553"/>
        <v>55000.000000000007</v>
      </c>
      <c r="T1116" s="102">
        <f t="shared" si="554"/>
        <v>50000</v>
      </c>
      <c r="U1116" s="71" t="str">
        <f t="shared" si="545"/>
        <v>O</v>
      </c>
      <c r="V1116" s="71"/>
      <c r="W1116" s="474">
        <f t="shared" si="550"/>
        <v>32000</v>
      </c>
      <c r="X1116" s="71"/>
      <c r="Y1116" s="71"/>
    </row>
    <row r="1117" spans="1:25" ht="33" hidden="1" customHeight="1" x14ac:dyDescent="0.25">
      <c r="A1117" s="82">
        <v>180718</v>
      </c>
      <c r="B1117" s="664" t="s">
        <v>690</v>
      </c>
      <c r="C1117" s="71" t="s">
        <v>750</v>
      </c>
      <c r="D1117" s="71">
        <v>1</v>
      </c>
      <c r="E1117" s="102">
        <v>58000</v>
      </c>
      <c r="F1117" s="102">
        <f t="shared" si="547"/>
        <v>63800.000000000007</v>
      </c>
      <c r="G1117" s="102">
        <f t="shared" si="548"/>
        <v>58000</v>
      </c>
      <c r="H1117" s="690" t="s">
        <v>173</v>
      </c>
      <c r="I1117" s="71" t="s">
        <v>140</v>
      </c>
      <c r="J1117" s="53">
        <f>(G1117-(VLOOKUP(C1117,Price!B:D,3,FALSE)*D1117))</f>
        <v>23000</v>
      </c>
      <c r="K1117" s="63">
        <f t="shared" si="546"/>
        <v>0.39655172413793099</v>
      </c>
      <c r="L1117" s="871">
        <v>18.7</v>
      </c>
      <c r="M1117" s="468"/>
      <c r="N1117" s="664">
        <f t="shared" si="549"/>
        <v>180718</v>
      </c>
      <c r="O1117" s="71" t="s">
        <v>145</v>
      </c>
      <c r="P1117" s="103" t="str">
        <f t="shared" si="551"/>
        <v>THD200(20L)</v>
      </c>
      <c r="Q1117" s="71">
        <f t="shared" si="552"/>
        <v>1</v>
      </c>
      <c r="R1117" s="102">
        <v>35000</v>
      </c>
      <c r="S1117" s="102">
        <f t="shared" si="553"/>
        <v>38500</v>
      </c>
      <c r="T1117" s="102">
        <f t="shared" si="554"/>
        <v>35000</v>
      </c>
      <c r="U1117" s="71" t="str">
        <f t="shared" si="545"/>
        <v>O</v>
      </c>
      <c r="V1117" s="71"/>
      <c r="W1117" s="474">
        <f t="shared" si="550"/>
        <v>23000</v>
      </c>
      <c r="X1117" s="71"/>
      <c r="Y1117" s="71"/>
    </row>
    <row r="1118" spans="1:25" s="602" customFormat="1" ht="30" hidden="1" customHeight="1" x14ac:dyDescent="0.25">
      <c r="A1118" s="85">
        <v>180718</v>
      </c>
      <c r="B1118" s="668" t="s">
        <v>690</v>
      </c>
      <c r="C1118" s="83" t="s">
        <v>197</v>
      </c>
      <c r="D1118" s="84">
        <v>1</v>
      </c>
      <c r="E1118" s="189">
        <v>58000</v>
      </c>
      <c r="F1118" s="189">
        <f t="shared" si="547"/>
        <v>63800.000000000007</v>
      </c>
      <c r="G1118" s="189">
        <f t="shared" si="548"/>
        <v>58000</v>
      </c>
      <c r="H1118" s="691" t="s">
        <v>173</v>
      </c>
      <c r="I1118" s="84" t="s">
        <v>140</v>
      </c>
      <c r="J1118" s="61">
        <f>(G1118-(VLOOKUP(C1118,Price!B:D,3,FALSE)*D1118))</f>
        <v>23000</v>
      </c>
      <c r="K1118" s="62">
        <f t="shared" ref="K1118:K1124" si="555">(J1118/(F1118/11*10))</f>
        <v>0.39655172413793099</v>
      </c>
      <c r="L1118" s="873">
        <v>18.7</v>
      </c>
      <c r="M1118" s="601"/>
      <c r="N1118" s="668">
        <f t="shared" si="549"/>
        <v>180718</v>
      </c>
      <c r="O1118" s="84" t="s">
        <v>145</v>
      </c>
      <c r="P1118" s="133" t="str">
        <f t="shared" si="551"/>
        <v>THR200(20L)</v>
      </c>
      <c r="Q1118" s="84">
        <f t="shared" si="552"/>
        <v>1</v>
      </c>
      <c r="R1118" s="189">
        <v>35000</v>
      </c>
      <c r="S1118" s="189">
        <f t="shared" si="553"/>
        <v>38500</v>
      </c>
      <c r="T1118" s="189">
        <f t="shared" si="554"/>
        <v>35000</v>
      </c>
      <c r="U1118" s="84" t="str">
        <f t="shared" si="545"/>
        <v>X</v>
      </c>
      <c r="V1118" s="84"/>
      <c r="W1118" s="478"/>
      <c r="X1118" s="84"/>
      <c r="Y1118" s="84"/>
    </row>
    <row r="1119" spans="1:25" ht="30" hidden="1" customHeight="1" x14ac:dyDescent="0.25">
      <c r="A1119" s="80">
        <v>180719</v>
      </c>
      <c r="B1119" s="663" t="s">
        <v>545</v>
      </c>
      <c r="C1119" s="73" t="s">
        <v>952</v>
      </c>
      <c r="D1119" s="73">
        <v>1</v>
      </c>
      <c r="E1119" s="147">
        <v>630000</v>
      </c>
      <c r="F1119" s="147">
        <f t="shared" si="547"/>
        <v>693000</v>
      </c>
      <c r="G1119" s="147">
        <f t="shared" si="548"/>
        <v>630000</v>
      </c>
      <c r="H1119" s="689" t="s">
        <v>173</v>
      </c>
      <c r="I1119" s="73" t="s">
        <v>108</v>
      </c>
      <c r="J1119" s="60">
        <f>(G1119-(VLOOKUP(C1119,Price!B:D,3,FALSE)*D1119))</f>
        <v>180000</v>
      </c>
      <c r="K1119" s="427">
        <f t="shared" si="555"/>
        <v>0.2857142857142857</v>
      </c>
      <c r="L1119" s="80">
        <v>18.7</v>
      </c>
      <c r="M1119" s="584"/>
      <c r="N1119" s="663">
        <f t="shared" ref="N1119:N1128" si="556">A1119</f>
        <v>180719</v>
      </c>
      <c r="O1119" s="73" t="s">
        <v>599</v>
      </c>
      <c r="P1119" s="132" t="str">
        <f t="shared" si="551"/>
        <v>점보롤 세정포</v>
      </c>
      <c r="Q1119" s="73">
        <f t="shared" si="552"/>
        <v>1</v>
      </c>
      <c r="R1119" s="147">
        <v>440000</v>
      </c>
      <c r="S1119" s="147">
        <f t="shared" si="553"/>
        <v>484000.00000000006</v>
      </c>
      <c r="T1119" s="147">
        <f t="shared" si="554"/>
        <v>440000</v>
      </c>
      <c r="U1119" s="73" t="str">
        <f t="shared" si="545"/>
        <v>X</v>
      </c>
      <c r="V1119" s="73" t="s">
        <v>1228</v>
      </c>
      <c r="W1119" s="473">
        <f>(G1119-T1119)</f>
        <v>190000</v>
      </c>
      <c r="X1119" s="73"/>
      <c r="Y1119" s="73"/>
    </row>
    <row r="1120" spans="1:25" ht="30" hidden="1" customHeight="1" x14ac:dyDescent="0.25">
      <c r="A1120" s="82">
        <v>180719</v>
      </c>
      <c r="B1120" s="664" t="s">
        <v>545</v>
      </c>
      <c r="C1120" s="71" t="s">
        <v>1291</v>
      </c>
      <c r="D1120" s="71">
        <v>30</v>
      </c>
      <c r="E1120" s="102">
        <v>28500</v>
      </c>
      <c r="F1120" s="102">
        <f t="shared" si="547"/>
        <v>940500.00000000012</v>
      </c>
      <c r="G1120" s="102">
        <f t="shared" si="548"/>
        <v>855000</v>
      </c>
      <c r="H1120" s="690" t="s">
        <v>173</v>
      </c>
      <c r="I1120" s="71" t="s">
        <v>142</v>
      </c>
      <c r="J1120" s="53">
        <f>G1120-S1120</f>
        <v>128999.99999999988</v>
      </c>
      <c r="K1120" s="427">
        <f t="shared" si="555"/>
        <v>0.15087719298245597</v>
      </c>
      <c r="L1120" s="871">
        <v>18.7</v>
      </c>
      <c r="M1120" s="468"/>
      <c r="N1120" s="663">
        <f t="shared" si="556"/>
        <v>180719</v>
      </c>
      <c r="O1120" s="71" t="s">
        <v>1321</v>
      </c>
      <c r="P1120" s="103" t="s">
        <v>1291</v>
      </c>
      <c r="Q1120" s="71">
        <f t="shared" si="552"/>
        <v>30</v>
      </c>
      <c r="R1120" s="102">
        <v>22000</v>
      </c>
      <c r="S1120" s="102">
        <f t="shared" si="553"/>
        <v>726000.00000000012</v>
      </c>
      <c r="T1120" s="102">
        <f t="shared" si="554"/>
        <v>660000</v>
      </c>
      <c r="U1120" s="71"/>
      <c r="V1120" s="71"/>
      <c r="W1120" s="474">
        <f>(G1120-T1120)</f>
        <v>195000</v>
      </c>
      <c r="X1120" s="71"/>
      <c r="Y1120" s="71"/>
    </row>
    <row r="1121" spans="1:25" s="209" customFormat="1" ht="30" hidden="1" customHeight="1" x14ac:dyDescent="0.2">
      <c r="A1121" s="974">
        <v>180719</v>
      </c>
      <c r="B1121" s="733" t="s">
        <v>548</v>
      </c>
      <c r="C1121" s="96" t="s">
        <v>107</v>
      </c>
      <c r="D1121" s="96">
        <v>20</v>
      </c>
      <c r="E1121" s="734">
        <v>100000</v>
      </c>
      <c r="F1121" s="937">
        <f t="shared" si="547"/>
        <v>2200000</v>
      </c>
      <c r="G1121" s="937">
        <f t="shared" si="548"/>
        <v>2000000</v>
      </c>
      <c r="H1121" s="938" t="s">
        <v>172</v>
      </c>
      <c r="I1121" s="96" t="s">
        <v>109</v>
      </c>
      <c r="J1121" s="586">
        <f>(G1121-(VLOOKUP(C1121,Price!B:D,3,FALSE)*D1121))</f>
        <v>390000</v>
      </c>
      <c r="K1121" s="54">
        <f t="shared" si="555"/>
        <v>0.19500000000000001</v>
      </c>
      <c r="L1121" s="648">
        <v>18.7</v>
      </c>
      <c r="M1121" s="736"/>
      <c r="N1121" s="733">
        <f t="shared" si="556"/>
        <v>180719</v>
      </c>
      <c r="O1121" s="96" t="s">
        <v>147</v>
      </c>
      <c r="P1121" s="737" t="str">
        <f>(C1121)</f>
        <v>Blanket(1050*840)</v>
      </c>
      <c r="Q1121" s="96">
        <f>D1121</f>
        <v>20</v>
      </c>
      <c r="R1121" s="734">
        <v>80500</v>
      </c>
      <c r="S1121" s="734">
        <f>(R1121*D1121)*1.1</f>
        <v>1771000.0000000002</v>
      </c>
      <c r="T1121" s="734">
        <f>(R1121*Q1121)</f>
        <v>1610000</v>
      </c>
      <c r="U1121" s="96" t="str">
        <f>IF(J1121=W1121,"O", "X")</f>
        <v>O</v>
      </c>
      <c r="V1121" s="96"/>
      <c r="W1121" s="480">
        <f>(G1121-T1121)</f>
        <v>390000</v>
      </c>
      <c r="X1121" s="96"/>
      <c r="Y1121" s="96"/>
    </row>
    <row r="1122" spans="1:25" ht="30" hidden="1" customHeight="1" x14ac:dyDescent="0.25">
      <c r="A1122" s="648">
        <v>180719</v>
      </c>
      <c r="B1122" s="733" t="s">
        <v>809</v>
      </c>
      <c r="C1122" s="96" t="s">
        <v>236</v>
      </c>
      <c r="D1122" s="96">
        <v>10</v>
      </c>
      <c r="E1122" s="734">
        <v>100000</v>
      </c>
      <c r="F1122" s="734">
        <f>(E1122*D1122)*1.1</f>
        <v>1100000</v>
      </c>
      <c r="G1122" s="734">
        <f>(E1122*D1122)</f>
        <v>1000000</v>
      </c>
      <c r="H1122" s="735" t="s">
        <v>173</v>
      </c>
      <c r="I1122" s="96" t="s">
        <v>142</v>
      </c>
      <c r="J1122" s="586">
        <f>(G1122-(VLOOKUP(C1122,Price!B:D,3,FALSE)*D1122))</f>
        <v>500000</v>
      </c>
      <c r="K1122" s="54">
        <f t="shared" si="555"/>
        <v>0.5</v>
      </c>
      <c r="L1122" s="901">
        <v>18.7</v>
      </c>
      <c r="M1122" s="736"/>
      <c r="N1122" s="733">
        <f t="shared" si="556"/>
        <v>180719</v>
      </c>
      <c r="O1122" s="96" t="s">
        <v>153</v>
      </c>
      <c r="P1122" s="737" t="str">
        <f>C1122</f>
        <v>아스테이지(국전)</v>
      </c>
      <c r="Q1122" s="96">
        <f>D1122</f>
        <v>10</v>
      </c>
      <c r="R1122" s="734">
        <v>50000</v>
      </c>
      <c r="S1122" s="734">
        <f>R1122*Q1122*1.1</f>
        <v>550000</v>
      </c>
      <c r="T1122" s="734">
        <f>R1122*Q1122</f>
        <v>500000</v>
      </c>
      <c r="U1122" s="96" t="str">
        <f>IF(J1122=W1122,"O", "X")</f>
        <v>O</v>
      </c>
      <c r="V1122" s="96"/>
      <c r="W1122" s="480">
        <f>(G1122-T1122)</f>
        <v>500000</v>
      </c>
      <c r="X1122" s="96"/>
      <c r="Y1122" s="96"/>
    </row>
    <row r="1123" spans="1:25" s="602" customFormat="1" ht="30" hidden="1" customHeight="1" x14ac:dyDescent="0.25">
      <c r="A1123" s="85">
        <v>180719</v>
      </c>
      <c r="B1123" s="668" t="s">
        <v>1287</v>
      </c>
      <c r="C1123" s="84" t="s">
        <v>1288</v>
      </c>
      <c r="D1123" s="84">
        <v>3</v>
      </c>
      <c r="E1123" s="189">
        <v>19000</v>
      </c>
      <c r="F1123" s="189">
        <f t="shared" ref="F1123:F1132" si="557">(E1123*D1123)*1.1</f>
        <v>62700.000000000007</v>
      </c>
      <c r="G1123" s="189">
        <f t="shared" ref="G1123:G1132" si="558">(E1123*D1123)</f>
        <v>57000</v>
      </c>
      <c r="H1123" s="691" t="s">
        <v>173</v>
      </c>
      <c r="I1123" s="84" t="s">
        <v>108</v>
      </c>
      <c r="J1123" s="61">
        <f>G1123</f>
        <v>57000</v>
      </c>
      <c r="K1123" s="54">
        <f t="shared" si="555"/>
        <v>0.99999999999999989</v>
      </c>
      <c r="L1123" s="873">
        <v>18.7</v>
      </c>
      <c r="M1123" s="601" t="s">
        <v>1302</v>
      </c>
      <c r="N1123" s="663">
        <f t="shared" si="556"/>
        <v>180719</v>
      </c>
      <c r="O1123" s="84" t="s">
        <v>1318</v>
      </c>
      <c r="P1123" s="133">
        <v>0</v>
      </c>
      <c r="Q1123" s="84">
        <v>0</v>
      </c>
      <c r="R1123" s="189">
        <v>0</v>
      </c>
      <c r="S1123" s="189">
        <v>0</v>
      </c>
      <c r="T1123" s="189">
        <v>0</v>
      </c>
      <c r="U1123" s="84">
        <v>0</v>
      </c>
      <c r="V1123" s="84"/>
      <c r="W1123" s="478"/>
      <c r="X1123" s="84"/>
      <c r="Y1123" s="84"/>
    </row>
    <row r="1124" spans="1:25" s="610" customFormat="1" ht="30" hidden="1" customHeight="1" x14ac:dyDescent="0.25">
      <c r="A1124" s="89">
        <v>180721</v>
      </c>
      <c r="B1124" s="673" t="s">
        <v>545</v>
      </c>
      <c r="C1124" s="88" t="s">
        <v>825</v>
      </c>
      <c r="D1124" s="88">
        <v>2</v>
      </c>
      <c r="E1124" s="470">
        <v>110000</v>
      </c>
      <c r="F1124" s="470">
        <f t="shared" si="557"/>
        <v>242000.00000000003</v>
      </c>
      <c r="G1124" s="470">
        <f t="shared" si="558"/>
        <v>220000</v>
      </c>
      <c r="H1124" s="695" t="s">
        <v>173</v>
      </c>
      <c r="I1124" s="88" t="s">
        <v>142</v>
      </c>
      <c r="J1124" s="107">
        <f>G1124-R1124</f>
        <v>125000</v>
      </c>
      <c r="K1124" s="469">
        <f t="shared" si="555"/>
        <v>0.56818181818181812</v>
      </c>
      <c r="L1124" s="875">
        <v>18.7</v>
      </c>
      <c r="M1124" s="575"/>
      <c r="N1124" s="673">
        <f t="shared" si="556"/>
        <v>180721</v>
      </c>
      <c r="O1124" s="88" t="s">
        <v>150</v>
      </c>
      <c r="P1124" s="134" t="str">
        <f>C1124</f>
        <v>독일제 정품 잉크호일 아스테이지</v>
      </c>
      <c r="Q1124" s="88">
        <f>D1124</f>
        <v>2</v>
      </c>
      <c r="R1124" s="470">
        <v>95000</v>
      </c>
      <c r="S1124" s="470">
        <f>R1124*Q1124*1.1</f>
        <v>209000.00000000003</v>
      </c>
      <c r="T1124" s="470">
        <f>R1124*Q1124</f>
        <v>190000</v>
      </c>
      <c r="U1124" s="88" t="str">
        <f t="shared" ref="U1124:U1130" si="559">IF(J1124=W1124,"O", "X")</f>
        <v>X</v>
      </c>
      <c r="V1124" s="88"/>
      <c r="W1124" s="945">
        <f>(G1124-T1124)</f>
        <v>30000</v>
      </c>
      <c r="X1124" s="88"/>
      <c r="Y1124" s="88"/>
    </row>
    <row r="1125" spans="1:25" ht="30" customHeight="1" x14ac:dyDescent="0.25">
      <c r="A1125" s="80">
        <v>180723</v>
      </c>
      <c r="B1125" s="663" t="s">
        <v>565</v>
      </c>
      <c r="C1125" s="73" t="s">
        <v>1297</v>
      </c>
      <c r="D1125" s="73">
        <v>1</v>
      </c>
      <c r="E1125" s="147">
        <v>800000</v>
      </c>
      <c r="F1125" s="147">
        <f t="shared" si="557"/>
        <v>880000.00000000012</v>
      </c>
      <c r="G1125" s="147">
        <f t="shared" si="558"/>
        <v>800000</v>
      </c>
      <c r="H1125" s="786" t="s">
        <v>113</v>
      </c>
      <c r="I1125" s="73"/>
      <c r="J1125" s="53">
        <f>G1125-T1125</f>
        <v>373722.95727032801</v>
      </c>
      <c r="K1125" s="63">
        <f t="shared" ref="K1125:K1130" si="560">(J1125/(F1125/11*10))</f>
        <v>0.46715369658790995</v>
      </c>
      <c r="L1125" s="874">
        <v>18.7</v>
      </c>
      <c r="M1125" s="584"/>
      <c r="N1125" s="664">
        <f t="shared" si="556"/>
        <v>180723</v>
      </c>
      <c r="O1125" s="807" t="s">
        <v>113</v>
      </c>
      <c r="P1125" s="132" t="str">
        <f>C1125</f>
        <v>잉크집 호일</v>
      </c>
      <c r="Q1125" s="73">
        <f t="shared" ref="Q1125:Q1134" si="561">D1125</f>
        <v>1</v>
      </c>
      <c r="R1125" s="147">
        <f>Import!G101</f>
        <v>426277.04272967199</v>
      </c>
      <c r="S1125" s="147">
        <f>R1125*Q1125*1.1</f>
        <v>468904.74700263923</v>
      </c>
      <c r="T1125" s="147">
        <f>R1125*Q1125</f>
        <v>426277.04272967199</v>
      </c>
      <c r="U1125" s="73" t="str">
        <f t="shared" si="559"/>
        <v>X</v>
      </c>
      <c r="V1125" s="73"/>
      <c r="W1125" s="473"/>
      <c r="X1125" s="73"/>
      <c r="Y1125" s="73"/>
    </row>
    <row r="1126" spans="1:25" s="209" customFormat="1" ht="30" hidden="1" customHeight="1" x14ac:dyDescent="0.2">
      <c r="A1126" s="82">
        <v>180723</v>
      </c>
      <c r="B1126" s="664" t="s">
        <v>445</v>
      </c>
      <c r="C1126" s="71" t="s">
        <v>138</v>
      </c>
      <c r="D1126" s="71">
        <v>10</v>
      </c>
      <c r="E1126" s="102">
        <v>59500</v>
      </c>
      <c r="F1126" s="163">
        <f t="shared" si="557"/>
        <v>654500</v>
      </c>
      <c r="G1126" s="163">
        <f t="shared" si="558"/>
        <v>595000</v>
      </c>
      <c r="H1126" s="165" t="s">
        <v>172</v>
      </c>
      <c r="I1126" s="71" t="s">
        <v>108</v>
      </c>
      <c r="J1126" s="53">
        <f>(G1126-(VLOOKUP(C1126,Price!B:D,3,FALSE)*D1126))</f>
        <v>85000</v>
      </c>
      <c r="K1126" s="63">
        <f t="shared" si="560"/>
        <v>0.14285714285714285</v>
      </c>
      <c r="L1126" s="871">
        <v>18.7</v>
      </c>
      <c r="M1126" s="468"/>
      <c r="N1126" s="664">
        <f t="shared" si="556"/>
        <v>180723</v>
      </c>
      <c r="O1126" s="71" t="s">
        <v>150</v>
      </c>
      <c r="P1126" s="103" t="str">
        <f>(C1126)</f>
        <v>매엽용 세척제(Wash 562)</v>
      </c>
      <c r="Q1126" s="71">
        <f t="shared" si="561"/>
        <v>10</v>
      </c>
      <c r="R1126" s="102">
        <v>51000</v>
      </c>
      <c r="S1126" s="102">
        <f>(R1126*D1126)*1.1</f>
        <v>561000</v>
      </c>
      <c r="T1126" s="102">
        <f>(R1126*Q1126)</f>
        <v>510000</v>
      </c>
      <c r="U1126" s="71" t="str">
        <f t="shared" si="559"/>
        <v>O</v>
      </c>
      <c r="V1126" s="71"/>
      <c r="W1126" s="474">
        <f>(G1126-T1126)</f>
        <v>85000</v>
      </c>
      <c r="X1126" s="71"/>
      <c r="Y1126" s="71"/>
    </row>
    <row r="1127" spans="1:25" s="209" customFormat="1" ht="30" hidden="1" customHeight="1" x14ac:dyDescent="0.2">
      <c r="A1127" s="80">
        <v>180723</v>
      </c>
      <c r="B1127" s="663" t="s">
        <v>1286</v>
      </c>
      <c r="C1127" s="73" t="s">
        <v>920</v>
      </c>
      <c r="D1127" s="73">
        <v>10</v>
      </c>
      <c r="E1127" s="147">
        <v>160000</v>
      </c>
      <c r="F1127" s="160">
        <f t="shared" si="557"/>
        <v>1760000.0000000002</v>
      </c>
      <c r="G1127" s="160">
        <f t="shared" si="558"/>
        <v>1600000</v>
      </c>
      <c r="H1127" s="985" t="s">
        <v>113</v>
      </c>
      <c r="I1127" s="73"/>
      <c r="J1127" s="53">
        <f>G1127-T1127</f>
        <v>345313.992729672</v>
      </c>
      <c r="K1127" s="63">
        <f t="shared" si="560"/>
        <v>0.21582124545604497</v>
      </c>
      <c r="L1127" s="874">
        <v>18.7</v>
      </c>
      <c r="M1127" s="584"/>
      <c r="N1127" s="664">
        <f t="shared" si="556"/>
        <v>180723</v>
      </c>
      <c r="O1127" s="807" t="s">
        <v>113</v>
      </c>
      <c r="P1127" s="132" t="s">
        <v>1320</v>
      </c>
      <c r="Q1127" s="73">
        <f t="shared" si="561"/>
        <v>10</v>
      </c>
      <c r="R1127" s="147">
        <f>Import!G100</f>
        <v>125468.6007270328</v>
      </c>
      <c r="S1127" s="147">
        <f t="shared" ref="S1127:S1139" si="562">R1127*Q1127*1.1</f>
        <v>1380154.6079973609</v>
      </c>
      <c r="T1127" s="147">
        <f t="shared" ref="T1127:T1139" si="563">R1127*Q1127</f>
        <v>1254686.007270328</v>
      </c>
      <c r="U1127" s="73" t="str">
        <f t="shared" si="559"/>
        <v>X</v>
      </c>
      <c r="V1127" s="73"/>
      <c r="W1127" s="473"/>
      <c r="X1127" s="73"/>
      <c r="Y1127" s="73"/>
    </row>
    <row r="1128" spans="1:25" ht="30" hidden="1" customHeight="1" x14ac:dyDescent="0.25">
      <c r="A1128" s="82">
        <v>180723</v>
      </c>
      <c r="B1128" s="664" t="s">
        <v>446</v>
      </c>
      <c r="C1128" s="71" t="s">
        <v>1144</v>
      </c>
      <c r="D1128" s="71">
        <v>8</v>
      </c>
      <c r="E1128" s="102">
        <v>110000</v>
      </c>
      <c r="F1128" s="102">
        <f t="shared" si="557"/>
        <v>968000.00000000012</v>
      </c>
      <c r="G1128" s="102">
        <f t="shared" si="558"/>
        <v>880000</v>
      </c>
      <c r="H1128" s="690" t="s">
        <v>173</v>
      </c>
      <c r="I1128" s="71" t="s">
        <v>142</v>
      </c>
      <c r="J1128" s="53">
        <f>G1128-T1128</f>
        <v>152000</v>
      </c>
      <c r="K1128" s="63">
        <f t="shared" si="560"/>
        <v>0.1727272727272727</v>
      </c>
      <c r="L1128" s="871">
        <v>18.7</v>
      </c>
      <c r="M1128" s="468"/>
      <c r="N1128" s="664">
        <f t="shared" si="556"/>
        <v>180723</v>
      </c>
      <c r="O1128" s="71" t="s">
        <v>150</v>
      </c>
      <c r="P1128" s="103" t="str">
        <f>C1128</f>
        <v>실리콘 에멀전</v>
      </c>
      <c r="Q1128" s="71">
        <f t="shared" si="561"/>
        <v>8</v>
      </c>
      <c r="R1128" s="102">
        <v>91000</v>
      </c>
      <c r="S1128" s="147">
        <f t="shared" si="562"/>
        <v>800800.00000000012</v>
      </c>
      <c r="T1128" s="147">
        <f t="shared" si="563"/>
        <v>728000</v>
      </c>
      <c r="U1128" s="73" t="str">
        <f t="shared" si="559"/>
        <v>X</v>
      </c>
      <c r="V1128" s="71"/>
      <c r="W1128" s="474"/>
      <c r="X1128" s="71"/>
      <c r="Y1128" s="71"/>
    </row>
    <row r="1129" spans="1:25" ht="30" hidden="1" customHeight="1" x14ac:dyDescent="0.25">
      <c r="A1129" s="80">
        <v>180723</v>
      </c>
      <c r="B1129" s="663" t="s">
        <v>923</v>
      </c>
      <c r="C1129" s="73" t="s">
        <v>1295</v>
      </c>
      <c r="D1129" s="73">
        <v>1315</v>
      </c>
      <c r="E1129" s="147">
        <v>1050</v>
      </c>
      <c r="F1129" s="147">
        <f t="shared" si="557"/>
        <v>1518825.0000000002</v>
      </c>
      <c r="G1129" s="147">
        <f t="shared" si="558"/>
        <v>1380750</v>
      </c>
      <c r="H1129" s="689" t="s">
        <v>173</v>
      </c>
      <c r="I1129" s="73" t="s">
        <v>142</v>
      </c>
      <c r="J1129" s="53">
        <f>G1129-T1129</f>
        <v>380750</v>
      </c>
      <c r="K1129" s="63">
        <f t="shared" si="560"/>
        <v>0.27575592974832513</v>
      </c>
      <c r="L1129" s="874">
        <v>18.7</v>
      </c>
      <c r="M1129" s="584" t="s">
        <v>1296</v>
      </c>
      <c r="N1129" s="663">
        <v>180723</v>
      </c>
      <c r="O1129" s="73" t="s">
        <v>140</v>
      </c>
      <c r="P1129" s="132" t="s">
        <v>1317</v>
      </c>
      <c r="Q1129" s="73">
        <v>1</v>
      </c>
      <c r="R1129" s="147">
        <v>1000000</v>
      </c>
      <c r="S1129" s="147">
        <f t="shared" si="562"/>
        <v>1100000</v>
      </c>
      <c r="T1129" s="147">
        <f t="shared" si="563"/>
        <v>1000000</v>
      </c>
      <c r="U1129" s="73" t="str">
        <f t="shared" si="559"/>
        <v>X</v>
      </c>
      <c r="V1129" s="73"/>
      <c r="W1129" s="473"/>
      <c r="X1129" s="73"/>
      <c r="Y1129" s="73"/>
    </row>
    <row r="1130" spans="1:25" s="602" customFormat="1" ht="30" hidden="1" customHeight="1" x14ac:dyDescent="0.25">
      <c r="A1130" s="85">
        <v>180723</v>
      </c>
      <c r="B1130" s="668" t="s">
        <v>690</v>
      </c>
      <c r="C1130" s="83" t="s">
        <v>197</v>
      </c>
      <c r="D1130" s="84">
        <v>5</v>
      </c>
      <c r="E1130" s="189">
        <v>58000</v>
      </c>
      <c r="F1130" s="189">
        <f t="shared" si="557"/>
        <v>319000</v>
      </c>
      <c r="G1130" s="189">
        <f t="shared" si="558"/>
        <v>290000</v>
      </c>
      <c r="H1130" s="691" t="s">
        <v>173</v>
      </c>
      <c r="I1130" s="84" t="s">
        <v>140</v>
      </c>
      <c r="J1130" s="61">
        <f>(G1130-(VLOOKUP(C1130,Price!B:D,3,FALSE)*D1130))</f>
        <v>115000</v>
      </c>
      <c r="K1130" s="62">
        <f t="shared" si="560"/>
        <v>0.39655172413793105</v>
      </c>
      <c r="L1130" s="873">
        <v>18.7</v>
      </c>
      <c r="M1130" s="601"/>
      <c r="N1130" s="668">
        <f>A1130</f>
        <v>180723</v>
      </c>
      <c r="O1130" s="84" t="s">
        <v>145</v>
      </c>
      <c r="P1130" s="133" t="str">
        <f>C1130</f>
        <v>THR200(20L)</v>
      </c>
      <c r="Q1130" s="84">
        <f t="shared" si="561"/>
        <v>5</v>
      </c>
      <c r="R1130" s="189">
        <v>35000</v>
      </c>
      <c r="S1130" s="189">
        <f t="shared" si="562"/>
        <v>192500.00000000003</v>
      </c>
      <c r="T1130" s="189">
        <f t="shared" si="563"/>
        <v>175000</v>
      </c>
      <c r="U1130" s="84" t="str">
        <f t="shared" si="559"/>
        <v>X</v>
      </c>
      <c r="V1130" s="84"/>
      <c r="W1130" s="478"/>
      <c r="X1130" s="84"/>
      <c r="Y1130" s="84"/>
    </row>
    <row r="1131" spans="1:25" ht="30" hidden="1" customHeight="1" x14ac:dyDescent="0.25">
      <c r="A1131" s="80">
        <v>180724</v>
      </c>
      <c r="B1131" s="663" t="s">
        <v>1061</v>
      </c>
      <c r="C1131" s="73" t="s">
        <v>586</v>
      </c>
      <c r="D1131" s="73">
        <v>200</v>
      </c>
      <c r="E1131" s="147">
        <v>6750</v>
      </c>
      <c r="F1131" s="102">
        <f t="shared" si="557"/>
        <v>1485000.0000000002</v>
      </c>
      <c r="G1131" s="102">
        <f t="shared" si="558"/>
        <v>1350000</v>
      </c>
      <c r="H1131" s="689" t="s">
        <v>142</v>
      </c>
      <c r="I1131" s="73" t="s">
        <v>144</v>
      </c>
      <c r="J1131" s="60">
        <f t="shared" ref="J1131:J1143" si="564">G1131-T1131</f>
        <v>114000</v>
      </c>
      <c r="K1131" s="63">
        <f t="shared" ref="K1131:K1138" si="565">(J1131/(F1131/11*10))</f>
        <v>8.4444444444444433E-2</v>
      </c>
      <c r="L1131" s="80">
        <v>18.7</v>
      </c>
      <c r="M1131" s="584"/>
      <c r="N1131" s="663">
        <v>180713</v>
      </c>
      <c r="O1131" s="73" t="s">
        <v>147</v>
      </c>
      <c r="P1131" s="132" t="s">
        <v>1289</v>
      </c>
      <c r="Q1131" s="71">
        <f t="shared" si="561"/>
        <v>200</v>
      </c>
      <c r="R1131" s="147">
        <v>6180</v>
      </c>
      <c r="S1131" s="147">
        <f t="shared" si="562"/>
        <v>1359600</v>
      </c>
      <c r="T1131" s="147">
        <f t="shared" si="563"/>
        <v>1236000</v>
      </c>
      <c r="U1131" s="73" t="s">
        <v>859</v>
      </c>
      <c r="V1131" s="73"/>
      <c r="W1131" s="473">
        <v>228000</v>
      </c>
      <c r="X1131" s="73"/>
      <c r="Y1131" s="73"/>
    </row>
    <row r="1132" spans="1:25" ht="30" hidden="1" customHeight="1" x14ac:dyDescent="0.25">
      <c r="A1132" s="82">
        <v>180724</v>
      </c>
      <c r="B1132" s="664" t="s">
        <v>1061</v>
      </c>
      <c r="C1132" s="71" t="s">
        <v>587</v>
      </c>
      <c r="D1132" s="71">
        <v>200</v>
      </c>
      <c r="E1132" s="102">
        <v>8000</v>
      </c>
      <c r="F1132" s="102">
        <f t="shared" si="557"/>
        <v>1760000.0000000002</v>
      </c>
      <c r="G1132" s="102">
        <f t="shared" si="558"/>
        <v>1600000</v>
      </c>
      <c r="H1132" s="690" t="s">
        <v>142</v>
      </c>
      <c r="I1132" s="71" t="s">
        <v>144</v>
      </c>
      <c r="J1132" s="53">
        <f t="shared" si="564"/>
        <v>218000</v>
      </c>
      <c r="K1132" s="63">
        <f t="shared" si="565"/>
        <v>0.13624999999999998</v>
      </c>
      <c r="L1132" s="82">
        <v>18.7</v>
      </c>
      <c r="M1132" s="468"/>
      <c r="N1132" s="664">
        <v>180713</v>
      </c>
      <c r="O1132" s="71" t="s">
        <v>147</v>
      </c>
      <c r="P1132" s="103" t="s">
        <v>1290</v>
      </c>
      <c r="Q1132" s="71">
        <f t="shared" si="561"/>
        <v>200</v>
      </c>
      <c r="R1132" s="102">
        <v>6910</v>
      </c>
      <c r="S1132" s="102">
        <f t="shared" si="562"/>
        <v>1520200.0000000002</v>
      </c>
      <c r="T1132" s="102">
        <f t="shared" si="563"/>
        <v>1382000</v>
      </c>
      <c r="U1132" s="71" t="s">
        <v>859</v>
      </c>
      <c r="V1132" s="71"/>
      <c r="W1132" s="474">
        <v>218000</v>
      </c>
      <c r="X1132" s="71"/>
      <c r="Y1132" s="71"/>
    </row>
    <row r="1133" spans="1:25" ht="30" hidden="1" customHeight="1" x14ac:dyDescent="0.25">
      <c r="A1133" s="82">
        <v>180724</v>
      </c>
      <c r="B1133" s="664" t="s">
        <v>1052</v>
      </c>
      <c r="C1133" s="71" t="s">
        <v>1115</v>
      </c>
      <c r="D1133" s="71">
        <v>50</v>
      </c>
      <c r="E1133" s="102">
        <v>6200</v>
      </c>
      <c r="F1133" s="102">
        <f t="shared" ref="F1133:F1152" si="566">(E1133*D1133)*1.1</f>
        <v>341000</v>
      </c>
      <c r="G1133" s="102">
        <f t="shared" ref="G1133:G1152" si="567">(E1133*D1133)</f>
        <v>310000</v>
      </c>
      <c r="H1133" s="690" t="s">
        <v>142</v>
      </c>
      <c r="I1133" s="71" t="s">
        <v>144</v>
      </c>
      <c r="J1133" s="53">
        <f t="shared" si="564"/>
        <v>5000</v>
      </c>
      <c r="K1133" s="63">
        <f t="shared" si="565"/>
        <v>1.6129032258064516E-2</v>
      </c>
      <c r="L1133" s="82">
        <v>18.7</v>
      </c>
      <c r="M1133" s="468"/>
      <c r="N1133" s="664">
        <f t="shared" ref="N1133:N1152" si="568">A1133</f>
        <v>180724</v>
      </c>
      <c r="O1133" s="71" t="s">
        <v>147</v>
      </c>
      <c r="P1133" s="103" t="str">
        <f t="shared" ref="P1133:Q1136" si="569">C1133</f>
        <v>한특 잉크(적)</v>
      </c>
      <c r="Q1133" s="71">
        <f t="shared" si="561"/>
        <v>50</v>
      </c>
      <c r="R1133" s="102">
        <v>6100</v>
      </c>
      <c r="S1133" s="102">
        <f t="shared" si="562"/>
        <v>335500</v>
      </c>
      <c r="T1133" s="102">
        <f t="shared" si="563"/>
        <v>305000</v>
      </c>
      <c r="U1133" s="71" t="str">
        <f t="shared" ref="U1133:U1149" si="570">IF(J1133=W1133,"O", "X")</f>
        <v>O</v>
      </c>
      <c r="V1133" s="71"/>
      <c r="W1133" s="474">
        <f t="shared" ref="W1133:W1140" si="571">(G1133-T1133)</f>
        <v>5000</v>
      </c>
      <c r="X1133" s="71"/>
      <c r="Y1133" s="71"/>
    </row>
    <row r="1134" spans="1:25" ht="30" hidden="1" customHeight="1" x14ac:dyDescent="0.25">
      <c r="A1134" s="82">
        <v>180724</v>
      </c>
      <c r="B1134" s="664" t="s">
        <v>1052</v>
      </c>
      <c r="C1134" s="71" t="s">
        <v>1116</v>
      </c>
      <c r="D1134" s="71">
        <v>100</v>
      </c>
      <c r="E1134" s="102">
        <v>6000</v>
      </c>
      <c r="F1134" s="102">
        <f t="shared" si="566"/>
        <v>660000</v>
      </c>
      <c r="G1134" s="102">
        <f t="shared" si="567"/>
        <v>600000</v>
      </c>
      <c r="H1134" s="690" t="s">
        <v>142</v>
      </c>
      <c r="I1134" s="71" t="s">
        <v>144</v>
      </c>
      <c r="J1134" s="53">
        <f t="shared" si="564"/>
        <v>10000</v>
      </c>
      <c r="K1134" s="63">
        <f t="shared" si="565"/>
        <v>1.6666666666666666E-2</v>
      </c>
      <c r="L1134" s="82">
        <v>18.7</v>
      </c>
      <c r="M1134" s="468"/>
      <c r="N1134" s="664">
        <f t="shared" si="568"/>
        <v>180724</v>
      </c>
      <c r="O1134" s="71" t="s">
        <v>147</v>
      </c>
      <c r="P1134" s="103" t="str">
        <f t="shared" si="569"/>
        <v>한특 잉크(황)</v>
      </c>
      <c r="Q1134" s="71">
        <f t="shared" si="561"/>
        <v>100</v>
      </c>
      <c r="R1134" s="102">
        <v>5900</v>
      </c>
      <c r="S1134" s="102">
        <f t="shared" si="562"/>
        <v>649000</v>
      </c>
      <c r="T1134" s="102">
        <f t="shared" si="563"/>
        <v>590000</v>
      </c>
      <c r="U1134" s="71" t="str">
        <f t="shared" si="570"/>
        <v>O</v>
      </c>
      <c r="V1134" s="71"/>
      <c r="W1134" s="474">
        <f t="shared" si="571"/>
        <v>10000</v>
      </c>
      <c r="X1134" s="71"/>
      <c r="Y1134" s="71"/>
    </row>
    <row r="1135" spans="1:25" ht="30" hidden="1" customHeight="1" x14ac:dyDescent="0.25">
      <c r="A1135" s="82">
        <v>180724</v>
      </c>
      <c r="B1135" s="664" t="s">
        <v>1052</v>
      </c>
      <c r="C1135" s="71" t="s">
        <v>1117</v>
      </c>
      <c r="D1135" s="71">
        <v>100</v>
      </c>
      <c r="E1135" s="102">
        <v>6500</v>
      </c>
      <c r="F1135" s="102">
        <f t="shared" si="566"/>
        <v>715000</v>
      </c>
      <c r="G1135" s="102">
        <f t="shared" si="567"/>
        <v>650000</v>
      </c>
      <c r="H1135" s="690" t="s">
        <v>142</v>
      </c>
      <c r="I1135" s="71" t="s">
        <v>144</v>
      </c>
      <c r="J1135" s="53">
        <f t="shared" si="564"/>
        <v>10000</v>
      </c>
      <c r="K1135" s="63">
        <f t="shared" si="565"/>
        <v>1.5384615384615385E-2</v>
      </c>
      <c r="L1135" s="82">
        <v>18.7</v>
      </c>
      <c r="M1135" s="468"/>
      <c r="N1135" s="664">
        <f t="shared" si="568"/>
        <v>180724</v>
      </c>
      <c r="O1135" s="71" t="s">
        <v>147</v>
      </c>
      <c r="P1135" s="103" t="str">
        <f t="shared" si="569"/>
        <v>한특 잉크(청)</v>
      </c>
      <c r="Q1135" s="71">
        <f t="shared" si="569"/>
        <v>100</v>
      </c>
      <c r="R1135" s="102">
        <v>6400</v>
      </c>
      <c r="S1135" s="102">
        <f t="shared" si="562"/>
        <v>704000</v>
      </c>
      <c r="T1135" s="102">
        <f t="shared" si="563"/>
        <v>640000</v>
      </c>
      <c r="U1135" s="71" t="str">
        <f t="shared" si="570"/>
        <v>O</v>
      </c>
      <c r="V1135" s="71"/>
      <c r="W1135" s="474">
        <f t="shared" si="571"/>
        <v>10000</v>
      </c>
      <c r="X1135" s="71"/>
      <c r="Y1135" s="71"/>
    </row>
    <row r="1136" spans="1:25" s="616" customFormat="1" ht="30" hidden="1" customHeight="1" x14ac:dyDescent="0.25">
      <c r="A1136" s="82">
        <v>180724</v>
      </c>
      <c r="B1136" s="664" t="s">
        <v>1052</v>
      </c>
      <c r="C1136" s="71" t="s">
        <v>1118</v>
      </c>
      <c r="D1136" s="71">
        <v>100</v>
      </c>
      <c r="E1136" s="102">
        <v>5600</v>
      </c>
      <c r="F1136" s="102">
        <f t="shared" si="566"/>
        <v>616000</v>
      </c>
      <c r="G1136" s="102">
        <f t="shared" si="567"/>
        <v>560000</v>
      </c>
      <c r="H1136" s="690" t="s">
        <v>142</v>
      </c>
      <c r="I1136" s="71" t="s">
        <v>144</v>
      </c>
      <c r="J1136" s="53">
        <f t="shared" si="564"/>
        <v>10000</v>
      </c>
      <c r="K1136" s="63">
        <f t="shared" si="565"/>
        <v>1.7857142857142856E-2</v>
      </c>
      <c r="L1136" s="871">
        <v>18.7</v>
      </c>
      <c r="M1136" s="468"/>
      <c r="N1136" s="664">
        <f t="shared" si="568"/>
        <v>180724</v>
      </c>
      <c r="O1136" s="71" t="s">
        <v>147</v>
      </c>
      <c r="P1136" s="103" t="str">
        <f t="shared" si="569"/>
        <v>한특 잉크(먹)</v>
      </c>
      <c r="Q1136" s="71">
        <f t="shared" si="569"/>
        <v>100</v>
      </c>
      <c r="R1136" s="102">
        <v>5500</v>
      </c>
      <c r="S1136" s="102">
        <f t="shared" si="562"/>
        <v>605000</v>
      </c>
      <c r="T1136" s="102">
        <f t="shared" si="563"/>
        <v>550000</v>
      </c>
      <c r="U1136" s="71" t="str">
        <f t="shared" si="570"/>
        <v>O</v>
      </c>
      <c r="V1136" s="71"/>
      <c r="W1136" s="474">
        <f t="shared" si="571"/>
        <v>10000</v>
      </c>
      <c r="X1136" s="71"/>
      <c r="Y1136" s="71"/>
    </row>
    <row r="1137" spans="1:25" ht="30" hidden="1" customHeight="1" x14ac:dyDescent="0.25">
      <c r="A1137" s="80">
        <v>180724</v>
      </c>
      <c r="B1137" s="663" t="s">
        <v>591</v>
      </c>
      <c r="C1137" s="73" t="s">
        <v>1292</v>
      </c>
      <c r="D1137" s="73">
        <v>5</v>
      </c>
      <c r="E1137" s="147">
        <v>60000</v>
      </c>
      <c r="F1137" s="147">
        <f>(E1137*D1137)*1.1</f>
        <v>330000</v>
      </c>
      <c r="G1137" s="147">
        <f>(E1137*D1137)</f>
        <v>300000</v>
      </c>
      <c r="H1137" s="689" t="s">
        <v>173</v>
      </c>
      <c r="I1137" s="73" t="s">
        <v>143</v>
      </c>
      <c r="J1137" s="53">
        <f t="shared" si="564"/>
        <v>100000</v>
      </c>
      <c r="K1137" s="63">
        <f t="shared" si="565"/>
        <v>0.33333333333333331</v>
      </c>
      <c r="L1137" s="874">
        <v>18.7</v>
      </c>
      <c r="M1137" s="584"/>
      <c r="N1137" s="663">
        <f>A1137</f>
        <v>180724</v>
      </c>
      <c r="O1137" s="73" t="s">
        <v>612</v>
      </c>
      <c r="P1137" s="132" t="str">
        <f t="shared" ref="P1137:Q1139" si="572">C1137</f>
        <v>닙 롤라(고모리)</v>
      </c>
      <c r="Q1137" s="73">
        <f t="shared" si="572"/>
        <v>5</v>
      </c>
      <c r="R1137" s="147">
        <v>40000</v>
      </c>
      <c r="S1137" s="147">
        <f t="shared" si="562"/>
        <v>220000.00000000003</v>
      </c>
      <c r="T1137" s="147">
        <f t="shared" si="563"/>
        <v>200000</v>
      </c>
      <c r="U1137" s="73" t="str">
        <f t="shared" si="570"/>
        <v>O</v>
      </c>
      <c r="V1137" s="73"/>
      <c r="W1137" s="473">
        <f t="shared" si="571"/>
        <v>100000</v>
      </c>
      <c r="X1137" s="73"/>
      <c r="Y1137" s="73"/>
    </row>
    <row r="1138" spans="1:25" s="602" customFormat="1" ht="30" hidden="1" customHeight="1" x14ac:dyDescent="0.25">
      <c r="A1138" s="85">
        <v>180724</v>
      </c>
      <c r="B1138" s="668" t="s">
        <v>591</v>
      </c>
      <c r="C1138" s="84" t="s">
        <v>1293</v>
      </c>
      <c r="D1138" s="84">
        <v>1</v>
      </c>
      <c r="E1138" s="189">
        <v>60000</v>
      </c>
      <c r="F1138" s="189">
        <f>(E1138*D1138)*1.1</f>
        <v>66000</v>
      </c>
      <c r="G1138" s="189">
        <f>(E1138*D1138)</f>
        <v>60000</v>
      </c>
      <c r="H1138" s="691" t="s">
        <v>173</v>
      </c>
      <c r="I1138" s="84" t="s">
        <v>143</v>
      </c>
      <c r="J1138" s="61">
        <f t="shared" si="564"/>
        <v>20000</v>
      </c>
      <c r="K1138" s="62">
        <f t="shared" si="565"/>
        <v>0.33333333333333331</v>
      </c>
      <c r="L1138" s="873">
        <v>18.7</v>
      </c>
      <c r="M1138" s="601"/>
      <c r="N1138" s="668">
        <f>A1138</f>
        <v>180724</v>
      </c>
      <c r="O1138" s="84" t="s">
        <v>612</v>
      </c>
      <c r="P1138" s="133" t="str">
        <f t="shared" si="572"/>
        <v>슬리트 칼집(고모리)</v>
      </c>
      <c r="Q1138" s="84">
        <f t="shared" si="572"/>
        <v>1</v>
      </c>
      <c r="R1138" s="189">
        <v>40000</v>
      </c>
      <c r="S1138" s="189">
        <f t="shared" si="562"/>
        <v>44000</v>
      </c>
      <c r="T1138" s="189">
        <f t="shared" si="563"/>
        <v>40000</v>
      </c>
      <c r="U1138" s="84" t="str">
        <f t="shared" si="570"/>
        <v>O</v>
      </c>
      <c r="V1138" s="84"/>
      <c r="W1138" s="478">
        <f t="shared" si="571"/>
        <v>20000</v>
      </c>
      <c r="X1138" s="84"/>
      <c r="Y1138" s="84"/>
    </row>
    <row r="1139" spans="1:25" ht="30" hidden="1" customHeight="1" x14ac:dyDescent="0.25">
      <c r="A1139" s="80">
        <v>180725</v>
      </c>
      <c r="B1139" s="663" t="s">
        <v>1051</v>
      </c>
      <c r="C1139" s="73" t="s">
        <v>524</v>
      </c>
      <c r="D1139" s="73">
        <v>500</v>
      </c>
      <c r="E1139" s="147">
        <v>3610</v>
      </c>
      <c r="F1139" s="147">
        <f t="shared" si="566"/>
        <v>1985500.0000000002</v>
      </c>
      <c r="G1139" s="147">
        <f t="shared" si="567"/>
        <v>1805000</v>
      </c>
      <c r="H1139" s="689" t="s">
        <v>142</v>
      </c>
      <c r="I1139" s="73" t="s">
        <v>140</v>
      </c>
      <c r="J1139" s="60">
        <f t="shared" si="564"/>
        <v>545000</v>
      </c>
      <c r="K1139" s="427">
        <f t="shared" ref="K1139:K1146" si="573">(J1139/(F1139/11*10))</f>
        <v>0.3019390581717451</v>
      </c>
      <c r="L1139" s="874">
        <v>18.7</v>
      </c>
      <c r="M1139" s="584" t="s">
        <v>1307</v>
      </c>
      <c r="N1139" s="663">
        <f t="shared" si="568"/>
        <v>180725</v>
      </c>
      <c r="O1139" s="73" t="s">
        <v>145</v>
      </c>
      <c r="P1139" s="132" t="str">
        <f t="shared" si="572"/>
        <v>ENGAGE 900X570 - 27RO</v>
      </c>
      <c r="Q1139" s="73">
        <f t="shared" si="572"/>
        <v>500</v>
      </c>
      <c r="R1139" s="147">
        <v>2520</v>
      </c>
      <c r="S1139" s="147">
        <f t="shared" si="562"/>
        <v>1386000</v>
      </c>
      <c r="T1139" s="147">
        <f t="shared" si="563"/>
        <v>1260000</v>
      </c>
      <c r="U1139" s="73" t="str">
        <f t="shared" si="570"/>
        <v>O</v>
      </c>
      <c r="V1139" s="73"/>
      <c r="W1139" s="473">
        <f t="shared" si="571"/>
        <v>545000</v>
      </c>
      <c r="X1139" s="73"/>
      <c r="Y1139" s="73"/>
    </row>
    <row r="1140" spans="1:25" ht="30" hidden="1" customHeight="1" x14ac:dyDescent="0.25">
      <c r="A1140" s="80">
        <v>180725</v>
      </c>
      <c r="B1140" s="663" t="s">
        <v>1051</v>
      </c>
      <c r="C1140" s="73" t="s">
        <v>951</v>
      </c>
      <c r="D1140" s="73">
        <v>1100</v>
      </c>
      <c r="E1140" s="147">
        <v>3450</v>
      </c>
      <c r="F1140" s="147">
        <f t="shared" si="566"/>
        <v>4174500.0000000005</v>
      </c>
      <c r="G1140" s="147">
        <f t="shared" si="567"/>
        <v>3795000</v>
      </c>
      <c r="H1140" s="689" t="s">
        <v>142</v>
      </c>
      <c r="I1140" s="73" t="s">
        <v>140</v>
      </c>
      <c r="J1140" s="53">
        <f t="shared" si="564"/>
        <v>1166000</v>
      </c>
      <c r="K1140" s="63">
        <f t="shared" si="573"/>
        <v>0.30724637681159417</v>
      </c>
      <c r="L1140" s="80">
        <v>18.7</v>
      </c>
      <c r="M1140" s="584"/>
      <c r="N1140" s="663">
        <f t="shared" si="568"/>
        <v>180725</v>
      </c>
      <c r="O1140" s="73" t="s">
        <v>145</v>
      </c>
      <c r="P1140" s="132" t="str">
        <f>(C1140)</f>
        <v>ENGAGE 30WEB(883*552)</v>
      </c>
      <c r="Q1140" s="73">
        <f t="shared" ref="Q1140:Q1152" si="574">D1140</f>
        <v>1100</v>
      </c>
      <c r="R1140" s="147">
        <v>2390</v>
      </c>
      <c r="S1140" s="147">
        <f>(R1140*D1140)*1.1</f>
        <v>2891900.0000000005</v>
      </c>
      <c r="T1140" s="147">
        <f>(R1140*Q1140)</f>
        <v>2629000</v>
      </c>
      <c r="U1140" s="73" t="str">
        <f t="shared" si="570"/>
        <v>O</v>
      </c>
      <c r="V1140" s="73"/>
      <c r="W1140" s="473">
        <f t="shared" si="571"/>
        <v>1166000</v>
      </c>
      <c r="X1140" s="73"/>
      <c r="Y1140" s="73"/>
    </row>
    <row r="1141" spans="1:25" ht="30" hidden="1" customHeight="1" x14ac:dyDescent="0.25">
      <c r="A1141" s="82">
        <v>180725</v>
      </c>
      <c r="B1141" s="664" t="s">
        <v>1051</v>
      </c>
      <c r="C1141" s="71" t="s">
        <v>1294</v>
      </c>
      <c r="D1141" s="71">
        <v>1600</v>
      </c>
      <c r="E1141" s="102">
        <v>5750</v>
      </c>
      <c r="F1141" s="102">
        <f t="shared" si="566"/>
        <v>10120000</v>
      </c>
      <c r="G1141" s="102">
        <f t="shared" si="567"/>
        <v>9200000</v>
      </c>
      <c r="H1141" s="690" t="s">
        <v>142</v>
      </c>
      <c r="I1141" s="71" t="s">
        <v>140</v>
      </c>
      <c r="J1141" s="53">
        <f t="shared" si="564"/>
        <v>2800000</v>
      </c>
      <c r="K1141" s="63">
        <f t="shared" si="573"/>
        <v>0.30434782608695654</v>
      </c>
      <c r="L1141" s="80">
        <v>18.7</v>
      </c>
      <c r="M1141" s="468"/>
      <c r="N1141" s="664">
        <f t="shared" si="568"/>
        <v>180725</v>
      </c>
      <c r="O1141" s="73" t="s">
        <v>145</v>
      </c>
      <c r="P1141" s="103" t="str">
        <f>(C1141)</f>
        <v>ENGAGE 1030*790</v>
      </c>
      <c r="Q1141" s="71">
        <f t="shared" si="574"/>
        <v>1600</v>
      </c>
      <c r="R1141" s="102">
        <v>4000</v>
      </c>
      <c r="S1141" s="147">
        <f>(R1141*D1141)*1.1</f>
        <v>7040000.0000000009</v>
      </c>
      <c r="T1141" s="147">
        <f>(R1141*Q1141)</f>
        <v>6400000</v>
      </c>
      <c r="U1141" s="73" t="str">
        <f t="shared" si="570"/>
        <v>X</v>
      </c>
      <c r="V1141" s="71"/>
      <c r="W1141" s="474"/>
      <c r="X1141" s="71"/>
      <c r="Y1141" s="71"/>
    </row>
    <row r="1142" spans="1:25" ht="30" hidden="1" customHeight="1" x14ac:dyDescent="0.25">
      <c r="A1142" s="80">
        <v>180725</v>
      </c>
      <c r="B1142" s="663" t="s">
        <v>1051</v>
      </c>
      <c r="C1142" s="79" t="s">
        <v>197</v>
      </c>
      <c r="D1142" s="73">
        <v>10</v>
      </c>
      <c r="E1142" s="147">
        <v>53000</v>
      </c>
      <c r="F1142" s="147">
        <f t="shared" si="566"/>
        <v>583000</v>
      </c>
      <c r="G1142" s="147">
        <f t="shared" si="567"/>
        <v>530000</v>
      </c>
      <c r="H1142" s="689" t="s">
        <v>142</v>
      </c>
      <c r="I1142" s="73" t="s">
        <v>140</v>
      </c>
      <c r="J1142" s="53">
        <f t="shared" si="564"/>
        <v>180000</v>
      </c>
      <c r="K1142" s="63">
        <f t="shared" si="573"/>
        <v>0.33962264150943394</v>
      </c>
      <c r="L1142" s="80">
        <v>18.7</v>
      </c>
      <c r="M1142" s="584"/>
      <c r="N1142" s="663">
        <f t="shared" si="568"/>
        <v>180725</v>
      </c>
      <c r="O1142" s="73" t="s">
        <v>145</v>
      </c>
      <c r="P1142" s="132" t="str">
        <f>C1142</f>
        <v>THR200(20L)</v>
      </c>
      <c r="Q1142" s="73">
        <f t="shared" si="574"/>
        <v>10</v>
      </c>
      <c r="R1142" s="147">
        <v>35000</v>
      </c>
      <c r="S1142" s="147">
        <f>R1142*Q1142*1.1</f>
        <v>385000.00000000006</v>
      </c>
      <c r="T1142" s="147">
        <f>R1142*Q1142</f>
        <v>350000</v>
      </c>
      <c r="U1142" s="73" t="str">
        <f t="shared" si="570"/>
        <v>O</v>
      </c>
      <c r="V1142" s="73"/>
      <c r="W1142" s="473">
        <f>(G1142-T1142)</f>
        <v>180000</v>
      </c>
      <c r="X1142" s="73"/>
      <c r="Y1142" s="73"/>
    </row>
    <row r="1143" spans="1:25" ht="30" hidden="1" customHeight="1" x14ac:dyDescent="0.25">
      <c r="A1143" s="82">
        <v>180725</v>
      </c>
      <c r="B1143" s="664" t="s">
        <v>1051</v>
      </c>
      <c r="C1143" s="71" t="s">
        <v>750</v>
      </c>
      <c r="D1143" s="71">
        <v>10</v>
      </c>
      <c r="E1143" s="102">
        <v>53000</v>
      </c>
      <c r="F1143" s="102">
        <f t="shared" si="566"/>
        <v>583000</v>
      </c>
      <c r="G1143" s="102">
        <f t="shared" si="567"/>
        <v>530000</v>
      </c>
      <c r="H1143" s="690" t="s">
        <v>142</v>
      </c>
      <c r="I1143" s="71" t="s">
        <v>140</v>
      </c>
      <c r="J1143" s="53">
        <f t="shared" si="564"/>
        <v>180000</v>
      </c>
      <c r="K1143" s="63">
        <f t="shared" si="573"/>
        <v>0.33962264150943394</v>
      </c>
      <c r="L1143" s="80">
        <v>18.7</v>
      </c>
      <c r="M1143" s="468"/>
      <c r="N1143" s="664">
        <f t="shared" si="568"/>
        <v>180725</v>
      </c>
      <c r="O1143" s="71" t="s">
        <v>145</v>
      </c>
      <c r="P1143" s="103" t="str">
        <f>(C1143)</f>
        <v>THD200(20L)</v>
      </c>
      <c r="Q1143" s="71">
        <f t="shared" si="574"/>
        <v>10</v>
      </c>
      <c r="R1143" s="102">
        <v>35000</v>
      </c>
      <c r="S1143" s="102">
        <f>(R1143*D1143)*1.1</f>
        <v>385000.00000000006</v>
      </c>
      <c r="T1143" s="102">
        <f>(R1143*Q1143)</f>
        <v>350000</v>
      </c>
      <c r="U1143" s="71" t="str">
        <f t="shared" si="570"/>
        <v>O</v>
      </c>
      <c r="V1143" s="71"/>
      <c r="W1143" s="474">
        <f>(G1143-T1143)</f>
        <v>180000</v>
      </c>
      <c r="X1143" s="71"/>
      <c r="Y1143" s="71"/>
    </row>
    <row r="1144" spans="1:25" s="209" customFormat="1" ht="30" hidden="1" customHeight="1" x14ac:dyDescent="0.25">
      <c r="A1144" s="82">
        <v>180725</v>
      </c>
      <c r="B1144" s="664" t="s">
        <v>764</v>
      </c>
      <c r="C1144" s="71" t="s">
        <v>236</v>
      </c>
      <c r="D1144" s="71">
        <v>5</v>
      </c>
      <c r="E1144" s="102">
        <v>100000</v>
      </c>
      <c r="F1144" s="102">
        <f t="shared" si="566"/>
        <v>550000</v>
      </c>
      <c r="G1144" s="102">
        <f t="shared" si="567"/>
        <v>500000</v>
      </c>
      <c r="H1144" s="690" t="s">
        <v>173</v>
      </c>
      <c r="I1144" s="71" t="s">
        <v>142</v>
      </c>
      <c r="J1144" s="53">
        <f>(G1144-(VLOOKUP(C1144,Price!B:D,3,FALSE)*D1144))</f>
        <v>250000</v>
      </c>
      <c r="K1144" s="63">
        <f t="shared" si="573"/>
        <v>0.5</v>
      </c>
      <c r="L1144" s="871">
        <v>18.7</v>
      </c>
      <c r="M1144" s="468"/>
      <c r="N1144" s="664">
        <f t="shared" si="568"/>
        <v>180725</v>
      </c>
      <c r="O1144" s="71" t="s">
        <v>153</v>
      </c>
      <c r="P1144" s="103" t="str">
        <f>C1144</f>
        <v>아스테이지(국전)</v>
      </c>
      <c r="Q1144" s="71">
        <f t="shared" si="574"/>
        <v>5</v>
      </c>
      <c r="R1144" s="102">
        <f>VLOOKUP(P1144,Price!B:D,3,FALSE)</f>
        <v>50000</v>
      </c>
      <c r="S1144" s="102">
        <f>R1144*Q1144*1.1</f>
        <v>275000</v>
      </c>
      <c r="T1144" s="102">
        <f>R1144*Q1144</f>
        <v>250000</v>
      </c>
      <c r="U1144" s="71" t="str">
        <f t="shared" si="570"/>
        <v>O</v>
      </c>
      <c r="V1144" s="71"/>
      <c r="W1144" s="474">
        <f>(G1144-T1144)</f>
        <v>250000</v>
      </c>
      <c r="X1144" s="71"/>
      <c r="Y1144" s="71"/>
    </row>
    <row r="1145" spans="1:25" s="602" customFormat="1" ht="30" hidden="1" customHeight="1" x14ac:dyDescent="0.25">
      <c r="A1145" s="612">
        <v>180725</v>
      </c>
      <c r="B1145" s="672" t="s">
        <v>764</v>
      </c>
      <c r="C1145" s="411" t="s">
        <v>123</v>
      </c>
      <c r="D1145" s="411">
        <v>30</v>
      </c>
      <c r="E1145" s="198">
        <v>35000</v>
      </c>
      <c r="F1145" s="198">
        <f t="shared" si="566"/>
        <v>1155000</v>
      </c>
      <c r="G1145" s="198">
        <f t="shared" si="567"/>
        <v>1050000</v>
      </c>
      <c r="H1145" s="1008" t="s">
        <v>39</v>
      </c>
      <c r="I1145" s="411"/>
      <c r="J1145" s="64">
        <f>G1145-T1145</f>
        <v>376170</v>
      </c>
      <c r="K1145" s="425">
        <f t="shared" si="573"/>
        <v>0.35825714285714283</v>
      </c>
      <c r="L1145" s="899">
        <v>18.7</v>
      </c>
      <c r="M1145" s="581"/>
      <c r="N1145" s="672">
        <f t="shared" si="568"/>
        <v>180725</v>
      </c>
      <c r="O1145" s="1009" t="s">
        <v>39</v>
      </c>
      <c r="P1145" s="465" t="str">
        <f>C1145</f>
        <v>필터백</v>
      </c>
      <c r="Q1145" s="411">
        <f t="shared" si="574"/>
        <v>30</v>
      </c>
      <c r="R1145" s="198">
        <f>VLOOKUP(P1145,Price!B:D,3,FALSE)</f>
        <v>22461</v>
      </c>
      <c r="S1145" s="198">
        <f>R1145*Q1145*1.1</f>
        <v>741213.00000000012</v>
      </c>
      <c r="T1145" s="198">
        <f>R1145*Q1145</f>
        <v>673830</v>
      </c>
      <c r="U1145" s="411" t="str">
        <f t="shared" si="570"/>
        <v>O</v>
      </c>
      <c r="V1145" s="411"/>
      <c r="W1145" s="963">
        <f>(G1145-T1145)</f>
        <v>376170</v>
      </c>
      <c r="X1145" s="411"/>
      <c r="Y1145" s="411"/>
    </row>
    <row r="1146" spans="1:25" ht="30" hidden="1" customHeight="1" x14ac:dyDescent="0.25">
      <c r="A1146" s="80">
        <v>180726</v>
      </c>
      <c r="B1146" s="663" t="s">
        <v>673</v>
      </c>
      <c r="C1146" s="73" t="s">
        <v>236</v>
      </c>
      <c r="D1146" s="73">
        <v>2</v>
      </c>
      <c r="E1146" s="147">
        <v>110000</v>
      </c>
      <c r="F1146" s="147">
        <f t="shared" si="566"/>
        <v>242000.00000000003</v>
      </c>
      <c r="G1146" s="147">
        <f t="shared" si="567"/>
        <v>220000</v>
      </c>
      <c r="H1146" s="689" t="s">
        <v>173</v>
      </c>
      <c r="I1146" s="73" t="s">
        <v>142</v>
      </c>
      <c r="J1146" s="60">
        <f>(G1146-(VLOOKUP(C1146,Price!B:D,3,FALSE)*D1146))</f>
        <v>120000</v>
      </c>
      <c r="K1146" s="427">
        <f t="shared" si="573"/>
        <v>0.54545454545454541</v>
      </c>
      <c r="L1146" s="80">
        <v>18.7</v>
      </c>
      <c r="M1146" s="584"/>
      <c r="N1146" s="663">
        <f t="shared" si="568"/>
        <v>180726</v>
      </c>
      <c r="O1146" s="73" t="s">
        <v>153</v>
      </c>
      <c r="P1146" s="132" t="str">
        <f>(C1146)</f>
        <v>아스테이지(국전)</v>
      </c>
      <c r="Q1146" s="73">
        <f t="shared" si="574"/>
        <v>2</v>
      </c>
      <c r="R1146" s="147">
        <v>50000</v>
      </c>
      <c r="S1146" s="147">
        <f>(R1146*D1146)*1.1</f>
        <v>110000.00000000001</v>
      </c>
      <c r="T1146" s="147">
        <f>(R1146*Q1146)</f>
        <v>100000</v>
      </c>
      <c r="U1146" s="73" t="str">
        <f t="shared" si="570"/>
        <v>O</v>
      </c>
      <c r="V1146" s="73"/>
      <c r="W1146" s="473">
        <f>(G1146-T1146)</f>
        <v>120000</v>
      </c>
      <c r="X1146" s="73"/>
      <c r="Y1146" s="73"/>
    </row>
    <row r="1147" spans="1:25" s="602" customFormat="1" ht="30" hidden="1" customHeight="1" x14ac:dyDescent="0.25">
      <c r="A1147" s="85">
        <v>180726</v>
      </c>
      <c r="B1147" s="668" t="s">
        <v>627</v>
      </c>
      <c r="C1147" s="84" t="s">
        <v>1297</v>
      </c>
      <c r="D1147" s="84">
        <v>1</v>
      </c>
      <c r="E1147" s="189">
        <v>320000</v>
      </c>
      <c r="F1147" s="189">
        <f t="shared" si="566"/>
        <v>352000</v>
      </c>
      <c r="G1147" s="189">
        <f t="shared" si="567"/>
        <v>320000</v>
      </c>
      <c r="H1147" s="781" t="s">
        <v>113</v>
      </c>
      <c r="I1147" s="84"/>
      <c r="J1147" s="61">
        <f>G1147-T1147</f>
        <v>130000</v>
      </c>
      <c r="K1147" s="62">
        <f>(J1147/(F1147/11*10))</f>
        <v>0.40625</v>
      </c>
      <c r="L1147" s="873">
        <v>18.7</v>
      </c>
      <c r="M1147" s="601"/>
      <c r="N1147" s="668">
        <f t="shared" si="568"/>
        <v>180726</v>
      </c>
      <c r="O1147" s="84" t="s">
        <v>150</v>
      </c>
      <c r="P1147" s="133" t="s">
        <v>1297</v>
      </c>
      <c r="Q1147" s="84">
        <f t="shared" si="574"/>
        <v>1</v>
      </c>
      <c r="R1147" s="189">
        <v>190000</v>
      </c>
      <c r="S1147" s="189">
        <f>(R1147*D1147)*1.1</f>
        <v>209000.00000000003</v>
      </c>
      <c r="T1147" s="189">
        <f>(R1147*Q1147)</f>
        <v>190000</v>
      </c>
      <c r="U1147" s="84" t="str">
        <f t="shared" si="570"/>
        <v>X</v>
      </c>
      <c r="V1147" s="84"/>
      <c r="W1147" s="478"/>
      <c r="X1147" s="84"/>
      <c r="Y1147" s="84"/>
    </row>
    <row r="1148" spans="1:25" ht="30" hidden="1" customHeight="1" x14ac:dyDescent="0.25">
      <c r="A1148" s="80">
        <v>180731</v>
      </c>
      <c r="B1148" s="663" t="s">
        <v>442</v>
      </c>
      <c r="C1148" s="73" t="s">
        <v>1304</v>
      </c>
      <c r="D1148" s="73">
        <v>1</v>
      </c>
      <c r="E1148" s="147">
        <v>680000</v>
      </c>
      <c r="F1148" s="147">
        <f t="shared" si="566"/>
        <v>748000.00000000012</v>
      </c>
      <c r="G1148" s="147">
        <f t="shared" si="567"/>
        <v>680000</v>
      </c>
      <c r="H1148" s="689" t="s">
        <v>173</v>
      </c>
      <c r="I1148" s="73" t="s">
        <v>142</v>
      </c>
      <c r="J1148" s="60">
        <f>G1148-T1148</f>
        <v>530000</v>
      </c>
      <c r="K1148" s="427">
        <f>(J1148/(F1148/11*10))</f>
        <v>0.77941176470588225</v>
      </c>
      <c r="L1148" s="874">
        <v>18.7</v>
      </c>
      <c r="M1148" s="584"/>
      <c r="N1148" s="663">
        <f t="shared" si="568"/>
        <v>180731</v>
      </c>
      <c r="O1148" s="73" t="s">
        <v>242</v>
      </c>
      <c r="P1148" s="132" t="s">
        <v>1304</v>
      </c>
      <c r="Q1148" s="73">
        <f t="shared" si="574"/>
        <v>1</v>
      </c>
      <c r="R1148" s="147">
        <v>150000</v>
      </c>
      <c r="S1148" s="147">
        <f>(R1148*D1148)*1.1</f>
        <v>165000</v>
      </c>
      <c r="T1148" s="147">
        <f>(R1148*Q1148)</f>
        <v>150000</v>
      </c>
      <c r="U1148" s="73" t="str">
        <f t="shared" si="570"/>
        <v>X</v>
      </c>
      <c r="V1148" s="73"/>
      <c r="W1148" s="473"/>
      <c r="X1148" s="73"/>
      <c r="Y1148" s="73"/>
    </row>
    <row r="1149" spans="1:25" ht="30" hidden="1" customHeight="1" x14ac:dyDescent="0.25">
      <c r="A1149" s="82">
        <v>180731</v>
      </c>
      <c r="B1149" s="664" t="s">
        <v>1334</v>
      </c>
      <c r="C1149" s="71" t="s">
        <v>1312</v>
      </c>
      <c r="D1149" s="71">
        <v>1</v>
      </c>
      <c r="E1149" s="102">
        <v>44000000</v>
      </c>
      <c r="F1149" s="102">
        <f t="shared" si="566"/>
        <v>48400000.000000007</v>
      </c>
      <c r="G1149" s="102">
        <f t="shared" si="567"/>
        <v>44000000</v>
      </c>
      <c r="H1149" s="690" t="s">
        <v>142</v>
      </c>
      <c r="I1149" s="71" t="s">
        <v>1001</v>
      </c>
      <c r="J1149" s="53">
        <f>G1149-T1149</f>
        <v>10263454.07381665</v>
      </c>
      <c r="K1149" s="63">
        <f>(J1149/(F1149/11*10))</f>
        <v>0.23326031985946927</v>
      </c>
      <c r="L1149" s="871">
        <v>18.7</v>
      </c>
      <c r="M1149" s="468"/>
      <c r="N1149" s="664">
        <f t="shared" si="568"/>
        <v>180731</v>
      </c>
      <c r="O1149" s="71" t="s">
        <v>1343</v>
      </c>
      <c r="P1149" s="103" t="s">
        <v>1312</v>
      </c>
      <c r="Q1149" s="71">
        <f t="shared" si="574"/>
        <v>1</v>
      </c>
      <c r="R1149" s="102">
        <f>Import!G718</f>
        <v>33736545.92618335</v>
      </c>
      <c r="S1149" s="102">
        <f>(R1149*D1149)*1.1</f>
        <v>37110200.518801689</v>
      </c>
      <c r="T1149" s="102">
        <f>(R1149*Q1149)</f>
        <v>33736545.92618335</v>
      </c>
      <c r="U1149" s="71" t="str">
        <f t="shared" si="570"/>
        <v>X</v>
      </c>
      <c r="V1149" s="71"/>
      <c r="W1149" s="474"/>
      <c r="X1149" s="71"/>
      <c r="Y1149" s="71"/>
    </row>
    <row r="1150" spans="1:25" ht="30" hidden="1" customHeight="1" x14ac:dyDescent="0.25">
      <c r="A1150" s="82">
        <v>180731</v>
      </c>
      <c r="B1150" s="664" t="s">
        <v>1335</v>
      </c>
      <c r="C1150" s="71" t="s">
        <v>1313</v>
      </c>
      <c r="D1150" s="71">
        <v>1</v>
      </c>
      <c r="E1150" s="102">
        <v>19500000</v>
      </c>
      <c r="F1150" s="102">
        <f t="shared" si="566"/>
        <v>21450000</v>
      </c>
      <c r="G1150" s="102">
        <f t="shared" si="567"/>
        <v>19500000</v>
      </c>
      <c r="H1150" s="690" t="s">
        <v>142</v>
      </c>
      <c r="I1150" s="71" t="s">
        <v>1001</v>
      </c>
      <c r="J1150" s="53"/>
      <c r="K1150" s="63"/>
      <c r="L1150" s="871">
        <v>18.7</v>
      </c>
      <c r="M1150" s="468"/>
      <c r="N1150" s="664">
        <f t="shared" si="568"/>
        <v>180731</v>
      </c>
      <c r="O1150" s="71"/>
      <c r="P1150" s="103"/>
      <c r="Q1150" s="71">
        <f t="shared" si="574"/>
        <v>1</v>
      </c>
      <c r="R1150" s="102"/>
      <c r="S1150" s="102"/>
      <c r="T1150" s="102"/>
      <c r="U1150" s="71"/>
      <c r="V1150" s="71"/>
      <c r="W1150" s="474"/>
      <c r="X1150" s="71"/>
      <c r="Y1150" s="71"/>
    </row>
    <row r="1151" spans="1:25" ht="30" hidden="1" customHeight="1" x14ac:dyDescent="0.25">
      <c r="A1151" s="82">
        <v>180731</v>
      </c>
      <c r="B1151" s="664" t="s">
        <v>1178</v>
      </c>
      <c r="C1151" s="71" t="s">
        <v>1226</v>
      </c>
      <c r="D1151" s="71">
        <v>1</v>
      </c>
      <c r="E1151" s="102">
        <v>16816620</v>
      </c>
      <c r="F1151" s="102">
        <f t="shared" si="566"/>
        <v>18498282</v>
      </c>
      <c r="G1151" s="102">
        <f>(E1151*D1151)</f>
        <v>16816620</v>
      </c>
      <c r="H1151" s="690" t="s">
        <v>142</v>
      </c>
      <c r="I1151" s="71" t="s">
        <v>142</v>
      </c>
      <c r="J1151" s="53"/>
      <c r="K1151" s="63"/>
      <c r="L1151" s="871">
        <v>18.7</v>
      </c>
      <c r="M1151" s="468" t="s">
        <v>1314</v>
      </c>
      <c r="N1151" s="664">
        <f t="shared" si="568"/>
        <v>180731</v>
      </c>
      <c r="O1151" s="71"/>
      <c r="P1151" s="103"/>
      <c r="Q1151" s="71">
        <f t="shared" si="574"/>
        <v>1</v>
      </c>
      <c r="R1151" s="102"/>
      <c r="S1151" s="102"/>
      <c r="T1151" s="102"/>
      <c r="U1151" s="71"/>
      <c r="V1151" s="71"/>
      <c r="W1151" s="474"/>
      <c r="X1151" s="71"/>
      <c r="Y1151" s="71"/>
    </row>
    <row r="1152" spans="1:25" s="602" customFormat="1" ht="30" hidden="1" customHeight="1" x14ac:dyDescent="0.25">
      <c r="A1152" s="85">
        <v>180731</v>
      </c>
      <c r="B1152" s="668" t="s">
        <v>1315</v>
      </c>
      <c r="C1152" s="84" t="s">
        <v>1316</v>
      </c>
      <c r="D1152" s="84">
        <v>1</v>
      </c>
      <c r="E1152" s="189">
        <v>2200000</v>
      </c>
      <c r="F1152" s="189">
        <f t="shared" si="566"/>
        <v>2420000</v>
      </c>
      <c r="G1152" s="189">
        <f t="shared" si="567"/>
        <v>2200000</v>
      </c>
      <c r="H1152" s="1006" t="s">
        <v>39</v>
      </c>
      <c r="I1152" s="84"/>
      <c r="J1152" s="61">
        <f>G1152-T1152</f>
        <v>1374885.6842074967</v>
      </c>
      <c r="K1152" s="62">
        <f>(J1152/(F1152/11*10))</f>
        <v>0.62494803827613488</v>
      </c>
      <c r="L1152" s="873">
        <v>18.7</v>
      </c>
      <c r="M1152" s="601"/>
      <c r="N1152" s="668">
        <f t="shared" si="568"/>
        <v>180731</v>
      </c>
      <c r="O1152" s="1007" t="s">
        <v>39</v>
      </c>
      <c r="P1152" s="133" t="s">
        <v>1316</v>
      </c>
      <c r="Q1152" s="84">
        <f t="shared" si="574"/>
        <v>1</v>
      </c>
      <c r="R1152" s="189">
        <f>Import!G632</f>
        <v>825114.31579250342</v>
      </c>
      <c r="S1152" s="189">
        <f>R1152*Q1152*1.1</f>
        <v>907625.74737175379</v>
      </c>
      <c r="T1152" s="189">
        <f>R1152*Q1152</f>
        <v>825114.31579250342</v>
      </c>
      <c r="U1152" s="84" t="str">
        <f>IF(J1152=W1152,"O", "X")</f>
        <v>X</v>
      </c>
      <c r="V1152" s="84"/>
      <c r="W1152" s="478"/>
      <c r="X1152" s="84"/>
      <c r="Y1152" s="84"/>
    </row>
    <row r="1153" spans="1:25" s="978" customFormat="1" ht="45" hidden="1" customHeight="1" x14ac:dyDescent="0.25">
      <c r="A1153" s="975">
        <v>2018.8</v>
      </c>
      <c r="B1153" s="976" t="s">
        <v>544</v>
      </c>
      <c r="C1153" s="453"/>
      <c r="D1153" s="453"/>
      <c r="E1153" s="454"/>
      <c r="F1153" s="454"/>
      <c r="G1153" s="454"/>
      <c r="H1153" s="455"/>
      <c r="I1153" s="453"/>
      <c r="J1153" s="417"/>
      <c r="K1153" s="418"/>
      <c r="L1153" s="977">
        <v>18.8</v>
      </c>
      <c r="M1153" s="643"/>
      <c r="N1153" s="724">
        <f t="shared" ref="N1153:N1178" si="575">A1153</f>
        <v>2018.8</v>
      </c>
      <c r="O1153" s="453" t="s">
        <v>154</v>
      </c>
      <c r="P1153" s="728"/>
      <c r="Q1153" s="419"/>
      <c r="R1153" s="420"/>
      <c r="S1153" s="417"/>
      <c r="T1153" s="417"/>
      <c r="U1153" s="421"/>
      <c r="V1153" s="421"/>
      <c r="W1153" s="479">
        <f>(G1153-T1153)</f>
        <v>0</v>
      </c>
      <c r="X1153" s="421"/>
      <c r="Y1153" s="421"/>
    </row>
    <row r="1154" spans="1:25" ht="30" hidden="1" customHeight="1" x14ac:dyDescent="0.25">
      <c r="A1154" s="80">
        <v>180718</v>
      </c>
      <c r="B1154" s="663" t="s">
        <v>1286</v>
      </c>
      <c r="C1154" s="829" t="s">
        <v>218</v>
      </c>
      <c r="D1154" s="73">
        <v>10</v>
      </c>
      <c r="E1154" s="147">
        <v>192500</v>
      </c>
      <c r="F1154" s="147">
        <f>(E1154*D1154)*1.1</f>
        <v>2117500</v>
      </c>
      <c r="G1154" s="147">
        <f>(E1154*D1154)</f>
        <v>1925000</v>
      </c>
      <c r="H1154" s="689" t="s">
        <v>173</v>
      </c>
      <c r="I1154" s="73" t="s">
        <v>120</v>
      </c>
      <c r="J1154" s="60">
        <f>(G1154-(VLOOKUP(C1154,Price!B:D,3,FALSE)*D1154))</f>
        <v>800000</v>
      </c>
      <c r="K1154" s="427">
        <f>(J1154/(F1154/11*10))</f>
        <v>0.41558441558441561</v>
      </c>
      <c r="L1154" s="80">
        <v>18.8</v>
      </c>
      <c r="M1154" s="584" t="s">
        <v>1350</v>
      </c>
      <c r="N1154" s="663">
        <f t="shared" si="575"/>
        <v>180718</v>
      </c>
      <c r="O1154" s="73" t="s">
        <v>150</v>
      </c>
      <c r="P1154" s="132" t="str">
        <f>C1154</f>
        <v>Fount Web 551AF</v>
      </c>
      <c r="Q1154" s="73">
        <f>D1154</f>
        <v>10</v>
      </c>
      <c r="R1154" s="147">
        <v>112500</v>
      </c>
      <c r="S1154" s="147">
        <f>R1154*Q1154*1.1</f>
        <v>1237500</v>
      </c>
      <c r="T1154" s="147">
        <f>R1154*Q1154</f>
        <v>1125000</v>
      </c>
      <c r="U1154" s="73" t="str">
        <f t="shared" ref="U1154:U1177" si="576">IF(J1154=W1154,"O", "X")</f>
        <v>O</v>
      </c>
      <c r="V1154" s="73"/>
      <c r="W1154" s="473">
        <f>(G1154-T1154)</f>
        <v>800000</v>
      </c>
      <c r="X1154" s="73"/>
      <c r="Y1154" s="73"/>
    </row>
    <row r="1155" spans="1:25" ht="30" hidden="1" customHeight="1" x14ac:dyDescent="0.25">
      <c r="A1155" s="80">
        <v>180725</v>
      </c>
      <c r="B1155" s="663" t="s">
        <v>1051</v>
      </c>
      <c r="C1155" s="73" t="s">
        <v>524</v>
      </c>
      <c r="D1155" s="73">
        <v>600</v>
      </c>
      <c r="E1155" s="147">
        <v>3720</v>
      </c>
      <c r="F1155" s="147">
        <f t="shared" ref="F1155:F1182" si="577">(E1155*D1155)*1.1</f>
        <v>2455200</v>
      </c>
      <c r="G1155" s="147">
        <f t="shared" ref="G1155:G1182" si="578">(E1155*D1155)</f>
        <v>2232000</v>
      </c>
      <c r="H1155" s="689" t="s">
        <v>142</v>
      </c>
      <c r="I1155" s="73" t="s">
        <v>140</v>
      </c>
      <c r="J1155" s="60">
        <f t="shared" ref="J1155:J1161" si="579">G1155-T1155</f>
        <v>720000</v>
      </c>
      <c r="K1155" s="427">
        <f t="shared" ref="K1155:K1177" si="580">(J1155/(F1155/11*10))</f>
        <v>0.32258064516129031</v>
      </c>
      <c r="L1155" s="874">
        <v>18.8</v>
      </c>
      <c r="M1155" s="584" t="s">
        <v>1306</v>
      </c>
      <c r="N1155" s="663">
        <f t="shared" si="575"/>
        <v>180725</v>
      </c>
      <c r="O1155" s="73" t="s">
        <v>145</v>
      </c>
      <c r="P1155" s="132" t="str">
        <f>C1155</f>
        <v>ENGAGE 900X570 - 27RO</v>
      </c>
      <c r="Q1155" s="73">
        <f>D1155</f>
        <v>600</v>
      </c>
      <c r="R1155" s="147">
        <v>2520</v>
      </c>
      <c r="S1155" s="147">
        <f>R1155*Q1155*1.1</f>
        <v>1663200.0000000002</v>
      </c>
      <c r="T1155" s="147">
        <f>R1155*Q1155</f>
        <v>1512000</v>
      </c>
      <c r="U1155" s="73" t="str">
        <f t="shared" si="576"/>
        <v>O</v>
      </c>
      <c r="V1155" s="73"/>
      <c r="W1155" s="473">
        <f>(G1155-T1155)</f>
        <v>720000</v>
      </c>
      <c r="X1155" s="73"/>
      <c r="Y1155" s="73"/>
    </row>
    <row r="1156" spans="1:25" ht="30" hidden="1" customHeight="1" x14ac:dyDescent="0.25">
      <c r="A1156" s="80">
        <v>180725</v>
      </c>
      <c r="B1156" s="663" t="s">
        <v>1051</v>
      </c>
      <c r="C1156" s="73" t="s">
        <v>1305</v>
      </c>
      <c r="D1156" s="73">
        <v>50</v>
      </c>
      <c r="E1156" s="147">
        <v>4470</v>
      </c>
      <c r="F1156" s="147">
        <f t="shared" si="577"/>
        <v>245850.00000000003</v>
      </c>
      <c r="G1156" s="147">
        <f t="shared" si="578"/>
        <v>223500</v>
      </c>
      <c r="H1156" s="689" t="s">
        <v>142</v>
      </c>
      <c r="I1156" s="73" t="s">
        <v>140</v>
      </c>
      <c r="J1156" s="53">
        <f t="shared" si="579"/>
        <v>72000</v>
      </c>
      <c r="K1156" s="63">
        <f t="shared" si="580"/>
        <v>0.32214765100671139</v>
      </c>
      <c r="L1156" s="80">
        <v>18.8</v>
      </c>
      <c r="M1156" s="584"/>
      <c r="N1156" s="663">
        <f t="shared" si="575"/>
        <v>180725</v>
      </c>
      <c r="O1156" s="73" t="s">
        <v>145</v>
      </c>
      <c r="P1156" s="132" t="str">
        <f>(C1156)</f>
        <v>ENGAGE 968*636</v>
      </c>
      <c r="Q1156" s="73">
        <f>D1156</f>
        <v>50</v>
      </c>
      <c r="R1156" s="147">
        <v>3030</v>
      </c>
      <c r="S1156" s="147">
        <f>(R1156*D1156)*1.1</f>
        <v>166650</v>
      </c>
      <c r="T1156" s="147">
        <f>(R1156*Q1156)</f>
        <v>151500</v>
      </c>
      <c r="U1156" s="73" t="str">
        <f t="shared" si="576"/>
        <v>O</v>
      </c>
      <c r="V1156" s="73"/>
      <c r="W1156" s="473">
        <f>(G1156-T1156)</f>
        <v>72000</v>
      </c>
      <c r="X1156" s="73"/>
      <c r="Y1156" s="73"/>
    </row>
    <row r="1157" spans="1:25" ht="30" hidden="1" customHeight="1" x14ac:dyDescent="0.25">
      <c r="A1157" s="82">
        <v>180725</v>
      </c>
      <c r="B1157" s="664" t="s">
        <v>1051</v>
      </c>
      <c r="C1157" s="71" t="s">
        <v>1294</v>
      </c>
      <c r="D1157" s="71">
        <v>500</v>
      </c>
      <c r="E1157" s="102">
        <v>5910</v>
      </c>
      <c r="F1157" s="102">
        <f t="shared" si="577"/>
        <v>3250500.0000000005</v>
      </c>
      <c r="G1157" s="102">
        <f t="shared" si="578"/>
        <v>2955000</v>
      </c>
      <c r="H1157" s="690" t="s">
        <v>142</v>
      </c>
      <c r="I1157" s="71" t="s">
        <v>140</v>
      </c>
      <c r="J1157" s="53">
        <f t="shared" si="579"/>
        <v>955000</v>
      </c>
      <c r="K1157" s="63">
        <f t="shared" si="580"/>
        <v>0.32318104906937389</v>
      </c>
      <c r="L1157" s="80">
        <v>18.8</v>
      </c>
      <c r="M1157" s="468"/>
      <c r="N1157" s="664">
        <f t="shared" si="575"/>
        <v>180725</v>
      </c>
      <c r="O1157" s="73" t="s">
        <v>145</v>
      </c>
      <c r="P1157" s="103" t="str">
        <f>(C1157)</f>
        <v>ENGAGE 1030*790</v>
      </c>
      <c r="Q1157" s="71">
        <f>D1157</f>
        <v>500</v>
      </c>
      <c r="R1157" s="102">
        <v>4000</v>
      </c>
      <c r="S1157" s="147">
        <f>(R1157*D1157)*1.1</f>
        <v>2200000</v>
      </c>
      <c r="T1157" s="147">
        <f>(R1157*Q1157)</f>
        <v>2000000</v>
      </c>
      <c r="U1157" s="73" t="str">
        <f t="shared" si="576"/>
        <v>X</v>
      </c>
      <c r="V1157" s="71"/>
      <c r="W1157" s="474"/>
      <c r="X1157" s="71"/>
      <c r="Y1157" s="71"/>
    </row>
    <row r="1158" spans="1:25" ht="30" hidden="1" customHeight="1" x14ac:dyDescent="0.25">
      <c r="A1158" s="80">
        <v>180725</v>
      </c>
      <c r="B1158" s="663" t="s">
        <v>1051</v>
      </c>
      <c r="C1158" s="79" t="s">
        <v>197</v>
      </c>
      <c r="D1158" s="73">
        <v>10</v>
      </c>
      <c r="E1158" s="147">
        <v>54500</v>
      </c>
      <c r="F1158" s="147">
        <f t="shared" si="577"/>
        <v>599500</v>
      </c>
      <c r="G1158" s="147">
        <f t="shared" si="578"/>
        <v>545000</v>
      </c>
      <c r="H1158" s="689" t="s">
        <v>142</v>
      </c>
      <c r="I1158" s="73" t="s">
        <v>140</v>
      </c>
      <c r="J1158" s="53">
        <f t="shared" si="579"/>
        <v>195000</v>
      </c>
      <c r="K1158" s="63">
        <f t="shared" si="580"/>
        <v>0.3577981651376147</v>
      </c>
      <c r="L1158" s="80">
        <v>18.8</v>
      </c>
      <c r="M1158" s="584"/>
      <c r="N1158" s="663">
        <f t="shared" si="575"/>
        <v>180725</v>
      </c>
      <c r="O1158" s="73" t="s">
        <v>145</v>
      </c>
      <c r="P1158" s="132" t="str">
        <f>C1158</f>
        <v>THR200(20L)</v>
      </c>
      <c r="Q1158" s="73">
        <f>D1158</f>
        <v>10</v>
      </c>
      <c r="R1158" s="147">
        <v>35000</v>
      </c>
      <c r="S1158" s="147">
        <f>R1158*Q1158*1.1</f>
        <v>385000.00000000006</v>
      </c>
      <c r="T1158" s="147">
        <f>R1158*Q1158</f>
        <v>350000</v>
      </c>
      <c r="U1158" s="73" t="str">
        <f t="shared" si="576"/>
        <v>O</v>
      </c>
      <c r="V1158" s="73"/>
      <c r="W1158" s="473">
        <f t="shared" ref="W1158:W1164" si="581">(G1158-T1158)</f>
        <v>195000</v>
      </c>
      <c r="X1158" s="73"/>
      <c r="Y1158" s="73"/>
    </row>
    <row r="1159" spans="1:25" s="602" customFormat="1" ht="30" hidden="1" customHeight="1" x14ac:dyDescent="0.25">
      <c r="A1159" s="85">
        <v>180725</v>
      </c>
      <c r="B1159" s="668" t="s">
        <v>1051</v>
      </c>
      <c r="C1159" s="84" t="s">
        <v>750</v>
      </c>
      <c r="D1159" s="84">
        <v>5</v>
      </c>
      <c r="E1159" s="189">
        <v>54500</v>
      </c>
      <c r="F1159" s="189">
        <f t="shared" si="577"/>
        <v>299750</v>
      </c>
      <c r="G1159" s="189">
        <f t="shared" si="578"/>
        <v>272500</v>
      </c>
      <c r="H1159" s="691" t="s">
        <v>142</v>
      </c>
      <c r="I1159" s="84" t="s">
        <v>140</v>
      </c>
      <c r="J1159" s="61">
        <f t="shared" si="579"/>
        <v>97500</v>
      </c>
      <c r="K1159" s="62">
        <f t="shared" si="580"/>
        <v>0.3577981651376147</v>
      </c>
      <c r="L1159" s="612">
        <v>18.8</v>
      </c>
      <c r="M1159" s="601"/>
      <c r="N1159" s="668">
        <f t="shared" si="575"/>
        <v>180725</v>
      </c>
      <c r="O1159" s="84" t="s">
        <v>145</v>
      </c>
      <c r="P1159" s="133" t="str">
        <f>(C1159)</f>
        <v>THD200(20L)</v>
      </c>
      <c r="Q1159" s="84">
        <f>D1159</f>
        <v>5</v>
      </c>
      <c r="R1159" s="189">
        <v>35000</v>
      </c>
      <c r="S1159" s="189">
        <f>(R1159*D1159)*1.1</f>
        <v>192500.00000000003</v>
      </c>
      <c r="T1159" s="189">
        <f>(R1159*Q1159)</f>
        <v>175000</v>
      </c>
      <c r="U1159" s="84" t="str">
        <f t="shared" si="576"/>
        <v>O</v>
      </c>
      <c r="V1159" s="84"/>
      <c r="W1159" s="478">
        <f t="shared" si="581"/>
        <v>97500</v>
      </c>
      <c r="X1159" s="84"/>
      <c r="Y1159" s="84"/>
    </row>
    <row r="1160" spans="1:25" ht="30" hidden="1" customHeight="1" x14ac:dyDescent="0.25">
      <c r="A1160" s="80">
        <v>180726</v>
      </c>
      <c r="B1160" s="663" t="s">
        <v>983</v>
      </c>
      <c r="C1160" s="73" t="s">
        <v>1009</v>
      </c>
      <c r="D1160" s="73">
        <v>520</v>
      </c>
      <c r="E1160" s="147">
        <v>3900</v>
      </c>
      <c r="F1160" s="147">
        <f t="shared" si="577"/>
        <v>2230800</v>
      </c>
      <c r="G1160" s="147">
        <f t="shared" si="578"/>
        <v>2028000</v>
      </c>
      <c r="H1160" s="689" t="s">
        <v>173</v>
      </c>
      <c r="I1160" s="73" t="s">
        <v>140</v>
      </c>
      <c r="J1160" s="60">
        <f t="shared" si="579"/>
        <v>312000</v>
      </c>
      <c r="K1160" s="427">
        <f t="shared" si="580"/>
        <v>0.15384615384615385</v>
      </c>
      <c r="L1160" s="874">
        <v>18.8</v>
      </c>
      <c r="M1160" s="584"/>
      <c r="N1160" s="663">
        <f t="shared" si="575"/>
        <v>180726</v>
      </c>
      <c r="O1160" s="73" t="s">
        <v>147</v>
      </c>
      <c r="P1160" s="132" t="str">
        <f t="shared" ref="P1160:Q1164" si="582">C1160</f>
        <v>CTP판(1030*790mm)</v>
      </c>
      <c r="Q1160" s="73">
        <f t="shared" si="582"/>
        <v>520</v>
      </c>
      <c r="R1160" s="147">
        <v>3300</v>
      </c>
      <c r="S1160" s="147">
        <f>R1160*Q1160*1.1</f>
        <v>1887600.0000000002</v>
      </c>
      <c r="T1160" s="147">
        <f>R1160*Q1160</f>
        <v>1716000</v>
      </c>
      <c r="U1160" s="73" t="str">
        <f t="shared" si="576"/>
        <v>O</v>
      </c>
      <c r="V1160" s="73"/>
      <c r="W1160" s="473">
        <f t="shared" si="581"/>
        <v>312000</v>
      </c>
      <c r="X1160" s="73"/>
      <c r="Y1160" s="73"/>
    </row>
    <row r="1161" spans="1:25" s="602" customFormat="1" ht="30" hidden="1" customHeight="1" x14ac:dyDescent="0.25">
      <c r="A1161" s="85">
        <v>180726</v>
      </c>
      <c r="B1161" s="668" t="s">
        <v>983</v>
      </c>
      <c r="C1161" s="84" t="s">
        <v>984</v>
      </c>
      <c r="D1161" s="84">
        <v>5</v>
      </c>
      <c r="E1161" s="189">
        <v>45000</v>
      </c>
      <c r="F1161" s="189">
        <f t="shared" si="577"/>
        <v>247500.00000000003</v>
      </c>
      <c r="G1161" s="189">
        <f t="shared" si="578"/>
        <v>225000</v>
      </c>
      <c r="H1161" s="691" t="s">
        <v>173</v>
      </c>
      <c r="I1161" s="84" t="s">
        <v>140</v>
      </c>
      <c r="J1161" s="61">
        <f t="shared" si="579"/>
        <v>50000</v>
      </c>
      <c r="K1161" s="62">
        <f t="shared" si="580"/>
        <v>0.22222222222222218</v>
      </c>
      <c r="L1161" s="873">
        <v>18.8</v>
      </c>
      <c r="M1161" s="601"/>
      <c r="N1161" s="668">
        <f t="shared" si="575"/>
        <v>180726</v>
      </c>
      <c r="O1161" s="84" t="s">
        <v>147</v>
      </c>
      <c r="P1161" s="133" t="str">
        <f t="shared" si="582"/>
        <v>CTP 현상액</v>
      </c>
      <c r="Q1161" s="84">
        <f t="shared" si="582"/>
        <v>5</v>
      </c>
      <c r="R1161" s="189">
        <v>35000</v>
      </c>
      <c r="S1161" s="189">
        <f>R1161*Q1161*1.1</f>
        <v>192500.00000000003</v>
      </c>
      <c r="T1161" s="189">
        <f>R1161*Q1161</f>
        <v>175000</v>
      </c>
      <c r="U1161" s="84" t="str">
        <f t="shared" si="576"/>
        <v>O</v>
      </c>
      <c r="V1161" s="84"/>
      <c r="W1161" s="478">
        <f t="shared" si="581"/>
        <v>50000</v>
      </c>
      <c r="X1161" s="84"/>
      <c r="Y1161" s="84"/>
    </row>
    <row r="1162" spans="1:25" ht="30" hidden="1" customHeight="1" x14ac:dyDescent="0.25">
      <c r="A1162" s="80">
        <v>180727</v>
      </c>
      <c r="B1162" s="663" t="s">
        <v>690</v>
      </c>
      <c r="C1162" s="73" t="s">
        <v>1186</v>
      </c>
      <c r="D1162" s="73">
        <v>500</v>
      </c>
      <c r="E1162" s="147">
        <v>3850</v>
      </c>
      <c r="F1162" s="147">
        <f t="shared" si="577"/>
        <v>2117500</v>
      </c>
      <c r="G1162" s="147">
        <f t="shared" si="578"/>
        <v>1925000</v>
      </c>
      <c r="H1162" s="689" t="s">
        <v>173</v>
      </c>
      <c r="I1162" s="73" t="s">
        <v>140</v>
      </c>
      <c r="J1162" s="60">
        <f>(G1162-(VLOOKUP(C1162,Price!B:D,3,FALSE)*D1162))</f>
        <v>-75000</v>
      </c>
      <c r="K1162" s="427">
        <f t="shared" si="580"/>
        <v>-3.896103896103896E-2</v>
      </c>
      <c r="L1162" s="874">
        <v>18.8</v>
      </c>
      <c r="M1162" s="584" t="s">
        <v>1190</v>
      </c>
      <c r="N1162" s="663">
        <f t="shared" si="575"/>
        <v>180727</v>
      </c>
      <c r="O1162" s="73" t="s">
        <v>145</v>
      </c>
      <c r="P1162" s="132" t="str">
        <f t="shared" si="582"/>
        <v>CTP 판(1030*790mm)</v>
      </c>
      <c r="Q1162" s="73">
        <f t="shared" si="582"/>
        <v>500</v>
      </c>
      <c r="R1162" s="147">
        <v>4000</v>
      </c>
      <c r="S1162" s="147">
        <f>R1162*Q1162*1.1</f>
        <v>2200000</v>
      </c>
      <c r="T1162" s="147">
        <f>R1162*Q1162</f>
        <v>2000000</v>
      </c>
      <c r="U1162" s="73" t="str">
        <f t="shared" si="576"/>
        <v>O</v>
      </c>
      <c r="V1162" s="73"/>
      <c r="W1162" s="473">
        <f t="shared" si="581"/>
        <v>-75000</v>
      </c>
      <c r="X1162" s="73"/>
      <c r="Y1162" s="73"/>
    </row>
    <row r="1163" spans="1:25" s="616" customFormat="1" ht="30" hidden="1" customHeight="1" x14ac:dyDescent="0.25">
      <c r="A1163" s="82">
        <v>180727</v>
      </c>
      <c r="B1163" s="664" t="s">
        <v>690</v>
      </c>
      <c r="C1163" s="71" t="s">
        <v>750</v>
      </c>
      <c r="D1163" s="71">
        <v>2</v>
      </c>
      <c r="E1163" s="102">
        <v>58000</v>
      </c>
      <c r="F1163" s="102">
        <f t="shared" si="577"/>
        <v>127600.00000000001</v>
      </c>
      <c r="G1163" s="102">
        <f t="shared" si="578"/>
        <v>116000</v>
      </c>
      <c r="H1163" s="690" t="s">
        <v>173</v>
      </c>
      <c r="I1163" s="71" t="s">
        <v>140</v>
      </c>
      <c r="J1163" s="53">
        <f>(G1163-(VLOOKUP(C1163,Price!B:D,3,FALSE)*D1163))</f>
        <v>46000</v>
      </c>
      <c r="K1163" s="63">
        <f t="shared" si="580"/>
        <v>0.39655172413793099</v>
      </c>
      <c r="L1163" s="871">
        <v>18.8</v>
      </c>
      <c r="M1163" s="468"/>
      <c r="N1163" s="664">
        <f t="shared" si="575"/>
        <v>180727</v>
      </c>
      <c r="O1163" s="71" t="s">
        <v>145</v>
      </c>
      <c r="P1163" s="103" t="str">
        <f t="shared" si="582"/>
        <v>THD200(20L)</v>
      </c>
      <c r="Q1163" s="71">
        <f t="shared" si="582"/>
        <v>2</v>
      </c>
      <c r="R1163" s="102">
        <v>35000</v>
      </c>
      <c r="S1163" s="102">
        <f>R1163*Q1163*1.1</f>
        <v>77000</v>
      </c>
      <c r="T1163" s="102">
        <f>R1163*Q1163</f>
        <v>70000</v>
      </c>
      <c r="U1163" s="71" t="str">
        <f t="shared" si="576"/>
        <v>O</v>
      </c>
      <c r="V1163" s="71"/>
      <c r="W1163" s="474">
        <f t="shared" si="581"/>
        <v>46000</v>
      </c>
      <c r="X1163" s="71"/>
      <c r="Y1163" s="71"/>
    </row>
    <row r="1164" spans="1:25" ht="30" hidden="1" customHeight="1" x14ac:dyDescent="0.25">
      <c r="A1164" s="82">
        <v>180727</v>
      </c>
      <c r="B1164" s="663" t="s">
        <v>1051</v>
      </c>
      <c r="C1164" s="73" t="s">
        <v>524</v>
      </c>
      <c r="D1164" s="73">
        <v>400</v>
      </c>
      <c r="E1164" s="147">
        <v>3720</v>
      </c>
      <c r="F1164" s="147">
        <f t="shared" si="577"/>
        <v>1636800.0000000002</v>
      </c>
      <c r="G1164" s="147">
        <f t="shared" si="578"/>
        <v>1488000</v>
      </c>
      <c r="H1164" s="689" t="s">
        <v>142</v>
      </c>
      <c r="I1164" s="73" t="s">
        <v>140</v>
      </c>
      <c r="J1164" s="60">
        <f>G1164-T1164</f>
        <v>480000</v>
      </c>
      <c r="K1164" s="427">
        <f t="shared" si="580"/>
        <v>0.32258064516129026</v>
      </c>
      <c r="L1164" s="874">
        <v>18.8</v>
      </c>
      <c r="M1164" s="584"/>
      <c r="N1164" s="663">
        <f t="shared" si="575"/>
        <v>180727</v>
      </c>
      <c r="O1164" s="73" t="s">
        <v>145</v>
      </c>
      <c r="P1164" s="132" t="str">
        <f t="shared" si="582"/>
        <v>ENGAGE 900X570 - 27RO</v>
      </c>
      <c r="Q1164" s="73">
        <f t="shared" si="582"/>
        <v>400</v>
      </c>
      <c r="R1164" s="147">
        <v>2520</v>
      </c>
      <c r="S1164" s="147">
        <f>R1164*Q1164*1.1</f>
        <v>1108800</v>
      </c>
      <c r="T1164" s="147">
        <f>R1164*Q1164</f>
        <v>1008000</v>
      </c>
      <c r="U1164" s="73" t="str">
        <f t="shared" si="576"/>
        <v>O</v>
      </c>
      <c r="V1164" s="73"/>
      <c r="W1164" s="473">
        <f t="shared" si="581"/>
        <v>480000</v>
      </c>
      <c r="X1164" s="73"/>
      <c r="Y1164" s="73"/>
    </row>
    <row r="1165" spans="1:25" ht="30" hidden="1" customHeight="1" x14ac:dyDescent="0.25">
      <c r="A1165" s="82">
        <v>180727</v>
      </c>
      <c r="B1165" s="664" t="s">
        <v>1051</v>
      </c>
      <c r="C1165" s="71" t="s">
        <v>1294</v>
      </c>
      <c r="D1165" s="71">
        <v>500</v>
      </c>
      <c r="E1165" s="102">
        <v>5910</v>
      </c>
      <c r="F1165" s="102">
        <f t="shared" si="577"/>
        <v>3250500.0000000005</v>
      </c>
      <c r="G1165" s="102">
        <f t="shared" si="578"/>
        <v>2955000</v>
      </c>
      <c r="H1165" s="690" t="s">
        <v>142</v>
      </c>
      <c r="I1165" s="71" t="s">
        <v>140</v>
      </c>
      <c r="J1165" s="53">
        <f>G1165-T1165</f>
        <v>955000</v>
      </c>
      <c r="K1165" s="63">
        <f t="shared" si="580"/>
        <v>0.32318104906937389</v>
      </c>
      <c r="L1165" s="80">
        <v>18.8</v>
      </c>
      <c r="M1165" s="468"/>
      <c r="N1165" s="664">
        <f t="shared" si="575"/>
        <v>180727</v>
      </c>
      <c r="O1165" s="73" t="s">
        <v>145</v>
      </c>
      <c r="P1165" s="103" t="str">
        <f>(C1165)</f>
        <v>ENGAGE 1030*790</v>
      </c>
      <c r="Q1165" s="71">
        <f>D1165</f>
        <v>500</v>
      </c>
      <c r="R1165" s="102">
        <v>4000</v>
      </c>
      <c r="S1165" s="147">
        <f>(R1165*D1165)*1.1</f>
        <v>2200000</v>
      </c>
      <c r="T1165" s="147">
        <f>(R1165*Q1165)</f>
        <v>2000000</v>
      </c>
      <c r="U1165" s="73" t="str">
        <f t="shared" si="576"/>
        <v>X</v>
      </c>
      <c r="V1165" s="71"/>
      <c r="W1165" s="474"/>
      <c r="X1165" s="71"/>
      <c r="Y1165" s="71"/>
    </row>
    <row r="1166" spans="1:25" s="602" customFormat="1" ht="30" hidden="1" customHeight="1" x14ac:dyDescent="0.25">
      <c r="A1166" s="85">
        <v>180727</v>
      </c>
      <c r="B1166" s="668" t="s">
        <v>1051</v>
      </c>
      <c r="C1166" s="84" t="s">
        <v>951</v>
      </c>
      <c r="D1166" s="84">
        <v>300</v>
      </c>
      <c r="E1166" s="189">
        <v>3540</v>
      </c>
      <c r="F1166" s="189">
        <f>(E1166*D1166)*1.1</f>
        <v>1168200</v>
      </c>
      <c r="G1166" s="189">
        <f>(E1166*D1166)</f>
        <v>1062000</v>
      </c>
      <c r="H1166" s="691" t="s">
        <v>142</v>
      </c>
      <c r="I1166" s="84" t="s">
        <v>140</v>
      </c>
      <c r="J1166" s="61">
        <f>G1166-T1166</f>
        <v>345000</v>
      </c>
      <c r="K1166" s="62">
        <f>(J1166/(F1166/11*10))</f>
        <v>0.3248587570621469</v>
      </c>
      <c r="L1166" s="85">
        <v>18.8</v>
      </c>
      <c r="M1166" s="601"/>
      <c r="N1166" s="668">
        <f>A1166</f>
        <v>180727</v>
      </c>
      <c r="O1166" s="84" t="s">
        <v>145</v>
      </c>
      <c r="P1166" s="133" t="str">
        <f>(C1166)</f>
        <v>ENGAGE 30WEB(883*552)</v>
      </c>
      <c r="Q1166" s="84">
        <f>D1166</f>
        <v>300</v>
      </c>
      <c r="R1166" s="189">
        <v>2390</v>
      </c>
      <c r="S1166" s="189">
        <f>(R1166*D1166)*1.1</f>
        <v>788700.00000000012</v>
      </c>
      <c r="T1166" s="189">
        <f>(R1166*Q1166)</f>
        <v>717000</v>
      </c>
      <c r="U1166" s="84" t="str">
        <f t="shared" si="576"/>
        <v>O</v>
      </c>
      <c r="V1166" s="84"/>
      <c r="W1166" s="478">
        <f t="shared" ref="W1166:W1178" si="583">(G1166-T1166)</f>
        <v>345000</v>
      </c>
      <c r="X1166" s="84"/>
      <c r="Y1166" s="84"/>
    </row>
    <row r="1167" spans="1:25" ht="30" hidden="1" customHeight="1" x14ac:dyDescent="0.25">
      <c r="A1167" s="80">
        <v>180731</v>
      </c>
      <c r="B1167" s="663" t="s">
        <v>1051</v>
      </c>
      <c r="C1167" s="73" t="s">
        <v>524</v>
      </c>
      <c r="D1167" s="73">
        <v>1000</v>
      </c>
      <c r="E1167" s="147">
        <v>3720</v>
      </c>
      <c r="F1167" s="147">
        <f>(E1167*D1167)*1.1</f>
        <v>4092000.0000000005</v>
      </c>
      <c r="G1167" s="147">
        <f>(E1167*D1167)</f>
        <v>3720000</v>
      </c>
      <c r="H1167" s="689" t="s">
        <v>142</v>
      </c>
      <c r="I1167" s="73" t="s">
        <v>140</v>
      </c>
      <c r="J1167" s="60">
        <f>G1167-T1167</f>
        <v>1200000</v>
      </c>
      <c r="K1167" s="427">
        <f>(J1167/(F1167/11*10))</f>
        <v>0.32258064516129026</v>
      </c>
      <c r="L1167" s="874">
        <v>18.8</v>
      </c>
      <c r="M1167" s="584"/>
      <c r="N1167" s="663">
        <f>A1167</f>
        <v>180731</v>
      </c>
      <c r="O1167" s="73" t="s">
        <v>145</v>
      </c>
      <c r="P1167" s="132" t="str">
        <f>C1167</f>
        <v>ENGAGE 900X570 - 27RO</v>
      </c>
      <c r="Q1167" s="73">
        <f>D1167</f>
        <v>1000</v>
      </c>
      <c r="R1167" s="147">
        <v>2520</v>
      </c>
      <c r="S1167" s="147">
        <f>R1167*Q1167*1.1</f>
        <v>2772000</v>
      </c>
      <c r="T1167" s="147">
        <f>R1167*Q1167</f>
        <v>2520000</v>
      </c>
      <c r="U1167" s="73" t="str">
        <f t="shared" si="576"/>
        <v>O</v>
      </c>
      <c r="V1167" s="73"/>
      <c r="W1167" s="473">
        <f t="shared" si="583"/>
        <v>1200000</v>
      </c>
      <c r="X1167" s="73"/>
      <c r="Y1167" s="73"/>
    </row>
    <row r="1168" spans="1:25" s="602" customFormat="1" ht="30" hidden="1" customHeight="1" x14ac:dyDescent="0.25">
      <c r="A1168" s="85">
        <v>180731</v>
      </c>
      <c r="B1168" s="668" t="s">
        <v>1051</v>
      </c>
      <c r="C1168" s="84" t="s">
        <v>951</v>
      </c>
      <c r="D1168" s="84">
        <v>500</v>
      </c>
      <c r="E1168" s="189">
        <v>3540</v>
      </c>
      <c r="F1168" s="189">
        <f>(E1168*D1168)*1.1</f>
        <v>1947000.0000000002</v>
      </c>
      <c r="G1168" s="189">
        <f>(E1168*D1168)</f>
        <v>1770000</v>
      </c>
      <c r="H1168" s="691" t="s">
        <v>142</v>
      </c>
      <c r="I1168" s="84" t="s">
        <v>140</v>
      </c>
      <c r="J1168" s="61">
        <f>G1168-T1168</f>
        <v>575000</v>
      </c>
      <c r="K1168" s="62">
        <f>(J1168/(F1168/11*10))</f>
        <v>0.32485875706214684</v>
      </c>
      <c r="L1168" s="85">
        <v>18.8</v>
      </c>
      <c r="M1168" s="601"/>
      <c r="N1168" s="668">
        <f>A1168</f>
        <v>180731</v>
      </c>
      <c r="O1168" s="84" t="s">
        <v>145</v>
      </c>
      <c r="P1168" s="133" t="str">
        <f>(C1168)</f>
        <v>ENGAGE 30WEB(883*552)</v>
      </c>
      <c r="Q1168" s="84">
        <f>D1168</f>
        <v>500</v>
      </c>
      <c r="R1168" s="189">
        <v>2390</v>
      </c>
      <c r="S1168" s="189">
        <f>(R1168*D1168)*1.1</f>
        <v>1314500</v>
      </c>
      <c r="T1168" s="189">
        <f>(R1168*Q1168)</f>
        <v>1195000</v>
      </c>
      <c r="U1168" s="84" t="str">
        <f t="shared" si="576"/>
        <v>O</v>
      </c>
      <c r="V1168" s="84"/>
      <c r="W1168" s="478">
        <f t="shared" si="583"/>
        <v>575000</v>
      </c>
      <c r="X1168" s="84"/>
      <c r="Y1168" s="84"/>
    </row>
    <row r="1169" spans="1:25" s="209" customFormat="1" ht="30" hidden="1" customHeight="1" x14ac:dyDescent="0.2">
      <c r="A1169" s="428">
        <v>180801</v>
      </c>
      <c r="B1169" s="663" t="s">
        <v>1286</v>
      </c>
      <c r="C1169" s="73" t="s">
        <v>231</v>
      </c>
      <c r="D1169" s="73">
        <v>10</v>
      </c>
      <c r="E1169" s="147">
        <v>120000</v>
      </c>
      <c r="F1169" s="160">
        <f t="shared" si="577"/>
        <v>1320000</v>
      </c>
      <c r="G1169" s="160">
        <f t="shared" si="578"/>
        <v>1200000</v>
      </c>
      <c r="H1169" s="161" t="s">
        <v>172</v>
      </c>
      <c r="I1169" s="73" t="s">
        <v>109</v>
      </c>
      <c r="J1169" s="60">
        <f>(G1169-(VLOOKUP(C1169,Price!B:D,3,FALSE)*D1169))</f>
        <v>80000</v>
      </c>
      <c r="K1169" s="427">
        <f t="shared" si="580"/>
        <v>6.6666666666666666E-2</v>
      </c>
      <c r="L1169" s="874">
        <v>18.8</v>
      </c>
      <c r="M1169" s="584"/>
      <c r="N1169" s="663">
        <f t="shared" si="575"/>
        <v>180801</v>
      </c>
      <c r="O1169" s="73" t="s">
        <v>151</v>
      </c>
      <c r="P1169" s="132" t="str">
        <f>(C1169)</f>
        <v>Blanket(990*725)</v>
      </c>
      <c r="Q1169" s="73">
        <f t="shared" ref="Q1169:Q1180" si="584">D1169</f>
        <v>10</v>
      </c>
      <c r="R1169" s="147">
        <v>112000</v>
      </c>
      <c r="S1169" s="147">
        <f>(R1169*D1169)*1.1</f>
        <v>1232000</v>
      </c>
      <c r="T1169" s="147">
        <f>(R1169*Q1169)</f>
        <v>1120000</v>
      </c>
      <c r="U1169" s="73" t="str">
        <f t="shared" si="576"/>
        <v>O</v>
      </c>
      <c r="V1169" s="73"/>
      <c r="W1169" s="473">
        <f t="shared" si="583"/>
        <v>80000</v>
      </c>
      <c r="X1169" s="73"/>
      <c r="Y1169" s="73"/>
    </row>
    <row r="1170" spans="1:25" s="657" customFormat="1" ht="30" hidden="1" customHeight="1" x14ac:dyDescent="0.25">
      <c r="A1170" s="80">
        <v>180801</v>
      </c>
      <c r="B1170" s="664" t="s">
        <v>1061</v>
      </c>
      <c r="C1170" s="71" t="s">
        <v>616</v>
      </c>
      <c r="D1170" s="71">
        <v>200</v>
      </c>
      <c r="E1170" s="102">
        <v>6600</v>
      </c>
      <c r="F1170" s="102">
        <f t="shared" si="577"/>
        <v>1452000.0000000002</v>
      </c>
      <c r="G1170" s="102">
        <f t="shared" si="578"/>
        <v>1320000</v>
      </c>
      <c r="H1170" s="690" t="s">
        <v>142</v>
      </c>
      <c r="I1170" s="71" t="s">
        <v>144</v>
      </c>
      <c r="J1170" s="53">
        <f>(G1170-(VLOOKUP(C1170,Price!B:D,3,FALSE)*D1170))</f>
        <v>140000</v>
      </c>
      <c r="K1170" s="63">
        <f>(J1170/(F1170/11*10))</f>
        <v>0.10606060606060604</v>
      </c>
      <c r="L1170" s="871">
        <v>18.8</v>
      </c>
      <c r="M1170" s="468"/>
      <c r="N1170" s="664">
        <f t="shared" si="575"/>
        <v>180801</v>
      </c>
      <c r="O1170" s="71" t="s">
        <v>147</v>
      </c>
      <c r="P1170" s="103" t="str">
        <f>C1170</f>
        <v>프리미어(먹)</v>
      </c>
      <c r="Q1170" s="71">
        <f t="shared" si="584"/>
        <v>200</v>
      </c>
      <c r="R1170" s="102">
        <v>5900</v>
      </c>
      <c r="S1170" s="102">
        <f>R1170*Q1170*1.1</f>
        <v>1298000</v>
      </c>
      <c r="T1170" s="102">
        <f>R1170*Q1170</f>
        <v>1180000</v>
      </c>
      <c r="U1170" s="71" t="str">
        <f t="shared" si="576"/>
        <v>O</v>
      </c>
      <c r="V1170" s="71"/>
      <c r="W1170" s="474">
        <f t="shared" si="583"/>
        <v>140000</v>
      </c>
      <c r="X1170" s="71"/>
      <c r="Y1170" s="71"/>
    </row>
    <row r="1171" spans="1:25" ht="30" hidden="1" customHeight="1" x14ac:dyDescent="0.25">
      <c r="A1171" s="82">
        <v>180801</v>
      </c>
      <c r="B1171" s="664" t="s">
        <v>1052</v>
      </c>
      <c r="C1171" s="71" t="s">
        <v>585</v>
      </c>
      <c r="D1171" s="71">
        <v>200</v>
      </c>
      <c r="E1171" s="102">
        <v>7500</v>
      </c>
      <c r="F1171" s="102">
        <f t="shared" si="577"/>
        <v>1650000.0000000002</v>
      </c>
      <c r="G1171" s="102">
        <f t="shared" si="578"/>
        <v>1500000</v>
      </c>
      <c r="H1171" s="690" t="s">
        <v>142</v>
      </c>
      <c r="I1171" s="71" t="s">
        <v>144</v>
      </c>
      <c r="J1171" s="53">
        <f>(G1171-(VLOOKUP(C1171,Price!B:D,3,FALSE)*D1171))</f>
        <v>146000</v>
      </c>
      <c r="K1171" s="63">
        <f t="shared" si="580"/>
        <v>9.7333333333333313E-2</v>
      </c>
      <c r="L1171" s="871">
        <v>18.8</v>
      </c>
      <c r="M1171" s="468"/>
      <c r="N1171" s="664">
        <f t="shared" si="575"/>
        <v>180801</v>
      </c>
      <c r="O1171" s="71" t="s">
        <v>147</v>
      </c>
      <c r="P1171" s="103" t="str">
        <f>C1171</f>
        <v>프리미어(적)</v>
      </c>
      <c r="Q1171" s="71">
        <f t="shared" si="584"/>
        <v>200</v>
      </c>
      <c r="R1171" s="102">
        <v>6770</v>
      </c>
      <c r="S1171" s="102">
        <f>R1171*Q1171*1.1</f>
        <v>1489400.0000000002</v>
      </c>
      <c r="T1171" s="102">
        <f>R1171*Q1171</f>
        <v>1354000</v>
      </c>
      <c r="U1171" s="71" t="str">
        <f t="shared" si="576"/>
        <v>O</v>
      </c>
      <c r="V1171" s="71"/>
      <c r="W1171" s="474">
        <f t="shared" si="583"/>
        <v>146000</v>
      </c>
      <c r="X1171" s="71"/>
      <c r="Y1171" s="71"/>
    </row>
    <row r="1172" spans="1:25" s="602" customFormat="1" ht="30" customHeight="1" x14ac:dyDescent="0.2">
      <c r="A1172" s="433">
        <v>180801</v>
      </c>
      <c r="B1172" s="668" t="s">
        <v>422</v>
      </c>
      <c r="C1172" s="962" t="s">
        <v>218</v>
      </c>
      <c r="D1172" s="84">
        <v>5</v>
      </c>
      <c r="E1172" s="189">
        <v>235000</v>
      </c>
      <c r="F1172" s="189">
        <f t="shared" si="577"/>
        <v>1292500</v>
      </c>
      <c r="G1172" s="189">
        <f t="shared" si="578"/>
        <v>1175000</v>
      </c>
      <c r="H1172" s="691" t="s">
        <v>173</v>
      </c>
      <c r="I1172" s="84" t="s">
        <v>120</v>
      </c>
      <c r="J1172" s="61">
        <f>(G1172-(VLOOKUP(C1172,Price!B:D,3,FALSE)*D1172))</f>
        <v>612500</v>
      </c>
      <c r="K1172" s="62">
        <f t="shared" si="580"/>
        <v>0.52127659574468088</v>
      </c>
      <c r="L1172" s="873">
        <v>18.8</v>
      </c>
      <c r="M1172" s="601"/>
      <c r="N1172" s="668">
        <f t="shared" si="575"/>
        <v>180801</v>
      </c>
      <c r="O1172" s="84" t="s">
        <v>150</v>
      </c>
      <c r="P1172" s="133" t="str">
        <f>C1172</f>
        <v>Fount Web 551AF</v>
      </c>
      <c r="Q1172" s="84">
        <f t="shared" si="584"/>
        <v>5</v>
      </c>
      <c r="R1172" s="189">
        <v>112500</v>
      </c>
      <c r="S1172" s="189">
        <f>R1172*Q1172*1.1</f>
        <v>618750</v>
      </c>
      <c r="T1172" s="189">
        <f>R1172*Q1172</f>
        <v>562500</v>
      </c>
      <c r="U1172" s="84" t="str">
        <f t="shared" si="576"/>
        <v>O</v>
      </c>
      <c r="V1172" s="84"/>
      <c r="W1172" s="478">
        <f t="shared" si="583"/>
        <v>612500</v>
      </c>
      <c r="X1172" s="84"/>
      <c r="Y1172" s="84"/>
    </row>
    <row r="1173" spans="1:25" ht="30" hidden="1" customHeight="1" x14ac:dyDescent="0.25">
      <c r="A1173" s="80">
        <v>180802</v>
      </c>
      <c r="B1173" s="663" t="s">
        <v>1082</v>
      </c>
      <c r="C1173" s="73" t="s">
        <v>121</v>
      </c>
      <c r="D1173" s="73">
        <v>10</v>
      </c>
      <c r="E1173" s="147">
        <v>110000</v>
      </c>
      <c r="F1173" s="147">
        <f t="shared" si="577"/>
        <v>1210000</v>
      </c>
      <c r="G1173" s="147">
        <f t="shared" si="578"/>
        <v>1100000</v>
      </c>
      <c r="H1173" s="689" t="s">
        <v>173</v>
      </c>
      <c r="I1173" s="73" t="s">
        <v>142</v>
      </c>
      <c r="J1173" s="60">
        <f>(G1173-(VLOOKUP(C1173,Price!B:D,3,FALSE)*D1173))</f>
        <v>190000</v>
      </c>
      <c r="K1173" s="427">
        <f t="shared" si="580"/>
        <v>0.17272727272727273</v>
      </c>
      <c r="L1173" s="874">
        <v>18.8</v>
      </c>
      <c r="M1173" s="584"/>
      <c r="N1173" s="663">
        <f t="shared" si="575"/>
        <v>180802</v>
      </c>
      <c r="O1173" s="73" t="s">
        <v>150</v>
      </c>
      <c r="P1173" s="132" t="str">
        <f>C1173</f>
        <v>윤전용 실리콘</v>
      </c>
      <c r="Q1173" s="73">
        <f t="shared" si="584"/>
        <v>10</v>
      </c>
      <c r="R1173" s="147">
        <v>91000</v>
      </c>
      <c r="S1173" s="147">
        <f>R1173*Q1173*1.1</f>
        <v>1001000.0000000001</v>
      </c>
      <c r="T1173" s="147">
        <f>R1173*Q1173</f>
        <v>910000</v>
      </c>
      <c r="U1173" s="73" t="str">
        <f t="shared" si="576"/>
        <v>O</v>
      </c>
      <c r="V1173" s="73"/>
      <c r="W1173" s="473">
        <f t="shared" si="583"/>
        <v>190000</v>
      </c>
      <c r="X1173" s="73"/>
      <c r="Y1173" s="73"/>
    </row>
    <row r="1174" spans="1:25" s="209" customFormat="1" ht="30" hidden="1" customHeight="1" x14ac:dyDescent="0.2">
      <c r="A1174" s="429">
        <v>180802</v>
      </c>
      <c r="B1174" s="664" t="s">
        <v>445</v>
      </c>
      <c r="C1174" s="71" t="s">
        <v>107</v>
      </c>
      <c r="D1174" s="71">
        <v>5</v>
      </c>
      <c r="E1174" s="102">
        <v>108000</v>
      </c>
      <c r="F1174" s="163">
        <f t="shared" si="577"/>
        <v>594000</v>
      </c>
      <c r="G1174" s="163">
        <f t="shared" si="578"/>
        <v>540000</v>
      </c>
      <c r="H1174" s="165" t="s">
        <v>172</v>
      </c>
      <c r="I1174" s="71" t="s">
        <v>109</v>
      </c>
      <c r="J1174" s="53">
        <f>(G1174-(VLOOKUP(C1174,Price!B:D,3,FALSE)*D1174))</f>
        <v>137500</v>
      </c>
      <c r="K1174" s="63">
        <f t="shared" si="580"/>
        <v>0.25462962962962965</v>
      </c>
      <c r="L1174" s="871">
        <v>18.8</v>
      </c>
      <c r="M1174" s="468"/>
      <c r="N1174" s="664">
        <f t="shared" si="575"/>
        <v>180802</v>
      </c>
      <c r="O1174" s="71" t="s">
        <v>147</v>
      </c>
      <c r="P1174" s="103" t="str">
        <f>(C1174)</f>
        <v>Blanket(1050*840)</v>
      </c>
      <c r="Q1174" s="71">
        <f t="shared" si="584"/>
        <v>5</v>
      </c>
      <c r="R1174" s="102">
        <v>80500</v>
      </c>
      <c r="S1174" s="102">
        <f t="shared" ref="S1174:S1180" si="585">(R1174*D1174)*1.1</f>
        <v>442750.00000000006</v>
      </c>
      <c r="T1174" s="102">
        <f t="shared" ref="T1174:T1180" si="586">(R1174*Q1174)</f>
        <v>402500</v>
      </c>
      <c r="U1174" s="71" t="str">
        <f t="shared" si="576"/>
        <v>O</v>
      </c>
      <c r="V1174" s="71"/>
      <c r="W1174" s="474">
        <f t="shared" si="583"/>
        <v>137500</v>
      </c>
      <c r="X1174" s="71"/>
      <c r="Y1174" s="71"/>
    </row>
    <row r="1175" spans="1:25" s="210" customFormat="1" ht="30" hidden="1" customHeight="1" x14ac:dyDescent="0.25">
      <c r="A1175" s="85">
        <v>180802</v>
      </c>
      <c r="B1175" s="668" t="s">
        <v>445</v>
      </c>
      <c r="C1175" s="84" t="s">
        <v>277</v>
      </c>
      <c r="D1175" s="84">
        <v>10</v>
      </c>
      <c r="E1175" s="189">
        <v>172000</v>
      </c>
      <c r="F1175" s="189">
        <f t="shared" si="577"/>
        <v>1892000.0000000002</v>
      </c>
      <c r="G1175" s="189">
        <f t="shared" si="578"/>
        <v>1720000</v>
      </c>
      <c r="H1175" s="691" t="s">
        <v>173</v>
      </c>
      <c r="I1175" s="84" t="s">
        <v>108</v>
      </c>
      <c r="J1175" s="61">
        <f>(G1175-(VLOOKUP(C1175,Price!B:D,3,FALSE)*D1175))</f>
        <v>570000</v>
      </c>
      <c r="K1175" s="62">
        <f t="shared" si="580"/>
        <v>0.33139534883720928</v>
      </c>
      <c r="L1175" s="873">
        <v>18.8</v>
      </c>
      <c r="M1175" s="601"/>
      <c r="N1175" s="668">
        <f t="shared" si="575"/>
        <v>180802</v>
      </c>
      <c r="O1175" s="84" t="s">
        <v>150</v>
      </c>
      <c r="P1175" s="133" t="str">
        <f>(C1175)</f>
        <v>윤전용 세척제(Web 504)</v>
      </c>
      <c r="Q1175" s="84">
        <f t="shared" si="584"/>
        <v>10</v>
      </c>
      <c r="R1175" s="189">
        <v>115000</v>
      </c>
      <c r="S1175" s="189">
        <f t="shared" si="585"/>
        <v>1265000</v>
      </c>
      <c r="T1175" s="189">
        <f t="shared" si="586"/>
        <v>1150000</v>
      </c>
      <c r="U1175" s="84" t="str">
        <f t="shared" si="576"/>
        <v>O</v>
      </c>
      <c r="V1175" s="84"/>
      <c r="W1175" s="478">
        <f t="shared" si="583"/>
        <v>570000</v>
      </c>
      <c r="X1175" s="84"/>
      <c r="Y1175" s="84"/>
    </row>
    <row r="1176" spans="1:25" s="215" customFormat="1" ht="30" hidden="1" customHeight="1" x14ac:dyDescent="0.25">
      <c r="A1176" s="89">
        <v>180807</v>
      </c>
      <c r="B1176" s="673" t="s">
        <v>442</v>
      </c>
      <c r="C1176" s="88" t="s">
        <v>138</v>
      </c>
      <c r="D1176" s="88">
        <v>20</v>
      </c>
      <c r="E1176" s="470">
        <v>69000</v>
      </c>
      <c r="F1176" s="470">
        <f t="shared" si="577"/>
        <v>1518000.0000000002</v>
      </c>
      <c r="G1176" s="470">
        <f t="shared" si="578"/>
        <v>1380000</v>
      </c>
      <c r="H1176" s="695" t="s">
        <v>173</v>
      </c>
      <c r="I1176" s="88" t="s">
        <v>108</v>
      </c>
      <c r="J1176" s="107">
        <f>(G1176-(VLOOKUP(C1176,Price!B:D,3,FALSE)*D1176))</f>
        <v>360000</v>
      </c>
      <c r="K1176" s="469">
        <f t="shared" si="580"/>
        <v>0.26086956521739124</v>
      </c>
      <c r="L1176" s="875">
        <v>18.8</v>
      </c>
      <c r="M1176" s="575"/>
      <c r="N1176" s="673">
        <f t="shared" si="575"/>
        <v>180807</v>
      </c>
      <c r="O1176" s="88" t="s">
        <v>150</v>
      </c>
      <c r="P1176" s="134" t="str">
        <f>(C1176)</f>
        <v>매엽용 세척제(Wash 562)</v>
      </c>
      <c r="Q1176" s="88">
        <f t="shared" si="584"/>
        <v>20</v>
      </c>
      <c r="R1176" s="470">
        <v>51000</v>
      </c>
      <c r="S1176" s="470">
        <f t="shared" si="585"/>
        <v>1122000</v>
      </c>
      <c r="T1176" s="470">
        <f t="shared" si="586"/>
        <v>1020000</v>
      </c>
      <c r="U1176" s="88" t="str">
        <f t="shared" si="576"/>
        <v>O</v>
      </c>
      <c r="V1176" s="88"/>
      <c r="W1176" s="945">
        <f t="shared" si="583"/>
        <v>360000</v>
      </c>
      <c r="X1176" s="88"/>
      <c r="Y1176" s="88"/>
    </row>
    <row r="1177" spans="1:25" s="209" customFormat="1" ht="30" hidden="1" customHeight="1" x14ac:dyDescent="0.25">
      <c r="A1177" s="80">
        <v>180808</v>
      </c>
      <c r="B1177" s="663" t="s">
        <v>567</v>
      </c>
      <c r="C1177" s="73" t="s">
        <v>236</v>
      </c>
      <c r="D1177" s="73">
        <v>10</v>
      </c>
      <c r="E1177" s="147">
        <v>65000</v>
      </c>
      <c r="F1177" s="147">
        <f t="shared" si="577"/>
        <v>715000</v>
      </c>
      <c r="G1177" s="147">
        <f t="shared" si="578"/>
        <v>650000</v>
      </c>
      <c r="H1177" s="689" t="s">
        <v>173</v>
      </c>
      <c r="I1177" s="73" t="s">
        <v>142</v>
      </c>
      <c r="J1177" s="60">
        <f>(G1177-(VLOOKUP(C1177,Price!B:D,3,FALSE)*D1177))</f>
        <v>150000</v>
      </c>
      <c r="K1177" s="427">
        <f t="shared" si="580"/>
        <v>0.23076923076923078</v>
      </c>
      <c r="L1177" s="80">
        <v>18.8</v>
      </c>
      <c r="M1177" s="584"/>
      <c r="N1177" s="663">
        <f t="shared" si="575"/>
        <v>180808</v>
      </c>
      <c r="O1177" s="73" t="s">
        <v>153</v>
      </c>
      <c r="P1177" s="132" t="str">
        <f>(C1177)</f>
        <v>아스테이지(국전)</v>
      </c>
      <c r="Q1177" s="73">
        <f t="shared" si="584"/>
        <v>10</v>
      </c>
      <c r="R1177" s="147">
        <v>50000</v>
      </c>
      <c r="S1177" s="147">
        <f t="shared" si="585"/>
        <v>550000</v>
      </c>
      <c r="T1177" s="147">
        <f t="shared" si="586"/>
        <v>500000</v>
      </c>
      <c r="U1177" s="73" t="str">
        <f t="shared" si="576"/>
        <v>O</v>
      </c>
      <c r="V1177" s="73"/>
      <c r="W1177" s="473">
        <f t="shared" si="583"/>
        <v>150000</v>
      </c>
      <c r="X1177" s="73"/>
      <c r="Y1177" s="73"/>
    </row>
    <row r="1178" spans="1:25" s="209" customFormat="1" ht="30" hidden="1" customHeight="1" x14ac:dyDescent="0.25">
      <c r="A1178" s="80">
        <v>180808</v>
      </c>
      <c r="B1178" s="663" t="s">
        <v>575</v>
      </c>
      <c r="C1178" s="73" t="s">
        <v>1362</v>
      </c>
      <c r="D1178" s="73">
        <v>1</v>
      </c>
      <c r="E1178" s="147">
        <v>5000000</v>
      </c>
      <c r="F1178" s="147">
        <f t="shared" si="577"/>
        <v>5500000</v>
      </c>
      <c r="G1178" s="147">
        <f t="shared" si="578"/>
        <v>5000000</v>
      </c>
      <c r="H1178" s="689" t="s">
        <v>985</v>
      </c>
      <c r="I1178" s="73"/>
      <c r="J1178" s="53">
        <f t="shared" ref="J1178:J1185" si="587">G1178-T1178</f>
        <v>500000</v>
      </c>
      <c r="K1178" s="63">
        <f>(J1178/(F1178/11*10))</f>
        <v>0.1</v>
      </c>
      <c r="L1178" s="80">
        <v>18.8</v>
      </c>
      <c r="M1178" s="584"/>
      <c r="N1178" s="663">
        <f t="shared" si="575"/>
        <v>180808</v>
      </c>
      <c r="O1178" s="73" t="s">
        <v>1363</v>
      </c>
      <c r="P1178" s="132" t="str">
        <f>(C1178)</f>
        <v>실린더 수리</v>
      </c>
      <c r="Q1178" s="73">
        <f t="shared" si="584"/>
        <v>1</v>
      </c>
      <c r="R1178" s="147">
        <v>4500000</v>
      </c>
      <c r="S1178" s="147">
        <f t="shared" si="585"/>
        <v>4950000</v>
      </c>
      <c r="T1178" s="147">
        <f t="shared" si="586"/>
        <v>4500000</v>
      </c>
      <c r="U1178" s="73"/>
      <c r="V1178" s="73"/>
      <c r="W1178" s="473">
        <f t="shared" si="583"/>
        <v>500000</v>
      </c>
      <c r="X1178" s="73"/>
      <c r="Y1178" s="73"/>
    </row>
    <row r="1179" spans="1:25" ht="30" hidden="1" customHeight="1" x14ac:dyDescent="0.25">
      <c r="A1179" s="82">
        <v>180808</v>
      </c>
      <c r="B1179" s="664" t="s">
        <v>1061</v>
      </c>
      <c r="C1179" s="71" t="s">
        <v>586</v>
      </c>
      <c r="D1179" s="71">
        <v>200</v>
      </c>
      <c r="E1179" s="102">
        <v>6750</v>
      </c>
      <c r="F1179" s="102">
        <f t="shared" si="577"/>
        <v>1485000.0000000002</v>
      </c>
      <c r="G1179" s="102">
        <f t="shared" si="578"/>
        <v>1350000</v>
      </c>
      <c r="H1179" s="690" t="s">
        <v>142</v>
      </c>
      <c r="I1179" s="71" t="s">
        <v>144</v>
      </c>
      <c r="J1179" s="53">
        <f t="shared" si="587"/>
        <v>114000</v>
      </c>
      <c r="K1179" s="63">
        <f>(J1179/(F1179/11*10))</f>
        <v>8.4444444444444433E-2</v>
      </c>
      <c r="L1179" s="82">
        <v>18.8</v>
      </c>
      <c r="M1179" s="468"/>
      <c r="N1179" s="664">
        <v>180808</v>
      </c>
      <c r="O1179" s="71" t="s">
        <v>147</v>
      </c>
      <c r="P1179" s="103" t="s">
        <v>1289</v>
      </c>
      <c r="Q1179" s="73">
        <f t="shared" si="584"/>
        <v>200</v>
      </c>
      <c r="R1179" s="102">
        <v>6180</v>
      </c>
      <c r="S1179" s="147">
        <f t="shared" si="585"/>
        <v>1359600</v>
      </c>
      <c r="T1179" s="147">
        <f t="shared" si="586"/>
        <v>1236000</v>
      </c>
      <c r="U1179" s="73" t="str">
        <f t="shared" ref="U1179:U1198" si="588">IF(J1179=W1179,"O", "X")</f>
        <v>X</v>
      </c>
      <c r="V1179" s="71"/>
      <c r="W1179" s="474">
        <v>228000</v>
      </c>
      <c r="X1179" s="71"/>
      <c r="Y1179" s="71"/>
    </row>
    <row r="1180" spans="1:25" s="602" customFormat="1" ht="30" hidden="1" customHeight="1" x14ac:dyDescent="0.25">
      <c r="A1180" s="85">
        <v>180808</v>
      </c>
      <c r="B1180" s="668" t="s">
        <v>1061</v>
      </c>
      <c r="C1180" s="84" t="s">
        <v>587</v>
      </c>
      <c r="D1180" s="84">
        <v>200</v>
      </c>
      <c r="E1180" s="189">
        <v>8000</v>
      </c>
      <c r="F1180" s="189">
        <f t="shared" si="577"/>
        <v>1760000.0000000002</v>
      </c>
      <c r="G1180" s="189">
        <f t="shared" si="578"/>
        <v>1600000</v>
      </c>
      <c r="H1180" s="691" t="s">
        <v>142</v>
      </c>
      <c r="I1180" s="84" t="s">
        <v>144</v>
      </c>
      <c r="J1180" s="61">
        <f t="shared" si="587"/>
        <v>218000</v>
      </c>
      <c r="K1180" s="62">
        <f>(J1180/(F1180/11*10))</f>
        <v>0.13624999999999998</v>
      </c>
      <c r="L1180" s="85">
        <v>18.8</v>
      </c>
      <c r="M1180" s="601"/>
      <c r="N1180" s="668">
        <v>180808</v>
      </c>
      <c r="O1180" s="84" t="s">
        <v>147</v>
      </c>
      <c r="P1180" s="133" t="s">
        <v>1290</v>
      </c>
      <c r="Q1180" s="84">
        <f t="shared" si="584"/>
        <v>200</v>
      </c>
      <c r="R1180" s="189">
        <v>6910</v>
      </c>
      <c r="S1180" s="189">
        <f t="shared" si="585"/>
        <v>1520200.0000000002</v>
      </c>
      <c r="T1180" s="189">
        <f t="shared" si="586"/>
        <v>1382000</v>
      </c>
      <c r="U1180" s="84" t="str">
        <f t="shared" si="588"/>
        <v>O</v>
      </c>
      <c r="V1180" s="84"/>
      <c r="W1180" s="478">
        <v>218000</v>
      </c>
      <c r="X1180" s="84"/>
      <c r="Y1180" s="84"/>
    </row>
    <row r="1181" spans="1:25" ht="30" hidden="1" customHeight="1" x14ac:dyDescent="0.25">
      <c r="A1181" s="80">
        <v>180809</v>
      </c>
      <c r="B1181" s="663" t="s">
        <v>983</v>
      </c>
      <c r="C1181" s="73" t="s">
        <v>1009</v>
      </c>
      <c r="D1181" s="73">
        <v>520</v>
      </c>
      <c r="E1181" s="147">
        <v>3900</v>
      </c>
      <c r="F1181" s="147">
        <f t="shared" si="577"/>
        <v>2230800</v>
      </c>
      <c r="G1181" s="147">
        <f t="shared" si="578"/>
        <v>2028000</v>
      </c>
      <c r="H1181" s="689" t="s">
        <v>173</v>
      </c>
      <c r="I1181" s="73" t="s">
        <v>140</v>
      </c>
      <c r="J1181" s="60">
        <f t="shared" si="587"/>
        <v>312000</v>
      </c>
      <c r="K1181" s="427">
        <f>(J1181/(F1181/11*10))</f>
        <v>0.15384615384615385</v>
      </c>
      <c r="L1181" s="874">
        <v>18.8</v>
      </c>
      <c r="M1181" s="584"/>
      <c r="N1181" s="663">
        <f>A1181</f>
        <v>180809</v>
      </c>
      <c r="O1181" s="73" t="s">
        <v>147</v>
      </c>
      <c r="P1181" s="132" t="str">
        <f t="shared" ref="P1181:Q1183" si="589">C1181</f>
        <v>CTP판(1030*790mm)</v>
      </c>
      <c r="Q1181" s="73">
        <f t="shared" si="589"/>
        <v>520</v>
      </c>
      <c r="R1181" s="147">
        <v>3300</v>
      </c>
      <c r="S1181" s="147">
        <f>R1181*Q1181*1.1</f>
        <v>1887600.0000000002</v>
      </c>
      <c r="T1181" s="147">
        <f>R1181*Q1181</f>
        <v>1716000</v>
      </c>
      <c r="U1181" s="73" t="str">
        <f t="shared" si="588"/>
        <v>O</v>
      </c>
      <c r="V1181" s="73"/>
      <c r="W1181" s="473">
        <f>(G1181-T1181)</f>
        <v>312000</v>
      </c>
      <c r="X1181" s="73"/>
      <c r="Y1181" s="73"/>
    </row>
    <row r="1182" spans="1:25" ht="30" hidden="1" customHeight="1" x14ac:dyDescent="0.25">
      <c r="A1182" s="82">
        <v>180809</v>
      </c>
      <c r="B1182" s="664" t="s">
        <v>983</v>
      </c>
      <c r="C1182" s="71" t="s">
        <v>984</v>
      </c>
      <c r="D1182" s="71">
        <v>5</v>
      </c>
      <c r="E1182" s="102">
        <v>45000</v>
      </c>
      <c r="F1182" s="102">
        <f t="shared" si="577"/>
        <v>247500.00000000003</v>
      </c>
      <c r="G1182" s="102">
        <f t="shared" si="578"/>
        <v>225000</v>
      </c>
      <c r="H1182" s="690" t="s">
        <v>173</v>
      </c>
      <c r="I1182" s="71" t="s">
        <v>140</v>
      </c>
      <c r="J1182" s="53">
        <f t="shared" si="587"/>
        <v>50000</v>
      </c>
      <c r="K1182" s="63">
        <f>(J1182/(F1182/11*10))</f>
        <v>0.22222222222222218</v>
      </c>
      <c r="L1182" s="871">
        <v>18.8</v>
      </c>
      <c r="M1182" s="468"/>
      <c r="N1182" s="664">
        <f>A1182</f>
        <v>180809</v>
      </c>
      <c r="O1182" s="71" t="s">
        <v>147</v>
      </c>
      <c r="P1182" s="103" t="str">
        <f t="shared" si="589"/>
        <v>CTP 현상액</v>
      </c>
      <c r="Q1182" s="71">
        <f t="shared" si="589"/>
        <v>5</v>
      </c>
      <c r="R1182" s="102">
        <v>35000</v>
      </c>
      <c r="S1182" s="102">
        <f>R1182*Q1182*1.1</f>
        <v>192500.00000000003</v>
      </c>
      <c r="T1182" s="102">
        <f>R1182*Q1182</f>
        <v>175000</v>
      </c>
      <c r="U1182" s="71" t="str">
        <f t="shared" si="588"/>
        <v>O</v>
      </c>
      <c r="V1182" s="71"/>
      <c r="W1182" s="474">
        <f>(G1182-T1182)</f>
        <v>50000</v>
      </c>
      <c r="X1182" s="71"/>
      <c r="Y1182" s="71"/>
    </row>
    <row r="1183" spans="1:25" ht="30" hidden="1" customHeight="1" x14ac:dyDescent="0.25">
      <c r="A1183" s="82">
        <v>180809</v>
      </c>
      <c r="B1183" s="663" t="s">
        <v>1051</v>
      </c>
      <c r="C1183" s="73" t="s">
        <v>524</v>
      </c>
      <c r="D1183" s="73">
        <v>600</v>
      </c>
      <c r="E1183" s="147">
        <v>3720</v>
      </c>
      <c r="F1183" s="147">
        <f t="shared" ref="F1183:F1197" si="590">(E1183*D1183)*1.1</f>
        <v>2455200</v>
      </c>
      <c r="G1183" s="147">
        <f t="shared" ref="G1183:G1197" si="591">(E1183*D1183)</f>
        <v>2232000</v>
      </c>
      <c r="H1183" s="689" t="s">
        <v>142</v>
      </c>
      <c r="I1183" s="73" t="s">
        <v>140</v>
      </c>
      <c r="J1183" s="60">
        <f t="shared" si="587"/>
        <v>720000</v>
      </c>
      <c r="K1183" s="427">
        <f t="shared" ref="K1183:K1197" si="592">(J1183/(F1183/11*10))</f>
        <v>0.32258064516129031</v>
      </c>
      <c r="L1183" s="874">
        <v>18.8</v>
      </c>
      <c r="M1183" s="584"/>
      <c r="N1183" s="663">
        <f t="shared" ref="N1183:N1201" si="593">A1183</f>
        <v>180809</v>
      </c>
      <c r="O1183" s="73" t="s">
        <v>145</v>
      </c>
      <c r="P1183" s="132" t="str">
        <f t="shared" si="589"/>
        <v>ENGAGE 900X570 - 27RO</v>
      </c>
      <c r="Q1183" s="73">
        <f t="shared" si="589"/>
        <v>600</v>
      </c>
      <c r="R1183" s="147">
        <v>2520</v>
      </c>
      <c r="S1183" s="147">
        <f>R1183*Q1183*1.1</f>
        <v>1663200.0000000002</v>
      </c>
      <c r="T1183" s="147">
        <f>R1183*Q1183</f>
        <v>1512000</v>
      </c>
      <c r="U1183" s="73" t="str">
        <f t="shared" si="588"/>
        <v>O</v>
      </c>
      <c r="V1183" s="73"/>
      <c r="W1183" s="473">
        <f>(G1183-T1183)</f>
        <v>720000</v>
      </c>
      <c r="X1183" s="73"/>
      <c r="Y1183" s="73"/>
    </row>
    <row r="1184" spans="1:25" ht="30" hidden="1" customHeight="1" x14ac:dyDescent="0.25">
      <c r="A1184" s="82">
        <v>180809</v>
      </c>
      <c r="B1184" s="664" t="s">
        <v>1051</v>
      </c>
      <c r="C1184" s="71" t="s">
        <v>1294</v>
      </c>
      <c r="D1184" s="71">
        <v>300</v>
      </c>
      <c r="E1184" s="102">
        <v>5910</v>
      </c>
      <c r="F1184" s="102">
        <f t="shared" si="590"/>
        <v>1950300.0000000002</v>
      </c>
      <c r="G1184" s="102">
        <f t="shared" si="591"/>
        <v>1773000</v>
      </c>
      <c r="H1184" s="690" t="s">
        <v>142</v>
      </c>
      <c r="I1184" s="71" t="s">
        <v>140</v>
      </c>
      <c r="J1184" s="53">
        <f t="shared" si="587"/>
        <v>573000</v>
      </c>
      <c r="K1184" s="63">
        <f t="shared" si="592"/>
        <v>0.32318104906937389</v>
      </c>
      <c r="L1184" s="80">
        <v>18.8</v>
      </c>
      <c r="M1184" s="468"/>
      <c r="N1184" s="664">
        <f t="shared" si="593"/>
        <v>180809</v>
      </c>
      <c r="O1184" s="73" t="s">
        <v>145</v>
      </c>
      <c r="P1184" s="103" t="str">
        <f>(C1184)</f>
        <v>ENGAGE 1030*790</v>
      </c>
      <c r="Q1184" s="71">
        <f t="shared" ref="Q1184:Q1193" si="594">D1184</f>
        <v>300</v>
      </c>
      <c r="R1184" s="102">
        <v>4000</v>
      </c>
      <c r="S1184" s="147">
        <f>(R1184*D1184)*1.1</f>
        <v>1320000</v>
      </c>
      <c r="T1184" s="147">
        <f>(R1184*Q1184)</f>
        <v>1200000</v>
      </c>
      <c r="U1184" s="73" t="str">
        <f t="shared" si="588"/>
        <v>X</v>
      </c>
      <c r="V1184" s="71"/>
      <c r="W1184" s="474"/>
      <c r="X1184" s="71"/>
      <c r="Y1184" s="71"/>
    </row>
    <row r="1185" spans="1:25" s="602" customFormat="1" ht="30" hidden="1" customHeight="1" x14ac:dyDescent="0.25">
      <c r="A1185" s="85">
        <v>180809</v>
      </c>
      <c r="B1185" s="672" t="s">
        <v>1051</v>
      </c>
      <c r="C1185" s="94" t="s">
        <v>197</v>
      </c>
      <c r="D1185" s="411">
        <v>5</v>
      </c>
      <c r="E1185" s="198">
        <v>54500</v>
      </c>
      <c r="F1185" s="198">
        <f t="shared" si="590"/>
        <v>299750</v>
      </c>
      <c r="G1185" s="198">
        <f t="shared" si="591"/>
        <v>272500</v>
      </c>
      <c r="H1185" s="696" t="s">
        <v>142</v>
      </c>
      <c r="I1185" s="411" t="s">
        <v>140</v>
      </c>
      <c r="J1185" s="61">
        <f t="shared" si="587"/>
        <v>97500</v>
      </c>
      <c r="K1185" s="62">
        <f t="shared" si="592"/>
        <v>0.3577981651376147</v>
      </c>
      <c r="L1185" s="612">
        <v>18.8</v>
      </c>
      <c r="M1185" s="581"/>
      <c r="N1185" s="672">
        <f t="shared" si="593"/>
        <v>180809</v>
      </c>
      <c r="O1185" s="411" t="s">
        <v>145</v>
      </c>
      <c r="P1185" s="465" t="str">
        <f>C1185</f>
        <v>THR200(20L)</v>
      </c>
      <c r="Q1185" s="411">
        <f t="shared" si="594"/>
        <v>5</v>
      </c>
      <c r="R1185" s="198">
        <v>35000</v>
      </c>
      <c r="S1185" s="198">
        <f>R1185*Q1185*1.1</f>
        <v>192500.00000000003</v>
      </c>
      <c r="T1185" s="198">
        <f>R1185*Q1185</f>
        <v>175000</v>
      </c>
      <c r="U1185" s="411" t="str">
        <f t="shared" si="588"/>
        <v>O</v>
      </c>
      <c r="V1185" s="411"/>
      <c r="W1185" s="963">
        <f>(G1185-T1185)</f>
        <v>97500</v>
      </c>
      <c r="X1185" s="411"/>
      <c r="Y1185" s="411"/>
    </row>
    <row r="1186" spans="1:25" s="635" customFormat="1" ht="30" hidden="1" customHeight="1" x14ac:dyDescent="0.25">
      <c r="A1186" s="159">
        <v>180810</v>
      </c>
      <c r="B1186" s="676" t="s">
        <v>1119</v>
      </c>
      <c r="C1186" s="157" t="s">
        <v>123</v>
      </c>
      <c r="D1186" s="157">
        <v>5</v>
      </c>
      <c r="E1186" s="526">
        <v>40000</v>
      </c>
      <c r="F1186" s="526">
        <f t="shared" si="590"/>
        <v>220000.00000000003</v>
      </c>
      <c r="G1186" s="526">
        <f t="shared" si="591"/>
        <v>200000</v>
      </c>
      <c r="H1186" s="1014" t="s">
        <v>39</v>
      </c>
      <c r="I1186" s="157"/>
      <c r="J1186" s="503">
        <f>(G1186-(VLOOKUP(C1186,Import!C:G,4,FALSE)*D1186))</f>
        <v>200000</v>
      </c>
      <c r="K1186" s="65">
        <f t="shared" si="592"/>
        <v>0.99999999999999989</v>
      </c>
      <c r="L1186" s="900">
        <v>18.8</v>
      </c>
      <c r="M1186" s="634"/>
      <c r="N1186" s="676">
        <f t="shared" si="593"/>
        <v>180810</v>
      </c>
      <c r="O1186" s="1015" t="s">
        <v>39</v>
      </c>
      <c r="P1186" s="633" t="s">
        <v>123</v>
      </c>
      <c r="Q1186" s="157">
        <f t="shared" si="594"/>
        <v>5</v>
      </c>
      <c r="R1186" s="147">
        <f>VLOOKUP(P1186,Price!B:D,3,FALSE)</f>
        <v>22461</v>
      </c>
      <c r="S1186" s="147">
        <f>R1186*Q1186*1.1</f>
        <v>123535.50000000001</v>
      </c>
      <c r="T1186" s="147">
        <f>R1186*Q1186</f>
        <v>112305</v>
      </c>
      <c r="U1186" s="73" t="str">
        <f t="shared" si="588"/>
        <v>X</v>
      </c>
      <c r="V1186" s="157"/>
      <c r="W1186" s="508">
        <f>(G1186-T1186)</f>
        <v>87695</v>
      </c>
      <c r="X1186" s="157"/>
      <c r="Y1186" s="157"/>
    </row>
    <row r="1187" spans="1:25" s="635" customFormat="1" ht="30" customHeight="1" x14ac:dyDescent="0.25">
      <c r="A1187" s="159">
        <v>180810</v>
      </c>
      <c r="B1187" s="676" t="s">
        <v>565</v>
      </c>
      <c r="C1187" s="157" t="s">
        <v>1359</v>
      </c>
      <c r="D1187" s="157">
        <v>1</v>
      </c>
      <c r="E1187" s="526">
        <v>980000</v>
      </c>
      <c r="F1187" s="526">
        <f t="shared" si="590"/>
        <v>1078000</v>
      </c>
      <c r="G1187" s="526">
        <f t="shared" si="591"/>
        <v>980000</v>
      </c>
      <c r="H1187" s="939" t="s">
        <v>142</v>
      </c>
      <c r="I1187" s="157" t="s">
        <v>142</v>
      </c>
      <c r="J1187" s="503">
        <f>G1187-T1187</f>
        <v>49000</v>
      </c>
      <c r="K1187" s="65">
        <f>(J1187/(F1187/11*10))</f>
        <v>0.05</v>
      </c>
      <c r="L1187" s="900">
        <v>18.8</v>
      </c>
      <c r="M1187" s="634"/>
      <c r="N1187" s="676">
        <f t="shared" si="593"/>
        <v>180810</v>
      </c>
      <c r="O1187" s="940" t="s">
        <v>145</v>
      </c>
      <c r="P1187" s="633" t="s">
        <v>1359</v>
      </c>
      <c r="Q1187" s="157">
        <f t="shared" si="594"/>
        <v>1</v>
      </c>
      <c r="R1187" s="147">
        <v>931000</v>
      </c>
      <c r="S1187" s="526">
        <f>(R1187*D1187)*1.1</f>
        <v>1024100.0000000001</v>
      </c>
      <c r="T1187" s="526">
        <f>(R1187*Q1187)</f>
        <v>931000</v>
      </c>
      <c r="U1187" s="157" t="str">
        <f t="shared" si="588"/>
        <v>X</v>
      </c>
      <c r="V1187" s="157"/>
      <c r="W1187" s="508"/>
      <c r="X1187" s="157"/>
      <c r="Y1187" s="157"/>
    </row>
    <row r="1188" spans="1:25" s="635" customFormat="1" ht="30" hidden="1" customHeight="1" x14ac:dyDescent="0.25">
      <c r="A1188" s="159">
        <v>180813</v>
      </c>
      <c r="B1188" s="676" t="s">
        <v>1051</v>
      </c>
      <c r="C1188" s="157" t="s">
        <v>1305</v>
      </c>
      <c r="D1188" s="157">
        <v>300</v>
      </c>
      <c r="E1188" s="526">
        <v>4470</v>
      </c>
      <c r="F1188" s="526">
        <f t="shared" si="590"/>
        <v>1475100.0000000002</v>
      </c>
      <c r="G1188" s="526">
        <f t="shared" si="591"/>
        <v>1341000</v>
      </c>
      <c r="H1188" s="790" t="s">
        <v>142</v>
      </c>
      <c r="I1188" s="157" t="s">
        <v>140</v>
      </c>
      <c r="J1188" s="503">
        <f>G1188-T1188</f>
        <v>432000</v>
      </c>
      <c r="K1188" s="65">
        <f t="shared" si="592"/>
        <v>0.32214765100671133</v>
      </c>
      <c r="L1188" s="159">
        <v>18.8</v>
      </c>
      <c r="M1188" s="634"/>
      <c r="N1188" s="676">
        <f t="shared" si="593"/>
        <v>180813</v>
      </c>
      <c r="O1188" s="157" t="s">
        <v>145</v>
      </c>
      <c r="P1188" s="633" t="str">
        <f>(C1188)</f>
        <v>ENGAGE 968*636</v>
      </c>
      <c r="Q1188" s="157">
        <f t="shared" si="594"/>
        <v>300</v>
      </c>
      <c r="R1188" s="526">
        <v>3030</v>
      </c>
      <c r="S1188" s="526">
        <f>(R1188*D1188)*1.1</f>
        <v>999900.00000000012</v>
      </c>
      <c r="T1188" s="526">
        <f>(R1188*Q1188)</f>
        <v>909000</v>
      </c>
      <c r="U1188" s="157" t="str">
        <f t="shared" si="588"/>
        <v>O</v>
      </c>
      <c r="V1188" s="157"/>
      <c r="W1188" s="946">
        <f>(G1188-T1188)</f>
        <v>432000</v>
      </c>
      <c r="X1188" s="157"/>
      <c r="Y1188" s="157"/>
    </row>
    <row r="1189" spans="1:25" ht="30" hidden="1" customHeight="1" x14ac:dyDescent="0.25">
      <c r="A1189" s="80">
        <v>180813</v>
      </c>
      <c r="B1189" s="663" t="s">
        <v>1051</v>
      </c>
      <c r="C1189" s="73" t="s">
        <v>524</v>
      </c>
      <c r="D1189" s="73">
        <v>800</v>
      </c>
      <c r="E1189" s="147">
        <v>3720</v>
      </c>
      <c r="F1189" s="147">
        <f t="shared" si="590"/>
        <v>3273600.0000000005</v>
      </c>
      <c r="G1189" s="147">
        <f t="shared" si="591"/>
        <v>2976000</v>
      </c>
      <c r="H1189" s="689" t="s">
        <v>142</v>
      </c>
      <c r="I1189" s="73" t="s">
        <v>140</v>
      </c>
      <c r="J1189" s="60">
        <f>G1189-T1189</f>
        <v>960000</v>
      </c>
      <c r="K1189" s="427">
        <f t="shared" si="592"/>
        <v>0.32258064516129026</v>
      </c>
      <c r="L1189" s="874">
        <v>18.8</v>
      </c>
      <c r="M1189" s="584"/>
      <c r="N1189" s="663">
        <f t="shared" si="593"/>
        <v>180813</v>
      </c>
      <c r="O1189" s="73" t="s">
        <v>145</v>
      </c>
      <c r="P1189" s="132" t="str">
        <f>C1189</f>
        <v>ENGAGE 900X570 - 27RO</v>
      </c>
      <c r="Q1189" s="73">
        <f t="shared" si="594"/>
        <v>800</v>
      </c>
      <c r="R1189" s="147">
        <v>2520</v>
      </c>
      <c r="S1189" s="147">
        <f>R1189*Q1189*1.1</f>
        <v>2217600</v>
      </c>
      <c r="T1189" s="147">
        <f>R1189*Q1189</f>
        <v>2016000</v>
      </c>
      <c r="U1189" s="73" t="str">
        <f t="shared" si="588"/>
        <v>O</v>
      </c>
      <c r="V1189" s="73"/>
      <c r="W1189" s="473">
        <f>(G1189-T1189)</f>
        <v>960000</v>
      </c>
      <c r="X1189" s="73"/>
      <c r="Y1189" s="73"/>
    </row>
    <row r="1190" spans="1:25" ht="30" hidden="1" customHeight="1" x14ac:dyDescent="0.25">
      <c r="A1190" s="80">
        <v>180813</v>
      </c>
      <c r="B1190" s="664" t="s">
        <v>1051</v>
      </c>
      <c r="C1190" s="71" t="s">
        <v>1294</v>
      </c>
      <c r="D1190" s="71">
        <v>300</v>
      </c>
      <c r="E1190" s="102">
        <v>5910</v>
      </c>
      <c r="F1190" s="102">
        <f t="shared" si="590"/>
        <v>1950300.0000000002</v>
      </c>
      <c r="G1190" s="102">
        <f t="shared" si="591"/>
        <v>1773000</v>
      </c>
      <c r="H1190" s="690" t="s">
        <v>142</v>
      </c>
      <c r="I1190" s="71" t="s">
        <v>140</v>
      </c>
      <c r="J1190" s="53">
        <f>G1190-T1190</f>
        <v>573000</v>
      </c>
      <c r="K1190" s="63">
        <f t="shared" si="592"/>
        <v>0.32318104906937389</v>
      </c>
      <c r="L1190" s="80">
        <v>18.8</v>
      </c>
      <c r="M1190" s="468"/>
      <c r="N1190" s="664">
        <f t="shared" si="593"/>
        <v>180813</v>
      </c>
      <c r="O1190" s="73" t="s">
        <v>145</v>
      </c>
      <c r="P1190" s="103" t="str">
        <f>(C1190)</f>
        <v>ENGAGE 1030*790</v>
      </c>
      <c r="Q1190" s="71">
        <f t="shared" si="594"/>
        <v>300</v>
      </c>
      <c r="R1190" s="102">
        <v>4000</v>
      </c>
      <c r="S1190" s="147">
        <f>(R1190*D1190)*1.1</f>
        <v>1320000</v>
      </c>
      <c r="T1190" s="147">
        <f>(R1190*Q1190)</f>
        <v>1200000</v>
      </c>
      <c r="U1190" s="73" t="str">
        <f t="shared" si="588"/>
        <v>X</v>
      </c>
      <c r="V1190" s="71"/>
      <c r="W1190" s="474"/>
      <c r="X1190" s="71"/>
      <c r="Y1190" s="71"/>
    </row>
    <row r="1191" spans="1:25" s="602" customFormat="1" ht="30" hidden="1" customHeight="1" x14ac:dyDescent="0.25">
      <c r="A1191" s="612">
        <v>180813</v>
      </c>
      <c r="B1191" s="668" t="s">
        <v>1051</v>
      </c>
      <c r="C1191" s="84" t="s">
        <v>951</v>
      </c>
      <c r="D1191" s="84">
        <v>300</v>
      </c>
      <c r="E1191" s="189">
        <v>3540</v>
      </c>
      <c r="F1191" s="189">
        <f>(E1191*D1191)*1.1</f>
        <v>1168200</v>
      </c>
      <c r="G1191" s="189">
        <f>(E1191*D1191)</f>
        <v>1062000</v>
      </c>
      <c r="H1191" s="691" t="s">
        <v>142</v>
      </c>
      <c r="I1191" s="84" t="s">
        <v>140</v>
      </c>
      <c r="J1191" s="61">
        <f>G1191-T1191</f>
        <v>345000</v>
      </c>
      <c r="K1191" s="62">
        <f>(J1191/(F1191/11*10))</f>
        <v>0.3248587570621469</v>
      </c>
      <c r="L1191" s="85">
        <v>18.8</v>
      </c>
      <c r="M1191" s="601"/>
      <c r="N1191" s="668">
        <f>A1191</f>
        <v>180813</v>
      </c>
      <c r="O1191" s="84" t="s">
        <v>145</v>
      </c>
      <c r="P1191" s="133" t="str">
        <f>(C1191)</f>
        <v>ENGAGE 30WEB(883*552)</v>
      </c>
      <c r="Q1191" s="84">
        <f t="shared" si="594"/>
        <v>300</v>
      </c>
      <c r="R1191" s="189">
        <v>2390</v>
      </c>
      <c r="S1191" s="189">
        <f>(R1191*D1191)*1.1</f>
        <v>788700.00000000012</v>
      </c>
      <c r="T1191" s="189">
        <f>(R1191*Q1191)</f>
        <v>717000</v>
      </c>
      <c r="U1191" s="84" t="str">
        <f t="shared" si="588"/>
        <v>O</v>
      </c>
      <c r="V1191" s="84"/>
      <c r="W1191" s="478">
        <f t="shared" ref="W1191:W1198" si="595">(G1191-T1191)</f>
        <v>345000</v>
      </c>
      <c r="X1191" s="84"/>
      <c r="Y1191" s="84"/>
    </row>
    <row r="1192" spans="1:25" s="209" customFormat="1" ht="30" customHeight="1" x14ac:dyDescent="0.2">
      <c r="A1192" s="80">
        <v>180814</v>
      </c>
      <c r="B1192" s="663" t="s">
        <v>422</v>
      </c>
      <c r="C1192" s="73" t="s">
        <v>130</v>
      </c>
      <c r="D1192" s="73">
        <v>10</v>
      </c>
      <c r="E1192" s="147">
        <v>125000</v>
      </c>
      <c r="F1192" s="160">
        <f t="shared" si="590"/>
        <v>1375000</v>
      </c>
      <c r="G1192" s="160">
        <f t="shared" si="591"/>
        <v>1250000</v>
      </c>
      <c r="H1192" s="161" t="s">
        <v>172</v>
      </c>
      <c r="I1192" s="73" t="s">
        <v>109</v>
      </c>
      <c r="J1192" s="60">
        <f>(G1192-(VLOOKUP(C1192,Price!B:D,3,FALSE)*D1192))</f>
        <v>260000</v>
      </c>
      <c r="K1192" s="427">
        <f t="shared" si="592"/>
        <v>0.20799999999999999</v>
      </c>
      <c r="L1192" s="80">
        <v>18.8</v>
      </c>
      <c r="M1192" s="584"/>
      <c r="N1192" s="663">
        <f t="shared" si="593"/>
        <v>180814</v>
      </c>
      <c r="O1192" s="73" t="s">
        <v>150</v>
      </c>
      <c r="P1192" s="132" t="str">
        <f>(C1192)</f>
        <v>XL106 Blanket(1077*885)</v>
      </c>
      <c r="Q1192" s="73">
        <f t="shared" si="594"/>
        <v>10</v>
      </c>
      <c r="R1192" s="147">
        <v>99000</v>
      </c>
      <c r="S1192" s="147">
        <f>(R1192*D1192)*1.1</f>
        <v>1089000</v>
      </c>
      <c r="T1192" s="147">
        <f>(R1192*Q1192)</f>
        <v>990000</v>
      </c>
      <c r="U1192" s="73" t="str">
        <f t="shared" si="588"/>
        <v>O</v>
      </c>
      <c r="V1192" s="73"/>
      <c r="W1192" s="473">
        <f t="shared" si="595"/>
        <v>260000</v>
      </c>
      <c r="X1192" s="73"/>
      <c r="Y1192" s="73"/>
    </row>
    <row r="1193" spans="1:25" s="602" customFormat="1" ht="30" customHeight="1" x14ac:dyDescent="0.25">
      <c r="A1193" s="85">
        <v>180814</v>
      </c>
      <c r="B1193" s="668" t="s">
        <v>422</v>
      </c>
      <c r="C1193" s="84" t="s">
        <v>129</v>
      </c>
      <c r="D1193" s="84">
        <v>5</v>
      </c>
      <c r="E1193" s="189">
        <v>272000</v>
      </c>
      <c r="F1193" s="189">
        <f>(E1193*D1193)*1.1</f>
        <v>1496000.0000000002</v>
      </c>
      <c r="G1193" s="189">
        <f>(E1193*D1193)</f>
        <v>1360000</v>
      </c>
      <c r="H1193" s="691" t="s">
        <v>173</v>
      </c>
      <c r="I1193" s="84" t="s">
        <v>108</v>
      </c>
      <c r="J1193" s="61">
        <f>(G1193-(VLOOKUP(C1193,Price!B:D,3,FALSE)*D1193))</f>
        <v>320000</v>
      </c>
      <c r="K1193" s="62">
        <f>(J1193/(F1193/11*10))</f>
        <v>0.23529411764705879</v>
      </c>
      <c r="L1193" s="612">
        <v>18.8</v>
      </c>
      <c r="M1193" s="601"/>
      <c r="N1193" s="668">
        <f>A1193</f>
        <v>180814</v>
      </c>
      <c r="O1193" s="84" t="s">
        <v>149</v>
      </c>
      <c r="P1193" s="133" t="str">
        <f t="shared" ref="P1193:P1201" si="596">C1193</f>
        <v>세정포-XL106</v>
      </c>
      <c r="Q1193" s="84">
        <f t="shared" si="594"/>
        <v>5</v>
      </c>
      <c r="R1193" s="189">
        <v>208000</v>
      </c>
      <c r="S1193" s="189">
        <f t="shared" ref="S1193:S1198" si="597">R1193*Q1193*1.1</f>
        <v>1144000</v>
      </c>
      <c r="T1193" s="189">
        <f t="shared" ref="T1193:T1198" si="598">R1193*Q1193</f>
        <v>1040000</v>
      </c>
      <c r="U1193" s="84" t="str">
        <f t="shared" si="588"/>
        <v>O</v>
      </c>
      <c r="V1193" s="84"/>
      <c r="W1193" s="478">
        <f t="shared" si="595"/>
        <v>320000</v>
      </c>
      <c r="X1193" s="84"/>
      <c r="Y1193" s="84"/>
    </row>
    <row r="1194" spans="1:25" ht="30" hidden="1" customHeight="1" x14ac:dyDescent="0.25">
      <c r="A1194" s="80">
        <v>180816</v>
      </c>
      <c r="B1194" s="663" t="s">
        <v>442</v>
      </c>
      <c r="C1194" s="73" t="s">
        <v>133</v>
      </c>
      <c r="D1194" s="73">
        <v>2</v>
      </c>
      <c r="E1194" s="147">
        <v>327000</v>
      </c>
      <c r="F1194" s="147">
        <f t="shared" si="590"/>
        <v>719400</v>
      </c>
      <c r="G1194" s="147">
        <f t="shared" si="591"/>
        <v>654000</v>
      </c>
      <c r="H1194" s="689" t="s">
        <v>173</v>
      </c>
      <c r="I1194" s="73" t="s">
        <v>141</v>
      </c>
      <c r="J1194" s="60">
        <f>(G1194-(VLOOKUP(C1194,Price!B:D,3,FALSE)*D1194))</f>
        <v>115800</v>
      </c>
      <c r="K1194" s="427">
        <f t="shared" si="592"/>
        <v>0.17706422018348625</v>
      </c>
      <c r="L1194" s="80">
        <v>18.8</v>
      </c>
      <c r="M1194" s="584"/>
      <c r="N1194" s="663">
        <f t="shared" si="593"/>
        <v>180816</v>
      </c>
      <c r="O1194" s="73" t="s">
        <v>145</v>
      </c>
      <c r="P1194" s="132" t="str">
        <f t="shared" si="596"/>
        <v>Agfa Film(24inch)</v>
      </c>
      <c r="Q1194" s="73">
        <f t="shared" ref="Q1194:Q1205" si="599">D1194</f>
        <v>2</v>
      </c>
      <c r="R1194" s="147">
        <v>269100</v>
      </c>
      <c r="S1194" s="147">
        <f t="shared" si="597"/>
        <v>592020</v>
      </c>
      <c r="T1194" s="147">
        <f t="shared" si="598"/>
        <v>538200</v>
      </c>
      <c r="U1194" s="73" t="str">
        <f t="shared" si="588"/>
        <v>O</v>
      </c>
      <c r="V1194" s="73"/>
      <c r="W1194" s="473">
        <f t="shared" si="595"/>
        <v>115800</v>
      </c>
      <c r="X1194" s="73"/>
      <c r="Y1194" s="73"/>
    </row>
    <row r="1195" spans="1:25" ht="30" hidden="1" customHeight="1" x14ac:dyDescent="0.25">
      <c r="A1195" s="82">
        <v>180816</v>
      </c>
      <c r="B1195" s="664" t="s">
        <v>442</v>
      </c>
      <c r="C1195" s="71" t="s">
        <v>134</v>
      </c>
      <c r="D1195" s="71">
        <v>2</v>
      </c>
      <c r="E1195" s="102">
        <v>401000</v>
      </c>
      <c r="F1195" s="102">
        <f t="shared" si="590"/>
        <v>882200.00000000012</v>
      </c>
      <c r="G1195" s="102">
        <f t="shared" si="591"/>
        <v>802000</v>
      </c>
      <c r="H1195" s="690" t="s">
        <v>173</v>
      </c>
      <c r="I1195" s="71" t="s">
        <v>141</v>
      </c>
      <c r="J1195" s="53">
        <f>(G1195-(VLOOKUP(C1195,Price!B:D,3,FALSE)*D1195))</f>
        <v>174080</v>
      </c>
      <c r="K1195" s="63">
        <f t="shared" si="592"/>
        <v>0.21705735660847877</v>
      </c>
      <c r="L1195" s="80">
        <v>18.8</v>
      </c>
      <c r="M1195" s="468"/>
      <c r="N1195" s="664">
        <f t="shared" si="593"/>
        <v>180816</v>
      </c>
      <c r="O1195" s="71" t="s">
        <v>145</v>
      </c>
      <c r="P1195" s="103" t="str">
        <f t="shared" si="596"/>
        <v>Agfa Film(28inch)</v>
      </c>
      <c r="Q1195" s="71">
        <f t="shared" si="599"/>
        <v>2</v>
      </c>
      <c r="R1195" s="102">
        <f>VLOOKUP(P1195,Price!B:D,3,FALSE)</f>
        <v>313960</v>
      </c>
      <c r="S1195" s="102">
        <f t="shared" si="597"/>
        <v>690712</v>
      </c>
      <c r="T1195" s="102">
        <f t="shared" si="598"/>
        <v>627920</v>
      </c>
      <c r="U1195" s="71" t="str">
        <f t="shared" si="588"/>
        <v>O</v>
      </c>
      <c r="V1195" s="71"/>
      <c r="W1195" s="474">
        <f t="shared" si="595"/>
        <v>174080</v>
      </c>
      <c r="X1195" s="71"/>
      <c r="Y1195" s="71"/>
    </row>
    <row r="1196" spans="1:25" ht="30" hidden="1" customHeight="1" x14ac:dyDescent="0.25">
      <c r="A1196" s="82">
        <v>180816</v>
      </c>
      <c r="B1196" s="664" t="s">
        <v>442</v>
      </c>
      <c r="C1196" s="71" t="s">
        <v>135</v>
      </c>
      <c r="D1196" s="71">
        <v>2</v>
      </c>
      <c r="E1196" s="102">
        <v>448000</v>
      </c>
      <c r="F1196" s="102">
        <f t="shared" si="590"/>
        <v>985600.00000000012</v>
      </c>
      <c r="G1196" s="102">
        <f t="shared" si="591"/>
        <v>896000</v>
      </c>
      <c r="H1196" s="690" t="s">
        <v>173</v>
      </c>
      <c r="I1196" s="71" t="s">
        <v>141</v>
      </c>
      <c r="J1196" s="53">
        <f>(G1196-(VLOOKUP(C1196,Price!B:D,3,FALSE)*D1196))</f>
        <v>155980</v>
      </c>
      <c r="K1196" s="63">
        <f t="shared" si="592"/>
        <v>0.1740848214285714</v>
      </c>
      <c r="L1196" s="80">
        <v>18.8</v>
      </c>
      <c r="M1196" s="468"/>
      <c r="N1196" s="664">
        <f t="shared" si="593"/>
        <v>180816</v>
      </c>
      <c r="O1196" s="71" t="s">
        <v>145</v>
      </c>
      <c r="P1196" s="103" t="str">
        <f t="shared" si="596"/>
        <v>Agfa Film(32inch)</v>
      </c>
      <c r="Q1196" s="71">
        <f t="shared" si="599"/>
        <v>2</v>
      </c>
      <c r="R1196" s="102">
        <f>VLOOKUP(P1196,Price!B:D,3,FALSE)</f>
        <v>370010</v>
      </c>
      <c r="S1196" s="102">
        <f t="shared" si="597"/>
        <v>814022.00000000012</v>
      </c>
      <c r="T1196" s="102">
        <f t="shared" si="598"/>
        <v>740020</v>
      </c>
      <c r="U1196" s="71" t="str">
        <f t="shared" si="588"/>
        <v>O</v>
      </c>
      <c r="V1196" s="71"/>
      <c r="W1196" s="474">
        <f t="shared" si="595"/>
        <v>155980</v>
      </c>
      <c r="X1196" s="71"/>
      <c r="Y1196" s="71"/>
    </row>
    <row r="1197" spans="1:25" ht="30" hidden="1" customHeight="1" x14ac:dyDescent="0.25">
      <c r="A1197" s="82">
        <v>180816</v>
      </c>
      <c r="B1197" s="664" t="s">
        <v>442</v>
      </c>
      <c r="C1197" s="71" t="s">
        <v>649</v>
      </c>
      <c r="D1197" s="71">
        <v>3</v>
      </c>
      <c r="E1197" s="102">
        <v>41000</v>
      </c>
      <c r="F1197" s="102">
        <f t="shared" si="590"/>
        <v>135300</v>
      </c>
      <c r="G1197" s="102">
        <f t="shared" si="591"/>
        <v>123000</v>
      </c>
      <c r="H1197" s="690" t="s">
        <v>173</v>
      </c>
      <c r="I1197" s="71" t="s">
        <v>141</v>
      </c>
      <c r="J1197" s="53">
        <f>(G1197-(VLOOKUP(C1197,Price!B:D,3,FALSE)*D1197))</f>
        <v>48000</v>
      </c>
      <c r="K1197" s="63">
        <f t="shared" si="592"/>
        <v>0.3902439024390244</v>
      </c>
      <c r="L1197" s="80">
        <v>18.8</v>
      </c>
      <c r="M1197" s="468"/>
      <c r="N1197" s="664">
        <f t="shared" si="593"/>
        <v>180816</v>
      </c>
      <c r="O1197" s="71" t="s">
        <v>145</v>
      </c>
      <c r="P1197" s="103" t="str">
        <f t="shared" si="596"/>
        <v>Agfa 현상액 G101C(10L)</v>
      </c>
      <c r="Q1197" s="71">
        <f t="shared" si="599"/>
        <v>3</v>
      </c>
      <c r="R1197" s="102">
        <f>VLOOKUP(P1197,Price!B:D,3,FALSE)</f>
        <v>25000</v>
      </c>
      <c r="S1197" s="102">
        <f t="shared" si="597"/>
        <v>82500</v>
      </c>
      <c r="T1197" s="102">
        <f t="shared" si="598"/>
        <v>75000</v>
      </c>
      <c r="U1197" s="71" t="str">
        <f t="shared" si="588"/>
        <v>O</v>
      </c>
      <c r="V1197" s="71"/>
      <c r="W1197" s="474">
        <f t="shared" si="595"/>
        <v>48000</v>
      </c>
      <c r="X1197" s="71"/>
      <c r="Y1197" s="71"/>
    </row>
    <row r="1198" spans="1:25" ht="30" hidden="1" customHeight="1" x14ac:dyDescent="0.2">
      <c r="A1198" s="82">
        <v>180816</v>
      </c>
      <c r="B1198" s="664" t="s">
        <v>442</v>
      </c>
      <c r="C1198" s="71" t="s">
        <v>650</v>
      </c>
      <c r="D1198" s="71">
        <v>1</v>
      </c>
      <c r="E1198" s="102">
        <v>93000</v>
      </c>
      <c r="F1198" s="163">
        <f t="shared" ref="F1198:F1216" si="600">(E1198*D1198)*1.1</f>
        <v>102300.00000000001</v>
      </c>
      <c r="G1198" s="163">
        <f t="shared" ref="G1198:G1216" si="601">(E1198*D1198)</f>
        <v>93000</v>
      </c>
      <c r="H1198" s="165" t="s">
        <v>172</v>
      </c>
      <c r="I1198" s="71" t="s">
        <v>141</v>
      </c>
      <c r="J1198" s="53">
        <f>(G1198-(VLOOKUP(C1198,Price!B:D,3,FALSE)*D1198))</f>
        <v>33000</v>
      </c>
      <c r="K1198" s="63">
        <f t="shared" ref="K1198:K1213" si="602">(J1198/(F1198/11*10))</f>
        <v>0.35483870967741932</v>
      </c>
      <c r="L1198" s="80">
        <v>18.8</v>
      </c>
      <c r="M1198" s="468"/>
      <c r="N1198" s="664">
        <f t="shared" si="593"/>
        <v>180816</v>
      </c>
      <c r="O1198" s="71" t="s">
        <v>145</v>
      </c>
      <c r="P1198" s="103" t="str">
        <f t="shared" si="596"/>
        <v>Agfa 정착액 G333C(20L)</v>
      </c>
      <c r="Q1198" s="71">
        <f t="shared" si="599"/>
        <v>1</v>
      </c>
      <c r="R1198" s="102">
        <f>VLOOKUP(P1198,Price!B:D,3,FALSE)</f>
        <v>60000</v>
      </c>
      <c r="S1198" s="102">
        <f t="shared" si="597"/>
        <v>66000</v>
      </c>
      <c r="T1198" s="102">
        <f t="shared" si="598"/>
        <v>60000</v>
      </c>
      <c r="U1198" s="71" t="str">
        <f t="shared" si="588"/>
        <v>O</v>
      </c>
      <c r="V1198" s="71"/>
      <c r="W1198" s="474">
        <f t="shared" si="595"/>
        <v>33000</v>
      </c>
      <c r="X1198" s="71"/>
      <c r="Y1198" s="71"/>
    </row>
    <row r="1199" spans="1:25" ht="30" hidden="1" customHeight="1" x14ac:dyDescent="0.25">
      <c r="A1199" s="82">
        <v>180816</v>
      </c>
      <c r="B1199" s="664" t="s">
        <v>575</v>
      </c>
      <c r="C1199" s="71" t="s">
        <v>1423</v>
      </c>
      <c r="D1199" s="71">
        <v>1</v>
      </c>
      <c r="E1199" s="102">
        <v>1250000</v>
      </c>
      <c r="F1199" s="102">
        <f>(E1199*D1199)*1.1</f>
        <v>1375000</v>
      </c>
      <c r="G1199" s="102">
        <f>(E1199*D1199)</f>
        <v>1250000</v>
      </c>
      <c r="H1199" s="690" t="s">
        <v>985</v>
      </c>
      <c r="I1199" s="71"/>
      <c r="J1199" s="53">
        <v>1250000</v>
      </c>
      <c r="K1199" s="427">
        <f>(J1199/(F1199/11*10))</f>
        <v>1</v>
      </c>
      <c r="L1199" s="80">
        <v>18.8</v>
      </c>
      <c r="M1199" s="468"/>
      <c r="N1199" s="664">
        <f>A1199</f>
        <v>180816</v>
      </c>
      <c r="O1199" s="71"/>
      <c r="P1199" s="103" t="str">
        <f>C1199</f>
        <v>M600 서비스 계약(3회차)</v>
      </c>
      <c r="Q1199" s="71">
        <f t="shared" si="599"/>
        <v>1</v>
      </c>
      <c r="R1199" s="102"/>
      <c r="S1199" s="102"/>
      <c r="T1199" s="102"/>
      <c r="U1199" s="71"/>
      <c r="V1199" s="71"/>
      <c r="W1199" s="474"/>
      <c r="X1199" s="71"/>
      <c r="Y1199" s="71"/>
    </row>
    <row r="1200" spans="1:25" ht="30" hidden="1" customHeight="1" x14ac:dyDescent="0.25">
      <c r="A1200" s="82">
        <v>180816</v>
      </c>
      <c r="B1200" s="664" t="s">
        <v>545</v>
      </c>
      <c r="C1200" s="71" t="s">
        <v>227</v>
      </c>
      <c r="D1200" s="71">
        <v>5</v>
      </c>
      <c r="E1200" s="102">
        <v>110000</v>
      </c>
      <c r="F1200" s="102">
        <f t="shared" si="600"/>
        <v>605000</v>
      </c>
      <c r="G1200" s="102">
        <f t="shared" si="601"/>
        <v>550000</v>
      </c>
      <c r="H1200" s="690" t="s">
        <v>173</v>
      </c>
      <c r="I1200" s="71" t="s">
        <v>109</v>
      </c>
      <c r="J1200" s="53">
        <f>(G1200-(VLOOKUP(C1200,Price!B:D,3,FALSE)*D1200))</f>
        <v>135500</v>
      </c>
      <c r="K1200" s="63">
        <f t="shared" si="602"/>
        <v>0.24636363636363637</v>
      </c>
      <c r="L1200" s="80">
        <v>18.8</v>
      </c>
      <c r="M1200" s="468"/>
      <c r="N1200" s="664">
        <f t="shared" si="593"/>
        <v>180816</v>
      </c>
      <c r="O1200" s="71" t="s">
        <v>147</v>
      </c>
      <c r="P1200" s="103" t="str">
        <f t="shared" si="596"/>
        <v>Blanket(1060*860)</v>
      </c>
      <c r="Q1200" s="71">
        <f t="shared" si="599"/>
        <v>5</v>
      </c>
      <c r="R1200" s="102">
        <v>82900</v>
      </c>
      <c r="S1200" s="102">
        <f>R1200*Q1200*1.1</f>
        <v>455950.00000000006</v>
      </c>
      <c r="T1200" s="102">
        <f>R1200*Q1200</f>
        <v>414500</v>
      </c>
      <c r="U1200" s="71" t="str">
        <f>IF(J1200=W1200,"O", "X")</f>
        <v>O</v>
      </c>
      <c r="V1200" s="71"/>
      <c r="W1200" s="474">
        <f>(G1200-T1200)</f>
        <v>135500</v>
      </c>
      <c r="X1200" s="71"/>
      <c r="Y1200" s="71"/>
    </row>
    <row r="1201" spans="1:25" s="602" customFormat="1" ht="30" hidden="1" customHeight="1" x14ac:dyDescent="0.25">
      <c r="A1201" s="85">
        <v>180816</v>
      </c>
      <c r="B1201" s="668" t="s">
        <v>545</v>
      </c>
      <c r="C1201" s="84" t="s">
        <v>952</v>
      </c>
      <c r="D1201" s="84">
        <v>1</v>
      </c>
      <c r="E1201" s="189">
        <v>630000</v>
      </c>
      <c r="F1201" s="189">
        <f t="shared" si="600"/>
        <v>693000</v>
      </c>
      <c r="G1201" s="189">
        <f t="shared" si="601"/>
        <v>630000</v>
      </c>
      <c r="H1201" s="691" t="s">
        <v>173</v>
      </c>
      <c r="I1201" s="84" t="s">
        <v>108</v>
      </c>
      <c r="J1201" s="61">
        <f>(G1201-(VLOOKUP(C1201,Price!B:D,3,FALSE)*D1201))</f>
        <v>180000</v>
      </c>
      <c r="K1201" s="62">
        <f t="shared" si="602"/>
        <v>0.2857142857142857</v>
      </c>
      <c r="L1201" s="612">
        <v>18.8</v>
      </c>
      <c r="M1201" s="601"/>
      <c r="N1201" s="668">
        <f t="shared" si="593"/>
        <v>180816</v>
      </c>
      <c r="O1201" s="84" t="s">
        <v>599</v>
      </c>
      <c r="P1201" s="133" t="str">
        <f t="shared" si="596"/>
        <v>점보롤 세정포</v>
      </c>
      <c r="Q1201" s="84">
        <f t="shared" si="599"/>
        <v>1</v>
      </c>
      <c r="R1201" s="189">
        <v>440000</v>
      </c>
      <c r="S1201" s="189">
        <f>R1201*Q1201*1.1</f>
        <v>484000.00000000006</v>
      </c>
      <c r="T1201" s="189">
        <f>R1201*Q1201</f>
        <v>440000</v>
      </c>
      <c r="U1201" s="84" t="str">
        <f>IF(J1201=W1201,"O", "X")</f>
        <v>X</v>
      </c>
      <c r="V1201" s="84" t="s">
        <v>1228</v>
      </c>
      <c r="W1201" s="478">
        <f>(G1201-T1201)</f>
        <v>190000</v>
      </c>
      <c r="X1201" s="84"/>
      <c r="Y1201" s="84"/>
    </row>
    <row r="1202" spans="1:25" ht="30" hidden="1" customHeight="1" x14ac:dyDescent="0.25">
      <c r="A1202" s="80">
        <v>180817</v>
      </c>
      <c r="B1202" s="663" t="s">
        <v>1061</v>
      </c>
      <c r="C1202" s="73" t="s">
        <v>586</v>
      </c>
      <c r="D1202" s="73">
        <v>200</v>
      </c>
      <c r="E1202" s="147">
        <v>6750</v>
      </c>
      <c r="F1202" s="147">
        <f t="shared" si="600"/>
        <v>1485000.0000000002</v>
      </c>
      <c r="G1202" s="147">
        <f t="shared" si="601"/>
        <v>1350000</v>
      </c>
      <c r="H1202" s="689" t="s">
        <v>142</v>
      </c>
      <c r="I1202" s="73" t="s">
        <v>144</v>
      </c>
      <c r="J1202" s="60">
        <f>G1202-T1202</f>
        <v>114000</v>
      </c>
      <c r="K1202" s="427">
        <f>(J1202/(F1202/11*10))</f>
        <v>8.4444444444444433E-2</v>
      </c>
      <c r="L1202" s="80">
        <v>18.8</v>
      </c>
      <c r="M1202" s="584"/>
      <c r="N1202" s="663">
        <v>180713</v>
      </c>
      <c r="O1202" s="73" t="s">
        <v>147</v>
      </c>
      <c r="P1202" s="132" t="s">
        <v>1289</v>
      </c>
      <c r="Q1202" s="73">
        <f t="shared" si="599"/>
        <v>200</v>
      </c>
      <c r="R1202" s="147">
        <v>6180</v>
      </c>
      <c r="S1202" s="147">
        <f>(R1202*D1202)*1.1</f>
        <v>1359600</v>
      </c>
      <c r="T1202" s="147">
        <f>(R1202*Q1202)</f>
        <v>1236000</v>
      </c>
      <c r="U1202" s="73" t="str">
        <f>IF(J1202=W1202,"O", "X")</f>
        <v>X</v>
      </c>
      <c r="V1202" s="73"/>
      <c r="W1202" s="473">
        <v>228000</v>
      </c>
      <c r="X1202" s="73"/>
      <c r="Y1202" s="73"/>
    </row>
    <row r="1203" spans="1:25" ht="30" hidden="1" customHeight="1" x14ac:dyDescent="0.25">
      <c r="A1203" s="82">
        <v>180820</v>
      </c>
      <c r="B1203" s="664" t="s">
        <v>446</v>
      </c>
      <c r="C1203" s="71" t="s">
        <v>1144</v>
      </c>
      <c r="D1203" s="71">
        <v>8</v>
      </c>
      <c r="E1203" s="102">
        <v>110000</v>
      </c>
      <c r="F1203" s="102">
        <f t="shared" si="600"/>
        <v>968000.00000000012</v>
      </c>
      <c r="G1203" s="102">
        <f t="shared" si="601"/>
        <v>880000</v>
      </c>
      <c r="H1203" s="690" t="s">
        <v>173</v>
      </c>
      <c r="I1203" s="71" t="s">
        <v>142</v>
      </c>
      <c r="J1203" s="53">
        <f>G1203-T1203</f>
        <v>152000</v>
      </c>
      <c r="K1203" s="63">
        <f t="shared" si="602"/>
        <v>0.1727272727272727</v>
      </c>
      <c r="L1203" s="80">
        <v>18.8</v>
      </c>
      <c r="M1203" s="468"/>
      <c r="N1203" s="664">
        <f t="shared" ref="N1203:N1216" si="603">A1203</f>
        <v>180820</v>
      </c>
      <c r="O1203" s="71" t="s">
        <v>150</v>
      </c>
      <c r="P1203" s="103" t="str">
        <f>C1203</f>
        <v>실리콘 에멀전</v>
      </c>
      <c r="Q1203" s="71">
        <f t="shared" si="599"/>
        <v>8</v>
      </c>
      <c r="R1203" s="102">
        <v>91000</v>
      </c>
      <c r="S1203" s="102">
        <f>R1203*Q1203*1.1</f>
        <v>800800.00000000012</v>
      </c>
      <c r="T1203" s="102">
        <f>R1203*Q1203</f>
        <v>728000</v>
      </c>
      <c r="U1203" s="71" t="str">
        <f>IF(J1203=W1203,"O", "X")</f>
        <v>X</v>
      </c>
      <c r="V1203" s="71"/>
      <c r="W1203" s="474"/>
      <c r="X1203" s="71"/>
      <c r="Y1203" s="71"/>
    </row>
    <row r="1204" spans="1:25" ht="30" hidden="1" customHeight="1" x14ac:dyDescent="0.25">
      <c r="A1204" s="82">
        <v>180822</v>
      </c>
      <c r="B1204" s="664" t="s">
        <v>545</v>
      </c>
      <c r="C1204" s="71" t="s">
        <v>1291</v>
      </c>
      <c r="D1204" s="71">
        <v>30</v>
      </c>
      <c r="E1204" s="102">
        <v>28500</v>
      </c>
      <c r="F1204" s="102">
        <f t="shared" si="600"/>
        <v>940500.00000000012</v>
      </c>
      <c r="G1204" s="102">
        <f t="shared" si="601"/>
        <v>855000</v>
      </c>
      <c r="H1204" s="690" t="s">
        <v>173</v>
      </c>
      <c r="I1204" s="71" t="s">
        <v>142</v>
      </c>
      <c r="J1204" s="53">
        <f>G1204-S1204</f>
        <v>128999.99999999988</v>
      </c>
      <c r="K1204" s="427">
        <f t="shared" si="602"/>
        <v>0.15087719298245597</v>
      </c>
      <c r="L1204" s="871">
        <v>18.8</v>
      </c>
      <c r="M1204" s="468"/>
      <c r="N1204" s="663">
        <f t="shared" si="603"/>
        <v>180822</v>
      </c>
      <c r="O1204" s="71" t="s">
        <v>1321</v>
      </c>
      <c r="P1204" s="103" t="s">
        <v>1291</v>
      </c>
      <c r="Q1204" s="71">
        <f t="shared" si="599"/>
        <v>30</v>
      </c>
      <c r="R1204" s="102">
        <v>22000</v>
      </c>
      <c r="S1204" s="102">
        <f>R1204*Q1204*1.1</f>
        <v>726000.00000000012</v>
      </c>
      <c r="T1204" s="102">
        <f>R1204*Q1204</f>
        <v>660000</v>
      </c>
      <c r="U1204" s="71"/>
      <c r="V1204" s="71"/>
      <c r="W1204" s="474">
        <f>(G1204-T1204)</f>
        <v>195000</v>
      </c>
      <c r="X1204" s="71"/>
      <c r="Y1204" s="71"/>
    </row>
    <row r="1205" spans="1:25" ht="30" hidden="1" customHeight="1" x14ac:dyDescent="0.25">
      <c r="A1205" s="82">
        <v>180822</v>
      </c>
      <c r="B1205" s="664" t="s">
        <v>1051</v>
      </c>
      <c r="C1205" s="71" t="s">
        <v>524</v>
      </c>
      <c r="D1205" s="71">
        <v>1000</v>
      </c>
      <c r="E1205" s="102">
        <v>3720</v>
      </c>
      <c r="F1205" s="102">
        <f t="shared" si="600"/>
        <v>4092000.0000000005</v>
      </c>
      <c r="G1205" s="102">
        <f t="shared" si="601"/>
        <v>3720000</v>
      </c>
      <c r="H1205" s="690" t="s">
        <v>142</v>
      </c>
      <c r="I1205" s="71" t="s">
        <v>140</v>
      </c>
      <c r="J1205" s="53">
        <f>G1205-T1205</f>
        <v>1200000</v>
      </c>
      <c r="K1205" s="63">
        <f t="shared" si="602"/>
        <v>0.32258064516129026</v>
      </c>
      <c r="L1205" s="871">
        <v>18.8</v>
      </c>
      <c r="M1205" s="468"/>
      <c r="N1205" s="664">
        <f t="shared" si="603"/>
        <v>180822</v>
      </c>
      <c r="O1205" s="71" t="s">
        <v>145</v>
      </c>
      <c r="P1205" s="103" t="str">
        <f>C1205</f>
        <v>ENGAGE 900X570 - 27RO</v>
      </c>
      <c r="Q1205" s="71">
        <f t="shared" si="599"/>
        <v>1000</v>
      </c>
      <c r="R1205" s="102">
        <v>2520</v>
      </c>
      <c r="S1205" s="102">
        <f>R1205*Q1205*1.1</f>
        <v>2772000</v>
      </c>
      <c r="T1205" s="102">
        <f>R1205*Q1205</f>
        <v>2520000</v>
      </c>
      <c r="U1205" s="71" t="str">
        <f t="shared" ref="U1205:U1213" si="604">IF(J1205=W1205,"O", "X")</f>
        <v>O</v>
      </c>
      <c r="V1205" s="71"/>
      <c r="W1205" s="474">
        <f>(G1205-T1205)</f>
        <v>1200000</v>
      </c>
      <c r="X1205" s="71"/>
      <c r="Y1205" s="71"/>
    </row>
    <row r="1206" spans="1:25" ht="30" hidden="1" customHeight="1" x14ac:dyDescent="0.25">
      <c r="A1206" s="82">
        <v>180822</v>
      </c>
      <c r="B1206" s="664" t="s">
        <v>1051</v>
      </c>
      <c r="C1206" s="71" t="s">
        <v>1294</v>
      </c>
      <c r="D1206" s="71">
        <v>500</v>
      </c>
      <c r="E1206" s="102">
        <v>5910</v>
      </c>
      <c r="F1206" s="102">
        <f t="shared" si="600"/>
        <v>3250500.0000000005</v>
      </c>
      <c r="G1206" s="102">
        <f t="shared" si="601"/>
        <v>2955000</v>
      </c>
      <c r="H1206" s="690" t="s">
        <v>142</v>
      </c>
      <c r="I1206" s="71" t="s">
        <v>140</v>
      </c>
      <c r="J1206" s="53">
        <f>G1206-T1206</f>
        <v>955000</v>
      </c>
      <c r="K1206" s="63">
        <f t="shared" si="602"/>
        <v>0.32318104906937389</v>
      </c>
      <c r="L1206" s="82">
        <v>18.8</v>
      </c>
      <c r="M1206" s="468"/>
      <c r="N1206" s="664">
        <f t="shared" si="603"/>
        <v>180822</v>
      </c>
      <c r="O1206" s="71" t="s">
        <v>145</v>
      </c>
      <c r="P1206" s="103" t="str">
        <f>(C1206)</f>
        <v>ENGAGE 1030*790</v>
      </c>
      <c r="Q1206" s="71">
        <f t="shared" ref="Q1206:Q1216" si="605">D1206</f>
        <v>500</v>
      </c>
      <c r="R1206" s="102">
        <v>4000</v>
      </c>
      <c r="S1206" s="102">
        <f>(R1206*D1206)*1.1</f>
        <v>2200000</v>
      </c>
      <c r="T1206" s="102">
        <f>(R1206*Q1206)</f>
        <v>2000000</v>
      </c>
      <c r="U1206" s="71" t="str">
        <f t="shared" si="604"/>
        <v>X</v>
      </c>
      <c r="V1206" s="71"/>
      <c r="W1206" s="474"/>
      <c r="X1206" s="71"/>
      <c r="Y1206" s="71"/>
    </row>
    <row r="1207" spans="1:25" ht="30" hidden="1" customHeight="1" x14ac:dyDescent="0.25">
      <c r="A1207" s="82">
        <v>180822</v>
      </c>
      <c r="B1207" s="664" t="s">
        <v>1051</v>
      </c>
      <c r="C1207" s="67" t="s">
        <v>197</v>
      </c>
      <c r="D1207" s="71">
        <v>10</v>
      </c>
      <c r="E1207" s="102">
        <v>54500</v>
      </c>
      <c r="F1207" s="102">
        <f t="shared" si="600"/>
        <v>599500</v>
      </c>
      <c r="G1207" s="102">
        <f t="shared" si="601"/>
        <v>545000</v>
      </c>
      <c r="H1207" s="690" t="s">
        <v>142</v>
      </c>
      <c r="I1207" s="71" t="s">
        <v>140</v>
      </c>
      <c r="J1207" s="53">
        <f>G1207-T1207</f>
        <v>195000</v>
      </c>
      <c r="K1207" s="63">
        <f t="shared" si="602"/>
        <v>0.3577981651376147</v>
      </c>
      <c r="L1207" s="82">
        <v>18.8</v>
      </c>
      <c r="M1207" s="468"/>
      <c r="N1207" s="664">
        <f t="shared" si="603"/>
        <v>180822</v>
      </c>
      <c r="O1207" s="71" t="s">
        <v>145</v>
      </c>
      <c r="P1207" s="103" t="str">
        <f>C1207</f>
        <v>THR200(20L)</v>
      </c>
      <c r="Q1207" s="71">
        <f t="shared" si="605"/>
        <v>10</v>
      </c>
      <c r="R1207" s="102">
        <v>35000</v>
      </c>
      <c r="S1207" s="102">
        <f>R1207*Q1207*1.1</f>
        <v>385000.00000000006</v>
      </c>
      <c r="T1207" s="102">
        <f>R1207*Q1207</f>
        <v>350000</v>
      </c>
      <c r="U1207" s="71" t="str">
        <f t="shared" si="604"/>
        <v>O</v>
      </c>
      <c r="V1207" s="71"/>
      <c r="W1207" s="474">
        <f t="shared" ref="W1207:W1216" si="606">(G1207-T1207)</f>
        <v>195000</v>
      </c>
      <c r="X1207" s="71"/>
      <c r="Y1207" s="71"/>
    </row>
    <row r="1208" spans="1:25" s="209" customFormat="1" ht="30" hidden="1" customHeight="1" x14ac:dyDescent="0.2">
      <c r="A1208" s="82">
        <v>180822</v>
      </c>
      <c r="B1208" s="664" t="s">
        <v>549</v>
      </c>
      <c r="C1208" s="71" t="s">
        <v>217</v>
      </c>
      <c r="D1208" s="71">
        <v>10</v>
      </c>
      <c r="E1208" s="102">
        <v>112500</v>
      </c>
      <c r="F1208" s="163">
        <f t="shared" si="600"/>
        <v>1237500</v>
      </c>
      <c r="G1208" s="163">
        <f t="shared" si="601"/>
        <v>1125000</v>
      </c>
      <c r="H1208" s="165" t="s">
        <v>172</v>
      </c>
      <c r="I1208" s="71" t="s">
        <v>120</v>
      </c>
      <c r="J1208" s="53">
        <f>(G1208-(VLOOKUP(C1208,Price!B:D,3,FALSE)*D1208))</f>
        <v>325000</v>
      </c>
      <c r="K1208" s="63">
        <f t="shared" si="602"/>
        <v>0.28888888888888886</v>
      </c>
      <c r="L1208" s="82">
        <v>18.8</v>
      </c>
      <c r="M1208" s="468"/>
      <c r="N1208" s="664">
        <f t="shared" si="603"/>
        <v>180822</v>
      </c>
      <c r="O1208" s="71" t="s">
        <v>150</v>
      </c>
      <c r="P1208" s="103" t="str">
        <f>(C1208)</f>
        <v>Fount 511</v>
      </c>
      <c r="Q1208" s="71">
        <f t="shared" si="605"/>
        <v>10</v>
      </c>
      <c r="R1208" s="102">
        <v>80000</v>
      </c>
      <c r="S1208" s="102">
        <f>(R1208*D1208)*1.1</f>
        <v>880000.00000000012</v>
      </c>
      <c r="T1208" s="102">
        <f>(R1208*Q1208)</f>
        <v>800000</v>
      </c>
      <c r="U1208" s="71" t="str">
        <f t="shared" si="604"/>
        <v>O</v>
      </c>
      <c r="V1208" s="71"/>
      <c r="W1208" s="474">
        <f t="shared" si="606"/>
        <v>325000</v>
      </c>
      <c r="X1208" s="71"/>
      <c r="Y1208" s="71"/>
    </row>
    <row r="1209" spans="1:25" s="209" customFormat="1" ht="30" hidden="1" customHeight="1" x14ac:dyDescent="0.2">
      <c r="A1209" s="82">
        <v>180822</v>
      </c>
      <c r="B1209" s="664" t="s">
        <v>445</v>
      </c>
      <c r="C1209" s="71" t="s">
        <v>107</v>
      </c>
      <c r="D1209" s="71">
        <v>5</v>
      </c>
      <c r="E1209" s="102">
        <v>108000</v>
      </c>
      <c r="F1209" s="163">
        <f t="shared" si="600"/>
        <v>594000</v>
      </c>
      <c r="G1209" s="163">
        <f t="shared" si="601"/>
        <v>540000</v>
      </c>
      <c r="H1209" s="165" t="s">
        <v>172</v>
      </c>
      <c r="I1209" s="71" t="s">
        <v>109</v>
      </c>
      <c r="J1209" s="53">
        <f>(G1209-(VLOOKUP(C1209,Price!B:D,3,FALSE)*D1209))</f>
        <v>137500</v>
      </c>
      <c r="K1209" s="63">
        <f t="shared" si="602"/>
        <v>0.25462962962962965</v>
      </c>
      <c r="L1209" s="82">
        <v>18.8</v>
      </c>
      <c r="M1209" s="468"/>
      <c r="N1209" s="664">
        <f t="shared" si="603"/>
        <v>180822</v>
      </c>
      <c r="O1209" s="71" t="s">
        <v>147</v>
      </c>
      <c r="P1209" s="103" t="str">
        <f>(C1209)</f>
        <v>Blanket(1050*840)</v>
      </c>
      <c r="Q1209" s="71">
        <f t="shared" si="605"/>
        <v>5</v>
      </c>
      <c r="R1209" s="102">
        <v>80500</v>
      </c>
      <c r="S1209" s="102">
        <f>(R1209*D1209)*1.1</f>
        <v>442750.00000000006</v>
      </c>
      <c r="T1209" s="102">
        <f>(R1209*Q1209)</f>
        <v>402500</v>
      </c>
      <c r="U1209" s="71" t="str">
        <f t="shared" si="604"/>
        <v>O</v>
      </c>
      <c r="V1209" s="71"/>
      <c r="W1209" s="474">
        <f t="shared" si="606"/>
        <v>137500</v>
      </c>
      <c r="X1209" s="71"/>
      <c r="Y1209" s="71"/>
    </row>
    <row r="1210" spans="1:25" s="209" customFormat="1" ht="30" hidden="1" customHeight="1" x14ac:dyDescent="0.2">
      <c r="A1210" s="82">
        <v>180822</v>
      </c>
      <c r="B1210" s="664" t="s">
        <v>445</v>
      </c>
      <c r="C1210" s="71" t="s">
        <v>231</v>
      </c>
      <c r="D1210" s="71">
        <v>10</v>
      </c>
      <c r="E1210" s="102">
        <v>120000</v>
      </c>
      <c r="F1210" s="163">
        <f t="shared" si="600"/>
        <v>1320000</v>
      </c>
      <c r="G1210" s="163">
        <f t="shared" si="601"/>
        <v>1200000</v>
      </c>
      <c r="H1210" s="165" t="s">
        <v>172</v>
      </c>
      <c r="I1210" s="71" t="s">
        <v>109</v>
      </c>
      <c r="J1210" s="53">
        <f>(G1210-(VLOOKUP(C1210,Price!B:D,3,FALSE)*D1210))</f>
        <v>80000</v>
      </c>
      <c r="K1210" s="63">
        <f t="shared" si="602"/>
        <v>6.6666666666666666E-2</v>
      </c>
      <c r="L1210" s="82">
        <v>18.8</v>
      </c>
      <c r="M1210" s="468"/>
      <c r="N1210" s="664">
        <f t="shared" si="603"/>
        <v>180822</v>
      </c>
      <c r="O1210" s="71" t="s">
        <v>151</v>
      </c>
      <c r="P1210" s="103" t="str">
        <f>(C1210)</f>
        <v>Blanket(990*725)</v>
      </c>
      <c r="Q1210" s="71">
        <f t="shared" si="605"/>
        <v>10</v>
      </c>
      <c r="R1210" s="102">
        <v>112000</v>
      </c>
      <c r="S1210" s="102">
        <f>(R1210*D1210)*1.1</f>
        <v>1232000</v>
      </c>
      <c r="T1210" s="102">
        <f>(R1210*Q1210)</f>
        <v>1120000</v>
      </c>
      <c r="U1210" s="71" t="str">
        <f t="shared" si="604"/>
        <v>O</v>
      </c>
      <c r="V1210" s="71"/>
      <c r="W1210" s="474">
        <f t="shared" si="606"/>
        <v>80000</v>
      </c>
      <c r="X1210" s="71"/>
      <c r="Y1210" s="71"/>
    </row>
    <row r="1211" spans="1:25" ht="30" hidden="1" customHeight="1" x14ac:dyDescent="0.25">
      <c r="A1211" s="80">
        <v>180822</v>
      </c>
      <c r="B1211" s="663" t="s">
        <v>690</v>
      </c>
      <c r="C1211" s="73" t="s">
        <v>1186</v>
      </c>
      <c r="D1211" s="73">
        <v>500</v>
      </c>
      <c r="E1211" s="147">
        <v>3850</v>
      </c>
      <c r="F1211" s="147">
        <f t="shared" si="600"/>
        <v>2117500</v>
      </c>
      <c r="G1211" s="147">
        <f t="shared" si="601"/>
        <v>1925000</v>
      </c>
      <c r="H1211" s="689" t="s">
        <v>173</v>
      </c>
      <c r="I1211" s="73" t="s">
        <v>140</v>
      </c>
      <c r="J1211" s="60">
        <f>(G1211-(VLOOKUP(C1211,Price!B:D,3,FALSE)*D1211))</f>
        <v>-75000</v>
      </c>
      <c r="K1211" s="427">
        <f t="shared" si="602"/>
        <v>-3.896103896103896E-2</v>
      </c>
      <c r="L1211" s="874">
        <v>18.8</v>
      </c>
      <c r="M1211" s="584" t="s">
        <v>1190</v>
      </c>
      <c r="N1211" s="663">
        <f t="shared" si="603"/>
        <v>180822</v>
      </c>
      <c r="O1211" s="73" t="s">
        <v>145</v>
      </c>
      <c r="P1211" s="132" t="str">
        <f t="shared" ref="P1211:P1216" si="607">C1211</f>
        <v>CTP 판(1030*790mm)</v>
      </c>
      <c r="Q1211" s="73">
        <f t="shared" si="605"/>
        <v>500</v>
      </c>
      <c r="R1211" s="147">
        <v>4000</v>
      </c>
      <c r="S1211" s="147">
        <f>R1211*Q1211*1.1</f>
        <v>2200000</v>
      </c>
      <c r="T1211" s="147">
        <f>R1211*Q1211</f>
        <v>2000000</v>
      </c>
      <c r="U1211" s="73" t="str">
        <f t="shared" si="604"/>
        <v>O</v>
      </c>
      <c r="V1211" s="73"/>
      <c r="W1211" s="473">
        <f t="shared" si="606"/>
        <v>-75000</v>
      </c>
      <c r="X1211" s="73"/>
      <c r="Y1211" s="73"/>
    </row>
    <row r="1212" spans="1:25" s="616" customFormat="1" ht="30" hidden="1" customHeight="1" x14ac:dyDescent="0.25">
      <c r="A1212" s="82">
        <v>180822</v>
      </c>
      <c r="B1212" s="664" t="s">
        <v>690</v>
      </c>
      <c r="C1212" s="71" t="s">
        <v>750</v>
      </c>
      <c r="D1212" s="71">
        <v>4</v>
      </c>
      <c r="E1212" s="102">
        <v>58000</v>
      </c>
      <c r="F1212" s="102">
        <f t="shared" si="600"/>
        <v>255200.00000000003</v>
      </c>
      <c r="G1212" s="102">
        <f t="shared" si="601"/>
        <v>232000</v>
      </c>
      <c r="H1212" s="690" t="s">
        <v>173</v>
      </c>
      <c r="I1212" s="71" t="s">
        <v>140</v>
      </c>
      <c r="J1212" s="53">
        <f>(G1212-(VLOOKUP(C1212,Price!B:D,3,FALSE)*D1212))</f>
        <v>92000</v>
      </c>
      <c r="K1212" s="63">
        <f t="shared" si="602"/>
        <v>0.39655172413793099</v>
      </c>
      <c r="L1212" s="871">
        <v>18.8</v>
      </c>
      <c r="M1212" s="468"/>
      <c r="N1212" s="664">
        <f t="shared" si="603"/>
        <v>180822</v>
      </c>
      <c r="O1212" s="71" t="s">
        <v>145</v>
      </c>
      <c r="P1212" s="103" t="str">
        <f t="shared" si="607"/>
        <v>THD200(20L)</v>
      </c>
      <c r="Q1212" s="71">
        <f t="shared" si="605"/>
        <v>4</v>
      </c>
      <c r="R1212" s="102">
        <v>35000</v>
      </c>
      <c r="S1212" s="102">
        <f>R1212*Q1212*1.1</f>
        <v>154000</v>
      </c>
      <c r="T1212" s="102">
        <f>R1212*Q1212</f>
        <v>140000</v>
      </c>
      <c r="U1212" s="71" t="str">
        <f t="shared" si="604"/>
        <v>O</v>
      </c>
      <c r="V1212" s="71"/>
      <c r="W1212" s="474">
        <f t="shared" si="606"/>
        <v>92000</v>
      </c>
      <c r="X1212" s="71"/>
      <c r="Y1212" s="71"/>
    </row>
    <row r="1213" spans="1:25" s="209" customFormat="1" ht="30" hidden="1" customHeight="1" x14ac:dyDescent="0.25">
      <c r="A1213" s="82">
        <v>180823</v>
      </c>
      <c r="B1213" s="664" t="s">
        <v>764</v>
      </c>
      <c r="C1213" s="71" t="s">
        <v>236</v>
      </c>
      <c r="D1213" s="71">
        <v>5</v>
      </c>
      <c r="E1213" s="102">
        <v>100000</v>
      </c>
      <c r="F1213" s="102">
        <f t="shared" si="600"/>
        <v>550000</v>
      </c>
      <c r="G1213" s="102">
        <f t="shared" si="601"/>
        <v>500000</v>
      </c>
      <c r="H1213" s="690" t="s">
        <v>173</v>
      </c>
      <c r="I1213" s="71" t="s">
        <v>142</v>
      </c>
      <c r="J1213" s="53">
        <f>(G1213-(VLOOKUP(C1213,Price!B:D,3,FALSE)*D1213))</f>
        <v>250000</v>
      </c>
      <c r="K1213" s="63">
        <f t="shared" si="602"/>
        <v>0.5</v>
      </c>
      <c r="L1213" s="871">
        <v>18.8</v>
      </c>
      <c r="M1213" s="468"/>
      <c r="N1213" s="664">
        <f t="shared" si="603"/>
        <v>180823</v>
      </c>
      <c r="O1213" s="71" t="s">
        <v>153</v>
      </c>
      <c r="P1213" s="103" t="str">
        <f t="shared" si="607"/>
        <v>아스테이지(국전)</v>
      </c>
      <c r="Q1213" s="71">
        <f t="shared" si="605"/>
        <v>5</v>
      </c>
      <c r="R1213" s="102">
        <f>VLOOKUP(P1213,Price!B:D,3,FALSE)</f>
        <v>50000</v>
      </c>
      <c r="S1213" s="102">
        <f>R1213*Q1213*1.1</f>
        <v>275000</v>
      </c>
      <c r="T1213" s="102">
        <f>R1213*Q1213</f>
        <v>250000</v>
      </c>
      <c r="U1213" s="71" t="str">
        <f t="shared" si="604"/>
        <v>O</v>
      </c>
      <c r="V1213" s="71"/>
      <c r="W1213" s="474">
        <f t="shared" si="606"/>
        <v>250000</v>
      </c>
      <c r="X1213" s="71"/>
      <c r="Y1213" s="71"/>
    </row>
    <row r="1214" spans="1:25" ht="30" hidden="1" customHeight="1" x14ac:dyDescent="0.25">
      <c r="A1214" s="82">
        <v>180823</v>
      </c>
      <c r="B1214" s="664" t="s">
        <v>1299</v>
      </c>
      <c r="C1214" s="71" t="s">
        <v>1300</v>
      </c>
      <c r="D1214" s="71">
        <v>50</v>
      </c>
      <c r="E1214" s="102">
        <v>23400</v>
      </c>
      <c r="F1214" s="102">
        <f t="shared" si="600"/>
        <v>1287000</v>
      </c>
      <c r="G1214" s="102">
        <f t="shared" si="601"/>
        <v>1170000</v>
      </c>
      <c r="H1214" s="690" t="s">
        <v>142</v>
      </c>
      <c r="I1214" s="71" t="s">
        <v>142</v>
      </c>
      <c r="J1214" s="53">
        <f t="shared" ref="J1214:J1220" si="608">G1214-T1214</f>
        <v>1170000</v>
      </c>
      <c r="K1214" s="63">
        <f t="shared" ref="K1214:K1219" si="609">(J1214/(F1214/11*10))</f>
        <v>1</v>
      </c>
      <c r="L1214" s="871">
        <v>18.8</v>
      </c>
      <c r="M1214" s="468" t="s">
        <v>1301</v>
      </c>
      <c r="N1214" s="664">
        <f t="shared" si="603"/>
        <v>180823</v>
      </c>
      <c r="O1214" s="991" t="s">
        <v>39</v>
      </c>
      <c r="P1214" s="103" t="str">
        <f t="shared" si="607"/>
        <v>솔레노이드 코일</v>
      </c>
      <c r="Q1214" s="71">
        <f t="shared" si="605"/>
        <v>50</v>
      </c>
      <c r="R1214" s="102"/>
      <c r="S1214" s="102"/>
      <c r="T1214" s="102"/>
      <c r="U1214" s="71"/>
      <c r="V1214" s="71"/>
      <c r="W1214" s="474">
        <f t="shared" si="606"/>
        <v>1170000</v>
      </c>
      <c r="X1214" s="71"/>
      <c r="Y1214" s="71"/>
    </row>
    <row r="1215" spans="1:25" ht="30" hidden="1" customHeight="1" x14ac:dyDescent="0.25">
      <c r="A1215" s="82">
        <v>180823</v>
      </c>
      <c r="B1215" s="664" t="s">
        <v>1052</v>
      </c>
      <c r="C1215" s="71" t="s">
        <v>1116</v>
      </c>
      <c r="D1215" s="71">
        <v>50</v>
      </c>
      <c r="E1215" s="102">
        <v>6000</v>
      </c>
      <c r="F1215" s="102">
        <f t="shared" si="600"/>
        <v>330000</v>
      </c>
      <c r="G1215" s="102">
        <f t="shared" si="601"/>
        <v>300000</v>
      </c>
      <c r="H1215" s="690" t="s">
        <v>142</v>
      </c>
      <c r="I1215" s="71" t="s">
        <v>144</v>
      </c>
      <c r="J1215" s="53">
        <f t="shared" si="608"/>
        <v>5000</v>
      </c>
      <c r="K1215" s="63">
        <f t="shared" si="609"/>
        <v>1.6666666666666666E-2</v>
      </c>
      <c r="L1215" s="871">
        <v>18.8</v>
      </c>
      <c r="M1215" s="468"/>
      <c r="N1215" s="664">
        <f t="shared" si="603"/>
        <v>180823</v>
      </c>
      <c r="O1215" s="71" t="s">
        <v>147</v>
      </c>
      <c r="P1215" s="103" t="str">
        <f t="shared" si="607"/>
        <v>한특 잉크(황)</v>
      </c>
      <c r="Q1215" s="71">
        <f t="shared" si="605"/>
        <v>50</v>
      </c>
      <c r="R1215" s="102">
        <v>5900</v>
      </c>
      <c r="S1215" s="102">
        <f>R1215*Q1215*1.1</f>
        <v>324500</v>
      </c>
      <c r="T1215" s="102">
        <f>R1215*Q1215</f>
        <v>295000</v>
      </c>
      <c r="U1215" s="71" t="str">
        <f t="shared" ref="U1215:U1222" si="610">IF(J1215=W1215,"O", "X")</f>
        <v>O</v>
      </c>
      <c r="V1215" s="71"/>
      <c r="W1215" s="474">
        <f t="shared" si="606"/>
        <v>5000</v>
      </c>
      <c r="X1215" s="71"/>
      <c r="Y1215" s="71"/>
    </row>
    <row r="1216" spans="1:25" ht="30" hidden="1" customHeight="1" x14ac:dyDescent="0.25">
      <c r="A1216" s="82">
        <v>180823</v>
      </c>
      <c r="B1216" s="664" t="s">
        <v>1052</v>
      </c>
      <c r="C1216" s="71" t="s">
        <v>1117</v>
      </c>
      <c r="D1216" s="71">
        <v>50</v>
      </c>
      <c r="E1216" s="102">
        <v>6500</v>
      </c>
      <c r="F1216" s="102">
        <f t="shared" si="600"/>
        <v>357500</v>
      </c>
      <c r="G1216" s="102">
        <f t="shared" si="601"/>
        <v>325000</v>
      </c>
      <c r="H1216" s="690" t="s">
        <v>142</v>
      </c>
      <c r="I1216" s="71" t="s">
        <v>144</v>
      </c>
      <c r="J1216" s="53">
        <f t="shared" si="608"/>
        <v>5000</v>
      </c>
      <c r="K1216" s="63">
        <f t="shared" si="609"/>
        <v>1.5384615384615385E-2</v>
      </c>
      <c r="L1216" s="871">
        <v>18.8</v>
      </c>
      <c r="M1216" s="468"/>
      <c r="N1216" s="664">
        <f t="shared" si="603"/>
        <v>180823</v>
      </c>
      <c r="O1216" s="71" t="s">
        <v>147</v>
      </c>
      <c r="P1216" s="103" t="str">
        <f t="shared" si="607"/>
        <v>한특 잉크(청)</v>
      </c>
      <c r="Q1216" s="71">
        <f t="shared" si="605"/>
        <v>50</v>
      </c>
      <c r="R1216" s="102">
        <v>6400</v>
      </c>
      <c r="S1216" s="102">
        <f>R1216*Q1216*1.1</f>
        <v>352000</v>
      </c>
      <c r="T1216" s="102">
        <f>R1216*Q1216</f>
        <v>320000</v>
      </c>
      <c r="U1216" s="71" t="str">
        <f t="shared" si="610"/>
        <v>O</v>
      </c>
      <c r="V1216" s="71"/>
      <c r="W1216" s="474">
        <f t="shared" si="606"/>
        <v>5000</v>
      </c>
      <c r="X1216" s="71"/>
      <c r="Y1216" s="71"/>
    </row>
    <row r="1217" spans="1:25" ht="30" hidden="1" customHeight="1" x14ac:dyDescent="0.25">
      <c r="A1217" s="82">
        <v>180823</v>
      </c>
      <c r="B1217" s="664" t="s">
        <v>1051</v>
      </c>
      <c r="C1217" s="71" t="s">
        <v>1294</v>
      </c>
      <c r="D1217" s="71">
        <v>600</v>
      </c>
      <c r="E1217" s="102">
        <v>5910</v>
      </c>
      <c r="F1217" s="102">
        <f t="shared" ref="F1217:F1224" si="611">(E1217*D1217)*1.1</f>
        <v>3900600.0000000005</v>
      </c>
      <c r="G1217" s="102">
        <f t="shared" ref="G1217:G1224" si="612">(E1217*D1217)</f>
        <v>3546000</v>
      </c>
      <c r="H1217" s="690" t="s">
        <v>142</v>
      </c>
      <c r="I1217" s="71" t="s">
        <v>140</v>
      </c>
      <c r="J1217" s="53">
        <f t="shared" si="608"/>
        <v>1146000</v>
      </c>
      <c r="K1217" s="63">
        <f t="shared" si="609"/>
        <v>0.32318104906937389</v>
      </c>
      <c r="L1217" s="82">
        <v>18.8</v>
      </c>
      <c r="M1217" s="468"/>
      <c r="N1217" s="664">
        <f t="shared" ref="N1217:N1222" si="613">A1217</f>
        <v>180823</v>
      </c>
      <c r="O1217" s="71" t="s">
        <v>145</v>
      </c>
      <c r="P1217" s="103" t="str">
        <f>(C1217)</f>
        <v>ENGAGE 1030*790</v>
      </c>
      <c r="Q1217" s="71">
        <f t="shared" ref="Q1217:Q1222" si="614">D1217</f>
        <v>600</v>
      </c>
      <c r="R1217" s="102">
        <v>4000</v>
      </c>
      <c r="S1217" s="102">
        <f>(R1217*D1217)*1.1</f>
        <v>2640000</v>
      </c>
      <c r="T1217" s="102">
        <f>(R1217*Q1217)</f>
        <v>2400000</v>
      </c>
      <c r="U1217" s="71" t="str">
        <f t="shared" si="610"/>
        <v>X</v>
      </c>
      <c r="V1217" s="71"/>
      <c r="W1217" s="474"/>
      <c r="X1217" s="71"/>
      <c r="Y1217" s="71"/>
    </row>
    <row r="1218" spans="1:25" ht="30" hidden="1" customHeight="1" x14ac:dyDescent="0.25">
      <c r="A1218" s="82">
        <v>180823</v>
      </c>
      <c r="B1218" s="664" t="s">
        <v>1051</v>
      </c>
      <c r="C1218" s="71" t="s">
        <v>951</v>
      </c>
      <c r="D1218" s="71">
        <v>600</v>
      </c>
      <c r="E1218" s="102">
        <v>3540</v>
      </c>
      <c r="F1218" s="102">
        <f t="shared" si="611"/>
        <v>2336400</v>
      </c>
      <c r="G1218" s="102">
        <f t="shared" si="612"/>
        <v>2124000</v>
      </c>
      <c r="H1218" s="690" t="s">
        <v>142</v>
      </c>
      <c r="I1218" s="71" t="s">
        <v>140</v>
      </c>
      <c r="J1218" s="53">
        <f t="shared" si="608"/>
        <v>690000</v>
      </c>
      <c r="K1218" s="63">
        <f t="shared" si="609"/>
        <v>0.3248587570621469</v>
      </c>
      <c r="L1218" s="82">
        <v>18.8</v>
      </c>
      <c r="M1218" s="468"/>
      <c r="N1218" s="664">
        <f t="shared" si="613"/>
        <v>180823</v>
      </c>
      <c r="O1218" s="71" t="s">
        <v>145</v>
      </c>
      <c r="P1218" s="103" t="str">
        <f>(C1218)</f>
        <v>ENGAGE 30WEB(883*552)</v>
      </c>
      <c r="Q1218" s="71">
        <f t="shared" si="614"/>
        <v>600</v>
      </c>
      <c r="R1218" s="102">
        <v>2390</v>
      </c>
      <c r="S1218" s="102">
        <f>(R1218*D1218)*1.1</f>
        <v>1577400.0000000002</v>
      </c>
      <c r="T1218" s="102">
        <f>(R1218*Q1218)</f>
        <v>1434000</v>
      </c>
      <c r="U1218" s="71" t="str">
        <f t="shared" si="610"/>
        <v>O</v>
      </c>
      <c r="V1218" s="71"/>
      <c r="W1218" s="474">
        <f>(G1218-T1218)</f>
        <v>690000</v>
      </c>
      <c r="X1218" s="71"/>
      <c r="Y1218" s="71"/>
    </row>
    <row r="1219" spans="1:25" ht="30" hidden="1" customHeight="1" x14ac:dyDescent="0.25">
      <c r="A1219" s="82">
        <v>180823</v>
      </c>
      <c r="B1219" s="664" t="s">
        <v>1051</v>
      </c>
      <c r="C1219" s="71" t="s">
        <v>1305</v>
      </c>
      <c r="D1219" s="71">
        <v>50</v>
      </c>
      <c r="E1219" s="102">
        <v>4470</v>
      </c>
      <c r="F1219" s="102">
        <f t="shared" si="611"/>
        <v>245850.00000000003</v>
      </c>
      <c r="G1219" s="102">
        <f t="shared" si="612"/>
        <v>223500</v>
      </c>
      <c r="H1219" s="690" t="s">
        <v>142</v>
      </c>
      <c r="I1219" s="71" t="s">
        <v>140</v>
      </c>
      <c r="J1219" s="53">
        <f t="shared" si="608"/>
        <v>72000</v>
      </c>
      <c r="K1219" s="63">
        <f t="shared" si="609"/>
        <v>0.32214765100671139</v>
      </c>
      <c r="L1219" s="82">
        <v>18.8</v>
      </c>
      <c r="M1219" s="468" t="s">
        <v>1361</v>
      </c>
      <c r="N1219" s="664">
        <f t="shared" si="613"/>
        <v>180823</v>
      </c>
      <c r="O1219" s="71" t="s">
        <v>145</v>
      </c>
      <c r="P1219" s="103" t="str">
        <f>(C1219)</f>
        <v>ENGAGE 968*636</v>
      </c>
      <c r="Q1219" s="71">
        <f t="shared" si="614"/>
        <v>50</v>
      </c>
      <c r="R1219" s="102">
        <v>3030</v>
      </c>
      <c r="S1219" s="102">
        <f>(R1219*D1219)*1.1</f>
        <v>166650</v>
      </c>
      <c r="T1219" s="102">
        <f>(R1219*Q1219)</f>
        <v>151500</v>
      </c>
      <c r="U1219" s="71" t="str">
        <f t="shared" si="610"/>
        <v>O</v>
      </c>
      <c r="V1219" s="71"/>
      <c r="W1219" s="474">
        <f>(G1219-T1219)</f>
        <v>72000</v>
      </c>
      <c r="X1219" s="71"/>
      <c r="Y1219" s="71"/>
    </row>
    <row r="1220" spans="1:25" ht="30" hidden="1" customHeight="1" x14ac:dyDescent="0.25">
      <c r="A1220" s="82">
        <v>180827</v>
      </c>
      <c r="B1220" s="664" t="s">
        <v>1127</v>
      </c>
      <c r="C1220" s="71" t="s">
        <v>123</v>
      </c>
      <c r="D1220" s="71">
        <v>5</v>
      </c>
      <c r="E1220" s="102">
        <v>40000</v>
      </c>
      <c r="F1220" s="102">
        <f t="shared" si="611"/>
        <v>220000.00000000003</v>
      </c>
      <c r="G1220" s="102">
        <f t="shared" si="612"/>
        <v>200000</v>
      </c>
      <c r="H1220" s="1010" t="s">
        <v>39</v>
      </c>
      <c r="I1220" s="71"/>
      <c r="J1220" s="53">
        <f t="shared" si="608"/>
        <v>87695</v>
      </c>
      <c r="K1220" s="63">
        <f>(J1220/(F1220/11*10))</f>
        <v>0.43847499999999995</v>
      </c>
      <c r="L1220" s="82">
        <v>18.8</v>
      </c>
      <c r="M1220" s="468"/>
      <c r="N1220" s="664">
        <f t="shared" si="613"/>
        <v>180827</v>
      </c>
      <c r="O1220" s="991" t="s">
        <v>39</v>
      </c>
      <c r="P1220" s="103" t="s">
        <v>123</v>
      </c>
      <c r="Q1220" s="71">
        <f t="shared" si="614"/>
        <v>5</v>
      </c>
      <c r="R1220" s="102">
        <f>VLOOKUP(P1220,Price!B:D,3,FALSE)</f>
        <v>22461</v>
      </c>
      <c r="S1220" s="102">
        <f>R1220*Q1220*1.1</f>
        <v>123535.50000000001</v>
      </c>
      <c r="T1220" s="102">
        <f>R1220*Q1220</f>
        <v>112305</v>
      </c>
      <c r="U1220" s="71" t="str">
        <f t="shared" si="610"/>
        <v>X</v>
      </c>
      <c r="V1220" s="71"/>
      <c r="W1220" s="474"/>
      <c r="X1220" s="71"/>
      <c r="Y1220" s="71"/>
    </row>
    <row r="1221" spans="1:25" ht="30" customHeight="1" x14ac:dyDescent="0.2">
      <c r="A1221" s="429">
        <v>180829</v>
      </c>
      <c r="B1221" s="664" t="s">
        <v>422</v>
      </c>
      <c r="C1221" s="760" t="s">
        <v>218</v>
      </c>
      <c r="D1221" s="71">
        <v>5</v>
      </c>
      <c r="E1221" s="102">
        <v>235000</v>
      </c>
      <c r="F1221" s="102">
        <f t="shared" si="611"/>
        <v>1292500</v>
      </c>
      <c r="G1221" s="102">
        <f t="shared" si="612"/>
        <v>1175000</v>
      </c>
      <c r="H1221" s="690" t="s">
        <v>173</v>
      </c>
      <c r="I1221" s="71" t="s">
        <v>120</v>
      </c>
      <c r="J1221" s="53">
        <f>(G1221-(VLOOKUP(C1221,Price!B:D,3,FALSE)*D1221))</f>
        <v>612500</v>
      </c>
      <c r="K1221" s="63">
        <f>(J1221/(F1221/11*10))</f>
        <v>0.52127659574468088</v>
      </c>
      <c r="L1221" s="871">
        <v>18.8</v>
      </c>
      <c r="M1221" s="468"/>
      <c r="N1221" s="664">
        <f t="shared" si="613"/>
        <v>180829</v>
      </c>
      <c r="O1221" s="71" t="s">
        <v>150</v>
      </c>
      <c r="P1221" s="103" t="str">
        <f>C1221</f>
        <v>Fount Web 551AF</v>
      </c>
      <c r="Q1221" s="71">
        <f t="shared" si="614"/>
        <v>5</v>
      </c>
      <c r="R1221" s="102">
        <v>112500</v>
      </c>
      <c r="S1221" s="102">
        <f>R1221*Q1221*1.1</f>
        <v>618750</v>
      </c>
      <c r="T1221" s="102">
        <f>R1221*Q1221</f>
        <v>562500</v>
      </c>
      <c r="U1221" s="71" t="str">
        <f t="shared" si="610"/>
        <v>O</v>
      </c>
      <c r="V1221" s="71"/>
      <c r="W1221" s="474">
        <f>(G1221-T1221)</f>
        <v>612500</v>
      </c>
      <c r="X1221" s="71"/>
      <c r="Y1221" s="71"/>
    </row>
    <row r="1222" spans="1:25" ht="30" customHeight="1" x14ac:dyDescent="0.25">
      <c r="A1222" s="82">
        <v>180829</v>
      </c>
      <c r="B1222" s="664" t="s">
        <v>565</v>
      </c>
      <c r="C1222" s="71" t="s">
        <v>692</v>
      </c>
      <c r="D1222" s="71">
        <v>6</v>
      </c>
      <c r="E1222" s="102">
        <v>218000</v>
      </c>
      <c r="F1222" s="102">
        <f t="shared" si="611"/>
        <v>1438800</v>
      </c>
      <c r="G1222" s="102">
        <f t="shared" si="612"/>
        <v>1308000</v>
      </c>
      <c r="H1222" s="690" t="s">
        <v>173</v>
      </c>
      <c r="I1222" s="71" t="s">
        <v>109</v>
      </c>
      <c r="J1222" s="53">
        <f>(G1222-(VLOOKUP(C1222,Price!B:D,3,FALSE)*D1222))</f>
        <v>348000</v>
      </c>
      <c r="K1222" s="63">
        <f>(J1222/(F1222/11*10))</f>
        <v>0.26605504587155965</v>
      </c>
      <c r="L1222" s="82">
        <v>18.8</v>
      </c>
      <c r="M1222" s="468"/>
      <c r="N1222" s="664">
        <f t="shared" si="613"/>
        <v>180829</v>
      </c>
      <c r="O1222" s="71" t="s">
        <v>150</v>
      </c>
      <c r="P1222" s="103" t="str">
        <f>(C1222)</f>
        <v>윤전 블랑켓</v>
      </c>
      <c r="Q1222" s="71">
        <f t="shared" si="614"/>
        <v>6</v>
      </c>
      <c r="R1222" s="102">
        <v>160000</v>
      </c>
      <c r="S1222" s="102">
        <f>(R1222*D1222)*1.1</f>
        <v>1056000</v>
      </c>
      <c r="T1222" s="102">
        <f>(R1222*Q1222)</f>
        <v>960000</v>
      </c>
      <c r="U1222" s="71" t="str">
        <f t="shared" si="610"/>
        <v>O</v>
      </c>
      <c r="V1222" s="71" t="s">
        <v>784</v>
      </c>
      <c r="W1222" s="474">
        <f>(G1222-T1222)</f>
        <v>348000</v>
      </c>
      <c r="X1222" s="71"/>
      <c r="Y1222" s="71"/>
    </row>
    <row r="1223" spans="1:25" ht="30" hidden="1" customHeight="1" x14ac:dyDescent="0.25">
      <c r="A1223" s="82">
        <v>180831</v>
      </c>
      <c r="B1223" s="664" t="s">
        <v>567</v>
      </c>
      <c r="C1223" s="71" t="s">
        <v>1360</v>
      </c>
      <c r="D1223" s="71">
        <v>1</v>
      </c>
      <c r="E1223" s="102">
        <v>29000000</v>
      </c>
      <c r="F1223" s="102">
        <f t="shared" si="611"/>
        <v>31900000.000000004</v>
      </c>
      <c r="G1223" s="102">
        <f t="shared" si="612"/>
        <v>29000000</v>
      </c>
      <c r="H1223" s="690" t="s">
        <v>142</v>
      </c>
      <c r="I1223" s="71" t="s">
        <v>142</v>
      </c>
      <c r="J1223" s="53">
        <f>G1223-T1223</f>
        <v>4129308</v>
      </c>
      <c r="K1223" s="63">
        <f>(J1223/(F1223/11*10))</f>
        <v>0.14238993103448275</v>
      </c>
      <c r="L1223" s="871">
        <v>18.8</v>
      </c>
      <c r="M1223" s="468"/>
      <c r="N1223" s="664">
        <f t="shared" ref="N1223:N1232" si="615">A1223</f>
        <v>180831</v>
      </c>
      <c r="O1223" s="71" t="s">
        <v>1369</v>
      </c>
      <c r="P1223" s="103"/>
      <c r="Q1223" s="71">
        <f>D1223</f>
        <v>1</v>
      </c>
      <c r="R1223" s="102">
        <f>13751400+11119292</f>
        <v>24870692</v>
      </c>
      <c r="S1223" s="102">
        <f>(R1223*D1223)*1.1</f>
        <v>27357761.200000003</v>
      </c>
      <c r="T1223" s="102">
        <f>(R1223*Q1223)</f>
        <v>24870692</v>
      </c>
      <c r="U1223" s="71"/>
      <c r="V1223" s="71"/>
      <c r="W1223" s="474"/>
      <c r="X1223" s="71"/>
      <c r="Y1223" s="71"/>
    </row>
    <row r="1224" spans="1:25" ht="30" hidden="1" customHeight="1" x14ac:dyDescent="0.25">
      <c r="A1224" s="82">
        <v>180831</v>
      </c>
      <c r="B1224" s="664" t="s">
        <v>627</v>
      </c>
      <c r="C1224" s="71" t="s">
        <v>1364</v>
      </c>
      <c r="D1224" s="71">
        <v>1</v>
      </c>
      <c r="E1224" s="102">
        <v>8000000</v>
      </c>
      <c r="F1224" s="102">
        <f t="shared" si="611"/>
        <v>8800000</v>
      </c>
      <c r="G1224" s="102">
        <f t="shared" si="612"/>
        <v>8000000</v>
      </c>
      <c r="H1224" s="690" t="s">
        <v>985</v>
      </c>
      <c r="I1224" s="71"/>
      <c r="J1224" s="53">
        <f>G1224-T1224</f>
        <v>1161211.0700000003</v>
      </c>
      <c r="K1224" s="63">
        <f>(J1224/(F1224/11*10))</f>
        <v>0.14515138375000003</v>
      </c>
      <c r="L1224" s="871">
        <v>18.8</v>
      </c>
      <c r="M1224" s="468"/>
      <c r="N1224" s="664">
        <f t="shared" si="615"/>
        <v>180831</v>
      </c>
      <c r="O1224" s="808" t="s">
        <v>113</v>
      </c>
      <c r="P1224" s="103" t="s">
        <v>1371</v>
      </c>
      <c r="Q1224" s="71">
        <f>D1224</f>
        <v>1</v>
      </c>
      <c r="R1224" s="102">
        <f>5501870+Import!G102</f>
        <v>6838788.9299999997</v>
      </c>
      <c r="S1224" s="102">
        <f>(R1224*D1224)*1.1</f>
        <v>7522667.8229999999</v>
      </c>
      <c r="T1224" s="102">
        <f>(R1224*Q1224)</f>
        <v>6838788.9299999997</v>
      </c>
      <c r="U1224" s="71" t="str">
        <f>IF(J1224=W1224,"O", "X")</f>
        <v>X</v>
      </c>
      <c r="V1224" s="71"/>
      <c r="W1224" s="474"/>
      <c r="X1224" s="71"/>
      <c r="Y1224" s="71"/>
    </row>
    <row r="1225" spans="1:25" s="978" customFormat="1" ht="45" hidden="1" customHeight="1" x14ac:dyDescent="0.25">
      <c r="A1225" s="975">
        <v>2018.9</v>
      </c>
      <c r="B1225" s="976" t="s">
        <v>544</v>
      </c>
      <c r="C1225" s="453"/>
      <c r="D1225" s="453"/>
      <c r="E1225" s="454"/>
      <c r="F1225" s="454"/>
      <c r="G1225" s="454"/>
      <c r="H1225" s="455"/>
      <c r="I1225" s="453"/>
      <c r="J1225" s="417"/>
      <c r="K1225" s="418"/>
      <c r="L1225" s="977">
        <v>18.899999999999999</v>
      </c>
      <c r="M1225" s="643"/>
      <c r="N1225" s="724">
        <f t="shared" si="615"/>
        <v>2018.9</v>
      </c>
      <c r="O1225" s="453" t="s">
        <v>154</v>
      </c>
      <c r="P1225" s="728"/>
      <c r="Q1225" s="419"/>
      <c r="R1225" s="420"/>
      <c r="S1225" s="417"/>
      <c r="T1225" s="417"/>
      <c r="U1225" s="421"/>
      <c r="V1225" s="421"/>
      <c r="W1225" s="479">
        <f t="shared" ref="W1225:W1256" si="616">(G1225-T1225)</f>
        <v>0</v>
      </c>
      <c r="X1225" s="421"/>
      <c r="Y1225" s="421"/>
    </row>
    <row r="1226" spans="1:25" ht="30" hidden="1" customHeight="1" x14ac:dyDescent="0.25">
      <c r="A1226" s="82">
        <v>180827</v>
      </c>
      <c r="B1226" s="664" t="s">
        <v>983</v>
      </c>
      <c r="C1226" s="71" t="s">
        <v>1009</v>
      </c>
      <c r="D1226" s="71">
        <v>520</v>
      </c>
      <c r="E1226" s="102">
        <v>3900</v>
      </c>
      <c r="F1226" s="102">
        <f t="shared" ref="F1226:F1247" si="617">(E1226*D1226)*1.1</f>
        <v>2230800</v>
      </c>
      <c r="G1226" s="102">
        <f t="shared" ref="G1226:G1247" si="618">(E1226*D1226)</f>
        <v>2028000</v>
      </c>
      <c r="H1226" s="690" t="s">
        <v>173</v>
      </c>
      <c r="I1226" s="71" t="s">
        <v>140</v>
      </c>
      <c r="J1226" s="53">
        <f>G1226-T1226</f>
        <v>312000</v>
      </c>
      <c r="K1226" s="63">
        <f t="shared" ref="K1226:K1231" si="619">(J1226/(F1226/11*10))</f>
        <v>0.15384615384615385</v>
      </c>
      <c r="L1226" s="871">
        <v>18.899999999999999</v>
      </c>
      <c r="M1226" s="468"/>
      <c r="N1226" s="664">
        <f t="shared" si="615"/>
        <v>180827</v>
      </c>
      <c r="O1226" s="71" t="s">
        <v>147</v>
      </c>
      <c r="P1226" s="103" t="str">
        <f t="shared" ref="P1226:Q1241" si="620">C1226</f>
        <v>CTP판(1030*790mm)</v>
      </c>
      <c r="Q1226" s="71">
        <f>D1226</f>
        <v>520</v>
      </c>
      <c r="R1226" s="102">
        <v>3300</v>
      </c>
      <c r="S1226" s="102">
        <f>R1226*Q1226*1.1</f>
        <v>1887600.0000000002</v>
      </c>
      <c r="T1226" s="102">
        <f>R1226*Q1226</f>
        <v>1716000</v>
      </c>
      <c r="U1226" s="71" t="str">
        <f t="shared" ref="U1226:U1259" si="621">IF(J1226=W1226,"O", "X")</f>
        <v>O</v>
      </c>
      <c r="V1226" s="71"/>
      <c r="W1226" s="474">
        <f t="shared" si="616"/>
        <v>312000</v>
      </c>
      <c r="X1226" s="71"/>
      <c r="Y1226" s="71"/>
    </row>
    <row r="1227" spans="1:25" ht="30" hidden="1" customHeight="1" x14ac:dyDescent="0.25">
      <c r="A1227" s="82">
        <v>180827</v>
      </c>
      <c r="B1227" s="664" t="s">
        <v>983</v>
      </c>
      <c r="C1227" s="71" t="s">
        <v>984</v>
      </c>
      <c r="D1227" s="71">
        <v>6</v>
      </c>
      <c r="E1227" s="102">
        <v>45000</v>
      </c>
      <c r="F1227" s="102">
        <f t="shared" si="617"/>
        <v>297000</v>
      </c>
      <c r="G1227" s="102">
        <f t="shared" si="618"/>
        <v>270000</v>
      </c>
      <c r="H1227" s="690" t="s">
        <v>173</v>
      </c>
      <c r="I1227" s="71" t="s">
        <v>140</v>
      </c>
      <c r="J1227" s="53">
        <f>G1227-T1227</f>
        <v>60000</v>
      </c>
      <c r="K1227" s="63">
        <f t="shared" si="619"/>
        <v>0.22222222222222221</v>
      </c>
      <c r="L1227" s="871">
        <v>18.899999999999999</v>
      </c>
      <c r="M1227" s="468"/>
      <c r="N1227" s="664">
        <f t="shared" si="615"/>
        <v>180827</v>
      </c>
      <c r="O1227" s="71" t="s">
        <v>147</v>
      </c>
      <c r="P1227" s="103" t="str">
        <f t="shared" si="620"/>
        <v>CTP 현상액</v>
      </c>
      <c r="Q1227" s="71">
        <f t="shared" si="620"/>
        <v>6</v>
      </c>
      <c r="R1227" s="102">
        <v>35000</v>
      </c>
      <c r="S1227" s="102">
        <f>R1227*Q1227*1.1</f>
        <v>231000.00000000003</v>
      </c>
      <c r="T1227" s="102">
        <f>R1227*Q1227</f>
        <v>210000</v>
      </c>
      <c r="U1227" s="71" t="str">
        <f t="shared" si="621"/>
        <v>O</v>
      </c>
      <c r="V1227" s="71"/>
      <c r="W1227" s="474">
        <f t="shared" si="616"/>
        <v>60000</v>
      </c>
      <c r="X1227" s="71"/>
      <c r="Y1227" s="71"/>
    </row>
    <row r="1228" spans="1:25" ht="30" hidden="1" customHeight="1" x14ac:dyDescent="0.25">
      <c r="A1228" s="82">
        <v>180830</v>
      </c>
      <c r="B1228" s="664" t="s">
        <v>1061</v>
      </c>
      <c r="C1228" s="71" t="s">
        <v>616</v>
      </c>
      <c r="D1228" s="71">
        <v>200</v>
      </c>
      <c r="E1228" s="102">
        <v>6600</v>
      </c>
      <c r="F1228" s="102">
        <f t="shared" si="617"/>
        <v>1452000.0000000002</v>
      </c>
      <c r="G1228" s="102">
        <f t="shared" si="618"/>
        <v>1320000</v>
      </c>
      <c r="H1228" s="690" t="s">
        <v>142</v>
      </c>
      <c r="I1228" s="71" t="s">
        <v>144</v>
      </c>
      <c r="J1228" s="53">
        <f>(G1228-(VLOOKUP(C1228,Price!B:D,3,FALSE)*D1228))</f>
        <v>140000</v>
      </c>
      <c r="K1228" s="63">
        <f t="shared" si="619"/>
        <v>0.10606060606060604</v>
      </c>
      <c r="L1228" s="871">
        <v>18.899999999999999</v>
      </c>
      <c r="M1228" s="468"/>
      <c r="N1228" s="664">
        <f t="shared" si="615"/>
        <v>180830</v>
      </c>
      <c r="O1228" s="71" t="s">
        <v>147</v>
      </c>
      <c r="P1228" s="103" t="str">
        <f t="shared" si="620"/>
        <v>프리미어(먹)</v>
      </c>
      <c r="Q1228" s="71">
        <f t="shared" si="620"/>
        <v>200</v>
      </c>
      <c r="R1228" s="102">
        <v>5900</v>
      </c>
      <c r="S1228" s="102">
        <f>R1228*Q1228*1.1</f>
        <v>1298000</v>
      </c>
      <c r="T1228" s="102">
        <f>R1228*Q1228</f>
        <v>1180000</v>
      </c>
      <c r="U1228" s="71" t="str">
        <f t="shared" si="621"/>
        <v>O</v>
      </c>
      <c r="V1228" s="71"/>
      <c r="W1228" s="474">
        <f t="shared" si="616"/>
        <v>140000</v>
      </c>
      <c r="X1228" s="71"/>
      <c r="Y1228" s="71"/>
    </row>
    <row r="1229" spans="1:25" ht="30" hidden="1" customHeight="1" x14ac:dyDescent="0.25">
      <c r="A1229" s="82">
        <v>180830</v>
      </c>
      <c r="B1229" s="664" t="s">
        <v>1052</v>
      </c>
      <c r="C1229" s="71" t="s">
        <v>585</v>
      </c>
      <c r="D1229" s="71">
        <v>200</v>
      </c>
      <c r="E1229" s="102">
        <v>7500</v>
      </c>
      <c r="F1229" s="102">
        <f t="shared" si="617"/>
        <v>1650000.0000000002</v>
      </c>
      <c r="G1229" s="102">
        <f t="shared" si="618"/>
        <v>1500000</v>
      </c>
      <c r="H1229" s="690" t="s">
        <v>142</v>
      </c>
      <c r="I1229" s="71" t="s">
        <v>144</v>
      </c>
      <c r="J1229" s="53">
        <f>(G1229-(VLOOKUP(C1229,Price!B:D,3,FALSE)*D1229))</f>
        <v>146000</v>
      </c>
      <c r="K1229" s="63">
        <f t="shared" si="619"/>
        <v>9.7333333333333313E-2</v>
      </c>
      <c r="L1229" s="871">
        <v>18.899999999999999</v>
      </c>
      <c r="M1229" s="468"/>
      <c r="N1229" s="664">
        <f t="shared" si="615"/>
        <v>180830</v>
      </c>
      <c r="O1229" s="71" t="s">
        <v>147</v>
      </c>
      <c r="P1229" s="103" t="str">
        <f t="shared" si="620"/>
        <v>프리미어(적)</v>
      </c>
      <c r="Q1229" s="71">
        <f t="shared" si="620"/>
        <v>200</v>
      </c>
      <c r="R1229" s="102">
        <v>6770</v>
      </c>
      <c r="S1229" s="102">
        <f>R1229*Q1229*1.1</f>
        <v>1489400.0000000002</v>
      </c>
      <c r="T1229" s="102">
        <f>R1229*Q1229</f>
        <v>1354000</v>
      </c>
      <c r="U1229" s="71" t="str">
        <f t="shared" si="621"/>
        <v>O</v>
      </c>
      <c r="V1229" s="71"/>
      <c r="W1229" s="474">
        <f t="shared" si="616"/>
        <v>146000</v>
      </c>
      <c r="X1229" s="71"/>
      <c r="Y1229" s="71"/>
    </row>
    <row r="1230" spans="1:25" ht="30" hidden="1" customHeight="1" x14ac:dyDescent="0.25">
      <c r="A1230" s="82">
        <v>180830</v>
      </c>
      <c r="B1230" s="664" t="s">
        <v>1061</v>
      </c>
      <c r="C1230" s="71" t="s">
        <v>586</v>
      </c>
      <c r="D1230" s="71">
        <v>200</v>
      </c>
      <c r="E1230" s="102">
        <v>6750</v>
      </c>
      <c r="F1230" s="102">
        <f t="shared" si="617"/>
        <v>1485000.0000000002</v>
      </c>
      <c r="G1230" s="102">
        <f t="shared" si="618"/>
        <v>1350000</v>
      </c>
      <c r="H1230" s="690" t="s">
        <v>142</v>
      </c>
      <c r="I1230" s="71" t="s">
        <v>144</v>
      </c>
      <c r="J1230" s="53">
        <f>G1230-T1230</f>
        <v>114000</v>
      </c>
      <c r="K1230" s="63">
        <f t="shared" si="619"/>
        <v>8.4444444444444433E-2</v>
      </c>
      <c r="L1230" s="871">
        <v>18.899999999999999</v>
      </c>
      <c r="M1230" s="468"/>
      <c r="N1230" s="664">
        <f t="shared" si="615"/>
        <v>180830</v>
      </c>
      <c r="O1230" s="71" t="s">
        <v>147</v>
      </c>
      <c r="P1230" s="103" t="str">
        <f t="shared" si="620"/>
        <v>프리미어(황)</v>
      </c>
      <c r="Q1230" s="71">
        <f t="shared" si="620"/>
        <v>200</v>
      </c>
      <c r="R1230" s="102">
        <v>6180</v>
      </c>
      <c r="S1230" s="102">
        <f>(R1230*D1230)*1.1</f>
        <v>1359600</v>
      </c>
      <c r="T1230" s="102">
        <f>(R1230*Q1230)</f>
        <v>1236000</v>
      </c>
      <c r="U1230" s="71" t="str">
        <f t="shared" si="621"/>
        <v>O</v>
      </c>
      <c r="V1230" s="71"/>
      <c r="W1230" s="474">
        <f t="shared" si="616"/>
        <v>114000</v>
      </c>
      <c r="X1230" s="71"/>
      <c r="Y1230" s="71"/>
    </row>
    <row r="1231" spans="1:25" ht="30" hidden="1" customHeight="1" x14ac:dyDescent="0.25">
      <c r="A1231" s="82">
        <v>180830</v>
      </c>
      <c r="B1231" s="664" t="s">
        <v>1061</v>
      </c>
      <c r="C1231" s="71" t="s">
        <v>587</v>
      </c>
      <c r="D1231" s="71">
        <v>200</v>
      </c>
      <c r="E1231" s="102">
        <v>8000</v>
      </c>
      <c r="F1231" s="102">
        <f t="shared" si="617"/>
        <v>1760000.0000000002</v>
      </c>
      <c r="G1231" s="102">
        <f t="shared" si="618"/>
        <v>1600000</v>
      </c>
      <c r="H1231" s="690" t="s">
        <v>142</v>
      </c>
      <c r="I1231" s="71" t="s">
        <v>144</v>
      </c>
      <c r="J1231" s="53">
        <f>G1231-T1231</f>
        <v>218000</v>
      </c>
      <c r="K1231" s="63">
        <f t="shared" si="619"/>
        <v>0.13624999999999998</v>
      </c>
      <c r="L1231" s="871">
        <v>18.899999999999999</v>
      </c>
      <c r="M1231" s="468"/>
      <c r="N1231" s="664">
        <f t="shared" si="615"/>
        <v>180830</v>
      </c>
      <c r="O1231" s="71" t="s">
        <v>147</v>
      </c>
      <c r="P1231" s="103" t="str">
        <f t="shared" si="620"/>
        <v>프리미어(청)</v>
      </c>
      <c r="Q1231" s="71">
        <f t="shared" si="620"/>
        <v>200</v>
      </c>
      <c r="R1231" s="102">
        <v>6910</v>
      </c>
      <c r="S1231" s="102">
        <f>(R1231*D1231)*1.1</f>
        <v>1520200.0000000002</v>
      </c>
      <c r="T1231" s="102">
        <f>(R1231*Q1231)</f>
        <v>1382000</v>
      </c>
      <c r="U1231" s="71" t="str">
        <f t="shared" si="621"/>
        <v>O</v>
      </c>
      <c r="V1231" s="71"/>
      <c r="W1231" s="474">
        <f t="shared" si="616"/>
        <v>218000</v>
      </c>
      <c r="X1231" s="71"/>
      <c r="Y1231" s="71"/>
    </row>
    <row r="1232" spans="1:25" ht="30" hidden="1" customHeight="1" x14ac:dyDescent="0.25">
      <c r="A1232" s="82">
        <v>180830</v>
      </c>
      <c r="B1232" s="664" t="s">
        <v>1357</v>
      </c>
      <c r="C1232" s="71" t="s">
        <v>1358</v>
      </c>
      <c r="D1232" s="71">
        <v>1</v>
      </c>
      <c r="E1232" s="102">
        <v>2500000</v>
      </c>
      <c r="F1232" s="102">
        <f t="shared" si="617"/>
        <v>2750000</v>
      </c>
      <c r="G1232" s="102">
        <f t="shared" si="618"/>
        <v>2500000</v>
      </c>
      <c r="H1232" s="1010" t="s">
        <v>39</v>
      </c>
      <c r="I1232" s="71"/>
      <c r="J1232" s="53">
        <f>G1232-T1232</f>
        <v>1044813.0783584102</v>
      </c>
      <c r="K1232" s="63">
        <f>(J1232/(F1232/11*10))</f>
        <v>0.41792523134336407</v>
      </c>
      <c r="L1232" s="871">
        <v>18.899999999999999</v>
      </c>
      <c r="M1232" s="468"/>
      <c r="N1232" s="664">
        <f t="shared" si="615"/>
        <v>180830</v>
      </c>
      <c r="O1232" s="991" t="s">
        <v>39</v>
      </c>
      <c r="P1232" s="103" t="str">
        <f t="shared" si="620"/>
        <v>알콜공급장치 기판</v>
      </c>
      <c r="Q1232" s="71">
        <f t="shared" si="620"/>
        <v>1</v>
      </c>
      <c r="R1232" s="102">
        <f>Import!G619</f>
        <v>1455186.9216415898</v>
      </c>
      <c r="S1232" s="102">
        <f>(R1232*D1232)*1.1</f>
        <v>1600705.613805749</v>
      </c>
      <c r="T1232" s="102">
        <f>(R1232*Q1232)</f>
        <v>1455186.9216415898</v>
      </c>
      <c r="U1232" s="71" t="str">
        <f t="shared" si="621"/>
        <v>O</v>
      </c>
      <c r="V1232" s="71"/>
      <c r="W1232" s="474">
        <f t="shared" si="616"/>
        <v>1044813.0783584102</v>
      </c>
      <c r="X1232" s="71"/>
      <c r="Y1232" s="71"/>
    </row>
    <row r="1233" spans="1:25" ht="30" hidden="1" customHeight="1" x14ac:dyDescent="0.25">
      <c r="A1233" s="82">
        <v>180831</v>
      </c>
      <c r="B1233" s="664" t="s">
        <v>1051</v>
      </c>
      <c r="C1233" s="71" t="s">
        <v>1294</v>
      </c>
      <c r="D1233" s="71">
        <v>600</v>
      </c>
      <c r="E1233" s="102">
        <v>5850</v>
      </c>
      <c r="F1233" s="102">
        <f t="shared" si="617"/>
        <v>3861000.0000000005</v>
      </c>
      <c r="G1233" s="102">
        <f t="shared" si="618"/>
        <v>3510000</v>
      </c>
      <c r="H1233" s="690" t="s">
        <v>142</v>
      </c>
      <c r="I1233" s="71" t="s">
        <v>140</v>
      </c>
      <c r="J1233" s="53">
        <f>G1233-T1233</f>
        <v>1110000</v>
      </c>
      <c r="K1233" s="63">
        <f>(J1233/(F1233/11*10))</f>
        <v>0.31623931623931617</v>
      </c>
      <c r="L1233" s="871">
        <v>18.899999999999999</v>
      </c>
      <c r="M1233" s="468"/>
      <c r="N1233" s="664">
        <f>A1233</f>
        <v>180831</v>
      </c>
      <c r="O1233" s="71" t="s">
        <v>145</v>
      </c>
      <c r="P1233" s="103" t="str">
        <f t="shared" si="620"/>
        <v>ENGAGE 1030*790</v>
      </c>
      <c r="Q1233" s="71">
        <f t="shared" si="620"/>
        <v>600</v>
      </c>
      <c r="R1233" s="102">
        <v>4000</v>
      </c>
      <c r="S1233" s="102">
        <f>(R1233*D1233)*1.1</f>
        <v>2640000</v>
      </c>
      <c r="T1233" s="102">
        <f>(R1233*Q1233)</f>
        <v>2400000</v>
      </c>
      <c r="U1233" s="71" t="str">
        <f t="shared" si="621"/>
        <v>O</v>
      </c>
      <c r="V1233" s="71"/>
      <c r="W1233" s="474">
        <f t="shared" si="616"/>
        <v>1110000</v>
      </c>
      <c r="X1233" s="71"/>
      <c r="Y1233" s="71"/>
    </row>
    <row r="1234" spans="1:25" ht="30" hidden="1" customHeight="1" x14ac:dyDescent="0.25">
      <c r="A1234" s="82">
        <v>180831</v>
      </c>
      <c r="B1234" s="664" t="s">
        <v>1051</v>
      </c>
      <c r="C1234" s="71" t="s">
        <v>524</v>
      </c>
      <c r="D1234" s="71">
        <v>300</v>
      </c>
      <c r="E1234" s="102">
        <v>3680</v>
      </c>
      <c r="F1234" s="102">
        <f t="shared" si="617"/>
        <v>1214400</v>
      </c>
      <c r="G1234" s="102">
        <f t="shared" si="618"/>
        <v>1104000</v>
      </c>
      <c r="H1234" s="690" t="s">
        <v>142</v>
      </c>
      <c r="I1234" s="71" t="s">
        <v>140</v>
      </c>
      <c r="J1234" s="53">
        <f>G1234-T1234</f>
        <v>348000</v>
      </c>
      <c r="K1234" s="63">
        <f>(J1234/(F1234/11*10))</f>
        <v>0.31521739130434784</v>
      </c>
      <c r="L1234" s="871">
        <v>18.899999999999999</v>
      </c>
      <c r="M1234" s="468"/>
      <c r="N1234" s="664">
        <f>A1234</f>
        <v>180831</v>
      </c>
      <c r="O1234" s="71" t="s">
        <v>145</v>
      </c>
      <c r="P1234" s="103" t="str">
        <f t="shared" si="620"/>
        <v>ENGAGE 900X570 - 27RO</v>
      </c>
      <c r="Q1234" s="71">
        <f t="shared" si="620"/>
        <v>300</v>
      </c>
      <c r="R1234" s="102">
        <v>2520</v>
      </c>
      <c r="S1234" s="102">
        <f>R1234*Q1234*1.1</f>
        <v>831600.00000000012</v>
      </c>
      <c r="T1234" s="102">
        <f>R1234*Q1234</f>
        <v>756000</v>
      </c>
      <c r="U1234" s="71" t="str">
        <f t="shared" si="621"/>
        <v>O</v>
      </c>
      <c r="V1234" s="71"/>
      <c r="W1234" s="474">
        <f t="shared" si="616"/>
        <v>348000</v>
      </c>
      <c r="X1234" s="71"/>
      <c r="Y1234" s="71"/>
    </row>
    <row r="1235" spans="1:25" ht="30" hidden="1" customHeight="1" x14ac:dyDescent="0.25">
      <c r="A1235" s="82">
        <v>180903</v>
      </c>
      <c r="B1235" s="664" t="s">
        <v>545</v>
      </c>
      <c r="C1235" s="71" t="s">
        <v>1291</v>
      </c>
      <c r="D1235" s="71">
        <v>30</v>
      </c>
      <c r="E1235" s="102">
        <v>28500</v>
      </c>
      <c r="F1235" s="102">
        <f t="shared" si="617"/>
        <v>940500.00000000012</v>
      </c>
      <c r="G1235" s="102">
        <f t="shared" si="618"/>
        <v>855000</v>
      </c>
      <c r="H1235" s="690" t="s">
        <v>173</v>
      </c>
      <c r="I1235" s="71" t="s">
        <v>142</v>
      </c>
      <c r="J1235" s="53">
        <f>G1235-S1235</f>
        <v>162000</v>
      </c>
      <c r="K1235" s="427">
        <f>(J1235/(F1235/11*10))</f>
        <v>0.18947368421052629</v>
      </c>
      <c r="L1235" s="871">
        <v>18.899999999999999</v>
      </c>
      <c r="M1235" s="468"/>
      <c r="N1235" s="663">
        <f>A1235</f>
        <v>180903</v>
      </c>
      <c r="O1235" s="71" t="s">
        <v>1321</v>
      </c>
      <c r="P1235" s="103" t="str">
        <f t="shared" si="620"/>
        <v>메가미 레듀사(1kg)</v>
      </c>
      <c r="Q1235" s="71">
        <f t="shared" si="620"/>
        <v>30</v>
      </c>
      <c r="R1235" s="102">
        <v>21000</v>
      </c>
      <c r="S1235" s="102">
        <f>R1235*Q1235*1.1</f>
        <v>693000</v>
      </c>
      <c r="T1235" s="102">
        <f>R1235*Q1235</f>
        <v>630000</v>
      </c>
      <c r="U1235" s="71" t="str">
        <f t="shared" si="621"/>
        <v>X</v>
      </c>
      <c r="V1235" s="71"/>
      <c r="W1235" s="474">
        <f t="shared" si="616"/>
        <v>225000</v>
      </c>
      <c r="X1235" s="71"/>
      <c r="Y1235" s="71"/>
    </row>
    <row r="1236" spans="1:25" ht="30" hidden="1" customHeight="1" x14ac:dyDescent="0.25">
      <c r="A1236" s="82">
        <v>180904</v>
      </c>
      <c r="B1236" s="664" t="s">
        <v>1014</v>
      </c>
      <c r="C1236" s="71" t="s">
        <v>1401</v>
      </c>
      <c r="D1236" s="71">
        <v>1</v>
      </c>
      <c r="E1236" s="102">
        <v>51000000</v>
      </c>
      <c r="F1236" s="102">
        <f t="shared" si="617"/>
        <v>56100000.000000007</v>
      </c>
      <c r="G1236" s="102">
        <f t="shared" si="618"/>
        <v>51000000</v>
      </c>
      <c r="H1236" s="1010" t="s">
        <v>39</v>
      </c>
      <c r="I1236" s="71"/>
      <c r="J1236" s="53">
        <f>G1236-S1236</f>
        <v>19913664.363800641</v>
      </c>
      <c r="K1236" s="427">
        <f>(J1236/(F1236/11*10))</f>
        <v>0.39046400713334584</v>
      </c>
      <c r="L1236" s="871">
        <v>18.899999999999999</v>
      </c>
      <c r="M1236" s="468"/>
      <c r="N1236" s="664">
        <f>A1236</f>
        <v>180904</v>
      </c>
      <c r="O1236" s="991" t="s">
        <v>39</v>
      </c>
      <c r="P1236" s="103" t="str">
        <f t="shared" si="620"/>
        <v>습수정화장치 Beta.f</v>
      </c>
      <c r="Q1236" s="71">
        <f t="shared" si="620"/>
        <v>1</v>
      </c>
      <c r="R1236" s="102">
        <f>Import!G635</f>
        <v>28260305.123817597</v>
      </c>
      <c r="S1236" s="102">
        <f>R1236*Q1236*1.1</f>
        <v>31086335.636199359</v>
      </c>
      <c r="T1236" s="102">
        <f>R1236*Q1236</f>
        <v>28260305.123817597</v>
      </c>
      <c r="U1236" s="71" t="str">
        <f t="shared" si="621"/>
        <v>X</v>
      </c>
      <c r="V1236" s="71"/>
      <c r="W1236" s="474">
        <f t="shared" si="616"/>
        <v>22739694.876182403</v>
      </c>
      <c r="X1236" s="71"/>
      <c r="Y1236" s="71"/>
    </row>
    <row r="1237" spans="1:25" ht="30" hidden="1" customHeight="1" x14ac:dyDescent="0.25">
      <c r="A1237" s="82">
        <v>180904</v>
      </c>
      <c r="B1237" s="664" t="s">
        <v>1051</v>
      </c>
      <c r="C1237" s="71" t="s">
        <v>951</v>
      </c>
      <c r="D1237" s="71">
        <v>500</v>
      </c>
      <c r="E1237" s="102">
        <v>3510</v>
      </c>
      <c r="F1237" s="102">
        <f t="shared" si="617"/>
        <v>1930500.0000000002</v>
      </c>
      <c r="G1237" s="102">
        <f t="shared" si="618"/>
        <v>1755000</v>
      </c>
      <c r="H1237" s="690" t="s">
        <v>142</v>
      </c>
      <c r="I1237" s="71" t="s">
        <v>140</v>
      </c>
      <c r="J1237" s="53">
        <f>G1237-T1237</f>
        <v>560000</v>
      </c>
      <c r="K1237" s="63">
        <f t="shared" ref="K1237:K1247" si="622">(J1237/(F1237/11*10))</f>
        <v>0.31908831908831903</v>
      </c>
      <c r="L1237" s="871">
        <v>18.899999999999999</v>
      </c>
      <c r="M1237" s="468"/>
      <c r="N1237" s="664">
        <f t="shared" ref="N1237:N1247" si="623">A1237</f>
        <v>180904</v>
      </c>
      <c r="O1237" s="71" t="s">
        <v>145</v>
      </c>
      <c r="P1237" s="103" t="str">
        <f>(C1237)</f>
        <v>ENGAGE 30WEB(883*552)</v>
      </c>
      <c r="Q1237" s="71">
        <f t="shared" si="620"/>
        <v>500</v>
      </c>
      <c r="R1237" s="102">
        <v>2390</v>
      </c>
      <c r="S1237" s="102">
        <f>(R1237*D1237)*1.1</f>
        <v>1314500</v>
      </c>
      <c r="T1237" s="102">
        <f>(R1237*Q1237)</f>
        <v>1195000</v>
      </c>
      <c r="U1237" s="71" t="str">
        <f t="shared" si="621"/>
        <v>O</v>
      </c>
      <c r="V1237" s="71"/>
      <c r="W1237" s="474">
        <f t="shared" si="616"/>
        <v>560000</v>
      </c>
      <c r="X1237" s="71"/>
      <c r="Y1237" s="71"/>
    </row>
    <row r="1238" spans="1:25" ht="30" hidden="1" customHeight="1" x14ac:dyDescent="0.25">
      <c r="A1238" s="82">
        <v>180904</v>
      </c>
      <c r="B1238" s="664" t="s">
        <v>1051</v>
      </c>
      <c r="C1238" s="71" t="s">
        <v>524</v>
      </c>
      <c r="D1238" s="71">
        <v>500</v>
      </c>
      <c r="E1238" s="102">
        <v>3680</v>
      </c>
      <c r="F1238" s="102">
        <f t="shared" si="617"/>
        <v>2024000.0000000002</v>
      </c>
      <c r="G1238" s="102">
        <f t="shared" si="618"/>
        <v>1840000</v>
      </c>
      <c r="H1238" s="690" t="s">
        <v>142</v>
      </c>
      <c r="I1238" s="71" t="s">
        <v>140</v>
      </c>
      <c r="J1238" s="53">
        <f>G1238-T1238</f>
        <v>580000</v>
      </c>
      <c r="K1238" s="63">
        <f t="shared" si="622"/>
        <v>0.31521739130434778</v>
      </c>
      <c r="L1238" s="871">
        <v>18.899999999999999</v>
      </c>
      <c r="M1238" s="468"/>
      <c r="N1238" s="664">
        <f t="shared" si="623"/>
        <v>180904</v>
      </c>
      <c r="O1238" s="71" t="s">
        <v>145</v>
      </c>
      <c r="P1238" s="103" t="str">
        <f>C1238</f>
        <v>ENGAGE 900X570 - 27RO</v>
      </c>
      <c r="Q1238" s="71">
        <f t="shared" si="620"/>
        <v>500</v>
      </c>
      <c r="R1238" s="102">
        <v>2520</v>
      </c>
      <c r="S1238" s="102">
        <f>R1238*Q1238*1.1</f>
        <v>1386000</v>
      </c>
      <c r="T1238" s="102">
        <f>R1238*Q1238</f>
        <v>1260000</v>
      </c>
      <c r="U1238" s="71" t="str">
        <f t="shared" si="621"/>
        <v>O</v>
      </c>
      <c r="V1238" s="71"/>
      <c r="W1238" s="474">
        <f t="shared" si="616"/>
        <v>580000</v>
      </c>
      <c r="X1238" s="71"/>
      <c r="Y1238" s="71"/>
    </row>
    <row r="1239" spans="1:25" ht="30" hidden="1" customHeight="1" x14ac:dyDescent="0.25">
      <c r="A1239" s="82">
        <v>180904</v>
      </c>
      <c r="B1239" s="664" t="s">
        <v>1051</v>
      </c>
      <c r="C1239" s="67" t="s">
        <v>1386</v>
      </c>
      <c r="D1239" s="71">
        <v>10</v>
      </c>
      <c r="E1239" s="102">
        <v>54000</v>
      </c>
      <c r="F1239" s="102">
        <f t="shared" si="617"/>
        <v>594000</v>
      </c>
      <c r="G1239" s="102">
        <f t="shared" si="618"/>
        <v>540000</v>
      </c>
      <c r="H1239" s="690" t="s">
        <v>142</v>
      </c>
      <c r="I1239" s="71" t="s">
        <v>140</v>
      </c>
      <c r="J1239" s="53">
        <f>G1239-T1239</f>
        <v>190000</v>
      </c>
      <c r="K1239" s="63">
        <f t="shared" si="622"/>
        <v>0.35185185185185186</v>
      </c>
      <c r="L1239" s="871">
        <v>18.899999999999999</v>
      </c>
      <c r="M1239" s="468"/>
      <c r="N1239" s="664">
        <f t="shared" si="623"/>
        <v>180904</v>
      </c>
      <c r="O1239" s="71" t="s">
        <v>145</v>
      </c>
      <c r="P1239" s="103" t="str">
        <f>C1239</f>
        <v>THR200(20L)보충액</v>
      </c>
      <c r="Q1239" s="71">
        <f t="shared" si="620"/>
        <v>10</v>
      </c>
      <c r="R1239" s="102">
        <v>35000</v>
      </c>
      <c r="S1239" s="102">
        <f>R1239*Q1239*1.1</f>
        <v>385000.00000000006</v>
      </c>
      <c r="T1239" s="102">
        <f>R1239*Q1239</f>
        <v>350000</v>
      </c>
      <c r="U1239" s="71" t="str">
        <f t="shared" si="621"/>
        <v>O</v>
      </c>
      <c r="V1239" s="71"/>
      <c r="W1239" s="474">
        <f t="shared" si="616"/>
        <v>190000</v>
      </c>
      <c r="X1239" s="71"/>
      <c r="Y1239" s="71"/>
    </row>
    <row r="1240" spans="1:25" ht="30" hidden="1" customHeight="1" x14ac:dyDescent="0.25">
      <c r="A1240" s="82">
        <v>180904</v>
      </c>
      <c r="B1240" s="664" t="s">
        <v>1051</v>
      </c>
      <c r="C1240" s="71" t="s">
        <v>1387</v>
      </c>
      <c r="D1240" s="71">
        <v>5</v>
      </c>
      <c r="E1240" s="102">
        <v>54000</v>
      </c>
      <c r="F1240" s="102">
        <f t="shared" si="617"/>
        <v>297000</v>
      </c>
      <c r="G1240" s="102">
        <f t="shared" si="618"/>
        <v>270000</v>
      </c>
      <c r="H1240" s="690" t="s">
        <v>142</v>
      </c>
      <c r="I1240" s="71" t="s">
        <v>140</v>
      </c>
      <c r="J1240" s="53">
        <f>G1240-T1240</f>
        <v>95000</v>
      </c>
      <c r="K1240" s="63">
        <f t="shared" si="622"/>
        <v>0.35185185185185186</v>
      </c>
      <c r="L1240" s="871">
        <v>18.899999999999999</v>
      </c>
      <c r="M1240" s="468"/>
      <c r="N1240" s="664">
        <f t="shared" si="623"/>
        <v>180904</v>
      </c>
      <c r="O1240" s="71" t="s">
        <v>145</v>
      </c>
      <c r="P1240" s="103" t="str">
        <f>(C1240)</f>
        <v>THD200(20L)현상액</v>
      </c>
      <c r="Q1240" s="71">
        <f t="shared" si="620"/>
        <v>5</v>
      </c>
      <c r="R1240" s="102">
        <v>35000</v>
      </c>
      <c r="S1240" s="102">
        <f>(R1240*D1240)*1.1</f>
        <v>192500.00000000003</v>
      </c>
      <c r="T1240" s="102">
        <f>(R1240*Q1240)</f>
        <v>175000</v>
      </c>
      <c r="U1240" s="71" t="str">
        <f t="shared" si="621"/>
        <v>O</v>
      </c>
      <c r="V1240" s="71"/>
      <c r="W1240" s="474">
        <f t="shared" si="616"/>
        <v>95000</v>
      </c>
      <c r="X1240" s="71"/>
      <c r="Y1240" s="71"/>
    </row>
    <row r="1241" spans="1:25" ht="30" hidden="1" customHeight="1" x14ac:dyDescent="0.25">
      <c r="A1241" s="82">
        <v>180904</v>
      </c>
      <c r="B1241" s="664" t="s">
        <v>446</v>
      </c>
      <c r="C1241" s="71" t="s">
        <v>1144</v>
      </c>
      <c r="D1241" s="71">
        <v>8</v>
      </c>
      <c r="E1241" s="102">
        <v>110000</v>
      </c>
      <c r="F1241" s="102">
        <f t="shared" si="617"/>
        <v>968000.00000000012</v>
      </c>
      <c r="G1241" s="102">
        <f t="shared" si="618"/>
        <v>880000</v>
      </c>
      <c r="H1241" s="690" t="s">
        <v>173</v>
      </c>
      <c r="I1241" s="71" t="s">
        <v>142</v>
      </c>
      <c r="J1241" s="53">
        <f>G1241-T1241</f>
        <v>152000</v>
      </c>
      <c r="K1241" s="63">
        <f t="shared" si="622"/>
        <v>0.1727272727272727</v>
      </c>
      <c r="L1241" s="82">
        <v>18.899999999999999</v>
      </c>
      <c r="M1241" s="468"/>
      <c r="N1241" s="664">
        <f t="shared" si="623"/>
        <v>180904</v>
      </c>
      <c r="O1241" s="71" t="s">
        <v>150</v>
      </c>
      <c r="P1241" s="103" t="str">
        <f>C1241</f>
        <v>실리콘 에멀전</v>
      </c>
      <c r="Q1241" s="71">
        <f t="shared" si="620"/>
        <v>8</v>
      </c>
      <c r="R1241" s="102">
        <v>91000</v>
      </c>
      <c r="S1241" s="102">
        <f>R1241*Q1241*1.1</f>
        <v>800800.00000000012</v>
      </c>
      <c r="T1241" s="102">
        <f>R1241*Q1241</f>
        <v>728000</v>
      </c>
      <c r="U1241" s="71" t="str">
        <f t="shared" si="621"/>
        <v>O</v>
      </c>
      <c r="V1241" s="71"/>
      <c r="W1241" s="474">
        <f t="shared" si="616"/>
        <v>152000</v>
      </c>
      <c r="X1241" s="71"/>
      <c r="Y1241" s="71"/>
    </row>
    <row r="1242" spans="1:25" s="209" customFormat="1" ht="30" hidden="1" customHeight="1" x14ac:dyDescent="0.2">
      <c r="A1242" s="82">
        <v>180904</v>
      </c>
      <c r="B1242" s="664" t="s">
        <v>445</v>
      </c>
      <c r="C1242" s="71" t="s">
        <v>107</v>
      </c>
      <c r="D1242" s="71">
        <v>10</v>
      </c>
      <c r="E1242" s="102">
        <v>108000</v>
      </c>
      <c r="F1242" s="163">
        <f t="shared" si="617"/>
        <v>1188000</v>
      </c>
      <c r="G1242" s="163">
        <f t="shared" si="618"/>
        <v>1080000</v>
      </c>
      <c r="H1242" s="165" t="s">
        <v>172</v>
      </c>
      <c r="I1242" s="71" t="s">
        <v>109</v>
      </c>
      <c r="J1242" s="53">
        <f>(G1242-(VLOOKUP(C1242,Price!B:D,3,FALSE)*D1242))</f>
        <v>275000</v>
      </c>
      <c r="K1242" s="63">
        <f t="shared" si="622"/>
        <v>0.25462962962962965</v>
      </c>
      <c r="L1242" s="82">
        <v>18.899999999999999</v>
      </c>
      <c r="M1242" s="468"/>
      <c r="N1242" s="664">
        <f t="shared" si="623"/>
        <v>180904</v>
      </c>
      <c r="O1242" s="71" t="s">
        <v>147</v>
      </c>
      <c r="P1242" s="103" t="str">
        <f>(C1242)</f>
        <v>Blanket(1050*840)</v>
      </c>
      <c r="Q1242" s="71">
        <f t="shared" ref="Q1242:Q1304" si="624">D1242</f>
        <v>10</v>
      </c>
      <c r="R1242" s="102">
        <v>80500</v>
      </c>
      <c r="S1242" s="102">
        <f>(R1242*D1242)*1.1</f>
        <v>885500.00000000012</v>
      </c>
      <c r="T1242" s="102">
        <f>(R1242*Q1242)</f>
        <v>805000</v>
      </c>
      <c r="U1242" s="71" t="str">
        <f t="shared" si="621"/>
        <v>O</v>
      </c>
      <c r="V1242" s="71"/>
      <c r="W1242" s="474">
        <f t="shared" si="616"/>
        <v>275000</v>
      </c>
      <c r="X1242" s="71"/>
      <c r="Y1242" s="71"/>
    </row>
    <row r="1243" spans="1:25" ht="30" hidden="1" customHeight="1" x14ac:dyDescent="0.25">
      <c r="A1243" s="82">
        <v>180904</v>
      </c>
      <c r="B1243" s="664" t="s">
        <v>442</v>
      </c>
      <c r="C1243" s="71" t="s">
        <v>133</v>
      </c>
      <c r="D1243" s="71">
        <v>2</v>
      </c>
      <c r="E1243" s="102">
        <v>327000</v>
      </c>
      <c r="F1243" s="102">
        <f t="shared" si="617"/>
        <v>719400</v>
      </c>
      <c r="G1243" s="102">
        <f t="shared" si="618"/>
        <v>654000</v>
      </c>
      <c r="H1243" s="690" t="s">
        <v>173</v>
      </c>
      <c r="I1243" s="71" t="s">
        <v>141</v>
      </c>
      <c r="J1243" s="53">
        <f>(G1243-(VLOOKUP(C1243,Price!B:D,3,FALSE)*D1243))</f>
        <v>115800</v>
      </c>
      <c r="K1243" s="63">
        <f t="shared" si="622"/>
        <v>0.17706422018348625</v>
      </c>
      <c r="L1243" s="82">
        <v>18.899999999999999</v>
      </c>
      <c r="M1243" s="468"/>
      <c r="N1243" s="664">
        <f t="shared" si="623"/>
        <v>180904</v>
      </c>
      <c r="O1243" s="71" t="s">
        <v>145</v>
      </c>
      <c r="P1243" s="103" t="str">
        <f t="shared" ref="P1243:P1260" si="625">C1243</f>
        <v>Agfa Film(24inch)</v>
      </c>
      <c r="Q1243" s="71">
        <f t="shared" si="624"/>
        <v>2</v>
      </c>
      <c r="R1243" s="102">
        <v>269100</v>
      </c>
      <c r="S1243" s="102">
        <f t="shared" ref="S1243:S1257" si="626">R1243*Q1243*1.1</f>
        <v>592020</v>
      </c>
      <c r="T1243" s="102">
        <f t="shared" ref="T1243:T1257" si="627">R1243*Q1243</f>
        <v>538200</v>
      </c>
      <c r="U1243" s="71" t="str">
        <f t="shared" si="621"/>
        <v>O</v>
      </c>
      <c r="V1243" s="71"/>
      <c r="W1243" s="474">
        <f t="shared" si="616"/>
        <v>115800</v>
      </c>
      <c r="X1243" s="71"/>
      <c r="Y1243" s="71"/>
    </row>
    <row r="1244" spans="1:25" ht="30" hidden="1" customHeight="1" x14ac:dyDescent="0.25">
      <c r="A1244" s="82">
        <v>180904</v>
      </c>
      <c r="B1244" s="664" t="s">
        <v>442</v>
      </c>
      <c r="C1244" s="71" t="s">
        <v>134</v>
      </c>
      <c r="D1244" s="71">
        <v>2</v>
      </c>
      <c r="E1244" s="102">
        <v>401000</v>
      </c>
      <c r="F1244" s="102">
        <f t="shared" si="617"/>
        <v>882200.00000000012</v>
      </c>
      <c r="G1244" s="102">
        <f t="shared" si="618"/>
        <v>802000</v>
      </c>
      <c r="H1244" s="690" t="s">
        <v>173</v>
      </c>
      <c r="I1244" s="71" t="s">
        <v>141</v>
      </c>
      <c r="J1244" s="53">
        <f>(G1244-(VLOOKUP(C1244,Price!B:D,3,FALSE)*D1244))</f>
        <v>174080</v>
      </c>
      <c r="K1244" s="63">
        <f t="shared" si="622"/>
        <v>0.21705735660847877</v>
      </c>
      <c r="L1244" s="82">
        <v>18.899999999999999</v>
      </c>
      <c r="M1244" s="468"/>
      <c r="N1244" s="664">
        <f t="shared" si="623"/>
        <v>180904</v>
      </c>
      <c r="O1244" s="71" t="s">
        <v>145</v>
      </c>
      <c r="P1244" s="103" t="str">
        <f t="shared" si="625"/>
        <v>Agfa Film(28inch)</v>
      </c>
      <c r="Q1244" s="71">
        <f t="shared" si="624"/>
        <v>2</v>
      </c>
      <c r="R1244" s="102">
        <v>313960</v>
      </c>
      <c r="S1244" s="102">
        <f t="shared" si="626"/>
        <v>690712</v>
      </c>
      <c r="T1244" s="102">
        <f t="shared" si="627"/>
        <v>627920</v>
      </c>
      <c r="U1244" s="71" t="str">
        <f t="shared" si="621"/>
        <v>O</v>
      </c>
      <c r="V1244" s="71"/>
      <c r="W1244" s="474">
        <f t="shared" si="616"/>
        <v>174080</v>
      </c>
      <c r="X1244" s="71"/>
      <c r="Y1244" s="71"/>
    </row>
    <row r="1245" spans="1:25" ht="30" hidden="1" customHeight="1" x14ac:dyDescent="0.25">
      <c r="A1245" s="82">
        <v>180904</v>
      </c>
      <c r="B1245" s="664" t="s">
        <v>442</v>
      </c>
      <c r="C1245" s="71" t="s">
        <v>135</v>
      </c>
      <c r="D1245" s="71">
        <v>2</v>
      </c>
      <c r="E1245" s="102">
        <v>448000</v>
      </c>
      <c r="F1245" s="102">
        <f t="shared" si="617"/>
        <v>985600.00000000012</v>
      </c>
      <c r="G1245" s="102">
        <f t="shared" si="618"/>
        <v>896000</v>
      </c>
      <c r="H1245" s="690" t="s">
        <v>173</v>
      </c>
      <c r="I1245" s="71" t="s">
        <v>141</v>
      </c>
      <c r="J1245" s="53">
        <f>(G1245-(VLOOKUP(C1245,Price!B:D,3,FALSE)*D1245))</f>
        <v>155980</v>
      </c>
      <c r="K1245" s="63">
        <f t="shared" si="622"/>
        <v>0.1740848214285714</v>
      </c>
      <c r="L1245" s="82">
        <v>18.899999999999999</v>
      </c>
      <c r="M1245" s="468"/>
      <c r="N1245" s="664">
        <f t="shared" si="623"/>
        <v>180904</v>
      </c>
      <c r="O1245" s="71" t="s">
        <v>145</v>
      </c>
      <c r="P1245" s="103" t="str">
        <f t="shared" si="625"/>
        <v>Agfa Film(32inch)</v>
      </c>
      <c r="Q1245" s="71">
        <f t="shared" si="624"/>
        <v>2</v>
      </c>
      <c r="R1245" s="102">
        <v>370010</v>
      </c>
      <c r="S1245" s="102">
        <f t="shared" si="626"/>
        <v>814022.00000000012</v>
      </c>
      <c r="T1245" s="102">
        <f t="shared" si="627"/>
        <v>740020</v>
      </c>
      <c r="U1245" s="71" t="str">
        <f t="shared" si="621"/>
        <v>O</v>
      </c>
      <c r="V1245" s="71"/>
      <c r="W1245" s="474">
        <f t="shared" si="616"/>
        <v>155980</v>
      </c>
      <c r="X1245" s="71"/>
      <c r="Y1245" s="71"/>
    </row>
    <row r="1246" spans="1:25" ht="30" hidden="1" customHeight="1" x14ac:dyDescent="0.25">
      <c r="A1246" s="82">
        <v>180904</v>
      </c>
      <c r="B1246" s="664" t="s">
        <v>442</v>
      </c>
      <c r="C1246" s="71" t="s">
        <v>649</v>
      </c>
      <c r="D1246" s="71">
        <v>3</v>
      </c>
      <c r="E1246" s="102">
        <v>41000</v>
      </c>
      <c r="F1246" s="102">
        <f t="shared" si="617"/>
        <v>135300</v>
      </c>
      <c r="G1246" s="102">
        <f t="shared" si="618"/>
        <v>123000</v>
      </c>
      <c r="H1246" s="690" t="s">
        <v>173</v>
      </c>
      <c r="I1246" s="71" t="s">
        <v>141</v>
      </c>
      <c r="J1246" s="53">
        <f>(G1246-(VLOOKUP(C1246,Price!B:D,3,FALSE)*D1246))</f>
        <v>48000</v>
      </c>
      <c r="K1246" s="63">
        <f t="shared" si="622"/>
        <v>0.3902439024390244</v>
      </c>
      <c r="L1246" s="82">
        <v>18.899999999999999</v>
      </c>
      <c r="M1246" s="468"/>
      <c r="N1246" s="664">
        <f t="shared" si="623"/>
        <v>180904</v>
      </c>
      <c r="O1246" s="71" t="s">
        <v>145</v>
      </c>
      <c r="P1246" s="103" t="str">
        <f t="shared" si="625"/>
        <v>Agfa 현상액 G101C(10L)</v>
      </c>
      <c r="Q1246" s="71">
        <f t="shared" si="624"/>
        <v>3</v>
      </c>
      <c r="R1246" s="102">
        <f>VLOOKUP(P1246,Price!B:D,3,FALSE)</f>
        <v>25000</v>
      </c>
      <c r="S1246" s="102">
        <f t="shared" si="626"/>
        <v>82500</v>
      </c>
      <c r="T1246" s="102">
        <f t="shared" si="627"/>
        <v>75000</v>
      </c>
      <c r="U1246" s="71" t="str">
        <f t="shared" si="621"/>
        <v>O</v>
      </c>
      <c r="V1246" s="71"/>
      <c r="W1246" s="474">
        <f t="shared" si="616"/>
        <v>48000</v>
      </c>
      <c r="X1246" s="71"/>
      <c r="Y1246" s="71"/>
    </row>
    <row r="1247" spans="1:25" ht="30" hidden="1" customHeight="1" x14ac:dyDescent="0.25">
      <c r="A1247" s="82">
        <v>180906</v>
      </c>
      <c r="B1247" s="664" t="s">
        <v>1052</v>
      </c>
      <c r="C1247" s="71" t="s">
        <v>1115</v>
      </c>
      <c r="D1247" s="71">
        <v>80</v>
      </c>
      <c r="E1247" s="102">
        <v>6200</v>
      </c>
      <c r="F1247" s="102">
        <f t="shared" si="617"/>
        <v>545600</v>
      </c>
      <c r="G1247" s="102">
        <f t="shared" si="618"/>
        <v>496000</v>
      </c>
      <c r="H1247" s="690" t="s">
        <v>142</v>
      </c>
      <c r="I1247" s="71" t="s">
        <v>144</v>
      </c>
      <c r="J1247" s="53">
        <f t="shared" ref="J1247:J1255" si="628">G1247-T1247</f>
        <v>8000</v>
      </c>
      <c r="K1247" s="63">
        <f t="shared" si="622"/>
        <v>1.6129032258064516E-2</v>
      </c>
      <c r="L1247" s="82">
        <v>18.899999999999999</v>
      </c>
      <c r="M1247" s="468"/>
      <c r="N1247" s="664">
        <f t="shared" si="623"/>
        <v>180906</v>
      </c>
      <c r="O1247" s="71" t="s">
        <v>147</v>
      </c>
      <c r="P1247" s="103" t="str">
        <f t="shared" si="625"/>
        <v>한특 잉크(적)</v>
      </c>
      <c r="Q1247" s="71">
        <f t="shared" si="624"/>
        <v>80</v>
      </c>
      <c r="R1247" s="102">
        <v>6100</v>
      </c>
      <c r="S1247" s="102">
        <f t="shared" si="626"/>
        <v>536800</v>
      </c>
      <c r="T1247" s="102">
        <f t="shared" si="627"/>
        <v>488000</v>
      </c>
      <c r="U1247" s="71" t="str">
        <f t="shared" si="621"/>
        <v>O</v>
      </c>
      <c r="V1247" s="71"/>
      <c r="W1247" s="474">
        <f t="shared" si="616"/>
        <v>8000</v>
      </c>
      <c r="X1247" s="71"/>
      <c r="Y1247" s="71"/>
    </row>
    <row r="1248" spans="1:25" ht="30" hidden="1" customHeight="1" x14ac:dyDescent="0.25">
      <c r="A1248" s="82">
        <v>180906</v>
      </c>
      <c r="B1248" s="664" t="s">
        <v>1052</v>
      </c>
      <c r="C1248" s="71" t="s">
        <v>1116</v>
      </c>
      <c r="D1248" s="71">
        <v>50</v>
      </c>
      <c r="E1248" s="102">
        <v>6000</v>
      </c>
      <c r="F1248" s="102">
        <f t="shared" ref="F1248:F1288" si="629">(E1248*D1248)*1.1</f>
        <v>330000</v>
      </c>
      <c r="G1248" s="102">
        <f t="shared" ref="G1248:G1288" si="630">(E1248*D1248)</f>
        <v>300000</v>
      </c>
      <c r="H1248" s="690" t="s">
        <v>142</v>
      </c>
      <c r="I1248" s="71" t="s">
        <v>144</v>
      </c>
      <c r="J1248" s="53">
        <f t="shared" si="628"/>
        <v>5000</v>
      </c>
      <c r="K1248" s="63">
        <f t="shared" ref="K1248:K1259" si="631">(J1248/(F1248/11*10))</f>
        <v>1.6666666666666666E-2</v>
      </c>
      <c r="L1248" s="82">
        <v>18.899999999999999</v>
      </c>
      <c r="M1248" s="468"/>
      <c r="N1248" s="664">
        <f t="shared" ref="N1248:N1282" si="632">A1248</f>
        <v>180906</v>
      </c>
      <c r="O1248" s="71" t="s">
        <v>147</v>
      </c>
      <c r="P1248" s="103" t="str">
        <f t="shared" si="625"/>
        <v>한특 잉크(황)</v>
      </c>
      <c r="Q1248" s="71">
        <f t="shared" si="624"/>
        <v>50</v>
      </c>
      <c r="R1248" s="102">
        <v>5900</v>
      </c>
      <c r="S1248" s="102">
        <f t="shared" si="626"/>
        <v>324500</v>
      </c>
      <c r="T1248" s="102">
        <f t="shared" si="627"/>
        <v>295000</v>
      </c>
      <c r="U1248" s="71" t="str">
        <f t="shared" si="621"/>
        <v>O</v>
      </c>
      <c r="V1248" s="71"/>
      <c r="W1248" s="474">
        <f t="shared" si="616"/>
        <v>5000</v>
      </c>
      <c r="X1248" s="71"/>
      <c r="Y1248" s="71"/>
    </row>
    <row r="1249" spans="1:25" ht="30" hidden="1" customHeight="1" x14ac:dyDescent="0.25">
      <c r="A1249" s="82">
        <v>180906</v>
      </c>
      <c r="B1249" s="664" t="s">
        <v>1052</v>
      </c>
      <c r="C1249" s="71" t="s">
        <v>1117</v>
      </c>
      <c r="D1249" s="71">
        <v>50</v>
      </c>
      <c r="E1249" s="102">
        <v>6500</v>
      </c>
      <c r="F1249" s="102">
        <f t="shared" si="629"/>
        <v>357500</v>
      </c>
      <c r="G1249" s="102">
        <f t="shared" si="630"/>
        <v>325000</v>
      </c>
      <c r="H1249" s="690" t="s">
        <v>142</v>
      </c>
      <c r="I1249" s="71" t="s">
        <v>144</v>
      </c>
      <c r="J1249" s="53">
        <f t="shared" si="628"/>
        <v>5000</v>
      </c>
      <c r="K1249" s="63">
        <f t="shared" si="631"/>
        <v>1.5384615384615385E-2</v>
      </c>
      <c r="L1249" s="82">
        <v>18.899999999999999</v>
      </c>
      <c r="M1249" s="468"/>
      <c r="N1249" s="664">
        <f t="shared" si="632"/>
        <v>180906</v>
      </c>
      <c r="O1249" s="71" t="s">
        <v>147</v>
      </c>
      <c r="P1249" s="103" t="str">
        <f t="shared" si="625"/>
        <v>한특 잉크(청)</v>
      </c>
      <c r="Q1249" s="71">
        <f t="shared" si="624"/>
        <v>50</v>
      </c>
      <c r="R1249" s="102">
        <v>6400</v>
      </c>
      <c r="S1249" s="102">
        <f t="shared" si="626"/>
        <v>352000</v>
      </c>
      <c r="T1249" s="102">
        <f t="shared" si="627"/>
        <v>320000</v>
      </c>
      <c r="U1249" s="71" t="str">
        <f t="shared" si="621"/>
        <v>O</v>
      </c>
      <c r="V1249" s="71"/>
      <c r="W1249" s="474">
        <f t="shared" si="616"/>
        <v>5000</v>
      </c>
      <c r="X1249" s="71"/>
      <c r="Y1249" s="71"/>
    </row>
    <row r="1250" spans="1:25" ht="30" hidden="1" customHeight="1" x14ac:dyDescent="0.25">
      <c r="A1250" s="82">
        <v>180906</v>
      </c>
      <c r="B1250" s="664" t="s">
        <v>1051</v>
      </c>
      <c r="C1250" s="71" t="s">
        <v>1383</v>
      </c>
      <c r="D1250" s="71">
        <v>600</v>
      </c>
      <c r="E1250" s="102">
        <v>6150</v>
      </c>
      <c r="F1250" s="102">
        <f t="shared" si="629"/>
        <v>4059000.0000000005</v>
      </c>
      <c r="G1250" s="102">
        <f t="shared" si="630"/>
        <v>3690000</v>
      </c>
      <c r="H1250" s="690" t="s">
        <v>142</v>
      </c>
      <c r="I1250" s="71" t="s">
        <v>140</v>
      </c>
      <c r="J1250" s="53">
        <f t="shared" si="628"/>
        <v>1164000</v>
      </c>
      <c r="K1250" s="63">
        <f t="shared" ref="K1250:K1255" si="633">(J1250/(F1250/11*10))</f>
        <v>0.3154471544715447</v>
      </c>
      <c r="L1250" s="82">
        <v>18.899999999999999</v>
      </c>
      <c r="M1250" s="468"/>
      <c r="N1250" s="664">
        <f t="shared" si="632"/>
        <v>180906</v>
      </c>
      <c r="O1250" s="71" t="s">
        <v>145</v>
      </c>
      <c r="P1250" s="103" t="str">
        <f t="shared" si="625"/>
        <v>ENGAGE 1055*811</v>
      </c>
      <c r="Q1250" s="71">
        <f t="shared" si="624"/>
        <v>600</v>
      </c>
      <c r="R1250" s="102">
        <v>4210</v>
      </c>
      <c r="S1250" s="102">
        <f t="shared" si="626"/>
        <v>2778600</v>
      </c>
      <c r="T1250" s="102">
        <f t="shared" si="627"/>
        <v>2526000</v>
      </c>
      <c r="U1250" s="71" t="str">
        <f t="shared" si="621"/>
        <v>O</v>
      </c>
      <c r="V1250" s="71"/>
      <c r="W1250" s="474">
        <f t="shared" si="616"/>
        <v>1164000</v>
      </c>
      <c r="X1250" s="71"/>
      <c r="Y1250" s="71"/>
    </row>
    <row r="1251" spans="1:25" ht="30" hidden="1" customHeight="1" x14ac:dyDescent="0.25">
      <c r="A1251" s="82">
        <v>180907</v>
      </c>
      <c r="B1251" s="664" t="s">
        <v>575</v>
      </c>
      <c r="C1251" s="71" t="s">
        <v>1297</v>
      </c>
      <c r="D1251" s="71">
        <v>1</v>
      </c>
      <c r="E1251" s="102">
        <v>800000</v>
      </c>
      <c r="F1251" s="102">
        <f t="shared" si="629"/>
        <v>880000.00000000012</v>
      </c>
      <c r="G1251" s="102">
        <f t="shared" si="630"/>
        <v>800000</v>
      </c>
      <c r="H1251" s="779" t="s">
        <v>113</v>
      </c>
      <c r="I1251" s="71"/>
      <c r="J1251" s="53">
        <f t="shared" si="628"/>
        <v>340509.41927626997</v>
      </c>
      <c r="K1251" s="63">
        <f t="shared" si="633"/>
        <v>0.4256367740953374</v>
      </c>
      <c r="L1251" s="82">
        <v>18.899999999999999</v>
      </c>
      <c r="M1251" s="468"/>
      <c r="N1251" s="664">
        <f t="shared" si="632"/>
        <v>180907</v>
      </c>
      <c r="O1251" s="808" t="s">
        <v>113</v>
      </c>
      <c r="P1251" s="103" t="str">
        <f t="shared" si="625"/>
        <v>잉크집 호일</v>
      </c>
      <c r="Q1251" s="71">
        <f t="shared" si="624"/>
        <v>1</v>
      </c>
      <c r="R1251" s="102">
        <f>Import!H103</f>
        <v>459490.58072373003</v>
      </c>
      <c r="S1251" s="102">
        <f t="shared" si="626"/>
        <v>505439.63879610307</v>
      </c>
      <c r="T1251" s="102">
        <f t="shared" si="627"/>
        <v>459490.58072373003</v>
      </c>
      <c r="U1251" s="71" t="str">
        <f t="shared" si="621"/>
        <v>O</v>
      </c>
      <c r="V1251" s="71"/>
      <c r="W1251" s="474">
        <f t="shared" si="616"/>
        <v>340509.41927626997</v>
      </c>
      <c r="X1251" s="71"/>
      <c r="Y1251" s="71"/>
    </row>
    <row r="1252" spans="1:25" ht="30" hidden="1" customHeight="1" x14ac:dyDescent="0.25">
      <c r="A1252" s="82">
        <v>180907</v>
      </c>
      <c r="B1252" s="664" t="s">
        <v>575</v>
      </c>
      <c r="C1252" s="71" t="s">
        <v>1402</v>
      </c>
      <c r="D1252" s="71">
        <v>8</v>
      </c>
      <c r="E1252" s="102">
        <v>130000</v>
      </c>
      <c r="F1252" s="102">
        <f t="shared" si="629"/>
        <v>1144000</v>
      </c>
      <c r="G1252" s="102">
        <f t="shared" si="630"/>
        <v>1040000</v>
      </c>
      <c r="H1252" s="779" t="s">
        <v>113</v>
      </c>
      <c r="I1252" s="71"/>
      <c r="J1252" s="53">
        <f t="shared" si="628"/>
        <v>1040000</v>
      </c>
      <c r="K1252" s="63">
        <f t="shared" si="633"/>
        <v>1</v>
      </c>
      <c r="L1252" s="82">
        <v>18.899999999999999</v>
      </c>
      <c r="M1252" s="468"/>
      <c r="N1252" s="664">
        <f t="shared" si="632"/>
        <v>180907</v>
      </c>
      <c r="O1252" s="808" t="s">
        <v>113</v>
      </c>
      <c r="P1252" s="103" t="str">
        <f t="shared" si="625"/>
        <v>잉크 롤러 세척칼</v>
      </c>
      <c r="Q1252" s="71">
        <f t="shared" si="624"/>
        <v>8</v>
      </c>
      <c r="R1252" s="102">
        <v>0</v>
      </c>
      <c r="S1252" s="102">
        <f t="shared" si="626"/>
        <v>0</v>
      </c>
      <c r="T1252" s="102">
        <f t="shared" si="627"/>
        <v>0</v>
      </c>
      <c r="U1252" s="71" t="str">
        <f t="shared" si="621"/>
        <v>O</v>
      </c>
      <c r="V1252" s="71"/>
      <c r="W1252" s="474">
        <f t="shared" si="616"/>
        <v>1040000</v>
      </c>
      <c r="X1252" s="71"/>
      <c r="Y1252" s="71"/>
    </row>
    <row r="1253" spans="1:25" ht="30" hidden="1" customHeight="1" x14ac:dyDescent="0.25">
      <c r="A1253" s="82">
        <v>180907</v>
      </c>
      <c r="B1253" s="664" t="s">
        <v>575</v>
      </c>
      <c r="C1253" s="71" t="s">
        <v>934</v>
      </c>
      <c r="D1253" s="71">
        <v>32</v>
      </c>
      <c r="E1253" s="102">
        <v>5000</v>
      </c>
      <c r="F1253" s="102">
        <f t="shared" si="629"/>
        <v>176000</v>
      </c>
      <c r="G1253" s="102">
        <f t="shared" si="630"/>
        <v>160000</v>
      </c>
      <c r="H1253" s="779" t="s">
        <v>113</v>
      </c>
      <c r="I1253" s="71"/>
      <c r="J1253" s="53">
        <f t="shared" si="628"/>
        <v>86544.799443284617</v>
      </c>
      <c r="K1253" s="63">
        <f t="shared" si="633"/>
        <v>0.54090499652052881</v>
      </c>
      <c r="L1253" s="82">
        <v>18.899999999999999</v>
      </c>
      <c r="M1253" s="468"/>
      <c r="N1253" s="664">
        <f t="shared" si="632"/>
        <v>180907</v>
      </c>
      <c r="O1253" s="808" t="s">
        <v>113</v>
      </c>
      <c r="P1253" s="103" t="str">
        <f t="shared" si="625"/>
        <v>양면 테이프</v>
      </c>
      <c r="Q1253" s="71">
        <f t="shared" si="624"/>
        <v>32</v>
      </c>
      <c r="R1253" s="102">
        <f>Import!G105</f>
        <v>2295.4750173973557</v>
      </c>
      <c r="S1253" s="102">
        <f t="shared" si="626"/>
        <v>80800.720612386925</v>
      </c>
      <c r="T1253" s="102">
        <f t="shared" si="627"/>
        <v>73455.200556715383</v>
      </c>
      <c r="U1253" s="71" t="str">
        <f t="shared" si="621"/>
        <v>O</v>
      </c>
      <c r="V1253" s="71"/>
      <c r="W1253" s="474">
        <f t="shared" si="616"/>
        <v>86544.799443284617</v>
      </c>
      <c r="X1253" s="71"/>
      <c r="Y1253" s="71"/>
    </row>
    <row r="1254" spans="1:25" ht="30" hidden="1" customHeight="1" x14ac:dyDescent="0.25">
      <c r="A1254" s="82">
        <v>180907</v>
      </c>
      <c r="B1254" s="664" t="s">
        <v>575</v>
      </c>
      <c r="C1254" s="71" t="s">
        <v>1403</v>
      </c>
      <c r="D1254" s="71">
        <v>32</v>
      </c>
      <c r="E1254" s="102">
        <v>5000</v>
      </c>
      <c r="F1254" s="102">
        <f t="shared" si="629"/>
        <v>176000</v>
      </c>
      <c r="G1254" s="102">
        <f t="shared" si="630"/>
        <v>160000</v>
      </c>
      <c r="H1254" s="779" t="s">
        <v>113</v>
      </c>
      <c r="I1254" s="71"/>
      <c r="J1254" s="53">
        <f t="shared" si="628"/>
        <v>86544.799443284617</v>
      </c>
      <c r="K1254" s="63">
        <f t="shared" si="633"/>
        <v>0.54090499652052881</v>
      </c>
      <c r="L1254" s="82">
        <v>18.899999999999999</v>
      </c>
      <c r="M1254" s="468"/>
      <c r="N1254" s="664">
        <f t="shared" si="632"/>
        <v>180907</v>
      </c>
      <c r="O1254" s="808" t="s">
        <v>113</v>
      </c>
      <c r="P1254" s="103" t="str">
        <f t="shared" si="625"/>
        <v>베어러 세척 솜</v>
      </c>
      <c r="Q1254" s="71">
        <f t="shared" si="624"/>
        <v>32</v>
      </c>
      <c r="R1254" s="102">
        <f>Import!G106</f>
        <v>2295.4750173973557</v>
      </c>
      <c r="S1254" s="102">
        <f t="shared" si="626"/>
        <v>80800.720612386925</v>
      </c>
      <c r="T1254" s="102">
        <f t="shared" si="627"/>
        <v>73455.200556715383</v>
      </c>
      <c r="U1254" s="71" t="str">
        <f t="shared" si="621"/>
        <v>O</v>
      </c>
      <c r="V1254" s="71"/>
      <c r="W1254" s="474">
        <f t="shared" si="616"/>
        <v>86544.799443284617</v>
      </c>
      <c r="X1254" s="71"/>
      <c r="Y1254" s="71"/>
    </row>
    <row r="1255" spans="1:25" ht="30" hidden="1" customHeight="1" x14ac:dyDescent="0.25">
      <c r="A1255" s="82">
        <v>180907</v>
      </c>
      <c r="B1255" s="664" t="s">
        <v>575</v>
      </c>
      <c r="C1255" s="71" t="s">
        <v>1404</v>
      </c>
      <c r="D1255" s="71">
        <v>32</v>
      </c>
      <c r="E1255" s="102">
        <v>21000</v>
      </c>
      <c r="F1255" s="102">
        <f t="shared" si="629"/>
        <v>739200.00000000012</v>
      </c>
      <c r="G1255" s="102">
        <f t="shared" si="630"/>
        <v>672000</v>
      </c>
      <c r="H1255" s="779" t="s">
        <v>113</v>
      </c>
      <c r="I1255" s="71"/>
      <c r="J1255" s="53">
        <f t="shared" si="628"/>
        <v>386626.54583716072</v>
      </c>
      <c r="K1255" s="63">
        <f t="shared" si="633"/>
        <v>0.5753371217814891</v>
      </c>
      <c r="L1255" s="82">
        <v>18.899999999999999</v>
      </c>
      <c r="M1255" s="468"/>
      <c r="N1255" s="664">
        <f t="shared" si="632"/>
        <v>180907</v>
      </c>
      <c r="O1255" s="808" t="s">
        <v>113</v>
      </c>
      <c r="P1255" s="103" t="str">
        <f t="shared" si="625"/>
        <v>워시업 블레이드</v>
      </c>
      <c r="Q1255" s="71">
        <f t="shared" si="624"/>
        <v>32</v>
      </c>
      <c r="R1255" s="102">
        <f>Import!G107</f>
        <v>8917.9204425887274</v>
      </c>
      <c r="S1255" s="102">
        <f t="shared" si="626"/>
        <v>313910.79957912321</v>
      </c>
      <c r="T1255" s="102">
        <f t="shared" si="627"/>
        <v>285373.45416283928</v>
      </c>
      <c r="U1255" s="71" t="str">
        <f t="shared" si="621"/>
        <v>O</v>
      </c>
      <c r="V1255" s="71"/>
      <c r="W1255" s="474">
        <f t="shared" si="616"/>
        <v>386626.54583716072</v>
      </c>
      <c r="X1255" s="71"/>
      <c r="Y1255" s="71"/>
    </row>
    <row r="1256" spans="1:25" ht="30" customHeight="1" x14ac:dyDescent="0.25">
      <c r="A1256" s="82">
        <v>180907</v>
      </c>
      <c r="B1256" s="664" t="s">
        <v>422</v>
      </c>
      <c r="C1256" s="71" t="s">
        <v>129</v>
      </c>
      <c r="D1256" s="71">
        <v>5</v>
      </c>
      <c r="E1256" s="102">
        <v>272000</v>
      </c>
      <c r="F1256" s="102">
        <f t="shared" si="629"/>
        <v>1496000.0000000002</v>
      </c>
      <c r="G1256" s="102">
        <f t="shared" si="630"/>
        <v>1360000</v>
      </c>
      <c r="H1256" s="690" t="s">
        <v>173</v>
      </c>
      <c r="I1256" s="71" t="s">
        <v>108</v>
      </c>
      <c r="J1256" s="53">
        <f>(G1256-(VLOOKUP(C1256,Price!B:D,3,FALSE)*D1256))</f>
        <v>320000</v>
      </c>
      <c r="K1256" s="63">
        <f t="shared" si="631"/>
        <v>0.23529411764705879</v>
      </c>
      <c r="L1256" s="82">
        <v>18.899999999999999</v>
      </c>
      <c r="M1256" s="468"/>
      <c r="N1256" s="664">
        <f t="shared" si="632"/>
        <v>180907</v>
      </c>
      <c r="O1256" s="71" t="s">
        <v>149</v>
      </c>
      <c r="P1256" s="103" t="str">
        <f t="shared" si="625"/>
        <v>세정포-XL106</v>
      </c>
      <c r="Q1256" s="71">
        <f t="shared" si="624"/>
        <v>5</v>
      </c>
      <c r="R1256" s="102">
        <v>208000</v>
      </c>
      <c r="S1256" s="102">
        <f t="shared" si="626"/>
        <v>1144000</v>
      </c>
      <c r="T1256" s="102">
        <f t="shared" si="627"/>
        <v>1040000</v>
      </c>
      <c r="U1256" s="71" t="str">
        <f t="shared" si="621"/>
        <v>O</v>
      </c>
      <c r="V1256" s="71"/>
      <c r="W1256" s="474">
        <f t="shared" si="616"/>
        <v>320000</v>
      </c>
      <c r="X1256" s="71"/>
      <c r="Y1256" s="71"/>
    </row>
    <row r="1257" spans="1:25" ht="30" customHeight="1" x14ac:dyDescent="0.25">
      <c r="A1257" s="82">
        <v>180907</v>
      </c>
      <c r="B1257" s="664" t="s">
        <v>422</v>
      </c>
      <c r="C1257" s="71" t="s">
        <v>584</v>
      </c>
      <c r="D1257" s="71">
        <v>3</v>
      </c>
      <c r="E1257" s="102">
        <v>270000</v>
      </c>
      <c r="F1257" s="102">
        <f t="shared" si="629"/>
        <v>891000.00000000012</v>
      </c>
      <c r="G1257" s="102">
        <f t="shared" si="630"/>
        <v>810000</v>
      </c>
      <c r="H1257" s="690" t="s">
        <v>173</v>
      </c>
      <c r="I1257" s="71" t="s">
        <v>142</v>
      </c>
      <c r="J1257" s="53">
        <f>(G1257-(VLOOKUP(C1257,Price!B:D,3,FALSE)*D1257))</f>
        <v>162000</v>
      </c>
      <c r="K1257" s="63">
        <f t="shared" si="631"/>
        <v>0.19999999999999998</v>
      </c>
      <c r="L1257" s="82">
        <v>18.899999999999999</v>
      </c>
      <c r="M1257" s="468"/>
      <c r="N1257" s="664">
        <f t="shared" si="632"/>
        <v>180907</v>
      </c>
      <c r="O1257" s="71" t="s">
        <v>150</v>
      </c>
      <c r="P1257" s="103" t="str">
        <f>C1257</f>
        <v>데리바리 석션벨트</v>
      </c>
      <c r="Q1257" s="71">
        <f t="shared" si="624"/>
        <v>3</v>
      </c>
      <c r="R1257" s="102">
        <v>216000</v>
      </c>
      <c r="S1257" s="102">
        <f t="shared" si="626"/>
        <v>712800</v>
      </c>
      <c r="T1257" s="102">
        <f t="shared" si="627"/>
        <v>648000</v>
      </c>
      <c r="U1257" s="71" t="str">
        <f t="shared" si="621"/>
        <v>O</v>
      </c>
      <c r="V1257" s="71"/>
      <c r="W1257" s="474">
        <f t="shared" ref="W1257:W1288" si="634">(G1257-T1257)</f>
        <v>162000</v>
      </c>
      <c r="X1257" s="71"/>
      <c r="Y1257" s="71"/>
    </row>
    <row r="1258" spans="1:25" s="209" customFormat="1" ht="30" customHeight="1" x14ac:dyDescent="0.2">
      <c r="A1258" s="82">
        <v>180907</v>
      </c>
      <c r="B1258" s="664" t="s">
        <v>422</v>
      </c>
      <c r="C1258" s="71" t="s">
        <v>130</v>
      </c>
      <c r="D1258" s="71">
        <v>10</v>
      </c>
      <c r="E1258" s="102">
        <v>125000</v>
      </c>
      <c r="F1258" s="163">
        <f t="shared" si="629"/>
        <v>1375000</v>
      </c>
      <c r="G1258" s="163">
        <f t="shared" si="630"/>
        <v>1250000</v>
      </c>
      <c r="H1258" s="165" t="s">
        <v>172</v>
      </c>
      <c r="I1258" s="71" t="s">
        <v>109</v>
      </c>
      <c r="J1258" s="53">
        <f>(G1258-(VLOOKUP(C1258,Price!B:D,3,FALSE)*D1258))</f>
        <v>260000</v>
      </c>
      <c r="K1258" s="63">
        <f t="shared" si="631"/>
        <v>0.20799999999999999</v>
      </c>
      <c r="L1258" s="82">
        <v>18.899999999999999</v>
      </c>
      <c r="M1258" s="468"/>
      <c r="N1258" s="664">
        <f t="shared" si="632"/>
        <v>180907</v>
      </c>
      <c r="O1258" s="71" t="s">
        <v>150</v>
      </c>
      <c r="P1258" s="103" t="str">
        <f>(C1258)</f>
        <v>XL106 Blanket(1077*885)</v>
      </c>
      <c r="Q1258" s="71">
        <f t="shared" si="624"/>
        <v>10</v>
      </c>
      <c r="R1258" s="102">
        <v>99000</v>
      </c>
      <c r="S1258" s="102">
        <f>(R1258*D1258)*1.1</f>
        <v>1089000</v>
      </c>
      <c r="T1258" s="102">
        <f>(R1258*Q1258)</f>
        <v>990000</v>
      </c>
      <c r="U1258" s="71" t="str">
        <f t="shared" si="621"/>
        <v>O</v>
      </c>
      <c r="V1258" s="71"/>
      <c r="W1258" s="474">
        <f t="shared" si="634"/>
        <v>260000</v>
      </c>
      <c r="X1258" s="71"/>
      <c r="Y1258" s="71"/>
    </row>
    <row r="1259" spans="1:25" ht="30" customHeight="1" x14ac:dyDescent="0.25">
      <c r="A1259" s="82">
        <v>180907</v>
      </c>
      <c r="B1259" s="664" t="s">
        <v>565</v>
      </c>
      <c r="C1259" s="71" t="s">
        <v>123</v>
      </c>
      <c r="D1259" s="71">
        <v>3</v>
      </c>
      <c r="E1259" s="102">
        <v>45000</v>
      </c>
      <c r="F1259" s="102">
        <f t="shared" si="629"/>
        <v>148500</v>
      </c>
      <c r="G1259" s="102">
        <f t="shared" si="630"/>
        <v>135000</v>
      </c>
      <c r="H1259" s="1010" t="s">
        <v>39</v>
      </c>
      <c r="I1259" s="71"/>
      <c r="J1259" s="53">
        <f>(G1259-(VLOOKUP(C1259,Price!B:D,3,FALSE)*D1259))</f>
        <v>67617</v>
      </c>
      <c r="K1259" s="63">
        <f t="shared" si="631"/>
        <v>0.50086666666666668</v>
      </c>
      <c r="L1259" s="82">
        <v>18.899999999999999</v>
      </c>
      <c r="M1259" s="468"/>
      <c r="N1259" s="664">
        <f t="shared" si="632"/>
        <v>180907</v>
      </c>
      <c r="O1259" s="991" t="s">
        <v>39</v>
      </c>
      <c r="P1259" s="103" t="str">
        <f>C1259</f>
        <v>필터백</v>
      </c>
      <c r="Q1259" s="71">
        <f t="shared" si="624"/>
        <v>3</v>
      </c>
      <c r="R1259" s="102">
        <v>22461</v>
      </c>
      <c r="S1259" s="102">
        <f>R1259*Q1259*1.1</f>
        <v>74121.3</v>
      </c>
      <c r="T1259" s="102">
        <f>R1259*Q1259</f>
        <v>67383</v>
      </c>
      <c r="U1259" s="71" t="str">
        <f t="shared" si="621"/>
        <v>O</v>
      </c>
      <c r="V1259" s="71"/>
      <c r="W1259" s="474">
        <f t="shared" si="634"/>
        <v>67617</v>
      </c>
      <c r="X1259" s="71"/>
      <c r="Y1259" s="71"/>
    </row>
    <row r="1260" spans="1:25" ht="30" hidden="1" customHeight="1" x14ac:dyDescent="0.25">
      <c r="A1260" s="82">
        <v>180907</v>
      </c>
      <c r="B1260" s="664" t="s">
        <v>809</v>
      </c>
      <c r="C1260" s="71" t="s">
        <v>1366</v>
      </c>
      <c r="D1260" s="71">
        <v>1</v>
      </c>
      <c r="E1260" s="102">
        <v>280000</v>
      </c>
      <c r="F1260" s="102">
        <f t="shared" si="629"/>
        <v>308000</v>
      </c>
      <c r="G1260" s="102">
        <f t="shared" si="630"/>
        <v>280000</v>
      </c>
      <c r="H1260" s="690" t="s">
        <v>173</v>
      </c>
      <c r="I1260" s="71" t="s">
        <v>108</v>
      </c>
      <c r="J1260" s="53">
        <f>G1260-T1260</f>
        <v>170000</v>
      </c>
      <c r="K1260" s="63">
        <f>(J1260/(F1260/11*10))</f>
        <v>0.6071428571428571</v>
      </c>
      <c r="L1260" s="871">
        <v>18.899999999999999</v>
      </c>
      <c r="M1260" s="468" t="s">
        <v>1408</v>
      </c>
      <c r="N1260" s="664">
        <f t="shared" si="632"/>
        <v>180907</v>
      </c>
      <c r="O1260" s="71" t="s">
        <v>151</v>
      </c>
      <c r="P1260" s="103" t="str">
        <f t="shared" si="625"/>
        <v>롤라 세척제 4종류</v>
      </c>
      <c r="Q1260" s="71">
        <f t="shared" si="624"/>
        <v>1</v>
      </c>
      <c r="R1260" s="102">
        <v>110000</v>
      </c>
      <c r="S1260" s="102">
        <f>R1260*Q1260*1.1</f>
        <v>121000.00000000001</v>
      </c>
      <c r="T1260" s="102">
        <f>R1260*Q1260</f>
        <v>110000</v>
      </c>
      <c r="U1260" s="71"/>
      <c r="V1260" s="71"/>
      <c r="W1260" s="474">
        <f t="shared" si="634"/>
        <v>170000</v>
      </c>
      <c r="X1260" s="71"/>
      <c r="Y1260" s="71"/>
    </row>
    <row r="1261" spans="1:25" s="209" customFormat="1" ht="30" hidden="1" customHeight="1" x14ac:dyDescent="0.25">
      <c r="A1261" s="82">
        <v>180907</v>
      </c>
      <c r="B1261" s="664" t="s">
        <v>567</v>
      </c>
      <c r="C1261" s="71" t="s">
        <v>236</v>
      </c>
      <c r="D1261" s="71">
        <v>10</v>
      </c>
      <c r="E1261" s="102">
        <v>65000</v>
      </c>
      <c r="F1261" s="102">
        <f t="shared" si="629"/>
        <v>715000</v>
      </c>
      <c r="G1261" s="102">
        <f t="shared" si="630"/>
        <v>650000</v>
      </c>
      <c r="H1261" s="690" t="s">
        <v>173</v>
      </c>
      <c r="I1261" s="71" t="s">
        <v>142</v>
      </c>
      <c r="J1261" s="53">
        <f>(G1261-(VLOOKUP(C1261,Price!B:D,3,FALSE)*D1261))</f>
        <v>150000</v>
      </c>
      <c r="K1261" s="63">
        <f>(J1261/(F1261/11*10))</f>
        <v>0.23076923076923078</v>
      </c>
      <c r="L1261" s="82">
        <v>18.899999999999999</v>
      </c>
      <c r="M1261" s="468"/>
      <c r="N1261" s="664">
        <f t="shared" si="632"/>
        <v>180907</v>
      </c>
      <c r="O1261" s="71" t="s">
        <v>153</v>
      </c>
      <c r="P1261" s="103" t="str">
        <f>(C1261)</f>
        <v>아스테이지(국전)</v>
      </c>
      <c r="Q1261" s="71">
        <f t="shared" si="624"/>
        <v>10</v>
      </c>
      <c r="R1261" s="102">
        <v>50000</v>
      </c>
      <c r="S1261" s="102">
        <f>(R1261*D1261)*1.1</f>
        <v>550000</v>
      </c>
      <c r="T1261" s="102">
        <f>(R1261*Q1261)</f>
        <v>500000</v>
      </c>
      <c r="U1261" s="71" t="str">
        <f t="shared" ref="U1261:U1273" si="635">IF(J1261=W1261,"O", "X")</f>
        <v>O</v>
      </c>
      <c r="V1261" s="71"/>
      <c r="W1261" s="474">
        <f t="shared" si="634"/>
        <v>150000</v>
      </c>
      <c r="X1261" s="71"/>
      <c r="Y1261" s="71"/>
    </row>
    <row r="1262" spans="1:25" ht="30" hidden="1" customHeight="1" x14ac:dyDescent="0.25">
      <c r="A1262" s="82">
        <v>180907</v>
      </c>
      <c r="B1262" s="664" t="s">
        <v>550</v>
      </c>
      <c r="C1262" s="71" t="s">
        <v>123</v>
      </c>
      <c r="D1262" s="71">
        <v>10</v>
      </c>
      <c r="E1262" s="102">
        <v>30000</v>
      </c>
      <c r="F1262" s="102">
        <f t="shared" si="629"/>
        <v>330000</v>
      </c>
      <c r="G1262" s="102">
        <f t="shared" si="630"/>
        <v>300000</v>
      </c>
      <c r="H1262" s="1010" t="s">
        <v>39</v>
      </c>
      <c r="I1262" s="71"/>
      <c r="J1262" s="53">
        <f>G1262-T1262</f>
        <v>75390</v>
      </c>
      <c r="K1262" s="63">
        <f>(J1262/(F1262/11*10))</f>
        <v>0.25130000000000002</v>
      </c>
      <c r="L1262" s="82">
        <v>18.899999999999999</v>
      </c>
      <c r="M1262" s="468"/>
      <c r="N1262" s="664">
        <f t="shared" si="632"/>
        <v>180907</v>
      </c>
      <c r="O1262" s="991" t="s">
        <v>39</v>
      </c>
      <c r="P1262" s="103" t="str">
        <f>C1262</f>
        <v>필터백</v>
      </c>
      <c r="Q1262" s="71">
        <f t="shared" si="624"/>
        <v>10</v>
      </c>
      <c r="R1262" s="102">
        <f>VLOOKUP(P1262,Price!B:D,3,FALSE)</f>
        <v>22461</v>
      </c>
      <c r="S1262" s="102">
        <f>R1262*Q1262*1.1</f>
        <v>247071.00000000003</v>
      </c>
      <c r="T1262" s="102">
        <f>R1262*Q1262</f>
        <v>224610</v>
      </c>
      <c r="U1262" s="71" t="str">
        <f t="shared" si="635"/>
        <v>O</v>
      </c>
      <c r="V1262" s="71"/>
      <c r="W1262" s="474">
        <f t="shared" si="634"/>
        <v>75390</v>
      </c>
      <c r="X1262" s="71"/>
      <c r="Y1262" s="71"/>
    </row>
    <row r="1263" spans="1:25" ht="30" hidden="1" customHeight="1" x14ac:dyDescent="0.25">
      <c r="A1263" s="82">
        <v>180910</v>
      </c>
      <c r="B1263" s="664" t="s">
        <v>1335</v>
      </c>
      <c r="C1263" s="71" t="s">
        <v>1365</v>
      </c>
      <c r="D1263" s="71">
        <v>1</v>
      </c>
      <c r="E1263" s="102">
        <v>11700000</v>
      </c>
      <c r="F1263" s="102">
        <f t="shared" si="629"/>
        <v>12870000.000000002</v>
      </c>
      <c r="G1263" s="102">
        <f t="shared" si="630"/>
        <v>11700000</v>
      </c>
      <c r="H1263" s="1010" t="s">
        <v>39</v>
      </c>
      <c r="I1263" s="71"/>
      <c r="J1263" s="53">
        <f>39000000-R1263</f>
        <v>10739694.876182403</v>
      </c>
      <c r="K1263" s="63">
        <f>(J1263/(39000000/11*10))</f>
        <v>0.30291447086668316</v>
      </c>
      <c r="L1263" s="871">
        <v>18.899999999999999</v>
      </c>
      <c r="M1263" s="468"/>
      <c r="N1263" s="664">
        <f t="shared" si="632"/>
        <v>180910</v>
      </c>
      <c r="O1263" s="991" t="s">
        <v>39</v>
      </c>
      <c r="P1263" s="103" t="str">
        <f>C1263</f>
        <v>Beta.f 잔금</v>
      </c>
      <c r="Q1263" s="71">
        <f t="shared" si="624"/>
        <v>1</v>
      </c>
      <c r="R1263" s="102">
        <f>R1236</f>
        <v>28260305.123817597</v>
      </c>
      <c r="S1263" s="102">
        <f>R1263*Q1263*1.1</f>
        <v>31086335.636199359</v>
      </c>
      <c r="T1263" s="102">
        <f>R1263*Q1263</f>
        <v>28260305.123817597</v>
      </c>
      <c r="U1263" s="71" t="str">
        <f t="shared" si="635"/>
        <v>X</v>
      </c>
      <c r="V1263" s="71"/>
      <c r="W1263" s="474">
        <f t="shared" si="634"/>
        <v>-16560305.123817597</v>
      </c>
      <c r="X1263" s="71"/>
      <c r="Y1263" s="71"/>
    </row>
    <row r="1264" spans="1:25" ht="30" hidden="1" customHeight="1" x14ac:dyDescent="0.25">
      <c r="A1264" s="82">
        <v>180911</v>
      </c>
      <c r="B1264" s="664" t="s">
        <v>1051</v>
      </c>
      <c r="C1264" s="71" t="s">
        <v>1294</v>
      </c>
      <c r="D1264" s="71">
        <v>600</v>
      </c>
      <c r="E1264" s="102">
        <v>5850</v>
      </c>
      <c r="F1264" s="102">
        <f t="shared" si="629"/>
        <v>3861000.0000000005</v>
      </c>
      <c r="G1264" s="102">
        <f t="shared" si="630"/>
        <v>3510000</v>
      </c>
      <c r="H1264" s="690" t="s">
        <v>142</v>
      </c>
      <c r="I1264" s="71" t="s">
        <v>140</v>
      </c>
      <c r="J1264" s="53">
        <f>G1264-T1264</f>
        <v>1110000</v>
      </c>
      <c r="K1264" s="63">
        <f>(J1264/(F1264/11*10))</f>
        <v>0.31623931623931617</v>
      </c>
      <c r="L1264" s="871">
        <v>18.899999999999999</v>
      </c>
      <c r="M1264" s="468"/>
      <c r="N1264" s="664">
        <f>A1264</f>
        <v>180911</v>
      </c>
      <c r="O1264" s="71" t="s">
        <v>145</v>
      </c>
      <c r="P1264" s="103" t="str">
        <f>(C1264)</f>
        <v>ENGAGE 1030*790</v>
      </c>
      <c r="Q1264" s="71">
        <f t="shared" si="624"/>
        <v>600</v>
      </c>
      <c r="R1264" s="102">
        <v>4000</v>
      </c>
      <c r="S1264" s="102">
        <f>(R1264*D1264)*1.1</f>
        <v>2640000</v>
      </c>
      <c r="T1264" s="102">
        <f>(R1264*Q1264)</f>
        <v>2400000</v>
      </c>
      <c r="U1264" s="71" t="str">
        <f t="shared" si="635"/>
        <v>O</v>
      </c>
      <c r="V1264" s="71"/>
      <c r="W1264" s="474">
        <f t="shared" si="634"/>
        <v>1110000</v>
      </c>
      <c r="X1264" s="71"/>
      <c r="Y1264" s="71"/>
    </row>
    <row r="1265" spans="1:25" ht="30" hidden="1" customHeight="1" x14ac:dyDescent="0.25">
      <c r="A1265" s="82">
        <v>180911</v>
      </c>
      <c r="B1265" s="664" t="s">
        <v>1051</v>
      </c>
      <c r="C1265" s="71" t="s">
        <v>951</v>
      </c>
      <c r="D1265" s="71">
        <v>500</v>
      </c>
      <c r="E1265" s="102">
        <v>3510</v>
      </c>
      <c r="F1265" s="102">
        <f t="shared" si="629"/>
        <v>1930500.0000000002</v>
      </c>
      <c r="G1265" s="102">
        <f t="shared" si="630"/>
        <v>1755000</v>
      </c>
      <c r="H1265" s="690" t="s">
        <v>142</v>
      </c>
      <c r="I1265" s="71" t="s">
        <v>140</v>
      </c>
      <c r="J1265" s="53">
        <f>G1265-T1265</f>
        <v>560000</v>
      </c>
      <c r="K1265" s="63">
        <f>(J1265/(F1265/11*10))</f>
        <v>0.31908831908831903</v>
      </c>
      <c r="L1265" s="871">
        <v>18.899999999999999</v>
      </c>
      <c r="M1265" s="468"/>
      <c r="N1265" s="664">
        <f>A1265</f>
        <v>180911</v>
      </c>
      <c r="O1265" s="71" t="s">
        <v>145</v>
      </c>
      <c r="P1265" s="103" t="str">
        <f>(C1265)</f>
        <v>ENGAGE 30WEB(883*552)</v>
      </c>
      <c r="Q1265" s="71">
        <f t="shared" si="624"/>
        <v>500</v>
      </c>
      <c r="R1265" s="102">
        <v>2390</v>
      </c>
      <c r="S1265" s="102">
        <f>(R1265*D1265)*1.1</f>
        <v>1314500</v>
      </c>
      <c r="T1265" s="102">
        <f>(R1265*Q1265)</f>
        <v>1195000</v>
      </c>
      <c r="U1265" s="71" t="str">
        <f t="shared" si="635"/>
        <v>O</v>
      </c>
      <c r="V1265" s="71"/>
      <c r="W1265" s="474">
        <f t="shared" si="634"/>
        <v>560000</v>
      </c>
      <c r="X1265" s="71"/>
      <c r="Y1265" s="71"/>
    </row>
    <row r="1266" spans="1:25" ht="30" hidden="1" customHeight="1" x14ac:dyDescent="0.25">
      <c r="A1266" s="82">
        <v>180911</v>
      </c>
      <c r="B1266" s="664" t="s">
        <v>1051</v>
      </c>
      <c r="C1266" s="71" t="s">
        <v>524</v>
      </c>
      <c r="D1266" s="71">
        <v>300</v>
      </c>
      <c r="E1266" s="102">
        <v>3680</v>
      </c>
      <c r="F1266" s="102">
        <f t="shared" si="629"/>
        <v>1214400</v>
      </c>
      <c r="G1266" s="102">
        <f t="shared" si="630"/>
        <v>1104000</v>
      </c>
      <c r="H1266" s="690" t="s">
        <v>142</v>
      </c>
      <c r="I1266" s="71" t="s">
        <v>140</v>
      </c>
      <c r="J1266" s="53">
        <f>G1266-T1266</f>
        <v>348000</v>
      </c>
      <c r="K1266" s="63">
        <f>(J1266/(F1266/11*10))</f>
        <v>0.31521739130434784</v>
      </c>
      <c r="L1266" s="871">
        <v>18.899999999999999</v>
      </c>
      <c r="M1266" s="468"/>
      <c r="N1266" s="664">
        <f>A1266</f>
        <v>180911</v>
      </c>
      <c r="O1266" s="71" t="s">
        <v>145</v>
      </c>
      <c r="P1266" s="103" t="str">
        <f t="shared" ref="P1266:P1272" si="636">C1266</f>
        <v>ENGAGE 900X570 - 27RO</v>
      </c>
      <c r="Q1266" s="71">
        <f t="shared" si="624"/>
        <v>300</v>
      </c>
      <c r="R1266" s="102">
        <v>2520</v>
      </c>
      <c r="S1266" s="102">
        <f t="shared" ref="S1266:S1272" si="637">R1266*Q1266*1.1</f>
        <v>831600.00000000012</v>
      </c>
      <c r="T1266" s="102">
        <f t="shared" ref="T1266:T1272" si="638">R1266*Q1266</f>
        <v>756000</v>
      </c>
      <c r="U1266" s="71" t="str">
        <f t="shared" si="635"/>
        <v>O</v>
      </c>
      <c r="V1266" s="71"/>
      <c r="W1266" s="474">
        <f t="shared" si="634"/>
        <v>348000</v>
      </c>
      <c r="X1266" s="71"/>
      <c r="Y1266" s="71"/>
    </row>
    <row r="1267" spans="1:25" ht="30" hidden="1" customHeight="1" x14ac:dyDescent="0.25">
      <c r="A1267" s="82">
        <v>180911</v>
      </c>
      <c r="B1267" s="664" t="s">
        <v>983</v>
      </c>
      <c r="C1267" s="71" t="s">
        <v>1009</v>
      </c>
      <c r="D1267" s="71">
        <v>520</v>
      </c>
      <c r="E1267" s="102">
        <v>3900</v>
      </c>
      <c r="F1267" s="102">
        <f t="shared" si="629"/>
        <v>2230800</v>
      </c>
      <c r="G1267" s="102">
        <f t="shared" si="630"/>
        <v>2028000</v>
      </c>
      <c r="H1267" s="690" t="s">
        <v>173</v>
      </c>
      <c r="I1267" s="71" t="s">
        <v>140</v>
      </c>
      <c r="J1267" s="53">
        <f>G1267-T1267</f>
        <v>312000</v>
      </c>
      <c r="K1267" s="63">
        <f t="shared" ref="K1267:K1281" si="639">(J1267/(F1267/11*10))</f>
        <v>0.15384615384615385</v>
      </c>
      <c r="L1267" s="871">
        <v>18.899999999999999</v>
      </c>
      <c r="M1267" s="468"/>
      <c r="N1267" s="664">
        <f t="shared" si="632"/>
        <v>180911</v>
      </c>
      <c r="O1267" s="71" t="s">
        <v>147</v>
      </c>
      <c r="P1267" s="103" t="str">
        <f t="shared" si="636"/>
        <v>CTP판(1030*790mm)</v>
      </c>
      <c r="Q1267" s="71">
        <f t="shared" si="624"/>
        <v>520</v>
      </c>
      <c r="R1267" s="102">
        <v>3300</v>
      </c>
      <c r="S1267" s="102">
        <f t="shared" si="637"/>
        <v>1887600.0000000002</v>
      </c>
      <c r="T1267" s="102">
        <f t="shared" si="638"/>
        <v>1716000</v>
      </c>
      <c r="U1267" s="71" t="str">
        <f t="shared" si="635"/>
        <v>O</v>
      </c>
      <c r="V1267" s="71"/>
      <c r="W1267" s="474">
        <f t="shared" si="634"/>
        <v>312000</v>
      </c>
      <c r="X1267" s="71"/>
      <c r="Y1267" s="71"/>
    </row>
    <row r="1268" spans="1:25" ht="30" hidden="1" customHeight="1" x14ac:dyDescent="0.25">
      <c r="A1268" s="82">
        <v>180911</v>
      </c>
      <c r="B1268" s="664" t="s">
        <v>983</v>
      </c>
      <c r="C1268" s="71" t="s">
        <v>984</v>
      </c>
      <c r="D1268" s="71">
        <v>6</v>
      </c>
      <c r="E1268" s="102">
        <v>45000</v>
      </c>
      <c r="F1268" s="102">
        <f t="shared" si="629"/>
        <v>297000</v>
      </c>
      <c r="G1268" s="102">
        <f t="shared" si="630"/>
        <v>270000</v>
      </c>
      <c r="H1268" s="690" t="s">
        <v>173</v>
      </c>
      <c r="I1268" s="71" t="s">
        <v>140</v>
      </c>
      <c r="J1268" s="53">
        <f>G1268-T1268</f>
        <v>60000</v>
      </c>
      <c r="K1268" s="63">
        <f t="shared" si="639"/>
        <v>0.22222222222222221</v>
      </c>
      <c r="L1268" s="871">
        <v>18.899999999999999</v>
      </c>
      <c r="M1268" s="468"/>
      <c r="N1268" s="664">
        <f t="shared" si="632"/>
        <v>180911</v>
      </c>
      <c r="O1268" s="71" t="s">
        <v>147</v>
      </c>
      <c r="P1268" s="103" t="str">
        <f t="shared" si="636"/>
        <v>CTP 현상액</v>
      </c>
      <c r="Q1268" s="71">
        <f t="shared" si="624"/>
        <v>6</v>
      </c>
      <c r="R1268" s="102">
        <v>35000</v>
      </c>
      <c r="S1268" s="102">
        <f t="shared" si="637"/>
        <v>231000.00000000003</v>
      </c>
      <c r="T1268" s="102">
        <f t="shared" si="638"/>
        <v>210000</v>
      </c>
      <c r="U1268" s="71" t="str">
        <f t="shared" si="635"/>
        <v>O</v>
      </c>
      <c r="V1268" s="71"/>
      <c r="W1268" s="474">
        <f t="shared" si="634"/>
        <v>60000</v>
      </c>
      <c r="X1268" s="71"/>
      <c r="Y1268" s="71"/>
    </row>
    <row r="1269" spans="1:25" ht="30" hidden="1" customHeight="1" x14ac:dyDescent="0.25">
      <c r="A1269" s="82">
        <v>180911</v>
      </c>
      <c r="B1269" s="664" t="s">
        <v>545</v>
      </c>
      <c r="C1269" s="71" t="s">
        <v>952</v>
      </c>
      <c r="D1269" s="71">
        <v>1</v>
      </c>
      <c r="E1269" s="102">
        <v>630000</v>
      </c>
      <c r="F1269" s="102">
        <f t="shared" si="629"/>
        <v>693000</v>
      </c>
      <c r="G1269" s="102">
        <f t="shared" si="630"/>
        <v>630000</v>
      </c>
      <c r="H1269" s="690" t="s">
        <v>173</v>
      </c>
      <c r="I1269" s="71" t="s">
        <v>108</v>
      </c>
      <c r="J1269" s="53">
        <f>(G1269-(VLOOKUP(C1269,Price!B:D,3,FALSE)*D1269))</f>
        <v>180000</v>
      </c>
      <c r="K1269" s="63">
        <f t="shared" si="639"/>
        <v>0.2857142857142857</v>
      </c>
      <c r="L1269" s="871">
        <v>18.899999999999999</v>
      </c>
      <c r="M1269" s="468"/>
      <c r="N1269" s="664">
        <f t="shared" si="632"/>
        <v>180911</v>
      </c>
      <c r="O1269" s="71" t="s">
        <v>599</v>
      </c>
      <c r="P1269" s="103" t="str">
        <f t="shared" si="636"/>
        <v>점보롤 세정포</v>
      </c>
      <c r="Q1269" s="71">
        <f t="shared" si="624"/>
        <v>1</v>
      </c>
      <c r="R1269" s="102">
        <v>440000</v>
      </c>
      <c r="S1269" s="102">
        <f t="shared" si="637"/>
        <v>484000.00000000006</v>
      </c>
      <c r="T1269" s="102">
        <f t="shared" si="638"/>
        <v>440000</v>
      </c>
      <c r="U1269" s="71" t="str">
        <f t="shared" si="635"/>
        <v>X</v>
      </c>
      <c r="V1269" s="71" t="s">
        <v>1228</v>
      </c>
      <c r="W1269" s="474">
        <f t="shared" si="634"/>
        <v>190000</v>
      </c>
      <c r="X1269" s="71"/>
      <c r="Y1269" s="71"/>
    </row>
    <row r="1270" spans="1:25" ht="31.5" hidden="1" customHeight="1" x14ac:dyDescent="0.25">
      <c r="A1270" s="82">
        <v>180911</v>
      </c>
      <c r="B1270" s="664" t="s">
        <v>545</v>
      </c>
      <c r="C1270" s="71" t="s">
        <v>911</v>
      </c>
      <c r="D1270" s="71">
        <v>1</v>
      </c>
      <c r="E1270" s="102">
        <v>250000</v>
      </c>
      <c r="F1270" s="102">
        <f t="shared" si="629"/>
        <v>275000</v>
      </c>
      <c r="G1270" s="102">
        <f t="shared" si="630"/>
        <v>250000</v>
      </c>
      <c r="H1270" s="690" t="s">
        <v>173</v>
      </c>
      <c r="I1270" s="71" t="s">
        <v>142</v>
      </c>
      <c r="J1270" s="53">
        <f>E1270-75000</f>
        <v>175000</v>
      </c>
      <c r="K1270" s="63">
        <f t="shared" si="639"/>
        <v>0.7</v>
      </c>
      <c r="L1270" s="871">
        <v>18.899999999999999</v>
      </c>
      <c r="M1270" s="468"/>
      <c r="N1270" s="664">
        <f t="shared" si="632"/>
        <v>180911</v>
      </c>
      <c r="O1270" s="71" t="s">
        <v>994</v>
      </c>
      <c r="P1270" s="103" t="str">
        <f t="shared" si="636"/>
        <v>콤푸레샤 에어필터</v>
      </c>
      <c r="Q1270" s="71">
        <f t="shared" si="624"/>
        <v>1</v>
      </c>
      <c r="R1270" s="102">
        <v>75000</v>
      </c>
      <c r="S1270" s="102">
        <f t="shared" si="637"/>
        <v>82500</v>
      </c>
      <c r="T1270" s="102">
        <f t="shared" si="638"/>
        <v>75000</v>
      </c>
      <c r="U1270" s="71" t="str">
        <f t="shared" si="635"/>
        <v>O</v>
      </c>
      <c r="V1270" s="71"/>
      <c r="W1270" s="474">
        <f t="shared" si="634"/>
        <v>175000</v>
      </c>
      <c r="X1270" s="71"/>
      <c r="Y1270" s="71"/>
    </row>
    <row r="1271" spans="1:25" s="209" customFormat="1" ht="30" hidden="1" customHeight="1" x14ac:dyDescent="0.25">
      <c r="A1271" s="82">
        <v>180911</v>
      </c>
      <c r="B1271" s="664" t="s">
        <v>764</v>
      </c>
      <c r="C1271" s="71" t="s">
        <v>236</v>
      </c>
      <c r="D1271" s="71">
        <v>5</v>
      </c>
      <c r="E1271" s="102">
        <v>100000</v>
      </c>
      <c r="F1271" s="102">
        <f t="shared" si="629"/>
        <v>550000</v>
      </c>
      <c r="G1271" s="102">
        <f t="shared" si="630"/>
        <v>500000</v>
      </c>
      <c r="H1271" s="690" t="s">
        <v>173</v>
      </c>
      <c r="I1271" s="71" t="s">
        <v>142</v>
      </c>
      <c r="J1271" s="53">
        <f>(G1271-(VLOOKUP(C1271,Price!B:D,3,FALSE)*D1271))</f>
        <v>250000</v>
      </c>
      <c r="K1271" s="63">
        <f t="shared" si="639"/>
        <v>0.5</v>
      </c>
      <c r="L1271" s="871">
        <v>18.899999999999999</v>
      </c>
      <c r="M1271" s="468"/>
      <c r="N1271" s="664">
        <f t="shared" si="632"/>
        <v>180911</v>
      </c>
      <c r="O1271" s="71" t="s">
        <v>153</v>
      </c>
      <c r="P1271" s="103" t="str">
        <f t="shared" si="636"/>
        <v>아스테이지(국전)</v>
      </c>
      <c r="Q1271" s="71">
        <f t="shared" si="624"/>
        <v>5</v>
      </c>
      <c r="R1271" s="102">
        <f>VLOOKUP(P1271,Price!B:D,3,FALSE)</f>
        <v>50000</v>
      </c>
      <c r="S1271" s="102">
        <f t="shared" si="637"/>
        <v>275000</v>
      </c>
      <c r="T1271" s="102">
        <f t="shared" si="638"/>
        <v>250000</v>
      </c>
      <c r="U1271" s="71" t="str">
        <f t="shared" si="635"/>
        <v>O</v>
      </c>
      <c r="V1271" s="71"/>
      <c r="W1271" s="474">
        <f t="shared" si="634"/>
        <v>250000</v>
      </c>
      <c r="X1271" s="71"/>
      <c r="Y1271" s="71"/>
    </row>
    <row r="1272" spans="1:25" ht="30" hidden="1" customHeight="1" x14ac:dyDescent="0.25">
      <c r="A1272" s="82">
        <v>180913</v>
      </c>
      <c r="B1272" s="664" t="s">
        <v>1051</v>
      </c>
      <c r="C1272" s="71" t="s">
        <v>524</v>
      </c>
      <c r="D1272" s="71">
        <v>500</v>
      </c>
      <c r="E1272" s="102">
        <v>3680</v>
      </c>
      <c r="F1272" s="102">
        <f>(E1272*D1272)*1.1</f>
        <v>2024000.0000000002</v>
      </c>
      <c r="G1272" s="102">
        <f>(E1272*D1272)</f>
        <v>1840000</v>
      </c>
      <c r="H1272" s="690" t="s">
        <v>142</v>
      </c>
      <c r="I1272" s="71" t="s">
        <v>140</v>
      </c>
      <c r="J1272" s="53">
        <f>G1272-T1272</f>
        <v>580000</v>
      </c>
      <c r="K1272" s="63">
        <f t="shared" si="639"/>
        <v>0.31521739130434778</v>
      </c>
      <c r="L1272" s="871">
        <v>18.899999999999999</v>
      </c>
      <c r="M1272" s="468"/>
      <c r="N1272" s="664">
        <f t="shared" si="632"/>
        <v>180913</v>
      </c>
      <c r="O1272" s="71" t="s">
        <v>145</v>
      </c>
      <c r="P1272" s="103" t="str">
        <f t="shared" si="636"/>
        <v>ENGAGE 900X570 - 27RO</v>
      </c>
      <c r="Q1272" s="71">
        <f t="shared" si="624"/>
        <v>500</v>
      </c>
      <c r="R1272" s="102">
        <v>2520</v>
      </c>
      <c r="S1272" s="102">
        <f t="shared" si="637"/>
        <v>1386000</v>
      </c>
      <c r="T1272" s="102">
        <f t="shared" si="638"/>
        <v>1260000</v>
      </c>
      <c r="U1272" s="71" t="str">
        <f t="shared" si="635"/>
        <v>O</v>
      </c>
      <c r="V1272" s="71"/>
      <c r="W1272" s="474">
        <f t="shared" si="634"/>
        <v>580000</v>
      </c>
      <c r="X1272" s="71"/>
      <c r="Y1272" s="71"/>
    </row>
    <row r="1273" spans="1:25" ht="30" hidden="1" customHeight="1" x14ac:dyDescent="0.25">
      <c r="A1273" s="82">
        <v>180913</v>
      </c>
      <c r="B1273" s="664" t="s">
        <v>1051</v>
      </c>
      <c r="C1273" s="71" t="s">
        <v>1294</v>
      </c>
      <c r="D1273" s="71">
        <v>500</v>
      </c>
      <c r="E1273" s="102">
        <v>5850</v>
      </c>
      <c r="F1273" s="102">
        <f>(E1273*D1273)*1.1</f>
        <v>3217500.0000000005</v>
      </c>
      <c r="G1273" s="102">
        <f>(E1273*D1273)</f>
        <v>2925000</v>
      </c>
      <c r="H1273" s="690" t="s">
        <v>142</v>
      </c>
      <c r="I1273" s="71" t="s">
        <v>140</v>
      </c>
      <c r="J1273" s="53">
        <f>G1273-T1273</f>
        <v>925000</v>
      </c>
      <c r="K1273" s="63">
        <f>(J1273/(F1273/11*10))</f>
        <v>0.31623931623931617</v>
      </c>
      <c r="L1273" s="871">
        <v>18.899999999999999</v>
      </c>
      <c r="M1273" s="468"/>
      <c r="N1273" s="664">
        <f>A1273</f>
        <v>180913</v>
      </c>
      <c r="O1273" s="71" t="s">
        <v>145</v>
      </c>
      <c r="P1273" s="103" t="str">
        <f>(C1273)</f>
        <v>ENGAGE 1030*790</v>
      </c>
      <c r="Q1273" s="71">
        <f t="shared" si="624"/>
        <v>500</v>
      </c>
      <c r="R1273" s="102">
        <v>4000</v>
      </c>
      <c r="S1273" s="102">
        <f>(R1273*D1273)*1.1</f>
        <v>2200000</v>
      </c>
      <c r="T1273" s="102">
        <f>(R1273*Q1273)</f>
        <v>2000000</v>
      </c>
      <c r="U1273" s="71" t="str">
        <f t="shared" si="635"/>
        <v>O</v>
      </c>
      <c r="V1273" s="71"/>
      <c r="W1273" s="474">
        <f t="shared" si="634"/>
        <v>925000</v>
      </c>
      <c r="X1273" s="71"/>
      <c r="Y1273" s="71"/>
    </row>
    <row r="1274" spans="1:25" ht="30" hidden="1" customHeight="1" x14ac:dyDescent="0.25">
      <c r="A1274" s="82">
        <v>180913</v>
      </c>
      <c r="B1274" s="664" t="s">
        <v>545</v>
      </c>
      <c r="C1274" s="71" t="s">
        <v>1291</v>
      </c>
      <c r="D1274" s="71">
        <v>30</v>
      </c>
      <c r="E1274" s="102">
        <v>28500</v>
      </c>
      <c r="F1274" s="102">
        <f t="shared" si="629"/>
        <v>940500.00000000012</v>
      </c>
      <c r="G1274" s="102">
        <f t="shared" si="630"/>
        <v>855000</v>
      </c>
      <c r="H1274" s="690" t="s">
        <v>173</v>
      </c>
      <c r="I1274" s="71" t="s">
        <v>142</v>
      </c>
      <c r="J1274" s="53">
        <f>G1274-S1274</f>
        <v>162000</v>
      </c>
      <c r="K1274" s="63">
        <f t="shared" si="639"/>
        <v>0.18947368421052629</v>
      </c>
      <c r="L1274" s="871">
        <v>18.899999999999999</v>
      </c>
      <c r="M1274" s="468"/>
      <c r="N1274" s="664">
        <f t="shared" si="632"/>
        <v>180913</v>
      </c>
      <c r="O1274" s="71" t="s">
        <v>1321</v>
      </c>
      <c r="P1274" s="103" t="s">
        <v>1291</v>
      </c>
      <c r="Q1274" s="71">
        <f t="shared" si="624"/>
        <v>30</v>
      </c>
      <c r="R1274" s="102">
        <v>21000</v>
      </c>
      <c r="S1274" s="102">
        <f>R1274*Q1274*1.1</f>
        <v>693000</v>
      </c>
      <c r="T1274" s="102">
        <f>R1274*Q1274</f>
        <v>630000</v>
      </c>
      <c r="U1274" s="71"/>
      <c r="V1274" s="71"/>
      <c r="W1274" s="474">
        <f t="shared" si="634"/>
        <v>225000</v>
      </c>
      <c r="X1274" s="71"/>
      <c r="Y1274" s="71"/>
    </row>
    <row r="1275" spans="1:25" ht="30" hidden="1" customHeight="1" x14ac:dyDescent="0.25">
      <c r="A1275" s="82">
        <v>180914</v>
      </c>
      <c r="B1275" s="664" t="s">
        <v>1061</v>
      </c>
      <c r="C1275" s="71" t="s">
        <v>616</v>
      </c>
      <c r="D1275" s="71">
        <v>200</v>
      </c>
      <c r="E1275" s="102">
        <v>6600</v>
      </c>
      <c r="F1275" s="102">
        <f>(E1275*D1275)*1.1</f>
        <v>1452000.0000000002</v>
      </c>
      <c r="G1275" s="102">
        <f>(E1275*D1275)</f>
        <v>1320000</v>
      </c>
      <c r="H1275" s="690" t="s">
        <v>142</v>
      </c>
      <c r="I1275" s="71" t="s">
        <v>144</v>
      </c>
      <c r="J1275" s="53">
        <f>(G1275-(VLOOKUP(C1275,Price!B:D,3,FALSE)*D1275))</f>
        <v>140000</v>
      </c>
      <c r="K1275" s="63">
        <f>(J1275/(F1275/11*10))</f>
        <v>0.10606060606060604</v>
      </c>
      <c r="L1275" s="871">
        <v>18.899999999999999</v>
      </c>
      <c r="M1275" s="468"/>
      <c r="N1275" s="664">
        <f>A1275</f>
        <v>180914</v>
      </c>
      <c r="O1275" s="71" t="s">
        <v>147</v>
      </c>
      <c r="P1275" s="103" t="str">
        <f>C1275</f>
        <v>프리미어(먹)</v>
      </c>
      <c r="Q1275" s="71">
        <f t="shared" si="624"/>
        <v>200</v>
      </c>
      <c r="R1275" s="102">
        <v>5900</v>
      </c>
      <c r="S1275" s="102">
        <f>R1275*Q1275*1.1</f>
        <v>1298000</v>
      </c>
      <c r="T1275" s="102">
        <f>R1275*Q1275</f>
        <v>1180000</v>
      </c>
      <c r="U1275" s="71" t="str">
        <f t="shared" ref="U1275:U1293" si="640">IF(J1275=W1275,"O", "X")</f>
        <v>O</v>
      </c>
      <c r="V1275" s="71"/>
      <c r="W1275" s="474">
        <f t="shared" si="634"/>
        <v>140000</v>
      </c>
      <c r="X1275" s="71"/>
      <c r="Y1275" s="71"/>
    </row>
    <row r="1276" spans="1:25" ht="30" hidden="1" customHeight="1" x14ac:dyDescent="0.25">
      <c r="A1276" s="82">
        <v>180914</v>
      </c>
      <c r="B1276" s="664" t="s">
        <v>1052</v>
      </c>
      <c r="C1276" s="71" t="s">
        <v>585</v>
      </c>
      <c r="D1276" s="71">
        <v>200</v>
      </c>
      <c r="E1276" s="102">
        <v>7500</v>
      </c>
      <c r="F1276" s="102">
        <f>(E1276*D1276)*1.1</f>
        <v>1650000.0000000002</v>
      </c>
      <c r="G1276" s="102">
        <f>(E1276*D1276)</f>
        <v>1500000</v>
      </c>
      <c r="H1276" s="690" t="s">
        <v>142</v>
      </c>
      <c r="I1276" s="71" t="s">
        <v>144</v>
      </c>
      <c r="J1276" s="53">
        <f>(G1276-(VLOOKUP(C1276,Price!B:D,3,FALSE)*D1276))</f>
        <v>146000</v>
      </c>
      <c r="K1276" s="63">
        <f>(J1276/(F1276/11*10))</f>
        <v>9.7333333333333313E-2</v>
      </c>
      <c r="L1276" s="871">
        <v>18.899999999999999</v>
      </c>
      <c r="M1276" s="468"/>
      <c r="N1276" s="664">
        <f>A1276</f>
        <v>180914</v>
      </c>
      <c r="O1276" s="71" t="s">
        <v>147</v>
      </c>
      <c r="P1276" s="103" t="str">
        <f>C1276</f>
        <v>프리미어(적)</v>
      </c>
      <c r="Q1276" s="71">
        <f t="shared" si="624"/>
        <v>200</v>
      </c>
      <c r="R1276" s="102">
        <v>6770</v>
      </c>
      <c r="S1276" s="102">
        <f>R1276*Q1276*1.1</f>
        <v>1489400.0000000002</v>
      </c>
      <c r="T1276" s="102">
        <f>R1276*Q1276</f>
        <v>1354000</v>
      </c>
      <c r="U1276" s="71" t="str">
        <f t="shared" si="640"/>
        <v>O</v>
      </c>
      <c r="V1276" s="71"/>
      <c r="W1276" s="474">
        <f t="shared" si="634"/>
        <v>146000</v>
      </c>
      <c r="X1276" s="71"/>
      <c r="Y1276" s="71"/>
    </row>
    <row r="1277" spans="1:25" ht="30" hidden="1" customHeight="1" x14ac:dyDescent="0.25">
      <c r="A1277" s="82">
        <v>180914</v>
      </c>
      <c r="B1277" s="664" t="s">
        <v>1061</v>
      </c>
      <c r="C1277" s="71" t="s">
        <v>586</v>
      </c>
      <c r="D1277" s="71">
        <v>200</v>
      </c>
      <c r="E1277" s="102">
        <v>6750</v>
      </c>
      <c r="F1277" s="102">
        <f>(E1277*D1277)*1.1</f>
        <v>1485000.0000000002</v>
      </c>
      <c r="G1277" s="102">
        <f>(E1277*D1277)</f>
        <v>1350000</v>
      </c>
      <c r="H1277" s="690" t="s">
        <v>142</v>
      </c>
      <c r="I1277" s="71" t="s">
        <v>144</v>
      </c>
      <c r="J1277" s="53">
        <f>G1277-T1277</f>
        <v>114000</v>
      </c>
      <c r="K1277" s="63">
        <f>(J1277/(F1277/11*10))</f>
        <v>8.4444444444444433E-2</v>
      </c>
      <c r="L1277" s="871">
        <v>18.899999999999999</v>
      </c>
      <c r="M1277" s="468"/>
      <c r="N1277" s="664">
        <v>180713</v>
      </c>
      <c r="O1277" s="71" t="s">
        <v>147</v>
      </c>
      <c r="P1277" s="103" t="s">
        <v>1289</v>
      </c>
      <c r="Q1277" s="71">
        <f t="shared" si="624"/>
        <v>200</v>
      </c>
      <c r="R1277" s="102">
        <v>6180</v>
      </c>
      <c r="S1277" s="102">
        <f>(R1277*D1277)*1.1</f>
        <v>1359600</v>
      </c>
      <c r="T1277" s="102">
        <f>(R1277*Q1277)</f>
        <v>1236000</v>
      </c>
      <c r="U1277" s="71" t="str">
        <f t="shared" si="640"/>
        <v>O</v>
      </c>
      <c r="V1277" s="71"/>
      <c r="W1277" s="474">
        <f t="shared" si="634"/>
        <v>114000</v>
      </c>
      <c r="X1277" s="71"/>
      <c r="Y1277" s="71"/>
    </row>
    <row r="1278" spans="1:25" ht="30" hidden="1" customHeight="1" x14ac:dyDescent="0.25">
      <c r="A1278" s="82">
        <v>180914</v>
      </c>
      <c r="B1278" s="664" t="s">
        <v>1061</v>
      </c>
      <c r="C1278" s="71" t="s">
        <v>587</v>
      </c>
      <c r="D1278" s="71">
        <v>200</v>
      </c>
      <c r="E1278" s="102">
        <v>8000</v>
      </c>
      <c r="F1278" s="102">
        <f>(E1278*D1278)*1.1</f>
        <v>1760000.0000000002</v>
      </c>
      <c r="G1278" s="102">
        <f>(E1278*D1278)</f>
        <v>1600000</v>
      </c>
      <c r="H1278" s="690" t="s">
        <v>142</v>
      </c>
      <c r="I1278" s="71" t="s">
        <v>144</v>
      </c>
      <c r="J1278" s="53">
        <f>G1278-T1278</f>
        <v>218000</v>
      </c>
      <c r="K1278" s="63">
        <f>(J1278/(F1278/11*10))</f>
        <v>0.13624999999999998</v>
      </c>
      <c r="L1278" s="871">
        <v>18.899999999999999</v>
      </c>
      <c r="M1278" s="468"/>
      <c r="N1278" s="664">
        <v>180713</v>
      </c>
      <c r="O1278" s="71" t="s">
        <v>147</v>
      </c>
      <c r="P1278" s="103" t="s">
        <v>1290</v>
      </c>
      <c r="Q1278" s="71">
        <f t="shared" si="624"/>
        <v>200</v>
      </c>
      <c r="R1278" s="102">
        <v>6910</v>
      </c>
      <c r="S1278" s="102">
        <f>(R1278*D1278)*1.1</f>
        <v>1520200.0000000002</v>
      </c>
      <c r="T1278" s="102">
        <f>(R1278*Q1278)</f>
        <v>1382000</v>
      </c>
      <c r="U1278" s="71" t="str">
        <f t="shared" si="640"/>
        <v>O</v>
      </c>
      <c r="V1278" s="71"/>
      <c r="W1278" s="474">
        <f t="shared" si="634"/>
        <v>218000</v>
      </c>
      <c r="X1278" s="71"/>
      <c r="Y1278" s="71"/>
    </row>
    <row r="1279" spans="1:25" ht="30" hidden="1" customHeight="1" x14ac:dyDescent="0.25">
      <c r="A1279" s="82">
        <v>180914</v>
      </c>
      <c r="B1279" s="664" t="s">
        <v>690</v>
      </c>
      <c r="C1279" s="71" t="s">
        <v>1186</v>
      </c>
      <c r="D1279" s="71">
        <v>500</v>
      </c>
      <c r="E1279" s="102">
        <v>3600</v>
      </c>
      <c r="F1279" s="102">
        <f t="shared" si="629"/>
        <v>1980000.0000000002</v>
      </c>
      <c r="G1279" s="102">
        <f t="shared" si="630"/>
        <v>1800000</v>
      </c>
      <c r="H1279" s="690" t="s">
        <v>173</v>
      </c>
      <c r="I1279" s="71" t="s">
        <v>140</v>
      </c>
      <c r="J1279" s="53">
        <f>(G1279-(VLOOKUP(C1279,Price!B:D,3,FALSE)*D1279))</f>
        <v>-200000</v>
      </c>
      <c r="K1279" s="63">
        <f t="shared" si="639"/>
        <v>-0.11111111111111109</v>
      </c>
      <c r="L1279" s="871">
        <v>18.899999999999999</v>
      </c>
      <c r="M1279" s="468" t="s">
        <v>1393</v>
      </c>
      <c r="N1279" s="664">
        <f t="shared" si="632"/>
        <v>180914</v>
      </c>
      <c r="O1279" s="71" t="s">
        <v>145</v>
      </c>
      <c r="P1279" s="103" t="str">
        <f>C1279</f>
        <v>CTP 판(1030*790mm)</v>
      </c>
      <c r="Q1279" s="71">
        <f t="shared" si="624"/>
        <v>500</v>
      </c>
      <c r="R1279" s="102">
        <v>4000</v>
      </c>
      <c r="S1279" s="102">
        <f>R1279*Q1279*1.1</f>
        <v>2200000</v>
      </c>
      <c r="T1279" s="102">
        <f>R1279*Q1279</f>
        <v>2000000</v>
      </c>
      <c r="U1279" s="71" t="str">
        <f t="shared" si="640"/>
        <v>O</v>
      </c>
      <c r="V1279" s="71"/>
      <c r="W1279" s="474">
        <f t="shared" si="634"/>
        <v>-200000</v>
      </c>
      <c r="X1279" s="71"/>
      <c r="Y1279" s="71"/>
    </row>
    <row r="1280" spans="1:25" ht="30" hidden="1" customHeight="1" x14ac:dyDescent="0.25">
      <c r="A1280" s="82">
        <v>180914</v>
      </c>
      <c r="B1280" s="664" t="s">
        <v>690</v>
      </c>
      <c r="C1280" s="71" t="s">
        <v>750</v>
      </c>
      <c r="D1280" s="71">
        <v>3</v>
      </c>
      <c r="E1280" s="102">
        <v>49000</v>
      </c>
      <c r="F1280" s="102">
        <f t="shared" si="629"/>
        <v>161700</v>
      </c>
      <c r="G1280" s="102">
        <f t="shared" si="630"/>
        <v>147000</v>
      </c>
      <c r="H1280" s="690" t="s">
        <v>173</v>
      </c>
      <c r="I1280" s="71" t="s">
        <v>140</v>
      </c>
      <c r="J1280" s="53">
        <f>(G1280-(VLOOKUP(C1280,Price!B:D,3,FALSE)*D1280))</f>
        <v>42000</v>
      </c>
      <c r="K1280" s="63">
        <f t="shared" si="639"/>
        <v>0.2857142857142857</v>
      </c>
      <c r="L1280" s="871">
        <v>18.899999999999999</v>
      </c>
      <c r="M1280" s="468" t="s">
        <v>1394</v>
      </c>
      <c r="N1280" s="664">
        <f t="shared" si="632"/>
        <v>180914</v>
      </c>
      <c r="O1280" s="71" t="s">
        <v>145</v>
      </c>
      <c r="P1280" s="103" t="str">
        <f>C1280</f>
        <v>THD200(20L)</v>
      </c>
      <c r="Q1280" s="71">
        <f t="shared" si="624"/>
        <v>3</v>
      </c>
      <c r="R1280" s="102">
        <v>35000</v>
      </c>
      <c r="S1280" s="102">
        <f>R1280*Q1280*1.1</f>
        <v>115500.00000000001</v>
      </c>
      <c r="T1280" s="102">
        <f>R1280*Q1280</f>
        <v>105000</v>
      </c>
      <c r="U1280" s="71" t="str">
        <f t="shared" si="640"/>
        <v>O</v>
      </c>
      <c r="V1280" s="71"/>
      <c r="W1280" s="474">
        <f t="shared" si="634"/>
        <v>42000</v>
      </c>
      <c r="X1280" s="71"/>
      <c r="Y1280" s="71"/>
    </row>
    <row r="1281" spans="1:25" s="209" customFormat="1" ht="30" hidden="1" customHeight="1" x14ac:dyDescent="0.25">
      <c r="A1281" s="82">
        <v>180914</v>
      </c>
      <c r="B1281" s="664" t="s">
        <v>442</v>
      </c>
      <c r="C1281" s="71" t="s">
        <v>138</v>
      </c>
      <c r="D1281" s="71">
        <v>20</v>
      </c>
      <c r="E1281" s="102">
        <v>69000</v>
      </c>
      <c r="F1281" s="102">
        <f t="shared" si="629"/>
        <v>1518000.0000000002</v>
      </c>
      <c r="G1281" s="102">
        <f t="shared" si="630"/>
        <v>1380000</v>
      </c>
      <c r="H1281" s="690" t="s">
        <v>173</v>
      </c>
      <c r="I1281" s="71" t="s">
        <v>108</v>
      </c>
      <c r="J1281" s="53">
        <f>(G1281-(VLOOKUP(C1281,Price!B:D,3,FALSE)*D1281))</f>
        <v>360000</v>
      </c>
      <c r="K1281" s="63">
        <f t="shared" si="639"/>
        <v>0.26086956521739124</v>
      </c>
      <c r="L1281" s="871">
        <v>18.899999999999999</v>
      </c>
      <c r="M1281" s="468"/>
      <c r="N1281" s="664">
        <f t="shared" si="632"/>
        <v>180914</v>
      </c>
      <c r="O1281" s="71" t="s">
        <v>150</v>
      </c>
      <c r="P1281" s="103" t="str">
        <f>(C1281)</f>
        <v>매엽용 세척제(Wash 562)</v>
      </c>
      <c r="Q1281" s="71">
        <f t="shared" si="624"/>
        <v>20</v>
      </c>
      <c r="R1281" s="102">
        <v>51000</v>
      </c>
      <c r="S1281" s="102">
        <f>(R1281*D1281)*1.1</f>
        <v>1122000</v>
      </c>
      <c r="T1281" s="102">
        <f>(R1281*Q1281)</f>
        <v>1020000</v>
      </c>
      <c r="U1281" s="71" t="str">
        <f t="shared" si="640"/>
        <v>O</v>
      </c>
      <c r="V1281" s="71"/>
      <c r="W1281" s="474">
        <f t="shared" si="634"/>
        <v>360000</v>
      </c>
      <c r="X1281" s="71"/>
      <c r="Y1281" s="71"/>
    </row>
    <row r="1282" spans="1:25" ht="30" hidden="1" customHeight="1" x14ac:dyDescent="0.25">
      <c r="A1282" s="82">
        <v>180914</v>
      </c>
      <c r="B1282" s="664" t="s">
        <v>690</v>
      </c>
      <c r="C1282" s="71" t="s">
        <v>1494</v>
      </c>
      <c r="D1282" s="71">
        <v>6</v>
      </c>
      <c r="E1282" s="102">
        <v>110000</v>
      </c>
      <c r="F1282" s="102">
        <f t="shared" si="629"/>
        <v>726000.00000000012</v>
      </c>
      <c r="G1282" s="102">
        <f t="shared" si="630"/>
        <v>660000</v>
      </c>
      <c r="H1282" s="690" t="s">
        <v>173</v>
      </c>
      <c r="I1282" s="71" t="s">
        <v>109</v>
      </c>
      <c r="J1282" s="53">
        <f t="shared" ref="J1282:J1290" si="641">G1282-T1282</f>
        <v>177000</v>
      </c>
      <c r="K1282" s="63">
        <f>(J1282/(F1282/11*10))</f>
        <v>0.26818181818181813</v>
      </c>
      <c r="L1282" s="871">
        <v>18.899999999999999</v>
      </c>
      <c r="M1282" s="468"/>
      <c r="N1282" s="664">
        <f t="shared" si="632"/>
        <v>180914</v>
      </c>
      <c r="O1282" s="71" t="s">
        <v>147</v>
      </c>
      <c r="P1282" s="103" t="str">
        <f>C1282</f>
        <v>블랑켓 1050*845 bar</v>
      </c>
      <c r="Q1282" s="71">
        <f t="shared" si="624"/>
        <v>6</v>
      </c>
      <c r="R1282" s="102">
        <v>80500</v>
      </c>
      <c r="S1282" s="102">
        <f>R1282*Q1282*1.1</f>
        <v>531300</v>
      </c>
      <c r="T1282" s="102">
        <f>R1282*Q1282</f>
        <v>483000</v>
      </c>
      <c r="U1282" s="71" t="str">
        <f t="shared" si="640"/>
        <v>O</v>
      </c>
      <c r="V1282" s="71"/>
      <c r="W1282" s="474">
        <f t="shared" si="634"/>
        <v>177000</v>
      </c>
      <c r="X1282" s="71"/>
      <c r="Y1282" s="71"/>
    </row>
    <row r="1283" spans="1:25" ht="30" hidden="1" customHeight="1" x14ac:dyDescent="0.25">
      <c r="A1283" s="82">
        <v>180917</v>
      </c>
      <c r="B1283" s="664" t="s">
        <v>1051</v>
      </c>
      <c r="C1283" s="71" t="s">
        <v>1385</v>
      </c>
      <c r="D1283" s="71">
        <v>1000</v>
      </c>
      <c r="E1283" s="102">
        <v>4490</v>
      </c>
      <c r="F1283" s="102">
        <f t="shared" si="629"/>
        <v>4939000</v>
      </c>
      <c r="G1283" s="102">
        <f t="shared" si="630"/>
        <v>4490000</v>
      </c>
      <c r="H1283" s="690" t="s">
        <v>142</v>
      </c>
      <c r="I1283" s="71" t="s">
        <v>140</v>
      </c>
      <c r="J1283" s="53">
        <f t="shared" si="641"/>
        <v>1420000</v>
      </c>
      <c r="K1283" s="63">
        <f>(J1283/(F1283/11*10))</f>
        <v>0.31625835189309576</v>
      </c>
      <c r="L1283" s="871">
        <v>18.899999999999999</v>
      </c>
      <c r="M1283" s="468"/>
      <c r="N1283" s="664">
        <f>A1283</f>
        <v>180917</v>
      </c>
      <c r="O1283" s="71" t="s">
        <v>145</v>
      </c>
      <c r="P1283" s="103" t="str">
        <f>C1283</f>
        <v>ENGAGE 967.5*645</v>
      </c>
      <c r="Q1283" s="71">
        <f t="shared" si="624"/>
        <v>1000</v>
      </c>
      <c r="R1283" s="102">
        <v>3070</v>
      </c>
      <c r="S1283" s="102">
        <f>R1283*Q1283*1.1</f>
        <v>3377000.0000000005</v>
      </c>
      <c r="T1283" s="102">
        <f>R1283*Q1283</f>
        <v>3070000</v>
      </c>
      <c r="U1283" s="71" t="str">
        <f t="shared" si="640"/>
        <v>O</v>
      </c>
      <c r="V1283" s="71"/>
      <c r="W1283" s="474">
        <f t="shared" si="634"/>
        <v>1420000</v>
      </c>
      <c r="X1283" s="71"/>
      <c r="Y1283" s="71"/>
    </row>
    <row r="1284" spans="1:25" ht="30" hidden="1" customHeight="1" x14ac:dyDescent="0.25">
      <c r="A1284" s="82">
        <v>180917</v>
      </c>
      <c r="B1284" s="664" t="s">
        <v>1051</v>
      </c>
      <c r="C1284" s="71" t="s">
        <v>1294</v>
      </c>
      <c r="D1284" s="71">
        <v>500</v>
      </c>
      <c r="E1284" s="102">
        <v>5850</v>
      </c>
      <c r="F1284" s="102">
        <f>(E1284*D1284)*1.1</f>
        <v>3217500.0000000005</v>
      </c>
      <c r="G1284" s="102">
        <f>(E1284*D1284)</f>
        <v>2925000</v>
      </c>
      <c r="H1284" s="690" t="s">
        <v>142</v>
      </c>
      <c r="I1284" s="71" t="s">
        <v>140</v>
      </c>
      <c r="J1284" s="53">
        <f t="shared" si="641"/>
        <v>925000</v>
      </c>
      <c r="K1284" s="63">
        <f>(J1284/(F1284/11*10))</f>
        <v>0.31623931623931617</v>
      </c>
      <c r="L1284" s="871">
        <v>18.899999999999999</v>
      </c>
      <c r="M1284" s="468"/>
      <c r="N1284" s="664">
        <f>A1284</f>
        <v>180917</v>
      </c>
      <c r="O1284" s="71" t="s">
        <v>145</v>
      </c>
      <c r="P1284" s="103" t="str">
        <f>(C1284)</f>
        <v>ENGAGE 1030*790</v>
      </c>
      <c r="Q1284" s="71">
        <f t="shared" si="624"/>
        <v>500</v>
      </c>
      <c r="R1284" s="102">
        <v>4000</v>
      </c>
      <c r="S1284" s="102">
        <f>(R1284*D1284)*1.1</f>
        <v>2200000</v>
      </c>
      <c r="T1284" s="102">
        <f>(R1284*Q1284)</f>
        <v>2000000</v>
      </c>
      <c r="U1284" s="71" t="str">
        <f t="shared" si="640"/>
        <v>O</v>
      </c>
      <c r="V1284" s="71"/>
      <c r="W1284" s="474">
        <f t="shared" si="634"/>
        <v>925000</v>
      </c>
      <c r="X1284" s="71"/>
      <c r="Y1284" s="71"/>
    </row>
    <row r="1285" spans="1:25" ht="30" hidden="1" customHeight="1" x14ac:dyDescent="0.25">
      <c r="A1285" s="82">
        <v>180917</v>
      </c>
      <c r="B1285" s="664" t="s">
        <v>1051</v>
      </c>
      <c r="C1285" s="67" t="s">
        <v>1386</v>
      </c>
      <c r="D1285" s="71">
        <v>10</v>
      </c>
      <c r="E1285" s="102">
        <v>54000</v>
      </c>
      <c r="F1285" s="102">
        <f>(E1285*D1285)*1.1</f>
        <v>594000</v>
      </c>
      <c r="G1285" s="102">
        <f>(E1285*D1285)</f>
        <v>540000</v>
      </c>
      <c r="H1285" s="690" t="s">
        <v>142</v>
      </c>
      <c r="I1285" s="71" t="s">
        <v>140</v>
      </c>
      <c r="J1285" s="53">
        <f t="shared" si="641"/>
        <v>190000</v>
      </c>
      <c r="K1285" s="63">
        <f>(J1285/(F1285/11*10))</f>
        <v>0.35185185185185186</v>
      </c>
      <c r="L1285" s="871">
        <v>18.899999999999999</v>
      </c>
      <c r="M1285" s="468"/>
      <c r="N1285" s="664">
        <f>A1285</f>
        <v>180917</v>
      </c>
      <c r="O1285" s="71" t="s">
        <v>145</v>
      </c>
      <c r="P1285" s="103" t="str">
        <f>C1285</f>
        <v>THR200(20L)보충액</v>
      </c>
      <c r="Q1285" s="71">
        <f t="shared" si="624"/>
        <v>10</v>
      </c>
      <c r="R1285" s="102">
        <v>35000</v>
      </c>
      <c r="S1285" s="102">
        <f>R1285*Q1285*1.1</f>
        <v>385000.00000000006</v>
      </c>
      <c r="T1285" s="102">
        <f>R1285*Q1285</f>
        <v>350000</v>
      </c>
      <c r="U1285" s="71" t="str">
        <f t="shared" si="640"/>
        <v>O</v>
      </c>
      <c r="V1285" s="71"/>
      <c r="W1285" s="474">
        <f t="shared" si="634"/>
        <v>190000</v>
      </c>
      <c r="X1285" s="71"/>
      <c r="Y1285" s="71"/>
    </row>
    <row r="1286" spans="1:25" ht="30" hidden="1" customHeight="1" x14ac:dyDescent="0.25">
      <c r="A1286" s="82">
        <v>180917</v>
      </c>
      <c r="B1286" s="664" t="s">
        <v>1051</v>
      </c>
      <c r="C1286" s="71" t="s">
        <v>1387</v>
      </c>
      <c r="D1286" s="71">
        <v>5</v>
      </c>
      <c r="E1286" s="102">
        <v>54000</v>
      </c>
      <c r="F1286" s="102">
        <f>(E1286*D1286)*1.1</f>
        <v>297000</v>
      </c>
      <c r="G1286" s="102">
        <f>(E1286*D1286)</f>
        <v>270000</v>
      </c>
      <c r="H1286" s="690" t="s">
        <v>142</v>
      </c>
      <c r="I1286" s="71" t="s">
        <v>140</v>
      </c>
      <c r="J1286" s="53">
        <f t="shared" si="641"/>
        <v>95000</v>
      </c>
      <c r="K1286" s="63">
        <f>(J1286/(F1286/11*10))</f>
        <v>0.35185185185185186</v>
      </c>
      <c r="L1286" s="871">
        <v>18.899999999999999</v>
      </c>
      <c r="M1286" s="468"/>
      <c r="N1286" s="664">
        <f>A1286</f>
        <v>180917</v>
      </c>
      <c r="O1286" s="71" t="s">
        <v>145</v>
      </c>
      <c r="P1286" s="103" t="str">
        <f>(C1286)</f>
        <v>THD200(20L)현상액</v>
      </c>
      <c r="Q1286" s="71">
        <f t="shared" si="624"/>
        <v>5</v>
      </c>
      <c r="R1286" s="102">
        <v>35000</v>
      </c>
      <c r="S1286" s="102">
        <f>(R1286*D1286)*1.1</f>
        <v>192500.00000000003</v>
      </c>
      <c r="T1286" s="102">
        <f>(R1286*Q1286)</f>
        <v>175000</v>
      </c>
      <c r="U1286" s="71" t="str">
        <f t="shared" si="640"/>
        <v>O</v>
      </c>
      <c r="V1286" s="71"/>
      <c r="W1286" s="474">
        <f t="shared" si="634"/>
        <v>95000</v>
      </c>
      <c r="X1286" s="71"/>
      <c r="Y1286" s="71"/>
    </row>
    <row r="1287" spans="1:25" ht="30" hidden="1" customHeight="1" x14ac:dyDescent="0.25">
      <c r="A1287" s="82">
        <v>180918</v>
      </c>
      <c r="B1287" s="664" t="s">
        <v>764</v>
      </c>
      <c r="C1287" s="71" t="s">
        <v>123</v>
      </c>
      <c r="D1287" s="71">
        <v>30</v>
      </c>
      <c r="E1287" s="102">
        <v>35000</v>
      </c>
      <c r="F1287" s="102">
        <f t="shared" si="629"/>
        <v>1155000</v>
      </c>
      <c r="G1287" s="102">
        <f t="shared" si="630"/>
        <v>1050000</v>
      </c>
      <c r="H1287" s="1010" t="s">
        <v>39</v>
      </c>
      <c r="I1287" s="71"/>
      <c r="J1287" s="53">
        <f t="shared" si="641"/>
        <v>376170</v>
      </c>
      <c r="K1287" s="63">
        <f t="shared" ref="K1287:K1293" si="642">(J1287/(F1287/11*10))</f>
        <v>0.35825714285714283</v>
      </c>
      <c r="L1287" s="871">
        <v>18.899999999999999</v>
      </c>
      <c r="M1287" s="468"/>
      <c r="N1287" s="664">
        <f t="shared" ref="N1287:N1295" si="643">A1287</f>
        <v>180918</v>
      </c>
      <c r="O1287" s="991" t="s">
        <v>39</v>
      </c>
      <c r="P1287" s="103" t="str">
        <f>C1287</f>
        <v>필터백</v>
      </c>
      <c r="Q1287" s="71">
        <f t="shared" si="624"/>
        <v>30</v>
      </c>
      <c r="R1287" s="102">
        <f>VLOOKUP(P1287,Price!B:D,3,FALSE)</f>
        <v>22461</v>
      </c>
      <c r="S1287" s="102">
        <f>R1287*Q1287*1.1</f>
        <v>741213.00000000012</v>
      </c>
      <c r="T1287" s="102">
        <f>R1287*Q1287</f>
        <v>673830</v>
      </c>
      <c r="U1287" s="71" t="str">
        <f t="shared" si="640"/>
        <v>O</v>
      </c>
      <c r="V1287" s="71"/>
      <c r="W1287" s="474">
        <f t="shared" si="634"/>
        <v>376170</v>
      </c>
      <c r="X1287" s="71"/>
      <c r="Y1287" s="71"/>
    </row>
    <row r="1288" spans="1:25" s="209" customFormat="1" ht="30" hidden="1" customHeight="1" x14ac:dyDescent="0.2">
      <c r="A1288" s="82">
        <v>180918</v>
      </c>
      <c r="B1288" s="664" t="s">
        <v>557</v>
      </c>
      <c r="C1288" s="71" t="s">
        <v>114</v>
      </c>
      <c r="D1288" s="71">
        <v>20</v>
      </c>
      <c r="E1288" s="102">
        <v>19000</v>
      </c>
      <c r="F1288" s="163">
        <f t="shared" si="629"/>
        <v>418000.00000000006</v>
      </c>
      <c r="G1288" s="163">
        <f t="shared" si="630"/>
        <v>380000</v>
      </c>
      <c r="H1288" s="771" t="s">
        <v>113</v>
      </c>
      <c r="I1288" s="71"/>
      <c r="J1288" s="53">
        <f t="shared" si="641"/>
        <v>200000</v>
      </c>
      <c r="K1288" s="63">
        <f t="shared" si="642"/>
        <v>0.52631578947368418</v>
      </c>
      <c r="L1288" s="871">
        <v>18.899999999999999</v>
      </c>
      <c r="M1288" s="468"/>
      <c r="N1288" s="664">
        <f t="shared" si="643"/>
        <v>180918</v>
      </c>
      <c r="O1288" s="808" t="s">
        <v>113</v>
      </c>
      <c r="P1288" s="103" t="str">
        <f>(C1288)</f>
        <v>스트리퍼</v>
      </c>
      <c r="Q1288" s="71">
        <f t="shared" si="624"/>
        <v>20</v>
      </c>
      <c r="R1288" s="102">
        <v>9000</v>
      </c>
      <c r="S1288" s="102">
        <f>(R1288*D1288)*1.1</f>
        <v>198000.00000000003</v>
      </c>
      <c r="T1288" s="102">
        <f>(R1288*Q1288)</f>
        <v>180000</v>
      </c>
      <c r="U1288" s="71" t="str">
        <f t="shared" si="640"/>
        <v>O</v>
      </c>
      <c r="V1288" s="71"/>
      <c r="W1288" s="474">
        <f t="shared" si="634"/>
        <v>200000</v>
      </c>
      <c r="X1288" s="71"/>
      <c r="Y1288" s="71"/>
    </row>
    <row r="1289" spans="1:25" ht="30" hidden="1" customHeight="1" x14ac:dyDescent="0.25">
      <c r="A1289" s="82">
        <v>180918</v>
      </c>
      <c r="B1289" s="664" t="s">
        <v>552</v>
      </c>
      <c r="C1289" s="71" t="s">
        <v>1144</v>
      </c>
      <c r="D1289" s="71">
        <v>10</v>
      </c>
      <c r="E1289" s="102">
        <v>110000</v>
      </c>
      <c r="F1289" s="102">
        <f t="shared" ref="F1289:F1298" si="644">(E1289*D1289)*1.1</f>
        <v>1210000</v>
      </c>
      <c r="G1289" s="102">
        <f t="shared" ref="G1289:G1298" si="645">(E1289*D1289)</f>
        <v>1100000</v>
      </c>
      <c r="H1289" s="690" t="s">
        <v>173</v>
      </c>
      <c r="I1289" s="71" t="s">
        <v>142</v>
      </c>
      <c r="J1289" s="53">
        <f t="shared" si="641"/>
        <v>190000</v>
      </c>
      <c r="K1289" s="63">
        <f t="shared" si="642"/>
        <v>0.17272727272727273</v>
      </c>
      <c r="L1289" s="871">
        <v>18.899999999999999</v>
      </c>
      <c r="M1289" s="468"/>
      <c r="N1289" s="664">
        <f t="shared" si="643"/>
        <v>180918</v>
      </c>
      <c r="O1289" s="71" t="s">
        <v>150</v>
      </c>
      <c r="P1289" s="103" t="str">
        <f t="shared" ref="P1289:P1294" si="646">C1289</f>
        <v>실리콘 에멀전</v>
      </c>
      <c r="Q1289" s="71">
        <f t="shared" si="624"/>
        <v>10</v>
      </c>
      <c r="R1289" s="102">
        <v>91000</v>
      </c>
      <c r="S1289" s="102">
        <f>(R1289*D1289)*1.1</f>
        <v>1001000.0000000001</v>
      </c>
      <c r="T1289" s="102">
        <f>(R1289*Q1289)</f>
        <v>910000</v>
      </c>
      <c r="U1289" s="71" t="str">
        <f t="shared" si="640"/>
        <v>O</v>
      </c>
      <c r="V1289" s="71"/>
      <c r="W1289" s="474">
        <f t="shared" ref="W1289:W1306" si="647">(G1289-T1289)</f>
        <v>190000</v>
      </c>
      <c r="X1289" s="71"/>
      <c r="Y1289" s="71"/>
    </row>
    <row r="1290" spans="1:25" ht="30" hidden="1" customHeight="1" x14ac:dyDescent="0.25">
      <c r="A1290" s="82">
        <v>180918</v>
      </c>
      <c r="B1290" s="664" t="s">
        <v>446</v>
      </c>
      <c r="C1290" s="71" t="s">
        <v>1144</v>
      </c>
      <c r="D1290" s="71">
        <v>10</v>
      </c>
      <c r="E1290" s="102">
        <v>110000</v>
      </c>
      <c r="F1290" s="102">
        <f t="shared" si="644"/>
        <v>1210000</v>
      </c>
      <c r="G1290" s="102">
        <f t="shared" si="645"/>
        <v>1100000</v>
      </c>
      <c r="H1290" s="690" t="s">
        <v>173</v>
      </c>
      <c r="I1290" s="71" t="s">
        <v>142</v>
      </c>
      <c r="J1290" s="53">
        <f t="shared" si="641"/>
        <v>190000</v>
      </c>
      <c r="K1290" s="63">
        <f t="shared" si="642"/>
        <v>0.17272727272727273</v>
      </c>
      <c r="L1290" s="871">
        <v>18.899999999999999</v>
      </c>
      <c r="M1290" s="468"/>
      <c r="N1290" s="664">
        <f t="shared" si="643"/>
        <v>180918</v>
      </c>
      <c r="O1290" s="71" t="s">
        <v>150</v>
      </c>
      <c r="P1290" s="103" t="str">
        <f t="shared" si="646"/>
        <v>실리콘 에멀전</v>
      </c>
      <c r="Q1290" s="71">
        <f t="shared" si="624"/>
        <v>10</v>
      </c>
      <c r="R1290" s="102">
        <v>91000</v>
      </c>
      <c r="S1290" s="102">
        <f>R1290*Q1290*1.1</f>
        <v>1001000.0000000001</v>
      </c>
      <c r="T1290" s="102">
        <f>R1290*Q1290</f>
        <v>910000</v>
      </c>
      <c r="U1290" s="71" t="str">
        <f t="shared" si="640"/>
        <v>O</v>
      </c>
      <c r="V1290" s="71"/>
      <c r="W1290" s="474">
        <f t="shared" si="647"/>
        <v>190000</v>
      </c>
      <c r="X1290" s="71"/>
      <c r="Y1290" s="71"/>
    </row>
    <row r="1291" spans="1:25" ht="30" customHeight="1" x14ac:dyDescent="0.25">
      <c r="A1291" s="82">
        <v>180918</v>
      </c>
      <c r="B1291" s="664" t="s">
        <v>422</v>
      </c>
      <c r="C1291" s="760" t="s">
        <v>218</v>
      </c>
      <c r="D1291" s="71">
        <v>5</v>
      </c>
      <c r="E1291" s="102">
        <v>235000</v>
      </c>
      <c r="F1291" s="102">
        <f t="shared" si="644"/>
        <v>1292500</v>
      </c>
      <c r="G1291" s="102">
        <f t="shared" si="645"/>
        <v>1175000</v>
      </c>
      <c r="H1291" s="690" t="s">
        <v>173</v>
      </c>
      <c r="I1291" s="71" t="s">
        <v>120</v>
      </c>
      <c r="J1291" s="53">
        <f>(G1291-(VLOOKUP(C1291,Price!B:D,3,FALSE)*D1291))</f>
        <v>612500</v>
      </c>
      <c r="K1291" s="63">
        <f t="shared" si="642"/>
        <v>0.52127659574468088</v>
      </c>
      <c r="L1291" s="871">
        <v>18.899999999999999</v>
      </c>
      <c r="M1291" s="468"/>
      <c r="N1291" s="664">
        <f t="shared" si="643"/>
        <v>180918</v>
      </c>
      <c r="O1291" s="71" t="s">
        <v>150</v>
      </c>
      <c r="P1291" s="103" t="str">
        <f t="shared" si="646"/>
        <v>Fount Web 551AF</v>
      </c>
      <c r="Q1291" s="71">
        <f t="shared" si="624"/>
        <v>5</v>
      </c>
      <c r="R1291" s="102">
        <v>112500</v>
      </c>
      <c r="S1291" s="102">
        <f>R1291*Q1291*1.1</f>
        <v>618750</v>
      </c>
      <c r="T1291" s="102">
        <f>R1291*Q1291</f>
        <v>562500</v>
      </c>
      <c r="U1291" s="71" t="str">
        <f t="shared" si="640"/>
        <v>O</v>
      </c>
      <c r="V1291" s="71"/>
      <c r="W1291" s="474">
        <f t="shared" si="647"/>
        <v>612500</v>
      </c>
      <c r="X1291" s="71"/>
      <c r="Y1291" s="71"/>
    </row>
    <row r="1292" spans="1:25" ht="30" hidden="1" customHeight="1" x14ac:dyDescent="0.25">
      <c r="A1292" s="82">
        <v>180918</v>
      </c>
      <c r="B1292" s="664" t="s">
        <v>1014</v>
      </c>
      <c r="C1292" s="71" t="s">
        <v>123</v>
      </c>
      <c r="D1292" s="71">
        <v>5</v>
      </c>
      <c r="E1292" s="102">
        <v>45000</v>
      </c>
      <c r="F1292" s="102">
        <f t="shared" si="644"/>
        <v>247500.00000000003</v>
      </c>
      <c r="G1292" s="102">
        <f t="shared" si="645"/>
        <v>225000</v>
      </c>
      <c r="H1292" s="1010" t="s">
        <v>39</v>
      </c>
      <c r="I1292" s="71"/>
      <c r="J1292" s="53">
        <f>(G1292-(VLOOKUP(C1292,Import!C:G,4,FALSE)*D1292))</f>
        <v>225000</v>
      </c>
      <c r="K1292" s="63">
        <f t="shared" si="642"/>
        <v>0.99999999999999989</v>
      </c>
      <c r="L1292" s="871">
        <v>18.899999999999999</v>
      </c>
      <c r="M1292" s="468"/>
      <c r="N1292" s="664">
        <f t="shared" si="643"/>
        <v>180918</v>
      </c>
      <c r="O1292" s="991" t="s">
        <v>39</v>
      </c>
      <c r="P1292" s="103" t="str">
        <f t="shared" si="646"/>
        <v>필터백</v>
      </c>
      <c r="Q1292" s="71">
        <f t="shared" si="624"/>
        <v>5</v>
      </c>
      <c r="R1292" s="102">
        <f>VLOOKUP(P1292,Price!B:D,3,FALSE)</f>
        <v>22461</v>
      </c>
      <c r="S1292" s="102">
        <f>R1292*Q1292*1.1</f>
        <v>123535.50000000001</v>
      </c>
      <c r="T1292" s="102">
        <f>R1292*Q1292</f>
        <v>112305</v>
      </c>
      <c r="U1292" s="71" t="str">
        <f t="shared" si="640"/>
        <v>X</v>
      </c>
      <c r="V1292" s="71"/>
      <c r="W1292" s="474">
        <f t="shared" si="647"/>
        <v>112695</v>
      </c>
      <c r="X1292" s="71"/>
      <c r="Y1292" s="71"/>
    </row>
    <row r="1293" spans="1:25" ht="30" hidden="1" customHeight="1" x14ac:dyDescent="0.25">
      <c r="A1293" s="82">
        <v>180918</v>
      </c>
      <c r="B1293" s="664" t="s">
        <v>1014</v>
      </c>
      <c r="C1293" s="71" t="s">
        <v>1389</v>
      </c>
      <c r="D1293" s="71">
        <v>1</v>
      </c>
      <c r="E1293" s="102">
        <v>150000</v>
      </c>
      <c r="F1293" s="102">
        <f t="shared" si="644"/>
        <v>165000</v>
      </c>
      <c r="G1293" s="102">
        <f t="shared" si="645"/>
        <v>150000</v>
      </c>
      <c r="H1293" s="966" t="s">
        <v>173</v>
      </c>
      <c r="I1293" s="71" t="s">
        <v>142</v>
      </c>
      <c r="J1293" s="53">
        <v>50000</v>
      </c>
      <c r="K1293" s="63">
        <f t="shared" si="642"/>
        <v>0.33333333333333331</v>
      </c>
      <c r="L1293" s="871">
        <v>18.899999999999999</v>
      </c>
      <c r="M1293" s="468"/>
      <c r="N1293" s="664">
        <f t="shared" si="643"/>
        <v>180918</v>
      </c>
      <c r="O1293" s="834"/>
      <c r="P1293" s="103" t="str">
        <f t="shared" si="646"/>
        <v>도란스 변압기</v>
      </c>
      <c r="Q1293" s="71">
        <f t="shared" si="624"/>
        <v>1</v>
      </c>
      <c r="R1293" s="102">
        <v>100000</v>
      </c>
      <c r="S1293" s="102">
        <f>R1293*Q1293*1.1</f>
        <v>110000.00000000001</v>
      </c>
      <c r="T1293" s="102">
        <f>R1293*Q1293</f>
        <v>100000</v>
      </c>
      <c r="U1293" s="71" t="str">
        <f t="shared" si="640"/>
        <v>O</v>
      </c>
      <c r="V1293" s="71"/>
      <c r="W1293" s="474">
        <f t="shared" si="647"/>
        <v>50000</v>
      </c>
      <c r="X1293" s="71"/>
      <c r="Y1293" s="71"/>
    </row>
    <row r="1294" spans="1:25" ht="30" hidden="1" customHeight="1" x14ac:dyDescent="0.25">
      <c r="A1294" s="82">
        <v>180918</v>
      </c>
      <c r="B1294" s="664" t="s">
        <v>923</v>
      </c>
      <c r="C1294" s="71" t="s">
        <v>1295</v>
      </c>
      <c r="D1294" s="71">
        <v>1165</v>
      </c>
      <c r="E1294" s="102">
        <v>1050</v>
      </c>
      <c r="F1294" s="102">
        <f t="shared" si="644"/>
        <v>1345575</v>
      </c>
      <c r="G1294" s="102">
        <f t="shared" si="645"/>
        <v>1223250</v>
      </c>
      <c r="H1294" s="690" t="s">
        <v>173</v>
      </c>
      <c r="I1294" s="71" t="s">
        <v>140</v>
      </c>
      <c r="J1294" s="53">
        <f>G1294</f>
        <v>1223250</v>
      </c>
      <c r="K1294" s="63">
        <f t="shared" ref="K1294:K1300" si="648">(J1294/(F1294/11*10))</f>
        <v>1</v>
      </c>
      <c r="L1294" s="871">
        <v>18.899999999999999</v>
      </c>
      <c r="M1294" s="468"/>
      <c r="N1294" s="664">
        <f t="shared" si="643"/>
        <v>180918</v>
      </c>
      <c r="O1294" s="71" t="s">
        <v>690</v>
      </c>
      <c r="P1294" s="103" t="str">
        <f t="shared" si="646"/>
        <v>폐판(세흥)</v>
      </c>
      <c r="Q1294" s="71">
        <f t="shared" si="624"/>
        <v>1165</v>
      </c>
      <c r="R1294" s="102"/>
      <c r="S1294" s="102"/>
      <c r="T1294" s="102"/>
      <c r="U1294" s="71"/>
      <c r="V1294" s="71"/>
      <c r="W1294" s="474">
        <f t="shared" si="647"/>
        <v>1223250</v>
      </c>
      <c r="X1294" s="71"/>
      <c r="Y1294" s="71"/>
    </row>
    <row r="1295" spans="1:25" ht="30" hidden="1" customHeight="1" x14ac:dyDescent="0.25">
      <c r="A1295" s="82">
        <v>180918</v>
      </c>
      <c r="B1295" s="664" t="s">
        <v>545</v>
      </c>
      <c r="C1295" s="71" t="s">
        <v>1291</v>
      </c>
      <c r="D1295" s="71">
        <v>30</v>
      </c>
      <c r="E1295" s="102">
        <v>28500</v>
      </c>
      <c r="F1295" s="102">
        <f t="shared" si="644"/>
        <v>940500.00000000012</v>
      </c>
      <c r="G1295" s="102">
        <f t="shared" si="645"/>
        <v>855000</v>
      </c>
      <c r="H1295" s="690" t="s">
        <v>173</v>
      </c>
      <c r="I1295" s="71" t="s">
        <v>142</v>
      </c>
      <c r="J1295" s="53">
        <f>G1295-S1295</f>
        <v>162000</v>
      </c>
      <c r="K1295" s="63">
        <f t="shared" si="648"/>
        <v>0.18947368421052629</v>
      </c>
      <c r="L1295" s="871">
        <v>18.899999999999999</v>
      </c>
      <c r="M1295" s="468"/>
      <c r="N1295" s="664">
        <f t="shared" si="643"/>
        <v>180918</v>
      </c>
      <c r="O1295" s="71" t="s">
        <v>1321</v>
      </c>
      <c r="P1295" s="103" t="s">
        <v>1291</v>
      </c>
      <c r="Q1295" s="71">
        <f t="shared" si="624"/>
        <v>30</v>
      </c>
      <c r="R1295" s="102">
        <v>21000</v>
      </c>
      <c r="S1295" s="102">
        <f>R1295*Q1295*1.1</f>
        <v>693000</v>
      </c>
      <c r="T1295" s="102">
        <f>R1295*Q1295</f>
        <v>630000</v>
      </c>
      <c r="U1295" s="71"/>
      <c r="V1295" s="71"/>
      <c r="W1295" s="474">
        <f t="shared" si="647"/>
        <v>225000</v>
      </c>
      <c r="X1295" s="71"/>
      <c r="Y1295" s="71"/>
    </row>
    <row r="1296" spans="1:25" ht="30" hidden="1" customHeight="1" x14ac:dyDescent="0.25">
      <c r="A1296" s="82">
        <v>180918</v>
      </c>
      <c r="B1296" s="664" t="s">
        <v>545</v>
      </c>
      <c r="C1296" s="71" t="s">
        <v>227</v>
      </c>
      <c r="D1296" s="71">
        <v>10</v>
      </c>
      <c r="E1296" s="102">
        <v>110000</v>
      </c>
      <c r="F1296" s="102">
        <f t="shared" si="644"/>
        <v>1210000</v>
      </c>
      <c r="G1296" s="102">
        <f t="shared" si="645"/>
        <v>1100000</v>
      </c>
      <c r="H1296" s="690" t="s">
        <v>173</v>
      </c>
      <c r="I1296" s="71" t="s">
        <v>109</v>
      </c>
      <c r="J1296" s="53">
        <f>(G1296-(VLOOKUP(C1296,Price!B:D,3,FALSE)*D1296))</f>
        <v>271000</v>
      </c>
      <c r="K1296" s="63">
        <f t="shared" si="648"/>
        <v>0.24636363636363637</v>
      </c>
      <c r="L1296" s="871">
        <v>18.899999999999999</v>
      </c>
      <c r="M1296" s="468"/>
      <c r="N1296" s="664">
        <f>A1296</f>
        <v>180918</v>
      </c>
      <c r="O1296" s="71" t="s">
        <v>147</v>
      </c>
      <c r="P1296" s="103" t="str">
        <f>C1296</f>
        <v>Blanket(1060*860)</v>
      </c>
      <c r="Q1296" s="71">
        <f t="shared" si="624"/>
        <v>10</v>
      </c>
      <c r="R1296" s="102">
        <v>82900</v>
      </c>
      <c r="S1296" s="102">
        <f>R1296*Q1296*1.1</f>
        <v>911900.00000000012</v>
      </c>
      <c r="T1296" s="102">
        <f>R1296*Q1296</f>
        <v>829000</v>
      </c>
      <c r="U1296" s="71" t="str">
        <f t="shared" ref="U1296:U1304" si="649">IF(J1296=W1296,"O", "X")</f>
        <v>O</v>
      </c>
      <c r="V1296" s="71"/>
      <c r="W1296" s="474">
        <f t="shared" si="647"/>
        <v>271000</v>
      </c>
      <c r="X1296" s="71"/>
      <c r="Y1296" s="71"/>
    </row>
    <row r="1297" spans="1:25" ht="30" hidden="1" customHeight="1" x14ac:dyDescent="0.25">
      <c r="A1297" s="82">
        <v>180918</v>
      </c>
      <c r="B1297" s="664" t="s">
        <v>1051</v>
      </c>
      <c r="C1297" s="71" t="s">
        <v>951</v>
      </c>
      <c r="D1297" s="71">
        <v>600</v>
      </c>
      <c r="E1297" s="102">
        <v>3510</v>
      </c>
      <c r="F1297" s="102">
        <f t="shared" si="644"/>
        <v>2316600</v>
      </c>
      <c r="G1297" s="102">
        <f t="shared" si="645"/>
        <v>2106000</v>
      </c>
      <c r="H1297" s="690" t="s">
        <v>142</v>
      </c>
      <c r="I1297" s="71" t="s">
        <v>140</v>
      </c>
      <c r="J1297" s="53">
        <f>G1297-T1297</f>
        <v>672000</v>
      </c>
      <c r="K1297" s="63">
        <f t="shared" si="648"/>
        <v>0.31908831908831908</v>
      </c>
      <c r="L1297" s="871">
        <v>18.899999999999999</v>
      </c>
      <c r="M1297" s="468"/>
      <c r="N1297" s="664">
        <f>A1297</f>
        <v>180918</v>
      </c>
      <c r="O1297" s="71" t="s">
        <v>145</v>
      </c>
      <c r="P1297" s="103" t="str">
        <f>(C1297)</f>
        <v>ENGAGE 30WEB(883*552)</v>
      </c>
      <c r="Q1297" s="71">
        <f t="shared" si="624"/>
        <v>600</v>
      </c>
      <c r="R1297" s="102">
        <v>2390</v>
      </c>
      <c r="S1297" s="102">
        <f>(R1297*D1297)*1.1</f>
        <v>1577400.0000000002</v>
      </c>
      <c r="T1297" s="102">
        <f>(R1297*Q1297)</f>
        <v>1434000</v>
      </c>
      <c r="U1297" s="71" t="str">
        <f t="shared" si="649"/>
        <v>O</v>
      </c>
      <c r="V1297" s="71"/>
      <c r="W1297" s="474">
        <f t="shared" si="647"/>
        <v>672000</v>
      </c>
      <c r="X1297" s="71"/>
      <c r="Y1297" s="71"/>
    </row>
    <row r="1298" spans="1:25" ht="30" hidden="1" customHeight="1" x14ac:dyDescent="0.25">
      <c r="A1298" s="82">
        <v>180918</v>
      </c>
      <c r="B1298" s="664" t="s">
        <v>1051</v>
      </c>
      <c r="C1298" s="71" t="s">
        <v>524</v>
      </c>
      <c r="D1298" s="71">
        <v>300</v>
      </c>
      <c r="E1298" s="102">
        <v>3680</v>
      </c>
      <c r="F1298" s="102">
        <f t="shared" si="644"/>
        <v>1214400</v>
      </c>
      <c r="G1298" s="102">
        <f t="shared" si="645"/>
        <v>1104000</v>
      </c>
      <c r="H1298" s="690" t="s">
        <v>142</v>
      </c>
      <c r="I1298" s="71" t="s">
        <v>140</v>
      </c>
      <c r="J1298" s="53">
        <f>G1298-T1298</f>
        <v>348000</v>
      </c>
      <c r="K1298" s="63">
        <f t="shared" si="648"/>
        <v>0.31521739130434784</v>
      </c>
      <c r="L1298" s="871">
        <v>18.899999999999999</v>
      </c>
      <c r="M1298" s="468"/>
      <c r="N1298" s="664">
        <f>A1298</f>
        <v>180918</v>
      </c>
      <c r="O1298" s="71" t="s">
        <v>145</v>
      </c>
      <c r="P1298" s="103" t="str">
        <f>C1298</f>
        <v>ENGAGE 900X570 - 27RO</v>
      </c>
      <c r="Q1298" s="71">
        <f t="shared" si="624"/>
        <v>300</v>
      </c>
      <c r="R1298" s="102">
        <v>2520</v>
      </c>
      <c r="S1298" s="102">
        <f>R1298*Q1298*1.1</f>
        <v>831600.00000000012</v>
      </c>
      <c r="T1298" s="102">
        <f>R1298*Q1298</f>
        <v>756000</v>
      </c>
      <c r="U1298" s="71" t="str">
        <f t="shared" si="649"/>
        <v>O</v>
      </c>
      <c r="V1298" s="71"/>
      <c r="W1298" s="474">
        <f t="shared" si="647"/>
        <v>348000</v>
      </c>
      <c r="X1298" s="71"/>
      <c r="Y1298" s="71"/>
    </row>
    <row r="1299" spans="1:25" ht="30" hidden="1" customHeight="1" x14ac:dyDescent="0.25">
      <c r="A1299" s="82">
        <v>180920</v>
      </c>
      <c r="B1299" s="664" t="s">
        <v>1061</v>
      </c>
      <c r="C1299" s="71" t="s">
        <v>586</v>
      </c>
      <c r="D1299" s="71">
        <v>200</v>
      </c>
      <c r="E1299" s="102">
        <v>6750</v>
      </c>
      <c r="F1299" s="102">
        <f t="shared" ref="F1299:F1304" si="650">(E1299*D1299)*1.1</f>
        <v>1485000.0000000002</v>
      </c>
      <c r="G1299" s="102">
        <f t="shared" ref="G1299:G1304" si="651">(E1299*D1299)</f>
        <v>1350000</v>
      </c>
      <c r="H1299" s="690" t="s">
        <v>142</v>
      </c>
      <c r="I1299" s="71" t="s">
        <v>144</v>
      </c>
      <c r="J1299" s="53">
        <f>G1299-T1299</f>
        <v>114000</v>
      </c>
      <c r="K1299" s="63">
        <f t="shared" si="648"/>
        <v>8.4444444444444433E-2</v>
      </c>
      <c r="L1299" s="871">
        <v>18.899999999999999</v>
      </c>
      <c r="M1299" s="468"/>
      <c r="N1299" s="664">
        <f>A1299</f>
        <v>180920</v>
      </c>
      <c r="O1299" s="71" t="s">
        <v>147</v>
      </c>
      <c r="P1299" s="103" t="str">
        <f>(C1299)</f>
        <v>프리미어(황)</v>
      </c>
      <c r="Q1299" s="71">
        <f t="shared" si="624"/>
        <v>200</v>
      </c>
      <c r="R1299" s="102">
        <v>6180</v>
      </c>
      <c r="S1299" s="102">
        <f>(R1299*D1299)*1.1</f>
        <v>1359600</v>
      </c>
      <c r="T1299" s="102">
        <f>(R1299*Q1299)</f>
        <v>1236000</v>
      </c>
      <c r="U1299" s="71" t="str">
        <f t="shared" si="649"/>
        <v>O</v>
      </c>
      <c r="V1299" s="71"/>
      <c r="W1299" s="474">
        <f t="shared" si="647"/>
        <v>114000</v>
      </c>
      <c r="X1299" s="71"/>
      <c r="Y1299" s="71"/>
    </row>
    <row r="1300" spans="1:25" ht="30" hidden="1" customHeight="1" x14ac:dyDescent="0.25">
      <c r="A1300" s="82">
        <v>180920</v>
      </c>
      <c r="B1300" s="664" t="s">
        <v>1051</v>
      </c>
      <c r="C1300" s="71" t="s">
        <v>1294</v>
      </c>
      <c r="D1300" s="71">
        <v>600</v>
      </c>
      <c r="E1300" s="102">
        <v>5850</v>
      </c>
      <c r="F1300" s="102">
        <f t="shared" si="650"/>
        <v>3861000.0000000005</v>
      </c>
      <c r="G1300" s="102">
        <f t="shared" si="651"/>
        <v>3510000</v>
      </c>
      <c r="H1300" s="690" t="s">
        <v>142</v>
      </c>
      <c r="I1300" s="71" t="s">
        <v>140</v>
      </c>
      <c r="J1300" s="53">
        <f>G1300-T1300</f>
        <v>1110000</v>
      </c>
      <c r="K1300" s="63">
        <f t="shared" si="648"/>
        <v>0.31623931623931617</v>
      </c>
      <c r="L1300" s="871">
        <v>18.899999999999999</v>
      </c>
      <c r="M1300" s="468"/>
      <c r="N1300" s="664">
        <f t="shared" ref="N1300:N1309" si="652">A1300</f>
        <v>180920</v>
      </c>
      <c r="O1300" s="71" t="s">
        <v>145</v>
      </c>
      <c r="P1300" s="103" t="str">
        <f>(C1300)</f>
        <v>ENGAGE 1030*790</v>
      </c>
      <c r="Q1300" s="71">
        <f t="shared" si="624"/>
        <v>600</v>
      </c>
      <c r="R1300" s="102">
        <v>4000</v>
      </c>
      <c r="S1300" s="102">
        <f>(R1300*D1300)*1.1</f>
        <v>2640000</v>
      </c>
      <c r="T1300" s="102">
        <f>(R1300*Q1300)</f>
        <v>2400000</v>
      </c>
      <c r="U1300" s="71" t="str">
        <f t="shared" si="649"/>
        <v>O</v>
      </c>
      <c r="V1300" s="71"/>
      <c r="W1300" s="474">
        <f t="shared" si="647"/>
        <v>1110000</v>
      </c>
      <c r="X1300" s="71"/>
      <c r="Y1300" s="71"/>
    </row>
    <row r="1301" spans="1:25" ht="30" hidden="1" customHeight="1" x14ac:dyDescent="0.25">
      <c r="A1301" s="82">
        <v>180927</v>
      </c>
      <c r="B1301" s="664" t="s">
        <v>569</v>
      </c>
      <c r="C1301" s="71" t="s">
        <v>798</v>
      </c>
      <c r="D1301" s="71">
        <v>1</v>
      </c>
      <c r="E1301" s="102">
        <v>4500000</v>
      </c>
      <c r="F1301" s="102">
        <f t="shared" si="650"/>
        <v>4950000</v>
      </c>
      <c r="G1301" s="102">
        <f t="shared" si="651"/>
        <v>4500000</v>
      </c>
      <c r="H1301" s="1010" t="s">
        <v>39</v>
      </c>
      <c r="I1301" s="71"/>
      <c r="J1301" s="53">
        <f>G1301-T1301</f>
        <v>1265332.6958844382</v>
      </c>
      <c r="K1301" s="63">
        <f>(J1301/(F1301/11*10))</f>
        <v>0.28118504352987517</v>
      </c>
      <c r="L1301" s="871">
        <v>18.899999999999999</v>
      </c>
      <c r="M1301" s="468"/>
      <c r="N1301" s="664">
        <f t="shared" si="652"/>
        <v>180927</v>
      </c>
      <c r="O1301" s="991" t="s">
        <v>39</v>
      </c>
      <c r="P1301" s="103" t="str">
        <f>(C1301)</f>
        <v>Alcocontrol</v>
      </c>
      <c r="Q1301" s="71">
        <f t="shared" si="624"/>
        <v>1</v>
      </c>
      <c r="R1301" s="102">
        <f>Import!G600</f>
        <v>3234667.3041155618</v>
      </c>
      <c r="S1301" s="102">
        <f>R1301*Q1301*1.1</f>
        <v>3558134.0345271183</v>
      </c>
      <c r="T1301" s="102">
        <f>R1301*Q1301</f>
        <v>3234667.3041155618</v>
      </c>
      <c r="U1301" s="71" t="str">
        <f t="shared" si="649"/>
        <v>O</v>
      </c>
      <c r="V1301" s="71"/>
      <c r="W1301" s="474">
        <f t="shared" si="647"/>
        <v>1265332.6958844382</v>
      </c>
      <c r="X1301" s="71"/>
      <c r="Y1301" s="71"/>
    </row>
    <row r="1302" spans="1:25" ht="30" hidden="1" customHeight="1" x14ac:dyDescent="0.2">
      <c r="A1302" s="82">
        <v>180927</v>
      </c>
      <c r="B1302" s="664" t="s">
        <v>575</v>
      </c>
      <c r="C1302" s="71" t="s">
        <v>1379</v>
      </c>
      <c r="D1302" s="71">
        <v>1</v>
      </c>
      <c r="E1302" s="102">
        <v>4000000</v>
      </c>
      <c r="F1302" s="163">
        <f t="shared" si="650"/>
        <v>4400000</v>
      </c>
      <c r="G1302" s="163">
        <f t="shared" si="651"/>
        <v>4000000</v>
      </c>
      <c r="H1302" s="690" t="s">
        <v>142</v>
      </c>
      <c r="I1302" s="71" t="s">
        <v>142</v>
      </c>
      <c r="J1302" s="53">
        <f>G1302</f>
        <v>4000000</v>
      </c>
      <c r="K1302" s="63">
        <v>1</v>
      </c>
      <c r="L1302" s="871">
        <v>18.899999999999999</v>
      </c>
      <c r="M1302" s="468"/>
      <c r="N1302" s="664">
        <f t="shared" si="652"/>
        <v>180927</v>
      </c>
      <c r="O1302" s="71" t="s">
        <v>1409</v>
      </c>
      <c r="P1302" s="103" t="str">
        <f>C1302</f>
        <v>Asura Access 유지보수 서비스</v>
      </c>
      <c r="Q1302" s="71">
        <f t="shared" si="624"/>
        <v>1</v>
      </c>
      <c r="R1302" s="102">
        <v>0</v>
      </c>
      <c r="S1302" s="102">
        <f>R1302*Q1302*1.1</f>
        <v>0</v>
      </c>
      <c r="T1302" s="102">
        <f>R1302*Q1302</f>
        <v>0</v>
      </c>
      <c r="U1302" s="71" t="str">
        <f t="shared" si="649"/>
        <v>O</v>
      </c>
      <c r="V1302" s="71"/>
      <c r="W1302" s="474">
        <f t="shared" si="647"/>
        <v>4000000</v>
      </c>
      <c r="X1302" s="71"/>
      <c r="Y1302" s="71"/>
    </row>
    <row r="1303" spans="1:25" ht="30" hidden="1" customHeight="1" x14ac:dyDescent="0.2">
      <c r="A1303" s="82">
        <v>180927</v>
      </c>
      <c r="B1303" s="664" t="s">
        <v>575</v>
      </c>
      <c r="C1303" s="71" t="s">
        <v>1381</v>
      </c>
      <c r="D1303" s="71">
        <v>1</v>
      </c>
      <c r="E1303" s="102">
        <v>32380000</v>
      </c>
      <c r="F1303" s="163">
        <f t="shared" si="650"/>
        <v>35618000</v>
      </c>
      <c r="G1303" s="163">
        <f t="shared" si="651"/>
        <v>32380000</v>
      </c>
      <c r="H1303" s="690" t="s">
        <v>173</v>
      </c>
      <c r="I1303" s="71" t="s">
        <v>143</v>
      </c>
      <c r="J1303" s="53">
        <f>G1303-T1303</f>
        <v>7058000</v>
      </c>
      <c r="K1303" s="63">
        <f>(J1303/(F1303/11*10))</f>
        <v>0.21797405806053119</v>
      </c>
      <c r="L1303" s="871">
        <v>18.899999999999999</v>
      </c>
      <c r="M1303" s="468"/>
      <c r="N1303" s="664">
        <f t="shared" si="652"/>
        <v>180927</v>
      </c>
      <c r="O1303" s="71" t="s">
        <v>612</v>
      </c>
      <c r="P1303" s="103" t="str">
        <f>C1303</f>
        <v>중고 M600 롤라 피복(78개)</v>
      </c>
      <c r="Q1303" s="71">
        <f t="shared" si="624"/>
        <v>1</v>
      </c>
      <c r="R1303" s="102">
        <v>25322000</v>
      </c>
      <c r="S1303" s="102">
        <f>(R1303*D1303)*1.1</f>
        <v>27854200.000000004</v>
      </c>
      <c r="T1303" s="102">
        <f>(R1303*Q1303)</f>
        <v>25322000</v>
      </c>
      <c r="U1303" s="71" t="str">
        <f t="shared" si="649"/>
        <v>O</v>
      </c>
      <c r="V1303" s="71"/>
      <c r="W1303" s="474">
        <f t="shared" si="647"/>
        <v>7058000</v>
      </c>
      <c r="X1303" s="71"/>
      <c r="Y1303" s="71"/>
    </row>
    <row r="1304" spans="1:25" ht="30" hidden="1" customHeight="1" x14ac:dyDescent="0.2">
      <c r="A1304" s="82">
        <v>180927</v>
      </c>
      <c r="B1304" s="664" t="s">
        <v>575</v>
      </c>
      <c r="C1304" s="71" t="s">
        <v>1382</v>
      </c>
      <c r="D1304" s="71">
        <v>1</v>
      </c>
      <c r="E1304" s="102">
        <v>1600000</v>
      </c>
      <c r="F1304" s="163">
        <f t="shared" si="650"/>
        <v>1760000.0000000002</v>
      </c>
      <c r="G1304" s="163">
        <f t="shared" si="651"/>
        <v>1600000</v>
      </c>
      <c r="H1304" s="690" t="s">
        <v>173</v>
      </c>
      <c r="I1304" s="71" t="s">
        <v>143</v>
      </c>
      <c r="J1304" s="53">
        <f>G1304-T1304</f>
        <v>400000</v>
      </c>
      <c r="K1304" s="63">
        <f>(J1304/(F1304/11*10))</f>
        <v>0.24999999999999997</v>
      </c>
      <c r="L1304" s="871">
        <v>18.899999999999999</v>
      </c>
      <c r="M1304" s="468"/>
      <c r="N1304" s="664">
        <f t="shared" si="652"/>
        <v>180927</v>
      </c>
      <c r="O1304" s="71" t="s">
        <v>612</v>
      </c>
      <c r="P1304" s="103" t="str">
        <f>(C1304)</f>
        <v>고모리 윤전 롤라 피복(2개)</v>
      </c>
      <c r="Q1304" s="71">
        <f t="shared" si="624"/>
        <v>1</v>
      </c>
      <c r="R1304" s="102">
        <v>1200000</v>
      </c>
      <c r="S1304" s="102">
        <f>(R1304*D1304)*1.1</f>
        <v>1320000</v>
      </c>
      <c r="T1304" s="102">
        <f>(R1304*Q1304)</f>
        <v>1200000</v>
      </c>
      <c r="U1304" s="71" t="str">
        <f t="shared" si="649"/>
        <v>O</v>
      </c>
      <c r="V1304" s="71"/>
      <c r="W1304" s="474">
        <f t="shared" si="647"/>
        <v>400000</v>
      </c>
      <c r="X1304" s="71"/>
      <c r="Y1304" s="71"/>
    </row>
    <row r="1305" spans="1:25" s="978" customFormat="1" ht="45" hidden="1" customHeight="1" x14ac:dyDescent="0.25">
      <c r="A1305" s="982">
        <v>2018.1</v>
      </c>
      <c r="B1305" s="976" t="s">
        <v>544</v>
      </c>
      <c r="C1305" s="453"/>
      <c r="D1305" s="453"/>
      <c r="E1305" s="454"/>
      <c r="F1305" s="454"/>
      <c r="G1305" s="454"/>
      <c r="H1305" s="455"/>
      <c r="I1305" s="453"/>
      <c r="J1305" s="417"/>
      <c r="K1305" s="418"/>
      <c r="L1305" s="983" t="s">
        <v>1447</v>
      </c>
      <c r="M1305" s="643"/>
      <c r="N1305" s="724">
        <f t="shared" si="652"/>
        <v>2018.1</v>
      </c>
      <c r="O1305" s="453" t="s">
        <v>154</v>
      </c>
      <c r="P1305" s="728"/>
      <c r="Q1305" s="419"/>
      <c r="R1305" s="420"/>
      <c r="S1305" s="417"/>
      <c r="T1305" s="417"/>
      <c r="U1305" s="421"/>
      <c r="V1305" s="421"/>
      <c r="W1305" s="479">
        <f t="shared" si="647"/>
        <v>0</v>
      </c>
      <c r="X1305" s="421"/>
      <c r="Y1305" s="421"/>
    </row>
    <row r="1306" spans="1:25" s="209" customFormat="1" ht="30" hidden="1" customHeight="1" x14ac:dyDescent="0.25">
      <c r="A1306" s="82">
        <v>180920</v>
      </c>
      <c r="B1306" s="664" t="s">
        <v>764</v>
      </c>
      <c r="C1306" s="71" t="s">
        <v>236</v>
      </c>
      <c r="D1306" s="71">
        <v>5</v>
      </c>
      <c r="E1306" s="102">
        <v>100000</v>
      </c>
      <c r="F1306" s="102">
        <f t="shared" ref="F1306:F1320" si="653">(E1306*D1306)*1.1</f>
        <v>550000</v>
      </c>
      <c r="G1306" s="102">
        <f t="shared" ref="G1306:G1320" si="654">(E1306*D1306)</f>
        <v>500000</v>
      </c>
      <c r="H1306" s="690" t="s">
        <v>173</v>
      </c>
      <c r="I1306" s="71" t="s">
        <v>142</v>
      </c>
      <c r="J1306" s="53">
        <f>(G1306-(VLOOKUP(C1306,Price!B:D,3,FALSE)*D1306))</f>
        <v>250000</v>
      </c>
      <c r="K1306" s="63">
        <f t="shared" ref="K1306:K1312" si="655">(J1306/(F1306/11*10))</f>
        <v>0.5</v>
      </c>
      <c r="L1306" s="792" t="s">
        <v>1447</v>
      </c>
      <c r="M1306" s="468"/>
      <c r="N1306" s="664">
        <f t="shared" si="652"/>
        <v>180920</v>
      </c>
      <c r="O1306" s="71" t="s">
        <v>153</v>
      </c>
      <c r="P1306" s="103" t="str">
        <f t="shared" ref="P1306:Q1321" si="656">C1306</f>
        <v>아스테이지(국전)</v>
      </c>
      <c r="Q1306" s="71">
        <f t="shared" si="656"/>
        <v>5</v>
      </c>
      <c r="R1306" s="102">
        <f>VLOOKUP(P1306,Price!B:D,3,FALSE)</f>
        <v>50000</v>
      </c>
      <c r="S1306" s="102">
        <f>R1306*Q1306*1.1</f>
        <v>275000</v>
      </c>
      <c r="T1306" s="102">
        <f>R1306*Q1306</f>
        <v>250000</v>
      </c>
      <c r="U1306" s="71" t="str">
        <f t="shared" ref="U1306:U1319" si="657">IF(J1306=W1306,"O", "X")</f>
        <v>O</v>
      </c>
      <c r="V1306" s="71"/>
      <c r="W1306" s="474">
        <f t="shared" si="647"/>
        <v>250000</v>
      </c>
      <c r="X1306" s="71"/>
      <c r="Y1306" s="71"/>
    </row>
    <row r="1307" spans="1:25" ht="30" hidden="1" customHeight="1" x14ac:dyDescent="0.25">
      <c r="A1307" s="82">
        <v>180914</v>
      </c>
      <c r="B1307" s="664" t="s">
        <v>575</v>
      </c>
      <c r="C1307" s="71" t="s">
        <v>1367</v>
      </c>
      <c r="D1307" s="71">
        <v>16</v>
      </c>
      <c r="E1307" s="102">
        <v>218000</v>
      </c>
      <c r="F1307" s="102">
        <f>(E1307*D1307)*1.1</f>
        <v>3836800.0000000005</v>
      </c>
      <c r="G1307" s="102">
        <f>(E1307*D1307)</f>
        <v>3488000</v>
      </c>
      <c r="H1307" s="690" t="s">
        <v>173</v>
      </c>
      <c r="I1307" s="71" t="s">
        <v>109</v>
      </c>
      <c r="J1307" s="53">
        <f t="shared" ref="J1307:J1312" si="658">G1307-T1307</f>
        <v>1665330.6058808719</v>
      </c>
      <c r="K1307" s="63">
        <f t="shared" si="655"/>
        <v>0.47744570122731411</v>
      </c>
      <c r="L1307" s="792" t="s">
        <v>1447</v>
      </c>
      <c r="M1307" s="468"/>
      <c r="N1307" s="664">
        <f t="shared" si="652"/>
        <v>180914</v>
      </c>
      <c r="O1307" s="71" t="s">
        <v>1443</v>
      </c>
      <c r="P1307" s="103" t="str">
        <f t="shared" si="656"/>
        <v>M600 윤전 블랑켓 995*742</v>
      </c>
      <c r="Q1307" s="71">
        <f t="shared" si="656"/>
        <v>16</v>
      </c>
      <c r="R1307" s="102">
        <f>Import!G725</f>
        <v>113916.83713244551</v>
      </c>
      <c r="S1307" s="102">
        <f>R1307*Q1307*1.1</f>
        <v>2004936.3335310412</v>
      </c>
      <c r="T1307" s="102">
        <f>R1307*Q1307</f>
        <v>1822669.3941191281</v>
      </c>
      <c r="U1307" s="71" t="str">
        <f t="shared" si="657"/>
        <v>X</v>
      </c>
      <c r="V1307" s="71"/>
      <c r="W1307" s="474"/>
      <c r="X1307" s="71"/>
      <c r="Y1307" s="71"/>
    </row>
    <row r="1308" spans="1:25" ht="1.5" hidden="1" customHeight="1" x14ac:dyDescent="0.25">
      <c r="A1308" s="82">
        <v>180914</v>
      </c>
      <c r="B1308" s="664" t="s">
        <v>575</v>
      </c>
      <c r="C1308" s="71" t="s">
        <v>1368</v>
      </c>
      <c r="D1308" s="71">
        <v>16</v>
      </c>
      <c r="E1308" s="102">
        <v>36500</v>
      </c>
      <c r="F1308" s="102">
        <f>(E1308*D1308)*1.1</f>
        <v>642400</v>
      </c>
      <c r="G1308" s="102">
        <f>(E1308*D1308)</f>
        <v>584000</v>
      </c>
      <c r="H1308" s="690" t="s">
        <v>173</v>
      </c>
      <c r="I1308" s="71" t="s">
        <v>142</v>
      </c>
      <c r="J1308" s="53">
        <f t="shared" si="658"/>
        <v>238400</v>
      </c>
      <c r="K1308" s="63">
        <f t="shared" si="655"/>
        <v>0.40821917808219177</v>
      </c>
      <c r="L1308" s="792" t="s">
        <v>1446</v>
      </c>
      <c r="M1308" s="468"/>
      <c r="N1308" s="664">
        <f t="shared" si="652"/>
        <v>180914</v>
      </c>
      <c r="O1308" s="71" t="s">
        <v>151</v>
      </c>
      <c r="P1308" s="103" t="str">
        <f t="shared" si="656"/>
        <v>언더팩킹지 0.26mm</v>
      </c>
      <c r="Q1308" s="71">
        <f t="shared" si="656"/>
        <v>16</v>
      </c>
      <c r="R1308" s="102">
        <v>21600</v>
      </c>
      <c r="S1308" s="102">
        <f>R1308*Q1308*1.1</f>
        <v>380160.00000000006</v>
      </c>
      <c r="T1308" s="102">
        <f>R1308*Q1308</f>
        <v>345600</v>
      </c>
      <c r="U1308" s="71" t="str">
        <f t="shared" si="657"/>
        <v>X</v>
      </c>
      <c r="V1308" s="71"/>
      <c r="W1308" s="474"/>
      <c r="X1308" s="71"/>
      <c r="Y1308" s="71"/>
    </row>
    <row r="1309" spans="1:25" ht="30" hidden="1" customHeight="1" x14ac:dyDescent="0.2">
      <c r="A1309" s="82">
        <v>180927</v>
      </c>
      <c r="B1309" s="664" t="s">
        <v>575</v>
      </c>
      <c r="C1309" s="71" t="s">
        <v>1388</v>
      </c>
      <c r="D1309" s="71">
        <v>4</v>
      </c>
      <c r="E1309" s="102">
        <v>185000</v>
      </c>
      <c r="F1309" s="163">
        <f>(E1309*D1309)*1.1</f>
        <v>814000.00000000012</v>
      </c>
      <c r="G1309" s="163">
        <f>(E1309*D1309)</f>
        <v>740000</v>
      </c>
      <c r="H1309" s="690" t="s">
        <v>173</v>
      </c>
      <c r="I1309" s="71" t="s">
        <v>108</v>
      </c>
      <c r="J1309" s="53">
        <f t="shared" si="658"/>
        <v>588235.40120500838</v>
      </c>
      <c r="K1309" s="63">
        <f t="shared" si="655"/>
        <v>0.79491270433109229</v>
      </c>
      <c r="L1309" s="792" t="s">
        <v>1446</v>
      </c>
      <c r="M1309" s="468"/>
      <c r="N1309" s="664">
        <f t="shared" si="652"/>
        <v>180927</v>
      </c>
      <c r="O1309" s="71" t="s">
        <v>1443</v>
      </c>
      <c r="P1309" s="103" t="str">
        <f t="shared" si="656"/>
        <v>Flint 무알콜 윤전약물(Superaster)</v>
      </c>
      <c r="Q1309" s="71">
        <f>D1309</f>
        <v>4</v>
      </c>
      <c r="R1309" s="102">
        <f>Import!G721</f>
        <v>37941.149698747889</v>
      </c>
      <c r="S1309" s="102">
        <f>(R1309*D1309)*1.1</f>
        <v>166941.05867449072</v>
      </c>
      <c r="T1309" s="102">
        <f>(R1309*Q1309)</f>
        <v>151764.59879499156</v>
      </c>
      <c r="U1309" s="71" t="str">
        <f t="shared" si="657"/>
        <v>O</v>
      </c>
      <c r="V1309" s="71"/>
      <c r="W1309" s="474">
        <f t="shared" ref="W1309:W1315" si="659">(G1309-T1309)</f>
        <v>588235.40120500838</v>
      </c>
      <c r="X1309" s="71"/>
      <c r="Y1309" s="71"/>
    </row>
    <row r="1310" spans="1:25" ht="30" hidden="1" customHeight="1" x14ac:dyDescent="0.25">
      <c r="A1310" s="82">
        <v>180927</v>
      </c>
      <c r="B1310" s="664" t="s">
        <v>546</v>
      </c>
      <c r="C1310" s="71" t="s">
        <v>881</v>
      </c>
      <c r="D1310" s="71">
        <v>48</v>
      </c>
      <c r="E1310" s="102">
        <v>18000</v>
      </c>
      <c r="F1310" s="102">
        <f t="shared" si="653"/>
        <v>950400.00000000012</v>
      </c>
      <c r="G1310" s="102">
        <f t="shared" si="654"/>
        <v>864000</v>
      </c>
      <c r="H1310" s="779" t="s">
        <v>113</v>
      </c>
      <c r="I1310" s="71"/>
      <c r="J1310" s="53">
        <f t="shared" si="658"/>
        <v>432000</v>
      </c>
      <c r="K1310" s="63">
        <f t="shared" si="655"/>
        <v>0.49999999999999994</v>
      </c>
      <c r="L1310" s="792" t="s">
        <v>1446</v>
      </c>
      <c r="M1310" s="468" t="s">
        <v>1891</v>
      </c>
      <c r="N1310" s="664">
        <f>A1310</f>
        <v>180927</v>
      </c>
      <c r="O1310" s="808" t="s">
        <v>113</v>
      </c>
      <c r="P1310" s="103" t="str">
        <f t="shared" si="656"/>
        <v>스트리퍼(대)</v>
      </c>
      <c r="Q1310" s="71">
        <f>D1310</f>
        <v>48</v>
      </c>
      <c r="R1310" s="102">
        <v>9000</v>
      </c>
      <c r="S1310" s="102">
        <f>R1310*Q1310*1.1</f>
        <v>475200.00000000006</v>
      </c>
      <c r="T1310" s="102">
        <f>R1310*Q1310</f>
        <v>432000</v>
      </c>
      <c r="U1310" s="71" t="str">
        <f t="shared" si="657"/>
        <v>O</v>
      </c>
      <c r="V1310" s="71"/>
      <c r="W1310" s="474">
        <f t="shared" si="659"/>
        <v>432000</v>
      </c>
      <c r="X1310" s="71"/>
      <c r="Y1310" s="71"/>
    </row>
    <row r="1311" spans="1:25" ht="30" hidden="1" customHeight="1" x14ac:dyDescent="0.25">
      <c r="A1311" s="82">
        <v>180927</v>
      </c>
      <c r="B1311" s="664" t="s">
        <v>546</v>
      </c>
      <c r="C1311" s="71" t="s">
        <v>882</v>
      </c>
      <c r="D1311" s="71">
        <v>12</v>
      </c>
      <c r="E1311" s="102">
        <v>18000</v>
      </c>
      <c r="F1311" s="102">
        <f t="shared" si="653"/>
        <v>237600.00000000003</v>
      </c>
      <c r="G1311" s="102">
        <f t="shared" si="654"/>
        <v>216000</v>
      </c>
      <c r="H1311" s="779" t="s">
        <v>113</v>
      </c>
      <c r="I1311" s="71"/>
      <c r="J1311" s="53">
        <f t="shared" si="658"/>
        <v>108000</v>
      </c>
      <c r="K1311" s="63">
        <f t="shared" si="655"/>
        <v>0.49999999999999994</v>
      </c>
      <c r="L1311" s="792" t="s">
        <v>1446</v>
      </c>
      <c r="M1311" s="468" t="s">
        <v>1891</v>
      </c>
      <c r="N1311" s="664">
        <f>A1311</f>
        <v>180927</v>
      </c>
      <c r="O1311" s="808" t="s">
        <v>113</v>
      </c>
      <c r="P1311" s="103" t="str">
        <f t="shared" si="656"/>
        <v>스트리퍼(소)</v>
      </c>
      <c r="Q1311" s="71">
        <f>D1311</f>
        <v>12</v>
      </c>
      <c r="R1311" s="102">
        <v>9000</v>
      </c>
      <c r="S1311" s="102">
        <f>R1311*Q1311*1.1</f>
        <v>118800.00000000001</v>
      </c>
      <c r="T1311" s="102">
        <f>R1311*Q1311</f>
        <v>108000</v>
      </c>
      <c r="U1311" s="71" t="str">
        <f t="shared" si="657"/>
        <v>O</v>
      </c>
      <c r="V1311" s="71"/>
      <c r="W1311" s="474">
        <f t="shared" si="659"/>
        <v>108000</v>
      </c>
      <c r="X1311" s="71"/>
      <c r="Y1311" s="71"/>
    </row>
    <row r="1312" spans="1:25" ht="30" hidden="1" customHeight="1" x14ac:dyDescent="0.2">
      <c r="A1312" s="82">
        <v>180927</v>
      </c>
      <c r="B1312" s="664" t="s">
        <v>809</v>
      </c>
      <c r="C1312" s="71" t="s">
        <v>1380</v>
      </c>
      <c r="D1312" s="71">
        <v>4</v>
      </c>
      <c r="E1312" s="102">
        <v>4000</v>
      </c>
      <c r="F1312" s="163">
        <f t="shared" si="653"/>
        <v>17600</v>
      </c>
      <c r="G1312" s="163">
        <f t="shared" si="654"/>
        <v>16000</v>
      </c>
      <c r="H1312" s="165" t="s">
        <v>172</v>
      </c>
      <c r="I1312" s="71" t="s">
        <v>142</v>
      </c>
      <c r="J1312" s="53">
        <f t="shared" si="658"/>
        <v>7200</v>
      </c>
      <c r="K1312" s="63">
        <f t="shared" si="655"/>
        <v>0.45</v>
      </c>
      <c r="L1312" s="792" t="s">
        <v>1446</v>
      </c>
      <c r="M1312" s="468"/>
      <c r="N1312" s="664">
        <f>A1312</f>
        <v>180927</v>
      </c>
      <c r="O1312" s="71" t="s">
        <v>1449</v>
      </c>
      <c r="P1312" s="103" t="str">
        <f t="shared" si="656"/>
        <v>코끼리 물통</v>
      </c>
      <c r="Q1312" s="71">
        <v>4</v>
      </c>
      <c r="R1312" s="102">
        <v>2200</v>
      </c>
      <c r="S1312" s="102">
        <f>(R1312*D1312)*1.1</f>
        <v>9680</v>
      </c>
      <c r="T1312" s="102">
        <f>(R1312*Q1312)</f>
        <v>8800</v>
      </c>
      <c r="U1312" s="71" t="str">
        <f t="shared" si="657"/>
        <v>O</v>
      </c>
      <c r="V1312" s="71"/>
      <c r="W1312" s="474">
        <f t="shared" si="659"/>
        <v>7200</v>
      </c>
      <c r="X1312" s="71"/>
      <c r="Y1312" s="71"/>
    </row>
    <row r="1313" spans="1:25" ht="30" hidden="1" customHeight="1" x14ac:dyDescent="0.2">
      <c r="A1313" s="82">
        <v>180927</v>
      </c>
      <c r="B1313" s="664" t="s">
        <v>548</v>
      </c>
      <c r="C1313" s="71" t="s">
        <v>107</v>
      </c>
      <c r="D1313" s="71">
        <v>20</v>
      </c>
      <c r="E1313" s="102">
        <v>100000</v>
      </c>
      <c r="F1313" s="163">
        <f t="shared" si="653"/>
        <v>2200000</v>
      </c>
      <c r="G1313" s="163">
        <f t="shared" si="654"/>
        <v>2000000</v>
      </c>
      <c r="H1313" s="165" t="s">
        <v>172</v>
      </c>
      <c r="I1313" s="71" t="s">
        <v>109</v>
      </c>
      <c r="J1313" s="53">
        <f>(G1313-(VLOOKUP(C1313,Price!B:D,3,FALSE)*D1313))</f>
        <v>390000</v>
      </c>
      <c r="K1313" s="63">
        <f t="shared" ref="K1313:K1319" si="660">(J1313/(F1313/11*10))</f>
        <v>0.19500000000000001</v>
      </c>
      <c r="L1313" s="792" t="s">
        <v>1446</v>
      </c>
      <c r="M1313" s="468"/>
      <c r="N1313" s="664">
        <f t="shared" ref="N1313:N1318" si="661">A1313</f>
        <v>180927</v>
      </c>
      <c r="O1313" s="71" t="s">
        <v>147</v>
      </c>
      <c r="P1313" s="103" t="str">
        <f t="shared" si="656"/>
        <v>Blanket(1050*840)</v>
      </c>
      <c r="Q1313" s="71">
        <f t="shared" ref="Q1313:Q1322" si="662">D1313</f>
        <v>20</v>
      </c>
      <c r="R1313" s="102">
        <v>80500</v>
      </c>
      <c r="S1313" s="102">
        <f>R1313*Q1313*1.1</f>
        <v>1771000.0000000002</v>
      </c>
      <c r="T1313" s="102">
        <f>R1313*Q1313</f>
        <v>1610000</v>
      </c>
      <c r="U1313" s="71" t="str">
        <f t="shared" si="657"/>
        <v>O</v>
      </c>
      <c r="V1313" s="71"/>
      <c r="W1313" s="474">
        <f t="shared" si="659"/>
        <v>390000</v>
      </c>
      <c r="X1313" s="71"/>
      <c r="Y1313" s="71"/>
    </row>
    <row r="1314" spans="1:25" ht="30" hidden="1" customHeight="1" x14ac:dyDescent="0.25">
      <c r="A1314" s="82">
        <v>180928</v>
      </c>
      <c r="B1314" s="664" t="s">
        <v>1051</v>
      </c>
      <c r="C1314" s="71" t="s">
        <v>951</v>
      </c>
      <c r="D1314" s="71">
        <v>500</v>
      </c>
      <c r="E1314" s="102">
        <v>3510</v>
      </c>
      <c r="F1314" s="102">
        <f t="shared" si="653"/>
        <v>1930500.0000000002</v>
      </c>
      <c r="G1314" s="102">
        <f t="shared" si="654"/>
        <v>1755000</v>
      </c>
      <c r="H1314" s="690" t="s">
        <v>142</v>
      </c>
      <c r="I1314" s="71" t="s">
        <v>140</v>
      </c>
      <c r="J1314" s="53">
        <f>G1314-T1314</f>
        <v>560000</v>
      </c>
      <c r="K1314" s="63">
        <f t="shared" si="660"/>
        <v>0.31908831908831903</v>
      </c>
      <c r="L1314" s="792" t="s">
        <v>1446</v>
      </c>
      <c r="M1314" s="468"/>
      <c r="N1314" s="664">
        <f t="shared" si="661"/>
        <v>180928</v>
      </c>
      <c r="O1314" s="71" t="s">
        <v>145</v>
      </c>
      <c r="P1314" s="103" t="str">
        <f t="shared" si="656"/>
        <v>ENGAGE 30WEB(883*552)</v>
      </c>
      <c r="Q1314" s="71">
        <f t="shared" si="662"/>
        <v>500</v>
      </c>
      <c r="R1314" s="102">
        <v>2390</v>
      </c>
      <c r="S1314" s="102">
        <f>(R1314*D1314)*1.1</f>
        <v>1314500</v>
      </c>
      <c r="T1314" s="102">
        <f>(R1314*Q1314)</f>
        <v>1195000</v>
      </c>
      <c r="U1314" s="71" t="str">
        <f t="shared" si="657"/>
        <v>O</v>
      </c>
      <c r="V1314" s="71"/>
      <c r="W1314" s="474">
        <f t="shared" si="659"/>
        <v>560000</v>
      </c>
      <c r="X1314" s="71"/>
      <c r="Y1314" s="71"/>
    </row>
    <row r="1315" spans="1:25" ht="30" hidden="1" customHeight="1" x14ac:dyDescent="0.25">
      <c r="A1315" s="82">
        <v>180928</v>
      </c>
      <c r="B1315" s="664" t="s">
        <v>1051</v>
      </c>
      <c r="C1315" s="71" t="s">
        <v>524</v>
      </c>
      <c r="D1315" s="71">
        <v>450</v>
      </c>
      <c r="E1315" s="102">
        <v>3680</v>
      </c>
      <c r="F1315" s="102">
        <f t="shared" si="653"/>
        <v>1821600.0000000002</v>
      </c>
      <c r="G1315" s="102">
        <f t="shared" si="654"/>
        <v>1656000</v>
      </c>
      <c r="H1315" s="690" t="s">
        <v>142</v>
      </c>
      <c r="I1315" s="71" t="s">
        <v>140</v>
      </c>
      <c r="J1315" s="53">
        <f>G1315-T1315</f>
        <v>522000</v>
      </c>
      <c r="K1315" s="63">
        <f t="shared" si="660"/>
        <v>0.31521739130434778</v>
      </c>
      <c r="L1315" s="792" t="s">
        <v>1446</v>
      </c>
      <c r="M1315" s="468"/>
      <c r="N1315" s="664">
        <f t="shared" si="661"/>
        <v>180928</v>
      </c>
      <c r="O1315" s="71" t="s">
        <v>145</v>
      </c>
      <c r="P1315" s="103" t="str">
        <f t="shared" si="656"/>
        <v>ENGAGE 900X570 - 27RO</v>
      </c>
      <c r="Q1315" s="71">
        <f t="shared" si="662"/>
        <v>450</v>
      </c>
      <c r="R1315" s="102">
        <v>2520</v>
      </c>
      <c r="S1315" s="102">
        <f>R1315*Q1315*1.1</f>
        <v>1247400</v>
      </c>
      <c r="T1315" s="102">
        <f>R1315*Q1315</f>
        <v>1134000</v>
      </c>
      <c r="U1315" s="71" t="str">
        <f t="shared" si="657"/>
        <v>O</v>
      </c>
      <c r="V1315" s="71"/>
      <c r="W1315" s="474">
        <f t="shared" si="659"/>
        <v>522000</v>
      </c>
      <c r="X1315" s="71"/>
      <c r="Y1315" s="71"/>
    </row>
    <row r="1316" spans="1:25" ht="30" hidden="1" customHeight="1" x14ac:dyDescent="0.25">
      <c r="A1316" s="82">
        <v>180928</v>
      </c>
      <c r="B1316" s="664" t="s">
        <v>1051</v>
      </c>
      <c r="C1316" s="71" t="s">
        <v>1294</v>
      </c>
      <c r="D1316" s="71">
        <v>700</v>
      </c>
      <c r="E1316" s="102">
        <v>5850</v>
      </c>
      <c r="F1316" s="102">
        <f>(E1316*D1316)*1.1</f>
        <v>4504500</v>
      </c>
      <c r="G1316" s="102">
        <f>(E1316*D1316)</f>
        <v>4095000</v>
      </c>
      <c r="H1316" s="690" t="s">
        <v>142</v>
      </c>
      <c r="I1316" s="71" t="s">
        <v>140</v>
      </c>
      <c r="J1316" s="53">
        <f>G1316-T1316</f>
        <v>1295000</v>
      </c>
      <c r="K1316" s="63">
        <f t="shared" si="660"/>
        <v>0.31623931623931623</v>
      </c>
      <c r="L1316" s="792" t="s">
        <v>1446</v>
      </c>
      <c r="M1316" s="468"/>
      <c r="N1316" s="664">
        <f t="shared" si="661"/>
        <v>180928</v>
      </c>
      <c r="O1316" s="71" t="s">
        <v>145</v>
      </c>
      <c r="P1316" s="103" t="str">
        <f t="shared" si="656"/>
        <v>ENGAGE 1030*790</v>
      </c>
      <c r="Q1316" s="71">
        <f t="shared" si="662"/>
        <v>700</v>
      </c>
      <c r="R1316" s="102">
        <v>4000</v>
      </c>
      <c r="S1316" s="102">
        <f>(R1316*D1316)*1.1</f>
        <v>3080000.0000000005</v>
      </c>
      <c r="T1316" s="102">
        <f>(R1316*Q1316)</f>
        <v>2800000</v>
      </c>
      <c r="U1316" s="71" t="str">
        <f t="shared" si="657"/>
        <v>X</v>
      </c>
      <c r="V1316" s="71"/>
      <c r="W1316" s="474"/>
      <c r="X1316" s="71"/>
      <c r="Y1316" s="71"/>
    </row>
    <row r="1317" spans="1:25" ht="30" hidden="1" customHeight="1" x14ac:dyDescent="0.25">
      <c r="A1317" s="82">
        <v>180928</v>
      </c>
      <c r="B1317" s="664" t="s">
        <v>983</v>
      </c>
      <c r="C1317" s="71" t="s">
        <v>1009</v>
      </c>
      <c r="D1317" s="71">
        <v>520</v>
      </c>
      <c r="E1317" s="102">
        <v>3900</v>
      </c>
      <c r="F1317" s="102">
        <f t="shared" si="653"/>
        <v>2230800</v>
      </c>
      <c r="G1317" s="102">
        <f t="shared" si="654"/>
        <v>2028000</v>
      </c>
      <c r="H1317" s="690" t="s">
        <v>173</v>
      </c>
      <c r="I1317" s="71" t="s">
        <v>140</v>
      </c>
      <c r="J1317" s="53">
        <f>G1317-T1317</f>
        <v>312000</v>
      </c>
      <c r="K1317" s="63">
        <f t="shared" si="660"/>
        <v>0.15384615384615385</v>
      </c>
      <c r="L1317" s="792" t="s">
        <v>1446</v>
      </c>
      <c r="M1317" s="468"/>
      <c r="N1317" s="664">
        <f t="shared" si="661"/>
        <v>180928</v>
      </c>
      <c r="O1317" s="71" t="s">
        <v>147</v>
      </c>
      <c r="P1317" s="103" t="str">
        <f t="shared" si="656"/>
        <v>CTP판(1030*790mm)</v>
      </c>
      <c r="Q1317" s="71">
        <f t="shared" si="662"/>
        <v>520</v>
      </c>
      <c r="R1317" s="102">
        <v>3300</v>
      </c>
      <c r="S1317" s="102">
        <f>R1317*Q1317*1.1</f>
        <v>1887600.0000000002</v>
      </c>
      <c r="T1317" s="102">
        <f>R1317*Q1317</f>
        <v>1716000</v>
      </c>
      <c r="U1317" s="71" t="str">
        <f t="shared" si="657"/>
        <v>O</v>
      </c>
      <c r="V1317" s="71"/>
      <c r="W1317" s="474">
        <f>(G1317-T1317)</f>
        <v>312000</v>
      </c>
      <c r="X1317" s="71"/>
      <c r="Y1317" s="71"/>
    </row>
    <row r="1318" spans="1:25" ht="30" hidden="1" customHeight="1" x14ac:dyDescent="0.25">
      <c r="A1318" s="82">
        <v>180928</v>
      </c>
      <c r="B1318" s="664" t="s">
        <v>983</v>
      </c>
      <c r="C1318" s="71" t="s">
        <v>984</v>
      </c>
      <c r="D1318" s="71">
        <v>7</v>
      </c>
      <c r="E1318" s="102">
        <v>45000</v>
      </c>
      <c r="F1318" s="102">
        <f t="shared" si="653"/>
        <v>346500</v>
      </c>
      <c r="G1318" s="102">
        <f t="shared" si="654"/>
        <v>315000</v>
      </c>
      <c r="H1318" s="690" t="s">
        <v>173</v>
      </c>
      <c r="I1318" s="71" t="s">
        <v>140</v>
      </c>
      <c r="J1318" s="53">
        <f>G1318-T1318</f>
        <v>70000</v>
      </c>
      <c r="K1318" s="63">
        <f t="shared" si="660"/>
        <v>0.22222222222222221</v>
      </c>
      <c r="L1318" s="792" t="s">
        <v>1446</v>
      </c>
      <c r="M1318" s="468"/>
      <c r="N1318" s="664">
        <f t="shared" si="661"/>
        <v>180928</v>
      </c>
      <c r="O1318" s="71" t="s">
        <v>147</v>
      </c>
      <c r="P1318" s="103" t="str">
        <f t="shared" si="656"/>
        <v>CTP 현상액</v>
      </c>
      <c r="Q1318" s="71">
        <f t="shared" si="662"/>
        <v>7</v>
      </c>
      <c r="R1318" s="102">
        <v>35000</v>
      </c>
      <c r="S1318" s="102">
        <f>R1318*Q1318*1.1</f>
        <v>269500</v>
      </c>
      <c r="T1318" s="102">
        <f>R1318*Q1318</f>
        <v>245000</v>
      </c>
      <c r="U1318" s="71" t="str">
        <f t="shared" si="657"/>
        <v>O</v>
      </c>
      <c r="V1318" s="71"/>
      <c r="W1318" s="474">
        <f>(G1318-T1318)</f>
        <v>70000</v>
      </c>
      <c r="X1318" s="71"/>
      <c r="Y1318" s="71"/>
    </row>
    <row r="1319" spans="1:25" ht="30" hidden="1" customHeight="1" x14ac:dyDescent="0.25">
      <c r="A1319" s="82">
        <v>181001</v>
      </c>
      <c r="B1319" s="664" t="s">
        <v>640</v>
      </c>
      <c r="C1319" s="71" t="s">
        <v>236</v>
      </c>
      <c r="D1319" s="71">
        <v>2</v>
      </c>
      <c r="E1319" s="102">
        <v>99000</v>
      </c>
      <c r="F1319" s="102">
        <f t="shared" si="653"/>
        <v>217800.00000000003</v>
      </c>
      <c r="G1319" s="102">
        <f t="shared" si="654"/>
        <v>198000</v>
      </c>
      <c r="H1319" s="690" t="s">
        <v>173</v>
      </c>
      <c r="I1319" s="71" t="s">
        <v>142</v>
      </c>
      <c r="J1319" s="53">
        <f>(G1319-(VLOOKUP(C1319,Price!B:D,3,FALSE)*D1319))</f>
        <v>98000</v>
      </c>
      <c r="K1319" s="63">
        <f t="shared" si="660"/>
        <v>0.49494949494949486</v>
      </c>
      <c r="L1319" s="792" t="s">
        <v>1446</v>
      </c>
      <c r="M1319" s="468"/>
      <c r="N1319" s="664">
        <f t="shared" ref="N1319:N1328" si="663">A1319</f>
        <v>181001</v>
      </c>
      <c r="O1319" s="71" t="s">
        <v>153</v>
      </c>
      <c r="P1319" s="103" t="str">
        <f t="shared" si="656"/>
        <v>아스테이지(국전)</v>
      </c>
      <c r="Q1319" s="71">
        <f t="shared" si="662"/>
        <v>2</v>
      </c>
      <c r="R1319" s="102">
        <v>50000</v>
      </c>
      <c r="S1319" s="102">
        <f>R1319*Q1319*1.1</f>
        <v>110000.00000000001</v>
      </c>
      <c r="T1319" s="102">
        <f>R1319*Q1319</f>
        <v>100000</v>
      </c>
      <c r="U1319" s="71" t="str">
        <f t="shared" si="657"/>
        <v>O</v>
      </c>
      <c r="V1319" s="71"/>
      <c r="W1319" s="474">
        <f>(G1319-T1319)</f>
        <v>98000</v>
      </c>
      <c r="X1319" s="71"/>
      <c r="Y1319" s="71"/>
    </row>
    <row r="1320" spans="1:25" ht="30" hidden="1" customHeight="1" x14ac:dyDescent="0.25">
      <c r="A1320" s="82">
        <v>181001</v>
      </c>
      <c r="B1320" s="664" t="s">
        <v>640</v>
      </c>
      <c r="C1320" s="71" t="s">
        <v>1390</v>
      </c>
      <c r="D1320" s="71">
        <v>1</v>
      </c>
      <c r="E1320" s="102">
        <v>540000</v>
      </c>
      <c r="F1320" s="102">
        <f t="shared" si="653"/>
        <v>594000</v>
      </c>
      <c r="G1320" s="102">
        <f t="shared" si="654"/>
        <v>540000</v>
      </c>
      <c r="H1320" s="690" t="s">
        <v>173</v>
      </c>
      <c r="I1320" s="71" t="s">
        <v>142</v>
      </c>
      <c r="J1320" s="53">
        <f t="shared" ref="J1320:J1325" si="664">G1320-T1320</f>
        <v>340000</v>
      </c>
      <c r="K1320" s="63">
        <f t="shared" ref="K1320:K1325" si="665">(J1320/(F1320/11*10))</f>
        <v>0.62962962962962965</v>
      </c>
      <c r="L1320" s="792" t="s">
        <v>1446</v>
      </c>
      <c r="M1320" s="468"/>
      <c r="N1320" s="664">
        <f t="shared" si="663"/>
        <v>181001</v>
      </c>
      <c r="O1320" s="71" t="s">
        <v>150</v>
      </c>
      <c r="P1320" s="103" t="str">
        <f t="shared" si="656"/>
        <v>아스테이지(윤전)</v>
      </c>
      <c r="Q1320" s="71">
        <f t="shared" si="662"/>
        <v>1</v>
      </c>
      <c r="R1320" s="102">
        <v>200000</v>
      </c>
      <c r="S1320" s="102">
        <f>R1320*Q1320*1.1</f>
        <v>220000.00000000003</v>
      </c>
      <c r="T1320" s="102">
        <f>R1320*Q1320</f>
        <v>200000</v>
      </c>
      <c r="U1320" s="71"/>
      <c r="V1320" s="71"/>
      <c r="W1320" s="474"/>
      <c r="X1320" s="71"/>
      <c r="Y1320" s="71"/>
    </row>
    <row r="1321" spans="1:25" ht="30" hidden="1" customHeight="1" x14ac:dyDescent="0.25">
      <c r="A1321" s="82">
        <v>181001</v>
      </c>
      <c r="B1321" s="664" t="s">
        <v>1231</v>
      </c>
      <c r="C1321" s="71" t="s">
        <v>1391</v>
      </c>
      <c r="D1321" s="71">
        <v>10</v>
      </c>
      <c r="E1321" s="102">
        <v>48000</v>
      </c>
      <c r="F1321" s="102">
        <f t="shared" ref="F1321:F1341" si="666">(E1321*D1321)*1.1</f>
        <v>528000</v>
      </c>
      <c r="G1321" s="102">
        <f t="shared" ref="G1321:G1341" si="667">(E1321*D1321)</f>
        <v>480000</v>
      </c>
      <c r="H1321" s="690" t="s">
        <v>173</v>
      </c>
      <c r="I1321" s="71" t="s">
        <v>142</v>
      </c>
      <c r="J1321" s="53">
        <f t="shared" si="664"/>
        <v>80000</v>
      </c>
      <c r="K1321" s="63">
        <f t="shared" si="665"/>
        <v>0.16666666666666666</v>
      </c>
      <c r="L1321" s="792" t="s">
        <v>1446</v>
      </c>
      <c r="M1321" s="468"/>
      <c r="N1321" s="664">
        <f t="shared" si="663"/>
        <v>181001</v>
      </c>
      <c r="O1321" s="71" t="s">
        <v>150</v>
      </c>
      <c r="P1321" s="103" t="str">
        <f t="shared" si="656"/>
        <v>UV 마끼도리칼</v>
      </c>
      <c r="Q1321" s="71">
        <f t="shared" si="662"/>
        <v>10</v>
      </c>
      <c r="R1321" s="102">
        <v>40000</v>
      </c>
      <c r="S1321" s="102">
        <f>(R1321*D1321)*1.1</f>
        <v>440000.00000000006</v>
      </c>
      <c r="T1321" s="102">
        <f>(R1321*Q1321)</f>
        <v>400000</v>
      </c>
      <c r="U1321" s="71" t="str">
        <f>IF(J1321=W1321,"O", "X")</f>
        <v>O</v>
      </c>
      <c r="V1321" s="71"/>
      <c r="W1321" s="474">
        <f t="shared" ref="W1321:W1342" si="668">(G1321-T1321)</f>
        <v>80000</v>
      </c>
      <c r="X1321" s="71"/>
      <c r="Y1321" s="71"/>
    </row>
    <row r="1322" spans="1:25" ht="30" hidden="1" customHeight="1" x14ac:dyDescent="0.25">
      <c r="A1322" s="82">
        <v>181001</v>
      </c>
      <c r="B1322" s="664" t="s">
        <v>1051</v>
      </c>
      <c r="C1322" s="71" t="s">
        <v>951</v>
      </c>
      <c r="D1322" s="71">
        <v>500</v>
      </c>
      <c r="E1322" s="102">
        <v>3510</v>
      </c>
      <c r="F1322" s="102">
        <f t="shared" si="666"/>
        <v>1930500.0000000002</v>
      </c>
      <c r="G1322" s="102">
        <f t="shared" si="667"/>
        <v>1755000</v>
      </c>
      <c r="H1322" s="690" t="s">
        <v>142</v>
      </c>
      <c r="I1322" s="71" t="s">
        <v>140</v>
      </c>
      <c r="J1322" s="53">
        <f t="shared" si="664"/>
        <v>560000</v>
      </c>
      <c r="K1322" s="63">
        <f t="shared" si="665"/>
        <v>0.31908831908831903</v>
      </c>
      <c r="L1322" s="792" t="s">
        <v>1446</v>
      </c>
      <c r="M1322" s="468"/>
      <c r="N1322" s="664">
        <f>A1322</f>
        <v>181001</v>
      </c>
      <c r="O1322" s="71" t="s">
        <v>145</v>
      </c>
      <c r="P1322" s="103" t="str">
        <f t="shared" ref="P1322:P1385" si="669">C1322</f>
        <v>ENGAGE 30WEB(883*552)</v>
      </c>
      <c r="Q1322" s="71">
        <f t="shared" si="662"/>
        <v>500</v>
      </c>
      <c r="R1322" s="102">
        <v>2390</v>
      </c>
      <c r="S1322" s="102">
        <f>(R1322*D1322)*1.1</f>
        <v>1314500</v>
      </c>
      <c r="T1322" s="102">
        <f>(R1322*Q1322)</f>
        <v>1195000</v>
      </c>
      <c r="U1322" s="71" t="str">
        <f>IF(J1322=W1322,"O", "X")</f>
        <v>O</v>
      </c>
      <c r="V1322" s="71"/>
      <c r="W1322" s="474">
        <f t="shared" si="668"/>
        <v>560000</v>
      </c>
      <c r="X1322" s="71"/>
      <c r="Y1322" s="71"/>
    </row>
    <row r="1323" spans="1:25" ht="30" hidden="1" customHeight="1" x14ac:dyDescent="0.25">
      <c r="A1323" s="82">
        <v>181001</v>
      </c>
      <c r="B1323" s="664" t="s">
        <v>1051</v>
      </c>
      <c r="C1323" s="71" t="s">
        <v>524</v>
      </c>
      <c r="D1323" s="71">
        <v>500</v>
      </c>
      <c r="E1323" s="102">
        <v>3680</v>
      </c>
      <c r="F1323" s="102">
        <f t="shared" si="666"/>
        <v>2024000.0000000002</v>
      </c>
      <c r="G1323" s="102">
        <f t="shared" si="667"/>
        <v>1840000</v>
      </c>
      <c r="H1323" s="690" t="s">
        <v>142</v>
      </c>
      <c r="I1323" s="71" t="s">
        <v>140</v>
      </c>
      <c r="J1323" s="53">
        <f t="shared" si="664"/>
        <v>580000</v>
      </c>
      <c r="K1323" s="63">
        <f t="shared" si="665"/>
        <v>0.31521739130434778</v>
      </c>
      <c r="L1323" s="792" t="s">
        <v>1446</v>
      </c>
      <c r="M1323" s="468"/>
      <c r="N1323" s="664">
        <f>A1323</f>
        <v>181001</v>
      </c>
      <c r="O1323" s="71" t="s">
        <v>145</v>
      </c>
      <c r="P1323" s="103" t="str">
        <f t="shared" si="669"/>
        <v>ENGAGE 900X570 - 27RO</v>
      </c>
      <c r="Q1323" s="71">
        <f t="shared" ref="Q1323:Q1386" si="670">D1323</f>
        <v>500</v>
      </c>
      <c r="R1323" s="102">
        <v>2520</v>
      </c>
      <c r="S1323" s="102">
        <f>R1323*Q1323*1.1</f>
        <v>1386000</v>
      </c>
      <c r="T1323" s="102">
        <f>R1323*Q1323</f>
        <v>1260000</v>
      </c>
      <c r="U1323" s="71" t="str">
        <f>IF(J1323=W1323,"O", "X")</f>
        <v>O</v>
      </c>
      <c r="V1323" s="71"/>
      <c r="W1323" s="474">
        <f t="shared" si="668"/>
        <v>580000</v>
      </c>
      <c r="X1323" s="71"/>
      <c r="Y1323" s="71"/>
    </row>
    <row r="1324" spans="1:25" ht="30" hidden="1" customHeight="1" x14ac:dyDescent="0.25">
      <c r="A1324" s="82">
        <v>181001</v>
      </c>
      <c r="B1324" s="664" t="s">
        <v>1051</v>
      </c>
      <c r="C1324" s="71" t="s">
        <v>1383</v>
      </c>
      <c r="D1324" s="71">
        <v>500</v>
      </c>
      <c r="E1324" s="102">
        <v>6150</v>
      </c>
      <c r="F1324" s="102">
        <f t="shared" si="666"/>
        <v>3382500.0000000005</v>
      </c>
      <c r="G1324" s="102">
        <f t="shared" si="667"/>
        <v>3075000</v>
      </c>
      <c r="H1324" s="690" t="s">
        <v>142</v>
      </c>
      <c r="I1324" s="71" t="s">
        <v>140</v>
      </c>
      <c r="J1324" s="53">
        <f t="shared" si="664"/>
        <v>970000</v>
      </c>
      <c r="K1324" s="63">
        <f t="shared" si="665"/>
        <v>0.31544715447154464</v>
      </c>
      <c r="L1324" s="792" t="s">
        <v>1446</v>
      </c>
      <c r="M1324" s="468"/>
      <c r="N1324" s="664">
        <f>A1324</f>
        <v>181001</v>
      </c>
      <c r="O1324" s="71" t="s">
        <v>145</v>
      </c>
      <c r="P1324" s="103" t="str">
        <f t="shared" si="669"/>
        <v>ENGAGE 1055*811</v>
      </c>
      <c r="Q1324" s="71">
        <f t="shared" si="670"/>
        <v>500</v>
      </c>
      <c r="R1324" s="102">
        <v>4210</v>
      </c>
      <c r="S1324" s="102">
        <f>R1324*Q1324*1.1</f>
        <v>2315500</v>
      </c>
      <c r="T1324" s="102">
        <f>R1324*Q1324</f>
        <v>2105000</v>
      </c>
      <c r="U1324" s="71"/>
      <c r="V1324" s="71"/>
      <c r="W1324" s="474">
        <f t="shared" si="668"/>
        <v>970000</v>
      </c>
      <c r="X1324" s="71"/>
      <c r="Y1324" s="71"/>
    </row>
    <row r="1325" spans="1:25" ht="30" hidden="1" customHeight="1" x14ac:dyDescent="0.25">
      <c r="A1325" s="82">
        <v>181001</v>
      </c>
      <c r="B1325" s="664" t="s">
        <v>1051</v>
      </c>
      <c r="C1325" s="67" t="s">
        <v>1386</v>
      </c>
      <c r="D1325" s="71">
        <v>5</v>
      </c>
      <c r="E1325" s="102">
        <v>54000</v>
      </c>
      <c r="F1325" s="102">
        <f>(E1325*D1325)*1.1</f>
        <v>297000</v>
      </c>
      <c r="G1325" s="102">
        <f>(E1325*D1325)</f>
        <v>270000</v>
      </c>
      <c r="H1325" s="690" t="s">
        <v>142</v>
      </c>
      <c r="I1325" s="71" t="s">
        <v>140</v>
      </c>
      <c r="J1325" s="53">
        <f t="shared" si="664"/>
        <v>95000</v>
      </c>
      <c r="K1325" s="63">
        <f t="shared" si="665"/>
        <v>0.35185185185185186</v>
      </c>
      <c r="L1325" s="792" t="s">
        <v>1446</v>
      </c>
      <c r="M1325" s="468"/>
      <c r="N1325" s="664">
        <f>A1325</f>
        <v>181001</v>
      </c>
      <c r="O1325" s="71" t="s">
        <v>145</v>
      </c>
      <c r="P1325" s="103" t="str">
        <f t="shared" si="669"/>
        <v>THR200(20L)보충액</v>
      </c>
      <c r="Q1325" s="71">
        <f t="shared" si="670"/>
        <v>5</v>
      </c>
      <c r="R1325" s="102">
        <v>35000</v>
      </c>
      <c r="S1325" s="102">
        <f>R1325*Q1325*1.1</f>
        <v>192500.00000000003</v>
      </c>
      <c r="T1325" s="102">
        <f>R1325*Q1325</f>
        <v>175000</v>
      </c>
      <c r="U1325" s="71" t="str">
        <f t="shared" ref="U1325:U1341" si="671">IF(J1325=W1325,"O", "X")</f>
        <v>O</v>
      </c>
      <c r="V1325" s="71"/>
      <c r="W1325" s="474">
        <f t="shared" si="668"/>
        <v>95000</v>
      </c>
      <c r="X1325" s="71"/>
      <c r="Y1325" s="71"/>
    </row>
    <row r="1326" spans="1:25" ht="30" customHeight="1" x14ac:dyDescent="0.25">
      <c r="A1326" s="82">
        <v>181002</v>
      </c>
      <c r="B1326" s="664" t="s">
        <v>422</v>
      </c>
      <c r="C1326" s="71" t="s">
        <v>129</v>
      </c>
      <c r="D1326" s="71">
        <v>5</v>
      </c>
      <c r="E1326" s="102">
        <v>272000</v>
      </c>
      <c r="F1326" s="102">
        <f t="shared" si="666"/>
        <v>1496000.0000000002</v>
      </c>
      <c r="G1326" s="102">
        <f t="shared" si="667"/>
        <v>1360000</v>
      </c>
      <c r="H1326" s="690" t="s">
        <v>173</v>
      </c>
      <c r="I1326" s="71" t="s">
        <v>108</v>
      </c>
      <c r="J1326" s="53">
        <f>(G1326-(VLOOKUP(C1326,Price!B:D,3,FALSE)*D1326))</f>
        <v>320000</v>
      </c>
      <c r="K1326" s="63">
        <f t="shared" ref="K1326:K1341" si="672">(J1326/(F1326/11*10))</f>
        <v>0.23529411764705879</v>
      </c>
      <c r="L1326" s="792" t="s">
        <v>1446</v>
      </c>
      <c r="M1326" s="468"/>
      <c r="N1326" s="664">
        <f t="shared" si="663"/>
        <v>181002</v>
      </c>
      <c r="O1326" s="71" t="s">
        <v>149</v>
      </c>
      <c r="P1326" s="103" t="str">
        <f t="shared" si="669"/>
        <v>세정포-XL106</v>
      </c>
      <c r="Q1326" s="71">
        <f t="shared" si="670"/>
        <v>5</v>
      </c>
      <c r="R1326" s="102">
        <v>208000</v>
      </c>
      <c r="S1326" s="102">
        <f>R1326*Q1326*1.1</f>
        <v>1144000</v>
      </c>
      <c r="T1326" s="102">
        <f>R1326*Q1326</f>
        <v>1040000</v>
      </c>
      <c r="U1326" s="71" t="str">
        <f t="shared" si="671"/>
        <v>O</v>
      </c>
      <c r="V1326" s="71"/>
      <c r="W1326" s="474">
        <f t="shared" si="668"/>
        <v>320000</v>
      </c>
      <c r="X1326" s="71"/>
      <c r="Y1326" s="71"/>
    </row>
    <row r="1327" spans="1:25" ht="30" customHeight="1" x14ac:dyDescent="0.25">
      <c r="A1327" s="82">
        <v>181002</v>
      </c>
      <c r="B1327" s="664" t="s">
        <v>422</v>
      </c>
      <c r="C1327" s="71" t="s">
        <v>584</v>
      </c>
      <c r="D1327" s="71">
        <v>2</v>
      </c>
      <c r="E1327" s="102">
        <v>270000</v>
      </c>
      <c r="F1327" s="102">
        <f t="shared" si="666"/>
        <v>594000</v>
      </c>
      <c r="G1327" s="102">
        <f t="shared" si="667"/>
        <v>540000</v>
      </c>
      <c r="H1327" s="690" t="s">
        <v>173</v>
      </c>
      <c r="I1327" s="71" t="s">
        <v>142</v>
      </c>
      <c r="J1327" s="53">
        <f>(G1327-(VLOOKUP(C1327,Price!B:D,3,FALSE)*D1327))</f>
        <v>108000</v>
      </c>
      <c r="K1327" s="63">
        <f t="shared" si="672"/>
        <v>0.2</v>
      </c>
      <c r="L1327" s="792" t="s">
        <v>1446</v>
      </c>
      <c r="M1327" s="468"/>
      <c r="N1327" s="664">
        <f t="shared" si="663"/>
        <v>181002</v>
      </c>
      <c r="O1327" s="71" t="s">
        <v>150</v>
      </c>
      <c r="P1327" s="103" t="str">
        <f t="shared" si="669"/>
        <v>데리바리 석션벨트</v>
      </c>
      <c r="Q1327" s="71">
        <f t="shared" si="670"/>
        <v>2</v>
      </c>
      <c r="R1327" s="102">
        <v>216000</v>
      </c>
      <c r="S1327" s="102">
        <f>R1327*Q1327*1.1</f>
        <v>475200.00000000006</v>
      </c>
      <c r="T1327" s="102">
        <f>R1327*Q1327</f>
        <v>432000</v>
      </c>
      <c r="U1327" s="71" t="str">
        <f t="shared" si="671"/>
        <v>O</v>
      </c>
      <c r="V1327" s="71"/>
      <c r="W1327" s="474">
        <f t="shared" si="668"/>
        <v>108000</v>
      </c>
      <c r="X1327" s="71"/>
      <c r="Y1327" s="71"/>
    </row>
    <row r="1328" spans="1:25" s="209" customFormat="1" ht="30" customHeight="1" x14ac:dyDescent="0.2">
      <c r="A1328" s="82">
        <v>181002</v>
      </c>
      <c r="B1328" s="664" t="s">
        <v>422</v>
      </c>
      <c r="C1328" s="71" t="s">
        <v>138</v>
      </c>
      <c r="D1328" s="71">
        <v>10</v>
      </c>
      <c r="E1328" s="102">
        <v>68000</v>
      </c>
      <c r="F1328" s="163">
        <f t="shared" si="666"/>
        <v>748000.00000000012</v>
      </c>
      <c r="G1328" s="163">
        <f t="shared" si="667"/>
        <v>680000</v>
      </c>
      <c r="H1328" s="165" t="s">
        <v>172</v>
      </c>
      <c r="I1328" s="71" t="s">
        <v>109</v>
      </c>
      <c r="J1328" s="53">
        <f>(G1328-(VLOOKUP(C1328,Price!B:D,3,FALSE)*D1328))</f>
        <v>170000</v>
      </c>
      <c r="K1328" s="63">
        <f t="shared" si="672"/>
        <v>0.24999999999999994</v>
      </c>
      <c r="L1328" s="792" t="s">
        <v>1446</v>
      </c>
      <c r="M1328" s="468"/>
      <c r="N1328" s="664">
        <f t="shared" si="663"/>
        <v>181002</v>
      </c>
      <c r="O1328" s="71" t="s">
        <v>150</v>
      </c>
      <c r="P1328" s="103" t="str">
        <f t="shared" si="669"/>
        <v>매엽용 세척제(Wash 562)</v>
      </c>
      <c r="Q1328" s="71">
        <f t="shared" si="670"/>
        <v>10</v>
      </c>
      <c r="R1328" s="102">
        <v>51000</v>
      </c>
      <c r="S1328" s="102">
        <f>(R1328*D1328)*1.1</f>
        <v>561000</v>
      </c>
      <c r="T1328" s="102">
        <f>(R1328*Q1328)</f>
        <v>510000</v>
      </c>
      <c r="U1328" s="71" t="str">
        <f t="shared" si="671"/>
        <v>O</v>
      </c>
      <c r="V1328" s="71"/>
      <c r="W1328" s="474">
        <f t="shared" si="668"/>
        <v>170000</v>
      </c>
      <c r="X1328" s="71"/>
      <c r="Y1328" s="71"/>
    </row>
    <row r="1329" spans="1:25" ht="30" customHeight="1" x14ac:dyDescent="0.25">
      <c r="A1329" s="82">
        <v>181002</v>
      </c>
      <c r="B1329" s="664" t="s">
        <v>565</v>
      </c>
      <c r="C1329" s="71" t="s">
        <v>1125</v>
      </c>
      <c r="D1329" s="71">
        <v>2</v>
      </c>
      <c r="E1329" s="102">
        <v>47500</v>
      </c>
      <c r="F1329" s="102">
        <f t="shared" si="666"/>
        <v>104500.00000000001</v>
      </c>
      <c r="G1329" s="102">
        <f t="shared" si="667"/>
        <v>95000</v>
      </c>
      <c r="H1329" s="690" t="s">
        <v>173</v>
      </c>
      <c r="I1329" s="71" t="s">
        <v>142</v>
      </c>
      <c r="J1329" s="53">
        <f>G1329-T1329</f>
        <v>16600</v>
      </c>
      <c r="K1329" s="63">
        <f t="shared" si="672"/>
        <v>0.17473684210526313</v>
      </c>
      <c r="L1329" s="792" t="s">
        <v>1446</v>
      </c>
      <c r="M1329" s="468"/>
      <c r="N1329" s="664">
        <f t="shared" ref="N1329:N1337" si="673">A1329</f>
        <v>181002</v>
      </c>
      <c r="O1329" s="71" t="s">
        <v>150</v>
      </c>
      <c r="P1329" s="103" t="str">
        <f t="shared" si="669"/>
        <v>구리스</v>
      </c>
      <c r="Q1329" s="71">
        <f t="shared" si="670"/>
        <v>2</v>
      </c>
      <c r="R1329" s="102">
        <v>39200</v>
      </c>
      <c r="S1329" s="102">
        <f>R1329*Q1329*1.1</f>
        <v>86240</v>
      </c>
      <c r="T1329" s="102">
        <f>R1329*Q1329</f>
        <v>78400</v>
      </c>
      <c r="U1329" s="71" t="str">
        <f t="shared" si="671"/>
        <v>O</v>
      </c>
      <c r="V1329" s="71"/>
      <c r="W1329" s="474">
        <f t="shared" si="668"/>
        <v>16600</v>
      </c>
      <c r="X1329" s="71"/>
      <c r="Y1329" s="71"/>
    </row>
    <row r="1330" spans="1:25" ht="30" hidden="1" customHeight="1" x14ac:dyDescent="0.25">
      <c r="A1330" s="82">
        <v>181002</v>
      </c>
      <c r="B1330" s="664" t="s">
        <v>549</v>
      </c>
      <c r="C1330" s="71" t="s">
        <v>119</v>
      </c>
      <c r="D1330" s="71">
        <v>10</v>
      </c>
      <c r="E1330" s="102">
        <v>115000</v>
      </c>
      <c r="F1330" s="102">
        <f t="shared" si="666"/>
        <v>1265000</v>
      </c>
      <c r="G1330" s="102">
        <f t="shared" si="667"/>
        <v>1150000</v>
      </c>
      <c r="H1330" s="690" t="s">
        <v>173</v>
      </c>
      <c r="I1330" s="71" t="s">
        <v>109</v>
      </c>
      <c r="J1330" s="53">
        <f>(G1330-(VLOOKUP(C1330,Price!B:D,3,FALSE)*D1330))</f>
        <v>263000</v>
      </c>
      <c r="K1330" s="63">
        <f t="shared" si="672"/>
        <v>0.22869565217391305</v>
      </c>
      <c r="L1330" s="792" t="s">
        <v>1446</v>
      </c>
      <c r="M1330" s="468"/>
      <c r="N1330" s="664">
        <f t="shared" si="673"/>
        <v>181002</v>
      </c>
      <c r="O1330" s="71" t="s">
        <v>150</v>
      </c>
      <c r="P1330" s="103" t="str">
        <f t="shared" si="669"/>
        <v>미쯔비시 Blanket(1035*910)</v>
      </c>
      <c r="Q1330" s="71">
        <f t="shared" si="670"/>
        <v>10</v>
      </c>
      <c r="R1330" s="102">
        <v>88700</v>
      </c>
      <c r="S1330" s="102">
        <f>R1330*Q1330*1.1</f>
        <v>975700.00000000012</v>
      </c>
      <c r="T1330" s="102">
        <f>R1330*Q1330</f>
        <v>887000</v>
      </c>
      <c r="U1330" s="71" t="str">
        <f t="shared" si="671"/>
        <v>O</v>
      </c>
      <c r="V1330" s="71"/>
      <c r="W1330" s="474">
        <f t="shared" si="668"/>
        <v>263000</v>
      </c>
      <c r="X1330" s="71"/>
      <c r="Y1330" s="71"/>
    </row>
    <row r="1331" spans="1:25" s="209" customFormat="1" ht="30" hidden="1" customHeight="1" x14ac:dyDescent="0.25">
      <c r="A1331" s="82">
        <v>181002</v>
      </c>
      <c r="B1331" s="664" t="s">
        <v>445</v>
      </c>
      <c r="C1331" s="71" t="s">
        <v>277</v>
      </c>
      <c r="D1331" s="71">
        <v>5</v>
      </c>
      <c r="E1331" s="102">
        <v>172000</v>
      </c>
      <c r="F1331" s="102">
        <f t="shared" si="666"/>
        <v>946000.00000000012</v>
      </c>
      <c r="G1331" s="102">
        <f t="shared" si="667"/>
        <v>860000</v>
      </c>
      <c r="H1331" s="690" t="s">
        <v>173</v>
      </c>
      <c r="I1331" s="71" t="s">
        <v>108</v>
      </c>
      <c r="J1331" s="53">
        <f>(G1331-(VLOOKUP(C1331,Price!B:D,3,FALSE)*D1331))</f>
        <v>285000</v>
      </c>
      <c r="K1331" s="63">
        <f t="shared" si="672"/>
        <v>0.33139534883720928</v>
      </c>
      <c r="L1331" s="792" t="s">
        <v>1446</v>
      </c>
      <c r="M1331" s="468"/>
      <c r="N1331" s="664">
        <f t="shared" si="673"/>
        <v>181002</v>
      </c>
      <c r="O1331" s="71" t="s">
        <v>150</v>
      </c>
      <c r="P1331" s="103" t="str">
        <f t="shared" si="669"/>
        <v>윤전용 세척제(Web 504)</v>
      </c>
      <c r="Q1331" s="71">
        <f t="shared" si="670"/>
        <v>5</v>
      </c>
      <c r="R1331" s="102">
        <v>115000</v>
      </c>
      <c r="S1331" s="102">
        <f>(R1331*D1331)*1.1</f>
        <v>632500</v>
      </c>
      <c r="T1331" s="102">
        <f>(R1331*Q1331)</f>
        <v>575000</v>
      </c>
      <c r="U1331" s="71" t="str">
        <f t="shared" si="671"/>
        <v>O</v>
      </c>
      <c r="V1331" s="71"/>
      <c r="W1331" s="474">
        <f t="shared" si="668"/>
        <v>285000</v>
      </c>
      <c r="X1331" s="71"/>
      <c r="Y1331" s="71"/>
    </row>
    <row r="1332" spans="1:25" s="209" customFormat="1" ht="30" hidden="1" customHeight="1" x14ac:dyDescent="0.2">
      <c r="A1332" s="82">
        <v>181002</v>
      </c>
      <c r="B1332" s="664" t="s">
        <v>445</v>
      </c>
      <c r="C1332" s="71" t="s">
        <v>138</v>
      </c>
      <c r="D1332" s="71">
        <v>10</v>
      </c>
      <c r="E1332" s="102">
        <v>59500</v>
      </c>
      <c r="F1332" s="163">
        <f t="shared" si="666"/>
        <v>654500</v>
      </c>
      <c r="G1332" s="163">
        <f t="shared" si="667"/>
        <v>595000</v>
      </c>
      <c r="H1332" s="165" t="s">
        <v>172</v>
      </c>
      <c r="I1332" s="71" t="s">
        <v>108</v>
      </c>
      <c r="J1332" s="53">
        <f>(G1332-(VLOOKUP(C1332,Price!B:D,3,FALSE)*D1332))</f>
        <v>85000</v>
      </c>
      <c r="K1332" s="63">
        <f t="shared" si="672"/>
        <v>0.14285714285714285</v>
      </c>
      <c r="L1332" s="792" t="s">
        <v>1446</v>
      </c>
      <c r="M1332" s="468"/>
      <c r="N1332" s="664">
        <f t="shared" si="673"/>
        <v>181002</v>
      </c>
      <c r="O1332" s="71" t="s">
        <v>150</v>
      </c>
      <c r="P1332" s="103" t="str">
        <f t="shared" si="669"/>
        <v>매엽용 세척제(Wash 562)</v>
      </c>
      <c r="Q1332" s="71">
        <f t="shared" si="670"/>
        <v>10</v>
      </c>
      <c r="R1332" s="102">
        <v>51000</v>
      </c>
      <c r="S1332" s="102">
        <f>(R1332*D1332)*1.1</f>
        <v>561000</v>
      </c>
      <c r="T1332" s="102">
        <f>(R1332*Q1332)</f>
        <v>510000</v>
      </c>
      <c r="U1332" s="71" t="str">
        <f t="shared" si="671"/>
        <v>O</v>
      </c>
      <c r="V1332" s="71"/>
      <c r="W1332" s="474">
        <f t="shared" si="668"/>
        <v>85000</v>
      </c>
      <c r="X1332" s="71"/>
      <c r="Y1332" s="71"/>
    </row>
    <row r="1333" spans="1:25" s="209" customFormat="1" ht="30" hidden="1" customHeight="1" x14ac:dyDescent="0.2">
      <c r="A1333" s="82">
        <v>181004</v>
      </c>
      <c r="B1333" s="664" t="s">
        <v>1014</v>
      </c>
      <c r="C1333" s="71" t="s">
        <v>1556</v>
      </c>
      <c r="D1333" s="71">
        <v>2</v>
      </c>
      <c r="E1333" s="102">
        <v>180000</v>
      </c>
      <c r="F1333" s="163">
        <f t="shared" si="666"/>
        <v>396000.00000000006</v>
      </c>
      <c r="G1333" s="163">
        <f t="shared" si="667"/>
        <v>360000</v>
      </c>
      <c r="H1333" s="165" t="s">
        <v>173</v>
      </c>
      <c r="I1333" s="71" t="s">
        <v>142</v>
      </c>
      <c r="J1333" s="53">
        <f>G1333-T1333</f>
        <v>304161.90633091523</v>
      </c>
      <c r="K1333" s="63">
        <f>(J1333/(F1333/11*10))</f>
        <v>0.84489418425254215</v>
      </c>
      <c r="L1333" s="792" t="s">
        <v>1446</v>
      </c>
      <c r="M1333" s="468"/>
      <c r="N1333" s="664">
        <f t="shared" si="673"/>
        <v>181004</v>
      </c>
      <c r="O1333" s="71" t="s">
        <v>1443</v>
      </c>
      <c r="P1333" s="103" t="str">
        <f t="shared" si="669"/>
        <v>SuperRaster Dampening Cleaner</v>
      </c>
      <c r="Q1333" s="71">
        <f t="shared" si="670"/>
        <v>2</v>
      </c>
      <c r="R1333" s="102">
        <f>Import!G724</f>
        <v>27919.046834542376</v>
      </c>
      <c r="S1333" s="102">
        <f>(R1333*D1333)*1.1</f>
        <v>61421.903035993229</v>
      </c>
      <c r="T1333" s="102">
        <f>(R1333*Q1333)</f>
        <v>55838.093669084752</v>
      </c>
      <c r="U1333" s="71" t="str">
        <f t="shared" si="671"/>
        <v>O</v>
      </c>
      <c r="V1333" s="71"/>
      <c r="W1333" s="474">
        <f t="shared" si="668"/>
        <v>304161.90633091523</v>
      </c>
      <c r="X1333" s="71"/>
      <c r="Y1333" s="71"/>
    </row>
    <row r="1334" spans="1:25" ht="30" hidden="1" customHeight="1" x14ac:dyDescent="0.25">
      <c r="A1334" s="82">
        <v>181004</v>
      </c>
      <c r="B1334" s="664" t="s">
        <v>1014</v>
      </c>
      <c r="C1334" s="71" t="s">
        <v>1618</v>
      </c>
      <c r="D1334" s="71">
        <v>5</v>
      </c>
      <c r="E1334" s="102">
        <v>50000</v>
      </c>
      <c r="F1334" s="102">
        <f>(E1334*D1334)*1.1</f>
        <v>275000</v>
      </c>
      <c r="G1334" s="102">
        <f>(E1334*D1334)</f>
        <v>250000</v>
      </c>
      <c r="H1334" s="1010" t="s">
        <v>39</v>
      </c>
      <c r="I1334" s="71"/>
      <c r="J1334" s="53">
        <f>G1334-T1334</f>
        <v>135000</v>
      </c>
      <c r="K1334" s="63">
        <f>(J1334/(F1334/11*10))</f>
        <v>0.54</v>
      </c>
      <c r="L1334" s="792" t="s">
        <v>1446</v>
      </c>
      <c r="M1334" s="468"/>
      <c r="N1334" s="664">
        <f t="shared" si="673"/>
        <v>181004</v>
      </c>
      <c r="O1334" s="991" t="s">
        <v>39</v>
      </c>
      <c r="P1334" s="103" t="str">
        <f t="shared" si="669"/>
        <v>필터백(소형)</v>
      </c>
      <c r="Q1334" s="71">
        <f t="shared" si="670"/>
        <v>5</v>
      </c>
      <c r="R1334" s="102">
        <v>23000</v>
      </c>
      <c r="S1334" s="102">
        <f>R1334*Q1334*1.1</f>
        <v>126500.00000000001</v>
      </c>
      <c r="T1334" s="102">
        <f>R1334*Q1334</f>
        <v>115000</v>
      </c>
      <c r="U1334" s="71" t="str">
        <f t="shared" si="671"/>
        <v>O</v>
      </c>
      <c r="V1334" s="71"/>
      <c r="W1334" s="474">
        <f t="shared" si="668"/>
        <v>135000</v>
      </c>
      <c r="X1334" s="71"/>
      <c r="Y1334" s="71"/>
    </row>
    <row r="1335" spans="1:25" ht="30" hidden="1" customHeight="1" x14ac:dyDescent="0.25">
      <c r="A1335" s="82">
        <v>181004</v>
      </c>
      <c r="B1335" s="664" t="s">
        <v>545</v>
      </c>
      <c r="C1335" s="71" t="s">
        <v>952</v>
      </c>
      <c r="D1335" s="71">
        <v>1</v>
      </c>
      <c r="E1335" s="102">
        <v>630000</v>
      </c>
      <c r="F1335" s="102">
        <f>(E1335*D1335)*1.1</f>
        <v>693000</v>
      </c>
      <c r="G1335" s="102">
        <f>(E1335*D1335)</f>
        <v>630000</v>
      </c>
      <c r="H1335" s="690" t="s">
        <v>173</v>
      </c>
      <c r="I1335" s="71" t="s">
        <v>108</v>
      </c>
      <c r="J1335" s="53">
        <f>(G1335-(VLOOKUP(C1335,Price!B:D,3,FALSE)*D1335))</f>
        <v>180000</v>
      </c>
      <c r="K1335" s="63">
        <f>(J1335/(F1335/11*10))</f>
        <v>0.2857142857142857</v>
      </c>
      <c r="L1335" s="792" t="s">
        <v>1446</v>
      </c>
      <c r="M1335" s="468"/>
      <c r="N1335" s="664">
        <f t="shared" si="673"/>
        <v>181004</v>
      </c>
      <c r="O1335" s="71" t="s">
        <v>599</v>
      </c>
      <c r="P1335" s="103" t="str">
        <f t="shared" si="669"/>
        <v>점보롤 세정포</v>
      </c>
      <c r="Q1335" s="71">
        <f t="shared" si="670"/>
        <v>1</v>
      </c>
      <c r="R1335" s="102">
        <v>440000</v>
      </c>
      <c r="S1335" s="102">
        <f>R1335*Q1335*1.1</f>
        <v>484000.00000000006</v>
      </c>
      <c r="T1335" s="102">
        <f>R1335*Q1335</f>
        <v>440000</v>
      </c>
      <c r="U1335" s="71" t="str">
        <f t="shared" si="671"/>
        <v>X</v>
      </c>
      <c r="V1335" s="71" t="s">
        <v>1228</v>
      </c>
      <c r="W1335" s="474">
        <f t="shared" si="668"/>
        <v>190000</v>
      </c>
      <c r="X1335" s="71"/>
      <c r="Y1335" s="71"/>
    </row>
    <row r="1336" spans="1:25" s="209" customFormat="1" ht="30" hidden="1" customHeight="1" x14ac:dyDescent="0.2">
      <c r="A1336" s="82">
        <v>181004</v>
      </c>
      <c r="B1336" s="664" t="s">
        <v>1155</v>
      </c>
      <c r="C1336" s="71" t="s">
        <v>1392</v>
      </c>
      <c r="D1336" s="71">
        <v>1</v>
      </c>
      <c r="E1336" s="102">
        <v>5500000</v>
      </c>
      <c r="F1336" s="163">
        <f t="shared" si="666"/>
        <v>6050000.0000000009</v>
      </c>
      <c r="G1336" s="163">
        <f t="shared" si="667"/>
        <v>5500000</v>
      </c>
      <c r="H1336" s="941" t="s">
        <v>113</v>
      </c>
      <c r="I1336" s="71"/>
      <c r="J1336" s="53">
        <f>G1336-T1336</f>
        <v>997232.5</v>
      </c>
      <c r="K1336" s="63">
        <f>(J1336/(F1336/11*10))</f>
        <v>0.18131499999999998</v>
      </c>
      <c r="L1336" s="792" t="s">
        <v>1446</v>
      </c>
      <c r="M1336" s="468"/>
      <c r="N1336" s="664">
        <f t="shared" si="673"/>
        <v>181004</v>
      </c>
      <c r="O1336" s="71" t="s">
        <v>1431</v>
      </c>
      <c r="P1336" s="103" t="str">
        <f t="shared" si="669"/>
        <v>자동 판걸이 튜브</v>
      </c>
      <c r="Q1336" s="71">
        <f t="shared" si="670"/>
        <v>1</v>
      </c>
      <c r="R1336" s="102">
        <f>Import!G128</f>
        <v>4502767.5</v>
      </c>
      <c r="S1336" s="102">
        <f>(R1336*D1336)*1.1</f>
        <v>4953044.25</v>
      </c>
      <c r="T1336" s="102">
        <f>(R1336*Q1336)</f>
        <v>4502767.5</v>
      </c>
      <c r="U1336" s="71" t="str">
        <f t="shared" si="671"/>
        <v>O</v>
      </c>
      <c r="V1336" s="71"/>
      <c r="W1336" s="474">
        <f t="shared" si="668"/>
        <v>997232.5</v>
      </c>
      <c r="X1336" s="71"/>
      <c r="Y1336" s="71"/>
    </row>
    <row r="1337" spans="1:25" ht="30" hidden="1" customHeight="1" x14ac:dyDescent="0.25">
      <c r="A1337" s="82">
        <v>181004</v>
      </c>
      <c r="B1337" s="664" t="s">
        <v>1051</v>
      </c>
      <c r="C1337" s="71" t="s">
        <v>524</v>
      </c>
      <c r="D1337" s="71">
        <v>1000</v>
      </c>
      <c r="E1337" s="102">
        <v>3680</v>
      </c>
      <c r="F1337" s="102">
        <f>(E1337*D1337)*1.1</f>
        <v>4048000.0000000005</v>
      </c>
      <c r="G1337" s="102">
        <f>(E1337*D1337)</f>
        <v>3680000</v>
      </c>
      <c r="H1337" s="690" t="s">
        <v>142</v>
      </c>
      <c r="I1337" s="71" t="s">
        <v>140</v>
      </c>
      <c r="J1337" s="53">
        <f>G1337-T1337</f>
        <v>1160000</v>
      </c>
      <c r="K1337" s="63">
        <f>(J1337/(F1337/11*10))</f>
        <v>0.31521739130434778</v>
      </c>
      <c r="L1337" s="792" t="s">
        <v>1446</v>
      </c>
      <c r="M1337" s="468"/>
      <c r="N1337" s="664">
        <f t="shared" si="673"/>
        <v>181004</v>
      </c>
      <c r="O1337" s="71" t="s">
        <v>145</v>
      </c>
      <c r="P1337" s="103" t="str">
        <f t="shared" si="669"/>
        <v>ENGAGE 900X570 - 27RO</v>
      </c>
      <c r="Q1337" s="71">
        <f t="shared" si="670"/>
        <v>1000</v>
      </c>
      <c r="R1337" s="102">
        <v>2520</v>
      </c>
      <c r="S1337" s="102">
        <f t="shared" ref="S1337:S1342" si="674">R1337*Q1337*1.1</f>
        <v>2772000</v>
      </c>
      <c r="T1337" s="102">
        <f t="shared" ref="T1337:T1342" si="675">R1337*Q1337</f>
        <v>2520000</v>
      </c>
      <c r="U1337" s="71" t="str">
        <f t="shared" si="671"/>
        <v>O</v>
      </c>
      <c r="V1337" s="71"/>
      <c r="W1337" s="474">
        <f t="shared" si="668"/>
        <v>1160000</v>
      </c>
      <c r="X1337" s="71"/>
      <c r="Y1337" s="71"/>
    </row>
    <row r="1338" spans="1:25" ht="30" hidden="1" customHeight="1" x14ac:dyDescent="0.25">
      <c r="A1338" s="82">
        <v>181005</v>
      </c>
      <c r="B1338" s="664" t="s">
        <v>442</v>
      </c>
      <c r="C1338" s="71" t="s">
        <v>133</v>
      </c>
      <c r="D1338" s="71">
        <v>2</v>
      </c>
      <c r="E1338" s="102">
        <v>327000</v>
      </c>
      <c r="F1338" s="102">
        <f t="shared" si="666"/>
        <v>719400</v>
      </c>
      <c r="G1338" s="102">
        <f t="shared" si="667"/>
        <v>654000</v>
      </c>
      <c r="H1338" s="690" t="s">
        <v>173</v>
      </c>
      <c r="I1338" s="71" t="s">
        <v>141</v>
      </c>
      <c r="J1338" s="53">
        <f>(G1338-(VLOOKUP(C1338,Price!B:D,3,FALSE)*D1338))</f>
        <v>115800</v>
      </c>
      <c r="K1338" s="63">
        <f t="shared" si="672"/>
        <v>0.17706422018348625</v>
      </c>
      <c r="L1338" s="792" t="s">
        <v>1446</v>
      </c>
      <c r="M1338" s="468"/>
      <c r="N1338" s="664">
        <f t="shared" ref="N1338:N1349" si="676">A1338</f>
        <v>181005</v>
      </c>
      <c r="O1338" s="71" t="s">
        <v>145</v>
      </c>
      <c r="P1338" s="103" t="str">
        <f t="shared" si="669"/>
        <v>Agfa Film(24inch)</v>
      </c>
      <c r="Q1338" s="71">
        <f t="shared" si="670"/>
        <v>2</v>
      </c>
      <c r="R1338" s="102">
        <v>269100</v>
      </c>
      <c r="S1338" s="102">
        <f t="shared" si="674"/>
        <v>592020</v>
      </c>
      <c r="T1338" s="102">
        <f t="shared" si="675"/>
        <v>538200</v>
      </c>
      <c r="U1338" s="71" t="str">
        <f t="shared" si="671"/>
        <v>O</v>
      </c>
      <c r="V1338" s="71"/>
      <c r="W1338" s="474">
        <f t="shared" si="668"/>
        <v>115800</v>
      </c>
      <c r="X1338" s="71"/>
      <c r="Y1338" s="71"/>
    </row>
    <row r="1339" spans="1:25" ht="30" hidden="1" customHeight="1" x14ac:dyDescent="0.25">
      <c r="A1339" s="82">
        <v>181005</v>
      </c>
      <c r="B1339" s="664" t="s">
        <v>442</v>
      </c>
      <c r="C1339" s="71" t="s">
        <v>134</v>
      </c>
      <c r="D1339" s="71">
        <v>2</v>
      </c>
      <c r="E1339" s="102">
        <v>401000</v>
      </c>
      <c r="F1339" s="102">
        <f t="shared" si="666"/>
        <v>882200.00000000012</v>
      </c>
      <c r="G1339" s="102">
        <f t="shared" si="667"/>
        <v>802000</v>
      </c>
      <c r="H1339" s="690" t="s">
        <v>173</v>
      </c>
      <c r="I1339" s="71" t="s">
        <v>141</v>
      </c>
      <c r="J1339" s="53">
        <f>(G1339-(VLOOKUP(C1339,Price!B:D,3,FALSE)*D1339))</f>
        <v>174080</v>
      </c>
      <c r="K1339" s="63">
        <f t="shared" si="672"/>
        <v>0.21705735660847877</v>
      </c>
      <c r="L1339" s="792" t="s">
        <v>1446</v>
      </c>
      <c r="M1339" s="468"/>
      <c r="N1339" s="664">
        <f t="shared" si="676"/>
        <v>181005</v>
      </c>
      <c r="O1339" s="71" t="s">
        <v>145</v>
      </c>
      <c r="P1339" s="103" t="str">
        <f t="shared" si="669"/>
        <v>Agfa Film(28inch)</v>
      </c>
      <c r="Q1339" s="71">
        <f t="shared" si="670"/>
        <v>2</v>
      </c>
      <c r="R1339" s="102">
        <v>313960</v>
      </c>
      <c r="S1339" s="102">
        <f t="shared" si="674"/>
        <v>690712</v>
      </c>
      <c r="T1339" s="102">
        <f t="shared" si="675"/>
        <v>627920</v>
      </c>
      <c r="U1339" s="71" t="str">
        <f t="shared" si="671"/>
        <v>O</v>
      </c>
      <c r="V1339" s="71"/>
      <c r="W1339" s="474">
        <f t="shared" si="668"/>
        <v>174080</v>
      </c>
      <c r="X1339" s="71"/>
      <c r="Y1339" s="71"/>
    </row>
    <row r="1340" spans="1:25" ht="30" hidden="1" customHeight="1" x14ac:dyDescent="0.25">
      <c r="A1340" s="82">
        <v>181005</v>
      </c>
      <c r="B1340" s="664" t="s">
        <v>442</v>
      </c>
      <c r="C1340" s="71" t="s">
        <v>135</v>
      </c>
      <c r="D1340" s="71">
        <v>2</v>
      </c>
      <c r="E1340" s="102">
        <v>448000</v>
      </c>
      <c r="F1340" s="102">
        <f t="shared" si="666"/>
        <v>985600.00000000012</v>
      </c>
      <c r="G1340" s="102">
        <f t="shared" si="667"/>
        <v>896000</v>
      </c>
      <c r="H1340" s="690" t="s">
        <v>173</v>
      </c>
      <c r="I1340" s="71" t="s">
        <v>141</v>
      </c>
      <c r="J1340" s="53">
        <f>(G1340-(VLOOKUP(C1340,Price!B:D,3,FALSE)*D1340))</f>
        <v>155980</v>
      </c>
      <c r="K1340" s="63">
        <f t="shared" si="672"/>
        <v>0.1740848214285714</v>
      </c>
      <c r="L1340" s="792" t="s">
        <v>1446</v>
      </c>
      <c r="M1340" s="468"/>
      <c r="N1340" s="664">
        <f t="shared" si="676"/>
        <v>181005</v>
      </c>
      <c r="O1340" s="71" t="s">
        <v>145</v>
      </c>
      <c r="P1340" s="103" t="str">
        <f t="shared" si="669"/>
        <v>Agfa Film(32inch)</v>
      </c>
      <c r="Q1340" s="71">
        <f t="shared" si="670"/>
        <v>2</v>
      </c>
      <c r="R1340" s="102">
        <v>370010</v>
      </c>
      <c r="S1340" s="102">
        <f t="shared" si="674"/>
        <v>814022.00000000012</v>
      </c>
      <c r="T1340" s="102">
        <f t="shared" si="675"/>
        <v>740020</v>
      </c>
      <c r="U1340" s="71" t="str">
        <f t="shared" si="671"/>
        <v>O</v>
      </c>
      <c r="V1340" s="71"/>
      <c r="W1340" s="474">
        <f t="shared" si="668"/>
        <v>155980</v>
      </c>
      <c r="X1340" s="71"/>
      <c r="Y1340" s="71"/>
    </row>
    <row r="1341" spans="1:25" ht="30" hidden="1" customHeight="1" x14ac:dyDescent="0.25">
      <c r="A1341" s="82">
        <v>181005</v>
      </c>
      <c r="B1341" s="664" t="s">
        <v>442</v>
      </c>
      <c r="C1341" s="71" t="s">
        <v>649</v>
      </c>
      <c r="D1341" s="71">
        <v>3</v>
      </c>
      <c r="E1341" s="102">
        <v>41000</v>
      </c>
      <c r="F1341" s="102">
        <f t="shared" si="666"/>
        <v>135300</v>
      </c>
      <c r="G1341" s="102">
        <f t="shared" si="667"/>
        <v>123000</v>
      </c>
      <c r="H1341" s="690" t="s">
        <v>173</v>
      </c>
      <c r="I1341" s="71" t="s">
        <v>141</v>
      </c>
      <c r="J1341" s="53">
        <f>(G1341-(VLOOKUP(C1341,Price!B:D,3,FALSE)*D1341))</f>
        <v>48000</v>
      </c>
      <c r="K1341" s="63">
        <f t="shared" si="672"/>
        <v>0.3902439024390244</v>
      </c>
      <c r="L1341" s="792" t="s">
        <v>1446</v>
      </c>
      <c r="M1341" s="468"/>
      <c r="N1341" s="664">
        <f t="shared" si="676"/>
        <v>181005</v>
      </c>
      <c r="O1341" s="71" t="s">
        <v>145</v>
      </c>
      <c r="P1341" s="103" t="str">
        <f t="shared" si="669"/>
        <v>Agfa 현상액 G101C(10L)</v>
      </c>
      <c r="Q1341" s="71">
        <f t="shared" si="670"/>
        <v>3</v>
      </c>
      <c r="R1341" s="102">
        <f>VLOOKUP(P1341,Price!B:D,3,FALSE)</f>
        <v>25000</v>
      </c>
      <c r="S1341" s="102">
        <f t="shared" si="674"/>
        <v>82500</v>
      </c>
      <c r="T1341" s="102">
        <f t="shared" si="675"/>
        <v>75000</v>
      </c>
      <c r="U1341" s="71" t="str">
        <f t="shared" si="671"/>
        <v>O</v>
      </c>
      <c r="V1341" s="71"/>
      <c r="W1341" s="474">
        <f t="shared" si="668"/>
        <v>48000</v>
      </c>
      <c r="X1341" s="71"/>
      <c r="Y1341" s="71"/>
    </row>
    <row r="1342" spans="1:25" ht="30" hidden="1" customHeight="1" x14ac:dyDescent="0.25">
      <c r="A1342" s="82">
        <v>181005</v>
      </c>
      <c r="B1342" s="664" t="s">
        <v>1051</v>
      </c>
      <c r="C1342" s="71" t="s">
        <v>1383</v>
      </c>
      <c r="D1342" s="71">
        <v>500</v>
      </c>
      <c r="E1342" s="102">
        <v>6150</v>
      </c>
      <c r="F1342" s="102">
        <f t="shared" ref="F1342:F1375" si="677">(E1342*D1342)*1.1</f>
        <v>3382500.0000000005</v>
      </c>
      <c r="G1342" s="102">
        <f t="shared" ref="G1342:G1375" si="678">(E1342*D1342)</f>
        <v>3075000</v>
      </c>
      <c r="H1342" s="690" t="s">
        <v>142</v>
      </c>
      <c r="I1342" s="71" t="s">
        <v>140</v>
      </c>
      <c r="J1342" s="53">
        <f>G1342-T1342</f>
        <v>970000</v>
      </c>
      <c r="K1342" s="63">
        <f t="shared" ref="K1342:K1354" si="679">(J1342/(F1342/11*10))</f>
        <v>0.31544715447154464</v>
      </c>
      <c r="L1342" s="792" t="s">
        <v>1446</v>
      </c>
      <c r="M1342" s="468"/>
      <c r="N1342" s="664">
        <f t="shared" si="676"/>
        <v>181005</v>
      </c>
      <c r="O1342" s="71" t="s">
        <v>145</v>
      </c>
      <c r="P1342" s="103" t="str">
        <f t="shared" si="669"/>
        <v>ENGAGE 1055*811</v>
      </c>
      <c r="Q1342" s="71">
        <f t="shared" si="670"/>
        <v>500</v>
      </c>
      <c r="R1342" s="102">
        <v>4210</v>
      </c>
      <c r="S1342" s="102">
        <f t="shared" si="674"/>
        <v>2315500</v>
      </c>
      <c r="T1342" s="102">
        <f t="shared" si="675"/>
        <v>2105000</v>
      </c>
      <c r="U1342" s="71"/>
      <c r="V1342" s="71"/>
      <c r="W1342" s="474">
        <f t="shared" si="668"/>
        <v>970000</v>
      </c>
      <c r="X1342" s="71"/>
      <c r="Y1342" s="71"/>
    </row>
    <row r="1343" spans="1:25" ht="30" hidden="1" customHeight="1" x14ac:dyDescent="0.25">
      <c r="A1343" s="82">
        <v>181005</v>
      </c>
      <c r="B1343" s="664" t="s">
        <v>1051</v>
      </c>
      <c r="C1343" s="71" t="s">
        <v>1294</v>
      </c>
      <c r="D1343" s="71">
        <v>700</v>
      </c>
      <c r="E1343" s="102">
        <v>5850</v>
      </c>
      <c r="F1343" s="102">
        <f t="shared" si="677"/>
        <v>4504500</v>
      </c>
      <c r="G1343" s="102">
        <f t="shared" si="678"/>
        <v>4095000</v>
      </c>
      <c r="H1343" s="690" t="s">
        <v>142</v>
      </c>
      <c r="I1343" s="71" t="s">
        <v>140</v>
      </c>
      <c r="J1343" s="53">
        <f>G1343-T1343</f>
        <v>1295000</v>
      </c>
      <c r="K1343" s="63">
        <f t="shared" si="679"/>
        <v>0.31623931623931623</v>
      </c>
      <c r="L1343" s="792" t="s">
        <v>1446</v>
      </c>
      <c r="M1343" s="468"/>
      <c r="N1343" s="664">
        <f>A1343</f>
        <v>181005</v>
      </c>
      <c r="O1343" s="71" t="s">
        <v>145</v>
      </c>
      <c r="P1343" s="103" t="str">
        <f t="shared" si="669"/>
        <v>ENGAGE 1030*790</v>
      </c>
      <c r="Q1343" s="71">
        <f t="shared" si="670"/>
        <v>700</v>
      </c>
      <c r="R1343" s="102">
        <v>4000</v>
      </c>
      <c r="S1343" s="102">
        <f>(R1343*D1343)*1.1</f>
        <v>3080000.0000000005</v>
      </c>
      <c r="T1343" s="102">
        <f>(R1343*Q1343)</f>
        <v>2800000</v>
      </c>
      <c r="U1343" s="71" t="str">
        <f t="shared" ref="U1343:U1358" si="680">IF(J1343=W1343,"O", "X")</f>
        <v>X</v>
      </c>
      <c r="V1343" s="71"/>
      <c r="W1343" s="474"/>
      <c r="X1343" s="71"/>
      <c r="Y1343" s="71"/>
    </row>
    <row r="1344" spans="1:25" ht="30" hidden="1" customHeight="1" x14ac:dyDescent="0.25">
      <c r="A1344" s="82">
        <v>181005</v>
      </c>
      <c r="B1344" s="664" t="s">
        <v>1286</v>
      </c>
      <c r="C1344" s="760" t="s">
        <v>218</v>
      </c>
      <c r="D1344" s="71">
        <v>5</v>
      </c>
      <c r="E1344" s="102">
        <v>192500</v>
      </c>
      <c r="F1344" s="102">
        <f t="shared" si="677"/>
        <v>1058750</v>
      </c>
      <c r="G1344" s="102">
        <f t="shared" si="678"/>
        <v>962500</v>
      </c>
      <c r="H1344" s="690" t="s">
        <v>173</v>
      </c>
      <c r="I1344" s="71" t="s">
        <v>120</v>
      </c>
      <c r="J1344" s="53">
        <f>(G1344-(VLOOKUP(C1344,Price!B:D,3,FALSE)*D1344))</f>
        <v>400000</v>
      </c>
      <c r="K1344" s="63">
        <f t="shared" si="679"/>
        <v>0.41558441558441561</v>
      </c>
      <c r="L1344" s="792" t="s">
        <v>1446</v>
      </c>
      <c r="M1344" s="468"/>
      <c r="N1344" s="664">
        <f t="shared" si="676"/>
        <v>181005</v>
      </c>
      <c r="O1344" s="71" t="s">
        <v>150</v>
      </c>
      <c r="P1344" s="103" t="str">
        <f t="shared" si="669"/>
        <v>Fount Web 551AF</v>
      </c>
      <c r="Q1344" s="71">
        <f t="shared" si="670"/>
        <v>5</v>
      </c>
      <c r="R1344" s="102">
        <v>112500</v>
      </c>
      <c r="S1344" s="102">
        <f>R1344*Q1344*1.1</f>
        <v>618750</v>
      </c>
      <c r="T1344" s="102">
        <f>R1344*Q1344</f>
        <v>562500</v>
      </c>
      <c r="U1344" s="71" t="str">
        <f t="shared" si="680"/>
        <v>O</v>
      </c>
      <c r="V1344" s="71"/>
      <c r="W1344" s="474">
        <f>(G1344-T1344)</f>
        <v>400000</v>
      </c>
      <c r="X1344" s="71"/>
      <c r="Y1344" s="71"/>
    </row>
    <row r="1345" spans="1:25" s="209" customFormat="1" ht="30" hidden="1" customHeight="1" x14ac:dyDescent="0.2">
      <c r="A1345" s="82">
        <v>181005</v>
      </c>
      <c r="B1345" s="664" t="s">
        <v>1286</v>
      </c>
      <c r="C1345" s="71" t="s">
        <v>231</v>
      </c>
      <c r="D1345" s="71">
        <v>5</v>
      </c>
      <c r="E1345" s="102">
        <v>120000</v>
      </c>
      <c r="F1345" s="163">
        <f t="shared" si="677"/>
        <v>660000</v>
      </c>
      <c r="G1345" s="163">
        <f t="shared" si="678"/>
        <v>600000</v>
      </c>
      <c r="H1345" s="165" t="s">
        <v>172</v>
      </c>
      <c r="I1345" s="71" t="s">
        <v>109</v>
      </c>
      <c r="J1345" s="53">
        <f>(G1345-(VLOOKUP(C1345,Price!B:D,3,FALSE)*D1345))</f>
        <v>40000</v>
      </c>
      <c r="K1345" s="63">
        <f t="shared" si="679"/>
        <v>6.6666666666666666E-2</v>
      </c>
      <c r="L1345" s="792" t="s">
        <v>1446</v>
      </c>
      <c r="M1345" s="468"/>
      <c r="N1345" s="664">
        <f t="shared" si="676"/>
        <v>181005</v>
      </c>
      <c r="O1345" s="71" t="s">
        <v>151</v>
      </c>
      <c r="P1345" s="103" t="str">
        <f t="shared" si="669"/>
        <v>Blanket(990*725)</v>
      </c>
      <c r="Q1345" s="71">
        <f t="shared" si="670"/>
        <v>5</v>
      </c>
      <c r="R1345" s="102">
        <v>112000</v>
      </c>
      <c r="S1345" s="102">
        <f>(R1345*D1345)*1.1</f>
        <v>616000</v>
      </c>
      <c r="T1345" s="102">
        <f>(R1345*Q1345)</f>
        <v>560000</v>
      </c>
      <c r="U1345" s="71" t="str">
        <f t="shared" si="680"/>
        <v>O</v>
      </c>
      <c r="V1345" s="71"/>
      <c r="W1345" s="474">
        <f>(G1345-T1345)</f>
        <v>40000</v>
      </c>
      <c r="X1345" s="71"/>
      <c r="Y1345" s="71"/>
    </row>
    <row r="1346" spans="1:25" ht="30" hidden="1" customHeight="1" x14ac:dyDescent="0.25">
      <c r="A1346" s="82">
        <v>181005</v>
      </c>
      <c r="B1346" s="664" t="s">
        <v>746</v>
      </c>
      <c r="C1346" s="71" t="s">
        <v>123</v>
      </c>
      <c r="D1346" s="71">
        <v>10</v>
      </c>
      <c r="E1346" s="102">
        <v>30000</v>
      </c>
      <c r="F1346" s="102">
        <f t="shared" si="677"/>
        <v>330000</v>
      </c>
      <c r="G1346" s="102">
        <f t="shared" si="678"/>
        <v>300000</v>
      </c>
      <c r="H1346" s="1010" t="s">
        <v>39</v>
      </c>
      <c r="I1346" s="71"/>
      <c r="J1346" s="53">
        <f>(G1346-(VLOOKUP(C1346,Import!C:G,4,FALSE)*D1346))</f>
        <v>300000</v>
      </c>
      <c r="K1346" s="63">
        <f t="shared" si="679"/>
        <v>1</v>
      </c>
      <c r="L1346" s="792" t="s">
        <v>1446</v>
      </c>
      <c r="M1346" s="468"/>
      <c r="N1346" s="664">
        <f t="shared" si="676"/>
        <v>181005</v>
      </c>
      <c r="O1346" s="991" t="s">
        <v>39</v>
      </c>
      <c r="P1346" s="103" t="str">
        <f t="shared" si="669"/>
        <v>필터백</v>
      </c>
      <c r="Q1346" s="71">
        <f t="shared" si="670"/>
        <v>10</v>
      </c>
      <c r="R1346" s="102">
        <f>VLOOKUP(P1346,Price!B:D,3,FALSE)</f>
        <v>22461</v>
      </c>
      <c r="S1346" s="102">
        <f>R1346*Q1346*1.1</f>
        <v>247071.00000000003</v>
      </c>
      <c r="T1346" s="102">
        <f>R1346*Q1346</f>
        <v>224610</v>
      </c>
      <c r="U1346" s="71" t="str">
        <f t="shared" si="680"/>
        <v>X</v>
      </c>
      <c r="V1346" s="71"/>
      <c r="W1346" s="474">
        <f>(G1346-T1346)</f>
        <v>75390</v>
      </c>
      <c r="X1346" s="71"/>
      <c r="Y1346" s="71"/>
    </row>
    <row r="1347" spans="1:25" s="209" customFormat="1" ht="30" hidden="1" customHeight="1" x14ac:dyDescent="0.25">
      <c r="A1347" s="82">
        <v>181008</v>
      </c>
      <c r="B1347" s="664" t="s">
        <v>764</v>
      </c>
      <c r="C1347" s="71" t="s">
        <v>236</v>
      </c>
      <c r="D1347" s="71">
        <v>5</v>
      </c>
      <c r="E1347" s="102">
        <v>100000</v>
      </c>
      <c r="F1347" s="102">
        <f t="shared" si="677"/>
        <v>550000</v>
      </c>
      <c r="G1347" s="102">
        <f t="shared" si="678"/>
        <v>500000</v>
      </c>
      <c r="H1347" s="690" t="s">
        <v>173</v>
      </c>
      <c r="I1347" s="71" t="s">
        <v>142</v>
      </c>
      <c r="J1347" s="53">
        <f>(G1347-(VLOOKUP(C1347,Price!B:D,3,FALSE)*D1347))</f>
        <v>250000</v>
      </c>
      <c r="K1347" s="63">
        <f>(J1347/(F1347/11*10))</f>
        <v>0.5</v>
      </c>
      <c r="L1347" s="792" t="s">
        <v>1446</v>
      </c>
      <c r="M1347" s="468"/>
      <c r="N1347" s="664">
        <f t="shared" si="676"/>
        <v>181008</v>
      </c>
      <c r="O1347" s="71" t="s">
        <v>153</v>
      </c>
      <c r="P1347" s="103" t="str">
        <f t="shared" si="669"/>
        <v>아스테이지(국전)</v>
      </c>
      <c r="Q1347" s="71">
        <f t="shared" si="670"/>
        <v>5</v>
      </c>
      <c r="R1347" s="102">
        <f>VLOOKUP(P1347,Price!B:D,3,FALSE)</f>
        <v>50000</v>
      </c>
      <c r="S1347" s="102">
        <f>R1347*Q1347*1.1</f>
        <v>275000</v>
      </c>
      <c r="T1347" s="102">
        <f>R1347*Q1347</f>
        <v>250000</v>
      </c>
      <c r="U1347" s="71" t="str">
        <f t="shared" si="680"/>
        <v>O</v>
      </c>
      <c r="V1347" s="71"/>
      <c r="W1347" s="474">
        <f>(G1347-T1347)</f>
        <v>250000</v>
      </c>
      <c r="X1347" s="71"/>
      <c r="Y1347" s="71"/>
    </row>
    <row r="1348" spans="1:25" ht="30" hidden="1" customHeight="1" x14ac:dyDescent="0.25">
      <c r="A1348" s="82">
        <v>181008</v>
      </c>
      <c r="B1348" s="664" t="s">
        <v>1051</v>
      </c>
      <c r="C1348" s="71" t="s">
        <v>1305</v>
      </c>
      <c r="D1348" s="71">
        <v>150</v>
      </c>
      <c r="E1348" s="102">
        <v>4430</v>
      </c>
      <c r="F1348" s="102">
        <f t="shared" si="677"/>
        <v>730950.00000000012</v>
      </c>
      <c r="G1348" s="102">
        <f t="shared" si="678"/>
        <v>664500</v>
      </c>
      <c r="H1348" s="690" t="s">
        <v>142</v>
      </c>
      <c r="I1348" s="71" t="s">
        <v>140</v>
      </c>
      <c r="J1348" s="53">
        <f>G1348-T1348</f>
        <v>210000</v>
      </c>
      <c r="K1348" s="63">
        <f t="shared" si="679"/>
        <v>0.31602708803611734</v>
      </c>
      <c r="L1348" s="792" t="s">
        <v>1446</v>
      </c>
      <c r="M1348" s="468"/>
      <c r="N1348" s="664">
        <f t="shared" si="676"/>
        <v>181008</v>
      </c>
      <c r="O1348" s="71" t="s">
        <v>145</v>
      </c>
      <c r="P1348" s="103" t="str">
        <f t="shared" si="669"/>
        <v>ENGAGE 968*636</v>
      </c>
      <c r="Q1348" s="71">
        <f t="shared" si="670"/>
        <v>150</v>
      </c>
      <c r="R1348" s="102">
        <v>3030</v>
      </c>
      <c r="S1348" s="102">
        <f>(R1348*D1348)*1.1</f>
        <v>499950.00000000006</v>
      </c>
      <c r="T1348" s="102">
        <f>(R1348*Q1348)</f>
        <v>454500</v>
      </c>
      <c r="U1348" s="71" t="str">
        <f t="shared" si="680"/>
        <v>O</v>
      </c>
      <c r="V1348" s="71"/>
      <c r="W1348" s="474">
        <f>(G1348-T1348)</f>
        <v>210000</v>
      </c>
      <c r="X1348" s="71"/>
      <c r="Y1348" s="71"/>
    </row>
    <row r="1349" spans="1:25" ht="30" hidden="1" customHeight="1" x14ac:dyDescent="0.25">
      <c r="A1349" s="82">
        <v>181008</v>
      </c>
      <c r="B1349" s="664" t="s">
        <v>446</v>
      </c>
      <c r="C1349" s="71" t="s">
        <v>1144</v>
      </c>
      <c r="D1349" s="71">
        <v>8</v>
      </c>
      <c r="E1349" s="102">
        <v>110000</v>
      </c>
      <c r="F1349" s="102">
        <f t="shared" si="677"/>
        <v>968000.00000000012</v>
      </c>
      <c r="G1349" s="102">
        <f t="shared" si="678"/>
        <v>880000</v>
      </c>
      <c r="H1349" s="690" t="s">
        <v>173</v>
      </c>
      <c r="I1349" s="71" t="s">
        <v>142</v>
      </c>
      <c r="J1349" s="53">
        <f>G1349-T1349</f>
        <v>152000</v>
      </c>
      <c r="K1349" s="63">
        <f t="shared" si="679"/>
        <v>0.1727272727272727</v>
      </c>
      <c r="L1349" s="792" t="s">
        <v>1446</v>
      </c>
      <c r="M1349" s="468"/>
      <c r="N1349" s="664">
        <f t="shared" si="676"/>
        <v>181008</v>
      </c>
      <c r="O1349" s="71" t="s">
        <v>150</v>
      </c>
      <c r="P1349" s="103" t="str">
        <f t="shared" si="669"/>
        <v>실리콘 에멀전</v>
      </c>
      <c r="Q1349" s="71">
        <f t="shared" si="670"/>
        <v>8</v>
      </c>
      <c r="R1349" s="102">
        <v>91000</v>
      </c>
      <c r="S1349" s="102">
        <f>R1349*Q1349*1.1</f>
        <v>800800.00000000012</v>
      </c>
      <c r="T1349" s="102">
        <f>R1349*Q1349</f>
        <v>728000</v>
      </c>
      <c r="U1349" s="71" t="str">
        <f t="shared" si="680"/>
        <v>X</v>
      </c>
      <c r="V1349" s="71"/>
      <c r="W1349" s="474"/>
      <c r="X1349" s="71"/>
      <c r="Y1349" s="71"/>
    </row>
    <row r="1350" spans="1:25" ht="30" hidden="1" customHeight="1" x14ac:dyDescent="0.25">
      <c r="A1350" s="82">
        <v>181008</v>
      </c>
      <c r="B1350" s="664" t="s">
        <v>939</v>
      </c>
      <c r="C1350" s="71" t="s">
        <v>123</v>
      </c>
      <c r="D1350" s="71">
        <v>5</v>
      </c>
      <c r="E1350" s="102">
        <v>30000</v>
      </c>
      <c r="F1350" s="102">
        <f t="shared" si="677"/>
        <v>165000</v>
      </c>
      <c r="G1350" s="102">
        <f t="shared" si="678"/>
        <v>150000</v>
      </c>
      <c r="H1350" s="1010" t="s">
        <v>39</v>
      </c>
      <c r="I1350" s="71"/>
      <c r="J1350" s="53">
        <f>G1350-T1350</f>
        <v>37695</v>
      </c>
      <c r="K1350" s="63">
        <f t="shared" si="679"/>
        <v>0.25130000000000002</v>
      </c>
      <c r="L1350" s="792" t="s">
        <v>1446</v>
      </c>
      <c r="M1350" s="468"/>
      <c r="N1350" s="664">
        <f t="shared" ref="N1350:N1378" si="681">A1350</f>
        <v>181008</v>
      </c>
      <c r="O1350" s="991" t="s">
        <v>39</v>
      </c>
      <c r="P1350" s="103" t="str">
        <f t="shared" si="669"/>
        <v>필터백</v>
      </c>
      <c r="Q1350" s="71">
        <f t="shared" si="670"/>
        <v>5</v>
      </c>
      <c r="R1350" s="102">
        <f>VLOOKUP(P1350,Price!B:D,3,FALSE)</f>
        <v>22461</v>
      </c>
      <c r="S1350" s="102">
        <f>R1350*Q1350*1.1</f>
        <v>123535.50000000001</v>
      </c>
      <c r="T1350" s="102">
        <f>R1350*Q1350</f>
        <v>112305</v>
      </c>
      <c r="U1350" s="71" t="str">
        <f t="shared" si="680"/>
        <v>O</v>
      </c>
      <c r="V1350" s="71"/>
      <c r="W1350" s="474">
        <f>(G1350-T1350)</f>
        <v>37695</v>
      </c>
      <c r="X1350" s="71"/>
      <c r="Y1350" s="71"/>
    </row>
    <row r="1351" spans="1:25" ht="30" hidden="1" customHeight="1" x14ac:dyDescent="0.25">
      <c r="A1351" s="82">
        <v>181010</v>
      </c>
      <c r="B1351" s="664" t="s">
        <v>445</v>
      </c>
      <c r="C1351" s="71" t="s">
        <v>1144</v>
      </c>
      <c r="D1351" s="71">
        <v>10</v>
      </c>
      <c r="E1351" s="102">
        <v>110000</v>
      </c>
      <c r="F1351" s="102">
        <f t="shared" si="677"/>
        <v>1210000</v>
      </c>
      <c r="G1351" s="102">
        <f t="shared" si="678"/>
        <v>1100000</v>
      </c>
      <c r="H1351" s="690" t="s">
        <v>173</v>
      </c>
      <c r="I1351" s="71" t="s">
        <v>142</v>
      </c>
      <c r="J1351" s="53">
        <f>G1351-T1351</f>
        <v>190000</v>
      </c>
      <c r="K1351" s="63">
        <f t="shared" si="679"/>
        <v>0.17272727272727273</v>
      </c>
      <c r="L1351" s="792" t="s">
        <v>1446</v>
      </c>
      <c r="M1351" s="468"/>
      <c r="N1351" s="664">
        <f t="shared" si="681"/>
        <v>181010</v>
      </c>
      <c r="O1351" s="71" t="s">
        <v>150</v>
      </c>
      <c r="P1351" s="103" t="str">
        <f t="shared" si="669"/>
        <v>실리콘 에멀전</v>
      </c>
      <c r="Q1351" s="71">
        <f t="shared" si="670"/>
        <v>10</v>
      </c>
      <c r="R1351" s="102">
        <v>91000</v>
      </c>
      <c r="S1351" s="102">
        <f>R1351*Q1351*1.1</f>
        <v>1001000.0000000001</v>
      </c>
      <c r="T1351" s="102">
        <f>R1351*Q1351</f>
        <v>910000</v>
      </c>
      <c r="U1351" s="71" t="str">
        <f t="shared" si="680"/>
        <v>X</v>
      </c>
      <c r="V1351" s="71"/>
      <c r="W1351" s="474"/>
      <c r="X1351" s="71"/>
      <c r="Y1351" s="71"/>
    </row>
    <row r="1352" spans="1:25" ht="30" hidden="1" customHeight="1" x14ac:dyDescent="0.25">
      <c r="A1352" s="82">
        <v>181010</v>
      </c>
      <c r="B1352" s="664" t="s">
        <v>1045</v>
      </c>
      <c r="C1352" s="71" t="s">
        <v>123</v>
      </c>
      <c r="D1352" s="71">
        <v>3</v>
      </c>
      <c r="E1352" s="102">
        <v>35000</v>
      </c>
      <c r="F1352" s="102">
        <f t="shared" si="677"/>
        <v>115500.00000000001</v>
      </c>
      <c r="G1352" s="102">
        <f t="shared" si="678"/>
        <v>105000</v>
      </c>
      <c r="H1352" s="1010" t="s">
        <v>39</v>
      </c>
      <c r="I1352" s="71"/>
      <c r="J1352" s="53">
        <f>(G1352-(VLOOKUP(C1352,Import!C:G,4,FALSE)*D1352))</f>
        <v>105000</v>
      </c>
      <c r="K1352" s="63">
        <f t="shared" si="679"/>
        <v>0.99999999999999989</v>
      </c>
      <c r="L1352" s="792" t="s">
        <v>1446</v>
      </c>
      <c r="M1352" s="468"/>
      <c r="N1352" s="664">
        <f t="shared" si="681"/>
        <v>181010</v>
      </c>
      <c r="O1352" s="991" t="s">
        <v>39</v>
      </c>
      <c r="P1352" s="103" t="str">
        <f t="shared" si="669"/>
        <v>필터백</v>
      </c>
      <c r="Q1352" s="71">
        <f t="shared" si="670"/>
        <v>3</v>
      </c>
      <c r="R1352" s="102">
        <f>VLOOKUP(P1352,Price!B:D,3,FALSE)</f>
        <v>22461</v>
      </c>
      <c r="S1352" s="102">
        <f>R1352*Q1352*1.1</f>
        <v>74121.3</v>
      </c>
      <c r="T1352" s="102">
        <f>R1352*Q1352</f>
        <v>67383</v>
      </c>
      <c r="U1352" s="71" t="str">
        <f t="shared" si="680"/>
        <v>X</v>
      </c>
      <c r="V1352" s="71"/>
      <c r="W1352" s="474">
        <f>(G1352-T1352)</f>
        <v>37617</v>
      </c>
      <c r="X1352" s="71"/>
      <c r="Y1352" s="71"/>
    </row>
    <row r="1353" spans="1:25" ht="30" hidden="1" customHeight="1" x14ac:dyDescent="0.25">
      <c r="A1353" s="82">
        <v>181010</v>
      </c>
      <c r="B1353" s="664" t="s">
        <v>1051</v>
      </c>
      <c r="C1353" s="71" t="s">
        <v>1294</v>
      </c>
      <c r="D1353" s="71">
        <v>300</v>
      </c>
      <c r="E1353" s="102">
        <v>5850</v>
      </c>
      <c r="F1353" s="102">
        <f t="shared" si="677"/>
        <v>1930500.0000000002</v>
      </c>
      <c r="G1353" s="102">
        <f t="shared" si="678"/>
        <v>1755000</v>
      </c>
      <c r="H1353" s="690" t="s">
        <v>142</v>
      </c>
      <c r="I1353" s="71" t="s">
        <v>140</v>
      </c>
      <c r="J1353" s="53">
        <f t="shared" ref="J1353:J1359" si="682">G1353-T1353</f>
        <v>555000</v>
      </c>
      <c r="K1353" s="63">
        <f t="shared" si="679"/>
        <v>0.31623931623931617</v>
      </c>
      <c r="L1353" s="792" t="s">
        <v>1446</v>
      </c>
      <c r="M1353" s="468"/>
      <c r="N1353" s="664">
        <f t="shared" si="681"/>
        <v>181010</v>
      </c>
      <c r="O1353" s="71" t="s">
        <v>145</v>
      </c>
      <c r="P1353" s="103" t="str">
        <f t="shared" si="669"/>
        <v>ENGAGE 1030*790</v>
      </c>
      <c r="Q1353" s="71">
        <f t="shared" si="670"/>
        <v>300</v>
      </c>
      <c r="R1353" s="102">
        <v>4000</v>
      </c>
      <c r="S1353" s="102">
        <f>(R1353*D1353)*1.1</f>
        <v>1320000</v>
      </c>
      <c r="T1353" s="102">
        <f>(R1353*Q1353)</f>
        <v>1200000</v>
      </c>
      <c r="U1353" s="71" t="str">
        <f t="shared" si="680"/>
        <v>X</v>
      </c>
      <c r="V1353" s="71"/>
      <c r="W1353" s="474"/>
      <c r="X1353" s="71"/>
      <c r="Y1353" s="71"/>
    </row>
    <row r="1354" spans="1:25" ht="30" hidden="1" customHeight="1" x14ac:dyDescent="0.25">
      <c r="A1354" s="82">
        <v>181010</v>
      </c>
      <c r="B1354" s="664" t="s">
        <v>1051</v>
      </c>
      <c r="C1354" s="71" t="s">
        <v>524</v>
      </c>
      <c r="D1354" s="71">
        <v>600</v>
      </c>
      <c r="E1354" s="102">
        <v>3680</v>
      </c>
      <c r="F1354" s="102">
        <f t="shared" si="677"/>
        <v>2428800</v>
      </c>
      <c r="G1354" s="102">
        <f t="shared" si="678"/>
        <v>2208000</v>
      </c>
      <c r="H1354" s="690" t="s">
        <v>142</v>
      </c>
      <c r="I1354" s="71" t="s">
        <v>140</v>
      </c>
      <c r="J1354" s="53">
        <f t="shared" si="682"/>
        <v>696000</v>
      </c>
      <c r="K1354" s="63">
        <f t="shared" si="679"/>
        <v>0.31521739130434784</v>
      </c>
      <c r="L1354" s="792" t="s">
        <v>1446</v>
      </c>
      <c r="M1354" s="468"/>
      <c r="N1354" s="664">
        <f t="shared" si="681"/>
        <v>181010</v>
      </c>
      <c r="O1354" s="71" t="s">
        <v>145</v>
      </c>
      <c r="P1354" s="103" t="str">
        <f t="shared" si="669"/>
        <v>ENGAGE 900X570 - 27RO</v>
      </c>
      <c r="Q1354" s="71">
        <f t="shared" si="670"/>
        <v>600</v>
      </c>
      <c r="R1354" s="102">
        <v>2520</v>
      </c>
      <c r="S1354" s="102">
        <f>R1354*Q1354*1.1</f>
        <v>1663200.0000000002</v>
      </c>
      <c r="T1354" s="102">
        <f>R1354*Q1354</f>
        <v>1512000</v>
      </c>
      <c r="U1354" s="71" t="str">
        <f t="shared" si="680"/>
        <v>O</v>
      </c>
      <c r="V1354" s="71"/>
      <c r="W1354" s="474">
        <f t="shared" ref="W1354:W1366" si="683">(G1354-T1354)</f>
        <v>696000</v>
      </c>
      <c r="X1354" s="71"/>
      <c r="Y1354" s="71"/>
    </row>
    <row r="1355" spans="1:25" ht="30" hidden="1" customHeight="1" x14ac:dyDescent="0.25">
      <c r="A1355" s="82">
        <v>181010</v>
      </c>
      <c r="B1355" s="664" t="s">
        <v>764</v>
      </c>
      <c r="C1355" s="71" t="s">
        <v>1405</v>
      </c>
      <c r="D1355" s="71">
        <v>1</v>
      </c>
      <c r="E1355" s="102">
        <v>4500000</v>
      </c>
      <c r="F1355" s="102">
        <f t="shared" si="677"/>
        <v>4950000</v>
      </c>
      <c r="G1355" s="102">
        <f t="shared" si="678"/>
        <v>4500000</v>
      </c>
      <c r="H1355" s="690" t="s">
        <v>1432</v>
      </c>
      <c r="I1355" s="71"/>
      <c r="J1355" s="53">
        <f t="shared" si="682"/>
        <v>1449984.6449741432</v>
      </c>
      <c r="K1355" s="63">
        <f>(J1355/(F1355/11*10))</f>
        <v>0.32221880999425406</v>
      </c>
      <c r="L1355" s="792" t="s">
        <v>1446</v>
      </c>
      <c r="M1355" s="468"/>
      <c r="N1355" s="664">
        <f t="shared" si="681"/>
        <v>181010</v>
      </c>
      <c r="O1355" s="71" t="s">
        <v>1432</v>
      </c>
      <c r="P1355" s="103" t="str">
        <f t="shared" si="669"/>
        <v>alcocontrol</v>
      </c>
      <c r="Q1355" s="71">
        <f t="shared" si="670"/>
        <v>1</v>
      </c>
      <c r="R1355" s="102">
        <f>Import!G633</f>
        <v>3050015.3550258568</v>
      </c>
      <c r="S1355" s="102">
        <f>(R1355*D1355)*1.1</f>
        <v>3355016.8905284428</v>
      </c>
      <c r="T1355" s="102">
        <f>(R1355*Q1355)</f>
        <v>3050015.3550258568</v>
      </c>
      <c r="U1355" s="71" t="str">
        <f t="shared" si="680"/>
        <v>O</v>
      </c>
      <c r="V1355" s="71"/>
      <c r="W1355" s="474">
        <f t="shared" si="683"/>
        <v>1449984.6449741432</v>
      </c>
      <c r="X1355" s="71"/>
      <c r="Y1355" s="71"/>
    </row>
    <row r="1356" spans="1:25" ht="30" hidden="1" customHeight="1" x14ac:dyDescent="0.25">
      <c r="A1356" s="82">
        <v>181010</v>
      </c>
      <c r="B1356" s="664" t="s">
        <v>1014</v>
      </c>
      <c r="C1356" s="71" t="s">
        <v>1405</v>
      </c>
      <c r="D1356" s="71">
        <v>1</v>
      </c>
      <c r="E1356" s="102">
        <v>5900000</v>
      </c>
      <c r="F1356" s="102">
        <f t="shared" si="677"/>
        <v>6490000.0000000009</v>
      </c>
      <c r="G1356" s="102">
        <f t="shared" si="678"/>
        <v>5900000</v>
      </c>
      <c r="H1356" s="690" t="s">
        <v>1432</v>
      </c>
      <c r="I1356" s="71"/>
      <c r="J1356" s="53">
        <f t="shared" si="682"/>
        <v>2345507.1908982368</v>
      </c>
      <c r="K1356" s="63">
        <f>(J1356/(F1356/11*10))</f>
        <v>0.39754359167766717</v>
      </c>
      <c r="L1356" s="792" t="s">
        <v>1446</v>
      </c>
      <c r="M1356" s="468"/>
      <c r="N1356" s="664">
        <f t="shared" si="681"/>
        <v>181010</v>
      </c>
      <c r="O1356" s="71" t="s">
        <v>1432</v>
      </c>
      <c r="P1356" s="103" t="str">
        <f t="shared" si="669"/>
        <v>alcocontrol</v>
      </c>
      <c r="Q1356" s="71">
        <f t="shared" si="670"/>
        <v>1</v>
      </c>
      <c r="R1356" s="102">
        <f>Import!G637+400000</f>
        <v>3554492.8091017632</v>
      </c>
      <c r="S1356" s="102">
        <f>(R1356*D1356)*1.1</f>
        <v>3909942.0900119399</v>
      </c>
      <c r="T1356" s="102">
        <f>(R1356*Q1356)</f>
        <v>3554492.8091017632</v>
      </c>
      <c r="U1356" s="71" t="str">
        <f t="shared" si="680"/>
        <v>O</v>
      </c>
      <c r="V1356" s="71"/>
      <c r="W1356" s="474">
        <f t="shared" si="683"/>
        <v>2345507.1908982368</v>
      </c>
      <c r="X1356" s="71"/>
      <c r="Y1356" s="71"/>
    </row>
    <row r="1357" spans="1:25" ht="30" hidden="1" customHeight="1" x14ac:dyDescent="0.25">
      <c r="A1357" s="82">
        <v>181012</v>
      </c>
      <c r="B1357" s="664" t="s">
        <v>1051</v>
      </c>
      <c r="C1357" s="71" t="s">
        <v>951</v>
      </c>
      <c r="D1357" s="71">
        <v>500</v>
      </c>
      <c r="E1357" s="102">
        <v>3510</v>
      </c>
      <c r="F1357" s="102">
        <f t="shared" si="677"/>
        <v>1930500.0000000002</v>
      </c>
      <c r="G1357" s="102">
        <f t="shared" si="678"/>
        <v>1755000</v>
      </c>
      <c r="H1357" s="690" t="s">
        <v>142</v>
      </c>
      <c r="I1357" s="71" t="s">
        <v>140</v>
      </c>
      <c r="J1357" s="53">
        <f t="shared" si="682"/>
        <v>560000</v>
      </c>
      <c r="K1357" s="63">
        <f>(J1357/(F1357/11*10))</f>
        <v>0.31908831908831903</v>
      </c>
      <c r="L1357" s="792" t="s">
        <v>1446</v>
      </c>
      <c r="M1357" s="468"/>
      <c r="N1357" s="664">
        <f>A1357</f>
        <v>181012</v>
      </c>
      <c r="O1357" s="71" t="s">
        <v>145</v>
      </c>
      <c r="P1357" s="103" t="str">
        <f t="shared" si="669"/>
        <v>ENGAGE 30WEB(883*552)</v>
      </c>
      <c r="Q1357" s="71">
        <f t="shared" si="670"/>
        <v>500</v>
      </c>
      <c r="R1357" s="102">
        <v>2390</v>
      </c>
      <c r="S1357" s="102">
        <f>(R1357*D1357)*1.1</f>
        <v>1314500</v>
      </c>
      <c r="T1357" s="102">
        <f>(R1357*Q1357)</f>
        <v>1195000</v>
      </c>
      <c r="U1357" s="71" t="str">
        <f t="shared" si="680"/>
        <v>O</v>
      </c>
      <c r="V1357" s="71"/>
      <c r="W1357" s="474">
        <f t="shared" si="683"/>
        <v>560000</v>
      </c>
      <c r="X1357" s="71"/>
      <c r="Y1357" s="71"/>
    </row>
    <row r="1358" spans="1:25" ht="30" hidden="1" customHeight="1" x14ac:dyDescent="0.25">
      <c r="A1358" s="82">
        <v>181012</v>
      </c>
      <c r="B1358" s="664" t="s">
        <v>1051</v>
      </c>
      <c r="C1358" s="71" t="s">
        <v>524</v>
      </c>
      <c r="D1358" s="71">
        <v>500</v>
      </c>
      <c r="E1358" s="102">
        <v>3680</v>
      </c>
      <c r="F1358" s="102">
        <f>(E1358*D1358)*1.1</f>
        <v>2024000.0000000002</v>
      </c>
      <c r="G1358" s="102">
        <f>(E1358*D1358)</f>
        <v>1840000</v>
      </c>
      <c r="H1358" s="690" t="s">
        <v>142</v>
      </c>
      <c r="I1358" s="71" t="s">
        <v>140</v>
      </c>
      <c r="J1358" s="53">
        <f t="shared" si="682"/>
        <v>580000</v>
      </c>
      <c r="K1358" s="63">
        <f>(J1358/(F1358/11*10))</f>
        <v>0.31521739130434778</v>
      </c>
      <c r="L1358" s="792" t="s">
        <v>1446</v>
      </c>
      <c r="M1358" s="468"/>
      <c r="N1358" s="664">
        <f>A1358</f>
        <v>181012</v>
      </c>
      <c r="O1358" s="71" t="s">
        <v>145</v>
      </c>
      <c r="P1358" s="103" t="str">
        <f t="shared" si="669"/>
        <v>ENGAGE 900X570 - 27RO</v>
      </c>
      <c r="Q1358" s="71">
        <f t="shared" si="670"/>
        <v>500</v>
      </c>
      <c r="R1358" s="102">
        <v>2520</v>
      </c>
      <c r="S1358" s="102">
        <f>R1358*Q1358*1.1</f>
        <v>1386000</v>
      </c>
      <c r="T1358" s="102">
        <f>R1358*Q1358</f>
        <v>1260000</v>
      </c>
      <c r="U1358" s="71" t="str">
        <f t="shared" si="680"/>
        <v>O</v>
      </c>
      <c r="V1358" s="71"/>
      <c r="W1358" s="474">
        <f t="shared" si="683"/>
        <v>580000</v>
      </c>
      <c r="X1358" s="71"/>
      <c r="Y1358" s="71"/>
    </row>
    <row r="1359" spans="1:25" ht="30" hidden="1" customHeight="1" x14ac:dyDescent="0.25">
      <c r="A1359" s="82">
        <v>181012</v>
      </c>
      <c r="B1359" s="664" t="s">
        <v>545</v>
      </c>
      <c r="C1359" s="71" t="s">
        <v>1291</v>
      </c>
      <c r="D1359" s="71">
        <v>30</v>
      </c>
      <c r="E1359" s="102">
        <v>28500</v>
      </c>
      <c r="F1359" s="102">
        <f t="shared" si="677"/>
        <v>940500.00000000012</v>
      </c>
      <c r="G1359" s="102">
        <f t="shared" si="678"/>
        <v>855000</v>
      </c>
      <c r="H1359" s="690" t="s">
        <v>173</v>
      </c>
      <c r="I1359" s="71" t="s">
        <v>142</v>
      </c>
      <c r="J1359" s="53">
        <f t="shared" si="682"/>
        <v>225000</v>
      </c>
      <c r="K1359" s="63">
        <f t="shared" ref="K1359:K1374" si="684">(J1359/(F1359/11*10))</f>
        <v>0.26315789473684209</v>
      </c>
      <c r="L1359" s="792" t="s">
        <v>1446</v>
      </c>
      <c r="M1359" s="468"/>
      <c r="N1359" s="664">
        <f t="shared" si="681"/>
        <v>181012</v>
      </c>
      <c r="O1359" s="71" t="s">
        <v>1321</v>
      </c>
      <c r="P1359" s="103" t="str">
        <f t="shared" si="669"/>
        <v>메가미 레듀사(1kg)</v>
      </c>
      <c r="Q1359" s="71">
        <f t="shared" si="670"/>
        <v>30</v>
      </c>
      <c r="R1359" s="102">
        <v>21000</v>
      </c>
      <c r="S1359" s="102">
        <f>R1359*Q1359*1.1</f>
        <v>693000</v>
      </c>
      <c r="T1359" s="102">
        <f>R1359*Q1359</f>
        <v>630000</v>
      </c>
      <c r="U1359" s="71"/>
      <c r="V1359" s="71"/>
      <c r="W1359" s="474">
        <f t="shared" si="683"/>
        <v>225000</v>
      </c>
      <c r="X1359" s="71"/>
      <c r="Y1359" s="71"/>
    </row>
    <row r="1360" spans="1:25" ht="31.5" hidden="1" customHeight="1" x14ac:dyDescent="0.25">
      <c r="A1360" s="82">
        <v>181012</v>
      </c>
      <c r="B1360" s="664" t="s">
        <v>545</v>
      </c>
      <c r="C1360" s="71" t="s">
        <v>123</v>
      </c>
      <c r="D1360" s="71">
        <v>10</v>
      </c>
      <c r="E1360" s="102">
        <v>42000</v>
      </c>
      <c r="F1360" s="102">
        <f t="shared" si="677"/>
        <v>462000.00000000006</v>
      </c>
      <c r="G1360" s="102">
        <f t="shared" si="678"/>
        <v>420000</v>
      </c>
      <c r="H1360" s="1010" t="s">
        <v>39</v>
      </c>
      <c r="I1360" s="71"/>
      <c r="J1360" s="53">
        <f>(G1360-(VLOOKUP(C1360,Import!C:G,4,FALSE)*D1360))</f>
        <v>420000</v>
      </c>
      <c r="K1360" s="63">
        <f t="shared" si="684"/>
        <v>0.99999999999999989</v>
      </c>
      <c r="L1360" s="792" t="s">
        <v>1446</v>
      </c>
      <c r="M1360" s="468"/>
      <c r="N1360" s="664">
        <f t="shared" si="681"/>
        <v>181012</v>
      </c>
      <c r="O1360" s="991" t="s">
        <v>39</v>
      </c>
      <c r="P1360" s="103" t="str">
        <f t="shared" si="669"/>
        <v>필터백</v>
      </c>
      <c r="Q1360" s="71">
        <f t="shared" si="670"/>
        <v>10</v>
      </c>
      <c r="R1360" s="102">
        <v>22461</v>
      </c>
      <c r="S1360" s="102">
        <f>R1360*Q1360*1.1</f>
        <v>247071.00000000003</v>
      </c>
      <c r="T1360" s="102">
        <f>R1360*Q1360</f>
        <v>224610</v>
      </c>
      <c r="U1360" s="71" t="str">
        <f t="shared" ref="U1360:U1375" si="685">IF(J1360=W1360,"O", "X")</f>
        <v>X</v>
      </c>
      <c r="V1360" s="71"/>
      <c r="W1360" s="474">
        <f t="shared" si="683"/>
        <v>195390</v>
      </c>
      <c r="X1360" s="71"/>
      <c r="Y1360" s="71"/>
    </row>
    <row r="1361" spans="1:25" ht="30" hidden="1" customHeight="1" x14ac:dyDescent="0.25">
      <c r="A1361" s="82">
        <v>181012</v>
      </c>
      <c r="B1361" s="664" t="s">
        <v>631</v>
      </c>
      <c r="C1361" s="67" t="s">
        <v>201</v>
      </c>
      <c r="D1361" s="71">
        <v>10</v>
      </c>
      <c r="E1361" s="102">
        <v>75000</v>
      </c>
      <c r="F1361" s="102">
        <f t="shared" si="677"/>
        <v>825000.00000000012</v>
      </c>
      <c r="G1361" s="102">
        <f t="shared" si="678"/>
        <v>750000</v>
      </c>
      <c r="H1361" s="690" t="s">
        <v>173</v>
      </c>
      <c r="I1361" s="71" t="s">
        <v>109</v>
      </c>
      <c r="J1361" s="53">
        <f>(G1361-(VLOOKUP(C1361,Price!B:D,3,FALSE)*D1361))</f>
        <v>200000</v>
      </c>
      <c r="K1361" s="63">
        <f t="shared" si="684"/>
        <v>0.26666666666666661</v>
      </c>
      <c r="L1361" s="792" t="s">
        <v>1446</v>
      </c>
      <c r="M1361" s="468"/>
      <c r="N1361" s="664">
        <f>A1361</f>
        <v>181012</v>
      </c>
      <c r="O1361" s="71" t="s">
        <v>149</v>
      </c>
      <c r="P1361" s="103" t="str">
        <f t="shared" si="669"/>
        <v>Bar블랑켓 730*710</v>
      </c>
      <c r="Q1361" s="71">
        <f t="shared" si="670"/>
        <v>10</v>
      </c>
      <c r="R1361" s="102">
        <v>55000</v>
      </c>
      <c r="S1361" s="102">
        <f>R1361*Q1361*1.1</f>
        <v>605000</v>
      </c>
      <c r="T1361" s="102">
        <f>R1361*Q1361</f>
        <v>550000</v>
      </c>
      <c r="U1361" s="71" t="str">
        <f t="shared" si="685"/>
        <v>O</v>
      </c>
      <c r="V1361" s="71"/>
      <c r="W1361" s="474">
        <f t="shared" si="683"/>
        <v>200000</v>
      </c>
      <c r="X1361" s="71"/>
      <c r="Y1361" s="71"/>
    </row>
    <row r="1362" spans="1:25" s="209" customFormat="1" ht="30" hidden="1" customHeight="1" x14ac:dyDescent="0.2">
      <c r="A1362" s="82">
        <v>181012</v>
      </c>
      <c r="B1362" s="664" t="s">
        <v>1286</v>
      </c>
      <c r="C1362" s="71" t="s">
        <v>231</v>
      </c>
      <c r="D1362" s="71">
        <v>10</v>
      </c>
      <c r="E1362" s="102">
        <v>120000</v>
      </c>
      <c r="F1362" s="163">
        <f>(E1362*D1362)*1.1</f>
        <v>1320000</v>
      </c>
      <c r="G1362" s="163">
        <f>(E1362*D1362)</f>
        <v>1200000</v>
      </c>
      <c r="H1362" s="165" t="s">
        <v>172</v>
      </c>
      <c r="I1362" s="71" t="s">
        <v>109</v>
      </c>
      <c r="J1362" s="53">
        <f>(G1362-(VLOOKUP(C1362,Price!B:D,3,FALSE)*D1362))</f>
        <v>80000</v>
      </c>
      <c r="K1362" s="63">
        <f t="shared" si="684"/>
        <v>6.6666666666666666E-2</v>
      </c>
      <c r="L1362" s="792" t="s">
        <v>1446</v>
      </c>
      <c r="M1362" s="468"/>
      <c r="N1362" s="664">
        <f>A1362</f>
        <v>181012</v>
      </c>
      <c r="O1362" s="71" t="s">
        <v>151</v>
      </c>
      <c r="P1362" s="103" t="str">
        <f t="shared" si="669"/>
        <v>Blanket(990*725)</v>
      </c>
      <c r="Q1362" s="71">
        <f t="shared" si="670"/>
        <v>10</v>
      </c>
      <c r="R1362" s="102">
        <v>112000</v>
      </c>
      <c r="S1362" s="102">
        <f>(R1362*D1362)*1.1</f>
        <v>1232000</v>
      </c>
      <c r="T1362" s="102">
        <f>(R1362*Q1362)</f>
        <v>1120000</v>
      </c>
      <c r="U1362" s="71" t="str">
        <f t="shared" si="685"/>
        <v>O</v>
      </c>
      <c r="V1362" s="71"/>
      <c r="W1362" s="474">
        <f t="shared" si="683"/>
        <v>80000</v>
      </c>
      <c r="X1362" s="71"/>
      <c r="Y1362" s="71"/>
    </row>
    <row r="1363" spans="1:25" ht="30" hidden="1" customHeight="1" x14ac:dyDescent="0.25">
      <c r="A1363" s="82">
        <v>181015</v>
      </c>
      <c r="B1363" s="664" t="s">
        <v>983</v>
      </c>
      <c r="C1363" s="71" t="s">
        <v>1009</v>
      </c>
      <c r="D1363" s="71">
        <v>520</v>
      </c>
      <c r="E1363" s="102">
        <v>3900</v>
      </c>
      <c r="F1363" s="102">
        <f t="shared" si="677"/>
        <v>2230800</v>
      </c>
      <c r="G1363" s="102">
        <f t="shared" si="678"/>
        <v>2028000</v>
      </c>
      <c r="H1363" s="690" t="s">
        <v>173</v>
      </c>
      <c r="I1363" s="71" t="s">
        <v>140</v>
      </c>
      <c r="J1363" s="53">
        <f>G1363-T1363</f>
        <v>312000</v>
      </c>
      <c r="K1363" s="63">
        <f t="shared" si="684"/>
        <v>0.15384615384615385</v>
      </c>
      <c r="L1363" s="792" t="s">
        <v>1446</v>
      </c>
      <c r="M1363" s="468"/>
      <c r="N1363" s="664">
        <f t="shared" si="681"/>
        <v>181015</v>
      </c>
      <c r="O1363" s="71" t="s">
        <v>147</v>
      </c>
      <c r="P1363" s="103" t="str">
        <f t="shared" si="669"/>
        <v>CTP판(1030*790mm)</v>
      </c>
      <c r="Q1363" s="71">
        <f t="shared" si="670"/>
        <v>520</v>
      </c>
      <c r="R1363" s="102">
        <v>3300</v>
      </c>
      <c r="S1363" s="102">
        <f>R1363*Q1363*1.1</f>
        <v>1887600.0000000002</v>
      </c>
      <c r="T1363" s="102">
        <f>R1363*Q1363</f>
        <v>1716000</v>
      </c>
      <c r="U1363" s="71" t="str">
        <f t="shared" si="685"/>
        <v>O</v>
      </c>
      <c r="V1363" s="71"/>
      <c r="W1363" s="474">
        <f t="shared" si="683"/>
        <v>312000</v>
      </c>
      <c r="X1363" s="71"/>
      <c r="Y1363" s="71"/>
    </row>
    <row r="1364" spans="1:25" ht="30" hidden="1" customHeight="1" x14ac:dyDescent="0.25">
      <c r="A1364" s="82">
        <v>181015</v>
      </c>
      <c r="B1364" s="664" t="s">
        <v>983</v>
      </c>
      <c r="C1364" s="71" t="s">
        <v>984</v>
      </c>
      <c r="D1364" s="71">
        <v>7</v>
      </c>
      <c r="E1364" s="102">
        <v>45000</v>
      </c>
      <c r="F1364" s="102">
        <f t="shared" si="677"/>
        <v>346500</v>
      </c>
      <c r="G1364" s="102">
        <f t="shared" si="678"/>
        <v>315000</v>
      </c>
      <c r="H1364" s="690" t="s">
        <v>173</v>
      </c>
      <c r="I1364" s="71" t="s">
        <v>140</v>
      </c>
      <c r="J1364" s="53">
        <f>G1364-T1364</f>
        <v>70000</v>
      </c>
      <c r="K1364" s="63">
        <f t="shared" si="684"/>
        <v>0.22222222222222221</v>
      </c>
      <c r="L1364" s="792" t="s">
        <v>1446</v>
      </c>
      <c r="M1364" s="468"/>
      <c r="N1364" s="664">
        <f t="shared" si="681"/>
        <v>181015</v>
      </c>
      <c r="O1364" s="71" t="s">
        <v>147</v>
      </c>
      <c r="P1364" s="103" t="str">
        <f t="shared" si="669"/>
        <v>CTP 현상액</v>
      </c>
      <c r="Q1364" s="71">
        <f t="shared" si="670"/>
        <v>7</v>
      </c>
      <c r="R1364" s="102">
        <v>35000</v>
      </c>
      <c r="S1364" s="102">
        <f>R1364*Q1364*1.1</f>
        <v>269500</v>
      </c>
      <c r="T1364" s="102">
        <f>R1364*Q1364</f>
        <v>245000</v>
      </c>
      <c r="U1364" s="71" t="str">
        <f t="shared" si="685"/>
        <v>O</v>
      </c>
      <c r="V1364" s="71"/>
      <c r="W1364" s="474">
        <f t="shared" si="683"/>
        <v>70000</v>
      </c>
      <c r="X1364" s="71"/>
      <c r="Y1364" s="71"/>
    </row>
    <row r="1365" spans="1:25" ht="30" hidden="1" customHeight="1" x14ac:dyDescent="0.25">
      <c r="A1365" s="82">
        <v>181016</v>
      </c>
      <c r="B1365" s="664" t="s">
        <v>575</v>
      </c>
      <c r="C1365" s="71" t="s">
        <v>1424</v>
      </c>
      <c r="D1365" s="71">
        <v>1</v>
      </c>
      <c r="E1365" s="102">
        <v>1250000</v>
      </c>
      <c r="F1365" s="102">
        <f>(E1365*D1365)*1.1</f>
        <v>1375000</v>
      </c>
      <c r="G1365" s="102">
        <f>(E1365*D1365)</f>
        <v>1250000</v>
      </c>
      <c r="H1365" s="690" t="s">
        <v>985</v>
      </c>
      <c r="I1365" s="71"/>
      <c r="J1365" s="53">
        <v>1250000</v>
      </c>
      <c r="K1365" s="63">
        <f>(J1365/(F1365/11*10))</f>
        <v>1</v>
      </c>
      <c r="L1365" s="792" t="s">
        <v>1446</v>
      </c>
      <c r="M1365" s="468"/>
      <c r="N1365" s="664">
        <f>A1365</f>
        <v>181016</v>
      </c>
      <c r="O1365" s="71" t="s">
        <v>985</v>
      </c>
      <c r="P1365" s="103" t="str">
        <f t="shared" si="669"/>
        <v>M600 서비스 계약(4회차)</v>
      </c>
      <c r="Q1365" s="71">
        <f t="shared" si="670"/>
        <v>1</v>
      </c>
      <c r="R1365" s="102"/>
      <c r="S1365" s="102">
        <f>(R1365*D1365)*1.1</f>
        <v>0</v>
      </c>
      <c r="T1365" s="102">
        <f>(R1365*Q1365)</f>
        <v>0</v>
      </c>
      <c r="U1365" s="71" t="str">
        <f t="shared" si="685"/>
        <v>O</v>
      </c>
      <c r="V1365" s="71"/>
      <c r="W1365" s="474">
        <f t="shared" si="683"/>
        <v>1250000</v>
      </c>
      <c r="X1365" s="71"/>
      <c r="Y1365" s="71"/>
    </row>
    <row r="1366" spans="1:25" ht="30" hidden="1" customHeight="1" x14ac:dyDescent="0.25">
      <c r="A1366" s="82">
        <v>181016</v>
      </c>
      <c r="B1366" s="664" t="s">
        <v>804</v>
      </c>
      <c r="C1366" s="71" t="s">
        <v>123</v>
      </c>
      <c r="D1366" s="71">
        <v>3</v>
      </c>
      <c r="E1366" s="102">
        <v>30000</v>
      </c>
      <c r="F1366" s="102">
        <f>(E1366*D1366)*1.1</f>
        <v>99000.000000000015</v>
      </c>
      <c r="G1366" s="102">
        <f>(E1366*D1366)</f>
        <v>90000</v>
      </c>
      <c r="H1366" s="690" t="s">
        <v>1432</v>
      </c>
      <c r="I1366" s="71"/>
      <c r="J1366" s="53">
        <f>G1366-T1366</f>
        <v>22617</v>
      </c>
      <c r="K1366" s="63">
        <f>(J1366/(F1366/11*10))</f>
        <v>0.25129999999999997</v>
      </c>
      <c r="L1366" s="792" t="s">
        <v>1446</v>
      </c>
      <c r="M1366" s="468"/>
      <c r="N1366" s="664">
        <f>A1366</f>
        <v>181016</v>
      </c>
      <c r="O1366" s="71" t="s">
        <v>1432</v>
      </c>
      <c r="P1366" s="103" t="str">
        <f t="shared" si="669"/>
        <v>필터백</v>
      </c>
      <c r="Q1366" s="71">
        <f t="shared" si="670"/>
        <v>3</v>
      </c>
      <c r="R1366" s="102">
        <f>VLOOKUP(P1366,Price!B:D,3,FALSE)</f>
        <v>22461</v>
      </c>
      <c r="S1366" s="102">
        <f>R1366*Q1366*1.1</f>
        <v>74121.3</v>
      </c>
      <c r="T1366" s="102">
        <f>R1366*Q1366</f>
        <v>67383</v>
      </c>
      <c r="U1366" s="71" t="str">
        <f t="shared" si="685"/>
        <v>O</v>
      </c>
      <c r="V1366" s="71"/>
      <c r="W1366" s="474">
        <f t="shared" si="683"/>
        <v>22617</v>
      </c>
      <c r="X1366" s="71"/>
      <c r="Y1366" s="71"/>
    </row>
    <row r="1367" spans="1:25" ht="30" hidden="1" customHeight="1" x14ac:dyDescent="0.25">
      <c r="A1367" s="82">
        <v>181017</v>
      </c>
      <c r="B1367" s="664" t="s">
        <v>1051</v>
      </c>
      <c r="C1367" s="71" t="s">
        <v>1294</v>
      </c>
      <c r="D1367" s="71">
        <v>600</v>
      </c>
      <c r="E1367" s="102">
        <v>5850</v>
      </c>
      <c r="F1367" s="102">
        <f>(E1367*D1367)*1.1</f>
        <v>3861000.0000000005</v>
      </c>
      <c r="G1367" s="102">
        <f>(E1367*D1367)</f>
        <v>3510000</v>
      </c>
      <c r="H1367" s="690" t="s">
        <v>142</v>
      </c>
      <c r="I1367" s="71" t="s">
        <v>140</v>
      </c>
      <c r="J1367" s="53">
        <f>G1367-T1367</f>
        <v>1110000</v>
      </c>
      <c r="K1367" s="63">
        <f>(J1367/(F1367/11*10))</f>
        <v>0.31623931623931617</v>
      </c>
      <c r="L1367" s="792" t="s">
        <v>1446</v>
      </c>
      <c r="M1367" s="468"/>
      <c r="N1367" s="664">
        <f>A1367</f>
        <v>181017</v>
      </c>
      <c r="O1367" s="71" t="s">
        <v>145</v>
      </c>
      <c r="P1367" s="103" t="str">
        <f t="shared" si="669"/>
        <v>ENGAGE 1030*790</v>
      </c>
      <c r="Q1367" s="71">
        <f t="shared" si="670"/>
        <v>600</v>
      </c>
      <c r="R1367" s="102">
        <v>4000</v>
      </c>
      <c r="S1367" s="102">
        <f>(R1367*D1367)*1.1</f>
        <v>2640000</v>
      </c>
      <c r="T1367" s="102">
        <f>(R1367*Q1367)</f>
        <v>2400000</v>
      </c>
      <c r="U1367" s="71" t="str">
        <f t="shared" si="685"/>
        <v>X</v>
      </c>
      <c r="V1367" s="71"/>
      <c r="W1367" s="474"/>
      <c r="X1367" s="71"/>
      <c r="Y1367" s="71"/>
    </row>
    <row r="1368" spans="1:25" ht="30" hidden="1" customHeight="1" x14ac:dyDescent="0.25">
      <c r="A1368" s="82">
        <v>181017</v>
      </c>
      <c r="B1368" s="664" t="s">
        <v>1051</v>
      </c>
      <c r="C1368" s="71" t="s">
        <v>524</v>
      </c>
      <c r="D1368" s="71">
        <v>300</v>
      </c>
      <c r="E1368" s="102">
        <v>3680</v>
      </c>
      <c r="F1368" s="102">
        <f>(E1368*D1368)*1.1</f>
        <v>1214400</v>
      </c>
      <c r="G1368" s="102">
        <f>(E1368*D1368)</f>
        <v>1104000</v>
      </c>
      <c r="H1368" s="690" t="s">
        <v>142</v>
      </c>
      <c r="I1368" s="71" t="s">
        <v>140</v>
      </c>
      <c r="J1368" s="53">
        <f>G1368-T1368</f>
        <v>348000</v>
      </c>
      <c r="K1368" s="63">
        <f>(J1368/(F1368/11*10))</f>
        <v>0.31521739130434784</v>
      </c>
      <c r="L1368" s="792" t="s">
        <v>1446</v>
      </c>
      <c r="M1368" s="468"/>
      <c r="N1368" s="664">
        <f>A1368</f>
        <v>181017</v>
      </c>
      <c r="O1368" s="71" t="s">
        <v>145</v>
      </c>
      <c r="P1368" s="103" t="str">
        <f t="shared" si="669"/>
        <v>ENGAGE 900X570 - 27RO</v>
      </c>
      <c r="Q1368" s="71">
        <f t="shared" si="670"/>
        <v>300</v>
      </c>
      <c r="R1368" s="102">
        <v>2520</v>
      </c>
      <c r="S1368" s="102">
        <f>R1368*Q1368*1.1</f>
        <v>831600.00000000012</v>
      </c>
      <c r="T1368" s="102">
        <f>R1368*Q1368</f>
        <v>756000</v>
      </c>
      <c r="U1368" s="71" t="str">
        <f t="shared" si="685"/>
        <v>O</v>
      </c>
      <c r="V1368" s="71"/>
      <c r="W1368" s="474">
        <f t="shared" ref="W1368:W1381" si="686">(G1368-T1368)</f>
        <v>348000</v>
      </c>
      <c r="X1368" s="71"/>
      <c r="Y1368" s="71"/>
    </row>
    <row r="1369" spans="1:25" ht="30" hidden="1" customHeight="1" x14ac:dyDescent="0.25">
      <c r="A1369" s="82">
        <v>181017</v>
      </c>
      <c r="B1369" s="664" t="s">
        <v>1051</v>
      </c>
      <c r="C1369" s="67" t="s">
        <v>1386</v>
      </c>
      <c r="D1369" s="71">
        <v>5</v>
      </c>
      <c r="E1369" s="102">
        <v>54000</v>
      </c>
      <c r="F1369" s="102">
        <f>(E1369*D1369)*1.1</f>
        <v>297000</v>
      </c>
      <c r="G1369" s="102">
        <f>(E1369*D1369)</f>
        <v>270000</v>
      </c>
      <c r="H1369" s="690" t="s">
        <v>142</v>
      </c>
      <c r="I1369" s="71" t="s">
        <v>140</v>
      </c>
      <c r="J1369" s="1017">
        <f>G1369-T1369</f>
        <v>95000</v>
      </c>
      <c r="K1369" s="63">
        <f>(J1369/(F1369/11*10))</f>
        <v>0.35185185185185186</v>
      </c>
      <c r="L1369" s="792" t="s">
        <v>1446</v>
      </c>
      <c r="M1369" s="468"/>
      <c r="N1369" s="664">
        <f>A1369</f>
        <v>181017</v>
      </c>
      <c r="O1369" s="71" t="s">
        <v>145</v>
      </c>
      <c r="P1369" s="103" t="str">
        <f t="shared" si="669"/>
        <v>THR200(20L)보충액</v>
      </c>
      <c r="Q1369" s="71">
        <f t="shared" si="670"/>
        <v>5</v>
      </c>
      <c r="R1369" s="102">
        <v>35000</v>
      </c>
      <c r="S1369" s="102">
        <f>R1369*Q1369*1.1</f>
        <v>192500.00000000003</v>
      </c>
      <c r="T1369" s="102">
        <f>R1369*Q1369</f>
        <v>175000</v>
      </c>
      <c r="U1369" s="71" t="str">
        <f t="shared" si="685"/>
        <v>O</v>
      </c>
      <c r="V1369" s="71"/>
      <c r="W1369" s="474">
        <f t="shared" si="686"/>
        <v>95000</v>
      </c>
      <c r="X1369" s="71"/>
      <c r="Y1369" s="71"/>
    </row>
    <row r="1370" spans="1:25" ht="30" hidden="1" customHeight="1" x14ac:dyDescent="0.25">
      <c r="A1370" s="82">
        <v>181018</v>
      </c>
      <c r="B1370" s="664" t="s">
        <v>690</v>
      </c>
      <c r="C1370" s="71" t="s">
        <v>1186</v>
      </c>
      <c r="D1370" s="71">
        <v>500</v>
      </c>
      <c r="E1370" s="102">
        <v>3600</v>
      </c>
      <c r="F1370" s="102">
        <f t="shared" si="677"/>
        <v>1980000.0000000002</v>
      </c>
      <c r="G1370" s="102">
        <f t="shared" si="678"/>
        <v>1800000</v>
      </c>
      <c r="H1370" s="690" t="s">
        <v>173</v>
      </c>
      <c r="I1370" s="71" t="s">
        <v>140</v>
      </c>
      <c r="J1370" s="53">
        <f>(G1370-(VLOOKUP(C1370,Price!B:D,3,FALSE)*D1370))</f>
        <v>-200000</v>
      </c>
      <c r="K1370" s="63">
        <f t="shared" si="684"/>
        <v>-0.11111111111111109</v>
      </c>
      <c r="L1370" s="792" t="s">
        <v>1446</v>
      </c>
      <c r="M1370" s="468" t="s">
        <v>1393</v>
      </c>
      <c r="N1370" s="664">
        <f t="shared" si="681"/>
        <v>181018</v>
      </c>
      <c r="O1370" s="71" t="s">
        <v>145</v>
      </c>
      <c r="P1370" s="103" t="str">
        <f t="shared" si="669"/>
        <v>CTP 판(1030*790mm)</v>
      </c>
      <c r="Q1370" s="71">
        <f t="shared" si="670"/>
        <v>500</v>
      </c>
      <c r="R1370" s="102">
        <v>4000</v>
      </c>
      <c r="S1370" s="102">
        <f>R1370*Q1370*1.1</f>
        <v>2200000</v>
      </c>
      <c r="T1370" s="102">
        <f>R1370*Q1370</f>
        <v>2000000</v>
      </c>
      <c r="U1370" s="71" t="str">
        <f t="shared" si="685"/>
        <v>O</v>
      </c>
      <c r="V1370" s="71"/>
      <c r="W1370" s="474">
        <f t="shared" si="686"/>
        <v>-200000</v>
      </c>
      <c r="X1370" s="71"/>
      <c r="Y1370" s="71"/>
    </row>
    <row r="1371" spans="1:25" ht="30" hidden="1" customHeight="1" x14ac:dyDescent="0.25">
      <c r="A1371" s="82">
        <v>181018</v>
      </c>
      <c r="B1371" s="664" t="s">
        <v>690</v>
      </c>
      <c r="C1371" s="71" t="s">
        <v>750</v>
      </c>
      <c r="D1371" s="71">
        <v>2</v>
      </c>
      <c r="E1371" s="102">
        <v>49000</v>
      </c>
      <c r="F1371" s="102">
        <f t="shared" si="677"/>
        <v>107800.00000000001</v>
      </c>
      <c r="G1371" s="102">
        <f t="shared" si="678"/>
        <v>98000</v>
      </c>
      <c r="H1371" s="690" t="s">
        <v>173</v>
      </c>
      <c r="I1371" s="71" t="s">
        <v>140</v>
      </c>
      <c r="J1371" s="53">
        <f>(G1371-(VLOOKUP(C1371,Price!B:D,3,FALSE)*D1371))</f>
        <v>28000</v>
      </c>
      <c r="K1371" s="63">
        <f t="shared" si="684"/>
        <v>0.2857142857142857</v>
      </c>
      <c r="L1371" s="792" t="s">
        <v>1446</v>
      </c>
      <c r="M1371" s="468" t="s">
        <v>1394</v>
      </c>
      <c r="N1371" s="664">
        <f t="shared" si="681"/>
        <v>181018</v>
      </c>
      <c r="O1371" s="71" t="s">
        <v>145</v>
      </c>
      <c r="P1371" s="103" t="str">
        <f t="shared" si="669"/>
        <v>THD200(20L)</v>
      </c>
      <c r="Q1371" s="71">
        <f t="shared" si="670"/>
        <v>2</v>
      </c>
      <c r="R1371" s="102">
        <v>35000</v>
      </c>
      <c r="S1371" s="102">
        <f>R1371*Q1371*1.1</f>
        <v>77000</v>
      </c>
      <c r="T1371" s="102">
        <f>R1371*Q1371</f>
        <v>70000</v>
      </c>
      <c r="U1371" s="71" t="str">
        <f t="shared" si="685"/>
        <v>O</v>
      </c>
      <c r="V1371" s="71"/>
      <c r="W1371" s="474">
        <f t="shared" si="686"/>
        <v>28000</v>
      </c>
      <c r="X1371" s="71"/>
      <c r="Y1371" s="71"/>
    </row>
    <row r="1372" spans="1:25" s="209" customFormat="1" ht="30" hidden="1" customHeight="1" x14ac:dyDescent="0.25">
      <c r="A1372" s="82">
        <v>181018</v>
      </c>
      <c r="B1372" s="664" t="s">
        <v>442</v>
      </c>
      <c r="C1372" s="71" t="s">
        <v>138</v>
      </c>
      <c r="D1372" s="71">
        <v>20</v>
      </c>
      <c r="E1372" s="102">
        <v>69000</v>
      </c>
      <c r="F1372" s="102">
        <f t="shared" si="677"/>
        <v>1518000.0000000002</v>
      </c>
      <c r="G1372" s="102">
        <f t="shared" si="678"/>
        <v>1380000</v>
      </c>
      <c r="H1372" s="690" t="s">
        <v>173</v>
      </c>
      <c r="I1372" s="71" t="s">
        <v>108</v>
      </c>
      <c r="J1372" s="53">
        <f>(G1372-(VLOOKUP(C1372,Price!B:D,3,FALSE)*D1372))</f>
        <v>360000</v>
      </c>
      <c r="K1372" s="63">
        <f t="shared" si="684"/>
        <v>0.26086956521739124</v>
      </c>
      <c r="L1372" s="792" t="s">
        <v>1446</v>
      </c>
      <c r="M1372" s="468"/>
      <c r="N1372" s="664">
        <f t="shared" si="681"/>
        <v>181018</v>
      </c>
      <c r="O1372" s="71" t="s">
        <v>150</v>
      </c>
      <c r="P1372" s="103" t="str">
        <f t="shared" si="669"/>
        <v>매엽용 세척제(Wash 562)</v>
      </c>
      <c r="Q1372" s="71">
        <f t="shared" si="670"/>
        <v>20</v>
      </c>
      <c r="R1372" s="102">
        <v>51000</v>
      </c>
      <c r="S1372" s="102">
        <f>(R1372*D1372)*1.1</f>
        <v>1122000</v>
      </c>
      <c r="T1372" s="102">
        <f>(R1372*Q1372)</f>
        <v>1020000</v>
      </c>
      <c r="U1372" s="71" t="str">
        <f t="shared" si="685"/>
        <v>O</v>
      </c>
      <c r="V1372" s="71"/>
      <c r="W1372" s="474">
        <f t="shared" si="686"/>
        <v>360000</v>
      </c>
      <c r="X1372" s="71"/>
      <c r="Y1372" s="71"/>
    </row>
    <row r="1373" spans="1:25" ht="30" hidden="1" customHeight="1" x14ac:dyDescent="0.25">
      <c r="A1373" s="82">
        <v>181018</v>
      </c>
      <c r="B1373" s="664" t="s">
        <v>690</v>
      </c>
      <c r="C1373" s="71" t="s">
        <v>217</v>
      </c>
      <c r="D1373" s="71">
        <v>2</v>
      </c>
      <c r="E1373" s="102">
        <v>145000</v>
      </c>
      <c r="F1373" s="102">
        <f t="shared" si="677"/>
        <v>319000</v>
      </c>
      <c r="G1373" s="102">
        <f t="shared" si="678"/>
        <v>290000</v>
      </c>
      <c r="H1373" s="690" t="s">
        <v>173</v>
      </c>
      <c r="I1373" s="71" t="s">
        <v>108</v>
      </c>
      <c r="J1373" s="53">
        <f>(G1373-(VLOOKUP(C1373,Price!B:D,3,FALSE)*D1373))</f>
        <v>130000</v>
      </c>
      <c r="K1373" s="63">
        <f t="shared" si="684"/>
        <v>0.44827586206896552</v>
      </c>
      <c r="L1373" s="792" t="s">
        <v>1446</v>
      </c>
      <c r="M1373" s="468"/>
      <c r="N1373" s="664">
        <f t="shared" si="681"/>
        <v>181018</v>
      </c>
      <c r="O1373" s="71" t="s">
        <v>150</v>
      </c>
      <c r="P1373" s="103" t="str">
        <f t="shared" si="669"/>
        <v>Fount 511</v>
      </c>
      <c r="Q1373" s="71">
        <f t="shared" si="670"/>
        <v>2</v>
      </c>
      <c r="R1373" s="102">
        <f>VLOOKUP(P1373,Price!B:D,3,FALSE)</f>
        <v>80000</v>
      </c>
      <c r="S1373" s="102">
        <f>R1373*Q1373*1.1</f>
        <v>176000</v>
      </c>
      <c r="T1373" s="102">
        <f>R1373*Q1373</f>
        <v>160000</v>
      </c>
      <c r="U1373" s="71" t="str">
        <f t="shared" si="685"/>
        <v>O</v>
      </c>
      <c r="V1373" s="71"/>
      <c r="W1373" s="474">
        <f t="shared" si="686"/>
        <v>130000</v>
      </c>
      <c r="X1373" s="71"/>
      <c r="Y1373" s="71"/>
    </row>
    <row r="1374" spans="1:25" ht="30" customHeight="1" x14ac:dyDescent="0.25">
      <c r="A1374" s="82">
        <v>181018</v>
      </c>
      <c r="B1374" s="664" t="s">
        <v>565</v>
      </c>
      <c r="C1374" s="71" t="s">
        <v>857</v>
      </c>
      <c r="D1374" s="71">
        <v>4</v>
      </c>
      <c r="E1374" s="102">
        <v>30000</v>
      </c>
      <c r="F1374" s="102">
        <f t="shared" si="677"/>
        <v>132000</v>
      </c>
      <c r="G1374" s="102">
        <f t="shared" si="678"/>
        <v>120000</v>
      </c>
      <c r="H1374" s="690" t="s">
        <v>173</v>
      </c>
      <c r="I1374" s="71" t="s">
        <v>142</v>
      </c>
      <c r="J1374" s="53">
        <f>G1374-T1374</f>
        <v>48000</v>
      </c>
      <c r="K1374" s="63">
        <f t="shared" si="684"/>
        <v>0.4</v>
      </c>
      <c r="L1374" s="792" t="s">
        <v>1446</v>
      </c>
      <c r="M1374" s="468"/>
      <c r="N1374" s="664">
        <f t="shared" si="681"/>
        <v>181018</v>
      </c>
      <c r="O1374" s="71" t="s">
        <v>1448</v>
      </c>
      <c r="P1374" s="103" t="str">
        <f t="shared" si="669"/>
        <v>롤러 크리너</v>
      </c>
      <c r="Q1374" s="71">
        <f t="shared" si="670"/>
        <v>4</v>
      </c>
      <c r="R1374" s="102">
        <v>18000</v>
      </c>
      <c r="S1374" s="102">
        <f>(R1374*D1374)*1.1</f>
        <v>79200</v>
      </c>
      <c r="T1374" s="102">
        <f>(R1374*Q1374)</f>
        <v>72000</v>
      </c>
      <c r="U1374" s="71" t="str">
        <f t="shared" si="685"/>
        <v>O</v>
      </c>
      <c r="V1374" s="71"/>
      <c r="W1374" s="474">
        <f t="shared" si="686"/>
        <v>48000</v>
      </c>
      <c r="X1374" s="71"/>
      <c r="Y1374" s="71"/>
    </row>
    <row r="1375" spans="1:25" ht="30" customHeight="1" x14ac:dyDescent="0.25">
      <c r="A1375" s="82">
        <v>181019</v>
      </c>
      <c r="B1375" s="664" t="s">
        <v>422</v>
      </c>
      <c r="C1375" s="760" t="s">
        <v>218</v>
      </c>
      <c r="D1375" s="71">
        <v>6</v>
      </c>
      <c r="E1375" s="102">
        <v>235000</v>
      </c>
      <c r="F1375" s="102">
        <f t="shared" si="677"/>
        <v>1551000.0000000002</v>
      </c>
      <c r="G1375" s="102">
        <f t="shared" si="678"/>
        <v>1410000</v>
      </c>
      <c r="H1375" s="690" t="s">
        <v>173</v>
      </c>
      <c r="I1375" s="71" t="s">
        <v>120</v>
      </c>
      <c r="J1375" s="53">
        <f>(G1375-(VLOOKUP(C1375,Price!B:D,3,FALSE)*D1375))</f>
        <v>735000</v>
      </c>
      <c r="K1375" s="63">
        <f>(J1375/(F1375/11*10))</f>
        <v>0.52127659574468077</v>
      </c>
      <c r="L1375" s="792" t="s">
        <v>1446</v>
      </c>
      <c r="M1375" s="468"/>
      <c r="N1375" s="664">
        <f t="shared" si="681"/>
        <v>181019</v>
      </c>
      <c r="O1375" s="71" t="s">
        <v>150</v>
      </c>
      <c r="P1375" s="103" t="str">
        <f t="shared" si="669"/>
        <v>Fount Web 551AF</v>
      </c>
      <c r="Q1375" s="71">
        <f t="shared" si="670"/>
        <v>6</v>
      </c>
      <c r="R1375" s="102">
        <v>112500</v>
      </c>
      <c r="S1375" s="102">
        <f>R1375*Q1375*1.1</f>
        <v>742500.00000000012</v>
      </c>
      <c r="T1375" s="102">
        <f>R1375*Q1375</f>
        <v>675000</v>
      </c>
      <c r="U1375" s="71" t="str">
        <f t="shared" si="685"/>
        <v>O</v>
      </c>
      <c r="V1375" s="71"/>
      <c r="W1375" s="474">
        <f t="shared" si="686"/>
        <v>735000</v>
      </c>
      <c r="X1375" s="71"/>
      <c r="Y1375" s="71"/>
    </row>
    <row r="1376" spans="1:25" ht="30" hidden="1" customHeight="1" x14ac:dyDescent="0.25">
      <c r="A1376" s="82">
        <v>181019</v>
      </c>
      <c r="B1376" s="664" t="s">
        <v>1051</v>
      </c>
      <c r="C1376" s="71" t="s">
        <v>1383</v>
      </c>
      <c r="D1376" s="71">
        <v>600</v>
      </c>
      <c r="E1376" s="102">
        <v>6150</v>
      </c>
      <c r="F1376" s="102">
        <f>(E1376*D1376)*1.1</f>
        <v>4059000.0000000005</v>
      </c>
      <c r="G1376" s="102">
        <f>(E1376*D1376)</f>
        <v>3690000</v>
      </c>
      <c r="H1376" s="690" t="s">
        <v>142</v>
      </c>
      <c r="I1376" s="71" t="s">
        <v>140</v>
      </c>
      <c r="J1376" s="53">
        <f>G1376-T1376</f>
        <v>1164000</v>
      </c>
      <c r="K1376" s="63">
        <f>(J1376/(F1376/11*10))</f>
        <v>0.3154471544715447</v>
      </c>
      <c r="L1376" s="792" t="s">
        <v>1446</v>
      </c>
      <c r="M1376" s="468"/>
      <c r="N1376" s="664">
        <f t="shared" si="681"/>
        <v>181019</v>
      </c>
      <c r="O1376" s="71" t="s">
        <v>145</v>
      </c>
      <c r="P1376" s="103" t="str">
        <f t="shared" si="669"/>
        <v>ENGAGE 1055*811</v>
      </c>
      <c r="Q1376" s="71">
        <f t="shared" si="670"/>
        <v>600</v>
      </c>
      <c r="R1376" s="102">
        <v>4210</v>
      </c>
      <c r="S1376" s="102">
        <f>R1376*Q1376*1.1</f>
        <v>2778600</v>
      </c>
      <c r="T1376" s="102">
        <f>R1376*Q1376</f>
        <v>2526000</v>
      </c>
      <c r="U1376" s="71"/>
      <c r="V1376" s="71"/>
      <c r="W1376" s="474">
        <f t="shared" si="686"/>
        <v>1164000</v>
      </c>
      <c r="X1376" s="71"/>
      <c r="Y1376" s="71"/>
    </row>
    <row r="1377" spans="1:25" ht="30" hidden="1" customHeight="1" x14ac:dyDescent="0.25">
      <c r="A1377" s="82">
        <v>181020</v>
      </c>
      <c r="B1377" s="664" t="s">
        <v>150</v>
      </c>
      <c r="C1377" s="71" t="s">
        <v>1429</v>
      </c>
      <c r="D1377" s="71">
        <v>1</v>
      </c>
      <c r="E1377" s="102">
        <v>10000000</v>
      </c>
      <c r="F1377" s="102">
        <f>(E1377*D1377)*1.1</f>
        <v>11000000</v>
      </c>
      <c r="G1377" s="102">
        <f>(E1377*D1377)</f>
        <v>10000000</v>
      </c>
      <c r="H1377" s="690" t="s">
        <v>142</v>
      </c>
      <c r="I1377" s="71" t="s">
        <v>142</v>
      </c>
      <c r="J1377" s="53"/>
      <c r="K1377" s="63"/>
      <c r="L1377" s="792" t="s">
        <v>1446</v>
      </c>
      <c r="M1377" s="468"/>
      <c r="N1377" s="664">
        <f t="shared" si="681"/>
        <v>181020</v>
      </c>
      <c r="O1377" s="71" t="s">
        <v>150</v>
      </c>
      <c r="P1377" s="103" t="str">
        <f t="shared" si="669"/>
        <v>매엽기 소개비</v>
      </c>
      <c r="Q1377" s="71">
        <f t="shared" si="670"/>
        <v>1</v>
      </c>
      <c r="R1377" s="102"/>
      <c r="S1377" s="102">
        <f>(R1377*D1377)*1.1</f>
        <v>0</v>
      </c>
      <c r="T1377" s="102">
        <f>(R1377*Q1377)</f>
        <v>0</v>
      </c>
      <c r="U1377" s="71" t="str">
        <f t="shared" ref="U1377:U1399" si="687">IF(J1377=W1377,"O", "X")</f>
        <v>X</v>
      </c>
      <c r="V1377" s="71"/>
      <c r="W1377" s="474">
        <f t="shared" si="686"/>
        <v>10000000</v>
      </c>
      <c r="X1377" s="71"/>
      <c r="Y1377" s="71"/>
    </row>
    <row r="1378" spans="1:25" ht="30" hidden="1" customHeight="1" x14ac:dyDescent="0.25">
      <c r="A1378" s="82">
        <v>181020</v>
      </c>
      <c r="B1378" s="664" t="s">
        <v>763</v>
      </c>
      <c r="C1378" s="71" t="s">
        <v>1427</v>
      </c>
      <c r="D1378" s="71">
        <v>1</v>
      </c>
      <c r="E1378" s="102">
        <v>1500000</v>
      </c>
      <c r="F1378" s="102">
        <f t="shared" ref="F1378:F1391" si="688">(E1378*D1378)*1.1</f>
        <v>1650000.0000000002</v>
      </c>
      <c r="G1378" s="102">
        <f t="shared" ref="G1378:G1391" si="689">(E1378*D1378)</f>
        <v>1500000</v>
      </c>
      <c r="H1378" s="690" t="s">
        <v>985</v>
      </c>
      <c r="I1378" s="71"/>
      <c r="J1378" s="53">
        <f t="shared" ref="J1378:J1384" si="690">G1378-T1378</f>
        <v>292261.18444064003</v>
      </c>
      <c r="K1378" s="63">
        <f>(J1378/(F1378/11*10))</f>
        <v>0.19484078962709334</v>
      </c>
      <c r="L1378" s="792" t="s">
        <v>1446</v>
      </c>
      <c r="M1378" s="468"/>
      <c r="N1378" s="664">
        <f t="shared" si="681"/>
        <v>181020</v>
      </c>
      <c r="O1378" s="71" t="s">
        <v>985</v>
      </c>
      <c r="P1378" s="103" t="str">
        <f t="shared" si="669"/>
        <v>드라이어 점검</v>
      </c>
      <c r="Q1378" s="71">
        <f t="shared" si="670"/>
        <v>1</v>
      </c>
      <c r="R1378" s="102">
        <f>Import!G124</f>
        <v>1207738.81555936</v>
      </c>
      <c r="S1378" s="102">
        <f>(R1378*D1378)*1.1</f>
        <v>1328512.697115296</v>
      </c>
      <c r="T1378" s="102">
        <f>(R1378*Q1378)</f>
        <v>1207738.81555936</v>
      </c>
      <c r="U1378" s="71" t="str">
        <f t="shared" si="687"/>
        <v>O</v>
      </c>
      <c r="V1378" s="71"/>
      <c r="W1378" s="474">
        <f t="shared" si="686"/>
        <v>292261.18444064003</v>
      </c>
      <c r="X1378" s="71"/>
      <c r="Y1378" s="71"/>
    </row>
    <row r="1379" spans="1:25" ht="30" hidden="1" customHeight="1" x14ac:dyDescent="0.25">
      <c r="A1379" s="82">
        <v>181022</v>
      </c>
      <c r="B1379" s="664" t="s">
        <v>446</v>
      </c>
      <c r="C1379" s="71" t="s">
        <v>1144</v>
      </c>
      <c r="D1379" s="71">
        <v>8</v>
      </c>
      <c r="E1379" s="102">
        <v>110000</v>
      </c>
      <c r="F1379" s="102">
        <f t="shared" si="688"/>
        <v>968000.00000000012</v>
      </c>
      <c r="G1379" s="102">
        <f t="shared" si="689"/>
        <v>880000</v>
      </c>
      <c r="H1379" s="690" t="s">
        <v>173</v>
      </c>
      <c r="I1379" s="71" t="s">
        <v>142</v>
      </c>
      <c r="J1379" s="53">
        <f t="shared" si="690"/>
        <v>152000</v>
      </c>
      <c r="K1379" s="63">
        <f>(J1379/(F1379/11*10))</f>
        <v>0.1727272727272727</v>
      </c>
      <c r="L1379" s="792" t="s">
        <v>1446</v>
      </c>
      <c r="M1379" s="468"/>
      <c r="N1379" s="664">
        <f>A1379</f>
        <v>181022</v>
      </c>
      <c r="O1379" s="71" t="s">
        <v>150</v>
      </c>
      <c r="P1379" s="103" t="str">
        <f t="shared" si="669"/>
        <v>실리콘 에멀전</v>
      </c>
      <c r="Q1379" s="71">
        <f t="shared" si="670"/>
        <v>8</v>
      </c>
      <c r="R1379" s="102">
        <v>91000</v>
      </c>
      <c r="S1379" s="102">
        <f>R1379*Q1379*1.1</f>
        <v>800800.00000000012</v>
      </c>
      <c r="T1379" s="102">
        <f>R1379*Q1379</f>
        <v>728000</v>
      </c>
      <c r="U1379" s="71" t="str">
        <f t="shared" si="687"/>
        <v>O</v>
      </c>
      <c r="V1379" s="71"/>
      <c r="W1379" s="474">
        <f t="shared" si="686"/>
        <v>152000</v>
      </c>
      <c r="X1379" s="71"/>
      <c r="Y1379" s="71"/>
    </row>
    <row r="1380" spans="1:25" ht="30" hidden="1" customHeight="1" x14ac:dyDescent="0.25">
      <c r="A1380" s="82">
        <v>181022</v>
      </c>
      <c r="B1380" s="664" t="s">
        <v>748</v>
      </c>
      <c r="C1380" s="71" t="s">
        <v>1425</v>
      </c>
      <c r="D1380" s="71">
        <v>50</v>
      </c>
      <c r="E1380" s="102">
        <v>18000</v>
      </c>
      <c r="F1380" s="102">
        <f t="shared" si="688"/>
        <v>990000.00000000012</v>
      </c>
      <c r="G1380" s="102">
        <f t="shared" si="689"/>
        <v>900000</v>
      </c>
      <c r="H1380" s="690" t="s">
        <v>1431</v>
      </c>
      <c r="I1380" s="71"/>
      <c r="J1380" s="53">
        <f t="shared" si="690"/>
        <v>450000</v>
      </c>
      <c r="K1380" s="63">
        <f>(J1380/(F1380/11*10))</f>
        <v>0.49999999999999994</v>
      </c>
      <c r="L1380" s="792" t="s">
        <v>1446</v>
      </c>
      <c r="M1380" s="468"/>
      <c r="N1380" s="664">
        <f>A1380</f>
        <v>181022</v>
      </c>
      <c r="O1380" s="71" t="s">
        <v>1431</v>
      </c>
      <c r="P1380" s="103" t="str">
        <f t="shared" si="669"/>
        <v>스트립퍼</v>
      </c>
      <c r="Q1380" s="71">
        <f t="shared" si="670"/>
        <v>50</v>
      </c>
      <c r="R1380" s="102">
        <v>9000</v>
      </c>
      <c r="S1380" s="102">
        <f>R1380*Q1380*1.1</f>
        <v>495000.00000000006</v>
      </c>
      <c r="T1380" s="102">
        <f>R1380*Q1380</f>
        <v>450000</v>
      </c>
      <c r="U1380" s="71" t="str">
        <f t="shared" si="687"/>
        <v>O</v>
      </c>
      <c r="V1380" s="71"/>
      <c r="W1380" s="474">
        <f t="shared" si="686"/>
        <v>450000</v>
      </c>
      <c r="X1380" s="71"/>
      <c r="Y1380" s="71"/>
    </row>
    <row r="1381" spans="1:25" ht="30" hidden="1" customHeight="1" x14ac:dyDescent="0.25">
      <c r="A1381" s="82">
        <v>181022</v>
      </c>
      <c r="B1381" s="664" t="s">
        <v>764</v>
      </c>
      <c r="C1381" s="71" t="s">
        <v>123</v>
      </c>
      <c r="D1381" s="71">
        <v>20</v>
      </c>
      <c r="E1381" s="102">
        <v>35000</v>
      </c>
      <c r="F1381" s="102">
        <f t="shared" si="688"/>
        <v>770000.00000000012</v>
      </c>
      <c r="G1381" s="102">
        <f t="shared" si="689"/>
        <v>700000</v>
      </c>
      <c r="H1381" s="690" t="s">
        <v>1432</v>
      </c>
      <c r="I1381" s="71"/>
      <c r="J1381" s="53">
        <f t="shared" si="690"/>
        <v>250780</v>
      </c>
      <c r="K1381" s="63">
        <f>(J1381/(F1381/11*10))</f>
        <v>0.35825714285714277</v>
      </c>
      <c r="L1381" s="792" t="s">
        <v>1446</v>
      </c>
      <c r="M1381" s="468"/>
      <c r="N1381" s="664">
        <f>A1381</f>
        <v>181022</v>
      </c>
      <c r="O1381" s="71" t="s">
        <v>1432</v>
      </c>
      <c r="P1381" s="103" t="str">
        <f t="shared" si="669"/>
        <v>필터백</v>
      </c>
      <c r="Q1381" s="71">
        <f t="shared" si="670"/>
        <v>20</v>
      </c>
      <c r="R1381" s="102">
        <f>VLOOKUP(P1381,Price!B:D,3,FALSE)</f>
        <v>22461</v>
      </c>
      <c r="S1381" s="102">
        <f>R1381*Q1381*1.1</f>
        <v>494142.00000000006</v>
      </c>
      <c r="T1381" s="102">
        <f>R1381*Q1381</f>
        <v>449220</v>
      </c>
      <c r="U1381" s="71" t="str">
        <f t="shared" si="687"/>
        <v>O</v>
      </c>
      <c r="V1381" s="71"/>
      <c r="W1381" s="474">
        <f t="shared" si="686"/>
        <v>250780</v>
      </c>
      <c r="X1381" s="71"/>
      <c r="Y1381" s="71"/>
    </row>
    <row r="1382" spans="1:25" ht="30" hidden="1" customHeight="1" x14ac:dyDescent="0.25">
      <c r="A1382" s="82">
        <v>181022</v>
      </c>
      <c r="B1382" s="664" t="s">
        <v>1051</v>
      </c>
      <c r="C1382" s="71" t="s">
        <v>1294</v>
      </c>
      <c r="D1382" s="71">
        <v>700</v>
      </c>
      <c r="E1382" s="102">
        <v>5850</v>
      </c>
      <c r="F1382" s="102">
        <f t="shared" si="688"/>
        <v>4504500</v>
      </c>
      <c r="G1382" s="102">
        <f t="shared" si="689"/>
        <v>4095000</v>
      </c>
      <c r="H1382" s="690" t="s">
        <v>142</v>
      </c>
      <c r="I1382" s="71" t="s">
        <v>140</v>
      </c>
      <c r="J1382" s="53">
        <f t="shared" si="690"/>
        <v>1295000</v>
      </c>
      <c r="K1382" s="63">
        <f t="shared" ref="K1382:K1391" si="691">(J1382/(F1382/11*10))</f>
        <v>0.31623931623931623</v>
      </c>
      <c r="L1382" s="792" t="s">
        <v>1446</v>
      </c>
      <c r="M1382" s="468"/>
      <c r="N1382" s="664">
        <f t="shared" ref="N1382:N1391" si="692">A1382</f>
        <v>181022</v>
      </c>
      <c r="O1382" s="71" t="s">
        <v>145</v>
      </c>
      <c r="P1382" s="103" t="str">
        <f t="shared" si="669"/>
        <v>ENGAGE 1030*790</v>
      </c>
      <c r="Q1382" s="71">
        <f t="shared" si="670"/>
        <v>700</v>
      </c>
      <c r="R1382" s="102">
        <v>4000</v>
      </c>
      <c r="S1382" s="102">
        <f>(R1382*D1382)*1.1</f>
        <v>3080000.0000000005</v>
      </c>
      <c r="T1382" s="102">
        <f>(R1382*Q1382)</f>
        <v>2800000</v>
      </c>
      <c r="U1382" s="71" t="str">
        <f t="shared" si="687"/>
        <v>X</v>
      </c>
      <c r="V1382" s="71"/>
      <c r="W1382" s="474"/>
      <c r="X1382" s="71"/>
      <c r="Y1382" s="71"/>
    </row>
    <row r="1383" spans="1:25" ht="30" hidden="1" customHeight="1" x14ac:dyDescent="0.25">
      <c r="A1383" s="82">
        <v>181022</v>
      </c>
      <c r="B1383" s="664" t="s">
        <v>1051</v>
      </c>
      <c r="C1383" s="67" t="s">
        <v>1386</v>
      </c>
      <c r="D1383" s="71">
        <v>10</v>
      </c>
      <c r="E1383" s="102">
        <v>54000</v>
      </c>
      <c r="F1383" s="102">
        <f>(E1383*D1383)*1.1</f>
        <v>594000</v>
      </c>
      <c r="G1383" s="102">
        <f>(E1383*D1383)</f>
        <v>540000</v>
      </c>
      <c r="H1383" s="690" t="s">
        <v>142</v>
      </c>
      <c r="I1383" s="71" t="s">
        <v>140</v>
      </c>
      <c r="J1383" s="53">
        <f t="shared" si="690"/>
        <v>190000</v>
      </c>
      <c r="K1383" s="63">
        <f t="shared" si="691"/>
        <v>0.35185185185185186</v>
      </c>
      <c r="L1383" s="792" t="s">
        <v>1446</v>
      </c>
      <c r="M1383" s="468"/>
      <c r="N1383" s="664">
        <f t="shared" si="692"/>
        <v>181022</v>
      </c>
      <c r="O1383" s="71" t="s">
        <v>145</v>
      </c>
      <c r="P1383" s="103" t="str">
        <f t="shared" si="669"/>
        <v>THR200(20L)보충액</v>
      </c>
      <c r="Q1383" s="71">
        <f t="shared" si="670"/>
        <v>10</v>
      </c>
      <c r="R1383" s="102">
        <v>35000</v>
      </c>
      <c r="S1383" s="102">
        <f>R1383*Q1383*1.1</f>
        <v>385000.00000000006</v>
      </c>
      <c r="T1383" s="102">
        <f>R1383*Q1383</f>
        <v>350000</v>
      </c>
      <c r="U1383" s="71" t="str">
        <f t="shared" si="687"/>
        <v>O</v>
      </c>
      <c r="V1383" s="71"/>
      <c r="W1383" s="474">
        <f t="shared" ref="W1383:W1398" si="693">(G1383-T1383)</f>
        <v>190000</v>
      </c>
      <c r="X1383" s="71"/>
      <c r="Y1383" s="71"/>
    </row>
    <row r="1384" spans="1:25" ht="30" hidden="1" customHeight="1" x14ac:dyDescent="0.25">
      <c r="A1384" s="82">
        <v>181022</v>
      </c>
      <c r="B1384" s="664" t="s">
        <v>1051</v>
      </c>
      <c r="C1384" s="71" t="s">
        <v>1387</v>
      </c>
      <c r="D1384" s="71">
        <v>5</v>
      </c>
      <c r="E1384" s="102">
        <v>54000</v>
      </c>
      <c r="F1384" s="102">
        <f>(E1384*D1384)*1.1</f>
        <v>297000</v>
      </c>
      <c r="G1384" s="102">
        <f>(E1384*D1384)</f>
        <v>270000</v>
      </c>
      <c r="H1384" s="690" t="s">
        <v>142</v>
      </c>
      <c r="I1384" s="71" t="s">
        <v>140</v>
      </c>
      <c r="J1384" s="53">
        <f t="shared" si="690"/>
        <v>95000</v>
      </c>
      <c r="K1384" s="63">
        <f t="shared" si="691"/>
        <v>0.35185185185185186</v>
      </c>
      <c r="L1384" s="792" t="s">
        <v>1446</v>
      </c>
      <c r="M1384" s="468"/>
      <c r="N1384" s="664">
        <f t="shared" si="692"/>
        <v>181022</v>
      </c>
      <c r="O1384" s="71" t="s">
        <v>145</v>
      </c>
      <c r="P1384" s="103" t="str">
        <f t="shared" si="669"/>
        <v>THD200(20L)현상액</v>
      </c>
      <c r="Q1384" s="71">
        <f t="shared" si="670"/>
        <v>5</v>
      </c>
      <c r="R1384" s="102">
        <v>35000</v>
      </c>
      <c r="S1384" s="102">
        <f>(R1384*D1384)*1.1</f>
        <v>192500.00000000003</v>
      </c>
      <c r="T1384" s="102">
        <f>(R1384*Q1384)</f>
        <v>175000</v>
      </c>
      <c r="U1384" s="71" t="str">
        <f t="shared" si="687"/>
        <v>O</v>
      </c>
      <c r="V1384" s="71"/>
      <c r="W1384" s="474">
        <f t="shared" si="693"/>
        <v>95000</v>
      </c>
      <c r="X1384" s="71"/>
      <c r="Y1384" s="71"/>
    </row>
    <row r="1385" spans="1:25" s="209" customFormat="1" ht="30" customHeight="1" x14ac:dyDescent="0.25">
      <c r="A1385" s="82">
        <v>181023</v>
      </c>
      <c r="B1385" s="664" t="s">
        <v>565</v>
      </c>
      <c r="C1385" s="71" t="s">
        <v>583</v>
      </c>
      <c r="D1385" s="71">
        <v>32</v>
      </c>
      <c r="E1385" s="102">
        <v>89000</v>
      </c>
      <c r="F1385" s="102">
        <f t="shared" si="688"/>
        <v>3132800.0000000005</v>
      </c>
      <c r="G1385" s="102">
        <f t="shared" si="689"/>
        <v>2848000</v>
      </c>
      <c r="H1385" s="690" t="s">
        <v>173</v>
      </c>
      <c r="I1385" s="71" t="s">
        <v>108</v>
      </c>
      <c r="J1385" s="53">
        <f>(G1385-(VLOOKUP(C1385,Price!B:D,3,FALSE)*D1385))</f>
        <v>1440000</v>
      </c>
      <c r="K1385" s="63">
        <f t="shared" si="691"/>
        <v>0.50561797752808979</v>
      </c>
      <c r="L1385" s="792" t="s">
        <v>1446</v>
      </c>
      <c r="M1385" s="468"/>
      <c r="N1385" s="664">
        <f t="shared" si="692"/>
        <v>181023</v>
      </c>
      <c r="O1385" s="71" t="s">
        <v>599</v>
      </c>
      <c r="P1385" s="103" t="str">
        <f t="shared" si="669"/>
        <v>M600 윤전 세정포</v>
      </c>
      <c r="Q1385" s="71">
        <f t="shared" si="670"/>
        <v>32</v>
      </c>
      <c r="R1385" s="102">
        <v>44000</v>
      </c>
      <c r="S1385" s="102">
        <f>(R1385*D1385)*1.1</f>
        <v>1548800.0000000002</v>
      </c>
      <c r="T1385" s="102">
        <f>(R1385*Q1385)</f>
        <v>1408000</v>
      </c>
      <c r="U1385" s="71" t="str">
        <f t="shared" si="687"/>
        <v>O</v>
      </c>
      <c r="V1385" s="71"/>
      <c r="W1385" s="474">
        <f t="shared" si="693"/>
        <v>1440000</v>
      </c>
      <c r="X1385" s="71"/>
      <c r="Y1385" s="71"/>
    </row>
    <row r="1386" spans="1:25" s="209" customFormat="1" ht="30" hidden="1" customHeight="1" x14ac:dyDescent="0.2">
      <c r="A1386" s="82">
        <v>181024</v>
      </c>
      <c r="B1386" s="664" t="s">
        <v>445</v>
      </c>
      <c r="C1386" s="71" t="s">
        <v>231</v>
      </c>
      <c r="D1386" s="71">
        <v>10</v>
      </c>
      <c r="E1386" s="102">
        <v>120000</v>
      </c>
      <c r="F1386" s="163">
        <f t="shared" si="688"/>
        <v>1320000</v>
      </c>
      <c r="G1386" s="163">
        <f t="shared" si="689"/>
        <v>1200000</v>
      </c>
      <c r="H1386" s="165" t="s">
        <v>172</v>
      </c>
      <c r="I1386" s="71" t="s">
        <v>109</v>
      </c>
      <c r="J1386" s="53">
        <f>(G1386-(VLOOKUP(C1386,Price!B:D,3,FALSE)*D1386))</f>
        <v>80000</v>
      </c>
      <c r="K1386" s="63">
        <f t="shared" si="691"/>
        <v>6.6666666666666666E-2</v>
      </c>
      <c r="L1386" s="792" t="s">
        <v>1446</v>
      </c>
      <c r="M1386" s="468"/>
      <c r="N1386" s="664">
        <f t="shared" si="692"/>
        <v>181024</v>
      </c>
      <c r="O1386" s="71" t="s">
        <v>151</v>
      </c>
      <c r="P1386" s="103" t="str">
        <f t="shared" ref="P1386:Q1423" si="694">C1386</f>
        <v>Blanket(990*725)</v>
      </c>
      <c r="Q1386" s="71">
        <f t="shared" si="670"/>
        <v>10</v>
      </c>
      <c r="R1386" s="102">
        <v>112000</v>
      </c>
      <c r="S1386" s="102">
        <f>(R1386*D1386)*1.1</f>
        <v>1232000</v>
      </c>
      <c r="T1386" s="102">
        <f>(R1386*Q1386)</f>
        <v>1120000</v>
      </c>
      <c r="U1386" s="71" t="str">
        <f t="shared" si="687"/>
        <v>O</v>
      </c>
      <c r="V1386" s="71"/>
      <c r="W1386" s="474">
        <f t="shared" si="693"/>
        <v>80000</v>
      </c>
      <c r="X1386" s="71"/>
      <c r="Y1386" s="71"/>
    </row>
    <row r="1387" spans="1:25" s="209" customFormat="1" ht="30" hidden="1" customHeight="1" x14ac:dyDescent="0.2">
      <c r="A1387" s="82">
        <v>181024</v>
      </c>
      <c r="B1387" s="664" t="s">
        <v>445</v>
      </c>
      <c r="C1387" s="71" t="s">
        <v>107</v>
      </c>
      <c r="D1387" s="71">
        <v>10</v>
      </c>
      <c r="E1387" s="102">
        <v>108000</v>
      </c>
      <c r="F1387" s="163">
        <f t="shared" si="688"/>
        <v>1188000</v>
      </c>
      <c r="G1387" s="163">
        <f t="shared" si="689"/>
        <v>1080000</v>
      </c>
      <c r="H1387" s="165" t="s">
        <v>172</v>
      </c>
      <c r="I1387" s="71" t="s">
        <v>109</v>
      </c>
      <c r="J1387" s="53">
        <f>(G1387-(VLOOKUP(C1387,Price!B:D,3,FALSE)*D1387))</f>
        <v>275000</v>
      </c>
      <c r="K1387" s="63">
        <f t="shared" si="691"/>
        <v>0.25462962962962965</v>
      </c>
      <c r="L1387" s="792" t="s">
        <v>1446</v>
      </c>
      <c r="M1387" s="468"/>
      <c r="N1387" s="664">
        <f t="shared" si="692"/>
        <v>181024</v>
      </c>
      <c r="O1387" s="71" t="s">
        <v>147</v>
      </c>
      <c r="P1387" s="103" t="str">
        <f t="shared" si="694"/>
        <v>Blanket(1050*840)</v>
      </c>
      <c r="Q1387" s="71">
        <f t="shared" si="694"/>
        <v>10</v>
      </c>
      <c r="R1387" s="102">
        <v>80500</v>
      </c>
      <c r="S1387" s="102">
        <f>(R1387*D1387)*1.1</f>
        <v>885500.00000000012</v>
      </c>
      <c r="T1387" s="102">
        <f>(R1387*Q1387)</f>
        <v>805000</v>
      </c>
      <c r="U1387" s="71" t="str">
        <f t="shared" si="687"/>
        <v>O</v>
      </c>
      <c r="V1387" s="71"/>
      <c r="W1387" s="474">
        <f t="shared" si="693"/>
        <v>275000</v>
      </c>
      <c r="X1387" s="71"/>
      <c r="Y1387" s="71"/>
    </row>
    <row r="1388" spans="1:25" ht="30" hidden="1" customHeight="1" x14ac:dyDescent="0.25">
      <c r="A1388" s="82">
        <v>181024</v>
      </c>
      <c r="B1388" s="664" t="s">
        <v>983</v>
      </c>
      <c r="C1388" s="71" t="s">
        <v>1009</v>
      </c>
      <c r="D1388" s="71">
        <v>520</v>
      </c>
      <c r="E1388" s="102">
        <v>3900</v>
      </c>
      <c r="F1388" s="102">
        <f t="shared" si="688"/>
        <v>2230800</v>
      </c>
      <c r="G1388" s="102">
        <f t="shared" si="689"/>
        <v>2028000</v>
      </c>
      <c r="H1388" s="690" t="s">
        <v>173</v>
      </c>
      <c r="I1388" s="71" t="s">
        <v>140</v>
      </c>
      <c r="J1388" s="53">
        <f>G1388-T1388</f>
        <v>312000</v>
      </c>
      <c r="K1388" s="63">
        <f t="shared" si="691"/>
        <v>0.15384615384615385</v>
      </c>
      <c r="L1388" s="792" t="s">
        <v>1446</v>
      </c>
      <c r="M1388" s="468"/>
      <c r="N1388" s="664">
        <f t="shared" si="692"/>
        <v>181024</v>
      </c>
      <c r="O1388" s="71" t="s">
        <v>147</v>
      </c>
      <c r="P1388" s="103" t="str">
        <f t="shared" si="694"/>
        <v>CTP판(1030*790mm)</v>
      </c>
      <c r="Q1388" s="71">
        <f t="shared" si="694"/>
        <v>520</v>
      </c>
      <c r="R1388" s="102">
        <v>3300</v>
      </c>
      <c r="S1388" s="102">
        <f>R1388*Q1388*1.1</f>
        <v>1887600.0000000002</v>
      </c>
      <c r="T1388" s="102">
        <f>R1388*Q1388</f>
        <v>1716000</v>
      </c>
      <c r="U1388" s="71" t="str">
        <f t="shared" si="687"/>
        <v>O</v>
      </c>
      <c r="V1388" s="71"/>
      <c r="W1388" s="474">
        <f t="shared" si="693"/>
        <v>312000</v>
      </c>
      <c r="X1388" s="71"/>
      <c r="Y1388" s="71"/>
    </row>
    <row r="1389" spans="1:25" ht="30" hidden="1" customHeight="1" x14ac:dyDescent="0.25">
      <c r="A1389" s="82">
        <v>181024</v>
      </c>
      <c r="B1389" s="664" t="s">
        <v>983</v>
      </c>
      <c r="C1389" s="71" t="s">
        <v>984</v>
      </c>
      <c r="D1389" s="71">
        <v>6</v>
      </c>
      <c r="E1389" s="102">
        <v>45000</v>
      </c>
      <c r="F1389" s="102">
        <f t="shared" si="688"/>
        <v>297000</v>
      </c>
      <c r="G1389" s="102">
        <f t="shared" si="689"/>
        <v>270000</v>
      </c>
      <c r="H1389" s="690" t="s">
        <v>173</v>
      </c>
      <c r="I1389" s="71" t="s">
        <v>140</v>
      </c>
      <c r="J1389" s="53">
        <f>G1389-T1389</f>
        <v>60000</v>
      </c>
      <c r="K1389" s="63">
        <f t="shared" si="691"/>
        <v>0.22222222222222221</v>
      </c>
      <c r="L1389" s="792" t="s">
        <v>1446</v>
      </c>
      <c r="M1389" s="468"/>
      <c r="N1389" s="664">
        <f t="shared" si="692"/>
        <v>181024</v>
      </c>
      <c r="O1389" s="71" t="s">
        <v>147</v>
      </c>
      <c r="P1389" s="103" t="str">
        <f t="shared" si="694"/>
        <v>CTP 현상액</v>
      </c>
      <c r="Q1389" s="71">
        <f t="shared" si="694"/>
        <v>6</v>
      </c>
      <c r="R1389" s="102">
        <v>35000</v>
      </c>
      <c r="S1389" s="102">
        <f>R1389*Q1389*1.1</f>
        <v>231000.00000000003</v>
      </c>
      <c r="T1389" s="102">
        <f>R1389*Q1389</f>
        <v>210000</v>
      </c>
      <c r="U1389" s="71" t="str">
        <f t="shared" si="687"/>
        <v>O</v>
      </c>
      <c r="V1389" s="71"/>
      <c r="W1389" s="474">
        <f t="shared" si="693"/>
        <v>60000</v>
      </c>
      <c r="X1389" s="71"/>
      <c r="Y1389" s="71"/>
    </row>
    <row r="1390" spans="1:25" ht="30" hidden="1" customHeight="1" x14ac:dyDescent="0.25">
      <c r="A1390" s="82">
        <v>181025</v>
      </c>
      <c r="B1390" s="664" t="s">
        <v>1051</v>
      </c>
      <c r="C1390" s="71" t="s">
        <v>524</v>
      </c>
      <c r="D1390" s="71">
        <v>700</v>
      </c>
      <c r="E1390" s="102">
        <v>3680</v>
      </c>
      <c r="F1390" s="102">
        <f t="shared" si="688"/>
        <v>2833600</v>
      </c>
      <c r="G1390" s="102">
        <f t="shared" si="689"/>
        <v>2576000</v>
      </c>
      <c r="H1390" s="690" t="s">
        <v>142</v>
      </c>
      <c r="I1390" s="71" t="s">
        <v>140</v>
      </c>
      <c r="J1390" s="53">
        <f>G1390-T1390</f>
        <v>812000</v>
      </c>
      <c r="K1390" s="63">
        <f t="shared" si="691"/>
        <v>0.31521739130434784</v>
      </c>
      <c r="L1390" s="792" t="s">
        <v>1446</v>
      </c>
      <c r="M1390" s="468"/>
      <c r="N1390" s="664">
        <f t="shared" si="692"/>
        <v>181025</v>
      </c>
      <c r="O1390" s="71" t="s">
        <v>145</v>
      </c>
      <c r="P1390" s="103" t="str">
        <f t="shared" si="694"/>
        <v>ENGAGE 900X570 - 27RO</v>
      </c>
      <c r="Q1390" s="71">
        <f t="shared" si="694"/>
        <v>700</v>
      </c>
      <c r="R1390" s="102">
        <v>2520</v>
      </c>
      <c r="S1390" s="102">
        <f>R1390*Q1390*1.1</f>
        <v>1940400.0000000002</v>
      </c>
      <c r="T1390" s="102">
        <f>R1390*Q1390</f>
        <v>1764000</v>
      </c>
      <c r="U1390" s="71" t="str">
        <f t="shared" si="687"/>
        <v>O</v>
      </c>
      <c r="V1390" s="71"/>
      <c r="W1390" s="474">
        <f t="shared" si="693"/>
        <v>812000</v>
      </c>
      <c r="X1390" s="71"/>
      <c r="Y1390" s="71"/>
    </row>
    <row r="1391" spans="1:25" ht="30" hidden="1" customHeight="1" x14ac:dyDescent="0.25">
      <c r="A1391" s="82">
        <v>181025</v>
      </c>
      <c r="B1391" s="664" t="s">
        <v>1051</v>
      </c>
      <c r="C1391" s="71" t="s">
        <v>1305</v>
      </c>
      <c r="D1391" s="71">
        <v>50</v>
      </c>
      <c r="E1391" s="102">
        <v>4430</v>
      </c>
      <c r="F1391" s="102">
        <f t="shared" si="688"/>
        <v>243650.00000000003</v>
      </c>
      <c r="G1391" s="102">
        <f t="shared" si="689"/>
        <v>221500</v>
      </c>
      <c r="H1391" s="690" t="s">
        <v>142</v>
      </c>
      <c r="I1391" s="71" t="s">
        <v>140</v>
      </c>
      <c r="J1391" s="53">
        <f>G1391-T1391</f>
        <v>70000</v>
      </c>
      <c r="K1391" s="63">
        <f t="shared" si="691"/>
        <v>0.31602708803611734</v>
      </c>
      <c r="L1391" s="792" t="s">
        <v>1446</v>
      </c>
      <c r="M1391" s="468"/>
      <c r="N1391" s="664">
        <f t="shared" si="692"/>
        <v>181025</v>
      </c>
      <c r="O1391" s="71" t="s">
        <v>145</v>
      </c>
      <c r="P1391" s="103" t="str">
        <f t="shared" si="694"/>
        <v>ENGAGE 968*636</v>
      </c>
      <c r="Q1391" s="71">
        <f t="shared" si="694"/>
        <v>50</v>
      </c>
      <c r="R1391" s="102">
        <v>3030</v>
      </c>
      <c r="S1391" s="102">
        <f>(R1391*D1391)*1.1</f>
        <v>166650</v>
      </c>
      <c r="T1391" s="102">
        <f>(R1391*Q1391)</f>
        <v>151500</v>
      </c>
      <c r="U1391" s="71" t="str">
        <f t="shared" si="687"/>
        <v>O</v>
      </c>
      <c r="V1391" s="71"/>
      <c r="W1391" s="474">
        <f t="shared" si="693"/>
        <v>70000</v>
      </c>
      <c r="X1391" s="71"/>
      <c r="Y1391" s="71"/>
    </row>
    <row r="1392" spans="1:25" ht="30" hidden="1" customHeight="1" x14ac:dyDescent="0.25">
      <c r="A1392" s="82">
        <v>181025</v>
      </c>
      <c r="B1392" s="664" t="s">
        <v>442</v>
      </c>
      <c r="C1392" s="71" t="s">
        <v>133</v>
      </c>
      <c r="D1392" s="71">
        <v>2</v>
      </c>
      <c r="E1392" s="102">
        <v>327000</v>
      </c>
      <c r="F1392" s="102">
        <f t="shared" ref="F1392:F1401" si="695">(E1392*D1392)*1.1</f>
        <v>719400</v>
      </c>
      <c r="G1392" s="102">
        <f t="shared" ref="G1392:G1401" si="696">(E1392*D1392)</f>
        <v>654000</v>
      </c>
      <c r="H1392" s="690" t="s">
        <v>173</v>
      </c>
      <c r="I1392" s="71" t="s">
        <v>141</v>
      </c>
      <c r="J1392" s="53">
        <f>(G1392-(VLOOKUP(C1392,Price!B:D,3,FALSE)*D1392))</f>
        <v>115800</v>
      </c>
      <c r="K1392" s="63">
        <f t="shared" ref="K1392:K1401" si="697">(J1392/(F1392/11*10))</f>
        <v>0.17706422018348625</v>
      </c>
      <c r="L1392" s="792" t="s">
        <v>1446</v>
      </c>
      <c r="M1392" s="468"/>
      <c r="N1392" s="664">
        <f t="shared" ref="N1392:N1401" si="698">A1392</f>
        <v>181025</v>
      </c>
      <c r="O1392" s="71" t="s">
        <v>145</v>
      </c>
      <c r="P1392" s="103" t="str">
        <f t="shared" si="694"/>
        <v>Agfa Film(24inch)</v>
      </c>
      <c r="Q1392" s="71">
        <f t="shared" si="694"/>
        <v>2</v>
      </c>
      <c r="R1392" s="102">
        <v>269100</v>
      </c>
      <c r="S1392" s="102">
        <f t="shared" ref="S1392:S1397" si="699">R1392*Q1392*1.1</f>
        <v>592020</v>
      </c>
      <c r="T1392" s="102">
        <f t="shared" ref="T1392:T1397" si="700">R1392*Q1392</f>
        <v>538200</v>
      </c>
      <c r="U1392" s="71" t="str">
        <f t="shared" si="687"/>
        <v>O</v>
      </c>
      <c r="V1392" s="71"/>
      <c r="W1392" s="474">
        <f t="shared" si="693"/>
        <v>115800</v>
      </c>
      <c r="X1392" s="71"/>
      <c r="Y1392" s="71"/>
    </row>
    <row r="1393" spans="1:25" ht="30" hidden="1" customHeight="1" x14ac:dyDescent="0.25">
      <c r="A1393" s="82">
        <v>181025</v>
      </c>
      <c r="B1393" s="664" t="s">
        <v>442</v>
      </c>
      <c r="C1393" s="71" t="s">
        <v>134</v>
      </c>
      <c r="D1393" s="71">
        <v>2</v>
      </c>
      <c r="E1393" s="102">
        <v>401000</v>
      </c>
      <c r="F1393" s="102">
        <f t="shared" si="695"/>
        <v>882200.00000000012</v>
      </c>
      <c r="G1393" s="102">
        <f t="shared" si="696"/>
        <v>802000</v>
      </c>
      <c r="H1393" s="690" t="s">
        <v>173</v>
      </c>
      <c r="I1393" s="71" t="s">
        <v>141</v>
      </c>
      <c r="J1393" s="53">
        <f>(G1393-(VLOOKUP(C1393,Price!B:D,3,FALSE)*D1393))</f>
        <v>174080</v>
      </c>
      <c r="K1393" s="63">
        <f t="shared" si="697"/>
        <v>0.21705735660847877</v>
      </c>
      <c r="L1393" s="792" t="s">
        <v>1446</v>
      </c>
      <c r="M1393" s="468"/>
      <c r="N1393" s="664">
        <f t="shared" si="698"/>
        <v>181025</v>
      </c>
      <c r="O1393" s="71" t="s">
        <v>145</v>
      </c>
      <c r="P1393" s="103" t="str">
        <f t="shared" si="694"/>
        <v>Agfa Film(28inch)</v>
      </c>
      <c r="Q1393" s="71">
        <f t="shared" si="694"/>
        <v>2</v>
      </c>
      <c r="R1393" s="102">
        <v>313960</v>
      </c>
      <c r="S1393" s="102">
        <f t="shared" si="699"/>
        <v>690712</v>
      </c>
      <c r="T1393" s="102">
        <f t="shared" si="700"/>
        <v>627920</v>
      </c>
      <c r="U1393" s="71" t="str">
        <f t="shared" si="687"/>
        <v>O</v>
      </c>
      <c r="V1393" s="71"/>
      <c r="W1393" s="474">
        <f t="shared" si="693"/>
        <v>174080</v>
      </c>
      <c r="X1393" s="71"/>
      <c r="Y1393" s="71"/>
    </row>
    <row r="1394" spans="1:25" ht="30" hidden="1" customHeight="1" x14ac:dyDescent="0.25">
      <c r="A1394" s="82">
        <v>181025</v>
      </c>
      <c r="B1394" s="664" t="s">
        <v>442</v>
      </c>
      <c r="C1394" s="71" t="s">
        <v>135</v>
      </c>
      <c r="D1394" s="71">
        <v>2</v>
      </c>
      <c r="E1394" s="102">
        <v>448000</v>
      </c>
      <c r="F1394" s="102">
        <f t="shared" si="695"/>
        <v>985600.00000000012</v>
      </c>
      <c r="G1394" s="102">
        <f t="shared" si="696"/>
        <v>896000</v>
      </c>
      <c r="H1394" s="690" t="s">
        <v>173</v>
      </c>
      <c r="I1394" s="71" t="s">
        <v>141</v>
      </c>
      <c r="J1394" s="53">
        <f>(G1394-(VLOOKUP(C1394,Price!B:D,3,FALSE)*D1394))</f>
        <v>155980</v>
      </c>
      <c r="K1394" s="63">
        <f t="shared" si="697"/>
        <v>0.1740848214285714</v>
      </c>
      <c r="L1394" s="792" t="s">
        <v>1446</v>
      </c>
      <c r="M1394" s="468"/>
      <c r="N1394" s="664">
        <f t="shared" si="698"/>
        <v>181025</v>
      </c>
      <c r="O1394" s="71" t="s">
        <v>145</v>
      </c>
      <c r="P1394" s="103" t="str">
        <f t="shared" si="694"/>
        <v>Agfa Film(32inch)</v>
      </c>
      <c r="Q1394" s="71">
        <f t="shared" si="694"/>
        <v>2</v>
      </c>
      <c r="R1394" s="102">
        <v>370010</v>
      </c>
      <c r="S1394" s="102">
        <f t="shared" si="699"/>
        <v>814022.00000000012</v>
      </c>
      <c r="T1394" s="102">
        <f t="shared" si="700"/>
        <v>740020</v>
      </c>
      <c r="U1394" s="71" t="str">
        <f t="shared" si="687"/>
        <v>O</v>
      </c>
      <c r="V1394" s="71"/>
      <c r="W1394" s="474">
        <f t="shared" si="693"/>
        <v>155980</v>
      </c>
      <c r="X1394" s="71"/>
      <c r="Y1394" s="71"/>
    </row>
    <row r="1395" spans="1:25" ht="30" hidden="1" customHeight="1" x14ac:dyDescent="0.25">
      <c r="A1395" s="82">
        <v>181025</v>
      </c>
      <c r="B1395" s="664" t="s">
        <v>442</v>
      </c>
      <c r="C1395" s="71" t="s">
        <v>649</v>
      </c>
      <c r="D1395" s="71">
        <v>2</v>
      </c>
      <c r="E1395" s="102">
        <v>41000</v>
      </c>
      <c r="F1395" s="102">
        <f t="shared" si="695"/>
        <v>90200.000000000015</v>
      </c>
      <c r="G1395" s="102">
        <f t="shared" si="696"/>
        <v>82000</v>
      </c>
      <c r="H1395" s="690" t="s">
        <v>173</v>
      </c>
      <c r="I1395" s="71" t="s">
        <v>141</v>
      </c>
      <c r="J1395" s="53">
        <f>(G1395-(VLOOKUP(C1395,Price!B:D,3,FALSE)*D1395))</f>
        <v>32000</v>
      </c>
      <c r="K1395" s="63">
        <f t="shared" si="697"/>
        <v>0.39024390243902435</v>
      </c>
      <c r="L1395" s="792" t="s">
        <v>1446</v>
      </c>
      <c r="M1395" s="468"/>
      <c r="N1395" s="664">
        <f t="shared" si="698"/>
        <v>181025</v>
      </c>
      <c r="O1395" s="71" t="s">
        <v>145</v>
      </c>
      <c r="P1395" s="103" t="str">
        <f t="shared" si="694"/>
        <v>Agfa 현상액 G101C(10L)</v>
      </c>
      <c r="Q1395" s="71">
        <f t="shared" si="694"/>
        <v>2</v>
      </c>
      <c r="R1395" s="102">
        <f>VLOOKUP(P1395,Price!B:D,3,FALSE)</f>
        <v>25000</v>
      </c>
      <c r="S1395" s="102">
        <f t="shared" si="699"/>
        <v>55000.000000000007</v>
      </c>
      <c r="T1395" s="102">
        <f t="shared" si="700"/>
        <v>50000</v>
      </c>
      <c r="U1395" s="71" t="str">
        <f t="shared" si="687"/>
        <v>O</v>
      </c>
      <c r="V1395" s="71"/>
      <c r="W1395" s="474">
        <f t="shared" si="693"/>
        <v>32000</v>
      </c>
      <c r="X1395" s="71"/>
      <c r="Y1395" s="71"/>
    </row>
    <row r="1396" spans="1:25" ht="30" hidden="1" customHeight="1" x14ac:dyDescent="0.2">
      <c r="A1396" s="82">
        <v>181025</v>
      </c>
      <c r="B1396" s="664" t="s">
        <v>442</v>
      </c>
      <c r="C1396" s="71" t="s">
        <v>650</v>
      </c>
      <c r="D1396" s="71">
        <v>1</v>
      </c>
      <c r="E1396" s="102">
        <v>93000</v>
      </c>
      <c r="F1396" s="163">
        <f t="shared" si="695"/>
        <v>102300.00000000001</v>
      </c>
      <c r="G1396" s="163">
        <f t="shared" si="696"/>
        <v>93000</v>
      </c>
      <c r="H1396" s="165" t="s">
        <v>172</v>
      </c>
      <c r="I1396" s="71" t="s">
        <v>141</v>
      </c>
      <c r="J1396" s="53">
        <f>(G1396-(VLOOKUP(C1396,Price!B:D,3,FALSE)*D1396))</f>
        <v>33000</v>
      </c>
      <c r="K1396" s="63">
        <f t="shared" si="697"/>
        <v>0.35483870967741932</v>
      </c>
      <c r="L1396" s="792" t="s">
        <v>1446</v>
      </c>
      <c r="M1396" s="468"/>
      <c r="N1396" s="664">
        <f t="shared" si="698"/>
        <v>181025</v>
      </c>
      <c r="O1396" s="71" t="s">
        <v>145</v>
      </c>
      <c r="P1396" s="103" t="str">
        <f t="shared" si="694"/>
        <v>Agfa 정착액 G333C(20L)</v>
      </c>
      <c r="Q1396" s="71">
        <f t="shared" si="694"/>
        <v>1</v>
      </c>
      <c r="R1396" s="102">
        <f>VLOOKUP(P1396,Price!B:D,3,FALSE)</f>
        <v>60000</v>
      </c>
      <c r="S1396" s="102">
        <f t="shared" si="699"/>
        <v>66000</v>
      </c>
      <c r="T1396" s="102">
        <f t="shared" si="700"/>
        <v>60000</v>
      </c>
      <c r="U1396" s="71" t="str">
        <f t="shared" si="687"/>
        <v>O</v>
      </c>
      <c r="V1396" s="71"/>
      <c r="W1396" s="474">
        <f t="shared" si="693"/>
        <v>33000</v>
      </c>
      <c r="X1396" s="71"/>
      <c r="Y1396" s="71"/>
    </row>
    <row r="1397" spans="1:25" ht="30" hidden="1" customHeight="1" x14ac:dyDescent="0.25">
      <c r="A1397" s="82">
        <v>181025</v>
      </c>
      <c r="B1397" s="664" t="s">
        <v>1286</v>
      </c>
      <c r="C1397" s="760" t="s">
        <v>218</v>
      </c>
      <c r="D1397" s="71">
        <v>10</v>
      </c>
      <c r="E1397" s="102">
        <v>192500</v>
      </c>
      <c r="F1397" s="102">
        <f t="shared" si="695"/>
        <v>2117500</v>
      </c>
      <c r="G1397" s="102">
        <f t="shared" si="696"/>
        <v>1925000</v>
      </c>
      <c r="H1397" s="690" t="s">
        <v>173</v>
      </c>
      <c r="I1397" s="71" t="s">
        <v>120</v>
      </c>
      <c r="J1397" s="53">
        <f>(G1397-(VLOOKUP(C1397,Price!B:D,3,FALSE)*D1397))</f>
        <v>800000</v>
      </c>
      <c r="K1397" s="63">
        <f t="shared" si="697"/>
        <v>0.41558441558441561</v>
      </c>
      <c r="L1397" s="792" t="s">
        <v>1446</v>
      </c>
      <c r="M1397" s="468"/>
      <c r="N1397" s="664">
        <f t="shared" si="698"/>
        <v>181025</v>
      </c>
      <c r="O1397" s="71" t="s">
        <v>150</v>
      </c>
      <c r="P1397" s="103" t="str">
        <f t="shared" si="694"/>
        <v>Fount Web 551AF</v>
      </c>
      <c r="Q1397" s="71">
        <f t="shared" si="694"/>
        <v>10</v>
      </c>
      <c r="R1397" s="102">
        <v>112500</v>
      </c>
      <c r="S1397" s="102">
        <f t="shared" si="699"/>
        <v>1237500</v>
      </c>
      <c r="T1397" s="102">
        <f t="shared" si="700"/>
        <v>1125000</v>
      </c>
      <c r="U1397" s="71" t="str">
        <f t="shared" si="687"/>
        <v>O</v>
      </c>
      <c r="V1397" s="71"/>
      <c r="W1397" s="474">
        <f t="shared" si="693"/>
        <v>800000</v>
      </c>
      <c r="X1397" s="71"/>
      <c r="Y1397" s="71"/>
    </row>
    <row r="1398" spans="1:25" ht="30" hidden="1" customHeight="1" x14ac:dyDescent="0.25">
      <c r="A1398" s="82">
        <v>181025</v>
      </c>
      <c r="B1398" s="664" t="s">
        <v>567</v>
      </c>
      <c r="C1398" s="760" t="s">
        <v>2154</v>
      </c>
      <c r="D1398" s="71">
        <v>10</v>
      </c>
      <c r="E1398" s="102">
        <v>750000</v>
      </c>
      <c r="F1398" s="102">
        <f t="shared" si="695"/>
        <v>8250000.0000000009</v>
      </c>
      <c r="G1398" s="102">
        <f t="shared" si="696"/>
        <v>7500000</v>
      </c>
      <c r="H1398" s="690" t="s">
        <v>173</v>
      </c>
      <c r="I1398" s="71" t="s">
        <v>142</v>
      </c>
      <c r="J1398" s="53">
        <f>G1398-T1398</f>
        <v>4831982.2320876829</v>
      </c>
      <c r="K1398" s="63">
        <f t="shared" si="697"/>
        <v>0.64426429761169102</v>
      </c>
      <c r="L1398" s="792" t="s">
        <v>1446</v>
      </c>
      <c r="M1398" s="468" t="s">
        <v>1459</v>
      </c>
      <c r="N1398" s="664">
        <f t="shared" si="698"/>
        <v>181025</v>
      </c>
      <c r="O1398" s="71" t="s">
        <v>1458</v>
      </c>
      <c r="P1398" s="103" t="str">
        <f t="shared" si="694"/>
        <v>Uv 램프 - 하이델베르그 국전용</v>
      </c>
      <c r="Q1398" s="71">
        <f t="shared" si="694"/>
        <v>10</v>
      </c>
      <c r="R1398" s="102">
        <f>Import!G727</f>
        <v>266801.77679123171</v>
      </c>
      <c r="S1398" s="102">
        <f>(R1398*D1398)*1.1</f>
        <v>2934819.5447035492</v>
      </c>
      <c r="T1398" s="102">
        <f>(R1398*Q1398)</f>
        <v>2668017.7679123171</v>
      </c>
      <c r="U1398" s="71" t="str">
        <f t="shared" si="687"/>
        <v>O</v>
      </c>
      <c r="V1398" s="71"/>
      <c r="W1398" s="474">
        <f t="shared" si="693"/>
        <v>4831982.2320876829</v>
      </c>
      <c r="X1398" s="71"/>
      <c r="Y1398" s="71"/>
    </row>
    <row r="1399" spans="1:25" ht="30" hidden="1" customHeight="1" x14ac:dyDescent="0.25">
      <c r="A1399" s="82">
        <v>181026</v>
      </c>
      <c r="B1399" s="664" t="s">
        <v>1051</v>
      </c>
      <c r="C1399" s="71" t="s">
        <v>1294</v>
      </c>
      <c r="D1399" s="71">
        <v>700</v>
      </c>
      <c r="E1399" s="102">
        <v>5850</v>
      </c>
      <c r="F1399" s="102">
        <f t="shared" si="695"/>
        <v>4504500</v>
      </c>
      <c r="G1399" s="102">
        <f t="shared" si="696"/>
        <v>4095000</v>
      </c>
      <c r="H1399" s="690" t="s">
        <v>142</v>
      </c>
      <c r="I1399" s="71" t="s">
        <v>140</v>
      </c>
      <c r="J1399" s="53">
        <f>G1399-T1399</f>
        <v>1295000</v>
      </c>
      <c r="K1399" s="63">
        <f t="shared" si="697"/>
        <v>0.31623931623931623</v>
      </c>
      <c r="L1399" s="792" t="s">
        <v>1446</v>
      </c>
      <c r="M1399" s="468"/>
      <c r="N1399" s="664">
        <f>A1399</f>
        <v>181026</v>
      </c>
      <c r="O1399" s="71" t="s">
        <v>145</v>
      </c>
      <c r="P1399" s="103" t="str">
        <f t="shared" si="694"/>
        <v>ENGAGE 1030*790</v>
      </c>
      <c r="Q1399" s="71">
        <f t="shared" si="694"/>
        <v>700</v>
      </c>
      <c r="R1399" s="102">
        <v>4000</v>
      </c>
      <c r="S1399" s="102">
        <f>(R1399*D1399)*1.1</f>
        <v>3080000.0000000005</v>
      </c>
      <c r="T1399" s="102">
        <f>(R1399*Q1399)</f>
        <v>2800000</v>
      </c>
      <c r="U1399" s="71" t="str">
        <f t="shared" si="687"/>
        <v>X</v>
      </c>
      <c r="V1399" s="71"/>
      <c r="W1399" s="474"/>
      <c r="X1399" s="71"/>
      <c r="Y1399" s="71"/>
    </row>
    <row r="1400" spans="1:25" ht="30" hidden="1" customHeight="1" x14ac:dyDescent="0.25">
      <c r="A1400" s="82">
        <v>181026</v>
      </c>
      <c r="B1400" s="664" t="s">
        <v>545</v>
      </c>
      <c r="C1400" s="71" t="s">
        <v>1291</v>
      </c>
      <c r="D1400" s="71">
        <v>30</v>
      </c>
      <c r="E1400" s="102">
        <v>28500</v>
      </c>
      <c r="F1400" s="102">
        <f t="shared" si="695"/>
        <v>940500.00000000012</v>
      </c>
      <c r="G1400" s="102">
        <f t="shared" si="696"/>
        <v>855000</v>
      </c>
      <c r="H1400" s="690" t="s">
        <v>173</v>
      </c>
      <c r="I1400" s="71" t="s">
        <v>142</v>
      </c>
      <c r="J1400" s="53">
        <f>G1400-T1400</f>
        <v>225000</v>
      </c>
      <c r="K1400" s="63">
        <f t="shared" si="697"/>
        <v>0.26315789473684209</v>
      </c>
      <c r="L1400" s="792" t="s">
        <v>1446</v>
      </c>
      <c r="M1400" s="468"/>
      <c r="N1400" s="664">
        <f t="shared" si="698"/>
        <v>181026</v>
      </c>
      <c r="O1400" s="71" t="s">
        <v>1321</v>
      </c>
      <c r="P1400" s="103" t="str">
        <f t="shared" si="694"/>
        <v>메가미 레듀사(1kg)</v>
      </c>
      <c r="Q1400" s="71">
        <f t="shared" si="694"/>
        <v>30</v>
      </c>
      <c r="R1400" s="102">
        <v>21000</v>
      </c>
      <c r="S1400" s="102">
        <f>R1400*Q1400*1.1</f>
        <v>693000</v>
      </c>
      <c r="T1400" s="102">
        <f>R1400*Q1400</f>
        <v>630000</v>
      </c>
      <c r="U1400" s="71"/>
      <c r="V1400" s="71"/>
      <c r="W1400" s="474">
        <f t="shared" ref="W1400:W1422" si="701">(G1400-T1400)</f>
        <v>225000</v>
      </c>
      <c r="X1400" s="71"/>
      <c r="Y1400" s="71"/>
    </row>
    <row r="1401" spans="1:25" ht="30" hidden="1" customHeight="1" x14ac:dyDescent="0.25">
      <c r="A1401" s="82">
        <v>181026</v>
      </c>
      <c r="B1401" s="664" t="s">
        <v>545</v>
      </c>
      <c r="C1401" s="71" t="s">
        <v>227</v>
      </c>
      <c r="D1401" s="71">
        <v>10</v>
      </c>
      <c r="E1401" s="102">
        <v>110000</v>
      </c>
      <c r="F1401" s="102">
        <f t="shared" si="695"/>
        <v>1210000</v>
      </c>
      <c r="G1401" s="102">
        <f t="shared" si="696"/>
        <v>1100000</v>
      </c>
      <c r="H1401" s="690" t="s">
        <v>173</v>
      </c>
      <c r="I1401" s="71" t="s">
        <v>109</v>
      </c>
      <c r="J1401" s="53">
        <f>(G1401-(VLOOKUP(C1401,Price!B:D,3,FALSE)*D1401))</f>
        <v>271000</v>
      </c>
      <c r="K1401" s="63">
        <f t="shared" si="697"/>
        <v>0.24636363636363637</v>
      </c>
      <c r="L1401" s="792" t="s">
        <v>1446</v>
      </c>
      <c r="M1401" s="468"/>
      <c r="N1401" s="664">
        <f t="shared" si="698"/>
        <v>181026</v>
      </c>
      <c r="O1401" s="71" t="s">
        <v>147</v>
      </c>
      <c r="P1401" s="103" t="str">
        <f t="shared" si="694"/>
        <v>Blanket(1060*860)</v>
      </c>
      <c r="Q1401" s="71">
        <f t="shared" si="694"/>
        <v>10</v>
      </c>
      <c r="R1401" s="102">
        <v>82900</v>
      </c>
      <c r="S1401" s="102">
        <f>R1401*Q1401*1.1</f>
        <v>911900.00000000012</v>
      </c>
      <c r="T1401" s="102">
        <f>R1401*Q1401</f>
        <v>829000</v>
      </c>
      <c r="U1401" s="71" t="str">
        <f t="shared" ref="U1401:U1423" si="702">IF(J1401=W1401,"O", "X")</f>
        <v>O</v>
      </c>
      <c r="V1401" s="71"/>
      <c r="W1401" s="474">
        <f t="shared" si="701"/>
        <v>271000</v>
      </c>
      <c r="X1401" s="71"/>
      <c r="Y1401" s="71"/>
    </row>
    <row r="1402" spans="1:25" ht="30" hidden="1" customHeight="1" x14ac:dyDescent="0.25">
      <c r="A1402" s="82">
        <v>181026</v>
      </c>
      <c r="B1402" s="664" t="s">
        <v>545</v>
      </c>
      <c r="C1402" s="71" t="s">
        <v>952</v>
      </c>
      <c r="D1402" s="71">
        <v>1</v>
      </c>
      <c r="E1402" s="102">
        <v>630000</v>
      </c>
      <c r="F1402" s="102">
        <f t="shared" ref="F1402:F1410" si="703">(E1402*D1402)*1.1</f>
        <v>693000</v>
      </c>
      <c r="G1402" s="102">
        <f t="shared" ref="G1402:G1410" si="704">(E1402*D1402)</f>
        <v>630000</v>
      </c>
      <c r="H1402" s="690" t="s">
        <v>173</v>
      </c>
      <c r="I1402" s="71" t="s">
        <v>108</v>
      </c>
      <c r="J1402" s="53">
        <f>(G1402-(VLOOKUP(C1402,Price!B:D,3,FALSE)*D1402))</f>
        <v>180000</v>
      </c>
      <c r="K1402" s="63">
        <f t="shared" ref="K1402:K1408" si="705">(J1402/(F1402/11*10))</f>
        <v>0.2857142857142857</v>
      </c>
      <c r="L1402" s="792" t="s">
        <v>1446</v>
      </c>
      <c r="M1402" s="468"/>
      <c r="N1402" s="664">
        <f t="shared" ref="N1402:N1410" si="706">A1402</f>
        <v>181026</v>
      </c>
      <c r="O1402" s="71" t="s">
        <v>599</v>
      </c>
      <c r="P1402" s="103" t="str">
        <f t="shared" si="694"/>
        <v>점보롤 세정포</v>
      </c>
      <c r="Q1402" s="71">
        <f t="shared" si="694"/>
        <v>1</v>
      </c>
      <c r="R1402" s="102">
        <v>440000</v>
      </c>
      <c r="S1402" s="102">
        <f>R1402*Q1402*1.1</f>
        <v>484000.00000000006</v>
      </c>
      <c r="T1402" s="102">
        <f>R1402*Q1402</f>
        <v>440000</v>
      </c>
      <c r="U1402" s="71" t="str">
        <f t="shared" si="702"/>
        <v>X</v>
      </c>
      <c r="V1402" s="71" t="s">
        <v>1228</v>
      </c>
      <c r="W1402" s="474">
        <f t="shared" si="701"/>
        <v>190000</v>
      </c>
      <c r="X1402" s="71"/>
      <c r="Y1402" s="71"/>
    </row>
    <row r="1403" spans="1:25" ht="30" customHeight="1" x14ac:dyDescent="0.25">
      <c r="A1403" s="82">
        <v>181026</v>
      </c>
      <c r="B1403" s="664" t="s">
        <v>422</v>
      </c>
      <c r="C1403" s="71" t="s">
        <v>129</v>
      </c>
      <c r="D1403" s="71">
        <v>7</v>
      </c>
      <c r="E1403" s="102">
        <v>272000</v>
      </c>
      <c r="F1403" s="102">
        <f t="shared" si="703"/>
        <v>2094400.0000000002</v>
      </c>
      <c r="G1403" s="102">
        <f t="shared" si="704"/>
        <v>1904000</v>
      </c>
      <c r="H1403" s="690" t="s">
        <v>173</v>
      </c>
      <c r="I1403" s="71" t="s">
        <v>108</v>
      </c>
      <c r="J1403" s="53">
        <f>(G1403-(VLOOKUP(C1403,Price!B:D,3,FALSE)*D1403))</f>
        <v>448000</v>
      </c>
      <c r="K1403" s="63">
        <f t="shared" si="705"/>
        <v>0.23529411764705879</v>
      </c>
      <c r="L1403" s="792" t="s">
        <v>1446</v>
      </c>
      <c r="M1403" s="468"/>
      <c r="N1403" s="664">
        <f t="shared" si="706"/>
        <v>181026</v>
      </c>
      <c r="O1403" s="71" t="s">
        <v>149</v>
      </c>
      <c r="P1403" s="103" t="str">
        <f t="shared" si="694"/>
        <v>세정포-XL106</v>
      </c>
      <c r="Q1403" s="71">
        <f t="shared" si="694"/>
        <v>7</v>
      </c>
      <c r="R1403" s="102">
        <v>208000</v>
      </c>
      <c r="S1403" s="102">
        <f>R1403*Q1403*1.1</f>
        <v>1601600.0000000002</v>
      </c>
      <c r="T1403" s="102">
        <f>R1403*Q1403</f>
        <v>1456000</v>
      </c>
      <c r="U1403" s="71" t="str">
        <f t="shared" si="702"/>
        <v>O</v>
      </c>
      <c r="V1403" s="71"/>
      <c r="W1403" s="474">
        <f t="shared" si="701"/>
        <v>448000</v>
      </c>
      <c r="X1403" s="71"/>
      <c r="Y1403" s="71"/>
    </row>
    <row r="1404" spans="1:25" ht="30" hidden="1" customHeight="1" x14ac:dyDescent="0.25">
      <c r="A1404" s="82">
        <v>181026</v>
      </c>
      <c r="B1404" s="664" t="s">
        <v>552</v>
      </c>
      <c r="C1404" s="71" t="s">
        <v>1144</v>
      </c>
      <c r="D1404" s="71">
        <v>10</v>
      </c>
      <c r="E1404" s="102">
        <v>110000</v>
      </c>
      <c r="F1404" s="102">
        <f t="shared" si="703"/>
        <v>1210000</v>
      </c>
      <c r="G1404" s="102">
        <f t="shared" si="704"/>
        <v>1100000</v>
      </c>
      <c r="H1404" s="690" t="s">
        <v>173</v>
      </c>
      <c r="I1404" s="71" t="s">
        <v>142</v>
      </c>
      <c r="J1404" s="53">
        <f>G1404-T1404</f>
        <v>190000</v>
      </c>
      <c r="K1404" s="63">
        <f t="shared" si="705"/>
        <v>0.17272727272727273</v>
      </c>
      <c r="L1404" s="792" t="s">
        <v>1446</v>
      </c>
      <c r="M1404" s="468"/>
      <c r="N1404" s="664">
        <f t="shared" si="706"/>
        <v>181026</v>
      </c>
      <c r="O1404" s="71" t="s">
        <v>150</v>
      </c>
      <c r="P1404" s="103" t="str">
        <f t="shared" si="694"/>
        <v>실리콘 에멀전</v>
      </c>
      <c r="Q1404" s="71">
        <f t="shared" si="694"/>
        <v>10</v>
      </c>
      <c r="R1404" s="102">
        <v>91000</v>
      </c>
      <c r="S1404" s="102">
        <f>(R1404*D1404)*1.1</f>
        <v>1001000.0000000001</v>
      </c>
      <c r="T1404" s="102">
        <f>(R1404*Q1404)</f>
        <v>910000</v>
      </c>
      <c r="U1404" s="71" t="str">
        <f t="shared" si="702"/>
        <v>O</v>
      </c>
      <c r="V1404" s="71"/>
      <c r="W1404" s="474">
        <f t="shared" si="701"/>
        <v>190000</v>
      </c>
      <c r="X1404" s="71"/>
      <c r="Y1404" s="71"/>
    </row>
    <row r="1405" spans="1:25" ht="30" hidden="1" customHeight="1" x14ac:dyDescent="0.25">
      <c r="A1405" s="82">
        <v>181026</v>
      </c>
      <c r="B1405" s="664" t="s">
        <v>446</v>
      </c>
      <c r="C1405" s="71" t="s">
        <v>1144</v>
      </c>
      <c r="D1405" s="71">
        <v>8</v>
      </c>
      <c r="E1405" s="102">
        <v>110000</v>
      </c>
      <c r="F1405" s="102">
        <f t="shared" si="703"/>
        <v>968000.00000000012</v>
      </c>
      <c r="G1405" s="102">
        <f t="shared" si="704"/>
        <v>880000</v>
      </c>
      <c r="H1405" s="690" t="s">
        <v>173</v>
      </c>
      <c r="I1405" s="71" t="s">
        <v>142</v>
      </c>
      <c r="J1405" s="53">
        <f>G1405-T1405</f>
        <v>152000</v>
      </c>
      <c r="K1405" s="63">
        <f t="shared" si="705"/>
        <v>0.1727272727272727</v>
      </c>
      <c r="L1405" s="792" t="s">
        <v>1446</v>
      </c>
      <c r="M1405" s="468"/>
      <c r="N1405" s="664">
        <f t="shared" si="706"/>
        <v>181026</v>
      </c>
      <c r="O1405" s="71" t="s">
        <v>150</v>
      </c>
      <c r="P1405" s="103" t="str">
        <f t="shared" si="694"/>
        <v>실리콘 에멀전</v>
      </c>
      <c r="Q1405" s="71">
        <f t="shared" si="694"/>
        <v>8</v>
      </c>
      <c r="R1405" s="102">
        <v>91000</v>
      </c>
      <c r="S1405" s="102">
        <f>R1405*Q1405*1.1</f>
        <v>800800.00000000012</v>
      </c>
      <c r="T1405" s="102">
        <f>R1405*Q1405</f>
        <v>728000</v>
      </c>
      <c r="U1405" s="71" t="str">
        <f t="shared" si="702"/>
        <v>O</v>
      </c>
      <c r="V1405" s="71"/>
      <c r="W1405" s="474">
        <f t="shared" si="701"/>
        <v>152000</v>
      </c>
      <c r="X1405" s="71"/>
      <c r="Y1405" s="71"/>
    </row>
    <row r="1406" spans="1:25" ht="30" hidden="1" customHeight="1" x14ac:dyDescent="0.25">
      <c r="A1406" s="82">
        <v>181029</v>
      </c>
      <c r="B1406" s="664" t="s">
        <v>763</v>
      </c>
      <c r="C1406" s="71" t="s">
        <v>1012</v>
      </c>
      <c r="D1406" s="71">
        <v>3</v>
      </c>
      <c r="E1406" s="102">
        <v>497000</v>
      </c>
      <c r="F1406" s="102">
        <f t="shared" si="703"/>
        <v>1640100.0000000002</v>
      </c>
      <c r="G1406" s="102">
        <f t="shared" si="704"/>
        <v>1491000</v>
      </c>
      <c r="H1406" s="690" t="s">
        <v>1431</v>
      </c>
      <c r="I1406" s="71"/>
      <c r="J1406" s="53">
        <f>G1406-T1406</f>
        <v>291000</v>
      </c>
      <c r="K1406" s="63">
        <f>(J1406/(F1406/11*10))</f>
        <v>0.19517102615694162</v>
      </c>
      <c r="L1406" s="792" t="s">
        <v>1446</v>
      </c>
      <c r="M1406" s="468"/>
      <c r="N1406" s="664">
        <f t="shared" si="706"/>
        <v>181029</v>
      </c>
      <c r="O1406" s="71" t="s">
        <v>150</v>
      </c>
      <c r="P1406" s="103" t="str">
        <f t="shared" si="694"/>
        <v>잉크키 모터</v>
      </c>
      <c r="Q1406" s="71">
        <f t="shared" si="694"/>
        <v>3</v>
      </c>
      <c r="R1406" s="102">
        <v>400000</v>
      </c>
      <c r="S1406" s="102">
        <f>(R1406*D1406)*1.1</f>
        <v>1320000</v>
      </c>
      <c r="T1406" s="102">
        <f>(R1406*Q1406)</f>
        <v>1200000</v>
      </c>
      <c r="U1406" s="71" t="str">
        <f t="shared" si="702"/>
        <v>O</v>
      </c>
      <c r="V1406" s="71"/>
      <c r="W1406" s="474">
        <f t="shared" si="701"/>
        <v>291000</v>
      </c>
      <c r="X1406" s="71"/>
      <c r="Y1406" s="71"/>
    </row>
    <row r="1407" spans="1:25" ht="30" customHeight="1" x14ac:dyDescent="0.25">
      <c r="A1407" s="82">
        <v>181030</v>
      </c>
      <c r="B1407" s="664" t="s">
        <v>565</v>
      </c>
      <c r="C1407" s="71" t="s">
        <v>692</v>
      </c>
      <c r="D1407" s="71">
        <v>10</v>
      </c>
      <c r="E1407" s="102">
        <v>218000</v>
      </c>
      <c r="F1407" s="102">
        <f t="shared" si="703"/>
        <v>2398000</v>
      </c>
      <c r="G1407" s="102">
        <f t="shared" si="704"/>
        <v>2180000</v>
      </c>
      <c r="H1407" s="690" t="s">
        <v>173</v>
      </c>
      <c r="I1407" s="71" t="s">
        <v>109</v>
      </c>
      <c r="J1407" s="53">
        <f>(G1407-(VLOOKUP(C1407,Price!B:D,3,FALSE)*D1407))</f>
        <v>580000</v>
      </c>
      <c r="K1407" s="63">
        <f t="shared" si="705"/>
        <v>0.26605504587155965</v>
      </c>
      <c r="L1407" s="792" t="s">
        <v>1446</v>
      </c>
      <c r="M1407" s="468"/>
      <c r="N1407" s="664">
        <f t="shared" si="706"/>
        <v>181030</v>
      </c>
      <c r="O1407" s="71" t="s">
        <v>150</v>
      </c>
      <c r="P1407" s="103" t="str">
        <f t="shared" si="694"/>
        <v>윤전 블랑켓</v>
      </c>
      <c r="Q1407" s="71">
        <f t="shared" si="694"/>
        <v>10</v>
      </c>
      <c r="R1407" s="102">
        <v>160000</v>
      </c>
      <c r="S1407" s="102">
        <f>(R1407*D1407)*1.1</f>
        <v>1760000.0000000002</v>
      </c>
      <c r="T1407" s="102">
        <f>(R1407*Q1407)</f>
        <v>1600000</v>
      </c>
      <c r="U1407" s="71" t="str">
        <f t="shared" si="702"/>
        <v>O</v>
      </c>
      <c r="V1407" s="71" t="s">
        <v>784</v>
      </c>
      <c r="W1407" s="474">
        <f t="shared" si="701"/>
        <v>580000</v>
      </c>
      <c r="X1407" s="71"/>
      <c r="Y1407" s="71"/>
    </row>
    <row r="1408" spans="1:25" ht="30" customHeight="1" x14ac:dyDescent="0.25">
      <c r="A1408" s="82">
        <v>181030</v>
      </c>
      <c r="B1408" s="664" t="s">
        <v>422</v>
      </c>
      <c r="C1408" s="760" t="s">
        <v>218</v>
      </c>
      <c r="D1408" s="71">
        <v>5</v>
      </c>
      <c r="E1408" s="102">
        <v>235000</v>
      </c>
      <c r="F1408" s="102">
        <f t="shared" si="703"/>
        <v>1292500</v>
      </c>
      <c r="G1408" s="102">
        <f t="shared" si="704"/>
        <v>1175000</v>
      </c>
      <c r="H1408" s="690" t="s">
        <v>173</v>
      </c>
      <c r="I1408" s="71" t="s">
        <v>120</v>
      </c>
      <c r="J1408" s="53">
        <f>(G1408-(VLOOKUP(C1408,Price!B:D,3,FALSE)*D1408))</f>
        <v>612500</v>
      </c>
      <c r="K1408" s="63">
        <f t="shared" si="705"/>
        <v>0.52127659574468088</v>
      </c>
      <c r="L1408" s="792" t="s">
        <v>1446</v>
      </c>
      <c r="M1408" s="468"/>
      <c r="N1408" s="664">
        <f t="shared" si="706"/>
        <v>181030</v>
      </c>
      <c r="O1408" s="71" t="s">
        <v>150</v>
      </c>
      <c r="P1408" s="103" t="str">
        <f t="shared" si="694"/>
        <v>Fount Web 551AF</v>
      </c>
      <c r="Q1408" s="71">
        <f t="shared" si="694"/>
        <v>5</v>
      </c>
      <c r="R1408" s="102">
        <v>112500</v>
      </c>
      <c r="S1408" s="102">
        <f>R1408*Q1408*1.1</f>
        <v>618750</v>
      </c>
      <c r="T1408" s="102">
        <f>R1408*Q1408</f>
        <v>562500</v>
      </c>
      <c r="U1408" s="71" t="str">
        <f t="shared" si="702"/>
        <v>O</v>
      </c>
      <c r="V1408" s="71"/>
      <c r="W1408" s="474">
        <f t="shared" si="701"/>
        <v>612500</v>
      </c>
      <c r="X1408" s="71"/>
      <c r="Y1408" s="71"/>
    </row>
    <row r="1409" spans="1:25" ht="30" hidden="1" customHeight="1" x14ac:dyDescent="0.25">
      <c r="A1409" s="82">
        <v>181031</v>
      </c>
      <c r="B1409" s="664" t="s">
        <v>575</v>
      </c>
      <c r="C1409" s="71" t="s">
        <v>1430</v>
      </c>
      <c r="D1409" s="71">
        <v>1</v>
      </c>
      <c r="E1409" s="102">
        <v>40000000</v>
      </c>
      <c r="F1409" s="102">
        <f t="shared" si="703"/>
        <v>44000000</v>
      </c>
      <c r="G1409" s="102">
        <f t="shared" si="704"/>
        <v>40000000</v>
      </c>
      <c r="H1409" s="690" t="s">
        <v>1431</v>
      </c>
      <c r="I1409" s="71"/>
      <c r="J1409" s="53">
        <f>G1409-T1409</f>
        <v>12111833</v>
      </c>
      <c r="K1409" s="63">
        <f>(J1409/(F1409/11*10))</f>
        <v>0.30279582500000002</v>
      </c>
      <c r="L1409" s="792" t="s">
        <v>1446</v>
      </c>
      <c r="M1409" s="468"/>
      <c r="N1409" s="664">
        <f t="shared" si="706"/>
        <v>181031</v>
      </c>
      <c r="O1409" s="71" t="s">
        <v>1431</v>
      </c>
      <c r="P1409" s="103" t="str">
        <f t="shared" si="694"/>
        <v>M-600 드라이어 수리비</v>
      </c>
      <c r="Q1409" s="71">
        <f t="shared" si="694"/>
        <v>1</v>
      </c>
      <c r="R1409" s="102">
        <f>27528167+360000</f>
        <v>27888167</v>
      </c>
      <c r="S1409" s="102">
        <f>(R1409*D1409)*1.1</f>
        <v>30676983.700000003</v>
      </c>
      <c r="T1409" s="102">
        <f>(R1409*Q1409)</f>
        <v>27888167</v>
      </c>
      <c r="U1409" s="71" t="str">
        <f t="shared" si="702"/>
        <v>O</v>
      </c>
      <c r="V1409" s="71" t="s">
        <v>1471</v>
      </c>
      <c r="W1409" s="474">
        <f t="shared" si="701"/>
        <v>12111833</v>
      </c>
      <c r="X1409" s="71"/>
      <c r="Y1409" s="71"/>
    </row>
    <row r="1410" spans="1:25" ht="30" customHeight="1" x14ac:dyDescent="0.25">
      <c r="A1410" s="82">
        <v>181031</v>
      </c>
      <c r="B1410" s="664" t="s">
        <v>565</v>
      </c>
      <c r="C1410" s="71" t="s">
        <v>1433</v>
      </c>
      <c r="D1410" s="71">
        <v>1</v>
      </c>
      <c r="E1410" s="102">
        <v>47943030</v>
      </c>
      <c r="F1410" s="102">
        <f t="shared" si="703"/>
        <v>52737333.000000007</v>
      </c>
      <c r="G1410" s="102">
        <f t="shared" si="704"/>
        <v>47943030</v>
      </c>
      <c r="H1410" s="690" t="s">
        <v>142</v>
      </c>
      <c r="I1410" s="71" t="s">
        <v>1431</v>
      </c>
      <c r="J1410" s="53">
        <f>G1410-T1410</f>
        <v>11643422.470276803</v>
      </c>
      <c r="K1410" s="63">
        <f>(J1410/(F1410/11*10))</f>
        <v>0.24285954538703125</v>
      </c>
      <c r="L1410" s="792" t="s">
        <v>1446</v>
      </c>
      <c r="M1410" s="468"/>
      <c r="N1410" s="664">
        <f t="shared" si="706"/>
        <v>181031</v>
      </c>
      <c r="O1410" s="71" t="s">
        <v>1431</v>
      </c>
      <c r="P1410" s="103" t="str">
        <f t="shared" si="694"/>
        <v>클러치 부품</v>
      </c>
      <c r="Q1410" s="71">
        <f t="shared" si="694"/>
        <v>1</v>
      </c>
      <c r="R1410" s="102">
        <f>SUM(Import!G108:G112)</f>
        <v>36299607.529723197</v>
      </c>
      <c r="S1410" s="102">
        <f>(R1410*D1410)*1.1</f>
        <v>39929568.282695517</v>
      </c>
      <c r="T1410" s="102">
        <f>(R1410*Q1410)</f>
        <v>36299607.529723197</v>
      </c>
      <c r="U1410" s="71" t="str">
        <f t="shared" si="702"/>
        <v>O</v>
      </c>
      <c r="V1410" s="71"/>
      <c r="W1410" s="474">
        <f t="shared" si="701"/>
        <v>11643422.470276803</v>
      </c>
      <c r="X1410" s="71"/>
      <c r="Y1410" s="71"/>
    </row>
    <row r="1411" spans="1:25" ht="30" hidden="1" customHeight="1" x14ac:dyDescent="0.25">
      <c r="A1411" s="82">
        <v>181031</v>
      </c>
      <c r="B1411" s="664" t="s">
        <v>1061</v>
      </c>
      <c r="C1411" s="71" t="s">
        <v>616</v>
      </c>
      <c r="D1411" s="71">
        <v>200</v>
      </c>
      <c r="E1411" s="102">
        <v>6600</v>
      </c>
      <c r="F1411" s="102">
        <f>(E1411*D1411)*1.1</f>
        <v>1452000.0000000002</v>
      </c>
      <c r="G1411" s="102">
        <f>(E1411*D1411)</f>
        <v>1320000</v>
      </c>
      <c r="H1411" s="690" t="s">
        <v>142</v>
      </c>
      <c r="I1411" s="71" t="s">
        <v>144</v>
      </c>
      <c r="J1411" s="53">
        <f>(G1411-(VLOOKUP(C1411,Price!B:D,3,FALSE)*D1411))</f>
        <v>140000</v>
      </c>
      <c r="K1411" s="63">
        <f t="shared" ref="K1411:K1418" si="707">(J1411/(F1411/11*10))</f>
        <v>0.10606060606060604</v>
      </c>
      <c r="L1411" s="792" t="s">
        <v>1446</v>
      </c>
      <c r="M1411" s="468"/>
      <c r="N1411" s="664">
        <f>A1411</f>
        <v>181031</v>
      </c>
      <c r="O1411" s="71" t="s">
        <v>147</v>
      </c>
      <c r="P1411" s="103" t="str">
        <f t="shared" si="694"/>
        <v>프리미어(먹)</v>
      </c>
      <c r="Q1411" s="71">
        <f t="shared" si="694"/>
        <v>200</v>
      </c>
      <c r="R1411" s="102">
        <v>5900</v>
      </c>
      <c r="S1411" s="102">
        <f>R1411*Q1411*1.1</f>
        <v>1298000</v>
      </c>
      <c r="T1411" s="102">
        <f>R1411*Q1411</f>
        <v>1180000</v>
      </c>
      <c r="U1411" s="71" t="str">
        <f t="shared" si="702"/>
        <v>O</v>
      </c>
      <c r="V1411" s="71"/>
      <c r="W1411" s="474">
        <f t="shared" si="701"/>
        <v>140000</v>
      </c>
      <c r="X1411" s="71"/>
      <c r="Y1411" s="71"/>
    </row>
    <row r="1412" spans="1:25" ht="30" hidden="1" customHeight="1" x14ac:dyDescent="0.25">
      <c r="A1412" s="82">
        <v>181031</v>
      </c>
      <c r="B1412" s="664" t="s">
        <v>1052</v>
      </c>
      <c r="C1412" s="71" t="s">
        <v>585</v>
      </c>
      <c r="D1412" s="71">
        <v>200</v>
      </c>
      <c r="E1412" s="102">
        <v>7500</v>
      </c>
      <c r="F1412" s="102">
        <f>(E1412*D1412)*1.1</f>
        <v>1650000.0000000002</v>
      </c>
      <c r="G1412" s="102">
        <f>(E1412*D1412)</f>
        <v>1500000</v>
      </c>
      <c r="H1412" s="690" t="s">
        <v>142</v>
      </c>
      <c r="I1412" s="71" t="s">
        <v>144</v>
      </c>
      <c r="J1412" s="53">
        <f>(G1412-(VLOOKUP(C1412,Price!B:D,3,FALSE)*D1412))</f>
        <v>146000</v>
      </c>
      <c r="K1412" s="63">
        <f t="shared" si="707"/>
        <v>9.7333333333333313E-2</v>
      </c>
      <c r="L1412" s="792" t="s">
        <v>1446</v>
      </c>
      <c r="M1412" s="468"/>
      <c r="N1412" s="664">
        <f>A1412</f>
        <v>181031</v>
      </c>
      <c r="O1412" s="71" t="s">
        <v>147</v>
      </c>
      <c r="P1412" s="103" t="str">
        <f t="shared" si="694"/>
        <v>프리미어(적)</v>
      </c>
      <c r="Q1412" s="71">
        <f t="shared" si="694"/>
        <v>200</v>
      </c>
      <c r="R1412" s="102">
        <v>6770</v>
      </c>
      <c r="S1412" s="102">
        <f>R1412*Q1412*1.1</f>
        <v>1489400.0000000002</v>
      </c>
      <c r="T1412" s="102">
        <f>R1412*Q1412</f>
        <v>1354000</v>
      </c>
      <c r="U1412" s="71" t="str">
        <f t="shared" si="702"/>
        <v>O</v>
      </c>
      <c r="V1412" s="71"/>
      <c r="W1412" s="474">
        <f t="shared" si="701"/>
        <v>146000</v>
      </c>
      <c r="X1412" s="71"/>
      <c r="Y1412" s="71"/>
    </row>
    <row r="1413" spans="1:25" ht="30" hidden="1" customHeight="1" x14ac:dyDescent="0.25">
      <c r="A1413" s="82">
        <v>181031</v>
      </c>
      <c r="B1413" s="664" t="s">
        <v>1061</v>
      </c>
      <c r="C1413" s="71" t="s">
        <v>586</v>
      </c>
      <c r="D1413" s="71">
        <v>400</v>
      </c>
      <c r="E1413" s="102">
        <v>6750</v>
      </c>
      <c r="F1413" s="102">
        <f>(E1413*D1413)*1.1</f>
        <v>2970000.0000000005</v>
      </c>
      <c r="G1413" s="102">
        <f>(E1413*D1413)</f>
        <v>2700000</v>
      </c>
      <c r="H1413" s="690" t="s">
        <v>142</v>
      </c>
      <c r="I1413" s="71" t="s">
        <v>144</v>
      </c>
      <c r="J1413" s="53">
        <f t="shared" ref="J1413:J1418" si="708">G1413-T1413</f>
        <v>228000</v>
      </c>
      <c r="K1413" s="63">
        <f t="shared" si="707"/>
        <v>8.4444444444444433E-2</v>
      </c>
      <c r="L1413" s="792" t="s">
        <v>1446</v>
      </c>
      <c r="M1413" s="468"/>
      <c r="N1413" s="664">
        <v>180713</v>
      </c>
      <c r="O1413" s="71" t="s">
        <v>147</v>
      </c>
      <c r="P1413" s="103" t="str">
        <f t="shared" si="694"/>
        <v>프리미어(황)</v>
      </c>
      <c r="Q1413" s="71">
        <f t="shared" si="694"/>
        <v>400</v>
      </c>
      <c r="R1413" s="102">
        <v>6180</v>
      </c>
      <c r="S1413" s="102">
        <f>(R1413*D1413)*1.1</f>
        <v>2719200</v>
      </c>
      <c r="T1413" s="102">
        <f>(R1413*Q1413)</f>
        <v>2472000</v>
      </c>
      <c r="U1413" s="71" t="str">
        <f t="shared" si="702"/>
        <v>O</v>
      </c>
      <c r="V1413" s="71"/>
      <c r="W1413" s="474">
        <f t="shared" si="701"/>
        <v>228000</v>
      </c>
      <c r="X1413" s="71"/>
      <c r="Y1413" s="71"/>
    </row>
    <row r="1414" spans="1:25" ht="30" hidden="1" customHeight="1" x14ac:dyDescent="0.25">
      <c r="A1414" s="82">
        <v>181031</v>
      </c>
      <c r="B1414" s="664" t="s">
        <v>1061</v>
      </c>
      <c r="C1414" s="71" t="s">
        <v>587</v>
      </c>
      <c r="D1414" s="71">
        <v>200</v>
      </c>
      <c r="E1414" s="102">
        <v>8000</v>
      </c>
      <c r="F1414" s="102">
        <f>(E1414*D1414)*1.1</f>
        <v>1760000.0000000002</v>
      </c>
      <c r="G1414" s="102">
        <f>(E1414*D1414)</f>
        <v>1600000</v>
      </c>
      <c r="H1414" s="690" t="s">
        <v>142</v>
      </c>
      <c r="I1414" s="71" t="s">
        <v>144</v>
      </c>
      <c r="J1414" s="53">
        <f t="shared" si="708"/>
        <v>218000</v>
      </c>
      <c r="K1414" s="63">
        <f t="shared" si="707"/>
        <v>0.13624999999999998</v>
      </c>
      <c r="L1414" s="792" t="s">
        <v>1446</v>
      </c>
      <c r="M1414" s="468"/>
      <c r="N1414" s="664">
        <v>180713</v>
      </c>
      <c r="O1414" s="71" t="s">
        <v>147</v>
      </c>
      <c r="P1414" s="103" t="str">
        <f t="shared" si="694"/>
        <v>프리미어(청)</v>
      </c>
      <c r="Q1414" s="71">
        <f t="shared" si="694"/>
        <v>200</v>
      </c>
      <c r="R1414" s="102">
        <v>6910</v>
      </c>
      <c r="S1414" s="102">
        <f>(R1414*D1414)*1.1</f>
        <v>1520200.0000000002</v>
      </c>
      <c r="T1414" s="102">
        <f>(R1414*Q1414)</f>
        <v>1382000</v>
      </c>
      <c r="U1414" s="71" t="str">
        <f t="shared" si="702"/>
        <v>O</v>
      </c>
      <c r="V1414" s="71"/>
      <c r="W1414" s="474">
        <f t="shared" si="701"/>
        <v>218000</v>
      </c>
      <c r="X1414" s="71"/>
      <c r="Y1414" s="71"/>
    </row>
    <row r="1415" spans="1:25" ht="30" hidden="1" customHeight="1" x14ac:dyDescent="0.25">
      <c r="A1415" s="82">
        <v>181031</v>
      </c>
      <c r="B1415" s="664" t="s">
        <v>1052</v>
      </c>
      <c r="C1415" s="71" t="s">
        <v>1115</v>
      </c>
      <c r="D1415" s="71">
        <v>300</v>
      </c>
      <c r="E1415" s="102">
        <v>6200</v>
      </c>
      <c r="F1415" s="102">
        <f t="shared" ref="F1415:F1423" si="709">(E1415*D1415)*1.1</f>
        <v>2046000.0000000002</v>
      </c>
      <c r="G1415" s="102">
        <f t="shared" ref="G1415:G1423" si="710">(E1415*D1415)</f>
        <v>1860000</v>
      </c>
      <c r="H1415" s="690" t="s">
        <v>142</v>
      </c>
      <c r="I1415" s="71" t="s">
        <v>144</v>
      </c>
      <c r="J1415" s="53">
        <f t="shared" si="708"/>
        <v>30000</v>
      </c>
      <c r="K1415" s="63">
        <f t="shared" si="707"/>
        <v>1.6129032258064516E-2</v>
      </c>
      <c r="L1415" s="792" t="s">
        <v>1446</v>
      </c>
      <c r="M1415" s="468"/>
      <c r="N1415" s="664">
        <f t="shared" ref="N1415:N1423" si="711">A1415</f>
        <v>181031</v>
      </c>
      <c r="O1415" s="71" t="s">
        <v>147</v>
      </c>
      <c r="P1415" s="103" t="str">
        <f t="shared" si="694"/>
        <v>한특 잉크(적)</v>
      </c>
      <c r="Q1415" s="71">
        <f t="shared" si="694"/>
        <v>300</v>
      </c>
      <c r="R1415" s="102">
        <v>6100</v>
      </c>
      <c r="S1415" s="102">
        <f>R1415*Q1415*1.1</f>
        <v>2013000.0000000002</v>
      </c>
      <c r="T1415" s="102">
        <f>R1415*Q1415</f>
        <v>1830000</v>
      </c>
      <c r="U1415" s="71" t="str">
        <f t="shared" si="702"/>
        <v>O</v>
      </c>
      <c r="V1415" s="71"/>
      <c r="W1415" s="474">
        <f t="shared" si="701"/>
        <v>30000</v>
      </c>
      <c r="X1415" s="71"/>
      <c r="Y1415" s="71"/>
    </row>
    <row r="1416" spans="1:25" ht="30" hidden="1" customHeight="1" x14ac:dyDescent="0.25">
      <c r="A1416" s="82">
        <v>181031</v>
      </c>
      <c r="B1416" s="664" t="s">
        <v>1052</v>
      </c>
      <c r="C1416" s="71" t="s">
        <v>1116</v>
      </c>
      <c r="D1416" s="71">
        <v>350</v>
      </c>
      <c r="E1416" s="102">
        <v>6000</v>
      </c>
      <c r="F1416" s="102">
        <f t="shared" si="709"/>
        <v>2310000</v>
      </c>
      <c r="G1416" s="102">
        <f t="shared" si="710"/>
        <v>2100000</v>
      </c>
      <c r="H1416" s="690" t="s">
        <v>142</v>
      </c>
      <c r="I1416" s="71" t="s">
        <v>144</v>
      </c>
      <c r="J1416" s="53">
        <f t="shared" si="708"/>
        <v>35000</v>
      </c>
      <c r="K1416" s="63">
        <f t="shared" si="707"/>
        <v>1.6666666666666666E-2</v>
      </c>
      <c r="L1416" s="792" t="s">
        <v>1446</v>
      </c>
      <c r="M1416" s="468"/>
      <c r="N1416" s="664">
        <f t="shared" si="711"/>
        <v>181031</v>
      </c>
      <c r="O1416" s="71" t="s">
        <v>147</v>
      </c>
      <c r="P1416" s="103" t="str">
        <f t="shared" si="694"/>
        <v>한특 잉크(황)</v>
      </c>
      <c r="Q1416" s="71">
        <f t="shared" si="694"/>
        <v>350</v>
      </c>
      <c r="R1416" s="102">
        <v>5900</v>
      </c>
      <c r="S1416" s="102">
        <f>R1416*Q1416*1.1</f>
        <v>2271500</v>
      </c>
      <c r="T1416" s="102">
        <f>R1416*Q1416</f>
        <v>2065000</v>
      </c>
      <c r="U1416" s="71" t="str">
        <f t="shared" si="702"/>
        <v>O</v>
      </c>
      <c r="V1416" s="71"/>
      <c r="W1416" s="474">
        <f t="shared" si="701"/>
        <v>35000</v>
      </c>
      <c r="X1416" s="71"/>
      <c r="Y1416" s="71"/>
    </row>
    <row r="1417" spans="1:25" ht="30" hidden="1" customHeight="1" x14ac:dyDescent="0.25">
      <c r="A1417" s="82">
        <v>181031</v>
      </c>
      <c r="B1417" s="664" t="s">
        <v>1052</v>
      </c>
      <c r="C1417" s="71" t="s">
        <v>1117</v>
      </c>
      <c r="D1417" s="71">
        <v>300</v>
      </c>
      <c r="E1417" s="102">
        <v>6500</v>
      </c>
      <c r="F1417" s="102">
        <f t="shared" si="709"/>
        <v>2145000</v>
      </c>
      <c r="G1417" s="102">
        <f t="shared" si="710"/>
        <v>1950000</v>
      </c>
      <c r="H1417" s="690" t="s">
        <v>142</v>
      </c>
      <c r="I1417" s="71" t="s">
        <v>144</v>
      </c>
      <c r="J1417" s="53">
        <f t="shared" si="708"/>
        <v>30000</v>
      </c>
      <c r="K1417" s="63">
        <f t="shared" si="707"/>
        <v>1.5384615384615385E-2</v>
      </c>
      <c r="L1417" s="792" t="s">
        <v>1446</v>
      </c>
      <c r="M1417" s="468"/>
      <c r="N1417" s="664">
        <f t="shared" si="711"/>
        <v>181031</v>
      </c>
      <c r="O1417" s="71" t="s">
        <v>147</v>
      </c>
      <c r="P1417" s="103" t="str">
        <f t="shared" si="694"/>
        <v>한특 잉크(청)</v>
      </c>
      <c r="Q1417" s="71">
        <f t="shared" si="694"/>
        <v>300</v>
      </c>
      <c r="R1417" s="102">
        <v>6400</v>
      </c>
      <c r="S1417" s="102">
        <f>R1417*Q1417*1.1</f>
        <v>2112000</v>
      </c>
      <c r="T1417" s="102">
        <f>R1417*Q1417</f>
        <v>1920000</v>
      </c>
      <c r="U1417" s="71" t="str">
        <f t="shared" si="702"/>
        <v>O</v>
      </c>
      <c r="V1417" s="71"/>
      <c r="W1417" s="474">
        <f t="shared" si="701"/>
        <v>30000</v>
      </c>
      <c r="X1417" s="71"/>
      <c r="Y1417" s="71"/>
    </row>
    <row r="1418" spans="1:25" ht="30" hidden="1" customHeight="1" x14ac:dyDescent="0.25">
      <c r="A1418" s="82">
        <v>181031</v>
      </c>
      <c r="B1418" s="664" t="s">
        <v>1052</v>
      </c>
      <c r="C1418" s="71" t="s">
        <v>1118</v>
      </c>
      <c r="D1418" s="71">
        <v>300</v>
      </c>
      <c r="E1418" s="102">
        <v>5600</v>
      </c>
      <c r="F1418" s="102">
        <f t="shared" si="709"/>
        <v>1848000.0000000002</v>
      </c>
      <c r="G1418" s="102">
        <f t="shared" si="710"/>
        <v>1680000</v>
      </c>
      <c r="H1418" s="690" t="s">
        <v>142</v>
      </c>
      <c r="I1418" s="71" t="s">
        <v>144</v>
      </c>
      <c r="J1418" s="53">
        <f t="shared" si="708"/>
        <v>30000</v>
      </c>
      <c r="K1418" s="63">
        <f t="shared" si="707"/>
        <v>1.7857142857142856E-2</v>
      </c>
      <c r="L1418" s="792" t="s">
        <v>1446</v>
      </c>
      <c r="M1418" s="468"/>
      <c r="N1418" s="664">
        <f t="shared" si="711"/>
        <v>181031</v>
      </c>
      <c r="O1418" s="71" t="s">
        <v>147</v>
      </c>
      <c r="P1418" s="103" t="str">
        <f t="shared" si="694"/>
        <v>한특 잉크(먹)</v>
      </c>
      <c r="Q1418" s="71">
        <f t="shared" si="694"/>
        <v>300</v>
      </c>
      <c r="R1418" s="102">
        <v>5500</v>
      </c>
      <c r="S1418" s="102">
        <f>R1418*Q1418*1.1</f>
        <v>1815000.0000000002</v>
      </c>
      <c r="T1418" s="102">
        <f>R1418*Q1418</f>
        <v>1650000</v>
      </c>
      <c r="U1418" s="71" t="str">
        <f t="shared" si="702"/>
        <v>O</v>
      </c>
      <c r="V1418" s="71"/>
      <c r="W1418" s="474">
        <f t="shared" si="701"/>
        <v>30000</v>
      </c>
      <c r="X1418" s="71"/>
      <c r="Y1418" s="71"/>
    </row>
    <row r="1419" spans="1:25" ht="30" hidden="1" customHeight="1" x14ac:dyDescent="0.25">
      <c r="A1419" s="82">
        <v>181031</v>
      </c>
      <c r="B1419" s="664" t="s">
        <v>1286</v>
      </c>
      <c r="C1419" s="71" t="s">
        <v>1434</v>
      </c>
      <c r="D1419" s="71">
        <v>1</v>
      </c>
      <c r="E1419" s="102">
        <v>220000</v>
      </c>
      <c r="F1419" s="102">
        <f t="shared" si="709"/>
        <v>242000.00000000003</v>
      </c>
      <c r="G1419" s="102">
        <f t="shared" si="710"/>
        <v>220000</v>
      </c>
      <c r="H1419" s="690" t="s">
        <v>985</v>
      </c>
      <c r="I1419" s="71"/>
      <c r="J1419" s="53">
        <v>220000</v>
      </c>
      <c r="K1419" s="63">
        <v>1</v>
      </c>
      <c r="L1419" s="792" t="s">
        <v>1446</v>
      </c>
      <c r="M1419" s="468"/>
      <c r="N1419" s="664">
        <f t="shared" si="711"/>
        <v>181031</v>
      </c>
      <c r="O1419" s="71" t="s">
        <v>985</v>
      </c>
      <c r="P1419" s="103" t="str">
        <f t="shared" si="694"/>
        <v>스플라이서 서비스 비용</v>
      </c>
      <c r="Q1419" s="71">
        <f t="shared" si="694"/>
        <v>1</v>
      </c>
      <c r="R1419" s="102"/>
      <c r="S1419" s="102">
        <f>(R1419*D1419)*1.1</f>
        <v>0</v>
      </c>
      <c r="T1419" s="102">
        <f>(R1419*Q1419)</f>
        <v>0</v>
      </c>
      <c r="U1419" s="71" t="str">
        <f t="shared" si="702"/>
        <v>O</v>
      </c>
      <c r="V1419" s="71"/>
      <c r="W1419" s="474">
        <f t="shared" si="701"/>
        <v>220000</v>
      </c>
      <c r="X1419" s="71"/>
      <c r="Y1419" s="71"/>
    </row>
    <row r="1420" spans="1:25" s="209" customFormat="1" ht="30" hidden="1" customHeight="1" x14ac:dyDescent="0.25">
      <c r="A1420" s="82">
        <v>181031</v>
      </c>
      <c r="B1420" s="664" t="s">
        <v>445</v>
      </c>
      <c r="C1420" s="71" t="s">
        <v>277</v>
      </c>
      <c r="D1420" s="71">
        <v>5</v>
      </c>
      <c r="E1420" s="102">
        <v>172000</v>
      </c>
      <c r="F1420" s="102">
        <f t="shared" si="709"/>
        <v>946000.00000000012</v>
      </c>
      <c r="G1420" s="102">
        <f t="shared" si="710"/>
        <v>860000</v>
      </c>
      <c r="H1420" s="690" t="s">
        <v>173</v>
      </c>
      <c r="I1420" s="71" t="s">
        <v>108</v>
      </c>
      <c r="J1420" s="53">
        <f>(G1420-(VLOOKUP(C1420,Price!B:D,3,FALSE)*D1420))</f>
        <v>285000</v>
      </c>
      <c r="K1420" s="63">
        <f>(J1420/(F1420/11*10))</f>
        <v>0.33139534883720928</v>
      </c>
      <c r="L1420" s="792" t="s">
        <v>1446</v>
      </c>
      <c r="M1420" s="468"/>
      <c r="N1420" s="664">
        <f t="shared" si="711"/>
        <v>181031</v>
      </c>
      <c r="O1420" s="71" t="s">
        <v>150</v>
      </c>
      <c r="P1420" s="103" t="str">
        <f t="shared" si="694"/>
        <v>윤전용 세척제(Web 504)</v>
      </c>
      <c r="Q1420" s="71">
        <f t="shared" si="694"/>
        <v>5</v>
      </c>
      <c r="R1420" s="102">
        <v>115000</v>
      </c>
      <c r="S1420" s="102">
        <f>(R1420*D1420)*1.1</f>
        <v>632500</v>
      </c>
      <c r="T1420" s="102">
        <f>(R1420*Q1420)</f>
        <v>575000</v>
      </c>
      <c r="U1420" s="71" t="str">
        <f t="shared" si="702"/>
        <v>O</v>
      </c>
      <c r="V1420" s="71"/>
      <c r="W1420" s="474">
        <f t="shared" si="701"/>
        <v>285000</v>
      </c>
      <c r="X1420" s="71"/>
      <c r="Y1420" s="71"/>
    </row>
    <row r="1421" spans="1:25" s="209" customFormat="1" ht="30" hidden="1" customHeight="1" x14ac:dyDescent="0.2">
      <c r="A1421" s="82">
        <v>181031</v>
      </c>
      <c r="B1421" s="664" t="s">
        <v>445</v>
      </c>
      <c r="C1421" s="71" t="s">
        <v>138</v>
      </c>
      <c r="D1421" s="71">
        <v>10</v>
      </c>
      <c r="E1421" s="102">
        <v>59500</v>
      </c>
      <c r="F1421" s="163">
        <f t="shared" si="709"/>
        <v>654500</v>
      </c>
      <c r="G1421" s="163">
        <f t="shared" si="710"/>
        <v>595000</v>
      </c>
      <c r="H1421" s="165" t="s">
        <v>172</v>
      </c>
      <c r="I1421" s="71" t="s">
        <v>108</v>
      </c>
      <c r="J1421" s="53">
        <f>(G1421-(VLOOKUP(C1421,Price!B:D,3,FALSE)*D1421))</f>
        <v>85000</v>
      </c>
      <c r="K1421" s="63">
        <f>(J1421/(F1421/11*10))</f>
        <v>0.14285714285714285</v>
      </c>
      <c r="L1421" s="792" t="s">
        <v>1446</v>
      </c>
      <c r="M1421" s="468"/>
      <c r="N1421" s="664">
        <f t="shared" si="711"/>
        <v>181031</v>
      </c>
      <c r="O1421" s="71" t="s">
        <v>150</v>
      </c>
      <c r="P1421" s="103" t="str">
        <f t="shared" si="694"/>
        <v>매엽용 세척제(Wash 562)</v>
      </c>
      <c r="Q1421" s="71">
        <f t="shared" si="694"/>
        <v>10</v>
      </c>
      <c r="R1421" s="102">
        <v>51000</v>
      </c>
      <c r="S1421" s="102">
        <f>(R1421*D1421)*1.1</f>
        <v>561000</v>
      </c>
      <c r="T1421" s="102">
        <f>(R1421*Q1421)</f>
        <v>510000</v>
      </c>
      <c r="U1421" s="71" t="str">
        <f t="shared" si="702"/>
        <v>O</v>
      </c>
      <c r="V1421" s="71"/>
      <c r="W1421" s="474">
        <f t="shared" si="701"/>
        <v>85000</v>
      </c>
      <c r="X1421" s="71"/>
      <c r="Y1421" s="71"/>
    </row>
    <row r="1422" spans="1:25" ht="30" customHeight="1" x14ac:dyDescent="0.25">
      <c r="A1422" s="82">
        <v>181031</v>
      </c>
      <c r="B1422" s="664" t="s">
        <v>565</v>
      </c>
      <c r="C1422" s="71" t="s">
        <v>1435</v>
      </c>
      <c r="D1422" s="71">
        <v>1</v>
      </c>
      <c r="E1422" s="102">
        <v>1552814</v>
      </c>
      <c r="F1422" s="102">
        <f t="shared" si="709"/>
        <v>1708095.4000000001</v>
      </c>
      <c r="G1422" s="102">
        <f t="shared" si="710"/>
        <v>1552814</v>
      </c>
      <c r="H1422" s="690" t="s">
        <v>985</v>
      </c>
      <c r="I1422" s="71"/>
      <c r="J1422" s="53">
        <f>G1422-T1422</f>
        <v>0</v>
      </c>
      <c r="K1422" s="63">
        <f>(J1422/(F1422/11*10))</f>
        <v>0</v>
      </c>
      <c r="L1422" s="792" t="s">
        <v>1446</v>
      </c>
      <c r="M1422" s="468"/>
      <c r="N1422" s="664">
        <f t="shared" si="711"/>
        <v>181031</v>
      </c>
      <c r="O1422" s="71" t="s">
        <v>985</v>
      </c>
      <c r="P1422" s="103" t="str">
        <f t="shared" si="694"/>
        <v>M-600 드라이어 서비스 비용</v>
      </c>
      <c r="Q1422" s="71">
        <f t="shared" si="694"/>
        <v>1</v>
      </c>
      <c r="R1422" s="102">
        <v>1552814</v>
      </c>
      <c r="S1422" s="102">
        <f>(R1422*D1422)*1.1</f>
        <v>1708095.4000000001</v>
      </c>
      <c r="T1422" s="102">
        <f>(R1422*Q1422)</f>
        <v>1552814</v>
      </c>
      <c r="U1422" s="71" t="str">
        <f t="shared" si="702"/>
        <v>O</v>
      </c>
      <c r="V1422" s="71"/>
      <c r="W1422" s="474">
        <f t="shared" si="701"/>
        <v>0</v>
      </c>
      <c r="X1422" s="71"/>
      <c r="Y1422" s="71"/>
    </row>
    <row r="1423" spans="1:25" ht="30" hidden="1" customHeight="1" x14ac:dyDescent="0.25">
      <c r="A1423" s="82">
        <v>181031</v>
      </c>
      <c r="B1423" s="664" t="s">
        <v>567</v>
      </c>
      <c r="C1423" s="71" t="s">
        <v>1436</v>
      </c>
      <c r="D1423" s="71">
        <v>1</v>
      </c>
      <c r="E1423" s="102">
        <v>2500000</v>
      </c>
      <c r="F1423" s="102">
        <f t="shared" si="709"/>
        <v>2750000</v>
      </c>
      <c r="G1423" s="102">
        <f t="shared" si="710"/>
        <v>2500000</v>
      </c>
      <c r="H1423" s="690" t="s">
        <v>173</v>
      </c>
      <c r="I1423" s="71" t="s">
        <v>142</v>
      </c>
      <c r="J1423" s="53">
        <f>G1423-T1423</f>
        <v>600000</v>
      </c>
      <c r="K1423" s="63">
        <f>(J1423/(F1423/11*10))</f>
        <v>0.24</v>
      </c>
      <c r="L1423" s="792" t="s">
        <v>1446</v>
      </c>
      <c r="M1423" s="468"/>
      <c r="N1423" s="664">
        <f t="shared" si="711"/>
        <v>181031</v>
      </c>
      <c r="O1423" s="71" t="s">
        <v>2879</v>
      </c>
      <c r="P1423" s="103" t="str">
        <f t="shared" si="694"/>
        <v>농도계 수리 및 교정</v>
      </c>
      <c r="Q1423" s="71">
        <f t="shared" si="694"/>
        <v>1</v>
      </c>
      <c r="R1423" s="102">
        <v>1900000</v>
      </c>
      <c r="S1423" s="102">
        <f>(R1423*D1423)*1.1</f>
        <v>2090000.0000000002</v>
      </c>
      <c r="T1423" s="102">
        <f>(R1423*Q1423)</f>
        <v>1900000</v>
      </c>
      <c r="U1423" s="71" t="str">
        <f t="shared" si="702"/>
        <v>X</v>
      </c>
      <c r="V1423" s="71"/>
      <c r="W1423" s="474"/>
      <c r="X1423" s="71"/>
      <c r="Y1423" s="71"/>
    </row>
    <row r="1424" spans="1:25" s="978" customFormat="1" ht="45" hidden="1" customHeight="1" x14ac:dyDescent="0.25">
      <c r="A1424" s="982">
        <v>2018.11</v>
      </c>
      <c r="B1424" s="976" t="s">
        <v>544</v>
      </c>
      <c r="C1424" s="453"/>
      <c r="D1424" s="453"/>
      <c r="E1424" s="454"/>
      <c r="F1424" s="454"/>
      <c r="G1424" s="454"/>
      <c r="H1424" s="455"/>
      <c r="I1424" s="453"/>
      <c r="J1424" s="417"/>
      <c r="K1424" s="418"/>
      <c r="L1424" s="983">
        <v>18.11</v>
      </c>
      <c r="M1424" s="643"/>
      <c r="N1424" s="724">
        <f t="shared" ref="N1424:N1429" si="712">A1424</f>
        <v>2018.11</v>
      </c>
      <c r="O1424" s="453" t="s">
        <v>154</v>
      </c>
      <c r="P1424" s="728"/>
      <c r="Q1424" s="419"/>
      <c r="R1424" s="420"/>
      <c r="S1424" s="417"/>
      <c r="T1424" s="417"/>
      <c r="U1424" s="421"/>
      <c r="V1424" s="421"/>
      <c r="W1424" s="479">
        <f>(G1424-T1424)</f>
        <v>0</v>
      </c>
      <c r="X1424" s="421"/>
      <c r="Y1424" s="421"/>
    </row>
    <row r="1425" spans="1:25" ht="30" hidden="1" customHeight="1" x14ac:dyDescent="0.25">
      <c r="A1425" s="82">
        <v>180917</v>
      </c>
      <c r="B1425" s="664" t="s">
        <v>1051</v>
      </c>
      <c r="C1425" s="71" t="s">
        <v>1384</v>
      </c>
      <c r="D1425" s="71">
        <v>50</v>
      </c>
      <c r="E1425" s="102">
        <v>3750</v>
      </c>
      <c r="F1425" s="102">
        <f>(E1425*D1425)*1.1</f>
        <v>206250.00000000003</v>
      </c>
      <c r="G1425" s="102">
        <f>(E1425*D1425)</f>
        <v>187500</v>
      </c>
      <c r="H1425" s="690" t="s">
        <v>142</v>
      </c>
      <c r="I1425" s="71" t="s">
        <v>140</v>
      </c>
      <c r="J1425" s="53">
        <f>G1425-T1425</f>
        <v>61500</v>
      </c>
      <c r="K1425" s="63">
        <f t="shared" ref="K1425:K1430" si="713">(J1425/(F1425/11*10))</f>
        <v>0.32799999999999996</v>
      </c>
      <c r="L1425" s="792">
        <v>18.11</v>
      </c>
      <c r="M1425" s="468" t="s">
        <v>1426</v>
      </c>
      <c r="N1425" s="664">
        <f t="shared" si="712"/>
        <v>180917</v>
      </c>
      <c r="O1425" s="71" t="s">
        <v>145</v>
      </c>
      <c r="P1425" s="103" t="str">
        <f>C1425</f>
        <v>ENGAGE 900X571 - 27RO</v>
      </c>
      <c r="Q1425" s="71">
        <f>D1425</f>
        <v>50</v>
      </c>
      <c r="R1425" s="102">
        <v>2520</v>
      </c>
      <c r="S1425" s="102">
        <f>R1425*Q1425*1.1</f>
        <v>138600</v>
      </c>
      <c r="T1425" s="102">
        <f>R1425*Q1425</f>
        <v>126000</v>
      </c>
      <c r="U1425" s="71" t="str">
        <f t="shared" ref="U1425:U1449" si="714">IF(J1425=W1425,"O", "X")</f>
        <v>O</v>
      </c>
      <c r="V1425" s="71"/>
      <c r="W1425" s="474">
        <f>(G1425-T1425)</f>
        <v>61500</v>
      </c>
      <c r="X1425" s="71"/>
      <c r="Y1425" s="71"/>
    </row>
    <row r="1426" spans="1:25" s="209" customFormat="1" ht="30" hidden="1" customHeight="1" x14ac:dyDescent="0.25">
      <c r="A1426" s="82">
        <v>181101</v>
      </c>
      <c r="B1426" s="664" t="s">
        <v>567</v>
      </c>
      <c r="C1426" s="71" t="s">
        <v>236</v>
      </c>
      <c r="D1426" s="71">
        <v>20</v>
      </c>
      <c r="E1426" s="102">
        <v>65000</v>
      </c>
      <c r="F1426" s="102">
        <f>(E1426*D1426)*1.1</f>
        <v>1430000</v>
      </c>
      <c r="G1426" s="102">
        <f>(E1426*D1426)</f>
        <v>1300000</v>
      </c>
      <c r="H1426" s="690" t="s">
        <v>173</v>
      </c>
      <c r="I1426" s="71" t="s">
        <v>142</v>
      </c>
      <c r="J1426" s="53">
        <f>(G1426-(VLOOKUP(C1426,Price!B:D,3,FALSE)*D1426))</f>
        <v>300000</v>
      </c>
      <c r="K1426" s="63">
        <f t="shared" si="713"/>
        <v>0.23076923076923078</v>
      </c>
      <c r="L1426" s="82">
        <v>18.11</v>
      </c>
      <c r="M1426" s="468"/>
      <c r="N1426" s="664">
        <f t="shared" si="712"/>
        <v>181101</v>
      </c>
      <c r="O1426" s="71" t="s">
        <v>153</v>
      </c>
      <c r="P1426" s="103" t="str">
        <f>(C1426)</f>
        <v>아스테이지(국전)</v>
      </c>
      <c r="Q1426" s="71">
        <f>D1426</f>
        <v>20</v>
      </c>
      <c r="R1426" s="102">
        <v>50000</v>
      </c>
      <c r="S1426" s="102">
        <f>(R1426*D1426)*1.1</f>
        <v>1100000</v>
      </c>
      <c r="T1426" s="102">
        <f>(R1426*Q1426)</f>
        <v>1000000</v>
      </c>
      <c r="U1426" s="71" t="str">
        <f t="shared" si="714"/>
        <v>O</v>
      </c>
      <c r="V1426" s="71"/>
      <c r="W1426" s="474">
        <f>(G1426-T1426)</f>
        <v>300000</v>
      </c>
      <c r="X1426" s="71"/>
      <c r="Y1426" s="71"/>
    </row>
    <row r="1427" spans="1:25" s="209" customFormat="1" ht="30" hidden="1" customHeight="1" x14ac:dyDescent="0.25">
      <c r="A1427" s="82">
        <v>181030</v>
      </c>
      <c r="B1427" s="664" t="s">
        <v>764</v>
      </c>
      <c r="C1427" s="71" t="s">
        <v>236</v>
      </c>
      <c r="D1427" s="71">
        <v>5</v>
      </c>
      <c r="E1427" s="102">
        <v>100000</v>
      </c>
      <c r="F1427" s="102">
        <f>(E1427*D1427)*1.1</f>
        <v>550000</v>
      </c>
      <c r="G1427" s="102">
        <f>(E1427*D1427)</f>
        <v>500000</v>
      </c>
      <c r="H1427" s="690" t="s">
        <v>173</v>
      </c>
      <c r="I1427" s="71" t="s">
        <v>142</v>
      </c>
      <c r="J1427" s="53">
        <f>(G1427-(VLOOKUP(C1427,Price!B:D,3,FALSE)*D1427))</f>
        <v>250000</v>
      </c>
      <c r="K1427" s="63">
        <f t="shared" si="713"/>
        <v>0.5</v>
      </c>
      <c r="L1427" s="82">
        <v>18.11</v>
      </c>
      <c r="M1427" s="468"/>
      <c r="N1427" s="664">
        <f t="shared" si="712"/>
        <v>181030</v>
      </c>
      <c r="O1427" s="71" t="s">
        <v>153</v>
      </c>
      <c r="P1427" s="103" t="str">
        <f>C1427</f>
        <v>아스테이지(국전)</v>
      </c>
      <c r="Q1427" s="71">
        <f t="shared" ref="Q1427:Q1492" si="715">D1427</f>
        <v>5</v>
      </c>
      <c r="R1427" s="102">
        <f>VLOOKUP(P1427,Price!B:D,3,FALSE)</f>
        <v>50000</v>
      </c>
      <c r="S1427" s="102">
        <f>R1427*Q1427*1.1</f>
        <v>275000</v>
      </c>
      <c r="T1427" s="102">
        <f>R1427*Q1427</f>
        <v>250000</v>
      </c>
      <c r="U1427" s="71" t="str">
        <f t="shared" si="714"/>
        <v>O</v>
      </c>
      <c r="V1427" s="71"/>
      <c r="W1427" s="474">
        <f>(G1427-T1427)</f>
        <v>250000</v>
      </c>
      <c r="X1427" s="71"/>
      <c r="Y1427" s="71"/>
    </row>
    <row r="1428" spans="1:25" ht="30" hidden="1" customHeight="1" x14ac:dyDescent="0.25">
      <c r="A1428" s="82">
        <v>181031</v>
      </c>
      <c r="B1428" s="664" t="s">
        <v>1051</v>
      </c>
      <c r="C1428" s="71" t="s">
        <v>951</v>
      </c>
      <c r="D1428" s="71">
        <v>500</v>
      </c>
      <c r="E1428" s="102">
        <v>3580</v>
      </c>
      <c r="F1428" s="102">
        <f>(E1428*D1428)*1.1</f>
        <v>1969000.0000000002</v>
      </c>
      <c r="G1428" s="102">
        <f>(E1428*D1428)</f>
        <v>1790000</v>
      </c>
      <c r="H1428" s="690" t="s">
        <v>142</v>
      </c>
      <c r="I1428" s="71" t="s">
        <v>140</v>
      </c>
      <c r="J1428" s="53">
        <f>G1428-T1428</f>
        <v>595000</v>
      </c>
      <c r="K1428" s="63">
        <f t="shared" si="713"/>
        <v>0.33240223463687146</v>
      </c>
      <c r="L1428" s="82">
        <v>18.11</v>
      </c>
      <c r="M1428" s="468"/>
      <c r="N1428" s="664">
        <f t="shared" si="712"/>
        <v>181031</v>
      </c>
      <c r="O1428" s="71" t="s">
        <v>145</v>
      </c>
      <c r="P1428" s="103" t="str">
        <f>(C1428)</f>
        <v>ENGAGE 30WEB(883*552)</v>
      </c>
      <c r="Q1428" s="71">
        <f t="shared" si="715"/>
        <v>500</v>
      </c>
      <c r="R1428" s="102">
        <v>2390</v>
      </c>
      <c r="S1428" s="102">
        <f>(R1428*D1428)*1.1</f>
        <v>1314500</v>
      </c>
      <c r="T1428" s="102">
        <f>(R1428*Q1428)</f>
        <v>1195000</v>
      </c>
      <c r="U1428" s="71" t="str">
        <f t="shared" si="714"/>
        <v>O</v>
      </c>
      <c r="V1428" s="71"/>
      <c r="W1428" s="474">
        <f>(G1428-T1428)</f>
        <v>595000</v>
      </c>
      <c r="X1428" s="71"/>
      <c r="Y1428" s="71"/>
    </row>
    <row r="1429" spans="1:25" ht="30" hidden="1" customHeight="1" x14ac:dyDescent="0.25">
      <c r="A1429" s="82">
        <v>181031</v>
      </c>
      <c r="B1429" s="664" t="s">
        <v>1051</v>
      </c>
      <c r="C1429" s="71" t="s">
        <v>1294</v>
      </c>
      <c r="D1429" s="71">
        <v>600</v>
      </c>
      <c r="E1429" s="102">
        <v>5960</v>
      </c>
      <c r="F1429" s="102">
        <f>(E1429*D1429)*1.1</f>
        <v>3933600.0000000005</v>
      </c>
      <c r="G1429" s="102">
        <f>(E1429*D1429)</f>
        <v>3576000</v>
      </c>
      <c r="H1429" s="690" t="s">
        <v>142</v>
      </c>
      <c r="I1429" s="71" t="s">
        <v>140</v>
      </c>
      <c r="J1429" s="53">
        <f>G1429-T1429</f>
        <v>1176000</v>
      </c>
      <c r="K1429" s="63">
        <f t="shared" si="713"/>
        <v>0.32885906040268453</v>
      </c>
      <c r="L1429" s="82">
        <v>18.11</v>
      </c>
      <c r="M1429" s="468"/>
      <c r="N1429" s="664">
        <f t="shared" si="712"/>
        <v>181031</v>
      </c>
      <c r="O1429" s="71" t="s">
        <v>145</v>
      </c>
      <c r="P1429" s="103" t="str">
        <f>(C1429)</f>
        <v>ENGAGE 1030*790</v>
      </c>
      <c r="Q1429" s="71">
        <f t="shared" si="715"/>
        <v>600</v>
      </c>
      <c r="R1429" s="102">
        <v>4000</v>
      </c>
      <c r="S1429" s="102">
        <f>(R1429*D1429)*1.1</f>
        <v>2640000</v>
      </c>
      <c r="T1429" s="102">
        <f>(R1429*Q1429)</f>
        <v>2400000</v>
      </c>
      <c r="U1429" s="71" t="str">
        <f t="shared" si="714"/>
        <v>X</v>
      </c>
      <c r="V1429" s="71"/>
      <c r="W1429" s="474"/>
      <c r="X1429" s="71"/>
      <c r="Y1429" s="71"/>
    </row>
    <row r="1430" spans="1:25" ht="30" hidden="1" customHeight="1" x14ac:dyDescent="0.25">
      <c r="A1430" s="82">
        <v>181031</v>
      </c>
      <c r="B1430" s="664" t="s">
        <v>1315</v>
      </c>
      <c r="C1430" s="71" t="s">
        <v>1428</v>
      </c>
      <c r="D1430" s="71">
        <v>1</v>
      </c>
      <c r="E1430" s="102">
        <v>700000</v>
      </c>
      <c r="F1430" s="102">
        <f t="shared" ref="F1430:F1459" si="716">(E1430*D1430)*1.1</f>
        <v>770000.00000000012</v>
      </c>
      <c r="G1430" s="102">
        <f t="shared" ref="G1430:G1459" si="717">(E1430*D1430)</f>
        <v>700000</v>
      </c>
      <c r="H1430" s="690" t="s">
        <v>1431</v>
      </c>
      <c r="I1430" s="71" t="s">
        <v>1432</v>
      </c>
      <c r="J1430" s="53">
        <f>G1430-T1430</f>
        <v>359370.41529387661</v>
      </c>
      <c r="K1430" s="63">
        <f t="shared" si="713"/>
        <v>0.51338630756268078</v>
      </c>
      <c r="L1430" s="82">
        <v>18.11</v>
      </c>
      <c r="M1430" s="468" t="s">
        <v>1439</v>
      </c>
      <c r="N1430" s="664">
        <f t="shared" ref="N1430:N1460" si="718">A1430</f>
        <v>181031</v>
      </c>
      <c r="O1430" s="71" t="s">
        <v>1432</v>
      </c>
      <c r="P1430" s="103" t="str">
        <f t="shared" ref="P1430:P1440" si="719">C1430</f>
        <v>컨트롤 밸브</v>
      </c>
      <c r="Q1430" s="71">
        <f t="shared" si="715"/>
        <v>1</v>
      </c>
      <c r="R1430" s="102">
        <f>Import!G640</f>
        <v>340629.58470612339</v>
      </c>
      <c r="S1430" s="102">
        <f>(R1430*D1430)*1.1</f>
        <v>374692.54317673575</v>
      </c>
      <c r="T1430" s="102">
        <f>(R1430*Q1430)</f>
        <v>340629.58470612339</v>
      </c>
      <c r="U1430" s="71" t="str">
        <f t="shared" si="714"/>
        <v>X</v>
      </c>
      <c r="V1430" s="71"/>
      <c r="W1430" s="474"/>
      <c r="X1430" s="71"/>
      <c r="Y1430" s="71"/>
    </row>
    <row r="1431" spans="1:25" s="209" customFormat="1" ht="30" hidden="1" customHeight="1" x14ac:dyDescent="0.2">
      <c r="A1431" s="429">
        <v>181101</v>
      </c>
      <c r="B1431" s="664" t="s">
        <v>548</v>
      </c>
      <c r="C1431" s="71" t="s">
        <v>107</v>
      </c>
      <c r="D1431" s="71">
        <v>10</v>
      </c>
      <c r="E1431" s="102">
        <v>100000</v>
      </c>
      <c r="F1431" s="163">
        <f t="shared" si="716"/>
        <v>1100000</v>
      </c>
      <c r="G1431" s="163">
        <f t="shared" si="717"/>
        <v>1000000</v>
      </c>
      <c r="H1431" s="165" t="s">
        <v>172</v>
      </c>
      <c r="I1431" s="71" t="s">
        <v>109</v>
      </c>
      <c r="J1431" s="53">
        <f>(G1431-(VLOOKUP(C1431,Price!B:D,3,FALSE)*D1431))</f>
        <v>195000</v>
      </c>
      <c r="K1431" s="63">
        <f t="shared" ref="K1431:K1438" si="720">(J1431/(F1431/11*10))</f>
        <v>0.19500000000000001</v>
      </c>
      <c r="L1431" s="82">
        <v>18.11</v>
      </c>
      <c r="M1431" s="468"/>
      <c r="N1431" s="664">
        <f t="shared" si="718"/>
        <v>181101</v>
      </c>
      <c r="O1431" s="71" t="s">
        <v>147</v>
      </c>
      <c r="P1431" s="103" t="str">
        <f>(C1431)</f>
        <v>Blanket(1050*840)</v>
      </c>
      <c r="Q1431" s="71">
        <f t="shared" si="715"/>
        <v>10</v>
      </c>
      <c r="R1431" s="102">
        <v>80500</v>
      </c>
      <c r="S1431" s="102">
        <f>(R1431*D1431)*1.1</f>
        <v>885500.00000000012</v>
      </c>
      <c r="T1431" s="102">
        <f>(R1431*Q1431)</f>
        <v>805000</v>
      </c>
      <c r="U1431" s="71" t="str">
        <f t="shared" si="714"/>
        <v>O</v>
      </c>
      <c r="V1431" s="71"/>
      <c r="W1431" s="474">
        <f t="shared" ref="W1431:W1439" si="721">(G1431-T1431)</f>
        <v>195000</v>
      </c>
      <c r="X1431" s="71"/>
      <c r="Y1431" s="71"/>
    </row>
    <row r="1432" spans="1:25" ht="30" hidden="1" customHeight="1" x14ac:dyDescent="0.25">
      <c r="A1432" s="82">
        <v>181101</v>
      </c>
      <c r="B1432" s="664" t="s">
        <v>809</v>
      </c>
      <c r="C1432" s="71" t="s">
        <v>1081</v>
      </c>
      <c r="D1432" s="71">
        <v>5</v>
      </c>
      <c r="E1432" s="102">
        <v>156000</v>
      </c>
      <c r="F1432" s="102">
        <f t="shared" si="716"/>
        <v>858000.00000000012</v>
      </c>
      <c r="G1432" s="102">
        <f t="shared" si="717"/>
        <v>780000</v>
      </c>
      <c r="H1432" s="690" t="s">
        <v>173</v>
      </c>
      <c r="I1432" s="71" t="s">
        <v>142</v>
      </c>
      <c r="J1432" s="53">
        <f>G1432-T1432</f>
        <v>180000</v>
      </c>
      <c r="K1432" s="63">
        <f t="shared" si="720"/>
        <v>0.23076923076923073</v>
      </c>
      <c r="L1432" s="82">
        <v>18.11</v>
      </c>
      <c r="M1432" s="468"/>
      <c r="N1432" s="664">
        <f t="shared" si="718"/>
        <v>181101</v>
      </c>
      <c r="O1432" s="71" t="s">
        <v>147</v>
      </c>
      <c r="P1432" s="103" t="str">
        <f>C1432</f>
        <v>파우더</v>
      </c>
      <c r="Q1432" s="71">
        <f t="shared" si="715"/>
        <v>5</v>
      </c>
      <c r="R1432" s="102">
        <v>120000</v>
      </c>
      <c r="S1432" s="102">
        <f>R1432*Q1432*1.1</f>
        <v>660000</v>
      </c>
      <c r="T1432" s="102">
        <f>R1432*Q1432</f>
        <v>600000</v>
      </c>
      <c r="U1432" s="71" t="str">
        <f t="shared" si="714"/>
        <v>O</v>
      </c>
      <c r="V1432" s="71"/>
      <c r="W1432" s="474">
        <f t="shared" si="721"/>
        <v>180000</v>
      </c>
      <c r="X1432" s="71"/>
      <c r="Y1432" s="71"/>
    </row>
    <row r="1433" spans="1:25" ht="30" hidden="1" customHeight="1" x14ac:dyDescent="0.25">
      <c r="A1433" s="82">
        <v>181101</v>
      </c>
      <c r="B1433" s="664" t="s">
        <v>1051</v>
      </c>
      <c r="C1433" s="71" t="s">
        <v>524</v>
      </c>
      <c r="D1433" s="71">
        <v>600</v>
      </c>
      <c r="E1433" s="102">
        <v>3750</v>
      </c>
      <c r="F1433" s="102">
        <f t="shared" si="716"/>
        <v>2475000</v>
      </c>
      <c r="G1433" s="102">
        <f t="shared" si="717"/>
        <v>2250000</v>
      </c>
      <c r="H1433" s="690" t="s">
        <v>142</v>
      </c>
      <c r="I1433" s="71" t="s">
        <v>140</v>
      </c>
      <c r="J1433" s="53">
        <f>G1433-T1433</f>
        <v>738000</v>
      </c>
      <c r="K1433" s="63">
        <f t="shared" si="720"/>
        <v>0.32800000000000001</v>
      </c>
      <c r="L1433" s="82">
        <v>18.11</v>
      </c>
      <c r="M1433" s="468"/>
      <c r="N1433" s="664">
        <f t="shared" si="718"/>
        <v>181101</v>
      </c>
      <c r="O1433" s="71" t="s">
        <v>145</v>
      </c>
      <c r="P1433" s="103" t="str">
        <f t="shared" si="719"/>
        <v>ENGAGE 900X570 - 27RO</v>
      </c>
      <c r="Q1433" s="71">
        <f t="shared" si="715"/>
        <v>600</v>
      </c>
      <c r="R1433" s="102">
        <v>2520</v>
      </c>
      <c r="S1433" s="102">
        <f>R1433*Q1433*1.1</f>
        <v>1663200.0000000002</v>
      </c>
      <c r="T1433" s="102">
        <f>R1433*Q1433</f>
        <v>1512000</v>
      </c>
      <c r="U1433" s="71" t="str">
        <f t="shared" si="714"/>
        <v>O</v>
      </c>
      <c r="V1433" s="71"/>
      <c r="W1433" s="474">
        <f t="shared" si="721"/>
        <v>738000</v>
      </c>
      <c r="X1433" s="71"/>
      <c r="Y1433" s="71"/>
    </row>
    <row r="1434" spans="1:25" s="209" customFormat="1" ht="30" hidden="1" customHeight="1" x14ac:dyDescent="0.2">
      <c r="A1434" s="82">
        <v>181102</v>
      </c>
      <c r="B1434" s="664" t="s">
        <v>557</v>
      </c>
      <c r="C1434" s="71" t="s">
        <v>114</v>
      </c>
      <c r="D1434" s="71">
        <v>20</v>
      </c>
      <c r="E1434" s="102">
        <v>19000</v>
      </c>
      <c r="F1434" s="163">
        <f t="shared" si="716"/>
        <v>418000.00000000006</v>
      </c>
      <c r="G1434" s="163">
        <f t="shared" si="717"/>
        <v>380000</v>
      </c>
      <c r="H1434" s="771" t="s">
        <v>113</v>
      </c>
      <c r="I1434" s="71"/>
      <c r="J1434" s="53">
        <f>G1434-T1434</f>
        <v>200000</v>
      </c>
      <c r="K1434" s="63">
        <f t="shared" si="720"/>
        <v>0.52631578947368418</v>
      </c>
      <c r="L1434" s="82">
        <v>18.11</v>
      </c>
      <c r="M1434" s="468"/>
      <c r="N1434" s="664">
        <f t="shared" si="718"/>
        <v>181102</v>
      </c>
      <c r="O1434" s="808" t="s">
        <v>113</v>
      </c>
      <c r="P1434" s="103" t="str">
        <f>(C1434)</f>
        <v>스트리퍼</v>
      </c>
      <c r="Q1434" s="71">
        <f t="shared" si="715"/>
        <v>20</v>
      </c>
      <c r="R1434" s="102">
        <v>9000</v>
      </c>
      <c r="S1434" s="102">
        <f>(R1434*D1434)*1.1</f>
        <v>198000.00000000003</v>
      </c>
      <c r="T1434" s="102">
        <f>(R1434*Q1434)</f>
        <v>180000</v>
      </c>
      <c r="U1434" s="71" t="str">
        <f t="shared" si="714"/>
        <v>O</v>
      </c>
      <c r="V1434" s="71"/>
      <c r="W1434" s="474">
        <f t="shared" si="721"/>
        <v>200000</v>
      </c>
      <c r="X1434" s="71"/>
      <c r="Y1434" s="71"/>
    </row>
    <row r="1435" spans="1:25" ht="30" hidden="1" customHeight="1" x14ac:dyDescent="0.25">
      <c r="A1435" s="82">
        <v>181105</v>
      </c>
      <c r="B1435" s="664" t="s">
        <v>442</v>
      </c>
      <c r="C1435" s="71" t="s">
        <v>133</v>
      </c>
      <c r="D1435" s="71">
        <v>2</v>
      </c>
      <c r="E1435" s="102">
        <v>327000</v>
      </c>
      <c r="F1435" s="102">
        <f t="shared" si="716"/>
        <v>719400</v>
      </c>
      <c r="G1435" s="102">
        <f t="shared" si="717"/>
        <v>654000</v>
      </c>
      <c r="H1435" s="690" t="s">
        <v>173</v>
      </c>
      <c r="I1435" s="71" t="s">
        <v>141</v>
      </c>
      <c r="J1435" s="53">
        <f>(G1435-(VLOOKUP(C1435,Price!B:D,3,FALSE)*D1435))</f>
        <v>115800</v>
      </c>
      <c r="K1435" s="63">
        <f t="shared" si="720"/>
        <v>0.17706422018348625</v>
      </c>
      <c r="L1435" s="82">
        <v>18.11</v>
      </c>
      <c r="M1435" s="468"/>
      <c r="N1435" s="664">
        <f t="shared" si="718"/>
        <v>181105</v>
      </c>
      <c r="O1435" s="71" t="s">
        <v>145</v>
      </c>
      <c r="P1435" s="103" t="str">
        <f t="shared" si="719"/>
        <v>Agfa Film(24inch)</v>
      </c>
      <c r="Q1435" s="71">
        <f t="shared" si="715"/>
        <v>2</v>
      </c>
      <c r="R1435" s="102">
        <v>269100</v>
      </c>
      <c r="S1435" s="102">
        <f t="shared" ref="S1435:S1447" si="722">R1435*Q1435*1.1</f>
        <v>592020</v>
      </c>
      <c r="T1435" s="102">
        <f t="shared" ref="T1435:T1447" si="723">R1435*Q1435</f>
        <v>538200</v>
      </c>
      <c r="U1435" s="71" t="str">
        <f t="shared" si="714"/>
        <v>O</v>
      </c>
      <c r="V1435" s="71"/>
      <c r="W1435" s="474">
        <f t="shared" si="721"/>
        <v>115800</v>
      </c>
      <c r="X1435" s="71"/>
      <c r="Y1435" s="71"/>
    </row>
    <row r="1436" spans="1:25" ht="30" hidden="1" customHeight="1" x14ac:dyDescent="0.25">
      <c r="A1436" s="82">
        <v>181105</v>
      </c>
      <c r="B1436" s="664" t="s">
        <v>442</v>
      </c>
      <c r="C1436" s="71" t="s">
        <v>134</v>
      </c>
      <c r="D1436" s="71">
        <v>2</v>
      </c>
      <c r="E1436" s="102">
        <v>401000</v>
      </c>
      <c r="F1436" s="102">
        <f t="shared" si="716"/>
        <v>882200.00000000012</v>
      </c>
      <c r="G1436" s="102">
        <f t="shared" si="717"/>
        <v>802000</v>
      </c>
      <c r="H1436" s="690" t="s">
        <v>173</v>
      </c>
      <c r="I1436" s="71" t="s">
        <v>141</v>
      </c>
      <c r="J1436" s="53">
        <f>(G1436-(VLOOKUP(C1436,Price!B:D,3,FALSE)*D1436))</f>
        <v>174080</v>
      </c>
      <c r="K1436" s="63">
        <f t="shared" si="720"/>
        <v>0.21705735660847877</v>
      </c>
      <c r="L1436" s="82">
        <v>18.11</v>
      </c>
      <c r="M1436" s="468"/>
      <c r="N1436" s="664">
        <f t="shared" si="718"/>
        <v>181105</v>
      </c>
      <c r="O1436" s="71" t="s">
        <v>145</v>
      </c>
      <c r="P1436" s="103" t="str">
        <f t="shared" si="719"/>
        <v>Agfa Film(28inch)</v>
      </c>
      <c r="Q1436" s="71">
        <f t="shared" si="715"/>
        <v>2</v>
      </c>
      <c r="R1436" s="102">
        <f>VLOOKUP(P1436,Price!B:D,3,FALSE)</f>
        <v>313960</v>
      </c>
      <c r="S1436" s="102">
        <f t="shared" si="722"/>
        <v>690712</v>
      </c>
      <c r="T1436" s="102">
        <f t="shared" si="723"/>
        <v>627920</v>
      </c>
      <c r="U1436" s="71" t="str">
        <f t="shared" si="714"/>
        <v>O</v>
      </c>
      <c r="V1436" s="71"/>
      <c r="W1436" s="474">
        <f t="shared" si="721"/>
        <v>174080</v>
      </c>
      <c r="X1436" s="71"/>
      <c r="Y1436" s="71"/>
    </row>
    <row r="1437" spans="1:25" ht="30" hidden="1" customHeight="1" x14ac:dyDescent="0.25">
      <c r="A1437" s="82">
        <v>181105</v>
      </c>
      <c r="B1437" s="664" t="s">
        <v>442</v>
      </c>
      <c r="C1437" s="71" t="s">
        <v>135</v>
      </c>
      <c r="D1437" s="71">
        <v>2</v>
      </c>
      <c r="E1437" s="102">
        <v>448000</v>
      </c>
      <c r="F1437" s="102">
        <f t="shared" si="716"/>
        <v>985600.00000000012</v>
      </c>
      <c r="G1437" s="102">
        <f t="shared" si="717"/>
        <v>896000</v>
      </c>
      <c r="H1437" s="690" t="s">
        <v>173</v>
      </c>
      <c r="I1437" s="71" t="s">
        <v>141</v>
      </c>
      <c r="J1437" s="53">
        <f>(G1437-(VLOOKUP(C1437,Price!B:D,3,FALSE)*D1437))</f>
        <v>155980</v>
      </c>
      <c r="K1437" s="63">
        <f t="shared" si="720"/>
        <v>0.1740848214285714</v>
      </c>
      <c r="L1437" s="82">
        <v>18.11</v>
      </c>
      <c r="M1437" s="468"/>
      <c r="N1437" s="664">
        <f t="shared" si="718"/>
        <v>181105</v>
      </c>
      <c r="O1437" s="71" t="s">
        <v>145</v>
      </c>
      <c r="P1437" s="103" t="str">
        <f t="shared" si="719"/>
        <v>Agfa Film(32inch)</v>
      </c>
      <c r="Q1437" s="71">
        <f t="shared" si="715"/>
        <v>2</v>
      </c>
      <c r="R1437" s="102">
        <f>VLOOKUP(P1437,Price!B:D,3,FALSE)</f>
        <v>370010</v>
      </c>
      <c r="S1437" s="102">
        <f t="shared" si="722"/>
        <v>814022.00000000012</v>
      </c>
      <c r="T1437" s="102">
        <f t="shared" si="723"/>
        <v>740020</v>
      </c>
      <c r="U1437" s="71" t="str">
        <f t="shared" si="714"/>
        <v>O</v>
      </c>
      <c r="V1437" s="71"/>
      <c r="W1437" s="474">
        <f t="shared" si="721"/>
        <v>155980</v>
      </c>
      <c r="X1437" s="71"/>
      <c r="Y1437" s="71"/>
    </row>
    <row r="1438" spans="1:25" ht="30" hidden="1" customHeight="1" x14ac:dyDescent="0.25">
      <c r="A1438" s="82">
        <v>181105</v>
      </c>
      <c r="B1438" s="664" t="s">
        <v>442</v>
      </c>
      <c r="C1438" s="71" t="s">
        <v>649</v>
      </c>
      <c r="D1438" s="71">
        <v>3</v>
      </c>
      <c r="E1438" s="102">
        <v>41000</v>
      </c>
      <c r="F1438" s="102">
        <f t="shared" si="716"/>
        <v>135300</v>
      </c>
      <c r="G1438" s="102">
        <f t="shared" si="717"/>
        <v>123000</v>
      </c>
      <c r="H1438" s="690" t="s">
        <v>173</v>
      </c>
      <c r="I1438" s="71" t="s">
        <v>141</v>
      </c>
      <c r="J1438" s="53">
        <f>(G1438-(VLOOKUP(C1438,Price!B:D,3,FALSE)*D1438))</f>
        <v>48000</v>
      </c>
      <c r="K1438" s="63">
        <f t="shared" si="720"/>
        <v>0.3902439024390244</v>
      </c>
      <c r="L1438" s="82">
        <v>18.11</v>
      </c>
      <c r="M1438" s="468"/>
      <c r="N1438" s="664">
        <f t="shared" si="718"/>
        <v>181105</v>
      </c>
      <c r="O1438" s="71" t="s">
        <v>145</v>
      </c>
      <c r="P1438" s="103" t="str">
        <f t="shared" si="719"/>
        <v>Agfa 현상액 G101C(10L)</v>
      </c>
      <c r="Q1438" s="71">
        <f t="shared" si="715"/>
        <v>3</v>
      </c>
      <c r="R1438" s="102">
        <f>VLOOKUP(P1438,Price!B:D,3,FALSE)</f>
        <v>25000</v>
      </c>
      <c r="S1438" s="102">
        <f t="shared" si="722"/>
        <v>82500</v>
      </c>
      <c r="T1438" s="102">
        <f t="shared" si="723"/>
        <v>75000</v>
      </c>
      <c r="U1438" s="71" t="str">
        <f t="shared" si="714"/>
        <v>O</v>
      </c>
      <c r="V1438" s="71"/>
      <c r="W1438" s="474">
        <f t="shared" si="721"/>
        <v>48000</v>
      </c>
      <c r="X1438" s="71"/>
      <c r="Y1438" s="71"/>
    </row>
    <row r="1439" spans="1:25" ht="30" hidden="1" customHeight="1" x14ac:dyDescent="0.25">
      <c r="A1439" s="82">
        <v>181105</v>
      </c>
      <c r="B1439" s="664" t="s">
        <v>545</v>
      </c>
      <c r="C1439" s="71" t="s">
        <v>1291</v>
      </c>
      <c r="D1439" s="71">
        <v>30</v>
      </c>
      <c r="E1439" s="102">
        <v>28500</v>
      </c>
      <c r="F1439" s="102">
        <f t="shared" si="716"/>
        <v>940500.00000000012</v>
      </c>
      <c r="G1439" s="102">
        <f t="shared" si="717"/>
        <v>855000</v>
      </c>
      <c r="H1439" s="690" t="s">
        <v>173</v>
      </c>
      <c r="I1439" s="71" t="s">
        <v>142</v>
      </c>
      <c r="J1439" s="53">
        <f t="shared" ref="J1439:J1458" si="724">G1439-T1439</f>
        <v>225000</v>
      </c>
      <c r="K1439" s="63">
        <f t="shared" ref="K1439:K1445" si="725">(J1439/(F1439/11*10))</f>
        <v>0.26315789473684209</v>
      </c>
      <c r="L1439" s="82">
        <v>18.11</v>
      </c>
      <c r="M1439" s="468"/>
      <c r="N1439" s="664">
        <f t="shared" si="718"/>
        <v>181105</v>
      </c>
      <c r="O1439" s="71" t="s">
        <v>1321</v>
      </c>
      <c r="P1439" s="103" t="str">
        <f t="shared" si="719"/>
        <v>메가미 레듀사(1kg)</v>
      </c>
      <c r="Q1439" s="71">
        <f t="shared" si="715"/>
        <v>30</v>
      </c>
      <c r="R1439" s="102">
        <v>21000</v>
      </c>
      <c r="S1439" s="102">
        <f t="shared" si="722"/>
        <v>693000</v>
      </c>
      <c r="T1439" s="102">
        <f t="shared" si="723"/>
        <v>630000</v>
      </c>
      <c r="U1439" s="71" t="str">
        <f t="shared" si="714"/>
        <v>O</v>
      </c>
      <c r="V1439" s="71"/>
      <c r="W1439" s="474">
        <f t="shared" si="721"/>
        <v>225000</v>
      </c>
      <c r="X1439" s="71"/>
      <c r="Y1439" s="71"/>
    </row>
    <row r="1440" spans="1:25" ht="30" hidden="1" customHeight="1" x14ac:dyDescent="0.25">
      <c r="A1440" s="82">
        <v>181105</v>
      </c>
      <c r="B1440" s="664" t="s">
        <v>545</v>
      </c>
      <c r="C1440" s="71" t="s">
        <v>1441</v>
      </c>
      <c r="D1440" s="71">
        <v>3</v>
      </c>
      <c r="E1440" s="102">
        <v>210000</v>
      </c>
      <c r="F1440" s="102">
        <f t="shared" si="716"/>
        <v>693000</v>
      </c>
      <c r="G1440" s="102">
        <f t="shared" si="717"/>
        <v>630000</v>
      </c>
      <c r="H1440" s="690" t="s">
        <v>173</v>
      </c>
      <c r="I1440" s="71" t="s">
        <v>142</v>
      </c>
      <c r="J1440" s="53">
        <f t="shared" si="724"/>
        <v>135000</v>
      </c>
      <c r="K1440" s="63">
        <f t="shared" si="725"/>
        <v>0.21428571428571427</v>
      </c>
      <c r="L1440" s="82">
        <v>18.11</v>
      </c>
      <c r="M1440" s="468"/>
      <c r="N1440" s="664">
        <f t="shared" si="718"/>
        <v>181105</v>
      </c>
      <c r="O1440" s="71" t="s">
        <v>1555</v>
      </c>
      <c r="P1440" s="103" t="str">
        <f t="shared" si="719"/>
        <v xml:space="preserve"> OKS340 체인구리스</v>
      </c>
      <c r="Q1440" s="71">
        <f t="shared" si="715"/>
        <v>3</v>
      </c>
      <c r="R1440" s="102">
        <v>165000</v>
      </c>
      <c r="S1440" s="102">
        <f t="shared" si="722"/>
        <v>544500</v>
      </c>
      <c r="T1440" s="102">
        <f t="shared" si="723"/>
        <v>495000</v>
      </c>
      <c r="U1440" s="71" t="str">
        <f t="shared" si="714"/>
        <v>X</v>
      </c>
      <c r="V1440" s="71"/>
      <c r="W1440" s="474"/>
      <c r="X1440" s="71"/>
      <c r="Y1440" s="71"/>
    </row>
    <row r="1441" spans="1:25" ht="30" hidden="1" customHeight="1" x14ac:dyDescent="0.25">
      <c r="A1441" s="82">
        <v>181105</v>
      </c>
      <c r="B1441" s="664" t="s">
        <v>575</v>
      </c>
      <c r="C1441" s="71" t="s">
        <v>1529</v>
      </c>
      <c r="D1441" s="71">
        <v>1</v>
      </c>
      <c r="E1441" s="102">
        <v>1780000</v>
      </c>
      <c r="F1441" s="102">
        <f t="shared" si="716"/>
        <v>1958000.0000000002</v>
      </c>
      <c r="G1441" s="102">
        <f t="shared" si="717"/>
        <v>1780000</v>
      </c>
      <c r="H1441" s="690" t="s">
        <v>1431</v>
      </c>
      <c r="I1441" s="71"/>
      <c r="J1441" s="53">
        <f t="shared" si="724"/>
        <v>1169302.1322726132</v>
      </c>
      <c r="K1441" s="63">
        <f t="shared" si="725"/>
        <v>0.65691131026551297</v>
      </c>
      <c r="L1441" s="82">
        <v>18.11</v>
      </c>
      <c r="M1441" s="468"/>
      <c r="N1441" s="664">
        <f t="shared" si="718"/>
        <v>181105</v>
      </c>
      <c r="O1441" s="71" t="s">
        <v>1431</v>
      </c>
      <c r="P1441" s="103" t="str">
        <f>(C1441)</f>
        <v>벨트(14mm,20mm,25mm)</v>
      </c>
      <c r="Q1441" s="71">
        <f t="shared" si="715"/>
        <v>1</v>
      </c>
      <c r="R1441" s="102">
        <f>SUM(Import!H113:H115)</f>
        <v>610697.86772738688</v>
      </c>
      <c r="S1441" s="102">
        <f t="shared" si="722"/>
        <v>671767.65450012567</v>
      </c>
      <c r="T1441" s="102">
        <f t="shared" si="723"/>
        <v>610697.86772738688</v>
      </c>
      <c r="U1441" s="71" t="str">
        <f t="shared" si="714"/>
        <v>X</v>
      </c>
      <c r="V1441" s="71"/>
      <c r="W1441" s="474"/>
      <c r="X1441" s="71"/>
      <c r="Y1441" s="71"/>
    </row>
    <row r="1442" spans="1:25" ht="30" hidden="1" customHeight="1" x14ac:dyDescent="0.25">
      <c r="A1442" s="82">
        <v>181105</v>
      </c>
      <c r="B1442" s="664" t="s">
        <v>575</v>
      </c>
      <c r="C1442" s="71" t="s">
        <v>884</v>
      </c>
      <c r="D1442" s="71">
        <v>4</v>
      </c>
      <c r="E1442" s="102">
        <v>55000</v>
      </c>
      <c r="F1442" s="102">
        <f t="shared" si="716"/>
        <v>242000.00000000003</v>
      </c>
      <c r="G1442" s="102">
        <f t="shared" si="717"/>
        <v>220000</v>
      </c>
      <c r="H1442" s="690" t="s">
        <v>1431</v>
      </c>
      <c r="I1442" s="71"/>
      <c r="J1442" s="53">
        <f t="shared" si="724"/>
        <v>98575.920298404366</v>
      </c>
      <c r="K1442" s="63">
        <f t="shared" si="725"/>
        <v>0.44807236499274705</v>
      </c>
      <c r="L1442" s="82">
        <v>18.11</v>
      </c>
      <c r="M1442" s="468"/>
      <c r="N1442" s="664">
        <f t="shared" si="718"/>
        <v>181105</v>
      </c>
      <c r="O1442" s="71" t="s">
        <v>1431</v>
      </c>
      <c r="P1442" s="103" t="str">
        <f>(C1442)</f>
        <v>재단목</v>
      </c>
      <c r="Q1442" s="71">
        <f t="shared" si="715"/>
        <v>4</v>
      </c>
      <c r="R1442" s="102">
        <f>Import!G116</f>
        <v>30356.019925398909</v>
      </c>
      <c r="S1442" s="102">
        <f t="shared" si="722"/>
        <v>133566.4876717552</v>
      </c>
      <c r="T1442" s="102">
        <f t="shared" si="723"/>
        <v>121424.07970159563</v>
      </c>
      <c r="U1442" s="71" t="str">
        <f t="shared" si="714"/>
        <v>X</v>
      </c>
      <c r="V1442" s="71"/>
      <c r="W1442" s="474"/>
      <c r="X1442" s="71"/>
      <c r="Y1442" s="71"/>
    </row>
    <row r="1443" spans="1:25" ht="30" hidden="1" customHeight="1" x14ac:dyDescent="0.25">
      <c r="A1443" s="82">
        <v>181105</v>
      </c>
      <c r="B1443" s="664" t="s">
        <v>575</v>
      </c>
      <c r="C1443" s="71" t="s">
        <v>1530</v>
      </c>
      <c r="D1443" s="71">
        <v>2</v>
      </c>
      <c r="E1443" s="102">
        <v>110000</v>
      </c>
      <c r="F1443" s="102">
        <f t="shared" si="716"/>
        <v>242000.00000000003</v>
      </c>
      <c r="G1443" s="102">
        <f t="shared" si="717"/>
        <v>220000</v>
      </c>
      <c r="H1443" s="690" t="s">
        <v>1431</v>
      </c>
      <c r="I1443" s="71"/>
      <c r="J1443" s="53">
        <f t="shared" si="724"/>
        <v>164139.41584188121</v>
      </c>
      <c r="K1443" s="63">
        <f t="shared" si="725"/>
        <v>0.74608825382673272</v>
      </c>
      <c r="L1443" s="82">
        <v>18.11</v>
      </c>
      <c r="M1443" s="468"/>
      <c r="N1443" s="664">
        <f t="shared" si="718"/>
        <v>181105</v>
      </c>
      <c r="O1443" s="71" t="s">
        <v>1431</v>
      </c>
      <c r="P1443" s="103" t="str">
        <f>(C1443)</f>
        <v>쇼바</v>
      </c>
      <c r="Q1443" s="71">
        <f t="shared" si="715"/>
        <v>2</v>
      </c>
      <c r="R1443" s="102">
        <f>Import!G117</f>
        <v>27930.292079059396</v>
      </c>
      <c r="S1443" s="102">
        <f t="shared" si="722"/>
        <v>61446.64257393068</v>
      </c>
      <c r="T1443" s="102">
        <f t="shared" si="723"/>
        <v>55860.584158118792</v>
      </c>
      <c r="U1443" s="71" t="str">
        <f t="shared" si="714"/>
        <v>X</v>
      </c>
      <c r="V1443" s="71"/>
      <c r="W1443" s="474"/>
      <c r="X1443" s="71"/>
      <c r="Y1443" s="71"/>
    </row>
    <row r="1444" spans="1:25" ht="30" hidden="1" customHeight="1" x14ac:dyDescent="0.25">
      <c r="A1444" s="82">
        <v>181105</v>
      </c>
      <c r="B1444" s="664" t="s">
        <v>575</v>
      </c>
      <c r="C1444" s="71" t="s">
        <v>1531</v>
      </c>
      <c r="D1444" s="71">
        <v>2</v>
      </c>
      <c r="E1444" s="102">
        <v>550000</v>
      </c>
      <c r="F1444" s="102">
        <f t="shared" si="716"/>
        <v>1210000</v>
      </c>
      <c r="G1444" s="102">
        <f t="shared" si="717"/>
        <v>1100000</v>
      </c>
      <c r="H1444" s="690" t="s">
        <v>1431</v>
      </c>
      <c r="I1444" s="71"/>
      <c r="J1444" s="53">
        <f t="shared" si="724"/>
        <v>360000</v>
      </c>
      <c r="K1444" s="63">
        <f t="shared" si="725"/>
        <v>0.32727272727272727</v>
      </c>
      <c r="L1444" s="82">
        <v>18.11</v>
      </c>
      <c r="M1444" s="468"/>
      <c r="N1444" s="664">
        <f t="shared" si="718"/>
        <v>181105</v>
      </c>
      <c r="O1444" s="71" t="s">
        <v>1431</v>
      </c>
      <c r="P1444" s="103" t="str">
        <f>(C1444)</f>
        <v>로타리 유니온</v>
      </c>
      <c r="Q1444" s="71">
        <f t="shared" si="715"/>
        <v>2</v>
      </c>
      <c r="R1444" s="102">
        <v>370000</v>
      </c>
      <c r="S1444" s="102">
        <f t="shared" si="722"/>
        <v>814000.00000000012</v>
      </c>
      <c r="T1444" s="102">
        <f t="shared" si="723"/>
        <v>740000</v>
      </c>
      <c r="U1444" s="71" t="str">
        <f t="shared" si="714"/>
        <v>X</v>
      </c>
      <c r="V1444" s="71"/>
      <c r="W1444" s="474"/>
      <c r="X1444" s="71"/>
      <c r="Y1444" s="71"/>
    </row>
    <row r="1445" spans="1:25" ht="30" hidden="1" customHeight="1" x14ac:dyDescent="0.25">
      <c r="A1445" s="82">
        <v>181105</v>
      </c>
      <c r="B1445" s="664" t="s">
        <v>640</v>
      </c>
      <c r="C1445" s="71" t="s">
        <v>114</v>
      </c>
      <c r="D1445" s="71">
        <v>50</v>
      </c>
      <c r="E1445" s="102">
        <v>18000</v>
      </c>
      <c r="F1445" s="102">
        <f>(E1445*D1445)*1.1</f>
        <v>990000.00000000012</v>
      </c>
      <c r="G1445" s="102">
        <f>(E1445*D1445)</f>
        <v>900000</v>
      </c>
      <c r="H1445" s="690" t="s">
        <v>1431</v>
      </c>
      <c r="I1445" s="71"/>
      <c r="J1445" s="53">
        <f t="shared" si="724"/>
        <v>410893.26058356493</v>
      </c>
      <c r="K1445" s="63">
        <f t="shared" si="725"/>
        <v>0.45654806731507208</v>
      </c>
      <c r="L1445" s="82">
        <v>18.11</v>
      </c>
      <c r="M1445" s="468"/>
      <c r="N1445" s="664">
        <f>A1445</f>
        <v>181105</v>
      </c>
      <c r="O1445" s="71" t="s">
        <v>1431</v>
      </c>
      <c r="P1445" s="103" t="str">
        <f>(C1445)</f>
        <v>스트리퍼</v>
      </c>
      <c r="Q1445" s="71">
        <f>D1445</f>
        <v>50</v>
      </c>
      <c r="R1445" s="102">
        <f>Import!G136</f>
        <v>9782.1347883287017</v>
      </c>
      <c r="S1445" s="102">
        <f t="shared" si="722"/>
        <v>538017.41335807857</v>
      </c>
      <c r="T1445" s="102">
        <f t="shared" si="723"/>
        <v>489106.73941643507</v>
      </c>
      <c r="U1445" s="71" t="str">
        <f t="shared" si="714"/>
        <v>X</v>
      </c>
      <c r="V1445" s="71"/>
      <c r="W1445" s="474"/>
      <c r="X1445" s="71"/>
      <c r="Y1445" s="71"/>
    </row>
    <row r="1446" spans="1:25" ht="30" hidden="1" customHeight="1" x14ac:dyDescent="0.25">
      <c r="A1446" s="82">
        <v>181106</v>
      </c>
      <c r="B1446" s="664" t="s">
        <v>1051</v>
      </c>
      <c r="C1446" s="71" t="s">
        <v>1384</v>
      </c>
      <c r="D1446" s="71">
        <v>50</v>
      </c>
      <c r="E1446" s="102">
        <v>3750</v>
      </c>
      <c r="F1446" s="102">
        <f t="shared" ref="F1446:F1452" si="726">(E1446*D1446)*1.1</f>
        <v>206250.00000000003</v>
      </c>
      <c r="G1446" s="102">
        <f t="shared" ref="G1446:G1452" si="727">(E1446*D1446)</f>
        <v>187500</v>
      </c>
      <c r="H1446" s="690" t="s">
        <v>142</v>
      </c>
      <c r="I1446" s="71" t="s">
        <v>140</v>
      </c>
      <c r="J1446" s="53">
        <f t="shared" si="724"/>
        <v>61500</v>
      </c>
      <c r="K1446" s="63">
        <f t="shared" ref="K1446:K1452" si="728">(J1446/(F1446/11*10))</f>
        <v>0.32799999999999996</v>
      </c>
      <c r="L1446" s="82">
        <v>18.11</v>
      </c>
      <c r="M1446" s="468"/>
      <c r="N1446" s="664">
        <f t="shared" ref="N1446:N1452" si="729">A1446</f>
        <v>181106</v>
      </c>
      <c r="O1446" s="71" t="s">
        <v>145</v>
      </c>
      <c r="P1446" s="103" t="str">
        <f>C1446</f>
        <v>ENGAGE 900X571 - 27RO</v>
      </c>
      <c r="Q1446" s="71">
        <f t="shared" si="715"/>
        <v>50</v>
      </c>
      <c r="R1446" s="102">
        <v>2520</v>
      </c>
      <c r="S1446" s="102">
        <f t="shared" si="722"/>
        <v>138600</v>
      </c>
      <c r="T1446" s="102">
        <f t="shared" si="723"/>
        <v>126000</v>
      </c>
      <c r="U1446" s="71" t="str">
        <f t="shared" si="714"/>
        <v>O</v>
      </c>
      <c r="V1446" s="71"/>
      <c r="W1446" s="474">
        <f>(G1446-T1446)</f>
        <v>61500</v>
      </c>
      <c r="X1446" s="71"/>
      <c r="Y1446" s="71"/>
    </row>
    <row r="1447" spans="1:25" ht="30" hidden="1" customHeight="1" x14ac:dyDescent="0.25">
      <c r="A1447" s="82">
        <v>181106</v>
      </c>
      <c r="B1447" s="664" t="s">
        <v>1051</v>
      </c>
      <c r="C1447" s="71" t="s">
        <v>524</v>
      </c>
      <c r="D1447" s="71">
        <v>400</v>
      </c>
      <c r="E1447" s="102">
        <v>3750</v>
      </c>
      <c r="F1447" s="102">
        <f t="shared" si="726"/>
        <v>1650000.0000000002</v>
      </c>
      <c r="G1447" s="102">
        <f t="shared" si="727"/>
        <v>1500000</v>
      </c>
      <c r="H1447" s="690" t="s">
        <v>142</v>
      </c>
      <c r="I1447" s="71" t="s">
        <v>140</v>
      </c>
      <c r="J1447" s="53">
        <f t="shared" si="724"/>
        <v>492000</v>
      </c>
      <c r="K1447" s="63">
        <f t="shared" si="728"/>
        <v>0.32799999999999996</v>
      </c>
      <c r="L1447" s="82">
        <v>18.11</v>
      </c>
      <c r="M1447" s="468"/>
      <c r="N1447" s="664">
        <f t="shared" si="729"/>
        <v>181106</v>
      </c>
      <c r="O1447" s="71" t="s">
        <v>145</v>
      </c>
      <c r="P1447" s="103" t="str">
        <f>C1447</f>
        <v>ENGAGE 900X570 - 27RO</v>
      </c>
      <c r="Q1447" s="71">
        <f t="shared" si="715"/>
        <v>400</v>
      </c>
      <c r="R1447" s="102">
        <v>2520</v>
      </c>
      <c r="S1447" s="102">
        <f t="shared" si="722"/>
        <v>1108800</v>
      </c>
      <c r="T1447" s="102">
        <f t="shared" si="723"/>
        <v>1008000</v>
      </c>
      <c r="U1447" s="71" t="str">
        <f t="shared" si="714"/>
        <v>O</v>
      </c>
      <c r="V1447" s="71"/>
      <c r="W1447" s="474">
        <f>(G1447-T1447)</f>
        <v>492000</v>
      </c>
      <c r="X1447" s="71"/>
      <c r="Y1447" s="71"/>
    </row>
    <row r="1448" spans="1:25" ht="30" hidden="1" customHeight="1" x14ac:dyDescent="0.25">
      <c r="A1448" s="82">
        <v>181106</v>
      </c>
      <c r="B1448" s="664" t="s">
        <v>1051</v>
      </c>
      <c r="C1448" s="71" t="s">
        <v>1294</v>
      </c>
      <c r="D1448" s="71">
        <v>500</v>
      </c>
      <c r="E1448" s="102">
        <v>5960</v>
      </c>
      <c r="F1448" s="102">
        <f t="shared" si="726"/>
        <v>3278000.0000000005</v>
      </c>
      <c r="G1448" s="102">
        <f t="shared" si="727"/>
        <v>2980000</v>
      </c>
      <c r="H1448" s="690" t="s">
        <v>142</v>
      </c>
      <c r="I1448" s="71" t="s">
        <v>140</v>
      </c>
      <c r="J1448" s="53">
        <f t="shared" si="724"/>
        <v>980000</v>
      </c>
      <c r="K1448" s="63">
        <f t="shared" si="728"/>
        <v>0.32885906040268453</v>
      </c>
      <c r="L1448" s="82">
        <v>18.11</v>
      </c>
      <c r="M1448" s="468"/>
      <c r="N1448" s="664">
        <f t="shared" si="729"/>
        <v>181106</v>
      </c>
      <c r="O1448" s="71" t="s">
        <v>145</v>
      </c>
      <c r="P1448" s="103" t="str">
        <f>(C1448)</f>
        <v>ENGAGE 1030*790</v>
      </c>
      <c r="Q1448" s="71">
        <f t="shared" si="715"/>
        <v>500</v>
      </c>
      <c r="R1448" s="102">
        <v>4000</v>
      </c>
      <c r="S1448" s="102">
        <f>(R1448*D1448)*1.1</f>
        <v>2200000</v>
      </c>
      <c r="T1448" s="102">
        <f>(R1448*Q1448)</f>
        <v>2000000</v>
      </c>
      <c r="U1448" s="71" t="str">
        <f t="shared" si="714"/>
        <v>X</v>
      </c>
      <c r="V1448" s="71"/>
      <c r="W1448" s="474"/>
      <c r="X1448" s="71"/>
      <c r="Y1448" s="71"/>
    </row>
    <row r="1449" spans="1:25" ht="30" hidden="1" customHeight="1" x14ac:dyDescent="0.25">
      <c r="A1449" s="82">
        <v>181106</v>
      </c>
      <c r="B1449" s="664" t="s">
        <v>1051</v>
      </c>
      <c r="C1449" s="71" t="s">
        <v>1305</v>
      </c>
      <c r="D1449" s="71">
        <v>50</v>
      </c>
      <c r="E1449" s="102">
        <v>4510</v>
      </c>
      <c r="F1449" s="102">
        <f t="shared" si="726"/>
        <v>248050.00000000003</v>
      </c>
      <c r="G1449" s="102">
        <f t="shared" si="727"/>
        <v>225500</v>
      </c>
      <c r="H1449" s="690" t="s">
        <v>142</v>
      </c>
      <c r="I1449" s="71" t="s">
        <v>140</v>
      </c>
      <c r="J1449" s="53">
        <f t="shared" si="724"/>
        <v>74000</v>
      </c>
      <c r="K1449" s="63">
        <f t="shared" si="728"/>
        <v>0.32815964523281593</v>
      </c>
      <c r="L1449" s="82">
        <v>18.11</v>
      </c>
      <c r="M1449" s="468"/>
      <c r="N1449" s="664">
        <f t="shared" si="729"/>
        <v>181106</v>
      </c>
      <c r="O1449" s="71" t="s">
        <v>145</v>
      </c>
      <c r="P1449" s="103" t="str">
        <f>(C1449)</f>
        <v>ENGAGE 968*636</v>
      </c>
      <c r="Q1449" s="71">
        <f t="shared" si="715"/>
        <v>50</v>
      </c>
      <c r="R1449" s="102">
        <v>3030</v>
      </c>
      <c r="S1449" s="102">
        <f>(R1449*D1449)*1.1</f>
        <v>166650</v>
      </c>
      <c r="T1449" s="102">
        <f>(R1449*Q1449)</f>
        <v>151500</v>
      </c>
      <c r="U1449" s="71" t="str">
        <f t="shared" si="714"/>
        <v>O</v>
      </c>
      <c r="V1449" s="71"/>
      <c r="W1449" s="474">
        <f>(G1449-T1449)</f>
        <v>74000</v>
      </c>
      <c r="X1449" s="71"/>
      <c r="Y1449" s="71"/>
    </row>
    <row r="1450" spans="1:25" ht="30" hidden="1" customHeight="1" x14ac:dyDescent="0.25">
      <c r="A1450" s="82">
        <v>181106</v>
      </c>
      <c r="B1450" s="664" t="s">
        <v>1051</v>
      </c>
      <c r="C1450" s="71" t="s">
        <v>1383</v>
      </c>
      <c r="D1450" s="71">
        <v>400</v>
      </c>
      <c r="E1450" s="102">
        <v>6260</v>
      </c>
      <c r="F1450" s="102">
        <f t="shared" si="726"/>
        <v>2754400</v>
      </c>
      <c r="G1450" s="102">
        <f t="shared" si="727"/>
        <v>2504000</v>
      </c>
      <c r="H1450" s="690" t="s">
        <v>142</v>
      </c>
      <c r="I1450" s="71" t="s">
        <v>140</v>
      </c>
      <c r="J1450" s="53">
        <f t="shared" si="724"/>
        <v>820000</v>
      </c>
      <c r="K1450" s="63">
        <f t="shared" si="728"/>
        <v>0.32747603833865813</v>
      </c>
      <c r="L1450" s="82">
        <v>18.11</v>
      </c>
      <c r="M1450" s="468"/>
      <c r="N1450" s="664">
        <f t="shared" si="729"/>
        <v>181106</v>
      </c>
      <c r="O1450" s="71" t="s">
        <v>145</v>
      </c>
      <c r="P1450" s="103" t="str">
        <f>C1450</f>
        <v>ENGAGE 1055*811</v>
      </c>
      <c r="Q1450" s="71">
        <f t="shared" si="715"/>
        <v>400</v>
      </c>
      <c r="R1450" s="102">
        <v>4210</v>
      </c>
      <c r="S1450" s="102">
        <f>R1450*Q1450*1.1</f>
        <v>1852400.0000000002</v>
      </c>
      <c r="T1450" s="102">
        <f>R1450*Q1450</f>
        <v>1684000</v>
      </c>
      <c r="U1450" s="71"/>
      <c r="V1450" s="71"/>
      <c r="W1450" s="474">
        <f>(G1450-T1450)</f>
        <v>820000</v>
      </c>
      <c r="X1450" s="71"/>
      <c r="Y1450" s="71"/>
    </row>
    <row r="1451" spans="1:25" ht="30" hidden="1" customHeight="1" x14ac:dyDescent="0.25">
      <c r="A1451" s="82">
        <v>181106</v>
      </c>
      <c r="B1451" s="664" t="s">
        <v>1051</v>
      </c>
      <c r="C1451" s="67" t="s">
        <v>1386</v>
      </c>
      <c r="D1451" s="71">
        <v>10</v>
      </c>
      <c r="E1451" s="102">
        <v>55000</v>
      </c>
      <c r="F1451" s="102">
        <f t="shared" si="726"/>
        <v>605000</v>
      </c>
      <c r="G1451" s="102">
        <f t="shared" si="727"/>
        <v>550000</v>
      </c>
      <c r="H1451" s="690" t="s">
        <v>142</v>
      </c>
      <c r="I1451" s="71" t="s">
        <v>140</v>
      </c>
      <c r="J1451" s="53">
        <f t="shared" si="724"/>
        <v>200000</v>
      </c>
      <c r="K1451" s="63">
        <f t="shared" si="728"/>
        <v>0.36363636363636365</v>
      </c>
      <c r="L1451" s="82">
        <v>18.11</v>
      </c>
      <c r="M1451" s="468"/>
      <c r="N1451" s="664">
        <f t="shared" si="729"/>
        <v>181106</v>
      </c>
      <c r="O1451" s="71" t="s">
        <v>145</v>
      </c>
      <c r="P1451" s="103" t="str">
        <f>C1451</f>
        <v>THR200(20L)보충액</v>
      </c>
      <c r="Q1451" s="71">
        <f t="shared" si="715"/>
        <v>10</v>
      </c>
      <c r="R1451" s="102">
        <v>35000</v>
      </c>
      <c r="S1451" s="102">
        <f>R1451*Q1451*1.1</f>
        <v>385000.00000000006</v>
      </c>
      <c r="T1451" s="102">
        <f>R1451*Q1451</f>
        <v>350000</v>
      </c>
      <c r="U1451" s="71" t="str">
        <f t="shared" ref="U1451:U1477" si="730">IF(J1451=W1451,"O", "X")</f>
        <v>O</v>
      </c>
      <c r="V1451" s="71"/>
      <c r="W1451" s="474">
        <f>(G1451-T1451)</f>
        <v>200000</v>
      </c>
      <c r="X1451" s="71"/>
      <c r="Y1451" s="71"/>
    </row>
    <row r="1452" spans="1:25" ht="30" hidden="1" customHeight="1" x14ac:dyDescent="0.25">
      <c r="A1452" s="82">
        <v>181106</v>
      </c>
      <c r="B1452" s="664" t="s">
        <v>1051</v>
      </c>
      <c r="C1452" s="71" t="s">
        <v>1387</v>
      </c>
      <c r="D1452" s="71">
        <v>5</v>
      </c>
      <c r="E1452" s="102">
        <v>55000</v>
      </c>
      <c r="F1452" s="102">
        <f t="shared" si="726"/>
        <v>302500</v>
      </c>
      <c r="G1452" s="102">
        <f t="shared" si="727"/>
        <v>275000</v>
      </c>
      <c r="H1452" s="690" t="s">
        <v>142</v>
      </c>
      <c r="I1452" s="71" t="s">
        <v>140</v>
      </c>
      <c r="J1452" s="53">
        <f t="shared" si="724"/>
        <v>100000</v>
      </c>
      <c r="K1452" s="63">
        <f t="shared" si="728"/>
        <v>0.36363636363636365</v>
      </c>
      <c r="L1452" s="82">
        <v>18.11</v>
      </c>
      <c r="M1452" s="468"/>
      <c r="N1452" s="664">
        <f t="shared" si="729"/>
        <v>181106</v>
      </c>
      <c r="O1452" s="71" t="s">
        <v>145</v>
      </c>
      <c r="P1452" s="103" t="str">
        <f t="shared" ref="P1452:P1460" si="731">(C1452)</f>
        <v>THD200(20L)현상액</v>
      </c>
      <c r="Q1452" s="71">
        <f t="shared" si="715"/>
        <v>5</v>
      </c>
      <c r="R1452" s="102">
        <v>35000</v>
      </c>
      <c r="S1452" s="102">
        <f>(R1452*D1452)*1.1</f>
        <v>192500.00000000003</v>
      </c>
      <c r="T1452" s="102">
        <f>(R1452*Q1452)</f>
        <v>175000</v>
      </c>
      <c r="U1452" s="71" t="str">
        <f t="shared" si="730"/>
        <v>O</v>
      </c>
      <c r="V1452" s="71"/>
      <c r="W1452" s="474">
        <f>(G1452-T1452)</f>
        <v>100000</v>
      </c>
      <c r="X1452" s="71"/>
      <c r="Y1452" s="71"/>
    </row>
    <row r="1453" spans="1:25" ht="30" customHeight="1" x14ac:dyDescent="0.25">
      <c r="A1453" s="82">
        <v>181107</v>
      </c>
      <c r="B1453" s="664" t="s">
        <v>565</v>
      </c>
      <c r="C1453" s="71" t="s">
        <v>114</v>
      </c>
      <c r="D1453" s="71">
        <v>50</v>
      </c>
      <c r="E1453" s="102">
        <v>20000</v>
      </c>
      <c r="F1453" s="102">
        <f t="shared" si="716"/>
        <v>1100000</v>
      </c>
      <c r="G1453" s="102">
        <f t="shared" si="717"/>
        <v>1000000</v>
      </c>
      <c r="H1453" s="690" t="s">
        <v>1431</v>
      </c>
      <c r="I1453" s="71"/>
      <c r="J1453" s="53">
        <f t="shared" si="724"/>
        <v>510893.26058356493</v>
      </c>
      <c r="K1453" s="63">
        <f>(J1453/(F1453/11*10))</f>
        <v>0.51089326058356488</v>
      </c>
      <c r="L1453" s="82">
        <v>18.11</v>
      </c>
      <c r="M1453" s="468"/>
      <c r="N1453" s="664">
        <f t="shared" si="718"/>
        <v>181107</v>
      </c>
      <c r="O1453" s="71" t="s">
        <v>1431</v>
      </c>
      <c r="P1453" s="103" t="str">
        <f t="shared" si="731"/>
        <v>스트리퍼</v>
      </c>
      <c r="Q1453" s="71">
        <f t="shared" si="715"/>
        <v>50</v>
      </c>
      <c r="R1453" s="102">
        <f>Import!G136</f>
        <v>9782.1347883287017</v>
      </c>
      <c r="S1453" s="102">
        <f t="shared" ref="S1453:S1458" si="732">R1453*Q1453*1.1</f>
        <v>538017.41335807857</v>
      </c>
      <c r="T1453" s="102">
        <f t="shared" ref="T1453:T1458" si="733">R1453*Q1453</f>
        <v>489106.73941643507</v>
      </c>
      <c r="U1453" s="71" t="str">
        <f t="shared" si="730"/>
        <v>X</v>
      </c>
      <c r="V1453" s="71"/>
      <c r="W1453" s="474"/>
      <c r="X1453" s="71"/>
      <c r="Y1453" s="71"/>
    </row>
    <row r="1454" spans="1:25" ht="30" customHeight="1" x14ac:dyDescent="0.25">
      <c r="A1454" s="82">
        <v>181107</v>
      </c>
      <c r="B1454" s="664" t="s">
        <v>565</v>
      </c>
      <c r="C1454" s="71" t="s">
        <v>884</v>
      </c>
      <c r="D1454" s="71">
        <v>10</v>
      </c>
      <c r="E1454" s="102">
        <v>65000</v>
      </c>
      <c r="F1454" s="102">
        <f t="shared" si="716"/>
        <v>715000</v>
      </c>
      <c r="G1454" s="102">
        <f t="shared" si="717"/>
        <v>650000</v>
      </c>
      <c r="H1454" s="690" t="s">
        <v>1431</v>
      </c>
      <c r="I1454" s="71"/>
      <c r="J1454" s="53">
        <f t="shared" si="724"/>
        <v>348125.60349840432</v>
      </c>
      <c r="K1454" s="63">
        <f t="shared" ref="K1454:K1460" si="734">(J1454/(F1454/11*10))</f>
        <v>0.53557785153600668</v>
      </c>
      <c r="L1454" s="82">
        <v>18.11</v>
      </c>
      <c r="M1454" s="468"/>
      <c r="N1454" s="664">
        <f t="shared" si="718"/>
        <v>181107</v>
      </c>
      <c r="O1454" s="71" t="s">
        <v>1431</v>
      </c>
      <c r="P1454" s="103" t="str">
        <f t="shared" si="731"/>
        <v>재단목</v>
      </c>
      <c r="Q1454" s="71">
        <f t="shared" si="715"/>
        <v>10</v>
      </c>
      <c r="R1454" s="102">
        <f>Import!G118</f>
        <v>30187.439650159566</v>
      </c>
      <c r="S1454" s="102">
        <f t="shared" si="732"/>
        <v>332061.8361517553</v>
      </c>
      <c r="T1454" s="102">
        <f t="shared" si="733"/>
        <v>301874.39650159568</v>
      </c>
      <c r="U1454" s="71" t="str">
        <f t="shared" si="730"/>
        <v>X</v>
      </c>
      <c r="V1454" s="71"/>
      <c r="W1454" s="474"/>
      <c r="X1454" s="71"/>
      <c r="Y1454" s="71"/>
    </row>
    <row r="1455" spans="1:25" ht="30" customHeight="1" x14ac:dyDescent="0.25">
      <c r="A1455" s="82">
        <v>181107</v>
      </c>
      <c r="B1455" s="664" t="s">
        <v>565</v>
      </c>
      <c r="C1455" s="71" t="s">
        <v>1438</v>
      </c>
      <c r="D1455" s="71">
        <v>4</v>
      </c>
      <c r="E1455" s="102">
        <v>400000</v>
      </c>
      <c r="F1455" s="102">
        <f t="shared" si="716"/>
        <v>1760000.0000000002</v>
      </c>
      <c r="G1455" s="102">
        <f t="shared" si="717"/>
        <v>1600000</v>
      </c>
      <c r="H1455" s="690" t="s">
        <v>1431</v>
      </c>
      <c r="I1455" s="71"/>
      <c r="J1455" s="53">
        <f t="shared" si="724"/>
        <v>848890.80324725073</v>
      </c>
      <c r="K1455" s="63">
        <f t="shared" si="734"/>
        <v>0.53055675202953168</v>
      </c>
      <c r="L1455" s="82">
        <v>18.11</v>
      </c>
      <c r="M1455" s="468"/>
      <c r="N1455" s="664">
        <f t="shared" si="718"/>
        <v>181107</v>
      </c>
      <c r="O1455" s="71" t="s">
        <v>1431</v>
      </c>
      <c r="P1455" s="103" t="str">
        <f t="shared" si="731"/>
        <v>조 블레이드</v>
      </c>
      <c r="Q1455" s="71">
        <f t="shared" si="715"/>
        <v>4</v>
      </c>
      <c r="R1455" s="102">
        <f>Import!G119</f>
        <v>187777.29918818732</v>
      </c>
      <c r="S1455" s="102">
        <f t="shared" si="732"/>
        <v>826220.11642802425</v>
      </c>
      <c r="T1455" s="102">
        <f t="shared" si="733"/>
        <v>751109.19675274927</v>
      </c>
      <c r="U1455" s="71" t="str">
        <f t="shared" si="730"/>
        <v>X</v>
      </c>
      <c r="V1455" s="71"/>
      <c r="W1455" s="474"/>
      <c r="X1455" s="71"/>
      <c r="Y1455" s="71"/>
    </row>
    <row r="1456" spans="1:25" ht="30" customHeight="1" x14ac:dyDescent="0.25">
      <c r="A1456" s="82">
        <v>181107</v>
      </c>
      <c r="B1456" s="664" t="s">
        <v>565</v>
      </c>
      <c r="C1456" s="71" t="s">
        <v>1148</v>
      </c>
      <c r="D1456" s="71">
        <v>8</v>
      </c>
      <c r="E1456" s="102">
        <v>320000</v>
      </c>
      <c r="F1456" s="102">
        <f t="shared" si="716"/>
        <v>2816000</v>
      </c>
      <c r="G1456" s="102">
        <f t="shared" si="717"/>
        <v>2560000</v>
      </c>
      <c r="H1456" s="690" t="s">
        <v>1431</v>
      </c>
      <c r="I1456" s="71"/>
      <c r="J1456" s="53">
        <f t="shared" si="724"/>
        <v>1535472.616361028</v>
      </c>
      <c r="K1456" s="63">
        <f t="shared" si="734"/>
        <v>0.59979399076602657</v>
      </c>
      <c r="L1456" s="82">
        <v>18.11</v>
      </c>
      <c r="M1456" s="468"/>
      <c r="N1456" s="664">
        <f t="shared" si="718"/>
        <v>181107</v>
      </c>
      <c r="O1456" s="71" t="s">
        <v>1431</v>
      </c>
      <c r="P1456" s="103" t="str">
        <f t="shared" si="731"/>
        <v>브레이크 라이닝</v>
      </c>
      <c r="Q1456" s="71">
        <f t="shared" si="715"/>
        <v>8</v>
      </c>
      <c r="R1456" s="102">
        <f>Import!G129</f>
        <v>128065.92295487149</v>
      </c>
      <c r="S1456" s="102">
        <f t="shared" si="732"/>
        <v>1126980.1220028691</v>
      </c>
      <c r="T1456" s="102">
        <f t="shared" si="733"/>
        <v>1024527.383638972</v>
      </c>
      <c r="U1456" s="71" t="str">
        <f t="shared" si="730"/>
        <v>X</v>
      </c>
      <c r="V1456" s="71"/>
      <c r="W1456" s="474"/>
      <c r="X1456" s="71"/>
      <c r="Y1456" s="71"/>
    </row>
    <row r="1457" spans="1:25" ht="30" customHeight="1" x14ac:dyDescent="0.25">
      <c r="A1457" s="82">
        <v>181107</v>
      </c>
      <c r="B1457" s="664" t="s">
        <v>565</v>
      </c>
      <c r="C1457" s="71" t="s">
        <v>1230</v>
      </c>
      <c r="D1457" s="71">
        <v>4</v>
      </c>
      <c r="E1457" s="102">
        <v>50000</v>
      </c>
      <c r="F1457" s="102">
        <f t="shared" si="716"/>
        <v>220000.00000000003</v>
      </c>
      <c r="G1457" s="102">
        <f t="shared" si="717"/>
        <v>200000</v>
      </c>
      <c r="H1457" s="690" t="s">
        <v>1431</v>
      </c>
      <c r="I1457" s="71"/>
      <c r="J1457" s="53">
        <f t="shared" si="724"/>
        <v>134025.6281682009</v>
      </c>
      <c r="K1457" s="63">
        <f t="shared" si="734"/>
        <v>0.67012814084100436</v>
      </c>
      <c r="L1457" s="82">
        <v>18.11</v>
      </c>
      <c r="M1457" s="468"/>
      <c r="N1457" s="664">
        <f t="shared" si="718"/>
        <v>181107</v>
      </c>
      <c r="O1457" s="71" t="s">
        <v>1431</v>
      </c>
      <c r="P1457" s="103" t="str">
        <f t="shared" si="731"/>
        <v>핀</v>
      </c>
      <c r="Q1457" s="71">
        <f t="shared" si="715"/>
        <v>4</v>
      </c>
      <c r="R1457" s="102">
        <f>Import!G130</f>
        <v>16493.592957949775</v>
      </c>
      <c r="S1457" s="102">
        <f t="shared" si="732"/>
        <v>72571.809014979022</v>
      </c>
      <c r="T1457" s="102">
        <f t="shared" si="733"/>
        <v>65974.371831799101</v>
      </c>
      <c r="U1457" s="71" t="str">
        <f t="shared" si="730"/>
        <v>X</v>
      </c>
      <c r="V1457" s="71"/>
      <c r="W1457" s="474"/>
      <c r="X1457" s="71"/>
      <c r="Y1457" s="71"/>
    </row>
    <row r="1458" spans="1:25" ht="30" customHeight="1" x14ac:dyDescent="0.25">
      <c r="A1458" s="82">
        <v>181107</v>
      </c>
      <c r="B1458" s="664" t="s">
        <v>565</v>
      </c>
      <c r="C1458" s="71" t="s">
        <v>1440</v>
      </c>
      <c r="D1458" s="71">
        <v>3</v>
      </c>
      <c r="E1458" s="102">
        <v>450000</v>
      </c>
      <c r="F1458" s="102">
        <f t="shared" si="716"/>
        <v>1485000.0000000002</v>
      </c>
      <c r="G1458" s="102">
        <f t="shared" si="717"/>
        <v>1350000</v>
      </c>
      <c r="H1458" s="690" t="s">
        <v>1431</v>
      </c>
      <c r="I1458" s="71"/>
      <c r="J1458" s="53">
        <f t="shared" si="724"/>
        <v>856577.15692617279</v>
      </c>
      <c r="K1458" s="63">
        <f t="shared" si="734"/>
        <v>0.63450159772309089</v>
      </c>
      <c r="L1458" s="82">
        <v>18.11</v>
      </c>
      <c r="M1458" s="468"/>
      <c r="N1458" s="664">
        <f t="shared" si="718"/>
        <v>181107</v>
      </c>
      <c r="O1458" s="71" t="s">
        <v>1431</v>
      </c>
      <c r="P1458" s="103" t="str">
        <f t="shared" si="731"/>
        <v>쵸퍼 접지칼</v>
      </c>
      <c r="Q1458" s="71">
        <f t="shared" si="715"/>
        <v>3</v>
      </c>
      <c r="R1458" s="102">
        <f>Import!G131</f>
        <v>164474.28102460908</v>
      </c>
      <c r="S1458" s="102">
        <f t="shared" si="732"/>
        <v>542765.12738120998</v>
      </c>
      <c r="T1458" s="102">
        <f t="shared" si="733"/>
        <v>493422.84307382721</v>
      </c>
      <c r="U1458" s="71" t="str">
        <f t="shared" si="730"/>
        <v>X</v>
      </c>
      <c r="V1458" s="71"/>
      <c r="W1458" s="474"/>
      <c r="X1458" s="71"/>
      <c r="Y1458" s="71"/>
    </row>
    <row r="1459" spans="1:25" s="209" customFormat="1" ht="30" hidden="1" customHeight="1" x14ac:dyDescent="0.2">
      <c r="A1459" s="82">
        <v>181108</v>
      </c>
      <c r="B1459" s="664" t="s">
        <v>564</v>
      </c>
      <c r="C1459" s="71" t="s">
        <v>805</v>
      </c>
      <c r="D1459" s="71">
        <v>2</v>
      </c>
      <c r="E1459" s="102">
        <v>270000</v>
      </c>
      <c r="F1459" s="163">
        <f t="shared" si="716"/>
        <v>594000</v>
      </c>
      <c r="G1459" s="163">
        <f t="shared" si="717"/>
        <v>540000</v>
      </c>
      <c r="H1459" s="165" t="s">
        <v>173</v>
      </c>
      <c r="I1459" s="71" t="s">
        <v>120</v>
      </c>
      <c r="J1459" s="53">
        <f>(G1459-(VLOOKUP(C1459,Price!B:D,3,FALSE)*D1459))</f>
        <v>260000</v>
      </c>
      <c r="K1459" s="63">
        <f t="shared" si="734"/>
        <v>0.48148148148148145</v>
      </c>
      <c r="L1459" s="82">
        <v>18.11</v>
      </c>
      <c r="M1459" s="468"/>
      <c r="N1459" s="664">
        <f>A1459</f>
        <v>181108</v>
      </c>
      <c r="O1459" s="71" t="s">
        <v>150</v>
      </c>
      <c r="P1459" s="103" t="str">
        <f t="shared" si="731"/>
        <v>Fount 554</v>
      </c>
      <c r="Q1459" s="71">
        <f t="shared" si="715"/>
        <v>2</v>
      </c>
      <c r="R1459" s="102">
        <v>140000</v>
      </c>
      <c r="S1459" s="102">
        <f>(R1459*D1459)*1.1</f>
        <v>308000</v>
      </c>
      <c r="T1459" s="102">
        <f>(R1459*Q1459)</f>
        <v>280000</v>
      </c>
      <c r="U1459" s="71" t="str">
        <f t="shared" si="730"/>
        <v>O</v>
      </c>
      <c r="V1459" s="71"/>
      <c r="W1459" s="474">
        <f>(G1459-T1459)</f>
        <v>260000</v>
      </c>
      <c r="X1459" s="71"/>
      <c r="Y1459" s="71"/>
    </row>
    <row r="1460" spans="1:25" ht="30" hidden="1" customHeight="1" x14ac:dyDescent="0.25">
      <c r="A1460" s="82">
        <v>181108</v>
      </c>
      <c r="B1460" s="664" t="s">
        <v>764</v>
      </c>
      <c r="C1460" s="71" t="s">
        <v>1437</v>
      </c>
      <c r="D1460" s="71">
        <v>1</v>
      </c>
      <c r="E1460" s="102">
        <v>3500000</v>
      </c>
      <c r="F1460" s="102">
        <f t="shared" ref="F1460:F1479" si="735">(E1460*D1460)*1.1</f>
        <v>3850000.0000000005</v>
      </c>
      <c r="G1460" s="102">
        <f t="shared" ref="G1460:G1479" si="736">(E1460*D1460)</f>
        <v>3500000</v>
      </c>
      <c r="H1460" s="690" t="s">
        <v>1432</v>
      </c>
      <c r="I1460" s="71"/>
      <c r="J1460" s="53">
        <f>G1460-T1460</f>
        <v>1211674.1965842238</v>
      </c>
      <c r="K1460" s="63">
        <f t="shared" si="734"/>
        <v>0.34619262759549246</v>
      </c>
      <c r="L1460" s="82">
        <v>18.11</v>
      </c>
      <c r="M1460" s="468"/>
      <c r="N1460" s="664">
        <f t="shared" si="718"/>
        <v>181108</v>
      </c>
      <c r="O1460" s="71" t="s">
        <v>1432</v>
      </c>
      <c r="P1460" s="103" t="str">
        <f t="shared" si="731"/>
        <v>Measuring Head cpl</v>
      </c>
      <c r="Q1460" s="71">
        <f t="shared" si="715"/>
        <v>1</v>
      </c>
      <c r="R1460" s="102">
        <f>Import!G641</f>
        <v>2288325.8034157762</v>
      </c>
      <c r="S1460" s="102">
        <f>(R1460*D1460)*1.1</f>
        <v>2517158.3837573542</v>
      </c>
      <c r="T1460" s="102">
        <f>(R1460*Q1460)</f>
        <v>2288325.8034157762</v>
      </c>
      <c r="U1460" s="71" t="str">
        <f t="shared" si="730"/>
        <v>X</v>
      </c>
      <c r="V1460" s="71"/>
      <c r="W1460" s="474"/>
      <c r="X1460" s="71"/>
      <c r="Y1460" s="71"/>
    </row>
    <row r="1461" spans="1:25" ht="30" hidden="1" customHeight="1" x14ac:dyDescent="0.25">
      <c r="A1461" s="82">
        <v>181108</v>
      </c>
      <c r="B1461" s="664" t="s">
        <v>1051</v>
      </c>
      <c r="C1461" s="71" t="s">
        <v>1294</v>
      </c>
      <c r="D1461" s="71">
        <v>700</v>
      </c>
      <c r="E1461" s="102">
        <v>5960</v>
      </c>
      <c r="F1461" s="102">
        <f t="shared" si="735"/>
        <v>4589200</v>
      </c>
      <c r="G1461" s="102">
        <f t="shared" si="736"/>
        <v>4172000</v>
      </c>
      <c r="H1461" s="690" t="s">
        <v>142</v>
      </c>
      <c r="I1461" s="71" t="s">
        <v>140</v>
      </c>
      <c r="J1461" s="53">
        <f>G1461-T1461</f>
        <v>1372000</v>
      </c>
      <c r="K1461" s="63">
        <f t="shared" ref="K1461:K1479" si="737">(J1461/(F1461/11*10))</f>
        <v>0.32885906040268459</v>
      </c>
      <c r="L1461" s="82">
        <v>18.11</v>
      </c>
      <c r="M1461" s="468"/>
      <c r="N1461" s="664">
        <f t="shared" ref="N1461:N1481" si="738">A1461</f>
        <v>181108</v>
      </c>
      <c r="O1461" s="71" t="s">
        <v>145</v>
      </c>
      <c r="P1461" s="103" t="str">
        <f>(C1461)</f>
        <v>ENGAGE 1030*790</v>
      </c>
      <c r="Q1461" s="71">
        <f t="shared" si="715"/>
        <v>700</v>
      </c>
      <c r="R1461" s="102">
        <v>4000</v>
      </c>
      <c r="S1461" s="102">
        <f>(R1461*D1461)*1.1</f>
        <v>3080000.0000000005</v>
      </c>
      <c r="T1461" s="102">
        <f>(R1461*Q1461)</f>
        <v>2800000</v>
      </c>
      <c r="U1461" s="71" t="str">
        <f t="shared" si="730"/>
        <v>X</v>
      </c>
      <c r="V1461" s="71"/>
      <c r="W1461" s="474"/>
      <c r="X1461" s="71"/>
      <c r="Y1461" s="71"/>
    </row>
    <row r="1462" spans="1:25" ht="30" hidden="1" customHeight="1" x14ac:dyDescent="0.25">
      <c r="A1462" s="82">
        <v>181108</v>
      </c>
      <c r="B1462" s="664" t="s">
        <v>1051</v>
      </c>
      <c r="C1462" s="71" t="s">
        <v>1385</v>
      </c>
      <c r="D1462" s="71">
        <v>500</v>
      </c>
      <c r="E1462" s="102">
        <v>4580</v>
      </c>
      <c r="F1462" s="102">
        <f t="shared" si="735"/>
        <v>2519000</v>
      </c>
      <c r="G1462" s="102">
        <f t="shared" si="736"/>
        <v>2290000</v>
      </c>
      <c r="H1462" s="690" t="s">
        <v>142</v>
      </c>
      <c r="I1462" s="71" t="s">
        <v>140</v>
      </c>
      <c r="J1462" s="53">
        <f>G1462-T1462</f>
        <v>755000</v>
      </c>
      <c r="K1462" s="63">
        <f t="shared" si="737"/>
        <v>0.3296943231441048</v>
      </c>
      <c r="L1462" s="82">
        <v>18.11</v>
      </c>
      <c r="M1462" s="468"/>
      <c r="N1462" s="664">
        <f t="shared" si="738"/>
        <v>181108</v>
      </c>
      <c r="O1462" s="71" t="s">
        <v>145</v>
      </c>
      <c r="P1462" s="103" t="str">
        <f>C1462</f>
        <v>ENGAGE 967.5*645</v>
      </c>
      <c r="Q1462" s="71">
        <f t="shared" si="715"/>
        <v>500</v>
      </c>
      <c r="R1462" s="102">
        <v>3070</v>
      </c>
      <c r="S1462" s="102">
        <f>R1462*Q1462*1.1</f>
        <v>1688500.0000000002</v>
      </c>
      <c r="T1462" s="102">
        <f>R1462*Q1462</f>
        <v>1535000</v>
      </c>
      <c r="U1462" s="71" t="str">
        <f t="shared" si="730"/>
        <v>O</v>
      </c>
      <c r="V1462" s="71"/>
      <c r="W1462" s="474">
        <f>(G1462-T1462)</f>
        <v>755000</v>
      </c>
      <c r="X1462" s="71"/>
      <c r="Y1462" s="71"/>
    </row>
    <row r="1463" spans="1:25" ht="30" customHeight="1" x14ac:dyDescent="0.25">
      <c r="A1463" s="82">
        <v>181109</v>
      </c>
      <c r="B1463" s="664" t="s">
        <v>422</v>
      </c>
      <c r="C1463" s="760" t="s">
        <v>218</v>
      </c>
      <c r="D1463" s="71">
        <v>10</v>
      </c>
      <c r="E1463" s="102">
        <v>235000</v>
      </c>
      <c r="F1463" s="102">
        <f t="shared" si="735"/>
        <v>2585000</v>
      </c>
      <c r="G1463" s="102">
        <f t="shared" si="736"/>
        <v>2350000</v>
      </c>
      <c r="H1463" s="690" t="s">
        <v>173</v>
      </c>
      <c r="I1463" s="71" t="s">
        <v>120</v>
      </c>
      <c r="J1463" s="53">
        <f>(G1463-(VLOOKUP(C1463,Price!B:D,3,FALSE)*D1463))</f>
        <v>1225000</v>
      </c>
      <c r="K1463" s="63">
        <f t="shared" si="737"/>
        <v>0.52127659574468088</v>
      </c>
      <c r="L1463" s="82">
        <v>18.11</v>
      </c>
      <c r="M1463" s="468"/>
      <c r="N1463" s="664">
        <f t="shared" si="738"/>
        <v>181109</v>
      </c>
      <c r="O1463" s="71" t="s">
        <v>150</v>
      </c>
      <c r="P1463" s="103" t="str">
        <f>C1463</f>
        <v>Fount Web 551AF</v>
      </c>
      <c r="Q1463" s="71">
        <f t="shared" si="715"/>
        <v>10</v>
      </c>
      <c r="R1463" s="102">
        <v>112500</v>
      </c>
      <c r="S1463" s="102">
        <f>R1463*Q1463*1.1</f>
        <v>1237500</v>
      </c>
      <c r="T1463" s="102">
        <f>R1463*Q1463</f>
        <v>1125000</v>
      </c>
      <c r="U1463" s="71" t="str">
        <f t="shared" si="730"/>
        <v>O</v>
      </c>
      <c r="V1463" s="71"/>
      <c r="W1463" s="474">
        <f>(G1463-T1463)</f>
        <v>1225000</v>
      </c>
      <c r="X1463" s="71"/>
      <c r="Y1463" s="71"/>
    </row>
    <row r="1464" spans="1:25" s="209" customFormat="1" ht="30" hidden="1" customHeight="1" x14ac:dyDescent="0.2">
      <c r="A1464" s="82">
        <v>181110</v>
      </c>
      <c r="B1464" s="664" t="s">
        <v>1444</v>
      </c>
      <c r="C1464" s="71" t="s">
        <v>1445</v>
      </c>
      <c r="D1464" s="71">
        <v>1</v>
      </c>
      <c r="E1464" s="102">
        <v>8745539</v>
      </c>
      <c r="F1464" s="163">
        <f t="shared" si="735"/>
        <v>9620092.9000000004</v>
      </c>
      <c r="G1464" s="163">
        <f t="shared" si="736"/>
        <v>8745539</v>
      </c>
      <c r="H1464" s="165" t="s">
        <v>142</v>
      </c>
      <c r="I1464" s="71" t="s">
        <v>1431</v>
      </c>
      <c r="J1464" s="53">
        <f>G1464-T1464</f>
        <v>3376896.6338925092</v>
      </c>
      <c r="K1464" s="63">
        <f>(J1464/(F1464/11*10))</f>
        <v>0.38612790291055921</v>
      </c>
      <c r="L1464" s="82">
        <v>18.11</v>
      </c>
      <c r="M1464" s="468"/>
      <c r="N1464" s="664">
        <f>A1464</f>
        <v>181110</v>
      </c>
      <c r="O1464" s="71" t="s">
        <v>1431</v>
      </c>
      <c r="P1464" s="103" t="str">
        <f>C1464</f>
        <v>수착롤러 자동진동장치</v>
      </c>
      <c r="Q1464" s="71">
        <f t="shared" si="715"/>
        <v>1</v>
      </c>
      <c r="R1464" s="102">
        <f>Import!G139</f>
        <v>5368642.3661074908</v>
      </c>
      <c r="S1464" s="102">
        <f>R1464*Q1464*1.1</f>
        <v>5905506.6027182406</v>
      </c>
      <c r="T1464" s="102">
        <f>R1464*Q1464</f>
        <v>5368642.3661074908</v>
      </c>
      <c r="U1464" s="71" t="str">
        <f t="shared" si="730"/>
        <v>X</v>
      </c>
      <c r="V1464" s="71"/>
      <c r="W1464" s="474"/>
      <c r="X1464" s="71"/>
      <c r="Y1464" s="71"/>
    </row>
    <row r="1465" spans="1:25" ht="30" hidden="1" customHeight="1" x14ac:dyDescent="0.25">
      <c r="A1465" s="82">
        <v>181112</v>
      </c>
      <c r="B1465" s="664" t="s">
        <v>549</v>
      </c>
      <c r="C1465" s="71" t="s">
        <v>119</v>
      </c>
      <c r="D1465" s="71">
        <v>15</v>
      </c>
      <c r="E1465" s="102">
        <v>115000</v>
      </c>
      <c r="F1465" s="102">
        <f>(E1465*D1465)*1.1</f>
        <v>1897500.0000000002</v>
      </c>
      <c r="G1465" s="102">
        <f>(E1465*D1465)</f>
        <v>1725000</v>
      </c>
      <c r="H1465" s="690" t="s">
        <v>173</v>
      </c>
      <c r="I1465" s="71" t="s">
        <v>109</v>
      </c>
      <c r="J1465" s="53">
        <f>(G1465-(VLOOKUP(C1465,Price!B:D,3,FALSE)*D1465))</f>
        <v>394500</v>
      </c>
      <c r="K1465" s="63">
        <f>(J1465/(F1465/11*10))</f>
        <v>0.22869565217391302</v>
      </c>
      <c r="L1465" s="82">
        <v>18.11</v>
      </c>
      <c r="M1465" s="468"/>
      <c r="N1465" s="664">
        <f>A1465</f>
        <v>181112</v>
      </c>
      <c r="O1465" s="71" t="s">
        <v>150</v>
      </c>
      <c r="P1465" s="103" t="str">
        <f>C1465</f>
        <v>미쯔비시 Blanket(1035*910)</v>
      </c>
      <c r="Q1465" s="71">
        <f t="shared" si="715"/>
        <v>15</v>
      </c>
      <c r="R1465" s="102">
        <v>88700</v>
      </c>
      <c r="S1465" s="102">
        <f>R1465*Q1465*1.1</f>
        <v>1463550.0000000002</v>
      </c>
      <c r="T1465" s="102">
        <f>R1465*Q1465</f>
        <v>1330500</v>
      </c>
      <c r="U1465" s="71" t="str">
        <f t="shared" si="730"/>
        <v>O</v>
      </c>
      <c r="V1465" s="71" t="s">
        <v>1078</v>
      </c>
      <c r="W1465" s="474">
        <f>(G1465-T1465)</f>
        <v>394500</v>
      </c>
      <c r="X1465" s="71"/>
      <c r="Y1465" s="71"/>
    </row>
    <row r="1466" spans="1:25" ht="30" hidden="1" customHeight="1" x14ac:dyDescent="0.25">
      <c r="A1466" s="82">
        <v>181112</v>
      </c>
      <c r="B1466" s="664" t="s">
        <v>1051</v>
      </c>
      <c r="C1466" s="71" t="s">
        <v>1294</v>
      </c>
      <c r="D1466" s="71">
        <v>500</v>
      </c>
      <c r="E1466" s="102">
        <v>5960</v>
      </c>
      <c r="F1466" s="102">
        <f t="shared" si="735"/>
        <v>3278000.0000000005</v>
      </c>
      <c r="G1466" s="102">
        <f t="shared" si="736"/>
        <v>2980000</v>
      </c>
      <c r="H1466" s="690" t="s">
        <v>142</v>
      </c>
      <c r="I1466" s="71" t="s">
        <v>140</v>
      </c>
      <c r="J1466" s="53">
        <f>G1466-T1466</f>
        <v>980000</v>
      </c>
      <c r="K1466" s="63">
        <f t="shared" si="737"/>
        <v>0.32885906040268453</v>
      </c>
      <c r="L1466" s="82">
        <v>18.11</v>
      </c>
      <c r="M1466" s="468"/>
      <c r="N1466" s="664">
        <f t="shared" si="738"/>
        <v>181112</v>
      </c>
      <c r="O1466" s="71" t="s">
        <v>145</v>
      </c>
      <c r="P1466" s="103" t="str">
        <f>(C1466)</f>
        <v>ENGAGE 1030*790</v>
      </c>
      <c r="Q1466" s="71">
        <f t="shared" si="715"/>
        <v>500</v>
      </c>
      <c r="R1466" s="102">
        <v>4000</v>
      </c>
      <c r="S1466" s="102">
        <f>(R1466*D1466)*1.1</f>
        <v>2200000</v>
      </c>
      <c r="T1466" s="102">
        <f>(R1466*Q1466)</f>
        <v>2000000</v>
      </c>
      <c r="U1466" s="71" t="str">
        <f t="shared" si="730"/>
        <v>X</v>
      </c>
      <c r="V1466" s="71"/>
      <c r="W1466" s="474"/>
      <c r="X1466" s="71"/>
      <c r="Y1466" s="71"/>
    </row>
    <row r="1467" spans="1:25" ht="30" hidden="1" customHeight="1" x14ac:dyDescent="0.25">
      <c r="A1467" s="82">
        <v>181112</v>
      </c>
      <c r="B1467" s="664" t="s">
        <v>690</v>
      </c>
      <c r="C1467" s="71" t="s">
        <v>752</v>
      </c>
      <c r="D1467" s="71">
        <v>1</v>
      </c>
      <c r="E1467" s="102">
        <v>80000</v>
      </c>
      <c r="F1467" s="102">
        <f t="shared" si="735"/>
        <v>88000</v>
      </c>
      <c r="G1467" s="102">
        <f t="shared" si="736"/>
        <v>80000</v>
      </c>
      <c r="H1467" s="690" t="s">
        <v>173</v>
      </c>
      <c r="I1467" s="71" t="s">
        <v>140</v>
      </c>
      <c r="J1467" s="53">
        <f>(G1467-(VLOOKUP(C1467,Price!B:D,3,FALSE)*D1467))</f>
        <v>15000</v>
      </c>
      <c r="K1467" s="63">
        <f t="shared" si="737"/>
        <v>0.1875</v>
      </c>
      <c r="L1467" s="82">
        <v>18.11</v>
      </c>
      <c r="M1467" s="468"/>
      <c r="N1467" s="664">
        <f t="shared" si="738"/>
        <v>181112</v>
      </c>
      <c r="O1467" s="71" t="s">
        <v>145</v>
      </c>
      <c r="P1467" s="103" t="str">
        <f t="shared" ref="P1467:P1479" si="739">C1467</f>
        <v>RC795(20L)</v>
      </c>
      <c r="Q1467" s="71">
        <f t="shared" si="715"/>
        <v>1</v>
      </c>
      <c r="R1467" s="102">
        <v>65000</v>
      </c>
      <c r="S1467" s="102">
        <f t="shared" ref="S1467:S1479" si="740">R1467*Q1467*1.1</f>
        <v>71500</v>
      </c>
      <c r="T1467" s="102">
        <f t="shared" ref="T1467:T1479" si="741">R1467*Q1467</f>
        <v>65000</v>
      </c>
      <c r="U1467" s="71" t="str">
        <f t="shared" si="730"/>
        <v>O</v>
      </c>
      <c r="V1467" s="71"/>
      <c r="W1467" s="474">
        <f>(G1467-T1467)</f>
        <v>15000</v>
      </c>
      <c r="X1467" s="71"/>
      <c r="Y1467" s="71"/>
    </row>
    <row r="1468" spans="1:25" ht="30" hidden="1" customHeight="1" x14ac:dyDescent="0.25">
      <c r="A1468" s="82">
        <v>181112</v>
      </c>
      <c r="B1468" s="664" t="s">
        <v>690</v>
      </c>
      <c r="C1468" s="71" t="s">
        <v>1186</v>
      </c>
      <c r="D1468" s="71">
        <v>500</v>
      </c>
      <c r="E1468" s="102">
        <v>3600</v>
      </c>
      <c r="F1468" s="102">
        <f t="shared" si="735"/>
        <v>1980000.0000000002</v>
      </c>
      <c r="G1468" s="102">
        <f t="shared" si="736"/>
        <v>1800000</v>
      </c>
      <c r="H1468" s="690" t="s">
        <v>173</v>
      </c>
      <c r="I1468" s="71" t="s">
        <v>140</v>
      </c>
      <c r="J1468" s="53">
        <f>(G1468-(VLOOKUP(C1468,Price!B:D,3,FALSE)*D1468))</f>
        <v>-200000</v>
      </c>
      <c r="K1468" s="63">
        <f t="shared" si="737"/>
        <v>-0.11111111111111109</v>
      </c>
      <c r="L1468" s="82">
        <v>18.11</v>
      </c>
      <c r="M1468" s="468" t="s">
        <v>1393</v>
      </c>
      <c r="N1468" s="664">
        <f t="shared" si="738"/>
        <v>181112</v>
      </c>
      <c r="O1468" s="71" t="s">
        <v>145</v>
      </c>
      <c r="P1468" s="103" t="str">
        <f t="shared" si="739"/>
        <v>CTP 판(1030*790mm)</v>
      </c>
      <c r="Q1468" s="71">
        <f t="shared" si="715"/>
        <v>500</v>
      </c>
      <c r="R1468" s="102">
        <v>4000</v>
      </c>
      <c r="S1468" s="102">
        <f t="shared" si="740"/>
        <v>2200000</v>
      </c>
      <c r="T1468" s="102">
        <f t="shared" si="741"/>
        <v>2000000</v>
      </c>
      <c r="U1468" s="71" t="str">
        <f t="shared" si="730"/>
        <v>O</v>
      </c>
      <c r="V1468" s="71"/>
      <c r="W1468" s="474">
        <f>(G1468-T1468)</f>
        <v>-200000</v>
      </c>
      <c r="X1468" s="71"/>
      <c r="Y1468" s="71"/>
    </row>
    <row r="1469" spans="1:25" ht="30" hidden="1" customHeight="1" x14ac:dyDescent="0.25">
      <c r="A1469" s="82">
        <v>181112</v>
      </c>
      <c r="B1469" s="664" t="s">
        <v>690</v>
      </c>
      <c r="C1469" s="71" t="s">
        <v>750</v>
      </c>
      <c r="D1469" s="71">
        <v>4</v>
      </c>
      <c r="E1469" s="102">
        <v>49000</v>
      </c>
      <c r="F1469" s="102">
        <f t="shared" si="735"/>
        <v>215600.00000000003</v>
      </c>
      <c r="G1469" s="102">
        <f t="shared" si="736"/>
        <v>196000</v>
      </c>
      <c r="H1469" s="690" t="s">
        <v>173</v>
      </c>
      <c r="I1469" s="71" t="s">
        <v>140</v>
      </c>
      <c r="J1469" s="53">
        <f>(G1469-(VLOOKUP(C1469,Price!B:D,3,FALSE)*D1469))</f>
        <v>56000</v>
      </c>
      <c r="K1469" s="63">
        <f t="shared" si="737"/>
        <v>0.2857142857142857</v>
      </c>
      <c r="L1469" s="82">
        <v>18.11</v>
      </c>
      <c r="M1469" s="468" t="s">
        <v>1394</v>
      </c>
      <c r="N1469" s="664">
        <f t="shared" si="738"/>
        <v>181112</v>
      </c>
      <c r="O1469" s="71" t="s">
        <v>145</v>
      </c>
      <c r="P1469" s="103" t="str">
        <f t="shared" si="739"/>
        <v>THD200(20L)</v>
      </c>
      <c r="Q1469" s="71">
        <f t="shared" si="715"/>
        <v>4</v>
      </c>
      <c r="R1469" s="102">
        <v>35000</v>
      </c>
      <c r="S1469" s="102">
        <f t="shared" si="740"/>
        <v>154000</v>
      </c>
      <c r="T1469" s="102">
        <f t="shared" si="741"/>
        <v>140000</v>
      </c>
      <c r="U1469" s="71" t="str">
        <f t="shared" si="730"/>
        <v>O</v>
      </c>
      <c r="V1469" s="71"/>
      <c r="W1469" s="474">
        <f>(G1469-T1469)</f>
        <v>56000</v>
      </c>
      <c r="X1469" s="71"/>
      <c r="Y1469" s="71"/>
    </row>
    <row r="1470" spans="1:25" ht="30" hidden="1" customHeight="1" x14ac:dyDescent="0.25">
      <c r="A1470" s="82">
        <v>181113</v>
      </c>
      <c r="B1470" s="664" t="s">
        <v>983</v>
      </c>
      <c r="C1470" s="71" t="s">
        <v>1009</v>
      </c>
      <c r="D1470" s="71">
        <v>520</v>
      </c>
      <c r="E1470" s="102">
        <v>3900</v>
      </c>
      <c r="F1470" s="102">
        <f t="shared" si="735"/>
        <v>2230800</v>
      </c>
      <c r="G1470" s="102">
        <f t="shared" si="736"/>
        <v>2028000</v>
      </c>
      <c r="H1470" s="690" t="s">
        <v>173</v>
      </c>
      <c r="I1470" s="71" t="s">
        <v>140</v>
      </c>
      <c r="J1470" s="53">
        <f>G1470-T1470</f>
        <v>312000</v>
      </c>
      <c r="K1470" s="63">
        <f t="shared" si="737"/>
        <v>0.15384615384615385</v>
      </c>
      <c r="L1470" s="82">
        <v>18.11</v>
      </c>
      <c r="M1470" s="468"/>
      <c r="N1470" s="664">
        <f t="shared" si="738"/>
        <v>181113</v>
      </c>
      <c r="O1470" s="71" t="s">
        <v>147</v>
      </c>
      <c r="P1470" s="103" t="str">
        <f t="shared" si="739"/>
        <v>CTP판(1030*790mm)</v>
      </c>
      <c r="Q1470" s="71">
        <f t="shared" si="715"/>
        <v>520</v>
      </c>
      <c r="R1470" s="102">
        <v>3300</v>
      </c>
      <c r="S1470" s="102">
        <f t="shared" si="740"/>
        <v>1887600.0000000002</v>
      </c>
      <c r="T1470" s="102">
        <f t="shared" si="741"/>
        <v>1716000</v>
      </c>
      <c r="U1470" s="71" t="str">
        <f t="shared" si="730"/>
        <v>O</v>
      </c>
      <c r="V1470" s="71"/>
      <c r="W1470" s="474">
        <f>(G1470-T1470)</f>
        <v>312000</v>
      </c>
      <c r="X1470" s="71"/>
      <c r="Y1470" s="71"/>
    </row>
    <row r="1471" spans="1:25" ht="30" hidden="1" customHeight="1" x14ac:dyDescent="0.25">
      <c r="A1471" s="82">
        <v>181113</v>
      </c>
      <c r="B1471" s="664" t="s">
        <v>983</v>
      </c>
      <c r="C1471" s="71" t="s">
        <v>984</v>
      </c>
      <c r="D1471" s="71">
        <v>6</v>
      </c>
      <c r="E1471" s="102">
        <v>45000</v>
      </c>
      <c r="F1471" s="102">
        <f t="shared" si="735"/>
        <v>297000</v>
      </c>
      <c r="G1471" s="102">
        <f t="shared" si="736"/>
        <v>270000</v>
      </c>
      <c r="H1471" s="690" t="s">
        <v>173</v>
      </c>
      <c r="I1471" s="71" t="s">
        <v>140</v>
      </c>
      <c r="J1471" s="53">
        <f>G1471-T1471</f>
        <v>60000</v>
      </c>
      <c r="K1471" s="63">
        <f t="shared" si="737"/>
        <v>0.22222222222222221</v>
      </c>
      <c r="L1471" s="82">
        <v>18.11</v>
      </c>
      <c r="M1471" s="468"/>
      <c r="N1471" s="664">
        <f t="shared" si="738"/>
        <v>181113</v>
      </c>
      <c r="O1471" s="71" t="s">
        <v>147</v>
      </c>
      <c r="P1471" s="103" t="str">
        <f t="shared" si="739"/>
        <v>CTP 현상액</v>
      </c>
      <c r="Q1471" s="71">
        <f t="shared" si="715"/>
        <v>6</v>
      </c>
      <c r="R1471" s="102">
        <v>35000</v>
      </c>
      <c r="S1471" s="102">
        <f t="shared" si="740"/>
        <v>231000.00000000003</v>
      </c>
      <c r="T1471" s="102">
        <f t="shared" si="741"/>
        <v>210000</v>
      </c>
      <c r="U1471" s="71" t="str">
        <f t="shared" si="730"/>
        <v>O</v>
      </c>
      <c r="V1471" s="71"/>
      <c r="W1471" s="474">
        <f>(G1471-T1471)</f>
        <v>60000</v>
      </c>
      <c r="X1471" s="71"/>
      <c r="Y1471" s="71"/>
    </row>
    <row r="1472" spans="1:25" ht="30" hidden="1" customHeight="1" x14ac:dyDescent="0.2">
      <c r="A1472" s="82">
        <v>181113</v>
      </c>
      <c r="B1472" s="664" t="s">
        <v>1286</v>
      </c>
      <c r="C1472" s="71" t="s">
        <v>114</v>
      </c>
      <c r="D1472" s="71">
        <v>50</v>
      </c>
      <c r="E1472" s="102">
        <v>14000</v>
      </c>
      <c r="F1472" s="163">
        <f>(E1472*D1472)*1.1</f>
        <v>770000.00000000012</v>
      </c>
      <c r="G1472" s="163">
        <f>(E1472*D1472)</f>
        <v>700000</v>
      </c>
      <c r="H1472" s="165" t="s">
        <v>1431</v>
      </c>
      <c r="I1472" s="71"/>
      <c r="J1472" s="53">
        <f>G1472-T1472</f>
        <v>464424.8069334004</v>
      </c>
      <c r="K1472" s="63">
        <f t="shared" si="737"/>
        <v>0.66346400990485754</v>
      </c>
      <c r="L1472" s="82">
        <v>18.11</v>
      </c>
      <c r="M1472" s="468"/>
      <c r="N1472" s="664">
        <f>A1472</f>
        <v>181113</v>
      </c>
      <c r="O1472" s="71" t="s">
        <v>1431</v>
      </c>
      <c r="P1472" s="103" t="str">
        <f>C1472</f>
        <v>스트리퍼</v>
      </c>
      <c r="Q1472" s="71">
        <f>D1472</f>
        <v>50</v>
      </c>
      <c r="R1472" s="102">
        <f>Import!G138</f>
        <v>4711.5038613319921</v>
      </c>
      <c r="S1472" s="102">
        <f t="shared" si="740"/>
        <v>259132.71237325959</v>
      </c>
      <c r="T1472" s="102">
        <f t="shared" si="741"/>
        <v>235575.1930665996</v>
      </c>
      <c r="U1472" s="71" t="str">
        <f t="shared" si="730"/>
        <v>X</v>
      </c>
      <c r="V1472" s="71"/>
      <c r="W1472" s="474"/>
      <c r="X1472" s="71"/>
      <c r="Y1472" s="71"/>
    </row>
    <row r="1473" spans="1:25" ht="30" hidden="1" customHeight="1" x14ac:dyDescent="0.25">
      <c r="A1473" s="82">
        <v>181113</v>
      </c>
      <c r="B1473" s="664" t="s">
        <v>442</v>
      </c>
      <c r="C1473" s="71" t="s">
        <v>133</v>
      </c>
      <c r="D1473" s="71">
        <v>2</v>
      </c>
      <c r="E1473" s="102">
        <v>327000</v>
      </c>
      <c r="F1473" s="102">
        <f t="shared" si="735"/>
        <v>719400</v>
      </c>
      <c r="G1473" s="102">
        <f t="shared" si="736"/>
        <v>654000</v>
      </c>
      <c r="H1473" s="690" t="s">
        <v>173</v>
      </c>
      <c r="I1473" s="71" t="s">
        <v>141</v>
      </c>
      <c r="J1473" s="53">
        <f>(G1473-(VLOOKUP(C1473,Price!B:D,3,FALSE)*D1473))</f>
        <v>115800</v>
      </c>
      <c r="K1473" s="63">
        <f t="shared" si="737"/>
        <v>0.17706422018348625</v>
      </c>
      <c r="L1473" s="82">
        <v>18.11</v>
      </c>
      <c r="M1473" s="468"/>
      <c r="N1473" s="664">
        <f t="shared" si="738"/>
        <v>181113</v>
      </c>
      <c r="O1473" s="71" t="s">
        <v>145</v>
      </c>
      <c r="P1473" s="103" t="str">
        <f t="shared" si="739"/>
        <v>Agfa Film(24inch)</v>
      </c>
      <c r="Q1473" s="71">
        <f t="shared" si="715"/>
        <v>2</v>
      </c>
      <c r="R1473" s="102">
        <v>269100</v>
      </c>
      <c r="S1473" s="102">
        <f t="shared" si="740"/>
        <v>592020</v>
      </c>
      <c r="T1473" s="102">
        <f t="shared" si="741"/>
        <v>538200</v>
      </c>
      <c r="U1473" s="71" t="str">
        <f t="shared" si="730"/>
        <v>O</v>
      </c>
      <c r="V1473" s="71"/>
      <c r="W1473" s="474">
        <f t="shared" ref="W1473:W1480" si="742">(G1473-T1473)</f>
        <v>115800</v>
      </c>
      <c r="X1473" s="71"/>
      <c r="Y1473" s="71"/>
    </row>
    <row r="1474" spans="1:25" ht="30" hidden="1" customHeight="1" x14ac:dyDescent="0.25">
      <c r="A1474" s="82">
        <v>181113</v>
      </c>
      <c r="B1474" s="664" t="s">
        <v>442</v>
      </c>
      <c r="C1474" s="71" t="s">
        <v>134</v>
      </c>
      <c r="D1474" s="71">
        <v>2</v>
      </c>
      <c r="E1474" s="102">
        <v>401000</v>
      </c>
      <c r="F1474" s="102">
        <f t="shared" si="735"/>
        <v>882200.00000000012</v>
      </c>
      <c r="G1474" s="102">
        <f t="shared" si="736"/>
        <v>802000</v>
      </c>
      <c r="H1474" s="690" t="s">
        <v>173</v>
      </c>
      <c r="I1474" s="71" t="s">
        <v>141</v>
      </c>
      <c r="J1474" s="53">
        <f>(G1474-(VLOOKUP(C1474,Price!B:D,3,FALSE)*D1474))</f>
        <v>174080</v>
      </c>
      <c r="K1474" s="63">
        <f t="shared" si="737"/>
        <v>0.21705735660847877</v>
      </c>
      <c r="L1474" s="82">
        <v>18.11</v>
      </c>
      <c r="M1474" s="468"/>
      <c r="N1474" s="664">
        <f t="shared" si="738"/>
        <v>181113</v>
      </c>
      <c r="O1474" s="71" t="s">
        <v>145</v>
      </c>
      <c r="P1474" s="103" t="str">
        <f t="shared" si="739"/>
        <v>Agfa Film(28inch)</v>
      </c>
      <c r="Q1474" s="71">
        <f t="shared" si="715"/>
        <v>2</v>
      </c>
      <c r="R1474" s="102">
        <f>VLOOKUP(P1474,Price!B:D,3,FALSE)</f>
        <v>313960</v>
      </c>
      <c r="S1474" s="102">
        <f t="shared" si="740"/>
        <v>690712</v>
      </c>
      <c r="T1474" s="102">
        <f t="shared" si="741"/>
        <v>627920</v>
      </c>
      <c r="U1474" s="71" t="str">
        <f t="shared" si="730"/>
        <v>O</v>
      </c>
      <c r="V1474" s="71"/>
      <c r="W1474" s="474">
        <f t="shared" si="742"/>
        <v>174080</v>
      </c>
      <c r="X1474" s="71"/>
      <c r="Y1474" s="71"/>
    </row>
    <row r="1475" spans="1:25" ht="30" hidden="1" customHeight="1" x14ac:dyDescent="0.25">
      <c r="A1475" s="82">
        <v>181113</v>
      </c>
      <c r="B1475" s="664" t="s">
        <v>442</v>
      </c>
      <c r="C1475" s="71" t="s">
        <v>135</v>
      </c>
      <c r="D1475" s="71">
        <v>2</v>
      </c>
      <c r="E1475" s="102">
        <v>448000</v>
      </c>
      <c r="F1475" s="102">
        <f t="shared" si="735"/>
        <v>985600.00000000012</v>
      </c>
      <c r="G1475" s="102">
        <f t="shared" si="736"/>
        <v>896000</v>
      </c>
      <c r="H1475" s="690" t="s">
        <v>173</v>
      </c>
      <c r="I1475" s="71" t="s">
        <v>141</v>
      </c>
      <c r="J1475" s="53">
        <f>(G1475-(VLOOKUP(C1475,Price!B:D,3,FALSE)*D1475))</f>
        <v>155980</v>
      </c>
      <c r="K1475" s="63">
        <f t="shared" si="737"/>
        <v>0.1740848214285714</v>
      </c>
      <c r="L1475" s="82">
        <v>18.11</v>
      </c>
      <c r="M1475" s="468"/>
      <c r="N1475" s="664">
        <f t="shared" si="738"/>
        <v>181113</v>
      </c>
      <c r="O1475" s="71" t="s">
        <v>145</v>
      </c>
      <c r="P1475" s="103" t="str">
        <f t="shared" si="739"/>
        <v>Agfa Film(32inch)</v>
      </c>
      <c r="Q1475" s="71">
        <f t="shared" si="715"/>
        <v>2</v>
      </c>
      <c r="R1475" s="102">
        <f>VLOOKUP(P1475,Price!B:D,3,FALSE)</f>
        <v>370010</v>
      </c>
      <c r="S1475" s="102">
        <f t="shared" si="740"/>
        <v>814022.00000000012</v>
      </c>
      <c r="T1475" s="102">
        <f t="shared" si="741"/>
        <v>740020</v>
      </c>
      <c r="U1475" s="71" t="str">
        <f t="shared" si="730"/>
        <v>O</v>
      </c>
      <c r="V1475" s="71"/>
      <c r="W1475" s="474">
        <f t="shared" si="742"/>
        <v>155980</v>
      </c>
      <c r="X1475" s="71"/>
      <c r="Y1475" s="71"/>
    </row>
    <row r="1476" spans="1:25" ht="30" hidden="1" customHeight="1" x14ac:dyDescent="0.25">
      <c r="A1476" s="82">
        <v>181113</v>
      </c>
      <c r="B1476" s="664" t="s">
        <v>442</v>
      </c>
      <c r="C1476" s="71" t="s">
        <v>649</v>
      </c>
      <c r="D1476" s="71">
        <v>2</v>
      </c>
      <c r="E1476" s="102">
        <v>41000</v>
      </c>
      <c r="F1476" s="102">
        <f t="shared" si="735"/>
        <v>90200.000000000015</v>
      </c>
      <c r="G1476" s="102">
        <f t="shared" si="736"/>
        <v>82000</v>
      </c>
      <c r="H1476" s="690" t="s">
        <v>173</v>
      </c>
      <c r="I1476" s="71" t="s">
        <v>141</v>
      </c>
      <c r="J1476" s="53">
        <f>(G1476-(VLOOKUP(C1476,Price!B:D,3,FALSE)*D1476))</f>
        <v>32000</v>
      </c>
      <c r="K1476" s="63">
        <f t="shared" si="737"/>
        <v>0.39024390243902435</v>
      </c>
      <c r="L1476" s="82">
        <v>18.11</v>
      </c>
      <c r="M1476" s="468"/>
      <c r="N1476" s="664">
        <f t="shared" si="738"/>
        <v>181113</v>
      </c>
      <c r="O1476" s="71" t="s">
        <v>145</v>
      </c>
      <c r="P1476" s="103" t="str">
        <f t="shared" si="739"/>
        <v>Agfa 현상액 G101C(10L)</v>
      </c>
      <c r="Q1476" s="71">
        <f t="shared" si="715"/>
        <v>2</v>
      </c>
      <c r="R1476" s="102">
        <f>VLOOKUP(P1476,Price!B:D,3,FALSE)</f>
        <v>25000</v>
      </c>
      <c r="S1476" s="102">
        <f t="shared" si="740"/>
        <v>55000.000000000007</v>
      </c>
      <c r="T1476" s="102">
        <f t="shared" si="741"/>
        <v>50000</v>
      </c>
      <c r="U1476" s="71" t="str">
        <f t="shared" si="730"/>
        <v>O</v>
      </c>
      <c r="V1476" s="71"/>
      <c r="W1476" s="474">
        <f t="shared" si="742"/>
        <v>32000</v>
      </c>
      <c r="X1476" s="71"/>
      <c r="Y1476" s="71"/>
    </row>
    <row r="1477" spans="1:25" ht="30" hidden="1" customHeight="1" x14ac:dyDescent="0.2">
      <c r="A1477" s="82">
        <v>181113</v>
      </c>
      <c r="B1477" s="664" t="s">
        <v>442</v>
      </c>
      <c r="C1477" s="71" t="s">
        <v>650</v>
      </c>
      <c r="D1477" s="71">
        <v>1</v>
      </c>
      <c r="E1477" s="102">
        <v>93000</v>
      </c>
      <c r="F1477" s="163">
        <f t="shared" si="735"/>
        <v>102300.00000000001</v>
      </c>
      <c r="G1477" s="163">
        <f t="shared" si="736"/>
        <v>93000</v>
      </c>
      <c r="H1477" s="165" t="s">
        <v>172</v>
      </c>
      <c r="I1477" s="71" t="s">
        <v>141</v>
      </c>
      <c r="J1477" s="53">
        <f>(G1477-(VLOOKUP(C1477,Price!B:D,3,FALSE)*D1477))</f>
        <v>33000</v>
      </c>
      <c r="K1477" s="63">
        <f t="shared" si="737"/>
        <v>0.35483870967741932</v>
      </c>
      <c r="L1477" s="82">
        <v>18.11</v>
      </c>
      <c r="M1477" s="468"/>
      <c r="N1477" s="664">
        <f t="shared" si="738"/>
        <v>181113</v>
      </c>
      <c r="O1477" s="71" t="s">
        <v>145</v>
      </c>
      <c r="P1477" s="103" t="str">
        <f t="shared" si="739"/>
        <v>Agfa 정착액 G333C(20L)</v>
      </c>
      <c r="Q1477" s="71">
        <f t="shared" si="715"/>
        <v>1</v>
      </c>
      <c r="R1477" s="102">
        <f>VLOOKUP(P1477,Price!B:D,3,FALSE)</f>
        <v>60000</v>
      </c>
      <c r="S1477" s="102">
        <f t="shared" si="740"/>
        <v>66000</v>
      </c>
      <c r="T1477" s="102">
        <f t="shared" si="741"/>
        <v>60000</v>
      </c>
      <c r="U1477" s="71" t="str">
        <f t="shared" si="730"/>
        <v>O</v>
      </c>
      <c r="V1477" s="71"/>
      <c r="W1477" s="474">
        <f t="shared" si="742"/>
        <v>33000</v>
      </c>
      <c r="X1477" s="71"/>
      <c r="Y1477" s="71"/>
    </row>
    <row r="1478" spans="1:25" ht="30" hidden="1" customHeight="1" x14ac:dyDescent="0.25">
      <c r="A1478" s="82">
        <v>181115</v>
      </c>
      <c r="B1478" s="664" t="s">
        <v>545</v>
      </c>
      <c r="C1478" s="71" t="s">
        <v>1291</v>
      </c>
      <c r="D1478" s="71">
        <v>30</v>
      </c>
      <c r="E1478" s="102">
        <v>28500</v>
      </c>
      <c r="F1478" s="102">
        <f t="shared" si="735"/>
        <v>940500.00000000012</v>
      </c>
      <c r="G1478" s="102">
        <f t="shared" si="736"/>
        <v>855000</v>
      </c>
      <c r="H1478" s="690" t="s">
        <v>173</v>
      </c>
      <c r="I1478" s="71" t="s">
        <v>142</v>
      </c>
      <c r="J1478" s="53">
        <f>G1478-T1478</f>
        <v>225000</v>
      </c>
      <c r="K1478" s="63">
        <f t="shared" si="737"/>
        <v>0.26315789473684209</v>
      </c>
      <c r="L1478" s="82">
        <v>18.11</v>
      </c>
      <c r="M1478" s="468"/>
      <c r="N1478" s="664">
        <f t="shared" si="738"/>
        <v>181115</v>
      </c>
      <c r="O1478" s="71" t="s">
        <v>1321</v>
      </c>
      <c r="P1478" s="103" t="str">
        <f t="shared" si="739"/>
        <v>메가미 레듀사(1kg)</v>
      </c>
      <c r="Q1478" s="71">
        <f t="shared" si="715"/>
        <v>30</v>
      </c>
      <c r="R1478" s="102">
        <v>21000</v>
      </c>
      <c r="S1478" s="102">
        <f t="shared" si="740"/>
        <v>693000</v>
      </c>
      <c r="T1478" s="102">
        <f t="shared" si="741"/>
        <v>630000</v>
      </c>
      <c r="U1478" s="71"/>
      <c r="V1478" s="71"/>
      <c r="W1478" s="474">
        <f t="shared" si="742"/>
        <v>225000</v>
      </c>
      <c r="X1478" s="71"/>
      <c r="Y1478" s="71"/>
    </row>
    <row r="1479" spans="1:25" ht="30" hidden="1" customHeight="1" x14ac:dyDescent="0.25">
      <c r="A1479" s="82">
        <v>181115</v>
      </c>
      <c r="B1479" s="664" t="s">
        <v>545</v>
      </c>
      <c r="C1479" s="71" t="s">
        <v>227</v>
      </c>
      <c r="D1479" s="71">
        <v>10</v>
      </c>
      <c r="E1479" s="102">
        <v>110000</v>
      </c>
      <c r="F1479" s="102">
        <f t="shared" si="735"/>
        <v>1210000</v>
      </c>
      <c r="G1479" s="102">
        <f t="shared" si="736"/>
        <v>1100000</v>
      </c>
      <c r="H1479" s="690" t="s">
        <v>173</v>
      </c>
      <c r="I1479" s="71" t="s">
        <v>109</v>
      </c>
      <c r="J1479" s="53">
        <f>(G1479-(VLOOKUP(C1479,Price!B:D,3,FALSE)*D1479))</f>
        <v>271000</v>
      </c>
      <c r="K1479" s="63">
        <f t="shared" si="737"/>
        <v>0.24636363636363637</v>
      </c>
      <c r="L1479" s="82">
        <v>18.11</v>
      </c>
      <c r="M1479" s="468"/>
      <c r="N1479" s="664">
        <f t="shared" si="738"/>
        <v>181115</v>
      </c>
      <c r="O1479" s="71" t="s">
        <v>147</v>
      </c>
      <c r="P1479" s="103" t="str">
        <f t="shared" si="739"/>
        <v>Blanket(1060*860)</v>
      </c>
      <c r="Q1479" s="71">
        <f t="shared" si="715"/>
        <v>10</v>
      </c>
      <c r="R1479" s="102">
        <v>82900</v>
      </c>
      <c r="S1479" s="102">
        <f t="shared" si="740"/>
        <v>911900.00000000012</v>
      </c>
      <c r="T1479" s="102">
        <f t="shared" si="741"/>
        <v>829000</v>
      </c>
      <c r="U1479" s="71" t="str">
        <f t="shared" ref="U1479:U1498" si="743">IF(J1479=W1479,"O", "X")</f>
        <v>O</v>
      </c>
      <c r="V1479" s="71"/>
      <c r="W1479" s="474">
        <f t="shared" si="742"/>
        <v>271000</v>
      </c>
      <c r="X1479" s="71"/>
      <c r="Y1479" s="71"/>
    </row>
    <row r="1480" spans="1:25" ht="30" hidden="1" customHeight="1" x14ac:dyDescent="0.25">
      <c r="A1480" s="82">
        <v>181115</v>
      </c>
      <c r="B1480" s="664" t="s">
        <v>1051</v>
      </c>
      <c r="C1480" s="71" t="s">
        <v>951</v>
      </c>
      <c r="D1480" s="71">
        <v>500</v>
      </c>
      <c r="E1480" s="102">
        <v>3580</v>
      </c>
      <c r="F1480" s="102">
        <f t="shared" ref="F1480:F1485" si="744">(E1480*D1480)*1.1</f>
        <v>1969000.0000000002</v>
      </c>
      <c r="G1480" s="102">
        <f t="shared" ref="G1480:G1485" si="745">(E1480*D1480)</f>
        <v>1790000</v>
      </c>
      <c r="H1480" s="690" t="s">
        <v>142</v>
      </c>
      <c r="I1480" s="71" t="s">
        <v>140</v>
      </c>
      <c r="J1480" s="53">
        <f>G1480-T1480</f>
        <v>595000</v>
      </c>
      <c r="K1480" s="63">
        <f t="shared" ref="K1480:K1485" si="746">(J1480/(F1480/11*10))</f>
        <v>0.33240223463687146</v>
      </c>
      <c r="L1480" s="82">
        <v>18.11</v>
      </c>
      <c r="M1480" s="468"/>
      <c r="N1480" s="664">
        <f t="shared" si="738"/>
        <v>181115</v>
      </c>
      <c r="O1480" s="71" t="s">
        <v>145</v>
      </c>
      <c r="P1480" s="103" t="str">
        <f>(C1480)</f>
        <v>ENGAGE 30WEB(883*552)</v>
      </c>
      <c r="Q1480" s="71">
        <f t="shared" si="715"/>
        <v>500</v>
      </c>
      <c r="R1480" s="102">
        <v>2390</v>
      </c>
      <c r="S1480" s="102">
        <f>(R1480*D1480)*1.1</f>
        <v>1314500</v>
      </c>
      <c r="T1480" s="102">
        <f>(R1480*Q1480)</f>
        <v>1195000</v>
      </c>
      <c r="U1480" s="71" t="str">
        <f t="shared" si="743"/>
        <v>O</v>
      </c>
      <c r="V1480" s="71"/>
      <c r="W1480" s="474">
        <f t="shared" si="742"/>
        <v>595000</v>
      </c>
      <c r="X1480" s="71"/>
      <c r="Y1480" s="71"/>
    </row>
    <row r="1481" spans="1:25" ht="30" hidden="1" customHeight="1" x14ac:dyDescent="0.25">
      <c r="A1481" s="82">
        <v>181115</v>
      </c>
      <c r="B1481" s="664" t="s">
        <v>1051</v>
      </c>
      <c r="C1481" s="71" t="s">
        <v>1294</v>
      </c>
      <c r="D1481" s="71">
        <v>600</v>
      </c>
      <c r="E1481" s="102">
        <v>5960</v>
      </c>
      <c r="F1481" s="102">
        <f t="shared" si="744"/>
        <v>3933600.0000000005</v>
      </c>
      <c r="G1481" s="102">
        <f t="shared" si="745"/>
        <v>3576000</v>
      </c>
      <c r="H1481" s="690" t="s">
        <v>142</v>
      </c>
      <c r="I1481" s="71" t="s">
        <v>140</v>
      </c>
      <c r="J1481" s="53">
        <f>G1481-T1481</f>
        <v>1176000</v>
      </c>
      <c r="K1481" s="63">
        <f t="shared" si="746"/>
        <v>0.32885906040268453</v>
      </c>
      <c r="L1481" s="82">
        <v>18.11</v>
      </c>
      <c r="M1481" s="468"/>
      <c r="N1481" s="664">
        <f t="shared" si="738"/>
        <v>181115</v>
      </c>
      <c r="O1481" s="71" t="s">
        <v>145</v>
      </c>
      <c r="P1481" s="103" t="str">
        <f>(C1481)</f>
        <v>ENGAGE 1030*790</v>
      </c>
      <c r="Q1481" s="71">
        <f t="shared" si="715"/>
        <v>600</v>
      </c>
      <c r="R1481" s="102">
        <v>4000</v>
      </c>
      <c r="S1481" s="102">
        <f>(R1481*D1481)*1.1</f>
        <v>2640000</v>
      </c>
      <c r="T1481" s="102">
        <f>(R1481*Q1481)</f>
        <v>2400000</v>
      </c>
      <c r="U1481" s="71" t="str">
        <f t="shared" si="743"/>
        <v>X</v>
      </c>
      <c r="V1481" s="71"/>
      <c r="W1481" s="474"/>
      <c r="X1481" s="71"/>
      <c r="Y1481" s="71"/>
    </row>
    <row r="1482" spans="1:25" ht="30" customHeight="1" x14ac:dyDescent="0.25">
      <c r="A1482" s="82">
        <v>181115</v>
      </c>
      <c r="B1482" s="664" t="s">
        <v>422</v>
      </c>
      <c r="C1482" s="71" t="s">
        <v>584</v>
      </c>
      <c r="D1482" s="71">
        <v>2</v>
      </c>
      <c r="E1482" s="102">
        <v>270000</v>
      </c>
      <c r="F1482" s="102">
        <f t="shared" si="744"/>
        <v>594000</v>
      </c>
      <c r="G1482" s="102">
        <f t="shared" si="745"/>
        <v>540000</v>
      </c>
      <c r="H1482" s="690" t="s">
        <v>173</v>
      </c>
      <c r="I1482" s="71" t="s">
        <v>142</v>
      </c>
      <c r="J1482" s="53">
        <f>(G1482-(VLOOKUP(C1482,Price!B:D,3,FALSE)*D1482))</f>
        <v>108000</v>
      </c>
      <c r="K1482" s="63">
        <f t="shared" si="746"/>
        <v>0.2</v>
      </c>
      <c r="L1482" s="82">
        <v>18.11</v>
      </c>
      <c r="M1482" s="468"/>
      <c r="N1482" s="664">
        <f t="shared" ref="N1482:N1511" si="747">A1482</f>
        <v>181115</v>
      </c>
      <c r="O1482" s="71" t="s">
        <v>150</v>
      </c>
      <c r="P1482" s="103" t="str">
        <f t="shared" ref="P1482:P1487" si="748">C1482</f>
        <v>데리바리 석션벨트</v>
      </c>
      <c r="Q1482" s="71">
        <f t="shared" si="715"/>
        <v>2</v>
      </c>
      <c r="R1482" s="102">
        <v>216000</v>
      </c>
      <c r="S1482" s="102">
        <f>R1482*Q1482*1.1</f>
        <v>475200.00000000006</v>
      </c>
      <c r="T1482" s="102">
        <f>R1482*Q1482</f>
        <v>432000</v>
      </c>
      <c r="U1482" s="71" t="str">
        <f t="shared" si="743"/>
        <v>O</v>
      </c>
      <c r="V1482" s="71"/>
      <c r="W1482" s="474">
        <f>(G1482-T1482)</f>
        <v>108000</v>
      </c>
      <c r="X1482" s="71"/>
      <c r="Y1482" s="71"/>
    </row>
    <row r="1483" spans="1:25" ht="30" customHeight="1" x14ac:dyDescent="0.25">
      <c r="A1483" s="82">
        <v>181115</v>
      </c>
      <c r="B1483" s="664" t="s">
        <v>565</v>
      </c>
      <c r="C1483" s="71" t="s">
        <v>123</v>
      </c>
      <c r="D1483" s="71">
        <v>3</v>
      </c>
      <c r="E1483" s="102">
        <v>35000</v>
      </c>
      <c r="F1483" s="102">
        <f t="shared" si="744"/>
        <v>115500.00000000001</v>
      </c>
      <c r="G1483" s="102">
        <f t="shared" si="745"/>
        <v>105000</v>
      </c>
      <c r="H1483" s="1010" t="s">
        <v>39</v>
      </c>
      <c r="I1483" s="71"/>
      <c r="J1483" s="53">
        <f>(G1483-(VLOOKUP(C1483,Price!B:D,3,FALSE)*D1483))</f>
        <v>37617</v>
      </c>
      <c r="K1483" s="63">
        <f t="shared" si="746"/>
        <v>0.35825714285714283</v>
      </c>
      <c r="L1483" s="82">
        <v>18.11</v>
      </c>
      <c r="M1483" s="468"/>
      <c r="N1483" s="664">
        <f t="shared" si="747"/>
        <v>181115</v>
      </c>
      <c r="O1483" s="991" t="s">
        <v>39</v>
      </c>
      <c r="P1483" s="103" t="str">
        <f t="shared" si="748"/>
        <v>필터백</v>
      </c>
      <c r="Q1483" s="71">
        <f t="shared" si="715"/>
        <v>3</v>
      </c>
      <c r="R1483" s="102">
        <v>22461</v>
      </c>
      <c r="S1483" s="102">
        <f>R1483*Q1483*1.1</f>
        <v>74121.3</v>
      </c>
      <c r="T1483" s="102">
        <f>R1483*Q1483</f>
        <v>67383</v>
      </c>
      <c r="U1483" s="71" t="str">
        <f t="shared" si="743"/>
        <v>O</v>
      </c>
      <c r="V1483" s="71"/>
      <c r="W1483" s="474">
        <f>(G1483-T1483)</f>
        <v>37617</v>
      </c>
      <c r="X1483" s="71"/>
      <c r="Y1483" s="71"/>
    </row>
    <row r="1484" spans="1:25" s="209" customFormat="1" ht="30" customHeight="1" x14ac:dyDescent="0.2">
      <c r="A1484" s="82">
        <v>181115</v>
      </c>
      <c r="B1484" s="664" t="s">
        <v>422</v>
      </c>
      <c r="C1484" s="71" t="s">
        <v>138</v>
      </c>
      <c r="D1484" s="71">
        <v>10</v>
      </c>
      <c r="E1484" s="102">
        <v>68000</v>
      </c>
      <c r="F1484" s="163">
        <f t="shared" si="744"/>
        <v>748000.00000000012</v>
      </c>
      <c r="G1484" s="163">
        <f t="shared" si="745"/>
        <v>680000</v>
      </c>
      <c r="H1484" s="165" t="s">
        <v>172</v>
      </c>
      <c r="I1484" s="71" t="s">
        <v>109</v>
      </c>
      <c r="J1484" s="53">
        <f>(G1484-(VLOOKUP(C1484,Price!B:D,3,FALSE)*D1484))</f>
        <v>170000</v>
      </c>
      <c r="K1484" s="63">
        <f t="shared" si="746"/>
        <v>0.24999999999999994</v>
      </c>
      <c r="L1484" s="82">
        <v>18.11</v>
      </c>
      <c r="M1484" s="468"/>
      <c r="N1484" s="664">
        <f t="shared" si="747"/>
        <v>181115</v>
      </c>
      <c r="O1484" s="71" t="s">
        <v>150</v>
      </c>
      <c r="P1484" s="103" t="str">
        <f t="shared" si="748"/>
        <v>매엽용 세척제(Wash 562)</v>
      </c>
      <c r="Q1484" s="71">
        <f t="shared" si="715"/>
        <v>10</v>
      </c>
      <c r="R1484" s="102">
        <v>51000</v>
      </c>
      <c r="S1484" s="102">
        <f>(R1484*D1484)*1.1</f>
        <v>561000</v>
      </c>
      <c r="T1484" s="102">
        <f>(R1484*Q1484)</f>
        <v>510000</v>
      </c>
      <c r="U1484" s="71" t="str">
        <f t="shared" si="743"/>
        <v>O</v>
      </c>
      <c r="V1484" s="71"/>
      <c r="W1484" s="474">
        <f>(G1484-T1484)</f>
        <v>170000</v>
      </c>
      <c r="X1484" s="71"/>
      <c r="Y1484" s="71"/>
    </row>
    <row r="1485" spans="1:25" ht="30" customHeight="1" x14ac:dyDescent="0.25">
      <c r="A1485" s="82">
        <v>181115</v>
      </c>
      <c r="B1485" s="664" t="s">
        <v>565</v>
      </c>
      <c r="C1485" s="71" t="s">
        <v>111</v>
      </c>
      <c r="D1485" s="71">
        <v>400</v>
      </c>
      <c r="E1485" s="102">
        <v>400</v>
      </c>
      <c r="F1485" s="102">
        <f t="shared" si="744"/>
        <v>176000</v>
      </c>
      <c r="G1485" s="102">
        <f t="shared" si="745"/>
        <v>160000</v>
      </c>
      <c r="H1485" s="690" t="s">
        <v>173</v>
      </c>
      <c r="I1485" s="71" t="s">
        <v>142</v>
      </c>
      <c r="J1485" s="53">
        <f>G1485-T1485</f>
        <v>32000</v>
      </c>
      <c r="K1485" s="63">
        <f t="shared" si="746"/>
        <v>0.2</v>
      </c>
      <c r="L1485" s="82">
        <v>18.11</v>
      </c>
      <c r="M1485" s="468"/>
      <c r="N1485" s="664">
        <f t="shared" si="747"/>
        <v>181115</v>
      </c>
      <c r="O1485" s="71" t="s">
        <v>150</v>
      </c>
      <c r="P1485" s="103" t="str">
        <f t="shared" si="748"/>
        <v>고무사카 빨간색</v>
      </c>
      <c r="Q1485" s="71">
        <f t="shared" si="715"/>
        <v>400</v>
      </c>
      <c r="R1485" s="102">
        <v>320</v>
      </c>
      <c r="S1485" s="102">
        <f>(R1485*D1485)*1.1</f>
        <v>140800</v>
      </c>
      <c r="T1485" s="102">
        <f>(R1485*Q1485)</f>
        <v>128000</v>
      </c>
      <c r="U1485" s="71" t="str">
        <f t="shared" si="743"/>
        <v>X</v>
      </c>
      <c r="V1485" s="71"/>
      <c r="W1485" s="474"/>
      <c r="X1485" s="71"/>
      <c r="Y1485" s="71"/>
    </row>
    <row r="1486" spans="1:25" ht="30" hidden="1" customHeight="1" x14ac:dyDescent="0.25">
      <c r="A1486" s="82">
        <v>181116</v>
      </c>
      <c r="B1486" s="664" t="s">
        <v>1051</v>
      </c>
      <c r="C1486" s="71" t="s">
        <v>1383</v>
      </c>
      <c r="D1486" s="71">
        <v>400</v>
      </c>
      <c r="E1486" s="102">
        <v>6260</v>
      </c>
      <c r="F1486" s="102">
        <f t="shared" ref="F1486:F1500" si="749">(E1486*D1486)*1.1</f>
        <v>2754400</v>
      </c>
      <c r="G1486" s="102">
        <f t="shared" ref="G1486:G1500" si="750">(E1486*D1486)</f>
        <v>2504000</v>
      </c>
      <c r="H1486" s="690" t="s">
        <v>142</v>
      </c>
      <c r="I1486" s="71" t="s">
        <v>140</v>
      </c>
      <c r="J1486" s="53">
        <f>G1486-T1486</f>
        <v>820000</v>
      </c>
      <c r="K1486" s="63">
        <f t="shared" ref="K1486:K1500" si="751">(J1486/(F1486/11*10))</f>
        <v>0.32747603833865813</v>
      </c>
      <c r="L1486" s="82">
        <v>18.11</v>
      </c>
      <c r="M1486" s="468"/>
      <c r="N1486" s="664">
        <f t="shared" si="747"/>
        <v>181116</v>
      </c>
      <c r="O1486" s="71" t="s">
        <v>145</v>
      </c>
      <c r="P1486" s="103" t="str">
        <f t="shared" si="748"/>
        <v>ENGAGE 1055*811</v>
      </c>
      <c r="Q1486" s="71">
        <f t="shared" si="715"/>
        <v>400</v>
      </c>
      <c r="R1486" s="102">
        <v>4210</v>
      </c>
      <c r="S1486" s="102">
        <f>R1486*Q1486*1.1</f>
        <v>1852400.0000000002</v>
      </c>
      <c r="T1486" s="102">
        <f>R1486*Q1486</f>
        <v>1684000</v>
      </c>
      <c r="U1486" s="71" t="str">
        <f t="shared" si="743"/>
        <v>O</v>
      </c>
      <c r="V1486" s="71"/>
      <c r="W1486" s="474">
        <f>(G1486-T1486)</f>
        <v>820000</v>
      </c>
      <c r="X1486" s="71"/>
      <c r="Y1486" s="71"/>
    </row>
    <row r="1487" spans="1:25" ht="30" hidden="1" customHeight="1" x14ac:dyDescent="0.25">
      <c r="A1487" s="82">
        <v>181116</v>
      </c>
      <c r="B1487" s="664" t="s">
        <v>1051</v>
      </c>
      <c r="C1487" s="71" t="s">
        <v>524</v>
      </c>
      <c r="D1487" s="71">
        <v>500</v>
      </c>
      <c r="E1487" s="102">
        <v>3750</v>
      </c>
      <c r="F1487" s="102">
        <f t="shared" si="749"/>
        <v>2062500.0000000002</v>
      </c>
      <c r="G1487" s="102">
        <f t="shared" si="750"/>
        <v>1875000</v>
      </c>
      <c r="H1487" s="690" t="s">
        <v>142</v>
      </c>
      <c r="I1487" s="71" t="s">
        <v>140</v>
      </c>
      <c r="J1487" s="53">
        <f>G1487-T1487</f>
        <v>615000</v>
      </c>
      <c r="K1487" s="63">
        <f t="shared" si="751"/>
        <v>0.32799999999999996</v>
      </c>
      <c r="L1487" s="82">
        <v>18.11</v>
      </c>
      <c r="M1487" s="468"/>
      <c r="N1487" s="664">
        <f t="shared" si="747"/>
        <v>181116</v>
      </c>
      <c r="O1487" s="71" t="s">
        <v>145</v>
      </c>
      <c r="P1487" s="103" t="str">
        <f t="shared" si="748"/>
        <v>ENGAGE 900X570 - 27RO</v>
      </c>
      <c r="Q1487" s="71">
        <f t="shared" si="715"/>
        <v>500</v>
      </c>
      <c r="R1487" s="102">
        <v>2520</v>
      </c>
      <c r="S1487" s="102">
        <f>R1487*Q1487*1.1</f>
        <v>1386000</v>
      </c>
      <c r="T1487" s="102">
        <f>R1487*Q1487</f>
        <v>1260000</v>
      </c>
      <c r="U1487" s="71" t="str">
        <f t="shared" si="743"/>
        <v>O</v>
      </c>
      <c r="V1487" s="71"/>
      <c r="W1487" s="474">
        <f>(G1487-T1487)</f>
        <v>615000</v>
      </c>
      <c r="X1487" s="71"/>
      <c r="Y1487" s="71"/>
    </row>
    <row r="1488" spans="1:25" ht="30" hidden="1" customHeight="1" x14ac:dyDescent="0.25">
      <c r="A1488" s="82">
        <v>181120</v>
      </c>
      <c r="B1488" s="664" t="s">
        <v>1051</v>
      </c>
      <c r="C1488" s="71" t="s">
        <v>1294</v>
      </c>
      <c r="D1488" s="71">
        <v>700</v>
      </c>
      <c r="E1488" s="102">
        <v>5960</v>
      </c>
      <c r="F1488" s="102">
        <f t="shared" si="749"/>
        <v>4589200</v>
      </c>
      <c r="G1488" s="102">
        <f t="shared" si="750"/>
        <v>4172000</v>
      </c>
      <c r="H1488" s="690" t="s">
        <v>142</v>
      </c>
      <c r="I1488" s="71" t="s">
        <v>140</v>
      </c>
      <c r="J1488" s="53">
        <f>G1488-T1488</f>
        <v>1372000</v>
      </c>
      <c r="K1488" s="63">
        <f t="shared" si="751"/>
        <v>0.32885906040268459</v>
      </c>
      <c r="L1488" s="82">
        <v>18.11</v>
      </c>
      <c r="M1488" s="468"/>
      <c r="N1488" s="664">
        <f t="shared" si="747"/>
        <v>181120</v>
      </c>
      <c r="O1488" s="71" t="s">
        <v>145</v>
      </c>
      <c r="P1488" s="103" t="str">
        <f>(C1488)</f>
        <v>ENGAGE 1030*790</v>
      </c>
      <c r="Q1488" s="71">
        <f t="shared" si="715"/>
        <v>700</v>
      </c>
      <c r="R1488" s="102">
        <v>4000</v>
      </c>
      <c r="S1488" s="102">
        <f>(R1488*D1488)*1.1</f>
        <v>3080000.0000000005</v>
      </c>
      <c r="T1488" s="102">
        <f>(R1488*Q1488)</f>
        <v>2800000</v>
      </c>
      <c r="U1488" s="71" t="str">
        <f t="shared" si="743"/>
        <v>X</v>
      </c>
      <c r="V1488" s="71"/>
      <c r="W1488" s="474"/>
      <c r="X1488" s="71"/>
      <c r="Y1488" s="71"/>
    </row>
    <row r="1489" spans="1:25" s="209" customFormat="1" ht="30" hidden="1" customHeight="1" x14ac:dyDescent="0.25">
      <c r="A1489" s="82">
        <v>181120</v>
      </c>
      <c r="B1489" s="664" t="s">
        <v>442</v>
      </c>
      <c r="C1489" s="71" t="s">
        <v>138</v>
      </c>
      <c r="D1489" s="71">
        <v>20</v>
      </c>
      <c r="E1489" s="102">
        <v>69000</v>
      </c>
      <c r="F1489" s="102">
        <f t="shared" si="749"/>
        <v>1518000.0000000002</v>
      </c>
      <c r="G1489" s="102">
        <f t="shared" si="750"/>
        <v>1380000</v>
      </c>
      <c r="H1489" s="690" t="s">
        <v>173</v>
      </c>
      <c r="I1489" s="71" t="s">
        <v>108</v>
      </c>
      <c r="J1489" s="53">
        <f>(G1489-(VLOOKUP(C1489,Price!B:D,3,FALSE)*D1489))</f>
        <v>360000</v>
      </c>
      <c r="K1489" s="63">
        <f t="shared" si="751"/>
        <v>0.26086956521739124</v>
      </c>
      <c r="L1489" s="82">
        <v>18.11</v>
      </c>
      <c r="M1489" s="468"/>
      <c r="N1489" s="664">
        <f t="shared" si="747"/>
        <v>181120</v>
      </c>
      <c r="O1489" s="71" t="s">
        <v>150</v>
      </c>
      <c r="P1489" s="103" t="str">
        <f t="shared" ref="P1489:P1494" si="752">C1489</f>
        <v>매엽용 세척제(Wash 562)</v>
      </c>
      <c r="Q1489" s="71">
        <f t="shared" si="715"/>
        <v>20</v>
      </c>
      <c r="R1489" s="102">
        <v>51000</v>
      </c>
      <c r="S1489" s="102">
        <f>(R1489*D1489)*1.1</f>
        <v>1122000</v>
      </c>
      <c r="T1489" s="102">
        <f>(R1489*Q1489)</f>
        <v>1020000</v>
      </c>
      <c r="U1489" s="71" t="str">
        <f t="shared" si="743"/>
        <v>O</v>
      </c>
      <c r="V1489" s="71"/>
      <c r="W1489" s="474">
        <f>(G1489-T1489)</f>
        <v>360000</v>
      </c>
      <c r="X1489" s="71"/>
      <c r="Y1489" s="71"/>
    </row>
    <row r="1490" spans="1:25" ht="30" hidden="1" customHeight="1" x14ac:dyDescent="0.25">
      <c r="A1490" s="82">
        <v>181120</v>
      </c>
      <c r="B1490" s="664" t="s">
        <v>690</v>
      </c>
      <c r="C1490" s="71" t="s">
        <v>217</v>
      </c>
      <c r="D1490" s="71">
        <v>2</v>
      </c>
      <c r="E1490" s="102">
        <v>145000</v>
      </c>
      <c r="F1490" s="102">
        <f t="shared" si="749"/>
        <v>319000</v>
      </c>
      <c r="G1490" s="102">
        <f t="shared" si="750"/>
        <v>290000</v>
      </c>
      <c r="H1490" s="690" t="s">
        <v>173</v>
      </c>
      <c r="I1490" s="71" t="s">
        <v>108</v>
      </c>
      <c r="J1490" s="53">
        <f>(G1490-(VLOOKUP(C1490,Price!B:D,3,FALSE)*D1490))</f>
        <v>130000</v>
      </c>
      <c r="K1490" s="63">
        <f t="shared" si="751"/>
        <v>0.44827586206896552</v>
      </c>
      <c r="L1490" s="82">
        <v>18.11</v>
      </c>
      <c r="M1490" s="468"/>
      <c r="N1490" s="664">
        <f t="shared" si="747"/>
        <v>181120</v>
      </c>
      <c r="O1490" s="71" t="s">
        <v>150</v>
      </c>
      <c r="P1490" s="103" t="str">
        <f t="shared" si="752"/>
        <v>Fount 511</v>
      </c>
      <c r="Q1490" s="71">
        <f t="shared" si="715"/>
        <v>2</v>
      </c>
      <c r="R1490" s="102">
        <f>VLOOKUP(P1490,Price!B:D,3,FALSE)</f>
        <v>80000</v>
      </c>
      <c r="S1490" s="102">
        <f>R1490*Q1490*1.1</f>
        <v>176000</v>
      </c>
      <c r="T1490" s="102">
        <f>R1490*Q1490</f>
        <v>160000</v>
      </c>
      <c r="U1490" s="71" t="str">
        <f t="shared" si="743"/>
        <v>O</v>
      </c>
      <c r="V1490" s="71"/>
      <c r="W1490" s="474">
        <f>(G1490-T1490)</f>
        <v>130000</v>
      </c>
      <c r="X1490" s="71"/>
      <c r="Y1490" s="71"/>
    </row>
    <row r="1491" spans="1:25" s="209" customFormat="1" ht="30" hidden="1" customHeight="1" x14ac:dyDescent="0.25">
      <c r="A1491" s="82">
        <v>181120</v>
      </c>
      <c r="B1491" s="664" t="s">
        <v>764</v>
      </c>
      <c r="C1491" s="71" t="s">
        <v>236</v>
      </c>
      <c r="D1491" s="71">
        <v>5</v>
      </c>
      <c r="E1491" s="102">
        <v>100000</v>
      </c>
      <c r="F1491" s="102">
        <f t="shared" si="749"/>
        <v>550000</v>
      </c>
      <c r="G1491" s="102">
        <f t="shared" si="750"/>
        <v>500000</v>
      </c>
      <c r="H1491" s="690" t="s">
        <v>173</v>
      </c>
      <c r="I1491" s="71" t="s">
        <v>142</v>
      </c>
      <c r="J1491" s="53">
        <f>(G1491-(VLOOKUP(C1491,Price!B:D,3,FALSE)*D1491))</f>
        <v>250000</v>
      </c>
      <c r="K1491" s="63">
        <f t="shared" si="751"/>
        <v>0.5</v>
      </c>
      <c r="L1491" s="82">
        <v>18.11</v>
      </c>
      <c r="M1491" s="468"/>
      <c r="N1491" s="664">
        <f t="shared" si="747"/>
        <v>181120</v>
      </c>
      <c r="O1491" s="71" t="s">
        <v>153</v>
      </c>
      <c r="P1491" s="103" t="str">
        <f t="shared" si="752"/>
        <v>아스테이지(국전)</v>
      </c>
      <c r="Q1491" s="71">
        <f t="shared" si="715"/>
        <v>5</v>
      </c>
      <c r="R1491" s="102">
        <f>VLOOKUP(P1491,Price!B:D,3,FALSE)</f>
        <v>50000</v>
      </c>
      <c r="S1491" s="102">
        <f>R1491*Q1491*1.1</f>
        <v>275000</v>
      </c>
      <c r="T1491" s="102">
        <f>R1491*Q1491</f>
        <v>250000</v>
      </c>
      <c r="U1491" s="71" t="str">
        <f t="shared" si="743"/>
        <v>O</v>
      </c>
      <c r="V1491" s="71"/>
      <c r="W1491" s="474">
        <f>(G1491-T1491)</f>
        <v>250000</v>
      </c>
      <c r="X1491" s="71"/>
      <c r="Y1491" s="71"/>
    </row>
    <row r="1492" spans="1:25" ht="30" hidden="1" customHeight="1" x14ac:dyDescent="0.25">
      <c r="A1492" s="82">
        <v>181122</v>
      </c>
      <c r="B1492" s="664" t="s">
        <v>1051</v>
      </c>
      <c r="C1492" s="71" t="s">
        <v>1294</v>
      </c>
      <c r="D1492" s="71">
        <v>500</v>
      </c>
      <c r="E1492" s="102">
        <v>5960</v>
      </c>
      <c r="F1492" s="102">
        <f t="shared" si="749"/>
        <v>3278000.0000000005</v>
      </c>
      <c r="G1492" s="102">
        <f t="shared" si="750"/>
        <v>2980000</v>
      </c>
      <c r="H1492" s="690" t="s">
        <v>142</v>
      </c>
      <c r="I1492" s="71" t="s">
        <v>140</v>
      </c>
      <c r="J1492" s="53">
        <f>G1492-T1492</f>
        <v>980000</v>
      </c>
      <c r="K1492" s="63">
        <f t="shared" si="751"/>
        <v>0.32885906040268453</v>
      </c>
      <c r="L1492" s="82">
        <v>18.11</v>
      </c>
      <c r="M1492" s="468"/>
      <c r="N1492" s="664">
        <f t="shared" si="747"/>
        <v>181122</v>
      </c>
      <c r="O1492" s="71" t="s">
        <v>145</v>
      </c>
      <c r="P1492" s="103" t="str">
        <f>(C1492)</f>
        <v>ENGAGE 1030*790</v>
      </c>
      <c r="Q1492" s="71">
        <f t="shared" si="715"/>
        <v>500</v>
      </c>
      <c r="R1492" s="102">
        <v>4000</v>
      </c>
      <c r="S1492" s="102">
        <f>(R1492*D1492)*1.1</f>
        <v>2200000</v>
      </c>
      <c r="T1492" s="102">
        <f>(R1492*Q1492)</f>
        <v>2000000</v>
      </c>
      <c r="U1492" s="71" t="str">
        <f t="shared" si="743"/>
        <v>X</v>
      </c>
      <c r="V1492" s="71"/>
      <c r="W1492" s="474"/>
      <c r="X1492" s="71"/>
      <c r="Y1492" s="71"/>
    </row>
    <row r="1493" spans="1:25" ht="30" hidden="1" customHeight="1" x14ac:dyDescent="0.25">
      <c r="A1493" s="82">
        <v>181122</v>
      </c>
      <c r="B1493" s="664" t="s">
        <v>1051</v>
      </c>
      <c r="C1493" s="71" t="s">
        <v>524</v>
      </c>
      <c r="D1493" s="71">
        <v>500</v>
      </c>
      <c r="E1493" s="102">
        <v>3750</v>
      </c>
      <c r="F1493" s="102">
        <f t="shared" si="749"/>
        <v>2062500.0000000002</v>
      </c>
      <c r="G1493" s="102">
        <f t="shared" si="750"/>
        <v>1875000</v>
      </c>
      <c r="H1493" s="690" t="s">
        <v>142</v>
      </c>
      <c r="I1493" s="71" t="s">
        <v>140</v>
      </c>
      <c r="J1493" s="53">
        <f>G1493-T1493</f>
        <v>615000</v>
      </c>
      <c r="K1493" s="63">
        <f t="shared" si="751"/>
        <v>0.32799999999999996</v>
      </c>
      <c r="L1493" s="82">
        <v>18.11</v>
      </c>
      <c r="M1493" s="468"/>
      <c r="N1493" s="664">
        <f t="shared" si="747"/>
        <v>181122</v>
      </c>
      <c r="O1493" s="71" t="s">
        <v>145</v>
      </c>
      <c r="P1493" s="103" t="str">
        <f>C1493</f>
        <v>ENGAGE 900X570 - 27RO</v>
      </c>
      <c r="Q1493" s="71">
        <f t="shared" ref="Q1493:Q1511" si="753">D1493</f>
        <v>500</v>
      </c>
      <c r="R1493" s="102">
        <v>2520</v>
      </c>
      <c r="S1493" s="102">
        <f>R1493*Q1493*1.1</f>
        <v>1386000</v>
      </c>
      <c r="T1493" s="102">
        <f>R1493*Q1493</f>
        <v>1260000</v>
      </c>
      <c r="U1493" s="71" t="str">
        <f t="shared" si="743"/>
        <v>O</v>
      </c>
      <c r="V1493" s="71"/>
      <c r="W1493" s="474">
        <f t="shared" ref="W1493:W1500" si="754">(G1493-T1493)</f>
        <v>615000</v>
      </c>
      <c r="X1493" s="71"/>
      <c r="Y1493" s="71"/>
    </row>
    <row r="1494" spans="1:25" ht="30" hidden="1" customHeight="1" x14ac:dyDescent="0.25">
      <c r="A1494" s="82">
        <v>181122</v>
      </c>
      <c r="B1494" s="664" t="s">
        <v>748</v>
      </c>
      <c r="C1494" s="71" t="s">
        <v>114</v>
      </c>
      <c r="D1494" s="71">
        <v>100</v>
      </c>
      <c r="E1494" s="102">
        <v>17000</v>
      </c>
      <c r="F1494" s="102">
        <f t="shared" si="749"/>
        <v>1870000.0000000002</v>
      </c>
      <c r="G1494" s="102">
        <f t="shared" si="750"/>
        <v>1700000</v>
      </c>
      <c r="H1494" s="690" t="s">
        <v>1431</v>
      </c>
      <c r="I1494" s="71"/>
      <c r="J1494" s="53">
        <f>G1494-T1494</f>
        <v>800000</v>
      </c>
      <c r="K1494" s="63">
        <f t="shared" si="751"/>
        <v>0.47058823529411759</v>
      </c>
      <c r="L1494" s="82">
        <v>18.11</v>
      </c>
      <c r="M1494" s="468"/>
      <c r="N1494" s="664">
        <f t="shared" si="747"/>
        <v>181122</v>
      </c>
      <c r="O1494" s="71" t="s">
        <v>1431</v>
      </c>
      <c r="P1494" s="103" t="str">
        <f t="shared" si="752"/>
        <v>스트리퍼</v>
      </c>
      <c r="Q1494" s="71">
        <f t="shared" si="753"/>
        <v>100</v>
      </c>
      <c r="R1494" s="102">
        <v>9000</v>
      </c>
      <c r="S1494" s="102">
        <f>R1494*Q1494*1.1</f>
        <v>990000.00000000012</v>
      </c>
      <c r="T1494" s="102">
        <f>R1494*Q1494</f>
        <v>900000</v>
      </c>
      <c r="U1494" s="71" t="str">
        <f t="shared" si="743"/>
        <v>O</v>
      </c>
      <c r="V1494" s="71"/>
      <c r="W1494" s="474">
        <f t="shared" si="754"/>
        <v>800000</v>
      </c>
      <c r="X1494" s="71"/>
      <c r="Y1494" s="71"/>
    </row>
    <row r="1495" spans="1:25" ht="30" hidden="1" customHeight="1" x14ac:dyDescent="0.25">
      <c r="A1495" s="82">
        <v>181122</v>
      </c>
      <c r="B1495" s="664" t="s">
        <v>546</v>
      </c>
      <c r="C1495" s="71" t="s">
        <v>881</v>
      </c>
      <c r="D1495" s="71">
        <v>48</v>
      </c>
      <c r="E1495" s="102">
        <v>18000</v>
      </c>
      <c r="F1495" s="102">
        <f>(E1495*D1495)*1.1</f>
        <v>950400.00000000012</v>
      </c>
      <c r="G1495" s="102">
        <f>(E1495*D1495)</f>
        <v>864000</v>
      </c>
      <c r="H1495" s="779" t="s">
        <v>113</v>
      </c>
      <c r="I1495" s="71"/>
      <c r="J1495" s="53">
        <f>G1495-T1495</f>
        <v>432000</v>
      </c>
      <c r="K1495" s="63">
        <f>(J1495/(F1495/11*10))</f>
        <v>0.49999999999999994</v>
      </c>
      <c r="L1495" s="82">
        <v>18.11</v>
      </c>
      <c r="M1495" s="468" t="s">
        <v>1891</v>
      </c>
      <c r="N1495" s="664">
        <f>A1495</f>
        <v>181122</v>
      </c>
      <c r="O1495" s="808" t="s">
        <v>113</v>
      </c>
      <c r="P1495" s="103" t="str">
        <f>C1495</f>
        <v>스트리퍼(대)</v>
      </c>
      <c r="Q1495" s="71">
        <f>D1495</f>
        <v>48</v>
      </c>
      <c r="R1495" s="102">
        <v>9000</v>
      </c>
      <c r="S1495" s="102">
        <f>R1495*Q1495*1.1</f>
        <v>475200.00000000006</v>
      </c>
      <c r="T1495" s="102">
        <f>R1495*Q1495</f>
        <v>432000</v>
      </c>
      <c r="U1495" s="71" t="str">
        <f t="shared" si="743"/>
        <v>O</v>
      </c>
      <c r="V1495" s="71"/>
      <c r="W1495" s="474">
        <f t="shared" si="754"/>
        <v>432000</v>
      </c>
      <c r="X1495" s="71"/>
      <c r="Y1495" s="71"/>
    </row>
    <row r="1496" spans="1:25" ht="30" hidden="1" customHeight="1" x14ac:dyDescent="0.25">
      <c r="A1496" s="82">
        <v>181122</v>
      </c>
      <c r="B1496" s="664" t="s">
        <v>546</v>
      </c>
      <c r="C1496" s="71" t="s">
        <v>882</v>
      </c>
      <c r="D1496" s="71">
        <v>12</v>
      </c>
      <c r="E1496" s="102">
        <v>18000</v>
      </c>
      <c r="F1496" s="102">
        <f>(E1496*D1496)*1.1</f>
        <v>237600.00000000003</v>
      </c>
      <c r="G1496" s="102">
        <f>(E1496*D1496)</f>
        <v>216000</v>
      </c>
      <c r="H1496" s="779" t="s">
        <v>113</v>
      </c>
      <c r="I1496" s="71"/>
      <c r="J1496" s="53">
        <f>G1496-T1496</f>
        <v>108000</v>
      </c>
      <c r="K1496" s="63">
        <f>(J1496/(F1496/11*10))</f>
        <v>0.49999999999999994</v>
      </c>
      <c r="L1496" s="82">
        <v>18.11</v>
      </c>
      <c r="M1496" s="468" t="s">
        <v>1891</v>
      </c>
      <c r="N1496" s="664">
        <f>A1496</f>
        <v>181122</v>
      </c>
      <c r="O1496" s="808" t="s">
        <v>113</v>
      </c>
      <c r="P1496" s="103" t="str">
        <f>C1496</f>
        <v>스트리퍼(소)</v>
      </c>
      <c r="Q1496" s="71">
        <f>D1496</f>
        <v>12</v>
      </c>
      <c r="R1496" s="102">
        <v>9000</v>
      </c>
      <c r="S1496" s="102">
        <f>R1496*Q1496*1.1</f>
        <v>118800.00000000001</v>
      </c>
      <c r="T1496" s="102">
        <f>R1496*Q1496</f>
        <v>108000</v>
      </c>
      <c r="U1496" s="71" t="str">
        <f t="shared" si="743"/>
        <v>O</v>
      </c>
      <c r="V1496" s="71"/>
      <c r="W1496" s="474">
        <f t="shared" si="754"/>
        <v>108000</v>
      </c>
      <c r="X1496" s="71"/>
      <c r="Y1496" s="71"/>
    </row>
    <row r="1497" spans="1:25" s="209" customFormat="1" ht="30" customHeight="1" x14ac:dyDescent="0.2">
      <c r="A1497" s="82">
        <v>181123</v>
      </c>
      <c r="B1497" s="664" t="s">
        <v>422</v>
      </c>
      <c r="C1497" s="71" t="s">
        <v>130</v>
      </c>
      <c r="D1497" s="71">
        <v>10</v>
      </c>
      <c r="E1497" s="102">
        <v>125000</v>
      </c>
      <c r="F1497" s="163">
        <f t="shared" si="749"/>
        <v>1375000</v>
      </c>
      <c r="G1497" s="163">
        <f t="shared" si="750"/>
        <v>1250000</v>
      </c>
      <c r="H1497" s="165" t="s">
        <v>172</v>
      </c>
      <c r="I1497" s="71" t="s">
        <v>109</v>
      </c>
      <c r="J1497" s="53">
        <f>(G1497-(VLOOKUP(C1497,Price!B:D,3,FALSE)*D1497))</f>
        <v>260000</v>
      </c>
      <c r="K1497" s="63">
        <f t="shared" si="751"/>
        <v>0.20799999999999999</v>
      </c>
      <c r="L1497" s="82">
        <v>18.11</v>
      </c>
      <c r="M1497" s="468"/>
      <c r="N1497" s="664">
        <f t="shared" si="747"/>
        <v>181123</v>
      </c>
      <c r="O1497" s="71" t="s">
        <v>150</v>
      </c>
      <c r="P1497" s="103" t="str">
        <f>(C1497)</f>
        <v>XL106 Blanket(1077*885)</v>
      </c>
      <c r="Q1497" s="71">
        <f t="shared" si="753"/>
        <v>10</v>
      </c>
      <c r="R1497" s="102">
        <v>99000</v>
      </c>
      <c r="S1497" s="102">
        <f>(R1497*D1497)*1.1</f>
        <v>1089000</v>
      </c>
      <c r="T1497" s="102">
        <f>(R1497*Q1497)</f>
        <v>990000</v>
      </c>
      <c r="U1497" s="71" t="str">
        <f t="shared" si="743"/>
        <v>O</v>
      </c>
      <c r="V1497" s="71"/>
      <c r="W1497" s="474">
        <f t="shared" si="754"/>
        <v>260000</v>
      </c>
      <c r="X1497" s="71"/>
      <c r="Y1497" s="71"/>
    </row>
    <row r="1498" spans="1:25" s="209" customFormat="1" ht="30" customHeight="1" x14ac:dyDescent="0.2">
      <c r="A1498" s="82">
        <v>181123</v>
      </c>
      <c r="B1498" s="664" t="s">
        <v>565</v>
      </c>
      <c r="C1498" s="71" t="s">
        <v>1499</v>
      </c>
      <c r="D1498" s="71">
        <v>2</v>
      </c>
      <c r="E1498" s="102">
        <v>250000</v>
      </c>
      <c r="F1498" s="163">
        <f t="shared" si="749"/>
        <v>550000</v>
      </c>
      <c r="G1498" s="163">
        <f t="shared" si="750"/>
        <v>500000</v>
      </c>
      <c r="H1498" s="165" t="s">
        <v>173</v>
      </c>
      <c r="I1498" s="71" t="s">
        <v>142</v>
      </c>
      <c r="J1498" s="53">
        <f>G1498-T1498</f>
        <v>50000</v>
      </c>
      <c r="K1498" s="63">
        <f>(J1498/(F1498/11*10))</f>
        <v>0.1</v>
      </c>
      <c r="L1498" s="82">
        <v>18.11</v>
      </c>
      <c r="M1498" s="468"/>
      <c r="N1498" s="664">
        <f t="shared" si="747"/>
        <v>181123</v>
      </c>
      <c r="O1498" s="71" t="s">
        <v>150</v>
      </c>
      <c r="P1498" s="103" t="str">
        <f>(C1498)</f>
        <v>종이 누름가이드</v>
      </c>
      <c r="Q1498" s="71">
        <f t="shared" si="753"/>
        <v>2</v>
      </c>
      <c r="R1498" s="102">
        <v>225000</v>
      </c>
      <c r="S1498" s="102">
        <f>(R1498*D1498)*1.1</f>
        <v>495000.00000000006</v>
      </c>
      <c r="T1498" s="102">
        <f>(R1498*Q1498)</f>
        <v>450000</v>
      </c>
      <c r="U1498" s="71" t="str">
        <f t="shared" si="743"/>
        <v>O</v>
      </c>
      <c r="V1498" s="71"/>
      <c r="W1498" s="474">
        <f t="shared" si="754"/>
        <v>50000</v>
      </c>
      <c r="X1498" s="71"/>
      <c r="Y1498" s="71"/>
    </row>
    <row r="1499" spans="1:25" ht="30" hidden="1" customHeight="1" x14ac:dyDescent="0.25">
      <c r="A1499" s="82">
        <v>181123</v>
      </c>
      <c r="B1499" s="664" t="s">
        <v>545</v>
      </c>
      <c r="C1499" s="71" t="s">
        <v>1291</v>
      </c>
      <c r="D1499" s="71">
        <v>30</v>
      </c>
      <c r="E1499" s="102">
        <v>28500</v>
      </c>
      <c r="F1499" s="102">
        <f t="shared" si="749"/>
        <v>940500.00000000012</v>
      </c>
      <c r="G1499" s="102">
        <f t="shared" si="750"/>
        <v>855000</v>
      </c>
      <c r="H1499" s="690" t="s">
        <v>173</v>
      </c>
      <c r="I1499" s="71" t="s">
        <v>142</v>
      </c>
      <c r="J1499" s="53">
        <f>G1499-T1499</f>
        <v>225000</v>
      </c>
      <c r="K1499" s="63">
        <f t="shared" si="751"/>
        <v>0.26315789473684209</v>
      </c>
      <c r="L1499" s="82">
        <v>18.11</v>
      </c>
      <c r="M1499" s="468"/>
      <c r="N1499" s="664">
        <f t="shared" si="747"/>
        <v>181123</v>
      </c>
      <c r="O1499" s="71" t="s">
        <v>1321</v>
      </c>
      <c r="P1499" s="103" t="str">
        <f t="shared" ref="P1499:P1507" si="755">C1499</f>
        <v>메가미 레듀사(1kg)</v>
      </c>
      <c r="Q1499" s="71">
        <f t="shared" si="753"/>
        <v>30</v>
      </c>
      <c r="R1499" s="102">
        <v>21000</v>
      </c>
      <c r="S1499" s="102">
        <f t="shared" ref="S1499:S1513" si="756">R1499*Q1499*1.1</f>
        <v>693000</v>
      </c>
      <c r="T1499" s="102">
        <f t="shared" ref="T1499:T1513" si="757">R1499*Q1499</f>
        <v>630000</v>
      </c>
      <c r="U1499" s="71"/>
      <c r="V1499" s="71"/>
      <c r="W1499" s="474">
        <f t="shared" si="754"/>
        <v>225000</v>
      </c>
      <c r="X1499" s="71"/>
      <c r="Y1499" s="71"/>
    </row>
    <row r="1500" spans="1:25" ht="30" hidden="1" customHeight="1" x14ac:dyDescent="0.25">
      <c r="A1500" s="82">
        <v>181123</v>
      </c>
      <c r="B1500" s="664" t="s">
        <v>545</v>
      </c>
      <c r="C1500" s="71" t="s">
        <v>952</v>
      </c>
      <c r="D1500" s="71">
        <v>1</v>
      </c>
      <c r="E1500" s="102">
        <v>630000</v>
      </c>
      <c r="F1500" s="102">
        <f t="shared" si="749"/>
        <v>693000</v>
      </c>
      <c r="G1500" s="102">
        <f t="shared" si="750"/>
        <v>630000</v>
      </c>
      <c r="H1500" s="690" t="s">
        <v>173</v>
      </c>
      <c r="I1500" s="71" t="s">
        <v>108</v>
      </c>
      <c r="J1500" s="53">
        <f>(G1500-(VLOOKUP(C1500,Price!B:D,3,FALSE)*D1500))</f>
        <v>180000</v>
      </c>
      <c r="K1500" s="63">
        <f t="shared" si="751"/>
        <v>0.2857142857142857</v>
      </c>
      <c r="L1500" s="82">
        <v>18.11</v>
      </c>
      <c r="M1500" s="468"/>
      <c r="N1500" s="664">
        <f t="shared" si="747"/>
        <v>181123</v>
      </c>
      <c r="O1500" s="71" t="s">
        <v>599</v>
      </c>
      <c r="P1500" s="103" t="str">
        <f t="shared" si="755"/>
        <v>점보롤 세정포</v>
      </c>
      <c r="Q1500" s="71">
        <f t="shared" si="753"/>
        <v>1</v>
      </c>
      <c r="R1500" s="102">
        <v>440000</v>
      </c>
      <c r="S1500" s="102">
        <f t="shared" si="756"/>
        <v>484000.00000000006</v>
      </c>
      <c r="T1500" s="102">
        <f t="shared" si="757"/>
        <v>440000</v>
      </c>
      <c r="U1500" s="71" t="str">
        <f t="shared" ref="U1500:U1514" si="758">IF(J1500=W1500,"O", "X")</f>
        <v>X</v>
      </c>
      <c r="V1500" s="71" t="s">
        <v>1228</v>
      </c>
      <c r="W1500" s="474">
        <f t="shared" si="754"/>
        <v>190000</v>
      </c>
      <c r="X1500" s="71"/>
      <c r="Y1500" s="71"/>
    </row>
    <row r="1501" spans="1:25" ht="30" hidden="1" customHeight="1" x14ac:dyDescent="0.25">
      <c r="A1501" s="82">
        <v>181123</v>
      </c>
      <c r="B1501" s="664" t="s">
        <v>545</v>
      </c>
      <c r="C1501" s="71" t="s">
        <v>805</v>
      </c>
      <c r="D1501" s="71">
        <v>2</v>
      </c>
      <c r="E1501" s="102">
        <v>180000</v>
      </c>
      <c r="F1501" s="102">
        <f t="shared" ref="F1501:F1507" si="759">(E1501*D1501)*1.1</f>
        <v>396000.00000000006</v>
      </c>
      <c r="G1501" s="102">
        <f t="shared" ref="G1501:G1507" si="760">(E1501*D1501)</f>
        <v>360000</v>
      </c>
      <c r="H1501" s="690" t="s">
        <v>173</v>
      </c>
      <c r="I1501" s="71" t="s">
        <v>120</v>
      </c>
      <c r="J1501" s="53">
        <f>(G1501-(VLOOKUP(C1501,Price!B:D,3,FALSE)*D1501))</f>
        <v>80000</v>
      </c>
      <c r="K1501" s="63">
        <f t="shared" ref="K1501:K1507" si="761">(J1501/(F1501/11*10))</f>
        <v>0.22222222222222218</v>
      </c>
      <c r="L1501" s="82">
        <v>18.11</v>
      </c>
      <c r="M1501" s="468"/>
      <c r="N1501" s="664">
        <f t="shared" si="747"/>
        <v>181123</v>
      </c>
      <c r="O1501" s="71" t="s">
        <v>150</v>
      </c>
      <c r="P1501" s="103" t="str">
        <f t="shared" si="755"/>
        <v>Fount 554</v>
      </c>
      <c r="Q1501" s="71">
        <f t="shared" si="753"/>
        <v>2</v>
      </c>
      <c r="R1501" s="102">
        <v>140000</v>
      </c>
      <c r="S1501" s="102">
        <f t="shared" si="756"/>
        <v>308000</v>
      </c>
      <c r="T1501" s="102">
        <f t="shared" si="757"/>
        <v>280000</v>
      </c>
      <c r="U1501" s="71" t="str">
        <f t="shared" si="758"/>
        <v>X</v>
      </c>
      <c r="V1501" s="71"/>
      <c r="W1501" s="474"/>
      <c r="X1501" s="71"/>
      <c r="Y1501" s="71"/>
    </row>
    <row r="1502" spans="1:25" ht="30" hidden="1" customHeight="1" x14ac:dyDescent="0.25">
      <c r="A1502" s="82">
        <v>181123</v>
      </c>
      <c r="B1502" s="664" t="s">
        <v>631</v>
      </c>
      <c r="C1502" s="67" t="s">
        <v>201</v>
      </c>
      <c r="D1502" s="71">
        <v>10</v>
      </c>
      <c r="E1502" s="102">
        <v>75000</v>
      </c>
      <c r="F1502" s="102">
        <f t="shared" si="759"/>
        <v>825000.00000000012</v>
      </c>
      <c r="G1502" s="102">
        <f t="shared" si="760"/>
        <v>750000</v>
      </c>
      <c r="H1502" s="690" t="s">
        <v>173</v>
      </c>
      <c r="I1502" s="71" t="s">
        <v>109</v>
      </c>
      <c r="J1502" s="53">
        <f>(G1502-(VLOOKUP(C1502,Price!B:D,3,FALSE)*D1502))</f>
        <v>200000</v>
      </c>
      <c r="K1502" s="63">
        <f t="shared" si="761"/>
        <v>0.26666666666666661</v>
      </c>
      <c r="L1502" s="82">
        <v>18.11</v>
      </c>
      <c r="M1502" s="468"/>
      <c r="N1502" s="664">
        <f t="shared" si="747"/>
        <v>181123</v>
      </c>
      <c r="O1502" s="71" t="s">
        <v>149</v>
      </c>
      <c r="P1502" s="103" t="str">
        <f t="shared" si="755"/>
        <v>Bar블랑켓 730*710</v>
      </c>
      <c r="Q1502" s="71">
        <f t="shared" si="753"/>
        <v>10</v>
      </c>
      <c r="R1502" s="102">
        <v>55000</v>
      </c>
      <c r="S1502" s="102">
        <f t="shared" si="756"/>
        <v>605000</v>
      </c>
      <c r="T1502" s="102">
        <f t="shared" si="757"/>
        <v>550000</v>
      </c>
      <c r="U1502" s="71" t="str">
        <f t="shared" si="758"/>
        <v>O</v>
      </c>
      <c r="V1502" s="71"/>
      <c r="W1502" s="474">
        <f t="shared" ref="W1502:W1507" si="762">(G1502-T1502)</f>
        <v>200000</v>
      </c>
      <c r="X1502" s="71"/>
      <c r="Y1502" s="71"/>
    </row>
    <row r="1503" spans="1:25" ht="30" hidden="1" customHeight="1" x14ac:dyDescent="0.25">
      <c r="A1503" s="82">
        <v>181123</v>
      </c>
      <c r="B1503" s="664" t="s">
        <v>442</v>
      </c>
      <c r="C1503" s="71" t="s">
        <v>133</v>
      </c>
      <c r="D1503" s="71">
        <v>2</v>
      </c>
      <c r="E1503" s="102">
        <v>327000</v>
      </c>
      <c r="F1503" s="102">
        <f t="shared" si="759"/>
        <v>719400</v>
      </c>
      <c r="G1503" s="102">
        <f t="shared" si="760"/>
        <v>654000</v>
      </c>
      <c r="H1503" s="690" t="s">
        <v>173</v>
      </c>
      <c r="I1503" s="71" t="s">
        <v>141</v>
      </c>
      <c r="J1503" s="53">
        <f>(G1503-(VLOOKUP(C1503,Price!B:D,3,FALSE)*D1503))</f>
        <v>115800</v>
      </c>
      <c r="K1503" s="63">
        <f t="shared" si="761"/>
        <v>0.17706422018348625</v>
      </c>
      <c r="L1503" s="82">
        <v>18.11</v>
      </c>
      <c r="M1503" s="468"/>
      <c r="N1503" s="664">
        <f t="shared" si="747"/>
        <v>181123</v>
      </c>
      <c r="O1503" s="71" t="s">
        <v>145</v>
      </c>
      <c r="P1503" s="103" t="str">
        <f t="shared" si="755"/>
        <v>Agfa Film(24inch)</v>
      </c>
      <c r="Q1503" s="71">
        <f t="shared" si="753"/>
        <v>2</v>
      </c>
      <c r="R1503" s="102">
        <v>269100</v>
      </c>
      <c r="S1503" s="102">
        <f t="shared" si="756"/>
        <v>592020</v>
      </c>
      <c r="T1503" s="102">
        <f t="shared" si="757"/>
        <v>538200</v>
      </c>
      <c r="U1503" s="71" t="str">
        <f t="shared" si="758"/>
        <v>O</v>
      </c>
      <c r="V1503" s="71"/>
      <c r="W1503" s="474">
        <f t="shared" si="762"/>
        <v>115800</v>
      </c>
      <c r="X1503" s="71"/>
      <c r="Y1503" s="71"/>
    </row>
    <row r="1504" spans="1:25" ht="30" hidden="1" customHeight="1" x14ac:dyDescent="0.25">
      <c r="A1504" s="82">
        <v>181123</v>
      </c>
      <c r="B1504" s="664" t="s">
        <v>442</v>
      </c>
      <c r="C1504" s="71" t="s">
        <v>134</v>
      </c>
      <c r="D1504" s="71">
        <v>2</v>
      </c>
      <c r="E1504" s="102">
        <v>401000</v>
      </c>
      <c r="F1504" s="102">
        <f t="shared" si="759"/>
        <v>882200.00000000012</v>
      </c>
      <c r="G1504" s="102">
        <f t="shared" si="760"/>
        <v>802000</v>
      </c>
      <c r="H1504" s="690" t="s">
        <v>173</v>
      </c>
      <c r="I1504" s="71" t="s">
        <v>141</v>
      </c>
      <c r="J1504" s="53">
        <f>(G1504-(VLOOKUP(C1504,Price!B:D,3,FALSE)*D1504))</f>
        <v>174080</v>
      </c>
      <c r="K1504" s="63">
        <f t="shared" si="761"/>
        <v>0.21705735660847877</v>
      </c>
      <c r="L1504" s="82">
        <v>18.11</v>
      </c>
      <c r="M1504" s="468"/>
      <c r="N1504" s="664">
        <f t="shared" si="747"/>
        <v>181123</v>
      </c>
      <c r="O1504" s="71" t="s">
        <v>145</v>
      </c>
      <c r="P1504" s="103" t="str">
        <f t="shared" si="755"/>
        <v>Agfa Film(28inch)</v>
      </c>
      <c r="Q1504" s="71">
        <f t="shared" si="753"/>
        <v>2</v>
      </c>
      <c r="R1504" s="102">
        <f>VLOOKUP(P1504,Price!B:D,3,FALSE)</f>
        <v>313960</v>
      </c>
      <c r="S1504" s="102">
        <f t="shared" si="756"/>
        <v>690712</v>
      </c>
      <c r="T1504" s="102">
        <f t="shared" si="757"/>
        <v>627920</v>
      </c>
      <c r="U1504" s="71" t="str">
        <f t="shared" si="758"/>
        <v>O</v>
      </c>
      <c r="V1504" s="71"/>
      <c r="W1504" s="474">
        <f t="shared" si="762"/>
        <v>174080</v>
      </c>
      <c r="X1504" s="71"/>
      <c r="Y1504" s="71"/>
    </row>
    <row r="1505" spans="1:25" ht="30" hidden="1" customHeight="1" x14ac:dyDescent="0.25">
      <c r="A1505" s="82">
        <v>181123</v>
      </c>
      <c r="B1505" s="664" t="s">
        <v>442</v>
      </c>
      <c r="C1505" s="71" t="s">
        <v>135</v>
      </c>
      <c r="D1505" s="71">
        <v>2</v>
      </c>
      <c r="E1505" s="102">
        <v>448000</v>
      </c>
      <c r="F1505" s="102">
        <f t="shared" si="759"/>
        <v>985600.00000000012</v>
      </c>
      <c r="G1505" s="102">
        <f t="shared" si="760"/>
        <v>896000</v>
      </c>
      <c r="H1505" s="690" t="s">
        <v>173</v>
      </c>
      <c r="I1505" s="71" t="s">
        <v>141</v>
      </c>
      <c r="J1505" s="53">
        <f>(G1505-(VLOOKUP(C1505,Price!B:D,3,FALSE)*D1505))</f>
        <v>155980</v>
      </c>
      <c r="K1505" s="63">
        <f t="shared" si="761"/>
        <v>0.1740848214285714</v>
      </c>
      <c r="L1505" s="82">
        <v>18.11</v>
      </c>
      <c r="M1505" s="468"/>
      <c r="N1505" s="664">
        <f t="shared" si="747"/>
        <v>181123</v>
      </c>
      <c r="O1505" s="71" t="s">
        <v>145</v>
      </c>
      <c r="P1505" s="103" t="str">
        <f t="shared" si="755"/>
        <v>Agfa Film(32inch)</v>
      </c>
      <c r="Q1505" s="71">
        <f t="shared" si="753"/>
        <v>2</v>
      </c>
      <c r="R1505" s="102">
        <f>VLOOKUP(P1505,Price!B:D,3,FALSE)</f>
        <v>370010</v>
      </c>
      <c r="S1505" s="102">
        <f t="shared" si="756"/>
        <v>814022.00000000012</v>
      </c>
      <c r="T1505" s="102">
        <f t="shared" si="757"/>
        <v>740020</v>
      </c>
      <c r="U1505" s="71" t="str">
        <f t="shared" si="758"/>
        <v>O</v>
      </c>
      <c r="V1505" s="71"/>
      <c r="W1505" s="474">
        <f t="shared" si="762"/>
        <v>155980</v>
      </c>
      <c r="X1505" s="71"/>
      <c r="Y1505" s="71"/>
    </row>
    <row r="1506" spans="1:25" ht="30" hidden="1" customHeight="1" x14ac:dyDescent="0.25">
      <c r="A1506" s="82">
        <v>181123</v>
      </c>
      <c r="B1506" s="664" t="s">
        <v>442</v>
      </c>
      <c r="C1506" s="71" t="s">
        <v>649</v>
      </c>
      <c r="D1506" s="71">
        <v>2</v>
      </c>
      <c r="E1506" s="102">
        <v>41000</v>
      </c>
      <c r="F1506" s="102">
        <f t="shared" si="759"/>
        <v>90200.000000000015</v>
      </c>
      <c r="G1506" s="102">
        <f t="shared" si="760"/>
        <v>82000</v>
      </c>
      <c r="H1506" s="690" t="s">
        <v>173</v>
      </c>
      <c r="I1506" s="71" t="s">
        <v>141</v>
      </c>
      <c r="J1506" s="53">
        <f>(G1506-(VLOOKUP(C1506,Price!B:D,3,FALSE)*D1506))</f>
        <v>32000</v>
      </c>
      <c r="K1506" s="63">
        <f t="shared" si="761"/>
        <v>0.39024390243902435</v>
      </c>
      <c r="L1506" s="82">
        <v>18.11</v>
      </c>
      <c r="M1506" s="468"/>
      <c r="N1506" s="664">
        <f t="shared" si="747"/>
        <v>181123</v>
      </c>
      <c r="O1506" s="71" t="s">
        <v>145</v>
      </c>
      <c r="P1506" s="103" t="str">
        <f t="shared" si="755"/>
        <v>Agfa 현상액 G101C(10L)</v>
      </c>
      <c r="Q1506" s="71">
        <f t="shared" si="753"/>
        <v>2</v>
      </c>
      <c r="R1506" s="102">
        <f>VLOOKUP(P1506,Price!B:D,3,FALSE)</f>
        <v>25000</v>
      </c>
      <c r="S1506" s="102">
        <f t="shared" si="756"/>
        <v>55000.000000000007</v>
      </c>
      <c r="T1506" s="102">
        <f t="shared" si="757"/>
        <v>50000</v>
      </c>
      <c r="U1506" s="71" t="str">
        <f t="shared" si="758"/>
        <v>O</v>
      </c>
      <c r="V1506" s="71"/>
      <c r="W1506" s="474">
        <f t="shared" si="762"/>
        <v>32000</v>
      </c>
      <c r="X1506" s="71"/>
      <c r="Y1506" s="71"/>
    </row>
    <row r="1507" spans="1:25" ht="30" hidden="1" customHeight="1" x14ac:dyDescent="0.25">
      <c r="A1507" s="82">
        <v>181123</v>
      </c>
      <c r="B1507" s="664" t="s">
        <v>1051</v>
      </c>
      <c r="C1507" s="71" t="s">
        <v>1385</v>
      </c>
      <c r="D1507" s="71">
        <v>500</v>
      </c>
      <c r="E1507" s="102">
        <v>4580</v>
      </c>
      <c r="F1507" s="102">
        <f t="shared" si="759"/>
        <v>2519000</v>
      </c>
      <c r="G1507" s="102">
        <f t="shared" si="760"/>
        <v>2290000</v>
      </c>
      <c r="H1507" s="690" t="s">
        <v>142</v>
      </c>
      <c r="I1507" s="71" t="s">
        <v>140</v>
      </c>
      <c r="J1507" s="53">
        <f t="shared" ref="J1507:J1517" si="763">G1507-T1507</f>
        <v>755000</v>
      </c>
      <c r="K1507" s="63">
        <f t="shared" si="761"/>
        <v>0.3296943231441048</v>
      </c>
      <c r="L1507" s="82">
        <v>18.11</v>
      </c>
      <c r="M1507" s="468"/>
      <c r="N1507" s="664">
        <f t="shared" si="747"/>
        <v>181123</v>
      </c>
      <c r="O1507" s="71" t="s">
        <v>145</v>
      </c>
      <c r="P1507" s="103" t="str">
        <f t="shared" si="755"/>
        <v>ENGAGE 967.5*645</v>
      </c>
      <c r="Q1507" s="71">
        <f t="shared" si="753"/>
        <v>500</v>
      </c>
      <c r="R1507" s="102">
        <v>3070</v>
      </c>
      <c r="S1507" s="102">
        <f t="shared" si="756"/>
        <v>1688500.0000000002</v>
      </c>
      <c r="T1507" s="102">
        <f t="shared" si="757"/>
        <v>1535000</v>
      </c>
      <c r="U1507" s="71" t="str">
        <f t="shared" si="758"/>
        <v>O</v>
      </c>
      <c r="V1507" s="71"/>
      <c r="W1507" s="474">
        <f t="shared" si="762"/>
        <v>755000</v>
      </c>
      <c r="X1507" s="71"/>
      <c r="Y1507" s="71"/>
    </row>
    <row r="1508" spans="1:25" ht="30" hidden="1" customHeight="1" x14ac:dyDescent="0.25">
      <c r="A1508" s="82">
        <v>181123</v>
      </c>
      <c r="B1508" s="664" t="s">
        <v>575</v>
      </c>
      <c r="C1508" s="71" t="s">
        <v>1484</v>
      </c>
      <c r="D1508" s="71">
        <v>2</v>
      </c>
      <c r="E1508" s="102">
        <v>200000</v>
      </c>
      <c r="F1508" s="102">
        <f t="shared" ref="F1508:F1513" si="764">(E1508*D1508)*1.1</f>
        <v>440000.00000000006</v>
      </c>
      <c r="G1508" s="102">
        <f t="shared" ref="G1508:G1513" si="765">(E1508*D1508)</f>
        <v>400000</v>
      </c>
      <c r="H1508" s="690" t="s">
        <v>1431</v>
      </c>
      <c r="I1508" s="71"/>
      <c r="J1508" s="53">
        <f t="shared" si="763"/>
        <v>90000</v>
      </c>
      <c r="K1508" s="63">
        <f>(J1508/(F1508/11*10))</f>
        <v>0.22499999999999998</v>
      </c>
      <c r="L1508" s="82">
        <v>18.11</v>
      </c>
      <c r="M1508" s="468"/>
      <c r="N1508" s="664">
        <f t="shared" si="747"/>
        <v>181123</v>
      </c>
      <c r="O1508" s="71" t="s">
        <v>1554</v>
      </c>
      <c r="P1508" s="103" t="str">
        <f>(C1508)</f>
        <v>컨택터</v>
      </c>
      <c r="Q1508" s="71">
        <f t="shared" si="753"/>
        <v>2</v>
      </c>
      <c r="R1508" s="102">
        <v>155000</v>
      </c>
      <c r="S1508" s="102">
        <f t="shared" si="756"/>
        <v>341000</v>
      </c>
      <c r="T1508" s="102">
        <f t="shared" si="757"/>
        <v>310000</v>
      </c>
      <c r="U1508" s="71" t="str">
        <f t="shared" si="758"/>
        <v>X</v>
      </c>
      <c r="V1508" s="71"/>
      <c r="W1508" s="474"/>
      <c r="X1508" s="71"/>
      <c r="Y1508" s="71"/>
    </row>
    <row r="1509" spans="1:25" ht="30" hidden="1" customHeight="1" x14ac:dyDescent="0.25">
      <c r="A1509" s="82">
        <v>181123</v>
      </c>
      <c r="B1509" s="664" t="s">
        <v>575</v>
      </c>
      <c r="C1509" s="71" t="s">
        <v>1507</v>
      </c>
      <c r="D1509" s="71">
        <v>3</v>
      </c>
      <c r="E1509" s="102">
        <v>160000</v>
      </c>
      <c r="F1509" s="102">
        <f t="shared" si="764"/>
        <v>528000</v>
      </c>
      <c r="G1509" s="102">
        <f t="shared" si="765"/>
        <v>480000</v>
      </c>
      <c r="H1509" s="690" t="s">
        <v>1431</v>
      </c>
      <c r="I1509" s="71"/>
      <c r="J1509" s="53">
        <f t="shared" si="763"/>
        <v>30000</v>
      </c>
      <c r="K1509" s="63">
        <f>(J1509/(F1509/11*10))</f>
        <v>6.25E-2</v>
      </c>
      <c r="L1509" s="82">
        <v>18.11</v>
      </c>
      <c r="M1509" s="468"/>
      <c r="N1509" s="664">
        <f t="shared" si="747"/>
        <v>181123</v>
      </c>
      <c r="O1509" s="71" t="s">
        <v>1130</v>
      </c>
      <c r="P1509" s="103" t="str">
        <f>(C1509)</f>
        <v>아지노 칼</v>
      </c>
      <c r="Q1509" s="71">
        <f t="shared" si="753"/>
        <v>3</v>
      </c>
      <c r="R1509" s="102">
        <v>150000</v>
      </c>
      <c r="S1509" s="102">
        <f t="shared" si="756"/>
        <v>495000.00000000006</v>
      </c>
      <c r="T1509" s="102">
        <f t="shared" si="757"/>
        <v>450000</v>
      </c>
      <c r="U1509" s="71" t="str">
        <f t="shared" si="758"/>
        <v>X</v>
      </c>
      <c r="V1509" s="71"/>
      <c r="W1509" s="474"/>
      <c r="X1509" s="71"/>
      <c r="Y1509" s="71"/>
    </row>
    <row r="1510" spans="1:25" ht="30" hidden="1" customHeight="1" x14ac:dyDescent="0.25">
      <c r="A1510" s="82">
        <v>181123</v>
      </c>
      <c r="B1510" s="664" t="s">
        <v>575</v>
      </c>
      <c r="C1510" s="71" t="s">
        <v>1485</v>
      </c>
      <c r="D1510" s="71">
        <v>1</v>
      </c>
      <c r="E1510" s="102">
        <v>150000</v>
      </c>
      <c r="F1510" s="102">
        <f t="shared" si="764"/>
        <v>165000</v>
      </c>
      <c r="G1510" s="102">
        <f t="shared" si="765"/>
        <v>150000</v>
      </c>
      <c r="H1510" s="690" t="s">
        <v>1431</v>
      </c>
      <c r="I1510" s="71"/>
      <c r="J1510" s="53">
        <f t="shared" si="763"/>
        <v>67500</v>
      </c>
      <c r="K1510" s="63">
        <f>(J1510/(F1510/11*10))</f>
        <v>0.45</v>
      </c>
      <c r="L1510" s="82">
        <v>18.11</v>
      </c>
      <c r="M1510" s="468"/>
      <c r="N1510" s="664">
        <f t="shared" si="747"/>
        <v>181123</v>
      </c>
      <c r="O1510" s="71" t="s">
        <v>1554</v>
      </c>
      <c r="P1510" s="103" t="str">
        <f>(C1510)</f>
        <v>파워베이스</v>
      </c>
      <c r="Q1510" s="71">
        <f t="shared" si="753"/>
        <v>1</v>
      </c>
      <c r="R1510" s="102">
        <v>82500</v>
      </c>
      <c r="S1510" s="102">
        <f t="shared" si="756"/>
        <v>90750.000000000015</v>
      </c>
      <c r="T1510" s="102">
        <f t="shared" si="757"/>
        <v>82500</v>
      </c>
      <c r="U1510" s="71" t="str">
        <f t="shared" si="758"/>
        <v>X</v>
      </c>
      <c r="V1510" s="71"/>
      <c r="W1510" s="474"/>
      <c r="X1510" s="71"/>
      <c r="Y1510" s="71"/>
    </row>
    <row r="1511" spans="1:25" ht="30" hidden="1" customHeight="1" x14ac:dyDescent="0.25">
      <c r="A1511" s="82">
        <v>181123</v>
      </c>
      <c r="B1511" s="664" t="s">
        <v>575</v>
      </c>
      <c r="C1511" s="71" t="s">
        <v>1486</v>
      </c>
      <c r="D1511" s="71">
        <v>1</v>
      </c>
      <c r="E1511" s="102">
        <v>2500000</v>
      </c>
      <c r="F1511" s="102">
        <f t="shared" si="764"/>
        <v>2750000</v>
      </c>
      <c r="G1511" s="102">
        <f t="shared" si="765"/>
        <v>2500000</v>
      </c>
      <c r="H1511" s="690" t="s">
        <v>1431</v>
      </c>
      <c r="I1511" s="71"/>
      <c r="J1511" s="53">
        <f t="shared" si="763"/>
        <v>550000</v>
      </c>
      <c r="K1511" s="63">
        <f>(J1511/(F1511/11*10))</f>
        <v>0.22</v>
      </c>
      <c r="L1511" s="82">
        <v>18.11</v>
      </c>
      <c r="M1511" s="468"/>
      <c r="N1511" s="664">
        <f t="shared" si="747"/>
        <v>181123</v>
      </c>
      <c r="O1511" s="71" t="s">
        <v>1431</v>
      </c>
      <c r="P1511" s="103" t="str">
        <f>(C1511)</f>
        <v>국윤전 도색작업</v>
      </c>
      <c r="Q1511" s="71">
        <f t="shared" si="753"/>
        <v>1</v>
      </c>
      <c r="R1511" s="102">
        <v>1950000</v>
      </c>
      <c r="S1511" s="102">
        <f t="shared" si="756"/>
        <v>2145000</v>
      </c>
      <c r="T1511" s="102">
        <f t="shared" si="757"/>
        <v>1950000</v>
      </c>
      <c r="U1511" s="71" t="str">
        <f t="shared" si="758"/>
        <v>X</v>
      </c>
      <c r="V1511" s="71"/>
      <c r="W1511" s="474"/>
      <c r="X1511" s="71"/>
      <c r="Y1511" s="71"/>
    </row>
    <row r="1512" spans="1:25" ht="30" hidden="1" customHeight="1" x14ac:dyDescent="0.25">
      <c r="A1512" s="82">
        <v>181123</v>
      </c>
      <c r="B1512" s="664" t="s">
        <v>983</v>
      </c>
      <c r="C1512" s="71" t="s">
        <v>1009</v>
      </c>
      <c r="D1512" s="71">
        <v>520</v>
      </c>
      <c r="E1512" s="102">
        <v>3900</v>
      </c>
      <c r="F1512" s="102">
        <f t="shared" si="764"/>
        <v>2230800</v>
      </c>
      <c r="G1512" s="102">
        <f t="shared" si="765"/>
        <v>2028000</v>
      </c>
      <c r="H1512" s="690" t="s">
        <v>173</v>
      </c>
      <c r="I1512" s="71" t="s">
        <v>140</v>
      </c>
      <c r="J1512" s="53">
        <f t="shared" si="763"/>
        <v>312000</v>
      </c>
      <c r="K1512" s="63">
        <f t="shared" ref="K1512:K1519" si="766">(J1512/(F1512/11*10))</f>
        <v>0.15384615384615385</v>
      </c>
      <c r="L1512" s="82">
        <v>18.11</v>
      </c>
      <c r="M1512" s="468"/>
      <c r="N1512" s="664">
        <f t="shared" ref="N1512:N1525" si="767">A1512</f>
        <v>181123</v>
      </c>
      <c r="O1512" s="71" t="s">
        <v>147</v>
      </c>
      <c r="P1512" s="103" t="str">
        <f>C1512</f>
        <v>CTP판(1030*790mm)</v>
      </c>
      <c r="Q1512" s="71">
        <f>D1512</f>
        <v>520</v>
      </c>
      <c r="R1512" s="102">
        <v>3300</v>
      </c>
      <c r="S1512" s="102">
        <f t="shared" si="756"/>
        <v>1887600.0000000002</v>
      </c>
      <c r="T1512" s="102">
        <f t="shared" si="757"/>
        <v>1716000</v>
      </c>
      <c r="U1512" s="71" t="str">
        <f t="shared" si="758"/>
        <v>O</v>
      </c>
      <c r="V1512" s="71"/>
      <c r="W1512" s="474">
        <f>(G1512-T1512)</f>
        <v>312000</v>
      </c>
      <c r="X1512" s="71"/>
      <c r="Y1512" s="71"/>
    </row>
    <row r="1513" spans="1:25" ht="30" hidden="1" customHeight="1" x14ac:dyDescent="0.25">
      <c r="A1513" s="82">
        <v>181123</v>
      </c>
      <c r="B1513" s="664" t="s">
        <v>983</v>
      </c>
      <c r="C1513" s="71" t="s">
        <v>984</v>
      </c>
      <c r="D1513" s="71">
        <v>7</v>
      </c>
      <c r="E1513" s="102">
        <v>45000</v>
      </c>
      <c r="F1513" s="102">
        <f t="shared" si="764"/>
        <v>346500</v>
      </c>
      <c r="G1513" s="102">
        <f t="shared" si="765"/>
        <v>315000</v>
      </c>
      <c r="H1513" s="690" t="s">
        <v>173</v>
      </c>
      <c r="I1513" s="71" t="s">
        <v>140</v>
      </c>
      <c r="J1513" s="53">
        <f t="shared" si="763"/>
        <v>70000</v>
      </c>
      <c r="K1513" s="63">
        <f t="shared" si="766"/>
        <v>0.22222222222222221</v>
      </c>
      <c r="L1513" s="82">
        <v>18.11</v>
      </c>
      <c r="M1513" s="468"/>
      <c r="N1513" s="664">
        <f t="shared" si="767"/>
        <v>181123</v>
      </c>
      <c r="O1513" s="71" t="s">
        <v>147</v>
      </c>
      <c r="P1513" s="103" t="str">
        <f>C1513</f>
        <v>CTP 현상액</v>
      </c>
      <c r="Q1513" s="71">
        <f>D1513</f>
        <v>7</v>
      </c>
      <c r="R1513" s="102">
        <v>35000</v>
      </c>
      <c r="S1513" s="102">
        <f t="shared" si="756"/>
        <v>269500</v>
      </c>
      <c r="T1513" s="102">
        <f t="shared" si="757"/>
        <v>245000</v>
      </c>
      <c r="U1513" s="71" t="str">
        <f t="shared" si="758"/>
        <v>O</v>
      </c>
      <c r="V1513" s="71"/>
      <c r="W1513" s="474">
        <f>(G1513-T1513)</f>
        <v>70000</v>
      </c>
      <c r="X1513" s="71"/>
      <c r="Y1513" s="71"/>
    </row>
    <row r="1514" spans="1:25" ht="30" hidden="1" customHeight="1" x14ac:dyDescent="0.25">
      <c r="A1514" s="82">
        <v>181126</v>
      </c>
      <c r="B1514" s="664" t="s">
        <v>1051</v>
      </c>
      <c r="C1514" s="71" t="s">
        <v>1294</v>
      </c>
      <c r="D1514" s="71">
        <v>600</v>
      </c>
      <c r="E1514" s="102">
        <v>5960</v>
      </c>
      <c r="F1514" s="102">
        <f t="shared" ref="F1514:F1521" si="768">(E1514*D1514)*1.1</f>
        <v>3933600.0000000005</v>
      </c>
      <c r="G1514" s="102">
        <f t="shared" ref="G1514:G1521" si="769">(E1514*D1514)</f>
        <v>3576000</v>
      </c>
      <c r="H1514" s="690" t="s">
        <v>142</v>
      </c>
      <c r="I1514" s="71" t="s">
        <v>140</v>
      </c>
      <c r="J1514" s="53">
        <f t="shared" si="763"/>
        <v>1176000</v>
      </c>
      <c r="K1514" s="63">
        <f t="shared" si="766"/>
        <v>0.32885906040268453</v>
      </c>
      <c r="L1514" s="82">
        <v>18.11</v>
      </c>
      <c r="M1514" s="468"/>
      <c r="N1514" s="664">
        <f t="shared" si="767"/>
        <v>181126</v>
      </c>
      <c r="O1514" s="71" t="s">
        <v>145</v>
      </c>
      <c r="P1514" s="103" t="str">
        <f>(C1514)</f>
        <v>ENGAGE 1030*790</v>
      </c>
      <c r="Q1514" s="71">
        <f t="shared" ref="Q1514:Q1539" si="770">D1514</f>
        <v>600</v>
      </c>
      <c r="R1514" s="102">
        <v>4000</v>
      </c>
      <c r="S1514" s="102">
        <f>(R1514*D1514)*1.1</f>
        <v>2640000</v>
      </c>
      <c r="T1514" s="102">
        <f>(R1514*Q1514)</f>
        <v>2400000</v>
      </c>
      <c r="U1514" s="71" t="str">
        <f t="shared" si="758"/>
        <v>X</v>
      </c>
      <c r="V1514" s="71"/>
      <c r="W1514" s="474"/>
      <c r="X1514" s="71"/>
      <c r="Y1514" s="71"/>
    </row>
    <row r="1515" spans="1:25" ht="30" hidden="1" customHeight="1" x14ac:dyDescent="0.25">
      <c r="A1515" s="82">
        <v>181126</v>
      </c>
      <c r="B1515" s="664" t="s">
        <v>1051</v>
      </c>
      <c r="C1515" s="71" t="s">
        <v>1383</v>
      </c>
      <c r="D1515" s="71">
        <v>400</v>
      </c>
      <c r="E1515" s="102">
        <v>6260</v>
      </c>
      <c r="F1515" s="102">
        <f t="shared" si="768"/>
        <v>2754400</v>
      </c>
      <c r="G1515" s="102">
        <f t="shared" si="769"/>
        <v>2504000</v>
      </c>
      <c r="H1515" s="690" t="s">
        <v>142</v>
      </c>
      <c r="I1515" s="71" t="s">
        <v>140</v>
      </c>
      <c r="J1515" s="53">
        <f t="shared" si="763"/>
        <v>820000</v>
      </c>
      <c r="K1515" s="63">
        <f t="shared" si="766"/>
        <v>0.32747603833865813</v>
      </c>
      <c r="L1515" s="82">
        <v>18.11</v>
      </c>
      <c r="M1515" s="468"/>
      <c r="N1515" s="664">
        <f t="shared" si="767"/>
        <v>181126</v>
      </c>
      <c r="O1515" s="71" t="s">
        <v>145</v>
      </c>
      <c r="P1515" s="103" t="str">
        <f>C1515</f>
        <v>ENGAGE 1055*811</v>
      </c>
      <c r="Q1515" s="71">
        <f t="shared" si="770"/>
        <v>400</v>
      </c>
      <c r="R1515" s="102">
        <v>4210</v>
      </c>
      <c r="S1515" s="102">
        <f>R1515*Q1515*1.1</f>
        <v>1852400.0000000002</v>
      </c>
      <c r="T1515" s="102">
        <f>R1515*Q1515</f>
        <v>1684000</v>
      </c>
      <c r="U1515" s="71"/>
      <c r="V1515" s="71"/>
      <c r="W1515" s="474">
        <f t="shared" ref="W1515:W1529" si="771">(G1515-T1515)</f>
        <v>820000</v>
      </c>
      <c r="X1515" s="71"/>
      <c r="Y1515" s="71"/>
    </row>
    <row r="1516" spans="1:25" ht="30" hidden="1" customHeight="1" x14ac:dyDescent="0.25">
      <c r="A1516" s="82">
        <v>181126</v>
      </c>
      <c r="B1516" s="664" t="s">
        <v>1051</v>
      </c>
      <c r="C1516" s="67" t="s">
        <v>1386</v>
      </c>
      <c r="D1516" s="71">
        <v>10</v>
      </c>
      <c r="E1516" s="102">
        <v>55000</v>
      </c>
      <c r="F1516" s="102">
        <f t="shared" si="768"/>
        <v>605000</v>
      </c>
      <c r="G1516" s="102">
        <f t="shared" si="769"/>
        <v>550000</v>
      </c>
      <c r="H1516" s="690" t="s">
        <v>142</v>
      </c>
      <c r="I1516" s="71" t="s">
        <v>140</v>
      </c>
      <c r="J1516" s="53">
        <f t="shared" si="763"/>
        <v>200000</v>
      </c>
      <c r="K1516" s="63">
        <f t="shared" si="766"/>
        <v>0.36363636363636365</v>
      </c>
      <c r="L1516" s="82">
        <v>18.11</v>
      </c>
      <c r="M1516" s="468"/>
      <c r="N1516" s="664">
        <f t="shared" si="767"/>
        <v>181126</v>
      </c>
      <c r="O1516" s="71" t="s">
        <v>145</v>
      </c>
      <c r="P1516" s="103" t="str">
        <f>C1516</f>
        <v>THR200(20L)보충액</v>
      </c>
      <c r="Q1516" s="71">
        <f t="shared" si="770"/>
        <v>10</v>
      </c>
      <c r="R1516" s="102">
        <v>35000</v>
      </c>
      <c r="S1516" s="102">
        <f>R1516*Q1516*1.1</f>
        <v>385000.00000000006</v>
      </c>
      <c r="T1516" s="102">
        <f>R1516*Q1516</f>
        <v>350000</v>
      </c>
      <c r="U1516" s="71" t="str">
        <f>IF(J1516=W1516,"O", "X")</f>
        <v>O</v>
      </c>
      <c r="V1516" s="71"/>
      <c r="W1516" s="474">
        <f t="shared" si="771"/>
        <v>200000</v>
      </c>
      <c r="X1516" s="71"/>
      <c r="Y1516" s="71"/>
    </row>
    <row r="1517" spans="1:25" ht="30" hidden="1" customHeight="1" x14ac:dyDescent="0.25">
      <c r="A1517" s="82">
        <v>181126</v>
      </c>
      <c r="B1517" s="664" t="s">
        <v>1051</v>
      </c>
      <c r="C1517" s="71" t="s">
        <v>1387</v>
      </c>
      <c r="D1517" s="71">
        <v>10</v>
      </c>
      <c r="E1517" s="102">
        <v>55000</v>
      </c>
      <c r="F1517" s="102">
        <f t="shared" si="768"/>
        <v>605000</v>
      </c>
      <c r="G1517" s="102">
        <f t="shared" si="769"/>
        <v>550000</v>
      </c>
      <c r="H1517" s="690" t="s">
        <v>142</v>
      </c>
      <c r="I1517" s="71" t="s">
        <v>140</v>
      </c>
      <c r="J1517" s="53">
        <f t="shared" si="763"/>
        <v>200000</v>
      </c>
      <c r="K1517" s="63">
        <f t="shared" si="766"/>
        <v>0.36363636363636365</v>
      </c>
      <c r="L1517" s="82">
        <v>18.11</v>
      </c>
      <c r="M1517" s="468"/>
      <c r="N1517" s="664">
        <f t="shared" si="767"/>
        <v>181126</v>
      </c>
      <c r="O1517" s="71" t="s">
        <v>145</v>
      </c>
      <c r="P1517" s="103" t="str">
        <f>(C1517)</f>
        <v>THD200(20L)현상액</v>
      </c>
      <c r="Q1517" s="71">
        <f t="shared" si="770"/>
        <v>10</v>
      </c>
      <c r="R1517" s="102">
        <v>35000</v>
      </c>
      <c r="S1517" s="102">
        <f>(R1517*D1517)*1.1</f>
        <v>385000.00000000006</v>
      </c>
      <c r="T1517" s="102">
        <f>(R1517*Q1517)</f>
        <v>350000</v>
      </c>
      <c r="U1517" s="71" t="str">
        <f>IF(J1517=W1517,"O", "X")</f>
        <v>O</v>
      </c>
      <c r="V1517" s="71"/>
      <c r="W1517" s="474">
        <f t="shared" si="771"/>
        <v>200000</v>
      </c>
      <c r="X1517" s="71"/>
      <c r="Y1517" s="71"/>
    </row>
    <row r="1518" spans="1:25" ht="30" hidden="1" customHeight="1" x14ac:dyDescent="0.25">
      <c r="A1518" s="82">
        <v>181126</v>
      </c>
      <c r="B1518" s="664" t="s">
        <v>631</v>
      </c>
      <c r="C1518" s="67" t="s">
        <v>956</v>
      </c>
      <c r="D1518" s="71">
        <v>10</v>
      </c>
      <c r="E1518" s="102">
        <v>82500</v>
      </c>
      <c r="F1518" s="102">
        <f t="shared" si="768"/>
        <v>907500.00000000012</v>
      </c>
      <c r="G1518" s="102">
        <f t="shared" si="769"/>
        <v>825000</v>
      </c>
      <c r="H1518" s="690" t="s">
        <v>173</v>
      </c>
      <c r="I1518" s="71" t="s">
        <v>109</v>
      </c>
      <c r="J1518" s="53">
        <f>(G1518-(VLOOKUP(C1518,Price!B:D,3,FALSE)*D1518))</f>
        <v>185000</v>
      </c>
      <c r="K1518" s="63">
        <f t="shared" si="766"/>
        <v>0.22424242424242422</v>
      </c>
      <c r="L1518" s="82">
        <v>18.11</v>
      </c>
      <c r="M1518" s="468"/>
      <c r="N1518" s="664">
        <f t="shared" si="767"/>
        <v>181126</v>
      </c>
      <c r="O1518" s="71" t="s">
        <v>149</v>
      </c>
      <c r="P1518" s="103" t="str">
        <f>C1518</f>
        <v>Bar블랑켓 830*750</v>
      </c>
      <c r="Q1518" s="71">
        <f t="shared" si="770"/>
        <v>10</v>
      </c>
      <c r="R1518" s="102">
        <v>64000</v>
      </c>
      <c r="S1518" s="102">
        <f>R1518*Q1518*1.1</f>
        <v>704000</v>
      </c>
      <c r="T1518" s="102">
        <f>R1518*Q1518</f>
        <v>640000</v>
      </c>
      <c r="U1518" s="71" t="str">
        <f>IF(J1518=W1518,"O", "X")</f>
        <v>O</v>
      </c>
      <c r="V1518" s="71"/>
      <c r="W1518" s="474">
        <f t="shared" si="771"/>
        <v>185000</v>
      </c>
      <c r="X1518" s="71"/>
      <c r="Y1518" s="71"/>
    </row>
    <row r="1519" spans="1:25" ht="30" customHeight="1" x14ac:dyDescent="0.25">
      <c r="A1519" s="82">
        <v>181127</v>
      </c>
      <c r="B1519" s="664" t="s">
        <v>422</v>
      </c>
      <c r="C1519" s="760" t="s">
        <v>218</v>
      </c>
      <c r="D1519" s="71">
        <v>5</v>
      </c>
      <c r="E1519" s="102">
        <v>235000</v>
      </c>
      <c r="F1519" s="102">
        <f t="shared" si="768"/>
        <v>1292500</v>
      </c>
      <c r="G1519" s="102">
        <f t="shared" si="769"/>
        <v>1175000</v>
      </c>
      <c r="H1519" s="690" t="s">
        <v>173</v>
      </c>
      <c r="I1519" s="71" t="s">
        <v>120</v>
      </c>
      <c r="J1519" s="53">
        <f>(G1519-(VLOOKUP(C1519,Price!B:D,3,FALSE)*D1519))</f>
        <v>612500</v>
      </c>
      <c r="K1519" s="63">
        <f t="shared" si="766"/>
        <v>0.52127659574468088</v>
      </c>
      <c r="L1519" s="82">
        <v>18.11</v>
      </c>
      <c r="M1519" s="468"/>
      <c r="N1519" s="664">
        <f t="shared" si="767"/>
        <v>181127</v>
      </c>
      <c r="O1519" s="71" t="s">
        <v>150</v>
      </c>
      <c r="P1519" s="103" t="str">
        <f>C1519</f>
        <v>Fount Web 551AF</v>
      </c>
      <c r="Q1519" s="71">
        <f t="shared" si="770"/>
        <v>5</v>
      </c>
      <c r="R1519" s="102">
        <v>112500</v>
      </c>
      <c r="S1519" s="102">
        <f>R1519*Q1519*1.1</f>
        <v>618750</v>
      </c>
      <c r="T1519" s="102">
        <f>R1519*Q1519</f>
        <v>562500</v>
      </c>
      <c r="U1519" s="71" t="str">
        <f>IF(J1519=W1519,"O", "X")</f>
        <v>O</v>
      </c>
      <c r="V1519" s="71"/>
      <c r="W1519" s="474">
        <f t="shared" si="771"/>
        <v>612500</v>
      </c>
      <c r="X1519" s="71"/>
      <c r="Y1519" s="71"/>
    </row>
    <row r="1520" spans="1:25" ht="30" hidden="1" customHeight="1" x14ac:dyDescent="0.25">
      <c r="A1520" s="82">
        <v>181128</v>
      </c>
      <c r="B1520" s="664" t="s">
        <v>690</v>
      </c>
      <c r="C1520" s="71" t="s">
        <v>1494</v>
      </c>
      <c r="D1520" s="71">
        <v>6</v>
      </c>
      <c r="E1520" s="102">
        <v>110000</v>
      </c>
      <c r="F1520" s="102">
        <f t="shared" si="768"/>
        <v>726000.00000000012</v>
      </c>
      <c r="G1520" s="102">
        <f t="shared" si="769"/>
        <v>660000</v>
      </c>
      <c r="H1520" s="690" t="s">
        <v>173</v>
      </c>
      <c r="I1520" s="71" t="s">
        <v>109</v>
      </c>
      <c r="J1520" s="53">
        <f>G1520-T1520</f>
        <v>177000</v>
      </c>
      <c r="K1520" s="63">
        <f>(J1520/(F1520/11*10))</f>
        <v>0.26818181818181813</v>
      </c>
      <c r="L1520" s="82">
        <v>18.11</v>
      </c>
      <c r="M1520" s="468"/>
      <c r="N1520" s="664">
        <f t="shared" si="767"/>
        <v>181128</v>
      </c>
      <c r="O1520" s="71" t="s">
        <v>147</v>
      </c>
      <c r="P1520" s="103" t="str">
        <f>C1520</f>
        <v>블랑켓 1050*845 bar</v>
      </c>
      <c r="Q1520" s="71">
        <f t="shared" si="770"/>
        <v>6</v>
      </c>
      <c r="R1520" s="102">
        <v>80500</v>
      </c>
      <c r="S1520" s="102">
        <f>R1520*Q1520*1.1</f>
        <v>531300</v>
      </c>
      <c r="T1520" s="102">
        <f>R1520*Q1520</f>
        <v>483000</v>
      </c>
      <c r="U1520" s="71" t="str">
        <f>IF(J1520=W1520,"O", "X")</f>
        <v>O</v>
      </c>
      <c r="V1520" s="71"/>
      <c r="W1520" s="474">
        <f t="shared" si="771"/>
        <v>177000</v>
      </c>
      <c r="X1520" s="71"/>
      <c r="Y1520" s="71"/>
    </row>
    <row r="1521" spans="1:25" ht="30" hidden="1" customHeight="1" x14ac:dyDescent="0.25">
      <c r="A1521" s="82">
        <v>181128</v>
      </c>
      <c r="B1521" s="664" t="s">
        <v>923</v>
      </c>
      <c r="C1521" s="71" t="s">
        <v>1295</v>
      </c>
      <c r="D1521" s="71">
        <v>993</v>
      </c>
      <c r="E1521" s="102">
        <v>1050</v>
      </c>
      <c r="F1521" s="102">
        <f t="shared" si="768"/>
        <v>1146915</v>
      </c>
      <c r="G1521" s="102">
        <f t="shared" si="769"/>
        <v>1042650</v>
      </c>
      <c r="H1521" s="690" t="s">
        <v>173</v>
      </c>
      <c r="I1521" s="71" t="s">
        <v>140</v>
      </c>
      <c r="J1521" s="53">
        <f>G1521</f>
        <v>1042650</v>
      </c>
      <c r="K1521" s="63">
        <f t="shared" ref="K1521:K1530" si="772">(J1521/(F1521/11*10))</f>
        <v>1</v>
      </c>
      <c r="L1521" s="82">
        <v>18.11</v>
      </c>
      <c r="M1521" s="468"/>
      <c r="N1521" s="664">
        <f t="shared" si="767"/>
        <v>181128</v>
      </c>
      <c r="O1521" s="71" t="s">
        <v>690</v>
      </c>
      <c r="P1521" s="103" t="str">
        <f t="shared" ref="P1521:P1530" si="773">C1521</f>
        <v>폐판(세흥)</v>
      </c>
      <c r="Q1521" s="71">
        <f t="shared" si="770"/>
        <v>993</v>
      </c>
      <c r="R1521" s="102"/>
      <c r="S1521" s="102"/>
      <c r="T1521" s="102"/>
      <c r="U1521" s="71"/>
      <c r="V1521" s="71"/>
      <c r="W1521" s="474">
        <f t="shared" si="771"/>
        <v>1042650</v>
      </c>
      <c r="X1521" s="71"/>
      <c r="Y1521" s="71"/>
    </row>
    <row r="1522" spans="1:25" ht="30" hidden="1" customHeight="1" x14ac:dyDescent="0.25">
      <c r="A1522" s="82">
        <v>181128</v>
      </c>
      <c r="B1522" s="664" t="s">
        <v>1061</v>
      </c>
      <c r="C1522" s="71" t="s">
        <v>616</v>
      </c>
      <c r="D1522" s="71">
        <v>200</v>
      </c>
      <c r="E1522" s="102">
        <v>6600</v>
      </c>
      <c r="F1522" s="102">
        <f t="shared" ref="F1522:F1540" si="774">(E1522*D1522)*1.1</f>
        <v>1452000.0000000002</v>
      </c>
      <c r="G1522" s="102">
        <f t="shared" ref="G1522:G1540" si="775">(E1522*D1522)</f>
        <v>1320000</v>
      </c>
      <c r="H1522" s="690" t="s">
        <v>142</v>
      </c>
      <c r="I1522" s="71" t="s">
        <v>144</v>
      </c>
      <c r="J1522" s="53">
        <f>(G1522-(VLOOKUP(C1522,Price!B:D,3,FALSE)*D1522))</f>
        <v>140000</v>
      </c>
      <c r="K1522" s="63">
        <f t="shared" si="772"/>
        <v>0.10606060606060604</v>
      </c>
      <c r="L1522" s="82">
        <v>18.11</v>
      </c>
      <c r="M1522" s="468"/>
      <c r="N1522" s="664">
        <f t="shared" si="767"/>
        <v>181128</v>
      </c>
      <c r="O1522" s="71" t="s">
        <v>147</v>
      </c>
      <c r="P1522" s="103" t="str">
        <f t="shared" si="773"/>
        <v>프리미어(먹)</v>
      </c>
      <c r="Q1522" s="71">
        <f t="shared" si="770"/>
        <v>200</v>
      </c>
      <c r="R1522" s="102">
        <v>5900</v>
      </c>
      <c r="S1522" s="102">
        <f>R1522*Q1522*1.1</f>
        <v>1298000</v>
      </c>
      <c r="T1522" s="102">
        <f>R1522*Q1522</f>
        <v>1180000</v>
      </c>
      <c r="U1522" s="71" t="str">
        <f t="shared" ref="U1522:U1540" si="776">IF(J1522=W1522,"O", "X")</f>
        <v>O</v>
      </c>
      <c r="V1522" s="71"/>
      <c r="W1522" s="474">
        <f t="shared" si="771"/>
        <v>140000</v>
      </c>
      <c r="X1522" s="71"/>
      <c r="Y1522" s="71"/>
    </row>
    <row r="1523" spans="1:25" ht="30" hidden="1" customHeight="1" x14ac:dyDescent="0.25">
      <c r="A1523" s="82">
        <v>181128</v>
      </c>
      <c r="B1523" s="664" t="s">
        <v>1052</v>
      </c>
      <c r="C1523" s="71" t="s">
        <v>585</v>
      </c>
      <c r="D1523" s="71">
        <v>200</v>
      </c>
      <c r="E1523" s="102">
        <v>7500</v>
      </c>
      <c r="F1523" s="102">
        <f t="shared" si="774"/>
        <v>1650000.0000000002</v>
      </c>
      <c r="G1523" s="102">
        <f t="shared" si="775"/>
        <v>1500000</v>
      </c>
      <c r="H1523" s="690" t="s">
        <v>142</v>
      </c>
      <c r="I1523" s="71" t="s">
        <v>144</v>
      </c>
      <c r="J1523" s="53">
        <f>(G1523-(VLOOKUP(C1523,Price!B:D,3,FALSE)*D1523))</f>
        <v>146000</v>
      </c>
      <c r="K1523" s="63">
        <f t="shared" si="772"/>
        <v>9.7333333333333313E-2</v>
      </c>
      <c r="L1523" s="82">
        <v>18.11</v>
      </c>
      <c r="M1523" s="468"/>
      <c r="N1523" s="664">
        <f t="shared" si="767"/>
        <v>181128</v>
      </c>
      <c r="O1523" s="71" t="s">
        <v>147</v>
      </c>
      <c r="P1523" s="103" t="str">
        <f t="shared" si="773"/>
        <v>프리미어(적)</v>
      </c>
      <c r="Q1523" s="71">
        <f t="shared" si="770"/>
        <v>200</v>
      </c>
      <c r="R1523" s="102">
        <v>6770</v>
      </c>
      <c r="S1523" s="102">
        <f>R1523*Q1523*1.1</f>
        <v>1489400.0000000002</v>
      </c>
      <c r="T1523" s="102">
        <f>R1523*Q1523</f>
        <v>1354000</v>
      </c>
      <c r="U1523" s="71" t="str">
        <f t="shared" si="776"/>
        <v>O</v>
      </c>
      <c r="V1523" s="71"/>
      <c r="W1523" s="474">
        <f t="shared" si="771"/>
        <v>146000</v>
      </c>
      <c r="X1523" s="71"/>
      <c r="Y1523" s="71"/>
    </row>
    <row r="1524" spans="1:25" ht="30" hidden="1" customHeight="1" x14ac:dyDescent="0.25">
      <c r="A1524" s="82">
        <v>181128</v>
      </c>
      <c r="B1524" s="664" t="s">
        <v>1061</v>
      </c>
      <c r="C1524" s="71" t="s">
        <v>586</v>
      </c>
      <c r="D1524" s="71">
        <v>200</v>
      </c>
      <c r="E1524" s="102">
        <v>6750</v>
      </c>
      <c r="F1524" s="102">
        <f t="shared" si="774"/>
        <v>1485000.0000000002</v>
      </c>
      <c r="G1524" s="102">
        <f t="shared" si="775"/>
        <v>1350000</v>
      </c>
      <c r="H1524" s="690" t="s">
        <v>142</v>
      </c>
      <c r="I1524" s="71" t="s">
        <v>144</v>
      </c>
      <c r="J1524" s="53">
        <f t="shared" ref="J1524:J1540" si="777">G1524-T1524</f>
        <v>114000</v>
      </c>
      <c r="K1524" s="63">
        <f t="shared" si="772"/>
        <v>8.4444444444444433E-2</v>
      </c>
      <c r="L1524" s="82">
        <v>18.11</v>
      </c>
      <c r="M1524" s="468"/>
      <c r="N1524" s="664">
        <f t="shared" si="767"/>
        <v>181128</v>
      </c>
      <c r="O1524" s="71" t="s">
        <v>147</v>
      </c>
      <c r="P1524" s="103" t="str">
        <f t="shared" si="773"/>
        <v>프리미어(황)</v>
      </c>
      <c r="Q1524" s="71">
        <f t="shared" si="770"/>
        <v>200</v>
      </c>
      <c r="R1524" s="102">
        <v>6180</v>
      </c>
      <c r="S1524" s="102">
        <f>(R1524*D1524)*1.1</f>
        <v>1359600</v>
      </c>
      <c r="T1524" s="102">
        <f>(R1524*Q1524)</f>
        <v>1236000</v>
      </c>
      <c r="U1524" s="71" t="str">
        <f t="shared" si="776"/>
        <v>O</v>
      </c>
      <c r="V1524" s="71"/>
      <c r="W1524" s="474">
        <f t="shared" si="771"/>
        <v>114000</v>
      </c>
      <c r="X1524" s="71"/>
      <c r="Y1524" s="71"/>
    </row>
    <row r="1525" spans="1:25" ht="30" hidden="1" customHeight="1" x14ac:dyDescent="0.25">
      <c r="A1525" s="82">
        <v>181128</v>
      </c>
      <c r="B1525" s="664" t="s">
        <v>1061</v>
      </c>
      <c r="C1525" s="71" t="s">
        <v>587</v>
      </c>
      <c r="D1525" s="71">
        <v>200</v>
      </c>
      <c r="E1525" s="102">
        <v>8000</v>
      </c>
      <c r="F1525" s="102">
        <f t="shared" si="774"/>
        <v>1760000.0000000002</v>
      </c>
      <c r="G1525" s="102">
        <f t="shared" si="775"/>
        <v>1600000</v>
      </c>
      <c r="H1525" s="690" t="s">
        <v>142</v>
      </c>
      <c r="I1525" s="71" t="s">
        <v>144</v>
      </c>
      <c r="J1525" s="53">
        <f t="shared" si="777"/>
        <v>218000</v>
      </c>
      <c r="K1525" s="63">
        <f t="shared" si="772"/>
        <v>0.13624999999999998</v>
      </c>
      <c r="L1525" s="82">
        <v>18.11</v>
      </c>
      <c r="M1525" s="468"/>
      <c r="N1525" s="664">
        <f t="shared" si="767"/>
        <v>181128</v>
      </c>
      <c r="O1525" s="71" t="s">
        <v>147</v>
      </c>
      <c r="P1525" s="103" t="str">
        <f t="shared" si="773"/>
        <v>프리미어(청)</v>
      </c>
      <c r="Q1525" s="71">
        <f t="shared" si="770"/>
        <v>200</v>
      </c>
      <c r="R1525" s="102">
        <v>6910</v>
      </c>
      <c r="S1525" s="102">
        <f>(R1525*D1525)*1.1</f>
        <v>1520200.0000000002</v>
      </c>
      <c r="T1525" s="102">
        <f>(R1525*Q1525)</f>
        <v>1382000</v>
      </c>
      <c r="U1525" s="71" t="str">
        <f t="shared" si="776"/>
        <v>O</v>
      </c>
      <c r="V1525" s="71"/>
      <c r="W1525" s="474">
        <f t="shared" si="771"/>
        <v>218000</v>
      </c>
      <c r="X1525" s="71"/>
      <c r="Y1525" s="71"/>
    </row>
    <row r="1526" spans="1:25" ht="30" hidden="1" customHeight="1" x14ac:dyDescent="0.25">
      <c r="A1526" s="82">
        <v>181128</v>
      </c>
      <c r="B1526" s="664" t="s">
        <v>1052</v>
      </c>
      <c r="C1526" s="71" t="s">
        <v>1115</v>
      </c>
      <c r="D1526" s="71">
        <v>200</v>
      </c>
      <c r="E1526" s="102">
        <v>6200</v>
      </c>
      <c r="F1526" s="102">
        <f t="shared" si="774"/>
        <v>1364000</v>
      </c>
      <c r="G1526" s="102">
        <f t="shared" si="775"/>
        <v>1240000</v>
      </c>
      <c r="H1526" s="690" t="s">
        <v>142</v>
      </c>
      <c r="I1526" s="71" t="s">
        <v>144</v>
      </c>
      <c r="J1526" s="53">
        <f t="shared" si="777"/>
        <v>20000</v>
      </c>
      <c r="K1526" s="63">
        <f t="shared" si="772"/>
        <v>1.6129032258064516E-2</v>
      </c>
      <c r="L1526" s="82">
        <v>18.11</v>
      </c>
      <c r="M1526" s="468"/>
      <c r="N1526" s="664">
        <f t="shared" ref="N1526:N1540" si="778">A1526</f>
        <v>181128</v>
      </c>
      <c r="O1526" s="71" t="s">
        <v>147</v>
      </c>
      <c r="P1526" s="103" t="str">
        <f t="shared" si="773"/>
        <v>한특 잉크(적)</v>
      </c>
      <c r="Q1526" s="71">
        <f t="shared" si="770"/>
        <v>200</v>
      </c>
      <c r="R1526" s="102">
        <v>6100</v>
      </c>
      <c r="S1526" s="102">
        <f>R1526*Q1526*1.1</f>
        <v>1342000</v>
      </c>
      <c r="T1526" s="102">
        <f>R1526*Q1526</f>
        <v>1220000</v>
      </c>
      <c r="U1526" s="71" t="str">
        <f t="shared" si="776"/>
        <v>O</v>
      </c>
      <c r="V1526" s="71"/>
      <c r="W1526" s="474">
        <f t="shared" si="771"/>
        <v>20000</v>
      </c>
      <c r="X1526" s="71"/>
      <c r="Y1526" s="71"/>
    </row>
    <row r="1527" spans="1:25" ht="30" hidden="1" customHeight="1" x14ac:dyDescent="0.25">
      <c r="A1527" s="82">
        <v>181128</v>
      </c>
      <c r="B1527" s="664" t="s">
        <v>1052</v>
      </c>
      <c r="C1527" s="71" t="s">
        <v>1116</v>
      </c>
      <c r="D1527" s="71">
        <v>300</v>
      </c>
      <c r="E1527" s="102">
        <v>6000</v>
      </c>
      <c r="F1527" s="102">
        <f t="shared" si="774"/>
        <v>1980000.0000000002</v>
      </c>
      <c r="G1527" s="102">
        <f t="shared" si="775"/>
        <v>1800000</v>
      </c>
      <c r="H1527" s="690" t="s">
        <v>142</v>
      </c>
      <c r="I1527" s="71" t="s">
        <v>144</v>
      </c>
      <c r="J1527" s="53">
        <f t="shared" si="777"/>
        <v>30000</v>
      </c>
      <c r="K1527" s="63">
        <f t="shared" si="772"/>
        <v>1.6666666666666663E-2</v>
      </c>
      <c r="L1527" s="82">
        <v>18.11</v>
      </c>
      <c r="M1527" s="468"/>
      <c r="N1527" s="664">
        <f t="shared" si="778"/>
        <v>181128</v>
      </c>
      <c r="O1527" s="71" t="s">
        <v>147</v>
      </c>
      <c r="P1527" s="103" t="str">
        <f t="shared" si="773"/>
        <v>한특 잉크(황)</v>
      </c>
      <c r="Q1527" s="71">
        <f t="shared" si="770"/>
        <v>300</v>
      </c>
      <c r="R1527" s="102">
        <v>5900</v>
      </c>
      <c r="S1527" s="102">
        <f>R1527*Q1527*1.1</f>
        <v>1947000.0000000002</v>
      </c>
      <c r="T1527" s="102">
        <f>R1527*Q1527</f>
        <v>1770000</v>
      </c>
      <c r="U1527" s="71" t="str">
        <f t="shared" si="776"/>
        <v>O</v>
      </c>
      <c r="V1527" s="71"/>
      <c r="W1527" s="474">
        <f t="shared" si="771"/>
        <v>30000</v>
      </c>
      <c r="X1527" s="71"/>
      <c r="Y1527" s="71"/>
    </row>
    <row r="1528" spans="1:25" ht="30" hidden="1" customHeight="1" x14ac:dyDescent="0.25">
      <c r="A1528" s="82">
        <v>181128</v>
      </c>
      <c r="B1528" s="664" t="s">
        <v>1052</v>
      </c>
      <c r="C1528" s="71" t="s">
        <v>1117</v>
      </c>
      <c r="D1528" s="71">
        <v>250</v>
      </c>
      <c r="E1528" s="102">
        <v>6500</v>
      </c>
      <c r="F1528" s="102">
        <f t="shared" si="774"/>
        <v>1787500.0000000002</v>
      </c>
      <c r="G1528" s="102">
        <f t="shared" si="775"/>
        <v>1625000</v>
      </c>
      <c r="H1528" s="690" t="s">
        <v>142</v>
      </c>
      <c r="I1528" s="71" t="s">
        <v>144</v>
      </c>
      <c r="J1528" s="53">
        <f t="shared" si="777"/>
        <v>25000</v>
      </c>
      <c r="K1528" s="63">
        <f t="shared" si="772"/>
        <v>1.5384615384615382E-2</v>
      </c>
      <c r="L1528" s="82">
        <v>18.11</v>
      </c>
      <c r="M1528" s="468"/>
      <c r="N1528" s="664">
        <f t="shared" si="778"/>
        <v>181128</v>
      </c>
      <c r="O1528" s="71" t="s">
        <v>147</v>
      </c>
      <c r="P1528" s="103" t="str">
        <f t="shared" si="773"/>
        <v>한특 잉크(청)</v>
      </c>
      <c r="Q1528" s="71">
        <f t="shared" si="770"/>
        <v>250</v>
      </c>
      <c r="R1528" s="102">
        <v>6400</v>
      </c>
      <c r="S1528" s="102">
        <f>R1528*Q1528*1.1</f>
        <v>1760000.0000000002</v>
      </c>
      <c r="T1528" s="102">
        <f>R1528*Q1528</f>
        <v>1600000</v>
      </c>
      <c r="U1528" s="71" t="str">
        <f t="shared" si="776"/>
        <v>O</v>
      </c>
      <c r="V1528" s="71"/>
      <c r="W1528" s="474">
        <f t="shared" si="771"/>
        <v>25000</v>
      </c>
      <c r="X1528" s="71"/>
      <c r="Y1528" s="71"/>
    </row>
    <row r="1529" spans="1:25" ht="30" hidden="1" customHeight="1" x14ac:dyDescent="0.25">
      <c r="A1529" s="82">
        <v>181128</v>
      </c>
      <c r="B1529" s="664" t="s">
        <v>1052</v>
      </c>
      <c r="C1529" s="71" t="s">
        <v>1118</v>
      </c>
      <c r="D1529" s="71">
        <v>100</v>
      </c>
      <c r="E1529" s="102">
        <v>5600</v>
      </c>
      <c r="F1529" s="102">
        <f t="shared" si="774"/>
        <v>616000</v>
      </c>
      <c r="G1529" s="102">
        <f t="shared" si="775"/>
        <v>560000</v>
      </c>
      <c r="H1529" s="690" t="s">
        <v>142</v>
      </c>
      <c r="I1529" s="71" t="s">
        <v>144</v>
      </c>
      <c r="J1529" s="53">
        <f t="shared" si="777"/>
        <v>10000</v>
      </c>
      <c r="K1529" s="63">
        <f t="shared" si="772"/>
        <v>1.7857142857142856E-2</v>
      </c>
      <c r="L1529" s="82">
        <v>18.11</v>
      </c>
      <c r="M1529" s="468"/>
      <c r="N1529" s="664">
        <f t="shared" si="778"/>
        <v>181128</v>
      </c>
      <c r="O1529" s="71" t="s">
        <v>147</v>
      </c>
      <c r="P1529" s="103" t="str">
        <f t="shared" si="773"/>
        <v>한특 잉크(먹)</v>
      </c>
      <c r="Q1529" s="71">
        <f t="shared" si="770"/>
        <v>100</v>
      </c>
      <c r="R1529" s="102">
        <v>5500</v>
      </c>
      <c r="S1529" s="102">
        <f>R1529*Q1529*1.1</f>
        <v>605000</v>
      </c>
      <c r="T1529" s="102">
        <f>R1529*Q1529</f>
        <v>550000</v>
      </c>
      <c r="U1529" s="71" t="str">
        <f t="shared" si="776"/>
        <v>O</v>
      </c>
      <c r="V1529" s="71"/>
      <c r="W1529" s="474">
        <f t="shared" si="771"/>
        <v>10000</v>
      </c>
      <c r="X1529" s="71"/>
      <c r="Y1529" s="71"/>
    </row>
    <row r="1530" spans="1:25" ht="30" hidden="1" customHeight="1" x14ac:dyDescent="0.2">
      <c r="A1530" s="82">
        <v>181128</v>
      </c>
      <c r="B1530" s="664" t="s">
        <v>567</v>
      </c>
      <c r="C1530" s="71" t="s">
        <v>1556</v>
      </c>
      <c r="D1530" s="71">
        <v>4</v>
      </c>
      <c r="E1530" s="102">
        <v>185000</v>
      </c>
      <c r="F1530" s="163">
        <f t="shared" si="774"/>
        <v>814000.00000000012</v>
      </c>
      <c r="G1530" s="163">
        <f t="shared" si="775"/>
        <v>740000</v>
      </c>
      <c r="H1530" s="690" t="s">
        <v>173</v>
      </c>
      <c r="I1530" s="71" t="s">
        <v>108</v>
      </c>
      <c r="J1530" s="53">
        <f t="shared" si="777"/>
        <v>628323.81266183045</v>
      </c>
      <c r="K1530" s="63">
        <f t="shared" si="772"/>
        <v>0.84908623332679778</v>
      </c>
      <c r="L1530" s="82">
        <v>18.11</v>
      </c>
      <c r="M1530" s="468"/>
      <c r="N1530" s="664">
        <f t="shared" si="778"/>
        <v>181128</v>
      </c>
      <c r="O1530" s="71" t="s">
        <v>1443</v>
      </c>
      <c r="P1530" s="103" t="str">
        <f t="shared" si="773"/>
        <v>SuperRaster Dampening Cleaner</v>
      </c>
      <c r="Q1530" s="71">
        <f t="shared" si="770"/>
        <v>4</v>
      </c>
      <c r="R1530" s="102">
        <f>Import!G724</f>
        <v>27919.046834542376</v>
      </c>
      <c r="S1530" s="102">
        <f t="shared" ref="S1530:S1540" si="779">(R1530*D1530)*1.1</f>
        <v>122843.80607198646</v>
      </c>
      <c r="T1530" s="102">
        <f t="shared" ref="T1530:T1540" si="780">(R1530*Q1530)</f>
        <v>111676.1873381695</v>
      </c>
      <c r="U1530" s="71" t="str">
        <f t="shared" si="776"/>
        <v>X</v>
      </c>
      <c r="V1530" s="71"/>
      <c r="W1530" s="474"/>
      <c r="X1530" s="71"/>
      <c r="Y1530" s="71"/>
    </row>
    <row r="1531" spans="1:25" ht="30" hidden="1" customHeight="1" x14ac:dyDescent="0.25">
      <c r="A1531" s="82">
        <v>181129</v>
      </c>
      <c r="B1531" s="664" t="s">
        <v>764</v>
      </c>
      <c r="C1531" s="1020" t="s">
        <v>1500</v>
      </c>
      <c r="D1531" s="71">
        <v>1</v>
      </c>
      <c r="E1531" s="102">
        <v>2100000</v>
      </c>
      <c r="F1531" s="102">
        <f t="shared" si="774"/>
        <v>2310000</v>
      </c>
      <c r="G1531" s="102">
        <f t="shared" si="775"/>
        <v>2100000</v>
      </c>
      <c r="H1531" s="690" t="s">
        <v>1432</v>
      </c>
      <c r="I1531" s="71"/>
      <c r="J1531" s="53">
        <f t="shared" si="777"/>
        <v>845262.18114841473</v>
      </c>
      <c r="K1531" s="63">
        <f t="shared" ref="K1531:K1540" si="781">(J1531/(F1531/11*10))</f>
        <v>0.40250580054686413</v>
      </c>
      <c r="L1531" s="82">
        <v>18.11</v>
      </c>
      <c r="M1531" s="468"/>
      <c r="N1531" s="664">
        <f t="shared" si="778"/>
        <v>181129</v>
      </c>
      <c r="O1531" s="71" t="s">
        <v>1432</v>
      </c>
      <c r="P1531" s="103" t="str">
        <f t="shared" ref="P1531:P1540" si="782">(C1531)</f>
        <v>Fluidos 1-5% int/ext EPDM,PP</v>
      </c>
      <c r="Q1531" s="71">
        <f t="shared" si="770"/>
        <v>1</v>
      </c>
      <c r="R1531" s="102">
        <f>Import!G646</f>
        <v>1254737.8188515853</v>
      </c>
      <c r="S1531" s="102">
        <f t="shared" si="779"/>
        <v>1380211.600736744</v>
      </c>
      <c r="T1531" s="102">
        <f t="shared" si="780"/>
        <v>1254737.8188515853</v>
      </c>
      <c r="U1531" s="71" t="str">
        <f t="shared" si="776"/>
        <v>X</v>
      </c>
      <c r="V1531" s="71"/>
      <c r="W1531" s="474"/>
      <c r="X1531" s="71"/>
      <c r="Y1531" s="71"/>
    </row>
    <row r="1532" spans="1:25" ht="30" hidden="1" customHeight="1" x14ac:dyDescent="0.25">
      <c r="A1532" s="82">
        <v>181129</v>
      </c>
      <c r="B1532" s="664" t="s">
        <v>764</v>
      </c>
      <c r="C1532" s="71" t="s">
        <v>1501</v>
      </c>
      <c r="D1532" s="71">
        <v>12</v>
      </c>
      <c r="E1532" s="102">
        <v>190000</v>
      </c>
      <c r="F1532" s="102">
        <f t="shared" si="774"/>
        <v>2508000</v>
      </c>
      <c r="G1532" s="102">
        <f t="shared" si="775"/>
        <v>2280000</v>
      </c>
      <c r="H1532" s="690" t="s">
        <v>1432</v>
      </c>
      <c r="I1532" s="71"/>
      <c r="J1532" s="53">
        <f t="shared" si="777"/>
        <v>1423047.6984850373</v>
      </c>
      <c r="K1532" s="63">
        <f t="shared" si="781"/>
        <v>0.62414372740571811</v>
      </c>
      <c r="L1532" s="82">
        <v>18.11</v>
      </c>
      <c r="M1532" s="468"/>
      <c r="N1532" s="664">
        <f t="shared" si="778"/>
        <v>181129</v>
      </c>
      <c r="O1532" s="71" t="s">
        <v>1432</v>
      </c>
      <c r="P1532" s="103" t="str">
        <f t="shared" si="782"/>
        <v>Sub-assembly pressure switch and O-ring</v>
      </c>
      <c r="Q1532" s="71">
        <f t="shared" si="770"/>
        <v>12</v>
      </c>
      <c r="R1532" s="102">
        <f>Import!G645</f>
        <v>71412.691792913552</v>
      </c>
      <c r="S1532" s="102">
        <f t="shared" si="779"/>
        <v>942647.53166645905</v>
      </c>
      <c r="T1532" s="102">
        <f t="shared" si="780"/>
        <v>856952.30151496269</v>
      </c>
      <c r="U1532" s="71" t="str">
        <f t="shared" si="776"/>
        <v>X</v>
      </c>
      <c r="V1532" s="71"/>
      <c r="W1532" s="474"/>
      <c r="X1532" s="71"/>
      <c r="Y1532" s="71"/>
    </row>
    <row r="1533" spans="1:25" ht="30" hidden="1" customHeight="1" x14ac:dyDescent="0.25">
      <c r="A1533" s="82">
        <v>181129</v>
      </c>
      <c r="B1533" s="664" t="s">
        <v>764</v>
      </c>
      <c r="C1533" s="71" t="s">
        <v>1502</v>
      </c>
      <c r="D1533" s="71">
        <v>1</v>
      </c>
      <c r="E1533" s="102">
        <v>695000</v>
      </c>
      <c r="F1533" s="102">
        <f t="shared" si="774"/>
        <v>764500.00000000012</v>
      </c>
      <c r="G1533" s="102">
        <f t="shared" si="775"/>
        <v>695000</v>
      </c>
      <c r="H1533" s="690" t="s">
        <v>1432</v>
      </c>
      <c r="I1533" s="71"/>
      <c r="J1533" s="53">
        <f t="shared" si="777"/>
        <v>416678.08065865806</v>
      </c>
      <c r="K1533" s="63">
        <f t="shared" si="781"/>
        <v>0.59953680670310505</v>
      </c>
      <c r="L1533" s="82">
        <v>18.11</v>
      </c>
      <c r="M1533" s="468"/>
      <c r="N1533" s="664">
        <f t="shared" si="778"/>
        <v>181129</v>
      </c>
      <c r="O1533" s="71" t="s">
        <v>1432</v>
      </c>
      <c r="P1533" s="103" t="str">
        <f t="shared" si="782"/>
        <v>ph-probe glass type</v>
      </c>
      <c r="Q1533" s="71">
        <f t="shared" si="770"/>
        <v>1</v>
      </c>
      <c r="R1533" s="102">
        <f>Import!G642</f>
        <v>278321.91934134194</v>
      </c>
      <c r="S1533" s="102">
        <f t="shared" si="779"/>
        <v>306154.11127547617</v>
      </c>
      <c r="T1533" s="102">
        <f t="shared" si="780"/>
        <v>278321.91934134194</v>
      </c>
      <c r="U1533" s="71" t="str">
        <f t="shared" si="776"/>
        <v>X</v>
      </c>
      <c r="V1533" s="71"/>
      <c r="W1533" s="474"/>
      <c r="X1533" s="71"/>
      <c r="Y1533" s="71"/>
    </row>
    <row r="1534" spans="1:25" ht="30" hidden="1" customHeight="1" x14ac:dyDescent="0.25">
      <c r="A1534" s="82">
        <v>181129</v>
      </c>
      <c r="B1534" s="664" t="s">
        <v>764</v>
      </c>
      <c r="C1534" s="71" t="s">
        <v>1504</v>
      </c>
      <c r="D1534" s="71">
        <v>1</v>
      </c>
      <c r="E1534" s="102">
        <v>148000</v>
      </c>
      <c r="F1534" s="102">
        <f t="shared" si="774"/>
        <v>162800</v>
      </c>
      <c r="G1534" s="102">
        <f t="shared" si="775"/>
        <v>148000</v>
      </c>
      <c r="H1534" s="690" t="s">
        <v>1432</v>
      </c>
      <c r="I1534" s="71"/>
      <c r="J1534" s="53">
        <f t="shared" si="777"/>
        <v>92101.37427153613</v>
      </c>
      <c r="K1534" s="63">
        <f t="shared" si="781"/>
        <v>0.62230658291578467</v>
      </c>
      <c r="L1534" s="82">
        <v>18.11</v>
      </c>
      <c r="M1534" s="468"/>
      <c r="N1534" s="664">
        <f t="shared" si="778"/>
        <v>181129</v>
      </c>
      <c r="O1534" s="71" t="s">
        <v>1432</v>
      </c>
      <c r="P1534" s="103" t="str">
        <f t="shared" si="782"/>
        <v>adapter ph-probe + Valve Seal</v>
      </c>
      <c r="Q1534" s="71">
        <f t="shared" si="770"/>
        <v>1</v>
      </c>
      <c r="R1534" s="102">
        <f>SUM(Import!G643,Import!G644)</f>
        <v>55898.625728463863</v>
      </c>
      <c r="S1534" s="102">
        <f t="shared" si="779"/>
        <v>61488.488301310252</v>
      </c>
      <c r="T1534" s="102">
        <f t="shared" si="780"/>
        <v>55898.625728463863</v>
      </c>
      <c r="U1534" s="71" t="str">
        <f t="shared" si="776"/>
        <v>X</v>
      </c>
      <c r="V1534" s="71"/>
      <c r="W1534" s="474"/>
      <c r="X1534" s="71"/>
      <c r="Y1534" s="71"/>
    </row>
    <row r="1535" spans="1:25" ht="30" hidden="1" customHeight="1" x14ac:dyDescent="0.25">
      <c r="A1535" s="82">
        <v>181129</v>
      </c>
      <c r="B1535" s="664" t="s">
        <v>764</v>
      </c>
      <c r="C1535" s="71" t="s">
        <v>1503</v>
      </c>
      <c r="D1535" s="71">
        <v>1</v>
      </c>
      <c r="E1535" s="102">
        <v>220000</v>
      </c>
      <c r="F1535" s="102">
        <f t="shared" si="774"/>
        <v>242000.00000000003</v>
      </c>
      <c r="G1535" s="102">
        <f t="shared" si="775"/>
        <v>220000</v>
      </c>
      <c r="H1535" s="690" t="s">
        <v>1432</v>
      </c>
      <c r="I1535" s="71"/>
      <c r="J1535" s="53">
        <f t="shared" si="777"/>
        <v>109320.72105764157</v>
      </c>
      <c r="K1535" s="63">
        <f t="shared" si="781"/>
        <v>0.49691236844382525</v>
      </c>
      <c r="L1535" s="82">
        <v>18.11</v>
      </c>
      <c r="M1535" s="468"/>
      <c r="N1535" s="664">
        <f t="shared" si="778"/>
        <v>181129</v>
      </c>
      <c r="O1535" s="71" t="s">
        <v>1432</v>
      </c>
      <c r="P1535" s="103" t="str">
        <f t="shared" si="782"/>
        <v xml:space="preserve">Base housing 1R compl. </v>
      </c>
      <c r="Q1535" s="71">
        <f t="shared" si="770"/>
        <v>1</v>
      </c>
      <c r="R1535" s="102">
        <f>Import!G647</f>
        <v>110679.27894235843</v>
      </c>
      <c r="S1535" s="102">
        <f t="shared" si="779"/>
        <v>121747.20683659428</v>
      </c>
      <c r="T1535" s="102">
        <f t="shared" si="780"/>
        <v>110679.27894235843</v>
      </c>
      <c r="U1535" s="71" t="str">
        <f t="shared" si="776"/>
        <v>X</v>
      </c>
      <c r="V1535" s="71"/>
      <c r="W1535" s="474"/>
      <c r="X1535" s="71"/>
      <c r="Y1535" s="71"/>
    </row>
    <row r="1536" spans="1:25" ht="30" hidden="1" customHeight="1" x14ac:dyDescent="0.25">
      <c r="A1536" s="82">
        <v>181130</v>
      </c>
      <c r="B1536" s="664" t="s">
        <v>546</v>
      </c>
      <c r="C1536" s="71" t="s">
        <v>1427</v>
      </c>
      <c r="D1536" s="71">
        <v>1</v>
      </c>
      <c r="E1536" s="102">
        <v>734200</v>
      </c>
      <c r="F1536" s="102">
        <f>(E1536*D1536)*1.1</f>
        <v>807620.00000000012</v>
      </c>
      <c r="G1536" s="102">
        <f>(E1536*D1536)</f>
        <v>734200</v>
      </c>
      <c r="H1536" s="690" t="s">
        <v>985</v>
      </c>
      <c r="I1536" s="71"/>
      <c r="J1536" s="53">
        <f t="shared" si="777"/>
        <v>80839.982911652303</v>
      </c>
      <c r="K1536" s="63">
        <f t="shared" si="781"/>
        <v>0.11010621480748065</v>
      </c>
      <c r="L1536" s="82">
        <v>18.11</v>
      </c>
      <c r="M1536" s="468" t="s">
        <v>1553</v>
      </c>
      <c r="N1536" s="664">
        <f>A1536</f>
        <v>181130</v>
      </c>
      <c r="O1536" s="71" t="s">
        <v>1431</v>
      </c>
      <c r="P1536" s="103" t="str">
        <f>(C1536)</f>
        <v>드라이어 점검</v>
      </c>
      <c r="Q1536" s="71">
        <f t="shared" si="770"/>
        <v>1</v>
      </c>
      <c r="R1536" s="102">
        <f>Import!G126</f>
        <v>653360.0170883477</v>
      </c>
      <c r="S1536" s="102">
        <f t="shared" si="779"/>
        <v>718696.01879718248</v>
      </c>
      <c r="T1536" s="102">
        <f t="shared" si="780"/>
        <v>653360.0170883477</v>
      </c>
      <c r="U1536" s="71" t="str">
        <f t="shared" si="776"/>
        <v>X</v>
      </c>
      <c r="V1536" s="71"/>
      <c r="W1536" s="474"/>
      <c r="X1536" s="71"/>
      <c r="Y1536" s="71"/>
    </row>
    <row r="1537" spans="1:25" ht="30" hidden="1" customHeight="1" x14ac:dyDescent="0.25">
      <c r="A1537" s="82">
        <v>181130</v>
      </c>
      <c r="B1537" s="664" t="s">
        <v>640</v>
      </c>
      <c r="C1537" s="71" t="s">
        <v>1427</v>
      </c>
      <c r="D1537" s="71">
        <v>1</v>
      </c>
      <c r="E1537" s="102">
        <v>1670100</v>
      </c>
      <c r="F1537" s="102">
        <f>(E1537*D1537)*1.1</f>
        <v>1837110.0000000002</v>
      </c>
      <c r="G1537" s="102">
        <f>(E1537*D1537)</f>
        <v>1670100</v>
      </c>
      <c r="H1537" s="690" t="s">
        <v>985</v>
      </c>
      <c r="I1537" s="71"/>
      <c r="J1537" s="53">
        <f t="shared" si="777"/>
        <v>-82103.239094974007</v>
      </c>
      <c r="K1537" s="63">
        <f t="shared" si="781"/>
        <v>-4.9160672471692708E-2</v>
      </c>
      <c r="L1537" s="82">
        <v>18.11</v>
      </c>
      <c r="M1537" s="468" t="s">
        <v>1553</v>
      </c>
      <c r="N1537" s="664">
        <f>A1537</f>
        <v>181130</v>
      </c>
      <c r="O1537" s="71" t="s">
        <v>1431</v>
      </c>
      <c r="P1537" s="103" t="str">
        <f>(C1537)</f>
        <v>드라이어 점검</v>
      </c>
      <c r="Q1537" s="71">
        <f t="shared" si="770"/>
        <v>1</v>
      </c>
      <c r="R1537" s="102">
        <f>Import!G125</f>
        <v>1752203.239094974</v>
      </c>
      <c r="S1537" s="102">
        <f t="shared" si="779"/>
        <v>1927423.5630044716</v>
      </c>
      <c r="T1537" s="102">
        <f t="shared" si="780"/>
        <v>1752203.239094974</v>
      </c>
      <c r="U1537" s="71" t="str">
        <f t="shared" si="776"/>
        <v>X</v>
      </c>
      <c r="V1537" s="71"/>
      <c r="W1537" s="474"/>
      <c r="X1537" s="71"/>
      <c r="Y1537" s="71"/>
    </row>
    <row r="1538" spans="1:25" ht="30" hidden="1" customHeight="1" x14ac:dyDescent="0.25">
      <c r="A1538" s="82">
        <v>181130</v>
      </c>
      <c r="B1538" s="664" t="s">
        <v>1286</v>
      </c>
      <c r="C1538" s="71" t="s">
        <v>1427</v>
      </c>
      <c r="D1538" s="71">
        <v>1</v>
      </c>
      <c r="E1538" s="102">
        <v>370900</v>
      </c>
      <c r="F1538" s="102">
        <f>(E1538*D1538)*1.1</f>
        <v>407990.00000000006</v>
      </c>
      <c r="G1538" s="102">
        <f>(E1538*D1538)</f>
        <v>370900</v>
      </c>
      <c r="H1538" s="690" t="s">
        <v>985</v>
      </c>
      <c r="I1538" s="71"/>
      <c r="J1538" s="53">
        <f t="shared" si="777"/>
        <v>-64682.374210934329</v>
      </c>
      <c r="K1538" s="63">
        <f t="shared" si="781"/>
        <v>-0.17439302833899789</v>
      </c>
      <c r="L1538" s="82">
        <v>18.11</v>
      </c>
      <c r="M1538" s="468" t="s">
        <v>1553</v>
      </c>
      <c r="N1538" s="664">
        <f>A1538</f>
        <v>181130</v>
      </c>
      <c r="O1538" s="71" t="s">
        <v>1431</v>
      </c>
      <c r="P1538" s="103" t="str">
        <f>(C1538)</f>
        <v>드라이어 점검</v>
      </c>
      <c r="Q1538" s="71">
        <f t="shared" si="770"/>
        <v>1</v>
      </c>
      <c r="R1538" s="102">
        <f>Import!G127</f>
        <v>435582.37421093433</v>
      </c>
      <c r="S1538" s="102">
        <f t="shared" si="779"/>
        <v>479140.61163202778</v>
      </c>
      <c r="T1538" s="102">
        <f t="shared" si="780"/>
        <v>435582.37421093433</v>
      </c>
      <c r="U1538" s="71" t="str">
        <f t="shared" si="776"/>
        <v>X</v>
      </c>
      <c r="V1538" s="71"/>
      <c r="W1538" s="474"/>
      <c r="X1538" s="71"/>
      <c r="Y1538" s="71"/>
    </row>
    <row r="1539" spans="1:25" ht="30" hidden="1" customHeight="1" x14ac:dyDescent="0.25">
      <c r="A1539" s="82">
        <v>181130</v>
      </c>
      <c r="B1539" s="664" t="s">
        <v>575</v>
      </c>
      <c r="C1539" s="71" t="s">
        <v>1509</v>
      </c>
      <c r="D1539" s="71">
        <v>3</v>
      </c>
      <c r="E1539" s="102">
        <v>440000</v>
      </c>
      <c r="F1539" s="102">
        <f>(E1539*D1539)*1.1</f>
        <v>1452000.0000000002</v>
      </c>
      <c r="G1539" s="102">
        <f>(E1539*D1539)</f>
        <v>1320000</v>
      </c>
      <c r="H1539" s="690" t="s">
        <v>1432</v>
      </c>
      <c r="I1539" s="71"/>
      <c r="J1539" s="53">
        <f t="shared" si="777"/>
        <v>321464.00575966935</v>
      </c>
      <c r="K1539" s="63">
        <f t="shared" si="781"/>
        <v>0.24353333769671917</v>
      </c>
      <c r="L1539" s="82">
        <v>18.11</v>
      </c>
      <c r="M1539" s="468"/>
      <c r="N1539" s="664">
        <f>A1539</f>
        <v>181130</v>
      </c>
      <c r="O1539" s="71"/>
      <c r="P1539" s="103" t="str">
        <f>(C1539)</f>
        <v>매엽용 습수정화장치 필터(Alpha)</v>
      </c>
      <c r="Q1539" s="71">
        <f t="shared" si="770"/>
        <v>3</v>
      </c>
      <c r="R1539" s="102">
        <f>Import!G622</f>
        <v>332845.33141344355</v>
      </c>
      <c r="S1539" s="102">
        <f t="shared" si="779"/>
        <v>1098389.5936643637</v>
      </c>
      <c r="T1539" s="102">
        <f t="shared" si="780"/>
        <v>998535.99424033065</v>
      </c>
      <c r="U1539" s="71" t="str">
        <f t="shared" si="776"/>
        <v>X</v>
      </c>
      <c r="V1539" s="71"/>
      <c r="W1539" s="474"/>
      <c r="X1539" s="71"/>
      <c r="Y1539" s="71"/>
    </row>
    <row r="1540" spans="1:25" ht="30" customHeight="1" x14ac:dyDescent="0.25">
      <c r="A1540" s="82">
        <v>181130</v>
      </c>
      <c r="B1540" s="664" t="s">
        <v>565</v>
      </c>
      <c r="C1540" s="71" t="s">
        <v>1505</v>
      </c>
      <c r="D1540" s="71">
        <v>1</v>
      </c>
      <c r="E1540" s="102">
        <v>105000</v>
      </c>
      <c r="F1540" s="102">
        <f t="shared" si="774"/>
        <v>115500.00000000001</v>
      </c>
      <c r="G1540" s="102">
        <f t="shared" si="775"/>
        <v>105000</v>
      </c>
      <c r="H1540" s="690" t="s">
        <v>173</v>
      </c>
      <c r="I1540" s="71" t="s">
        <v>142</v>
      </c>
      <c r="J1540" s="53">
        <f t="shared" si="777"/>
        <v>35000</v>
      </c>
      <c r="K1540" s="63">
        <f t="shared" si="781"/>
        <v>0.33333333333333331</v>
      </c>
      <c r="L1540" s="82">
        <v>18.11</v>
      </c>
      <c r="M1540" s="468"/>
      <c r="N1540" s="664">
        <f t="shared" si="778"/>
        <v>181130</v>
      </c>
      <c r="O1540" s="71" t="s">
        <v>145</v>
      </c>
      <c r="P1540" s="103" t="str">
        <f t="shared" si="782"/>
        <v>Agfa New Spring</v>
      </c>
      <c r="Q1540" s="71">
        <v>1</v>
      </c>
      <c r="R1540" s="102">
        <v>70000</v>
      </c>
      <c r="S1540" s="102">
        <f t="shared" si="779"/>
        <v>77000</v>
      </c>
      <c r="T1540" s="102">
        <f t="shared" si="780"/>
        <v>70000</v>
      </c>
      <c r="U1540" s="71" t="str">
        <f t="shared" si="776"/>
        <v>X</v>
      </c>
      <c r="V1540" s="71"/>
      <c r="W1540" s="474"/>
      <c r="X1540" s="71"/>
      <c r="Y1540" s="71"/>
    </row>
    <row r="1541" spans="1:25" s="978" customFormat="1" ht="45" hidden="1" customHeight="1" x14ac:dyDescent="0.25">
      <c r="A1541" s="982">
        <v>2018.12</v>
      </c>
      <c r="B1541" s="976" t="s">
        <v>544</v>
      </c>
      <c r="C1541" s="453"/>
      <c r="D1541" s="453"/>
      <c r="E1541" s="454"/>
      <c r="F1541" s="454"/>
      <c r="G1541" s="454"/>
      <c r="H1541" s="455"/>
      <c r="I1541" s="453"/>
      <c r="J1541" s="417"/>
      <c r="K1541" s="418"/>
      <c r="L1541" s="983" t="s">
        <v>1612</v>
      </c>
      <c r="M1541" s="643"/>
      <c r="N1541" s="724">
        <f t="shared" ref="N1541:N1551" si="783">A1541</f>
        <v>2018.12</v>
      </c>
      <c r="O1541" s="453" t="s">
        <v>154</v>
      </c>
      <c r="P1541" s="728"/>
      <c r="Q1541" s="419"/>
      <c r="R1541" s="420"/>
      <c r="S1541" s="417"/>
      <c r="T1541" s="417"/>
      <c r="U1541" s="421"/>
      <c r="V1541" s="421"/>
      <c r="W1541" s="479">
        <f>(G1541-T1541)</f>
        <v>0</v>
      </c>
      <c r="X1541" s="421"/>
      <c r="Y1541" s="421"/>
    </row>
    <row r="1542" spans="1:25" ht="30" hidden="1" customHeight="1" x14ac:dyDescent="0.25">
      <c r="A1542" s="82">
        <v>181109</v>
      </c>
      <c r="B1542" s="664" t="s">
        <v>446</v>
      </c>
      <c r="C1542" s="71" t="s">
        <v>1144</v>
      </c>
      <c r="D1542" s="71">
        <v>8</v>
      </c>
      <c r="E1542" s="102">
        <v>110000</v>
      </c>
      <c r="F1542" s="102">
        <f t="shared" ref="F1542:F1551" si="784">(E1542*D1542)*1.1</f>
        <v>968000.00000000012</v>
      </c>
      <c r="G1542" s="102">
        <f t="shared" ref="G1542:G1551" si="785">(E1542*D1542)</f>
        <v>880000</v>
      </c>
      <c r="H1542" s="690" t="s">
        <v>173</v>
      </c>
      <c r="I1542" s="71" t="s">
        <v>142</v>
      </c>
      <c r="J1542" s="53">
        <f t="shared" ref="J1542:J1556" si="786">G1542-T1542</f>
        <v>152000</v>
      </c>
      <c r="K1542" s="63">
        <f t="shared" ref="K1542:K1554" si="787">(J1542/(F1542/11*10))</f>
        <v>0.1727272727272727</v>
      </c>
      <c r="L1542" s="871" t="s">
        <v>1508</v>
      </c>
      <c r="M1542" s="468"/>
      <c r="N1542" s="664">
        <f t="shared" si="783"/>
        <v>181109</v>
      </c>
      <c r="O1542" s="71" t="s">
        <v>150</v>
      </c>
      <c r="P1542" s="103" t="str">
        <f>C1542</f>
        <v>실리콘 에멀전</v>
      </c>
      <c r="Q1542" s="71">
        <f>D1542</f>
        <v>8</v>
      </c>
      <c r="R1542" s="102">
        <v>91000</v>
      </c>
      <c r="S1542" s="102">
        <f t="shared" ref="S1542:S1548" si="788">R1542*Q1542*1.1</f>
        <v>800800.00000000012</v>
      </c>
      <c r="T1542" s="102">
        <f t="shared" ref="T1542:T1548" si="789">R1542*Q1542</f>
        <v>728000</v>
      </c>
      <c r="U1542" s="71" t="str">
        <f t="shared" ref="U1542:U1554" si="790">IF(J1542=W1542,"O", "X")</f>
        <v>O</v>
      </c>
      <c r="V1542" s="71"/>
      <c r="W1542" s="474">
        <f>(G1542-T1542)</f>
        <v>152000</v>
      </c>
      <c r="X1542" s="71"/>
      <c r="Y1542" s="71"/>
    </row>
    <row r="1543" spans="1:25" ht="30" hidden="1" customHeight="1" x14ac:dyDescent="0.25">
      <c r="A1543" s="82">
        <v>181110</v>
      </c>
      <c r="B1543" s="664" t="s">
        <v>1052</v>
      </c>
      <c r="C1543" s="71" t="s">
        <v>1495</v>
      </c>
      <c r="D1543" s="71">
        <v>30</v>
      </c>
      <c r="E1543" s="102">
        <v>8000</v>
      </c>
      <c r="F1543" s="102">
        <f t="shared" si="784"/>
        <v>264000</v>
      </c>
      <c r="G1543" s="102">
        <f t="shared" si="785"/>
        <v>240000</v>
      </c>
      <c r="H1543" s="690" t="s">
        <v>142</v>
      </c>
      <c r="I1543" s="71" t="s">
        <v>144</v>
      </c>
      <c r="J1543" s="53">
        <f t="shared" si="786"/>
        <v>-34200</v>
      </c>
      <c r="K1543" s="63">
        <f t="shared" si="787"/>
        <v>-0.14249999999999999</v>
      </c>
      <c r="L1543" s="871" t="s">
        <v>1508</v>
      </c>
      <c r="M1543" s="1235" t="s">
        <v>1598</v>
      </c>
      <c r="N1543" s="664">
        <f t="shared" si="783"/>
        <v>181110</v>
      </c>
      <c r="O1543" s="71" t="s">
        <v>147</v>
      </c>
      <c r="P1543" s="103" t="str">
        <f t="shared" ref="P1543:P1556" si="791">C1543</f>
        <v>TOP 잉크(적)</v>
      </c>
      <c r="Q1543" s="71">
        <v>30</v>
      </c>
      <c r="R1543" s="102">
        <v>9140</v>
      </c>
      <c r="S1543" s="102">
        <f t="shared" si="788"/>
        <v>301620</v>
      </c>
      <c r="T1543" s="102">
        <f t="shared" si="789"/>
        <v>274200</v>
      </c>
      <c r="U1543" s="71" t="str">
        <f t="shared" si="790"/>
        <v>X</v>
      </c>
      <c r="V1543" s="71"/>
      <c r="W1543" s="474"/>
      <c r="X1543" s="71"/>
      <c r="Y1543" s="71"/>
    </row>
    <row r="1544" spans="1:25" ht="30" hidden="1" customHeight="1" x14ac:dyDescent="0.25">
      <c r="A1544" s="82">
        <v>181110</v>
      </c>
      <c r="B1544" s="664" t="s">
        <v>1052</v>
      </c>
      <c r="C1544" s="71" t="s">
        <v>1496</v>
      </c>
      <c r="D1544" s="71">
        <v>30</v>
      </c>
      <c r="E1544" s="102">
        <v>8000</v>
      </c>
      <c r="F1544" s="102">
        <f t="shared" si="784"/>
        <v>264000</v>
      </c>
      <c r="G1544" s="102">
        <f t="shared" si="785"/>
        <v>240000</v>
      </c>
      <c r="H1544" s="690" t="s">
        <v>142</v>
      </c>
      <c r="I1544" s="71" t="s">
        <v>144</v>
      </c>
      <c r="J1544" s="53">
        <f t="shared" si="786"/>
        <v>-49500</v>
      </c>
      <c r="K1544" s="63">
        <f t="shared" si="787"/>
        <v>-0.20624999999999999</v>
      </c>
      <c r="L1544" s="871" t="s">
        <v>1508</v>
      </c>
      <c r="M1544" s="1233"/>
      <c r="N1544" s="664">
        <f t="shared" si="783"/>
        <v>181110</v>
      </c>
      <c r="O1544" s="71" t="s">
        <v>147</v>
      </c>
      <c r="P1544" s="103" t="str">
        <f t="shared" si="791"/>
        <v>TOP 잉크(청)</v>
      </c>
      <c r="Q1544" s="71">
        <v>30</v>
      </c>
      <c r="R1544" s="102">
        <v>9650</v>
      </c>
      <c r="S1544" s="102">
        <f t="shared" si="788"/>
        <v>318450</v>
      </c>
      <c r="T1544" s="102">
        <f t="shared" si="789"/>
        <v>289500</v>
      </c>
      <c r="U1544" s="71" t="str">
        <f t="shared" si="790"/>
        <v>X</v>
      </c>
      <c r="V1544" s="71"/>
      <c r="W1544" s="474"/>
      <c r="X1544" s="71"/>
      <c r="Y1544" s="71"/>
    </row>
    <row r="1545" spans="1:25" ht="30" hidden="1" customHeight="1" x14ac:dyDescent="0.25">
      <c r="A1545" s="82">
        <v>181110</v>
      </c>
      <c r="B1545" s="664" t="s">
        <v>1052</v>
      </c>
      <c r="C1545" s="71" t="s">
        <v>1497</v>
      </c>
      <c r="D1545" s="71">
        <v>30</v>
      </c>
      <c r="E1545" s="102">
        <v>6200</v>
      </c>
      <c r="F1545" s="102">
        <f t="shared" si="784"/>
        <v>204600.00000000003</v>
      </c>
      <c r="G1545" s="102">
        <f t="shared" si="785"/>
        <v>186000</v>
      </c>
      <c r="H1545" s="690" t="s">
        <v>142</v>
      </c>
      <c r="I1545" s="71" t="s">
        <v>144</v>
      </c>
      <c r="J1545" s="53">
        <f t="shared" si="786"/>
        <v>-22800</v>
      </c>
      <c r="K1545" s="63">
        <f t="shared" si="787"/>
        <v>-0.1225806451612903</v>
      </c>
      <c r="L1545" s="871" t="s">
        <v>1508</v>
      </c>
      <c r="M1545" s="1233"/>
      <c r="N1545" s="664">
        <f t="shared" si="783"/>
        <v>181110</v>
      </c>
      <c r="O1545" s="71" t="s">
        <v>147</v>
      </c>
      <c r="P1545" s="103" t="str">
        <f t="shared" si="791"/>
        <v>TOP 잉크(먹)</v>
      </c>
      <c r="Q1545" s="71">
        <v>30</v>
      </c>
      <c r="R1545" s="102">
        <v>6960</v>
      </c>
      <c r="S1545" s="102">
        <f t="shared" si="788"/>
        <v>229680.00000000003</v>
      </c>
      <c r="T1545" s="102">
        <f t="shared" si="789"/>
        <v>208800</v>
      </c>
      <c r="U1545" s="71" t="str">
        <f t="shared" si="790"/>
        <v>X</v>
      </c>
      <c r="V1545" s="71"/>
      <c r="W1545" s="474"/>
      <c r="X1545" s="71"/>
      <c r="Y1545" s="71"/>
    </row>
    <row r="1546" spans="1:25" ht="30" hidden="1" customHeight="1" x14ac:dyDescent="0.25">
      <c r="A1546" s="82">
        <v>181110</v>
      </c>
      <c r="B1546" s="664" t="s">
        <v>1052</v>
      </c>
      <c r="C1546" s="71" t="s">
        <v>1498</v>
      </c>
      <c r="D1546" s="71">
        <v>140</v>
      </c>
      <c r="E1546" s="102">
        <v>8000</v>
      </c>
      <c r="F1546" s="102">
        <f t="shared" si="784"/>
        <v>1232000</v>
      </c>
      <c r="G1546" s="102">
        <f t="shared" si="785"/>
        <v>1120000</v>
      </c>
      <c r="H1546" s="690" t="s">
        <v>142</v>
      </c>
      <c r="I1546" s="71" t="s">
        <v>144</v>
      </c>
      <c r="J1546" s="53">
        <f t="shared" si="786"/>
        <v>252000</v>
      </c>
      <c r="K1546" s="63">
        <f t="shared" si="787"/>
        <v>0.22500000000000001</v>
      </c>
      <c r="L1546" s="871" t="s">
        <v>1508</v>
      </c>
      <c r="M1546" s="1236"/>
      <c r="N1546" s="664">
        <f t="shared" si="783"/>
        <v>181110</v>
      </c>
      <c r="O1546" s="71" t="s">
        <v>147</v>
      </c>
      <c r="P1546" s="103" t="str">
        <f t="shared" si="791"/>
        <v>한특 특수면 잉크(황)</v>
      </c>
      <c r="Q1546" s="71">
        <v>140</v>
      </c>
      <c r="R1546" s="102">
        <v>6200</v>
      </c>
      <c r="S1546" s="102">
        <f t="shared" si="788"/>
        <v>954800.00000000012</v>
      </c>
      <c r="T1546" s="102">
        <f t="shared" si="789"/>
        <v>868000</v>
      </c>
      <c r="U1546" s="71" t="str">
        <f t="shared" si="790"/>
        <v>X</v>
      </c>
      <c r="V1546" s="71"/>
      <c r="W1546" s="474"/>
      <c r="X1546" s="71"/>
      <c r="Y1546" s="71"/>
    </row>
    <row r="1547" spans="1:25" ht="30" hidden="1" customHeight="1" x14ac:dyDescent="0.25">
      <c r="A1547" s="82">
        <v>181119</v>
      </c>
      <c r="B1547" s="664" t="s">
        <v>446</v>
      </c>
      <c r="C1547" s="71" t="s">
        <v>1144</v>
      </c>
      <c r="D1547" s="71">
        <v>8</v>
      </c>
      <c r="E1547" s="102">
        <v>110000</v>
      </c>
      <c r="F1547" s="102">
        <f t="shared" si="784"/>
        <v>968000.00000000012</v>
      </c>
      <c r="G1547" s="102">
        <f t="shared" si="785"/>
        <v>880000</v>
      </c>
      <c r="H1547" s="690" t="s">
        <v>173</v>
      </c>
      <c r="I1547" s="71" t="s">
        <v>142</v>
      </c>
      <c r="J1547" s="53">
        <f t="shared" si="786"/>
        <v>152000</v>
      </c>
      <c r="K1547" s="63">
        <f t="shared" si="787"/>
        <v>0.1727272727272727</v>
      </c>
      <c r="L1547" s="871" t="s">
        <v>1508</v>
      </c>
      <c r="M1547" s="468"/>
      <c r="N1547" s="664">
        <f t="shared" si="783"/>
        <v>181119</v>
      </c>
      <c r="O1547" s="71" t="s">
        <v>150</v>
      </c>
      <c r="P1547" s="103" t="str">
        <f t="shared" si="791"/>
        <v>실리콘 에멀전</v>
      </c>
      <c r="Q1547" s="71">
        <f>D1547</f>
        <v>8</v>
      </c>
      <c r="R1547" s="102">
        <v>91000</v>
      </c>
      <c r="S1547" s="102">
        <f t="shared" si="788"/>
        <v>800800.00000000012</v>
      </c>
      <c r="T1547" s="102">
        <f t="shared" si="789"/>
        <v>728000</v>
      </c>
      <c r="U1547" s="71" t="str">
        <f t="shared" si="790"/>
        <v>O</v>
      </c>
      <c r="V1547" s="71"/>
      <c r="W1547" s="474">
        <f>(G1547-T1547)</f>
        <v>152000</v>
      </c>
      <c r="X1547" s="71"/>
      <c r="Y1547" s="71"/>
    </row>
    <row r="1548" spans="1:25" ht="30" hidden="1" customHeight="1" x14ac:dyDescent="0.25">
      <c r="A1548" s="82">
        <v>181122</v>
      </c>
      <c r="B1548" s="664" t="s">
        <v>446</v>
      </c>
      <c r="C1548" s="71" t="s">
        <v>1144</v>
      </c>
      <c r="D1548" s="71">
        <v>8</v>
      </c>
      <c r="E1548" s="102">
        <v>110000</v>
      </c>
      <c r="F1548" s="102">
        <f t="shared" si="784"/>
        <v>968000.00000000012</v>
      </c>
      <c r="G1548" s="102">
        <f t="shared" si="785"/>
        <v>880000</v>
      </c>
      <c r="H1548" s="690" t="s">
        <v>173</v>
      </c>
      <c r="I1548" s="71" t="s">
        <v>142</v>
      </c>
      <c r="J1548" s="53">
        <f t="shared" si="786"/>
        <v>152000</v>
      </c>
      <c r="K1548" s="63">
        <f t="shared" si="787"/>
        <v>0.1727272727272727</v>
      </c>
      <c r="L1548" s="871" t="s">
        <v>1508</v>
      </c>
      <c r="M1548" s="468"/>
      <c r="N1548" s="664">
        <f t="shared" si="783"/>
        <v>181122</v>
      </c>
      <c r="O1548" s="71" t="s">
        <v>150</v>
      </c>
      <c r="P1548" s="103" t="str">
        <f t="shared" si="791"/>
        <v>실리콘 에멀전</v>
      </c>
      <c r="Q1548" s="71">
        <f>D1548</f>
        <v>8</v>
      </c>
      <c r="R1548" s="102">
        <v>91000</v>
      </c>
      <c r="S1548" s="102">
        <f t="shared" si="788"/>
        <v>800800.00000000012</v>
      </c>
      <c r="T1548" s="102">
        <f t="shared" si="789"/>
        <v>728000</v>
      </c>
      <c r="U1548" s="71" t="str">
        <f t="shared" si="790"/>
        <v>O</v>
      </c>
      <c r="V1548" s="71"/>
      <c r="W1548" s="474">
        <f>(G1548-T1548)</f>
        <v>152000</v>
      </c>
      <c r="X1548" s="71"/>
      <c r="Y1548" s="71"/>
    </row>
    <row r="1549" spans="1:25" ht="30" hidden="1" customHeight="1" x14ac:dyDescent="0.25">
      <c r="A1549" s="82">
        <v>181127</v>
      </c>
      <c r="B1549" s="664" t="s">
        <v>575</v>
      </c>
      <c r="C1549" s="71" t="s">
        <v>1367</v>
      </c>
      <c r="D1549" s="71">
        <v>8</v>
      </c>
      <c r="E1549" s="102">
        <v>218000</v>
      </c>
      <c r="F1549" s="102">
        <f t="shared" si="784"/>
        <v>1918400.0000000002</v>
      </c>
      <c r="G1549" s="102">
        <f t="shared" si="785"/>
        <v>1744000</v>
      </c>
      <c r="H1549" s="690" t="s">
        <v>173</v>
      </c>
      <c r="I1549" s="71" t="s">
        <v>109</v>
      </c>
      <c r="J1549" s="53">
        <f t="shared" si="786"/>
        <v>461920</v>
      </c>
      <c r="K1549" s="63">
        <f>(J1549/(F1549/11*10))</f>
        <v>0.2648623853211009</v>
      </c>
      <c r="L1549" s="871" t="s">
        <v>1508</v>
      </c>
      <c r="M1549" s="468" t="s">
        <v>1636</v>
      </c>
      <c r="N1549" s="664">
        <f t="shared" si="783"/>
        <v>181127</v>
      </c>
      <c r="O1549" s="71" t="s">
        <v>1443</v>
      </c>
      <c r="P1549" s="103" t="str">
        <f t="shared" si="791"/>
        <v>M600 윤전 블랑켓 995*742</v>
      </c>
      <c r="Q1549" s="71">
        <f>D1549</f>
        <v>8</v>
      </c>
      <c r="R1549" s="102">
        <v>120260</v>
      </c>
      <c r="S1549" s="102">
        <f>R1549*Q1549*1.1+320000*1.1</f>
        <v>1410288</v>
      </c>
      <c r="T1549" s="102">
        <f>R1549*Q1549+320000</f>
        <v>1282080</v>
      </c>
      <c r="U1549" s="71" t="str">
        <f t="shared" si="790"/>
        <v>X</v>
      </c>
      <c r="V1549" s="71"/>
      <c r="W1549" s="474"/>
      <c r="X1549" s="71"/>
      <c r="Y1549" s="71"/>
    </row>
    <row r="1550" spans="1:25" ht="30" hidden="1" customHeight="1" x14ac:dyDescent="0.2">
      <c r="A1550" s="82">
        <v>181127</v>
      </c>
      <c r="B1550" s="664" t="s">
        <v>575</v>
      </c>
      <c r="C1550" s="71" t="s">
        <v>1388</v>
      </c>
      <c r="D1550" s="71">
        <v>3</v>
      </c>
      <c r="E1550" s="102">
        <v>185000</v>
      </c>
      <c r="F1550" s="163">
        <f t="shared" si="784"/>
        <v>610500</v>
      </c>
      <c r="G1550" s="163">
        <f t="shared" si="785"/>
        <v>555000</v>
      </c>
      <c r="H1550" s="690" t="s">
        <v>173</v>
      </c>
      <c r="I1550" s="71" t="s">
        <v>108</v>
      </c>
      <c r="J1550" s="53">
        <f t="shared" si="786"/>
        <v>277408.12048591545</v>
      </c>
      <c r="K1550" s="63">
        <f t="shared" si="787"/>
        <v>0.49983445132597382</v>
      </c>
      <c r="L1550" s="871" t="s">
        <v>1508</v>
      </c>
      <c r="M1550" s="468"/>
      <c r="N1550" s="664">
        <f t="shared" si="783"/>
        <v>181127</v>
      </c>
      <c r="O1550" s="71" t="s">
        <v>1443</v>
      </c>
      <c r="P1550" s="103" t="str">
        <f t="shared" si="791"/>
        <v>Flint 무알콜 윤전약물(Superaster)</v>
      </c>
      <c r="Q1550" s="71">
        <f>D1550</f>
        <v>3</v>
      </c>
      <c r="R1550" s="102">
        <v>53453.959838028175</v>
      </c>
      <c r="S1550" s="102">
        <f>(R1550*D1550)*1.1+117230*1.1</f>
        <v>305351.06746549299</v>
      </c>
      <c r="T1550" s="102">
        <f>(R1550*Q1550)+117230</f>
        <v>277591.87951408455</v>
      </c>
      <c r="U1550" s="71" t="str">
        <f t="shared" si="790"/>
        <v>O</v>
      </c>
      <c r="V1550" s="71"/>
      <c r="W1550" s="474">
        <f>(G1550-T1550)</f>
        <v>277408.12048591545</v>
      </c>
      <c r="X1550" s="71"/>
      <c r="Y1550" s="71"/>
    </row>
    <row r="1551" spans="1:25" ht="30" hidden="1" customHeight="1" x14ac:dyDescent="0.25">
      <c r="A1551" s="82">
        <v>181127</v>
      </c>
      <c r="B1551" s="664" t="s">
        <v>764</v>
      </c>
      <c r="C1551" s="71" t="s">
        <v>123</v>
      </c>
      <c r="D1551" s="71">
        <v>10</v>
      </c>
      <c r="E1551" s="102">
        <v>35000</v>
      </c>
      <c r="F1551" s="102">
        <f t="shared" si="784"/>
        <v>385000.00000000006</v>
      </c>
      <c r="G1551" s="102">
        <f t="shared" si="785"/>
        <v>350000</v>
      </c>
      <c r="H1551" s="690" t="s">
        <v>1432</v>
      </c>
      <c r="I1551" s="71"/>
      <c r="J1551" s="53">
        <f t="shared" si="786"/>
        <v>125390</v>
      </c>
      <c r="K1551" s="63">
        <f t="shared" si="787"/>
        <v>0.35825714285714277</v>
      </c>
      <c r="L1551" s="871" t="s">
        <v>1508</v>
      </c>
      <c r="M1551" s="468"/>
      <c r="N1551" s="664">
        <f t="shared" si="783"/>
        <v>181127</v>
      </c>
      <c r="O1551" s="71" t="s">
        <v>1432</v>
      </c>
      <c r="P1551" s="103" t="str">
        <f t="shared" si="791"/>
        <v>필터백</v>
      </c>
      <c r="Q1551" s="71">
        <f>D1551</f>
        <v>10</v>
      </c>
      <c r="R1551" s="102">
        <v>22461</v>
      </c>
      <c r="S1551" s="102">
        <f>R1551*Q1551*1.1</f>
        <v>247071.00000000003</v>
      </c>
      <c r="T1551" s="102">
        <f>R1551*Q1551</f>
        <v>224610</v>
      </c>
      <c r="U1551" s="71" t="str">
        <f t="shared" si="790"/>
        <v>O</v>
      </c>
      <c r="V1551" s="71"/>
      <c r="W1551" s="474">
        <f>(G1551-T1551)</f>
        <v>125390</v>
      </c>
      <c r="X1551" s="71"/>
      <c r="Y1551" s="71"/>
    </row>
    <row r="1552" spans="1:25" ht="30" hidden="1" customHeight="1" x14ac:dyDescent="0.25">
      <c r="A1552" s="82">
        <v>181130</v>
      </c>
      <c r="B1552" s="664" t="s">
        <v>1051</v>
      </c>
      <c r="C1552" s="71" t="s">
        <v>1385</v>
      </c>
      <c r="D1552" s="71">
        <v>200</v>
      </c>
      <c r="E1552" s="102">
        <v>4530</v>
      </c>
      <c r="F1552" s="102">
        <f t="shared" ref="F1552:F1557" si="792">(E1552*D1552)*1.1</f>
        <v>996600.00000000012</v>
      </c>
      <c r="G1552" s="102">
        <f t="shared" ref="G1552:G1557" si="793">(E1552*D1552)</f>
        <v>906000</v>
      </c>
      <c r="H1552" s="690" t="s">
        <v>142</v>
      </c>
      <c r="I1552" s="71" t="s">
        <v>140</v>
      </c>
      <c r="J1552" s="53">
        <f t="shared" si="786"/>
        <v>292000</v>
      </c>
      <c r="K1552" s="63">
        <f t="shared" si="787"/>
        <v>0.32229580573951433</v>
      </c>
      <c r="L1552" s="871" t="s">
        <v>1508</v>
      </c>
      <c r="M1552" s="468"/>
      <c r="N1552" s="664">
        <f t="shared" ref="N1552:N1557" si="794">A1552</f>
        <v>181130</v>
      </c>
      <c r="O1552" s="71" t="s">
        <v>145</v>
      </c>
      <c r="P1552" s="103" t="str">
        <f t="shared" si="791"/>
        <v>ENGAGE 967.5*645</v>
      </c>
      <c r="Q1552" s="71">
        <f t="shared" ref="Q1552:Q1557" si="795">D1552</f>
        <v>200</v>
      </c>
      <c r="R1552" s="102">
        <v>3070</v>
      </c>
      <c r="S1552" s="102">
        <f>R1552*Q1552*1.1</f>
        <v>675400</v>
      </c>
      <c r="T1552" s="102">
        <f>R1552*Q1552</f>
        <v>614000</v>
      </c>
      <c r="U1552" s="71" t="str">
        <f t="shared" si="790"/>
        <v>O</v>
      </c>
      <c r="V1552" s="71"/>
      <c r="W1552" s="474">
        <f>(G1552-T1552)</f>
        <v>292000</v>
      </c>
      <c r="X1552" s="71"/>
      <c r="Y1552" s="71"/>
    </row>
    <row r="1553" spans="1:25" ht="30" hidden="1" customHeight="1" x14ac:dyDescent="0.25">
      <c r="A1553" s="82">
        <v>181130</v>
      </c>
      <c r="B1553" s="664" t="s">
        <v>1051</v>
      </c>
      <c r="C1553" s="71" t="s">
        <v>524</v>
      </c>
      <c r="D1553" s="71">
        <v>700</v>
      </c>
      <c r="E1553" s="102">
        <v>3720</v>
      </c>
      <c r="F1553" s="102">
        <f t="shared" si="792"/>
        <v>2864400</v>
      </c>
      <c r="G1553" s="102">
        <f t="shared" si="793"/>
        <v>2604000</v>
      </c>
      <c r="H1553" s="690" t="s">
        <v>142</v>
      </c>
      <c r="I1553" s="71" t="s">
        <v>140</v>
      </c>
      <c r="J1553" s="53">
        <f t="shared" si="786"/>
        <v>840000</v>
      </c>
      <c r="K1553" s="63">
        <f t="shared" si="787"/>
        <v>0.32258064516129031</v>
      </c>
      <c r="L1553" s="871" t="s">
        <v>1508</v>
      </c>
      <c r="M1553" s="468"/>
      <c r="N1553" s="664">
        <f t="shared" si="794"/>
        <v>181130</v>
      </c>
      <c r="O1553" s="71" t="s">
        <v>145</v>
      </c>
      <c r="P1553" s="103" t="str">
        <f t="shared" si="791"/>
        <v>ENGAGE 900X570 - 27RO</v>
      </c>
      <c r="Q1553" s="71">
        <f t="shared" si="795"/>
        <v>700</v>
      </c>
      <c r="R1553" s="102">
        <v>2520</v>
      </c>
      <c r="S1553" s="102">
        <f>R1553*Q1553*1.1</f>
        <v>1940400.0000000002</v>
      </c>
      <c r="T1553" s="102">
        <f>R1553*Q1553</f>
        <v>1764000</v>
      </c>
      <c r="U1553" s="71" t="str">
        <f t="shared" si="790"/>
        <v>O</v>
      </c>
      <c r="V1553" s="71"/>
      <c r="W1553" s="474">
        <f>(G1553-T1553)</f>
        <v>840000</v>
      </c>
      <c r="X1553" s="71"/>
      <c r="Y1553" s="71"/>
    </row>
    <row r="1554" spans="1:25" ht="30" hidden="1" customHeight="1" x14ac:dyDescent="0.2">
      <c r="A1554" s="82">
        <v>181203</v>
      </c>
      <c r="B1554" s="664" t="s">
        <v>575</v>
      </c>
      <c r="C1554" s="71" t="s">
        <v>1388</v>
      </c>
      <c r="D1554" s="71">
        <v>3</v>
      </c>
      <c r="E1554" s="102">
        <v>185000</v>
      </c>
      <c r="F1554" s="163">
        <f t="shared" si="792"/>
        <v>610500</v>
      </c>
      <c r="G1554" s="163">
        <f t="shared" si="793"/>
        <v>555000</v>
      </c>
      <c r="H1554" s="690" t="s">
        <v>173</v>
      </c>
      <c r="I1554" s="71" t="s">
        <v>108</v>
      </c>
      <c r="J1554" s="53">
        <f t="shared" si="786"/>
        <v>277408.12048591545</v>
      </c>
      <c r="K1554" s="63">
        <f t="shared" si="787"/>
        <v>0.49983445132597382</v>
      </c>
      <c r="L1554" s="871" t="s">
        <v>1508</v>
      </c>
      <c r="M1554" s="468"/>
      <c r="N1554" s="664">
        <f t="shared" si="794"/>
        <v>181203</v>
      </c>
      <c r="O1554" s="71" t="s">
        <v>1443</v>
      </c>
      <c r="P1554" s="103" t="str">
        <f t="shared" si="791"/>
        <v>Flint 무알콜 윤전약물(Superaster)</v>
      </c>
      <c r="Q1554" s="71">
        <f t="shared" si="795"/>
        <v>3</v>
      </c>
      <c r="R1554" s="102">
        <v>53453.959838028175</v>
      </c>
      <c r="S1554" s="102">
        <f>(R1554*D1554)*1.1+117230*1.1</f>
        <v>305351.06746549299</v>
      </c>
      <c r="T1554" s="102">
        <f>(R1554*Q1554)+117230</f>
        <v>277591.87951408455</v>
      </c>
      <c r="U1554" s="71" t="str">
        <f t="shared" si="790"/>
        <v>O</v>
      </c>
      <c r="V1554" s="71"/>
      <c r="W1554" s="474">
        <f>(G1554-T1554)</f>
        <v>277408.12048591545</v>
      </c>
      <c r="X1554" s="71"/>
      <c r="Y1554" s="71"/>
    </row>
    <row r="1555" spans="1:25" ht="30" hidden="1" customHeight="1" x14ac:dyDescent="0.2">
      <c r="A1555" s="82">
        <v>181203</v>
      </c>
      <c r="B1555" s="664" t="s">
        <v>1220</v>
      </c>
      <c r="C1555" s="71" t="s">
        <v>123</v>
      </c>
      <c r="D1555" s="71">
        <v>5</v>
      </c>
      <c r="E1555" s="102">
        <v>35000</v>
      </c>
      <c r="F1555" s="163">
        <f t="shared" si="792"/>
        <v>192500.00000000003</v>
      </c>
      <c r="G1555" s="163">
        <f t="shared" si="793"/>
        <v>175000</v>
      </c>
      <c r="H1555" s="690" t="s">
        <v>1432</v>
      </c>
      <c r="I1555" s="71"/>
      <c r="J1555" s="53">
        <f t="shared" si="786"/>
        <v>64730</v>
      </c>
      <c r="K1555" s="63">
        <f t="shared" ref="K1555:K1565" si="796">(J1555/(F1555/11*10))</f>
        <v>0.36988571428571421</v>
      </c>
      <c r="L1555" s="871" t="s">
        <v>1508</v>
      </c>
      <c r="M1555" s="468"/>
      <c r="N1555" s="664">
        <f>A1555</f>
        <v>181203</v>
      </c>
      <c r="O1555" s="71" t="s">
        <v>1432</v>
      </c>
      <c r="P1555" s="103" t="str">
        <f t="shared" si="791"/>
        <v>필터백</v>
      </c>
      <c r="Q1555" s="71">
        <f t="shared" si="795"/>
        <v>5</v>
      </c>
      <c r="R1555" s="102">
        <v>22054</v>
      </c>
      <c r="S1555" s="102">
        <f>(R1555*D1555)*1.1</f>
        <v>121297.00000000001</v>
      </c>
      <c r="T1555" s="102">
        <f>(R1555*Q1555)</f>
        <v>110270</v>
      </c>
      <c r="U1555" s="71"/>
      <c r="V1555" s="71"/>
      <c r="W1555" s="474"/>
      <c r="X1555" s="71"/>
      <c r="Y1555" s="71"/>
    </row>
    <row r="1556" spans="1:25" ht="30" hidden="1" customHeight="1" x14ac:dyDescent="0.25">
      <c r="A1556" s="82">
        <v>181203</v>
      </c>
      <c r="B1556" s="664" t="s">
        <v>446</v>
      </c>
      <c r="C1556" s="71" t="s">
        <v>1144</v>
      </c>
      <c r="D1556" s="71">
        <v>8</v>
      </c>
      <c r="E1556" s="102">
        <v>110000</v>
      </c>
      <c r="F1556" s="102">
        <f t="shared" si="792"/>
        <v>968000.00000000012</v>
      </c>
      <c r="G1556" s="102">
        <f t="shared" si="793"/>
        <v>880000</v>
      </c>
      <c r="H1556" s="690" t="s">
        <v>173</v>
      </c>
      <c r="I1556" s="71" t="s">
        <v>142</v>
      </c>
      <c r="J1556" s="53">
        <f t="shared" si="786"/>
        <v>152000</v>
      </c>
      <c r="K1556" s="63">
        <f t="shared" si="796"/>
        <v>0.1727272727272727</v>
      </c>
      <c r="L1556" s="871" t="s">
        <v>1508</v>
      </c>
      <c r="M1556" s="468"/>
      <c r="N1556" s="664">
        <f t="shared" si="794"/>
        <v>181203</v>
      </c>
      <c r="O1556" s="71" t="s">
        <v>150</v>
      </c>
      <c r="P1556" s="103" t="str">
        <f t="shared" si="791"/>
        <v>실리콘 에멀전</v>
      </c>
      <c r="Q1556" s="71">
        <f t="shared" si="795"/>
        <v>8</v>
      </c>
      <c r="R1556" s="102">
        <v>91000</v>
      </c>
      <c r="S1556" s="102">
        <f>R1556*Q1556*1.1</f>
        <v>800800.00000000012</v>
      </c>
      <c r="T1556" s="102">
        <f>R1556*Q1556</f>
        <v>728000</v>
      </c>
      <c r="U1556" s="71" t="str">
        <f t="shared" ref="U1556:U1562" si="797">IF(J1556=W1556,"O", "X")</f>
        <v>O</v>
      </c>
      <c r="V1556" s="71"/>
      <c r="W1556" s="474">
        <f>(G1556-T1556)</f>
        <v>152000</v>
      </c>
      <c r="X1556" s="71"/>
      <c r="Y1556" s="71"/>
    </row>
    <row r="1557" spans="1:25" ht="30" hidden="1" customHeight="1" x14ac:dyDescent="0.25">
      <c r="A1557" s="82">
        <v>181204</v>
      </c>
      <c r="B1557" s="664" t="s">
        <v>673</v>
      </c>
      <c r="C1557" s="71" t="s">
        <v>236</v>
      </c>
      <c r="D1557" s="71">
        <v>2</v>
      </c>
      <c r="E1557" s="102">
        <v>110000</v>
      </c>
      <c r="F1557" s="102">
        <f t="shared" si="792"/>
        <v>242000.00000000003</v>
      </c>
      <c r="G1557" s="102">
        <f t="shared" si="793"/>
        <v>220000</v>
      </c>
      <c r="H1557" s="690" t="s">
        <v>173</v>
      </c>
      <c r="I1557" s="71" t="s">
        <v>142</v>
      </c>
      <c r="J1557" s="53">
        <f>(G1557-(VLOOKUP(C1557,Price!B:D,3,FALSE)*D1557))</f>
        <v>120000</v>
      </c>
      <c r="K1557" s="63">
        <f t="shared" si="796"/>
        <v>0.54545454545454541</v>
      </c>
      <c r="L1557" s="871" t="s">
        <v>1508</v>
      </c>
      <c r="M1557" s="468"/>
      <c r="N1557" s="664">
        <f t="shared" si="794"/>
        <v>181204</v>
      </c>
      <c r="O1557" s="71" t="s">
        <v>153</v>
      </c>
      <c r="P1557" s="103" t="str">
        <f>(C1557)</f>
        <v>아스테이지(국전)</v>
      </c>
      <c r="Q1557" s="71">
        <f t="shared" si="795"/>
        <v>2</v>
      </c>
      <c r="R1557" s="102">
        <v>50000</v>
      </c>
      <c r="S1557" s="102">
        <f>(R1557*D1557)*1.1</f>
        <v>110000.00000000001</v>
      </c>
      <c r="T1557" s="102">
        <f>(R1557*Q1557)</f>
        <v>100000</v>
      </c>
      <c r="U1557" s="71" t="str">
        <f t="shared" si="797"/>
        <v>O</v>
      </c>
      <c r="V1557" s="71"/>
      <c r="W1557" s="474">
        <f>(G1557-T1557)</f>
        <v>120000</v>
      </c>
      <c r="X1557" s="71"/>
      <c r="Y1557" s="71"/>
    </row>
    <row r="1558" spans="1:25" ht="30" hidden="1" customHeight="1" x14ac:dyDescent="0.25">
      <c r="A1558" s="82">
        <v>181204</v>
      </c>
      <c r="B1558" s="664" t="s">
        <v>1286</v>
      </c>
      <c r="C1558" s="760" t="s">
        <v>218</v>
      </c>
      <c r="D1558" s="71">
        <v>10</v>
      </c>
      <c r="E1558" s="102">
        <v>192500</v>
      </c>
      <c r="F1558" s="102">
        <f t="shared" ref="F1558:F1571" si="798">(E1558*D1558)*1.1</f>
        <v>2117500</v>
      </c>
      <c r="G1558" s="102">
        <f t="shared" ref="G1558:G1571" si="799">(E1558*D1558)</f>
        <v>1925000</v>
      </c>
      <c r="H1558" s="690" t="s">
        <v>173</v>
      </c>
      <c r="I1558" s="71" t="s">
        <v>120</v>
      </c>
      <c r="J1558" s="53">
        <f>(G1558-(VLOOKUP(C1558,Price!B:D,3,FALSE)*D1558))</f>
        <v>800000</v>
      </c>
      <c r="K1558" s="63">
        <f t="shared" si="796"/>
        <v>0.41558441558441561</v>
      </c>
      <c r="L1558" s="871" t="s">
        <v>1508</v>
      </c>
      <c r="M1558" s="468"/>
      <c r="N1558" s="664">
        <f t="shared" ref="N1558:N1565" si="800">A1558</f>
        <v>181204</v>
      </c>
      <c r="O1558" s="71" t="s">
        <v>150</v>
      </c>
      <c r="P1558" s="103" t="str">
        <f t="shared" ref="P1558:Q1565" si="801">C1558</f>
        <v>Fount Web 551AF</v>
      </c>
      <c r="Q1558" s="71">
        <f t="shared" si="801"/>
        <v>10</v>
      </c>
      <c r="R1558" s="102">
        <v>112500</v>
      </c>
      <c r="S1558" s="102">
        <f>R1558*Q1558*1.1</f>
        <v>1237500</v>
      </c>
      <c r="T1558" s="102">
        <f>R1558*Q1558</f>
        <v>1125000</v>
      </c>
      <c r="U1558" s="71" t="str">
        <f t="shared" si="797"/>
        <v>O</v>
      </c>
      <c r="V1558" s="71"/>
      <c r="W1558" s="474">
        <f>(G1558-T1558)</f>
        <v>800000</v>
      </c>
      <c r="X1558" s="71"/>
      <c r="Y1558" s="71"/>
    </row>
    <row r="1559" spans="1:25" s="209" customFormat="1" ht="30" hidden="1" customHeight="1" x14ac:dyDescent="0.25">
      <c r="A1559" s="82">
        <v>181204</v>
      </c>
      <c r="B1559" s="664" t="s">
        <v>764</v>
      </c>
      <c r="C1559" s="71" t="s">
        <v>236</v>
      </c>
      <c r="D1559" s="71">
        <v>5</v>
      </c>
      <c r="E1559" s="102">
        <v>100000</v>
      </c>
      <c r="F1559" s="102">
        <f t="shared" si="798"/>
        <v>550000</v>
      </c>
      <c r="G1559" s="102">
        <f t="shared" si="799"/>
        <v>500000</v>
      </c>
      <c r="H1559" s="690" t="s">
        <v>173</v>
      </c>
      <c r="I1559" s="71" t="s">
        <v>142</v>
      </c>
      <c r="J1559" s="53">
        <f>(G1559-(VLOOKUP(C1559,Price!B:D,3,FALSE)*D1559))</f>
        <v>250000</v>
      </c>
      <c r="K1559" s="63">
        <f t="shared" si="796"/>
        <v>0.5</v>
      </c>
      <c r="L1559" s="871" t="s">
        <v>1508</v>
      </c>
      <c r="M1559" s="468"/>
      <c r="N1559" s="664">
        <f t="shared" si="800"/>
        <v>181204</v>
      </c>
      <c r="O1559" s="71" t="s">
        <v>153</v>
      </c>
      <c r="P1559" s="103" t="str">
        <f t="shared" si="801"/>
        <v>아스테이지(국전)</v>
      </c>
      <c r="Q1559" s="71">
        <f t="shared" si="801"/>
        <v>5</v>
      </c>
      <c r="R1559" s="102">
        <f>VLOOKUP(P1559,Price!B:D,3,FALSE)</f>
        <v>50000</v>
      </c>
      <c r="S1559" s="102">
        <f>R1559*Q1559*1.1</f>
        <v>275000</v>
      </c>
      <c r="T1559" s="102">
        <f>R1559*Q1559</f>
        <v>250000</v>
      </c>
      <c r="U1559" s="71" t="str">
        <f t="shared" si="797"/>
        <v>O</v>
      </c>
      <c r="V1559" s="71"/>
      <c r="W1559" s="474">
        <f>(G1559-T1559)</f>
        <v>250000</v>
      </c>
      <c r="X1559" s="71"/>
      <c r="Y1559" s="71"/>
    </row>
    <row r="1560" spans="1:25" ht="30" hidden="1" customHeight="1" x14ac:dyDescent="0.25">
      <c r="A1560" s="82">
        <v>181204</v>
      </c>
      <c r="B1560" s="664" t="s">
        <v>764</v>
      </c>
      <c r="C1560" s="71" t="s">
        <v>1502</v>
      </c>
      <c r="D1560" s="71">
        <v>1</v>
      </c>
      <c r="E1560" s="102">
        <v>695000</v>
      </c>
      <c r="F1560" s="102">
        <f t="shared" si="798"/>
        <v>764500.00000000012</v>
      </c>
      <c r="G1560" s="102">
        <f t="shared" si="799"/>
        <v>695000</v>
      </c>
      <c r="H1560" s="690" t="s">
        <v>1432</v>
      </c>
      <c r="I1560" s="71"/>
      <c r="J1560" s="53">
        <f t="shared" ref="J1560:J1566" si="802">G1560-T1560</f>
        <v>417547.43529807648</v>
      </c>
      <c r="K1560" s="63">
        <f t="shared" si="796"/>
        <v>0.60078767668787969</v>
      </c>
      <c r="L1560" s="871" t="s">
        <v>1508</v>
      </c>
      <c r="M1560" s="468"/>
      <c r="N1560" s="664">
        <f t="shared" si="800"/>
        <v>181204</v>
      </c>
      <c r="O1560" s="71" t="s">
        <v>1431</v>
      </c>
      <c r="P1560" s="103" t="str">
        <f t="shared" si="801"/>
        <v>ph-probe glass type</v>
      </c>
      <c r="Q1560" s="71">
        <f t="shared" si="801"/>
        <v>1</v>
      </c>
      <c r="R1560" s="102">
        <f>Import!G660</f>
        <v>277452.56470192352</v>
      </c>
      <c r="S1560" s="102">
        <f>R1560*Q1560*1.1</f>
        <v>305197.82117211592</v>
      </c>
      <c r="T1560" s="102">
        <f>R1560*Q1560</f>
        <v>277452.56470192352</v>
      </c>
      <c r="U1560" s="71" t="str">
        <f t="shared" si="797"/>
        <v>X</v>
      </c>
      <c r="V1560" s="71"/>
      <c r="W1560" s="474"/>
      <c r="X1560" s="71"/>
      <c r="Y1560" s="71"/>
    </row>
    <row r="1561" spans="1:25" ht="30" hidden="1" customHeight="1" x14ac:dyDescent="0.25">
      <c r="A1561" s="82">
        <v>181204</v>
      </c>
      <c r="B1561" s="664" t="s">
        <v>1051</v>
      </c>
      <c r="C1561" s="71" t="s">
        <v>1385</v>
      </c>
      <c r="D1561" s="71">
        <v>150</v>
      </c>
      <c r="E1561" s="102">
        <v>4530</v>
      </c>
      <c r="F1561" s="102">
        <f t="shared" si="798"/>
        <v>747450.00000000012</v>
      </c>
      <c r="G1561" s="102">
        <f t="shared" si="799"/>
        <v>679500</v>
      </c>
      <c r="H1561" s="690" t="s">
        <v>142</v>
      </c>
      <c r="I1561" s="71" t="s">
        <v>140</v>
      </c>
      <c r="J1561" s="53">
        <f t="shared" si="802"/>
        <v>219000</v>
      </c>
      <c r="K1561" s="63">
        <f t="shared" si="796"/>
        <v>0.32229580573951427</v>
      </c>
      <c r="L1561" s="871" t="s">
        <v>1508</v>
      </c>
      <c r="M1561" s="468"/>
      <c r="N1561" s="664">
        <f t="shared" si="800"/>
        <v>181204</v>
      </c>
      <c r="O1561" s="71" t="s">
        <v>145</v>
      </c>
      <c r="P1561" s="103" t="str">
        <f t="shared" si="801"/>
        <v>ENGAGE 967.5*645</v>
      </c>
      <c r="Q1561" s="71">
        <f t="shared" si="801"/>
        <v>150</v>
      </c>
      <c r="R1561" s="102">
        <v>3070</v>
      </c>
      <c r="S1561" s="102">
        <f>R1561*Q1561*1.1</f>
        <v>506550.00000000006</v>
      </c>
      <c r="T1561" s="102">
        <f>R1561*Q1561</f>
        <v>460500</v>
      </c>
      <c r="U1561" s="71" t="str">
        <f t="shared" si="797"/>
        <v>O</v>
      </c>
      <c r="V1561" s="71"/>
      <c r="W1561" s="474">
        <f>(G1561-T1561)</f>
        <v>219000</v>
      </c>
      <c r="X1561" s="71"/>
      <c r="Y1561" s="71"/>
    </row>
    <row r="1562" spans="1:25" ht="30" hidden="1" customHeight="1" x14ac:dyDescent="0.25">
      <c r="A1562" s="82">
        <v>181204</v>
      </c>
      <c r="B1562" s="664" t="s">
        <v>1051</v>
      </c>
      <c r="C1562" s="71" t="s">
        <v>1294</v>
      </c>
      <c r="D1562" s="71">
        <v>500</v>
      </c>
      <c r="E1562" s="102">
        <v>5910</v>
      </c>
      <c r="F1562" s="102">
        <f t="shared" si="798"/>
        <v>3250500.0000000005</v>
      </c>
      <c r="G1562" s="102">
        <f t="shared" si="799"/>
        <v>2955000</v>
      </c>
      <c r="H1562" s="690" t="s">
        <v>142</v>
      </c>
      <c r="I1562" s="71" t="s">
        <v>140</v>
      </c>
      <c r="J1562" s="53">
        <f t="shared" si="802"/>
        <v>955000</v>
      </c>
      <c r="K1562" s="63">
        <f t="shared" si="796"/>
        <v>0.32318104906937389</v>
      </c>
      <c r="L1562" s="871" t="s">
        <v>1508</v>
      </c>
      <c r="M1562" s="468"/>
      <c r="N1562" s="664">
        <f t="shared" si="800"/>
        <v>181204</v>
      </c>
      <c r="O1562" s="71" t="s">
        <v>145</v>
      </c>
      <c r="P1562" s="103" t="str">
        <f>(C1562)</f>
        <v>ENGAGE 1030*790</v>
      </c>
      <c r="Q1562" s="71">
        <f t="shared" si="801"/>
        <v>500</v>
      </c>
      <c r="R1562" s="102">
        <v>4000</v>
      </c>
      <c r="S1562" s="102">
        <f>(R1562*D1562)*1.1</f>
        <v>2200000</v>
      </c>
      <c r="T1562" s="102">
        <f>(R1562*Q1562)</f>
        <v>2000000</v>
      </c>
      <c r="U1562" s="71" t="str">
        <f t="shared" si="797"/>
        <v>X</v>
      </c>
      <c r="V1562" s="71"/>
      <c r="W1562" s="474"/>
      <c r="X1562" s="71"/>
      <c r="Y1562" s="71"/>
    </row>
    <row r="1563" spans="1:25" ht="30" hidden="1" customHeight="1" x14ac:dyDescent="0.25">
      <c r="A1563" s="82">
        <v>181204</v>
      </c>
      <c r="B1563" s="664" t="s">
        <v>1051</v>
      </c>
      <c r="C1563" s="71" t="s">
        <v>1383</v>
      </c>
      <c r="D1563" s="71">
        <v>500</v>
      </c>
      <c r="E1563" s="102">
        <v>6200</v>
      </c>
      <c r="F1563" s="102">
        <f t="shared" si="798"/>
        <v>3410000.0000000005</v>
      </c>
      <c r="G1563" s="102">
        <f t="shared" si="799"/>
        <v>3100000</v>
      </c>
      <c r="H1563" s="690" t="s">
        <v>142</v>
      </c>
      <c r="I1563" s="71" t="s">
        <v>140</v>
      </c>
      <c r="J1563" s="53">
        <f t="shared" si="802"/>
        <v>995000</v>
      </c>
      <c r="K1563" s="63">
        <f t="shared" si="796"/>
        <v>0.32096774193548383</v>
      </c>
      <c r="L1563" s="871" t="s">
        <v>1508</v>
      </c>
      <c r="M1563" s="468"/>
      <c r="N1563" s="664">
        <f t="shared" si="800"/>
        <v>181204</v>
      </c>
      <c r="O1563" s="71" t="s">
        <v>145</v>
      </c>
      <c r="P1563" s="103" t="str">
        <f>C1563</f>
        <v>ENGAGE 1055*811</v>
      </c>
      <c r="Q1563" s="71">
        <f t="shared" si="801"/>
        <v>500</v>
      </c>
      <c r="R1563" s="102">
        <v>4210</v>
      </c>
      <c r="S1563" s="102">
        <f>R1563*Q1563*1.1</f>
        <v>2315500</v>
      </c>
      <c r="T1563" s="102">
        <f>R1563*Q1563</f>
        <v>2105000</v>
      </c>
      <c r="U1563" s="71"/>
      <c r="V1563" s="71"/>
      <c r="W1563" s="474">
        <f>(G1563-T1563)</f>
        <v>995000</v>
      </c>
      <c r="X1563" s="71"/>
      <c r="Y1563" s="71"/>
    </row>
    <row r="1564" spans="1:25" ht="30" hidden="1" customHeight="1" x14ac:dyDescent="0.25">
      <c r="A1564" s="82">
        <v>181206</v>
      </c>
      <c r="B1564" s="664" t="s">
        <v>809</v>
      </c>
      <c r="C1564" s="71" t="s">
        <v>1081</v>
      </c>
      <c r="D1564" s="71">
        <v>10</v>
      </c>
      <c r="E1564" s="102">
        <v>156000</v>
      </c>
      <c r="F1564" s="102">
        <f t="shared" si="798"/>
        <v>1716000.0000000002</v>
      </c>
      <c r="G1564" s="102">
        <f t="shared" si="799"/>
        <v>1560000</v>
      </c>
      <c r="H1564" s="690" t="s">
        <v>173</v>
      </c>
      <c r="I1564" s="71" t="s">
        <v>142</v>
      </c>
      <c r="J1564" s="53">
        <f t="shared" si="802"/>
        <v>360000</v>
      </c>
      <c r="K1564" s="63">
        <f t="shared" si="796"/>
        <v>0.23076923076923073</v>
      </c>
      <c r="L1564" s="871" t="s">
        <v>1508</v>
      </c>
      <c r="M1564" s="468"/>
      <c r="N1564" s="664">
        <f t="shared" si="800"/>
        <v>181206</v>
      </c>
      <c r="O1564" s="71" t="s">
        <v>147</v>
      </c>
      <c r="P1564" s="103" t="str">
        <f t="shared" si="801"/>
        <v>파우더</v>
      </c>
      <c r="Q1564" s="71">
        <f t="shared" si="801"/>
        <v>10</v>
      </c>
      <c r="R1564" s="102">
        <v>120000</v>
      </c>
      <c r="S1564" s="102">
        <f>R1564*Q1564*1.1</f>
        <v>1320000</v>
      </c>
      <c r="T1564" s="102">
        <f>R1564*Q1564</f>
        <v>1200000</v>
      </c>
      <c r="U1564" s="71" t="str">
        <f t="shared" ref="U1564:U1593" si="803">IF(J1564=W1564,"O", "X")</f>
        <v>O</v>
      </c>
      <c r="V1564" s="71"/>
      <c r="W1564" s="474">
        <f>(G1564-T1564)</f>
        <v>360000</v>
      </c>
      <c r="X1564" s="71"/>
      <c r="Y1564" s="71"/>
    </row>
    <row r="1565" spans="1:25" ht="30" hidden="1" customHeight="1" x14ac:dyDescent="0.25">
      <c r="A1565" s="82">
        <v>181207</v>
      </c>
      <c r="B1565" s="664" t="s">
        <v>446</v>
      </c>
      <c r="C1565" s="71" t="s">
        <v>1144</v>
      </c>
      <c r="D1565" s="71">
        <v>8</v>
      </c>
      <c r="E1565" s="102">
        <v>110000</v>
      </c>
      <c r="F1565" s="102">
        <f t="shared" si="798"/>
        <v>968000.00000000012</v>
      </c>
      <c r="G1565" s="102">
        <f t="shared" si="799"/>
        <v>880000</v>
      </c>
      <c r="H1565" s="690" t="s">
        <v>173</v>
      </c>
      <c r="I1565" s="71" t="s">
        <v>142</v>
      </c>
      <c r="J1565" s="53">
        <f t="shared" si="802"/>
        <v>152000</v>
      </c>
      <c r="K1565" s="63">
        <f t="shared" si="796"/>
        <v>0.1727272727272727</v>
      </c>
      <c r="L1565" s="871" t="s">
        <v>1508</v>
      </c>
      <c r="M1565" s="468"/>
      <c r="N1565" s="664">
        <f t="shared" si="800"/>
        <v>181207</v>
      </c>
      <c r="O1565" s="71" t="s">
        <v>150</v>
      </c>
      <c r="P1565" s="103" t="str">
        <f t="shared" si="801"/>
        <v>실리콘 에멀전</v>
      </c>
      <c r="Q1565" s="71">
        <f t="shared" si="801"/>
        <v>8</v>
      </c>
      <c r="R1565" s="102">
        <v>91000</v>
      </c>
      <c r="S1565" s="102">
        <f>R1565*Q1565*1.1</f>
        <v>800800.00000000012</v>
      </c>
      <c r="T1565" s="102">
        <f>R1565*Q1565</f>
        <v>728000</v>
      </c>
      <c r="U1565" s="71" t="str">
        <f t="shared" si="803"/>
        <v>O</v>
      </c>
      <c r="V1565" s="71"/>
      <c r="W1565" s="474">
        <f>(G1565-T1565)</f>
        <v>152000</v>
      </c>
      <c r="X1565" s="71"/>
      <c r="Y1565" s="71"/>
    </row>
    <row r="1566" spans="1:25" s="209" customFormat="1" ht="30" hidden="1" customHeight="1" x14ac:dyDescent="0.25">
      <c r="A1566" s="82">
        <v>181207</v>
      </c>
      <c r="B1566" s="664" t="s">
        <v>1286</v>
      </c>
      <c r="C1566" s="71" t="s">
        <v>1144</v>
      </c>
      <c r="D1566" s="71">
        <v>10</v>
      </c>
      <c r="E1566" s="102">
        <v>110000</v>
      </c>
      <c r="F1566" s="102">
        <f t="shared" si="798"/>
        <v>1210000</v>
      </c>
      <c r="G1566" s="102">
        <f t="shared" si="799"/>
        <v>1100000</v>
      </c>
      <c r="H1566" s="690" t="s">
        <v>173</v>
      </c>
      <c r="I1566" s="71" t="s">
        <v>142</v>
      </c>
      <c r="J1566" s="53">
        <f t="shared" si="802"/>
        <v>190000</v>
      </c>
      <c r="K1566" s="63">
        <f t="shared" ref="K1566:K1571" si="804">(J1566/(F1566/11*10))</f>
        <v>0.17272727272727273</v>
      </c>
      <c r="L1566" s="871" t="s">
        <v>1508</v>
      </c>
      <c r="M1566" s="468"/>
      <c r="N1566" s="664">
        <f>A1566</f>
        <v>181207</v>
      </c>
      <c r="O1566" s="71" t="s">
        <v>150</v>
      </c>
      <c r="P1566" s="103" t="str">
        <f>C1566</f>
        <v>실리콘 에멀전</v>
      </c>
      <c r="Q1566" s="71">
        <f>D1566</f>
        <v>10</v>
      </c>
      <c r="R1566" s="102">
        <v>91000</v>
      </c>
      <c r="S1566" s="102">
        <f>R1566*Q1566*1.1</f>
        <v>1001000.0000000001</v>
      </c>
      <c r="T1566" s="102">
        <f>R1566*Q1566</f>
        <v>910000</v>
      </c>
      <c r="U1566" s="71" t="str">
        <f t="shared" si="803"/>
        <v>X</v>
      </c>
      <c r="V1566" s="71"/>
      <c r="W1566" s="474"/>
      <c r="X1566" s="71"/>
      <c r="Y1566" s="71"/>
    </row>
    <row r="1567" spans="1:25" s="209" customFormat="1" ht="30" customHeight="1" x14ac:dyDescent="0.2">
      <c r="A1567" s="82">
        <v>181207</v>
      </c>
      <c r="B1567" s="664" t="s">
        <v>422</v>
      </c>
      <c r="C1567" s="71" t="s">
        <v>130</v>
      </c>
      <c r="D1567" s="71">
        <v>10</v>
      </c>
      <c r="E1567" s="102">
        <v>125000</v>
      </c>
      <c r="F1567" s="163">
        <f t="shared" si="798"/>
        <v>1375000</v>
      </c>
      <c r="G1567" s="163">
        <f t="shared" si="799"/>
        <v>1250000</v>
      </c>
      <c r="H1567" s="165" t="s">
        <v>172</v>
      </c>
      <c r="I1567" s="71" t="s">
        <v>109</v>
      </c>
      <c r="J1567" s="53">
        <f>(G1567-(VLOOKUP(C1567,Price!B:D,3,FALSE)*D1567))</f>
        <v>260000</v>
      </c>
      <c r="K1567" s="63">
        <f t="shared" si="804"/>
        <v>0.20799999999999999</v>
      </c>
      <c r="L1567" s="871" t="s">
        <v>1508</v>
      </c>
      <c r="M1567" s="468"/>
      <c r="N1567" s="664">
        <f t="shared" ref="N1567:N1589" si="805">A1567</f>
        <v>181207</v>
      </c>
      <c r="O1567" s="71" t="s">
        <v>150</v>
      </c>
      <c r="P1567" s="103" t="str">
        <f>(C1567)</f>
        <v>XL106 Blanket(1077*885)</v>
      </c>
      <c r="Q1567" s="71">
        <f t="shared" ref="Q1567:Q1616" si="806">D1567</f>
        <v>10</v>
      </c>
      <c r="R1567" s="102">
        <v>99000</v>
      </c>
      <c r="S1567" s="102">
        <f>(R1567*D1567)*1.1</f>
        <v>1089000</v>
      </c>
      <c r="T1567" s="102">
        <f>(R1567*Q1567)</f>
        <v>990000</v>
      </c>
      <c r="U1567" s="71" t="str">
        <f t="shared" si="803"/>
        <v>O</v>
      </c>
      <c r="V1567" s="71"/>
      <c r="W1567" s="474">
        <f>(G1567-T1567)</f>
        <v>260000</v>
      </c>
      <c r="X1567" s="71"/>
      <c r="Y1567" s="71"/>
    </row>
    <row r="1568" spans="1:25" ht="30" customHeight="1" x14ac:dyDescent="0.25">
      <c r="A1568" s="82">
        <v>181207</v>
      </c>
      <c r="B1568" s="664" t="s">
        <v>422</v>
      </c>
      <c r="C1568" s="71" t="s">
        <v>129</v>
      </c>
      <c r="D1568" s="71">
        <v>7</v>
      </c>
      <c r="E1568" s="102">
        <v>272000</v>
      </c>
      <c r="F1568" s="102">
        <f t="shared" si="798"/>
        <v>2094400.0000000002</v>
      </c>
      <c r="G1568" s="102">
        <f t="shared" si="799"/>
        <v>1904000</v>
      </c>
      <c r="H1568" s="690" t="s">
        <v>173</v>
      </c>
      <c r="I1568" s="71" t="s">
        <v>108</v>
      </c>
      <c r="J1568" s="53">
        <f>(G1568-(VLOOKUP(C1568,Price!B:D,3,FALSE)*D1568))</f>
        <v>448000</v>
      </c>
      <c r="K1568" s="63">
        <f t="shared" si="804"/>
        <v>0.23529411764705879</v>
      </c>
      <c r="L1568" s="871" t="s">
        <v>1508</v>
      </c>
      <c r="M1568" s="468"/>
      <c r="N1568" s="664">
        <f t="shared" si="805"/>
        <v>181207</v>
      </c>
      <c r="O1568" s="71" t="s">
        <v>149</v>
      </c>
      <c r="P1568" s="103" t="str">
        <f t="shared" ref="P1568:P1588" si="807">C1568</f>
        <v>세정포-XL106</v>
      </c>
      <c r="Q1568" s="71">
        <f t="shared" si="806"/>
        <v>7</v>
      </c>
      <c r="R1568" s="102">
        <v>208000</v>
      </c>
      <c r="S1568" s="102">
        <f>R1568*Q1568*1.1</f>
        <v>1601600.0000000002</v>
      </c>
      <c r="T1568" s="102">
        <f>R1568*Q1568</f>
        <v>1456000</v>
      </c>
      <c r="U1568" s="71" t="str">
        <f t="shared" si="803"/>
        <v>O</v>
      </c>
      <c r="V1568" s="71"/>
      <c r="W1568" s="474">
        <f>(G1568-T1568)</f>
        <v>448000</v>
      </c>
      <c r="X1568" s="71"/>
      <c r="Y1568" s="71"/>
    </row>
    <row r="1569" spans="1:25" ht="30" customHeight="1" x14ac:dyDescent="0.25">
      <c r="A1569" s="82">
        <v>181207</v>
      </c>
      <c r="B1569" s="664" t="s">
        <v>422</v>
      </c>
      <c r="C1569" s="71" t="s">
        <v>584</v>
      </c>
      <c r="D1569" s="71">
        <v>3</v>
      </c>
      <c r="E1569" s="102">
        <v>270000</v>
      </c>
      <c r="F1569" s="102">
        <f t="shared" si="798"/>
        <v>891000.00000000012</v>
      </c>
      <c r="G1569" s="102">
        <f t="shared" si="799"/>
        <v>810000</v>
      </c>
      <c r="H1569" s="690" t="s">
        <v>173</v>
      </c>
      <c r="I1569" s="71" t="s">
        <v>142</v>
      </c>
      <c r="J1569" s="53">
        <f>(G1569-(VLOOKUP(C1569,Price!B:D,3,FALSE)*D1569))</f>
        <v>162000</v>
      </c>
      <c r="K1569" s="63">
        <f t="shared" si="804"/>
        <v>0.19999999999999998</v>
      </c>
      <c r="L1569" s="871" t="s">
        <v>1508</v>
      </c>
      <c r="M1569" s="468"/>
      <c r="N1569" s="664">
        <f t="shared" si="805"/>
        <v>181207</v>
      </c>
      <c r="O1569" s="71" t="s">
        <v>150</v>
      </c>
      <c r="P1569" s="103" t="str">
        <f t="shared" si="807"/>
        <v>데리바리 석션벨트</v>
      </c>
      <c r="Q1569" s="71">
        <f t="shared" si="806"/>
        <v>3</v>
      </c>
      <c r="R1569" s="102">
        <v>216000</v>
      </c>
      <c r="S1569" s="102">
        <f>R1569*Q1569*1.1</f>
        <v>712800</v>
      </c>
      <c r="T1569" s="102">
        <f>R1569*Q1569</f>
        <v>648000</v>
      </c>
      <c r="U1569" s="71" t="str">
        <f t="shared" si="803"/>
        <v>O</v>
      </c>
      <c r="V1569" s="71"/>
      <c r="W1569" s="474">
        <f>(G1569-T1569)</f>
        <v>162000</v>
      </c>
      <c r="X1569" s="71"/>
      <c r="Y1569" s="71"/>
    </row>
    <row r="1570" spans="1:25" s="209" customFormat="1" ht="30" customHeight="1" x14ac:dyDescent="0.2">
      <c r="A1570" s="82">
        <v>181207</v>
      </c>
      <c r="B1570" s="664" t="s">
        <v>422</v>
      </c>
      <c r="C1570" s="71" t="s">
        <v>138</v>
      </c>
      <c r="D1570" s="71">
        <v>10</v>
      </c>
      <c r="E1570" s="102">
        <v>68000</v>
      </c>
      <c r="F1570" s="163">
        <f t="shared" si="798"/>
        <v>748000.00000000012</v>
      </c>
      <c r="G1570" s="163">
        <f t="shared" si="799"/>
        <v>680000</v>
      </c>
      <c r="H1570" s="165" t="s">
        <v>172</v>
      </c>
      <c r="I1570" s="71" t="s">
        <v>109</v>
      </c>
      <c r="J1570" s="53">
        <f>(G1570-(VLOOKUP(C1570,Price!B:D,3,FALSE)*D1570))</f>
        <v>170000</v>
      </c>
      <c r="K1570" s="63">
        <f t="shared" si="804"/>
        <v>0.24999999999999994</v>
      </c>
      <c r="L1570" s="871" t="s">
        <v>1508</v>
      </c>
      <c r="M1570" s="468"/>
      <c r="N1570" s="664">
        <f t="shared" si="805"/>
        <v>181207</v>
      </c>
      <c r="O1570" s="71" t="s">
        <v>150</v>
      </c>
      <c r="P1570" s="103" t="str">
        <f t="shared" si="807"/>
        <v>매엽용 세척제(Wash 562)</v>
      </c>
      <c r="Q1570" s="71">
        <f t="shared" si="806"/>
        <v>10</v>
      </c>
      <c r="R1570" s="102">
        <v>51000</v>
      </c>
      <c r="S1570" s="102">
        <f>(R1570*D1570)*1.1</f>
        <v>561000</v>
      </c>
      <c r="T1570" s="102">
        <f>(R1570*Q1570)</f>
        <v>510000</v>
      </c>
      <c r="U1570" s="71" t="str">
        <f t="shared" si="803"/>
        <v>O</v>
      </c>
      <c r="V1570" s="71"/>
      <c r="W1570" s="474">
        <f>(G1570-T1570)</f>
        <v>170000</v>
      </c>
      <c r="X1570" s="71"/>
      <c r="Y1570" s="71"/>
    </row>
    <row r="1571" spans="1:25" ht="30" customHeight="1" x14ac:dyDescent="0.25">
      <c r="A1571" s="82">
        <v>181207</v>
      </c>
      <c r="B1571" s="664" t="s">
        <v>565</v>
      </c>
      <c r="C1571" s="71" t="s">
        <v>1516</v>
      </c>
      <c r="D1571" s="71">
        <v>1</v>
      </c>
      <c r="E1571" s="102">
        <v>11102760</v>
      </c>
      <c r="F1571" s="102">
        <f t="shared" si="798"/>
        <v>12213036.000000002</v>
      </c>
      <c r="G1571" s="102">
        <f t="shared" si="799"/>
        <v>11102760</v>
      </c>
      <c r="H1571" s="690" t="s">
        <v>142</v>
      </c>
      <c r="I1571" s="71" t="s">
        <v>1431</v>
      </c>
      <c r="J1571" s="53">
        <f t="shared" ref="J1571:J1581" si="808">G1571-T1571</f>
        <v>2298558.589899404</v>
      </c>
      <c r="K1571" s="63">
        <f t="shared" si="804"/>
        <v>0.20702587373764753</v>
      </c>
      <c r="L1571" s="871" t="s">
        <v>1508</v>
      </c>
      <c r="M1571" s="468"/>
      <c r="N1571" s="664">
        <f t="shared" si="805"/>
        <v>181207</v>
      </c>
      <c r="O1571" s="71" t="s">
        <v>1431</v>
      </c>
      <c r="P1571" s="103" t="str">
        <f t="shared" si="807"/>
        <v>Water Crutch</v>
      </c>
      <c r="Q1571" s="71">
        <f t="shared" si="806"/>
        <v>1</v>
      </c>
      <c r="R1571" s="102">
        <f>Import!G142</f>
        <v>8804201.410100596</v>
      </c>
      <c r="S1571" s="102">
        <f>R1571*Q1571*1.1</f>
        <v>9684621.5511106569</v>
      </c>
      <c r="T1571" s="102">
        <f>R1571*Q1571</f>
        <v>8804201.410100596</v>
      </c>
      <c r="U1571" s="71" t="str">
        <f t="shared" si="803"/>
        <v>O</v>
      </c>
      <c r="V1571" s="71"/>
      <c r="W1571" s="474">
        <f>(G1571-T1571)</f>
        <v>2298558.589899404</v>
      </c>
      <c r="X1571" s="71"/>
      <c r="Y1571" s="71"/>
    </row>
    <row r="1572" spans="1:25" ht="30" hidden="1" customHeight="1" x14ac:dyDescent="0.25">
      <c r="A1572" s="82">
        <v>181207</v>
      </c>
      <c r="B1572" s="664" t="s">
        <v>445</v>
      </c>
      <c r="C1572" s="71" t="s">
        <v>1144</v>
      </c>
      <c r="D1572" s="71">
        <v>7</v>
      </c>
      <c r="E1572" s="102">
        <v>110000</v>
      </c>
      <c r="F1572" s="102">
        <f t="shared" ref="F1572:F1616" si="809">(E1572*D1572)*1.1</f>
        <v>847000.00000000012</v>
      </c>
      <c r="G1572" s="102">
        <f t="shared" ref="G1572:G1616" si="810">(E1572*D1572)</f>
        <v>770000</v>
      </c>
      <c r="H1572" s="690" t="s">
        <v>173</v>
      </c>
      <c r="I1572" s="71" t="s">
        <v>142</v>
      </c>
      <c r="J1572" s="53">
        <f t="shared" si="808"/>
        <v>133000</v>
      </c>
      <c r="K1572" s="63">
        <f t="shared" ref="K1572:K1589" si="811">(J1572/(F1572/11*10))</f>
        <v>0.1727272727272727</v>
      </c>
      <c r="L1572" s="871" t="s">
        <v>1508</v>
      </c>
      <c r="M1572" s="468"/>
      <c r="N1572" s="664">
        <f t="shared" si="805"/>
        <v>181207</v>
      </c>
      <c r="O1572" s="71" t="s">
        <v>150</v>
      </c>
      <c r="P1572" s="103" t="str">
        <f t="shared" si="807"/>
        <v>실리콘 에멀전</v>
      </c>
      <c r="Q1572" s="71">
        <f t="shared" si="806"/>
        <v>7</v>
      </c>
      <c r="R1572" s="102">
        <v>91000</v>
      </c>
      <c r="S1572" s="102">
        <f>R1572*Q1572*1.1</f>
        <v>700700</v>
      </c>
      <c r="T1572" s="102">
        <f>R1572*Q1572</f>
        <v>637000</v>
      </c>
      <c r="U1572" s="71" t="str">
        <f t="shared" si="803"/>
        <v>X</v>
      </c>
      <c r="V1572" s="71"/>
      <c r="W1572" s="474"/>
      <c r="X1572" s="71"/>
      <c r="Y1572" s="71"/>
    </row>
    <row r="1573" spans="1:25" ht="30" hidden="1" customHeight="1" x14ac:dyDescent="0.25">
      <c r="A1573" s="82">
        <v>181207</v>
      </c>
      <c r="B1573" s="664" t="s">
        <v>1051</v>
      </c>
      <c r="C1573" s="71" t="s">
        <v>1294</v>
      </c>
      <c r="D1573" s="71">
        <v>600</v>
      </c>
      <c r="E1573" s="102">
        <v>5910</v>
      </c>
      <c r="F1573" s="102">
        <f t="shared" si="809"/>
        <v>3900600.0000000005</v>
      </c>
      <c r="G1573" s="102">
        <f t="shared" si="810"/>
        <v>3546000</v>
      </c>
      <c r="H1573" s="690" t="s">
        <v>142</v>
      </c>
      <c r="I1573" s="71" t="s">
        <v>140</v>
      </c>
      <c r="J1573" s="53">
        <f t="shared" si="808"/>
        <v>1146000</v>
      </c>
      <c r="K1573" s="63">
        <f t="shared" si="811"/>
        <v>0.32318104906937389</v>
      </c>
      <c r="L1573" s="871" t="s">
        <v>1508</v>
      </c>
      <c r="M1573" s="468"/>
      <c r="N1573" s="664">
        <f t="shared" si="805"/>
        <v>181207</v>
      </c>
      <c r="O1573" s="71" t="s">
        <v>145</v>
      </c>
      <c r="P1573" s="103" t="str">
        <f>(C1573)</f>
        <v>ENGAGE 1030*790</v>
      </c>
      <c r="Q1573" s="71">
        <f t="shared" si="806"/>
        <v>600</v>
      </c>
      <c r="R1573" s="102">
        <v>4000</v>
      </c>
      <c r="S1573" s="102">
        <f>(R1573*D1573)*1.1</f>
        <v>2640000</v>
      </c>
      <c r="T1573" s="102">
        <f>(R1573*Q1573)</f>
        <v>2400000</v>
      </c>
      <c r="U1573" s="71" t="str">
        <f t="shared" si="803"/>
        <v>X</v>
      </c>
      <c r="V1573" s="71"/>
      <c r="W1573" s="474"/>
      <c r="X1573" s="71"/>
      <c r="Y1573" s="71"/>
    </row>
    <row r="1574" spans="1:25" ht="30" hidden="1" customHeight="1" x14ac:dyDescent="0.25">
      <c r="A1574" s="82">
        <v>181207</v>
      </c>
      <c r="B1574" s="664" t="s">
        <v>1051</v>
      </c>
      <c r="C1574" s="67" t="s">
        <v>1386</v>
      </c>
      <c r="D1574" s="71">
        <v>10</v>
      </c>
      <c r="E1574" s="102">
        <v>54500</v>
      </c>
      <c r="F1574" s="102">
        <f t="shared" si="809"/>
        <v>599500</v>
      </c>
      <c r="G1574" s="102">
        <f t="shared" si="810"/>
        <v>545000</v>
      </c>
      <c r="H1574" s="690" t="s">
        <v>142</v>
      </c>
      <c r="I1574" s="71" t="s">
        <v>140</v>
      </c>
      <c r="J1574" s="53">
        <f t="shared" si="808"/>
        <v>195000</v>
      </c>
      <c r="K1574" s="63">
        <f t="shared" si="811"/>
        <v>0.3577981651376147</v>
      </c>
      <c r="L1574" s="871" t="s">
        <v>1508</v>
      </c>
      <c r="M1574" s="468"/>
      <c r="N1574" s="664">
        <f t="shared" si="805"/>
        <v>181207</v>
      </c>
      <c r="O1574" s="71" t="s">
        <v>145</v>
      </c>
      <c r="P1574" s="103" t="str">
        <f t="shared" ref="P1574:P1579" si="812">C1574</f>
        <v>THR200(20L)보충액</v>
      </c>
      <c r="Q1574" s="71">
        <f t="shared" si="806"/>
        <v>10</v>
      </c>
      <c r="R1574" s="102">
        <v>35000</v>
      </c>
      <c r="S1574" s="102">
        <f t="shared" ref="S1574:S1579" si="813">R1574*Q1574*1.1</f>
        <v>385000.00000000006</v>
      </c>
      <c r="T1574" s="102">
        <f t="shared" ref="T1574:T1579" si="814">R1574*Q1574</f>
        <v>350000</v>
      </c>
      <c r="U1574" s="71" t="str">
        <f t="shared" si="803"/>
        <v>O</v>
      </c>
      <c r="V1574" s="71"/>
      <c r="W1574" s="474">
        <f>(G1574-T1574)</f>
        <v>195000</v>
      </c>
      <c r="X1574" s="71"/>
      <c r="Y1574" s="71"/>
    </row>
    <row r="1575" spans="1:25" ht="30" customHeight="1" x14ac:dyDescent="0.25">
      <c r="A1575" s="82">
        <v>181207</v>
      </c>
      <c r="B1575" s="664" t="s">
        <v>565</v>
      </c>
      <c r="C1575" s="67" t="s">
        <v>1603</v>
      </c>
      <c r="D1575" s="71">
        <v>1</v>
      </c>
      <c r="E1575" s="102">
        <v>430000</v>
      </c>
      <c r="F1575" s="102">
        <f t="shared" si="809"/>
        <v>473000.00000000006</v>
      </c>
      <c r="G1575" s="102">
        <f t="shared" si="810"/>
        <v>430000</v>
      </c>
      <c r="H1575" s="690" t="s">
        <v>173</v>
      </c>
      <c r="I1575" s="71" t="s">
        <v>142</v>
      </c>
      <c r="J1575" s="53">
        <f t="shared" si="808"/>
        <v>86000</v>
      </c>
      <c r="K1575" s="63">
        <f t="shared" si="811"/>
        <v>0.19999999999999998</v>
      </c>
      <c r="L1575" s="871" t="s">
        <v>1508</v>
      </c>
      <c r="M1575" s="468"/>
      <c r="N1575" s="664">
        <f t="shared" si="805"/>
        <v>181207</v>
      </c>
      <c r="O1575" s="71" t="s">
        <v>150</v>
      </c>
      <c r="P1575" s="103" t="str">
        <f t="shared" si="812"/>
        <v>(석션헤드내) 폴리 벨트</v>
      </c>
      <c r="Q1575" s="71">
        <f t="shared" si="806"/>
        <v>1</v>
      </c>
      <c r="R1575" s="102">
        <v>344000</v>
      </c>
      <c r="S1575" s="102">
        <f t="shared" si="813"/>
        <v>378400.00000000006</v>
      </c>
      <c r="T1575" s="102">
        <f t="shared" si="814"/>
        <v>344000</v>
      </c>
      <c r="U1575" s="71" t="str">
        <f t="shared" si="803"/>
        <v>X</v>
      </c>
      <c r="V1575" s="71"/>
      <c r="W1575" s="474"/>
      <c r="X1575" s="71"/>
      <c r="Y1575" s="71"/>
    </row>
    <row r="1576" spans="1:25" ht="30" customHeight="1" x14ac:dyDescent="0.25">
      <c r="A1576" s="82">
        <v>181207</v>
      </c>
      <c r="B1576" s="664" t="s">
        <v>422</v>
      </c>
      <c r="C1576" s="67" t="s">
        <v>1604</v>
      </c>
      <c r="D1576" s="71">
        <v>3</v>
      </c>
      <c r="E1576" s="102">
        <v>23000</v>
      </c>
      <c r="F1576" s="102">
        <f t="shared" si="809"/>
        <v>75900</v>
      </c>
      <c r="G1576" s="102">
        <f t="shared" si="810"/>
        <v>69000</v>
      </c>
      <c r="H1576" s="690" t="s">
        <v>173</v>
      </c>
      <c r="I1576" s="71" t="s">
        <v>142</v>
      </c>
      <c r="J1576" s="53">
        <f t="shared" si="808"/>
        <v>13800</v>
      </c>
      <c r="K1576" s="63">
        <f t="shared" si="811"/>
        <v>0.2</v>
      </c>
      <c r="L1576" s="871" t="s">
        <v>1508</v>
      </c>
      <c r="M1576" s="468"/>
      <c r="N1576" s="664">
        <f t="shared" si="805"/>
        <v>181207</v>
      </c>
      <c r="O1576" s="71" t="s">
        <v>150</v>
      </c>
      <c r="P1576" s="103" t="str">
        <f t="shared" si="812"/>
        <v>(휘다쪽) 구동 벨트 OS</v>
      </c>
      <c r="Q1576" s="71">
        <f t="shared" si="806"/>
        <v>3</v>
      </c>
      <c r="R1576" s="102">
        <v>18400</v>
      </c>
      <c r="S1576" s="102">
        <f t="shared" si="813"/>
        <v>60720.000000000007</v>
      </c>
      <c r="T1576" s="102">
        <f t="shared" si="814"/>
        <v>55200</v>
      </c>
      <c r="U1576" s="71" t="str">
        <f t="shared" si="803"/>
        <v>X</v>
      </c>
      <c r="V1576" s="71"/>
      <c r="W1576" s="474"/>
      <c r="X1576" s="71"/>
      <c r="Y1576" s="71"/>
    </row>
    <row r="1577" spans="1:25" ht="30" customHeight="1" x14ac:dyDescent="0.25">
      <c r="A1577" s="82">
        <v>181207</v>
      </c>
      <c r="B1577" s="664" t="s">
        <v>565</v>
      </c>
      <c r="C1577" s="67" t="s">
        <v>1605</v>
      </c>
      <c r="D1577" s="71">
        <v>4</v>
      </c>
      <c r="E1577" s="102">
        <v>158000</v>
      </c>
      <c r="F1577" s="102">
        <f t="shared" si="809"/>
        <v>695200</v>
      </c>
      <c r="G1577" s="102">
        <f t="shared" si="810"/>
        <v>632000</v>
      </c>
      <c r="H1577" s="690" t="s">
        <v>173</v>
      </c>
      <c r="I1577" s="71" t="s">
        <v>142</v>
      </c>
      <c r="J1577" s="53">
        <f t="shared" si="808"/>
        <v>126400</v>
      </c>
      <c r="K1577" s="63">
        <f t="shared" si="811"/>
        <v>0.2</v>
      </c>
      <c r="L1577" s="871" t="s">
        <v>1508</v>
      </c>
      <c r="M1577" s="468"/>
      <c r="N1577" s="664">
        <f t="shared" si="805"/>
        <v>181207</v>
      </c>
      <c r="O1577" s="71" t="s">
        <v>150</v>
      </c>
      <c r="P1577" s="103" t="str">
        <f t="shared" si="812"/>
        <v>40파이 호스</v>
      </c>
      <c r="Q1577" s="71">
        <f t="shared" si="806"/>
        <v>4</v>
      </c>
      <c r="R1577" s="102">
        <v>126400</v>
      </c>
      <c r="S1577" s="102">
        <f t="shared" si="813"/>
        <v>556160</v>
      </c>
      <c r="T1577" s="102">
        <f t="shared" si="814"/>
        <v>505600</v>
      </c>
      <c r="U1577" s="71" t="str">
        <f t="shared" si="803"/>
        <v>X</v>
      </c>
      <c r="V1577" s="71"/>
      <c r="W1577" s="474"/>
      <c r="X1577" s="71"/>
      <c r="Y1577" s="71"/>
    </row>
    <row r="1578" spans="1:25" ht="30" customHeight="1" x14ac:dyDescent="0.25">
      <c r="A1578" s="82">
        <v>181207</v>
      </c>
      <c r="B1578" s="664" t="s">
        <v>422</v>
      </c>
      <c r="C1578" s="67" t="s">
        <v>1606</v>
      </c>
      <c r="D1578" s="71">
        <v>4</v>
      </c>
      <c r="E1578" s="102">
        <v>64000</v>
      </c>
      <c r="F1578" s="102">
        <f t="shared" si="809"/>
        <v>281600</v>
      </c>
      <c r="G1578" s="102">
        <f t="shared" si="810"/>
        <v>256000</v>
      </c>
      <c r="H1578" s="690" t="s">
        <v>173</v>
      </c>
      <c r="I1578" s="71" t="s">
        <v>142</v>
      </c>
      <c r="J1578" s="53">
        <f t="shared" si="808"/>
        <v>51200</v>
      </c>
      <c r="K1578" s="63">
        <f t="shared" si="811"/>
        <v>0.2</v>
      </c>
      <c r="L1578" s="871" t="s">
        <v>1508</v>
      </c>
      <c r="M1578" s="468"/>
      <c r="N1578" s="664">
        <f t="shared" si="805"/>
        <v>181207</v>
      </c>
      <c r="O1578" s="71" t="s">
        <v>150</v>
      </c>
      <c r="P1578" s="103" t="str">
        <f t="shared" si="812"/>
        <v>25파이 호스</v>
      </c>
      <c r="Q1578" s="71">
        <f t="shared" si="806"/>
        <v>4</v>
      </c>
      <c r="R1578" s="102">
        <v>51200</v>
      </c>
      <c r="S1578" s="102">
        <f t="shared" si="813"/>
        <v>225280.00000000003</v>
      </c>
      <c r="T1578" s="102">
        <f t="shared" si="814"/>
        <v>204800</v>
      </c>
      <c r="U1578" s="71" t="str">
        <f t="shared" si="803"/>
        <v>X</v>
      </c>
      <c r="V1578" s="71"/>
      <c r="W1578" s="474"/>
      <c r="X1578" s="71"/>
      <c r="Y1578" s="71"/>
    </row>
    <row r="1579" spans="1:25" ht="30" customHeight="1" x14ac:dyDescent="0.25">
      <c r="A1579" s="82">
        <v>181207</v>
      </c>
      <c r="B1579" s="664" t="s">
        <v>422</v>
      </c>
      <c r="C1579" s="67" t="s">
        <v>1606</v>
      </c>
      <c r="D1579" s="71">
        <v>12</v>
      </c>
      <c r="E1579" s="102">
        <v>64000</v>
      </c>
      <c r="F1579" s="102">
        <f t="shared" si="809"/>
        <v>844800.00000000012</v>
      </c>
      <c r="G1579" s="102">
        <f t="shared" si="810"/>
        <v>768000</v>
      </c>
      <c r="H1579" s="690" t="s">
        <v>173</v>
      </c>
      <c r="I1579" s="71" t="s">
        <v>142</v>
      </c>
      <c r="J1579" s="53">
        <f t="shared" si="808"/>
        <v>153600</v>
      </c>
      <c r="K1579" s="63">
        <f t="shared" si="811"/>
        <v>0.19999999999999998</v>
      </c>
      <c r="L1579" s="871" t="s">
        <v>1508</v>
      </c>
      <c r="M1579" s="468"/>
      <c r="N1579" s="664">
        <f t="shared" si="805"/>
        <v>181207</v>
      </c>
      <c r="O1579" s="71" t="s">
        <v>150</v>
      </c>
      <c r="P1579" s="103" t="str">
        <f t="shared" si="812"/>
        <v>25파이 호스</v>
      </c>
      <c r="Q1579" s="71">
        <f t="shared" si="806"/>
        <v>12</v>
      </c>
      <c r="R1579" s="102">
        <v>51200</v>
      </c>
      <c r="S1579" s="102">
        <f t="shared" si="813"/>
        <v>675840</v>
      </c>
      <c r="T1579" s="102">
        <f t="shared" si="814"/>
        <v>614400</v>
      </c>
      <c r="U1579" s="71" t="str">
        <f t="shared" si="803"/>
        <v>X</v>
      </c>
      <c r="V1579" s="71"/>
      <c r="W1579" s="474"/>
      <c r="X1579" s="71"/>
      <c r="Y1579" s="71"/>
    </row>
    <row r="1580" spans="1:25" ht="30" hidden="1" customHeight="1" x14ac:dyDescent="0.25">
      <c r="A1580" s="82">
        <v>181211</v>
      </c>
      <c r="B1580" s="664" t="s">
        <v>1051</v>
      </c>
      <c r="C1580" s="71" t="s">
        <v>1294</v>
      </c>
      <c r="D1580" s="71">
        <v>600</v>
      </c>
      <c r="E1580" s="102">
        <v>5910</v>
      </c>
      <c r="F1580" s="102">
        <f t="shared" si="809"/>
        <v>3900600.0000000005</v>
      </c>
      <c r="G1580" s="102">
        <f t="shared" si="810"/>
        <v>3546000</v>
      </c>
      <c r="H1580" s="690" t="s">
        <v>142</v>
      </c>
      <c r="I1580" s="71" t="s">
        <v>140</v>
      </c>
      <c r="J1580" s="53">
        <f t="shared" si="808"/>
        <v>1146000</v>
      </c>
      <c r="K1580" s="63">
        <f t="shared" si="811"/>
        <v>0.32318104906937389</v>
      </c>
      <c r="L1580" s="871" t="s">
        <v>1508</v>
      </c>
      <c r="M1580" s="468"/>
      <c r="N1580" s="664">
        <f t="shared" si="805"/>
        <v>181211</v>
      </c>
      <c r="O1580" s="71" t="s">
        <v>145</v>
      </c>
      <c r="P1580" s="103" t="str">
        <f>(C1580)</f>
        <v>ENGAGE 1030*790</v>
      </c>
      <c r="Q1580" s="71">
        <f t="shared" si="806"/>
        <v>600</v>
      </c>
      <c r="R1580" s="102">
        <v>4000</v>
      </c>
      <c r="S1580" s="102">
        <f>(R1580*D1580)*1.1</f>
        <v>2640000</v>
      </c>
      <c r="T1580" s="102">
        <f>(R1580*Q1580)</f>
        <v>2400000</v>
      </c>
      <c r="U1580" s="71" t="str">
        <f t="shared" si="803"/>
        <v>X</v>
      </c>
      <c r="V1580" s="71"/>
      <c r="W1580" s="474"/>
      <c r="X1580" s="71"/>
      <c r="Y1580" s="71"/>
    </row>
    <row r="1581" spans="1:25" ht="30" hidden="1" customHeight="1" x14ac:dyDescent="0.25">
      <c r="A1581" s="82">
        <v>181208</v>
      </c>
      <c r="B1581" s="664" t="s">
        <v>546</v>
      </c>
      <c r="C1581" s="71" t="s">
        <v>1526</v>
      </c>
      <c r="D1581" s="71">
        <v>1</v>
      </c>
      <c r="E1581" s="102">
        <v>2900000</v>
      </c>
      <c r="F1581" s="102">
        <f t="shared" si="809"/>
        <v>3190000.0000000005</v>
      </c>
      <c r="G1581" s="102">
        <f t="shared" si="810"/>
        <v>2900000</v>
      </c>
      <c r="H1581" s="690" t="s">
        <v>985</v>
      </c>
      <c r="I1581" s="71"/>
      <c r="J1581" s="53">
        <f t="shared" si="808"/>
        <v>1400000</v>
      </c>
      <c r="K1581" s="63">
        <f t="shared" si="811"/>
        <v>0.48275862068965508</v>
      </c>
      <c r="L1581" s="871" t="s">
        <v>1508</v>
      </c>
      <c r="M1581" s="468" t="s">
        <v>1528</v>
      </c>
      <c r="N1581" s="664">
        <f t="shared" si="805"/>
        <v>181208</v>
      </c>
      <c r="O1581" s="71" t="s">
        <v>1527</v>
      </c>
      <c r="P1581" s="103" t="str">
        <f t="shared" si="807"/>
        <v>판걸이튜브 교체 작업</v>
      </c>
      <c r="Q1581" s="71">
        <f t="shared" si="806"/>
        <v>1</v>
      </c>
      <c r="R1581" s="102">
        <v>1500000</v>
      </c>
      <c r="S1581" s="102">
        <f t="shared" ref="S1581:S1591" si="815">R1581*Q1581*1.1</f>
        <v>1650000.0000000002</v>
      </c>
      <c r="T1581" s="102">
        <f t="shared" ref="T1581:T1591" si="816">R1581*Q1581</f>
        <v>1500000</v>
      </c>
      <c r="U1581" s="71" t="str">
        <f t="shared" si="803"/>
        <v>X</v>
      </c>
      <c r="V1581" s="71"/>
      <c r="W1581" s="474"/>
      <c r="X1581" s="71"/>
      <c r="Y1581" s="71"/>
    </row>
    <row r="1582" spans="1:25" ht="30" hidden="1" customHeight="1" x14ac:dyDescent="0.25">
      <c r="A1582" s="82">
        <v>181211</v>
      </c>
      <c r="B1582" s="664" t="s">
        <v>442</v>
      </c>
      <c r="C1582" s="71" t="s">
        <v>133</v>
      </c>
      <c r="D1582" s="71">
        <v>2</v>
      </c>
      <c r="E1582" s="102">
        <v>327000</v>
      </c>
      <c r="F1582" s="102">
        <f t="shared" si="809"/>
        <v>719400</v>
      </c>
      <c r="G1582" s="102">
        <f t="shared" si="810"/>
        <v>654000</v>
      </c>
      <c r="H1582" s="690" t="s">
        <v>173</v>
      </c>
      <c r="I1582" s="71" t="s">
        <v>141</v>
      </c>
      <c r="J1582" s="53">
        <f>(G1582-(VLOOKUP(C1582,Price!B:D,3,FALSE)*D1582))</f>
        <v>115800</v>
      </c>
      <c r="K1582" s="63">
        <f t="shared" si="811"/>
        <v>0.17706422018348625</v>
      </c>
      <c r="L1582" s="871" t="s">
        <v>1508</v>
      </c>
      <c r="M1582" s="468"/>
      <c r="N1582" s="664">
        <f t="shared" si="805"/>
        <v>181211</v>
      </c>
      <c r="O1582" s="71" t="s">
        <v>145</v>
      </c>
      <c r="P1582" s="103" t="str">
        <f t="shared" si="807"/>
        <v>Agfa Film(24inch)</v>
      </c>
      <c r="Q1582" s="71">
        <f t="shared" si="806"/>
        <v>2</v>
      </c>
      <c r="R1582" s="102">
        <v>269100</v>
      </c>
      <c r="S1582" s="102">
        <f t="shared" si="815"/>
        <v>592020</v>
      </c>
      <c r="T1582" s="102">
        <f t="shared" si="816"/>
        <v>538200</v>
      </c>
      <c r="U1582" s="71" t="str">
        <f t="shared" si="803"/>
        <v>O</v>
      </c>
      <c r="V1582" s="71"/>
      <c r="W1582" s="474">
        <f t="shared" ref="W1582:W1588" si="817">(G1582-T1582)</f>
        <v>115800</v>
      </c>
      <c r="X1582" s="71"/>
      <c r="Y1582" s="71"/>
    </row>
    <row r="1583" spans="1:25" ht="30" hidden="1" customHeight="1" x14ac:dyDescent="0.25">
      <c r="A1583" s="82">
        <v>181211</v>
      </c>
      <c r="B1583" s="664" t="s">
        <v>442</v>
      </c>
      <c r="C1583" s="71" t="s">
        <v>134</v>
      </c>
      <c r="D1583" s="71">
        <v>2</v>
      </c>
      <c r="E1583" s="102">
        <v>401000</v>
      </c>
      <c r="F1583" s="102">
        <f t="shared" si="809"/>
        <v>882200.00000000012</v>
      </c>
      <c r="G1583" s="102">
        <f t="shared" si="810"/>
        <v>802000</v>
      </c>
      <c r="H1583" s="690" t="s">
        <v>173</v>
      </c>
      <c r="I1583" s="71" t="s">
        <v>141</v>
      </c>
      <c r="J1583" s="53">
        <f>(G1583-(VLOOKUP(C1583,Price!B:D,3,FALSE)*D1583))</f>
        <v>174080</v>
      </c>
      <c r="K1583" s="63">
        <f t="shared" si="811"/>
        <v>0.21705735660847877</v>
      </c>
      <c r="L1583" s="871" t="s">
        <v>1508</v>
      </c>
      <c r="M1583" s="468"/>
      <c r="N1583" s="664">
        <f t="shared" si="805"/>
        <v>181211</v>
      </c>
      <c r="O1583" s="71" t="s">
        <v>145</v>
      </c>
      <c r="P1583" s="103" t="str">
        <f t="shared" si="807"/>
        <v>Agfa Film(28inch)</v>
      </c>
      <c r="Q1583" s="71">
        <f t="shared" si="806"/>
        <v>2</v>
      </c>
      <c r="R1583" s="102">
        <f>VLOOKUP(P1583,Price!B:D,3,FALSE)</f>
        <v>313960</v>
      </c>
      <c r="S1583" s="102">
        <f t="shared" si="815"/>
        <v>690712</v>
      </c>
      <c r="T1583" s="102">
        <f t="shared" si="816"/>
        <v>627920</v>
      </c>
      <c r="U1583" s="71" t="str">
        <f t="shared" si="803"/>
        <v>O</v>
      </c>
      <c r="V1583" s="71"/>
      <c r="W1583" s="474">
        <f t="shared" si="817"/>
        <v>174080</v>
      </c>
      <c r="X1583" s="71"/>
      <c r="Y1583" s="71"/>
    </row>
    <row r="1584" spans="1:25" ht="30" hidden="1" customHeight="1" x14ac:dyDescent="0.25">
      <c r="A1584" s="82">
        <v>181211</v>
      </c>
      <c r="B1584" s="664" t="s">
        <v>442</v>
      </c>
      <c r="C1584" s="71" t="s">
        <v>135</v>
      </c>
      <c r="D1584" s="71">
        <v>2</v>
      </c>
      <c r="E1584" s="102">
        <v>448000</v>
      </c>
      <c r="F1584" s="102">
        <f t="shared" si="809"/>
        <v>985600.00000000012</v>
      </c>
      <c r="G1584" s="102">
        <f t="shared" si="810"/>
        <v>896000</v>
      </c>
      <c r="H1584" s="690" t="s">
        <v>173</v>
      </c>
      <c r="I1584" s="71" t="s">
        <v>141</v>
      </c>
      <c r="J1584" s="53">
        <f>(G1584-(VLOOKUP(C1584,Price!B:D,3,FALSE)*D1584))</f>
        <v>155980</v>
      </c>
      <c r="K1584" s="63">
        <f t="shared" si="811"/>
        <v>0.1740848214285714</v>
      </c>
      <c r="L1584" s="871" t="s">
        <v>1508</v>
      </c>
      <c r="M1584" s="468"/>
      <c r="N1584" s="664">
        <f t="shared" si="805"/>
        <v>181211</v>
      </c>
      <c r="O1584" s="71" t="s">
        <v>145</v>
      </c>
      <c r="P1584" s="103" t="str">
        <f t="shared" si="807"/>
        <v>Agfa Film(32inch)</v>
      </c>
      <c r="Q1584" s="71">
        <f t="shared" si="806"/>
        <v>2</v>
      </c>
      <c r="R1584" s="102">
        <f>VLOOKUP(P1584,Price!B:D,3,FALSE)</f>
        <v>370010</v>
      </c>
      <c r="S1584" s="102">
        <f t="shared" si="815"/>
        <v>814022.00000000012</v>
      </c>
      <c r="T1584" s="102">
        <f t="shared" si="816"/>
        <v>740020</v>
      </c>
      <c r="U1584" s="71" t="str">
        <f t="shared" si="803"/>
        <v>O</v>
      </c>
      <c r="V1584" s="71"/>
      <c r="W1584" s="474">
        <f t="shared" si="817"/>
        <v>155980</v>
      </c>
      <c r="X1584" s="71"/>
      <c r="Y1584" s="71"/>
    </row>
    <row r="1585" spans="1:25" ht="30" hidden="1" customHeight="1" x14ac:dyDescent="0.25">
      <c r="A1585" s="82">
        <v>181211</v>
      </c>
      <c r="B1585" s="664" t="s">
        <v>442</v>
      </c>
      <c r="C1585" s="71" t="s">
        <v>649</v>
      </c>
      <c r="D1585" s="71">
        <v>2</v>
      </c>
      <c r="E1585" s="102">
        <v>41000</v>
      </c>
      <c r="F1585" s="102">
        <f t="shared" si="809"/>
        <v>90200.000000000015</v>
      </c>
      <c r="G1585" s="102">
        <f t="shared" si="810"/>
        <v>82000</v>
      </c>
      <c r="H1585" s="690" t="s">
        <v>173</v>
      </c>
      <c r="I1585" s="71" t="s">
        <v>141</v>
      </c>
      <c r="J1585" s="53">
        <f>(G1585-(VLOOKUP(C1585,Price!B:D,3,FALSE)*D1585))</f>
        <v>32000</v>
      </c>
      <c r="K1585" s="63">
        <f t="shared" si="811"/>
        <v>0.39024390243902435</v>
      </c>
      <c r="L1585" s="871" t="s">
        <v>1508</v>
      </c>
      <c r="M1585" s="468"/>
      <c r="N1585" s="664">
        <f t="shared" si="805"/>
        <v>181211</v>
      </c>
      <c r="O1585" s="71" t="s">
        <v>145</v>
      </c>
      <c r="P1585" s="103" t="str">
        <f t="shared" si="807"/>
        <v>Agfa 현상액 G101C(10L)</v>
      </c>
      <c r="Q1585" s="71">
        <f t="shared" si="806"/>
        <v>2</v>
      </c>
      <c r="R1585" s="102">
        <f>VLOOKUP(P1585,Price!B:D,3,FALSE)</f>
        <v>25000</v>
      </c>
      <c r="S1585" s="102">
        <f t="shared" si="815"/>
        <v>55000.000000000007</v>
      </c>
      <c r="T1585" s="102">
        <f t="shared" si="816"/>
        <v>50000</v>
      </c>
      <c r="U1585" s="71" t="str">
        <f t="shared" si="803"/>
        <v>O</v>
      </c>
      <c r="V1585" s="71"/>
      <c r="W1585" s="474">
        <f t="shared" si="817"/>
        <v>32000</v>
      </c>
      <c r="X1585" s="71"/>
      <c r="Y1585" s="71"/>
    </row>
    <row r="1586" spans="1:25" ht="30" hidden="1" customHeight="1" x14ac:dyDescent="0.2">
      <c r="A1586" s="82">
        <v>181211</v>
      </c>
      <c r="B1586" s="664" t="s">
        <v>442</v>
      </c>
      <c r="C1586" s="71" t="s">
        <v>650</v>
      </c>
      <c r="D1586" s="71">
        <v>1</v>
      </c>
      <c r="E1586" s="102">
        <v>93000</v>
      </c>
      <c r="F1586" s="163">
        <f t="shared" si="809"/>
        <v>102300.00000000001</v>
      </c>
      <c r="G1586" s="163">
        <f t="shared" si="810"/>
        <v>93000</v>
      </c>
      <c r="H1586" s="165" t="s">
        <v>172</v>
      </c>
      <c r="I1586" s="71" t="s">
        <v>141</v>
      </c>
      <c r="J1586" s="53">
        <f>(G1586-(VLOOKUP(C1586,Price!B:D,3,FALSE)*D1586))</f>
        <v>33000</v>
      </c>
      <c r="K1586" s="63">
        <f t="shared" si="811"/>
        <v>0.35483870967741932</v>
      </c>
      <c r="L1586" s="871" t="s">
        <v>1508</v>
      </c>
      <c r="M1586" s="468"/>
      <c r="N1586" s="664">
        <f t="shared" si="805"/>
        <v>181211</v>
      </c>
      <c r="O1586" s="71" t="s">
        <v>145</v>
      </c>
      <c r="P1586" s="103" t="str">
        <f t="shared" si="807"/>
        <v>Agfa 정착액 G333C(20L)</v>
      </c>
      <c r="Q1586" s="71">
        <f t="shared" si="806"/>
        <v>1</v>
      </c>
      <c r="R1586" s="102">
        <f>VLOOKUP(P1586,Price!B:D,3,FALSE)</f>
        <v>60000</v>
      </c>
      <c r="S1586" s="102">
        <f t="shared" si="815"/>
        <v>66000</v>
      </c>
      <c r="T1586" s="102">
        <f t="shared" si="816"/>
        <v>60000</v>
      </c>
      <c r="U1586" s="71" t="str">
        <f t="shared" si="803"/>
        <v>O</v>
      </c>
      <c r="V1586" s="71"/>
      <c r="W1586" s="474">
        <f t="shared" si="817"/>
        <v>33000</v>
      </c>
      <c r="X1586" s="71"/>
      <c r="Y1586" s="71"/>
    </row>
    <row r="1587" spans="1:25" ht="30" hidden="1" customHeight="1" x14ac:dyDescent="0.25">
      <c r="A1587" s="82">
        <v>181211</v>
      </c>
      <c r="B1587" s="664" t="s">
        <v>690</v>
      </c>
      <c r="C1587" s="71" t="s">
        <v>750</v>
      </c>
      <c r="D1587" s="71">
        <v>4</v>
      </c>
      <c r="E1587" s="102">
        <v>49000</v>
      </c>
      <c r="F1587" s="102">
        <f t="shared" si="809"/>
        <v>215600.00000000003</v>
      </c>
      <c r="G1587" s="102">
        <f t="shared" si="810"/>
        <v>196000</v>
      </c>
      <c r="H1587" s="690" t="s">
        <v>173</v>
      </c>
      <c r="I1587" s="71" t="s">
        <v>140</v>
      </c>
      <c r="J1587" s="53">
        <f>(G1587-(VLOOKUP(C1587,Price!B:D,3,FALSE)*D1587))</f>
        <v>56000</v>
      </c>
      <c r="K1587" s="63">
        <f t="shared" si="811"/>
        <v>0.2857142857142857</v>
      </c>
      <c r="L1587" s="871" t="s">
        <v>1508</v>
      </c>
      <c r="M1587" s="468" t="s">
        <v>1394</v>
      </c>
      <c r="N1587" s="664">
        <f t="shared" si="805"/>
        <v>181211</v>
      </c>
      <c r="O1587" s="71" t="s">
        <v>145</v>
      </c>
      <c r="P1587" s="103" t="str">
        <f t="shared" si="807"/>
        <v>THD200(20L)</v>
      </c>
      <c r="Q1587" s="71">
        <f t="shared" si="806"/>
        <v>4</v>
      </c>
      <c r="R1587" s="102">
        <v>35000</v>
      </c>
      <c r="S1587" s="102">
        <f t="shared" si="815"/>
        <v>154000</v>
      </c>
      <c r="T1587" s="102">
        <f t="shared" si="816"/>
        <v>140000</v>
      </c>
      <c r="U1587" s="71" t="str">
        <f t="shared" si="803"/>
        <v>O</v>
      </c>
      <c r="V1587" s="71"/>
      <c r="W1587" s="474">
        <f t="shared" si="817"/>
        <v>56000</v>
      </c>
      <c r="X1587" s="71"/>
      <c r="Y1587" s="71"/>
    </row>
    <row r="1588" spans="1:25" ht="30" hidden="1" customHeight="1" x14ac:dyDescent="0.25">
      <c r="A1588" s="82">
        <v>181211</v>
      </c>
      <c r="B1588" s="664" t="s">
        <v>690</v>
      </c>
      <c r="C1588" s="71" t="s">
        <v>1186</v>
      </c>
      <c r="D1588" s="71">
        <v>500</v>
      </c>
      <c r="E1588" s="102">
        <v>3600</v>
      </c>
      <c r="F1588" s="102">
        <f t="shared" si="809"/>
        <v>1980000.0000000002</v>
      </c>
      <c r="G1588" s="102">
        <f t="shared" si="810"/>
        <v>1800000</v>
      </c>
      <c r="H1588" s="690" t="s">
        <v>173</v>
      </c>
      <c r="I1588" s="71" t="s">
        <v>140</v>
      </c>
      <c r="J1588" s="53">
        <f>(G1588-(VLOOKUP(C1588,Price!B:D,3,FALSE)*D1588))</f>
        <v>-200000</v>
      </c>
      <c r="K1588" s="63">
        <f t="shared" si="811"/>
        <v>-0.11111111111111109</v>
      </c>
      <c r="L1588" s="871" t="s">
        <v>1508</v>
      </c>
      <c r="M1588" s="468" t="s">
        <v>1393</v>
      </c>
      <c r="N1588" s="664">
        <f t="shared" si="805"/>
        <v>181211</v>
      </c>
      <c r="O1588" s="71" t="s">
        <v>145</v>
      </c>
      <c r="P1588" s="103" t="str">
        <f t="shared" si="807"/>
        <v>CTP 판(1030*790mm)</v>
      </c>
      <c r="Q1588" s="71">
        <f t="shared" si="806"/>
        <v>500</v>
      </c>
      <c r="R1588" s="102">
        <v>4000</v>
      </c>
      <c r="S1588" s="102">
        <f t="shared" si="815"/>
        <v>2200000</v>
      </c>
      <c r="T1588" s="102">
        <f t="shared" si="816"/>
        <v>2000000</v>
      </c>
      <c r="U1588" s="71" t="str">
        <f t="shared" si="803"/>
        <v>O</v>
      </c>
      <c r="V1588" s="71"/>
      <c r="W1588" s="474">
        <f t="shared" si="817"/>
        <v>-200000</v>
      </c>
      <c r="X1588" s="71"/>
      <c r="Y1588" s="71"/>
    </row>
    <row r="1589" spans="1:25" ht="30" hidden="1" customHeight="1" x14ac:dyDescent="0.25">
      <c r="A1589" s="82">
        <v>181211</v>
      </c>
      <c r="B1589" s="664" t="s">
        <v>764</v>
      </c>
      <c r="C1589" s="1020" t="s">
        <v>1500</v>
      </c>
      <c r="D1589" s="71">
        <v>2</v>
      </c>
      <c r="E1589" s="102">
        <v>2100000</v>
      </c>
      <c r="F1589" s="102">
        <f t="shared" si="809"/>
        <v>4620000</v>
      </c>
      <c r="G1589" s="102">
        <f t="shared" si="810"/>
        <v>4200000</v>
      </c>
      <c r="H1589" s="690" t="s">
        <v>1432</v>
      </c>
      <c r="I1589" s="71"/>
      <c r="J1589" s="53">
        <f>G1589-T1589</f>
        <v>1481183.4659834453</v>
      </c>
      <c r="K1589" s="63">
        <f t="shared" si="811"/>
        <v>0.35266272999605841</v>
      </c>
      <c r="L1589" s="871" t="s">
        <v>1508</v>
      </c>
      <c r="M1589" s="468"/>
      <c r="N1589" s="664">
        <f t="shared" si="805"/>
        <v>181211</v>
      </c>
      <c r="O1589" s="71" t="s">
        <v>1432</v>
      </c>
      <c r="P1589" s="103" t="str">
        <f>(C1589)</f>
        <v>Fluidos 1-5% int/ext EPDM,PP</v>
      </c>
      <c r="Q1589" s="71">
        <f t="shared" si="806"/>
        <v>2</v>
      </c>
      <c r="R1589" s="102">
        <f>Import!G654</f>
        <v>1359408.2670082774</v>
      </c>
      <c r="S1589" s="102">
        <f t="shared" si="815"/>
        <v>2990698.1874182103</v>
      </c>
      <c r="T1589" s="102">
        <f t="shared" si="816"/>
        <v>2718816.5340165547</v>
      </c>
      <c r="U1589" s="71" t="str">
        <f t="shared" si="803"/>
        <v>X</v>
      </c>
      <c r="V1589" s="71"/>
      <c r="W1589" s="474"/>
      <c r="X1589" s="71"/>
      <c r="Y1589" s="71"/>
    </row>
    <row r="1590" spans="1:25" ht="30" hidden="1" customHeight="1" x14ac:dyDescent="0.25">
      <c r="A1590" s="82">
        <v>181211</v>
      </c>
      <c r="B1590" s="664" t="s">
        <v>764</v>
      </c>
      <c r="C1590" s="71" t="s">
        <v>123</v>
      </c>
      <c r="D1590" s="71">
        <v>20</v>
      </c>
      <c r="E1590" s="102">
        <v>35000</v>
      </c>
      <c r="F1590" s="102">
        <f t="shared" si="809"/>
        <v>770000.00000000012</v>
      </c>
      <c r="G1590" s="102">
        <f t="shared" si="810"/>
        <v>700000</v>
      </c>
      <c r="H1590" s="690" t="s">
        <v>1432</v>
      </c>
      <c r="I1590" s="71"/>
      <c r="J1590" s="53">
        <f>G1590-T1590</f>
        <v>258920</v>
      </c>
      <c r="K1590" s="63">
        <f t="shared" ref="K1590:K1596" si="818">(J1590/(F1590/11*10))</f>
        <v>0.36988571428571421</v>
      </c>
      <c r="L1590" s="871" t="s">
        <v>1508</v>
      </c>
      <c r="M1590" s="468"/>
      <c r="N1590" s="664">
        <f t="shared" ref="N1590:N1606" si="819">A1590</f>
        <v>181211</v>
      </c>
      <c r="O1590" s="71" t="s">
        <v>1432</v>
      </c>
      <c r="P1590" s="103" t="str">
        <f t="shared" ref="P1590:P1615" si="820">C1590</f>
        <v>필터백</v>
      </c>
      <c r="Q1590" s="71">
        <f t="shared" si="806"/>
        <v>20</v>
      </c>
      <c r="R1590" s="102">
        <v>22054</v>
      </c>
      <c r="S1590" s="102">
        <f t="shared" si="815"/>
        <v>485188.00000000006</v>
      </c>
      <c r="T1590" s="102">
        <f t="shared" si="816"/>
        <v>441080</v>
      </c>
      <c r="U1590" s="71" t="str">
        <f t="shared" si="803"/>
        <v>O</v>
      </c>
      <c r="V1590" s="71"/>
      <c r="W1590" s="474">
        <f>(G1590-T1590)</f>
        <v>258920</v>
      </c>
      <c r="X1590" s="71"/>
      <c r="Y1590" s="71"/>
    </row>
    <row r="1591" spans="1:25" ht="30" hidden="1" customHeight="1" x14ac:dyDescent="0.25">
      <c r="A1591" s="82">
        <v>181211</v>
      </c>
      <c r="B1591" s="664" t="s">
        <v>575</v>
      </c>
      <c r="C1591" s="71" t="s">
        <v>1367</v>
      </c>
      <c r="D1591" s="71">
        <v>16</v>
      </c>
      <c r="E1591" s="102">
        <v>218000</v>
      </c>
      <c r="F1591" s="102">
        <f t="shared" si="809"/>
        <v>3836800.0000000005</v>
      </c>
      <c r="G1591" s="102">
        <f t="shared" si="810"/>
        <v>3488000</v>
      </c>
      <c r="H1591" s="690" t="s">
        <v>173</v>
      </c>
      <c r="I1591" s="71" t="s">
        <v>109</v>
      </c>
      <c r="J1591" s="53">
        <f>G1591-T1591</f>
        <v>1563840</v>
      </c>
      <c r="K1591" s="63">
        <f t="shared" si="818"/>
        <v>0.44834862385321095</v>
      </c>
      <c r="L1591" s="871" t="s">
        <v>1508</v>
      </c>
      <c r="M1591" s="468" t="s">
        <v>1600</v>
      </c>
      <c r="N1591" s="664">
        <f t="shared" si="819"/>
        <v>181211</v>
      </c>
      <c r="O1591" s="71" t="s">
        <v>1443</v>
      </c>
      <c r="P1591" s="103" t="str">
        <f t="shared" si="820"/>
        <v>M600 윤전 블랑켓 995*742</v>
      </c>
      <c r="Q1591" s="71">
        <f t="shared" si="806"/>
        <v>16</v>
      </c>
      <c r="R1591" s="102">
        <v>120260</v>
      </c>
      <c r="S1591" s="102">
        <f t="shared" si="815"/>
        <v>2116576</v>
      </c>
      <c r="T1591" s="102">
        <f t="shared" si="816"/>
        <v>1924160</v>
      </c>
      <c r="U1591" s="71" t="str">
        <f t="shared" si="803"/>
        <v>X</v>
      </c>
      <c r="V1591" s="71"/>
      <c r="W1591" s="474"/>
      <c r="X1591" s="71"/>
      <c r="Y1591" s="71"/>
    </row>
    <row r="1592" spans="1:25" ht="30" hidden="1" customHeight="1" x14ac:dyDescent="0.2">
      <c r="A1592" s="82">
        <v>181211</v>
      </c>
      <c r="B1592" s="664" t="s">
        <v>575</v>
      </c>
      <c r="C1592" s="71" t="s">
        <v>1388</v>
      </c>
      <c r="D1592" s="71">
        <v>3</v>
      </c>
      <c r="E1592" s="102">
        <v>185000</v>
      </c>
      <c r="F1592" s="163">
        <f t="shared" si="809"/>
        <v>610500</v>
      </c>
      <c r="G1592" s="163">
        <f t="shared" si="810"/>
        <v>555000</v>
      </c>
      <c r="H1592" s="690" t="s">
        <v>173</v>
      </c>
      <c r="I1592" s="71" t="s">
        <v>108</v>
      </c>
      <c r="J1592" s="53">
        <f>G1592-T1592</f>
        <v>277408.12048591545</v>
      </c>
      <c r="K1592" s="63">
        <f t="shared" si="818"/>
        <v>0.49983445132597382</v>
      </c>
      <c r="L1592" s="871" t="s">
        <v>1508</v>
      </c>
      <c r="M1592" s="468"/>
      <c r="N1592" s="664">
        <f t="shared" si="819"/>
        <v>181211</v>
      </c>
      <c r="O1592" s="71" t="s">
        <v>1443</v>
      </c>
      <c r="P1592" s="103" t="str">
        <f t="shared" si="820"/>
        <v>Flint 무알콜 윤전약물(Superaster)</v>
      </c>
      <c r="Q1592" s="71">
        <f t="shared" si="806"/>
        <v>3</v>
      </c>
      <c r="R1592" s="102">
        <v>53453.959838028175</v>
      </c>
      <c r="S1592" s="102">
        <f>(R1592*D1592)*1.1+117230*1.1</f>
        <v>305351.06746549299</v>
      </c>
      <c r="T1592" s="102">
        <f>(R1592*Q1592)+117230</f>
        <v>277591.87951408455</v>
      </c>
      <c r="U1592" s="71" t="str">
        <f t="shared" si="803"/>
        <v>O</v>
      </c>
      <c r="V1592" s="71"/>
      <c r="W1592" s="474">
        <f>(G1592-T1592)</f>
        <v>277408.12048591545</v>
      </c>
      <c r="X1592" s="71"/>
      <c r="Y1592" s="71"/>
    </row>
    <row r="1593" spans="1:25" ht="30" hidden="1" customHeight="1" x14ac:dyDescent="0.2">
      <c r="A1593" s="82">
        <v>181211</v>
      </c>
      <c r="B1593" s="664" t="s">
        <v>548</v>
      </c>
      <c r="C1593" s="71" t="s">
        <v>107</v>
      </c>
      <c r="D1593" s="71">
        <v>20</v>
      </c>
      <c r="E1593" s="102">
        <v>100000</v>
      </c>
      <c r="F1593" s="163">
        <f t="shared" si="809"/>
        <v>2200000</v>
      </c>
      <c r="G1593" s="163">
        <f t="shared" si="810"/>
        <v>2000000</v>
      </c>
      <c r="H1593" s="165" t="s">
        <v>172</v>
      </c>
      <c r="I1593" s="71" t="s">
        <v>109</v>
      </c>
      <c r="J1593" s="53">
        <f>(G1593-(VLOOKUP(C1593,Price!B:D,3,FALSE)*D1593))</f>
        <v>390000</v>
      </c>
      <c r="K1593" s="63">
        <f t="shared" si="818"/>
        <v>0.19500000000000001</v>
      </c>
      <c r="L1593" s="871" t="s">
        <v>1508</v>
      </c>
      <c r="M1593" s="468"/>
      <c r="N1593" s="664">
        <f t="shared" si="819"/>
        <v>181211</v>
      </c>
      <c r="O1593" s="71" t="s">
        <v>147</v>
      </c>
      <c r="P1593" s="103" t="str">
        <f t="shared" si="820"/>
        <v>Blanket(1050*840)</v>
      </c>
      <c r="Q1593" s="71">
        <f t="shared" si="806"/>
        <v>20</v>
      </c>
      <c r="R1593" s="102">
        <v>80500</v>
      </c>
      <c r="S1593" s="102">
        <f>R1593*Q1593*1.1</f>
        <v>1771000.0000000002</v>
      </c>
      <c r="T1593" s="102">
        <f>R1593*Q1593</f>
        <v>1610000</v>
      </c>
      <c r="U1593" s="71" t="str">
        <f t="shared" si="803"/>
        <v>O</v>
      </c>
      <c r="V1593" s="71"/>
      <c r="W1593" s="474">
        <f>(G1593-T1593)</f>
        <v>390000</v>
      </c>
      <c r="X1593" s="71"/>
      <c r="Y1593" s="71"/>
    </row>
    <row r="1594" spans="1:25" ht="30" hidden="1" customHeight="1" x14ac:dyDescent="0.25">
      <c r="A1594" s="82">
        <v>181211</v>
      </c>
      <c r="B1594" s="664" t="s">
        <v>1051</v>
      </c>
      <c r="C1594" s="71" t="s">
        <v>1383</v>
      </c>
      <c r="D1594" s="71">
        <v>500</v>
      </c>
      <c r="E1594" s="102">
        <v>6200</v>
      </c>
      <c r="F1594" s="102">
        <f t="shared" si="809"/>
        <v>3410000.0000000005</v>
      </c>
      <c r="G1594" s="102">
        <f t="shared" si="810"/>
        <v>3100000</v>
      </c>
      <c r="H1594" s="690" t="s">
        <v>142</v>
      </c>
      <c r="I1594" s="71" t="s">
        <v>140</v>
      </c>
      <c r="J1594" s="53">
        <f>G1594-T1594</f>
        <v>995000</v>
      </c>
      <c r="K1594" s="63">
        <f t="shared" si="818"/>
        <v>0.32096774193548383</v>
      </c>
      <c r="L1594" s="871" t="s">
        <v>1508</v>
      </c>
      <c r="M1594" s="468"/>
      <c r="N1594" s="664">
        <f t="shared" si="819"/>
        <v>181211</v>
      </c>
      <c r="O1594" s="71" t="s">
        <v>145</v>
      </c>
      <c r="P1594" s="103" t="str">
        <f>C1594</f>
        <v>ENGAGE 1055*811</v>
      </c>
      <c r="Q1594" s="71">
        <f t="shared" si="806"/>
        <v>500</v>
      </c>
      <c r="R1594" s="102">
        <v>4210</v>
      </c>
      <c r="S1594" s="102">
        <f>R1594*Q1594*1.1</f>
        <v>2315500</v>
      </c>
      <c r="T1594" s="102">
        <f>R1594*Q1594</f>
        <v>2105000</v>
      </c>
      <c r="U1594" s="71"/>
      <c r="V1594" s="71"/>
      <c r="W1594" s="474">
        <f>(G1594-T1594)</f>
        <v>995000</v>
      </c>
      <c r="X1594" s="71"/>
      <c r="Y1594" s="71"/>
    </row>
    <row r="1595" spans="1:25" ht="30" hidden="1" customHeight="1" x14ac:dyDescent="0.25">
      <c r="A1595" s="82">
        <v>181211</v>
      </c>
      <c r="B1595" s="664" t="s">
        <v>1051</v>
      </c>
      <c r="C1595" s="71" t="s">
        <v>1595</v>
      </c>
      <c r="D1595" s="71">
        <v>100</v>
      </c>
      <c r="E1595" s="102">
        <v>0</v>
      </c>
      <c r="F1595" s="102">
        <f t="shared" si="809"/>
        <v>0</v>
      </c>
      <c r="G1595" s="102">
        <f t="shared" si="810"/>
        <v>0</v>
      </c>
      <c r="H1595" s="690" t="s">
        <v>142</v>
      </c>
      <c r="I1595" s="71" t="s">
        <v>140</v>
      </c>
      <c r="J1595" s="53">
        <f>G1595-T1595</f>
        <v>-307000</v>
      </c>
      <c r="K1595" s="63"/>
      <c r="L1595" s="871" t="s">
        <v>1508</v>
      </c>
      <c r="M1595" s="468" t="s">
        <v>1599</v>
      </c>
      <c r="N1595" s="664">
        <f t="shared" si="819"/>
        <v>181211</v>
      </c>
      <c r="O1595" s="71" t="s">
        <v>145</v>
      </c>
      <c r="P1595" s="103" t="s">
        <v>1385</v>
      </c>
      <c r="Q1595" s="71">
        <f t="shared" si="806"/>
        <v>100</v>
      </c>
      <c r="R1595" s="102">
        <v>3070</v>
      </c>
      <c r="S1595" s="102">
        <f>R1595*Q1595*1.1</f>
        <v>337700</v>
      </c>
      <c r="T1595" s="102">
        <f>R1595*Q1595</f>
        <v>307000</v>
      </c>
      <c r="U1595" s="71" t="str">
        <f>IF(J1595=W1595,"O", "X")</f>
        <v>O</v>
      </c>
      <c r="V1595" s="71"/>
      <c r="W1595" s="474">
        <f>(G1595-T1595)</f>
        <v>-307000</v>
      </c>
      <c r="X1595" s="71"/>
      <c r="Y1595" s="71"/>
    </row>
    <row r="1596" spans="1:25" ht="30" hidden="1" customHeight="1" x14ac:dyDescent="0.25">
      <c r="A1596" s="82">
        <v>181211</v>
      </c>
      <c r="B1596" s="664" t="s">
        <v>1051</v>
      </c>
      <c r="C1596" s="71" t="s">
        <v>951</v>
      </c>
      <c r="D1596" s="71">
        <v>500</v>
      </c>
      <c r="E1596" s="102">
        <v>3540</v>
      </c>
      <c r="F1596" s="102">
        <f t="shared" si="809"/>
        <v>1947000.0000000002</v>
      </c>
      <c r="G1596" s="102">
        <f t="shared" si="810"/>
        <v>1770000</v>
      </c>
      <c r="H1596" s="690" t="s">
        <v>142</v>
      </c>
      <c r="I1596" s="71" t="s">
        <v>140</v>
      </c>
      <c r="J1596" s="53">
        <f>G1596-T1596</f>
        <v>575000</v>
      </c>
      <c r="K1596" s="63">
        <f t="shared" si="818"/>
        <v>0.32485875706214684</v>
      </c>
      <c r="L1596" s="871" t="s">
        <v>1508</v>
      </c>
      <c r="M1596" s="468"/>
      <c r="N1596" s="664">
        <f t="shared" si="819"/>
        <v>181211</v>
      </c>
      <c r="O1596" s="71" t="s">
        <v>145</v>
      </c>
      <c r="P1596" s="103" t="str">
        <f>(C1596)</f>
        <v>ENGAGE 30WEB(883*552)</v>
      </c>
      <c r="Q1596" s="71">
        <f t="shared" si="806"/>
        <v>500</v>
      </c>
      <c r="R1596" s="102">
        <v>2390</v>
      </c>
      <c r="S1596" s="102">
        <f>(R1596*D1596)*1.1</f>
        <v>1314500</v>
      </c>
      <c r="T1596" s="102">
        <f>(R1596*Q1596)</f>
        <v>1195000</v>
      </c>
      <c r="U1596" s="71" t="str">
        <f>IF(J1596=W1596,"O", "X")</f>
        <v>O</v>
      </c>
      <c r="V1596" s="71"/>
      <c r="W1596" s="474">
        <f>(G1596-T1596)</f>
        <v>575000</v>
      </c>
      <c r="X1596" s="71"/>
      <c r="Y1596" s="71"/>
    </row>
    <row r="1597" spans="1:25" ht="30" hidden="1" customHeight="1" x14ac:dyDescent="0.25">
      <c r="A1597" s="82">
        <v>181212</v>
      </c>
      <c r="B1597" s="664" t="s">
        <v>575</v>
      </c>
      <c r="C1597" s="71" t="s">
        <v>1517</v>
      </c>
      <c r="D1597" s="71">
        <v>1</v>
      </c>
      <c r="E1597" s="102">
        <v>1000000</v>
      </c>
      <c r="F1597" s="102">
        <f t="shared" si="809"/>
        <v>1100000</v>
      </c>
      <c r="G1597" s="102">
        <f t="shared" si="810"/>
        <v>1000000</v>
      </c>
      <c r="H1597" s="690" t="s">
        <v>1431</v>
      </c>
      <c r="I1597" s="71"/>
      <c r="J1597" s="53">
        <f>G1597-T1597</f>
        <v>0</v>
      </c>
      <c r="K1597" s="63">
        <f>(J1597/(F1597/11*10))</f>
        <v>0</v>
      </c>
      <c r="L1597" s="871" t="s">
        <v>1508</v>
      </c>
      <c r="M1597" s="468"/>
      <c r="N1597" s="664">
        <f t="shared" si="819"/>
        <v>181212</v>
      </c>
      <c r="O1597" s="71" t="s">
        <v>1617</v>
      </c>
      <c r="P1597" s="103" t="str">
        <f t="shared" si="820"/>
        <v>QuadTeck 자동 핀트 및 컷오프</v>
      </c>
      <c r="Q1597" s="71">
        <f t="shared" si="806"/>
        <v>1</v>
      </c>
      <c r="R1597" s="102">
        <v>1000000</v>
      </c>
      <c r="S1597" s="102">
        <f t="shared" ref="S1597:S1610" si="821">R1597*Q1597*1.1</f>
        <v>1100000</v>
      </c>
      <c r="T1597" s="102">
        <f t="shared" ref="T1597:T1610" si="822">R1597*Q1597</f>
        <v>1000000</v>
      </c>
      <c r="U1597" s="71"/>
      <c r="V1597" s="71"/>
      <c r="W1597" s="474"/>
      <c r="X1597" s="71"/>
      <c r="Y1597" s="71"/>
    </row>
    <row r="1598" spans="1:25" ht="30" hidden="1" customHeight="1" x14ac:dyDescent="0.25">
      <c r="A1598" s="82">
        <v>181212</v>
      </c>
      <c r="B1598" s="664" t="s">
        <v>575</v>
      </c>
      <c r="C1598" s="71" t="s">
        <v>1518</v>
      </c>
      <c r="D1598" s="71">
        <v>1</v>
      </c>
      <c r="E1598" s="102">
        <v>1000000</v>
      </c>
      <c r="F1598" s="102">
        <f t="shared" si="809"/>
        <v>1100000</v>
      </c>
      <c r="G1598" s="102">
        <f t="shared" si="810"/>
        <v>1000000</v>
      </c>
      <c r="H1598" s="690" t="s">
        <v>1431</v>
      </c>
      <c r="I1598" s="71"/>
      <c r="J1598" s="53">
        <f>G1598-T1598</f>
        <v>0</v>
      </c>
      <c r="K1598" s="63">
        <f>(J1598/(F1598/11*10))</f>
        <v>0</v>
      </c>
      <c r="L1598" s="871" t="s">
        <v>1508</v>
      </c>
      <c r="M1598" s="468"/>
      <c r="N1598" s="664">
        <f t="shared" si="819"/>
        <v>181212</v>
      </c>
      <c r="O1598" s="71" t="s">
        <v>1616</v>
      </c>
      <c r="P1598" s="103" t="str">
        <f t="shared" si="820"/>
        <v>물모터 컨트롤러</v>
      </c>
      <c r="Q1598" s="71">
        <f t="shared" si="806"/>
        <v>1</v>
      </c>
      <c r="R1598" s="102">
        <v>1000000</v>
      </c>
      <c r="S1598" s="102">
        <f t="shared" si="821"/>
        <v>1100000</v>
      </c>
      <c r="T1598" s="102">
        <f t="shared" si="822"/>
        <v>1000000</v>
      </c>
      <c r="U1598" s="71"/>
      <c r="V1598" s="71"/>
      <c r="W1598" s="474"/>
      <c r="X1598" s="71"/>
      <c r="Y1598" s="71"/>
    </row>
    <row r="1599" spans="1:25" ht="30" hidden="1" customHeight="1" x14ac:dyDescent="0.25">
      <c r="A1599" s="82">
        <v>181212</v>
      </c>
      <c r="B1599" s="664" t="s">
        <v>575</v>
      </c>
      <c r="C1599" s="71" t="s">
        <v>1519</v>
      </c>
      <c r="D1599" s="71">
        <v>1</v>
      </c>
      <c r="E1599" s="102">
        <v>710000</v>
      </c>
      <c r="F1599" s="102">
        <f t="shared" si="809"/>
        <v>781000.00000000012</v>
      </c>
      <c r="G1599" s="102">
        <f t="shared" si="810"/>
        <v>710000</v>
      </c>
      <c r="H1599" s="690" t="s">
        <v>1431</v>
      </c>
      <c r="I1599" s="71"/>
      <c r="J1599" s="53"/>
      <c r="K1599" s="63"/>
      <c r="L1599" s="871" t="s">
        <v>1508</v>
      </c>
      <c r="M1599" s="468" t="s">
        <v>1637</v>
      </c>
      <c r="N1599" s="664">
        <f t="shared" si="819"/>
        <v>181212</v>
      </c>
      <c r="O1599" s="71" t="s">
        <v>1431</v>
      </c>
      <c r="P1599" s="103" t="str">
        <f t="shared" si="820"/>
        <v>인피드 웹 가이드 수리</v>
      </c>
      <c r="Q1599" s="71">
        <f t="shared" si="806"/>
        <v>1</v>
      </c>
      <c r="R1599" s="102"/>
      <c r="S1599" s="102">
        <f t="shared" si="821"/>
        <v>0</v>
      </c>
      <c r="T1599" s="102">
        <f t="shared" si="822"/>
        <v>0</v>
      </c>
      <c r="U1599" s="71"/>
      <c r="V1599" s="71"/>
      <c r="W1599" s="474"/>
      <c r="X1599" s="71"/>
      <c r="Y1599" s="71"/>
    </row>
    <row r="1600" spans="1:25" ht="30" hidden="1" customHeight="1" x14ac:dyDescent="0.25">
      <c r="A1600" s="82">
        <v>181212</v>
      </c>
      <c r="B1600" s="664" t="s">
        <v>575</v>
      </c>
      <c r="C1600" s="71" t="s">
        <v>1520</v>
      </c>
      <c r="D1600" s="71">
        <v>1</v>
      </c>
      <c r="E1600" s="102">
        <v>1000000</v>
      </c>
      <c r="F1600" s="102">
        <f t="shared" si="809"/>
        <v>1100000</v>
      </c>
      <c r="G1600" s="102">
        <f t="shared" si="810"/>
        <v>1000000</v>
      </c>
      <c r="H1600" s="690" t="s">
        <v>1431</v>
      </c>
      <c r="I1600" s="71"/>
      <c r="J1600" s="53">
        <f t="shared" ref="J1600:J1605" si="823">G1600-T1600</f>
        <v>0</v>
      </c>
      <c r="K1600" s="63">
        <f t="shared" ref="K1600:K1605" si="824">(J1600/(F1600/11*10))</f>
        <v>0</v>
      </c>
      <c r="L1600" s="871" t="s">
        <v>1508</v>
      </c>
      <c r="M1600" s="468"/>
      <c r="N1600" s="664">
        <f t="shared" si="819"/>
        <v>181212</v>
      </c>
      <c r="O1600" s="71" t="s">
        <v>1130</v>
      </c>
      <c r="P1600" s="103" t="str">
        <f t="shared" si="820"/>
        <v>삼각판 코 수리</v>
      </c>
      <c r="Q1600" s="71">
        <f t="shared" si="806"/>
        <v>1</v>
      </c>
      <c r="R1600" s="102">
        <v>1000000</v>
      </c>
      <c r="S1600" s="102">
        <f t="shared" si="821"/>
        <v>1100000</v>
      </c>
      <c r="T1600" s="102">
        <f t="shared" si="822"/>
        <v>1000000</v>
      </c>
      <c r="U1600" s="71"/>
      <c r="V1600" s="71"/>
      <c r="W1600" s="474"/>
      <c r="X1600" s="71"/>
      <c r="Y1600" s="71"/>
    </row>
    <row r="1601" spans="1:25" ht="30" hidden="1" customHeight="1" x14ac:dyDescent="0.25">
      <c r="A1601" s="82">
        <v>181212</v>
      </c>
      <c r="B1601" s="664" t="s">
        <v>575</v>
      </c>
      <c r="C1601" s="71" t="s">
        <v>1521</v>
      </c>
      <c r="D1601" s="71">
        <v>1</v>
      </c>
      <c r="E1601" s="102">
        <v>950000</v>
      </c>
      <c r="F1601" s="102">
        <f t="shared" si="809"/>
        <v>1045000.0000000001</v>
      </c>
      <c r="G1601" s="102">
        <f t="shared" si="810"/>
        <v>950000</v>
      </c>
      <c r="H1601" s="690" t="s">
        <v>1431</v>
      </c>
      <c r="I1601" s="71"/>
      <c r="J1601" s="53">
        <f t="shared" si="823"/>
        <v>0</v>
      </c>
      <c r="K1601" s="63">
        <f t="shared" si="824"/>
        <v>0</v>
      </c>
      <c r="L1601" s="871" t="s">
        <v>1508</v>
      </c>
      <c r="M1601" s="468"/>
      <c r="N1601" s="664">
        <f t="shared" si="819"/>
        <v>181212</v>
      </c>
      <c r="O1601" s="71" t="s">
        <v>1619</v>
      </c>
      <c r="P1601" s="103" t="str">
        <f t="shared" si="820"/>
        <v>삼각판 블로워 수리</v>
      </c>
      <c r="Q1601" s="71">
        <f t="shared" si="806"/>
        <v>1</v>
      </c>
      <c r="R1601" s="102">
        <v>950000</v>
      </c>
      <c r="S1601" s="102">
        <f t="shared" si="821"/>
        <v>1045000.0000000001</v>
      </c>
      <c r="T1601" s="102">
        <f t="shared" si="822"/>
        <v>950000</v>
      </c>
      <c r="U1601" s="71"/>
      <c r="V1601" s="71"/>
      <c r="W1601" s="474"/>
      <c r="X1601" s="71"/>
      <c r="Y1601" s="71"/>
    </row>
    <row r="1602" spans="1:25" ht="30" hidden="1" customHeight="1" x14ac:dyDescent="0.25">
      <c r="A1602" s="82">
        <v>181212</v>
      </c>
      <c r="B1602" s="664" t="s">
        <v>575</v>
      </c>
      <c r="C1602" s="71" t="s">
        <v>1522</v>
      </c>
      <c r="D1602" s="71">
        <v>1</v>
      </c>
      <c r="E1602" s="102">
        <v>750000</v>
      </c>
      <c r="F1602" s="102">
        <f t="shared" si="809"/>
        <v>825000.00000000012</v>
      </c>
      <c r="G1602" s="102">
        <f t="shared" si="810"/>
        <v>750000</v>
      </c>
      <c r="H1602" s="690" t="s">
        <v>1431</v>
      </c>
      <c r="I1602" s="71"/>
      <c r="J1602" s="53">
        <f t="shared" si="823"/>
        <v>100000</v>
      </c>
      <c r="K1602" s="63">
        <f t="shared" si="824"/>
        <v>0.1333333333333333</v>
      </c>
      <c r="L1602" s="871" t="s">
        <v>1508</v>
      </c>
      <c r="M1602" s="468"/>
      <c r="N1602" s="664">
        <f t="shared" si="819"/>
        <v>181212</v>
      </c>
      <c r="O1602" s="71" t="s">
        <v>1619</v>
      </c>
      <c r="P1602" s="103" t="str">
        <f t="shared" si="820"/>
        <v>캐비닛 솔레노이드 밸브</v>
      </c>
      <c r="Q1602" s="71">
        <f t="shared" si="806"/>
        <v>1</v>
      </c>
      <c r="R1602" s="102">
        <v>650000</v>
      </c>
      <c r="S1602" s="102">
        <f t="shared" si="821"/>
        <v>715000</v>
      </c>
      <c r="T1602" s="102">
        <f t="shared" si="822"/>
        <v>650000</v>
      </c>
      <c r="U1602" s="71"/>
      <c r="V1602" s="71"/>
      <c r="W1602" s="474"/>
      <c r="X1602" s="71"/>
      <c r="Y1602" s="71"/>
    </row>
    <row r="1603" spans="1:25" ht="30" hidden="1" customHeight="1" x14ac:dyDescent="0.25">
      <c r="A1603" s="82">
        <v>181212</v>
      </c>
      <c r="B1603" s="664" t="s">
        <v>575</v>
      </c>
      <c r="C1603" s="71" t="s">
        <v>1523</v>
      </c>
      <c r="D1603" s="71">
        <v>1</v>
      </c>
      <c r="E1603" s="102">
        <v>2000000</v>
      </c>
      <c r="F1603" s="102">
        <f t="shared" si="809"/>
        <v>2200000</v>
      </c>
      <c r="G1603" s="102">
        <f t="shared" si="810"/>
        <v>2000000</v>
      </c>
      <c r="H1603" s="690" t="s">
        <v>1431</v>
      </c>
      <c r="I1603" s="71" t="s">
        <v>1432</v>
      </c>
      <c r="J1603" s="53">
        <f t="shared" si="823"/>
        <v>636034.88244331931</v>
      </c>
      <c r="K1603" s="63">
        <f t="shared" si="824"/>
        <v>0.31801744122165965</v>
      </c>
      <c r="L1603" s="871" t="s">
        <v>1508</v>
      </c>
      <c r="M1603" s="468"/>
      <c r="N1603" s="664">
        <f t="shared" si="819"/>
        <v>181212</v>
      </c>
      <c r="O1603" s="71" t="s">
        <v>1432</v>
      </c>
      <c r="P1603" s="103" t="str">
        <f t="shared" si="820"/>
        <v>도저</v>
      </c>
      <c r="Q1603" s="71">
        <f t="shared" si="806"/>
        <v>1</v>
      </c>
      <c r="R1603" s="102">
        <f>Import!G639</f>
        <v>1363965.1175566807</v>
      </c>
      <c r="S1603" s="102">
        <f t="shared" si="821"/>
        <v>1500361.6293123488</v>
      </c>
      <c r="T1603" s="102">
        <f t="shared" si="822"/>
        <v>1363965.1175566807</v>
      </c>
      <c r="U1603" s="71"/>
      <c r="V1603" s="71"/>
      <c r="W1603" s="474"/>
      <c r="X1603" s="71"/>
      <c r="Y1603" s="71"/>
    </row>
    <row r="1604" spans="1:25" ht="30" hidden="1" customHeight="1" x14ac:dyDescent="0.25">
      <c r="A1604" s="82">
        <v>181212</v>
      </c>
      <c r="B1604" s="664" t="s">
        <v>575</v>
      </c>
      <c r="C1604" s="71" t="s">
        <v>910</v>
      </c>
      <c r="D1604" s="71">
        <v>1</v>
      </c>
      <c r="E1604" s="102">
        <v>350000</v>
      </c>
      <c r="F1604" s="102">
        <f t="shared" si="809"/>
        <v>385000.00000000006</v>
      </c>
      <c r="G1604" s="102">
        <f t="shared" si="810"/>
        <v>350000</v>
      </c>
      <c r="H1604" s="690" t="s">
        <v>1431</v>
      </c>
      <c r="I1604" s="71" t="s">
        <v>1432</v>
      </c>
      <c r="J1604" s="53">
        <f t="shared" si="823"/>
        <v>199303.52725539493</v>
      </c>
      <c r="K1604" s="63">
        <f t="shared" si="824"/>
        <v>0.56943864930112831</v>
      </c>
      <c r="L1604" s="871" t="s">
        <v>1508</v>
      </c>
      <c r="M1604" s="468"/>
      <c r="N1604" s="664">
        <f t="shared" si="819"/>
        <v>181212</v>
      </c>
      <c r="O1604" s="71" t="s">
        <v>1432</v>
      </c>
      <c r="P1604" s="103" t="str">
        <f t="shared" si="820"/>
        <v>솔레노이드 밸브</v>
      </c>
      <c r="Q1604" s="71">
        <f t="shared" si="806"/>
        <v>1</v>
      </c>
      <c r="R1604" s="102">
        <f>Import!G638</f>
        <v>150696.47274460507</v>
      </c>
      <c r="S1604" s="102">
        <f t="shared" si="821"/>
        <v>165766.12001906559</v>
      </c>
      <c r="T1604" s="102">
        <f t="shared" si="822"/>
        <v>150696.47274460507</v>
      </c>
      <c r="U1604" s="71"/>
      <c r="V1604" s="71"/>
      <c r="W1604" s="474"/>
      <c r="X1604" s="71"/>
      <c r="Y1604" s="71"/>
    </row>
    <row r="1605" spans="1:25" ht="30" hidden="1" customHeight="1" x14ac:dyDescent="0.25">
      <c r="A1605" s="82">
        <v>181212</v>
      </c>
      <c r="B1605" s="664" t="s">
        <v>575</v>
      </c>
      <c r="C1605" s="71" t="s">
        <v>1524</v>
      </c>
      <c r="D1605" s="71">
        <v>6</v>
      </c>
      <c r="E1605" s="102">
        <v>230000</v>
      </c>
      <c r="F1605" s="102">
        <f t="shared" si="809"/>
        <v>1518000.0000000002</v>
      </c>
      <c r="G1605" s="102">
        <f t="shared" si="810"/>
        <v>1380000</v>
      </c>
      <c r="H1605" s="690" t="s">
        <v>1431</v>
      </c>
      <c r="I1605" s="71"/>
      <c r="J1605" s="53">
        <f t="shared" si="823"/>
        <v>720000</v>
      </c>
      <c r="K1605" s="63">
        <f t="shared" si="824"/>
        <v>0.52173913043478248</v>
      </c>
      <c r="L1605" s="871" t="s">
        <v>1508</v>
      </c>
      <c r="M1605" s="468"/>
      <c r="N1605" s="664">
        <f t="shared" si="819"/>
        <v>181212</v>
      </c>
      <c r="O1605" s="71" t="s">
        <v>1620</v>
      </c>
      <c r="P1605" s="103" t="str">
        <f t="shared" si="820"/>
        <v>소프트닝 노즐</v>
      </c>
      <c r="Q1605" s="71">
        <f t="shared" si="806"/>
        <v>6</v>
      </c>
      <c r="R1605" s="102">
        <v>110000</v>
      </c>
      <c r="S1605" s="102">
        <f t="shared" si="821"/>
        <v>726000.00000000012</v>
      </c>
      <c r="T1605" s="102">
        <f t="shared" si="822"/>
        <v>660000</v>
      </c>
      <c r="U1605" s="71"/>
      <c r="V1605" s="71"/>
      <c r="W1605" s="474"/>
      <c r="X1605" s="71"/>
      <c r="Y1605" s="71"/>
    </row>
    <row r="1606" spans="1:25" ht="30" hidden="1" customHeight="1" x14ac:dyDescent="0.25">
      <c r="A1606" s="82">
        <v>181212</v>
      </c>
      <c r="B1606" s="664" t="s">
        <v>575</v>
      </c>
      <c r="C1606" s="71" t="s">
        <v>1611</v>
      </c>
      <c r="D1606" s="71">
        <v>1</v>
      </c>
      <c r="E1606" s="102">
        <v>45000000</v>
      </c>
      <c r="F1606" s="102">
        <f t="shared" si="809"/>
        <v>49500000.000000007</v>
      </c>
      <c r="G1606" s="102">
        <f t="shared" si="810"/>
        <v>45000000</v>
      </c>
      <c r="H1606" s="690" t="s">
        <v>142</v>
      </c>
      <c r="I1606" s="71" t="s">
        <v>142</v>
      </c>
      <c r="J1606" s="53"/>
      <c r="K1606" s="63"/>
      <c r="L1606" s="871" t="s">
        <v>1508</v>
      </c>
      <c r="M1606" s="468"/>
      <c r="N1606" s="664">
        <f t="shared" si="819"/>
        <v>181212</v>
      </c>
      <c r="O1606" s="71" t="s">
        <v>1343</v>
      </c>
      <c r="P1606" s="103" t="str">
        <f t="shared" si="820"/>
        <v>국전 M600 판 절곡기</v>
      </c>
      <c r="Q1606" s="71">
        <f t="shared" si="806"/>
        <v>1</v>
      </c>
      <c r="R1606" s="102"/>
      <c r="S1606" s="102">
        <f t="shared" si="821"/>
        <v>0</v>
      </c>
      <c r="T1606" s="102">
        <f t="shared" si="822"/>
        <v>0</v>
      </c>
      <c r="U1606" s="71"/>
      <c r="V1606" s="71"/>
      <c r="W1606" s="474"/>
      <c r="X1606" s="71"/>
      <c r="Y1606" s="71"/>
    </row>
    <row r="1607" spans="1:25" ht="30" hidden="1" customHeight="1" x14ac:dyDescent="0.25">
      <c r="A1607" s="82">
        <v>181213</v>
      </c>
      <c r="B1607" s="664" t="s">
        <v>1051</v>
      </c>
      <c r="C1607" s="71" t="s">
        <v>1595</v>
      </c>
      <c r="D1607" s="71">
        <v>500</v>
      </c>
      <c r="E1607" s="102">
        <v>4440</v>
      </c>
      <c r="F1607" s="102">
        <f>(E1607*D1607)*1.1</f>
        <v>2442000</v>
      </c>
      <c r="G1607" s="102">
        <f>(E1607*D1607)</f>
        <v>2220000</v>
      </c>
      <c r="H1607" s="690" t="s">
        <v>142</v>
      </c>
      <c r="I1607" s="71" t="s">
        <v>140</v>
      </c>
      <c r="J1607" s="53">
        <f>G1607-T1607</f>
        <v>685000</v>
      </c>
      <c r="K1607" s="63">
        <f>(J1607/(F1607/11*10))</f>
        <v>0.30855855855855857</v>
      </c>
      <c r="L1607" s="871" t="s">
        <v>1508</v>
      </c>
      <c r="M1607" s="468" t="s">
        <v>1596</v>
      </c>
      <c r="N1607" s="664">
        <f>A1607</f>
        <v>181213</v>
      </c>
      <c r="O1607" s="71" t="s">
        <v>145</v>
      </c>
      <c r="P1607" s="103" t="s">
        <v>1385</v>
      </c>
      <c r="Q1607" s="71">
        <f>D1607</f>
        <v>500</v>
      </c>
      <c r="R1607" s="102">
        <v>3070</v>
      </c>
      <c r="S1607" s="102">
        <f t="shared" si="821"/>
        <v>1688500.0000000002</v>
      </c>
      <c r="T1607" s="102">
        <f t="shared" si="822"/>
        <v>1535000</v>
      </c>
      <c r="U1607" s="71" t="str">
        <f>IF(J1607=W1607,"O", "X")</f>
        <v>O</v>
      </c>
      <c r="V1607" s="71"/>
      <c r="W1607" s="474">
        <f>(G1607-T1607)</f>
        <v>685000</v>
      </c>
      <c r="X1607" s="71"/>
      <c r="Y1607" s="71"/>
    </row>
    <row r="1608" spans="1:25" ht="30" hidden="1" customHeight="1" x14ac:dyDescent="0.25">
      <c r="A1608" s="82">
        <v>181213</v>
      </c>
      <c r="B1608" s="664" t="s">
        <v>545</v>
      </c>
      <c r="C1608" s="71" t="s">
        <v>227</v>
      </c>
      <c r="D1608" s="71">
        <v>10</v>
      </c>
      <c r="E1608" s="102">
        <v>110000</v>
      </c>
      <c r="F1608" s="102">
        <f t="shared" si="809"/>
        <v>1210000</v>
      </c>
      <c r="G1608" s="102">
        <f t="shared" si="810"/>
        <v>1100000</v>
      </c>
      <c r="H1608" s="690" t="s">
        <v>173</v>
      </c>
      <c r="I1608" s="71" t="s">
        <v>109</v>
      </c>
      <c r="J1608" s="53">
        <f>(G1608-(VLOOKUP(C1608,Price!B:D,3,FALSE)*D1608))</f>
        <v>271000</v>
      </c>
      <c r="K1608" s="63">
        <f t="shared" ref="K1608:K1620" si="825">(J1608/(F1608/11*10))</f>
        <v>0.24636363636363637</v>
      </c>
      <c r="L1608" s="871" t="s">
        <v>1508</v>
      </c>
      <c r="M1608" s="468"/>
      <c r="N1608" s="664">
        <f t="shared" ref="N1608:N1616" si="826">A1608</f>
        <v>181213</v>
      </c>
      <c r="O1608" s="71" t="s">
        <v>147</v>
      </c>
      <c r="P1608" s="103" t="str">
        <f t="shared" si="820"/>
        <v>Blanket(1060*860)</v>
      </c>
      <c r="Q1608" s="71">
        <f t="shared" si="806"/>
        <v>10</v>
      </c>
      <c r="R1608" s="102">
        <v>82900</v>
      </c>
      <c r="S1608" s="102">
        <f t="shared" si="821"/>
        <v>911900.00000000012</v>
      </c>
      <c r="T1608" s="102">
        <f t="shared" si="822"/>
        <v>829000</v>
      </c>
      <c r="U1608" s="71" t="str">
        <f>IF(J1608=W1608,"O", "X")</f>
        <v>O</v>
      </c>
      <c r="V1608" s="71"/>
      <c r="W1608" s="474">
        <f>(G1608-T1608)</f>
        <v>271000</v>
      </c>
      <c r="X1608" s="71"/>
      <c r="Y1608" s="71"/>
    </row>
    <row r="1609" spans="1:25" ht="30" hidden="1" customHeight="1" x14ac:dyDescent="0.25">
      <c r="A1609" s="82">
        <v>181213</v>
      </c>
      <c r="B1609" s="664" t="s">
        <v>545</v>
      </c>
      <c r="C1609" s="71" t="s">
        <v>805</v>
      </c>
      <c r="D1609" s="71">
        <v>2</v>
      </c>
      <c r="E1609" s="102">
        <v>180000</v>
      </c>
      <c r="F1609" s="102">
        <f t="shared" si="809"/>
        <v>396000.00000000006</v>
      </c>
      <c r="G1609" s="102">
        <f t="shared" si="810"/>
        <v>360000</v>
      </c>
      <c r="H1609" s="690" t="s">
        <v>173</v>
      </c>
      <c r="I1609" s="71" t="s">
        <v>120</v>
      </c>
      <c r="J1609" s="53">
        <f>(G1609-(VLOOKUP(C1609,Price!B:D,3,FALSE)*D1609))</f>
        <v>80000</v>
      </c>
      <c r="K1609" s="63">
        <f t="shared" si="825"/>
        <v>0.22222222222222218</v>
      </c>
      <c r="L1609" s="871" t="s">
        <v>1508</v>
      </c>
      <c r="M1609" s="468"/>
      <c r="N1609" s="664">
        <f t="shared" si="826"/>
        <v>181213</v>
      </c>
      <c r="O1609" s="71" t="s">
        <v>150</v>
      </c>
      <c r="P1609" s="103" t="str">
        <f t="shared" si="820"/>
        <v>Fount 554</v>
      </c>
      <c r="Q1609" s="71">
        <f t="shared" si="806"/>
        <v>2</v>
      </c>
      <c r="R1609" s="102">
        <v>140000</v>
      </c>
      <c r="S1609" s="102">
        <f t="shared" si="821"/>
        <v>308000</v>
      </c>
      <c r="T1609" s="102">
        <f t="shared" si="822"/>
        <v>280000</v>
      </c>
      <c r="U1609" s="71" t="str">
        <f>IF(J1609=W1609,"O", "X")</f>
        <v>X</v>
      </c>
      <c r="V1609" s="71"/>
      <c r="W1609" s="474"/>
      <c r="X1609" s="71"/>
      <c r="Y1609" s="71"/>
    </row>
    <row r="1610" spans="1:25" ht="30" hidden="1" customHeight="1" x14ac:dyDescent="0.25">
      <c r="A1610" s="82">
        <v>181213</v>
      </c>
      <c r="B1610" s="664" t="s">
        <v>545</v>
      </c>
      <c r="C1610" s="71" t="s">
        <v>1291</v>
      </c>
      <c r="D1610" s="71">
        <v>30</v>
      </c>
      <c r="E1610" s="102">
        <v>28500</v>
      </c>
      <c r="F1610" s="102">
        <f t="shared" si="809"/>
        <v>940500.00000000012</v>
      </c>
      <c r="G1610" s="102">
        <f t="shared" si="810"/>
        <v>855000</v>
      </c>
      <c r="H1610" s="690" t="s">
        <v>173</v>
      </c>
      <c r="I1610" s="71" t="s">
        <v>142</v>
      </c>
      <c r="J1610" s="53">
        <f>G1610-T1610</f>
        <v>225000</v>
      </c>
      <c r="K1610" s="63">
        <f t="shared" si="825"/>
        <v>0.26315789473684209</v>
      </c>
      <c r="L1610" s="871" t="s">
        <v>1508</v>
      </c>
      <c r="M1610" s="468"/>
      <c r="N1610" s="664">
        <f t="shared" si="826"/>
        <v>181213</v>
      </c>
      <c r="O1610" s="71" t="s">
        <v>1321</v>
      </c>
      <c r="P1610" s="103" t="str">
        <f t="shared" si="820"/>
        <v>메가미 레듀사(1kg)</v>
      </c>
      <c r="Q1610" s="71">
        <f t="shared" si="806"/>
        <v>30</v>
      </c>
      <c r="R1610" s="102">
        <v>21000</v>
      </c>
      <c r="S1610" s="102">
        <f t="shared" si="821"/>
        <v>693000</v>
      </c>
      <c r="T1610" s="102">
        <f t="shared" si="822"/>
        <v>630000</v>
      </c>
      <c r="U1610" s="71"/>
      <c r="V1610" s="71"/>
      <c r="W1610" s="474">
        <f>(G1610-T1610)</f>
        <v>225000</v>
      </c>
      <c r="X1610" s="71"/>
      <c r="Y1610" s="71"/>
    </row>
    <row r="1611" spans="1:25" s="209" customFormat="1" ht="30" hidden="1" customHeight="1" x14ac:dyDescent="0.25">
      <c r="A1611" s="82">
        <v>181213</v>
      </c>
      <c r="B1611" s="664" t="s">
        <v>442</v>
      </c>
      <c r="C1611" s="71" t="s">
        <v>138</v>
      </c>
      <c r="D1611" s="71">
        <v>20</v>
      </c>
      <c r="E1611" s="102">
        <v>69000</v>
      </c>
      <c r="F1611" s="102">
        <f t="shared" si="809"/>
        <v>1518000.0000000002</v>
      </c>
      <c r="G1611" s="102">
        <f t="shared" si="810"/>
        <v>1380000</v>
      </c>
      <c r="H1611" s="690" t="s">
        <v>173</v>
      </c>
      <c r="I1611" s="71" t="s">
        <v>108</v>
      </c>
      <c r="J1611" s="53">
        <f>(G1611-(VLOOKUP(C1611,Price!B:D,3,FALSE)*D1611))</f>
        <v>360000</v>
      </c>
      <c r="K1611" s="63">
        <f t="shared" si="825"/>
        <v>0.26086956521739124</v>
      </c>
      <c r="L1611" s="871" t="s">
        <v>1508</v>
      </c>
      <c r="M1611" s="468"/>
      <c r="N1611" s="664">
        <f t="shared" si="826"/>
        <v>181213</v>
      </c>
      <c r="O1611" s="71" t="s">
        <v>150</v>
      </c>
      <c r="P1611" s="103" t="str">
        <f t="shared" si="820"/>
        <v>매엽용 세척제(Wash 562)</v>
      </c>
      <c r="Q1611" s="71">
        <f t="shared" si="806"/>
        <v>20</v>
      </c>
      <c r="R1611" s="102">
        <v>51000</v>
      </c>
      <c r="S1611" s="102">
        <f>(R1611*D1611)*1.1</f>
        <v>1122000</v>
      </c>
      <c r="T1611" s="102">
        <f>(R1611*Q1611)</f>
        <v>1020000</v>
      </c>
      <c r="U1611" s="71" t="str">
        <f>IF(J1611=W1611,"O", "X")</f>
        <v>O</v>
      </c>
      <c r="V1611" s="71"/>
      <c r="W1611" s="474">
        <f>(G1611-T1611)</f>
        <v>360000</v>
      </c>
      <c r="X1611" s="71"/>
      <c r="Y1611" s="71"/>
    </row>
    <row r="1612" spans="1:25" ht="30" hidden="1" customHeight="1" x14ac:dyDescent="0.25">
      <c r="A1612" s="82">
        <v>181213</v>
      </c>
      <c r="B1612" s="664" t="s">
        <v>690</v>
      </c>
      <c r="C1612" s="71" t="s">
        <v>217</v>
      </c>
      <c r="D1612" s="71">
        <v>2</v>
      </c>
      <c r="E1612" s="102">
        <v>145000</v>
      </c>
      <c r="F1612" s="102">
        <f t="shared" si="809"/>
        <v>319000</v>
      </c>
      <c r="G1612" s="102">
        <f t="shared" si="810"/>
        <v>290000</v>
      </c>
      <c r="H1612" s="690" t="s">
        <v>173</v>
      </c>
      <c r="I1612" s="71" t="s">
        <v>108</v>
      </c>
      <c r="J1612" s="53">
        <f>(G1612-(VLOOKUP(C1612,Price!B:D,3,FALSE)*D1612))</f>
        <v>130000</v>
      </c>
      <c r="K1612" s="63">
        <f t="shared" si="825"/>
        <v>0.44827586206896552</v>
      </c>
      <c r="L1612" s="871" t="s">
        <v>1508</v>
      </c>
      <c r="M1612" s="468"/>
      <c r="N1612" s="664">
        <f t="shared" si="826"/>
        <v>181213</v>
      </c>
      <c r="O1612" s="71" t="s">
        <v>150</v>
      </c>
      <c r="P1612" s="103" t="str">
        <f t="shared" si="820"/>
        <v>Fount 511</v>
      </c>
      <c r="Q1612" s="71">
        <f t="shared" si="806"/>
        <v>2</v>
      </c>
      <c r="R1612" s="102">
        <f>VLOOKUP(P1612,Price!B:D,3,FALSE)</f>
        <v>80000</v>
      </c>
      <c r="S1612" s="102">
        <f>R1612*Q1612*1.1</f>
        <v>176000</v>
      </c>
      <c r="T1612" s="102">
        <f>R1612*Q1612</f>
        <v>160000</v>
      </c>
      <c r="U1612" s="71" t="str">
        <f>IF(J1612=W1612,"O", "X")</f>
        <v>O</v>
      </c>
      <c r="V1612" s="71"/>
      <c r="W1612" s="474">
        <f>(G1612-T1612)</f>
        <v>130000</v>
      </c>
      <c r="X1612" s="71"/>
      <c r="Y1612" s="71"/>
    </row>
    <row r="1613" spans="1:25" ht="30" hidden="1" customHeight="1" x14ac:dyDescent="0.25">
      <c r="A1613" s="82">
        <v>181213</v>
      </c>
      <c r="B1613" s="664" t="s">
        <v>983</v>
      </c>
      <c r="C1613" s="71" t="s">
        <v>1009</v>
      </c>
      <c r="D1613" s="71">
        <v>520</v>
      </c>
      <c r="E1613" s="102">
        <v>3900</v>
      </c>
      <c r="F1613" s="102">
        <f t="shared" si="809"/>
        <v>2230800</v>
      </c>
      <c r="G1613" s="102">
        <f t="shared" si="810"/>
        <v>2028000</v>
      </c>
      <c r="H1613" s="690" t="s">
        <v>173</v>
      </c>
      <c r="I1613" s="71" t="s">
        <v>140</v>
      </c>
      <c r="J1613" s="53">
        <f>G1613-T1613</f>
        <v>312000</v>
      </c>
      <c r="K1613" s="63">
        <f t="shared" si="825"/>
        <v>0.15384615384615385</v>
      </c>
      <c r="L1613" s="871" t="s">
        <v>1508</v>
      </c>
      <c r="M1613" s="468"/>
      <c r="N1613" s="664">
        <f t="shared" si="826"/>
        <v>181213</v>
      </c>
      <c r="O1613" s="71" t="s">
        <v>147</v>
      </c>
      <c r="P1613" s="103" t="str">
        <f t="shared" si="820"/>
        <v>CTP판(1030*790mm)</v>
      </c>
      <c r="Q1613" s="71">
        <f t="shared" si="806"/>
        <v>520</v>
      </c>
      <c r="R1613" s="102">
        <v>3300</v>
      </c>
      <c r="S1613" s="102">
        <f>R1613*Q1613*1.1</f>
        <v>1887600.0000000002</v>
      </c>
      <c r="T1613" s="102">
        <f>R1613*Q1613</f>
        <v>1716000</v>
      </c>
      <c r="U1613" s="71" t="str">
        <f>IF(J1613=W1613,"O", "X")</f>
        <v>O</v>
      </c>
      <c r="V1613" s="71"/>
      <c r="W1613" s="474">
        <f>(G1613-T1613)</f>
        <v>312000</v>
      </c>
      <c r="X1613" s="71"/>
      <c r="Y1613" s="71"/>
    </row>
    <row r="1614" spans="1:25" ht="30" hidden="1" customHeight="1" x14ac:dyDescent="0.25">
      <c r="A1614" s="82">
        <v>181213</v>
      </c>
      <c r="B1614" s="664" t="s">
        <v>983</v>
      </c>
      <c r="C1614" s="71" t="s">
        <v>984</v>
      </c>
      <c r="D1614" s="71">
        <v>6</v>
      </c>
      <c r="E1614" s="102">
        <v>45000</v>
      </c>
      <c r="F1614" s="102">
        <f t="shared" si="809"/>
        <v>297000</v>
      </c>
      <c r="G1614" s="102">
        <f t="shared" si="810"/>
        <v>270000</v>
      </c>
      <c r="H1614" s="690" t="s">
        <v>173</v>
      </c>
      <c r="I1614" s="71" t="s">
        <v>140</v>
      </c>
      <c r="J1614" s="53">
        <f>G1614-T1614</f>
        <v>60000</v>
      </c>
      <c r="K1614" s="63">
        <f t="shared" si="825"/>
        <v>0.22222222222222221</v>
      </c>
      <c r="L1614" s="871" t="s">
        <v>1508</v>
      </c>
      <c r="M1614" s="468"/>
      <c r="N1614" s="664">
        <f t="shared" si="826"/>
        <v>181213</v>
      </c>
      <c r="O1614" s="71" t="s">
        <v>147</v>
      </c>
      <c r="P1614" s="103" t="str">
        <f t="shared" si="820"/>
        <v>CTP 현상액</v>
      </c>
      <c r="Q1614" s="71">
        <f t="shared" si="806"/>
        <v>6</v>
      </c>
      <c r="R1614" s="102">
        <v>35000</v>
      </c>
      <c r="S1614" s="102">
        <f>R1614*Q1614*1.1</f>
        <v>231000.00000000003</v>
      </c>
      <c r="T1614" s="102">
        <f>R1614*Q1614</f>
        <v>210000</v>
      </c>
      <c r="U1614" s="71" t="str">
        <f>IF(J1614=W1614,"O", "X")</f>
        <v>O</v>
      </c>
      <c r="V1614" s="71"/>
      <c r="W1614" s="474">
        <f>(G1614-T1614)</f>
        <v>60000</v>
      </c>
      <c r="X1614" s="71"/>
      <c r="Y1614" s="71"/>
    </row>
    <row r="1615" spans="1:25" ht="30" customHeight="1" x14ac:dyDescent="0.25">
      <c r="A1615" s="82">
        <v>181213</v>
      </c>
      <c r="B1615" s="664" t="s">
        <v>422</v>
      </c>
      <c r="C1615" s="71" t="s">
        <v>1525</v>
      </c>
      <c r="D1615" s="71">
        <v>100</v>
      </c>
      <c r="E1615" s="102">
        <v>3500</v>
      </c>
      <c r="F1615" s="102">
        <f t="shared" si="809"/>
        <v>385000.00000000006</v>
      </c>
      <c r="G1615" s="102">
        <f t="shared" si="810"/>
        <v>350000</v>
      </c>
      <c r="H1615" s="690" t="s">
        <v>1431</v>
      </c>
      <c r="I1615" s="71"/>
      <c r="J1615" s="53">
        <f>G1615-T1615</f>
        <v>188188.30601924093</v>
      </c>
      <c r="K1615" s="63">
        <f t="shared" si="825"/>
        <v>0.53768087434068834</v>
      </c>
      <c r="L1615" s="871" t="s">
        <v>1508</v>
      </c>
      <c r="M1615" s="468"/>
      <c r="N1615" s="664">
        <f t="shared" si="826"/>
        <v>181213</v>
      </c>
      <c r="O1615" s="71" t="s">
        <v>1431</v>
      </c>
      <c r="P1615" s="103" t="str">
        <f t="shared" si="820"/>
        <v>핀(바늘)</v>
      </c>
      <c r="Q1615" s="71">
        <f t="shared" si="806"/>
        <v>100</v>
      </c>
      <c r="R1615" s="102">
        <f>Import!G140</f>
        <v>1618.1169398075906</v>
      </c>
      <c r="S1615" s="102">
        <f>R1615*Q1615*1.1</f>
        <v>177992.863378835</v>
      </c>
      <c r="T1615" s="102">
        <f>R1615*Q1615</f>
        <v>161811.69398075907</v>
      </c>
      <c r="U1615" s="71"/>
      <c r="V1615" s="71"/>
      <c r="W1615" s="474"/>
      <c r="X1615" s="71"/>
      <c r="Y1615" s="71"/>
    </row>
    <row r="1616" spans="1:25" ht="30" hidden="1" customHeight="1" x14ac:dyDescent="0.25">
      <c r="A1616" s="82">
        <v>181213</v>
      </c>
      <c r="B1616" s="664" t="s">
        <v>546</v>
      </c>
      <c r="C1616" s="71" t="s">
        <v>990</v>
      </c>
      <c r="D1616" s="71">
        <v>30</v>
      </c>
      <c r="E1616" s="102">
        <v>27000</v>
      </c>
      <c r="F1616" s="102">
        <f t="shared" si="809"/>
        <v>891000.00000000012</v>
      </c>
      <c r="G1616" s="102">
        <f t="shared" si="810"/>
        <v>810000</v>
      </c>
      <c r="H1616" s="690" t="s">
        <v>1431</v>
      </c>
      <c r="I1616" s="71"/>
      <c r="J1616" s="53">
        <f>G1616-T1616</f>
        <v>430624.21473847347</v>
      </c>
      <c r="K1616" s="63">
        <f t="shared" si="825"/>
        <v>0.53163483301046099</v>
      </c>
      <c r="L1616" s="871" t="s">
        <v>1508</v>
      </c>
      <c r="M1616" s="468"/>
      <c r="N1616" s="664">
        <f t="shared" si="826"/>
        <v>181213</v>
      </c>
      <c r="O1616" s="71" t="s">
        <v>1431</v>
      </c>
      <c r="P1616" s="103" t="str">
        <f>(C1616)</f>
        <v>브러쉬, 헤드 스톱</v>
      </c>
      <c r="Q1616" s="71">
        <f t="shared" si="806"/>
        <v>30</v>
      </c>
      <c r="R1616" s="102">
        <f>Import!G143</f>
        <v>12645.859508717551</v>
      </c>
      <c r="S1616" s="102">
        <f>R1616*Q1616*1.1</f>
        <v>417313.36378767923</v>
      </c>
      <c r="T1616" s="102">
        <f>R1616*Q1616</f>
        <v>379375.78526152653</v>
      </c>
      <c r="U1616" s="71"/>
      <c r="V1616" s="71"/>
      <c r="W1616" s="474"/>
      <c r="X1616" s="71"/>
      <c r="Y1616" s="71"/>
    </row>
    <row r="1617" spans="1:25" s="209" customFormat="1" ht="30" hidden="1" customHeight="1" x14ac:dyDescent="0.2">
      <c r="A1617" s="82">
        <v>181213</v>
      </c>
      <c r="B1617" s="664" t="s">
        <v>445</v>
      </c>
      <c r="C1617" s="71" t="s">
        <v>138</v>
      </c>
      <c r="D1617" s="71">
        <v>10</v>
      </c>
      <c r="E1617" s="102">
        <v>59500</v>
      </c>
      <c r="F1617" s="163">
        <f t="shared" ref="F1617:F1628" si="827">(E1617*D1617)*1.1</f>
        <v>654500</v>
      </c>
      <c r="G1617" s="163">
        <f t="shared" ref="G1617:G1628" si="828">(E1617*D1617)</f>
        <v>595000</v>
      </c>
      <c r="H1617" s="165" t="s">
        <v>172</v>
      </c>
      <c r="I1617" s="71" t="s">
        <v>108</v>
      </c>
      <c r="J1617" s="53">
        <f>(G1617-(VLOOKUP(C1617,Price!B:D,3,FALSE)*D1617))</f>
        <v>85000</v>
      </c>
      <c r="K1617" s="63">
        <f t="shared" si="825"/>
        <v>0.14285714285714285</v>
      </c>
      <c r="L1617" s="871" t="s">
        <v>1508</v>
      </c>
      <c r="M1617" s="468"/>
      <c r="N1617" s="664">
        <f t="shared" ref="N1617:N1633" si="829">A1617</f>
        <v>181213</v>
      </c>
      <c r="O1617" s="71" t="s">
        <v>150</v>
      </c>
      <c r="P1617" s="103" t="str">
        <f>C1617</f>
        <v>매엽용 세척제(Wash 562)</v>
      </c>
      <c r="Q1617" s="71">
        <f>D1617</f>
        <v>10</v>
      </c>
      <c r="R1617" s="102">
        <v>51000</v>
      </c>
      <c r="S1617" s="102">
        <f>(R1617*D1617)*1.1</f>
        <v>561000</v>
      </c>
      <c r="T1617" s="102">
        <f>(R1617*Q1617)</f>
        <v>510000</v>
      </c>
      <c r="U1617" s="71" t="str">
        <f t="shared" ref="U1617:U1626" si="830">IF(J1617=W1617,"O", "X")</f>
        <v>O</v>
      </c>
      <c r="V1617" s="71"/>
      <c r="W1617" s="474">
        <f>(G1617-T1617)</f>
        <v>85000</v>
      </c>
      <c r="X1617" s="71"/>
      <c r="Y1617" s="71"/>
    </row>
    <row r="1618" spans="1:25" ht="30" hidden="1" customHeight="1" x14ac:dyDescent="0.25">
      <c r="A1618" s="82">
        <v>181213</v>
      </c>
      <c r="B1618" s="664" t="s">
        <v>1051</v>
      </c>
      <c r="C1618" s="71" t="s">
        <v>1294</v>
      </c>
      <c r="D1618" s="71">
        <v>600</v>
      </c>
      <c r="E1618" s="102">
        <v>5910</v>
      </c>
      <c r="F1618" s="102">
        <f t="shared" si="827"/>
        <v>3900600.0000000005</v>
      </c>
      <c r="G1618" s="102">
        <f t="shared" si="828"/>
        <v>3546000</v>
      </c>
      <c r="H1618" s="690" t="s">
        <v>142</v>
      </c>
      <c r="I1618" s="71" t="s">
        <v>140</v>
      </c>
      <c r="J1618" s="53">
        <f>G1618-T1618</f>
        <v>1146000</v>
      </c>
      <c r="K1618" s="63">
        <f t="shared" si="825"/>
        <v>0.32318104906937389</v>
      </c>
      <c r="L1618" s="871" t="s">
        <v>1508</v>
      </c>
      <c r="M1618" s="468"/>
      <c r="N1618" s="664">
        <f t="shared" si="829"/>
        <v>181213</v>
      </c>
      <c r="O1618" s="71" t="s">
        <v>145</v>
      </c>
      <c r="P1618" s="103" t="str">
        <f>(C1618)</f>
        <v>ENGAGE 1030*790</v>
      </c>
      <c r="Q1618" s="71">
        <f>D1618</f>
        <v>600</v>
      </c>
      <c r="R1618" s="102">
        <v>4000</v>
      </c>
      <c r="S1618" s="102">
        <f>(R1618*D1618)*1.1</f>
        <v>2640000</v>
      </c>
      <c r="T1618" s="102">
        <f>(R1618*Q1618)</f>
        <v>2400000</v>
      </c>
      <c r="U1618" s="71" t="str">
        <f t="shared" si="830"/>
        <v>X</v>
      </c>
      <c r="V1618" s="71"/>
      <c r="W1618" s="474"/>
      <c r="X1618" s="71"/>
      <c r="Y1618" s="71"/>
    </row>
    <row r="1619" spans="1:25" ht="30" hidden="1" customHeight="1" x14ac:dyDescent="0.25">
      <c r="A1619" s="82">
        <v>181214</v>
      </c>
      <c r="B1619" s="664" t="s">
        <v>1051</v>
      </c>
      <c r="C1619" s="71" t="s">
        <v>1595</v>
      </c>
      <c r="D1619" s="71">
        <v>400</v>
      </c>
      <c r="E1619" s="102">
        <v>4440</v>
      </c>
      <c r="F1619" s="102">
        <f t="shared" si="827"/>
        <v>1953600.0000000002</v>
      </c>
      <c r="G1619" s="102">
        <f t="shared" si="828"/>
        <v>1776000</v>
      </c>
      <c r="H1619" s="690" t="s">
        <v>142</v>
      </c>
      <c r="I1619" s="71" t="s">
        <v>140</v>
      </c>
      <c r="J1619" s="53">
        <f>G1619-T1619</f>
        <v>508000</v>
      </c>
      <c r="K1619" s="63">
        <f t="shared" si="825"/>
        <v>0.286036036036036</v>
      </c>
      <c r="L1619" s="871" t="s">
        <v>1508</v>
      </c>
      <c r="M1619" s="468" t="s">
        <v>1596</v>
      </c>
      <c r="N1619" s="664">
        <f t="shared" si="829"/>
        <v>181214</v>
      </c>
      <c r="O1619" s="71" t="s">
        <v>145</v>
      </c>
      <c r="P1619" s="103" t="s">
        <v>1385</v>
      </c>
      <c r="Q1619" s="71">
        <f>D1619</f>
        <v>400</v>
      </c>
      <c r="R1619" s="102">
        <v>3170</v>
      </c>
      <c r="S1619" s="102">
        <f>R1619*Q1619*1.1</f>
        <v>1394800</v>
      </c>
      <c r="T1619" s="102">
        <f>R1619*Q1619</f>
        <v>1268000</v>
      </c>
      <c r="U1619" s="71" t="str">
        <f t="shared" si="830"/>
        <v>O</v>
      </c>
      <c r="V1619" s="71" t="s">
        <v>1597</v>
      </c>
      <c r="W1619" s="474">
        <f>(G1619-T1619)</f>
        <v>508000</v>
      </c>
      <c r="X1619" s="71"/>
      <c r="Y1619" s="71"/>
    </row>
    <row r="1620" spans="1:25" ht="30" hidden="1" customHeight="1" x14ac:dyDescent="0.25">
      <c r="A1620" s="82">
        <v>181214</v>
      </c>
      <c r="B1620" s="664" t="s">
        <v>1051</v>
      </c>
      <c r="C1620" s="71" t="s">
        <v>951</v>
      </c>
      <c r="D1620" s="71">
        <v>100</v>
      </c>
      <c r="E1620" s="102">
        <v>3540</v>
      </c>
      <c r="F1620" s="102">
        <f t="shared" si="827"/>
        <v>389400.00000000006</v>
      </c>
      <c r="G1620" s="102">
        <f t="shared" si="828"/>
        <v>354000</v>
      </c>
      <c r="H1620" s="690" t="s">
        <v>142</v>
      </c>
      <c r="I1620" s="71" t="s">
        <v>140</v>
      </c>
      <c r="J1620" s="53">
        <f>G1620-T1620</f>
        <v>115000</v>
      </c>
      <c r="K1620" s="63">
        <f t="shared" si="825"/>
        <v>0.32485875706214684</v>
      </c>
      <c r="L1620" s="871" t="s">
        <v>1508</v>
      </c>
      <c r="M1620" s="468"/>
      <c r="N1620" s="664">
        <f t="shared" si="829"/>
        <v>181214</v>
      </c>
      <c r="O1620" s="71" t="s">
        <v>145</v>
      </c>
      <c r="P1620" s="103" t="str">
        <f>(C1620)</f>
        <v>ENGAGE 30WEB(883*552)</v>
      </c>
      <c r="Q1620" s="71">
        <f>D1620</f>
        <v>100</v>
      </c>
      <c r="R1620" s="102">
        <v>2390</v>
      </c>
      <c r="S1620" s="102">
        <f>(R1620*D1620)*1.1</f>
        <v>262900</v>
      </c>
      <c r="T1620" s="102">
        <f>(R1620*Q1620)</f>
        <v>239000</v>
      </c>
      <c r="U1620" s="71" t="str">
        <f t="shared" si="830"/>
        <v>O</v>
      </c>
      <c r="V1620" s="71"/>
      <c r="W1620" s="474">
        <f>(G1620-T1620)</f>
        <v>115000</v>
      </c>
      <c r="X1620" s="71"/>
      <c r="Y1620" s="71"/>
    </row>
    <row r="1621" spans="1:25" ht="30" hidden="1" customHeight="1" x14ac:dyDescent="0.25">
      <c r="A1621" s="82">
        <v>181218</v>
      </c>
      <c r="B1621" s="664" t="s">
        <v>1051</v>
      </c>
      <c r="C1621" s="71" t="s">
        <v>1294</v>
      </c>
      <c r="D1621" s="71">
        <v>600</v>
      </c>
      <c r="E1621" s="102">
        <v>5910</v>
      </c>
      <c r="F1621" s="102">
        <f t="shared" si="827"/>
        <v>3900600.0000000005</v>
      </c>
      <c r="G1621" s="102">
        <f t="shared" si="828"/>
        <v>3546000</v>
      </c>
      <c r="H1621" s="690" t="s">
        <v>142</v>
      </c>
      <c r="I1621" s="71" t="s">
        <v>140</v>
      </c>
      <c r="J1621" s="53">
        <f>G1621-T1621</f>
        <v>1146000</v>
      </c>
      <c r="K1621" s="63">
        <f t="shared" ref="K1621:K1628" si="831">(J1621/(F1621/11*10))</f>
        <v>0.32318104906937389</v>
      </c>
      <c r="L1621" s="871" t="s">
        <v>1508</v>
      </c>
      <c r="M1621" s="468"/>
      <c r="N1621" s="664">
        <f t="shared" si="829"/>
        <v>181218</v>
      </c>
      <c r="O1621" s="71" t="s">
        <v>145</v>
      </c>
      <c r="P1621" s="103" t="str">
        <f>(C1621)</f>
        <v>ENGAGE 1030*790</v>
      </c>
      <c r="Q1621" s="71">
        <f>D1621</f>
        <v>600</v>
      </c>
      <c r="R1621" s="102">
        <v>4000</v>
      </c>
      <c r="S1621" s="102">
        <f>(R1621*D1621)*1.1</f>
        <v>2640000</v>
      </c>
      <c r="T1621" s="102">
        <f>(R1621*Q1621)</f>
        <v>2400000</v>
      </c>
      <c r="U1621" s="71" t="str">
        <f t="shared" si="830"/>
        <v>X</v>
      </c>
      <c r="V1621" s="71"/>
      <c r="W1621" s="474"/>
      <c r="X1621" s="71"/>
      <c r="Y1621" s="71"/>
    </row>
    <row r="1622" spans="1:25" s="209" customFormat="1" ht="30" customHeight="1" x14ac:dyDescent="0.25">
      <c r="A1622" s="82">
        <v>181217</v>
      </c>
      <c r="B1622" s="664" t="s">
        <v>565</v>
      </c>
      <c r="C1622" s="71" t="s">
        <v>583</v>
      </c>
      <c r="D1622" s="71">
        <v>32</v>
      </c>
      <c r="E1622" s="102">
        <v>89000</v>
      </c>
      <c r="F1622" s="102">
        <f t="shared" si="827"/>
        <v>3132800.0000000005</v>
      </c>
      <c r="G1622" s="102">
        <f t="shared" si="828"/>
        <v>2848000</v>
      </c>
      <c r="H1622" s="690" t="s">
        <v>173</v>
      </c>
      <c r="I1622" s="71" t="s">
        <v>108</v>
      </c>
      <c r="J1622" s="53">
        <f>(G1622-(VLOOKUP(C1622,Price!B:D,3,FALSE)*D1622))</f>
        <v>1440000</v>
      </c>
      <c r="K1622" s="63">
        <f t="shared" si="831"/>
        <v>0.50561797752808979</v>
      </c>
      <c r="L1622" s="871" t="s">
        <v>1508</v>
      </c>
      <c r="M1622" s="468"/>
      <c r="N1622" s="664">
        <f t="shared" si="829"/>
        <v>181217</v>
      </c>
      <c r="O1622" s="71" t="s">
        <v>599</v>
      </c>
      <c r="P1622" s="103" t="str">
        <f t="shared" ref="P1622:Q1624" si="832">C1622</f>
        <v>M600 윤전 세정포</v>
      </c>
      <c r="Q1622" s="71">
        <f t="shared" si="832"/>
        <v>32</v>
      </c>
      <c r="R1622" s="102">
        <v>44000</v>
      </c>
      <c r="S1622" s="102">
        <f>(R1622*D1622)*1.1</f>
        <v>1548800.0000000002</v>
      </c>
      <c r="T1622" s="102">
        <f>(R1622*Q1622)</f>
        <v>1408000</v>
      </c>
      <c r="U1622" s="71" t="str">
        <f t="shared" si="830"/>
        <v>O</v>
      </c>
      <c r="V1622" s="71"/>
      <c r="W1622" s="474">
        <f>(G1622-T1622)</f>
        <v>1440000</v>
      </c>
      <c r="X1622" s="71"/>
      <c r="Y1622" s="71"/>
    </row>
    <row r="1623" spans="1:25" ht="30" customHeight="1" x14ac:dyDescent="0.25">
      <c r="A1623" s="82">
        <v>181217</v>
      </c>
      <c r="B1623" s="664" t="s">
        <v>422</v>
      </c>
      <c r="C1623" s="760" t="s">
        <v>218</v>
      </c>
      <c r="D1623" s="71">
        <v>10</v>
      </c>
      <c r="E1623" s="102">
        <v>235000</v>
      </c>
      <c r="F1623" s="102">
        <f t="shared" si="827"/>
        <v>2585000</v>
      </c>
      <c r="G1623" s="102">
        <f t="shared" si="828"/>
        <v>2350000</v>
      </c>
      <c r="H1623" s="690" t="s">
        <v>173</v>
      </c>
      <c r="I1623" s="71" t="s">
        <v>120</v>
      </c>
      <c r="J1623" s="53">
        <f>(G1623-(VLOOKUP(C1623,Price!B:D,3,FALSE)*D1623))</f>
        <v>1225000</v>
      </c>
      <c r="K1623" s="63">
        <f t="shared" si="831"/>
        <v>0.52127659574468088</v>
      </c>
      <c r="L1623" s="871" t="s">
        <v>1508</v>
      </c>
      <c r="M1623" s="468"/>
      <c r="N1623" s="664">
        <f t="shared" si="829"/>
        <v>181217</v>
      </c>
      <c r="O1623" s="71" t="s">
        <v>150</v>
      </c>
      <c r="P1623" s="103" t="str">
        <f t="shared" si="832"/>
        <v>Fount Web 551AF</v>
      </c>
      <c r="Q1623" s="71">
        <f t="shared" si="832"/>
        <v>10</v>
      </c>
      <c r="R1623" s="102">
        <v>112500</v>
      </c>
      <c r="S1623" s="102">
        <f>R1623*Q1623*1.1</f>
        <v>1237500</v>
      </c>
      <c r="T1623" s="102">
        <f>R1623*Q1623</f>
        <v>1125000</v>
      </c>
      <c r="U1623" s="71" t="str">
        <f t="shared" si="830"/>
        <v>O</v>
      </c>
      <c r="V1623" s="71"/>
      <c r="W1623" s="474">
        <f>(G1623-T1623)</f>
        <v>1225000</v>
      </c>
      <c r="X1623" s="71"/>
      <c r="Y1623" s="71"/>
    </row>
    <row r="1624" spans="1:25" ht="30" hidden="1" customHeight="1" x14ac:dyDescent="0.25">
      <c r="A1624" s="82">
        <v>181217</v>
      </c>
      <c r="B1624" s="664" t="s">
        <v>446</v>
      </c>
      <c r="C1624" s="71" t="s">
        <v>1144</v>
      </c>
      <c r="D1624" s="71">
        <v>8</v>
      </c>
      <c r="E1624" s="102">
        <v>110000</v>
      </c>
      <c r="F1624" s="102">
        <f t="shared" si="827"/>
        <v>968000.00000000012</v>
      </c>
      <c r="G1624" s="102">
        <f t="shared" si="828"/>
        <v>880000</v>
      </c>
      <c r="H1624" s="690" t="s">
        <v>173</v>
      </c>
      <c r="I1624" s="71" t="s">
        <v>142</v>
      </c>
      <c r="J1624" s="53">
        <f>G1624-T1624</f>
        <v>152000</v>
      </c>
      <c r="K1624" s="63">
        <f t="shared" si="831"/>
        <v>0.1727272727272727</v>
      </c>
      <c r="L1624" s="871" t="s">
        <v>1508</v>
      </c>
      <c r="M1624" s="468"/>
      <c r="N1624" s="664">
        <f t="shared" si="829"/>
        <v>181217</v>
      </c>
      <c r="O1624" s="71" t="s">
        <v>150</v>
      </c>
      <c r="P1624" s="103" t="str">
        <f t="shared" si="832"/>
        <v>실리콘 에멀전</v>
      </c>
      <c r="Q1624" s="71">
        <f t="shared" si="832"/>
        <v>8</v>
      </c>
      <c r="R1624" s="102">
        <v>91000</v>
      </c>
      <c r="S1624" s="102">
        <f>R1624*Q1624*1.1</f>
        <v>800800.00000000012</v>
      </c>
      <c r="T1624" s="102">
        <f>R1624*Q1624</f>
        <v>728000</v>
      </c>
      <c r="U1624" s="71" t="str">
        <f t="shared" si="830"/>
        <v>O</v>
      </c>
      <c r="V1624" s="71"/>
      <c r="W1624" s="474">
        <f>(G1624-T1624)</f>
        <v>152000</v>
      </c>
      <c r="X1624" s="71"/>
      <c r="Y1624" s="71"/>
    </row>
    <row r="1625" spans="1:25" s="209" customFormat="1" ht="30" hidden="1" customHeight="1" x14ac:dyDescent="0.2">
      <c r="A1625" s="429">
        <v>181217</v>
      </c>
      <c r="B1625" s="664" t="s">
        <v>1286</v>
      </c>
      <c r="C1625" s="71" t="s">
        <v>231</v>
      </c>
      <c r="D1625" s="71">
        <v>10</v>
      </c>
      <c r="E1625" s="102">
        <v>120000</v>
      </c>
      <c r="F1625" s="163">
        <f t="shared" si="827"/>
        <v>1320000</v>
      </c>
      <c r="G1625" s="163">
        <f t="shared" si="828"/>
        <v>1200000</v>
      </c>
      <c r="H1625" s="165" t="s">
        <v>172</v>
      </c>
      <c r="I1625" s="71" t="s">
        <v>109</v>
      </c>
      <c r="J1625" s="53">
        <f>(G1625-(VLOOKUP(C1625,Price!B:D,3,FALSE)*D1625))</f>
        <v>80000</v>
      </c>
      <c r="K1625" s="63">
        <f t="shared" si="831"/>
        <v>6.6666666666666666E-2</v>
      </c>
      <c r="L1625" s="871" t="s">
        <v>1508</v>
      </c>
      <c r="M1625" s="468"/>
      <c r="N1625" s="664">
        <f t="shared" si="829"/>
        <v>181217</v>
      </c>
      <c r="O1625" s="71" t="s">
        <v>151</v>
      </c>
      <c r="P1625" s="103" t="str">
        <f>(C1625)</f>
        <v>Blanket(990*725)</v>
      </c>
      <c r="Q1625" s="71">
        <f t="shared" ref="Q1625:Q1639" si="833">D1625</f>
        <v>10</v>
      </c>
      <c r="R1625" s="102">
        <v>112000</v>
      </c>
      <c r="S1625" s="102">
        <f>(R1625*D1625)*1.1</f>
        <v>1232000</v>
      </c>
      <c r="T1625" s="102">
        <f>(R1625*Q1625)</f>
        <v>1120000</v>
      </c>
      <c r="U1625" s="71" t="str">
        <f t="shared" si="830"/>
        <v>O</v>
      </c>
      <c r="V1625" s="71"/>
      <c r="W1625" s="474">
        <f>(G1625-T1625)</f>
        <v>80000</v>
      </c>
      <c r="X1625" s="71"/>
      <c r="Y1625" s="71"/>
    </row>
    <row r="1626" spans="1:25" ht="30" hidden="1" customHeight="1" x14ac:dyDescent="0.25">
      <c r="A1626" s="82">
        <v>181217</v>
      </c>
      <c r="B1626" s="664" t="s">
        <v>1286</v>
      </c>
      <c r="C1626" s="760" t="s">
        <v>218</v>
      </c>
      <c r="D1626" s="71">
        <v>7</v>
      </c>
      <c r="E1626" s="102">
        <v>192500</v>
      </c>
      <c r="F1626" s="102">
        <f t="shared" si="827"/>
        <v>1482250.0000000002</v>
      </c>
      <c r="G1626" s="102">
        <f t="shared" si="828"/>
        <v>1347500</v>
      </c>
      <c r="H1626" s="690" t="s">
        <v>173</v>
      </c>
      <c r="I1626" s="71" t="s">
        <v>120</v>
      </c>
      <c r="J1626" s="53">
        <f>(G1626-(VLOOKUP(C1626,Price!B:D,3,FALSE)*D1626))</f>
        <v>560000</v>
      </c>
      <c r="K1626" s="63">
        <f t="shared" si="831"/>
        <v>0.4155844155844155</v>
      </c>
      <c r="L1626" s="871" t="s">
        <v>1508</v>
      </c>
      <c r="M1626" s="468"/>
      <c r="N1626" s="664">
        <f t="shared" si="829"/>
        <v>181217</v>
      </c>
      <c r="O1626" s="71" t="s">
        <v>150</v>
      </c>
      <c r="P1626" s="103" t="str">
        <f>C1626</f>
        <v>Fount Web 551AF</v>
      </c>
      <c r="Q1626" s="71">
        <f t="shared" si="833"/>
        <v>7</v>
      </c>
      <c r="R1626" s="102">
        <v>112500</v>
      </c>
      <c r="S1626" s="102">
        <f>R1626*Q1626*1.1</f>
        <v>866250.00000000012</v>
      </c>
      <c r="T1626" s="102">
        <f>R1626*Q1626</f>
        <v>787500</v>
      </c>
      <c r="U1626" s="71" t="str">
        <f t="shared" si="830"/>
        <v>O</v>
      </c>
      <c r="V1626" s="71"/>
      <c r="W1626" s="474">
        <f>(G1626-T1626)</f>
        <v>560000</v>
      </c>
      <c r="X1626" s="71"/>
      <c r="Y1626" s="71"/>
    </row>
    <row r="1627" spans="1:25" ht="30" hidden="1" customHeight="1" x14ac:dyDescent="0.25">
      <c r="A1627" s="82">
        <v>181218</v>
      </c>
      <c r="B1627" s="664" t="s">
        <v>1231</v>
      </c>
      <c r="C1627" s="760" t="s">
        <v>1614</v>
      </c>
      <c r="D1627" s="71">
        <v>3</v>
      </c>
      <c r="E1627" s="102">
        <v>60000</v>
      </c>
      <c r="F1627" s="102">
        <f t="shared" si="827"/>
        <v>198000.00000000003</v>
      </c>
      <c r="G1627" s="102">
        <f t="shared" si="828"/>
        <v>180000</v>
      </c>
      <c r="H1627" s="690" t="s">
        <v>173</v>
      </c>
      <c r="I1627" s="71" t="s">
        <v>142</v>
      </c>
      <c r="J1627" s="53">
        <f t="shared" ref="J1627:J1636" si="834">G1627-T1627</f>
        <v>36000</v>
      </c>
      <c r="K1627" s="63">
        <f>(J1627/(F1627/11*10))</f>
        <v>0.19999999999999996</v>
      </c>
      <c r="L1627" s="871" t="s">
        <v>1612</v>
      </c>
      <c r="M1627" s="468"/>
      <c r="N1627" s="664">
        <f t="shared" si="829"/>
        <v>181218</v>
      </c>
      <c r="O1627" s="71" t="s">
        <v>150</v>
      </c>
      <c r="P1627" s="103" t="str">
        <f>C1627</f>
        <v>GLP 500</v>
      </c>
      <c r="Q1627" s="71">
        <f t="shared" si="833"/>
        <v>3</v>
      </c>
      <c r="R1627" s="102">
        <v>48000</v>
      </c>
      <c r="S1627" s="102">
        <f>(R1627*D1627)*1.1</f>
        <v>158400</v>
      </c>
      <c r="T1627" s="102">
        <f>(R1627*Q1627)</f>
        <v>144000</v>
      </c>
      <c r="U1627" s="71"/>
      <c r="V1627" s="71"/>
      <c r="W1627" s="474"/>
      <c r="X1627" s="71"/>
      <c r="Y1627" s="71"/>
    </row>
    <row r="1628" spans="1:25" s="209" customFormat="1" ht="30" hidden="1" customHeight="1" x14ac:dyDescent="0.2">
      <c r="A1628" s="82">
        <v>181218</v>
      </c>
      <c r="B1628" s="664" t="s">
        <v>557</v>
      </c>
      <c r="C1628" s="71" t="s">
        <v>114</v>
      </c>
      <c r="D1628" s="71">
        <v>20</v>
      </c>
      <c r="E1628" s="102">
        <v>19000</v>
      </c>
      <c r="F1628" s="163">
        <f t="shared" si="827"/>
        <v>418000.00000000006</v>
      </c>
      <c r="G1628" s="163">
        <f t="shared" si="828"/>
        <v>380000</v>
      </c>
      <c r="H1628" s="771" t="s">
        <v>113</v>
      </c>
      <c r="I1628" s="71"/>
      <c r="J1628" s="53">
        <f t="shared" si="834"/>
        <v>200000</v>
      </c>
      <c r="K1628" s="63">
        <f t="shared" si="831"/>
        <v>0.52631578947368418</v>
      </c>
      <c r="L1628" s="871" t="s">
        <v>1508</v>
      </c>
      <c r="M1628" s="468"/>
      <c r="N1628" s="664">
        <f t="shared" si="829"/>
        <v>181218</v>
      </c>
      <c r="O1628" s="808" t="s">
        <v>113</v>
      </c>
      <c r="P1628" s="103" t="str">
        <f>(C1628)</f>
        <v>스트리퍼</v>
      </c>
      <c r="Q1628" s="71">
        <f t="shared" si="833"/>
        <v>20</v>
      </c>
      <c r="R1628" s="102">
        <v>9000</v>
      </c>
      <c r="S1628" s="102">
        <f>(R1628*D1628)*1.1</f>
        <v>198000.00000000003</v>
      </c>
      <c r="T1628" s="102">
        <f>(R1628*Q1628)</f>
        <v>180000</v>
      </c>
      <c r="U1628" s="71" t="str">
        <f t="shared" ref="U1628:U1643" si="835">IF(J1628=W1628,"O", "X")</f>
        <v>O</v>
      </c>
      <c r="V1628" s="71"/>
      <c r="W1628" s="474">
        <f>(G1628-T1628)</f>
        <v>200000</v>
      </c>
      <c r="X1628" s="71"/>
      <c r="Y1628" s="71"/>
    </row>
    <row r="1629" spans="1:25" ht="30" hidden="1" customHeight="1" x14ac:dyDescent="0.25">
      <c r="A1629" s="82">
        <v>181218</v>
      </c>
      <c r="B1629" s="664" t="s">
        <v>1579</v>
      </c>
      <c r="C1629" s="71" t="s">
        <v>1580</v>
      </c>
      <c r="D1629" s="71">
        <v>1</v>
      </c>
      <c r="E1629" s="102">
        <v>2000000</v>
      </c>
      <c r="F1629" s="102">
        <f t="shared" ref="F1629:F1653" si="836">(E1629*D1629)*1.1</f>
        <v>2200000</v>
      </c>
      <c r="G1629" s="102">
        <f t="shared" ref="G1629:G1653" si="837">(E1629*D1629)</f>
        <v>2000000</v>
      </c>
      <c r="H1629" s="690" t="s">
        <v>1432</v>
      </c>
      <c r="I1629" s="71"/>
      <c r="J1629" s="53">
        <f t="shared" si="834"/>
        <v>616332.89475886361</v>
      </c>
      <c r="K1629" s="63">
        <f>(J1629/(F1629/11*10))</f>
        <v>0.30816644737943183</v>
      </c>
      <c r="L1629" s="871" t="s">
        <v>1508</v>
      </c>
      <c r="M1629" s="468"/>
      <c r="N1629" s="664">
        <f t="shared" si="829"/>
        <v>181218</v>
      </c>
      <c r="O1629" s="71" t="s">
        <v>1432</v>
      </c>
      <c r="P1629" s="103" t="str">
        <f>C1629</f>
        <v>도저 Fluidos 1-5%</v>
      </c>
      <c r="Q1629" s="71">
        <f t="shared" si="833"/>
        <v>1</v>
      </c>
      <c r="R1629" s="102">
        <f>Import!G656</f>
        <v>1383667.1052411364</v>
      </c>
      <c r="S1629" s="102">
        <f>R1629*Q1629*1.1</f>
        <v>1522033.8157652502</v>
      </c>
      <c r="T1629" s="102">
        <f>R1629*Q1629</f>
        <v>1383667.1052411364</v>
      </c>
      <c r="U1629" s="71" t="str">
        <f t="shared" si="835"/>
        <v>X</v>
      </c>
      <c r="V1629" s="71"/>
      <c r="W1629" s="474"/>
      <c r="X1629" s="71"/>
      <c r="Y1629" s="71"/>
    </row>
    <row r="1630" spans="1:25" ht="30" hidden="1" customHeight="1" x14ac:dyDescent="0.25">
      <c r="A1630" s="82">
        <v>181218</v>
      </c>
      <c r="B1630" s="664" t="s">
        <v>1579</v>
      </c>
      <c r="C1630" s="71" t="s">
        <v>1581</v>
      </c>
      <c r="D1630" s="71">
        <v>1</v>
      </c>
      <c r="E1630" s="102">
        <v>690000</v>
      </c>
      <c r="F1630" s="102">
        <f t="shared" si="836"/>
        <v>759000.00000000012</v>
      </c>
      <c r="G1630" s="102">
        <f t="shared" si="837"/>
        <v>690000</v>
      </c>
      <c r="H1630" s="690" t="s">
        <v>1432</v>
      </c>
      <c r="I1630" s="71"/>
      <c r="J1630" s="53">
        <f t="shared" si="834"/>
        <v>227035.98829260463</v>
      </c>
      <c r="K1630" s="63">
        <f>(J1630/(F1630/11*10))</f>
        <v>0.32903766419218056</v>
      </c>
      <c r="L1630" s="871" t="s">
        <v>1508</v>
      </c>
      <c r="M1630" s="468"/>
      <c r="N1630" s="664">
        <f t="shared" si="829"/>
        <v>181218</v>
      </c>
      <c r="O1630" s="71" t="s">
        <v>1432</v>
      </c>
      <c r="P1630" s="103" t="str">
        <f>C1630</f>
        <v>Pipework water inlet</v>
      </c>
      <c r="Q1630" s="71">
        <f t="shared" si="833"/>
        <v>1</v>
      </c>
      <c r="R1630" s="102">
        <f>Import!G655</f>
        <v>462964.01170739537</v>
      </c>
      <c r="S1630" s="102">
        <f>R1630*Q1630*1.1</f>
        <v>509260.41287813493</v>
      </c>
      <c r="T1630" s="102">
        <f>R1630*Q1630</f>
        <v>462964.01170739537</v>
      </c>
      <c r="U1630" s="71" t="str">
        <f t="shared" si="835"/>
        <v>X</v>
      </c>
      <c r="V1630" s="71"/>
      <c r="W1630" s="474"/>
      <c r="X1630" s="71"/>
      <c r="Y1630" s="71"/>
    </row>
    <row r="1631" spans="1:25" ht="30" hidden="1" customHeight="1" x14ac:dyDescent="0.25">
      <c r="A1631" s="82">
        <v>181218</v>
      </c>
      <c r="B1631" s="664" t="s">
        <v>1579</v>
      </c>
      <c r="C1631" s="71" t="s">
        <v>1582</v>
      </c>
      <c r="D1631" s="71">
        <v>1</v>
      </c>
      <c r="E1631" s="102">
        <v>120000</v>
      </c>
      <c r="F1631" s="102">
        <f t="shared" si="836"/>
        <v>132000</v>
      </c>
      <c r="G1631" s="102">
        <f t="shared" si="837"/>
        <v>120000</v>
      </c>
      <c r="H1631" s="690" t="s">
        <v>1432</v>
      </c>
      <c r="I1631" s="71"/>
      <c r="J1631" s="53">
        <f t="shared" si="834"/>
        <v>45559.425964370108</v>
      </c>
      <c r="K1631" s="63">
        <f>(J1631/(F1631/11*10))</f>
        <v>0.37966188303641757</v>
      </c>
      <c r="L1631" s="871" t="s">
        <v>1508</v>
      </c>
      <c r="M1631" s="468"/>
      <c r="N1631" s="664">
        <f t="shared" si="829"/>
        <v>181218</v>
      </c>
      <c r="O1631" s="71" t="s">
        <v>1432</v>
      </c>
      <c r="P1631" s="103" t="str">
        <f>C1631</f>
        <v>Pipe connection</v>
      </c>
      <c r="Q1631" s="71">
        <f t="shared" si="833"/>
        <v>1</v>
      </c>
      <c r="R1631" s="102">
        <f>Import!G659</f>
        <v>74440.574035629892</v>
      </c>
      <c r="S1631" s="102">
        <f>R1631*Q1631*1.1</f>
        <v>81884.63143919289</v>
      </c>
      <c r="T1631" s="102">
        <f>R1631*Q1631</f>
        <v>74440.574035629892</v>
      </c>
      <c r="U1631" s="71" t="str">
        <f t="shared" si="835"/>
        <v>X</v>
      </c>
      <c r="V1631" s="71"/>
      <c r="W1631" s="474"/>
      <c r="X1631" s="71"/>
      <c r="Y1631" s="71"/>
    </row>
    <row r="1632" spans="1:25" ht="30" hidden="1" customHeight="1" x14ac:dyDescent="0.25">
      <c r="A1632" s="82">
        <v>181218</v>
      </c>
      <c r="B1632" s="664" t="s">
        <v>1579</v>
      </c>
      <c r="C1632" s="71" t="s">
        <v>1583</v>
      </c>
      <c r="D1632" s="71">
        <v>1</v>
      </c>
      <c r="E1632" s="102">
        <v>100000</v>
      </c>
      <c r="F1632" s="102">
        <f t="shared" si="836"/>
        <v>110000.00000000001</v>
      </c>
      <c r="G1632" s="102">
        <f t="shared" si="837"/>
        <v>100000</v>
      </c>
      <c r="H1632" s="690" t="s">
        <v>1432</v>
      </c>
      <c r="I1632" s="71"/>
      <c r="J1632" s="53">
        <f t="shared" si="834"/>
        <v>37007.306040827381</v>
      </c>
      <c r="K1632" s="63">
        <f>(J1632/(F1632/11*10))</f>
        <v>0.37007306040827376</v>
      </c>
      <c r="L1632" s="871" t="s">
        <v>1508</v>
      </c>
      <c r="M1632" s="468"/>
      <c r="N1632" s="664">
        <f t="shared" si="829"/>
        <v>181218</v>
      </c>
      <c r="O1632" s="71" t="s">
        <v>1432</v>
      </c>
      <c r="P1632" s="103" t="str">
        <f>C1632</f>
        <v>Quick coupling water</v>
      </c>
      <c r="Q1632" s="71">
        <f t="shared" si="833"/>
        <v>1</v>
      </c>
      <c r="R1632" s="102">
        <f>Import!G657</f>
        <v>62992.693959172619</v>
      </c>
      <c r="S1632" s="102">
        <f>R1632*Q1632*1.1</f>
        <v>69291.963355089887</v>
      </c>
      <c r="T1632" s="102">
        <f>R1632*Q1632</f>
        <v>62992.693959172619</v>
      </c>
      <c r="U1632" s="71" t="str">
        <f t="shared" si="835"/>
        <v>X</v>
      </c>
      <c r="V1632" s="71"/>
      <c r="W1632" s="474"/>
      <c r="X1632" s="71"/>
      <c r="Y1632" s="71"/>
    </row>
    <row r="1633" spans="1:25" ht="30" hidden="1" customHeight="1" x14ac:dyDescent="0.25">
      <c r="A1633" s="82">
        <v>181218</v>
      </c>
      <c r="B1633" s="664" t="s">
        <v>1579</v>
      </c>
      <c r="C1633" s="71" t="s">
        <v>1584</v>
      </c>
      <c r="D1633" s="71">
        <v>1</v>
      </c>
      <c r="E1633" s="102">
        <v>110000</v>
      </c>
      <c r="F1633" s="102">
        <f t="shared" si="836"/>
        <v>121000.00000000001</v>
      </c>
      <c r="G1633" s="102">
        <f t="shared" si="837"/>
        <v>110000</v>
      </c>
      <c r="H1633" s="690" t="s">
        <v>1432</v>
      </c>
      <c r="I1633" s="71"/>
      <c r="J1633" s="53">
        <f t="shared" si="834"/>
        <v>42134.618623668648</v>
      </c>
      <c r="K1633" s="63">
        <f>(J1633/(F1633/11*10))</f>
        <v>0.38304198748789675</v>
      </c>
      <c r="L1633" s="871" t="s">
        <v>1508</v>
      </c>
      <c r="M1633" s="468"/>
      <c r="N1633" s="664">
        <f t="shared" si="829"/>
        <v>181218</v>
      </c>
      <c r="O1633" s="71" t="s">
        <v>1432</v>
      </c>
      <c r="P1633" s="103" t="str">
        <f>C1633</f>
        <v>Quick coupling alcohol</v>
      </c>
      <c r="Q1633" s="71">
        <f t="shared" si="833"/>
        <v>1</v>
      </c>
      <c r="R1633" s="102">
        <f>Import!G658</f>
        <v>67865.381376331352</v>
      </c>
      <c r="S1633" s="102">
        <f>R1633*Q1633*1.1</f>
        <v>74651.919513964487</v>
      </c>
      <c r="T1633" s="102">
        <f>R1633*Q1633</f>
        <v>67865.381376331352</v>
      </c>
      <c r="U1633" s="71" t="str">
        <f t="shared" si="835"/>
        <v>X</v>
      </c>
      <c r="V1633" s="71"/>
      <c r="W1633" s="474"/>
      <c r="X1633" s="71"/>
      <c r="Y1633" s="71"/>
    </row>
    <row r="1634" spans="1:25" ht="30" hidden="1" customHeight="1" x14ac:dyDescent="0.25">
      <c r="A1634" s="82">
        <v>181218</v>
      </c>
      <c r="B1634" s="664" t="s">
        <v>1051</v>
      </c>
      <c r="C1634" s="71" t="s">
        <v>951</v>
      </c>
      <c r="D1634" s="71">
        <v>400</v>
      </c>
      <c r="E1634" s="102">
        <v>3540</v>
      </c>
      <c r="F1634" s="102">
        <f t="shared" si="836"/>
        <v>1557600.0000000002</v>
      </c>
      <c r="G1634" s="102">
        <f t="shared" si="837"/>
        <v>1416000</v>
      </c>
      <c r="H1634" s="690" t="s">
        <v>142</v>
      </c>
      <c r="I1634" s="71" t="s">
        <v>140</v>
      </c>
      <c r="J1634" s="53">
        <f t="shared" si="834"/>
        <v>460000</v>
      </c>
      <c r="K1634" s="63">
        <f t="shared" ref="K1634:K1639" si="838">(J1634/(F1634/11*10))</f>
        <v>0.32485875706214684</v>
      </c>
      <c r="L1634" s="871" t="s">
        <v>1508</v>
      </c>
      <c r="M1634" s="468"/>
      <c r="N1634" s="664">
        <f t="shared" ref="N1634:N1640" si="839">A1634</f>
        <v>181218</v>
      </c>
      <c r="O1634" s="71" t="s">
        <v>145</v>
      </c>
      <c r="P1634" s="103" t="str">
        <f>(C1634)</f>
        <v>ENGAGE 30WEB(883*552)</v>
      </c>
      <c r="Q1634" s="71">
        <f t="shared" si="833"/>
        <v>400</v>
      </c>
      <c r="R1634" s="102">
        <v>2390</v>
      </c>
      <c r="S1634" s="102">
        <f>(R1634*D1634)*1.1</f>
        <v>1051600</v>
      </c>
      <c r="T1634" s="102">
        <f>(R1634*Q1634)</f>
        <v>956000</v>
      </c>
      <c r="U1634" s="71" t="str">
        <f t="shared" si="835"/>
        <v>O</v>
      </c>
      <c r="V1634" s="71"/>
      <c r="W1634" s="474">
        <f t="shared" ref="W1634:W1639" si="840">(G1634-T1634)</f>
        <v>460000</v>
      </c>
      <c r="X1634" s="71"/>
      <c r="Y1634" s="71"/>
    </row>
    <row r="1635" spans="1:25" ht="30" hidden="1" customHeight="1" x14ac:dyDescent="0.25">
      <c r="A1635" s="82">
        <v>181218</v>
      </c>
      <c r="B1635" s="664" t="s">
        <v>1051</v>
      </c>
      <c r="C1635" s="67" t="s">
        <v>1386</v>
      </c>
      <c r="D1635" s="71">
        <v>10</v>
      </c>
      <c r="E1635" s="102">
        <v>54500</v>
      </c>
      <c r="F1635" s="102">
        <f t="shared" si="836"/>
        <v>599500</v>
      </c>
      <c r="G1635" s="102">
        <f t="shared" si="837"/>
        <v>545000</v>
      </c>
      <c r="H1635" s="690" t="s">
        <v>142</v>
      </c>
      <c r="I1635" s="71" t="s">
        <v>140</v>
      </c>
      <c r="J1635" s="53">
        <f t="shared" si="834"/>
        <v>195000</v>
      </c>
      <c r="K1635" s="63">
        <f t="shared" si="838"/>
        <v>0.3577981651376147</v>
      </c>
      <c r="L1635" s="871" t="s">
        <v>1508</v>
      </c>
      <c r="M1635" s="468"/>
      <c r="N1635" s="664">
        <f t="shared" si="839"/>
        <v>181218</v>
      </c>
      <c r="O1635" s="71" t="s">
        <v>145</v>
      </c>
      <c r="P1635" s="103" t="str">
        <f>C1635</f>
        <v>THR200(20L)보충액</v>
      </c>
      <c r="Q1635" s="71">
        <f t="shared" si="833"/>
        <v>10</v>
      </c>
      <c r="R1635" s="102">
        <v>35000</v>
      </c>
      <c r="S1635" s="102">
        <f>R1635*Q1635*1.1</f>
        <v>385000.00000000006</v>
      </c>
      <c r="T1635" s="102">
        <f>R1635*Q1635</f>
        <v>350000</v>
      </c>
      <c r="U1635" s="71" t="str">
        <f t="shared" si="835"/>
        <v>O</v>
      </c>
      <c r="V1635" s="71"/>
      <c r="W1635" s="474">
        <f t="shared" si="840"/>
        <v>195000</v>
      </c>
      <c r="X1635" s="71"/>
      <c r="Y1635" s="71"/>
    </row>
    <row r="1636" spans="1:25" ht="30" hidden="1" customHeight="1" x14ac:dyDescent="0.25">
      <c r="A1636" s="82">
        <v>181218</v>
      </c>
      <c r="B1636" s="664" t="s">
        <v>1051</v>
      </c>
      <c r="C1636" s="71" t="s">
        <v>1387</v>
      </c>
      <c r="D1636" s="71">
        <v>5</v>
      </c>
      <c r="E1636" s="102">
        <v>54500</v>
      </c>
      <c r="F1636" s="102">
        <f t="shared" si="836"/>
        <v>299750</v>
      </c>
      <c r="G1636" s="102">
        <f t="shared" si="837"/>
        <v>272500</v>
      </c>
      <c r="H1636" s="690" t="s">
        <v>142</v>
      </c>
      <c r="I1636" s="71" t="s">
        <v>140</v>
      </c>
      <c r="J1636" s="53">
        <f t="shared" si="834"/>
        <v>97500</v>
      </c>
      <c r="K1636" s="63">
        <f t="shared" si="838"/>
        <v>0.3577981651376147</v>
      </c>
      <c r="L1636" s="871" t="s">
        <v>1508</v>
      </c>
      <c r="M1636" s="468"/>
      <c r="N1636" s="664">
        <f t="shared" si="839"/>
        <v>181218</v>
      </c>
      <c r="O1636" s="71" t="s">
        <v>145</v>
      </c>
      <c r="P1636" s="103" t="str">
        <f>(C1636)</f>
        <v>THD200(20L)현상액</v>
      </c>
      <c r="Q1636" s="71">
        <f t="shared" si="833"/>
        <v>5</v>
      </c>
      <c r="R1636" s="102">
        <v>35000</v>
      </c>
      <c r="S1636" s="102">
        <f>(R1636*D1636)*1.1</f>
        <v>192500.00000000003</v>
      </c>
      <c r="T1636" s="102">
        <f>(R1636*Q1636)</f>
        <v>175000</v>
      </c>
      <c r="U1636" s="71" t="str">
        <f t="shared" si="835"/>
        <v>O</v>
      </c>
      <c r="V1636" s="71"/>
      <c r="W1636" s="474">
        <f t="shared" si="840"/>
        <v>97500</v>
      </c>
      <c r="X1636" s="71"/>
      <c r="Y1636" s="71"/>
    </row>
    <row r="1637" spans="1:25" s="209" customFormat="1" ht="30" hidden="1" customHeight="1" x14ac:dyDescent="0.25">
      <c r="A1637" s="82">
        <v>181218</v>
      </c>
      <c r="B1637" s="664" t="s">
        <v>445</v>
      </c>
      <c r="C1637" s="71" t="s">
        <v>277</v>
      </c>
      <c r="D1637" s="71">
        <v>7</v>
      </c>
      <c r="E1637" s="102">
        <v>172000</v>
      </c>
      <c r="F1637" s="102">
        <f t="shared" si="836"/>
        <v>1324400</v>
      </c>
      <c r="G1637" s="102">
        <f t="shared" si="837"/>
        <v>1204000</v>
      </c>
      <c r="H1637" s="690" t="s">
        <v>173</v>
      </c>
      <c r="I1637" s="71" t="s">
        <v>108</v>
      </c>
      <c r="J1637" s="53">
        <f>(G1637-(VLOOKUP(C1637,Price!B:D,3,FALSE)*D1637))</f>
        <v>399000</v>
      </c>
      <c r="K1637" s="63">
        <f t="shared" si="838"/>
        <v>0.33139534883720928</v>
      </c>
      <c r="L1637" s="871" t="s">
        <v>1508</v>
      </c>
      <c r="M1637" s="468"/>
      <c r="N1637" s="664">
        <f t="shared" si="839"/>
        <v>181218</v>
      </c>
      <c r="O1637" s="71" t="s">
        <v>150</v>
      </c>
      <c r="P1637" s="103" t="str">
        <f>C1637</f>
        <v>윤전용 세척제(Web 504)</v>
      </c>
      <c r="Q1637" s="71">
        <f t="shared" si="833"/>
        <v>7</v>
      </c>
      <c r="R1637" s="102">
        <v>115000</v>
      </c>
      <c r="S1637" s="102">
        <f>(R1637*D1637)*1.1</f>
        <v>885500.00000000012</v>
      </c>
      <c r="T1637" s="102">
        <f>(R1637*Q1637)</f>
        <v>805000</v>
      </c>
      <c r="U1637" s="71" t="str">
        <f t="shared" si="835"/>
        <v>O</v>
      </c>
      <c r="V1637" s="71"/>
      <c r="W1637" s="474">
        <f t="shared" si="840"/>
        <v>399000</v>
      </c>
      <c r="X1637" s="71"/>
      <c r="Y1637" s="71"/>
    </row>
    <row r="1638" spans="1:25" s="209" customFormat="1" ht="30" hidden="1" customHeight="1" x14ac:dyDescent="0.2">
      <c r="A1638" s="82">
        <v>181218</v>
      </c>
      <c r="B1638" s="664" t="s">
        <v>445</v>
      </c>
      <c r="C1638" s="71" t="s">
        <v>231</v>
      </c>
      <c r="D1638" s="71">
        <v>10</v>
      </c>
      <c r="E1638" s="102">
        <v>120000</v>
      </c>
      <c r="F1638" s="163">
        <f t="shared" si="836"/>
        <v>1320000</v>
      </c>
      <c r="G1638" s="163">
        <f t="shared" si="837"/>
        <v>1200000</v>
      </c>
      <c r="H1638" s="165" t="s">
        <v>172</v>
      </c>
      <c r="I1638" s="71" t="s">
        <v>109</v>
      </c>
      <c r="J1638" s="53">
        <f>(G1638-(VLOOKUP(C1638,Price!B:D,3,FALSE)*D1638))</f>
        <v>80000</v>
      </c>
      <c r="K1638" s="63">
        <f t="shared" si="838"/>
        <v>6.6666666666666666E-2</v>
      </c>
      <c r="L1638" s="871" t="s">
        <v>1508</v>
      </c>
      <c r="M1638" s="468"/>
      <c r="N1638" s="664">
        <f t="shared" si="839"/>
        <v>181218</v>
      </c>
      <c r="O1638" s="71" t="s">
        <v>151</v>
      </c>
      <c r="P1638" s="103" t="str">
        <f>(C1638)</f>
        <v>Blanket(990*725)</v>
      </c>
      <c r="Q1638" s="71">
        <f t="shared" si="833"/>
        <v>10</v>
      </c>
      <c r="R1638" s="102">
        <v>112000</v>
      </c>
      <c r="S1638" s="102">
        <f>(R1638*D1638)*1.1</f>
        <v>1232000</v>
      </c>
      <c r="T1638" s="102">
        <f>(R1638*Q1638)</f>
        <v>1120000</v>
      </c>
      <c r="U1638" s="71" t="str">
        <f t="shared" si="835"/>
        <v>O</v>
      </c>
      <c r="V1638" s="71"/>
      <c r="W1638" s="474">
        <f t="shared" si="840"/>
        <v>80000</v>
      </c>
      <c r="X1638" s="71"/>
      <c r="Y1638" s="71"/>
    </row>
    <row r="1639" spans="1:25" ht="30" hidden="1" customHeight="1" x14ac:dyDescent="0.25">
      <c r="A1639" s="82">
        <v>181219</v>
      </c>
      <c r="B1639" s="664" t="s">
        <v>446</v>
      </c>
      <c r="C1639" s="71" t="s">
        <v>1144</v>
      </c>
      <c r="D1639" s="71">
        <v>10</v>
      </c>
      <c r="E1639" s="102">
        <v>110000</v>
      </c>
      <c r="F1639" s="102">
        <f t="shared" si="836"/>
        <v>1210000</v>
      </c>
      <c r="G1639" s="102">
        <f t="shared" si="837"/>
        <v>1100000</v>
      </c>
      <c r="H1639" s="690" t="s">
        <v>173</v>
      </c>
      <c r="I1639" s="71" t="s">
        <v>142</v>
      </c>
      <c r="J1639" s="53">
        <f>G1639-T1639</f>
        <v>190000</v>
      </c>
      <c r="K1639" s="63">
        <f t="shared" si="838"/>
        <v>0.17272727272727273</v>
      </c>
      <c r="L1639" s="871" t="s">
        <v>1508</v>
      </c>
      <c r="M1639" s="468"/>
      <c r="N1639" s="664">
        <f t="shared" si="839"/>
        <v>181219</v>
      </c>
      <c r="O1639" s="71" t="s">
        <v>150</v>
      </c>
      <c r="P1639" s="103" t="str">
        <f>C1639</f>
        <v>실리콘 에멀전</v>
      </c>
      <c r="Q1639" s="71">
        <f t="shared" si="833"/>
        <v>10</v>
      </c>
      <c r="R1639" s="102">
        <v>91000</v>
      </c>
      <c r="S1639" s="102">
        <f>R1639*Q1639*1.1</f>
        <v>1001000.0000000001</v>
      </c>
      <c r="T1639" s="102">
        <f>R1639*Q1639</f>
        <v>910000</v>
      </c>
      <c r="U1639" s="71" t="str">
        <f t="shared" si="835"/>
        <v>O</v>
      </c>
      <c r="V1639" s="71"/>
      <c r="W1639" s="474">
        <f t="shared" si="840"/>
        <v>190000</v>
      </c>
      <c r="X1639" s="71"/>
      <c r="Y1639" s="71"/>
    </row>
    <row r="1640" spans="1:25" ht="30" hidden="1" customHeight="1" x14ac:dyDescent="0.25">
      <c r="A1640" s="82">
        <v>181219</v>
      </c>
      <c r="B1640" s="664" t="s">
        <v>763</v>
      </c>
      <c r="C1640" s="71" t="s">
        <v>114</v>
      </c>
      <c r="D1640" s="71">
        <v>35</v>
      </c>
      <c r="E1640" s="102">
        <v>20000</v>
      </c>
      <c r="F1640" s="102">
        <f t="shared" si="836"/>
        <v>770000.00000000012</v>
      </c>
      <c r="G1640" s="102">
        <f t="shared" si="837"/>
        <v>700000</v>
      </c>
      <c r="H1640" s="690" t="s">
        <v>1431</v>
      </c>
      <c r="I1640" s="71"/>
      <c r="J1640" s="53">
        <f>G1640-T1640</f>
        <v>385000</v>
      </c>
      <c r="K1640" s="63">
        <f>(J1640/(F1640/11*10))</f>
        <v>0.54999999999999993</v>
      </c>
      <c r="L1640" s="871" t="s">
        <v>1508</v>
      </c>
      <c r="M1640" s="468"/>
      <c r="N1640" s="664">
        <f t="shared" si="839"/>
        <v>181219</v>
      </c>
      <c r="O1640" s="71" t="s">
        <v>1431</v>
      </c>
      <c r="P1640" s="103" t="str">
        <f>C1640</f>
        <v>스트리퍼</v>
      </c>
      <c r="Q1640" s="71">
        <v>35</v>
      </c>
      <c r="R1640" s="102">
        <v>9000</v>
      </c>
      <c r="S1640" s="102">
        <f>(R1640*D1640)*1.1</f>
        <v>346500</v>
      </c>
      <c r="T1640" s="102">
        <f>(R1640*Q1640)</f>
        <v>315000</v>
      </c>
      <c r="U1640" s="71" t="str">
        <f t="shared" si="835"/>
        <v>X</v>
      </c>
      <c r="V1640" s="71"/>
      <c r="W1640" s="474"/>
      <c r="X1640" s="71"/>
      <c r="Y1640" s="71"/>
    </row>
    <row r="1641" spans="1:25" ht="30" hidden="1" customHeight="1" x14ac:dyDescent="0.25">
      <c r="A1641" s="82">
        <v>181219</v>
      </c>
      <c r="B1641" s="664" t="s">
        <v>567</v>
      </c>
      <c r="C1641" s="71" t="s">
        <v>123</v>
      </c>
      <c r="D1641" s="71">
        <v>10</v>
      </c>
      <c r="E1641" s="102">
        <v>40000</v>
      </c>
      <c r="F1641" s="102">
        <f t="shared" si="836"/>
        <v>440000.00000000006</v>
      </c>
      <c r="G1641" s="102">
        <f t="shared" si="837"/>
        <v>400000</v>
      </c>
      <c r="H1641" s="1010" t="s">
        <v>39</v>
      </c>
      <c r="I1641" s="71"/>
      <c r="J1641" s="53">
        <f>(G1641-(VLOOKUP(C1641,Price!B:D,3,FALSE)*D1641))</f>
        <v>175390</v>
      </c>
      <c r="K1641" s="63">
        <f>(J1641/(F1641/11*10))</f>
        <v>0.43847499999999995</v>
      </c>
      <c r="L1641" s="871" t="s">
        <v>1508</v>
      </c>
      <c r="M1641" s="468"/>
      <c r="N1641" s="664">
        <f>A1641</f>
        <v>181219</v>
      </c>
      <c r="O1641" s="991" t="s">
        <v>39</v>
      </c>
      <c r="P1641" s="103" t="str">
        <f>C1641</f>
        <v>필터백</v>
      </c>
      <c r="Q1641" s="71">
        <f>D1641</f>
        <v>10</v>
      </c>
      <c r="R1641" s="102">
        <v>22054</v>
      </c>
      <c r="S1641" s="102">
        <f>R1641*Q1641*1.1</f>
        <v>242594.00000000003</v>
      </c>
      <c r="T1641" s="102">
        <f>R1641*Q1641</f>
        <v>220540</v>
      </c>
      <c r="U1641" s="71" t="str">
        <f t="shared" si="835"/>
        <v>X</v>
      </c>
      <c r="V1641" s="71"/>
      <c r="W1641" s="474">
        <f>(G1641-T1641)</f>
        <v>179460</v>
      </c>
      <c r="X1641" s="71"/>
      <c r="Y1641" s="71"/>
    </row>
    <row r="1642" spans="1:25" s="209" customFormat="1" ht="30" hidden="1" customHeight="1" x14ac:dyDescent="0.25">
      <c r="A1642" s="82">
        <v>181219</v>
      </c>
      <c r="B1642" s="664" t="s">
        <v>567</v>
      </c>
      <c r="C1642" s="71" t="s">
        <v>236</v>
      </c>
      <c r="D1642" s="71">
        <v>10</v>
      </c>
      <c r="E1642" s="102">
        <v>65000</v>
      </c>
      <c r="F1642" s="102">
        <f t="shared" si="836"/>
        <v>715000</v>
      </c>
      <c r="G1642" s="102">
        <f t="shared" si="837"/>
        <v>650000</v>
      </c>
      <c r="H1642" s="690" t="s">
        <v>173</v>
      </c>
      <c r="I1642" s="71" t="s">
        <v>142</v>
      </c>
      <c r="J1642" s="53">
        <f>(G1642-(VLOOKUP(C1642,Price!B:D,3,FALSE)*D1642))</f>
        <v>150000</v>
      </c>
      <c r="K1642" s="63">
        <f>(J1642/(F1642/11*10))</f>
        <v>0.23076923076923078</v>
      </c>
      <c r="L1642" s="871" t="s">
        <v>1508</v>
      </c>
      <c r="M1642" s="468"/>
      <c r="N1642" s="664">
        <f>A1642</f>
        <v>181219</v>
      </c>
      <c r="O1642" s="71" t="s">
        <v>153</v>
      </c>
      <c r="P1642" s="103" t="str">
        <f>(C1642)</f>
        <v>아스테이지(국전)</v>
      </c>
      <c r="Q1642" s="71">
        <f>D1642</f>
        <v>10</v>
      </c>
      <c r="R1642" s="102">
        <v>50000</v>
      </c>
      <c r="S1642" s="102">
        <f>(R1642*D1642)*1.1</f>
        <v>550000</v>
      </c>
      <c r="T1642" s="102">
        <f>(R1642*Q1642)</f>
        <v>500000</v>
      </c>
      <c r="U1642" s="71" t="str">
        <f t="shared" si="835"/>
        <v>O</v>
      </c>
      <c r="V1642" s="71"/>
      <c r="W1642" s="474">
        <f>(G1642-T1642)</f>
        <v>150000</v>
      </c>
      <c r="X1642" s="71"/>
      <c r="Y1642" s="71"/>
    </row>
    <row r="1643" spans="1:25" ht="30" hidden="1" customHeight="1" x14ac:dyDescent="0.25">
      <c r="A1643" s="82">
        <v>181220</v>
      </c>
      <c r="B1643" s="664" t="s">
        <v>1051</v>
      </c>
      <c r="C1643" s="71" t="s">
        <v>1294</v>
      </c>
      <c r="D1643" s="71">
        <v>1200</v>
      </c>
      <c r="E1643" s="102">
        <v>5910</v>
      </c>
      <c r="F1643" s="102">
        <f>(E1643*D1643)*1.1</f>
        <v>7801200.0000000009</v>
      </c>
      <c r="G1643" s="102">
        <f>(E1643*D1643)</f>
        <v>7092000</v>
      </c>
      <c r="H1643" s="690" t="s">
        <v>142</v>
      </c>
      <c r="I1643" s="71" t="s">
        <v>140</v>
      </c>
      <c r="J1643" s="53">
        <f>G1643-T1643</f>
        <v>2292000</v>
      </c>
      <c r="K1643" s="63">
        <f t="shared" ref="K1643:K1648" si="841">(J1643/(F1643/11*10))</f>
        <v>0.32318104906937389</v>
      </c>
      <c r="L1643" s="871" t="s">
        <v>1508</v>
      </c>
      <c r="M1643" s="468"/>
      <c r="N1643" s="664">
        <f t="shared" ref="N1643:N1650" si="842">A1643</f>
        <v>181220</v>
      </c>
      <c r="O1643" s="71" t="s">
        <v>145</v>
      </c>
      <c r="P1643" s="103" t="str">
        <f>(C1643)</f>
        <v>ENGAGE 1030*790</v>
      </c>
      <c r="Q1643" s="71">
        <f t="shared" ref="Q1643:Q1648" si="843">D1643</f>
        <v>1200</v>
      </c>
      <c r="R1643" s="102">
        <v>4000</v>
      </c>
      <c r="S1643" s="102">
        <f>(R1643*D1643)*1.1</f>
        <v>5280000</v>
      </c>
      <c r="T1643" s="102">
        <f>(R1643*Q1643)</f>
        <v>4800000</v>
      </c>
      <c r="U1643" s="71" t="str">
        <f t="shared" si="835"/>
        <v>X</v>
      </c>
      <c r="V1643" s="71"/>
      <c r="W1643" s="474"/>
      <c r="X1643" s="71"/>
      <c r="Y1643" s="71"/>
    </row>
    <row r="1644" spans="1:25" ht="30" hidden="1" customHeight="1" x14ac:dyDescent="0.25">
      <c r="A1644" s="82">
        <v>181220</v>
      </c>
      <c r="B1644" s="664" t="s">
        <v>1051</v>
      </c>
      <c r="C1644" s="71" t="s">
        <v>1383</v>
      </c>
      <c r="D1644" s="71">
        <v>800</v>
      </c>
      <c r="E1644" s="102">
        <v>6200</v>
      </c>
      <c r="F1644" s="102">
        <f t="shared" si="836"/>
        <v>5456000</v>
      </c>
      <c r="G1644" s="102">
        <f t="shared" si="837"/>
        <v>4960000</v>
      </c>
      <c r="H1644" s="690" t="s">
        <v>142</v>
      </c>
      <c r="I1644" s="71" t="s">
        <v>140</v>
      </c>
      <c r="J1644" s="53">
        <f>G1644-T1644</f>
        <v>1592000</v>
      </c>
      <c r="K1644" s="63">
        <f t="shared" si="841"/>
        <v>0.32096774193548389</v>
      </c>
      <c r="L1644" s="871" t="s">
        <v>1508</v>
      </c>
      <c r="M1644" s="468"/>
      <c r="N1644" s="664">
        <f t="shared" si="842"/>
        <v>181220</v>
      </c>
      <c r="O1644" s="71" t="s">
        <v>145</v>
      </c>
      <c r="P1644" s="103" t="str">
        <f>C1644</f>
        <v>ENGAGE 1055*811</v>
      </c>
      <c r="Q1644" s="71">
        <f t="shared" si="843"/>
        <v>800</v>
      </c>
      <c r="R1644" s="102">
        <v>4210</v>
      </c>
      <c r="S1644" s="102">
        <f>R1644*Q1644*1.1</f>
        <v>3704800.0000000005</v>
      </c>
      <c r="T1644" s="102">
        <f>R1644*Q1644</f>
        <v>3368000</v>
      </c>
      <c r="U1644" s="71"/>
      <c r="V1644" s="71"/>
      <c r="W1644" s="474">
        <f>(G1644-T1644)</f>
        <v>1592000</v>
      </c>
      <c r="X1644" s="71"/>
      <c r="Y1644" s="71"/>
    </row>
    <row r="1645" spans="1:25" ht="30" hidden="1" customHeight="1" x14ac:dyDescent="0.25">
      <c r="A1645" s="82">
        <v>181220</v>
      </c>
      <c r="B1645" s="664" t="s">
        <v>1051</v>
      </c>
      <c r="C1645" s="71" t="s">
        <v>1595</v>
      </c>
      <c r="D1645" s="71">
        <v>650</v>
      </c>
      <c r="E1645" s="102">
        <v>4440</v>
      </c>
      <c r="F1645" s="102">
        <f t="shared" si="836"/>
        <v>3174600.0000000005</v>
      </c>
      <c r="G1645" s="102">
        <f t="shared" si="837"/>
        <v>2886000</v>
      </c>
      <c r="H1645" s="690" t="s">
        <v>142</v>
      </c>
      <c r="I1645" s="71" t="s">
        <v>140</v>
      </c>
      <c r="J1645" s="53">
        <f>G1645-T1645</f>
        <v>825500</v>
      </c>
      <c r="K1645" s="63">
        <f t="shared" si="841"/>
        <v>0.286036036036036</v>
      </c>
      <c r="L1645" s="871" t="s">
        <v>1508</v>
      </c>
      <c r="M1645" s="468" t="s">
        <v>1596</v>
      </c>
      <c r="N1645" s="664">
        <f t="shared" si="842"/>
        <v>181220</v>
      </c>
      <c r="O1645" s="71" t="s">
        <v>145</v>
      </c>
      <c r="P1645" s="103" t="s">
        <v>1385</v>
      </c>
      <c r="Q1645" s="71">
        <f t="shared" si="843"/>
        <v>650</v>
      </c>
      <c r="R1645" s="102">
        <v>3170</v>
      </c>
      <c r="S1645" s="102">
        <f>R1645*Q1645*1.1</f>
        <v>2266550</v>
      </c>
      <c r="T1645" s="102">
        <f>R1645*Q1645</f>
        <v>2060500</v>
      </c>
      <c r="U1645" s="71" t="str">
        <f>IF(J1645=W1645,"O", "X")</f>
        <v>O</v>
      </c>
      <c r="V1645" s="71" t="s">
        <v>1597</v>
      </c>
      <c r="W1645" s="474">
        <f>(G1645-T1645)</f>
        <v>825500</v>
      </c>
      <c r="X1645" s="71"/>
      <c r="Y1645" s="71"/>
    </row>
    <row r="1646" spans="1:25" ht="30" hidden="1" customHeight="1" x14ac:dyDescent="0.25">
      <c r="A1646" s="82">
        <v>181220</v>
      </c>
      <c r="B1646" s="664" t="s">
        <v>545</v>
      </c>
      <c r="C1646" s="71" t="s">
        <v>1291</v>
      </c>
      <c r="D1646" s="71">
        <v>30</v>
      </c>
      <c r="E1646" s="102">
        <v>28500</v>
      </c>
      <c r="F1646" s="102">
        <f t="shared" si="836"/>
        <v>940500.00000000012</v>
      </c>
      <c r="G1646" s="102">
        <f t="shared" si="837"/>
        <v>855000</v>
      </c>
      <c r="H1646" s="690" t="s">
        <v>173</v>
      </c>
      <c r="I1646" s="71" t="s">
        <v>142</v>
      </c>
      <c r="J1646" s="53">
        <f>G1646-T1646</f>
        <v>225000</v>
      </c>
      <c r="K1646" s="63">
        <f t="shared" si="841"/>
        <v>0.26315789473684209</v>
      </c>
      <c r="L1646" s="871" t="s">
        <v>1508</v>
      </c>
      <c r="M1646" s="468"/>
      <c r="N1646" s="664">
        <f t="shared" si="842"/>
        <v>181220</v>
      </c>
      <c r="O1646" s="71" t="s">
        <v>1321</v>
      </c>
      <c r="P1646" s="103" t="str">
        <f t="shared" ref="P1646:P1651" si="844">C1646</f>
        <v>메가미 레듀사(1kg)</v>
      </c>
      <c r="Q1646" s="71">
        <f t="shared" si="843"/>
        <v>30</v>
      </c>
      <c r="R1646" s="102">
        <v>21000</v>
      </c>
      <c r="S1646" s="102">
        <f>R1646*Q1646*1.1</f>
        <v>693000</v>
      </c>
      <c r="T1646" s="102">
        <f>R1646*Q1646</f>
        <v>630000</v>
      </c>
      <c r="U1646" s="71"/>
      <c r="V1646" s="71"/>
      <c r="W1646" s="474">
        <f>(G1646-T1646)</f>
        <v>225000</v>
      </c>
      <c r="X1646" s="71"/>
      <c r="Y1646" s="71"/>
    </row>
    <row r="1647" spans="1:25" ht="30" hidden="1" customHeight="1" x14ac:dyDescent="0.25">
      <c r="A1647" s="82">
        <v>181220</v>
      </c>
      <c r="B1647" s="664" t="s">
        <v>545</v>
      </c>
      <c r="C1647" s="71" t="s">
        <v>952</v>
      </c>
      <c r="D1647" s="71">
        <v>1</v>
      </c>
      <c r="E1647" s="102">
        <v>630000</v>
      </c>
      <c r="F1647" s="102">
        <f t="shared" si="836"/>
        <v>693000</v>
      </c>
      <c r="G1647" s="102">
        <f t="shared" si="837"/>
        <v>630000</v>
      </c>
      <c r="H1647" s="690" t="s">
        <v>173</v>
      </c>
      <c r="I1647" s="71" t="s">
        <v>108</v>
      </c>
      <c r="J1647" s="53">
        <f>(G1647-(VLOOKUP(C1647,Price!B:D,3,FALSE)*D1647))</f>
        <v>180000</v>
      </c>
      <c r="K1647" s="63">
        <f t="shared" si="841"/>
        <v>0.2857142857142857</v>
      </c>
      <c r="L1647" s="871" t="s">
        <v>1508</v>
      </c>
      <c r="M1647" s="468"/>
      <c r="N1647" s="664">
        <f t="shared" si="842"/>
        <v>181220</v>
      </c>
      <c r="O1647" s="71" t="s">
        <v>599</v>
      </c>
      <c r="P1647" s="103" t="str">
        <f t="shared" si="844"/>
        <v>점보롤 세정포</v>
      </c>
      <c r="Q1647" s="71">
        <f t="shared" si="843"/>
        <v>1</v>
      </c>
      <c r="R1647" s="102">
        <v>440000</v>
      </c>
      <c r="S1647" s="102">
        <f>R1647*Q1647*1.1</f>
        <v>484000.00000000006</v>
      </c>
      <c r="T1647" s="102">
        <f>R1647*Q1647</f>
        <v>440000</v>
      </c>
      <c r="U1647" s="71" t="str">
        <f>IF(J1647=W1647,"O", "X")</f>
        <v>X</v>
      </c>
      <c r="V1647" s="71" t="s">
        <v>1228</v>
      </c>
      <c r="W1647" s="474">
        <f>(G1647-T1647)</f>
        <v>190000</v>
      </c>
      <c r="X1647" s="71"/>
      <c r="Y1647" s="71"/>
    </row>
    <row r="1648" spans="1:25" ht="30" hidden="1" customHeight="1" x14ac:dyDescent="0.25">
      <c r="A1648" s="82">
        <v>181220</v>
      </c>
      <c r="B1648" s="664" t="s">
        <v>545</v>
      </c>
      <c r="C1648" s="71" t="s">
        <v>1441</v>
      </c>
      <c r="D1648" s="71">
        <v>2</v>
      </c>
      <c r="E1648" s="102">
        <v>210000</v>
      </c>
      <c r="F1648" s="102">
        <f t="shared" si="836"/>
        <v>462000.00000000006</v>
      </c>
      <c r="G1648" s="102">
        <f t="shared" si="837"/>
        <v>420000</v>
      </c>
      <c r="H1648" s="690" t="s">
        <v>173</v>
      </c>
      <c r="I1648" s="71" t="s">
        <v>142</v>
      </c>
      <c r="J1648" s="53">
        <f>G1648-T1648</f>
        <v>90000</v>
      </c>
      <c r="K1648" s="63">
        <f t="shared" si="841"/>
        <v>0.21428571428571425</v>
      </c>
      <c r="L1648" s="871" t="s">
        <v>1508</v>
      </c>
      <c r="M1648" s="468"/>
      <c r="N1648" s="664">
        <f t="shared" si="842"/>
        <v>181220</v>
      </c>
      <c r="O1648" s="71" t="s">
        <v>1555</v>
      </c>
      <c r="P1648" s="103" t="str">
        <f t="shared" si="844"/>
        <v xml:space="preserve"> OKS340 체인구리스</v>
      </c>
      <c r="Q1648" s="71">
        <f t="shared" si="843"/>
        <v>2</v>
      </c>
      <c r="R1648" s="102">
        <v>165000</v>
      </c>
      <c r="S1648" s="102">
        <f>R1648*Q1648*1.1</f>
        <v>363000.00000000006</v>
      </c>
      <c r="T1648" s="102">
        <f>R1648*Q1648</f>
        <v>330000</v>
      </c>
      <c r="U1648" s="71" t="str">
        <f>IF(J1648=W1648,"O", "X")</f>
        <v>X</v>
      </c>
      <c r="V1648" s="71"/>
      <c r="W1648" s="474"/>
      <c r="X1648" s="71"/>
      <c r="Y1648" s="71"/>
    </row>
    <row r="1649" spans="1:25" ht="30" hidden="1" customHeight="1" x14ac:dyDescent="0.25">
      <c r="A1649" s="82">
        <v>181220</v>
      </c>
      <c r="B1649" s="664" t="s">
        <v>1593</v>
      </c>
      <c r="C1649" s="71" t="s">
        <v>1594</v>
      </c>
      <c r="D1649" s="71">
        <v>1</v>
      </c>
      <c r="E1649" s="102">
        <v>7360100</v>
      </c>
      <c r="F1649" s="102">
        <f t="shared" si="836"/>
        <v>8096110.0000000009</v>
      </c>
      <c r="G1649" s="102">
        <f t="shared" si="837"/>
        <v>7360100</v>
      </c>
      <c r="H1649" s="690" t="s">
        <v>142</v>
      </c>
      <c r="I1649" s="71" t="s">
        <v>1431</v>
      </c>
      <c r="J1649" s="53"/>
      <c r="K1649" s="63"/>
      <c r="L1649" s="871" t="s">
        <v>1508</v>
      </c>
      <c r="M1649" s="468"/>
      <c r="N1649" s="664">
        <f t="shared" si="842"/>
        <v>181220</v>
      </c>
      <c r="O1649" s="71" t="s">
        <v>1431</v>
      </c>
      <c r="P1649" s="103" t="str">
        <f t="shared" si="844"/>
        <v>유압전자변 부품 SET</v>
      </c>
      <c r="Q1649" s="71">
        <v>1</v>
      </c>
      <c r="R1649" s="102"/>
      <c r="S1649" s="102">
        <f>(R1649*D1649)*1.1</f>
        <v>0</v>
      </c>
      <c r="T1649" s="102">
        <f>(R1649*Q1649)</f>
        <v>0</v>
      </c>
      <c r="U1649" s="71"/>
      <c r="V1649" s="71"/>
      <c r="W1649" s="474"/>
      <c r="X1649" s="71"/>
      <c r="Y1649" s="71"/>
    </row>
    <row r="1650" spans="1:25" ht="30" customHeight="1" x14ac:dyDescent="0.25">
      <c r="A1650" s="82">
        <v>181221</v>
      </c>
      <c r="B1650" s="664" t="s">
        <v>422</v>
      </c>
      <c r="C1650" s="71" t="s">
        <v>808</v>
      </c>
      <c r="D1650" s="71">
        <v>1</v>
      </c>
      <c r="E1650" s="102">
        <v>1250000</v>
      </c>
      <c r="F1650" s="102">
        <f t="shared" si="836"/>
        <v>1375000</v>
      </c>
      <c r="G1650" s="102">
        <f t="shared" si="837"/>
        <v>1250000</v>
      </c>
      <c r="H1650" s="690" t="s">
        <v>173</v>
      </c>
      <c r="I1650" s="71" t="s">
        <v>142</v>
      </c>
      <c r="J1650" s="53">
        <f>G1650-T1650</f>
        <v>250000</v>
      </c>
      <c r="K1650" s="63">
        <f>(J1650/(F1650/11*10))</f>
        <v>0.2</v>
      </c>
      <c r="L1650" s="871" t="s">
        <v>1508</v>
      </c>
      <c r="M1650" s="468"/>
      <c r="N1650" s="664">
        <f t="shared" si="842"/>
        <v>181221</v>
      </c>
      <c r="O1650" s="71" t="s">
        <v>150</v>
      </c>
      <c r="P1650" s="103" t="str">
        <f t="shared" si="844"/>
        <v>매엽 원형 집진필터</v>
      </c>
      <c r="Q1650" s="71">
        <v>1</v>
      </c>
      <c r="R1650" s="102">
        <v>1000000</v>
      </c>
      <c r="S1650" s="102">
        <f>(R1650*D1650)*1.1</f>
        <v>1100000</v>
      </c>
      <c r="T1650" s="102">
        <f>(R1650*Q1650)</f>
        <v>1000000</v>
      </c>
      <c r="U1650" s="71"/>
      <c r="V1650" s="71"/>
      <c r="W1650" s="474"/>
      <c r="X1650" s="71"/>
      <c r="Y1650" s="71"/>
    </row>
    <row r="1651" spans="1:25" ht="30" customHeight="1" x14ac:dyDescent="0.25">
      <c r="A1651" s="82">
        <v>181221</v>
      </c>
      <c r="B1651" s="664" t="s">
        <v>422</v>
      </c>
      <c r="C1651" s="71" t="s">
        <v>129</v>
      </c>
      <c r="D1651" s="71">
        <v>7</v>
      </c>
      <c r="E1651" s="102">
        <v>272000</v>
      </c>
      <c r="F1651" s="102">
        <f t="shared" si="836"/>
        <v>2094400.0000000002</v>
      </c>
      <c r="G1651" s="102">
        <f t="shared" si="837"/>
        <v>1904000</v>
      </c>
      <c r="H1651" s="690" t="s">
        <v>173</v>
      </c>
      <c r="I1651" s="71" t="s">
        <v>108</v>
      </c>
      <c r="J1651" s="53">
        <f>(G1651-(VLOOKUP(C1651,Price!B:D,3,FALSE)*D1651))</f>
        <v>448000</v>
      </c>
      <c r="K1651" s="63">
        <f t="shared" ref="K1651:K1657" si="845">(J1651/(F1651/11*10))</f>
        <v>0.23529411764705879</v>
      </c>
      <c r="L1651" s="871" t="s">
        <v>1508</v>
      </c>
      <c r="M1651" s="468"/>
      <c r="N1651" s="664">
        <f t="shared" ref="N1651:N1666" si="846">A1651</f>
        <v>181221</v>
      </c>
      <c r="O1651" s="71" t="s">
        <v>149</v>
      </c>
      <c r="P1651" s="103" t="str">
        <f t="shared" si="844"/>
        <v>세정포-XL106</v>
      </c>
      <c r="Q1651" s="71">
        <f>D1651</f>
        <v>7</v>
      </c>
      <c r="R1651" s="102">
        <v>208000</v>
      </c>
      <c r="S1651" s="102">
        <f>R1651*Q1651*1.1</f>
        <v>1601600.0000000002</v>
      </c>
      <c r="T1651" s="102">
        <f>R1651*Q1651</f>
        <v>1456000</v>
      </c>
      <c r="U1651" s="71" t="str">
        <f t="shared" ref="U1651:U1669" si="847">IF(J1651=W1651,"O", "X")</f>
        <v>O</v>
      </c>
      <c r="V1651" s="71"/>
      <c r="W1651" s="474">
        <f t="shared" ref="W1651:W1666" si="848">(G1651-T1651)</f>
        <v>448000</v>
      </c>
      <c r="X1651" s="71"/>
      <c r="Y1651" s="71"/>
    </row>
    <row r="1652" spans="1:25" s="209" customFormat="1" ht="30" customHeight="1" x14ac:dyDescent="0.2">
      <c r="A1652" s="82">
        <v>181221</v>
      </c>
      <c r="B1652" s="664" t="s">
        <v>422</v>
      </c>
      <c r="C1652" s="71" t="s">
        <v>130</v>
      </c>
      <c r="D1652" s="71">
        <v>20</v>
      </c>
      <c r="E1652" s="102">
        <v>125000</v>
      </c>
      <c r="F1652" s="163">
        <f t="shared" si="836"/>
        <v>2750000</v>
      </c>
      <c r="G1652" s="163">
        <f t="shared" si="837"/>
        <v>2500000</v>
      </c>
      <c r="H1652" s="165" t="s">
        <v>172</v>
      </c>
      <c r="I1652" s="71" t="s">
        <v>109</v>
      </c>
      <c r="J1652" s="53">
        <f>(G1652-(VLOOKUP(C1652,Price!B:D,3,FALSE)*D1652))</f>
        <v>520000</v>
      </c>
      <c r="K1652" s="63">
        <f t="shared" si="845"/>
        <v>0.20799999999999999</v>
      </c>
      <c r="L1652" s="871" t="s">
        <v>1508</v>
      </c>
      <c r="M1652" s="468"/>
      <c r="N1652" s="664">
        <f t="shared" si="846"/>
        <v>181221</v>
      </c>
      <c r="O1652" s="71" t="s">
        <v>150</v>
      </c>
      <c r="P1652" s="103" t="str">
        <f>(C1652)</f>
        <v>XL106 Blanket(1077*885)</v>
      </c>
      <c r="Q1652" s="71">
        <f t="shared" ref="Q1652:Q1666" si="849">D1652</f>
        <v>20</v>
      </c>
      <c r="R1652" s="102">
        <v>99000</v>
      </c>
      <c r="S1652" s="102">
        <f>(R1652*D1652)*1.1</f>
        <v>2178000</v>
      </c>
      <c r="T1652" s="102">
        <f>(R1652*Q1652)</f>
        <v>1980000</v>
      </c>
      <c r="U1652" s="71" t="str">
        <f t="shared" si="847"/>
        <v>O</v>
      </c>
      <c r="V1652" s="71"/>
      <c r="W1652" s="474">
        <f t="shared" si="848"/>
        <v>520000</v>
      </c>
      <c r="X1652" s="71"/>
      <c r="Y1652" s="71"/>
    </row>
    <row r="1653" spans="1:25" ht="30" customHeight="1" x14ac:dyDescent="0.25">
      <c r="A1653" s="82">
        <v>181221</v>
      </c>
      <c r="B1653" s="664" t="s">
        <v>565</v>
      </c>
      <c r="C1653" s="71" t="s">
        <v>123</v>
      </c>
      <c r="D1653" s="71">
        <v>3</v>
      </c>
      <c r="E1653" s="102">
        <v>35000</v>
      </c>
      <c r="F1653" s="102">
        <f t="shared" si="836"/>
        <v>115500.00000000001</v>
      </c>
      <c r="G1653" s="102">
        <f t="shared" si="837"/>
        <v>105000</v>
      </c>
      <c r="H1653" s="1010" t="s">
        <v>39</v>
      </c>
      <c r="I1653" s="71"/>
      <c r="J1653" s="53">
        <f>(G1653-(VLOOKUP(C1653,Price!B:D,3,FALSE)*D1653))</f>
        <v>37617</v>
      </c>
      <c r="K1653" s="63">
        <f t="shared" si="845"/>
        <v>0.35825714285714283</v>
      </c>
      <c r="L1653" s="871" t="s">
        <v>1508</v>
      </c>
      <c r="M1653" s="468"/>
      <c r="N1653" s="664">
        <f t="shared" si="846"/>
        <v>181221</v>
      </c>
      <c r="O1653" s="991" t="s">
        <v>39</v>
      </c>
      <c r="P1653" s="103" t="str">
        <f>C1653</f>
        <v>필터백</v>
      </c>
      <c r="Q1653" s="71">
        <f t="shared" si="849"/>
        <v>3</v>
      </c>
      <c r="R1653" s="102">
        <v>22054</v>
      </c>
      <c r="S1653" s="102">
        <f>R1653*Q1653*1.1</f>
        <v>72778.200000000012</v>
      </c>
      <c r="T1653" s="102">
        <f>R1653*Q1653</f>
        <v>66162</v>
      </c>
      <c r="U1653" s="71" t="str">
        <f t="shared" si="847"/>
        <v>X</v>
      </c>
      <c r="V1653" s="71"/>
      <c r="W1653" s="474">
        <f t="shared" si="848"/>
        <v>38838</v>
      </c>
      <c r="X1653" s="71"/>
      <c r="Y1653" s="71"/>
    </row>
    <row r="1654" spans="1:25" ht="30" hidden="1" customHeight="1" x14ac:dyDescent="0.2">
      <c r="A1654" s="82">
        <v>181221</v>
      </c>
      <c r="B1654" s="664" t="s">
        <v>575</v>
      </c>
      <c r="C1654" s="71" t="s">
        <v>1388</v>
      </c>
      <c r="D1654" s="71">
        <v>3</v>
      </c>
      <c r="E1654" s="102">
        <v>185000</v>
      </c>
      <c r="F1654" s="163">
        <f t="shared" ref="F1654:F1673" si="850">(E1654*D1654)*1.1</f>
        <v>610500</v>
      </c>
      <c r="G1654" s="163">
        <f t="shared" ref="G1654:G1673" si="851">(E1654*D1654)</f>
        <v>555000</v>
      </c>
      <c r="H1654" s="690" t="s">
        <v>173</v>
      </c>
      <c r="I1654" s="71" t="s">
        <v>108</v>
      </c>
      <c r="J1654" s="53">
        <f>G1654-T1654</f>
        <v>277408.12048591545</v>
      </c>
      <c r="K1654" s="63">
        <f t="shared" si="845"/>
        <v>0.49983445132597382</v>
      </c>
      <c r="L1654" s="871" t="s">
        <v>1508</v>
      </c>
      <c r="M1654" s="468"/>
      <c r="N1654" s="664">
        <f t="shared" si="846"/>
        <v>181221</v>
      </c>
      <c r="O1654" s="71" t="s">
        <v>1443</v>
      </c>
      <c r="P1654" s="103" t="str">
        <f>C1654</f>
        <v>Flint 무알콜 윤전약물(Superaster)</v>
      </c>
      <c r="Q1654" s="71">
        <f t="shared" si="849"/>
        <v>3</v>
      </c>
      <c r="R1654" s="102">
        <v>53453.959838028175</v>
      </c>
      <c r="S1654" s="102">
        <f>(R1654*D1654)*1.1+117230*1.1</f>
        <v>305351.06746549299</v>
      </c>
      <c r="T1654" s="102">
        <f>(R1654*Q1654)+117230</f>
        <v>277591.87951408455</v>
      </c>
      <c r="U1654" s="71" t="str">
        <f t="shared" si="847"/>
        <v>O</v>
      </c>
      <c r="V1654" s="71"/>
      <c r="W1654" s="474">
        <f t="shared" si="848"/>
        <v>277408.12048591545</v>
      </c>
      <c r="X1654" s="71"/>
      <c r="Y1654" s="71"/>
    </row>
    <row r="1655" spans="1:25" ht="30" hidden="1" customHeight="1" x14ac:dyDescent="0.25">
      <c r="A1655" s="82">
        <v>181224</v>
      </c>
      <c r="B1655" s="664" t="s">
        <v>1051</v>
      </c>
      <c r="C1655" s="71" t="s">
        <v>951</v>
      </c>
      <c r="D1655" s="71">
        <v>500</v>
      </c>
      <c r="E1655" s="102">
        <v>3540</v>
      </c>
      <c r="F1655" s="102">
        <f t="shared" si="850"/>
        <v>1947000.0000000002</v>
      </c>
      <c r="G1655" s="102">
        <f t="shared" si="851"/>
        <v>1770000</v>
      </c>
      <c r="H1655" s="690" t="s">
        <v>142</v>
      </c>
      <c r="I1655" s="71" t="s">
        <v>140</v>
      </c>
      <c r="J1655" s="53">
        <f>G1655-T1655</f>
        <v>575000</v>
      </c>
      <c r="K1655" s="63">
        <f t="shared" si="845"/>
        <v>0.32485875706214684</v>
      </c>
      <c r="L1655" s="871" t="s">
        <v>1508</v>
      </c>
      <c r="M1655" s="468"/>
      <c r="N1655" s="664">
        <f t="shared" si="846"/>
        <v>181224</v>
      </c>
      <c r="O1655" s="71" t="s">
        <v>145</v>
      </c>
      <c r="P1655" s="103" t="str">
        <f>(C1655)</f>
        <v>ENGAGE 30WEB(883*552)</v>
      </c>
      <c r="Q1655" s="71">
        <f t="shared" si="849"/>
        <v>500</v>
      </c>
      <c r="R1655" s="102">
        <v>2390</v>
      </c>
      <c r="S1655" s="102">
        <f>(R1655*D1655)*1.1</f>
        <v>1314500</v>
      </c>
      <c r="T1655" s="102">
        <f>(R1655*Q1655)</f>
        <v>1195000</v>
      </c>
      <c r="U1655" s="71" t="str">
        <f t="shared" si="847"/>
        <v>O</v>
      </c>
      <c r="V1655" s="71"/>
      <c r="W1655" s="474">
        <f t="shared" si="848"/>
        <v>575000</v>
      </c>
      <c r="X1655" s="71"/>
      <c r="Y1655" s="71"/>
    </row>
    <row r="1656" spans="1:25" ht="30" hidden="1" customHeight="1" x14ac:dyDescent="0.25">
      <c r="A1656" s="82">
        <v>181224</v>
      </c>
      <c r="B1656" s="664" t="s">
        <v>1051</v>
      </c>
      <c r="C1656" s="71" t="s">
        <v>524</v>
      </c>
      <c r="D1656" s="71">
        <v>500</v>
      </c>
      <c r="E1656" s="102">
        <v>3720</v>
      </c>
      <c r="F1656" s="102">
        <f t="shared" si="850"/>
        <v>2046000.0000000002</v>
      </c>
      <c r="G1656" s="102">
        <f t="shared" si="851"/>
        <v>1860000</v>
      </c>
      <c r="H1656" s="690" t="s">
        <v>142</v>
      </c>
      <c r="I1656" s="71" t="s">
        <v>140</v>
      </c>
      <c r="J1656" s="53">
        <f>G1656-T1656</f>
        <v>600000</v>
      </c>
      <c r="K1656" s="63">
        <f t="shared" si="845"/>
        <v>0.32258064516129026</v>
      </c>
      <c r="L1656" s="871" t="s">
        <v>1508</v>
      </c>
      <c r="M1656" s="468"/>
      <c r="N1656" s="664">
        <f t="shared" si="846"/>
        <v>181224</v>
      </c>
      <c r="O1656" s="71" t="s">
        <v>145</v>
      </c>
      <c r="P1656" s="103" t="str">
        <f>C1656</f>
        <v>ENGAGE 900X570 - 27RO</v>
      </c>
      <c r="Q1656" s="71">
        <f t="shared" si="849"/>
        <v>500</v>
      </c>
      <c r="R1656" s="102">
        <v>2520</v>
      </c>
      <c r="S1656" s="102">
        <f>R1656*Q1656*1.1</f>
        <v>1386000</v>
      </c>
      <c r="T1656" s="102">
        <f>R1656*Q1656</f>
        <v>1260000</v>
      </c>
      <c r="U1656" s="71" t="str">
        <f t="shared" si="847"/>
        <v>O</v>
      </c>
      <c r="V1656" s="71"/>
      <c r="W1656" s="474">
        <f t="shared" si="848"/>
        <v>600000</v>
      </c>
      <c r="X1656" s="71"/>
      <c r="Y1656" s="71"/>
    </row>
    <row r="1657" spans="1:25" s="209" customFormat="1" ht="30" hidden="1" customHeight="1" x14ac:dyDescent="0.25">
      <c r="A1657" s="82">
        <v>181224</v>
      </c>
      <c r="B1657" s="664" t="s">
        <v>764</v>
      </c>
      <c r="C1657" s="71" t="s">
        <v>236</v>
      </c>
      <c r="D1657" s="71">
        <v>5</v>
      </c>
      <c r="E1657" s="102">
        <v>100000</v>
      </c>
      <c r="F1657" s="102">
        <f t="shared" si="850"/>
        <v>550000</v>
      </c>
      <c r="G1657" s="102">
        <f t="shared" si="851"/>
        <v>500000</v>
      </c>
      <c r="H1657" s="690" t="s">
        <v>173</v>
      </c>
      <c r="I1657" s="71" t="s">
        <v>142</v>
      </c>
      <c r="J1657" s="53">
        <f>(G1657-(VLOOKUP(C1657,Price!B:D,3,FALSE)*D1657))</f>
        <v>250000</v>
      </c>
      <c r="K1657" s="63">
        <f t="shared" si="845"/>
        <v>0.5</v>
      </c>
      <c r="L1657" s="871" t="s">
        <v>1508</v>
      </c>
      <c r="M1657" s="468"/>
      <c r="N1657" s="664">
        <f t="shared" si="846"/>
        <v>181224</v>
      </c>
      <c r="O1657" s="71" t="s">
        <v>153</v>
      </c>
      <c r="P1657" s="103" t="str">
        <f>C1657</f>
        <v>아스테이지(국전)</v>
      </c>
      <c r="Q1657" s="71">
        <f t="shared" si="849"/>
        <v>5</v>
      </c>
      <c r="R1657" s="102">
        <f>VLOOKUP(P1657,Price!B:D,3,FALSE)</f>
        <v>50000</v>
      </c>
      <c r="S1657" s="102">
        <f>R1657*Q1657*1.1</f>
        <v>275000</v>
      </c>
      <c r="T1657" s="102">
        <f>R1657*Q1657</f>
        <v>250000</v>
      </c>
      <c r="U1657" s="71" t="str">
        <f t="shared" si="847"/>
        <v>O</v>
      </c>
      <c r="V1657" s="71"/>
      <c r="W1657" s="474">
        <f t="shared" si="848"/>
        <v>250000</v>
      </c>
      <c r="X1657" s="71"/>
      <c r="Y1657" s="71"/>
    </row>
    <row r="1658" spans="1:25" ht="30" hidden="1" customHeight="1" x14ac:dyDescent="0.25">
      <c r="A1658" s="82">
        <v>181224</v>
      </c>
      <c r="B1658" s="664" t="s">
        <v>1061</v>
      </c>
      <c r="C1658" s="71" t="s">
        <v>616</v>
      </c>
      <c r="D1658" s="71">
        <v>200</v>
      </c>
      <c r="E1658" s="102">
        <v>6600</v>
      </c>
      <c r="F1658" s="102">
        <f t="shared" ref="F1658:F1665" si="852">(E1658*D1658)*1.1</f>
        <v>1452000.0000000002</v>
      </c>
      <c r="G1658" s="102">
        <f t="shared" ref="G1658:G1665" si="853">(E1658*D1658)</f>
        <v>1320000</v>
      </c>
      <c r="H1658" s="690" t="s">
        <v>142</v>
      </c>
      <c r="I1658" s="71" t="s">
        <v>144</v>
      </c>
      <c r="J1658" s="53">
        <f>(G1658-(VLOOKUP(C1658,Price!B:D,3,FALSE)*D1658))</f>
        <v>140000</v>
      </c>
      <c r="K1658" s="63">
        <f t="shared" ref="K1658:K1665" si="854">(J1658/(F1658/11*10))</f>
        <v>0.10606060606060604</v>
      </c>
      <c r="L1658" s="871" t="s">
        <v>1508</v>
      </c>
      <c r="M1658" s="468"/>
      <c r="N1658" s="664">
        <f>A1658</f>
        <v>181224</v>
      </c>
      <c r="O1658" s="71" t="s">
        <v>147</v>
      </c>
      <c r="P1658" s="103" t="str">
        <f t="shared" ref="P1658:P1665" si="855">C1658</f>
        <v>프리미어(먹)</v>
      </c>
      <c r="Q1658" s="71">
        <f t="shared" ref="Q1658:Q1665" si="856">D1658</f>
        <v>200</v>
      </c>
      <c r="R1658" s="102">
        <v>5900</v>
      </c>
      <c r="S1658" s="102">
        <f>R1658*Q1658*1.1</f>
        <v>1298000</v>
      </c>
      <c r="T1658" s="102">
        <f>R1658*Q1658</f>
        <v>1180000</v>
      </c>
      <c r="U1658" s="71" t="str">
        <f t="shared" si="847"/>
        <v>O</v>
      </c>
      <c r="V1658" s="71"/>
      <c r="W1658" s="474">
        <f t="shared" si="848"/>
        <v>140000</v>
      </c>
      <c r="X1658" s="71"/>
      <c r="Y1658" s="71"/>
    </row>
    <row r="1659" spans="1:25" ht="30" hidden="1" customHeight="1" x14ac:dyDescent="0.25">
      <c r="A1659" s="82">
        <v>181224</v>
      </c>
      <c r="B1659" s="664" t="s">
        <v>1052</v>
      </c>
      <c r="C1659" s="71" t="s">
        <v>585</v>
      </c>
      <c r="D1659" s="71">
        <v>200</v>
      </c>
      <c r="E1659" s="102">
        <v>7500</v>
      </c>
      <c r="F1659" s="102">
        <f t="shared" si="852"/>
        <v>1650000.0000000002</v>
      </c>
      <c r="G1659" s="102">
        <f t="shared" si="853"/>
        <v>1500000</v>
      </c>
      <c r="H1659" s="690" t="s">
        <v>142</v>
      </c>
      <c r="I1659" s="71" t="s">
        <v>144</v>
      </c>
      <c r="J1659" s="53">
        <f>(G1659-(VLOOKUP(C1659,Price!B:D,3,FALSE)*D1659))</f>
        <v>146000</v>
      </c>
      <c r="K1659" s="63">
        <f t="shared" si="854"/>
        <v>9.7333333333333313E-2</v>
      </c>
      <c r="L1659" s="871" t="s">
        <v>1508</v>
      </c>
      <c r="M1659" s="468"/>
      <c r="N1659" s="664">
        <f>A1659</f>
        <v>181224</v>
      </c>
      <c r="O1659" s="71" t="s">
        <v>147</v>
      </c>
      <c r="P1659" s="103" t="str">
        <f t="shared" si="855"/>
        <v>프리미어(적)</v>
      </c>
      <c r="Q1659" s="71">
        <f t="shared" si="856"/>
        <v>200</v>
      </c>
      <c r="R1659" s="102">
        <v>6770</v>
      </c>
      <c r="S1659" s="102">
        <f>R1659*Q1659*1.1</f>
        <v>1489400.0000000002</v>
      </c>
      <c r="T1659" s="102">
        <f>R1659*Q1659</f>
        <v>1354000</v>
      </c>
      <c r="U1659" s="71" t="str">
        <f t="shared" si="847"/>
        <v>O</v>
      </c>
      <c r="V1659" s="71"/>
      <c r="W1659" s="474">
        <f t="shared" si="848"/>
        <v>146000</v>
      </c>
      <c r="X1659" s="71"/>
      <c r="Y1659" s="71"/>
    </row>
    <row r="1660" spans="1:25" ht="30" hidden="1" customHeight="1" x14ac:dyDescent="0.25">
      <c r="A1660" s="82">
        <v>181224</v>
      </c>
      <c r="B1660" s="664" t="s">
        <v>1061</v>
      </c>
      <c r="C1660" s="71" t="s">
        <v>586</v>
      </c>
      <c r="D1660" s="71">
        <v>600</v>
      </c>
      <c r="E1660" s="102">
        <v>6750</v>
      </c>
      <c r="F1660" s="102">
        <f t="shared" si="852"/>
        <v>4455000</v>
      </c>
      <c r="G1660" s="102">
        <f t="shared" si="853"/>
        <v>4050000</v>
      </c>
      <c r="H1660" s="690" t="s">
        <v>142</v>
      </c>
      <c r="I1660" s="71" t="s">
        <v>144</v>
      </c>
      <c r="J1660" s="53">
        <f t="shared" ref="J1660:J1665" si="857">G1660-T1660</f>
        <v>342000</v>
      </c>
      <c r="K1660" s="63">
        <f t="shared" si="854"/>
        <v>8.4444444444444447E-2</v>
      </c>
      <c r="L1660" s="871" t="s">
        <v>1508</v>
      </c>
      <c r="M1660" s="468"/>
      <c r="N1660" s="664">
        <v>180713</v>
      </c>
      <c r="O1660" s="71" t="s">
        <v>147</v>
      </c>
      <c r="P1660" s="103" t="str">
        <f t="shared" si="855"/>
        <v>프리미어(황)</v>
      </c>
      <c r="Q1660" s="71">
        <f t="shared" si="856"/>
        <v>600</v>
      </c>
      <c r="R1660" s="102">
        <v>6180</v>
      </c>
      <c r="S1660" s="102">
        <f>(R1660*D1660)*1.1</f>
        <v>4078800.0000000005</v>
      </c>
      <c r="T1660" s="102">
        <f>(R1660*Q1660)</f>
        <v>3708000</v>
      </c>
      <c r="U1660" s="71" t="str">
        <f t="shared" si="847"/>
        <v>O</v>
      </c>
      <c r="V1660" s="71"/>
      <c r="W1660" s="474">
        <f t="shared" si="848"/>
        <v>342000</v>
      </c>
      <c r="X1660" s="71"/>
      <c r="Y1660" s="71"/>
    </row>
    <row r="1661" spans="1:25" ht="30" hidden="1" customHeight="1" x14ac:dyDescent="0.25">
      <c r="A1661" s="82">
        <v>181224</v>
      </c>
      <c r="B1661" s="664" t="s">
        <v>1061</v>
      </c>
      <c r="C1661" s="71" t="s">
        <v>587</v>
      </c>
      <c r="D1661" s="71">
        <v>200</v>
      </c>
      <c r="E1661" s="102">
        <v>8000</v>
      </c>
      <c r="F1661" s="102">
        <f t="shared" si="852"/>
        <v>1760000.0000000002</v>
      </c>
      <c r="G1661" s="102">
        <f t="shared" si="853"/>
        <v>1600000</v>
      </c>
      <c r="H1661" s="690" t="s">
        <v>142</v>
      </c>
      <c r="I1661" s="71" t="s">
        <v>144</v>
      </c>
      <c r="J1661" s="53">
        <f t="shared" si="857"/>
        <v>218000</v>
      </c>
      <c r="K1661" s="63">
        <f t="shared" si="854"/>
        <v>0.13624999999999998</v>
      </c>
      <c r="L1661" s="871" t="s">
        <v>1508</v>
      </c>
      <c r="M1661" s="468"/>
      <c r="N1661" s="664">
        <v>180713</v>
      </c>
      <c r="O1661" s="71" t="s">
        <v>147</v>
      </c>
      <c r="P1661" s="103" t="str">
        <f t="shared" si="855"/>
        <v>프리미어(청)</v>
      </c>
      <c r="Q1661" s="71">
        <f t="shared" si="856"/>
        <v>200</v>
      </c>
      <c r="R1661" s="102">
        <v>6910</v>
      </c>
      <c r="S1661" s="102">
        <f>(R1661*D1661)*1.1</f>
        <v>1520200.0000000002</v>
      </c>
      <c r="T1661" s="102">
        <f>(R1661*Q1661)</f>
        <v>1382000</v>
      </c>
      <c r="U1661" s="71" t="str">
        <f t="shared" si="847"/>
        <v>O</v>
      </c>
      <c r="V1661" s="71"/>
      <c r="W1661" s="474">
        <f t="shared" si="848"/>
        <v>218000</v>
      </c>
      <c r="X1661" s="71"/>
      <c r="Y1661" s="71"/>
    </row>
    <row r="1662" spans="1:25" ht="30" hidden="1" customHeight="1" x14ac:dyDescent="0.25">
      <c r="A1662" s="82">
        <v>181224</v>
      </c>
      <c r="B1662" s="664" t="s">
        <v>1052</v>
      </c>
      <c r="C1662" s="71" t="s">
        <v>1115</v>
      </c>
      <c r="D1662" s="71">
        <v>170</v>
      </c>
      <c r="E1662" s="102">
        <v>6200</v>
      </c>
      <c r="F1662" s="102">
        <f t="shared" si="852"/>
        <v>1159400</v>
      </c>
      <c r="G1662" s="102">
        <f t="shared" si="853"/>
        <v>1054000</v>
      </c>
      <c r="H1662" s="690" t="s">
        <v>142</v>
      </c>
      <c r="I1662" s="71" t="s">
        <v>144</v>
      </c>
      <c r="J1662" s="53">
        <f t="shared" si="857"/>
        <v>17000</v>
      </c>
      <c r="K1662" s="63">
        <f t="shared" si="854"/>
        <v>1.6129032258064516E-2</v>
      </c>
      <c r="L1662" s="871" t="s">
        <v>1508</v>
      </c>
      <c r="M1662" s="468"/>
      <c r="N1662" s="664">
        <f>A1662</f>
        <v>181224</v>
      </c>
      <c r="O1662" s="71" t="s">
        <v>147</v>
      </c>
      <c r="P1662" s="103" t="str">
        <f t="shared" si="855"/>
        <v>한특 잉크(적)</v>
      </c>
      <c r="Q1662" s="71">
        <f t="shared" si="856"/>
        <v>170</v>
      </c>
      <c r="R1662" s="102">
        <v>6100</v>
      </c>
      <c r="S1662" s="102">
        <f t="shared" ref="S1662:S1669" si="858">R1662*Q1662*1.1</f>
        <v>1140700</v>
      </c>
      <c r="T1662" s="102">
        <f t="shared" ref="T1662:T1669" si="859">R1662*Q1662</f>
        <v>1037000</v>
      </c>
      <c r="U1662" s="71" t="str">
        <f t="shared" si="847"/>
        <v>O</v>
      </c>
      <c r="V1662" s="71"/>
      <c r="W1662" s="474">
        <f t="shared" si="848"/>
        <v>17000</v>
      </c>
      <c r="X1662" s="71"/>
      <c r="Y1662" s="71"/>
    </row>
    <row r="1663" spans="1:25" ht="30" hidden="1" customHeight="1" x14ac:dyDescent="0.25">
      <c r="A1663" s="82">
        <v>181224</v>
      </c>
      <c r="B1663" s="664" t="s">
        <v>1052</v>
      </c>
      <c r="C1663" s="71" t="s">
        <v>1116</v>
      </c>
      <c r="D1663" s="71">
        <v>170</v>
      </c>
      <c r="E1663" s="102">
        <v>6000</v>
      </c>
      <c r="F1663" s="102">
        <f t="shared" si="852"/>
        <v>1122000</v>
      </c>
      <c r="G1663" s="102">
        <f t="shared" si="853"/>
        <v>1020000</v>
      </c>
      <c r="H1663" s="690" t="s">
        <v>142</v>
      </c>
      <c r="I1663" s="71" t="s">
        <v>144</v>
      </c>
      <c r="J1663" s="53">
        <f t="shared" si="857"/>
        <v>17000</v>
      </c>
      <c r="K1663" s="63">
        <f t="shared" si="854"/>
        <v>1.6666666666666666E-2</v>
      </c>
      <c r="L1663" s="871" t="s">
        <v>1508</v>
      </c>
      <c r="M1663" s="468"/>
      <c r="N1663" s="664">
        <f>A1663</f>
        <v>181224</v>
      </c>
      <c r="O1663" s="71" t="s">
        <v>147</v>
      </c>
      <c r="P1663" s="103" t="str">
        <f t="shared" si="855"/>
        <v>한특 잉크(황)</v>
      </c>
      <c r="Q1663" s="71">
        <f t="shared" si="856"/>
        <v>170</v>
      </c>
      <c r="R1663" s="102">
        <v>5900</v>
      </c>
      <c r="S1663" s="102">
        <f t="shared" si="858"/>
        <v>1103300</v>
      </c>
      <c r="T1663" s="102">
        <f t="shared" si="859"/>
        <v>1003000</v>
      </c>
      <c r="U1663" s="71" t="str">
        <f t="shared" si="847"/>
        <v>O</v>
      </c>
      <c r="V1663" s="71"/>
      <c r="W1663" s="474">
        <f t="shared" si="848"/>
        <v>17000</v>
      </c>
      <c r="X1663" s="71"/>
      <c r="Y1663" s="71"/>
    </row>
    <row r="1664" spans="1:25" ht="30" hidden="1" customHeight="1" x14ac:dyDescent="0.25">
      <c r="A1664" s="82">
        <v>181224</v>
      </c>
      <c r="B1664" s="664" t="s">
        <v>1052</v>
      </c>
      <c r="C1664" s="71" t="s">
        <v>1117</v>
      </c>
      <c r="D1664" s="71">
        <v>130</v>
      </c>
      <c r="E1664" s="102">
        <v>6500</v>
      </c>
      <c r="F1664" s="102">
        <f t="shared" si="852"/>
        <v>929500.00000000012</v>
      </c>
      <c r="G1664" s="102">
        <f t="shared" si="853"/>
        <v>845000</v>
      </c>
      <c r="H1664" s="690" t="s">
        <v>142</v>
      </c>
      <c r="I1664" s="71" t="s">
        <v>144</v>
      </c>
      <c r="J1664" s="53">
        <f t="shared" si="857"/>
        <v>13000</v>
      </c>
      <c r="K1664" s="63">
        <f t="shared" si="854"/>
        <v>1.5384615384615382E-2</v>
      </c>
      <c r="L1664" s="871" t="s">
        <v>1508</v>
      </c>
      <c r="M1664" s="468"/>
      <c r="N1664" s="664">
        <f>A1664</f>
        <v>181224</v>
      </c>
      <c r="O1664" s="71" t="s">
        <v>147</v>
      </c>
      <c r="P1664" s="103" t="str">
        <f t="shared" si="855"/>
        <v>한특 잉크(청)</v>
      </c>
      <c r="Q1664" s="71">
        <f t="shared" si="856"/>
        <v>130</v>
      </c>
      <c r="R1664" s="102">
        <v>6400</v>
      </c>
      <c r="S1664" s="102">
        <f t="shared" si="858"/>
        <v>915200.00000000012</v>
      </c>
      <c r="T1664" s="102">
        <f t="shared" si="859"/>
        <v>832000</v>
      </c>
      <c r="U1664" s="71" t="str">
        <f t="shared" si="847"/>
        <v>O</v>
      </c>
      <c r="V1664" s="71"/>
      <c r="W1664" s="474">
        <f t="shared" si="848"/>
        <v>13000</v>
      </c>
      <c r="X1664" s="71"/>
      <c r="Y1664" s="71"/>
    </row>
    <row r="1665" spans="1:25" ht="30" hidden="1" customHeight="1" x14ac:dyDescent="0.25">
      <c r="A1665" s="82">
        <v>181224</v>
      </c>
      <c r="B1665" s="664" t="s">
        <v>1052</v>
      </c>
      <c r="C1665" s="71" t="s">
        <v>1118</v>
      </c>
      <c r="D1665" s="71">
        <v>150</v>
      </c>
      <c r="E1665" s="102">
        <v>5600</v>
      </c>
      <c r="F1665" s="102">
        <f t="shared" si="852"/>
        <v>924000.00000000012</v>
      </c>
      <c r="G1665" s="102">
        <f t="shared" si="853"/>
        <v>840000</v>
      </c>
      <c r="H1665" s="690" t="s">
        <v>142</v>
      </c>
      <c r="I1665" s="71" t="s">
        <v>144</v>
      </c>
      <c r="J1665" s="53">
        <f t="shared" si="857"/>
        <v>15000</v>
      </c>
      <c r="K1665" s="63">
        <f t="shared" si="854"/>
        <v>1.7857142857142856E-2</v>
      </c>
      <c r="L1665" s="871" t="s">
        <v>1508</v>
      </c>
      <c r="M1665" s="468"/>
      <c r="N1665" s="664">
        <f>A1665</f>
        <v>181224</v>
      </c>
      <c r="O1665" s="71" t="s">
        <v>147</v>
      </c>
      <c r="P1665" s="103" t="str">
        <f t="shared" si="855"/>
        <v>한특 잉크(먹)</v>
      </c>
      <c r="Q1665" s="71">
        <f t="shared" si="856"/>
        <v>150</v>
      </c>
      <c r="R1665" s="102">
        <v>5500</v>
      </c>
      <c r="S1665" s="102">
        <f t="shared" si="858"/>
        <v>907500.00000000012</v>
      </c>
      <c r="T1665" s="102">
        <f t="shared" si="859"/>
        <v>825000</v>
      </c>
      <c r="U1665" s="71" t="str">
        <f t="shared" si="847"/>
        <v>O</v>
      </c>
      <c r="V1665" s="71"/>
      <c r="W1665" s="474">
        <f t="shared" si="848"/>
        <v>15000</v>
      </c>
      <c r="X1665" s="71"/>
      <c r="Y1665" s="71"/>
    </row>
    <row r="1666" spans="1:25" ht="30" hidden="1" customHeight="1" x14ac:dyDescent="0.25">
      <c r="A1666" s="82">
        <v>181226</v>
      </c>
      <c r="B1666" s="664" t="s">
        <v>804</v>
      </c>
      <c r="C1666" s="71" t="s">
        <v>123</v>
      </c>
      <c r="D1666" s="71">
        <v>10</v>
      </c>
      <c r="E1666" s="102">
        <v>30000</v>
      </c>
      <c r="F1666" s="102">
        <f t="shared" si="850"/>
        <v>330000</v>
      </c>
      <c r="G1666" s="102">
        <f t="shared" si="851"/>
        <v>300000</v>
      </c>
      <c r="H1666" s="1010" t="s">
        <v>39</v>
      </c>
      <c r="I1666" s="71"/>
      <c r="J1666" s="53">
        <f>(G1666-(VLOOKUP(C1666,Price!B:D,3,FALSE)*D1666))</f>
        <v>75390</v>
      </c>
      <c r="K1666" s="63">
        <f t="shared" ref="K1666:K1672" si="860">(J1666/(F1666/11*10))</f>
        <v>0.25130000000000002</v>
      </c>
      <c r="L1666" s="871" t="s">
        <v>1508</v>
      </c>
      <c r="M1666" s="468"/>
      <c r="N1666" s="664">
        <f t="shared" si="846"/>
        <v>181226</v>
      </c>
      <c r="O1666" s="991" t="s">
        <v>39</v>
      </c>
      <c r="P1666" s="103" t="str">
        <f>C1666</f>
        <v>필터백</v>
      </c>
      <c r="Q1666" s="71">
        <f t="shared" si="849"/>
        <v>10</v>
      </c>
      <c r="R1666" s="102">
        <v>22054</v>
      </c>
      <c r="S1666" s="102">
        <f t="shared" si="858"/>
        <v>242594.00000000003</v>
      </c>
      <c r="T1666" s="102">
        <f t="shared" si="859"/>
        <v>220540</v>
      </c>
      <c r="U1666" s="71" t="str">
        <f t="shared" si="847"/>
        <v>X</v>
      </c>
      <c r="V1666" s="71"/>
      <c r="W1666" s="474">
        <f t="shared" si="848"/>
        <v>79460</v>
      </c>
      <c r="X1666" s="71"/>
      <c r="Y1666" s="71"/>
    </row>
    <row r="1667" spans="1:25" ht="30" hidden="1" customHeight="1" x14ac:dyDescent="0.25">
      <c r="A1667" s="82">
        <v>181227</v>
      </c>
      <c r="B1667" s="664" t="s">
        <v>445</v>
      </c>
      <c r="C1667" s="71" t="s">
        <v>1144</v>
      </c>
      <c r="D1667" s="71">
        <v>8</v>
      </c>
      <c r="E1667" s="102">
        <v>110000</v>
      </c>
      <c r="F1667" s="102">
        <f t="shared" si="850"/>
        <v>968000.00000000012</v>
      </c>
      <c r="G1667" s="102">
        <f t="shared" si="851"/>
        <v>880000</v>
      </c>
      <c r="H1667" s="690" t="s">
        <v>173</v>
      </c>
      <c r="I1667" s="71" t="s">
        <v>142</v>
      </c>
      <c r="J1667" s="53">
        <f>G1667-T1667</f>
        <v>152000</v>
      </c>
      <c r="K1667" s="63">
        <f t="shared" si="860"/>
        <v>0.1727272727272727</v>
      </c>
      <c r="L1667" s="871" t="s">
        <v>1508</v>
      </c>
      <c r="M1667" s="468"/>
      <c r="N1667" s="664">
        <f t="shared" ref="N1667:N1689" si="861">A1667</f>
        <v>181227</v>
      </c>
      <c r="O1667" s="71" t="s">
        <v>150</v>
      </c>
      <c r="P1667" s="103" t="str">
        <f t="shared" ref="P1667:Q1670" si="862">C1667</f>
        <v>실리콘 에멀전</v>
      </c>
      <c r="Q1667" s="71">
        <f t="shared" si="862"/>
        <v>8</v>
      </c>
      <c r="R1667" s="102">
        <v>91000</v>
      </c>
      <c r="S1667" s="102">
        <f t="shared" si="858"/>
        <v>800800.00000000012</v>
      </c>
      <c r="T1667" s="102">
        <f t="shared" si="859"/>
        <v>728000</v>
      </c>
      <c r="U1667" s="71" t="str">
        <f t="shared" si="847"/>
        <v>X</v>
      </c>
      <c r="V1667" s="71"/>
      <c r="W1667" s="474"/>
      <c r="X1667" s="71"/>
      <c r="Y1667" s="71"/>
    </row>
    <row r="1668" spans="1:25" ht="30" hidden="1" customHeight="1" x14ac:dyDescent="0.25">
      <c r="A1668" s="82">
        <v>181227</v>
      </c>
      <c r="B1668" s="664" t="s">
        <v>446</v>
      </c>
      <c r="C1668" s="71" t="s">
        <v>1144</v>
      </c>
      <c r="D1668" s="71">
        <v>8</v>
      </c>
      <c r="E1668" s="102">
        <v>110000</v>
      </c>
      <c r="F1668" s="102">
        <f t="shared" si="850"/>
        <v>968000.00000000012</v>
      </c>
      <c r="G1668" s="102">
        <f t="shared" si="851"/>
        <v>880000</v>
      </c>
      <c r="H1668" s="690" t="s">
        <v>173</v>
      </c>
      <c r="I1668" s="71" t="s">
        <v>142</v>
      </c>
      <c r="J1668" s="53">
        <f>G1668-T1668</f>
        <v>152000</v>
      </c>
      <c r="K1668" s="63">
        <f t="shared" si="860"/>
        <v>0.1727272727272727</v>
      </c>
      <c r="L1668" s="871" t="s">
        <v>1508</v>
      </c>
      <c r="M1668" s="468"/>
      <c r="N1668" s="664">
        <f t="shared" si="861"/>
        <v>181227</v>
      </c>
      <c r="O1668" s="71" t="s">
        <v>150</v>
      </c>
      <c r="P1668" s="103" t="str">
        <f t="shared" si="862"/>
        <v>실리콘 에멀전</v>
      </c>
      <c r="Q1668" s="71">
        <f t="shared" si="862"/>
        <v>8</v>
      </c>
      <c r="R1668" s="102">
        <v>91000</v>
      </c>
      <c r="S1668" s="102">
        <f t="shared" si="858"/>
        <v>800800.00000000012</v>
      </c>
      <c r="T1668" s="102">
        <f t="shared" si="859"/>
        <v>728000</v>
      </c>
      <c r="U1668" s="71" t="str">
        <f t="shared" si="847"/>
        <v>O</v>
      </c>
      <c r="V1668" s="71"/>
      <c r="W1668" s="474">
        <f>(G1668-T1668)</f>
        <v>152000</v>
      </c>
      <c r="X1668" s="71"/>
      <c r="Y1668" s="71"/>
    </row>
    <row r="1669" spans="1:25" ht="30" hidden="1" customHeight="1" x14ac:dyDescent="0.25">
      <c r="A1669" s="82">
        <v>181228</v>
      </c>
      <c r="B1669" s="664" t="s">
        <v>545</v>
      </c>
      <c r="C1669" s="71" t="s">
        <v>227</v>
      </c>
      <c r="D1669" s="71">
        <v>10</v>
      </c>
      <c r="E1669" s="102">
        <v>110000</v>
      </c>
      <c r="F1669" s="102">
        <f t="shared" si="850"/>
        <v>1210000</v>
      </c>
      <c r="G1669" s="102">
        <f t="shared" si="851"/>
        <v>1100000</v>
      </c>
      <c r="H1669" s="690" t="s">
        <v>173</v>
      </c>
      <c r="I1669" s="71" t="s">
        <v>109</v>
      </c>
      <c r="J1669" s="53">
        <f>(G1669-(VLOOKUP(C1669,Price!B:D,3,FALSE)*D1669))</f>
        <v>271000</v>
      </c>
      <c r="K1669" s="63">
        <f t="shared" si="860"/>
        <v>0.24636363636363637</v>
      </c>
      <c r="L1669" s="871" t="s">
        <v>1508</v>
      </c>
      <c r="M1669" s="468"/>
      <c r="N1669" s="664">
        <f t="shared" si="861"/>
        <v>181228</v>
      </c>
      <c r="O1669" s="71" t="s">
        <v>147</v>
      </c>
      <c r="P1669" s="103" t="str">
        <f t="shared" si="862"/>
        <v>Blanket(1060*860)</v>
      </c>
      <c r="Q1669" s="71">
        <f t="shared" si="862"/>
        <v>10</v>
      </c>
      <c r="R1669" s="102">
        <v>82900</v>
      </c>
      <c r="S1669" s="102">
        <f t="shared" si="858"/>
        <v>911900.00000000012</v>
      </c>
      <c r="T1669" s="102">
        <f t="shared" si="859"/>
        <v>829000</v>
      </c>
      <c r="U1669" s="71" t="str">
        <f t="shared" si="847"/>
        <v>O</v>
      </c>
      <c r="V1669" s="71"/>
      <c r="W1669" s="474">
        <f>(G1669-T1669)</f>
        <v>271000</v>
      </c>
      <c r="X1669" s="71"/>
      <c r="Y1669" s="71"/>
    </row>
    <row r="1670" spans="1:25" ht="30" hidden="1" customHeight="1" x14ac:dyDescent="0.25">
      <c r="A1670" s="82">
        <v>181231</v>
      </c>
      <c r="B1670" s="664" t="s">
        <v>923</v>
      </c>
      <c r="C1670" s="71" t="s">
        <v>1607</v>
      </c>
      <c r="D1670" s="71">
        <v>732</v>
      </c>
      <c r="E1670" s="102">
        <v>1050</v>
      </c>
      <c r="F1670" s="102">
        <f t="shared" si="850"/>
        <v>845460.00000000012</v>
      </c>
      <c r="G1670" s="102">
        <f t="shared" si="851"/>
        <v>768600</v>
      </c>
      <c r="H1670" s="690" t="s">
        <v>173</v>
      </c>
      <c r="I1670" s="71" t="s">
        <v>140</v>
      </c>
      <c r="J1670" s="53">
        <f>G1670-T1670</f>
        <v>768600</v>
      </c>
      <c r="K1670" s="63">
        <f t="shared" si="860"/>
        <v>0.99999999999999989</v>
      </c>
      <c r="L1670" s="871" t="s">
        <v>1508</v>
      </c>
      <c r="M1670" s="468"/>
      <c r="N1670" s="664">
        <f t="shared" si="861"/>
        <v>181231</v>
      </c>
      <c r="O1670" s="71"/>
      <c r="P1670" s="103" t="str">
        <f t="shared" si="862"/>
        <v>폐판수거(세흥인쇄)</v>
      </c>
      <c r="Q1670" s="71">
        <f t="shared" si="862"/>
        <v>732</v>
      </c>
      <c r="R1670" s="102"/>
      <c r="S1670" s="102">
        <f>(R1670*D1670)*1.1</f>
        <v>0</v>
      </c>
      <c r="T1670" s="102">
        <f>(R1670*Q1670)</f>
        <v>0</v>
      </c>
      <c r="U1670" s="71"/>
      <c r="V1670" s="71"/>
      <c r="W1670" s="474"/>
      <c r="X1670" s="71"/>
      <c r="Y1670" s="71"/>
    </row>
    <row r="1671" spans="1:25" ht="30" hidden="1" customHeight="1" x14ac:dyDescent="0.25">
      <c r="A1671" s="82">
        <v>181231</v>
      </c>
      <c r="B1671" s="664" t="s">
        <v>442</v>
      </c>
      <c r="C1671" s="71" t="s">
        <v>1609</v>
      </c>
      <c r="D1671" s="71">
        <v>1</v>
      </c>
      <c r="E1671" s="102">
        <v>195000</v>
      </c>
      <c r="F1671" s="102">
        <f t="shared" si="850"/>
        <v>214500.00000000003</v>
      </c>
      <c r="G1671" s="102">
        <f t="shared" si="851"/>
        <v>195000</v>
      </c>
      <c r="H1671" s="690" t="s">
        <v>173</v>
      </c>
      <c r="I1671" s="71" t="s">
        <v>141</v>
      </c>
      <c r="J1671" s="53">
        <f>G1671-T1671</f>
        <v>95000</v>
      </c>
      <c r="K1671" s="63">
        <f t="shared" si="860"/>
        <v>0.48717948717948711</v>
      </c>
      <c r="L1671" s="871" t="s">
        <v>1508</v>
      </c>
      <c r="M1671" s="468"/>
      <c r="N1671" s="664">
        <f t="shared" si="861"/>
        <v>181231</v>
      </c>
      <c r="O1671" s="71" t="s">
        <v>242</v>
      </c>
      <c r="P1671" s="103" t="str">
        <f t="shared" ref="P1671:Q1673" si="863">C1671</f>
        <v>필름출력기 중고 롤라</v>
      </c>
      <c r="Q1671" s="71">
        <f t="shared" si="863"/>
        <v>1</v>
      </c>
      <c r="R1671" s="102">
        <v>100000</v>
      </c>
      <c r="S1671" s="102">
        <f>(R1671*D1671)*1.1</f>
        <v>110000.00000000001</v>
      </c>
      <c r="T1671" s="102">
        <f>(R1671*Q1671)</f>
        <v>100000</v>
      </c>
      <c r="U1671" s="71"/>
      <c r="V1671" s="71"/>
      <c r="W1671" s="474"/>
      <c r="X1671" s="71"/>
      <c r="Y1671" s="71"/>
    </row>
    <row r="1672" spans="1:25" ht="30" hidden="1" customHeight="1" x14ac:dyDescent="0.25">
      <c r="A1672" s="82">
        <v>181231</v>
      </c>
      <c r="B1672" s="664" t="s">
        <v>442</v>
      </c>
      <c r="C1672" s="71" t="s">
        <v>1610</v>
      </c>
      <c r="D1672" s="71">
        <v>10</v>
      </c>
      <c r="E1672" s="102">
        <v>10000</v>
      </c>
      <c r="F1672" s="102">
        <f t="shared" si="850"/>
        <v>110000.00000000001</v>
      </c>
      <c r="G1672" s="102">
        <f t="shared" si="851"/>
        <v>100000</v>
      </c>
      <c r="H1672" s="690" t="s">
        <v>173</v>
      </c>
      <c r="I1672" s="71" t="s">
        <v>141</v>
      </c>
      <c r="J1672" s="53">
        <f>G1672-T1672</f>
        <v>5000</v>
      </c>
      <c r="K1672" s="63">
        <f t="shared" si="860"/>
        <v>4.9999999999999996E-2</v>
      </c>
      <c r="L1672" s="871" t="s">
        <v>1508</v>
      </c>
      <c r="M1672" s="468"/>
      <c r="N1672" s="664">
        <f t="shared" si="861"/>
        <v>181231</v>
      </c>
      <c r="O1672" s="71" t="s">
        <v>242</v>
      </c>
      <c r="P1672" s="103" t="str">
        <f t="shared" si="863"/>
        <v>필름출력기 housing 부품</v>
      </c>
      <c r="Q1672" s="71">
        <f t="shared" si="863"/>
        <v>10</v>
      </c>
      <c r="R1672" s="102">
        <v>9500</v>
      </c>
      <c r="S1672" s="102">
        <f>(R1672*D1672)*1.1</f>
        <v>104500.00000000001</v>
      </c>
      <c r="T1672" s="102">
        <f>(R1672*Q1672)</f>
        <v>95000</v>
      </c>
      <c r="U1672" s="71"/>
      <c r="V1672" s="71"/>
      <c r="W1672" s="474"/>
      <c r="X1672" s="71"/>
      <c r="Y1672" s="71"/>
    </row>
    <row r="1673" spans="1:25" ht="30" hidden="1" customHeight="1" x14ac:dyDescent="0.25">
      <c r="A1673" s="611">
        <v>181231</v>
      </c>
      <c r="B1673" s="674" t="s">
        <v>1178</v>
      </c>
      <c r="C1673" s="409" t="s">
        <v>1632</v>
      </c>
      <c r="D1673" s="409">
        <v>1</v>
      </c>
      <c r="E1673" s="208">
        <v>81580915</v>
      </c>
      <c r="F1673" s="208">
        <f t="shared" si="850"/>
        <v>89739006.5</v>
      </c>
      <c r="G1673" s="208">
        <f t="shared" si="851"/>
        <v>81580915</v>
      </c>
      <c r="H1673" s="830" t="s">
        <v>142</v>
      </c>
      <c r="I1673" s="409" t="s">
        <v>1431</v>
      </c>
      <c r="J1673" s="97"/>
      <c r="K1673" s="58"/>
      <c r="L1673" s="871" t="s">
        <v>1508</v>
      </c>
      <c r="M1673" s="583"/>
      <c r="N1673" s="674">
        <f t="shared" si="861"/>
        <v>181231</v>
      </c>
      <c r="O1673" s="409"/>
      <c r="P1673" s="139" t="str">
        <f t="shared" si="863"/>
        <v>Vpak 블랑켓, 플렉소, 아니록스 롤러</v>
      </c>
      <c r="Q1673" s="409">
        <f t="shared" si="863"/>
        <v>1</v>
      </c>
      <c r="R1673" s="208"/>
      <c r="S1673" s="102">
        <f>(R1673*D1673)*1.1</f>
        <v>0</v>
      </c>
      <c r="T1673" s="102">
        <f>(R1673*Q1673)</f>
        <v>0</v>
      </c>
      <c r="U1673" s="409"/>
      <c r="V1673" s="409"/>
      <c r="W1673" s="1025"/>
      <c r="X1673" s="409"/>
      <c r="Y1673" s="409"/>
    </row>
    <row r="1674" spans="1:25" s="978" customFormat="1" ht="45" hidden="1" customHeight="1" x14ac:dyDescent="0.25">
      <c r="A1674" s="982" t="s">
        <v>1601</v>
      </c>
      <c r="B1674" s="976" t="s">
        <v>544</v>
      </c>
      <c r="C1674" s="453"/>
      <c r="D1674" s="453"/>
      <c r="E1674" s="454"/>
      <c r="F1674" s="454"/>
      <c r="G1674" s="454"/>
      <c r="H1674" s="455"/>
      <c r="I1674" s="453"/>
      <c r="J1674" s="417"/>
      <c r="K1674" s="418"/>
      <c r="L1674" s="983" t="s">
        <v>1602</v>
      </c>
      <c r="M1674" s="643"/>
      <c r="N1674" s="724" t="str">
        <f t="shared" si="861"/>
        <v>2019,1</v>
      </c>
      <c r="O1674" s="453" t="s">
        <v>154</v>
      </c>
      <c r="P1674" s="728"/>
      <c r="Q1674" s="419"/>
      <c r="R1674" s="420"/>
      <c r="S1674" s="417"/>
      <c r="T1674" s="417"/>
      <c r="U1674" s="421"/>
      <c r="V1674" s="421"/>
      <c r="W1674" s="479">
        <f>(G1674-T1674)</f>
        <v>0</v>
      </c>
      <c r="X1674" s="421"/>
      <c r="Y1674" s="421"/>
    </row>
    <row r="1675" spans="1:25" ht="30" hidden="1" customHeight="1" x14ac:dyDescent="0.25">
      <c r="A1675" s="82">
        <v>181114</v>
      </c>
      <c r="B1675" s="664" t="s">
        <v>1178</v>
      </c>
      <c r="C1675" s="71" t="s">
        <v>1506</v>
      </c>
      <c r="D1675" s="71">
        <v>1</v>
      </c>
      <c r="E1675" s="102">
        <v>800000</v>
      </c>
      <c r="F1675" s="102">
        <f t="shared" ref="F1675:F1689" si="864">(E1675*D1675)*1.1</f>
        <v>880000.00000000012</v>
      </c>
      <c r="G1675" s="102">
        <f t="shared" ref="G1675:G1689" si="865">(E1675*D1675)</f>
        <v>800000</v>
      </c>
      <c r="H1675" s="690" t="s">
        <v>142</v>
      </c>
      <c r="I1675" s="71" t="s">
        <v>1431</v>
      </c>
      <c r="J1675" s="53">
        <f>G1675-T1675</f>
        <v>353766.49876592588</v>
      </c>
      <c r="K1675" s="63">
        <f t="shared" ref="K1675:K1689" si="866">(J1675/(F1675/11*10))</f>
        <v>0.44220812345740729</v>
      </c>
      <c r="L1675" s="871" t="s">
        <v>1602</v>
      </c>
      <c r="M1675" s="468" t="s">
        <v>1439</v>
      </c>
      <c r="N1675" s="664">
        <f t="shared" si="861"/>
        <v>181114</v>
      </c>
      <c r="O1675" s="71" t="s">
        <v>1432</v>
      </c>
      <c r="P1675" s="103" t="str">
        <f>C1675</f>
        <v>필터, 필터하우징</v>
      </c>
      <c r="Q1675" s="71">
        <f>D1675</f>
        <v>1</v>
      </c>
      <c r="R1675" s="102">
        <f>Import!G648+Import!H649</f>
        <v>446233.50123407412</v>
      </c>
      <c r="S1675" s="102">
        <f>R1675*Q1675*1.1</f>
        <v>490856.85135748156</v>
      </c>
      <c r="T1675" s="102">
        <f>R1675*Q1675</f>
        <v>446233.50123407412</v>
      </c>
      <c r="U1675" s="71" t="str">
        <f>IF(J1675=W1675,"O", "X")</f>
        <v>X</v>
      </c>
      <c r="V1675" s="71"/>
      <c r="W1675" s="474"/>
      <c r="X1675" s="71"/>
      <c r="Y1675" s="71"/>
    </row>
    <row r="1676" spans="1:25" ht="30" hidden="1" customHeight="1" x14ac:dyDescent="0.25">
      <c r="A1676" s="82">
        <v>181123</v>
      </c>
      <c r="B1676" s="664" t="s">
        <v>1178</v>
      </c>
      <c r="C1676" s="71" t="s">
        <v>1487</v>
      </c>
      <c r="D1676" s="71">
        <v>100</v>
      </c>
      <c r="E1676" s="102">
        <v>3350</v>
      </c>
      <c r="F1676" s="102">
        <f t="shared" si="864"/>
        <v>368500.00000000006</v>
      </c>
      <c r="G1676" s="102">
        <f t="shared" si="865"/>
        <v>335000</v>
      </c>
      <c r="H1676" s="690" t="s">
        <v>142</v>
      </c>
      <c r="I1676" s="71" t="s">
        <v>2273</v>
      </c>
      <c r="J1676" s="53">
        <f>G1676-T1676</f>
        <v>17000</v>
      </c>
      <c r="K1676" s="63">
        <f t="shared" si="866"/>
        <v>5.0746268656716408E-2</v>
      </c>
      <c r="L1676" s="871" t="s">
        <v>1602</v>
      </c>
      <c r="M1676" s="468" t="s">
        <v>1490</v>
      </c>
      <c r="N1676" s="664">
        <f t="shared" si="861"/>
        <v>181123</v>
      </c>
      <c r="O1676" s="71" t="s">
        <v>145</v>
      </c>
      <c r="P1676" s="103" t="str">
        <f t="shared" ref="P1676:P1682" si="867">(C1676)</f>
        <v>Engage 850*580</v>
      </c>
      <c r="Q1676" s="71">
        <f t="shared" ref="Q1676:Q1682" si="868">D1676</f>
        <v>100</v>
      </c>
      <c r="R1676" s="102">
        <v>3180</v>
      </c>
      <c r="S1676" s="102">
        <f>R1676*Q1676*1.1</f>
        <v>349800</v>
      </c>
      <c r="T1676" s="102">
        <f>R1676*Q1676</f>
        <v>318000</v>
      </c>
      <c r="U1676" s="71"/>
      <c r="V1676" s="71" t="s">
        <v>1491</v>
      </c>
      <c r="W1676" s="474"/>
      <c r="X1676" s="71"/>
      <c r="Y1676" s="71"/>
    </row>
    <row r="1677" spans="1:25" ht="30" hidden="1" customHeight="1" x14ac:dyDescent="0.25">
      <c r="A1677" s="82">
        <v>181123</v>
      </c>
      <c r="B1677" s="664" t="s">
        <v>1178</v>
      </c>
      <c r="C1677" s="71" t="s">
        <v>1488</v>
      </c>
      <c r="D1677" s="71">
        <v>100</v>
      </c>
      <c r="E1677" s="102">
        <v>4450</v>
      </c>
      <c r="F1677" s="102">
        <f t="shared" si="864"/>
        <v>489500.00000000006</v>
      </c>
      <c r="G1677" s="102">
        <f t="shared" si="865"/>
        <v>445000</v>
      </c>
      <c r="H1677" s="690" t="s">
        <v>142</v>
      </c>
      <c r="I1677" s="71" t="s">
        <v>2273</v>
      </c>
      <c r="J1677" s="53">
        <f>G1677-T1677</f>
        <v>55000</v>
      </c>
      <c r="K1677" s="63">
        <f t="shared" si="866"/>
        <v>0.12359550561797751</v>
      </c>
      <c r="L1677" s="871" t="s">
        <v>1613</v>
      </c>
      <c r="M1677" s="468" t="s">
        <v>1490</v>
      </c>
      <c r="N1677" s="664">
        <f t="shared" si="861"/>
        <v>181123</v>
      </c>
      <c r="O1677" s="71" t="s">
        <v>145</v>
      </c>
      <c r="P1677" s="103" t="str">
        <f t="shared" si="867"/>
        <v>Engage 850*770</v>
      </c>
      <c r="Q1677" s="71">
        <f t="shared" si="868"/>
        <v>100</v>
      </c>
      <c r="R1677" s="102">
        <v>3900</v>
      </c>
      <c r="S1677" s="102">
        <f>R1677*Q1677*1.1</f>
        <v>429000.00000000006</v>
      </c>
      <c r="T1677" s="102">
        <f>R1677*Q1677</f>
        <v>390000</v>
      </c>
      <c r="U1677" s="71"/>
      <c r="V1677" s="71" t="s">
        <v>1493</v>
      </c>
      <c r="W1677" s="474"/>
      <c r="X1677" s="71"/>
      <c r="Y1677" s="71"/>
    </row>
    <row r="1678" spans="1:25" ht="30" hidden="1" customHeight="1" x14ac:dyDescent="0.25">
      <c r="A1678" s="82">
        <v>181123</v>
      </c>
      <c r="B1678" s="664" t="s">
        <v>1178</v>
      </c>
      <c r="C1678" s="71" t="s">
        <v>1489</v>
      </c>
      <c r="D1678" s="71">
        <v>100</v>
      </c>
      <c r="E1678" s="102">
        <v>4510</v>
      </c>
      <c r="F1678" s="102">
        <f t="shared" si="864"/>
        <v>496100.00000000006</v>
      </c>
      <c r="G1678" s="102">
        <f t="shared" si="865"/>
        <v>451000</v>
      </c>
      <c r="H1678" s="690" t="s">
        <v>142</v>
      </c>
      <c r="I1678" s="71" t="s">
        <v>2273</v>
      </c>
      <c r="J1678" s="53">
        <f>G1678-T1678</f>
        <v>51000</v>
      </c>
      <c r="K1678" s="63">
        <f t="shared" si="866"/>
        <v>0.11308203991130819</v>
      </c>
      <c r="L1678" s="871" t="s">
        <v>1613</v>
      </c>
      <c r="M1678" s="468" t="s">
        <v>1490</v>
      </c>
      <c r="N1678" s="664">
        <f t="shared" si="861"/>
        <v>181123</v>
      </c>
      <c r="O1678" s="71" t="s">
        <v>145</v>
      </c>
      <c r="P1678" s="103" t="str">
        <f t="shared" si="867"/>
        <v>Engage 850*780</v>
      </c>
      <c r="Q1678" s="71">
        <f t="shared" si="868"/>
        <v>100</v>
      </c>
      <c r="R1678" s="102">
        <v>4000</v>
      </c>
      <c r="S1678" s="102">
        <f>R1678*Q1678*1.1</f>
        <v>440000.00000000006</v>
      </c>
      <c r="T1678" s="102">
        <f>R1678*Q1678</f>
        <v>400000</v>
      </c>
      <c r="U1678" s="71"/>
      <c r="V1678" s="71" t="s">
        <v>1492</v>
      </c>
      <c r="W1678" s="474"/>
      <c r="X1678" s="71"/>
      <c r="Y1678" s="71"/>
    </row>
    <row r="1679" spans="1:25" ht="30" hidden="1" customHeight="1" x14ac:dyDescent="0.25">
      <c r="A1679" s="82">
        <v>181123</v>
      </c>
      <c r="B1679" s="664" t="s">
        <v>1178</v>
      </c>
      <c r="C1679" s="71" t="s">
        <v>1648</v>
      </c>
      <c r="D1679" s="71">
        <v>100</v>
      </c>
      <c r="E1679" s="102">
        <v>10000</v>
      </c>
      <c r="F1679" s="102">
        <f t="shared" si="864"/>
        <v>1100000</v>
      </c>
      <c r="G1679" s="102">
        <f t="shared" si="865"/>
        <v>1000000</v>
      </c>
      <c r="H1679" s="690" t="s">
        <v>142</v>
      </c>
      <c r="I1679" s="71" t="s">
        <v>142</v>
      </c>
      <c r="J1679" s="53">
        <f>G1679-T1679</f>
        <v>461924.14296134212</v>
      </c>
      <c r="K1679" s="63">
        <f>(J1679/(F1679/11*10))</f>
        <v>0.4619241429613421</v>
      </c>
      <c r="L1679" s="871" t="s">
        <v>1613</v>
      </c>
      <c r="M1679" s="468"/>
      <c r="N1679" s="664">
        <f t="shared" si="861"/>
        <v>181123</v>
      </c>
      <c r="O1679" s="71" t="s">
        <v>1661</v>
      </c>
      <c r="P1679" s="103" t="s">
        <v>1648</v>
      </c>
      <c r="Q1679" s="71">
        <v>1</v>
      </c>
      <c r="R1679" s="102">
        <f>Import!G728</f>
        <v>538075.85703865788</v>
      </c>
      <c r="S1679" s="102">
        <f>R1679*Q1679*1.1</f>
        <v>591883.44274252374</v>
      </c>
      <c r="T1679" s="102">
        <f>R1679*Q1679</f>
        <v>538075.85703865788</v>
      </c>
      <c r="U1679" s="71"/>
      <c r="V1679" s="71"/>
      <c r="W1679" s="474"/>
      <c r="X1679" s="71"/>
      <c r="Y1679" s="71"/>
    </row>
    <row r="1680" spans="1:25" s="209" customFormat="1" ht="30" hidden="1" customHeight="1" x14ac:dyDescent="0.2">
      <c r="A1680" s="82">
        <v>181107</v>
      </c>
      <c r="B1680" s="664" t="s">
        <v>445</v>
      </c>
      <c r="C1680" s="71" t="s">
        <v>138</v>
      </c>
      <c r="D1680" s="71">
        <v>10</v>
      </c>
      <c r="E1680" s="102">
        <v>59500</v>
      </c>
      <c r="F1680" s="163">
        <f t="shared" si="864"/>
        <v>654500</v>
      </c>
      <c r="G1680" s="163">
        <f t="shared" si="865"/>
        <v>595000</v>
      </c>
      <c r="H1680" s="165" t="s">
        <v>172</v>
      </c>
      <c r="I1680" s="71" t="s">
        <v>108</v>
      </c>
      <c r="J1680" s="53">
        <f>(G1680-(VLOOKUP(C1680,Price!B:D,3,FALSE)*D1680))</f>
        <v>85000</v>
      </c>
      <c r="K1680" s="63">
        <f t="shared" si="866"/>
        <v>0.14285714285714285</v>
      </c>
      <c r="L1680" s="871" t="s">
        <v>1613</v>
      </c>
      <c r="M1680" s="468"/>
      <c r="N1680" s="664">
        <f t="shared" si="861"/>
        <v>181107</v>
      </c>
      <c r="O1680" s="71" t="s">
        <v>150</v>
      </c>
      <c r="P1680" s="103" t="str">
        <f t="shared" si="867"/>
        <v>매엽용 세척제(Wash 562)</v>
      </c>
      <c r="Q1680" s="71">
        <f t="shared" si="868"/>
        <v>10</v>
      </c>
      <c r="R1680" s="102">
        <v>51000</v>
      </c>
      <c r="S1680" s="102">
        <f>(R1680*D1680)*1.1</f>
        <v>561000</v>
      </c>
      <c r="T1680" s="102">
        <f>(R1680*Q1680)</f>
        <v>510000</v>
      </c>
      <c r="U1680" s="71" t="str">
        <f t="shared" ref="U1680:U1692" si="869">IF(J1680=W1680,"O", "X")</f>
        <v>O</v>
      </c>
      <c r="V1680" s="71"/>
      <c r="W1680" s="474">
        <f>(G1680-T1680)</f>
        <v>85000</v>
      </c>
      <c r="X1680" s="71"/>
      <c r="Y1680" s="71"/>
    </row>
    <row r="1681" spans="1:25" s="209" customFormat="1" ht="30" hidden="1" customHeight="1" x14ac:dyDescent="0.25">
      <c r="A1681" s="82">
        <v>181107</v>
      </c>
      <c r="B1681" s="664" t="s">
        <v>1286</v>
      </c>
      <c r="C1681" s="71" t="s">
        <v>277</v>
      </c>
      <c r="D1681" s="71">
        <v>7</v>
      </c>
      <c r="E1681" s="102">
        <v>172000</v>
      </c>
      <c r="F1681" s="102">
        <f t="shared" si="864"/>
        <v>1324400</v>
      </c>
      <c r="G1681" s="102">
        <f t="shared" si="865"/>
        <v>1204000</v>
      </c>
      <c r="H1681" s="690" t="s">
        <v>173</v>
      </c>
      <c r="I1681" s="71" t="s">
        <v>108</v>
      </c>
      <c r="J1681" s="53">
        <f>(G1681-(VLOOKUP(C1681,Price!B:D,3,FALSE)*D1681))</f>
        <v>399000</v>
      </c>
      <c r="K1681" s="63">
        <f t="shared" si="866"/>
        <v>0.33139534883720928</v>
      </c>
      <c r="L1681" s="871" t="s">
        <v>1613</v>
      </c>
      <c r="M1681" s="468"/>
      <c r="N1681" s="664">
        <f t="shared" si="861"/>
        <v>181107</v>
      </c>
      <c r="O1681" s="71" t="s">
        <v>150</v>
      </c>
      <c r="P1681" s="103" t="str">
        <f t="shared" si="867"/>
        <v>윤전용 세척제(Web 504)</v>
      </c>
      <c r="Q1681" s="71">
        <f t="shared" si="868"/>
        <v>7</v>
      </c>
      <c r="R1681" s="102">
        <v>115000</v>
      </c>
      <c r="S1681" s="102">
        <f>(R1681*D1681)*1.1</f>
        <v>885500.00000000012</v>
      </c>
      <c r="T1681" s="102">
        <f>(R1681*Q1681)</f>
        <v>805000</v>
      </c>
      <c r="U1681" s="71" t="str">
        <f t="shared" si="869"/>
        <v>O</v>
      </c>
      <c r="V1681" s="71"/>
      <c r="W1681" s="474">
        <f>(G1681-T1681)</f>
        <v>399000</v>
      </c>
      <c r="X1681" s="71"/>
      <c r="Y1681" s="71"/>
    </row>
    <row r="1682" spans="1:25" s="209" customFormat="1" ht="30" hidden="1" customHeight="1" x14ac:dyDescent="0.2">
      <c r="A1682" s="82">
        <v>181109</v>
      </c>
      <c r="B1682" s="664" t="s">
        <v>1286</v>
      </c>
      <c r="C1682" s="71" t="s">
        <v>231</v>
      </c>
      <c r="D1682" s="71">
        <v>10</v>
      </c>
      <c r="E1682" s="102">
        <v>120000</v>
      </c>
      <c r="F1682" s="163">
        <f t="shared" si="864"/>
        <v>1320000</v>
      </c>
      <c r="G1682" s="163">
        <f t="shared" si="865"/>
        <v>1200000</v>
      </c>
      <c r="H1682" s="165" t="s">
        <v>172</v>
      </c>
      <c r="I1682" s="71" t="s">
        <v>109</v>
      </c>
      <c r="J1682" s="53">
        <f>(G1682-(VLOOKUP(C1682,Price!B:D,3,FALSE)*D1682))</f>
        <v>80000</v>
      </c>
      <c r="K1682" s="63">
        <f t="shared" si="866"/>
        <v>6.6666666666666666E-2</v>
      </c>
      <c r="L1682" s="871" t="s">
        <v>1613</v>
      </c>
      <c r="M1682" s="468"/>
      <c r="N1682" s="664">
        <f t="shared" si="861"/>
        <v>181109</v>
      </c>
      <c r="O1682" s="71" t="s">
        <v>151</v>
      </c>
      <c r="P1682" s="103" t="str">
        <f t="shared" si="867"/>
        <v>Blanket(990*725)</v>
      </c>
      <c r="Q1682" s="71">
        <f t="shared" si="868"/>
        <v>10</v>
      </c>
      <c r="R1682" s="102">
        <v>112000</v>
      </c>
      <c r="S1682" s="102">
        <f>(R1682*D1682)*1.1</f>
        <v>1232000</v>
      </c>
      <c r="T1682" s="102">
        <f>(R1682*Q1682)</f>
        <v>1120000</v>
      </c>
      <c r="U1682" s="71" t="str">
        <f t="shared" si="869"/>
        <v>O</v>
      </c>
      <c r="V1682" s="71"/>
      <c r="W1682" s="474">
        <f>(G1682-T1682)</f>
        <v>80000</v>
      </c>
      <c r="X1682" s="71"/>
      <c r="Y1682" s="71"/>
    </row>
    <row r="1683" spans="1:25" s="209" customFormat="1" ht="30" hidden="1" customHeight="1" x14ac:dyDescent="0.2">
      <c r="A1683" s="82">
        <v>181115</v>
      </c>
      <c r="B1683" s="664" t="s">
        <v>445</v>
      </c>
      <c r="C1683" s="71" t="s">
        <v>138</v>
      </c>
      <c r="D1683" s="71">
        <v>10</v>
      </c>
      <c r="E1683" s="102">
        <v>59500</v>
      </c>
      <c r="F1683" s="163">
        <f t="shared" si="864"/>
        <v>654500</v>
      </c>
      <c r="G1683" s="163">
        <f t="shared" si="865"/>
        <v>595000</v>
      </c>
      <c r="H1683" s="165" t="s">
        <v>172</v>
      </c>
      <c r="I1683" s="71" t="s">
        <v>108</v>
      </c>
      <c r="J1683" s="53">
        <f>(G1683-(VLOOKUP(C1683,Price!B:D,3,FALSE)*D1683))</f>
        <v>85000</v>
      </c>
      <c r="K1683" s="63">
        <f t="shared" si="866"/>
        <v>0.14285714285714285</v>
      </c>
      <c r="L1683" s="871" t="s">
        <v>1613</v>
      </c>
      <c r="M1683" s="468"/>
      <c r="N1683" s="664">
        <f t="shared" si="861"/>
        <v>181115</v>
      </c>
      <c r="O1683" s="71" t="s">
        <v>150</v>
      </c>
      <c r="P1683" s="103" t="str">
        <f t="shared" ref="P1683:Q1687" si="870">C1683</f>
        <v>매엽용 세척제(Wash 562)</v>
      </c>
      <c r="Q1683" s="71">
        <f t="shared" si="870"/>
        <v>10</v>
      </c>
      <c r="R1683" s="102">
        <v>51000</v>
      </c>
      <c r="S1683" s="102">
        <f>(R1683*D1683)*1.1</f>
        <v>561000</v>
      </c>
      <c r="T1683" s="102">
        <f>(R1683*Q1683)</f>
        <v>510000</v>
      </c>
      <c r="U1683" s="71" t="str">
        <f t="shared" si="869"/>
        <v>O</v>
      </c>
      <c r="V1683" s="71"/>
      <c r="W1683" s="474">
        <f>(G1683-T1683)</f>
        <v>85000</v>
      </c>
      <c r="X1683" s="71"/>
      <c r="Y1683" s="71"/>
    </row>
    <row r="1684" spans="1:25" s="209" customFormat="1" ht="30" hidden="1" customHeight="1" x14ac:dyDescent="0.25">
      <c r="A1684" s="82">
        <v>181115</v>
      </c>
      <c r="B1684" s="664" t="s">
        <v>1286</v>
      </c>
      <c r="C1684" s="71" t="s">
        <v>1144</v>
      </c>
      <c r="D1684" s="71">
        <v>5</v>
      </c>
      <c r="E1684" s="102">
        <v>110000</v>
      </c>
      <c r="F1684" s="102">
        <f t="shared" si="864"/>
        <v>605000</v>
      </c>
      <c r="G1684" s="102">
        <f t="shared" si="865"/>
        <v>550000</v>
      </c>
      <c r="H1684" s="690" t="s">
        <v>173</v>
      </c>
      <c r="I1684" s="71" t="s">
        <v>2231</v>
      </c>
      <c r="J1684" s="53">
        <f>G1684-T1684</f>
        <v>95000</v>
      </c>
      <c r="K1684" s="63">
        <f t="shared" si="866"/>
        <v>0.17272727272727273</v>
      </c>
      <c r="L1684" s="871" t="s">
        <v>1613</v>
      </c>
      <c r="M1684" s="468"/>
      <c r="N1684" s="664">
        <f t="shared" si="861"/>
        <v>181115</v>
      </c>
      <c r="O1684" s="71" t="s">
        <v>150</v>
      </c>
      <c r="P1684" s="103" t="str">
        <f t="shared" si="870"/>
        <v>실리콘 에멀전</v>
      </c>
      <c r="Q1684" s="71">
        <f t="shared" si="870"/>
        <v>5</v>
      </c>
      <c r="R1684" s="102">
        <v>91000</v>
      </c>
      <c r="S1684" s="102">
        <f>R1684*Q1684*1.1</f>
        <v>500500.00000000006</v>
      </c>
      <c r="T1684" s="102">
        <f>R1684*Q1684</f>
        <v>455000</v>
      </c>
      <c r="U1684" s="71" t="str">
        <f t="shared" si="869"/>
        <v>X</v>
      </c>
      <c r="V1684" s="71"/>
      <c r="W1684" s="474"/>
      <c r="X1684" s="71"/>
      <c r="Y1684" s="71"/>
    </row>
    <row r="1685" spans="1:25" ht="30" hidden="1" customHeight="1" x14ac:dyDescent="0.25">
      <c r="A1685" s="82">
        <v>181121</v>
      </c>
      <c r="B1685" s="664" t="s">
        <v>1286</v>
      </c>
      <c r="C1685" s="760" t="s">
        <v>218</v>
      </c>
      <c r="D1685" s="71">
        <v>5</v>
      </c>
      <c r="E1685" s="102">
        <v>192500</v>
      </c>
      <c r="F1685" s="102">
        <f t="shared" si="864"/>
        <v>1058750</v>
      </c>
      <c r="G1685" s="102">
        <f t="shared" si="865"/>
        <v>962500</v>
      </c>
      <c r="H1685" s="690" t="s">
        <v>173</v>
      </c>
      <c r="I1685" s="71" t="s">
        <v>120</v>
      </c>
      <c r="J1685" s="53">
        <f>(G1685-(VLOOKUP(C1685,Price!B:D,3,FALSE)*D1685))</f>
        <v>400000</v>
      </c>
      <c r="K1685" s="63">
        <f t="shared" si="866"/>
        <v>0.41558441558441561</v>
      </c>
      <c r="L1685" s="871" t="s">
        <v>1613</v>
      </c>
      <c r="M1685" s="468"/>
      <c r="N1685" s="664">
        <f t="shared" si="861"/>
        <v>181121</v>
      </c>
      <c r="O1685" s="71" t="s">
        <v>150</v>
      </c>
      <c r="P1685" s="103" t="str">
        <f t="shared" si="870"/>
        <v>Fount Web 551AF</v>
      </c>
      <c r="Q1685" s="71">
        <f t="shared" si="870"/>
        <v>5</v>
      </c>
      <c r="R1685" s="102">
        <v>112500</v>
      </c>
      <c r="S1685" s="102">
        <f>R1685*Q1685*1.1</f>
        <v>618750</v>
      </c>
      <c r="T1685" s="102">
        <f>R1685*Q1685</f>
        <v>562500</v>
      </c>
      <c r="U1685" s="71" t="str">
        <f t="shared" si="869"/>
        <v>O</v>
      </c>
      <c r="V1685" s="71"/>
      <c r="W1685" s="474">
        <f>(G1685-T1685)</f>
        <v>400000</v>
      </c>
      <c r="X1685" s="71"/>
      <c r="Y1685" s="71"/>
    </row>
    <row r="1686" spans="1:25" s="209" customFormat="1" ht="30" hidden="1" customHeight="1" x14ac:dyDescent="0.2">
      <c r="A1686" s="82">
        <v>181121</v>
      </c>
      <c r="B1686" s="664" t="s">
        <v>445</v>
      </c>
      <c r="C1686" s="71" t="s">
        <v>138</v>
      </c>
      <c r="D1686" s="71">
        <v>10</v>
      </c>
      <c r="E1686" s="102">
        <v>59500</v>
      </c>
      <c r="F1686" s="163">
        <f t="shared" si="864"/>
        <v>654500</v>
      </c>
      <c r="G1686" s="163">
        <f t="shared" si="865"/>
        <v>595000</v>
      </c>
      <c r="H1686" s="165" t="s">
        <v>172</v>
      </c>
      <c r="I1686" s="71" t="s">
        <v>108</v>
      </c>
      <c r="J1686" s="53">
        <f>(G1686-(VLOOKUP(C1686,Price!B:D,3,FALSE)*D1686))</f>
        <v>85000</v>
      </c>
      <c r="K1686" s="63">
        <f t="shared" si="866"/>
        <v>0.14285714285714285</v>
      </c>
      <c r="L1686" s="871" t="s">
        <v>1613</v>
      </c>
      <c r="M1686" s="468"/>
      <c r="N1686" s="664">
        <f t="shared" si="861"/>
        <v>181121</v>
      </c>
      <c r="O1686" s="71" t="s">
        <v>150</v>
      </c>
      <c r="P1686" s="103" t="str">
        <f t="shared" si="870"/>
        <v>매엽용 세척제(Wash 562)</v>
      </c>
      <c r="Q1686" s="71">
        <f t="shared" si="870"/>
        <v>10</v>
      </c>
      <c r="R1686" s="102">
        <v>51000</v>
      </c>
      <c r="S1686" s="102">
        <f>(R1686*D1686)*1.1</f>
        <v>561000</v>
      </c>
      <c r="T1686" s="102">
        <f>(R1686*Q1686)</f>
        <v>510000</v>
      </c>
      <c r="U1686" s="71" t="str">
        <f t="shared" si="869"/>
        <v>O</v>
      </c>
      <c r="V1686" s="71"/>
      <c r="W1686" s="474">
        <f>(G1686-T1686)</f>
        <v>85000</v>
      </c>
      <c r="X1686" s="71"/>
      <c r="Y1686" s="71"/>
    </row>
    <row r="1687" spans="1:25" s="209" customFormat="1" ht="30" hidden="1" customHeight="1" x14ac:dyDescent="0.2">
      <c r="A1687" s="82">
        <v>181121</v>
      </c>
      <c r="B1687" s="664" t="s">
        <v>445</v>
      </c>
      <c r="C1687" s="71" t="s">
        <v>107</v>
      </c>
      <c r="D1687" s="71">
        <v>10</v>
      </c>
      <c r="E1687" s="102">
        <v>108000</v>
      </c>
      <c r="F1687" s="163">
        <f t="shared" si="864"/>
        <v>1188000</v>
      </c>
      <c r="G1687" s="163">
        <f t="shared" si="865"/>
        <v>1080000</v>
      </c>
      <c r="H1687" s="165" t="s">
        <v>172</v>
      </c>
      <c r="I1687" s="71" t="s">
        <v>109</v>
      </c>
      <c r="J1687" s="53">
        <f>(G1687-(VLOOKUP(C1687,Price!B:D,3,FALSE)*D1687))</f>
        <v>275000</v>
      </c>
      <c r="K1687" s="63">
        <f t="shared" si="866"/>
        <v>0.25462962962962965</v>
      </c>
      <c r="L1687" s="871" t="s">
        <v>1613</v>
      </c>
      <c r="M1687" s="468"/>
      <c r="N1687" s="664">
        <f t="shared" si="861"/>
        <v>181121</v>
      </c>
      <c r="O1687" s="71" t="s">
        <v>147</v>
      </c>
      <c r="P1687" s="103" t="str">
        <f t="shared" si="870"/>
        <v>Blanket(1050*840)</v>
      </c>
      <c r="Q1687" s="71">
        <f t="shared" si="870"/>
        <v>10</v>
      </c>
      <c r="R1687" s="102">
        <v>80500</v>
      </c>
      <c r="S1687" s="102">
        <f>(R1687*D1687)*1.1</f>
        <v>885500.00000000012</v>
      </c>
      <c r="T1687" s="102">
        <f>(R1687*Q1687)</f>
        <v>805000</v>
      </c>
      <c r="U1687" s="71" t="str">
        <f t="shared" si="869"/>
        <v>O</v>
      </c>
      <c r="V1687" s="71"/>
      <c r="W1687" s="474">
        <f>(G1687-T1687)</f>
        <v>275000</v>
      </c>
      <c r="X1687" s="71"/>
      <c r="Y1687" s="71"/>
    </row>
    <row r="1688" spans="1:25" s="209" customFormat="1" ht="30" hidden="1" customHeight="1" x14ac:dyDescent="0.2">
      <c r="A1688" s="82">
        <v>181129</v>
      </c>
      <c r="B1688" s="664" t="s">
        <v>445</v>
      </c>
      <c r="C1688" s="71" t="s">
        <v>138</v>
      </c>
      <c r="D1688" s="71">
        <v>10</v>
      </c>
      <c r="E1688" s="102">
        <v>59500</v>
      </c>
      <c r="F1688" s="163">
        <f t="shared" si="864"/>
        <v>654500</v>
      </c>
      <c r="G1688" s="163">
        <f t="shared" si="865"/>
        <v>595000</v>
      </c>
      <c r="H1688" s="165" t="s">
        <v>172</v>
      </c>
      <c r="I1688" s="71" t="s">
        <v>108</v>
      </c>
      <c r="J1688" s="53">
        <f>(G1688-(VLOOKUP(C1688,Price!B:D,3,FALSE)*D1688))</f>
        <v>85000</v>
      </c>
      <c r="K1688" s="63">
        <f t="shared" si="866"/>
        <v>0.14285714285714285</v>
      </c>
      <c r="L1688" s="871" t="s">
        <v>1613</v>
      </c>
      <c r="M1688" s="468"/>
      <c r="N1688" s="664">
        <f t="shared" si="861"/>
        <v>181129</v>
      </c>
      <c r="O1688" s="71" t="s">
        <v>150</v>
      </c>
      <c r="P1688" s="103" t="str">
        <f>C1688</f>
        <v>매엽용 세척제(Wash 562)</v>
      </c>
      <c r="Q1688" s="71">
        <f>D1688</f>
        <v>10</v>
      </c>
      <c r="R1688" s="102">
        <v>51000</v>
      </c>
      <c r="S1688" s="102">
        <f>(R1688*D1688)*1.1</f>
        <v>561000</v>
      </c>
      <c r="T1688" s="102">
        <f>(R1688*Q1688)</f>
        <v>510000</v>
      </c>
      <c r="U1688" s="71" t="str">
        <f t="shared" si="869"/>
        <v>O</v>
      </c>
      <c r="V1688" s="71"/>
      <c r="W1688" s="474">
        <f>(G1688-T1688)</f>
        <v>85000</v>
      </c>
      <c r="X1688" s="71"/>
      <c r="Y1688" s="71"/>
    </row>
    <row r="1689" spans="1:25" s="209" customFormat="1" ht="30" hidden="1" customHeight="1" x14ac:dyDescent="0.25">
      <c r="A1689" s="82">
        <v>181129</v>
      </c>
      <c r="B1689" s="664" t="s">
        <v>1286</v>
      </c>
      <c r="C1689" s="71" t="s">
        <v>277</v>
      </c>
      <c r="D1689" s="71">
        <v>6</v>
      </c>
      <c r="E1689" s="102">
        <v>172000</v>
      </c>
      <c r="F1689" s="102">
        <f t="shared" si="864"/>
        <v>1135200</v>
      </c>
      <c r="G1689" s="102">
        <f t="shared" si="865"/>
        <v>1032000</v>
      </c>
      <c r="H1689" s="690" t="s">
        <v>173</v>
      </c>
      <c r="I1689" s="71" t="s">
        <v>108</v>
      </c>
      <c r="J1689" s="53">
        <f>(G1689-(VLOOKUP(C1689,Price!B:D,3,FALSE)*D1689))</f>
        <v>342000</v>
      </c>
      <c r="K1689" s="63">
        <f t="shared" si="866"/>
        <v>0.33139534883720928</v>
      </c>
      <c r="L1689" s="871" t="s">
        <v>1613</v>
      </c>
      <c r="M1689" s="468"/>
      <c r="N1689" s="664">
        <f t="shared" si="861"/>
        <v>181129</v>
      </c>
      <c r="O1689" s="71" t="s">
        <v>150</v>
      </c>
      <c r="P1689" s="103" t="str">
        <f>(C1689)</f>
        <v>윤전용 세척제(Web 504)</v>
      </c>
      <c r="Q1689" s="71">
        <f t="shared" ref="Q1689:Q1694" si="871">D1689</f>
        <v>6</v>
      </c>
      <c r="R1689" s="102">
        <v>115000</v>
      </c>
      <c r="S1689" s="102">
        <f>(R1689*D1689)*1.1</f>
        <v>759000.00000000012</v>
      </c>
      <c r="T1689" s="102">
        <f>(R1689*Q1689)</f>
        <v>690000</v>
      </c>
      <c r="U1689" s="71" t="str">
        <f t="shared" si="869"/>
        <v>O</v>
      </c>
      <c r="V1689" s="71"/>
      <c r="W1689" s="474">
        <f>(G1689-T1689)</f>
        <v>342000</v>
      </c>
      <c r="X1689" s="71"/>
      <c r="Y1689" s="71"/>
    </row>
    <row r="1690" spans="1:25" ht="30" hidden="1" customHeight="1" x14ac:dyDescent="0.25">
      <c r="A1690" s="82">
        <v>181203</v>
      </c>
      <c r="B1690" s="664" t="s">
        <v>591</v>
      </c>
      <c r="C1690" s="71" t="s">
        <v>1512</v>
      </c>
      <c r="D1690" s="71">
        <v>1</v>
      </c>
      <c r="E1690" s="102">
        <v>7540000</v>
      </c>
      <c r="F1690" s="102">
        <f>(E1690*D1690)*1.1</f>
        <v>8294000.0000000009</v>
      </c>
      <c r="G1690" s="102">
        <f>(E1690*D1690)</f>
        <v>7540000</v>
      </c>
      <c r="H1690" s="690" t="s">
        <v>173</v>
      </c>
      <c r="I1690" s="71" t="s">
        <v>143</v>
      </c>
      <c r="J1690" s="53">
        <f>G1690-T1690</f>
        <v>1240000</v>
      </c>
      <c r="K1690" s="63">
        <f>(J1690/(F1690/11*10))</f>
        <v>0.16445623342175064</v>
      </c>
      <c r="L1690" s="871" t="s">
        <v>1613</v>
      </c>
      <c r="M1690" s="468"/>
      <c r="N1690" s="664">
        <f>A1690</f>
        <v>181203</v>
      </c>
      <c r="O1690" s="71" t="s">
        <v>612</v>
      </c>
      <c r="P1690" s="103" t="str">
        <f>C1690</f>
        <v>고모리 매엽 독일제 롤라 18개</v>
      </c>
      <c r="Q1690" s="71">
        <f t="shared" si="871"/>
        <v>1</v>
      </c>
      <c r="R1690" s="102">
        <v>6300000</v>
      </c>
      <c r="S1690" s="102">
        <f>R1690*Q1690*1.1</f>
        <v>6930000.0000000009</v>
      </c>
      <c r="T1690" s="102">
        <f>R1690*Q1690</f>
        <v>6300000</v>
      </c>
      <c r="U1690" s="71" t="str">
        <f t="shared" si="869"/>
        <v>X</v>
      </c>
      <c r="V1690" s="71"/>
      <c r="W1690" s="474"/>
      <c r="X1690" s="71"/>
      <c r="Y1690" s="71"/>
    </row>
    <row r="1691" spans="1:25" ht="30" hidden="1" customHeight="1" x14ac:dyDescent="0.25">
      <c r="A1691" s="82">
        <v>181203</v>
      </c>
      <c r="B1691" s="664" t="s">
        <v>591</v>
      </c>
      <c r="C1691" s="71" t="s">
        <v>1510</v>
      </c>
      <c r="D1691" s="71">
        <v>2</v>
      </c>
      <c r="E1691" s="102">
        <v>440000</v>
      </c>
      <c r="F1691" s="102">
        <f>(E1691*D1691)*1.1</f>
        <v>968000.00000000012</v>
      </c>
      <c r="G1691" s="102">
        <f>(E1691*D1691)</f>
        <v>880000</v>
      </c>
      <c r="H1691" s="690" t="s">
        <v>173</v>
      </c>
      <c r="I1691" s="71" t="s">
        <v>143</v>
      </c>
      <c r="J1691" s="53">
        <f>G1691-T1691</f>
        <v>120000</v>
      </c>
      <c r="K1691" s="63">
        <f>(J1691/(F1691/11*10))</f>
        <v>0.13636363636363635</v>
      </c>
      <c r="L1691" s="871" t="s">
        <v>1613</v>
      </c>
      <c r="M1691" s="468"/>
      <c r="N1691" s="664">
        <f>A1691</f>
        <v>181203</v>
      </c>
      <c r="O1691" s="71" t="s">
        <v>612</v>
      </c>
      <c r="P1691" s="103" t="str">
        <f>C1691</f>
        <v>Water Form Roller 80mm</v>
      </c>
      <c r="Q1691" s="71">
        <f t="shared" si="871"/>
        <v>2</v>
      </c>
      <c r="R1691" s="102">
        <v>380000</v>
      </c>
      <c r="S1691" s="102">
        <f>R1691*Q1691*1.1</f>
        <v>836000.00000000012</v>
      </c>
      <c r="T1691" s="102">
        <f>R1691*Q1691</f>
        <v>760000</v>
      </c>
      <c r="U1691" s="71" t="str">
        <f t="shared" si="869"/>
        <v>X</v>
      </c>
      <c r="V1691" s="71"/>
      <c r="W1691" s="474"/>
      <c r="X1691" s="71"/>
      <c r="Y1691" s="71"/>
    </row>
    <row r="1692" spans="1:25" ht="30" hidden="1" customHeight="1" x14ac:dyDescent="0.25">
      <c r="A1692" s="82">
        <v>181203</v>
      </c>
      <c r="B1692" s="664" t="s">
        <v>591</v>
      </c>
      <c r="C1692" s="71" t="s">
        <v>1511</v>
      </c>
      <c r="D1692" s="71">
        <v>1</v>
      </c>
      <c r="E1692" s="102">
        <v>440000</v>
      </c>
      <c r="F1692" s="102">
        <f>(E1692*D1692)*1.1</f>
        <v>484000.00000000006</v>
      </c>
      <c r="G1692" s="102">
        <f>(E1692*D1692)</f>
        <v>440000</v>
      </c>
      <c r="H1692" s="690" t="s">
        <v>173</v>
      </c>
      <c r="I1692" s="71" t="s">
        <v>143</v>
      </c>
      <c r="J1692" s="53">
        <f>G1692-T1692</f>
        <v>60000</v>
      </c>
      <c r="K1692" s="63">
        <f>(J1692/(F1692/11*10))</f>
        <v>0.13636363636363635</v>
      </c>
      <c r="L1692" s="871" t="s">
        <v>1613</v>
      </c>
      <c r="M1692" s="468"/>
      <c r="N1692" s="664">
        <f>A1692</f>
        <v>181203</v>
      </c>
      <c r="O1692" s="71" t="s">
        <v>612</v>
      </c>
      <c r="P1692" s="103" t="str">
        <f>C1692</f>
        <v>Water Form Roller 92mm</v>
      </c>
      <c r="Q1692" s="71">
        <f t="shared" si="871"/>
        <v>1</v>
      </c>
      <c r="R1692" s="102">
        <v>380000</v>
      </c>
      <c r="S1692" s="102">
        <f>R1692*Q1692*1.1</f>
        <v>418000.00000000006</v>
      </c>
      <c r="T1692" s="102">
        <f>R1692*Q1692</f>
        <v>380000</v>
      </c>
      <c r="U1692" s="71" t="str">
        <f t="shared" si="869"/>
        <v>X</v>
      </c>
      <c r="V1692" s="71"/>
      <c r="W1692" s="474"/>
      <c r="X1692" s="71"/>
      <c r="Y1692" s="71"/>
    </row>
    <row r="1693" spans="1:25" ht="30" hidden="1" customHeight="1" x14ac:dyDescent="0.25">
      <c r="A1693" s="82">
        <v>181207</v>
      </c>
      <c r="B1693" s="664" t="s">
        <v>1513</v>
      </c>
      <c r="C1693" s="71" t="s">
        <v>1514</v>
      </c>
      <c r="D1693" s="71">
        <v>4</v>
      </c>
      <c r="E1693" s="102">
        <v>650000</v>
      </c>
      <c r="F1693" s="102">
        <f>(E1693*D1693)*1.1</f>
        <v>2860000</v>
      </c>
      <c r="G1693" s="102">
        <f>(E1693*D1693)</f>
        <v>2600000</v>
      </c>
      <c r="H1693" s="690" t="s">
        <v>173</v>
      </c>
      <c r="I1693" s="71" t="s">
        <v>2231</v>
      </c>
      <c r="J1693" s="53">
        <f>G1693-T1693</f>
        <v>1592172.8026965258</v>
      </c>
      <c r="K1693" s="63">
        <f>(J1693/(F1693/11*10))</f>
        <v>0.61237415488327918</v>
      </c>
      <c r="L1693" s="871" t="s">
        <v>1613</v>
      </c>
      <c r="M1693" s="468"/>
      <c r="N1693" s="664">
        <f>A1693</f>
        <v>181207</v>
      </c>
      <c r="O1693" s="71" t="s">
        <v>1458</v>
      </c>
      <c r="P1693" s="103" t="str">
        <f>C1693</f>
        <v>UV Lamp-BF572</v>
      </c>
      <c r="Q1693" s="71">
        <f t="shared" si="871"/>
        <v>4</v>
      </c>
      <c r="R1693" s="102">
        <f>Import!G729</f>
        <v>251956.79932586855</v>
      </c>
      <c r="S1693" s="102">
        <f>(R1693*D1693)*1.1</f>
        <v>1108609.9170338216</v>
      </c>
      <c r="T1693" s="102">
        <f>(R1693*Q1693)</f>
        <v>1007827.1973034742</v>
      </c>
      <c r="U1693" s="71">
        <v>0</v>
      </c>
      <c r="V1693" s="71"/>
      <c r="W1693" s="474"/>
      <c r="X1693" s="71"/>
      <c r="Y1693" s="71"/>
    </row>
    <row r="1694" spans="1:25" ht="30" hidden="1" customHeight="1" x14ac:dyDescent="0.25">
      <c r="A1694" s="82">
        <v>181207</v>
      </c>
      <c r="B1694" s="664" t="s">
        <v>1513</v>
      </c>
      <c r="C1694" s="71" t="s">
        <v>1515</v>
      </c>
      <c r="D1694" s="71">
        <v>2</v>
      </c>
      <c r="E1694" s="102">
        <v>650000</v>
      </c>
      <c r="F1694" s="102">
        <f>(E1694*D1694)*1.1</f>
        <v>1430000</v>
      </c>
      <c r="G1694" s="102">
        <f>(E1694*D1694)</f>
        <v>1300000</v>
      </c>
      <c r="H1694" s="690" t="s">
        <v>173</v>
      </c>
      <c r="I1694" s="71" t="s">
        <v>2231</v>
      </c>
      <c r="J1694" s="53">
        <f>G1694-T1694</f>
        <v>651617.76233940967</v>
      </c>
      <c r="K1694" s="63">
        <f>(J1694/(F1694/11*10))</f>
        <v>0.50124443256877671</v>
      </c>
      <c r="L1694" s="871" t="s">
        <v>1613</v>
      </c>
      <c r="M1694" s="468"/>
      <c r="N1694" s="664">
        <f>A1694</f>
        <v>181207</v>
      </c>
      <c r="O1694" s="71" t="s">
        <v>1458</v>
      </c>
      <c r="P1694" s="103" t="str">
        <f>C1694</f>
        <v>UV Lamp-BF567</v>
      </c>
      <c r="Q1694" s="71">
        <f t="shared" si="871"/>
        <v>2</v>
      </c>
      <c r="R1694" s="102">
        <f>Import!G730</f>
        <v>324191.11883029516</v>
      </c>
      <c r="S1694" s="102">
        <f>(R1694*D1694)*1.1</f>
        <v>713220.46142664936</v>
      </c>
      <c r="T1694" s="102">
        <f>(R1694*Q1694)</f>
        <v>648382.23766059033</v>
      </c>
      <c r="U1694" s="71">
        <v>0</v>
      </c>
      <c r="V1694" s="71"/>
      <c r="W1694" s="474"/>
      <c r="X1694" s="71"/>
      <c r="Y1694" s="71"/>
    </row>
    <row r="1695" spans="1:25" ht="30" hidden="1" customHeight="1" x14ac:dyDescent="0.25">
      <c r="A1695" s="82">
        <v>181228</v>
      </c>
      <c r="B1695" s="664" t="s">
        <v>442</v>
      </c>
      <c r="C1695" s="71" t="s">
        <v>133</v>
      </c>
      <c r="D1695" s="71">
        <v>2</v>
      </c>
      <c r="E1695" s="102">
        <v>327000</v>
      </c>
      <c r="F1695" s="102">
        <f t="shared" ref="F1695:F1702" si="872">(E1695*D1695)*1.1</f>
        <v>719400</v>
      </c>
      <c r="G1695" s="102">
        <f t="shared" ref="G1695:G1702" si="873">(E1695*D1695)</f>
        <v>654000</v>
      </c>
      <c r="H1695" s="690" t="s">
        <v>173</v>
      </c>
      <c r="I1695" s="71" t="s">
        <v>141</v>
      </c>
      <c r="J1695" s="53">
        <f>(G1695-(VLOOKUP(C1695,Price!B:D,3,FALSE)*D1695))</f>
        <v>115800</v>
      </c>
      <c r="K1695" s="63">
        <f t="shared" ref="K1695:K1701" si="874">(J1695/(F1695/11*10))</f>
        <v>0.17706422018348625</v>
      </c>
      <c r="L1695" s="871" t="s">
        <v>1613</v>
      </c>
      <c r="M1695" s="468"/>
      <c r="N1695" s="664">
        <f t="shared" ref="N1695:N1702" si="875">A1695</f>
        <v>181228</v>
      </c>
      <c r="O1695" s="71" t="s">
        <v>145</v>
      </c>
      <c r="P1695" s="103" t="str">
        <f t="shared" ref="P1695:P1701" si="876">C1695</f>
        <v>Agfa Film(24inch)</v>
      </c>
      <c r="Q1695" s="71">
        <f t="shared" ref="Q1695:Q1702" si="877">D1695</f>
        <v>2</v>
      </c>
      <c r="R1695" s="102">
        <v>269100</v>
      </c>
      <c r="S1695" s="102">
        <f t="shared" ref="S1695:S1708" si="878">R1695*Q1695*1.1</f>
        <v>592020</v>
      </c>
      <c r="T1695" s="102">
        <f t="shared" ref="T1695:T1708" si="879">R1695*Q1695</f>
        <v>538200</v>
      </c>
      <c r="U1695" s="71" t="str">
        <f t="shared" ref="U1695:U1708" si="880">IF(J1695=W1695,"O", "X")</f>
        <v>O</v>
      </c>
      <c r="V1695" s="71"/>
      <c r="W1695" s="474">
        <f>(G1695-T1695)</f>
        <v>115800</v>
      </c>
      <c r="X1695" s="71"/>
      <c r="Y1695" s="71"/>
    </row>
    <row r="1696" spans="1:25" ht="30" hidden="1" customHeight="1" x14ac:dyDescent="0.25">
      <c r="A1696" s="82">
        <v>181228</v>
      </c>
      <c r="B1696" s="664" t="s">
        <v>442</v>
      </c>
      <c r="C1696" s="71" t="s">
        <v>134</v>
      </c>
      <c r="D1696" s="71">
        <v>2</v>
      </c>
      <c r="E1696" s="102">
        <v>401000</v>
      </c>
      <c r="F1696" s="102">
        <f t="shared" si="872"/>
        <v>882200.00000000012</v>
      </c>
      <c r="G1696" s="102">
        <f t="shared" si="873"/>
        <v>802000</v>
      </c>
      <c r="H1696" s="690" t="s">
        <v>173</v>
      </c>
      <c r="I1696" s="71" t="s">
        <v>141</v>
      </c>
      <c r="J1696" s="53">
        <f>(G1696-(VLOOKUP(C1696,Price!B:D,3,FALSE)*D1696))</f>
        <v>174080</v>
      </c>
      <c r="K1696" s="63">
        <f t="shared" si="874"/>
        <v>0.21705735660847877</v>
      </c>
      <c r="L1696" s="871" t="s">
        <v>1613</v>
      </c>
      <c r="M1696" s="468"/>
      <c r="N1696" s="664">
        <f t="shared" si="875"/>
        <v>181228</v>
      </c>
      <c r="O1696" s="71" t="s">
        <v>145</v>
      </c>
      <c r="P1696" s="103" t="str">
        <f t="shared" si="876"/>
        <v>Agfa Film(28inch)</v>
      </c>
      <c r="Q1696" s="71">
        <f t="shared" si="877"/>
        <v>2</v>
      </c>
      <c r="R1696" s="102">
        <f>VLOOKUP(P1696,Price!B:D,3,FALSE)</f>
        <v>313960</v>
      </c>
      <c r="S1696" s="102">
        <f t="shared" si="878"/>
        <v>690712</v>
      </c>
      <c r="T1696" s="102">
        <f t="shared" si="879"/>
        <v>627920</v>
      </c>
      <c r="U1696" s="71" t="str">
        <f t="shared" si="880"/>
        <v>O</v>
      </c>
      <c r="V1696" s="71"/>
      <c r="W1696" s="474">
        <f>(G1696-T1696)</f>
        <v>174080</v>
      </c>
      <c r="X1696" s="71"/>
      <c r="Y1696" s="71"/>
    </row>
    <row r="1697" spans="1:25" ht="30" hidden="1" customHeight="1" x14ac:dyDescent="0.25">
      <c r="A1697" s="82">
        <v>181228</v>
      </c>
      <c r="B1697" s="664" t="s">
        <v>442</v>
      </c>
      <c r="C1697" s="71" t="s">
        <v>135</v>
      </c>
      <c r="D1697" s="71">
        <v>2</v>
      </c>
      <c r="E1697" s="102">
        <v>448000</v>
      </c>
      <c r="F1697" s="102">
        <f t="shared" si="872"/>
        <v>985600.00000000012</v>
      </c>
      <c r="G1697" s="102">
        <f t="shared" si="873"/>
        <v>896000</v>
      </c>
      <c r="H1697" s="690" t="s">
        <v>173</v>
      </c>
      <c r="I1697" s="71" t="s">
        <v>141</v>
      </c>
      <c r="J1697" s="53">
        <f>(G1697-(VLOOKUP(C1697,Price!B:D,3,FALSE)*D1697))</f>
        <v>155980</v>
      </c>
      <c r="K1697" s="63">
        <f t="shared" si="874"/>
        <v>0.1740848214285714</v>
      </c>
      <c r="L1697" s="871" t="s">
        <v>1613</v>
      </c>
      <c r="M1697" s="468"/>
      <c r="N1697" s="664">
        <f t="shared" si="875"/>
        <v>181228</v>
      </c>
      <c r="O1697" s="71" t="s">
        <v>145</v>
      </c>
      <c r="P1697" s="103" t="str">
        <f t="shared" si="876"/>
        <v>Agfa Film(32inch)</v>
      </c>
      <c r="Q1697" s="71">
        <f t="shared" si="877"/>
        <v>2</v>
      </c>
      <c r="R1697" s="102">
        <f>VLOOKUP(P1697,Price!B:D,3,FALSE)</f>
        <v>370010</v>
      </c>
      <c r="S1697" s="102">
        <f t="shared" si="878"/>
        <v>814022.00000000012</v>
      </c>
      <c r="T1697" s="102">
        <f t="shared" si="879"/>
        <v>740020</v>
      </c>
      <c r="U1697" s="71" t="str">
        <f t="shared" si="880"/>
        <v>O</v>
      </c>
      <c r="V1697" s="71"/>
      <c r="W1697" s="474">
        <f>(G1697-T1697)</f>
        <v>155980</v>
      </c>
      <c r="X1697" s="71"/>
      <c r="Y1697" s="71"/>
    </row>
    <row r="1698" spans="1:25" ht="30" hidden="1" customHeight="1" x14ac:dyDescent="0.25">
      <c r="A1698" s="82">
        <v>181228</v>
      </c>
      <c r="B1698" s="664" t="s">
        <v>442</v>
      </c>
      <c r="C1698" s="71" t="s">
        <v>649</v>
      </c>
      <c r="D1698" s="71">
        <v>2</v>
      </c>
      <c r="E1698" s="102">
        <v>41000</v>
      </c>
      <c r="F1698" s="102">
        <f t="shared" si="872"/>
        <v>90200.000000000015</v>
      </c>
      <c r="G1698" s="102">
        <f t="shared" si="873"/>
        <v>82000</v>
      </c>
      <c r="H1698" s="690" t="s">
        <v>173</v>
      </c>
      <c r="I1698" s="71" t="s">
        <v>141</v>
      </c>
      <c r="J1698" s="53">
        <f>(G1698-(VLOOKUP(C1698,Price!B:D,3,FALSE)*D1698))</f>
        <v>32000</v>
      </c>
      <c r="K1698" s="63">
        <f t="shared" si="874"/>
        <v>0.39024390243902435</v>
      </c>
      <c r="L1698" s="871" t="s">
        <v>1613</v>
      </c>
      <c r="M1698" s="468"/>
      <c r="N1698" s="664">
        <f t="shared" si="875"/>
        <v>181228</v>
      </c>
      <c r="O1698" s="71" t="s">
        <v>145</v>
      </c>
      <c r="P1698" s="103" t="str">
        <f t="shared" si="876"/>
        <v>Agfa 현상액 G101C(10L)</v>
      </c>
      <c r="Q1698" s="71">
        <f t="shared" si="877"/>
        <v>2</v>
      </c>
      <c r="R1698" s="102">
        <f>VLOOKUP(P1698,Price!B:D,3,FALSE)</f>
        <v>25000</v>
      </c>
      <c r="S1698" s="102">
        <f t="shared" si="878"/>
        <v>55000.000000000007</v>
      </c>
      <c r="T1698" s="102">
        <f t="shared" si="879"/>
        <v>50000</v>
      </c>
      <c r="U1698" s="71" t="str">
        <f t="shared" si="880"/>
        <v>O</v>
      </c>
      <c r="V1698" s="71"/>
      <c r="W1698" s="474">
        <f>(G1698-T1698)</f>
        <v>32000</v>
      </c>
      <c r="X1698" s="71"/>
      <c r="Y1698" s="71"/>
    </row>
    <row r="1699" spans="1:25" ht="30" hidden="1" customHeight="1" x14ac:dyDescent="0.25">
      <c r="A1699" s="82">
        <v>181228</v>
      </c>
      <c r="B1699" s="664" t="s">
        <v>690</v>
      </c>
      <c r="C1699" s="67" t="s">
        <v>197</v>
      </c>
      <c r="D1699" s="71">
        <v>5</v>
      </c>
      <c r="E1699" s="102">
        <v>49000</v>
      </c>
      <c r="F1699" s="102">
        <f t="shared" si="872"/>
        <v>269500</v>
      </c>
      <c r="G1699" s="102">
        <f t="shared" si="873"/>
        <v>245000</v>
      </c>
      <c r="H1699" s="690" t="s">
        <v>173</v>
      </c>
      <c r="I1699" s="71" t="s">
        <v>2230</v>
      </c>
      <c r="J1699" s="53">
        <f>(G1699-(VLOOKUP(C1699,Price!B:D,3,FALSE)*D1699))</f>
        <v>70000</v>
      </c>
      <c r="K1699" s="63">
        <f t="shared" si="874"/>
        <v>0.2857142857142857</v>
      </c>
      <c r="L1699" s="871" t="s">
        <v>1613</v>
      </c>
      <c r="M1699" s="468" t="s">
        <v>1394</v>
      </c>
      <c r="N1699" s="664">
        <f t="shared" si="875"/>
        <v>181228</v>
      </c>
      <c r="O1699" s="71" t="s">
        <v>145</v>
      </c>
      <c r="P1699" s="103" t="str">
        <f t="shared" si="876"/>
        <v>THR200(20L)</v>
      </c>
      <c r="Q1699" s="71">
        <f t="shared" si="877"/>
        <v>5</v>
      </c>
      <c r="R1699" s="102">
        <v>35000</v>
      </c>
      <c r="S1699" s="102">
        <f t="shared" si="878"/>
        <v>192500.00000000003</v>
      </c>
      <c r="T1699" s="102">
        <f t="shared" si="879"/>
        <v>175000</v>
      </c>
      <c r="U1699" s="71" t="str">
        <f t="shared" si="880"/>
        <v>X</v>
      </c>
      <c r="V1699" s="71"/>
      <c r="W1699" s="474"/>
      <c r="X1699" s="71"/>
      <c r="Y1699" s="71"/>
    </row>
    <row r="1700" spans="1:25" ht="30" hidden="1" customHeight="1" x14ac:dyDescent="0.25">
      <c r="A1700" s="82">
        <v>181228</v>
      </c>
      <c r="B1700" s="664" t="s">
        <v>690</v>
      </c>
      <c r="C1700" s="71" t="s">
        <v>750</v>
      </c>
      <c r="D1700" s="71">
        <v>2</v>
      </c>
      <c r="E1700" s="102">
        <v>49000</v>
      </c>
      <c r="F1700" s="102">
        <f t="shared" si="872"/>
        <v>107800.00000000001</v>
      </c>
      <c r="G1700" s="102">
        <f t="shared" si="873"/>
        <v>98000</v>
      </c>
      <c r="H1700" s="690" t="s">
        <v>173</v>
      </c>
      <c r="I1700" s="71" t="s">
        <v>2230</v>
      </c>
      <c r="J1700" s="53">
        <f>(G1700-(VLOOKUP(C1700,Price!B:D,3,FALSE)*D1700))</f>
        <v>28000</v>
      </c>
      <c r="K1700" s="63">
        <f t="shared" si="874"/>
        <v>0.2857142857142857</v>
      </c>
      <c r="L1700" s="871" t="s">
        <v>1613</v>
      </c>
      <c r="M1700" s="468" t="s">
        <v>1394</v>
      </c>
      <c r="N1700" s="664">
        <f t="shared" si="875"/>
        <v>181228</v>
      </c>
      <c r="O1700" s="71" t="s">
        <v>145</v>
      </c>
      <c r="P1700" s="103" t="str">
        <f t="shared" si="876"/>
        <v>THD200(20L)</v>
      </c>
      <c r="Q1700" s="71">
        <f t="shared" si="877"/>
        <v>2</v>
      </c>
      <c r="R1700" s="102">
        <v>35000</v>
      </c>
      <c r="S1700" s="102">
        <f t="shared" si="878"/>
        <v>77000</v>
      </c>
      <c r="T1700" s="102">
        <f t="shared" si="879"/>
        <v>70000</v>
      </c>
      <c r="U1700" s="71" t="str">
        <f t="shared" si="880"/>
        <v>O</v>
      </c>
      <c r="V1700" s="71"/>
      <c r="W1700" s="474">
        <f>(G1700-T1700)</f>
        <v>28000</v>
      </c>
      <c r="X1700" s="71"/>
      <c r="Y1700" s="71"/>
    </row>
    <row r="1701" spans="1:25" ht="30" hidden="1" customHeight="1" x14ac:dyDescent="0.25">
      <c r="A1701" s="82">
        <v>181228</v>
      </c>
      <c r="B1701" s="664" t="s">
        <v>690</v>
      </c>
      <c r="C1701" s="71" t="s">
        <v>1186</v>
      </c>
      <c r="D1701" s="71">
        <v>500</v>
      </c>
      <c r="E1701" s="102">
        <v>3600</v>
      </c>
      <c r="F1701" s="102">
        <f t="shared" si="872"/>
        <v>1980000.0000000002</v>
      </c>
      <c r="G1701" s="102">
        <f t="shared" si="873"/>
        <v>1800000</v>
      </c>
      <c r="H1701" s="690" t="s">
        <v>173</v>
      </c>
      <c r="I1701" s="71" t="s">
        <v>2230</v>
      </c>
      <c r="J1701" s="53">
        <f>(G1701-(VLOOKUP(C1701,Price!B:D,3,FALSE)*D1701))</f>
        <v>-200000</v>
      </c>
      <c r="K1701" s="63">
        <f t="shared" si="874"/>
        <v>-0.11111111111111109</v>
      </c>
      <c r="L1701" s="871" t="s">
        <v>1613</v>
      </c>
      <c r="M1701" s="468" t="s">
        <v>1393</v>
      </c>
      <c r="N1701" s="664">
        <f t="shared" si="875"/>
        <v>181228</v>
      </c>
      <c r="O1701" s="71" t="s">
        <v>145</v>
      </c>
      <c r="P1701" s="103" t="str">
        <f t="shared" si="876"/>
        <v>CTP 판(1030*790mm)</v>
      </c>
      <c r="Q1701" s="71">
        <f t="shared" si="877"/>
        <v>500</v>
      </c>
      <c r="R1701" s="102">
        <v>4000</v>
      </c>
      <c r="S1701" s="102">
        <f t="shared" si="878"/>
        <v>2200000</v>
      </c>
      <c r="T1701" s="102">
        <f t="shared" si="879"/>
        <v>2000000</v>
      </c>
      <c r="U1701" s="71" t="str">
        <f t="shared" si="880"/>
        <v>O</v>
      </c>
      <c r="V1701" s="71"/>
      <c r="W1701" s="474">
        <f>(G1701-T1701)</f>
        <v>-200000</v>
      </c>
      <c r="X1701" s="71"/>
      <c r="Y1701" s="71"/>
    </row>
    <row r="1702" spans="1:25" ht="30" hidden="1" customHeight="1" x14ac:dyDescent="0.25">
      <c r="A1702" s="82">
        <v>181228</v>
      </c>
      <c r="B1702" s="664" t="s">
        <v>690</v>
      </c>
      <c r="C1702" s="71" t="s">
        <v>825</v>
      </c>
      <c r="D1702" s="71">
        <v>2</v>
      </c>
      <c r="E1702" s="102">
        <v>150000</v>
      </c>
      <c r="F1702" s="102">
        <f t="shared" si="872"/>
        <v>330000</v>
      </c>
      <c r="G1702" s="102">
        <f t="shared" si="873"/>
        <v>300000</v>
      </c>
      <c r="H1702" s="690" t="s">
        <v>173</v>
      </c>
      <c r="I1702" s="71" t="s">
        <v>2231</v>
      </c>
      <c r="J1702" s="53">
        <f>G1702-T1702</f>
        <v>110000</v>
      </c>
      <c r="K1702" s="63">
        <f t="shared" ref="K1702:K1708" si="881">(J1702/(F1702/11*10))</f>
        <v>0.36666666666666664</v>
      </c>
      <c r="L1702" s="871" t="s">
        <v>1613</v>
      </c>
      <c r="M1702" s="468"/>
      <c r="N1702" s="664">
        <f t="shared" si="875"/>
        <v>181228</v>
      </c>
      <c r="O1702" s="71" t="s">
        <v>150</v>
      </c>
      <c r="P1702" s="103" t="str">
        <f t="shared" ref="P1702:P1719" si="882">C1702</f>
        <v>독일제 정품 잉크호일 아스테이지</v>
      </c>
      <c r="Q1702" s="71">
        <f t="shared" si="877"/>
        <v>2</v>
      </c>
      <c r="R1702" s="102">
        <v>95000</v>
      </c>
      <c r="S1702" s="102">
        <f t="shared" si="878"/>
        <v>209000.00000000003</v>
      </c>
      <c r="T1702" s="102">
        <f t="shared" si="879"/>
        <v>190000</v>
      </c>
      <c r="U1702" s="71" t="str">
        <f t="shared" si="880"/>
        <v>O</v>
      </c>
      <c r="V1702" s="71"/>
      <c r="W1702" s="474">
        <f>(G1702-T1702)</f>
        <v>110000</v>
      </c>
      <c r="X1702" s="71"/>
      <c r="Y1702" s="71"/>
    </row>
    <row r="1703" spans="1:25" ht="30" hidden="1" customHeight="1" x14ac:dyDescent="0.25">
      <c r="A1703" s="82">
        <v>190102</v>
      </c>
      <c r="B1703" s="664" t="s">
        <v>764</v>
      </c>
      <c r="C1703" s="71" t="s">
        <v>123</v>
      </c>
      <c r="D1703" s="71">
        <v>25</v>
      </c>
      <c r="E1703" s="102">
        <v>35000</v>
      </c>
      <c r="F1703" s="102">
        <f t="shared" ref="F1703:F1737" si="883">(E1703*D1703)*1.1</f>
        <v>962500.00000000012</v>
      </c>
      <c r="G1703" s="102">
        <f t="shared" ref="G1703:G1737" si="884">(E1703*D1703)</f>
        <v>875000</v>
      </c>
      <c r="H1703" s="690" t="s">
        <v>1432</v>
      </c>
      <c r="I1703" s="71" t="s">
        <v>1432</v>
      </c>
      <c r="J1703" s="53">
        <f>G1703-T1703</f>
        <v>313475</v>
      </c>
      <c r="K1703" s="63">
        <f t="shared" si="881"/>
        <v>0.35825714285714283</v>
      </c>
      <c r="L1703" s="871" t="s">
        <v>1613</v>
      </c>
      <c r="M1703" s="468"/>
      <c r="N1703" s="664">
        <f t="shared" ref="N1703:N1742" si="885">A1703</f>
        <v>190102</v>
      </c>
      <c r="O1703" s="71" t="s">
        <v>1432</v>
      </c>
      <c r="P1703" s="103" t="str">
        <f t="shared" si="882"/>
        <v>필터백</v>
      </c>
      <c r="Q1703" s="71">
        <f t="shared" ref="Q1703:Q1742" si="886">D1703</f>
        <v>25</v>
      </c>
      <c r="R1703" s="102">
        <v>22461</v>
      </c>
      <c r="S1703" s="102">
        <f t="shared" si="878"/>
        <v>617677.5</v>
      </c>
      <c r="T1703" s="102">
        <f t="shared" si="879"/>
        <v>561525</v>
      </c>
      <c r="U1703" s="71" t="str">
        <f t="shared" si="880"/>
        <v>O</v>
      </c>
      <c r="V1703" s="71"/>
      <c r="W1703" s="474">
        <f>(G1703-T1703)</f>
        <v>313475</v>
      </c>
      <c r="X1703" s="71"/>
      <c r="Y1703" s="71"/>
    </row>
    <row r="1704" spans="1:25" ht="30" hidden="1" customHeight="1" x14ac:dyDescent="0.25">
      <c r="A1704" s="82">
        <v>190102</v>
      </c>
      <c r="B1704" s="664" t="s">
        <v>620</v>
      </c>
      <c r="C1704" s="71" t="s">
        <v>1059</v>
      </c>
      <c r="D1704" s="71">
        <v>1</v>
      </c>
      <c r="E1704" s="102">
        <v>110000</v>
      </c>
      <c r="F1704" s="102">
        <f t="shared" si="883"/>
        <v>121000.00000000001</v>
      </c>
      <c r="G1704" s="102">
        <f t="shared" si="884"/>
        <v>110000</v>
      </c>
      <c r="H1704" s="690" t="s">
        <v>173</v>
      </c>
      <c r="I1704" s="71" t="s">
        <v>2231</v>
      </c>
      <c r="J1704" s="53">
        <f>G1704-R1704</f>
        <v>60000</v>
      </c>
      <c r="K1704" s="63">
        <f>(J1704/(F1704/11*10))</f>
        <v>0.54545454545454541</v>
      </c>
      <c r="L1704" s="871" t="s">
        <v>1602</v>
      </c>
      <c r="M1704" s="468"/>
      <c r="N1704" s="664">
        <f t="shared" si="885"/>
        <v>190102</v>
      </c>
      <c r="O1704" s="71" t="s">
        <v>153</v>
      </c>
      <c r="P1704" s="103" t="str">
        <f>C1704</f>
        <v>아스테이지(닥트호일)</v>
      </c>
      <c r="Q1704" s="71">
        <f t="shared" si="886"/>
        <v>1</v>
      </c>
      <c r="R1704" s="102">
        <v>50000</v>
      </c>
      <c r="S1704" s="102">
        <f t="shared" si="878"/>
        <v>55000.000000000007</v>
      </c>
      <c r="T1704" s="102">
        <f t="shared" si="879"/>
        <v>50000</v>
      </c>
      <c r="U1704" s="71" t="str">
        <f t="shared" si="880"/>
        <v>O</v>
      </c>
      <c r="V1704" s="71" t="s">
        <v>1146</v>
      </c>
      <c r="W1704" s="474">
        <f>(G1704-T1704)</f>
        <v>60000</v>
      </c>
      <c r="X1704" s="71"/>
      <c r="Y1704" s="71"/>
    </row>
    <row r="1705" spans="1:25" s="209" customFormat="1" ht="30" hidden="1" customHeight="1" x14ac:dyDescent="0.25">
      <c r="A1705" s="82">
        <v>190103</v>
      </c>
      <c r="B1705" s="664" t="s">
        <v>1286</v>
      </c>
      <c r="C1705" s="71" t="s">
        <v>1144</v>
      </c>
      <c r="D1705" s="71">
        <v>7</v>
      </c>
      <c r="E1705" s="102">
        <v>110000</v>
      </c>
      <c r="F1705" s="102">
        <f t="shared" si="883"/>
        <v>847000.00000000012</v>
      </c>
      <c r="G1705" s="102">
        <f t="shared" si="884"/>
        <v>770000</v>
      </c>
      <c r="H1705" s="690" t="s">
        <v>173</v>
      </c>
      <c r="I1705" s="71" t="s">
        <v>2231</v>
      </c>
      <c r="J1705" s="53">
        <f>G1705-T1705</f>
        <v>133000</v>
      </c>
      <c r="K1705" s="63">
        <f t="shared" si="881"/>
        <v>0.1727272727272727</v>
      </c>
      <c r="L1705" s="871" t="s">
        <v>1613</v>
      </c>
      <c r="M1705" s="468"/>
      <c r="N1705" s="664">
        <f t="shared" si="885"/>
        <v>190103</v>
      </c>
      <c r="O1705" s="71" t="s">
        <v>150</v>
      </c>
      <c r="P1705" s="103" t="str">
        <f t="shared" si="882"/>
        <v>실리콘 에멀전</v>
      </c>
      <c r="Q1705" s="71">
        <f t="shared" si="886"/>
        <v>7</v>
      </c>
      <c r="R1705" s="102">
        <v>91000</v>
      </c>
      <c r="S1705" s="102">
        <f t="shared" si="878"/>
        <v>700700</v>
      </c>
      <c r="T1705" s="102">
        <f t="shared" si="879"/>
        <v>637000</v>
      </c>
      <c r="U1705" s="71" t="str">
        <f t="shared" si="880"/>
        <v>X</v>
      </c>
      <c r="V1705" s="71"/>
      <c r="W1705" s="474"/>
      <c r="X1705" s="71"/>
      <c r="Y1705" s="71"/>
    </row>
    <row r="1706" spans="1:25" ht="30" hidden="1" customHeight="1" x14ac:dyDescent="0.25">
      <c r="A1706" s="82">
        <v>190103</v>
      </c>
      <c r="B1706" s="664" t="s">
        <v>1286</v>
      </c>
      <c r="C1706" s="760" t="s">
        <v>218</v>
      </c>
      <c r="D1706" s="71">
        <v>7</v>
      </c>
      <c r="E1706" s="102">
        <v>192500</v>
      </c>
      <c r="F1706" s="102">
        <f t="shared" si="883"/>
        <v>1482250.0000000002</v>
      </c>
      <c r="G1706" s="102">
        <f t="shared" si="884"/>
        <v>1347500</v>
      </c>
      <c r="H1706" s="690" t="s">
        <v>173</v>
      </c>
      <c r="I1706" s="71" t="s">
        <v>120</v>
      </c>
      <c r="J1706" s="53">
        <f>(G1706-(VLOOKUP(C1706,Price!B:D,3,FALSE)*D1706))</f>
        <v>560000</v>
      </c>
      <c r="K1706" s="63">
        <f t="shared" si="881"/>
        <v>0.4155844155844155</v>
      </c>
      <c r="L1706" s="871" t="s">
        <v>1613</v>
      </c>
      <c r="M1706" s="468"/>
      <c r="N1706" s="664">
        <f t="shared" si="885"/>
        <v>190103</v>
      </c>
      <c r="O1706" s="71" t="s">
        <v>150</v>
      </c>
      <c r="P1706" s="103" t="str">
        <f t="shared" si="882"/>
        <v>Fount Web 551AF</v>
      </c>
      <c r="Q1706" s="71">
        <f t="shared" si="886"/>
        <v>7</v>
      </c>
      <c r="R1706" s="102">
        <v>112500</v>
      </c>
      <c r="S1706" s="102">
        <f t="shared" si="878"/>
        <v>866250.00000000012</v>
      </c>
      <c r="T1706" s="102">
        <f t="shared" si="879"/>
        <v>787500</v>
      </c>
      <c r="U1706" s="71" t="str">
        <f t="shared" si="880"/>
        <v>O</v>
      </c>
      <c r="V1706" s="71"/>
      <c r="W1706" s="474">
        <f>(G1706-T1706)</f>
        <v>560000</v>
      </c>
      <c r="X1706" s="71"/>
      <c r="Y1706" s="71"/>
    </row>
    <row r="1707" spans="1:25" ht="30" hidden="1" customHeight="1" x14ac:dyDescent="0.25">
      <c r="A1707" s="82">
        <v>190103</v>
      </c>
      <c r="B1707" s="664" t="s">
        <v>983</v>
      </c>
      <c r="C1707" s="71" t="s">
        <v>1009</v>
      </c>
      <c r="D1707" s="71">
        <v>520</v>
      </c>
      <c r="E1707" s="102">
        <v>3900</v>
      </c>
      <c r="F1707" s="102">
        <f>(E1707*D1707)*1.1</f>
        <v>2230800</v>
      </c>
      <c r="G1707" s="102">
        <f>(E1707*D1707)</f>
        <v>2028000</v>
      </c>
      <c r="H1707" s="690" t="s">
        <v>173</v>
      </c>
      <c r="I1707" s="71" t="s">
        <v>2230</v>
      </c>
      <c r="J1707" s="53">
        <f>G1707-T1707</f>
        <v>312000</v>
      </c>
      <c r="K1707" s="63">
        <f t="shared" si="881"/>
        <v>0.15384615384615385</v>
      </c>
      <c r="L1707" s="871" t="s">
        <v>1613</v>
      </c>
      <c r="M1707" s="468"/>
      <c r="N1707" s="664">
        <f>A1707</f>
        <v>190103</v>
      </c>
      <c r="O1707" s="71" t="s">
        <v>147</v>
      </c>
      <c r="P1707" s="103" t="str">
        <f t="shared" si="882"/>
        <v>CTP판(1030*790mm)</v>
      </c>
      <c r="Q1707" s="71">
        <f>D1707</f>
        <v>520</v>
      </c>
      <c r="R1707" s="102">
        <v>3300</v>
      </c>
      <c r="S1707" s="102">
        <f t="shared" si="878"/>
        <v>1887600.0000000002</v>
      </c>
      <c r="T1707" s="102">
        <f t="shared" si="879"/>
        <v>1716000</v>
      </c>
      <c r="U1707" s="71" t="str">
        <f t="shared" si="880"/>
        <v>O</v>
      </c>
      <c r="V1707" s="71"/>
      <c r="W1707" s="474">
        <f>(G1707-T1707)</f>
        <v>312000</v>
      </c>
      <c r="X1707" s="71"/>
      <c r="Y1707" s="71"/>
    </row>
    <row r="1708" spans="1:25" ht="30" hidden="1" customHeight="1" x14ac:dyDescent="0.25">
      <c r="A1708" s="82">
        <v>190103</v>
      </c>
      <c r="B1708" s="664" t="s">
        <v>983</v>
      </c>
      <c r="C1708" s="71" t="s">
        <v>984</v>
      </c>
      <c r="D1708" s="71">
        <v>6</v>
      </c>
      <c r="E1708" s="102">
        <v>45000</v>
      </c>
      <c r="F1708" s="102">
        <f>(E1708*D1708)*1.1</f>
        <v>297000</v>
      </c>
      <c r="G1708" s="102">
        <f>(E1708*D1708)</f>
        <v>270000</v>
      </c>
      <c r="H1708" s="690" t="s">
        <v>173</v>
      </c>
      <c r="I1708" s="71" t="s">
        <v>2230</v>
      </c>
      <c r="J1708" s="53">
        <f>G1708-T1708</f>
        <v>60000</v>
      </c>
      <c r="K1708" s="63">
        <f t="shared" si="881"/>
        <v>0.22222222222222221</v>
      </c>
      <c r="L1708" s="871" t="s">
        <v>1613</v>
      </c>
      <c r="M1708" s="468"/>
      <c r="N1708" s="664">
        <f>A1708</f>
        <v>190103</v>
      </c>
      <c r="O1708" s="71" t="s">
        <v>147</v>
      </c>
      <c r="P1708" s="103" t="str">
        <f t="shared" si="882"/>
        <v>CTP 현상액</v>
      </c>
      <c r="Q1708" s="71">
        <f>D1708</f>
        <v>6</v>
      </c>
      <c r="R1708" s="102">
        <v>35000</v>
      </c>
      <c r="S1708" s="102">
        <f t="shared" si="878"/>
        <v>231000.00000000003</v>
      </c>
      <c r="T1708" s="102">
        <f t="shared" si="879"/>
        <v>210000</v>
      </c>
      <c r="U1708" s="71" t="str">
        <f t="shared" si="880"/>
        <v>O</v>
      </c>
      <c r="V1708" s="71"/>
      <c r="W1708" s="474">
        <f>(G1708-T1708)</f>
        <v>60000</v>
      </c>
      <c r="X1708" s="71"/>
      <c r="Y1708" s="71"/>
    </row>
    <row r="1709" spans="1:25" ht="30" hidden="1" customHeight="1" x14ac:dyDescent="0.25">
      <c r="A1709" s="82">
        <v>190104</v>
      </c>
      <c r="B1709" s="664" t="s">
        <v>564</v>
      </c>
      <c r="C1709" s="71" t="s">
        <v>1608</v>
      </c>
      <c r="D1709" s="71">
        <v>4</v>
      </c>
      <c r="E1709" s="102">
        <v>165000</v>
      </c>
      <c r="F1709" s="102">
        <f t="shared" si="883"/>
        <v>726000.00000000012</v>
      </c>
      <c r="G1709" s="102">
        <f t="shared" si="884"/>
        <v>660000</v>
      </c>
      <c r="H1709" s="690" t="s">
        <v>173</v>
      </c>
      <c r="I1709" s="71" t="s">
        <v>109</v>
      </c>
      <c r="J1709" s="53">
        <f>G1709-T1709</f>
        <v>120000</v>
      </c>
      <c r="K1709" s="63">
        <f t="shared" ref="K1709:K1717" si="887">(J1709/(F1709/11*10))</f>
        <v>0.1818181818181818</v>
      </c>
      <c r="L1709" s="871" t="s">
        <v>1613</v>
      </c>
      <c r="M1709" s="468"/>
      <c r="N1709" s="664">
        <f t="shared" si="885"/>
        <v>190104</v>
      </c>
      <c r="O1709" s="71" t="s">
        <v>151</v>
      </c>
      <c r="P1709" s="103" t="str">
        <f t="shared" si="882"/>
        <v>1050*840 블랑켓</v>
      </c>
      <c r="Q1709" s="71">
        <f t="shared" si="886"/>
        <v>4</v>
      </c>
      <c r="R1709" s="102">
        <v>135000</v>
      </c>
      <c r="S1709" s="102">
        <f>(R1709*D1709)*1.1</f>
        <v>594000</v>
      </c>
      <c r="T1709" s="102">
        <f>(R1709*Q1709)</f>
        <v>540000</v>
      </c>
      <c r="U1709" s="71"/>
      <c r="V1709" s="71"/>
      <c r="W1709" s="474"/>
      <c r="X1709" s="71"/>
      <c r="Y1709" s="71"/>
    </row>
    <row r="1710" spans="1:25" s="209" customFormat="1" ht="30" hidden="1" customHeight="1" x14ac:dyDescent="0.2">
      <c r="A1710" s="82">
        <v>190104</v>
      </c>
      <c r="B1710" s="664" t="s">
        <v>445</v>
      </c>
      <c r="C1710" s="71" t="s">
        <v>107</v>
      </c>
      <c r="D1710" s="71">
        <v>10</v>
      </c>
      <c r="E1710" s="102">
        <v>108000</v>
      </c>
      <c r="F1710" s="163">
        <f t="shared" si="883"/>
        <v>1188000</v>
      </c>
      <c r="G1710" s="163">
        <f t="shared" si="884"/>
        <v>1080000</v>
      </c>
      <c r="H1710" s="165" t="s">
        <v>172</v>
      </c>
      <c r="I1710" s="71" t="s">
        <v>109</v>
      </c>
      <c r="J1710" s="53">
        <f>(G1710-(VLOOKUP(C1710,Price!B:D,3,FALSE)*D1710))</f>
        <v>275000</v>
      </c>
      <c r="K1710" s="63">
        <f t="shared" si="887"/>
        <v>0.25462962962962965</v>
      </c>
      <c r="L1710" s="871" t="s">
        <v>1613</v>
      </c>
      <c r="M1710" s="468"/>
      <c r="N1710" s="664">
        <f t="shared" si="885"/>
        <v>190104</v>
      </c>
      <c r="O1710" s="71" t="s">
        <v>147</v>
      </c>
      <c r="P1710" s="103" t="str">
        <f t="shared" si="882"/>
        <v>Blanket(1050*840)</v>
      </c>
      <c r="Q1710" s="71">
        <f t="shared" si="886"/>
        <v>10</v>
      </c>
      <c r="R1710" s="102">
        <v>80500</v>
      </c>
      <c r="S1710" s="102">
        <f>(R1710*D1710)*1.1</f>
        <v>885500.00000000012</v>
      </c>
      <c r="T1710" s="102">
        <f>(R1710*Q1710)</f>
        <v>805000</v>
      </c>
      <c r="U1710" s="71" t="str">
        <f t="shared" ref="U1710:U1723" si="888">IF(J1710=W1710,"O", "X")</f>
        <v>O</v>
      </c>
      <c r="V1710" s="71"/>
      <c r="W1710" s="474">
        <f>(G1710-T1710)</f>
        <v>275000</v>
      </c>
      <c r="X1710" s="71"/>
      <c r="Y1710" s="71"/>
    </row>
    <row r="1711" spans="1:25" ht="30" hidden="1" customHeight="1" x14ac:dyDescent="0.25">
      <c r="A1711" s="82">
        <v>190105</v>
      </c>
      <c r="B1711" s="664" t="s">
        <v>809</v>
      </c>
      <c r="C1711" s="71" t="s">
        <v>1081</v>
      </c>
      <c r="D1711" s="71">
        <v>10</v>
      </c>
      <c r="E1711" s="102">
        <v>156000</v>
      </c>
      <c r="F1711" s="102">
        <f t="shared" si="883"/>
        <v>1716000.0000000002</v>
      </c>
      <c r="G1711" s="102">
        <f t="shared" si="884"/>
        <v>1560000</v>
      </c>
      <c r="H1711" s="690" t="s">
        <v>173</v>
      </c>
      <c r="I1711" s="71" t="s">
        <v>2231</v>
      </c>
      <c r="J1711" s="53">
        <f>G1711-T1711</f>
        <v>360000</v>
      </c>
      <c r="K1711" s="63">
        <f t="shared" si="887"/>
        <v>0.23076923076923073</v>
      </c>
      <c r="L1711" s="871" t="s">
        <v>1613</v>
      </c>
      <c r="M1711" s="468"/>
      <c r="N1711" s="664">
        <f t="shared" si="885"/>
        <v>190105</v>
      </c>
      <c r="O1711" s="71" t="s">
        <v>147</v>
      </c>
      <c r="P1711" s="103" t="str">
        <f t="shared" si="882"/>
        <v>파우더</v>
      </c>
      <c r="Q1711" s="71">
        <f t="shared" si="886"/>
        <v>10</v>
      </c>
      <c r="R1711" s="102">
        <v>120000</v>
      </c>
      <c r="S1711" s="102">
        <f>R1711*Q1711*1.1</f>
        <v>1320000</v>
      </c>
      <c r="T1711" s="102">
        <f>R1711*Q1711</f>
        <v>1200000</v>
      </c>
      <c r="U1711" s="71" t="str">
        <f t="shared" si="888"/>
        <v>O</v>
      </c>
      <c r="V1711" s="71"/>
      <c r="W1711" s="474">
        <f>(G1711-T1711)</f>
        <v>360000</v>
      </c>
      <c r="X1711" s="71"/>
      <c r="Y1711" s="71"/>
    </row>
    <row r="1712" spans="1:25" ht="30" hidden="1" customHeight="1" x14ac:dyDescent="0.2">
      <c r="A1712" s="82">
        <v>190105</v>
      </c>
      <c r="B1712" s="664" t="s">
        <v>548</v>
      </c>
      <c r="C1712" s="71" t="s">
        <v>107</v>
      </c>
      <c r="D1712" s="71">
        <v>10</v>
      </c>
      <c r="E1712" s="102">
        <v>100000</v>
      </c>
      <c r="F1712" s="163">
        <f t="shared" si="883"/>
        <v>1100000</v>
      </c>
      <c r="G1712" s="163">
        <f t="shared" si="884"/>
        <v>1000000</v>
      </c>
      <c r="H1712" s="165" t="s">
        <v>172</v>
      </c>
      <c r="I1712" s="71" t="s">
        <v>109</v>
      </c>
      <c r="J1712" s="53">
        <f>(G1712-(VLOOKUP(C1712,Price!B:D,3,FALSE)*D1712))</f>
        <v>195000</v>
      </c>
      <c r="K1712" s="63">
        <f t="shared" si="887"/>
        <v>0.19500000000000001</v>
      </c>
      <c r="L1712" s="871" t="s">
        <v>1613</v>
      </c>
      <c r="M1712" s="468"/>
      <c r="N1712" s="664">
        <f t="shared" si="885"/>
        <v>190105</v>
      </c>
      <c r="O1712" s="71" t="s">
        <v>147</v>
      </c>
      <c r="P1712" s="103" t="str">
        <f t="shared" si="882"/>
        <v>Blanket(1050*840)</v>
      </c>
      <c r="Q1712" s="71">
        <f t="shared" si="886"/>
        <v>10</v>
      </c>
      <c r="R1712" s="102">
        <v>80500</v>
      </c>
      <c r="S1712" s="102">
        <f>R1712*Q1712*1.1</f>
        <v>885500.00000000012</v>
      </c>
      <c r="T1712" s="102">
        <f>R1712*Q1712</f>
        <v>805000</v>
      </c>
      <c r="U1712" s="71" t="str">
        <f t="shared" si="888"/>
        <v>O</v>
      </c>
      <c r="V1712" s="71"/>
      <c r="W1712" s="474">
        <f>(G1712-T1712)</f>
        <v>195000</v>
      </c>
      <c r="X1712" s="71"/>
      <c r="Y1712" s="71"/>
    </row>
    <row r="1713" spans="1:25" s="209" customFormat="1" ht="30" hidden="1" customHeight="1" x14ac:dyDescent="0.25">
      <c r="A1713" s="82">
        <v>190107</v>
      </c>
      <c r="B1713" s="664" t="s">
        <v>764</v>
      </c>
      <c r="C1713" s="71" t="s">
        <v>236</v>
      </c>
      <c r="D1713" s="71">
        <v>5</v>
      </c>
      <c r="E1713" s="102">
        <v>100000</v>
      </c>
      <c r="F1713" s="102">
        <f t="shared" si="883"/>
        <v>550000</v>
      </c>
      <c r="G1713" s="102">
        <f t="shared" si="884"/>
        <v>500000</v>
      </c>
      <c r="H1713" s="690" t="s">
        <v>173</v>
      </c>
      <c r="I1713" s="71" t="s">
        <v>2231</v>
      </c>
      <c r="J1713" s="53">
        <f>(G1713-(VLOOKUP(C1713,Price!B:D,3,FALSE)*D1713))</f>
        <v>250000</v>
      </c>
      <c r="K1713" s="63">
        <f t="shared" si="887"/>
        <v>0.5</v>
      </c>
      <c r="L1713" s="871" t="s">
        <v>1613</v>
      </c>
      <c r="M1713" s="468"/>
      <c r="N1713" s="664">
        <f t="shared" si="885"/>
        <v>190107</v>
      </c>
      <c r="O1713" s="71" t="s">
        <v>153</v>
      </c>
      <c r="P1713" s="103" t="str">
        <f t="shared" si="882"/>
        <v>아스테이지(국전)</v>
      </c>
      <c r="Q1713" s="71">
        <f t="shared" si="886"/>
        <v>5</v>
      </c>
      <c r="R1713" s="102">
        <f>VLOOKUP(P1713,Price!B:D,3,FALSE)</f>
        <v>50000</v>
      </c>
      <c r="S1713" s="102">
        <f>R1713*Q1713*1.1</f>
        <v>275000</v>
      </c>
      <c r="T1713" s="102">
        <f>R1713*Q1713</f>
        <v>250000</v>
      </c>
      <c r="U1713" s="71" t="str">
        <f t="shared" si="888"/>
        <v>O</v>
      </c>
      <c r="V1713" s="71"/>
      <c r="W1713" s="474">
        <f>(G1713-T1713)</f>
        <v>250000</v>
      </c>
      <c r="X1713" s="71"/>
      <c r="Y1713" s="71"/>
    </row>
    <row r="1714" spans="1:25" ht="30" hidden="1" customHeight="1" x14ac:dyDescent="0.25">
      <c r="A1714" s="82">
        <v>190107</v>
      </c>
      <c r="B1714" s="664" t="s">
        <v>1231</v>
      </c>
      <c r="C1714" s="71" t="s">
        <v>1615</v>
      </c>
      <c r="D1714" s="71">
        <v>6</v>
      </c>
      <c r="E1714" s="102">
        <v>56000</v>
      </c>
      <c r="F1714" s="102">
        <f t="shared" si="883"/>
        <v>369600.00000000006</v>
      </c>
      <c r="G1714" s="102">
        <f t="shared" si="884"/>
        <v>336000</v>
      </c>
      <c r="H1714" s="690" t="s">
        <v>173</v>
      </c>
      <c r="I1714" s="71" t="s">
        <v>2231</v>
      </c>
      <c r="J1714" s="53">
        <f>G1714-T1714</f>
        <v>48000</v>
      </c>
      <c r="K1714" s="63">
        <f t="shared" si="887"/>
        <v>0.14285714285714282</v>
      </c>
      <c r="L1714" s="871" t="s">
        <v>1613</v>
      </c>
      <c r="M1714" s="468"/>
      <c r="N1714" s="664">
        <f t="shared" si="885"/>
        <v>190107</v>
      </c>
      <c r="O1714" s="71" t="s">
        <v>150</v>
      </c>
      <c r="P1714" s="103" t="str">
        <f t="shared" si="882"/>
        <v>고열 구리스</v>
      </c>
      <c r="Q1714" s="71">
        <f t="shared" si="886"/>
        <v>6</v>
      </c>
      <c r="R1714" s="102">
        <v>48000</v>
      </c>
      <c r="S1714" s="102">
        <f>R1714*Q1714*1.1</f>
        <v>316800</v>
      </c>
      <c r="T1714" s="102">
        <f>R1714*Q1714</f>
        <v>288000</v>
      </c>
      <c r="U1714" s="71" t="str">
        <f t="shared" si="888"/>
        <v>X</v>
      </c>
      <c r="V1714" s="71"/>
      <c r="W1714" s="474"/>
      <c r="X1714" s="71"/>
      <c r="Y1714" s="71"/>
    </row>
    <row r="1715" spans="1:25" ht="30" hidden="1" customHeight="1" x14ac:dyDescent="0.25">
      <c r="A1715" s="82">
        <v>190108</v>
      </c>
      <c r="B1715" s="664" t="s">
        <v>446</v>
      </c>
      <c r="C1715" s="71" t="s">
        <v>1144</v>
      </c>
      <c r="D1715" s="71">
        <v>10</v>
      </c>
      <c r="E1715" s="102">
        <v>110000</v>
      </c>
      <c r="F1715" s="102">
        <f t="shared" si="883"/>
        <v>1210000</v>
      </c>
      <c r="G1715" s="102">
        <f t="shared" si="884"/>
        <v>1100000</v>
      </c>
      <c r="H1715" s="690" t="s">
        <v>173</v>
      </c>
      <c r="I1715" s="71" t="s">
        <v>2231</v>
      </c>
      <c r="J1715" s="53">
        <f>G1715-T1715</f>
        <v>190000</v>
      </c>
      <c r="K1715" s="63">
        <f t="shared" si="887"/>
        <v>0.17272727272727273</v>
      </c>
      <c r="L1715" s="871" t="s">
        <v>1613</v>
      </c>
      <c r="M1715" s="468"/>
      <c r="N1715" s="664">
        <f t="shared" si="885"/>
        <v>190108</v>
      </c>
      <c r="O1715" s="71" t="s">
        <v>150</v>
      </c>
      <c r="P1715" s="103" t="str">
        <f t="shared" si="882"/>
        <v>실리콘 에멀전</v>
      </c>
      <c r="Q1715" s="71">
        <f t="shared" si="886"/>
        <v>10</v>
      </c>
      <c r="R1715" s="102">
        <v>91000</v>
      </c>
      <c r="S1715" s="102">
        <f>R1715*Q1715*1.1</f>
        <v>1001000.0000000001</v>
      </c>
      <c r="T1715" s="102">
        <f>R1715*Q1715</f>
        <v>910000</v>
      </c>
      <c r="U1715" s="71" t="str">
        <f t="shared" si="888"/>
        <v>O</v>
      </c>
      <c r="V1715" s="71"/>
      <c r="W1715" s="474">
        <f t="shared" ref="W1715:W1723" si="889">(G1715-T1715)</f>
        <v>190000</v>
      </c>
      <c r="X1715" s="71"/>
      <c r="Y1715" s="71"/>
    </row>
    <row r="1716" spans="1:25" ht="30" hidden="1" customHeight="1" x14ac:dyDescent="0.2">
      <c r="A1716" s="82">
        <v>190108</v>
      </c>
      <c r="B1716" s="664" t="s">
        <v>575</v>
      </c>
      <c r="C1716" s="71" t="s">
        <v>1388</v>
      </c>
      <c r="D1716" s="71">
        <v>3</v>
      </c>
      <c r="E1716" s="102">
        <v>185000</v>
      </c>
      <c r="F1716" s="163">
        <f t="shared" si="883"/>
        <v>610500</v>
      </c>
      <c r="G1716" s="163">
        <f t="shared" si="884"/>
        <v>555000</v>
      </c>
      <c r="H1716" s="690" t="s">
        <v>173</v>
      </c>
      <c r="I1716" s="71" t="s">
        <v>108</v>
      </c>
      <c r="J1716" s="53">
        <f>G1716-T1716</f>
        <v>277408.12048591545</v>
      </c>
      <c r="K1716" s="63">
        <f t="shared" si="887"/>
        <v>0.49983445132597382</v>
      </c>
      <c r="L1716" s="871" t="s">
        <v>1613</v>
      </c>
      <c r="M1716" s="468"/>
      <c r="N1716" s="664">
        <f t="shared" si="885"/>
        <v>190108</v>
      </c>
      <c r="O1716" s="71" t="s">
        <v>1443</v>
      </c>
      <c r="P1716" s="103" t="str">
        <f>C1716</f>
        <v>Flint 무알콜 윤전약물(Superaster)</v>
      </c>
      <c r="Q1716" s="71">
        <f t="shared" si="886"/>
        <v>3</v>
      </c>
      <c r="R1716" s="102">
        <v>53453.959838028175</v>
      </c>
      <c r="S1716" s="102">
        <f>(R1716*D1716)*1.1+117230*1.1</f>
        <v>305351.06746549299</v>
      </c>
      <c r="T1716" s="102">
        <f>(R1716*Q1716)+117230</f>
        <v>277591.87951408455</v>
      </c>
      <c r="U1716" s="71" t="str">
        <f t="shared" si="888"/>
        <v>O</v>
      </c>
      <c r="V1716" s="71"/>
      <c r="W1716" s="474">
        <f t="shared" si="889"/>
        <v>277408.12048591545</v>
      </c>
      <c r="X1716" s="71"/>
      <c r="Y1716" s="71"/>
    </row>
    <row r="1717" spans="1:25" ht="30" hidden="1" customHeight="1" x14ac:dyDescent="0.2">
      <c r="A1717" s="82">
        <v>190109</v>
      </c>
      <c r="B1717" s="664" t="s">
        <v>764</v>
      </c>
      <c r="C1717" s="71" t="s">
        <v>1640</v>
      </c>
      <c r="D1717" s="71">
        <v>1</v>
      </c>
      <c r="E1717" s="102">
        <v>1250000</v>
      </c>
      <c r="F1717" s="163">
        <f t="shared" si="883"/>
        <v>1375000</v>
      </c>
      <c r="G1717" s="163">
        <f t="shared" si="884"/>
        <v>1250000</v>
      </c>
      <c r="H1717" s="690" t="s">
        <v>1432</v>
      </c>
      <c r="I1717" s="71" t="s">
        <v>1432</v>
      </c>
      <c r="J1717" s="53">
        <f>G1717-T1717</f>
        <v>408082.71368012764</v>
      </c>
      <c r="K1717" s="63">
        <f t="shared" si="887"/>
        <v>0.32646617094410213</v>
      </c>
      <c r="L1717" s="871" t="s">
        <v>1613</v>
      </c>
      <c r="M1717" s="468"/>
      <c r="N1717" s="664">
        <f t="shared" si="885"/>
        <v>190109</v>
      </c>
      <c r="O1717" s="71" t="s">
        <v>1432</v>
      </c>
      <c r="P1717" s="103" t="str">
        <f>C1717</f>
        <v>Conductivity Probe</v>
      </c>
      <c r="Q1717" s="71">
        <f t="shared" si="886"/>
        <v>1</v>
      </c>
      <c r="R1717" s="102">
        <f>Import!G661</f>
        <v>841917.28631987236</v>
      </c>
      <c r="S1717" s="102">
        <f>R1717*Q1717*1.1</f>
        <v>926109.01495185972</v>
      </c>
      <c r="T1717" s="102">
        <f>R1717*Q1717</f>
        <v>841917.28631987236</v>
      </c>
      <c r="U1717" s="71" t="str">
        <f t="shared" si="888"/>
        <v>O</v>
      </c>
      <c r="V1717" s="71"/>
      <c r="W1717" s="474">
        <f t="shared" si="889"/>
        <v>408082.71368012764</v>
      </c>
      <c r="X1717" s="71"/>
      <c r="Y1717" s="71"/>
    </row>
    <row r="1718" spans="1:25" ht="30" hidden="1" customHeight="1" x14ac:dyDescent="0.25">
      <c r="A1718" s="82">
        <v>190110</v>
      </c>
      <c r="B1718" s="664" t="s">
        <v>1045</v>
      </c>
      <c r="C1718" s="71" t="s">
        <v>123</v>
      </c>
      <c r="D1718" s="71">
        <v>3</v>
      </c>
      <c r="E1718" s="102">
        <v>35000</v>
      </c>
      <c r="F1718" s="102">
        <f t="shared" si="883"/>
        <v>115500.00000000001</v>
      </c>
      <c r="G1718" s="102">
        <f t="shared" si="884"/>
        <v>105000</v>
      </c>
      <c r="H1718" s="1010" t="s">
        <v>39</v>
      </c>
      <c r="I1718" s="71" t="s">
        <v>1432</v>
      </c>
      <c r="J1718" s="53">
        <f>(G1718-(VLOOKUP(C1718,Import!C:G,4,FALSE)*D1718))</f>
        <v>105000</v>
      </c>
      <c r="K1718" s="63">
        <f t="shared" ref="K1718:K1733" si="890">(J1718/(F1718/11*10))</f>
        <v>0.99999999999999989</v>
      </c>
      <c r="L1718" s="871" t="s">
        <v>1613</v>
      </c>
      <c r="M1718" s="468"/>
      <c r="N1718" s="664">
        <f t="shared" si="885"/>
        <v>190110</v>
      </c>
      <c r="O1718" s="991" t="s">
        <v>39</v>
      </c>
      <c r="P1718" s="103" t="str">
        <f t="shared" si="882"/>
        <v>필터백</v>
      </c>
      <c r="Q1718" s="71">
        <f t="shared" si="886"/>
        <v>3</v>
      </c>
      <c r="R1718" s="102">
        <f>VLOOKUP(P1718,Price!B:D,3,FALSE)</f>
        <v>22461</v>
      </c>
      <c r="S1718" s="102">
        <f>R1718*Q1718*1.1</f>
        <v>74121.3</v>
      </c>
      <c r="T1718" s="102">
        <f>R1718*Q1718</f>
        <v>67383</v>
      </c>
      <c r="U1718" s="71" t="str">
        <f t="shared" si="888"/>
        <v>X</v>
      </c>
      <c r="V1718" s="71"/>
      <c r="W1718" s="474">
        <f t="shared" si="889"/>
        <v>37617</v>
      </c>
      <c r="X1718" s="71"/>
      <c r="Y1718" s="71"/>
    </row>
    <row r="1719" spans="1:25" ht="30" customHeight="1" x14ac:dyDescent="0.25">
      <c r="A1719" s="82">
        <v>190110</v>
      </c>
      <c r="B1719" s="664" t="s">
        <v>422</v>
      </c>
      <c r="C1719" s="760" t="s">
        <v>218</v>
      </c>
      <c r="D1719" s="71">
        <v>5</v>
      </c>
      <c r="E1719" s="102">
        <v>235000</v>
      </c>
      <c r="F1719" s="102">
        <f t="shared" si="883"/>
        <v>1292500</v>
      </c>
      <c r="G1719" s="102">
        <f t="shared" si="884"/>
        <v>1175000</v>
      </c>
      <c r="H1719" s="690" t="s">
        <v>173</v>
      </c>
      <c r="I1719" s="71" t="s">
        <v>120</v>
      </c>
      <c r="J1719" s="53">
        <f>(G1719-(VLOOKUP(C1719,Price!B:D,3,FALSE)*D1719))</f>
        <v>612500</v>
      </c>
      <c r="K1719" s="63">
        <f t="shared" si="890"/>
        <v>0.52127659574468088</v>
      </c>
      <c r="L1719" s="871" t="s">
        <v>1613</v>
      </c>
      <c r="M1719" s="468"/>
      <c r="N1719" s="664">
        <f t="shared" si="885"/>
        <v>190110</v>
      </c>
      <c r="O1719" s="71" t="s">
        <v>150</v>
      </c>
      <c r="P1719" s="103" t="str">
        <f t="shared" si="882"/>
        <v>Fount Web 551AF</v>
      </c>
      <c r="Q1719" s="71">
        <f t="shared" si="886"/>
        <v>5</v>
      </c>
      <c r="R1719" s="102">
        <v>112500</v>
      </c>
      <c r="S1719" s="102">
        <f>R1719*Q1719*1.1</f>
        <v>618750</v>
      </c>
      <c r="T1719" s="102">
        <f>R1719*Q1719</f>
        <v>562500</v>
      </c>
      <c r="U1719" s="71" t="str">
        <f t="shared" si="888"/>
        <v>O</v>
      </c>
      <c r="V1719" s="71"/>
      <c r="W1719" s="474">
        <f t="shared" si="889"/>
        <v>612500</v>
      </c>
      <c r="X1719" s="71"/>
      <c r="Y1719" s="71"/>
    </row>
    <row r="1720" spans="1:25" ht="30" hidden="1" customHeight="1" x14ac:dyDescent="0.25">
      <c r="A1720" s="82">
        <v>190110</v>
      </c>
      <c r="B1720" s="664" t="s">
        <v>549</v>
      </c>
      <c r="C1720" s="71" t="s">
        <v>119</v>
      </c>
      <c r="D1720" s="71">
        <v>15</v>
      </c>
      <c r="E1720" s="102">
        <v>115000</v>
      </c>
      <c r="F1720" s="102">
        <f>(E1720*D1720)*1.1</f>
        <v>1897500.0000000002</v>
      </c>
      <c r="G1720" s="102">
        <f>(E1720*D1720)</f>
        <v>1725000</v>
      </c>
      <c r="H1720" s="690" t="s">
        <v>173</v>
      </c>
      <c r="I1720" s="71" t="s">
        <v>109</v>
      </c>
      <c r="J1720" s="53">
        <f>(G1720-(VLOOKUP(C1720,Price!B:D,3,FALSE)*D1720))</f>
        <v>394500</v>
      </c>
      <c r="K1720" s="63">
        <f t="shared" si="890"/>
        <v>0.22869565217391302</v>
      </c>
      <c r="L1720" s="871" t="s">
        <v>1613</v>
      </c>
      <c r="M1720" s="468"/>
      <c r="N1720" s="664">
        <f>A1720</f>
        <v>190110</v>
      </c>
      <c r="O1720" s="71" t="s">
        <v>150</v>
      </c>
      <c r="P1720" s="103" t="str">
        <f>C1720</f>
        <v>미쯔비시 Blanket(1035*910)</v>
      </c>
      <c r="Q1720" s="71">
        <f t="shared" si="886"/>
        <v>15</v>
      </c>
      <c r="R1720" s="102">
        <v>88700</v>
      </c>
      <c r="S1720" s="102">
        <f>R1720*Q1720*1.1</f>
        <v>1463550.0000000002</v>
      </c>
      <c r="T1720" s="102">
        <f>R1720*Q1720</f>
        <v>1330500</v>
      </c>
      <c r="U1720" s="71" t="str">
        <f t="shared" si="888"/>
        <v>O</v>
      </c>
      <c r="V1720" s="71" t="s">
        <v>1078</v>
      </c>
      <c r="W1720" s="474">
        <f t="shared" si="889"/>
        <v>394500</v>
      </c>
      <c r="X1720" s="71"/>
      <c r="Y1720" s="71"/>
    </row>
    <row r="1721" spans="1:25" ht="30" hidden="1" customHeight="1" x14ac:dyDescent="0.25">
      <c r="A1721" s="82">
        <v>190110</v>
      </c>
      <c r="B1721" s="664" t="s">
        <v>442</v>
      </c>
      <c r="C1721" s="71" t="s">
        <v>773</v>
      </c>
      <c r="D1721" s="71">
        <v>5</v>
      </c>
      <c r="E1721" s="102">
        <v>192000</v>
      </c>
      <c r="F1721" s="102">
        <f t="shared" si="883"/>
        <v>1056000</v>
      </c>
      <c r="G1721" s="102">
        <f t="shared" si="884"/>
        <v>960000</v>
      </c>
      <c r="H1721" s="690" t="s">
        <v>173</v>
      </c>
      <c r="I1721" s="71" t="s">
        <v>109</v>
      </c>
      <c r="J1721" s="53">
        <f>(G1721-(VLOOKUP(C1721,Price!B:D,3,FALSE)*D1721))</f>
        <v>120000</v>
      </c>
      <c r="K1721" s="63">
        <f t="shared" si="890"/>
        <v>0.125</v>
      </c>
      <c r="L1721" s="871" t="s">
        <v>1613</v>
      </c>
      <c r="M1721" s="468"/>
      <c r="N1721" s="664">
        <f t="shared" si="885"/>
        <v>190110</v>
      </c>
      <c r="O1721" s="71" t="s">
        <v>151</v>
      </c>
      <c r="P1721" s="103" t="str">
        <f>(C1721)</f>
        <v>로랜드 전지 블랑켓(1460*1165)bar</v>
      </c>
      <c r="Q1721" s="71">
        <f t="shared" si="886"/>
        <v>5</v>
      </c>
      <c r="R1721" s="102">
        <v>168000</v>
      </c>
      <c r="S1721" s="102">
        <f>(R1721*D1721)*1.1</f>
        <v>924000.00000000012</v>
      </c>
      <c r="T1721" s="102">
        <f>(R1721*Q1721)</f>
        <v>840000</v>
      </c>
      <c r="U1721" s="71" t="str">
        <f t="shared" si="888"/>
        <v>O</v>
      </c>
      <c r="V1721" s="71"/>
      <c r="W1721" s="474">
        <f t="shared" si="889"/>
        <v>120000</v>
      </c>
      <c r="X1721" s="71"/>
      <c r="Y1721" s="71"/>
    </row>
    <row r="1722" spans="1:25" s="209" customFormat="1" ht="30" hidden="1" customHeight="1" x14ac:dyDescent="0.25">
      <c r="A1722" s="82">
        <v>190110</v>
      </c>
      <c r="B1722" s="664" t="s">
        <v>442</v>
      </c>
      <c r="C1722" s="71" t="s">
        <v>138</v>
      </c>
      <c r="D1722" s="71">
        <v>24</v>
      </c>
      <c r="E1722" s="102">
        <v>69000</v>
      </c>
      <c r="F1722" s="102">
        <f t="shared" si="883"/>
        <v>1821600.0000000002</v>
      </c>
      <c r="G1722" s="102">
        <f t="shared" si="884"/>
        <v>1656000</v>
      </c>
      <c r="H1722" s="690" t="s">
        <v>173</v>
      </c>
      <c r="I1722" s="71" t="s">
        <v>108</v>
      </c>
      <c r="J1722" s="53">
        <f>(G1722-(VLOOKUP(C1722,Price!B:D,3,FALSE)*D1722))</f>
        <v>432000</v>
      </c>
      <c r="K1722" s="63">
        <f t="shared" si="890"/>
        <v>0.26086956521739124</v>
      </c>
      <c r="L1722" s="871" t="s">
        <v>1613</v>
      </c>
      <c r="M1722" s="468"/>
      <c r="N1722" s="664">
        <f t="shared" si="885"/>
        <v>190110</v>
      </c>
      <c r="O1722" s="71" t="s">
        <v>150</v>
      </c>
      <c r="P1722" s="103" t="str">
        <f>C1722</f>
        <v>매엽용 세척제(Wash 562)</v>
      </c>
      <c r="Q1722" s="71">
        <f t="shared" si="886"/>
        <v>24</v>
      </c>
      <c r="R1722" s="102">
        <v>51000</v>
      </c>
      <c r="S1722" s="102">
        <f>(R1722*D1722)*1.1</f>
        <v>1346400</v>
      </c>
      <c r="T1722" s="102">
        <f>(R1722*Q1722)</f>
        <v>1224000</v>
      </c>
      <c r="U1722" s="71" t="str">
        <f t="shared" si="888"/>
        <v>O</v>
      </c>
      <c r="V1722" s="71"/>
      <c r="W1722" s="474">
        <f t="shared" si="889"/>
        <v>432000</v>
      </c>
      <c r="X1722" s="71"/>
      <c r="Y1722" s="71"/>
    </row>
    <row r="1723" spans="1:25" s="209" customFormat="1" ht="30" hidden="1" customHeight="1" x14ac:dyDescent="0.25">
      <c r="A1723" s="82">
        <v>190110</v>
      </c>
      <c r="B1723" s="664" t="s">
        <v>442</v>
      </c>
      <c r="C1723" s="71" t="s">
        <v>107</v>
      </c>
      <c r="D1723" s="71">
        <v>5</v>
      </c>
      <c r="E1723" s="102">
        <v>110000</v>
      </c>
      <c r="F1723" s="102">
        <f t="shared" si="883"/>
        <v>605000</v>
      </c>
      <c r="G1723" s="102">
        <f t="shared" si="884"/>
        <v>550000</v>
      </c>
      <c r="H1723" s="690" t="s">
        <v>173</v>
      </c>
      <c r="I1723" s="71" t="s">
        <v>109</v>
      </c>
      <c r="J1723" s="53">
        <f>(G1723-(VLOOKUP(C1723,Price!B:D,3,FALSE)*D1723))</f>
        <v>147500</v>
      </c>
      <c r="K1723" s="63">
        <f t="shared" si="890"/>
        <v>0.26818181818181819</v>
      </c>
      <c r="L1723" s="871" t="s">
        <v>1613</v>
      </c>
      <c r="M1723" s="468"/>
      <c r="N1723" s="664">
        <f t="shared" si="885"/>
        <v>190110</v>
      </c>
      <c r="O1723" s="71" t="s">
        <v>147</v>
      </c>
      <c r="P1723" s="103" t="str">
        <f>(C1723)</f>
        <v>Blanket(1050*840)</v>
      </c>
      <c r="Q1723" s="71">
        <f t="shared" si="886"/>
        <v>5</v>
      </c>
      <c r="R1723" s="102">
        <v>80500</v>
      </c>
      <c r="S1723" s="102">
        <f>(R1723*D1723)*1.1</f>
        <v>442750.00000000006</v>
      </c>
      <c r="T1723" s="102">
        <f>(R1723*Q1723)</f>
        <v>402500</v>
      </c>
      <c r="U1723" s="71" t="str">
        <f t="shared" si="888"/>
        <v>O</v>
      </c>
      <c r="V1723" s="71"/>
      <c r="W1723" s="474">
        <f t="shared" si="889"/>
        <v>147500</v>
      </c>
      <c r="X1723" s="71"/>
      <c r="Y1723" s="71"/>
    </row>
    <row r="1724" spans="1:25" ht="30" hidden="1" customHeight="1" x14ac:dyDescent="0.25">
      <c r="A1724" s="82">
        <v>190111</v>
      </c>
      <c r="B1724" s="664" t="s">
        <v>1178</v>
      </c>
      <c r="C1724" s="71" t="s">
        <v>1487</v>
      </c>
      <c r="D1724" s="71">
        <v>650</v>
      </c>
      <c r="E1724" s="102">
        <v>3350</v>
      </c>
      <c r="F1724" s="102">
        <f t="shared" si="883"/>
        <v>2395250</v>
      </c>
      <c r="G1724" s="102">
        <f t="shared" si="884"/>
        <v>2177500</v>
      </c>
      <c r="H1724" s="690" t="s">
        <v>142</v>
      </c>
      <c r="I1724" s="71" t="s">
        <v>2273</v>
      </c>
      <c r="J1724" s="53">
        <f>G1724-T1724</f>
        <v>110500</v>
      </c>
      <c r="K1724" s="63">
        <f t="shared" si="890"/>
        <v>5.0746268656716415E-2</v>
      </c>
      <c r="L1724" s="871" t="s">
        <v>1613</v>
      </c>
      <c r="M1724" s="468" t="s">
        <v>1490</v>
      </c>
      <c r="N1724" s="664">
        <f t="shared" si="885"/>
        <v>190111</v>
      </c>
      <c r="O1724" s="71" t="s">
        <v>145</v>
      </c>
      <c r="P1724" s="103" t="str">
        <f>(C1724)</f>
        <v>Engage 850*580</v>
      </c>
      <c r="Q1724" s="71">
        <f t="shared" si="886"/>
        <v>650</v>
      </c>
      <c r="R1724" s="102">
        <v>3180</v>
      </c>
      <c r="S1724" s="102">
        <f>R1724*Q1724*1.1</f>
        <v>2273700</v>
      </c>
      <c r="T1724" s="102">
        <f>R1724*Q1724</f>
        <v>2067000</v>
      </c>
      <c r="U1724" s="71"/>
      <c r="V1724" s="71" t="s">
        <v>1491</v>
      </c>
      <c r="W1724" s="474"/>
      <c r="X1724" s="71"/>
      <c r="Y1724" s="71"/>
    </row>
    <row r="1725" spans="1:25" ht="30" hidden="1" customHeight="1" x14ac:dyDescent="0.25">
      <c r="A1725" s="82">
        <v>190111</v>
      </c>
      <c r="B1725" s="664" t="s">
        <v>1178</v>
      </c>
      <c r="C1725" s="71" t="s">
        <v>1488</v>
      </c>
      <c r="D1725" s="71">
        <v>650</v>
      </c>
      <c r="E1725" s="102">
        <v>4450</v>
      </c>
      <c r="F1725" s="102">
        <f t="shared" si="883"/>
        <v>3181750.0000000005</v>
      </c>
      <c r="G1725" s="102">
        <f t="shared" si="884"/>
        <v>2892500</v>
      </c>
      <c r="H1725" s="690" t="s">
        <v>142</v>
      </c>
      <c r="I1725" s="71" t="s">
        <v>2273</v>
      </c>
      <c r="J1725" s="53">
        <f>G1725-T1725</f>
        <v>799500</v>
      </c>
      <c r="K1725" s="63">
        <f t="shared" si="890"/>
        <v>0.27640449438202241</v>
      </c>
      <c r="L1725" s="871" t="s">
        <v>1613</v>
      </c>
      <c r="M1725" s="468"/>
      <c r="N1725" s="664">
        <f t="shared" si="885"/>
        <v>190111</v>
      </c>
      <c r="O1725" s="71" t="s">
        <v>145</v>
      </c>
      <c r="P1725" s="103" t="str">
        <f>(C1725)</f>
        <v>Engage 850*770</v>
      </c>
      <c r="Q1725" s="71">
        <f t="shared" si="886"/>
        <v>650</v>
      </c>
      <c r="R1725" s="102">
        <v>3220</v>
      </c>
      <c r="S1725" s="102">
        <f>R1725*Q1725*1.1</f>
        <v>2302300</v>
      </c>
      <c r="T1725" s="102">
        <f>R1725*Q1725</f>
        <v>2093000</v>
      </c>
      <c r="U1725" s="71"/>
      <c r="V1725" s="71"/>
      <c r="W1725" s="474"/>
      <c r="X1725" s="71"/>
      <c r="Y1725" s="71"/>
    </row>
    <row r="1726" spans="1:25" ht="30" hidden="1" customHeight="1" x14ac:dyDescent="0.25">
      <c r="A1726" s="82">
        <v>190111</v>
      </c>
      <c r="B1726" s="664" t="s">
        <v>1178</v>
      </c>
      <c r="C1726" s="71" t="s">
        <v>1489</v>
      </c>
      <c r="D1726" s="71">
        <v>650</v>
      </c>
      <c r="E1726" s="102">
        <v>4510</v>
      </c>
      <c r="F1726" s="102">
        <f t="shared" si="883"/>
        <v>3224650.0000000005</v>
      </c>
      <c r="G1726" s="102">
        <f t="shared" si="884"/>
        <v>2931500</v>
      </c>
      <c r="H1726" s="690" t="s">
        <v>142</v>
      </c>
      <c r="I1726" s="71" t="s">
        <v>2273</v>
      </c>
      <c r="J1726" s="53">
        <f>G1726-T1726</f>
        <v>812500</v>
      </c>
      <c r="K1726" s="63">
        <f t="shared" si="890"/>
        <v>0.27716186252771613</v>
      </c>
      <c r="L1726" s="871" t="s">
        <v>1613</v>
      </c>
      <c r="M1726" s="468"/>
      <c r="N1726" s="664">
        <f t="shared" si="885"/>
        <v>190111</v>
      </c>
      <c r="O1726" s="71" t="s">
        <v>145</v>
      </c>
      <c r="P1726" s="103" t="str">
        <f>(C1726)</f>
        <v>Engage 850*780</v>
      </c>
      <c r="Q1726" s="71">
        <f t="shared" si="886"/>
        <v>650</v>
      </c>
      <c r="R1726" s="102">
        <v>3260</v>
      </c>
      <c r="S1726" s="102">
        <f>R1726*Q1726*1.1</f>
        <v>2330900</v>
      </c>
      <c r="T1726" s="102">
        <f>R1726*Q1726</f>
        <v>2119000</v>
      </c>
      <c r="U1726" s="71"/>
      <c r="V1726" s="71"/>
      <c r="W1726" s="474"/>
      <c r="X1726" s="71"/>
      <c r="Y1726" s="71"/>
    </row>
    <row r="1727" spans="1:25" s="209" customFormat="1" ht="31.5" hidden="1" customHeight="1" x14ac:dyDescent="0.2">
      <c r="A1727" s="82">
        <v>190111</v>
      </c>
      <c r="B1727" s="664" t="s">
        <v>445</v>
      </c>
      <c r="C1727" s="71" t="s">
        <v>138</v>
      </c>
      <c r="D1727" s="71">
        <v>10</v>
      </c>
      <c r="E1727" s="102">
        <v>59500</v>
      </c>
      <c r="F1727" s="163">
        <f t="shared" si="883"/>
        <v>654500</v>
      </c>
      <c r="G1727" s="163">
        <f t="shared" si="884"/>
        <v>595000</v>
      </c>
      <c r="H1727" s="165" t="s">
        <v>172</v>
      </c>
      <c r="I1727" s="71" t="s">
        <v>108</v>
      </c>
      <c r="J1727" s="53">
        <f>(G1727-(VLOOKUP(C1727,Price!B:D,3,FALSE)*D1727))</f>
        <v>85000</v>
      </c>
      <c r="K1727" s="63">
        <f t="shared" si="890"/>
        <v>0.14285714285714285</v>
      </c>
      <c r="L1727" s="871" t="s">
        <v>1613</v>
      </c>
      <c r="M1727" s="468"/>
      <c r="N1727" s="664">
        <f t="shared" si="885"/>
        <v>190111</v>
      </c>
      <c r="O1727" s="71" t="s">
        <v>150</v>
      </c>
      <c r="P1727" s="103" t="str">
        <f t="shared" ref="P1727:P1742" si="891">C1727</f>
        <v>매엽용 세척제(Wash 562)</v>
      </c>
      <c r="Q1727" s="71">
        <f t="shared" si="886"/>
        <v>10</v>
      </c>
      <c r="R1727" s="102">
        <v>51000</v>
      </c>
      <c r="S1727" s="102">
        <f>(R1727*D1727)*1.1</f>
        <v>561000</v>
      </c>
      <c r="T1727" s="102">
        <f>(R1727*Q1727)</f>
        <v>510000</v>
      </c>
      <c r="U1727" s="71" t="str">
        <f>IF(J1727=W1727,"O", "X")</f>
        <v>O</v>
      </c>
      <c r="V1727" s="71"/>
      <c r="W1727" s="474">
        <f>(G1727-T1727)</f>
        <v>85000</v>
      </c>
      <c r="X1727" s="71"/>
      <c r="Y1727" s="71"/>
    </row>
    <row r="1728" spans="1:25" ht="30" customHeight="1" x14ac:dyDescent="0.25">
      <c r="A1728" s="82">
        <v>190114</v>
      </c>
      <c r="B1728" s="664" t="s">
        <v>422</v>
      </c>
      <c r="C1728" s="71" t="s">
        <v>129</v>
      </c>
      <c r="D1728" s="71">
        <v>8</v>
      </c>
      <c r="E1728" s="102">
        <v>272000</v>
      </c>
      <c r="F1728" s="102">
        <f t="shared" si="883"/>
        <v>2393600</v>
      </c>
      <c r="G1728" s="102">
        <f t="shared" si="884"/>
        <v>2176000</v>
      </c>
      <c r="H1728" s="690" t="s">
        <v>173</v>
      </c>
      <c r="I1728" s="71" t="s">
        <v>108</v>
      </c>
      <c r="J1728" s="53">
        <f>(G1728-(VLOOKUP(C1728,Price!B:D,3,FALSE)*D1728))</f>
        <v>512000</v>
      </c>
      <c r="K1728" s="63">
        <f t="shared" si="890"/>
        <v>0.23529411764705882</v>
      </c>
      <c r="L1728" s="871" t="s">
        <v>1613</v>
      </c>
      <c r="M1728" s="468"/>
      <c r="N1728" s="664">
        <f t="shared" si="885"/>
        <v>190114</v>
      </c>
      <c r="O1728" s="71" t="s">
        <v>149</v>
      </c>
      <c r="P1728" s="103" t="str">
        <f t="shared" si="891"/>
        <v>세정포-XL106</v>
      </c>
      <c r="Q1728" s="71">
        <f>D1728</f>
        <v>8</v>
      </c>
      <c r="R1728" s="102">
        <v>208000</v>
      </c>
      <c r="S1728" s="102">
        <f t="shared" ref="S1728:S1743" si="892">R1728*Q1728*1.1</f>
        <v>1830400.0000000002</v>
      </c>
      <c r="T1728" s="102">
        <f t="shared" ref="T1728:T1743" si="893">R1728*Q1728</f>
        <v>1664000</v>
      </c>
      <c r="U1728" s="71" t="str">
        <f>IF(J1728=W1728,"O", "X")</f>
        <v>O</v>
      </c>
      <c r="V1728" s="71"/>
      <c r="W1728" s="474">
        <f>(G1728-T1728)</f>
        <v>512000</v>
      </c>
      <c r="X1728" s="71"/>
      <c r="Y1728" s="71"/>
    </row>
    <row r="1729" spans="1:25" ht="30" hidden="1" customHeight="1" x14ac:dyDescent="0.25">
      <c r="A1729" s="82">
        <v>190114</v>
      </c>
      <c r="B1729" s="664" t="s">
        <v>446</v>
      </c>
      <c r="C1729" s="71" t="s">
        <v>1144</v>
      </c>
      <c r="D1729" s="71">
        <v>8</v>
      </c>
      <c r="E1729" s="102">
        <v>110000</v>
      </c>
      <c r="F1729" s="102">
        <f>(E1729*D1729)*1.1</f>
        <v>968000.00000000012</v>
      </c>
      <c r="G1729" s="102">
        <f>(E1729*D1729)</f>
        <v>880000</v>
      </c>
      <c r="H1729" s="690" t="s">
        <v>173</v>
      </c>
      <c r="I1729" s="71" t="s">
        <v>2231</v>
      </c>
      <c r="J1729" s="53">
        <f>G1729-T1729</f>
        <v>152000</v>
      </c>
      <c r="K1729" s="63">
        <f t="shared" si="890"/>
        <v>0.1727272727272727</v>
      </c>
      <c r="L1729" s="871" t="s">
        <v>1613</v>
      </c>
      <c r="M1729" s="468"/>
      <c r="N1729" s="664">
        <f>A1729</f>
        <v>190114</v>
      </c>
      <c r="O1729" s="71" t="s">
        <v>150</v>
      </c>
      <c r="P1729" s="103" t="str">
        <f t="shared" si="891"/>
        <v>실리콘 에멀전</v>
      </c>
      <c r="Q1729" s="71">
        <f>D1729</f>
        <v>8</v>
      </c>
      <c r="R1729" s="102">
        <v>91000</v>
      </c>
      <c r="S1729" s="102">
        <f t="shared" si="892"/>
        <v>800800.00000000012</v>
      </c>
      <c r="T1729" s="102">
        <f t="shared" si="893"/>
        <v>728000</v>
      </c>
      <c r="U1729" s="71" t="str">
        <f>IF(J1729=W1729,"O", "X")</f>
        <v>O</v>
      </c>
      <c r="V1729" s="71"/>
      <c r="W1729" s="474">
        <f>(G1729-T1729)</f>
        <v>152000</v>
      </c>
      <c r="X1729" s="71"/>
      <c r="Y1729" s="71"/>
    </row>
    <row r="1730" spans="1:25" ht="30" hidden="1" customHeight="1" x14ac:dyDescent="0.25">
      <c r="A1730" s="82">
        <v>190115</v>
      </c>
      <c r="B1730" s="664" t="s">
        <v>764</v>
      </c>
      <c r="C1730" s="71" t="s">
        <v>1649</v>
      </c>
      <c r="D1730" s="71">
        <v>1</v>
      </c>
      <c r="E1730" s="102">
        <v>595000</v>
      </c>
      <c r="F1730" s="102">
        <f>(E1730*D1730)*1.1</f>
        <v>654500</v>
      </c>
      <c r="G1730" s="102">
        <f>(E1730*D1730)</f>
        <v>595000</v>
      </c>
      <c r="H1730" s="690" t="s">
        <v>1432</v>
      </c>
      <c r="I1730" s="71" t="s">
        <v>1432</v>
      </c>
      <c r="J1730" s="53">
        <f>G1730-T1730</f>
        <v>311799.04504760553</v>
      </c>
      <c r="K1730" s="63">
        <f>(J1730/(F1730/11*10))</f>
        <v>0.52403200848337061</v>
      </c>
      <c r="L1730" s="871" t="s">
        <v>1613</v>
      </c>
      <c r="M1730" s="468"/>
      <c r="N1730" s="664">
        <f>A1730</f>
        <v>190115</v>
      </c>
      <c r="O1730" s="71" t="s">
        <v>1432</v>
      </c>
      <c r="P1730" s="103" t="str">
        <f t="shared" si="891"/>
        <v>Plug in Module</v>
      </c>
      <c r="Q1730" s="71">
        <f>D1730</f>
        <v>1</v>
      </c>
      <c r="R1730" s="102">
        <f>Import!G662</f>
        <v>283200.95495239447</v>
      </c>
      <c r="S1730" s="102">
        <f t="shared" si="892"/>
        <v>311521.05044763396</v>
      </c>
      <c r="T1730" s="102">
        <f t="shared" si="893"/>
        <v>283200.95495239447</v>
      </c>
      <c r="U1730" s="71"/>
      <c r="V1730" s="71"/>
      <c r="W1730" s="474"/>
      <c r="X1730" s="71"/>
      <c r="Y1730" s="71"/>
    </row>
    <row r="1731" spans="1:25" ht="30" hidden="1" customHeight="1" x14ac:dyDescent="0.25">
      <c r="A1731" s="82">
        <v>190115</v>
      </c>
      <c r="B1731" s="664" t="s">
        <v>631</v>
      </c>
      <c r="C1731" s="67" t="s">
        <v>201</v>
      </c>
      <c r="D1731" s="71">
        <v>10</v>
      </c>
      <c r="E1731" s="102">
        <v>75000</v>
      </c>
      <c r="F1731" s="102">
        <f>(E1731*D1731)*1.1</f>
        <v>825000.00000000012</v>
      </c>
      <c r="G1731" s="102">
        <f>(E1731*D1731)</f>
        <v>750000</v>
      </c>
      <c r="H1731" s="690" t="s">
        <v>173</v>
      </c>
      <c r="I1731" s="71" t="s">
        <v>109</v>
      </c>
      <c r="J1731" s="53">
        <f>(G1731-(VLOOKUP(C1731,Price!B:D,3,FALSE)*D1731))</f>
        <v>200000</v>
      </c>
      <c r="K1731" s="63">
        <f>(J1731/(F1731/11*10))</f>
        <v>0.26666666666666661</v>
      </c>
      <c r="L1731" s="871" t="s">
        <v>1613</v>
      </c>
      <c r="M1731" s="468"/>
      <c r="N1731" s="664">
        <f>A1731</f>
        <v>190115</v>
      </c>
      <c r="O1731" s="71" t="s">
        <v>149</v>
      </c>
      <c r="P1731" s="103" t="str">
        <f>C1731</f>
        <v>Bar블랑켓 730*710</v>
      </c>
      <c r="Q1731" s="71">
        <f>D1731</f>
        <v>10</v>
      </c>
      <c r="R1731" s="102">
        <v>55000</v>
      </c>
      <c r="S1731" s="102">
        <f t="shared" si="892"/>
        <v>605000</v>
      </c>
      <c r="T1731" s="102">
        <f t="shared" si="893"/>
        <v>550000</v>
      </c>
      <c r="U1731" s="71" t="str">
        <f t="shared" ref="U1731:U1736" si="894">IF(J1731=W1731,"O", "X")</f>
        <v>O</v>
      </c>
      <c r="V1731" s="71"/>
      <c r="W1731" s="474">
        <f t="shared" ref="W1731:W1738" si="895">(G1731-T1731)</f>
        <v>200000</v>
      </c>
      <c r="X1731" s="71"/>
      <c r="Y1731" s="71"/>
    </row>
    <row r="1732" spans="1:25" ht="30" hidden="1" customHeight="1" x14ac:dyDescent="0.25">
      <c r="A1732" s="82">
        <v>190116</v>
      </c>
      <c r="B1732" s="664" t="s">
        <v>983</v>
      </c>
      <c r="C1732" s="71" t="s">
        <v>1009</v>
      </c>
      <c r="D1732" s="71">
        <v>520</v>
      </c>
      <c r="E1732" s="102">
        <v>3900</v>
      </c>
      <c r="F1732" s="102">
        <f t="shared" si="883"/>
        <v>2230800</v>
      </c>
      <c r="G1732" s="102">
        <f t="shared" si="884"/>
        <v>2028000</v>
      </c>
      <c r="H1732" s="690" t="s">
        <v>173</v>
      </c>
      <c r="I1732" s="71" t="s">
        <v>2230</v>
      </c>
      <c r="J1732" s="53">
        <f>G1732-T1732</f>
        <v>312000</v>
      </c>
      <c r="K1732" s="63">
        <f t="shared" si="890"/>
        <v>0.15384615384615385</v>
      </c>
      <c r="L1732" s="871" t="s">
        <v>1613</v>
      </c>
      <c r="M1732" s="468"/>
      <c r="N1732" s="664">
        <f t="shared" si="885"/>
        <v>190116</v>
      </c>
      <c r="O1732" s="71" t="s">
        <v>147</v>
      </c>
      <c r="P1732" s="103" t="str">
        <f t="shared" si="891"/>
        <v>CTP판(1030*790mm)</v>
      </c>
      <c r="Q1732" s="71">
        <f t="shared" si="886"/>
        <v>520</v>
      </c>
      <c r="R1732" s="102">
        <v>3300</v>
      </c>
      <c r="S1732" s="102">
        <f t="shared" si="892"/>
        <v>1887600.0000000002</v>
      </c>
      <c r="T1732" s="102">
        <f t="shared" si="893"/>
        <v>1716000</v>
      </c>
      <c r="U1732" s="71" t="str">
        <f t="shared" si="894"/>
        <v>O</v>
      </c>
      <c r="V1732" s="71"/>
      <c r="W1732" s="474">
        <f t="shared" si="895"/>
        <v>312000</v>
      </c>
      <c r="X1732" s="71"/>
      <c r="Y1732" s="71"/>
    </row>
    <row r="1733" spans="1:25" ht="30" hidden="1" customHeight="1" x14ac:dyDescent="0.25">
      <c r="A1733" s="82">
        <v>190116</v>
      </c>
      <c r="B1733" s="664" t="s">
        <v>983</v>
      </c>
      <c r="C1733" s="71" t="s">
        <v>984</v>
      </c>
      <c r="D1733" s="71">
        <v>6</v>
      </c>
      <c r="E1733" s="102">
        <v>45000</v>
      </c>
      <c r="F1733" s="102">
        <f t="shared" si="883"/>
        <v>297000</v>
      </c>
      <c r="G1733" s="102">
        <f t="shared" si="884"/>
        <v>270000</v>
      </c>
      <c r="H1733" s="690" t="s">
        <v>173</v>
      </c>
      <c r="I1733" s="71" t="s">
        <v>2230</v>
      </c>
      <c r="J1733" s="53">
        <f>G1733-T1733</f>
        <v>60000</v>
      </c>
      <c r="K1733" s="63">
        <f t="shared" si="890"/>
        <v>0.22222222222222221</v>
      </c>
      <c r="L1733" s="871" t="s">
        <v>1613</v>
      </c>
      <c r="M1733" s="468"/>
      <c r="N1733" s="664">
        <f t="shared" si="885"/>
        <v>190116</v>
      </c>
      <c r="O1733" s="71" t="s">
        <v>147</v>
      </c>
      <c r="P1733" s="103" t="str">
        <f t="shared" si="891"/>
        <v>CTP 현상액</v>
      </c>
      <c r="Q1733" s="71">
        <f t="shared" si="886"/>
        <v>6</v>
      </c>
      <c r="R1733" s="102">
        <v>35000</v>
      </c>
      <c r="S1733" s="102">
        <f t="shared" si="892"/>
        <v>231000.00000000003</v>
      </c>
      <c r="T1733" s="102">
        <f t="shared" si="893"/>
        <v>210000</v>
      </c>
      <c r="U1733" s="71" t="str">
        <f t="shared" si="894"/>
        <v>O</v>
      </c>
      <c r="V1733" s="71"/>
      <c r="W1733" s="474">
        <f t="shared" si="895"/>
        <v>60000</v>
      </c>
      <c r="X1733" s="71"/>
      <c r="Y1733" s="71"/>
    </row>
    <row r="1734" spans="1:25" ht="30" hidden="1" customHeight="1" x14ac:dyDescent="0.25">
      <c r="A1734" s="82">
        <v>190116</v>
      </c>
      <c r="B1734" s="664" t="s">
        <v>545</v>
      </c>
      <c r="C1734" s="71" t="s">
        <v>227</v>
      </c>
      <c r="D1734" s="71">
        <v>10</v>
      </c>
      <c r="E1734" s="102">
        <v>110000</v>
      </c>
      <c r="F1734" s="102">
        <f t="shared" si="883"/>
        <v>1210000</v>
      </c>
      <c r="G1734" s="102">
        <f t="shared" si="884"/>
        <v>1100000</v>
      </c>
      <c r="H1734" s="690" t="s">
        <v>173</v>
      </c>
      <c r="I1734" s="71" t="s">
        <v>109</v>
      </c>
      <c r="J1734" s="53">
        <f>(G1734-(VLOOKUP(C1734,Price!B:D,3,FALSE)*D1734))</f>
        <v>271000</v>
      </c>
      <c r="K1734" s="63">
        <f t="shared" ref="K1734:K1750" si="896">(J1734/(F1734/11*10))</f>
        <v>0.24636363636363637</v>
      </c>
      <c r="L1734" s="871" t="s">
        <v>1613</v>
      </c>
      <c r="M1734" s="468"/>
      <c r="N1734" s="664">
        <f t="shared" si="885"/>
        <v>190116</v>
      </c>
      <c r="O1734" s="71" t="s">
        <v>147</v>
      </c>
      <c r="P1734" s="103" t="str">
        <f t="shared" si="891"/>
        <v>Blanket(1060*860)</v>
      </c>
      <c r="Q1734" s="71">
        <f t="shared" si="886"/>
        <v>10</v>
      </c>
      <c r="R1734" s="102">
        <v>82900</v>
      </c>
      <c r="S1734" s="102">
        <f t="shared" si="892"/>
        <v>911900.00000000012</v>
      </c>
      <c r="T1734" s="102">
        <f t="shared" si="893"/>
        <v>829000</v>
      </c>
      <c r="U1734" s="71" t="str">
        <f t="shared" si="894"/>
        <v>O</v>
      </c>
      <c r="V1734" s="71"/>
      <c r="W1734" s="474">
        <f t="shared" si="895"/>
        <v>271000</v>
      </c>
      <c r="X1734" s="71"/>
      <c r="Y1734" s="71"/>
    </row>
    <row r="1735" spans="1:25" ht="30" hidden="1" customHeight="1" x14ac:dyDescent="0.25">
      <c r="A1735" s="82">
        <v>190116</v>
      </c>
      <c r="B1735" s="664" t="s">
        <v>545</v>
      </c>
      <c r="C1735" s="71" t="s">
        <v>952</v>
      </c>
      <c r="D1735" s="71">
        <v>1</v>
      </c>
      <c r="E1735" s="102">
        <v>630000</v>
      </c>
      <c r="F1735" s="102">
        <f t="shared" si="883"/>
        <v>693000</v>
      </c>
      <c r="G1735" s="102">
        <f t="shared" si="884"/>
        <v>630000</v>
      </c>
      <c r="H1735" s="690" t="s">
        <v>173</v>
      </c>
      <c r="I1735" s="71" t="s">
        <v>108</v>
      </c>
      <c r="J1735" s="53">
        <f>(G1735-(VLOOKUP(C1735,Price!B:D,3,FALSE)*D1735))</f>
        <v>180000</v>
      </c>
      <c r="K1735" s="63">
        <f t="shared" si="896"/>
        <v>0.2857142857142857</v>
      </c>
      <c r="L1735" s="871" t="s">
        <v>1613</v>
      </c>
      <c r="M1735" s="468"/>
      <c r="N1735" s="664">
        <f t="shared" si="885"/>
        <v>190116</v>
      </c>
      <c r="O1735" s="71" t="s">
        <v>599</v>
      </c>
      <c r="P1735" s="103" t="str">
        <f t="shared" si="891"/>
        <v>점보롤 세정포</v>
      </c>
      <c r="Q1735" s="71">
        <f t="shared" si="886"/>
        <v>1</v>
      </c>
      <c r="R1735" s="102">
        <v>440000</v>
      </c>
      <c r="S1735" s="102">
        <f t="shared" si="892"/>
        <v>484000.00000000006</v>
      </c>
      <c r="T1735" s="102">
        <f t="shared" si="893"/>
        <v>440000</v>
      </c>
      <c r="U1735" s="71" t="str">
        <f t="shared" si="894"/>
        <v>X</v>
      </c>
      <c r="V1735" s="71" t="s">
        <v>1228</v>
      </c>
      <c r="W1735" s="474">
        <f t="shared" si="895"/>
        <v>190000</v>
      </c>
      <c r="X1735" s="71"/>
      <c r="Y1735" s="71"/>
    </row>
    <row r="1736" spans="1:25" s="209" customFormat="1" ht="30" hidden="1" customHeight="1" x14ac:dyDescent="0.25">
      <c r="A1736" s="82">
        <v>190118</v>
      </c>
      <c r="B1736" s="664" t="s">
        <v>764</v>
      </c>
      <c r="C1736" s="71" t="s">
        <v>236</v>
      </c>
      <c r="D1736" s="71">
        <v>5</v>
      </c>
      <c r="E1736" s="102">
        <v>100000</v>
      </c>
      <c r="F1736" s="102">
        <f>(E1736*D1736)*1.1</f>
        <v>550000</v>
      </c>
      <c r="G1736" s="102">
        <f>(E1736*D1736)</f>
        <v>500000</v>
      </c>
      <c r="H1736" s="690" t="s">
        <v>173</v>
      </c>
      <c r="I1736" s="71" t="s">
        <v>2231</v>
      </c>
      <c r="J1736" s="53">
        <f>(G1736-(VLOOKUP(C1736,Price!B:D,3,FALSE)*D1736))</f>
        <v>250000</v>
      </c>
      <c r="K1736" s="63">
        <f t="shared" si="896"/>
        <v>0.5</v>
      </c>
      <c r="L1736" s="871" t="s">
        <v>1613</v>
      </c>
      <c r="M1736" s="468"/>
      <c r="N1736" s="664">
        <f>A1736</f>
        <v>190118</v>
      </c>
      <c r="O1736" s="71" t="s">
        <v>153</v>
      </c>
      <c r="P1736" s="103" t="str">
        <f>C1736</f>
        <v>아스테이지(국전)</v>
      </c>
      <c r="Q1736" s="71">
        <f>D1736</f>
        <v>5</v>
      </c>
      <c r="R1736" s="102">
        <f>VLOOKUP(P1736,Price!B:D,3,FALSE)</f>
        <v>50000</v>
      </c>
      <c r="S1736" s="102">
        <f t="shared" si="892"/>
        <v>275000</v>
      </c>
      <c r="T1736" s="102">
        <f t="shared" si="893"/>
        <v>250000</v>
      </c>
      <c r="U1736" s="71" t="str">
        <f t="shared" si="894"/>
        <v>O</v>
      </c>
      <c r="V1736" s="71"/>
      <c r="W1736" s="474">
        <f t="shared" si="895"/>
        <v>250000</v>
      </c>
      <c r="X1736" s="71"/>
      <c r="Y1736" s="71"/>
    </row>
    <row r="1737" spans="1:25" ht="30" hidden="1" customHeight="1" x14ac:dyDescent="0.25">
      <c r="A1737" s="82">
        <v>190118</v>
      </c>
      <c r="B1737" s="664" t="s">
        <v>748</v>
      </c>
      <c r="C1737" s="67" t="s">
        <v>1638</v>
      </c>
      <c r="D1737" s="71">
        <v>30</v>
      </c>
      <c r="E1737" s="102">
        <v>22000</v>
      </c>
      <c r="F1737" s="102">
        <f t="shared" si="883"/>
        <v>726000.00000000012</v>
      </c>
      <c r="G1737" s="102">
        <f t="shared" si="884"/>
        <v>660000</v>
      </c>
      <c r="H1737" s="690" t="s">
        <v>1431</v>
      </c>
      <c r="I1737" s="71" t="s">
        <v>1431</v>
      </c>
      <c r="J1737" s="53">
        <f>G1737-T1737</f>
        <v>397878.52133291133</v>
      </c>
      <c r="K1737" s="63">
        <f t="shared" si="896"/>
        <v>0.60284624444380497</v>
      </c>
      <c r="L1737" s="871" t="s">
        <v>1613</v>
      </c>
      <c r="M1737" s="468"/>
      <c r="N1737" s="664">
        <f t="shared" si="885"/>
        <v>190118</v>
      </c>
      <c r="O1737" s="71" t="s">
        <v>1431</v>
      </c>
      <c r="P1737" s="103" t="str">
        <f t="shared" si="891"/>
        <v>링크, 체인</v>
      </c>
      <c r="Q1737" s="71">
        <f t="shared" si="886"/>
        <v>30</v>
      </c>
      <c r="R1737" s="102">
        <f>Import!G145</f>
        <v>8737.3826222362877</v>
      </c>
      <c r="S1737" s="102">
        <f t="shared" si="892"/>
        <v>288333.62653379753</v>
      </c>
      <c r="T1737" s="102">
        <f t="shared" si="893"/>
        <v>262121.47866708864</v>
      </c>
      <c r="U1737" s="71"/>
      <c r="V1737" s="71"/>
      <c r="W1737" s="474">
        <f t="shared" si="895"/>
        <v>397878.52133291133</v>
      </c>
      <c r="X1737" s="71"/>
      <c r="Y1737" s="71"/>
    </row>
    <row r="1738" spans="1:25" ht="30" hidden="1" customHeight="1" x14ac:dyDescent="0.25">
      <c r="A1738" s="82">
        <v>190118</v>
      </c>
      <c r="B1738" s="664" t="s">
        <v>446</v>
      </c>
      <c r="C1738" s="71" t="s">
        <v>1144</v>
      </c>
      <c r="D1738" s="71">
        <v>8</v>
      </c>
      <c r="E1738" s="102">
        <v>110000</v>
      </c>
      <c r="F1738" s="102">
        <f t="shared" ref="F1738:F1743" si="897">(E1738*D1738)*1.1</f>
        <v>968000.00000000012</v>
      </c>
      <c r="G1738" s="102">
        <f t="shared" ref="G1738:G1743" si="898">(E1738*D1738)</f>
        <v>880000</v>
      </c>
      <c r="H1738" s="690" t="s">
        <v>173</v>
      </c>
      <c r="I1738" s="71" t="s">
        <v>2231</v>
      </c>
      <c r="J1738" s="53">
        <f>G1738-T1738</f>
        <v>152000</v>
      </c>
      <c r="K1738" s="63">
        <f t="shared" si="896"/>
        <v>0.1727272727272727</v>
      </c>
      <c r="L1738" s="871" t="s">
        <v>1613</v>
      </c>
      <c r="M1738" s="468"/>
      <c r="N1738" s="664">
        <f>A1738</f>
        <v>190118</v>
      </c>
      <c r="O1738" s="71" t="s">
        <v>150</v>
      </c>
      <c r="P1738" s="103" t="str">
        <f t="shared" si="891"/>
        <v>실리콘 에멀전</v>
      </c>
      <c r="Q1738" s="71">
        <f>D1738</f>
        <v>8</v>
      </c>
      <c r="R1738" s="102">
        <v>91000</v>
      </c>
      <c r="S1738" s="102">
        <f t="shared" si="892"/>
        <v>800800.00000000012</v>
      </c>
      <c r="T1738" s="102">
        <f t="shared" si="893"/>
        <v>728000</v>
      </c>
      <c r="U1738" s="71" t="str">
        <f>IF(J1738=W1738,"O", "X")</f>
        <v>O</v>
      </c>
      <c r="V1738" s="71"/>
      <c r="W1738" s="474">
        <f t="shared" si="895"/>
        <v>152000</v>
      </c>
      <c r="X1738" s="71"/>
      <c r="Y1738" s="71"/>
    </row>
    <row r="1739" spans="1:25" ht="30" hidden="1" customHeight="1" x14ac:dyDescent="0.25">
      <c r="A1739" s="82">
        <v>190118</v>
      </c>
      <c r="B1739" s="664" t="s">
        <v>640</v>
      </c>
      <c r="C1739" s="71" t="s">
        <v>1643</v>
      </c>
      <c r="D1739" s="71">
        <v>1</v>
      </c>
      <c r="E1739" s="102">
        <v>6750000</v>
      </c>
      <c r="F1739" s="102">
        <f t="shared" si="897"/>
        <v>7425000.0000000009</v>
      </c>
      <c r="G1739" s="102">
        <f t="shared" si="898"/>
        <v>6750000</v>
      </c>
      <c r="H1739" s="690" t="s">
        <v>1431</v>
      </c>
      <c r="I1739" s="71" t="s">
        <v>1431</v>
      </c>
      <c r="J1739" s="53">
        <f>G1739-T1739-340000</f>
        <v>3820222.7449606289</v>
      </c>
      <c r="K1739" s="63">
        <f t="shared" si="896"/>
        <v>0.56595892517935231</v>
      </c>
      <c r="L1739" s="871" t="s">
        <v>1613</v>
      </c>
      <c r="M1739" s="1237" t="s">
        <v>1674</v>
      </c>
      <c r="N1739" s="664">
        <f>A1739</f>
        <v>190118</v>
      </c>
      <c r="O1739" s="71" t="s">
        <v>1431</v>
      </c>
      <c r="P1739" s="103" t="str">
        <f t="shared" si="891"/>
        <v>판걸이 튜브(상)</v>
      </c>
      <c r="Q1739" s="71">
        <f>D1739</f>
        <v>1</v>
      </c>
      <c r="R1739" s="102">
        <f>Import!G147</f>
        <v>2589777.2550393711</v>
      </c>
      <c r="S1739" s="102">
        <f t="shared" si="892"/>
        <v>2848754.9805433084</v>
      </c>
      <c r="T1739" s="102">
        <f t="shared" si="893"/>
        <v>2589777.2550393711</v>
      </c>
      <c r="U1739" s="71"/>
      <c r="V1739" s="71"/>
      <c r="W1739" s="474"/>
      <c r="X1739" s="71"/>
      <c r="Y1739" s="71"/>
    </row>
    <row r="1740" spans="1:25" ht="30" hidden="1" customHeight="1" x14ac:dyDescent="0.25">
      <c r="A1740" s="82">
        <v>190118</v>
      </c>
      <c r="B1740" s="664" t="s">
        <v>1286</v>
      </c>
      <c r="C1740" s="71" t="s">
        <v>1643</v>
      </c>
      <c r="D1740" s="71">
        <v>2</v>
      </c>
      <c r="E1740" s="102">
        <v>6750000</v>
      </c>
      <c r="F1740" s="102">
        <f t="shared" si="897"/>
        <v>14850000.000000002</v>
      </c>
      <c r="G1740" s="102">
        <f t="shared" si="898"/>
        <v>13500000</v>
      </c>
      <c r="H1740" s="690" t="s">
        <v>1431</v>
      </c>
      <c r="I1740" s="71" t="s">
        <v>1431</v>
      </c>
      <c r="J1740" s="53">
        <f>G1740-T1740-330000</f>
        <v>7990445.4899212578</v>
      </c>
      <c r="K1740" s="63">
        <f t="shared" si="896"/>
        <v>0.59188485110527833</v>
      </c>
      <c r="L1740" s="871" t="s">
        <v>1613</v>
      </c>
      <c r="M1740" s="1238"/>
      <c r="N1740" s="664">
        <f>A1740</f>
        <v>190118</v>
      </c>
      <c r="O1740" s="71" t="s">
        <v>1431</v>
      </c>
      <c r="P1740" s="103" t="str">
        <f>C1740</f>
        <v>판걸이 튜브(상)</v>
      </c>
      <c r="Q1740" s="71">
        <f>D1740</f>
        <v>2</v>
      </c>
      <c r="R1740" s="102">
        <f>Import!G147</f>
        <v>2589777.2550393711</v>
      </c>
      <c r="S1740" s="102">
        <f t="shared" si="892"/>
        <v>5697509.9610866169</v>
      </c>
      <c r="T1740" s="102">
        <f t="shared" si="893"/>
        <v>5179554.5100787422</v>
      </c>
      <c r="U1740" s="71"/>
      <c r="V1740" s="71"/>
      <c r="W1740" s="474"/>
      <c r="X1740" s="71"/>
      <c r="Y1740" s="71"/>
    </row>
    <row r="1741" spans="1:25" ht="30" hidden="1" customHeight="1" x14ac:dyDescent="0.25">
      <c r="A1741" s="82">
        <v>190118</v>
      </c>
      <c r="B1741" s="664" t="s">
        <v>1286</v>
      </c>
      <c r="C1741" s="71" t="s">
        <v>1644</v>
      </c>
      <c r="D1741" s="71">
        <v>1</v>
      </c>
      <c r="E1741" s="102">
        <v>6750000</v>
      </c>
      <c r="F1741" s="102">
        <f t="shared" si="897"/>
        <v>7425000.0000000009</v>
      </c>
      <c r="G1741" s="102">
        <f t="shared" si="898"/>
        <v>6750000</v>
      </c>
      <c r="H1741" s="690" t="s">
        <v>1431</v>
      </c>
      <c r="I1741" s="71" t="s">
        <v>1431</v>
      </c>
      <c r="J1741" s="53">
        <f>G1741-T1741-330000</f>
        <v>3769029.4828818878</v>
      </c>
      <c r="K1741" s="63">
        <f t="shared" si="896"/>
        <v>0.55837473820472405</v>
      </c>
      <c r="L1741" s="871" t="s">
        <v>1613</v>
      </c>
      <c r="M1741" s="1239"/>
      <c r="N1741" s="664">
        <f>A1741</f>
        <v>190118</v>
      </c>
      <c r="O1741" s="71" t="s">
        <v>1431</v>
      </c>
      <c r="P1741" s="103" t="str">
        <f>C1741</f>
        <v>판걸이 튜브(하)</v>
      </c>
      <c r="Q1741" s="71">
        <f>D1741</f>
        <v>1</v>
      </c>
      <c r="R1741" s="102">
        <f>Import!G148</f>
        <v>2650970.5171181122</v>
      </c>
      <c r="S1741" s="102">
        <f t="shared" si="892"/>
        <v>2916067.5688299239</v>
      </c>
      <c r="T1741" s="102">
        <f t="shared" si="893"/>
        <v>2650970.5171181122</v>
      </c>
      <c r="U1741" s="71"/>
      <c r="V1741" s="71"/>
      <c r="W1741" s="474"/>
      <c r="X1741" s="71"/>
      <c r="Y1741" s="71"/>
    </row>
    <row r="1742" spans="1:25" ht="30" hidden="1" customHeight="1" x14ac:dyDescent="0.25">
      <c r="A1742" s="82">
        <v>190121</v>
      </c>
      <c r="B1742" s="664" t="s">
        <v>1014</v>
      </c>
      <c r="C1742" s="71" t="s">
        <v>123</v>
      </c>
      <c r="D1742" s="71">
        <v>10</v>
      </c>
      <c r="E1742" s="102">
        <v>45000</v>
      </c>
      <c r="F1742" s="102">
        <f t="shared" si="897"/>
        <v>495000.00000000006</v>
      </c>
      <c r="G1742" s="102">
        <f t="shared" si="898"/>
        <v>450000</v>
      </c>
      <c r="H1742" s="1010" t="s">
        <v>39</v>
      </c>
      <c r="I1742" s="71" t="s">
        <v>1432</v>
      </c>
      <c r="J1742" s="53">
        <f>(G1742-(VLOOKUP(C1742,Import!C:G,4,FALSE)*D1742))</f>
        <v>450000</v>
      </c>
      <c r="K1742" s="63">
        <f t="shared" si="896"/>
        <v>0.99999999999999989</v>
      </c>
      <c r="L1742" s="871" t="s">
        <v>1613</v>
      </c>
      <c r="M1742" s="468"/>
      <c r="N1742" s="664">
        <f t="shared" si="885"/>
        <v>190121</v>
      </c>
      <c r="O1742" s="991" t="s">
        <v>39</v>
      </c>
      <c r="P1742" s="103" t="str">
        <f t="shared" si="891"/>
        <v>필터백</v>
      </c>
      <c r="Q1742" s="71">
        <f t="shared" si="886"/>
        <v>10</v>
      </c>
      <c r="R1742" s="102">
        <f>VLOOKUP(P1742,Price!B:D,3,FALSE)</f>
        <v>22461</v>
      </c>
      <c r="S1742" s="102">
        <f t="shared" si="892"/>
        <v>247071.00000000003</v>
      </c>
      <c r="T1742" s="102">
        <f t="shared" si="893"/>
        <v>224610</v>
      </c>
      <c r="U1742" s="71" t="str">
        <f>IF(J1742=W1742,"O", "X")</f>
        <v>X</v>
      </c>
      <c r="V1742" s="71"/>
      <c r="W1742" s="474">
        <f>(G1742-T1742)</f>
        <v>225390</v>
      </c>
      <c r="X1742" s="71"/>
      <c r="Y1742" s="71"/>
    </row>
    <row r="1743" spans="1:25" ht="30" hidden="1" customHeight="1" x14ac:dyDescent="0.25">
      <c r="A1743" s="82">
        <v>190121</v>
      </c>
      <c r="B1743" s="664" t="s">
        <v>819</v>
      </c>
      <c r="C1743" s="71" t="s">
        <v>123</v>
      </c>
      <c r="D1743" s="71">
        <v>20</v>
      </c>
      <c r="E1743" s="102">
        <v>40000</v>
      </c>
      <c r="F1743" s="102">
        <f t="shared" si="897"/>
        <v>880000.00000000012</v>
      </c>
      <c r="G1743" s="102">
        <f t="shared" si="898"/>
        <v>800000</v>
      </c>
      <c r="H1743" s="1010" t="s">
        <v>39</v>
      </c>
      <c r="I1743" s="71" t="s">
        <v>1432</v>
      </c>
      <c r="J1743" s="53">
        <f>G1743-T1743</f>
        <v>350780</v>
      </c>
      <c r="K1743" s="63">
        <f t="shared" si="896"/>
        <v>0.43847499999999995</v>
      </c>
      <c r="L1743" s="871" t="s">
        <v>1613</v>
      </c>
      <c r="M1743" s="468"/>
      <c r="N1743" s="664">
        <f>A1743</f>
        <v>190121</v>
      </c>
      <c r="O1743" s="991" t="s">
        <v>39</v>
      </c>
      <c r="P1743" s="103" t="str">
        <f>C1743</f>
        <v>필터백</v>
      </c>
      <c r="Q1743" s="71">
        <f>D1743</f>
        <v>20</v>
      </c>
      <c r="R1743" s="102">
        <f>VLOOKUP(P1743,Price!B:D,3,FALSE)</f>
        <v>22461</v>
      </c>
      <c r="S1743" s="102">
        <f t="shared" si="892"/>
        <v>494142.00000000006</v>
      </c>
      <c r="T1743" s="102">
        <f t="shared" si="893"/>
        <v>449220</v>
      </c>
      <c r="U1743" s="71" t="str">
        <f>IF(J1743=W1743,"O", "X")</f>
        <v>O</v>
      </c>
      <c r="V1743" s="71"/>
      <c r="W1743" s="474">
        <f>(G1743-T1743)</f>
        <v>350780</v>
      </c>
      <c r="X1743" s="71"/>
      <c r="Y1743" s="71"/>
    </row>
    <row r="1744" spans="1:25" s="209" customFormat="1" ht="30" hidden="1" customHeight="1" x14ac:dyDescent="0.25">
      <c r="A1744" s="82">
        <v>190122</v>
      </c>
      <c r="B1744" s="664" t="s">
        <v>445</v>
      </c>
      <c r="C1744" s="71" t="s">
        <v>277</v>
      </c>
      <c r="D1744" s="71">
        <v>6</v>
      </c>
      <c r="E1744" s="102">
        <v>172000</v>
      </c>
      <c r="F1744" s="102">
        <f t="shared" ref="F1744:F1750" si="899">(E1744*D1744)*1.1</f>
        <v>1135200</v>
      </c>
      <c r="G1744" s="102">
        <f t="shared" ref="G1744:G1750" si="900">(E1744*D1744)</f>
        <v>1032000</v>
      </c>
      <c r="H1744" s="690" t="s">
        <v>173</v>
      </c>
      <c r="I1744" s="71" t="s">
        <v>108</v>
      </c>
      <c r="J1744" s="53">
        <f>(G1744-(VLOOKUP(C1744,Price!B:D,3,FALSE)*D1744))</f>
        <v>342000</v>
      </c>
      <c r="K1744" s="63">
        <f t="shared" si="896"/>
        <v>0.33139534883720928</v>
      </c>
      <c r="L1744" s="871" t="s">
        <v>1613</v>
      </c>
      <c r="M1744" s="468"/>
      <c r="N1744" s="664">
        <f t="shared" ref="N1744:N1750" si="901">A1744</f>
        <v>190122</v>
      </c>
      <c r="O1744" s="71" t="s">
        <v>150</v>
      </c>
      <c r="P1744" s="103" t="str">
        <f t="shared" ref="P1744:P1750" si="902">C1744</f>
        <v>윤전용 세척제(Web 504)</v>
      </c>
      <c r="Q1744" s="71">
        <f t="shared" ref="Q1744:Q1750" si="903">D1744</f>
        <v>6</v>
      </c>
      <c r="R1744" s="102">
        <v>115000</v>
      </c>
      <c r="S1744" s="102">
        <f>(R1744*D1744)*1.1</f>
        <v>759000.00000000012</v>
      </c>
      <c r="T1744" s="102">
        <f>(R1744*Q1744)</f>
        <v>690000</v>
      </c>
      <c r="U1744" s="71" t="str">
        <f>IF(J1744=W1744,"O", "X")</f>
        <v>O</v>
      </c>
      <c r="V1744" s="71"/>
      <c r="W1744" s="474">
        <f>(G1744-T1744)</f>
        <v>342000</v>
      </c>
      <c r="X1744" s="71"/>
      <c r="Y1744" s="71"/>
    </row>
    <row r="1745" spans="1:25" s="209" customFormat="1" ht="30" hidden="1" customHeight="1" x14ac:dyDescent="0.2">
      <c r="A1745" s="82">
        <v>190122</v>
      </c>
      <c r="B1745" s="664" t="s">
        <v>445</v>
      </c>
      <c r="C1745" s="71" t="s">
        <v>107</v>
      </c>
      <c r="D1745" s="71">
        <v>10</v>
      </c>
      <c r="E1745" s="102">
        <v>108000</v>
      </c>
      <c r="F1745" s="163">
        <f t="shared" si="899"/>
        <v>1188000</v>
      </c>
      <c r="G1745" s="163">
        <f t="shared" si="900"/>
        <v>1080000</v>
      </c>
      <c r="H1745" s="165" t="s">
        <v>172</v>
      </c>
      <c r="I1745" s="71" t="s">
        <v>109</v>
      </c>
      <c r="J1745" s="53">
        <f>(G1745-(VLOOKUP(C1745,Price!B:D,3,FALSE)*D1745))</f>
        <v>275000</v>
      </c>
      <c r="K1745" s="63">
        <f t="shared" si="896"/>
        <v>0.25462962962962965</v>
      </c>
      <c r="L1745" s="871" t="s">
        <v>1613</v>
      </c>
      <c r="M1745" s="468"/>
      <c r="N1745" s="664">
        <f t="shared" si="901"/>
        <v>190122</v>
      </c>
      <c r="O1745" s="71" t="s">
        <v>147</v>
      </c>
      <c r="P1745" s="103" t="str">
        <f t="shared" si="902"/>
        <v>Blanket(1050*840)</v>
      </c>
      <c r="Q1745" s="71">
        <f t="shared" si="903"/>
        <v>10</v>
      </c>
      <c r="R1745" s="102">
        <v>80500</v>
      </c>
      <c r="S1745" s="102">
        <f>(R1745*D1745)*1.1</f>
        <v>885500.00000000012</v>
      </c>
      <c r="T1745" s="102">
        <f>(R1745*Q1745)</f>
        <v>805000</v>
      </c>
      <c r="U1745" s="71" t="str">
        <f>IF(J1745=W1745,"O", "X")</f>
        <v>O</v>
      </c>
      <c r="V1745" s="71"/>
      <c r="W1745" s="474">
        <f>(G1745-T1745)</f>
        <v>275000</v>
      </c>
      <c r="X1745" s="71"/>
      <c r="Y1745" s="71"/>
    </row>
    <row r="1746" spans="1:25" s="209" customFormat="1" ht="30" customHeight="1" x14ac:dyDescent="0.2">
      <c r="A1746" s="82">
        <v>190122</v>
      </c>
      <c r="B1746" s="664" t="s">
        <v>422</v>
      </c>
      <c r="C1746" s="71" t="s">
        <v>1647</v>
      </c>
      <c r="D1746" s="71">
        <v>1</v>
      </c>
      <c r="E1746" s="102">
        <v>13398300</v>
      </c>
      <c r="F1746" s="163">
        <f t="shared" si="899"/>
        <v>14738130.000000002</v>
      </c>
      <c r="G1746" s="163">
        <f t="shared" si="900"/>
        <v>13398300</v>
      </c>
      <c r="H1746" s="165" t="s">
        <v>142</v>
      </c>
      <c r="I1746" s="71" t="s">
        <v>142</v>
      </c>
      <c r="J1746" s="53">
        <f>G1746-T1746</f>
        <v>2629320.1067934595</v>
      </c>
      <c r="K1746" s="63">
        <f t="shared" si="896"/>
        <v>0.19624281489393872</v>
      </c>
      <c r="L1746" s="871" t="s">
        <v>1613</v>
      </c>
      <c r="M1746" s="468"/>
      <c r="N1746" s="664">
        <f t="shared" si="901"/>
        <v>190122</v>
      </c>
      <c r="O1746" s="71" t="s">
        <v>1431</v>
      </c>
      <c r="P1746" s="103" t="str">
        <f t="shared" si="902"/>
        <v>WATER CRUTCH, Water Roller Gear*2</v>
      </c>
      <c r="Q1746" s="71">
        <f t="shared" si="903"/>
        <v>1</v>
      </c>
      <c r="R1746" s="102">
        <f>SUM(Import!H150:H151)</f>
        <v>10768979.89320654</v>
      </c>
      <c r="S1746" s="102">
        <f>(R1746*D1746)*1.1</f>
        <v>11845877.882527195</v>
      </c>
      <c r="T1746" s="102">
        <f>(R1746*Q1746)</f>
        <v>10768979.89320654</v>
      </c>
      <c r="U1746" s="71"/>
      <c r="V1746" s="71"/>
      <c r="W1746" s="474"/>
      <c r="X1746" s="71"/>
      <c r="Y1746" s="71"/>
    </row>
    <row r="1747" spans="1:25" ht="30" hidden="1" customHeight="1" x14ac:dyDescent="0.25">
      <c r="A1747" s="82">
        <v>190123</v>
      </c>
      <c r="B1747" s="664" t="s">
        <v>983</v>
      </c>
      <c r="C1747" s="71" t="s">
        <v>1009</v>
      </c>
      <c r="D1747" s="71">
        <v>520</v>
      </c>
      <c r="E1747" s="102">
        <v>3900</v>
      </c>
      <c r="F1747" s="102">
        <f t="shared" si="899"/>
        <v>2230800</v>
      </c>
      <c r="G1747" s="102">
        <f t="shared" si="900"/>
        <v>2028000</v>
      </c>
      <c r="H1747" s="690" t="s">
        <v>173</v>
      </c>
      <c r="I1747" s="71" t="s">
        <v>2230</v>
      </c>
      <c r="J1747" s="53">
        <f>G1747-T1747</f>
        <v>312000</v>
      </c>
      <c r="K1747" s="63">
        <f t="shared" si="896"/>
        <v>0.15384615384615385</v>
      </c>
      <c r="L1747" s="871" t="s">
        <v>1613</v>
      </c>
      <c r="M1747" s="468"/>
      <c r="N1747" s="664">
        <f t="shared" si="901"/>
        <v>190123</v>
      </c>
      <c r="O1747" s="71" t="s">
        <v>147</v>
      </c>
      <c r="P1747" s="103" t="str">
        <f t="shared" si="902"/>
        <v>CTP판(1030*790mm)</v>
      </c>
      <c r="Q1747" s="71">
        <f t="shared" si="903"/>
        <v>520</v>
      </c>
      <c r="R1747" s="102">
        <v>3300</v>
      </c>
      <c r="S1747" s="102">
        <f t="shared" ref="S1747:S1758" si="904">R1747*Q1747*1.1</f>
        <v>1887600.0000000002</v>
      </c>
      <c r="T1747" s="102">
        <f t="shared" ref="T1747:T1758" si="905">R1747*Q1747</f>
        <v>1716000</v>
      </c>
      <c r="U1747" s="71" t="str">
        <f t="shared" ref="U1747:U1764" si="906">IF(J1747=W1747,"O", "X")</f>
        <v>O</v>
      </c>
      <c r="V1747" s="71"/>
      <c r="W1747" s="474">
        <f t="shared" ref="W1747:W1759" si="907">(G1747-T1747)</f>
        <v>312000</v>
      </c>
      <c r="X1747" s="71"/>
      <c r="Y1747" s="71"/>
    </row>
    <row r="1748" spans="1:25" ht="30" hidden="1" customHeight="1" x14ac:dyDescent="0.25">
      <c r="A1748" s="82">
        <v>190123</v>
      </c>
      <c r="B1748" s="664" t="s">
        <v>983</v>
      </c>
      <c r="C1748" s="71" t="s">
        <v>984</v>
      </c>
      <c r="D1748" s="71">
        <v>6</v>
      </c>
      <c r="E1748" s="102">
        <v>45000</v>
      </c>
      <c r="F1748" s="102">
        <f t="shared" si="899"/>
        <v>297000</v>
      </c>
      <c r="G1748" s="102">
        <f t="shared" si="900"/>
        <v>270000</v>
      </c>
      <c r="H1748" s="690" t="s">
        <v>173</v>
      </c>
      <c r="I1748" s="71" t="s">
        <v>2230</v>
      </c>
      <c r="J1748" s="53">
        <f>G1748-T1748</f>
        <v>60000</v>
      </c>
      <c r="K1748" s="63">
        <f t="shared" si="896"/>
        <v>0.22222222222222221</v>
      </c>
      <c r="L1748" s="871" t="s">
        <v>1613</v>
      </c>
      <c r="M1748" s="468"/>
      <c r="N1748" s="664">
        <f t="shared" si="901"/>
        <v>190123</v>
      </c>
      <c r="O1748" s="71" t="s">
        <v>147</v>
      </c>
      <c r="P1748" s="103" t="str">
        <f t="shared" si="902"/>
        <v>CTP 현상액</v>
      </c>
      <c r="Q1748" s="71">
        <f t="shared" si="903"/>
        <v>6</v>
      </c>
      <c r="R1748" s="102">
        <v>35000</v>
      </c>
      <c r="S1748" s="102">
        <f t="shared" si="904"/>
        <v>231000.00000000003</v>
      </c>
      <c r="T1748" s="102">
        <f t="shared" si="905"/>
        <v>210000</v>
      </c>
      <c r="U1748" s="71" t="str">
        <f t="shared" si="906"/>
        <v>O</v>
      </c>
      <c r="V1748" s="71"/>
      <c r="W1748" s="474">
        <f t="shared" si="907"/>
        <v>60000</v>
      </c>
      <c r="X1748" s="71"/>
      <c r="Y1748" s="71"/>
    </row>
    <row r="1749" spans="1:25" ht="30" hidden="1" customHeight="1" x14ac:dyDescent="0.25">
      <c r="A1749" s="82">
        <v>190124</v>
      </c>
      <c r="B1749" s="664" t="s">
        <v>1286</v>
      </c>
      <c r="C1749" s="760" t="s">
        <v>218</v>
      </c>
      <c r="D1749" s="71">
        <v>7</v>
      </c>
      <c r="E1749" s="102">
        <v>192500</v>
      </c>
      <c r="F1749" s="102">
        <f t="shared" si="899"/>
        <v>1482250.0000000002</v>
      </c>
      <c r="G1749" s="102">
        <f t="shared" si="900"/>
        <v>1347500</v>
      </c>
      <c r="H1749" s="690" t="s">
        <v>173</v>
      </c>
      <c r="I1749" s="71" t="s">
        <v>120</v>
      </c>
      <c r="J1749" s="53">
        <f>(G1749-(VLOOKUP(C1749,Price!B:D,3,FALSE)*D1749))</f>
        <v>560000</v>
      </c>
      <c r="K1749" s="63">
        <f t="shared" si="896"/>
        <v>0.4155844155844155</v>
      </c>
      <c r="L1749" s="871" t="s">
        <v>1613</v>
      </c>
      <c r="M1749" s="468"/>
      <c r="N1749" s="664">
        <f t="shared" si="901"/>
        <v>190124</v>
      </c>
      <c r="O1749" s="71" t="s">
        <v>150</v>
      </c>
      <c r="P1749" s="103" t="str">
        <f t="shared" si="902"/>
        <v>Fount Web 551AF</v>
      </c>
      <c r="Q1749" s="71">
        <f t="shared" si="903"/>
        <v>7</v>
      </c>
      <c r="R1749" s="102">
        <v>112500</v>
      </c>
      <c r="S1749" s="102">
        <f t="shared" si="904"/>
        <v>866250.00000000012</v>
      </c>
      <c r="T1749" s="102">
        <f t="shared" si="905"/>
        <v>787500</v>
      </c>
      <c r="U1749" s="71" t="str">
        <f t="shared" si="906"/>
        <v>O</v>
      </c>
      <c r="V1749" s="71"/>
      <c r="W1749" s="474">
        <f t="shared" si="907"/>
        <v>560000</v>
      </c>
      <c r="X1749" s="71"/>
      <c r="Y1749" s="71"/>
    </row>
    <row r="1750" spans="1:25" ht="30" hidden="1" customHeight="1" x14ac:dyDescent="0.25">
      <c r="A1750" s="82">
        <v>190124</v>
      </c>
      <c r="B1750" s="664" t="s">
        <v>446</v>
      </c>
      <c r="C1750" s="71" t="s">
        <v>1144</v>
      </c>
      <c r="D1750" s="71">
        <v>12</v>
      </c>
      <c r="E1750" s="102">
        <v>110000</v>
      </c>
      <c r="F1750" s="102">
        <f t="shared" si="899"/>
        <v>1452000.0000000002</v>
      </c>
      <c r="G1750" s="102">
        <f t="shared" si="900"/>
        <v>1320000</v>
      </c>
      <c r="H1750" s="690" t="s">
        <v>173</v>
      </c>
      <c r="I1750" s="71" t="s">
        <v>2231</v>
      </c>
      <c r="J1750" s="53">
        <f>G1750-T1750</f>
        <v>228000</v>
      </c>
      <c r="K1750" s="63">
        <f t="shared" si="896"/>
        <v>0.1727272727272727</v>
      </c>
      <c r="L1750" s="871" t="s">
        <v>1613</v>
      </c>
      <c r="M1750" s="468"/>
      <c r="N1750" s="664">
        <f t="shared" si="901"/>
        <v>190124</v>
      </c>
      <c r="O1750" s="71" t="s">
        <v>150</v>
      </c>
      <c r="P1750" s="103" t="str">
        <f t="shared" si="902"/>
        <v>실리콘 에멀전</v>
      </c>
      <c r="Q1750" s="71">
        <f t="shared" si="903"/>
        <v>12</v>
      </c>
      <c r="R1750" s="102">
        <v>91000</v>
      </c>
      <c r="S1750" s="102">
        <f t="shared" si="904"/>
        <v>1201200</v>
      </c>
      <c r="T1750" s="102">
        <f t="shared" si="905"/>
        <v>1092000</v>
      </c>
      <c r="U1750" s="71" t="str">
        <f t="shared" si="906"/>
        <v>O</v>
      </c>
      <c r="V1750" s="71"/>
      <c r="W1750" s="474">
        <f t="shared" si="907"/>
        <v>228000</v>
      </c>
      <c r="X1750" s="71"/>
      <c r="Y1750" s="71"/>
    </row>
    <row r="1751" spans="1:25" ht="30" hidden="1" customHeight="1" x14ac:dyDescent="0.25">
      <c r="A1751" s="82">
        <v>190125</v>
      </c>
      <c r="B1751" s="664" t="s">
        <v>442</v>
      </c>
      <c r="C1751" s="71" t="s">
        <v>133</v>
      </c>
      <c r="D1751" s="71">
        <v>2</v>
      </c>
      <c r="E1751" s="102">
        <v>327000</v>
      </c>
      <c r="F1751" s="102">
        <f t="shared" ref="F1751:F1758" si="908">(E1751*D1751)*1.1</f>
        <v>719400</v>
      </c>
      <c r="G1751" s="102">
        <f t="shared" ref="G1751:G1758" si="909">(E1751*D1751)</f>
        <v>654000</v>
      </c>
      <c r="H1751" s="690" t="s">
        <v>173</v>
      </c>
      <c r="I1751" s="71" t="s">
        <v>141</v>
      </c>
      <c r="J1751" s="53">
        <f>(G1751-(VLOOKUP(C1751,Price!B:D,3,FALSE)*D1751))</f>
        <v>115800</v>
      </c>
      <c r="K1751" s="63">
        <f t="shared" ref="K1751:K1758" si="910">(J1751/(F1751/11*10))</f>
        <v>0.17706422018348625</v>
      </c>
      <c r="L1751" s="871" t="s">
        <v>1613</v>
      </c>
      <c r="M1751" s="468"/>
      <c r="N1751" s="664">
        <f t="shared" ref="N1751:N1758" si="911">A1751</f>
        <v>190125</v>
      </c>
      <c r="O1751" s="71" t="s">
        <v>145</v>
      </c>
      <c r="P1751" s="103" t="str">
        <f t="shared" ref="P1751:P1758" si="912">C1751</f>
        <v>Agfa Film(24inch)</v>
      </c>
      <c r="Q1751" s="71">
        <f t="shared" ref="Q1751:Q1758" si="913">D1751</f>
        <v>2</v>
      </c>
      <c r="R1751" s="102">
        <v>269100</v>
      </c>
      <c r="S1751" s="102">
        <f t="shared" si="904"/>
        <v>592020</v>
      </c>
      <c r="T1751" s="102">
        <f t="shared" si="905"/>
        <v>538200</v>
      </c>
      <c r="U1751" s="71" t="str">
        <f t="shared" si="906"/>
        <v>O</v>
      </c>
      <c r="V1751" s="71"/>
      <c r="W1751" s="474">
        <f t="shared" si="907"/>
        <v>115800</v>
      </c>
      <c r="X1751" s="71"/>
      <c r="Y1751" s="71"/>
    </row>
    <row r="1752" spans="1:25" ht="30" hidden="1" customHeight="1" x14ac:dyDescent="0.25">
      <c r="A1752" s="82">
        <v>190125</v>
      </c>
      <c r="B1752" s="664" t="s">
        <v>442</v>
      </c>
      <c r="C1752" s="71" t="s">
        <v>134</v>
      </c>
      <c r="D1752" s="71">
        <v>2</v>
      </c>
      <c r="E1752" s="102">
        <v>401000</v>
      </c>
      <c r="F1752" s="102">
        <f t="shared" si="908"/>
        <v>882200.00000000012</v>
      </c>
      <c r="G1752" s="102">
        <f t="shared" si="909"/>
        <v>802000</v>
      </c>
      <c r="H1752" s="690" t="s">
        <v>173</v>
      </c>
      <c r="I1752" s="71" t="s">
        <v>141</v>
      </c>
      <c r="J1752" s="53">
        <f>(G1752-(VLOOKUP(C1752,Price!B:D,3,FALSE)*D1752))</f>
        <v>174080</v>
      </c>
      <c r="K1752" s="63">
        <f t="shared" si="910"/>
        <v>0.21705735660847877</v>
      </c>
      <c r="L1752" s="871" t="s">
        <v>1613</v>
      </c>
      <c r="M1752" s="468"/>
      <c r="N1752" s="664">
        <f t="shared" si="911"/>
        <v>190125</v>
      </c>
      <c r="O1752" s="71" t="s">
        <v>145</v>
      </c>
      <c r="P1752" s="103" t="str">
        <f t="shared" si="912"/>
        <v>Agfa Film(28inch)</v>
      </c>
      <c r="Q1752" s="71">
        <f t="shared" si="913"/>
        <v>2</v>
      </c>
      <c r="R1752" s="102">
        <f>VLOOKUP(P1752,Price!B:D,3,FALSE)</f>
        <v>313960</v>
      </c>
      <c r="S1752" s="102">
        <f t="shared" si="904"/>
        <v>690712</v>
      </c>
      <c r="T1752" s="102">
        <f t="shared" si="905"/>
        <v>627920</v>
      </c>
      <c r="U1752" s="71" t="str">
        <f t="shared" si="906"/>
        <v>O</v>
      </c>
      <c r="V1752" s="71"/>
      <c r="W1752" s="474">
        <f t="shared" si="907"/>
        <v>174080</v>
      </c>
      <c r="X1752" s="71"/>
      <c r="Y1752" s="71"/>
    </row>
    <row r="1753" spans="1:25" ht="30" hidden="1" customHeight="1" x14ac:dyDescent="0.25">
      <c r="A1753" s="82">
        <v>190125</v>
      </c>
      <c r="B1753" s="664" t="s">
        <v>442</v>
      </c>
      <c r="C1753" s="71" t="s">
        <v>135</v>
      </c>
      <c r="D1753" s="71">
        <v>2</v>
      </c>
      <c r="E1753" s="102">
        <v>448000</v>
      </c>
      <c r="F1753" s="102">
        <f t="shared" si="908"/>
        <v>985600.00000000012</v>
      </c>
      <c r="G1753" s="102">
        <f t="shared" si="909"/>
        <v>896000</v>
      </c>
      <c r="H1753" s="690" t="s">
        <v>173</v>
      </c>
      <c r="I1753" s="71" t="s">
        <v>141</v>
      </c>
      <c r="J1753" s="53">
        <f>(G1753-(VLOOKUP(C1753,Price!B:D,3,FALSE)*D1753))</f>
        <v>155980</v>
      </c>
      <c r="K1753" s="63">
        <f t="shared" si="910"/>
        <v>0.1740848214285714</v>
      </c>
      <c r="L1753" s="871" t="s">
        <v>1613</v>
      </c>
      <c r="M1753" s="468"/>
      <c r="N1753" s="664">
        <f t="shared" si="911"/>
        <v>190125</v>
      </c>
      <c r="O1753" s="71" t="s">
        <v>145</v>
      </c>
      <c r="P1753" s="103" t="str">
        <f t="shared" si="912"/>
        <v>Agfa Film(32inch)</v>
      </c>
      <c r="Q1753" s="71">
        <f t="shared" si="913"/>
        <v>2</v>
      </c>
      <c r="R1753" s="102">
        <f>VLOOKUP(P1753,Price!B:D,3,FALSE)</f>
        <v>370010</v>
      </c>
      <c r="S1753" s="102">
        <f t="shared" si="904"/>
        <v>814022.00000000012</v>
      </c>
      <c r="T1753" s="102">
        <f t="shared" si="905"/>
        <v>740020</v>
      </c>
      <c r="U1753" s="71" t="str">
        <f t="shared" si="906"/>
        <v>O</v>
      </c>
      <c r="V1753" s="71"/>
      <c r="W1753" s="474">
        <f t="shared" si="907"/>
        <v>155980</v>
      </c>
      <c r="X1753" s="71"/>
      <c r="Y1753" s="71"/>
    </row>
    <row r="1754" spans="1:25" ht="30" hidden="1" customHeight="1" x14ac:dyDescent="0.25">
      <c r="A1754" s="82">
        <v>190125</v>
      </c>
      <c r="B1754" s="664" t="s">
        <v>442</v>
      </c>
      <c r="C1754" s="71" t="s">
        <v>649</v>
      </c>
      <c r="D1754" s="71">
        <v>2</v>
      </c>
      <c r="E1754" s="102">
        <v>41000</v>
      </c>
      <c r="F1754" s="102">
        <f t="shared" si="908"/>
        <v>90200.000000000015</v>
      </c>
      <c r="G1754" s="102">
        <f t="shared" si="909"/>
        <v>82000</v>
      </c>
      <c r="H1754" s="690" t="s">
        <v>173</v>
      </c>
      <c r="I1754" s="71" t="s">
        <v>141</v>
      </c>
      <c r="J1754" s="53">
        <f>(G1754-(VLOOKUP(C1754,Price!B:D,3,FALSE)*D1754))</f>
        <v>32000</v>
      </c>
      <c r="K1754" s="63">
        <f t="shared" si="910"/>
        <v>0.39024390243902435</v>
      </c>
      <c r="L1754" s="871" t="s">
        <v>1613</v>
      </c>
      <c r="M1754" s="468"/>
      <c r="N1754" s="664">
        <f t="shared" si="911"/>
        <v>190125</v>
      </c>
      <c r="O1754" s="71" t="s">
        <v>145</v>
      </c>
      <c r="P1754" s="103" t="str">
        <f t="shared" si="912"/>
        <v>Agfa 현상액 G101C(10L)</v>
      </c>
      <c r="Q1754" s="71">
        <f t="shared" si="913"/>
        <v>2</v>
      </c>
      <c r="R1754" s="102">
        <f>VLOOKUP(P1754,Price!B:D,3,FALSE)</f>
        <v>25000</v>
      </c>
      <c r="S1754" s="102">
        <f t="shared" si="904"/>
        <v>55000.000000000007</v>
      </c>
      <c r="T1754" s="102">
        <f t="shared" si="905"/>
        <v>50000</v>
      </c>
      <c r="U1754" s="71" t="str">
        <f t="shared" si="906"/>
        <v>O</v>
      </c>
      <c r="V1754" s="71"/>
      <c r="W1754" s="474">
        <f t="shared" si="907"/>
        <v>32000</v>
      </c>
      <c r="X1754" s="71"/>
      <c r="Y1754" s="71"/>
    </row>
    <row r="1755" spans="1:25" ht="30" hidden="1" customHeight="1" x14ac:dyDescent="0.2">
      <c r="A1755" s="82">
        <v>190125</v>
      </c>
      <c r="B1755" s="664" t="s">
        <v>442</v>
      </c>
      <c r="C1755" s="71" t="s">
        <v>650</v>
      </c>
      <c r="D1755" s="71">
        <v>1</v>
      </c>
      <c r="E1755" s="102">
        <v>93000</v>
      </c>
      <c r="F1755" s="163">
        <f t="shared" si="908"/>
        <v>102300.00000000001</v>
      </c>
      <c r="G1755" s="163">
        <f t="shared" si="909"/>
        <v>93000</v>
      </c>
      <c r="H1755" s="165" t="s">
        <v>172</v>
      </c>
      <c r="I1755" s="71" t="s">
        <v>141</v>
      </c>
      <c r="J1755" s="53">
        <f>(G1755-(VLOOKUP(C1755,Price!B:D,3,FALSE)*D1755))</f>
        <v>33000</v>
      </c>
      <c r="K1755" s="63">
        <f t="shared" si="910"/>
        <v>0.35483870967741932</v>
      </c>
      <c r="L1755" s="871" t="s">
        <v>1613</v>
      </c>
      <c r="M1755" s="468"/>
      <c r="N1755" s="664">
        <f t="shared" si="911"/>
        <v>190125</v>
      </c>
      <c r="O1755" s="71" t="s">
        <v>145</v>
      </c>
      <c r="P1755" s="103" t="str">
        <f t="shared" si="912"/>
        <v>Agfa 정착액 G333C(20L)</v>
      </c>
      <c r="Q1755" s="71">
        <f t="shared" si="913"/>
        <v>1</v>
      </c>
      <c r="R1755" s="102">
        <f>VLOOKUP(P1755,Price!B:D,3,FALSE)</f>
        <v>60000</v>
      </c>
      <c r="S1755" s="102">
        <f t="shared" si="904"/>
        <v>66000</v>
      </c>
      <c r="T1755" s="102">
        <f t="shared" si="905"/>
        <v>60000</v>
      </c>
      <c r="U1755" s="71" t="str">
        <f t="shared" si="906"/>
        <v>O</v>
      </c>
      <c r="V1755" s="71"/>
      <c r="W1755" s="474">
        <f t="shared" si="907"/>
        <v>33000</v>
      </c>
      <c r="X1755" s="71"/>
      <c r="Y1755" s="71"/>
    </row>
    <row r="1756" spans="1:25" ht="30" hidden="1" customHeight="1" x14ac:dyDescent="0.25">
      <c r="A1756" s="82">
        <v>190125</v>
      </c>
      <c r="B1756" s="664" t="s">
        <v>690</v>
      </c>
      <c r="C1756" s="71" t="s">
        <v>750</v>
      </c>
      <c r="D1756" s="71">
        <v>4</v>
      </c>
      <c r="E1756" s="102">
        <v>49000</v>
      </c>
      <c r="F1756" s="102">
        <f t="shared" si="908"/>
        <v>215600.00000000003</v>
      </c>
      <c r="G1756" s="102">
        <f t="shared" si="909"/>
        <v>196000</v>
      </c>
      <c r="H1756" s="690" t="s">
        <v>173</v>
      </c>
      <c r="I1756" s="71" t="s">
        <v>2230</v>
      </c>
      <c r="J1756" s="53">
        <f>(G1756-(VLOOKUP(C1756,Price!B:D,3,FALSE)*D1756))</f>
        <v>56000</v>
      </c>
      <c r="K1756" s="63">
        <f t="shared" si="910"/>
        <v>0.2857142857142857</v>
      </c>
      <c r="L1756" s="871" t="s">
        <v>1613</v>
      </c>
      <c r="M1756" s="468" t="s">
        <v>1394</v>
      </c>
      <c r="N1756" s="664">
        <f t="shared" si="911"/>
        <v>190125</v>
      </c>
      <c r="O1756" s="71" t="s">
        <v>145</v>
      </c>
      <c r="P1756" s="103" t="str">
        <f t="shared" si="912"/>
        <v>THD200(20L)</v>
      </c>
      <c r="Q1756" s="71">
        <f t="shared" si="913"/>
        <v>4</v>
      </c>
      <c r="R1756" s="102">
        <v>35000</v>
      </c>
      <c r="S1756" s="102">
        <f t="shared" si="904"/>
        <v>154000</v>
      </c>
      <c r="T1756" s="102">
        <f t="shared" si="905"/>
        <v>140000</v>
      </c>
      <c r="U1756" s="71" t="str">
        <f t="shared" si="906"/>
        <v>O</v>
      </c>
      <c r="V1756" s="71"/>
      <c r="W1756" s="474">
        <f t="shared" si="907"/>
        <v>56000</v>
      </c>
      <c r="X1756" s="71"/>
      <c r="Y1756" s="71"/>
    </row>
    <row r="1757" spans="1:25" ht="30" hidden="1" customHeight="1" x14ac:dyDescent="0.25">
      <c r="A1757" s="82">
        <v>190125</v>
      </c>
      <c r="B1757" s="664" t="s">
        <v>690</v>
      </c>
      <c r="C1757" s="71" t="s">
        <v>1186</v>
      </c>
      <c r="D1757" s="71">
        <v>500</v>
      </c>
      <c r="E1757" s="102">
        <v>3600</v>
      </c>
      <c r="F1757" s="102">
        <f t="shared" si="908"/>
        <v>1980000.0000000002</v>
      </c>
      <c r="G1757" s="102">
        <f t="shared" si="909"/>
        <v>1800000</v>
      </c>
      <c r="H1757" s="690" t="s">
        <v>173</v>
      </c>
      <c r="I1757" s="71" t="s">
        <v>2230</v>
      </c>
      <c r="J1757" s="53">
        <f>(G1757-(VLOOKUP(C1757,Price!B:D,3,FALSE)*D1757))</f>
        <v>-200000</v>
      </c>
      <c r="K1757" s="63">
        <f t="shared" si="910"/>
        <v>-0.11111111111111109</v>
      </c>
      <c r="L1757" s="871" t="s">
        <v>1613</v>
      </c>
      <c r="M1757" s="468" t="s">
        <v>1393</v>
      </c>
      <c r="N1757" s="664">
        <f t="shared" si="911"/>
        <v>190125</v>
      </c>
      <c r="O1757" s="71" t="s">
        <v>145</v>
      </c>
      <c r="P1757" s="103" t="str">
        <f t="shared" si="912"/>
        <v>CTP 판(1030*790mm)</v>
      </c>
      <c r="Q1757" s="71">
        <f t="shared" si="913"/>
        <v>500</v>
      </c>
      <c r="R1757" s="102">
        <v>4000</v>
      </c>
      <c r="S1757" s="102">
        <f t="shared" si="904"/>
        <v>2200000</v>
      </c>
      <c r="T1757" s="102">
        <f t="shared" si="905"/>
        <v>2000000</v>
      </c>
      <c r="U1757" s="71" t="str">
        <f t="shared" si="906"/>
        <v>O</v>
      </c>
      <c r="V1757" s="71"/>
      <c r="W1757" s="474">
        <f t="shared" si="907"/>
        <v>-200000</v>
      </c>
      <c r="X1757" s="71"/>
      <c r="Y1757" s="71"/>
    </row>
    <row r="1758" spans="1:25" ht="30" hidden="1" customHeight="1" x14ac:dyDescent="0.25">
      <c r="A1758" s="82">
        <v>190125</v>
      </c>
      <c r="B1758" s="664" t="s">
        <v>690</v>
      </c>
      <c r="C1758" s="71" t="s">
        <v>752</v>
      </c>
      <c r="D1758" s="71">
        <v>1</v>
      </c>
      <c r="E1758" s="102">
        <v>80000</v>
      </c>
      <c r="F1758" s="102">
        <f t="shared" si="908"/>
        <v>88000</v>
      </c>
      <c r="G1758" s="102">
        <f t="shared" si="909"/>
        <v>80000</v>
      </c>
      <c r="H1758" s="690" t="s">
        <v>173</v>
      </c>
      <c r="I1758" s="71" t="s">
        <v>2230</v>
      </c>
      <c r="J1758" s="53">
        <f>(G1758-(VLOOKUP(C1758,Price!B:D,3,FALSE)*D1758))</f>
        <v>15000</v>
      </c>
      <c r="K1758" s="63">
        <f t="shared" si="910"/>
        <v>0.1875</v>
      </c>
      <c r="L1758" s="82" t="s">
        <v>1602</v>
      </c>
      <c r="M1758" s="468"/>
      <c r="N1758" s="664">
        <f t="shared" si="911"/>
        <v>190125</v>
      </c>
      <c r="O1758" s="71" t="s">
        <v>145</v>
      </c>
      <c r="P1758" s="103" t="str">
        <f t="shared" si="912"/>
        <v>RC795(20L)</v>
      </c>
      <c r="Q1758" s="71">
        <f t="shared" si="913"/>
        <v>1</v>
      </c>
      <c r="R1758" s="102">
        <v>65000</v>
      </c>
      <c r="S1758" s="102">
        <f t="shared" si="904"/>
        <v>71500</v>
      </c>
      <c r="T1758" s="102">
        <f t="shared" si="905"/>
        <v>65000</v>
      </c>
      <c r="U1758" s="71" t="str">
        <f t="shared" si="906"/>
        <v>O</v>
      </c>
      <c r="V1758" s="71"/>
      <c r="W1758" s="474">
        <f t="shared" si="907"/>
        <v>15000</v>
      </c>
      <c r="X1758" s="71"/>
      <c r="Y1758" s="71"/>
    </row>
    <row r="1759" spans="1:25" s="209" customFormat="1" ht="30" hidden="1" customHeight="1" x14ac:dyDescent="0.2">
      <c r="A1759" s="82">
        <v>190125</v>
      </c>
      <c r="B1759" s="664" t="s">
        <v>445</v>
      </c>
      <c r="C1759" s="71" t="s">
        <v>138</v>
      </c>
      <c r="D1759" s="71">
        <v>10</v>
      </c>
      <c r="E1759" s="102">
        <v>59500</v>
      </c>
      <c r="F1759" s="163">
        <f t="shared" ref="F1759:F1791" si="914">(E1759*D1759)*1.1</f>
        <v>654500</v>
      </c>
      <c r="G1759" s="163">
        <f t="shared" ref="G1759:G1791" si="915">(E1759*D1759)</f>
        <v>595000</v>
      </c>
      <c r="H1759" s="165" t="s">
        <v>172</v>
      </c>
      <c r="I1759" s="71" t="s">
        <v>108</v>
      </c>
      <c r="J1759" s="53">
        <f>(G1759-(VLOOKUP(C1759,Price!B:D,3,FALSE)*D1759))</f>
        <v>85000</v>
      </c>
      <c r="K1759" s="63">
        <f>(J1759/(F1759/11*10))</f>
        <v>0.14285714285714285</v>
      </c>
      <c r="L1759" s="871" t="s">
        <v>1613</v>
      </c>
      <c r="M1759" s="468"/>
      <c r="N1759" s="664">
        <f t="shared" ref="N1759:N1790" si="916">A1759</f>
        <v>190125</v>
      </c>
      <c r="O1759" s="71" t="s">
        <v>150</v>
      </c>
      <c r="P1759" s="103" t="str">
        <f t="shared" ref="P1759:Q1786" si="917">C1759</f>
        <v>매엽용 세척제(Wash 562)</v>
      </c>
      <c r="Q1759" s="71">
        <f t="shared" si="917"/>
        <v>10</v>
      </c>
      <c r="R1759" s="102">
        <v>51000</v>
      </c>
      <c r="S1759" s="102">
        <f>(R1759*D1759)*1.1</f>
        <v>561000</v>
      </c>
      <c r="T1759" s="102">
        <f>(R1759*Q1759)</f>
        <v>510000</v>
      </c>
      <c r="U1759" s="71" t="str">
        <f t="shared" si="906"/>
        <v>O</v>
      </c>
      <c r="V1759" s="71"/>
      <c r="W1759" s="474">
        <f t="shared" si="907"/>
        <v>85000</v>
      </c>
      <c r="X1759" s="71"/>
      <c r="Y1759" s="71"/>
    </row>
    <row r="1760" spans="1:25" ht="30" hidden="1" customHeight="1" x14ac:dyDescent="0.25">
      <c r="A1760" s="82">
        <v>190125</v>
      </c>
      <c r="B1760" s="664" t="s">
        <v>1051</v>
      </c>
      <c r="C1760" s="71" t="s">
        <v>1294</v>
      </c>
      <c r="D1760" s="71">
        <v>5100</v>
      </c>
      <c r="E1760" s="102">
        <v>5910</v>
      </c>
      <c r="F1760" s="102">
        <f>(E1760*D1760)*1.1</f>
        <v>33155100.000000004</v>
      </c>
      <c r="G1760" s="102">
        <f>(E1760*D1760)</f>
        <v>30141000</v>
      </c>
      <c r="H1760" s="690" t="s">
        <v>142</v>
      </c>
      <c r="I1760" s="71" t="s">
        <v>2273</v>
      </c>
      <c r="J1760" s="53">
        <f t="shared" ref="J1760:J1768" si="918">G1760-T1760</f>
        <v>9741000</v>
      </c>
      <c r="K1760" s="63">
        <f t="shared" ref="K1760:K1768" si="919">(J1760/(F1760/11*10))</f>
        <v>0.32318104906937389</v>
      </c>
      <c r="L1760" s="871" t="s">
        <v>1602</v>
      </c>
      <c r="M1760" s="468"/>
      <c r="N1760" s="664">
        <f t="shared" si="916"/>
        <v>190125</v>
      </c>
      <c r="O1760" s="71" t="s">
        <v>145</v>
      </c>
      <c r="P1760" s="103" t="str">
        <f>(C1760)</f>
        <v>ENGAGE 1030*790</v>
      </c>
      <c r="Q1760" s="71">
        <f t="shared" si="917"/>
        <v>5100</v>
      </c>
      <c r="R1760" s="102">
        <v>4000</v>
      </c>
      <c r="S1760" s="102">
        <f>(R1760*D1760)*1.1</f>
        <v>22440000</v>
      </c>
      <c r="T1760" s="102">
        <f>(R1760*Q1760)</f>
        <v>20400000</v>
      </c>
      <c r="U1760" s="71" t="str">
        <f t="shared" si="906"/>
        <v>X</v>
      </c>
      <c r="V1760" s="71"/>
      <c r="W1760" s="474"/>
      <c r="X1760" s="71"/>
      <c r="Y1760" s="71"/>
    </row>
    <row r="1761" spans="1:25" ht="30" hidden="1" customHeight="1" x14ac:dyDescent="0.25">
      <c r="A1761" s="82">
        <v>190125</v>
      </c>
      <c r="B1761" s="664" t="s">
        <v>1051</v>
      </c>
      <c r="C1761" s="71" t="s">
        <v>524</v>
      </c>
      <c r="D1761" s="71">
        <v>2550</v>
      </c>
      <c r="E1761" s="102">
        <v>3720</v>
      </c>
      <c r="F1761" s="102">
        <f t="shared" ref="F1761:F1768" si="920">(E1761*D1761)*1.1</f>
        <v>10434600</v>
      </c>
      <c r="G1761" s="102">
        <f t="shared" ref="G1761:G1768" si="921">(E1761*D1761)</f>
        <v>9486000</v>
      </c>
      <c r="H1761" s="690" t="s">
        <v>142</v>
      </c>
      <c r="I1761" s="71" t="s">
        <v>2273</v>
      </c>
      <c r="J1761" s="53">
        <f t="shared" si="918"/>
        <v>3060000</v>
      </c>
      <c r="K1761" s="63">
        <f t="shared" si="919"/>
        <v>0.32258064516129031</v>
      </c>
      <c r="L1761" s="871" t="s">
        <v>1602</v>
      </c>
      <c r="M1761" s="468"/>
      <c r="N1761" s="664">
        <f t="shared" si="916"/>
        <v>190125</v>
      </c>
      <c r="O1761" s="71" t="s">
        <v>145</v>
      </c>
      <c r="P1761" s="103" t="str">
        <f>C1761</f>
        <v>ENGAGE 900X570 - 27RO</v>
      </c>
      <c r="Q1761" s="71">
        <f t="shared" si="917"/>
        <v>2550</v>
      </c>
      <c r="R1761" s="102">
        <v>2520</v>
      </c>
      <c r="S1761" s="102">
        <f>R1761*Q1761*1.1</f>
        <v>7068600.0000000009</v>
      </c>
      <c r="T1761" s="102">
        <f>R1761*Q1761</f>
        <v>6426000</v>
      </c>
      <c r="U1761" s="71" t="str">
        <f t="shared" si="906"/>
        <v>O</v>
      </c>
      <c r="V1761" s="71"/>
      <c r="W1761" s="474">
        <f t="shared" ref="W1761:W1776" si="922">(G1761-T1761)</f>
        <v>3060000</v>
      </c>
      <c r="X1761" s="71"/>
      <c r="Y1761" s="71"/>
    </row>
    <row r="1762" spans="1:25" ht="30" hidden="1" customHeight="1" x14ac:dyDescent="0.25">
      <c r="A1762" s="82">
        <v>190125</v>
      </c>
      <c r="B1762" s="664" t="s">
        <v>1051</v>
      </c>
      <c r="C1762" s="71" t="s">
        <v>1384</v>
      </c>
      <c r="D1762" s="71">
        <v>300</v>
      </c>
      <c r="E1762" s="102">
        <v>3720</v>
      </c>
      <c r="F1762" s="102">
        <f t="shared" si="920"/>
        <v>1227600</v>
      </c>
      <c r="G1762" s="102">
        <f t="shared" si="921"/>
        <v>1116000</v>
      </c>
      <c r="H1762" s="690" t="s">
        <v>142</v>
      </c>
      <c r="I1762" s="71" t="s">
        <v>2273</v>
      </c>
      <c r="J1762" s="53">
        <f t="shared" si="918"/>
        <v>360000</v>
      </c>
      <c r="K1762" s="63">
        <f t="shared" si="919"/>
        <v>0.32258064516129031</v>
      </c>
      <c r="L1762" s="871" t="s">
        <v>1602</v>
      </c>
      <c r="M1762" s="468"/>
      <c r="N1762" s="664">
        <f t="shared" si="916"/>
        <v>190125</v>
      </c>
      <c r="O1762" s="71" t="s">
        <v>145</v>
      </c>
      <c r="P1762" s="103" t="str">
        <f>C1762</f>
        <v>ENGAGE 900X571 - 27RO</v>
      </c>
      <c r="Q1762" s="71">
        <f t="shared" si="917"/>
        <v>300</v>
      </c>
      <c r="R1762" s="102">
        <v>2520</v>
      </c>
      <c r="S1762" s="102">
        <f>R1762*Q1762*1.1</f>
        <v>831600.00000000012</v>
      </c>
      <c r="T1762" s="102">
        <f>R1762*Q1762</f>
        <v>756000</v>
      </c>
      <c r="U1762" s="71" t="str">
        <f t="shared" si="906"/>
        <v>O</v>
      </c>
      <c r="V1762" s="71"/>
      <c r="W1762" s="474">
        <f t="shared" si="922"/>
        <v>360000</v>
      </c>
      <c r="X1762" s="71"/>
      <c r="Y1762" s="71"/>
    </row>
    <row r="1763" spans="1:25" ht="30" hidden="1" customHeight="1" x14ac:dyDescent="0.25">
      <c r="A1763" s="82">
        <v>190125</v>
      </c>
      <c r="B1763" s="664" t="s">
        <v>1051</v>
      </c>
      <c r="C1763" s="71" t="s">
        <v>951</v>
      </c>
      <c r="D1763" s="71">
        <v>1200</v>
      </c>
      <c r="E1763" s="102">
        <v>3540</v>
      </c>
      <c r="F1763" s="102">
        <f t="shared" si="920"/>
        <v>4672800</v>
      </c>
      <c r="G1763" s="102">
        <f t="shared" si="921"/>
        <v>4248000</v>
      </c>
      <c r="H1763" s="690" t="s">
        <v>142</v>
      </c>
      <c r="I1763" s="71" t="s">
        <v>2273</v>
      </c>
      <c r="J1763" s="53">
        <f t="shared" si="918"/>
        <v>1380000</v>
      </c>
      <c r="K1763" s="63">
        <f t="shared" si="919"/>
        <v>0.3248587570621469</v>
      </c>
      <c r="L1763" s="871" t="s">
        <v>1602</v>
      </c>
      <c r="M1763" s="468"/>
      <c r="N1763" s="664">
        <f t="shared" si="916"/>
        <v>190125</v>
      </c>
      <c r="O1763" s="71" t="s">
        <v>145</v>
      </c>
      <c r="P1763" s="103" t="str">
        <f>(C1763)</f>
        <v>ENGAGE 30WEB(883*552)</v>
      </c>
      <c r="Q1763" s="71">
        <f t="shared" si="917"/>
        <v>1200</v>
      </c>
      <c r="R1763" s="102">
        <v>2390</v>
      </c>
      <c r="S1763" s="102">
        <f>(R1763*D1763)*1.1</f>
        <v>3154800.0000000005</v>
      </c>
      <c r="T1763" s="102">
        <f>(R1763*Q1763)</f>
        <v>2868000</v>
      </c>
      <c r="U1763" s="71" t="str">
        <f t="shared" si="906"/>
        <v>O</v>
      </c>
      <c r="V1763" s="71"/>
      <c r="W1763" s="474">
        <f t="shared" si="922"/>
        <v>1380000</v>
      </c>
      <c r="X1763" s="71"/>
      <c r="Y1763" s="71"/>
    </row>
    <row r="1764" spans="1:25" ht="30" hidden="1" customHeight="1" x14ac:dyDescent="0.25">
      <c r="A1764" s="82">
        <v>190125</v>
      </c>
      <c r="B1764" s="664" t="s">
        <v>1051</v>
      </c>
      <c r="C1764" s="71" t="s">
        <v>1305</v>
      </c>
      <c r="D1764" s="71">
        <v>300</v>
      </c>
      <c r="E1764" s="102">
        <v>4470</v>
      </c>
      <c r="F1764" s="102">
        <f t="shared" si="920"/>
        <v>1475100.0000000002</v>
      </c>
      <c r="G1764" s="102">
        <f t="shared" si="921"/>
        <v>1341000</v>
      </c>
      <c r="H1764" s="690" t="s">
        <v>142</v>
      </c>
      <c r="I1764" s="71" t="s">
        <v>2273</v>
      </c>
      <c r="J1764" s="53">
        <f t="shared" si="918"/>
        <v>432000</v>
      </c>
      <c r="K1764" s="63">
        <f t="shared" si="919"/>
        <v>0.32214765100671133</v>
      </c>
      <c r="L1764" s="871" t="s">
        <v>1602</v>
      </c>
      <c r="M1764" s="468"/>
      <c r="N1764" s="664">
        <f t="shared" si="916"/>
        <v>190125</v>
      </c>
      <c r="O1764" s="71" t="s">
        <v>145</v>
      </c>
      <c r="P1764" s="103" t="str">
        <f>(C1764)</f>
        <v>ENGAGE 968*636</v>
      </c>
      <c r="Q1764" s="71">
        <f t="shared" si="917"/>
        <v>300</v>
      </c>
      <c r="R1764" s="102">
        <v>3030</v>
      </c>
      <c r="S1764" s="102">
        <f>(R1764*D1764)*1.1</f>
        <v>999900.00000000012</v>
      </c>
      <c r="T1764" s="102">
        <f>(R1764*Q1764)</f>
        <v>909000</v>
      </c>
      <c r="U1764" s="71" t="str">
        <f t="shared" si="906"/>
        <v>O</v>
      </c>
      <c r="V1764" s="71"/>
      <c r="W1764" s="474">
        <f t="shared" si="922"/>
        <v>432000</v>
      </c>
      <c r="X1764" s="71"/>
      <c r="Y1764" s="71"/>
    </row>
    <row r="1765" spans="1:25" ht="30" hidden="1" customHeight="1" x14ac:dyDescent="0.25">
      <c r="A1765" s="82">
        <v>190125</v>
      </c>
      <c r="B1765" s="664" t="s">
        <v>1051</v>
      </c>
      <c r="C1765" s="71" t="s">
        <v>1383</v>
      </c>
      <c r="D1765" s="71">
        <v>2450</v>
      </c>
      <c r="E1765" s="102">
        <v>6200</v>
      </c>
      <c r="F1765" s="102">
        <f t="shared" si="920"/>
        <v>16709000.000000002</v>
      </c>
      <c r="G1765" s="102">
        <f t="shared" si="921"/>
        <v>15190000</v>
      </c>
      <c r="H1765" s="690" t="s">
        <v>142</v>
      </c>
      <c r="I1765" s="71" t="s">
        <v>2273</v>
      </c>
      <c r="J1765" s="53">
        <f t="shared" si="918"/>
        <v>4875500</v>
      </c>
      <c r="K1765" s="63">
        <f t="shared" si="919"/>
        <v>0.32096774193548383</v>
      </c>
      <c r="L1765" s="871" t="s">
        <v>1602</v>
      </c>
      <c r="M1765" s="468"/>
      <c r="N1765" s="664">
        <f t="shared" si="916"/>
        <v>190125</v>
      </c>
      <c r="O1765" s="71" t="s">
        <v>145</v>
      </c>
      <c r="P1765" s="103" t="str">
        <f>C1765</f>
        <v>ENGAGE 1055*811</v>
      </c>
      <c r="Q1765" s="71">
        <f t="shared" si="917"/>
        <v>2450</v>
      </c>
      <c r="R1765" s="102">
        <v>4210</v>
      </c>
      <c r="S1765" s="102">
        <f>R1765*Q1765*1.1</f>
        <v>11345950</v>
      </c>
      <c r="T1765" s="102">
        <f>R1765*Q1765</f>
        <v>10314500</v>
      </c>
      <c r="U1765" s="71"/>
      <c r="V1765" s="71"/>
      <c r="W1765" s="474">
        <f t="shared" si="922"/>
        <v>4875500</v>
      </c>
      <c r="X1765" s="71"/>
      <c r="Y1765" s="71"/>
    </row>
    <row r="1766" spans="1:25" ht="30" hidden="1" customHeight="1" x14ac:dyDescent="0.25">
      <c r="A1766" s="82">
        <v>190125</v>
      </c>
      <c r="B1766" s="664" t="s">
        <v>1051</v>
      </c>
      <c r="C1766" s="71" t="s">
        <v>1650</v>
      </c>
      <c r="D1766" s="71">
        <v>1000</v>
      </c>
      <c r="E1766" s="102">
        <v>4440</v>
      </c>
      <c r="F1766" s="102">
        <f t="shared" si="920"/>
        <v>4884000</v>
      </c>
      <c r="G1766" s="102">
        <f t="shared" si="921"/>
        <v>4440000</v>
      </c>
      <c r="H1766" s="690" t="s">
        <v>142</v>
      </c>
      <c r="I1766" s="71" t="s">
        <v>2273</v>
      </c>
      <c r="J1766" s="53">
        <f t="shared" si="918"/>
        <v>1440000</v>
      </c>
      <c r="K1766" s="63">
        <f t="shared" si="919"/>
        <v>0.32432432432432434</v>
      </c>
      <c r="L1766" s="871" t="s">
        <v>1602</v>
      </c>
      <c r="M1766" s="468"/>
      <c r="N1766" s="664">
        <f t="shared" si="916"/>
        <v>190125</v>
      </c>
      <c r="O1766" s="71" t="s">
        <v>145</v>
      </c>
      <c r="P1766" s="103" t="s">
        <v>1385</v>
      </c>
      <c r="Q1766" s="71">
        <f t="shared" si="917"/>
        <v>1000</v>
      </c>
      <c r="R1766" s="102">
        <v>3000</v>
      </c>
      <c r="S1766" s="102">
        <f>R1766*Q1766*1.1</f>
        <v>3300000.0000000005</v>
      </c>
      <c r="T1766" s="102">
        <f>R1766*Q1766</f>
        <v>3000000</v>
      </c>
      <c r="U1766" s="71" t="str">
        <f t="shared" ref="U1766:U1777" si="923">IF(J1766=W1766,"O", "X")</f>
        <v>O</v>
      </c>
      <c r="V1766" s="71"/>
      <c r="W1766" s="474">
        <f t="shared" si="922"/>
        <v>1440000</v>
      </c>
      <c r="X1766" s="71"/>
      <c r="Y1766" s="71"/>
    </row>
    <row r="1767" spans="1:25" ht="30" hidden="1" customHeight="1" x14ac:dyDescent="0.25">
      <c r="A1767" s="82">
        <v>190125</v>
      </c>
      <c r="B1767" s="664" t="s">
        <v>1051</v>
      </c>
      <c r="C1767" s="67" t="s">
        <v>1386</v>
      </c>
      <c r="D1767" s="71">
        <v>30</v>
      </c>
      <c r="E1767" s="102">
        <v>54500</v>
      </c>
      <c r="F1767" s="102">
        <f t="shared" si="920"/>
        <v>1798500.0000000002</v>
      </c>
      <c r="G1767" s="102">
        <f t="shared" si="921"/>
        <v>1635000</v>
      </c>
      <c r="H1767" s="690" t="s">
        <v>142</v>
      </c>
      <c r="I1767" s="71" t="s">
        <v>2273</v>
      </c>
      <c r="J1767" s="53">
        <f t="shared" si="918"/>
        <v>585000</v>
      </c>
      <c r="K1767" s="63">
        <f t="shared" si="919"/>
        <v>0.35779816513761464</v>
      </c>
      <c r="L1767" s="871" t="s">
        <v>1602</v>
      </c>
      <c r="M1767" s="468"/>
      <c r="N1767" s="664">
        <f t="shared" si="916"/>
        <v>190125</v>
      </c>
      <c r="O1767" s="71" t="s">
        <v>145</v>
      </c>
      <c r="P1767" s="103" t="str">
        <f>C1767</f>
        <v>THR200(20L)보충액</v>
      </c>
      <c r="Q1767" s="71">
        <f t="shared" si="917"/>
        <v>30</v>
      </c>
      <c r="R1767" s="102">
        <v>35000</v>
      </c>
      <c r="S1767" s="102">
        <f>R1767*Q1767*1.1</f>
        <v>1155000</v>
      </c>
      <c r="T1767" s="102">
        <f>R1767*Q1767</f>
        <v>1050000</v>
      </c>
      <c r="U1767" s="71" t="str">
        <f t="shared" si="923"/>
        <v>O</v>
      </c>
      <c r="V1767" s="71"/>
      <c r="W1767" s="474">
        <f t="shared" si="922"/>
        <v>585000</v>
      </c>
      <c r="X1767" s="71"/>
      <c r="Y1767" s="71"/>
    </row>
    <row r="1768" spans="1:25" ht="30" hidden="1" customHeight="1" x14ac:dyDescent="0.25">
      <c r="A1768" s="82">
        <v>190125</v>
      </c>
      <c r="B1768" s="664" t="s">
        <v>1051</v>
      </c>
      <c r="C1768" s="71" t="s">
        <v>1387</v>
      </c>
      <c r="D1768" s="71">
        <v>10</v>
      </c>
      <c r="E1768" s="102">
        <v>54500</v>
      </c>
      <c r="F1768" s="102">
        <f t="shared" si="920"/>
        <v>599500</v>
      </c>
      <c r="G1768" s="102">
        <f t="shared" si="921"/>
        <v>545000</v>
      </c>
      <c r="H1768" s="690" t="s">
        <v>142</v>
      </c>
      <c r="I1768" s="71" t="s">
        <v>2273</v>
      </c>
      <c r="J1768" s="53">
        <f t="shared" si="918"/>
        <v>195000</v>
      </c>
      <c r="K1768" s="63">
        <f t="shared" si="919"/>
        <v>0.3577981651376147</v>
      </c>
      <c r="L1768" s="871" t="s">
        <v>1602</v>
      </c>
      <c r="M1768" s="468"/>
      <c r="N1768" s="664">
        <f t="shared" si="916"/>
        <v>190125</v>
      </c>
      <c r="O1768" s="71" t="s">
        <v>145</v>
      </c>
      <c r="P1768" s="103" t="str">
        <f>(C1768)</f>
        <v>THD200(20L)현상액</v>
      </c>
      <c r="Q1768" s="71">
        <f t="shared" si="917"/>
        <v>10</v>
      </c>
      <c r="R1768" s="102">
        <v>35000</v>
      </c>
      <c r="S1768" s="102">
        <f>(R1768*D1768)*1.1</f>
        <v>385000.00000000006</v>
      </c>
      <c r="T1768" s="102">
        <f>(R1768*Q1768)</f>
        <v>350000</v>
      </c>
      <c r="U1768" s="71" t="str">
        <f t="shared" si="923"/>
        <v>O</v>
      </c>
      <c r="V1768" s="71"/>
      <c r="W1768" s="474">
        <f t="shared" si="922"/>
        <v>195000</v>
      </c>
      <c r="X1768" s="71"/>
      <c r="Y1768" s="71"/>
    </row>
    <row r="1769" spans="1:25" ht="30" hidden="1" customHeight="1" x14ac:dyDescent="0.25">
      <c r="A1769" s="82">
        <v>190125</v>
      </c>
      <c r="B1769" s="664" t="s">
        <v>1061</v>
      </c>
      <c r="C1769" s="71" t="s">
        <v>616</v>
      </c>
      <c r="D1769" s="71">
        <v>200</v>
      </c>
      <c r="E1769" s="102">
        <v>6600</v>
      </c>
      <c r="F1769" s="102">
        <f t="shared" si="914"/>
        <v>1452000.0000000002</v>
      </c>
      <c r="G1769" s="102">
        <f t="shared" si="915"/>
        <v>1320000</v>
      </c>
      <c r="H1769" s="690" t="s">
        <v>142</v>
      </c>
      <c r="I1769" s="71" t="s">
        <v>144</v>
      </c>
      <c r="J1769" s="53">
        <f>(G1769-(VLOOKUP(C1769,Price!B:D,3,FALSE)*D1769))</f>
        <v>140000</v>
      </c>
      <c r="K1769" s="63">
        <f t="shared" ref="K1769:K1776" si="924">(J1769/(F1769/11*10))</f>
        <v>0.10606060606060604</v>
      </c>
      <c r="L1769" s="871" t="s">
        <v>1602</v>
      </c>
      <c r="M1769" s="468"/>
      <c r="N1769" s="664">
        <f>A1769</f>
        <v>190125</v>
      </c>
      <c r="O1769" s="71" t="s">
        <v>147</v>
      </c>
      <c r="P1769" s="103" t="str">
        <f t="shared" si="917"/>
        <v>프리미어(먹)</v>
      </c>
      <c r="Q1769" s="71">
        <f t="shared" si="917"/>
        <v>200</v>
      </c>
      <c r="R1769" s="102">
        <v>5900</v>
      </c>
      <c r="S1769" s="102">
        <f>R1769*Q1769*1.1</f>
        <v>1298000</v>
      </c>
      <c r="T1769" s="102">
        <f>R1769*Q1769</f>
        <v>1180000</v>
      </c>
      <c r="U1769" s="71" t="str">
        <f t="shared" si="923"/>
        <v>O</v>
      </c>
      <c r="V1769" s="71"/>
      <c r="W1769" s="474">
        <f t="shared" si="922"/>
        <v>140000</v>
      </c>
      <c r="X1769" s="71"/>
      <c r="Y1769" s="71"/>
    </row>
    <row r="1770" spans="1:25" ht="30" hidden="1" customHeight="1" x14ac:dyDescent="0.25">
      <c r="A1770" s="82">
        <v>190125</v>
      </c>
      <c r="B1770" s="664" t="s">
        <v>1052</v>
      </c>
      <c r="C1770" s="71" t="s">
        <v>585</v>
      </c>
      <c r="D1770" s="71">
        <v>200</v>
      </c>
      <c r="E1770" s="102">
        <v>7500</v>
      </c>
      <c r="F1770" s="102">
        <f t="shared" si="914"/>
        <v>1650000.0000000002</v>
      </c>
      <c r="G1770" s="102">
        <f t="shared" si="915"/>
        <v>1500000</v>
      </c>
      <c r="H1770" s="690" t="s">
        <v>142</v>
      </c>
      <c r="I1770" s="71" t="s">
        <v>144</v>
      </c>
      <c r="J1770" s="53">
        <f>(G1770-(VLOOKUP(C1770,Price!B:D,3,FALSE)*D1770))</f>
        <v>146000</v>
      </c>
      <c r="K1770" s="63">
        <f t="shared" si="924"/>
        <v>9.7333333333333313E-2</v>
      </c>
      <c r="L1770" s="871" t="s">
        <v>1602</v>
      </c>
      <c r="M1770" s="468"/>
      <c r="N1770" s="664">
        <f>A1770</f>
        <v>190125</v>
      </c>
      <c r="O1770" s="71" t="s">
        <v>147</v>
      </c>
      <c r="P1770" s="103" t="str">
        <f t="shared" si="917"/>
        <v>프리미어(적)</v>
      </c>
      <c r="Q1770" s="71">
        <f t="shared" si="917"/>
        <v>200</v>
      </c>
      <c r="R1770" s="102">
        <v>6770</v>
      </c>
      <c r="S1770" s="102">
        <f>R1770*Q1770*1.1</f>
        <v>1489400.0000000002</v>
      </c>
      <c r="T1770" s="102">
        <f>R1770*Q1770</f>
        <v>1354000</v>
      </c>
      <c r="U1770" s="71" t="str">
        <f t="shared" si="923"/>
        <v>O</v>
      </c>
      <c r="V1770" s="71"/>
      <c r="W1770" s="474">
        <f t="shared" si="922"/>
        <v>146000</v>
      </c>
      <c r="X1770" s="71"/>
      <c r="Y1770" s="71"/>
    </row>
    <row r="1771" spans="1:25" ht="30" hidden="1" customHeight="1" x14ac:dyDescent="0.25">
      <c r="A1771" s="82">
        <v>190125</v>
      </c>
      <c r="B1771" s="664" t="s">
        <v>1061</v>
      </c>
      <c r="C1771" s="71" t="s">
        <v>586</v>
      </c>
      <c r="D1771" s="71">
        <v>400</v>
      </c>
      <c r="E1771" s="102">
        <v>6750</v>
      </c>
      <c r="F1771" s="102">
        <f t="shared" si="914"/>
        <v>2970000.0000000005</v>
      </c>
      <c r="G1771" s="102">
        <f t="shared" si="915"/>
        <v>2700000</v>
      </c>
      <c r="H1771" s="690" t="s">
        <v>142</v>
      </c>
      <c r="I1771" s="71" t="s">
        <v>144</v>
      </c>
      <c r="J1771" s="53">
        <f t="shared" ref="J1771:J1778" si="925">G1771-T1771</f>
        <v>228000</v>
      </c>
      <c r="K1771" s="63">
        <f t="shared" si="924"/>
        <v>8.4444444444444433E-2</v>
      </c>
      <c r="L1771" s="871" t="s">
        <v>1602</v>
      </c>
      <c r="M1771" s="468"/>
      <c r="N1771" s="664">
        <v>180713</v>
      </c>
      <c r="O1771" s="71" t="s">
        <v>147</v>
      </c>
      <c r="P1771" s="103" t="str">
        <f t="shared" si="917"/>
        <v>프리미어(황)</v>
      </c>
      <c r="Q1771" s="71">
        <f t="shared" si="917"/>
        <v>400</v>
      </c>
      <c r="R1771" s="102">
        <v>6180</v>
      </c>
      <c r="S1771" s="102">
        <f>(R1771*D1771)*1.1</f>
        <v>2719200</v>
      </c>
      <c r="T1771" s="102">
        <f>(R1771*Q1771)</f>
        <v>2472000</v>
      </c>
      <c r="U1771" s="71" t="str">
        <f t="shared" si="923"/>
        <v>O</v>
      </c>
      <c r="V1771" s="71"/>
      <c r="W1771" s="474">
        <f t="shared" si="922"/>
        <v>228000</v>
      </c>
      <c r="X1771" s="71"/>
      <c r="Y1771" s="71"/>
    </row>
    <row r="1772" spans="1:25" ht="30" hidden="1" customHeight="1" x14ac:dyDescent="0.25">
      <c r="A1772" s="82">
        <v>190125</v>
      </c>
      <c r="B1772" s="664" t="s">
        <v>1061</v>
      </c>
      <c r="C1772" s="71" t="s">
        <v>587</v>
      </c>
      <c r="D1772" s="71">
        <v>400</v>
      </c>
      <c r="E1772" s="102">
        <v>8000</v>
      </c>
      <c r="F1772" s="102">
        <f t="shared" si="914"/>
        <v>3520000.0000000005</v>
      </c>
      <c r="G1772" s="102">
        <f t="shared" si="915"/>
        <v>3200000</v>
      </c>
      <c r="H1772" s="690" t="s">
        <v>142</v>
      </c>
      <c r="I1772" s="71" t="s">
        <v>144</v>
      </c>
      <c r="J1772" s="53">
        <f t="shared" si="925"/>
        <v>436000</v>
      </c>
      <c r="K1772" s="63">
        <f t="shared" si="924"/>
        <v>0.13624999999999998</v>
      </c>
      <c r="L1772" s="871" t="s">
        <v>1602</v>
      </c>
      <c r="M1772" s="468"/>
      <c r="N1772" s="664">
        <v>180713</v>
      </c>
      <c r="O1772" s="71" t="s">
        <v>147</v>
      </c>
      <c r="P1772" s="103" t="str">
        <f t="shared" si="917"/>
        <v>프리미어(청)</v>
      </c>
      <c r="Q1772" s="71">
        <f t="shared" si="917"/>
        <v>400</v>
      </c>
      <c r="R1772" s="102">
        <v>6910</v>
      </c>
      <c r="S1772" s="102">
        <f>(R1772*D1772)*1.1</f>
        <v>3040400.0000000005</v>
      </c>
      <c r="T1772" s="102">
        <f>(R1772*Q1772)</f>
        <v>2764000</v>
      </c>
      <c r="U1772" s="71" t="str">
        <f t="shared" si="923"/>
        <v>O</v>
      </c>
      <c r="V1772" s="71"/>
      <c r="W1772" s="474">
        <f t="shared" si="922"/>
        <v>436000</v>
      </c>
      <c r="X1772" s="71"/>
      <c r="Y1772" s="71"/>
    </row>
    <row r="1773" spans="1:25" ht="30" hidden="1" customHeight="1" x14ac:dyDescent="0.25">
      <c r="A1773" s="82">
        <v>190125</v>
      </c>
      <c r="B1773" s="664" t="s">
        <v>1052</v>
      </c>
      <c r="C1773" s="71" t="s">
        <v>1115</v>
      </c>
      <c r="D1773" s="71">
        <v>150</v>
      </c>
      <c r="E1773" s="102">
        <v>6200</v>
      </c>
      <c r="F1773" s="102">
        <f t="shared" si="914"/>
        <v>1023000.0000000001</v>
      </c>
      <c r="G1773" s="102">
        <f t="shared" si="915"/>
        <v>930000</v>
      </c>
      <c r="H1773" s="690" t="s">
        <v>142</v>
      </c>
      <c r="I1773" s="71" t="s">
        <v>144</v>
      </c>
      <c r="J1773" s="53">
        <f t="shared" si="925"/>
        <v>15000</v>
      </c>
      <c r="K1773" s="63">
        <f t="shared" si="924"/>
        <v>1.6129032258064516E-2</v>
      </c>
      <c r="L1773" s="871" t="s">
        <v>1602</v>
      </c>
      <c r="M1773" s="468"/>
      <c r="N1773" s="664">
        <f>A1773</f>
        <v>190125</v>
      </c>
      <c r="O1773" s="71" t="s">
        <v>147</v>
      </c>
      <c r="P1773" s="103" t="str">
        <f t="shared" si="917"/>
        <v>한특 잉크(적)</v>
      </c>
      <c r="Q1773" s="71">
        <f t="shared" si="917"/>
        <v>150</v>
      </c>
      <c r="R1773" s="102">
        <v>6100</v>
      </c>
      <c r="S1773" s="102">
        <f>R1773*Q1773*1.1</f>
        <v>1006500.0000000001</v>
      </c>
      <c r="T1773" s="102">
        <f>R1773*Q1773</f>
        <v>915000</v>
      </c>
      <c r="U1773" s="71" t="str">
        <f t="shared" si="923"/>
        <v>O</v>
      </c>
      <c r="V1773" s="71"/>
      <c r="W1773" s="474">
        <f t="shared" si="922"/>
        <v>15000</v>
      </c>
      <c r="X1773" s="71"/>
      <c r="Y1773" s="71"/>
    </row>
    <row r="1774" spans="1:25" ht="30" hidden="1" customHeight="1" x14ac:dyDescent="0.25">
      <c r="A1774" s="82">
        <v>190125</v>
      </c>
      <c r="B1774" s="664" t="s">
        <v>1052</v>
      </c>
      <c r="C1774" s="71" t="s">
        <v>1116</v>
      </c>
      <c r="D1774" s="71">
        <v>200</v>
      </c>
      <c r="E1774" s="102">
        <v>6000</v>
      </c>
      <c r="F1774" s="102">
        <f t="shared" si="914"/>
        <v>1320000</v>
      </c>
      <c r="G1774" s="102">
        <f t="shared" si="915"/>
        <v>1200000</v>
      </c>
      <c r="H1774" s="690" t="s">
        <v>142</v>
      </c>
      <c r="I1774" s="71" t="s">
        <v>144</v>
      </c>
      <c r="J1774" s="53">
        <f t="shared" si="925"/>
        <v>20000</v>
      </c>
      <c r="K1774" s="63">
        <f t="shared" si="924"/>
        <v>1.6666666666666666E-2</v>
      </c>
      <c r="L1774" s="871" t="s">
        <v>1602</v>
      </c>
      <c r="M1774" s="468"/>
      <c r="N1774" s="664">
        <f>A1774</f>
        <v>190125</v>
      </c>
      <c r="O1774" s="71" t="s">
        <v>147</v>
      </c>
      <c r="P1774" s="103" t="str">
        <f t="shared" si="917"/>
        <v>한특 잉크(황)</v>
      </c>
      <c r="Q1774" s="71">
        <f t="shared" si="917"/>
        <v>200</v>
      </c>
      <c r="R1774" s="102">
        <v>5900</v>
      </c>
      <c r="S1774" s="102">
        <f>R1774*Q1774*1.1</f>
        <v>1298000</v>
      </c>
      <c r="T1774" s="102">
        <f>R1774*Q1774</f>
        <v>1180000</v>
      </c>
      <c r="U1774" s="71" t="str">
        <f t="shared" si="923"/>
        <v>O</v>
      </c>
      <c r="V1774" s="71"/>
      <c r="W1774" s="474">
        <f t="shared" si="922"/>
        <v>20000</v>
      </c>
      <c r="X1774" s="71"/>
      <c r="Y1774" s="71"/>
    </row>
    <row r="1775" spans="1:25" ht="30" hidden="1" customHeight="1" x14ac:dyDescent="0.25">
      <c r="A1775" s="82">
        <v>190125</v>
      </c>
      <c r="B1775" s="664" t="s">
        <v>1052</v>
      </c>
      <c r="C1775" s="71" t="s">
        <v>1117</v>
      </c>
      <c r="D1775" s="71">
        <v>200</v>
      </c>
      <c r="E1775" s="102">
        <v>6500</v>
      </c>
      <c r="F1775" s="102">
        <f t="shared" si="914"/>
        <v>1430000</v>
      </c>
      <c r="G1775" s="102">
        <f t="shared" si="915"/>
        <v>1300000</v>
      </c>
      <c r="H1775" s="690" t="s">
        <v>142</v>
      </c>
      <c r="I1775" s="71" t="s">
        <v>144</v>
      </c>
      <c r="J1775" s="53">
        <f t="shared" si="925"/>
        <v>20000</v>
      </c>
      <c r="K1775" s="63">
        <f t="shared" si="924"/>
        <v>1.5384615384615385E-2</v>
      </c>
      <c r="L1775" s="871" t="s">
        <v>1602</v>
      </c>
      <c r="M1775" s="468"/>
      <c r="N1775" s="664">
        <f>A1775</f>
        <v>190125</v>
      </c>
      <c r="O1775" s="71" t="s">
        <v>147</v>
      </c>
      <c r="P1775" s="103" t="str">
        <f t="shared" si="917"/>
        <v>한특 잉크(청)</v>
      </c>
      <c r="Q1775" s="71">
        <f t="shared" si="917"/>
        <v>200</v>
      </c>
      <c r="R1775" s="102">
        <v>6400</v>
      </c>
      <c r="S1775" s="102">
        <f>R1775*Q1775*1.1</f>
        <v>1408000</v>
      </c>
      <c r="T1775" s="102">
        <f>R1775*Q1775</f>
        <v>1280000</v>
      </c>
      <c r="U1775" s="71" t="str">
        <f t="shared" si="923"/>
        <v>O</v>
      </c>
      <c r="V1775" s="71"/>
      <c r="W1775" s="474">
        <f t="shared" si="922"/>
        <v>20000</v>
      </c>
      <c r="X1775" s="71"/>
      <c r="Y1775" s="71"/>
    </row>
    <row r="1776" spans="1:25" ht="30" hidden="1" customHeight="1" x14ac:dyDescent="0.25">
      <c r="A1776" s="82">
        <v>190125</v>
      </c>
      <c r="B1776" s="664" t="s">
        <v>1052</v>
      </c>
      <c r="C1776" s="71" t="s">
        <v>1118</v>
      </c>
      <c r="D1776" s="71">
        <v>150</v>
      </c>
      <c r="E1776" s="102">
        <v>5600</v>
      </c>
      <c r="F1776" s="102">
        <f t="shared" si="914"/>
        <v>924000.00000000012</v>
      </c>
      <c r="G1776" s="102">
        <f t="shared" si="915"/>
        <v>840000</v>
      </c>
      <c r="H1776" s="690" t="s">
        <v>142</v>
      </c>
      <c r="I1776" s="71" t="s">
        <v>144</v>
      </c>
      <c r="J1776" s="53">
        <f t="shared" si="925"/>
        <v>15000</v>
      </c>
      <c r="K1776" s="63">
        <f t="shared" si="924"/>
        <v>1.7857142857142856E-2</v>
      </c>
      <c r="L1776" s="871" t="s">
        <v>1602</v>
      </c>
      <c r="M1776" s="468"/>
      <c r="N1776" s="664">
        <f>A1776</f>
        <v>190125</v>
      </c>
      <c r="O1776" s="71" t="s">
        <v>147</v>
      </c>
      <c r="P1776" s="103" t="str">
        <f t="shared" si="917"/>
        <v>한특 잉크(먹)</v>
      </c>
      <c r="Q1776" s="71">
        <f t="shared" si="917"/>
        <v>150</v>
      </c>
      <c r="R1776" s="102">
        <v>5500</v>
      </c>
      <c r="S1776" s="102">
        <f>R1776*Q1776*1.1</f>
        <v>907500.00000000012</v>
      </c>
      <c r="T1776" s="102">
        <f>R1776*Q1776</f>
        <v>825000</v>
      </c>
      <c r="U1776" s="71" t="str">
        <f t="shared" si="923"/>
        <v>O</v>
      </c>
      <c r="V1776" s="71"/>
      <c r="W1776" s="474">
        <f t="shared" si="922"/>
        <v>15000</v>
      </c>
      <c r="X1776" s="71"/>
      <c r="Y1776" s="71"/>
    </row>
    <row r="1777" spans="1:25" ht="30" hidden="1" customHeight="1" x14ac:dyDescent="0.25">
      <c r="A1777" s="82">
        <v>190128</v>
      </c>
      <c r="B1777" s="664" t="s">
        <v>591</v>
      </c>
      <c r="C1777" s="71" t="s">
        <v>1639</v>
      </c>
      <c r="D1777" s="71">
        <v>1</v>
      </c>
      <c r="E1777" s="102">
        <v>23520000</v>
      </c>
      <c r="F1777" s="102">
        <f t="shared" si="914"/>
        <v>25872000.000000004</v>
      </c>
      <c r="G1777" s="102">
        <f t="shared" si="915"/>
        <v>23520000</v>
      </c>
      <c r="H1777" s="690" t="s">
        <v>173</v>
      </c>
      <c r="I1777" s="71" t="s">
        <v>143</v>
      </c>
      <c r="J1777" s="53">
        <f t="shared" si="925"/>
        <v>4986000</v>
      </c>
      <c r="K1777" s="63">
        <f t="shared" ref="K1777:K1791" si="926">(J1777/(F1777/11*10))</f>
        <v>0.21198979591836731</v>
      </c>
      <c r="L1777" s="871" t="s">
        <v>1602</v>
      </c>
      <c r="M1777" s="468"/>
      <c r="N1777" s="664">
        <f t="shared" si="916"/>
        <v>190128</v>
      </c>
      <c r="O1777" s="71" t="s">
        <v>612</v>
      </c>
      <c r="P1777" s="103" t="str">
        <f t="shared" si="917"/>
        <v>M600 롤러 세트</v>
      </c>
      <c r="Q1777" s="71">
        <f t="shared" si="917"/>
        <v>1</v>
      </c>
      <c r="R1777" s="102">
        <v>18534000</v>
      </c>
      <c r="S1777" s="102">
        <f>(R1777*D1777)*1.1</f>
        <v>20387400</v>
      </c>
      <c r="T1777" s="102">
        <f>(R1777*Q1777)</f>
        <v>18534000</v>
      </c>
      <c r="U1777" s="71" t="str">
        <f t="shared" si="923"/>
        <v>X</v>
      </c>
      <c r="V1777" s="71"/>
      <c r="W1777" s="474"/>
      <c r="X1777" s="71"/>
      <c r="Y1777" s="71"/>
    </row>
    <row r="1778" spans="1:25" ht="30" hidden="1" customHeight="1" x14ac:dyDescent="0.25">
      <c r="A1778" s="82">
        <v>190128</v>
      </c>
      <c r="B1778" s="664" t="s">
        <v>1286</v>
      </c>
      <c r="C1778" s="71" t="s">
        <v>114</v>
      </c>
      <c r="D1778" s="71">
        <v>50</v>
      </c>
      <c r="E1778" s="102">
        <v>14000</v>
      </c>
      <c r="F1778" s="102">
        <f t="shared" si="914"/>
        <v>770000.00000000012</v>
      </c>
      <c r="G1778" s="102">
        <f t="shared" si="915"/>
        <v>700000</v>
      </c>
      <c r="H1778" s="690" t="s">
        <v>1431</v>
      </c>
      <c r="I1778" s="71" t="s">
        <v>1431</v>
      </c>
      <c r="J1778" s="53">
        <f t="shared" si="925"/>
        <v>250000</v>
      </c>
      <c r="K1778" s="63">
        <f t="shared" si="926"/>
        <v>0.3571428571428571</v>
      </c>
      <c r="L1778" s="871" t="s">
        <v>1602</v>
      </c>
      <c r="M1778" s="468"/>
      <c r="N1778" s="664">
        <f t="shared" si="916"/>
        <v>190128</v>
      </c>
      <c r="O1778" s="71" t="s">
        <v>1431</v>
      </c>
      <c r="P1778" s="103" t="str">
        <f t="shared" si="917"/>
        <v>스트리퍼</v>
      </c>
      <c r="Q1778" s="71">
        <f t="shared" si="917"/>
        <v>50</v>
      </c>
      <c r="R1778" s="102">
        <v>9000</v>
      </c>
      <c r="S1778" s="102">
        <f>(R1778*D1778)*1.1</f>
        <v>495000.00000000006</v>
      </c>
      <c r="T1778" s="102">
        <f>(R1778*Q1778)</f>
        <v>450000</v>
      </c>
      <c r="U1778" s="71"/>
      <c r="V1778" s="71"/>
      <c r="W1778" s="474"/>
      <c r="X1778" s="71"/>
      <c r="Y1778" s="71"/>
    </row>
    <row r="1779" spans="1:25" s="209" customFormat="1" ht="30" customHeight="1" x14ac:dyDescent="0.2">
      <c r="A1779" s="82">
        <v>190129</v>
      </c>
      <c r="B1779" s="664" t="s">
        <v>422</v>
      </c>
      <c r="C1779" s="71" t="s">
        <v>130</v>
      </c>
      <c r="D1779" s="71">
        <v>10</v>
      </c>
      <c r="E1779" s="102">
        <v>125000</v>
      </c>
      <c r="F1779" s="163">
        <f t="shared" si="914"/>
        <v>1375000</v>
      </c>
      <c r="G1779" s="163">
        <f t="shared" si="915"/>
        <v>1250000</v>
      </c>
      <c r="H1779" s="165" t="s">
        <v>172</v>
      </c>
      <c r="I1779" s="71" t="s">
        <v>109</v>
      </c>
      <c r="J1779" s="53">
        <f>(G1779-(VLOOKUP(C1779,Price!B:D,3,FALSE)*D1779))</f>
        <v>260000</v>
      </c>
      <c r="K1779" s="63">
        <f t="shared" si="926"/>
        <v>0.20799999999999999</v>
      </c>
      <c r="L1779" s="871" t="s">
        <v>1602</v>
      </c>
      <c r="M1779" s="468"/>
      <c r="N1779" s="664">
        <f t="shared" si="916"/>
        <v>190129</v>
      </c>
      <c r="O1779" s="71" t="s">
        <v>150</v>
      </c>
      <c r="P1779" s="103" t="str">
        <f>(C1779)</f>
        <v>XL106 Blanket(1077*885)</v>
      </c>
      <c r="Q1779" s="71">
        <f t="shared" si="917"/>
        <v>10</v>
      </c>
      <c r="R1779" s="102">
        <v>99000</v>
      </c>
      <c r="S1779" s="102">
        <f>(R1779*D1779)*1.1</f>
        <v>1089000</v>
      </c>
      <c r="T1779" s="102">
        <f>(R1779*Q1779)</f>
        <v>990000</v>
      </c>
      <c r="U1779" s="71" t="str">
        <f>IF(J1779=W1779,"O", "X")</f>
        <v>O</v>
      </c>
      <c r="V1779" s="71"/>
      <c r="W1779" s="474">
        <f>(G1779-T1779)</f>
        <v>260000</v>
      </c>
      <c r="X1779" s="71"/>
      <c r="Y1779" s="71"/>
    </row>
    <row r="1780" spans="1:25" ht="30" customHeight="1" x14ac:dyDescent="0.25">
      <c r="A1780" s="82">
        <v>190129</v>
      </c>
      <c r="B1780" s="664" t="s">
        <v>422</v>
      </c>
      <c r="C1780" s="71" t="s">
        <v>129</v>
      </c>
      <c r="D1780" s="71">
        <v>7</v>
      </c>
      <c r="E1780" s="102">
        <v>272000</v>
      </c>
      <c r="F1780" s="102">
        <f t="shared" si="914"/>
        <v>2094400.0000000002</v>
      </c>
      <c r="G1780" s="102">
        <f t="shared" si="915"/>
        <v>1904000</v>
      </c>
      <c r="H1780" s="690" t="s">
        <v>173</v>
      </c>
      <c r="I1780" s="71" t="s">
        <v>108</v>
      </c>
      <c r="J1780" s="53">
        <f>(G1780-(VLOOKUP(C1780,Price!B:D,3,FALSE)*D1780))</f>
        <v>448000</v>
      </c>
      <c r="K1780" s="63">
        <f t="shared" si="926"/>
        <v>0.23529411764705879</v>
      </c>
      <c r="L1780" s="871" t="s">
        <v>1613</v>
      </c>
      <c r="M1780" s="468"/>
      <c r="N1780" s="664">
        <f t="shared" si="916"/>
        <v>190129</v>
      </c>
      <c r="O1780" s="71" t="s">
        <v>149</v>
      </c>
      <c r="P1780" s="103" t="str">
        <f>C1780</f>
        <v>세정포-XL106</v>
      </c>
      <c r="Q1780" s="71">
        <f t="shared" si="917"/>
        <v>7</v>
      </c>
      <c r="R1780" s="102">
        <v>208000</v>
      </c>
      <c r="S1780" s="102">
        <f>R1780*Q1780*1.1</f>
        <v>1601600.0000000002</v>
      </c>
      <c r="T1780" s="102">
        <f>R1780*Q1780</f>
        <v>1456000</v>
      </c>
      <c r="U1780" s="71" t="str">
        <f>IF(J1780=W1780,"O", "X")</f>
        <v>O</v>
      </c>
      <c r="V1780" s="71"/>
      <c r="W1780" s="474">
        <f>(G1780-T1780)</f>
        <v>448000</v>
      </c>
      <c r="X1780" s="71"/>
      <c r="Y1780" s="71"/>
    </row>
    <row r="1781" spans="1:25" ht="30" customHeight="1" x14ac:dyDescent="0.25">
      <c r="A1781" s="82">
        <v>190129</v>
      </c>
      <c r="B1781" s="664" t="s">
        <v>422</v>
      </c>
      <c r="C1781" s="71" t="s">
        <v>584</v>
      </c>
      <c r="D1781" s="71">
        <v>3</v>
      </c>
      <c r="E1781" s="102">
        <v>270000</v>
      </c>
      <c r="F1781" s="102">
        <f t="shared" si="914"/>
        <v>891000.00000000012</v>
      </c>
      <c r="G1781" s="102">
        <f t="shared" si="915"/>
        <v>810000</v>
      </c>
      <c r="H1781" s="690" t="s">
        <v>173</v>
      </c>
      <c r="I1781" s="71" t="s">
        <v>2231</v>
      </c>
      <c r="J1781" s="53">
        <f>(G1781-(VLOOKUP(C1781,Price!B:D,3,FALSE)*D1781))</f>
        <v>162000</v>
      </c>
      <c r="K1781" s="63">
        <f t="shared" si="926"/>
        <v>0.19999999999999998</v>
      </c>
      <c r="L1781" s="871" t="s">
        <v>1613</v>
      </c>
      <c r="M1781" s="468"/>
      <c r="N1781" s="664">
        <f t="shared" si="916"/>
        <v>190129</v>
      </c>
      <c r="O1781" s="71" t="s">
        <v>150</v>
      </c>
      <c r="P1781" s="103" t="str">
        <f>C1781</f>
        <v>데리바리 석션벨트</v>
      </c>
      <c r="Q1781" s="71">
        <f t="shared" si="917"/>
        <v>3</v>
      </c>
      <c r="R1781" s="102">
        <v>216000</v>
      </c>
      <c r="S1781" s="102">
        <f>R1781*Q1781*1.1</f>
        <v>712800</v>
      </c>
      <c r="T1781" s="102">
        <f>R1781*Q1781</f>
        <v>648000</v>
      </c>
      <c r="U1781" s="71" t="str">
        <f>IF(J1781=W1781,"O", "X")</f>
        <v>O</v>
      </c>
      <c r="V1781" s="71"/>
      <c r="W1781" s="474">
        <f>(G1781-T1781)</f>
        <v>162000</v>
      </c>
      <c r="X1781" s="71"/>
      <c r="Y1781" s="71"/>
    </row>
    <row r="1782" spans="1:25" s="209" customFormat="1" ht="30" customHeight="1" x14ac:dyDescent="0.2">
      <c r="A1782" s="82">
        <v>190129</v>
      </c>
      <c r="B1782" s="664" t="s">
        <v>422</v>
      </c>
      <c r="C1782" s="71" t="s">
        <v>138</v>
      </c>
      <c r="D1782" s="71">
        <v>15</v>
      </c>
      <c r="E1782" s="102">
        <v>68000</v>
      </c>
      <c r="F1782" s="163">
        <f t="shared" si="914"/>
        <v>1122000</v>
      </c>
      <c r="G1782" s="163">
        <f t="shared" si="915"/>
        <v>1020000</v>
      </c>
      <c r="H1782" s="165" t="s">
        <v>172</v>
      </c>
      <c r="I1782" s="71" t="s">
        <v>109</v>
      </c>
      <c r="J1782" s="53">
        <f>(G1782-(VLOOKUP(C1782,Price!B:D,3,FALSE)*D1782))</f>
        <v>255000</v>
      </c>
      <c r="K1782" s="63">
        <f t="shared" si="926"/>
        <v>0.25</v>
      </c>
      <c r="L1782" s="871" t="s">
        <v>1613</v>
      </c>
      <c r="M1782" s="468"/>
      <c r="N1782" s="664">
        <f t="shared" si="916"/>
        <v>190129</v>
      </c>
      <c r="O1782" s="71" t="s">
        <v>150</v>
      </c>
      <c r="P1782" s="103" t="str">
        <f>C1782</f>
        <v>매엽용 세척제(Wash 562)</v>
      </c>
      <c r="Q1782" s="71">
        <f t="shared" si="917"/>
        <v>15</v>
      </c>
      <c r="R1782" s="102">
        <v>51000</v>
      </c>
      <c r="S1782" s="102">
        <f>(R1782*D1782)*1.1</f>
        <v>841500.00000000012</v>
      </c>
      <c r="T1782" s="102">
        <f>(R1782*Q1782)</f>
        <v>765000</v>
      </c>
      <c r="U1782" s="71" t="str">
        <f>IF(J1782=W1782,"O", "X")</f>
        <v>O</v>
      </c>
      <c r="V1782" s="71"/>
      <c r="W1782" s="474">
        <f>(G1782-T1782)</f>
        <v>255000</v>
      </c>
      <c r="X1782" s="71"/>
      <c r="Y1782" s="71"/>
    </row>
    <row r="1783" spans="1:25" s="209" customFormat="1" ht="30" customHeight="1" x14ac:dyDescent="0.2">
      <c r="A1783" s="82">
        <v>190129</v>
      </c>
      <c r="B1783" s="664" t="s">
        <v>422</v>
      </c>
      <c r="C1783" s="71" t="s">
        <v>123</v>
      </c>
      <c r="D1783" s="71">
        <v>4</v>
      </c>
      <c r="E1783" s="102">
        <v>35000</v>
      </c>
      <c r="F1783" s="163">
        <f t="shared" si="914"/>
        <v>154000</v>
      </c>
      <c r="G1783" s="163">
        <f t="shared" si="915"/>
        <v>140000</v>
      </c>
      <c r="H1783" s="165" t="s">
        <v>1432</v>
      </c>
      <c r="I1783" s="71" t="s">
        <v>1432</v>
      </c>
      <c r="J1783" s="53">
        <f>G1783-T1783</f>
        <v>50156</v>
      </c>
      <c r="K1783" s="63">
        <f t="shared" si="926"/>
        <v>0.35825714285714283</v>
      </c>
      <c r="L1783" s="871" t="s">
        <v>1613</v>
      </c>
      <c r="M1783" s="468"/>
      <c r="N1783" s="664">
        <f t="shared" si="916"/>
        <v>190129</v>
      </c>
      <c r="O1783" s="71" t="s">
        <v>1432</v>
      </c>
      <c r="P1783" s="103" t="str">
        <f>C1783</f>
        <v>필터백</v>
      </c>
      <c r="Q1783" s="71">
        <f t="shared" si="917"/>
        <v>4</v>
      </c>
      <c r="R1783" s="102">
        <v>22461</v>
      </c>
      <c r="S1783" s="102">
        <f>(R1783*D1783)*1.1</f>
        <v>98828.400000000009</v>
      </c>
      <c r="T1783" s="102">
        <f>(R1783*Q1783)</f>
        <v>89844</v>
      </c>
      <c r="U1783" s="71"/>
      <c r="V1783" s="71"/>
      <c r="W1783" s="474"/>
      <c r="X1783" s="71"/>
      <c r="Y1783" s="71"/>
    </row>
    <row r="1784" spans="1:25" ht="30" customHeight="1" x14ac:dyDescent="0.25">
      <c r="A1784" s="82">
        <v>190130</v>
      </c>
      <c r="B1784" s="664" t="s">
        <v>565</v>
      </c>
      <c r="C1784" s="71" t="s">
        <v>692</v>
      </c>
      <c r="D1784" s="71">
        <v>5</v>
      </c>
      <c r="E1784" s="102">
        <v>218000</v>
      </c>
      <c r="F1784" s="102">
        <f t="shared" si="914"/>
        <v>1199000</v>
      </c>
      <c r="G1784" s="102">
        <f t="shared" si="915"/>
        <v>1090000</v>
      </c>
      <c r="H1784" s="690" t="s">
        <v>173</v>
      </c>
      <c r="I1784" s="71" t="s">
        <v>109</v>
      </c>
      <c r="J1784" s="53">
        <f>(G1784-(VLOOKUP(C1784,Price!B:D,3,FALSE)*D1784))</f>
        <v>290000</v>
      </c>
      <c r="K1784" s="63">
        <f t="shared" si="926"/>
        <v>0.26605504587155965</v>
      </c>
      <c r="L1784" s="871" t="s">
        <v>1613</v>
      </c>
      <c r="M1784" s="468"/>
      <c r="N1784" s="664">
        <f t="shared" si="916"/>
        <v>190130</v>
      </c>
      <c r="O1784" s="71" t="s">
        <v>150</v>
      </c>
      <c r="P1784" s="103" t="str">
        <f t="shared" si="917"/>
        <v>윤전 블랑켓</v>
      </c>
      <c r="Q1784" s="71">
        <f t="shared" si="917"/>
        <v>5</v>
      </c>
      <c r="R1784" s="102">
        <v>160000</v>
      </c>
      <c r="S1784" s="102">
        <f>(R1784*D1784)*1.1</f>
        <v>880000.00000000012</v>
      </c>
      <c r="T1784" s="102">
        <f>(R1784*Q1784)</f>
        <v>800000</v>
      </c>
      <c r="U1784" s="71" t="str">
        <f>IF(J1784=W1784,"O", "X")</f>
        <v>O</v>
      </c>
      <c r="V1784" s="71" t="s">
        <v>784</v>
      </c>
      <c r="W1784" s="474">
        <f>(G1784-T1784)</f>
        <v>290000</v>
      </c>
      <c r="X1784" s="71"/>
      <c r="Y1784" s="71"/>
    </row>
    <row r="1785" spans="1:25" ht="30" customHeight="1" x14ac:dyDescent="0.25">
      <c r="A1785" s="82">
        <v>190130</v>
      </c>
      <c r="B1785" s="664" t="s">
        <v>422</v>
      </c>
      <c r="C1785" s="760" t="s">
        <v>218</v>
      </c>
      <c r="D1785" s="71">
        <v>5</v>
      </c>
      <c r="E1785" s="102">
        <v>235000</v>
      </c>
      <c r="F1785" s="102">
        <f t="shared" si="914"/>
        <v>1292500</v>
      </c>
      <c r="G1785" s="102">
        <f t="shared" si="915"/>
        <v>1175000</v>
      </c>
      <c r="H1785" s="690" t="s">
        <v>173</v>
      </c>
      <c r="I1785" s="71" t="s">
        <v>120</v>
      </c>
      <c r="J1785" s="53">
        <f>(G1785-(VLOOKUP(C1785,Price!B:D,3,FALSE)*D1785))</f>
        <v>612500</v>
      </c>
      <c r="K1785" s="63">
        <f t="shared" si="926"/>
        <v>0.52127659574468088</v>
      </c>
      <c r="L1785" s="871" t="s">
        <v>1613</v>
      </c>
      <c r="M1785" s="468"/>
      <c r="N1785" s="664">
        <f t="shared" si="916"/>
        <v>190130</v>
      </c>
      <c r="O1785" s="71" t="s">
        <v>150</v>
      </c>
      <c r="P1785" s="103" t="str">
        <f t="shared" si="917"/>
        <v>Fount Web 551AF</v>
      </c>
      <c r="Q1785" s="71">
        <f t="shared" si="917"/>
        <v>5</v>
      </c>
      <c r="R1785" s="102">
        <v>112500</v>
      </c>
      <c r="S1785" s="102">
        <f t="shared" ref="S1785:S1791" si="927">R1785*Q1785*1.1</f>
        <v>618750</v>
      </c>
      <c r="T1785" s="102">
        <f t="shared" ref="T1785:T1791" si="928">R1785*Q1785</f>
        <v>562500</v>
      </c>
      <c r="U1785" s="71" t="str">
        <f>IF(J1785=W1785,"O", "X")</f>
        <v>O</v>
      </c>
      <c r="V1785" s="71"/>
      <c r="W1785" s="474">
        <f>(G1785-T1785)</f>
        <v>612500</v>
      </c>
      <c r="X1785" s="71"/>
      <c r="Y1785" s="71"/>
    </row>
    <row r="1786" spans="1:25" ht="30" customHeight="1" x14ac:dyDescent="0.25">
      <c r="A1786" s="82">
        <v>190130</v>
      </c>
      <c r="B1786" s="664" t="s">
        <v>565</v>
      </c>
      <c r="C1786" s="71" t="s">
        <v>1645</v>
      </c>
      <c r="D1786" s="71">
        <v>4</v>
      </c>
      <c r="E1786" s="102">
        <v>450000</v>
      </c>
      <c r="F1786" s="102">
        <f t="shared" si="914"/>
        <v>1980000.0000000002</v>
      </c>
      <c r="G1786" s="102">
        <f t="shared" si="915"/>
        <v>1800000</v>
      </c>
      <c r="H1786" s="690" t="s">
        <v>1431</v>
      </c>
      <c r="I1786" s="71" t="s">
        <v>1431</v>
      </c>
      <c r="J1786" s="53">
        <f>G1786-T1786</f>
        <v>666770.01926735626</v>
      </c>
      <c r="K1786" s="63">
        <f t="shared" si="926"/>
        <v>0.37042778848186453</v>
      </c>
      <c r="L1786" s="871" t="s">
        <v>1613</v>
      </c>
      <c r="M1786" s="468"/>
      <c r="N1786" s="664">
        <f t="shared" si="916"/>
        <v>190130</v>
      </c>
      <c r="O1786" s="71" t="s">
        <v>1431</v>
      </c>
      <c r="P1786" s="103" t="str">
        <f t="shared" si="917"/>
        <v>핀치 롤</v>
      </c>
      <c r="Q1786" s="71">
        <f t="shared" si="917"/>
        <v>4</v>
      </c>
      <c r="R1786" s="102">
        <f>Import!G153</f>
        <v>283307.49518316094</v>
      </c>
      <c r="S1786" s="102">
        <f t="shared" si="927"/>
        <v>1246552.9788059082</v>
      </c>
      <c r="T1786" s="102">
        <f t="shared" si="928"/>
        <v>1133229.9807326437</v>
      </c>
      <c r="U1786" s="71"/>
      <c r="V1786" s="71"/>
      <c r="W1786" s="474"/>
      <c r="X1786" s="71"/>
      <c r="Y1786" s="71"/>
    </row>
    <row r="1787" spans="1:25" ht="30" customHeight="1" x14ac:dyDescent="0.25">
      <c r="A1787" s="82">
        <v>190130</v>
      </c>
      <c r="B1787" s="664" t="s">
        <v>565</v>
      </c>
      <c r="C1787" s="71" t="s">
        <v>881</v>
      </c>
      <c r="D1787" s="71">
        <v>50</v>
      </c>
      <c r="E1787" s="102">
        <v>20000</v>
      </c>
      <c r="F1787" s="102">
        <f t="shared" si="914"/>
        <v>1100000</v>
      </c>
      <c r="G1787" s="102">
        <f t="shared" si="915"/>
        <v>1000000</v>
      </c>
      <c r="H1787" s="690" t="s">
        <v>1431</v>
      </c>
      <c r="I1787" s="71" t="s">
        <v>1431</v>
      </c>
      <c r="J1787" s="53">
        <f>G1787-T1787</f>
        <v>510893.26058356493</v>
      </c>
      <c r="K1787" s="63">
        <f t="shared" si="926"/>
        <v>0.51089326058356488</v>
      </c>
      <c r="L1787" s="871" t="s">
        <v>1613</v>
      </c>
      <c r="M1787" s="468"/>
      <c r="N1787" s="664">
        <f t="shared" si="916"/>
        <v>190130</v>
      </c>
      <c r="O1787" s="71" t="s">
        <v>1431</v>
      </c>
      <c r="P1787" s="103" t="str">
        <f>(C1787)</f>
        <v>스트리퍼(대)</v>
      </c>
      <c r="Q1787" s="71">
        <f>D1787</f>
        <v>50</v>
      </c>
      <c r="R1787" s="102">
        <f>R1453</f>
        <v>9782.1347883287017</v>
      </c>
      <c r="S1787" s="102">
        <f t="shared" si="927"/>
        <v>538017.41335807857</v>
      </c>
      <c r="T1787" s="102">
        <f t="shared" si="928"/>
        <v>489106.73941643507</v>
      </c>
      <c r="U1787" s="71" t="str">
        <f>IF(J1787=W1787,"O", "X")</f>
        <v>X</v>
      </c>
      <c r="V1787" s="71"/>
      <c r="W1787" s="474"/>
      <c r="X1787" s="71"/>
      <c r="Y1787" s="71"/>
    </row>
    <row r="1788" spans="1:25" ht="30" customHeight="1" x14ac:dyDescent="0.25">
      <c r="A1788" s="82">
        <v>190130</v>
      </c>
      <c r="B1788" s="664" t="s">
        <v>565</v>
      </c>
      <c r="C1788" s="71" t="s">
        <v>882</v>
      </c>
      <c r="D1788" s="71">
        <v>20</v>
      </c>
      <c r="E1788" s="102">
        <v>20000</v>
      </c>
      <c r="F1788" s="102">
        <f t="shared" si="914"/>
        <v>440000.00000000006</v>
      </c>
      <c r="G1788" s="102">
        <f t="shared" si="915"/>
        <v>400000</v>
      </c>
      <c r="H1788" s="690" t="s">
        <v>1431</v>
      </c>
      <c r="I1788" s="71" t="s">
        <v>1431</v>
      </c>
      <c r="J1788" s="53">
        <f>G1788-T1788</f>
        <v>204357.30423342597</v>
      </c>
      <c r="K1788" s="63">
        <f t="shared" si="926"/>
        <v>0.51089326058356488</v>
      </c>
      <c r="L1788" s="871" t="s">
        <v>1613</v>
      </c>
      <c r="M1788" s="468"/>
      <c r="N1788" s="664">
        <f t="shared" si="916"/>
        <v>190130</v>
      </c>
      <c r="O1788" s="71" t="s">
        <v>1431</v>
      </c>
      <c r="P1788" s="103" t="str">
        <f>(C1788)</f>
        <v>스트리퍼(소)</v>
      </c>
      <c r="Q1788" s="71">
        <f>D1788</f>
        <v>20</v>
      </c>
      <c r="R1788" s="102">
        <f>R1453</f>
        <v>9782.1347883287017</v>
      </c>
      <c r="S1788" s="102">
        <f t="shared" si="927"/>
        <v>215206.96534323145</v>
      </c>
      <c r="T1788" s="102">
        <f t="shared" si="928"/>
        <v>195642.69576657403</v>
      </c>
      <c r="U1788" s="71" t="str">
        <f>IF(J1788=W1788,"O", "X")</f>
        <v>X</v>
      </c>
      <c r="V1788" s="71"/>
      <c r="W1788" s="474"/>
      <c r="X1788" s="71"/>
      <c r="Y1788" s="71"/>
    </row>
    <row r="1789" spans="1:25" ht="31.5" hidden="1" customHeight="1" x14ac:dyDescent="0.25">
      <c r="A1789" s="82">
        <v>190131</v>
      </c>
      <c r="B1789" s="664" t="s">
        <v>545</v>
      </c>
      <c r="C1789" s="71" t="s">
        <v>123</v>
      </c>
      <c r="D1789" s="71">
        <v>10</v>
      </c>
      <c r="E1789" s="102">
        <v>42000</v>
      </c>
      <c r="F1789" s="102">
        <f t="shared" si="914"/>
        <v>462000.00000000006</v>
      </c>
      <c r="G1789" s="102">
        <f t="shared" si="915"/>
        <v>420000</v>
      </c>
      <c r="H1789" s="1010" t="s">
        <v>39</v>
      </c>
      <c r="I1789" s="71" t="s">
        <v>1432</v>
      </c>
      <c r="J1789" s="53">
        <f>(G1789-(VLOOKUP(C1789,Import!C:G,4,FALSE)*D1789))</f>
        <v>420000</v>
      </c>
      <c r="K1789" s="63">
        <f t="shared" si="926"/>
        <v>0.99999999999999989</v>
      </c>
      <c r="L1789" s="871" t="s">
        <v>1613</v>
      </c>
      <c r="M1789" s="468"/>
      <c r="N1789" s="664">
        <f t="shared" si="916"/>
        <v>190131</v>
      </c>
      <c r="O1789" s="991" t="s">
        <v>39</v>
      </c>
      <c r="P1789" s="103" t="str">
        <f>C1789</f>
        <v>필터백</v>
      </c>
      <c r="Q1789" s="71">
        <f>D1789</f>
        <v>10</v>
      </c>
      <c r="R1789" s="102">
        <v>22461</v>
      </c>
      <c r="S1789" s="102">
        <f t="shared" si="927"/>
        <v>247071.00000000003</v>
      </c>
      <c r="T1789" s="102">
        <f t="shared" si="928"/>
        <v>224610</v>
      </c>
      <c r="U1789" s="71" t="str">
        <f>IF(J1789=W1789,"O", "X")</f>
        <v>X</v>
      </c>
      <c r="V1789" s="71"/>
      <c r="W1789" s="474">
        <f>(G1789-T1789)</f>
        <v>195390</v>
      </c>
      <c r="X1789" s="71"/>
      <c r="Y1789" s="71"/>
    </row>
    <row r="1790" spans="1:25" ht="30" hidden="1" customHeight="1" x14ac:dyDescent="0.25">
      <c r="A1790" s="82">
        <v>190131</v>
      </c>
      <c r="B1790" s="664" t="s">
        <v>545</v>
      </c>
      <c r="C1790" s="71" t="s">
        <v>227</v>
      </c>
      <c r="D1790" s="71">
        <v>10</v>
      </c>
      <c r="E1790" s="102">
        <v>110000</v>
      </c>
      <c r="F1790" s="102">
        <f t="shared" si="914"/>
        <v>1210000</v>
      </c>
      <c r="G1790" s="102">
        <f t="shared" si="915"/>
        <v>1100000</v>
      </c>
      <c r="H1790" s="690" t="s">
        <v>173</v>
      </c>
      <c r="I1790" s="71" t="s">
        <v>109</v>
      </c>
      <c r="J1790" s="53">
        <f>(G1790-(VLOOKUP(C1790,Price!B:D,3,FALSE)*D1790))</f>
        <v>271000</v>
      </c>
      <c r="K1790" s="63">
        <f t="shared" si="926"/>
        <v>0.24636363636363637</v>
      </c>
      <c r="L1790" s="871" t="s">
        <v>1613</v>
      </c>
      <c r="M1790" s="468"/>
      <c r="N1790" s="664">
        <f t="shared" si="916"/>
        <v>190131</v>
      </c>
      <c r="O1790" s="71" t="s">
        <v>147</v>
      </c>
      <c r="P1790" s="103" t="str">
        <f>C1790</f>
        <v>Blanket(1060*860)</v>
      </c>
      <c r="Q1790" s="71">
        <f>D1790</f>
        <v>10</v>
      </c>
      <c r="R1790" s="102">
        <v>82900</v>
      </c>
      <c r="S1790" s="102">
        <f t="shared" si="927"/>
        <v>911900.00000000012</v>
      </c>
      <c r="T1790" s="102">
        <f t="shared" si="928"/>
        <v>829000</v>
      </c>
      <c r="U1790" s="71" t="str">
        <f>IF(J1790=W1790,"O", "X")</f>
        <v>O</v>
      </c>
      <c r="V1790" s="71"/>
      <c r="W1790" s="474">
        <f>(G1790-T1790)</f>
        <v>271000</v>
      </c>
      <c r="X1790" s="71"/>
      <c r="Y1790" s="71"/>
    </row>
    <row r="1791" spans="1:25" ht="30" hidden="1" customHeight="1" x14ac:dyDescent="0.25">
      <c r="A1791" s="82">
        <v>190131</v>
      </c>
      <c r="B1791" s="664" t="s">
        <v>446</v>
      </c>
      <c r="C1791" s="71" t="s">
        <v>1144</v>
      </c>
      <c r="D1791" s="71">
        <v>8</v>
      </c>
      <c r="E1791" s="102">
        <v>110000</v>
      </c>
      <c r="F1791" s="102">
        <f t="shared" si="914"/>
        <v>968000.00000000012</v>
      </c>
      <c r="G1791" s="102">
        <f t="shared" si="915"/>
        <v>880000</v>
      </c>
      <c r="H1791" s="690" t="s">
        <v>173</v>
      </c>
      <c r="I1791" s="71" t="s">
        <v>2231</v>
      </c>
      <c r="J1791" s="53">
        <f>G1791-T1791</f>
        <v>152000</v>
      </c>
      <c r="K1791" s="63">
        <f t="shared" si="926"/>
        <v>0.1727272727272727</v>
      </c>
      <c r="L1791" s="871" t="s">
        <v>1613</v>
      </c>
      <c r="M1791" s="468"/>
      <c r="N1791" s="664">
        <f>A1791</f>
        <v>190131</v>
      </c>
      <c r="O1791" s="71" t="s">
        <v>150</v>
      </c>
      <c r="P1791" s="103" t="str">
        <f>C1791</f>
        <v>실리콘 에멀전</v>
      </c>
      <c r="Q1791" s="71">
        <f>D1791</f>
        <v>8</v>
      </c>
      <c r="R1791" s="102">
        <v>91000</v>
      </c>
      <c r="S1791" s="102">
        <f t="shared" si="927"/>
        <v>800800.00000000012</v>
      </c>
      <c r="T1791" s="102">
        <f t="shared" si="928"/>
        <v>728000</v>
      </c>
      <c r="U1791" s="71" t="str">
        <f>IF(J1791=W1791,"O", "X")</f>
        <v>O</v>
      </c>
      <c r="V1791" s="71"/>
      <c r="W1791" s="474">
        <f>(G1791-T1791)</f>
        <v>152000</v>
      </c>
      <c r="X1791" s="71"/>
      <c r="Y1791" s="71"/>
    </row>
    <row r="1792" spans="1:25" s="978" customFormat="1" ht="45" hidden="1" customHeight="1" x14ac:dyDescent="0.25">
      <c r="A1792" s="982" t="s">
        <v>1641</v>
      </c>
      <c r="B1792" s="976" t="s">
        <v>544</v>
      </c>
      <c r="C1792" s="453"/>
      <c r="D1792" s="453"/>
      <c r="E1792" s="454"/>
      <c r="F1792" s="454"/>
      <c r="G1792" s="454"/>
      <c r="H1792" s="455"/>
      <c r="I1792" s="453"/>
      <c r="J1792" s="417"/>
      <c r="K1792" s="418"/>
      <c r="L1792" s="983" t="s">
        <v>1642</v>
      </c>
      <c r="M1792" s="643"/>
      <c r="N1792" s="724" t="str">
        <f t="shared" ref="N1792:N1804" si="929">A1792</f>
        <v>2019,2</v>
      </c>
      <c r="O1792" s="453" t="s">
        <v>154</v>
      </c>
      <c r="P1792" s="728"/>
      <c r="Q1792" s="419"/>
      <c r="R1792" s="420"/>
      <c r="S1792" s="417"/>
      <c r="T1792" s="417"/>
      <c r="U1792" s="421"/>
      <c r="V1792" s="421"/>
      <c r="W1792" s="479">
        <f>(G1792-T1792)</f>
        <v>0</v>
      </c>
      <c r="X1792" s="421"/>
      <c r="Y1792" s="421"/>
    </row>
    <row r="1793" spans="1:25" ht="30" hidden="1" customHeight="1" x14ac:dyDescent="0.25">
      <c r="A1793" s="82">
        <v>190104</v>
      </c>
      <c r="B1793" s="664" t="s">
        <v>1286</v>
      </c>
      <c r="C1793" s="71" t="s">
        <v>1646</v>
      </c>
      <c r="D1793" s="71">
        <v>1</v>
      </c>
      <c r="E1793" s="102">
        <v>550000</v>
      </c>
      <c r="F1793" s="102">
        <f t="shared" ref="F1793:F1804" si="930">(E1793*D1793)*1.1</f>
        <v>605000</v>
      </c>
      <c r="G1793" s="102">
        <f t="shared" ref="G1793:G1851" si="931">(E1793*D1793)</f>
        <v>550000</v>
      </c>
      <c r="H1793" s="690" t="s">
        <v>985</v>
      </c>
      <c r="I1793" s="71" t="s">
        <v>985</v>
      </c>
      <c r="J1793" s="53">
        <f>G1793-T1793</f>
        <v>550000</v>
      </c>
      <c r="K1793" s="63">
        <f>(J1793/(F1793/11*10))</f>
        <v>1</v>
      </c>
      <c r="L1793" s="871" t="s">
        <v>1642</v>
      </c>
      <c r="M1793" s="468"/>
      <c r="N1793" s="664">
        <f t="shared" si="929"/>
        <v>190104</v>
      </c>
      <c r="O1793" s="71"/>
      <c r="P1793" s="103" t="str">
        <f t="shared" ref="P1793:Q1795" si="932">C1793</f>
        <v>브러쉬 롤러 교체</v>
      </c>
      <c r="Q1793" s="71">
        <f t="shared" si="932"/>
        <v>1</v>
      </c>
      <c r="R1793" s="102"/>
      <c r="S1793" s="102"/>
      <c r="T1793" s="102"/>
      <c r="U1793" s="71"/>
      <c r="V1793" s="71"/>
      <c r="W1793" s="474"/>
      <c r="X1793" s="71"/>
      <c r="Y1793" s="71"/>
    </row>
    <row r="1794" spans="1:25" ht="30" hidden="1" customHeight="1" x14ac:dyDescent="0.25">
      <c r="A1794" s="82">
        <v>190104</v>
      </c>
      <c r="B1794" s="664" t="s">
        <v>591</v>
      </c>
      <c r="C1794" s="71" t="s">
        <v>1688</v>
      </c>
      <c r="D1794" s="71">
        <v>2</v>
      </c>
      <c r="E1794" s="102">
        <v>480000</v>
      </c>
      <c r="F1794" s="102">
        <f>(E1794*D1794)*1.1</f>
        <v>1056000</v>
      </c>
      <c r="G1794" s="102">
        <f>(E1794*D1794)</f>
        <v>960000</v>
      </c>
      <c r="H1794" s="690" t="s">
        <v>173</v>
      </c>
      <c r="I1794" s="71" t="s">
        <v>143</v>
      </c>
      <c r="J1794" s="53">
        <f>G1794-T1794</f>
        <v>240000</v>
      </c>
      <c r="K1794" s="63">
        <f>(J1794/(F1794/11*10))</f>
        <v>0.25</v>
      </c>
      <c r="L1794" s="871" t="s">
        <v>1642</v>
      </c>
      <c r="M1794" s="468"/>
      <c r="N1794" s="664">
        <f>A1794</f>
        <v>190104</v>
      </c>
      <c r="O1794" s="71" t="s">
        <v>612</v>
      </c>
      <c r="P1794" s="103" t="str">
        <f t="shared" si="932"/>
        <v>Water Pan Roller M600 윤전용</v>
      </c>
      <c r="Q1794" s="71">
        <f t="shared" si="932"/>
        <v>2</v>
      </c>
      <c r="R1794" s="102">
        <v>360000</v>
      </c>
      <c r="S1794" s="102">
        <f>(R1794*D1794)*1.1</f>
        <v>792000.00000000012</v>
      </c>
      <c r="T1794" s="102">
        <f>(R1794*Q1794)</f>
        <v>720000</v>
      </c>
      <c r="U1794" s="71" t="str">
        <f t="shared" ref="U1794:U1825" si="933">IF(J1794=W1794,"O", "X")</f>
        <v>X</v>
      </c>
      <c r="V1794" s="71"/>
      <c r="W1794" s="474"/>
      <c r="X1794" s="71"/>
      <c r="Y1794" s="71"/>
    </row>
    <row r="1795" spans="1:25" ht="30" hidden="1" customHeight="1" x14ac:dyDescent="0.25">
      <c r="A1795" s="82">
        <v>190129</v>
      </c>
      <c r="B1795" s="664" t="s">
        <v>546</v>
      </c>
      <c r="C1795" s="71" t="s">
        <v>1526</v>
      </c>
      <c r="D1795" s="71">
        <v>1</v>
      </c>
      <c r="E1795" s="102">
        <v>2900000</v>
      </c>
      <c r="F1795" s="102">
        <f>(E1795*D1795)*1.1</f>
        <v>3190000.0000000005</v>
      </c>
      <c r="G1795" s="102">
        <f t="shared" si="931"/>
        <v>2900000</v>
      </c>
      <c r="H1795" s="690" t="s">
        <v>985</v>
      </c>
      <c r="I1795" s="71" t="s">
        <v>985</v>
      </c>
      <c r="J1795" s="53">
        <f>G1795-T1795</f>
        <v>1400000</v>
      </c>
      <c r="K1795" s="63">
        <f>(J1795/(F1795/11*10))</f>
        <v>0.48275862068965508</v>
      </c>
      <c r="L1795" s="871" t="s">
        <v>1642</v>
      </c>
      <c r="M1795" s="468" t="s">
        <v>1673</v>
      </c>
      <c r="N1795" s="664">
        <f>A1795</f>
        <v>190129</v>
      </c>
      <c r="O1795" s="71"/>
      <c r="P1795" s="103" t="str">
        <f t="shared" si="932"/>
        <v>판걸이튜브 교체 작업</v>
      </c>
      <c r="Q1795" s="71">
        <f t="shared" si="932"/>
        <v>1</v>
      </c>
      <c r="R1795" s="102">
        <v>1500000</v>
      </c>
      <c r="S1795" s="102">
        <f>(R1795*D1795)*1.1</f>
        <v>1650000.0000000002</v>
      </c>
      <c r="T1795" s="102">
        <f>(R1795*Q1795)</f>
        <v>1500000</v>
      </c>
      <c r="U1795" s="71" t="str">
        <f t="shared" si="933"/>
        <v>X</v>
      </c>
      <c r="V1795" s="71"/>
      <c r="W1795" s="474"/>
      <c r="X1795" s="71"/>
      <c r="Y1795" s="71"/>
    </row>
    <row r="1796" spans="1:25" ht="30" hidden="1" customHeight="1" x14ac:dyDescent="0.25">
      <c r="A1796" s="82">
        <v>190129</v>
      </c>
      <c r="B1796" s="664" t="s">
        <v>640</v>
      </c>
      <c r="C1796" s="71" t="s">
        <v>236</v>
      </c>
      <c r="D1796" s="71">
        <v>2</v>
      </c>
      <c r="E1796" s="102">
        <v>99000</v>
      </c>
      <c r="F1796" s="102">
        <f t="shared" si="930"/>
        <v>217800.00000000003</v>
      </c>
      <c r="G1796" s="102">
        <f t="shared" si="931"/>
        <v>198000</v>
      </c>
      <c r="H1796" s="690" t="s">
        <v>173</v>
      </c>
      <c r="I1796" s="71" t="s">
        <v>2231</v>
      </c>
      <c r="J1796" s="53">
        <f>(G1796-(VLOOKUP(C1796,Price!B:D,3,FALSE)*D1796))</f>
        <v>98000</v>
      </c>
      <c r="K1796" s="63">
        <f t="shared" ref="K1796:K1802" si="934">(J1796/(F1796/11*10))</f>
        <v>0.49494949494949486</v>
      </c>
      <c r="L1796" s="871" t="s">
        <v>1642</v>
      </c>
      <c r="M1796" s="468"/>
      <c r="N1796" s="664">
        <f t="shared" si="929"/>
        <v>190129</v>
      </c>
      <c r="O1796" s="71" t="s">
        <v>153</v>
      </c>
      <c r="P1796" s="103" t="str">
        <f>C1796</f>
        <v>아스테이지(국전)</v>
      </c>
      <c r="Q1796" s="71">
        <f t="shared" ref="Q1796:Q1804" si="935">D1796</f>
        <v>2</v>
      </c>
      <c r="R1796" s="102">
        <v>50000</v>
      </c>
      <c r="S1796" s="102">
        <f>R1796*Q1796*1.1</f>
        <v>110000.00000000001</v>
      </c>
      <c r="T1796" s="102">
        <f>R1796*Q1796</f>
        <v>100000</v>
      </c>
      <c r="U1796" s="71" t="str">
        <f t="shared" si="933"/>
        <v>O</v>
      </c>
      <c r="V1796" s="71"/>
      <c r="W1796" s="474">
        <f t="shared" ref="W1796:W1809" si="936">(G1796-T1796)</f>
        <v>98000</v>
      </c>
      <c r="X1796" s="71"/>
      <c r="Y1796" s="71"/>
    </row>
    <row r="1797" spans="1:25" ht="30" hidden="1" customHeight="1" x14ac:dyDescent="0.25">
      <c r="A1797" s="82">
        <v>190130</v>
      </c>
      <c r="B1797" s="664" t="s">
        <v>983</v>
      </c>
      <c r="C1797" s="71" t="s">
        <v>1009</v>
      </c>
      <c r="D1797" s="71">
        <v>520</v>
      </c>
      <c r="E1797" s="102">
        <v>3900</v>
      </c>
      <c r="F1797" s="102">
        <f t="shared" si="930"/>
        <v>2230800</v>
      </c>
      <c r="G1797" s="102">
        <f t="shared" si="931"/>
        <v>2028000</v>
      </c>
      <c r="H1797" s="690" t="s">
        <v>173</v>
      </c>
      <c r="I1797" s="71" t="s">
        <v>2230</v>
      </c>
      <c r="J1797" s="53">
        <f>G1797-T1797</f>
        <v>312000</v>
      </c>
      <c r="K1797" s="63">
        <f>(J1797/(F1797/11*10))</f>
        <v>0.15384615384615385</v>
      </c>
      <c r="L1797" s="871" t="s">
        <v>1642</v>
      </c>
      <c r="M1797" s="468"/>
      <c r="N1797" s="664">
        <f t="shared" si="929"/>
        <v>190130</v>
      </c>
      <c r="O1797" s="71" t="s">
        <v>147</v>
      </c>
      <c r="P1797" s="103" t="str">
        <f>C1797</f>
        <v>CTP판(1030*790mm)</v>
      </c>
      <c r="Q1797" s="71">
        <f t="shared" si="935"/>
        <v>520</v>
      </c>
      <c r="R1797" s="102">
        <v>3300</v>
      </c>
      <c r="S1797" s="102">
        <f>R1797*Q1797*1.1</f>
        <v>1887600.0000000002</v>
      </c>
      <c r="T1797" s="102">
        <f>R1797*Q1797</f>
        <v>1716000</v>
      </c>
      <c r="U1797" s="71" t="str">
        <f t="shared" si="933"/>
        <v>O</v>
      </c>
      <c r="V1797" s="71"/>
      <c r="W1797" s="474">
        <f t="shared" si="936"/>
        <v>312000</v>
      </c>
      <c r="X1797" s="71"/>
      <c r="Y1797" s="71"/>
    </row>
    <row r="1798" spans="1:25" ht="30" hidden="1" customHeight="1" x14ac:dyDescent="0.25">
      <c r="A1798" s="82">
        <v>190130</v>
      </c>
      <c r="B1798" s="664" t="s">
        <v>983</v>
      </c>
      <c r="C1798" s="71" t="s">
        <v>984</v>
      </c>
      <c r="D1798" s="71">
        <v>5</v>
      </c>
      <c r="E1798" s="102">
        <v>45000</v>
      </c>
      <c r="F1798" s="102">
        <f t="shared" si="930"/>
        <v>247500.00000000003</v>
      </c>
      <c r="G1798" s="102">
        <f t="shared" si="931"/>
        <v>225000</v>
      </c>
      <c r="H1798" s="690" t="s">
        <v>173</v>
      </c>
      <c r="I1798" s="71" t="s">
        <v>2230</v>
      </c>
      <c r="J1798" s="53">
        <f>G1798-T1798</f>
        <v>50000</v>
      </c>
      <c r="K1798" s="63">
        <f>(J1798/(F1798/11*10))</f>
        <v>0.22222222222222218</v>
      </c>
      <c r="L1798" s="871" t="s">
        <v>1642</v>
      </c>
      <c r="M1798" s="468"/>
      <c r="N1798" s="664">
        <f t="shared" si="929"/>
        <v>190130</v>
      </c>
      <c r="O1798" s="71" t="s">
        <v>147</v>
      </c>
      <c r="P1798" s="103" t="str">
        <f>C1798</f>
        <v>CTP 현상액</v>
      </c>
      <c r="Q1798" s="71">
        <f t="shared" si="935"/>
        <v>5</v>
      </c>
      <c r="R1798" s="102">
        <v>35000</v>
      </c>
      <c r="S1798" s="102">
        <f>R1798*Q1798*1.1</f>
        <v>192500.00000000003</v>
      </c>
      <c r="T1798" s="102">
        <f>R1798*Q1798</f>
        <v>175000</v>
      </c>
      <c r="U1798" s="71" t="str">
        <f t="shared" si="933"/>
        <v>O</v>
      </c>
      <c r="V1798" s="71"/>
      <c r="W1798" s="474">
        <f t="shared" si="936"/>
        <v>50000</v>
      </c>
      <c r="X1798" s="71"/>
      <c r="Y1798" s="71"/>
    </row>
    <row r="1799" spans="1:25" s="209" customFormat="1" ht="30" hidden="1" customHeight="1" x14ac:dyDescent="0.2">
      <c r="A1799" s="82">
        <v>190201</v>
      </c>
      <c r="B1799" s="664" t="s">
        <v>445</v>
      </c>
      <c r="C1799" s="71" t="s">
        <v>138</v>
      </c>
      <c r="D1799" s="71">
        <v>10</v>
      </c>
      <c r="E1799" s="102">
        <v>59500</v>
      </c>
      <c r="F1799" s="163">
        <f t="shared" si="930"/>
        <v>654500</v>
      </c>
      <c r="G1799" s="102">
        <f t="shared" si="931"/>
        <v>595000</v>
      </c>
      <c r="H1799" s="165" t="s">
        <v>172</v>
      </c>
      <c r="I1799" s="71" t="s">
        <v>108</v>
      </c>
      <c r="J1799" s="53">
        <f>(G1799-(VLOOKUP(C1799,Price!B:D,3,FALSE)*D1799))</f>
        <v>85000</v>
      </c>
      <c r="K1799" s="63">
        <f t="shared" si="934"/>
        <v>0.14285714285714285</v>
      </c>
      <c r="L1799" s="871" t="s">
        <v>1642</v>
      </c>
      <c r="M1799" s="468"/>
      <c r="N1799" s="664">
        <f t="shared" si="929"/>
        <v>190201</v>
      </c>
      <c r="O1799" s="71" t="s">
        <v>150</v>
      </c>
      <c r="P1799" s="103" t="str">
        <f>C1799</f>
        <v>매엽용 세척제(Wash 562)</v>
      </c>
      <c r="Q1799" s="71">
        <f t="shared" si="935"/>
        <v>10</v>
      </c>
      <c r="R1799" s="102">
        <v>51000</v>
      </c>
      <c r="S1799" s="102">
        <f>(R1799*D1799)*1.1</f>
        <v>561000</v>
      </c>
      <c r="T1799" s="102">
        <f>(R1799*Q1799)</f>
        <v>510000</v>
      </c>
      <c r="U1799" s="71" t="str">
        <f t="shared" si="933"/>
        <v>O</v>
      </c>
      <c r="V1799" s="71"/>
      <c r="W1799" s="474">
        <f t="shared" si="936"/>
        <v>85000</v>
      </c>
      <c r="X1799" s="71"/>
      <c r="Y1799" s="71"/>
    </row>
    <row r="1800" spans="1:25" s="209" customFormat="1" ht="30" hidden="1" customHeight="1" x14ac:dyDescent="0.2">
      <c r="A1800" s="429">
        <v>190201</v>
      </c>
      <c r="B1800" s="664" t="s">
        <v>1286</v>
      </c>
      <c r="C1800" s="71" t="s">
        <v>231</v>
      </c>
      <c r="D1800" s="71">
        <v>10</v>
      </c>
      <c r="E1800" s="102">
        <v>120000</v>
      </c>
      <c r="F1800" s="163">
        <f t="shared" si="930"/>
        <v>1320000</v>
      </c>
      <c r="G1800" s="102">
        <f t="shared" si="931"/>
        <v>1200000</v>
      </c>
      <c r="H1800" s="165" t="s">
        <v>172</v>
      </c>
      <c r="I1800" s="71" t="s">
        <v>109</v>
      </c>
      <c r="J1800" s="53">
        <f>(G1800-(VLOOKUP(C1800,Price!B:D,3,FALSE)*D1800))</f>
        <v>80000</v>
      </c>
      <c r="K1800" s="63">
        <f t="shared" si="934"/>
        <v>6.6666666666666666E-2</v>
      </c>
      <c r="L1800" s="871" t="s">
        <v>1642</v>
      </c>
      <c r="M1800" s="468"/>
      <c r="N1800" s="664">
        <f t="shared" si="929"/>
        <v>190201</v>
      </c>
      <c r="O1800" s="71" t="s">
        <v>151</v>
      </c>
      <c r="P1800" s="103" t="str">
        <f>(C1800)</f>
        <v>Blanket(990*725)</v>
      </c>
      <c r="Q1800" s="71">
        <f t="shared" si="935"/>
        <v>10</v>
      </c>
      <c r="R1800" s="102">
        <v>112000</v>
      </c>
      <c r="S1800" s="102">
        <f>(R1800*D1800)*1.1</f>
        <v>1232000</v>
      </c>
      <c r="T1800" s="102">
        <f>(R1800*Q1800)</f>
        <v>1120000</v>
      </c>
      <c r="U1800" s="71" t="str">
        <f t="shared" si="933"/>
        <v>O</v>
      </c>
      <c r="V1800" s="71"/>
      <c r="W1800" s="474">
        <f t="shared" si="936"/>
        <v>80000</v>
      </c>
      <c r="X1800" s="71"/>
      <c r="Y1800" s="71"/>
    </row>
    <row r="1801" spans="1:25" s="209" customFormat="1" ht="30" hidden="1" customHeight="1" x14ac:dyDescent="0.25">
      <c r="A1801" s="82">
        <v>190208</v>
      </c>
      <c r="B1801" s="664" t="s">
        <v>442</v>
      </c>
      <c r="C1801" s="71" t="s">
        <v>138</v>
      </c>
      <c r="D1801" s="71">
        <v>21</v>
      </c>
      <c r="E1801" s="102">
        <v>69000</v>
      </c>
      <c r="F1801" s="102">
        <f t="shared" si="930"/>
        <v>1593900.0000000002</v>
      </c>
      <c r="G1801" s="102">
        <f t="shared" si="931"/>
        <v>1449000</v>
      </c>
      <c r="H1801" s="690" t="s">
        <v>173</v>
      </c>
      <c r="I1801" s="71" t="s">
        <v>108</v>
      </c>
      <c r="J1801" s="53">
        <f>(G1801-(VLOOKUP(C1801,Price!B:D,3,FALSE)*D1801))</f>
        <v>378000</v>
      </c>
      <c r="K1801" s="63">
        <f t="shared" si="934"/>
        <v>0.26086956521739124</v>
      </c>
      <c r="L1801" s="871" t="s">
        <v>1653</v>
      </c>
      <c r="M1801" s="468"/>
      <c r="N1801" s="664">
        <f t="shared" si="929"/>
        <v>190208</v>
      </c>
      <c r="O1801" s="71" t="s">
        <v>150</v>
      </c>
      <c r="P1801" s="103" t="str">
        <f>C1801</f>
        <v>매엽용 세척제(Wash 562)</v>
      </c>
      <c r="Q1801" s="71">
        <f t="shared" si="935"/>
        <v>21</v>
      </c>
      <c r="R1801" s="102">
        <v>51000</v>
      </c>
      <c r="S1801" s="102">
        <f>(R1801*D1801)*1.1</f>
        <v>1178100</v>
      </c>
      <c r="T1801" s="102">
        <f>(R1801*Q1801)</f>
        <v>1071000</v>
      </c>
      <c r="U1801" s="71" t="str">
        <f t="shared" si="933"/>
        <v>O</v>
      </c>
      <c r="V1801" s="71"/>
      <c r="W1801" s="474">
        <f t="shared" si="936"/>
        <v>378000</v>
      </c>
      <c r="X1801" s="71"/>
      <c r="Y1801" s="71"/>
    </row>
    <row r="1802" spans="1:25" ht="30" hidden="1" customHeight="1" x14ac:dyDescent="0.25">
      <c r="A1802" s="82">
        <v>190208</v>
      </c>
      <c r="B1802" s="664" t="s">
        <v>690</v>
      </c>
      <c r="C1802" s="71" t="s">
        <v>217</v>
      </c>
      <c r="D1802" s="71">
        <v>3</v>
      </c>
      <c r="E1802" s="102">
        <v>145000</v>
      </c>
      <c r="F1802" s="102">
        <f t="shared" si="930"/>
        <v>478500.00000000006</v>
      </c>
      <c r="G1802" s="102">
        <f t="shared" si="931"/>
        <v>435000</v>
      </c>
      <c r="H1802" s="690" t="s">
        <v>173</v>
      </c>
      <c r="I1802" s="71" t="s">
        <v>108</v>
      </c>
      <c r="J1802" s="53">
        <f>(G1802-(VLOOKUP(C1802,Price!B:D,3,FALSE)*D1802))</f>
        <v>195000</v>
      </c>
      <c r="K1802" s="63">
        <f t="shared" si="934"/>
        <v>0.44827586206896547</v>
      </c>
      <c r="L1802" s="871" t="s">
        <v>1653</v>
      </c>
      <c r="M1802" s="468"/>
      <c r="N1802" s="664">
        <f t="shared" si="929"/>
        <v>190208</v>
      </c>
      <c r="O1802" s="71" t="s">
        <v>150</v>
      </c>
      <c r="P1802" s="103" t="str">
        <f>C1802</f>
        <v>Fount 511</v>
      </c>
      <c r="Q1802" s="71">
        <f t="shared" si="935"/>
        <v>3</v>
      </c>
      <c r="R1802" s="102">
        <f>VLOOKUP(P1802,Price!B:D,3,FALSE)</f>
        <v>80000</v>
      </c>
      <c r="S1802" s="102">
        <f>R1802*Q1802*1.1</f>
        <v>264000</v>
      </c>
      <c r="T1802" s="102">
        <f>R1802*Q1802</f>
        <v>240000</v>
      </c>
      <c r="U1802" s="71" t="str">
        <f t="shared" si="933"/>
        <v>O</v>
      </c>
      <c r="V1802" s="71"/>
      <c r="W1802" s="474">
        <f t="shared" si="936"/>
        <v>195000</v>
      </c>
      <c r="X1802" s="71"/>
      <c r="Y1802" s="71"/>
    </row>
    <row r="1803" spans="1:25" ht="30" hidden="1" customHeight="1" x14ac:dyDescent="0.25">
      <c r="A1803" s="82">
        <v>190212</v>
      </c>
      <c r="B1803" s="664" t="s">
        <v>545</v>
      </c>
      <c r="C1803" s="71" t="s">
        <v>952</v>
      </c>
      <c r="D1803" s="71">
        <v>1</v>
      </c>
      <c r="E1803" s="102">
        <v>630000</v>
      </c>
      <c r="F1803" s="102">
        <f t="shared" si="930"/>
        <v>693000</v>
      </c>
      <c r="G1803" s="102">
        <f t="shared" si="931"/>
        <v>630000</v>
      </c>
      <c r="H1803" s="690" t="s">
        <v>173</v>
      </c>
      <c r="I1803" s="71" t="s">
        <v>108</v>
      </c>
      <c r="J1803" s="53">
        <f>(G1803-(VLOOKUP(C1803,Price!B:D,3,FALSE)*D1803))</f>
        <v>180000</v>
      </c>
      <c r="K1803" s="63">
        <f t="shared" ref="K1803:K1809" si="937">(J1803/(F1803/11*10))</f>
        <v>0.2857142857142857</v>
      </c>
      <c r="L1803" s="871" t="s">
        <v>1653</v>
      </c>
      <c r="M1803" s="468"/>
      <c r="N1803" s="664">
        <f t="shared" si="929"/>
        <v>190212</v>
      </c>
      <c r="O1803" s="71" t="s">
        <v>599</v>
      </c>
      <c r="P1803" s="103" t="str">
        <f>C1803</f>
        <v>점보롤 세정포</v>
      </c>
      <c r="Q1803" s="71">
        <f t="shared" si="935"/>
        <v>1</v>
      </c>
      <c r="R1803" s="102">
        <v>440000</v>
      </c>
      <c r="S1803" s="102">
        <f>R1803*Q1803*1.1</f>
        <v>484000.00000000006</v>
      </c>
      <c r="T1803" s="102">
        <f>R1803*Q1803</f>
        <v>440000</v>
      </c>
      <c r="U1803" s="71" t="str">
        <f t="shared" si="933"/>
        <v>X</v>
      </c>
      <c r="V1803" s="71" t="s">
        <v>1228</v>
      </c>
      <c r="W1803" s="474">
        <f t="shared" si="936"/>
        <v>190000</v>
      </c>
      <c r="X1803" s="71"/>
      <c r="Y1803" s="71"/>
    </row>
    <row r="1804" spans="1:25" s="209" customFormat="1" ht="30" hidden="1" customHeight="1" x14ac:dyDescent="0.2">
      <c r="A1804" s="82">
        <v>190212</v>
      </c>
      <c r="B1804" s="664" t="s">
        <v>557</v>
      </c>
      <c r="C1804" s="71" t="s">
        <v>114</v>
      </c>
      <c r="D1804" s="71">
        <v>20</v>
      </c>
      <c r="E1804" s="102">
        <v>19000</v>
      </c>
      <c r="F1804" s="163">
        <f t="shared" si="930"/>
        <v>418000.00000000006</v>
      </c>
      <c r="G1804" s="102">
        <f t="shared" si="931"/>
        <v>380000</v>
      </c>
      <c r="H1804" s="771" t="s">
        <v>113</v>
      </c>
      <c r="I1804" s="71" t="s">
        <v>1431</v>
      </c>
      <c r="J1804" s="53">
        <f>G1804-T1804</f>
        <v>200000</v>
      </c>
      <c r="K1804" s="63">
        <f t="shared" si="937"/>
        <v>0.52631578947368418</v>
      </c>
      <c r="L1804" s="871" t="s">
        <v>1653</v>
      </c>
      <c r="M1804" s="468"/>
      <c r="N1804" s="664">
        <f t="shared" si="929"/>
        <v>190212</v>
      </c>
      <c r="O1804" s="808" t="s">
        <v>113</v>
      </c>
      <c r="P1804" s="103" t="str">
        <f>(C1804)</f>
        <v>스트리퍼</v>
      </c>
      <c r="Q1804" s="71">
        <f t="shared" si="935"/>
        <v>20</v>
      </c>
      <c r="R1804" s="102">
        <v>9000</v>
      </c>
      <c r="S1804" s="102">
        <f>(R1804*D1804)*1.1</f>
        <v>198000.00000000003</v>
      </c>
      <c r="T1804" s="102">
        <f>(R1804*Q1804)</f>
        <v>180000</v>
      </c>
      <c r="U1804" s="71" t="str">
        <f t="shared" si="933"/>
        <v>O</v>
      </c>
      <c r="V1804" s="71"/>
      <c r="W1804" s="474">
        <f t="shared" si="936"/>
        <v>200000</v>
      </c>
      <c r="X1804" s="71"/>
      <c r="Y1804" s="71"/>
    </row>
    <row r="1805" spans="1:25" ht="30" hidden="1" customHeight="1" x14ac:dyDescent="0.2">
      <c r="A1805" s="82">
        <v>190212</v>
      </c>
      <c r="B1805" s="664" t="s">
        <v>575</v>
      </c>
      <c r="C1805" s="71" t="s">
        <v>1388</v>
      </c>
      <c r="D1805" s="71">
        <v>3</v>
      </c>
      <c r="E1805" s="102">
        <v>185000</v>
      </c>
      <c r="F1805" s="163">
        <f t="shared" ref="F1805:F1810" si="938">(E1805*D1805)*1.1</f>
        <v>610500</v>
      </c>
      <c r="G1805" s="102">
        <f t="shared" si="931"/>
        <v>555000</v>
      </c>
      <c r="H1805" s="690" t="s">
        <v>173</v>
      </c>
      <c r="I1805" s="71" t="s">
        <v>108</v>
      </c>
      <c r="J1805" s="53">
        <f>G1805-T1805</f>
        <v>224290.12048591539</v>
      </c>
      <c r="K1805" s="63">
        <f t="shared" si="937"/>
        <v>0.40412634321786556</v>
      </c>
      <c r="L1805" s="871" t="s">
        <v>1653</v>
      </c>
      <c r="M1805" s="468"/>
      <c r="N1805" s="664">
        <f t="shared" ref="N1805:N1823" si="939">A1805</f>
        <v>190212</v>
      </c>
      <c r="O1805" s="71" t="s">
        <v>1443</v>
      </c>
      <c r="P1805" s="103" t="str">
        <f t="shared" ref="P1805:Q1810" si="940">C1805</f>
        <v>Flint 무알콜 윤전약물(Superaster)</v>
      </c>
      <c r="Q1805" s="71">
        <f t="shared" si="940"/>
        <v>3</v>
      </c>
      <c r="R1805" s="102">
        <f>53453.9598380282+17706</f>
        <v>71159.959838028197</v>
      </c>
      <c r="S1805" s="102">
        <f>(R1805*D1805)*1.1+117230*1.1</f>
        <v>363780.86746549309</v>
      </c>
      <c r="T1805" s="102">
        <f>(R1805*Q1805)+117230</f>
        <v>330709.87951408461</v>
      </c>
      <c r="U1805" s="71" t="str">
        <f t="shared" si="933"/>
        <v>O</v>
      </c>
      <c r="V1805" s="71"/>
      <c r="W1805" s="474">
        <f t="shared" si="936"/>
        <v>224290.12048591539</v>
      </c>
      <c r="X1805" s="71"/>
      <c r="Y1805" s="71"/>
    </row>
    <row r="1806" spans="1:25" ht="30" hidden="1" customHeight="1" x14ac:dyDescent="0.2">
      <c r="A1806" s="82">
        <v>190212</v>
      </c>
      <c r="B1806" s="664" t="s">
        <v>548</v>
      </c>
      <c r="C1806" s="71" t="s">
        <v>107</v>
      </c>
      <c r="D1806" s="71">
        <v>10</v>
      </c>
      <c r="E1806" s="102">
        <v>100000</v>
      </c>
      <c r="F1806" s="163">
        <f t="shared" si="938"/>
        <v>1100000</v>
      </c>
      <c r="G1806" s="102">
        <f t="shared" si="931"/>
        <v>1000000</v>
      </c>
      <c r="H1806" s="165" t="s">
        <v>172</v>
      </c>
      <c r="I1806" s="71" t="s">
        <v>109</v>
      </c>
      <c r="J1806" s="53">
        <f>(G1806-(VLOOKUP(C1806,Price!B:D,3,FALSE)*D1806))</f>
        <v>195000</v>
      </c>
      <c r="K1806" s="63">
        <f t="shared" si="937"/>
        <v>0.19500000000000001</v>
      </c>
      <c r="L1806" s="871" t="s">
        <v>1653</v>
      </c>
      <c r="M1806" s="468"/>
      <c r="N1806" s="664">
        <f t="shared" si="939"/>
        <v>190212</v>
      </c>
      <c r="O1806" s="71" t="s">
        <v>147</v>
      </c>
      <c r="P1806" s="103" t="str">
        <f t="shared" si="940"/>
        <v>Blanket(1050*840)</v>
      </c>
      <c r="Q1806" s="71">
        <f t="shared" si="940"/>
        <v>10</v>
      </c>
      <c r="R1806" s="102">
        <v>80500</v>
      </c>
      <c r="S1806" s="102">
        <f>R1806*Q1806*1.1</f>
        <v>885500.00000000012</v>
      </c>
      <c r="T1806" s="102">
        <f>R1806*Q1806</f>
        <v>805000</v>
      </c>
      <c r="U1806" s="71" t="str">
        <f t="shared" si="933"/>
        <v>O</v>
      </c>
      <c r="V1806" s="71"/>
      <c r="W1806" s="474">
        <f t="shared" si="936"/>
        <v>195000</v>
      </c>
      <c r="X1806" s="71"/>
      <c r="Y1806" s="71"/>
    </row>
    <row r="1807" spans="1:25" ht="30" hidden="1" customHeight="1" x14ac:dyDescent="0.25">
      <c r="A1807" s="82">
        <v>190212</v>
      </c>
      <c r="B1807" s="664" t="s">
        <v>550</v>
      </c>
      <c r="C1807" s="71" t="s">
        <v>123</v>
      </c>
      <c r="D1807" s="71">
        <v>10</v>
      </c>
      <c r="E1807" s="102">
        <v>30000</v>
      </c>
      <c r="F1807" s="102">
        <f t="shared" si="938"/>
        <v>330000</v>
      </c>
      <c r="G1807" s="102">
        <f t="shared" si="931"/>
        <v>300000</v>
      </c>
      <c r="H1807" s="1010" t="s">
        <v>39</v>
      </c>
      <c r="I1807" s="71" t="s">
        <v>1432</v>
      </c>
      <c r="J1807" s="53">
        <f>G1807-T1807</f>
        <v>75390</v>
      </c>
      <c r="K1807" s="63">
        <f t="shared" si="937"/>
        <v>0.25130000000000002</v>
      </c>
      <c r="L1807" s="82" t="s">
        <v>1642</v>
      </c>
      <c r="M1807" s="468"/>
      <c r="N1807" s="664">
        <f t="shared" si="939"/>
        <v>190212</v>
      </c>
      <c r="O1807" s="991" t="s">
        <v>39</v>
      </c>
      <c r="P1807" s="103" t="str">
        <f t="shared" si="940"/>
        <v>필터백</v>
      </c>
      <c r="Q1807" s="71">
        <f t="shared" si="940"/>
        <v>10</v>
      </c>
      <c r="R1807" s="102">
        <f>VLOOKUP(P1807,Price!B:D,3,FALSE)</f>
        <v>22461</v>
      </c>
      <c r="S1807" s="102">
        <f>R1807*Q1807*1.1</f>
        <v>247071.00000000003</v>
      </c>
      <c r="T1807" s="102">
        <f>R1807*Q1807</f>
        <v>224610</v>
      </c>
      <c r="U1807" s="71" t="str">
        <f t="shared" si="933"/>
        <v>O</v>
      </c>
      <c r="V1807" s="71"/>
      <c r="W1807" s="474">
        <f t="shared" si="936"/>
        <v>75390</v>
      </c>
      <c r="X1807" s="71"/>
      <c r="Y1807" s="71"/>
    </row>
    <row r="1808" spans="1:25" ht="30" hidden="1" customHeight="1" x14ac:dyDescent="0.25">
      <c r="A1808" s="82">
        <v>190213</v>
      </c>
      <c r="B1808" s="664" t="s">
        <v>764</v>
      </c>
      <c r="C1808" s="71" t="s">
        <v>123</v>
      </c>
      <c r="D1808" s="71">
        <v>25</v>
      </c>
      <c r="E1808" s="102">
        <v>35000</v>
      </c>
      <c r="F1808" s="102">
        <f t="shared" si="938"/>
        <v>962500.00000000012</v>
      </c>
      <c r="G1808" s="102">
        <f t="shared" si="931"/>
        <v>875000</v>
      </c>
      <c r="H1808" s="690" t="s">
        <v>1432</v>
      </c>
      <c r="I1808" s="71" t="s">
        <v>1432</v>
      </c>
      <c r="J1808" s="53">
        <f>G1808-T1808</f>
        <v>313475</v>
      </c>
      <c r="K1808" s="63">
        <f t="shared" si="937"/>
        <v>0.35825714285714283</v>
      </c>
      <c r="L1808" s="871" t="s">
        <v>1642</v>
      </c>
      <c r="M1808" s="468"/>
      <c r="N1808" s="664">
        <f t="shared" si="939"/>
        <v>190213</v>
      </c>
      <c r="O1808" s="71" t="s">
        <v>1432</v>
      </c>
      <c r="P1808" s="103" t="str">
        <f t="shared" si="940"/>
        <v>필터백</v>
      </c>
      <c r="Q1808" s="71">
        <f t="shared" si="940"/>
        <v>25</v>
      </c>
      <c r="R1808" s="102">
        <v>22461</v>
      </c>
      <c r="S1808" s="102">
        <f>R1808*Q1808*1.1</f>
        <v>617677.5</v>
      </c>
      <c r="T1808" s="102">
        <f>R1808*Q1808</f>
        <v>561525</v>
      </c>
      <c r="U1808" s="71" t="str">
        <f t="shared" si="933"/>
        <v>O</v>
      </c>
      <c r="V1808" s="71"/>
      <c r="W1808" s="474">
        <f t="shared" si="936"/>
        <v>313475</v>
      </c>
      <c r="X1808" s="71"/>
      <c r="Y1808" s="71"/>
    </row>
    <row r="1809" spans="1:25" s="209" customFormat="1" ht="30" hidden="1" customHeight="1" x14ac:dyDescent="0.25">
      <c r="A1809" s="82">
        <v>190215</v>
      </c>
      <c r="B1809" s="664" t="s">
        <v>764</v>
      </c>
      <c r="C1809" s="71" t="s">
        <v>236</v>
      </c>
      <c r="D1809" s="71">
        <v>5</v>
      </c>
      <c r="E1809" s="102">
        <v>100000</v>
      </c>
      <c r="F1809" s="102">
        <f t="shared" si="938"/>
        <v>550000</v>
      </c>
      <c r="G1809" s="102">
        <f t="shared" si="931"/>
        <v>500000</v>
      </c>
      <c r="H1809" s="690" t="s">
        <v>173</v>
      </c>
      <c r="I1809" s="71" t="s">
        <v>2231</v>
      </c>
      <c r="J1809" s="53">
        <f>(G1809-(VLOOKUP(C1809,Price!B:D,3,FALSE)*D1809))</f>
        <v>250000</v>
      </c>
      <c r="K1809" s="63">
        <f t="shared" si="937"/>
        <v>0.5</v>
      </c>
      <c r="L1809" s="871" t="s">
        <v>1653</v>
      </c>
      <c r="M1809" s="468"/>
      <c r="N1809" s="664">
        <f t="shared" si="939"/>
        <v>190215</v>
      </c>
      <c r="O1809" s="71" t="s">
        <v>153</v>
      </c>
      <c r="P1809" s="103" t="str">
        <f t="shared" si="940"/>
        <v>아스테이지(국전)</v>
      </c>
      <c r="Q1809" s="71">
        <f t="shared" si="940"/>
        <v>5</v>
      </c>
      <c r="R1809" s="102">
        <f>VLOOKUP(P1809,Price!B:D,3,FALSE)</f>
        <v>50000</v>
      </c>
      <c r="S1809" s="102">
        <f>R1809*Q1809*1.1</f>
        <v>275000</v>
      </c>
      <c r="T1809" s="102">
        <f>R1809*Q1809</f>
        <v>250000</v>
      </c>
      <c r="U1809" s="71" t="str">
        <f t="shared" si="933"/>
        <v>O</v>
      </c>
      <c r="V1809" s="71"/>
      <c r="W1809" s="474">
        <f t="shared" si="936"/>
        <v>250000</v>
      </c>
      <c r="X1809" s="71"/>
      <c r="Y1809" s="71"/>
    </row>
    <row r="1810" spans="1:25" ht="30" hidden="1" customHeight="1" x14ac:dyDescent="0.25">
      <c r="A1810" s="82">
        <v>190215</v>
      </c>
      <c r="B1810" s="664" t="s">
        <v>567</v>
      </c>
      <c r="C1810" s="71" t="s">
        <v>1652</v>
      </c>
      <c r="D1810" s="71">
        <v>1</v>
      </c>
      <c r="E1810" s="102">
        <v>55000</v>
      </c>
      <c r="F1810" s="102">
        <f t="shared" si="938"/>
        <v>60500.000000000007</v>
      </c>
      <c r="G1810" s="102">
        <f t="shared" si="931"/>
        <v>55000</v>
      </c>
      <c r="H1810" s="690" t="s">
        <v>173</v>
      </c>
      <c r="I1810" s="71" t="s">
        <v>2231</v>
      </c>
      <c r="J1810" s="53">
        <f>G1810-T1810</f>
        <v>15000</v>
      </c>
      <c r="K1810" s="63">
        <f>(J1810/(F1810/11*10))</f>
        <v>0.27272727272727271</v>
      </c>
      <c r="L1810" s="871" t="s">
        <v>1653</v>
      </c>
      <c r="M1810" s="468"/>
      <c r="N1810" s="664">
        <f t="shared" si="939"/>
        <v>190215</v>
      </c>
      <c r="O1810" s="71" t="s">
        <v>153</v>
      </c>
      <c r="P1810" s="103" t="str">
        <f t="shared" si="940"/>
        <v>아스테이지(CD74용)</v>
      </c>
      <c r="Q1810" s="71">
        <f t="shared" si="940"/>
        <v>1</v>
      </c>
      <c r="R1810" s="102">
        <v>40000</v>
      </c>
      <c r="S1810" s="102">
        <f>R1810*Q1810*1.1</f>
        <v>44000</v>
      </c>
      <c r="T1810" s="102">
        <f>R1810*Q1810</f>
        <v>40000</v>
      </c>
      <c r="U1810" s="71" t="str">
        <f t="shared" si="933"/>
        <v>X</v>
      </c>
      <c r="V1810" s="71"/>
      <c r="W1810" s="474"/>
      <c r="X1810" s="71"/>
      <c r="Y1810" s="71"/>
    </row>
    <row r="1811" spans="1:25" s="209" customFormat="1" ht="30" hidden="1" customHeight="1" x14ac:dyDescent="0.25">
      <c r="A1811" s="82">
        <v>190215</v>
      </c>
      <c r="B1811" s="664" t="s">
        <v>567</v>
      </c>
      <c r="C1811" s="71" t="s">
        <v>236</v>
      </c>
      <c r="D1811" s="71">
        <v>5</v>
      </c>
      <c r="E1811" s="102">
        <v>65000</v>
      </c>
      <c r="F1811" s="102">
        <f t="shared" ref="F1811:F1820" si="941">(E1811*D1811)*1.1</f>
        <v>357500</v>
      </c>
      <c r="G1811" s="102">
        <f t="shared" si="931"/>
        <v>325000</v>
      </c>
      <c r="H1811" s="690" t="s">
        <v>173</v>
      </c>
      <c r="I1811" s="71" t="s">
        <v>2231</v>
      </c>
      <c r="J1811" s="53">
        <f>(G1811-(VLOOKUP(C1811,Price!B:D,3,FALSE)*D1811))</f>
        <v>75000</v>
      </c>
      <c r="K1811" s="63">
        <f t="shared" ref="K1811:K1823" si="942">(J1811/(F1811/11*10))</f>
        <v>0.23076923076923078</v>
      </c>
      <c r="L1811" s="871" t="s">
        <v>1653</v>
      </c>
      <c r="M1811" s="468"/>
      <c r="N1811" s="664">
        <f t="shared" si="939"/>
        <v>190215</v>
      </c>
      <c r="O1811" s="71" t="s">
        <v>153</v>
      </c>
      <c r="P1811" s="103" t="str">
        <f>(C1811)</f>
        <v>아스테이지(국전)</v>
      </c>
      <c r="Q1811" s="71">
        <f t="shared" ref="Q1811:Q1823" si="943">D1811</f>
        <v>5</v>
      </c>
      <c r="R1811" s="102">
        <v>50000</v>
      </c>
      <c r="S1811" s="102">
        <f t="shared" ref="S1811:S1816" si="944">(R1811*D1811)*1.1</f>
        <v>275000</v>
      </c>
      <c r="T1811" s="102">
        <f t="shared" ref="T1811:T1816" si="945">(R1811*Q1811)</f>
        <v>250000</v>
      </c>
      <c r="U1811" s="71" t="str">
        <f t="shared" si="933"/>
        <v>O</v>
      </c>
      <c r="V1811" s="71"/>
      <c r="W1811" s="474">
        <f>(G1811-T1811)</f>
        <v>75000</v>
      </c>
      <c r="X1811" s="71"/>
      <c r="Y1811" s="71"/>
    </row>
    <row r="1812" spans="1:25" s="209" customFormat="1" ht="30" hidden="1" customHeight="1" x14ac:dyDescent="0.2">
      <c r="A1812" s="82">
        <v>190215</v>
      </c>
      <c r="B1812" s="664" t="s">
        <v>445</v>
      </c>
      <c r="C1812" s="71" t="s">
        <v>138</v>
      </c>
      <c r="D1812" s="71">
        <v>10</v>
      </c>
      <c r="E1812" s="102">
        <v>59500</v>
      </c>
      <c r="F1812" s="163">
        <f t="shared" si="941"/>
        <v>654500</v>
      </c>
      <c r="G1812" s="102">
        <f t="shared" si="931"/>
        <v>595000</v>
      </c>
      <c r="H1812" s="165" t="s">
        <v>172</v>
      </c>
      <c r="I1812" s="71" t="s">
        <v>108</v>
      </c>
      <c r="J1812" s="53">
        <f>(G1812-(VLOOKUP(C1812,Price!B:D,3,FALSE)*D1812))</f>
        <v>85000</v>
      </c>
      <c r="K1812" s="63">
        <f t="shared" si="942"/>
        <v>0.14285714285714285</v>
      </c>
      <c r="L1812" s="871" t="s">
        <v>1653</v>
      </c>
      <c r="M1812" s="468"/>
      <c r="N1812" s="664">
        <f t="shared" si="939"/>
        <v>190215</v>
      </c>
      <c r="O1812" s="71" t="s">
        <v>150</v>
      </c>
      <c r="P1812" s="103" t="str">
        <f t="shared" ref="P1812:P1817" si="946">C1812</f>
        <v>매엽용 세척제(Wash 562)</v>
      </c>
      <c r="Q1812" s="71">
        <f t="shared" si="943"/>
        <v>10</v>
      </c>
      <c r="R1812" s="102">
        <v>51000</v>
      </c>
      <c r="S1812" s="102">
        <f t="shared" si="944"/>
        <v>561000</v>
      </c>
      <c r="T1812" s="102">
        <f t="shared" si="945"/>
        <v>510000</v>
      </c>
      <c r="U1812" s="71" t="str">
        <f t="shared" si="933"/>
        <v>O</v>
      </c>
      <c r="V1812" s="71"/>
      <c r="W1812" s="474">
        <f>(G1812-T1812)</f>
        <v>85000</v>
      </c>
      <c r="X1812" s="71"/>
      <c r="Y1812" s="71"/>
    </row>
    <row r="1813" spans="1:25" ht="30" hidden="1" customHeight="1" x14ac:dyDescent="0.25">
      <c r="A1813" s="82">
        <v>190218</v>
      </c>
      <c r="B1813" s="664" t="s">
        <v>446</v>
      </c>
      <c r="C1813" s="71" t="s">
        <v>1697</v>
      </c>
      <c r="D1813" s="71">
        <v>30</v>
      </c>
      <c r="E1813" s="102">
        <v>27000</v>
      </c>
      <c r="F1813" s="102">
        <f t="shared" si="941"/>
        <v>891000.00000000012</v>
      </c>
      <c r="G1813" s="102">
        <f t="shared" si="931"/>
        <v>810000</v>
      </c>
      <c r="H1813" s="690" t="s">
        <v>1431</v>
      </c>
      <c r="I1813" s="71" t="s">
        <v>1431</v>
      </c>
      <c r="J1813" s="53">
        <f>G1813-T1813</f>
        <v>441238.56431107566</v>
      </c>
      <c r="K1813" s="63">
        <f>(J1813/(F1813/11*10))</f>
        <v>0.54473896828527857</v>
      </c>
      <c r="L1813" s="871" t="s">
        <v>1653</v>
      </c>
      <c r="M1813" s="468"/>
      <c r="N1813" s="664">
        <f>A1813</f>
        <v>190218</v>
      </c>
      <c r="O1813" s="71" t="s">
        <v>1431</v>
      </c>
      <c r="P1813" s="103" t="str">
        <f t="shared" si="946"/>
        <v>브러쉬 헤드 스톱</v>
      </c>
      <c r="Q1813" s="71">
        <f t="shared" si="943"/>
        <v>30</v>
      </c>
      <c r="R1813" s="102">
        <f>Import!G160</f>
        <v>12292.047856297479</v>
      </c>
      <c r="S1813" s="102">
        <f t="shared" si="944"/>
        <v>405637.57925781677</v>
      </c>
      <c r="T1813" s="102">
        <f t="shared" si="945"/>
        <v>368761.43568892434</v>
      </c>
      <c r="U1813" s="71" t="str">
        <f t="shared" si="933"/>
        <v>X</v>
      </c>
      <c r="V1813" s="71"/>
      <c r="W1813" s="474"/>
      <c r="X1813" s="71"/>
      <c r="Y1813" s="71"/>
    </row>
    <row r="1814" spans="1:25" ht="30" hidden="1" customHeight="1" x14ac:dyDescent="0.25">
      <c r="A1814" s="82">
        <v>190218</v>
      </c>
      <c r="B1814" s="664" t="s">
        <v>446</v>
      </c>
      <c r="C1814" s="71" t="s">
        <v>1148</v>
      </c>
      <c r="D1814" s="71">
        <v>8</v>
      </c>
      <c r="E1814" s="102">
        <v>250000</v>
      </c>
      <c r="F1814" s="102">
        <f t="shared" si="941"/>
        <v>2200000</v>
      </c>
      <c r="G1814" s="102">
        <f t="shared" si="931"/>
        <v>2000000</v>
      </c>
      <c r="H1814" s="690" t="s">
        <v>1431</v>
      </c>
      <c r="I1814" s="71" t="s">
        <v>1431</v>
      </c>
      <c r="J1814" s="53">
        <f>G1814-T1814</f>
        <v>785445.36966500198</v>
      </c>
      <c r="K1814" s="63">
        <f>(J1814/(F1814/11*10))</f>
        <v>0.392722684832501</v>
      </c>
      <c r="L1814" s="871" t="s">
        <v>1653</v>
      </c>
      <c r="M1814" s="468"/>
      <c r="N1814" s="664">
        <f>A1814</f>
        <v>190218</v>
      </c>
      <c r="O1814" s="71" t="s">
        <v>1431</v>
      </c>
      <c r="P1814" s="103" t="str">
        <f t="shared" si="946"/>
        <v>브레이크 라이닝</v>
      </c>
      <c r="Q1814" s="71">
        <f t="shared" si="943"/>
        <v>8</v>
      </c>
      <c r="R1814" s="102">
        <f>Import!G159</f>
        <v>151819.32879187475</v>
      </c>
      <c r="S1814" s="102">
        <f t="shared" si="944"/>
        <v>1336010.0933684979</v>
      </c>
      <c r="T1814" s="102">
        <f t="shared" si="945"/>
        <v>1214554.630334998</v>
      </c>
      <c r="U1814" s="71" t="str">
        <f t="shared" si="933"/>
        <v>X</v>
      </c>
      <c r="V1814" s="71"/>
      <c r="W1814" s="474"/>
      <c r="X1814" s="71"/>
      <c r="Y1814" s="71"/>
    </row>
    <row r="1815" spans="1:25" ht="30" hidden="1" customHeight="1" x14ac:dyDescent="0.25">
      <c r="A1815" s="82">
        <v>190218</v>
      </c>
      <c r="B1815" s="664" t="s">
        <v>446</v>
      </c>
      <c r="C1815" s="71" t="s">
        <v>1698</v>
      </c>
      <c r="D1815" s="71">
        <v>2</v>
      </c>
      <c r="E1815" s="102">
        <v>750000</v>
      </c>
      <c r="F1815" s="102">
        <f t="shared" si="941"/>
        <v>1650000.0000000002</v>
      </c>
      <c r="G1815" s="102">
        <f t="shared" si="931"/>
        <v>1500000</v>
      </c>
      <c r="H1815" s="690" t="s">
        <v>1431</v>
      </c>
      <c r="I1815" s="71" t="s">
        <v>1431</v>
      </c>
      <c r="J1815" s="53">
        <f>G1815-T1815</f>
        <v>719073.37304456276</v>
      </c>
      <c r="K1815" s="63">
        <f>(J1815/(F1815/11*10))</f>
        <v>0.47938224869637508</v>
      </c>
      <c r="L1815" s="871" t="s">
        <v>1653</v>
      </c>
      <c r="M1815" s="468"/>
      <c r="N1815" s="664">
        <f>A1815</f>
        <v>190218</v>
      </c>
      <c r="O1815" s="71" t="s">
        <v>1431</v>
      </c>
      <c r="P1815" s="103" t="str">
        <f t="shared" si="946"/>
        <v>베어링 하우징</v>
      </c>
      <c r="Q1815" s="71">
        <f t="shared" si="943"/>
        <v>2</v>
      </c>
      <c r="R1815" s="102">
        <f>Import!G157</f>
        <v>390463.31347771862</v>
      </c>
      <c r="S1815" s="102">
        <f t="shared" si="944"/>
        <v>859019.28965098108</v>
      </c>
      <c r="T1815" s="102">
        <f t="shared" si="945"/>
        <v>780926.62695543724</v>
      </c>
      <c r="U1815" s="71" t="str">
        <f t="shared" si="933"/>
        <v>X</v>
      </c>
      <c r="V1815" s="71"/>
      <c r="W1815" s="474"/>
      <c r="X1815" s="71"/>
      <c r="Y1815" s="71"/>
    </row>
    <row r="1816" spans="1:25" ht="30" hidden="1" customHeight="1" x14ac:dyDescent="0.25">
      <c r="A1816" s="82">
        <v>190218</v>
      </c>
      <c r="B1816" s="664" t="s">
        <v>446</v>
      </c>
      <c r="C1816" s="71" t="s">
        <v>934</v>
      </c>
      <c r="D1816" s="71">
        <v>20</v>
      </c>
      <c r="E1816" s="102">
        <v>4500</v>
      </c>
      <c r="F1816" s="102">
        <f t="shared" si="941"/>
        <v>99000.000000000015</v>
      </c>
      <c r="G1816" s="102">
        <f t="shared" si="931"/>
        <v>90000</v>
      </c>
      <c r="H1816" s="690" t="s">
        <v>1431</v>
      </c>
      <c r="I1816" s="71" t="s">
        <v>1431</v>
      </c>
      <c r="J1816" s="53">
        <f>G1816-T1816</f>
        <v>44546.222621395893</v>
      </c>
      <c r="K1816" s="63">
        <f>(J1816/(F1816/11*10))</f>
        <v>0.49495802912662096</v>
      </c>
      <c r="L1816" s="871" t="s">
        <v>1653</v>
      </c>
      <c r="M1816" s="468"/>
      <c r="N1816" s="664">
        <f>A1816</f>
        <v>190218</v>
      </c>
      <c r="O1816" s="71" t="s">
        <v>1431</v>
      </c>
      <c r="P1816" s="103" t="str">
        <f t="shared" si="946"/>
        <v>양면 테이프</v>
      </c>
      <c r="Q1816" s="71">
        <f t="shared" si="943"/>
        <v>20</v>
      </c>
      <c r="R1816" s="102">
        <f>Import!G161</f>
        <v>2272.6888689302054</v>
      </c>
      <c r="S1816" s="102">
        <f t="shared" si="944"/>
        <v>49999.155116464521</v>
      </c>
      <c r="T1816" s="102">
        <f t="shared" si="945"/>
        <v>45453.777378604107</v>
      </c>
      <c r="U1816" s="71" t="str">
        <f t="shared" si="933"/>
        <v>X</v>
      </c>
      <c r="V1816" s="71"/>
      <c r="W1816" s="474"/>
      <c r="X1816" s="71"/>
      <c r="Y1816" s="71"/>
    </row>
    <row r="1817" spans="1:25" ht="30" hidden="1" customHeight="1" x14ac:dyDescent="0.25">
      <c r="A1817" s="82">
        <v>190218</v>
      </c>
      <c r="B1817" s="664" t="s">
        <v>446</v>
      </c>
      <c r="C1817" s="71" t="s">
        <v>1144</v>
      </c>
      <c r="D1817" s="71">
        <v>8</v>
      </c>
      <c r="E1817" s="102">
        <v>110000</v>
      </c>
      <c r="F1817" s="102">
        <f t="shared" si="941"/>
        <v>968000.00000000012</v>
      </c>
      <c r="G1817" s="102">
        <f t="shared" si="931"/>
        <v>880000</v>
      </c>
      <c r="H1817" s="690" t="s">
        <v>173</v>
      </c>
      <c r="I1817" s="71" t="s">
        <v>2231</v>
      </c>
      <c r="J1817" s="53">
        <f>G1817-T1817</f>
        <v>152000</v>
      </c>
      <c r="K1817" s="63">
        <f t="shared" si="942"/>
        <v>0.1727272727272727</v>
      </c>
      <c r="L1817" s="871" t="s">
        <v>1653</v>
      </c>
      <c r="M1817" s="468"/>
      <c r="N1817" s="664">
        <f t="shared" si="939"/>
        <v>190218</v>
      </c>
      <c r="O1817" s="71" t="s">
        <v>150</v>
      </c>
      <c r="P1817" s="103" t="str">
        <f t="shared" si="946"/>
        <v>실리콘 에멀전</v>
      </c>
      <c r="Q1817" s="71">
        <f t="shared" si="943"/>
        <v>8</v>
      </c>
      <c r="R1817" s="102">
        <v>91000</v>
      </c>
      <c r="S1817" s="102">
        <f>R1817*Q1817*1.1</f>
        <v>800800.00000000012</v>
      </c>
      <c r="T1817" s="102">
        <f>R1817*Q1817</f>
        <v>728000</v>
      </c>
      <c r="U1817" s="71" t="str">
        <f t="shared" si="933"/>
        <v>O</v>
      </c>
      <c r="V1817" s="71"/>
      <c r="W1817" s="474">
        <f t="shared" ref="W1817:W1825" si="947">(G1817-T1817)</f>
        <v>152000</v>
      </c>
      <c r="X1817" s="71"/>
      <c r="Y1817" s="71"/>
    </row>
    <row r="1818" spans="1:25" s="209" customFormat="1" ht="30" customHeight="1" x14ac:dyDescent="0.2">
      <c r="A1818" s="82">
        <v>190219</v>
      </c>
      <c r="B1818" s="664" t="s">
        <v>422</v>
      </c>
      <c r="C1818" s="71" t="s">
        <v>130</v>
      </c>
      <c r="D1818" s="71">
        <v>20</v>
      </c>
      <c r="E1818" s="102">
        <v>125000</v>
      </c>
      <c r="F1818" s="163">
        <f t="shared" si="941"/>
        <v>2750000</v>
      </c>
      <c r="G1818" s="102">
        <f t="shared" si="931"/>
        <v>2500000</v>
      </c>
      <c r="H1818" s="165" t="s">
        <v>172</v>
      </c>
      <c r="I1818" s="71" t="s">
        <v>109</v>
      </c>
      <c r="J1818" s="53">
        <f>(G1818-(VLOOKUP(C1818,Price!B:D,3,FALSE)*D1818))</f>
        <v>520000</v>
      </c>
      <c r="K1818" s="63">
        <f t="shared" si="942"/>
        <v>0.20799999999999999</v>
      </c>
      <c r="L1818" s="871" t="s">
        <v>1653</v>
      </c>
      <c r="M1818" s="468"/>
      <c r="N1818" s="664">
        <f t="shared" si="939"/>
        <v>190219</v>
      </c>
      <c r="O1818" s="71" t="s">
        <v>150</v>
      </c>
      <c r="P1818" s="103" t="str">
        <f>(C1818)</f>
        <v>XL106 Blanket(1077*885)</v>
      </c>
      <c r="Q1818" s="71">
        <f t="shared" si="943"/>
        <v>20</v>
      </c>
      <c r="R1818" s="102">
        <v>99000</v>
      </c>
      <c r="S1818" s="102">
        <f>(R1818*D1818)*1.1</f>
        <v>2178000</v>
      </c>
      <c r="T1818" s="102">
        <f>(R1818*Q1818)</f>
        <v>1980000</v>
      </c>
      <c r="U1818" s="71" t="str">
        <f t="shared" si="933"/>
        <v>O</v>
      </c>
      <c r="V1818" s="71"/>
      <c r="W1818" s="474">
        <f t="shared" si="947"/>
        <v>520000</v>
      </c>
      <c r="X1818" s="71"/>
      <c r="Y1818" s="71"/>
    </row>
    <row r="1819" spans="1:25" ht="30" customHeight="1" x14ac:dyDescent="0.25">
      <c r="A1819" s="82">
        <v>190219</v>
      </c>
      <c r="B1819" s="664" t="s">
        <v>422</v>
      </c>
      <c r="C1819" s="71" t="s">
        <v>129</v>
      </c>
      <c r="D1819" s="71">
        <v>7</v>
      </c>
      <c r="E1819" s="102">
        <v>272000</v>
      </c>
      <c r="F1819" s="102">
        <f t="shared" si="941"/>
        <v>2094400.0000000002</v>
      </c>
      <c r="G1819" s="102">
        <f t="shared" si="931"/>
        <v>1904000</v>
      </c>
      <c r="H1819" s="690" t="s">
        <v>173</v>
      </c>
      <c r="I1819" s="71" t="s">
        <v>108</v>
      </c>
      <c r="J1819" s="53">
        <f>(G1819-(VLOOKUP(C1819,Price!B:D,3,FALSE)*D1819))</f>
        <v>448000</v>
      </c>
      <c r="K1819" s="63">
        <f t="shared" si="942"/>
        <v>0.23529411764705879</v>
      </c>
      <c r="L1819" s="871" t="s">
        <v>1653</v>
      </c>
      <c r="M1819" s="468"/>
      <c r="N1819" s="664">
        <f t="shared" si="939"/>
        <v>190219</v>
      </c>
      <c r="O1819" s="71" t="s">
        <v>149</v>
      </c>
      <c r="P1819" s="103" t="str">
        <f t="shared" ref="P1819:P1831" si="948">C1819</f>
        <v>세정포-XL106</v>
      </c>
      <c r="Q1819" s="71">
        <f t="shared" si="943"/>
        <v>7</v>
      </c>
      <c r="R1819" s="102">
        <v>208000</v>
      </c>
      <c r="S1819" s="102">
        <f t="shared" ref="S1819:S1849" si="949">R1819*Q1819*1.1</f>
        <v>1601600.0000000002</v>
      </c>
      <c r="T1819" s="102">
        <f t="shared" ref="T1819:T1849" si="950">R1819*Q1819</f>
        <v>1456000</v>
      </c>
      <c r="U1819" s="71" t="str">
        <f t="shared" si="933"/>
        <v>O</v>
      </c>
      <c r="V1819" s="71"/>
      <c r="W1819" s="474">
        <f t="shared" si="947"/>
        <v>448000</v>
      </c>
      <c r="X1819" s="71"/>
      <c r="Y1819" s="71"/>
    </row>
    <row r="1820" spans="1:25" ht="30" customHeight="1" x14ac:dyDescent="0.25">
      <c r="A1820" s="82">
        <v>190219</v>
      </c>
      <c r="B1820" s="664" t="s">
        <v>422</v>
      </c>
      <c r="C1820" s="71" t="s">
        <v>584</v>
      </c>
      <c r="D1820" s="71">
        <v>3</v>
      </c>
      <c r="E1820" s="102">
        <v>270000</v>
      </c>
      <c r="F1820" s="102">
        <f t="shared" si="941"/>
        <v>891000.00000000012</v>
      </c>
      <c r="G1820" s="102">
        <f t="shared" si="931"/>
        <v>810000</v>
      </c>
      <c r="H1820" s="690" t="s">
        <v>173</v>
      </c>
      <c r="I1820" s="71" t="s">
        <v>2231</v>
      </c>
      <c r="J1820" s="53">
        <f>(G1820-(VLOOKUP(C1820,Price!B:D,3,FALSE)*D1820))</f>
        <v>162000</v>
      </c>
      <c r="K1820" s="63">
        <f t="shared" si="942"/>
        <v>0.19999999999999998</v>
      </c>
      <c r="L1820" s="871" t="s">
        <v>1653</v>
      </c>
      <c r="M1820" s="468"/>
      <c r="N1820" s="664">
        <f t="shared" si="939"/>
        <v>190219</v>
      </c>
      <c r="O1820" s="71" t="s">
        <v>150</v>
      </c>
      <c r="P1820" s="103" t="str">
        <f t="shared" si="948"/>
        <v>데리바리 석션벨트</v>
      </c>
      <c r="Q1820" s="71">
        <f t="shared" si="943"/>
        <v>3</v>
      </c>
      <c r="R1820" s="102">
        <v>216000</v>
      </c>
      <c r="S1820" s="102">
        <f t="shared" si="949"/>
        <v>712800</v>
      </c>
      <c r="T1820" s="102">
        <f t="shared" si="950"/>
        <v>648000</v>
      </c>
      <c r="U1820" s="71" t="str">
        <f t="shared" si="933"/>
        <v>O</v>
      </c>
      <c r="V1820" s="71"/>
      <c r="W1820" s="474">
        <f t="shared" si="947"/>
        <v>162000</v>
      </c>
      <c r="X1820" s="71"/>
      <c r="Y1820" s="71"/>
    </row>
    <row r="1821" spans="1:25" ht="30" hidden="1" customHeight="1" x14ac:dyDescent="0.25">
      <c r="A1821" s="82">
        <v>190219</v>
      </c>
      <c r="B1821" s="664" t="s">
        <v>983</v>
      </c>
      <c r="C1821" s="71" t="s">
        <v>1009</v>
      </c>
      <c r="D1821" s="71">
        <v>520</v>
      </c>
      <c r="E1821" s="102">
        <v>3900</v>
      </c>
      <c r="F1821" s="102">
        <f>(E1821*D1821)*1.1</f>
        <v>2230800</v>
      </c>
      <c r="G1821" s="102">
        <f t="shared" si="931"/>
        <v>2028000</v>
      </c>
      <c r="H1821" s="690" t="s">
        <v>173</v>
      </c>
      <c r="I1821" s="71" t="s">
        <v>2230</v>
      </c>
      <c r="J1821" s="53">
        <f t="shared" ref="J1821:J1831" si="951">G1821-T1821</f>
        <v>312000</v>
      </c>
      <c r="K1821" s="63">
        <f t="shared" si="942"/>
        <v>0.15384615384615385</v>
      </c>
      <c r="L1821" s="871" t="s">
        <v>1653</v>
      </c>
      <c r="M1821" s="468"/>
      <c r="N1821" s="664">
        <f t="shared" si="939"/>
        <v>190219</v>
      </c>
      <c r="O1821" s="71" t="s">
        <v>147</v>
      </c>
      <c r="P1821" s="103" t="str">
        <f t="shared" si="948"/>
        <v>CTP판(1030*790mm)</v>
      </c>
      <c r="Q1821" s="71">
        <f t="shared" si="943"/>
        <v>520</v>
      </c>
      <c r="R1821" s="102">
        <v>3300</v>
      </c>
      <c r="S1821" s="102">
        <f t="shared" si="949"/>
        <v>1887600.0000000002</v>
      </c>
      <c r="T1821" s="102">
        <f t="shared" si="950"/>
        <v>1716000</v>
      </c>
      <c r="U1821" s="71" t="str">
        <f t="shared" si="933"/>
        <v>O</v>
      </c>
      <c r="V1821" s="71"/>
      <c r="W1821" s="474">
        <f t="shared" si="947"/>
        <v>312000</v>
      </c>
      <c r="X1821" s="71"/>
      <c r="Y1821" s="71"/>
    </row>
    <row r="1822" spans="1:25" ht="30" hidden="1" customHeight="1" x14ac:dyDescent="0.25">
      <c r="A1822" s="82">
        <v>190219</v>
      </c>
      <c r="B1822" s="664" t="s">
        <v>983</v>
      </c>
      <c r="C1822" s="71" t="s">
        <v>984</v>
      </c>
      <c r="D1822" s="71">
        <v>5</v>
      </c>
      <c r="E1822" s="102">
        <v>45000</v>
      </c>
      <c r="F1822" s="102">
        <f>(E1822*D1822)*1.1</f>
        <v>247500.00000000003</v>
      </c>
      <c r="G1822" s="102">
        <f t="shared" si="931"/>
        <v>225000</v>
      </c>
      <c r="H1822" s="690" t="s">
        <v>173</v>
      </c>
      <c r="I1822" s="71" t="s">
        <v>2230</v>
      </c>
      <c r="J1822" s="53">
        <f t="shared" si="951"/>
        <v>50000</v>
      </c>
      <c r="K1822" s="63">
        <f t="shared" si="942"/>
        <v>0.22222222222222218</v>
      </c>
      <c r="L1822" s="871" t="s">
        <v>1653</v>
      </c>
      <c r="M1822" s="468"/>
      <c r="N1822" s="664">
        <f t="shared" si="939"/>
        <v>190219</v>
      </c>
      <c r="O1822" s="71" t="s">
        <v>147</v>
      </c>
      <c r="P1822" s="103" t="str">
        <f t="shared" si="948"/>
        <v>CTP 현상액</v>
      </c>
      <c r="Q1822" s="71">
        <f t="shared" si="943"/>
        <v>5</v>
      </c>
      <c r="R1822" s="102">
        <v>35000</v>
      </c>
      <c r="S1822" s="102">
        <f t="shared" si="949"/>
        <v>192500.00000000003</v>
      </c>
      <c r="T1822" s="102">
        <f t="shared" si="950"/>
        <v>175000</v>
      </c>
      <c r="U1822" s="71" t="str">
        <f t="shared" si="933"/>
        <v>O</v>
      </c>
      <c r="V1822" s="71"/>
      <c r="W1822" s="474">
        <f t="shared" si="947"/>
        <v>50000</v>
      </c>
      <c r="X1822" s="71"/>
      <c r="Y1822" s="71"/>
    </row>
    <row r="1823" spans="1:25" ht="30" hidden="1" customHeight="1" x14ac:dyDescent="0.25">
      <c r="A1823" s="82">
        <v>190219</v>
      </c>
      <c r="B1823" s="664" t="s">
        <v>1220</v>
      </c>
      <c r="C1823" s="71" t="s">
        <v>1148</v>
      </c>
      <c r="D1823" s="71">
        <v>8</v>
      </c>
      <c r="E1823" s="102">
        <v>220000</v>
      </c>
      <c r="F1823" s="102">
        <f>(E1823*D1823)*1.1</f>
        <v>1936000.0000000002</v>
      </c>
      <c r="G1823" s="102">
        <f t="shared" si="931"/>
        <v>1760000</v>
      </c>
      <c r="H1823" s="690" t="s">
        <v>1431</v>
      </c>
      <c r="I1823" s="71" t="s">
        <v>1431</v>
      </c>
      <c r="J1823" s="53">
        <f t="shared" si="951"/>
        <v>520000</v>
      </c>
      <c r="K1823" s="63">
        <f t="shared" si="942"/>
        <v>0.29545454545454541</v>
      </c>
      <c r="L1823" s="871" t="s">
        <v>1642</v>
      </c>
      <c r="M1823" s="468"/>
      <c r="N1823" s="664">
        <f t="shared" si="939"/>
        <v>190219</v>
      </c>
      <c r="O1823" s="71" t="s">
        <v>1431</v>
      </c>
      <c r="P1823" s="103" t="str">
        <f t="shared" si="948"/>
        <v>브레이크 라이닝</v>
      </c>
      <c r="Q1823" s="71">
        <f t="shared" si="943"/>
        <v>8</v>
      </c>
      <c r="R1823" s="102">
        <v>155000</v>
      </c>
      <c r="S1823" s="102">
        <f t="shared" si="949"/>
        <v>1364000</v>
      </c>
      <c r="T1823" s="102">
        <f t="shared" si="950"/>
        <v>1240000</v>
      </c>
      <c r="U1823" s="71" t="str">
        <f t="shared" si="933"/>
        <v>O</v>
      </c>
      <c r="V1823" s="71"/>
      <c r="W1823" s="474">
        <f t="shared" si="947"/>
        <v>520000</v>
      </c>
      <c r="X1823" s="71"/>
      <c r="Y1823" s="71"/>
    </row>
    <row r="1824" spans="1:25" ht="30" hidden="1" customHeight="1" x14ac:dyDescent="0.25">
      <c r="A1824" s="82">
        <v>190220</v>
      </c>
      <c r="B1824" s="664" t="s">
        <v>446</v>
      </c>
      <c r="C1824" s="71" t="s">
        <v>1144</v>
      </c>
      <c r="D1824" s="71">
        <v>8</v>
      </c>
      <c r="E1824" s="102">
        <v>110000</v>
      </c>
      <c r="F1824" s="102">
        <f t="shared" ref="F1824:F1839" si="952">(E1824*D1824)*1.1</f>
        <v>968000.00000000012</v>
      </c>
      <c r="G1824" s="102">
        <f t="shared" si="931"/>
        <v>880000</v>
      </c>
      <c r="H1824" s="690" t="s">
        <v>173</v>
      </c>
      <c r="I1824" s="71" t="s">
        <v>2231</v>
      </c>
      <c r="J1824" s="53">
        <f t="shared" si="951"/>
        <v>152000</v>
      </c>
      <c r="K1824" s="63">
        <f t="shared" ref="K1824:K1831" si="953">(J1824/(F1824/11*10))</f>
        <v>0.1727272727272727</v>
      </c>
      <c r="L1824" s="871" t="s">
        <v>1653</v>
      </c>
      <c r="M1824" s="468"/>
      <c r="N1824" s="664">
        <f t="shared" ref="N1824:N1831" si="954">A1824</f>
        <v>190220</v>
      </c>
      <c r="O1824" s="71" t="s">
        <v>150</v>
      </c>
      <c r="P1824" s="103" t="str">
        <f t="shared" si="948"/>
        <v>실리콘 에멀전</v>
      </c>
      <c r="Q1824" s="71">
        <f t="shared" ref="Q1824:Q1848" si="955">D1824</f>
        <v>8</v>
      </c>
      <c r="R1824" s="102">
        <v>91000</v>
      </c>
      <c r="S1824" s="102">
        <f t="shared" si="949"/>
        <v>800800.00000000012</v>
      </c>
      <c r="T1824" s="102">
        <f t="shared" si="950"/>
        <v>728000</v>
      </c>
      <c r="U1824" s="71" t="str">
        <f t="shared" si="933"/>
        <v>O</v>
      </c>
      <c r="V1824" s="71"/>
      <c r="W1824" s="474">
        <f t="shared" si="947"/>
        <v>152000</v>
      </c>
      <c r="X1824" s="71"/>
      <c r="Y1824" s="71"/>
    </row>
    <row r="1825" spans="1:25" ht="30" hidden="1" customHeight="1" x14ac:dyDescent="0.25">
      <c r="A1825" s="82">
        <v>190221</v>
      </c>
      <c r="B1825" s="664" t="s">
        <v>575</v>
      </c>
      <c r="C1825" s="71" t="s">
        <v>1679</v>
      </c>
      <c r="D1825" s="71">
        <v>1</v>
      </c>
      <c r="E1825" s="102">
        <v>4200000</v>
      </c>
      <c r="F1825" s="102">
        <f t="shared" si="952"/>
        <v>4620000</v>
      </c>
      <c r="G1825" s="102">
        <f t="shared" si="931"/>
        <v>4200000</v>
      </c>
      <c r="H1825" s="690" t="s">
        <v>1431</v>
      </c>
      <c r="I1825" s="71" t="s">
        <v>1431</v>
      </c>
      <c r="J1825" s="53">
        <f t="shared" si="951"/>
        <v>160000</v>
      </c>
      <c r="K1825" s="63">
        <f t="shared" si="953"/>
        <v>3.8095238095238099E-2</v>
      </c>
      <c r="L1825" s="871" t="s">
        <v>1653</v>
      </c>
      <c r="M1825" s="468" t="s">
        <v>1755</v>
      </c>
      <c r="N1825" s="664">
        <f t="shared" si="954"/>
        <v>190221</v>
      </c>
      <c r="O1825" s="71" t="s">
        <v>1431</v>
      </c>
      <c r="P1825" s="103" t="str">
        <f t="shared" si="948"/>
        <v>드라이어 모터 수리</v>
      </c>
      <c r="Q1825" s="71">
        <f t="shared" si="955"/>
        <v>1</v>
      </c>
      <c r="R1825" s="102">
        <v>4040000</v>
      </c>
      <c r="S1825" s="102">
        <f t="shared" si="949"/>
        <v>4444000</v>
      </c>
      <c r="T1825" s="102">
        <f t="shared" si="950"/>
        <v>4040000</v>
      </c>
      <c r="U1825" s="71" t="str">
        <f t="shared" si="933"/>
        <v>O</v>
      </c>
      <c r="V1825" s="71"/>
      <c r="W1825" s="474">
        <f t="shared" si="947"/>
        <v>160000</v>
      </c>
      <c r="X1825" s="71"/>
      <c r="Y1825" s="71"/>
    </row>
    <row r="1826" spans="1:25" ht="30" hidden="1" customHeight="1" x14ac:dyDescent="0.25">
      <c r="A1826" s="82">
        <v>190221</v>
      </c>
      <c r="B1826" s="664" t="s">
        <v>575</v>
      </c>
      <c r="C1826" s="71" t="s">
        <v>114</v>
      </c>
      <c r="D1826" s="71">
        <v>130</v>
      </c>
      <c r="E1826" s="102">
        <v>18000</v>
      </c>
      <c r="F1826" s="102">
        <f t="shared" si="952"/>
        <v>2574000</v>
      </c>
      <c r="G1826" s="102">
        <f t="shared" si="931"/>
        <v>2340000</v>
      </c>
      <c r="H1826" s="690" t="s">
        <v>1431</v>
      </c>
      <c r="I1826" s="71" t="s">
        <v>1431</v>
      </c>
      <c r="J1826" s="53">
        <f t="shared" si="951"/>
        <v>1170000</v>
      </c>
      <c r="K1826" s="63">
        <f t="shared" si="953"/>
        <v>0.5</v>
      </c>
      <c r="L1826" s="871" t="s">
        <v>1653</v>
      </c>
      <c r="M1826" s="468"/>
      <c r="N1826" s="664">
        <f t="shared" si="954"/>
        <v>190221</v>
      </c>
      <c r="O1826" s="71" t="s">
        <v>1431</v>
      </c>
      <c r="P1826" s="103" t="str">
        <f t="shared" si="948"/>
        <v>스트리퍼</v>
      </c>
      <c r="Q1826" s="71">
        <f t="shared" si="955"/>
        <v>130</v>
      </c>
      <c r="R1826" s="102">
        <v>9000</v>
      </c>
      <c r="S1826" s="102">
        <f t="shared" si="949"/>
        <v>1287000</v>
      </c>
      <c r="T1826" s="102">
        <f t="shared" si="950"/>
        <v>1170000</v>
      </c>
      <c r="U1826" s="71" t="str">
        <f t="shared" ref="U1826:U1854" si="956">IF(J1826=W1826,"O", "X")</f>
        <v>X</v>
      </c>
      <c r="V1826" s="71"/>
      <c r="W1826" s="474"/>
      <c r="X1826" s="71"/>
      <c r="Y1826" s="71"/>
    </row>
    <row r="1827" spans="1:25" ht="30" hidden="1" customHeight="1" x14ac:dyDescent="0.25">
      <c r="A1827" s="82">
        <v>190221</v>
      </c>
      <c r="B1827" s="664" t="s">
        <v>575</v>
      </c>
      <c r="C1827" s="71" t="s">
        <v>1680</v>
      </c>
      <c r="D1827" s="71">
        <v>2</v>
      </c>
      <c r="E1827" s="102">
        <v>1350000</v>
      </c>
      <c r="F1827" s="102">
        <f t="shared" si="952"/>
        <v>2970000.0000000005</v>
      </c>
      <c r="G1827" s="102">
        <f t="shared" si="931"/>
        <v>2700000</v>
      </c>
      <c r="H1827" s="690" t="s">
        <v>1431</v>
      </c>
      <c r="I1827" s="71" t="s">
        <v>1431</v>
      </c>
      <c r="J1827" s="53">
        <f t="shared" si="951"/>
        <v>1339253.2000152767</v>
      </c>
      <c r="K1827" s="63">
        <f t="shared" si="953"/>
        <v>0.49601970370936166</v>
      </c>
      <c r="L1827" s="871" t="s">
        <v>1653</v>
      </c>
      <c r="M1827" s="468"/>
      <c r="N1827" s="664">
        <f t="shared" si="954"/>
        <v>190221</v>
      </c>
      <c r="O1827" s="71" t="s">
        <v>1431</v>
      </c>
      <c r="P1827" s="103" t="str">
        <f t="shared" si="948"/>
        <v>토션 바</v>
      </c>
      <c r="Q1827" s="71">
        <f t="shared" si="955"/>
        <v>2</v>
      </c>
      <c r="R1827" s="102">
        <f>Import!G156</f>
        <v>680373.39999236166</v>
      </c>
      <c r="S1827" s="102">
        <f t="shared" si="949"/>
        <v>1496821.4799831959</v>
      </c>
      <c r="T1827" s="102">
        <f t="shared" si="950"/>
        <v>1360746.7999847233</v>
      </c>
      <c r="U1827" s="71" t="str">
        <f t="shared" si="956"/>
        <v>X</v>
      </c>
      <c r="V1827" s="71"/>
      <c r="W1827" s="474"/>
      <c r="X1827" s="71"/>
      <c r="Y1827" s="71"/>
    </row>
    <row r="1828" spans="1:25" ht="30" hidden="1" customHeight="1" x14ac:dyDescent="0.25">
      <c r="A1828" s="82">
        <v>190221</v>
      </c>
      <c r="B1828" s="664" t="s">
        <v>575</v>
      </c>
      <c r="C1828" s="71" t="s">
        <v>1681</v>
      </c>
      <c r="D1828" s="71">
        <v>1</v>
      </c>
      <c r="E1828" s="102">
        <v>2050000</v>
      </c>
      <c r="F1828" s="102">
        <f t="shared" si="952"/>
        <v>2255000</v>
      </c>
      <c r="G1828" s="102">
        <f t="shared" si="931"/>
        <v>2050000</v>
      </c>
      <c r="H1828" s="690" t="s">
        <v>1431</v>
      </c>
      <c r="I1828" s="71" t="s">
        <v>1431</v>
      </c>
      <c r="J1828" s="53">
        <f t="shared" si="951"/>
        <v>911140.19995948859</v>
      </c>
      <c r="K1828" s="63">
        <f t="shared" si="953"/>
        <v>0.44445863412657982</v>
      </c>
      <c r="L1828" s="871" t="s">
        <v>1653</v>
      </c>
      <c r="M1828" s="468"/>
      <c r="N1828" s="664">
        <f t="shared" si="954"/>
        <v>190221</v>
      </c>
      <c r="O1828" s="71" t="s">
        <v>1431</v>
      </c>
      <c r="P1828" s="103" t="str">
        <f t="shared" si="948"/>
        <v>잉크 밸브</v>
      </c>
      <c r="Q1828" s="71">
        <f t="shared" si="955"/>
        <v>1</v>
      </c>
      <c r="R1828" s="102">
        <f>Import!G663</f>
        <v>1138859.8000405114</v>
      </c>
      <c r="S1828" s="102">
        <f t="shared" si="949"/>
        <v>1252745.7800445626</v>
      </c>
      <c r="T1828" s="102">
        <f t="shared" si="950"/>
        <v>1138859.8000405114</v>
      </c>
      <c r="U1828" s="71" t="str">
        <f t="shared" si="956"/>
        <v>X</v>
      </c>
      <c r="V1828" s="71"/>
      <c r="W1828" s="474"/>
      <c r="X1828" s="71"/>
      <c r="Y1828" s="71"/>
    </row>
    <row r="1829" spans="1:25" ht="30" hidden="1" customHeight="1" x14ac:dyDescent="0.25">
      <c r="A1829" s="82">
        <v>190221</v>
      </c>
      <c r="B1829" s="664" t="s">
        <v>575</v>
      </c>
      <c r="C1829" s="71" t="s">
        <v>1645</v>
      </c>
      <c r="D1829" s="71">
        <v>3</v>
      </c>
      <c r="E1829" s="102">
        <v>1800000</v>
      </c>
      <c r="F1829" s="102">
        <f t="shared" si="952"/>
        <v>5940000.0000000009</v>
      </c>
      <c r="G1829" s="102">
        <f t="shared" si="931"/>
        <v>5400000</v>
      </c>
      <c r="H1829" s="690" t="s">
        <v>1431</v>
      </c>
      <c r="I1829" s="71" t="s">
        <v>1431</v>
      </c>
      <c r="J1829" s="53">
        <f t="shared" si="951"/>
        <v>3017573.3301212909</v>
      </c>
      <c r="K1829" s="63">
        <f t="shared" si="953"/>
        <v>0.55880987594838705</v>
      </c>
      <c r="L1829" s="871" t="s">
        <v>1653</v>
      </c>
      <c r="M1829" s="468"/>
      <c r="N1829" s="664">
        <f t="shared" si="954"/>
        <v>190221</v>
      </c>
      <c r="O1829" s="71" t="s">
        <v>1431</v>
      </c>
      <c r="P1829" s="103" t="str">
        <f t="shared" si="948"/>
        <v>핀치 롤</v>
      </c>
      <c r="Q1829" s="71">
        <f t="shared" si="955"/>
        <v>3</v>
      </c>
      <c r="R1829" s="102">
        <f>Import!G158</f>
        <v>794142.22329290304</v>
      </c>
      <c r="S1829" s="102">
        <f t="shared" si="949"/>
        <v>2620669.3368665804</v>
      </c>
      <c r="T1829" s="102">
        <f t="shared" si="950"/>
        <v>2382426.6698787091</v>
      </c>
      <c r="U1829" s="71" t="str">
        <f t="shared" si="956"/>
        <v>X</v>
      </c>
      <c r="V1829" s="71"/>
      <c r="W1829" s="474"/>
      <c r="X1829" s="71"/>
      <c r="Y1829" s="71"/>
    </row>
    <row r="1830" spans="1:25" ht="30" hidden="1" customHeight="1" x14ac:dyDescent="0.25">
      <c r="A1830" s="82">
        <v>190221</v>
      </c>
      <c r="B1830" s="664" t="s">
        <v>575</v>
      </c>
      <c r="C1830" s="71" t="s">
        <v>1682</v>
      </c>
      <c r="D1830" s="71">
        <v>1</v>
      </c>
      <c r="E1830" s="102">
        <v>1850000</v>
      </c>
      <c r="F1830" s="102">
        <f t="shared" si="952"/>
        <v>2035000.0000000002</v>
      </c>
      <c r="G1830" s="102">
        <f t="shared" si="931"/>
        <v>1850000</v>
      </c>
      <c r="H1830" s="690" t="s">
        <v>1431</v>
      </c>
      <c r="I1830" s="71" t="s">
        <v>1431</v>
      </c>
      <c r="J1830" s="53">
        <f t="shared" si="951"/>
        <v>714166.75164456549</v>
      </c>
      <c r="K1830" s="63">
        <f t="shared" si="953"/>
        <v>0.38603608197003536</v>
      </c>
      <c r="L1830" s="871" t="s">
        <v>1653</v>
      </c>
      <c r="M1830" s="468"/>
      <c r="N1830" s="664">
        <f t="shared" si="954"/>
        <v>190221</v>
      </c>
      <c r="O1830" s="71" t="s">
        <v>1431</v>
      </c>
      <c r="P1830" s="103" t="str">
        <f t="shared" si="948"/>
        <v>핸드레일 부품</v>
      </c>
      <c r="Q1830" s="71">
        <f t="shared" si="955"/>
        <v>1</v>
      </c>
      <c r="R1830" s="102">
        <f>SUM(Import!G144,Import!G135,Import!G134,Import!G133,Import!G132)</f>
        <v>1135833.2483554345</v>
      </c>
      <c r="S1830" s="102">
        <f t="shared" si="949"/>
        <v>1249416.573190978</v>
      </c>
      <c r="T1830" s="102">
        <f t="shared" si="950"/>
        <v>1135833.2483554345</v>
      </c>
      <c r="U1830" s="71" t="str">
        <f t="shared" si="956"/>
        <v>X</v>
      </c>
      <c r="V1830" s="71"/>
      <c r="W1830" s="474"/>
      <c r="X1830" s="71"/>
      <c r="Y1830" s="71"/>
    </row>
    <row r="1831" spans="1:25" ht="30" hidden="1" customHeight="1" x14ac:dyDescent="0.25">
      <c r="A1831" s="82">
        <v>190221</v>
      </c>
      <c r="B1831" s="664" t="s">
        <v>575</v>
      </c>
      <c r="C1831" s="71" t="s">
        <v>1683</v>
      </c>
      <c r="D1831" s="71">
        <v>2</v>
      </c>
      <c r="E1831" s="102">
        <v>1130000</v>
      </c>
      <c r="F1831" s="102">
        <f t="shared" si="952"/>
        <v>2486000</v>
      </c>
      <c r="G1831" s="102">
        <f t="shared" si="931"/>
        <v>2260000</v>
      </c>
      <c r="H1831" s="690" t="s">
        <v>1431</v>
      </c>
      <c r="I1831" s="71" t="s">
        <v>1431</v>
      </c>
      <c r="J1831" s="53">
        <f t="shared" si="951"/>
        <v>10000</v>
      </c>
      <c r="K1831" s="63">
        <f t="shared" si="953"/>
        <v>4.4247787610619468E-3</v>
      </c>
      <c r="L1831" s="871" t="s">
        <v>1653</v>
      </c>
      <c r="M1831" s="468"/>
      <c r="N1831" s="664">
        <f t="shared" si="954"/>
        <v>190221</v>
      </c>
      <c r="O1831" s="71" t="s">
        <v>1431</v>
      </c>
      <c r="P1831" s="103" t="str">
        <f t="shared" si="948"/>
        <v>QuadTech RGS 스캐너 기판</v>
      </c>
      <c r="Q1831" s="71">
        <f t="shared" si="955"/>
        <v>2</v>
      </c>
      <c r="R1831" s="102">
        <f>2250000/2</f>
        <v>1125000</v>
      </c>
      <c r="S1831" s="102">
        <f t="shared" si="949"/>
        <v>2475000</v>
      </c>
      <c r="T1831" s="102">
        <f t="shared" si="950"/>
        <v>2250000</v>
      </c>
      <c r="U1831" s="71" t="str">
        <f t="shared" si="956"/>
        <v>X</v>
      </c>
      <c r="V1831" s="71"/>
      <c r="W1831" s="474"/>
      <c r="X1831" s="71"/>
      <c r="Y1831" s="71"/>
    </row>
    <row r="1832" spans="1:25" ht="30" hidden="1" customHeight="1" x14ac:dyDescent="0.25">
      <c r="A1832" s="82">
        <v>190225</v>
      </c>
      <c r="B1832" s="664" t="s">
        <v>442</v>
      </c>
      <c r="C1832" s="71" t="s">
        <v>133</v>
      </c>
      <c r="D1832" s="71">
        <v>2</v>
      </c>
      <c r="E1832" s="102">
        <v>327000</v>
      </c>
      <c r="F1832" s="102">
        <f t="shared" si="952"/>
        <v>719400</v>
      </c>
      <c r="G1832" s="102">
        <f t="shared" si="931"/>
        <v>654000</v>
      </c>
      <c r="H1832" s="690" t="s">
        <v>173</v>
      </c>
      <c r="I1832" s="71" t="s">
        <v>141</v>
      </c>
      <c r="J1832" s="53">
        <f>(G1832-(VLOOKUP(C1832,Price!B:D,3,FALSE)*D1832))</f>
        <v>115800</v>
      </c>
      <c r="K1832" s="63">
        <f t="shared" ref="K1832:K1837" si="957">(J1832/(F1832/11*10))</f>
        <v>0.17706422018348625</v>
      </c>
      <c r="L1832" s="871" t="s">
        <v>1653</v>
      </c>
      <c r="M1832" s="468"/>
      <c r="N1832" s="664">
        <f t="shared" ref="N1832:N1848" si="958">A1832</f>
        <v>190225</v>
      </c>
      <c r="O1832" s="71" t="s">
        <v>145</v>
      </c>
      <c r="P1832" s="103" t="str">
        <f t="shared" ref="P1832:P1850" si="959">C1832</f>
        <v>Agfa Film(24inch)</v>
      </c>
      <c r="Q1832" s="71">
        <f t="shared" si="955"/>
        <v>2</v>
      </c>
      <c r="R1832" s="102">
        <v>269100</v>
      </c>
      <c r="S1832" s="102">
        <f t="shared" si="949"/>
        <v>592020</v>
      </c>
      <c r="T1832" s="102">
        <f t="shared" si="950"/>
        <v>538200</v>
      </c>
      <c r="U1832" s="71" t="str">
        <f t="shared" si="956"/>
        <v>O</v>
      </c>
      <c r="V1832" s="71"/>
      <c r="W1832" s="474">
        <f t="shared" ref="W1832:W1837" si="960">(G1832-T1832)</f>
        <v>115800</v>
      </c>
      <c r="X1832" s="71"/>
      <c r="Y1832" s="71"/>
    </row>
    <row r="1833" spans="1:25" ht="30" hidden="1" customHeight="1" x14ac:dyDescent="0.25">
      <c r="A1833" s="82">
        <v>190225</v>
      </c>
      <c r="B1833" s="664" t="s">
        <v>442</v>
      </c>
      <c r="C1833" s="71" t="s">
        <v>134</v>
      </c>
      <c r="D1833" s="71">
        <v>2</v>
      </c>
      <c r="E1833" s="102">
        <v>401000</v>
      </c>
      <c r="F1833" s="102">
        <f t="shared" si="952"/>
        <v>882200.00000000012</v>
      </c>
      <c r="G1833" s="102">
        <f t="shared" si="931"/>
        <v>802000</v>
      </c>
      <c r="H1833" s="690" t="s">
        <v>173</v>
      </c>
      <c r="I1833" s="71" t="s">
        <v>141</v>
      </c>
      <c r="J1833" s="53">
        <f>(G1833-(VLOOKUP(C1833,Price!B:D,3,FALSE)*D1833))</f>
        <v>174080</v>
      </c>
      <c r="K1833" s="63">
        <f t="shared" si="957"/>
        <v>0.21705735660847877</v>
      </c>
      <c r="L1833" s="871" t="s">
        <v>1653</v>
      </c>
      <c r="M1833" s="468"/>
      <c r="N1833" s="664">
        <f t="shared" si="958"/>
        <v>190225</v>
      </c>
      <c r="O1833" s="71" t="s">
        <v>145</v>
      </c>
      <c r="P1833" s="103" t="str">
        <f t="shared" si="959"/>
        <v>Agfa Film(28inch)</v>
      </c>
      <c r="Q1833" s="71">
        <f t="shared" si="955"/>
        <v>2</v>
      </c>
      <c r="R1833" s="102">
        <f>VLOOKUP(P1833,Price!B:D,3,FALSE)</f>
        <v>313960</v>
      </c>
      <c r="S1833" s="102">
        <f t="shared" si="949"/>
        <v>690712</v>
      </c>
      <c r="T1833" s="102">
        <f t="shared" si="950"/>
        <v>627920</v>
      </c>
      <c r="U1833" s="71" t="str">
        <f t="shared" si="956"/>
        <v>O</v>
      </c>
      <c r="V1833" s="71"/>
      <c r="W1833" s="474">
        <f t="shared" si="960"/>
        <v>174080</v>
      </c>
      <c r="X1833" s="71"/>
      <c r="Y1833" s="71"/>
    </row>
    <row r="1834" spans="1:25" ht="30" hidden="1" customHeight="1" x14ac:dyDescent="0.25">
      <c r="A1834" s="82">
        <v>190225</v>
      </c>
      <c r="B1834" s="664" t="s">
        <v>442</v>
      </c>
      <c r="C1834" s="71" t="s">
        <v>135</v>
      </c>
      <c r="D1834" s="71">
        <v>2</v>
      </c>
      <c r="E1834" s="102">
        <v>448000</v>
      </c>
      <c r="F1834" s="102">
        <f t="shared" si="952"/>
        <v>985600.00000000012</v>
      </c>
      <c r="G1834" s="102">
        <f t="shared" si="931"/>
        <v>896000</v>
      </c>
      <c r="H1834" s="690" t="s">
        <v>173</v>
      </c>
      <c r="I1834" s="71" t="s">
        <v>141</v>
      </c>
      <c r="J1834" s="53">
        <f>(G1834-(VLOOKUP(C1834,Price!B:D,3,FALSE)*D1834))</f>
        <v>155980</v>
      </c>
      <c r="K1834" s="63">
        <f t="shared" si="957"/>
        <v>0.1740848214285714</v>
      </c>
      <c r="L1834" s="871" t="s">
        <v>1653</v>
      </c>
      <c r="M1834" s="468"/>
      <c r="N1834" s="664">
        <f t="shared" si="958"/>
        <v>190225</v>
      </c>
      <c r="O1834" s="71" t="s">
        <v>145</v>
      </c>
      <c r="P1834" s="103" t="str">
        <f t="shared" si="959"/>
        <v>Agfa Film(32inch)</v>
      </c>
      <c r="Q1834" s="71">
        <f t="shared" si="955"/>
        <v>2</v>
      </c>
      <c r="R1834" s="102">
        <f>VLOOKUP(P1834,Price!B:D,3,FALSE)</f>
        <v>370010</v>
      </c>
      <c r="S1834" s="102">
        <f t="shared" si="949"/>
        <v>814022.00000000012</v>
      </c>
      <c r="T1834" s="102">
        <f t="shared" si="950"/>
        <v>740020</v>
      </c>
      <c r="U1834" s="71" t="str">
        <f t="shared" si="956"/>
        <v>O</v>
      </c>
      <c r="V1834" s="71"/>
      <c r="W1834" s="474">
        <f t="shared" si="960"/>
        <v>155980</v>
      </c>
      <c r="X1834" s="71"/>
      <c r="Y1834" s="71"/>
    </row>
    <row r="1835" spans="1:25" ht="30" hidden="1" customHeight="1" x14ac:dyDescent="0.25">
      <c r="A1835" s="82">
        <v>190225</v>
      </c>
      <c r="B1835" s="664" t="s">
        <v>442</v>
      </c>
      <c r="C1835" s="71" t="s">
        <v>649</v>
      </c>
      <c r="D1835" s="71">
        <v>6</v>
      </c>
      <c r="E1835" s="102">
        <v>41000</v>
      </c>
      <c r="F1835" s="102">
        <f t="shared" si="952"/>
        <v>270600</v>
      </c>
      <c r="G1835" s="102">
        <f t="shared" si="931"/>
        <v>246000</v>
      </c>
      <c r="H1835" s="690" t="s">
        <v>173</v>
      </c>
      <c r="I1835" s="71" t="s">
        <v>141</v>
      </c>
      <c r="J1835" s="53">
        <f>(G1835-(VLOOKUP(C1835,Price!B:D,3,FALSE)*D1835))</f>
        <v>96000</v>
      </c>
      <c r="K1835" s="63">
        <f t="shared" si="957"/>
        <v>0.3902439024390244</v>
      </c>
      <c r="L1835" s="871" t="s">
        <v>1653</v>
      </c>
      <c r="M1835" s="468"/>
      <c r="N1835" s="664">
        <f t="shared" si="958"/>
        <v>190225</v>
      </c>
      <c r="O1835" s="71" t="s">
        <v>145</v>
      </c>
      <c r="P1835" s="103" t="str">
        <f t="shared" si="959"/>
        <v>Agfa 현상액 G101C(10L)</v>
      </c>
      <c r="Q1835" s="71">
        <f t="shared" si="955"/>
        <v>6</v>
      </c>
      <c r="R1835" s="102">
        <f>VLOOKUP(P1835,Price!B:D,3,FALSE)</f>
        <v>25000</v>
      </c>
      <c r="S1835" s="102">
        <f t="shared" si="949"/>
        <v>165000</v>
      </c>
      <c r="T1835" s="102">
        <f t="shared" si="950"/>
        <v>150000</v>
      </c>
      <c r="U1835" s="71" t="str">
        <f t="shared" si="956"/>
        <v>O</v>
      </c>
      <c r="V1835" s="71"/>
      <c r="W1835" s="474">
        <f t="shared" si="960"/>
        <v>96000</v>
      </c>
      <c r="X1835" s="71"/>
      <c r="Y1835" s="71"/>
    </row>
    <row r="1836" spans="1:25" ht="30" hidden="1" customHeight="1" x14ac:dyDescent="0.25">
      <c r="A1836" s="82">
        <v>190225</v>
      </c>
      <c r="B1836" s="664" t="s">
        <v>690</v>
      </c>
      <c r="C1836" s="71" t="s">
        <v>1387</v>
      </c>
      <c r="D1836" s="71">
        <v>4</v>
      </c>
      <c r="E1836" s="102">
        <v>49000</v>
      </c>
      <c r="F1836" s="102">
        <f t="shared" si="952"/>
        <v>215600.00000000003</v>
      </c>
      <c r="G1836" s="102">
        <f t="shared" si="931"/>
        <v>196000</v>
      </c>
      <c r="H1836" s="690" t="s">
        <v>173</v>
      </c>
      <c r="I1836" s="71" t="s">
        <v>2230</v>
      </c>
      <c r="J1836" s="53">
        <f>G1836-T1836</f>
        <v>56000</v>
      </c>
      <c r="K1836" s="63">
        <f>(J1836/(F1836/11*10))</f>
        <v>0.2857142857142857</v>
      </c>
      <c r="L1836" s="871" t="s">
        <v>1653</v>
      </c>
      <c r="M1836" s="468" t="s">
        <v>1394</v>
      </c>
      <c r="N1836" s="664">
        <f t="shared" si="958"/>
        <v>190225</v>
      </c>
      <c r="O1836" s="71" t="s">
        <v>145</v>
      </c>
      <c r="P1836" s="103" t="str">
        <f t="shared" si="959"/>
        <v>THD200(20L)현상액</v>
      </c>
      <c r="Q1836" s="71">
        <f t="shared" si="955"/>
        <v>4</v>
      </c>
      <c r="R1836" s="102">
        <v>35000</v>
      </c>
      <c r="S1836" s="102">
        <f t="shared" si="949"/>
        <v>154000</v>
      </c>
      <c r="T1836" s="102">
        <f t="shared" si="950"/>
        <v>140000</v>
      </c>
      <c r="U1836" s="71" t="str">
        <f t="shared" si="956"/>
        <v>O</v>
      </c>
      <c r="V1836" s="71"/>
      <c r="W1836" s="474">
        <f t="shared" si="960"/>
        <v>56000</v>
      </c>
      <c r="X1836" s="71"/>
      <c r="Y1836" s="71"/>
    </row>
    <row r="1837" spans="1:25" ht="30" hidden="1" customHeight="1" x14ac:dyDescent="0.25">
      <c r="A1837" s="82">
        <v>190225</v>
      </c>
      <c r="B1837" s="664" t="s">
        <v>690</v>
      </c>
      <c r="C1837" s="71" t="s">
        <v>1186</v>
      </c>
      <c r="D1837" s="71">
        <v>500</v>
      </c>
      <c r="E1837" s="102">
        <v>3600</v>
      </c>
      <c r="F1837" s="102">
        <f t="shared" si="952"/>
        <v>1980000.0000000002</v>
      </c>
      <c r="G1837" s="102">
        <f t="shared" si="931"/>
        <v>1800000</v>
      </c>
      <c r="H1837" s="690" t="s">
        <v>173</v>
      </c>
      <c r="I1837" s="71" t="s">
        <v>2230</v>
      </c>
      <c r="J1837" s="53">
        <f>(G1837-(VLOOKUP(C1837,Price!B:D,3,FALSE)*D1837))</f>
        <v>-200000</v>
      </c>
      <c r="K1837" s="63">
        <f t="shared" si="957"/>
        <v>-0.11111111111111109</v>
      </c>
      <c r="L1837" s="871" t="s">
        <v>1653</v>
      </c>
      <c r="M1837" s="468" t="s">
        <v>1393</v>
      </c>
      <c r="N1837" s="664">
        <f t="shared" si="958"/>
        <v>190225</v>
      </c>
      <c r="O1837" s="71" t="s">
        <v>145</v>
      </c>
      <c r="P1837" s="103" t="str">
        <f t="shared" si="959"/>
        <v>CTP 판(1030*790mm)</v>
      </c>
      <c r="Q1837" s="71">
        <f t="shared" si="955"/>
        <v>500</v>
      </c>
      <c r="R1837" s="102">
        <v>4000</v>
      </c>
      <c r="S1837" s="102">
        <f t="shared" si="949"/>
        <v>2200000</v>
      </c>
      <c r="T1837" s="102">
        <f t="shared" si="950"/>
        <v>2000000</v>
      </c>
      <c r="U1837" s="71" t="str">
        <f t="shared" si="956"/>
        <v>O</v>
      </c>
      <c r="V1837" s="71"/>
      <c r="W1837" s="474">
        <f t="shared" si="960"/>
        <v>-200000</v>
      </c>
      <c r="X1837" s="71"/>
      <c r="Y1837" s="71"/>
    </row>
    <row r="1838" spans="1:25" ht="30" hidden="1" customHeight="1" x14ac:dyDescent="0.25">
      <c r="A1838" s="82">
        <v>190225</v>
      </c>
      <c r="B1838" s="664" t="s">
        <v>690</v>
      </c>
      <c r="C1838" s="67" t="s">
        <v>1386</v>
      </c>
      <c r="D1838" s="71">
        <v>2</v>
      </c>
      <c r="E1838" s="102">
        <v>49000</v>
      </c>
      <c r="F1838" s="102">
        <f t="shared" si="952"/>
        <v>107800.00000000001</v>
      </c>
      <c r="G1838" s="102">
        <f t="shared" si="931"/>
        <v>98000</v>
      </c>
      <c r="H1838" s="690" t="s">
        <v>173</v>
      </c>
      <c r="I1838" s="71" t="s">
        <v>2230</v>
      </c>
      <c r="J1838" s="53">
        <f>G1838-T1838</f>
        <v>28000</v>
      </c>
      <c r="K1838" s="63">
        <f t="shared" ref="K1838:K1851" si="961">(J1838/(F1838/11*10))</f>
        <v>0.2857142857142857</v>
      </c>
      <c r="L1838" s="871" t="s">
        <v>1653</v>
      </c>
      <c r="M1838" s="468" t="s">
        <v>1394</v>
      </c>
      <c r="N1838" s="664">
        <f t="shared" si="958"/>
        <v>190225</v>
      </c>
      <c r="O1838" s="71" t="s">
        <v>145</v>
      </c>
      <c r="P1838" s="103" t="str">
        <f t="shared" si="959"/>
        <v>THR200(20L)보충액</v>
      </c>
      <c r="Q1838" s="71">
        <f t="shared" si="955"/>
        <v>2</v>
      </c>
      <c r="R1838" s="102">
        <v>35000</v>
      </c>
      <c r="S1838" s="102">
        <f t="shared" si="949"/>
        <v>77000</v>
      </c>
      <c r="T1838" s="102">
        <f t="shared" si="950"/>
        <v>70000</v>
      </c>
      <c r="U1838" s="71" t="str">
        <f t="shared" si="956"/>
        <v>X</v>
      </c>
      <c r="V1838" s="71"/>
      <c r="W1838" s="474"/>
      <c r="X1838" s="71"/>
      <c r="Y1838" s="71"/>
    </row>
    <row r="1839" spans="1:25" ht="30" hidden="1" customHeight="1" x14ac:dyDescent="0.25">
      <c r="A1839" s="82">
        <v>190225</v>
      </c>
      <c r="B1839" s="664" t="s">
        <v>1120</v>
      </c>
      <c r="C1839" s="71" t="s">
        <v>1684</v>
      </c>
      <c r="D1839" s="71">
        <v>1</v>
      </c>
      <c r="E1839" s="102">
        <v>850000</v>
      </c>
      <c r="F1839" s="102">
        <f t="shared" si="952"/>
        <v>935000.00000000012</v>
      </c>
      <c r="G1839" s="102">
        <f t="shared" si="931"/>
        <v>850000</v>
      </c>
      <c r="H1839" s="690" t="s">
        <v>173</v>
      </c>
      <c r="I1839" s="71" t="s">
        <v>2184</v>
      </c>
      <c r="J1839" s="53">
        <f>G1839-T1839</f>
        <v>551264.78437500005</v>
      </c>
      <c r="K1839" s="63">
        <f t="shared" si="961"/>
        <v>0.64854680514705876</v>
      </c>
      <c r="L1839" s="871" t="s">
        <v>1653</v>
      </c>
      <c r="M1839" s="468"/>
      <c r="N1839" s="664">
        <f t="shared" si="958"/>
        <v>190225</v>
      </c>
      <c r="O1839" s="71" t="s">
        <v>1458</v>
      </c>
      <c r="P1839" s="103" t="str">
        <f t="shared" si="959"/>
        <v>UV 램프 하이델 국전용</v>
      </c>
      <c r="Q1839" s="71">
        <f t="shared" si="955"/>
        <v>1</v>
      </c>
      <c r="R1839" s="102">
        <f>Import!G731</f>
        <v>298735.21562500001</v>
      </c>
      <c r="S1839" s="102">
        <f t="shared" si="949"/>
        <v>328608.73718750005</v>
      </c>
      <c r="T1839" s="102">
        <f t="shared" si="950"/>
        <v>298735.21562500001</v>
      </c>
      <c r="U1839" s="71" t="str">
        <f t="shared" si="956"/>
        <v>X</v>
      </c>
      <c r="V1839" s="71"/>
      <c r="W1839" s="474"/>
      <c r="X1839" s="71"/>
      <c r="Y1839" s="71"/>
    </row>
    <row r="1840" spans="1:25" ht="30" hidden="1" customHeight="1" x14ac:dyDescent="0.2">
      <c r="A1840" s="82">
        <v>190226</v>
      </c>
      <c r="B1840" s="664" t="s">
        <v>548</v>
      </c>
      <c r="C1840" s="71" t="s">
        <v>107</v>
      </c>
      <c r="D1840" s="71">
        <v>10</v>
      </c>
      <c r="E1840" s="102">
        <v>100000</v>
      </c>
      <c r="F1840" s="163">
        <f t="shared" ref="F1840:F1851" si="962">(E1840*D1840)*1.1</f>
        <v>1100000</v>
      </c>
      <c r="G1840" s="102">
        <f t="shared" si="931"/>
        <v>1000000</v>
      </c>
      <c r="H1840" s="165" t="s">
        <v>172</v>
      </c>
      <c r="I1840" s="71" t="s">
        <v>109</v>
      </c>
      <c r="J1840" s="53">
        <f>(G1840-(VLOOKUP(C1840,Price!B:D,3,FALSE)*D1840))</f>
        <v>195000</v>
      </c>
      <c r="K1840" s="63">
        <f t="shared" si="961"/>
        <v>0.19500000000000001</v>
      </c>
      <c r="L1840" s="871" t="s">
        <v>1653</v>
      </c>
      <c r="M1840" s="468"/>
      <c r="N1840" s="664">
        <f t="shared" si="958"/>
        <v>190226</v>
      </c>
      <c r="O1840" s="71" t="s">
        <v>147</v>
      </c>
      <c r="P1840" s="103" t="str">
        <f t="shared" si="959"/>
        <v>Blanket(1050*840)</v>
      </c>
      <c r="Q1840" s="71">
        <f t="shared" si="955"/>
        <v>10</v>
      </c>
      <c r="R1840" s="102">
        <v>80500</v>
      </c>
      <c r="S1840" s="102">
        <f t="shared" si="949"/>
        <v>885500.00000000012</v>
      </c>
      <c r="T1840" s="102">
        <f t="shared" si="950"/>
        <v>805000</v>
      </c>
      <c r="U1840" s="71" t="str">
        <f t="shared" si="956"/>
        <v>O</v>
      </c>
      <c r="V1840" s="71"/>
      <c r="W1840" s="474">
        <f>(G1840-T1840)</f>
        <v>195000</v>
      </c>
      <c r="X1840" s="71"/>
      <c r="Y1840" s="71"/>
    </row>
    <row r="1841" spans="1:25" ht="30" hidden="1" customHeight="1" x14ac:dyDescent="0.25">
      <c r="A1841" s="82">
        <v>190226</v>
      </c>
      <c r="B1841" s="664" t="s">
        <v>442</v>
      </c>
      <c r="C1841" s="71" t="s">
        <v>1685</v>
      </c>
      <c r="D1841" s="71">
        <v>1</v>
      </c>
      <c r="E1841" s="102">
        <v>380000</v>
      </c>
      <c r="F1841" s="102">
        <f t="shared" si="962"/>
        <v>418000.00000000006</v>
      </c>
      <c r="G1841" s="102">
        <f t="shared" si="931"/>
        <v>380000</v>
      </c>
      <c r="H1841" s="690" t="s">
        <v>173</v>
      </c>
      <c r="I1841" s="71" t="s">
        <v>2231</v>
      </c>
      <c r="J1841" s="53">
        <f t="shared" ref="J1841:J1849" si="963">G1841-T1841</f>
        <v>160000</v>
      </c>
      <c r="K1841" s="63">
        <f t="shared" si="961"/>
        <v>0.42105263157894729</v>
      </c>
      <c r="L1841" s="871" t="s">
        <v>1653</v>
      </c>
      <c r="M1841" s="468"/>
      <c r="N1841" s="664">
        <f t="shared" si="958"/>
        <v>190226</v>
      </c>
      <c r="O1841" s="71" t="s">
        <v>242</v>
      </c>
      <c r="P1841" s="103" t="str">
        <f t="shared" si="959"/>
        <v>필름출력기 부품</v>
      </c>
      <c r="Q1841" s="71">
        <f t="shared" si="955"/>
        <v>1</v>
      </c>
      <c r="R1841" s="102">
        <v>220000</v>
      </c>
      <c r="S1841" s="102">
        <f t="shared" si="949"/>
        <v>242000.00000000003</v>
      </c>
      <c r="T1841" s="102">
        <f t="shared" si="950"/>
        <v>220000</v>
      </c>
      <c r="U1841" s="71" t="str">
        <f t="shared" si="956"/>
        <v>X</v>
      </c>
      <c r="V1841" s="71"/>
      <c r="W1841" s="474"/>
      <c r="X1841" s="71"/>
      <c r="Y1841" s="71"/>
    </row>
    <row r="1842" spans="1:25" ht="30" hidden="1" customHeight="1" x14ac:dyDescent="0.25">
      <c r="A1842" s="82">
        <v>190226</v>
      </c>
      <c r="B1842" s="664" t="s">
        <v>591</v>
      </c>
      <c r="C1842" s="71" t="s">
        <v>1686</v>
      </c>
      <c r="D1842" s="71">
        <v>3</v>
      </c>
      <c r="E1842" s="102">
        <v>490000</v>
      </c>
      <c r="F1842" s="102">
        <f t="shared" si="962"/>
        <v>1617000.0000000002</v>
      </c>
      <c r="G1842" s="102">
        <f t="shared" si="931"/>
        <v>1470000</v>
      </c>
      <c r="H1842" s="690" t="s">
        <v>173</v>
      </c>
      <c r="I1842" s="71" t="s">
        <v>143</v>
      </c>
      <c r="J1842" s="53">
        <f t="shared" si="963"/>
        <v>360000</v>
      </c>
      <c r="K1842" s="63">
        <f t="shared" si="961"/>
        <v>0.24489795918367344</v>
      </c>
      <c r="L1842" s="871" t="s">
        <v>1653</v>
      </c>
      <c r="M1842" s="468"/>
      <c r="N1842" s="664">
        <f t="shared" si="958"/>
        <v>190226</v>
      </c>
      <c r="O1842" s="71" t="s">
        <v>612</v>
      </c>
      <c r="P1842" s="103" t="str">
        <f t="shared" si="959"/>
        <v>Water Pan Roller 고모리 윤전용</v>
      </c>
      <c r="Q1842" s="71">
        <f t="shared" si="955"/>
        <v>3</v>
      </c>
      <c r="R1842" s="102">
        <v>370000</v>
      </c>
      <c r="S1842" s="102">
        <f t="shared" si="949"/>
        <v>1221000</v>
      </c>
      <c r="T1842" s="102">
        <f t="shared" si="950"/>
        <v>1110000</v>
      </c>
      <c r="U1842" s="71" t="str">
        <f t="shared" si="956"/>
        <v>X</v>
      </c>
      <c r="V1842" s="71"/>
      <c r="W1842" s="474"/>
      <c r="X1842" s="71"/>
      <c r="Y1842" s="71"/>
    </row>
    <row r="1843" spans="1:25" ht="30" hidden="1" customHeight="1" x14ac:dyDescent="0.25">
      <c r="A1843" s="82">
        <v>190226</v>
      </c>
      <c r="B1843" s="664" t="s">
        <v>591</v>
      </c>
      <c r="C1843" s="71" t="s">
        <v>1687</v>
      </c>
      <c r="D1843" s="71">
        <v>1</v>
      </c>
      <c r="E1843" s="102">
        <v>460000</v>
      </c>
      <c r="F1843" s="102">
        <f t="shared" si="962"/>
        <v>506000.00000000006</v>
      </c>
      <c r="G1843" s="102">
        <f t="shared" si="931"/>
        <v>460000</v>
      </c>
      <c r="H1843" s="690" t="s">
        <v>173</v>
      </c>
      <c r="I1843" s="71" t="s">
        <v>143</v>
      </c>
      <c r="J1843" s="53">
        <f t="shared" si="963"/>
        <v>120000</v>
      </c>
      <c r="K1843" s="63">
        <f t="shared" si="961"/>
        <v>0.2608695652173913</v>
      </c>
      <c r="L1843" s="871" t="s">
        <v>1653</v>
      </c>
      <c r="M1843" s="468"/>
      <c r="N1843" s="664">
        <f t="shared" si="958"/>
        <v>190226</v>
      </c>
      <c r="O1843" s="71" t="s">
        <v>612</v>
      </c>
      <c r="P1843" s="103" t="str">
        <f t="shared" si="959"/>
        <v>Water Form Roller 고모리 윤전용</v>
      </c>
      <c r="Q1843" s="71">
        <f t="shared" si="955"/>
        <v>1</v>
      </c>
      <c r="R1843" s="102">
        <v>340000</v>
      </c>
      <c r="S1843" s="102">
        <f t="shared" si="949"/>
        <v>374000.00000000006</v>
      </c>
      <c r="T1843" s="102">
        <f t="shared" si="950"/>
        <v>340000</v>
      </c>
      <c r="U1843" s="71" t="str">
        <f t="shared" si="956"/>
        <v>X</v>
      </c>
      <c r="V1843" s="71"/>
      <c r="W1843" s="474"/>
      <c r="X1843" s="71"/>
      <c r="Y1843" s="71"/>
    </row>
    <row r="1844" spans="1:25" ht="30" hidden="1" customHeight="1" x14ac:dyDescent="0.25">
      <c r="A1844" s="82">
        <v>190226</v>
      </c>
      <c r="B1844" s="664" t="s">
        <v>591</v>
      </c>
      <c r="C1844" s="71" t="s">
        <v>1689</v>
      </c>
      <c r="D1844" s="71">
        <v>1</v>
      </c>
      <c r="E1844" s="102">
        <v>250000</v>
      </c>
      <c r="F1844" s="102">
        <f t="shared" si="962"/>
        <v>275000</v>
      </c>
      <c r="G1844" s="102">
        <f t="shared" si="931"/>
        <v>250000</v>
      </c>
      <c r="H1844" s="690" t="s">
        <v>173</v>
      </c>
      <c r="I1844" s="71" t="s">
        <v>143</v>
      </c>
      <c r="J1844" s="53">
        <f t="shared" si="963"/>
        <v>70000</v>
      </c>
      <c r="K1844" s="63">
        <f t="shared" si="961"/>
        <v>0.28000000000000003</v>
      </c>
      <c r="L1844" s="871" t="s">
        <v>1653</v>
      </c>
      <c r="M1844" s="468"/>
      <c r="N1844" s="664">
        <f t="shared" si="958"/>
        <v>190226</v>
      </c>
      <c r="O1844" s="71" t="s">
        <v>612</v>
      </c>
      <c r="P1844" s="103" t="str">
        <f t="shared" si="959"/>
        <v>Ink Form Roller  고모리 윤전용</v>
      </c>
      <c r="Q1844" s="71">
        <f t="shared" si="955"/>
        <v>1</v>
      </c>
      <c r="R1844" s="102">
        <v>180000</v>
      </c>
      <c r="S1844" s="102">
        <f t="shared" si="949"/>
        <v>198000.00000000003</v>
      </c>
      <c r="T1844" s="102">
        <f t="shared" si="950"/>
        <v>180000</v>
      </c>
      <c r="U1844" s="71" t="str">
        <f t="shared" si="956"/>
        <v>X</v>
      </c>
      <c r="V1844" s="71"/>
      <c r="W1844" s="474"/>
      <c r="X1844" s="71"/>
      <c r="Y1844" s="71"/>
    </row>
    <row r="1845" spans="1:25" ht="30" hidden="1" customHeight="1" x14ac:dyDescent="0.25">
      <c r="A1845" s="82">
        <v>190226</v>
      </c>
      <c r="B1845" s="664" t="s">
        <v>591</v>
      </c>
      <c r="C1845" s="71" t="s">
        <v>1688</v>
      </c>
      <c r="D1845" s="71">
        <v>2</v>
      </c>
      <c r="E1845" s="102">
        <v>480000</v>
      </c>
      <c r="F1845" s="102">
        <f t="shared" si="962"/>
        <v>1056000</v>
      </c>
      <c r="G1845" s="102">
        <f t="shared" si="931"/>
        <v>960000</v>
      </c>
      <c r="H1845" s="690" t="s">
        <v>173</v>
      </c>
      <c r="I1845" s="71" t="s">
        <v>143</v>
      </c>
      <c r="J1845" s="53">
        <f t="shared" si="963"/>
        <v>240000</v>
      </c>
      <c r="K1845" s="63">
        <f t="shared" si="961"/>
        <v>0.25</v>
      </c>
      <c r="L1845" s="871" t="s">
        <v>1653</v>
      </c>
      <c r="M1845" s="468"/>
      <c r="N1845" s="664">
        <f t="shared" si="958"/>
        <v>190226</v>
      </c>
      <c r="O1845" s="71" t="s">
        <v>612</v>
      </c>
      <c r="P1845" s="103" t="str">
        <f t="shared" si="959"/>
        <v>Water Pan Roller M600 윤전용</v>
      </c>
      <c r="Q1845" s="71">
        <f t="shared" si="955"/>
        <v>2</v>
      </c>
      <c r="R1845" s="102">
        <v>360000</v>
      </c>
      <c r="S1845" s="102">
        <f t="shared" si="949"/>
        <v>792000.00000000012</v>
      </c>
      <c r="T1845" s="102">
        <f t="shared" si="950"/>
        <v>720000</v>
      </c>
      <c r="U1845" s="71" t="str">
        <f t="shared" si="956"/>
        <v>X</v>
      </c>
      <c r="V1845" s="71"/>
      <c r="W1845" s="474"/>
      <c r="X1845" s="71"/>
      <c r="Y1845" s="71"/>
    </row>
    <row r="1846" spans="1:25" ht="30" hidden="1" customHeight="1" x14ac:dyDescent="0.25">
      <c r="A1846" s="82">
        <v>190228</v>
      </c>
      <c r="B1846" s="664" t="s">
        <v>1692</v>
      </c>
      <c r="C1846" s="71" t="s">
        <v>1693</v>
      </c>
      <c r="D1846" s="71">
        <v>1</v>
      </c>
      <c r="E1846" s="102">
        <v>250000</v>
      </c>
      <c r="F1846" s="102">
        <f t="shared" si="962"/>
        <v>275000</v>
      </c>
      <c r="G1846" s="102">
        <f t="shared" si="931"/>
        <v>250000</v>
      </c>
      <c r="H1846" s="690" t="s">
        <v>1432</v>
      </c>
      <c r="I1846" s="71" t="s">
        <v>1432</v>
      </c>
      <c r="J1846" s="53">
        <f t="shared" si="963"/>
        <v>4468.0003197301994</v>
      </c>
      <c r="K1846" s="63">
        <f t="shared" si="961"/>
        <v>1.7872001278920798E-2</v>
      </c>
      <c r="L1846" s="871" t="s">
        <v>1653</v>
      </c>
      <c r="M1846" s="468"/>
      <c r="N1846" s="664">
        <f t="shared" si="958"/>
        <v>190228</v>
      </c>
      <c r="O1846" s="71" t="s">
        <v>1432</v>
      </c>
      <c r="P1846" s="103" t="str">
        <f t="shared" si="959"/>
        <v>Eject PP comple</v>
      </c>
      <c r="Q1846" s="71">
        <f t="shared" si="955"/>
        <v>1</v>
      </c>
      <c r="R1846" s="102">
        <f>Import!G666</f>
        <v>245531.9996802698</v>
      </c>
      <c r="S1846" s="102">
        <f t="shared" si="949"/>
        <v>270085.19964829681</v>
      </c>
      <c r="T1846" s="102">
        <f t="shared" si="950"/>
        <v>245531.9996802698</v>
      </c>
      <c r="U1846" s="71" t="str">
        <f t="shared" si="956"/>
        <v>X</v>
      </c>
      <c r="V1846" s="71"/>
      <c r="W1846" s="474"/>
      <c r="X1846" s="71"/>
      <c r="Y1846" s="71"/>
    </row>
    <row r="1847" spans="1:25" ht="30" hidden="1" customHeight="1" x14ac:dyDescent="0.25">
      <c r="A1847" s="82">
        <v>190228</v>
      </c>
      <c r="B1847" s="664" t="s">
        <v>1692</v>
      </c>
      <c r="C1847" s="71" t="s">
        <v>1694</v>
      </c>
      <c r="D1847" s="71">
        <v>3</v>
      </c>
      <c r="E1847" s="102">
        <v>190000</v>
      </c>
      <c r="F1847" s="102">
        <f t="shared" si="962"/>
        <v>627000</v>
      </c>
      <c r="G1847" s="102">
        <f t="shared" si="931"/>
        <v>570000</v>
      </c>
      <c r="H1847" s="690" t="s">
        <v>1432</v>
      </c>
      <c r="I1847" s="71" t="s">
        <v>1432</v>
      </c>
      <c r="J1847" s="53">
        <f t="shared" si="963"/>
        <v>381411.27928026981</v>
      </c>
      <c r="K1847" s="63">
        <f t="shared" si="961"/>
        <v>0.66914259522854358</v>
      </c>
      <c r="L1847" s="871" t="s">
        <v>1653</v>
      </c>
      <c r="M1847" s="468"/>
      <c r="N1847" s="664">
        <f t="shared" si="958"/>
        <v>190228</v>
      </c>
      <c r="O1847" s="71" t="s">
        <v>1432</v>
      </c>
      <c r="P1847" s="103" t="str">
        <f t="shared" si="959"/>
        <v>Nozzle d3,5 PP zinc yellow</v>
      </c>
      <c r="Q1847" s="71">
        <f t="shared" si="955"/>
        <v>3</v>
      </c>
      <c r="R1847" s="102">
        <f>Import!G667+Import!G668</f>
        <v>62862.906906576733</v>
      </c>
      <c r="S1847" s="102">
        <f t="shared" si="949"/>
        <v>207447.59279170324</v>
      </c>
      <c r="T1847" s="102">
        <f t="shared" si="950"/>
        <v>188588.72071973019</v>
      </c>
      <c r="U1847" s="71" t="str">
        <f t="shared" si="956"/>
        <v>X</v>
      </c>
      <c r="V1847" s="71"/>
      <c r="W1847" s="474"/>
      <c r="X1847" s="71"/>
      <c r="Y1847" s="71"/>
    </row>
    <row r="1848" spans="1:25" ht="30" hidden="1" customHeight="1" x14ac:dyDescent="0.25">
      <c r="A1848" s="82">
        <v>190228</v>
      </c>
      <c r="B1848" s="664" t="s">
        <v>1695</v>
      </c>
      <c r="C1848" s="71" t="s">
        <v>1696</v>
      </c>
      <c r="D1848" s="71">
        <v>10</v>
      </c>
      <c r="E1848" s="102">
        <v>79400</v>
      </c>
      <c r="F1848" s="102">
        <f t="shared" si="962"/>
        <v>873400.00000000012</v>
      </c>
      <c r="G1848" s="102">
        <f t="shared" si="931"/>
        <v>794000</v>
      </c>
      <c r="H1848" s="690" t="s">
        <v>142</v>
      </c>
      <c r="I1848" s="71" t="s">
        <v>142</v>
      </c>
      <c r="J1848" s="53">
        <f t="shared" si="963"/>
        <v>305941.7181239705</v>
      </c>
      <c r="K1848" s="63">
        <f t="shared" si="961"/>
        <v>0.38531702534505097</v>
      </c>
      <c r="L1848" s="871" t="s">
        <v>1653</v>
      </c>
      <c r="M1848" s="468"/>
      <c r="N1848" s="664">
        <f t="shared" si="958"/>
        <v>190228</v>
      </c>
      <c r="O1848" s="71" t="s">
        <v>1432</v>
      </c>
      <c r="P1848" s="103" t="str">
        <f t="shared" si="959"/>
        <v>Nozzle D 3.0</v>
      </c>
      <c r="Q1848" s="71">
        <f t="shared" si="955"/>
        <v>10</v>
      </c>
      <c r="R1848" s="102">
        <f>Import!G669+Import!G664</f>
        <v>48805.82818760295</v>
      </c>
      <c r="S1848" s="102">
        <f t="shared" si="949"/>
        <v>536864.11006363248</v>
      </c>
      <c r="T1848" s="102">
        <f t="shared" si="950"/>
        <v>488058.2818760295</v>
      </c>
      <c r="U1848" s="71" t="str">
        <f t="shared" si="956"/>
        <v>X</v>
      </c>
      <c r="V1848" s="71"/>
      <c r="W1848" s="474"/>
      <c r="X1848" s="71"/>
      <c r="Y1848" s="71"/>
    </row>
    <row r="1849" spans="1:25" ht="30" hidden="1" customHeight="1" x14ac:dyDescent="0.25">
      <c r="A1849" s="82">
        <v>190228</v>
      </c>
      <c r="B1849" s="664" t="s">
        <v>446</v>
      </c>
      <c r="C1849" s="71" t="s">
        <v>1144</v>
      </c>
      <c r="D1849" s="71">
        <v>8</v>
      </c>
      <c r="E1849" s="102">
        <v>110000</v>
      </c>
      <c r="F1849" s="102">
        <f t="shared" si="962"/>
        <v>968000.00000000012</v>
      </c>
      <c r="G1849" s="102">
        <f t="shared" si="931"/>
        <v>880000</v>
      </c>
      <c r="H1849" s="690" t="s">
        <v>173</v>
      </c>
      <c r="I1849" s="71" t="s">
        <v>2231</v>
      </c>
      <c r="J1849" s="53">
        <f t="shared" si="963"/>
        <v>152000</v>
      </c>
      <c r="K1849" s="63">
        <f t="shared" si="961"/>
        <v>0.1727272727272727</v>
      </c>
      <c r="L1849" s="871" t="s">
        <v>1653</v>
      </c>
      <c r="M1849" s="468"/>
      <c r="N1849" s="664">
        <f>A1849</f>
        <v>190228</v>
      </c>
      <c r="O1849" s="71" t="s">
        <v>150</v>
      </c>
      <c r="P1849" s="103" t="str">
        <f t="shared" si="959"/>
        <v>실리콘 에멀전</v>
      </c>
      <c r="Q1849" s="71">
        <f>D1849</f>
        <v>8</v>
      </c>
      <c r="R1849" s="102">
        <v>91000</v>
      </c>
      <c r="S1849" s="102">
        <f t="shared" si="949"/>
        <v>800800.00000000012</v>
      </c>
      <c r="T1849" s="102">
        <f t="shared" si="950"/>
        <v>728000</v>
      </c>
      <c r="U1849" s="71" t="str">
        <f t="shared" si="956"/>
        <v>O</v>
      </c>
      <c r="V1849" s="71"/>
      <c r="W1849" s="474">
        <f>(G1849-T1849)</f>
        <v>152000</v>
      </c>
      <c r="X1849" s="71"/>
      <c r="Y1849" s="71"/>
    </row>
    <row r="1850" spans="1:25" s="209" customFormat="1" ht="30" hidden="1" customHeight="1" x14ac:dyDescent="0.2">
      <c r="A1850" s="82">
        <v>190228</v>
      </c>
      <c r="B1850" s="664" t="s">
        <v>445</v>
      </c>
      <c r="C1850" s="71" t="s">
        <v>107</v>
      </c>
      <c r="D1850" s="71">
        <v>10</v>
      </c>
      <c r="E1850" s="102">
        <v>108000</v>
      </c>
      <c r="F1850" s="163">
        <f t="shared" si="962"/>
        <v>1188000</v>
      </c>
      <c r="G1850" s="102">
        <f t="shared" si="931"/>
        <v>1080000</v>
      </c>
      <c r="H1850" s="165" t="s">
        <v>172</v>
      </c>
      <c r="I1850" s="71" t="s">
        <v>109</v>
      </c>
      <c r="J1850" s="53">
        <f>(G1850-(VLOOKUP(C1850,Price!B:D,3,FALSE)*D1850))</f>
        <v>275000</v>
      </c>
      <c r="K1850" s="63">
        <f t="shared" si="961"/>
        <v>0.25462962962962965</v>
      </c>
      <c r="L1850" s="871" t="s">
        <v>1653</v>
      </c>
      <c r="M1850" s="468"/>
      <c r="N1850" s="664">
        <f>A1850</f>
        <v>190228</v>
      </c>
      <c r="O1850" s="71" t="s">
        <v>147</v>
      </c>
      <c r="P1850" s="103" t="str">
        <f t="shared" si="959"/>
        <v>Blanket(1050*840)</v>
      </c>
      <c r="Q1850" s="71">
        <f>D1850</f>
        <v>10</v>
      </c>
      <c r="R1850" s="102">
        <v>80500</v>
      </c>
      <c r="S1850" s="102">
        <f>(R1850*D1850)*1.1</f>
        <v>885500.00000000012</v>
      </c>
      <c r="T1850" s="102">
        <f>(R1850*Q1850)</f>
        <v>805000</v>
      </c>
      <c r="U1850" s="71" t="str">
        <f t="shared" si="956"/>
        <v>O</v>
      </c>
      <c r="V1850" s="71"/>
      <c r="W1850" s="474">
        <f>(G1850-T1850)</f>
        <v>275000</v>
      </c>
      <c r="X1850" s="71"/>
      <c r="Y1850" s="71"/>
    </row>
    <row r="1851" spans="1:25" s="209" customFormat="1" ht="30" hidden="1" customHeight="1" x14ac:dyDescent="0.2">
      <c r="A1851" s="82">
        <v>190228</v>
      </c>
      <c r="B1851" s="664" t="s">
        <v>445</v>
      </c>
      <c r="C1851" s="71" t="s">
        <v>138</v>
      </c>
      <c r="D1851" s="71">
        <v>10</v>
      </c>
      <c r="E1851" s="102">
        <v>59500</v>
      </c>
      <c r="F1851" s="163">
        <f t="shared" si="962"/>
        <v>654500</v>
      </c>
      <c r="G1851" s="102">
        <f t="shared" si="931"/>
        <v>595000</v>
      </c>
      <c r="H1851" s="165" t="s">
        <v>172</v>
      </c>
      <c r="I1851" s="71" t="s">
        <v>108</v>
      </c>
      <c r="J1851" s="53">
        <f>(G1851-(VLOOKUP(C1851,Price!B:D,3,FALSE)*D1851))</f>
        <v>85000</v>
      </c>
      <c r="K1851" s="63">
        <f t="shared" si="961"/>
        <v>0.14285714285714285</v>
      </c>
      <c r="L1851" s="871" t="s">
        <v>1653</v>
      </c>
      <c r="M1851" s="468"/>
      <c r="N1851" s="664">
        <f>A1851</f>
        <v>190228</v>
      </c>
      <c r="O1851" s="71" t="s">
        <v>150</v>
      </c>
      <c r="P1851" s="103" t="str">
        <f>C1851</f>
        <v>매엽용 세척제(Wash 562)</v>
      </c>
      <c r="Q1851" s="71">
        <f>D1851</f>
        <v>10</v>
      </c>
      <c r="R1851" s="102">
        <v>51000</v>
      </c>
      <c r="S1851" s="102">
        <f>(R1851*D1851)*1.1</f>
        <v>561000</v>
      </c>
      <c r="T1851" s="102">
        <f>(R1851*Q1851)</f>
        <v>510000</v>
      </c>
      <c r="U1851" s="71" t="str">
        <f t="shared" si="956"/>
        <v>O</v>
      </c>
      <c r="V1851" s="71"/>
      <c r="W1851" s="474">
        <f>(G1851-T1851)</f>
        <v>85000</v>
      </c>
      <c r="X1851" s="71"/>
      <c r="Y1851" s="71"/>
    </row>
    <row r="1852" spans="1:25" ht="30" hidden="1" customHeight="1" x14ac:dyDescent="0.25">
      <c r="A1852" s="82">
        <v>190228</v>
      </c>
      <c r="B1852" s="664" t="s">
        <v>1051</v>
      </c>
      <c r="C1852" s="71" t="s">
        <v>1294</v>
      </c>
      <c r="D1852" s="71">
        <v>5200</v>
      </c>
      <c r="E1852" s="102">
        <v>5910</v>
      </c>
      <c r="F1852" s="102">
        <f>(E1852*D1852)*1.1</f>
        <v>33805200</v>
      </c>
      <c r="G1852" s="102">
        <f>(E1852*D1852)</f>
        <v>30732000</v>
      </c>
      <c r="H1852" s="690" t="s">
        <v>142</v>
      </c>
      <c r="I1852" s="71" t="s">
        <v>2273</v>
      </c>
      <c r="J1852" s="53">
        <f t="shared" ref="J1852:J1857" si="964">G1852-T1852</f>
        <v>9932000</v>
      </c>
      <c r="K1852" s="63">
        <f t="shared" ref="K1852:K1865" si="965">(J1852/(F1852/11*10))</f>
        <v>0.32318104906937395</v>
      </c>
      <c r="L1852" s="871" t="s">
        <v>1653</v>
      </c>
      <c r="M1852" s="468"/>
      <c r="N1852" s="664">
        <f t="shared" ref="N1852:N1857" si="966">A1852</f>
        <v>190228</v>
      </c>
      <c r="O1852" s="71" t="s">
        <v>145</v>
      </c>
      <c r="P1852" s="103" t="str">
        <f>(C1852)</f>
        <v>ENGAGE 1030*790</v>
      </c>
      <c r="Q1852" s="71">
        <f t="shared" ref="Q1852:Q1865" si="967">D1852</f>
        <v>5200</v>
      </c>
      <c r="R1852" s="102">
        <v>4000</v>
      </c>
      <c r="S1852" s="102">
        <f>(R1852*D1852)*1.1</f>
        <v>22880000</v>
      </c>
      <c r="T1852" s="102">
        <f>(R1852*Q1852)</f>
        <v>20800000</v>
      </c>
      <c r="U1852" s="71" t="str">
        <f t="shared" si="956"/>
        <v>X</v>
      </c>
      <c r="V1852" s="71"/>
      <c r="W1852" s="474"/>
      <c r="X1852" s="71"/>
      <c r="Y1852" s="71"/>
    </row>
    <row r="1853" spans="1:25" ht="30" hidden="1" customHeight="1" x14ac:dyDescent="0.25">
      <c r="A1853" s="82">
        <v>190228</v>
      </c>
      <c r="B1853" s="664" t="s">
        <v>1051</v>
      </c>
      <c r="C1853" s="71" t="s">
        <v>1384</v>
      </c>
      <c r="D1853" s="71">
        <v>3000</v>
      </c>
      <c r="E1853" s="102">
        <v>3720</v>
      </c>
      <c r="F1853" s="102">
        <f t="shared" ref="F1853:F1865" si="968">(E1853*D1853)*1.1</f>
        <v>12276000.000000002</v>
      </c>
      <c r="G1853" s="102">
        <f t="shared" ref="G1853:G1865" si="969">(E1853*D1853)</f>
        <v>11160000</v>
      </c>
      <c r="H1853" s="690" t="s">
        <v>142</v>
      </c>
      <c r="I1853" s="71" t="s">
        <v>2273</v>
      </c>
      <c r="J1853" s="53">
        <f t="shared" si="964"/>
        <v>3600000</v>
      </c>
      <c r="K1853" s="63">
        <f t="shared" si="965"/>
        <v>0.32258064516129026</v>
      </c>
      <c r="L1853" s="871" t="s">
        <v>1653</v>
      </c>
      <c r="M1853" s="468"/>
      <c r="N1853" s="664">
        <f t="shared" si="966"/>
        <v>190228</v>
      </c>
      <c r="O1853" s="71" t="s">
        <v>145</v>
      </c>
      <c r="P1853" s="103" t="str">
        <f>C1853</f>
        <v>ENGAGE 900X571 - 27RO</v>
      </c>
      <c r="Q1853" s="71">
        <f t="shared" si="967"/>
        <v>3000</v>
      </c>
      <c r="R1853" s="102">
        <v>2520</v>
      </c>
      <c r="S1853" s="102">
        <f>R1853*Q1853*1.1</f>
        <v>8316000.0000000009</v>
      </c>
      <c r="T1853" s="102">
        <f>R1853*Q1853</f>
        <v>7560000</v>
      </c>
      <c r="U1853" s="71" t="str">
        <f t="shared" si="956"/>
        <v>O</v>
      </c>
      <c r="V1853" s="71"/>
      <c r="W1853" s="474">
        <f t="shared" ref="W1853:W1866" si="970">(G1853-T1853)</f>
        <v>3600000</v>
      </c>
      <c r="X1853" s="71"/>
      <c r="Y1853" s="71"/>
    </row>
    <row r="1854" spans="1:25" ht="30" hidden="1" customHeight="1" x14ac:dyDescent="0.25">
      <c r="A1854" s="82">
        <v>190228</v>
      </c>
      <c r="B1854" s="664" t="s">
        <v>1051</v>
      </c>
      <c r="C1854" s="71" t="s">
        <v>951</v>
      </c>
      <c r="D1854" s="71">
        <v>1300</v>
      </c>
      <c r="E1854" s="102">
        <v>3540</v>
      </c>
      <c r="F1854" s="102">
        <f t="shared" si="968"/>
        <v>5062200</v>
      </c>
      <c r="G1854" s="102">
        <f t="shared" si="969"/>
        <v>4602000</v>
      </c>
      <c r="H1854" s="690" t="s">
        <v>142</v>
      </c>
      <c r="I1854" s="71" t="s">
        <v>2273</v>
      </c>
      <c r="J1854" s="53">
        <f t="shared" si="964"/>
        <v>1495000</v>
      </c>
      <c r="K1854" s="63">
        <f t="shared" si="965"/>
        <v>0.3248587570621469</v>
      </c>
      <c r="L1854" s="871" t="s">
        <v>1653</v>
      </c>
      <c r="M1854" s="468"/>
      <c r="N1854" s="664">
        <f t="shared" si="966"/>
        <v>190228</v>
      </c>
      <c r="O1854" s="71" t="s">
        <v>145</v>
      </c>
      <c r="P1854" s="103" t="str">
        <f>(C1854)</f>
        <v>ENGAGE 30WEB(883*552)</v>
      </c>
      <c r="Q1854" s="71">
        <f t="shared" si="967"/>
        <v>1300</v>
      </c>
      <c r="R1854" s="102">
        <v>2390</v>
      </c>
      <c r="S1854" s="102">
        <f>(R1854*D1854)*1.1</f>
        <v>3417700.0000000005</v>
      </c>
      <c r="T1854" s="102">
        <f>(R1854*Q1854)</f>
        <v>3107000</v>
      </c>
      <c r="U1854" s="71" t="str">
        <f t="shared" si="956"/>
        <v>O</v>
      </c>
      <c r="V1854" s="71"/>
      <c r="W1854" s="474">
        <f t="shared" si="970"/>
        <v>1495000</v>
      </c>
      <c r="X1854" s="71"/>
      <c r="Y1854" s="71"/>
    </row>
    <row r="1855" spans="1:25" ht="30" hidden="1" customHeight="1" x14ac:dyDescent="0.25">
      <c r="A1855" s="82">
        <v>190228</v>
      </c>
      <c r="B1855" s="664" t="s">
        <v>1051</v>
      </c>
      <c r="C1855" s="71" t="s">
        <v>1383</v>
      </c>
      <c r="D1855" s="71">
        <v>1200</v>
      </c>
      <c r="E1855" s="102">
        <v>6200</v>
      </c>
      <c r="F1855" s="102">
        <f t="shared" si="968"/>
        <v>8184000.0000000009</v>
      </c>
      <c r="G1855" s="102">
        <f t="shared" si="969"/>
        <v>7440000</v>
      </c>
      <c r="H1855" s="690" t="s">
        <v>142</v>
      </c>
      <c r="I1855" s="71" t="s">
        <v>2273</v>
      </c>
      <c r="J1855" s="53">
        <f t="shared" si="964"/>
        <v>2388000</v>
      </c>
      <c r="K1855" s="63">
        <f t="shared" si="965"/>
        <v>0.32096774193548383</v>
      </c>
      <c r="L1855" s="871" t="s">
        <v>1653</v>
      </c>
      <c r="M1855" s="468"/>
      <c r="N1855" s="664">
        <f t="shared" si="966"/>
        <v>190228</v>
      </c>
      <c r="O1855" s="71" t="s">
        <v>145</v>
      </c>
      <c r="P1855" s="103" t="str">
        <f>C1855</f>
        <v>ENGAGE 1055*811</v>
      </c>
      <c r="Q1855" s="71">
        <f t="shared" si="967"/>
        <v>1200</v>
      </c>
      <c r="R1855" s="102">
        <v>4210</v>
      </c>
      <c r="S1855" s="102">
        <f>R1855*Q1855*1.1</f>
        <v>5557200</v>
      </c>
      <c r="T1855" s="102">
        <f>R1855*Q1855</f>
        <v>5052000</v>
      </c>
      <c r="U1855" s="71"/>
      <c r="V1855" s="71"/>
      <c r="W1855" s="474">
        <f t="shared" si="970"/>
        <v>2388000</v>
      </c>
      <c r="X1855" s="71"/>
      <c r="Y1855" s="71"/>
    </row>
    <row r="1856" spans="1:25" ht="30" hidden="1" customHeight="1" x14ac:dyDescent="0.25">
      <c r="A1856" s="82">
        <v>190228</v>
      </c>
      <c r="B1856" s="664" t="s">
        <v>1051</v>
      </c>
      <c r="C1856" s="67" t="s">
        <v>1386</v>
      </c>
      <c r="D1856" s="71">
        <v>20</v>
      </c>
      <c r="E1856" s="102">
        <v>54500</v>
      </c>
      <c r="F1856" s="102">
        <f t="shared" si="968"/>
        <v>1199000</v>
      </c>
      <c r="G1856" s="102">
        <f t="shared" si="969"/>
        <v>1090000</v>
      </c>
      <c r="H1856" s="690" t="s">
        <v>142</v>
      </c>
      <c r="I1856" s="71" t="s">
        <v>2273</v>
      </c>
      <c r="J1856" s="53">
        <f t="shared" si="964"/>
        <v>390000</v>
      </c>
      <c r="K1856" s="63">
        <f t="shared" si="965"/>
        <v>0.3577981651376147</v>
      </c>
      <c r="L1856" s="871" t="s">
        <v>1653</v>
      </c>
      <c r="M1856" s="468"/>
      <c r="N1856" s="664">
        <f t="shared" si="966"/>
        <v>190228</v>
      </c>
      <c r="O1856" s="71" t="s">
        <v>145</v>
      </c>
      <c r="P1856" s="103" t="str">
        <f>C1856</f>
        <v>THR200(20L)보충액</v>
      </c>
      <c r="Q1856" s="71">
        <f t="shared" si="967"/>
        <v>20</v>
      </c>
      <c r="R1856" s="102">
        <v>35000</v>
      </c>
      <c r="S1856" s="102">
        <f>R1856*Q1856*1.1</f>
        <v>770000.00000000012</v>
      </c>
      <c r="T1856" s="102">
        <f>R1856*Q1856</f>
        <v>700000</v>
      </c>
      <c r="U1856" s="71" t="str">
        <f t="shared" ref="U1856:U1865" si="971">IF(J1856=W1856,"O", "X")</f>
        <v>O</v>
      </c>
      <c r="V1856" s="71"/>
      <c r="W1856" s="474">
        <f t="shared" si="970"/>
        <v>390000</v>
      </c>
      <c r="X1856" s="71"/>
      <c r="Y1856" s="71"/>
    </row>
    <row r="1857" spans="1:25" ht="30" hidden="1" customHeight="1" x14ac:dyDescent="0.25">
      <c r="A1857" s="82">
        <v>190228</v>
      </c>
      <c r="B1857" s="664" t="s">
        <v>1051</v>
      </c>
      <c r="C1857" s="71" t="s">
        <v>1387</v>
      </c>
      <c r="D1857" s="71">
        <v>5</v>
      </c>
      <c r="E1857" s="102">
        <v>54500</v>
      </c>
      <c r="F1857" s="102">
        <f t="shared" si="968"/>
        <v>299750</v>
      </c>
      <c r="G1857" s="102">
        <f t="shared" si="969"/>
        <v>272500</v>
      </c>
      <c r="H1857" s="690" t="s">
        <v>142</v>
      </c>
      <c r="I1857" s="71" t="s">
        <v>2273</v>
      </c>
      <c r="J1857" s="53">
        <f t="shared" si="964"/>
        <v>97500</v>
      </c>
      <c r="K1857" s="63">
        <f t="shared" si="965"/>
        <v>0.3577981651376147</v>
      </c>
      <c r="L1857" s="871" t="s">
        <v>1653</v>
      </c>
      <c r="M1857" s="468"/>
      <c r="N1857" s="664">
        <f t="shared" si="966"/>
        <v>190228</v>
      </c>
      <c r="O1857" s="71" t="s">
        <v>145</v>
      </c>
      <c r="P1857" s="103" t="str">
        <f>(C1857)</f>
        <v>THD200(20L)현상액</v>
      </c>
      <c r="Q1857" s="71">
        <f t="shared" si="967"/>
        <v>5</v>
      </c>
      <c r="R1857" s="102">
        <v>35000</v>
      </c>
      <c r="S1857" s="102">
        <f>(R1857*D1857)*1.1</f>
        <v>192500.00000000003</v>
      </c>
      <c r="T1857" s="102">
        <f>(R1857*Q1857)</f>
        <v>175000</v>
      </c>
      <c r="U1857" s="71" t="str">
        <f t="shared" si="971"/>
        <v>O</v>
      </c>
      <c r="V1857" s="71"/>
      <c r="W1857" s="474">
        <f t="shared" si="970"/>
        <v>97500</v>
      </c>
      <c r="X1857" s="71"/>
      <c r="Y1857" s="71"/>
    </row>
    <row r="1858" spans="1:25" ht="30" hidden="1" customHeight="1" x14ac:dyDescent="0.25">
      <c r="A1858" s="82">
        <v>190228</v>
      </c>
      <c r="B1858" s="664" t="s">
        <v>1061</v>
      </c>
      <c r="C1858" s="71" t="s">
        <v>616</v>
      </c>
      <c r="D1858" s="71">
        <v>200</v>
      </c>
      <c r="E1858" s="102">
        <v>6600</v>
      </c>
      <c r="F1858" s="102">
        <f t="shared" si="968"/>
        <v>1452000.0000000002</v>
      </c>
      <c r="G1858" s="102">
        <f t="shared" si="969"/>
        <v>1320000</v>
      </c>
      <c r="H1858" s="690" t="s">
        <v>142</v>
      </c>
      <c r="I1858" s="71" t="s">
        <v>144</v>
      </c>
      <c r="J1858" s="53">
        <f>(G1858-(VLOOKUP(C1858,Price!B:D,3,FALSE)*D1858))</f>
        <v>140000</v>
      </c>
      <c r="K1858" s="63">
        <f t="shared" si="965"/>
        <v>0.10606060606060604</v>
      </c>
      <c r="L1858" s="871" t="s">
        <v>1653</v>
      </c>
      <c r="M1858" s="468"/>
      <c r="N1858" s="664">
        <f>A1858</f>
        <v>190228</v>
      </c>
      <c r="O1858" s="71" t="s">
        <v>147</v>
      </c>
      <c r="P1858" s="103" t="str">
        <f t="shared" ref="P1858:P1865" si="972">C1858</f>
        <v>프리미어(먹)</v>
      </c>
      <c r="Q1858" s="71">
        <f t="shared" si="967"/>
        <v>200</v>
      </c>
      <c r="R1858" s="102">
        <v>5900</v>
      </c>
      <c r="S1858" s="102">
        <f>R1858*Q1858*1.1</f>
        <v>1298000</v>
      </c>
      <c r="T1858" s="102">
        <f>R1858*Q1858</f>
        <v>1180000</v>
      </c>
      <c r="U1858" s="71" t="str">
        <f t="shared" si="971"/>
        <v>O</v>
      </c>
      <c r="V1858" s="71"/>
      <c r="W1858" s="474">
        <f t="shared" si="970"/>
        <v>140000</v>
      </c>
      <c r="X1858" s="71"/>
      <c r="Y1858" s="71"/>
    </row>
    <row r="1859" spans="1:25" ht="30" hidden="1" customHeight="1" x14ac:dyDescent="0.25">
      <c r="A1859" s="82">
        <v>190228</v>
      </c>
      <c r="B1859" s="664" t="s">
        <v>1052</v>
      </c>
      <c r="C1859" s="71" t="s">
        <v>585</v>
      </c>
      <c r="D1859" s="71">
        <v>200</v>
      </c>
      <c r="E1859" s="102">
        <v>7500</v>
      </c>
      <c r="F1859" s="102">
        <f t="shared" si="968"/>
        <v>1650000.0000000002</v>
      </c>
      <c r="G1859" s="102">
        <f t="shared" si="969"/>
        <v>1500000</v>
      </c>
      <c r="H1859" s="690" t="s">
        <v>142</v>
      </c>
      <c r="I1859" s="71" t="s">
        <v>144</v>
      </c>
      <c r="J1859" s="53">
        <f>(G1859-(VLOOKUP(C1859,Price!B:D,3,FALSE)*D1859))</f>
        <v>146000</v>
      </c>
      <c r="K1859" s="63">
        <f t="shared" si="965"/>
        <v>9.7333333333333313E-2</v>
      </c>
      <c r="L1859" s="871" t="s">
        <v>1653</v>
      </c>
      <c r="M1859" s="468"/>
      <c r="N1859" s="664">
        <f>A1859</f>
        <v>190228</v>
      </c>
      <c r="O1859" s="71" t="s">
        <v>147</v>
      </c>
      <c r="P1859" s="103" t="str">
        <f t="shared" si="972"/>
        <v>프리미어(적)</v>
      </c>
      <c r="Q1859" s="71">
        <f t="shared" si="967"/>
        <v>200</v>
      </c>
      <c r="R1859" s="102">
        <v>6770</v>
      </c>
      <c r="S1859" s="102">
        <f>R1859*Q1859*1.1</f>
        <v>1489400.0000000002</v>
      </c>
      <c r="T1859" s="102">
        <f>R1859*Q1859</f>
        <v>1354000</v>
      </c>
      <c r="U1859" s="71" t="str">
        <f t="shared" si="971"/>
        <v>O</v>
      </c>
      <c r="V1859" s="71"/>
      <c r="W1859" s="474">
        <f t="shared" si="970"/>
        <v>146000</v>
      </c>
      <c r="X1859" s="71"/>
      <c r="Y1859" s="71"/>
    </row>
    <row r="1860" spans="1:25" ht="30" hidden="1" customHeight="1" x14ac:dyDescent="0.25">
      <c r="A1860" s="82">
        <v>190228</v>
      </c>
      <c r="B1860" s="664" t="s">
        <v>1061</v>
      </c>
      <c r="C1860" s="71" t="s">
        <v>586</v>
      </c>
      <c r="D1860" s="71">
        <v>400</v>
      </c>
      <c r="E1860" s="102">
        <v>6750</v>
      </c>
      <c r="F1860" s="102">
        <f t="shared" si="968"/>
        <v>2970000.0000000005</v>
      </c>
      <c r="G1860" s="102">
        <f t="shared" si="969"/>
        <v>2700000</v>
      </c>
      <c r="H1860" s="690" t="s">
        <v>142</v>
      </c>
      <c r="I1860" s="71" t="s">
        <v>144</v>
      </c>
      <c r="J1860" s="53">
        <f t="shared" ref="J1860:J1865" si="973">G1860-T1860</f>
        <v>228000</v>
      </c>
      <c r="K1860" s="63">
        <f t="shared" si="965"/>
        <v>8.4444444444444433E-2</v>
      </c>
      <c r="L1860" s="871" t="s">
        <v>1653</v>
      </c>
      <c r="M1860" s="468"/>
      <c r="N1860" s="664">
        <v>180713</v>
      </c>
      <c r="O1860" s="71" t="s">
        <v>147</v>
      </c>
      <c r="P1860" s="103" t="str">
        <f t="shared" si="972"/>
        <v>프리미어(황)</v>
      </c>
      <c r="Q1860" s="71">
        <f t="shared" si="967"/>
        <v>400</v>
      </c>
      <c r="R1860" s="102">
        <v>6180</v>
      </c>
      <c r="S1860" s="102">
        <f>(R1860*D1860)*1.1</f>
        <v>2719200</v>
      </c>
      <c r="T1860" s="102">
        <f>(R1860*Q1860)</f>
        <v>2472000</v>
      </c>
      <c r="U1860" s="71" t="str">
        <f t="shared" si="971"/>
        <v>O</v>
      </c>
      <c r="V1860" s="71"/>
      <c r="W1860" s="474">
        <f t="shared" si="970"/>
        <v>228000</v>
      </c>
      <c r="X1860" s="71"/>
      <c r="Y1860" s="71"/>
    </row>
    <row r="1861" spans="1:25" ht="30" hidden="1" customHeight="1" x14ac:dyDescent="0.25">
      <c r="A1861" s="82">
        <v>190228</v>
      </c>
      <c r="B1861" s="664" t="s">
        <v>1061</v>
      </c>
      <c r="C1861" s="71" t="s">
        <v>587</v>
      </c>
      <c r="D1861" s="71">
        <v>200</v>
      </c>
      <c r="E1861" s="102">
        <v>8000</v>
      </c>
      <c r="F1861" s="102">
        <f t="shared" si="968"/>
        <v>1760000.0000000002</v>
      </c>
      <c r="G1861" s="102">
        <f t="shared" si="969"/>
        <v>1600000</v>
      </c>
      <c r="H1861" s="690" t="s">
        <v>142</v>
      </c>
      <c r="I1861" s="71" t="s">
        <v>144</v>
      </c>
      <c r="J1861" s="53">
        <f t="shared" si="973"/>
        <v>218000</v>
      </c>
      <c r="K1861" s="63">
        <f t="shared" si="965"/>
        <v>0.13624999999999998</v>
      </c>
      <c r="L1861" s="871" t="s">
        <v>1653</v>
      </c>
      <c r="M1861" s="468"/>
      <c r="N1861" s="664">
        <v>180713</v>
      </c>
      <c r="O1861" s="71" t="s">
        <v>147</v>
      </c>
      <c r="P1861" s="103" t="str">
        <f t="shared" si="972"/>
        <v>프리미어(청)</v>
      </c>
      <c r="Q1861" s="71">
        <f t="shared" si="967"/>
        <v>200</v>
      </c>
      <c r="R1861" s="102">
        <v>6910</v>
      </c>
      <c r="S1861" s="102">
        <f>(R1861*D1861)*1.1</f>
        <v>1520200.0000000002</v>
      </c>
      <c r="T1861" s="102">
        <f>(R1861*Q1861)</f>
        <v>1382000</v>
      </c>
      <c r="U1861" s="71" t="str">
        <f t="shared" si="971"/>
        <v>O</v>
      </c>
      <c r="V1861" s="71"/>
      <c r="W1861" s="474">
        <f t="shared" si="970"/>
        <v>218000</v>
      </c>
      <c r="X1861" s="71"/>
      <c r="Y1861" s="71"/>
    </row>
    <row r="1862" spans="1:25" ht="30" hidden="1" customHeight="1" x14ac:dyDescent="0.25">
      <c r="A1862" s="82">
        <v>190228</v>
      </c>
      <c r="B1862" s="664" t="s">
        <v>1052</v>
      </c>
      <c r="C1862" s="71" t="s">
        <v>1115</v>
      </c>
      <c r="D1862" s="71">
        <v>200</v>
      </c>
      <c r="E1862" s="102">
        <v>6200</v>
      </c>
      <c r="F1862" s="102">
        <f t="shared" si="968"/>
        <v>1364000</v>
      </c>
      <c r="G1862" s="102">
        <f t="shared" si="969"/>
        <v>1240000</v>
      </c>
      <c r="H1862" s="690" t="s">
        <v>142</v>
      </c>
      <c r="I1862" s="71" t="s">
        <v>144</v>
      </c>
      <c r="J1862" s="53">
        <f t="shared" si="973"/>
        <v>20000</v>
      </c>
      <c r="K1862" s="63">
        <f t="shared" si="965"/>
        <v>1.6129032258064516E-2</v>
      </c>
      <c r="L1862" s="871" t="s">
        <v>1653</v>
      </c>
      <c r="M1862" s="468"/>
      <c r="N1862" s="664">
        <f>A1862</f>
        <v>190228</v>
      </c>
      <c r="O1862" s="71" t="s">
        <v>147</v>
      </c>
      <c r="P1862" s="103" t="str">
        <f t="shared" si="972"/>
        <v>한특 잉크(적)</v>
      </c>
      <c r="Q1862" s="71">
        <f t="shared" si="967"/>
        <v>200</v>
      </c>
      <c r="R1862" s="102">
        <v>6100</v>
      </c>
      <c r="S1862" s="102">
        <f>R1862*Q1862*1.1</f>
        <v>1342000</v>
      </c>
      <c r="T1862" s="102">
        <f>R1862*Q1862</f>
        <v>1220000</v>
      </c>
      <c r="U1862" s="71" t="str">
        <f t="shared" si="971"/>
        <v>O</v>
      </c>
      <c r="V1862" s="71"/>
      <c r="W1862" s="474">
        <f t="shared" si="970"/>
        <v>20000</v>
      </c>
      <c r="X1862" s="71"/>
      <c r="Y1862" s="71"/>
    </row>
    <row r="1863" spans="1:25" ht="30" hidden="1" customHeight="1" x14ac:dyDescent="0.25">
      <c r="A1863" s="82">
        <v>190228</v>
      </c>
      <c r="B1863" s="664" t="s">
        <v>1052</v>
      </c>
      <c r="C1863" s="71" t="s">
        <v>1116</v>
      </c>
      <c r="D1863" s="71">
        <v>270</v>
      </c>
      <c r="E1863" s="102">
        <v>6000</v>
      </c>
      <c r="F1863" s="102">
        <f t="shared" si="968"/>
        <v>1782000.0000000002</v>
      </c>
      <c r="G1863" s="102">
        <f t="shared" si="969"/>
        <v>1620000</v>
      </c>
      <c r="H1863" s="690" t="s">
        <v>142</v>
      </c>
      <c r="I1863" s="71" t="s">
        <v>144</v>
      </c>
      <c r="J1863" s="53">
        <f t="shared" si="973"/>
        <v>27000</v>
      </c>
      <c r="K1863" s="63">
        <f t="shared" si="965"/>
        <v>1.6666666666666663E-2</v>
      </c>
      <c r="L1863" s="871" t="s">
        <v>1653</v>
      </c>
      <c r="M1863" s="468"/>
      <c r="N1863" s="664">
        <f>A1863</f>
        <v>190228</v>
      </c>
      <c r="O1863" s="71" t="s">
        <v>147</v>
      </c>
      <c r="P1863" s="103" t="str">
        <f t="shared" si="972"/>
        <v>한특 잉크(황)</v>
      </c>
      <c r="Q1863" s="71">
        <f t="shared" si="967"/>
        <v>270</v>
      </c>
      <c r="R1863" s="102">
        <v>5900</v>
      </c>
      <c r="S1863" s="102">
        <f>R1863*Q1863*1.1</f>
        <v>1752300.0000000002</v>
      </c>
      <c r="T1863" s="102">
        <f>R1863*Q1863</f>
        <v>1593000</v>
      </c>
      <c r="U1863" s="71" t="str">
        <f t="shared" si="971"/>
        <v>O</v>
      </c>
      <c r="V1863" s="71"/>
      <c r="W1863" s="474">
        <f t="shared" si="970"/>
        <v>27000</v>
      </c>
      <c r="X1863" s="71"/>
      <c r="Y1863" s="71"/>
    </row>
    <row r="1864" spans="1:25" ht="30" hidden="1" customHeight="1" x14ac:dyDescent="0.25">
      <c r="A1864" s="82">
        <v>190228</v>
      </c>
      <c r="B1864" s="664" t="s">
        <v>1052</v>
      </c>
      <c r="C1864" s="71" t="s">
        <v>1117</v>
      </c>
      <c r="D1864" s="71">
        <v>200</v>
      </c>
      <c r="E1864" s="102">
        <v>6500</v>
      </c>
      <c r="F1864" s="102">
        <f t="shared" si="968"/>
        <v>1430000</v>
      </c>
      <c r="G1864" s="102">
        <f t="shared" si="969"/>
        <v>1300000</v>
      </c>
      <c r="H1864" s="690" t="s">
        <v>142</v>
      </c>
      <c r="I1864" s="71" t="s">
        <v>144</v>
      </c>
      <c r="J1864" s="53">
        <f t="shared" si="973"/>
        <v>20000</v>
      </c>
      <c r="K1864" s="63">
        <f t="shared" si="965"/>
        <v>1.5384615384615385E-2</v>
      </c>
      <c r="L1864" s="871" t="s">
        <v>1653</v>
      </c>
      <c r="M1864" s="468"/>
      <c r="N1864" s="664">
        <f>A1864</f>
        <v>190228</v>
      </c>
      <c r="O1864" s="71" t="s">
        <v>147</v>
      </c>
      <c r="P1864" s="103" t="str">
        <f t="shared" si="972"/>
        <v>한특 잉크(청)</v>
      </c>
      <c r="Q1864" s="71">
        <f t="shared" si="967"/>
        <v>200</v>
      </c>
      <c r="R1864" s="102">
        <v>6400</v>
      </c>
      <c r="S1864" s="102">
        <f>R1864*Q1864*1.1</f>
        <v>1408000</v>
      </c>
      <c r="T1864" s="102">
        <f>R1864*Q1864</f>
        <v>1280000</v>
      </c>
      <c r="U1864" s="71" t="str">
        <f t="shared" si="971"/>
        <v>O</v>
      </c>
      <c r="V1864" s="71"/>
      <c r="W1864" s="474">
        <f t="shared" si="970"/>
        <v>20000</v>
      </c>
      <c r="X1864" s="71"/>
      <c r="Y1864" s="71"/>
    </row>
    <row r="1865" spans="1:25" ht="30" hidden="1" customHeight="1" x14ac:dyDescent="0.25">
      <c r="A1865" s="82">
        <v>190228</v>
      </c>
      <c r="B1865" s="664" t="s">
        <v>1052</v>
      </c>
      <c r="C1865" s="71" t="s">
        <v>1118</v>
      </c>
      <c r="D1865" s="71">
        <v>170</v>
      </c>
      <c r="E1865" s="102">
        <v>5600</v>
      </c>
      <c r="F1865" s="102">
        <f t="shared" si="968"/>
        <v>1047200.0000000001</v>
      </c>
      <c r="G1865" s="102">
        <f t="shared" si="969"/>
        <v>952000</v>
      </c>
      <c r="H1865" s="690" t="s">
        <v>142</v>
      </c>
      <c r="I1865" s="71" t="s">
        <v>144</v>
      </c>
      <c r="J1865" s="53">
        <f t="shared" si="973"/>
        <v>17000</v>
      </c>
      <c r="K1865" s="63">
        <f t="shared" si="965"/>
        <v>1.7857142857142856E-2</v>
      </c>
      <c r="L1865" s="871" t="s">
        <v>1653</v>
      </c>
      <c r="M1865" s="468"/>
      <c r="N1865" s="664">
        <f>A1865</f>
        <v>190228</v>
      </c>
      <c r="O1865" s="71" t="s">
        <v>147</v>
      </c>
      <c r="P1865" s="103" t="str">
        <f t="shared" si="972"/>
        <v>한특 잉크(먹)</v>
      </c>
      <c r="Q1865" s="71">
        <f t="shared" si="967"/>
        <v>170</v>
      </c>
      <c r="R1865" s="102">
        <v>5500</v>
      </c>
      <c r="S1865" s="102">
        <f>R1865*Q1865*1.1</f>
        <v>1028500.0000000001</v>
      </c>
      <c r="T1865" s="102">
        <f>R1865*Q1865</f>
        <v>935000</v>
      </c>
      <c r="U1865" s="71" t="str">
        <f t="shared" si="971"/>
        <v>O</v>
      </c>
      <c r="V1865" s="71"/>
      <c r="W1865" s="474">
        <f t="shared" si="970"/>
        <v>17000</v>
      </c>
      <c r="X1865" s="71"/>
      <c r="Y1865" s="71"/>
    </row>
    <row r="1866" spans="1:25" s="978" customFormat="1" ht="45" hidden="1" customHeight="1" x14ac:dyDescent="0.25">
      <c r="A1866" s="982" t="s">
        <v>1690</v>
      </c>
      <c r="B1866" s="976" t="s">
        <v>544</v>
      </c>
      <c r="C1866" s="453"/>
      <c r="D1866" s="453"/>
      <c r="E1866" s="454"/>
      <c r="F1866" s="454"/>
      <c r="G1866" s="454"/>
      <c r="H1866" s="455"/>
      <c r="I1866" s="453"/>
      <c r="J1866" s="417"/>
      <c r="K1866" s="418"/>
      <c r="L1866" s="983" t="s">
        <v>1691</v>
      </c>
      <c r="M1866" s="643"/>
      <c r="N1866" s="724" t="str">
        <f>A1866</f>
        <v>2019,3</v>
      </c>
      <c r="O1866" s="453" t="s">
        <v>154</v>
      </c>
      <c r="P1866" s="728"/>
      <c r="Q1866" s="419"/>
      <c r="R1866" s="420"/>
      <c r="S1866" s="417"/>
      <c r="T1866" s="417"/>
      <c r="U1866" s="421"/>
      <c r="V1866" s="421"/>
      <c r="W1866" s="479">
        <f t="shared" si="970"/>
        <v>0</v>
      </c>
      <c r="X1866" s="421"/>
      <c r="Y1866" s="421"/>
    </row>
    <row r="1867" spans="1:25" ht="30" hidden="1" customHeight="1" x14ac:dyDescent="0.25">
      <c r="A1867" s="82">
        <v>190220</v>
      </c>
      <c r="B1867" s="664" t="s">
        <v>1315</v>
      </c>
      <c r="C1867" s="71" t="s">
        <v>800</v>
      </c>
      <c r="D1867" s="71">
        <v>1</v>
      </c>
      <c r="E1867" s="102">
        <v>750000</v>
      </c>
      <c r="F1867" s="102">
        <f t="shared" ref="F1867:F1875" si="974">(E1867*D1867)*1.1</f>
        <v>825000.00000000012</v>
      </c>
      <c r="G1867" s="102">
        <f t="shared" ref="G1867:G1875" si="975">(E1867*D1867)</f>
        <v>750000</v>
      </c>
      <c r="H1867" s="690" t="s">
        <v>1431</v>
      </c>
      <c r="I1867" s="71" t="s">
        <v>1432</v>
      </c>
      <c r="J1867" s="53">
        <f>G1867-T1867</f>
        <v>199794.79547602939</v>
      </c>
      <c r="K1867" s="63">
        <f t="shared" ref="K1867:K1875" si="976">(J1867/(F1867/11*10))</f>
        <v>0.2663930606347058</v>
      </c>
      <c r="L1867" s="871" t="s">
        <v>1750</v>
      </c>
      <c r="M1867" s="468" t="s">
        <v>1439</v>
      </c>
      <c r="N1867" s="664">
        <f t="shared" ref="N1867:N1875" si="977">A1867</f>
        <v>190220</v>
      </c>
      <c r="O1867" s="71" t="s">
        <v>1432</v>
      </c>
      <c r="P1867" s="103" t="str">
        <f t="shared" ref="P1867:P1904" si="978">C1867</f>
        <v>필터 하우징</v>
      </c>
      <c r="Q1867" s="71">
        <f t="shared" ref="Q1867:Q1875" si="979">D1867</f>
        <v>1</v>
      </c>
      <c r="R1867" s="102">
        <f>Import!G665</f>
        <v>550205.20452397061</v>
      </c>
      <c r="S1867" s="102">
        <f t="shared" ref="S1867:S1881" si="980">R1867*Q1867*1.1</f>
        <v>605225.72497636767</v>
      </c>
      <c r="T1867" s="102">
        <f t="shared" ref="T1867:T1881" si="981">R1867*Q1867</f>
        <v>550205.20452397061</v>
      </c>
      <c r="U1867" s="71" t="str">
        <f t="shared" ref="U1867:U1898" si="982">IF(J1867=W1867,"O", "X")</f>
        <v>X</v>
      </c>
      <c r="V1867" s="71"/>
      <c r="W1867" s="474"/>
      <c r="X1867" s="71"/>
      <c r="Y1867" s="71"/>
    </row>
    <row r="1868" spans="1:25" ht="30" hidden="1" customHeight="1" x14ac:dyDescent="0.25">
      <c r="A1868" s="82">
        <v>190305</v>
      </c>
      <c r="B1868" s="664" t="s">
        <v>546</v>
      </c>
      <c r="C1868" s="71" t="s">
        <v>114</v>
      </c>
      <c r="D1868" s="71">
        <v>50</v>
      </c>
      <c r="E1868" s="102">
        <v>18000</v>
      </c>
      <c r="F1868" s="102">
        <f t="shared" si="974"/>
        <v>990000.00000000012</v>
      </c>
      <c r="G1868" s="102">
        <f t="shared" si="975"/>
        <v>900000</v>
      </c>
      <c r="H1868" s="690" t="s">
        <v>1431</v>
      </c>
      <c r="I1868" s="71" t="s">
        <v>1431</v>
      </c>
      <c r="J1868" s="53">
        <f>G1868-T1868</f>
        <v>450000</v>
      </c>
      <c r="K1868" s="63">
        <f t="shared" si="976"/>
        <v>0.49999999999999994</v>
      </c>
      <c r="L1868" s="871" t="s">
        <v>1691</v>
      </c>
      <c r="M1868" s="468" t="s">
        <v>1891</v>
      </c>
      <c r="N1868" s="664">
        <f t="shared" si="977"/>
        <v>190305</v>
      </c>
      <c r="O1868" s="71" t="s">
        <v>1431</v>
      </c>
      <c r="P1868" s="103" t="str">
        <f t="shared" si="978"/>
        <v>스트리퍼</v>
      </c>
      <c r="Q1868" s="71">
        <f t="shared" si="979"/>
        <v>50</v>
      </c>
      <c r="R1868" s="102">
        <v>9000</v>
      </c>
      <c r="S1868" s="102">
        <f t="shared" si="980"/>
        <v>495000.00000000006</v>
      </c>
      <c r="T1868" s="102">
        <f t="shared" si="981"/>
        <v>450000</v>
      </c>
      <c r="U1868" s="71" t="str">
        <f t="shared" si="982"/>
        <v>X</v>
      </c>
      <c r="V1868" s="71"/>
      <c r="W1868" s="474"/>
      <c r="X1868" s="71"/>
      <c r="Y1868" s="71"/>
    </row>
    <row r="1869" spans="1:25" ht="30" hidden="1" customHeight="1" x14ac:dyDescent="0.25">
      <c r="A1869" s="82">
        <v>190305</v>
      </c>
      <c r="B1869" s="664" t="s">
        <v>546</v>
      </c>
      <c r="C1869" s="71" t="s">
        <v>1753</v>
      </c>
      <c r="D1869" s="71">
        <v>30</v>
      </c>
      <c r="E1869" s="102">
        <v>21000</v>
      </c>
      <c r="F1869" s="102">
        <f t="shared" si="974"/>
        <v>693000</v>
      </c>
      <c r="G1869" s="102">
        <f t="shared" si="975"/>
        <v>630000</v>
      </c>
      <c r="H1869" s="690" t="s">
        <v>1431</v>
      </c>
      <c r="I1869" s="71" t="s">
        <v>1431</v>
      </c>
      <c r="J1869" s="53">
        <f>G1869-T1869</f>
        <v>365872.72937711491</v>
      </c>
      <c r="K1869" s="63">
        <f t="shared" si="976"/>
        <v>0.58075036409065861</v>
      </c>
      <c r="L1869" s="871" t="s">
        <v>1691</v>
      </c>
      <c r="M1869" s="468"/>
      <c r="N1869" s="664">
        <f t="shared" si="977"/>
        <v>190305</v>
      </c>
      <c r="O1869" s="71" t="s">
        <v>1431</v>
      </c>
      <c r="P1869" s="103" t="str">
        <f t="shared" si="978"/>
        <v>체인 링크</v>
      </c>
      <c r="Q1869" s="71">
        <f t="shared" si="979"/>
        <v>30</v>
      </c>
      <c r="R1869" s="102">
        <f>Import!G162</f>
        <v>8804.2423540961699</v>
      </c>
      <c r="S1869" s="102">
        <f t="shared" si="980"/>
        <v>290539.99768517364</v>
      </c>
      <c r="T1869" s="102">
        <f t="shared" si="981"/>
        <v>264127.27062288509</v>
      </c>
      <c r="U1869" s="71" t="str">
        <f t="shared" si="982"/>
        <v>X</v>
      </c>
      <c r="V1869" s="71"/>
      <c r="W1869" s="474"/>
      <c r="X1869" s="71"/>
      <c r="Y1869" s="71"/>
    </row>
    <row r="1870" spans="1:25" ht="30" hidden="1" customHeight="1" x14ac:dyDescent="0.25">
      <c r="A1870" s="82">
        <v>190305</v>
      </c>
      <c r="B1870" s="664" t="s">
        <v>546</v>
      </c>
      <c r="C1870" s="71" t="s">
        <v>1752</v>
      </c>
      <c r="D1870" s="71">
        <v>3</v>
      </c>
      <c r="E1870" s="102">
        <v>497000</v>
      </c>
      <c r="F1870" s="102">
        <f t="shared" si="974"/>
        <v>1640100.0000000002</v>
      </c>
      <c r="G1870" s="102">
        <f t="shared" si="975"/>
        <v>1491000</v>
      </c>
      <c r="H1870" s="690" t="s">
        <v>1431</v>
      </c>
      <c r="I1870" s="71" t="s">
        <v>1431</v>
      </c>
      <c r="J1870" s="53">
        <f>G1870-T1870</f>
        <v>291000</v>
      </c>
      <c r="K1870" s="63">
        <f t="shared" si="976"/>
        <v>0.19517102615694162</v>
      </c>
      <c r="L1870" s="871" t="s">
        <v>1691</v>
      </c>
      <c r="M1870" s="468"/>
      <c r="N1870" s="664">
        <f t="shared" si="977"/>
        <v>190305</v>
      </c>
      <c r="O1870" s="71" t="s">
        <v>150</v>
      </c>
      <c r="P1870" s="103" t="str">
        <f t="shared" si="978"/>
        <v>잉크 키 모터</v>
      </c>
      <c r="Q1870" s="71">
        <f t="shared" si="979"/>
        <v>3</v>
      </c>
      <c r="R1870" s="102">
        <v>400000</v>
      </c>
      <c r="S1870" s="102">
        <f t="shared" si="980"/>
        <v>1320000</v>
      </c>
      <c r="T1870" s="102">
        <f t="shared" si="981"/>
        <v>1200000</v>
      </c>
      <c r="U1870" s="71" t="str">
        <f t="shared" si="982"/>
        <v>X</v>
      </c>
      <c r="V1870" s="71"/>
      <c r="W1870" s="474"/>
      <c r="X1870" s="71"/>
      <c r="Y1870" s="71"/>
    </row>
    <row r="1871" spans="1:25" ht="30" hidden="1" customHeight="1" x14ac:dyDescent="0.25">
      <c r="A1871" s="82">
        <v>190305</v>
      </c>
      <c r="B1871" s="664" t="s">
        <v>546</v>
      </c>
      <c r="C1871" s="71" t="s">
        <v>1121</v>
      </c>
      <c r="D1871" s="71">
        <v>3</v>
      </c>
      <c r="E1871" s="102">
        <v>143000</v>
      </c>
      <c r="F1871" s="102">
        <f t="shared" si="974"/>
        <v>471900.00000000006</v>
      </c>
      <c r="G1871" s="102">
        <f t="shared" si="975"/>
        <v>429000</v>
      </c>
      <c r="H1871" s="690" t="s">
        <v>1431</v>
      </c>
      <c r="I1871" s="71" t="s">
        <v>1431</v>
      </c>
      <c r="J1871" s="53">
        <f>G1871-T1871</f>
        <v>129000</v>
      </c>
      <c r="K1871" s="63">
        <f t="shared" si="976"/>
        <v>0.30069930069930068</v>
      </c>
      <c r="L1871" s="871" t="s">
        <v>1750</v>
      </c>
      <c r="M1871" s="468"/>
      <c r="N1871" s="664">
        <f t="shared" si="977"/>
        <v>190305</v>
      </c>
      <c r="O1871" s="71" t="s">
        <v>150</v>
      </c>
      <c r="P1871" s="103" t="str">
        <f t="shared" si="978"/>
        <v>포텐시오미터</v>
      </c>
      <c r="Q1871" s="71">
        <f t="shared" si="979"/>
        <v>3</v>
      </c>
      <c r="R1871" s="102">
        <v>100000</v>
      </c>
      <c r="S1871" s="102">
        <f t="shared" si="980"/>
        <v>330000</v>
      </c>
      <c r="T1871" s="102">
        <f t="shared" si="981"/>
        <v>300000</v>
      </c>
      <c r="U1871" s="71" t="str">
        <f t="shared" si="982"/>
        <v>X</v>
      </c>
      <c r="V1871" s="71"/>
      <c r="W1871" s="474"/>
      <c r="X1871" s="71"/>
      <c r="Y1871" s="71"/>
    </row>
    <row r="1872" spans="1:25" s="209" customFormat="1" ht="30" hidden="1" customHeight="1" x14ac:dyDescent="0.25">
      <c r="A1872" s="82">
        <v>190306</v>
      </c>
      <c r="B1872" s="664" t="s">
        <v>764</v>
      </c>
      <c r="C1872" s="71" t="s">
        <v>236</v>
      </c>
      <c r="D1872" s="71">
        <v>5</v>
      </c>
      <c r="E1872" s="102">
        <v>100000</v>
      </c>
      <c r="F1872" s="102">
        <f t="shared" si="974"/>
        <v>550000</v>
      </c>
      <c r="G1872" s="102">
        <f t="shared" si="975"/>
        <v>500000</v>
      </c>
      <c r="H1872" s="690" t="s">
        <v>173</v>
      </c>
      <c r="I1872" s="71" t="s">
        <v>2231</v>
      </c>
      <c r="J1872" s="53">
        <f>(G1872-(VLOOKUP(C1872,Price!B:D,3,FALSE)*D1872))</f>
        <v>250000</v>
      </c>
      <c r="K1872" s="63">
        <f t="shared" si="976"/>
        <v>0.5</v>
      </c>
      <c r="L1872" s="871" t="s">
        <v>1750</v>
      </c>
      <c r="M1872" s="468"/>
      <c r="N1872" s="664">
        <f t="shared" si="977"/>
        <v>190306</v>
      </c>
      <c r="O1872" s="71" t="s">
        <v>153</v>
      </c>
      <c r="P1872" s="103" t="str">
        <f t="shared" si="978"/>
        <v>아스테이지(국전)</v>
      </c>
      <c r="Q1872" s="71">
        <f t="shared" si="979"/>
        <v>5</v>
      </c>
      <c r="R1872" s="102">
        <f>VLOOKUP(P1872,Price!B:D,3,FALSE)</f>
        <v>50000</v>
      </c>
      <c r="S1872" s="102">
        <f t="shared" si="980"/>
        <v>275000</v>
      </c>
      <c r="T1872" s="102">
        <f t="shared" si="981"/>
        <v>250000</v>
      </c>
      <c r="U1872" s="71" t="str">
        <f t="shared" si="982"/>
        <v>O</v>
      </c>
      <c r="V1872" s="71"/>
      <c r="W1872" s="474">
        <f>(G1872-T1872)</f>
        <v>250000</v>
      </c>
      <c r="X1872" s="71"/>
      <c r="Y1872" s="71"/>
    </row>
    <row r="1873" spans="1:25" ht="30" hidden="1" customHeight="1" x14ac:dyDescent="0.25">
      <c r="A1873" s="82">
        <v>190306</v>
      </c>
      <c r="B1873" s="664" t="s">
        <v>1220</v>
      </c>
      <c r="C1873" s="71" t="s">
        <v>1751</v>
      </c>
      <c r="D1873" s="71">
        <v>1</v>
      </c>
      <c r="E1873" s="102">
        <v>1500000</v>
      </c>
      <c r="F1873" s="102">
        <f t="shared" si="974"/>
        <v>1650000.0000000002</v>
      </c>
      <c r="G1873" s="102">
        <f t="shared" si="975"/>
        <v>1500000</v>
      </c>
      <c r="H1873" s="690" t="s">
        <v>1431</v>
      </c>
      <c r="I1873" s="71" t="s">
        <v>1431</v>
      </c>
      <c r="J1873" s="53">
        <f>G1873-T1873</f>
        <v>463734.59562288516</v>
      </c>
      <c r="K1873" s="63">
        <f t="shared" si="976"/>
        <v>0.30915639708192338</v>
      </c>
      <c r="L1873" s="871" t="s">
        <v>1750</v>
      </c>
      <c r="M1873" s="468"/>
      <c r="N1873" s="664">
        <f t="shared" si="977"/>
        <v>190306</v>
      </c>
      <c r="O1873" s="71" t="s">
        <v>1431</v>
      </c>
      <c r="P1873" s="103" t="str">
        <f t="shared" si="978"/>
        <v>Analog Output Module</v>
      </c>
      <c r="Q1873" s="71">
        <f t="shared" si="979"/>
        <v>1</v>
      </c>
      <c r="R1873" s="102">
        <f>Import!G163</f>
        <v>1036265.4043771148</v>
      </c>
      <c r="S1873" s="102">
        <f t="shared" si="980"/>
        <v>1139891.9448148264</v>
      </c>
      <c r="T1873" s="102">
        <f t="shared" si="981"/>
        <v>1036265.4043771148</v>
      </c>
      <c r="U1873" s="71" t="str">
        <f t="shared" si="982"/>
        <v>X</v>
      </c>
      <c r="V1873" s="71"/>
      <c r="W1873" s="474"/>
      <c r="X1873" s="71"/>
      <c r="Y1873" s="71"/>
    </row>
    <row r="1874" spans="1:25" ht="30" hidden="1" customHeight="1" x14ac:dyDescent="0.25">
      <c r="A1874" s="82">
        <v>190306</v>
      </c>
      <c r="B1874" s="664" t="s">
        <v>1220</v>
      </c>
      <c r="C1874" s="71" t="s">
        <v>123</v>
      </c>
      <c r="D1874" s="71">
        <v>5</v>
      </c>
      <c r="E1874" s="102">
        <v>35000</v>
      </c>
      <c r="F1874" s="102">
        <f t="shared" si="974"/>
        <v>192500.00000000003</v>
      </c>
      <c r="G1874" s="102">
        <f t="shared" si="975"/>
        <v>175000</v>
      </c>
      <c r="H1874" s="690" t="s">
        <v>1432</v>
      </c>
      <c r="I1874" s="71" t="s">
        <v>1432</v>
      </c>
      <c r="J1874" s="53">
        <f>G1874-T1874</f>
        <v>85962.503969614758</v>
      </c>
      <c r="K1874" s="63">
        <f t="shared" si="976"/>
        <v>0.49121430839779856</v>
      </c>
      <c r="L1874" s="871" t="s">
        <v>1750</v>
      </c>
      <c r="M1874" s="468"/>
      <c r="N1874" s="664">
        <f t="shared" si="977"/>
        <v>190306</v>
      </c>
      <c r="O1874" s="71" t="s">
        <v>1432</v>
      </c>
      <c r="P1874" s="103" t="str">
        <f t="shared" si="978"/>
        <v>필터백</v>
      </c>
      <c r="Q1874" s="71">
        <f t="shared" si="979"/>
        <v>5</v>
      </c>
      <c r="R1874" s="102">
        <f>Import!G653</f>
        <v>17807.499206077049</v>
      </c>
      <c r="S1874" s="102">
        <f t="shared" si="980"/>
        <v>97941.24563342378</v>
      </c>
      <c r="T1874" s="102">
        <f t="shared" si="981"/>
        <v>89037.496030385242</v>
      </c>
      <c r="U1874" s="71" t="str">
        <f t="shared" si="982"/>
        <v>X</v>
      </c>
      <c r="V1874" s="71"/>
      <c r="W1874" s="474"/>
      <c r="X1874" s="71"/>
      <c r="Y1874" s="71"/>
    </row>
    <row r="1875" spans="1:25" ht="30" hidden="1" customHeight="1" x14ac:dyDescent="0.25">
      <c r="A1875" s="82">
        <v>190306</v>
      </c>
      <c r="B1875" s="664" t="s">
        <v>548</v>
      </c>
      <c r="C1875" s="71" t="s">
        <v>1754</v>
      </c>
      <c r="D1875" s="71">
        <v>5</v>
      </c>
      <c r="E1875" s="102">
        <v>144000</v>
      </c>
      <c r="F1875" s="102">
        <f t="shared" si="974"/>
        <v>792000.00000000012</v>
      </c>
      <c r="G1875" s="102">
        <f t="shared" si="975"/>
        <v>720000</v>
      </c>
      <c r="H1875" s="690" t="s">
        <v>173</v>
      </c>
      <c r="I1875" s="71" t="s">
        <v>108</v>
      </c>
      <c r="J1875" s="53">
        <f>G1875-T1875</f>
        <v>180000</v>
      </c>
      <c r="K1875" s="63">
        <f t="shared" si="976"/>
        <v>0.24999999999999997</v>
      </c>
      <c r="L1875" s="871" t="s">
        <v>1750</v>
      </c>
      <c r="M1875" s="468"/>
      <c r="N1875" s="664">
        <f t="shared" si="977"/>
        <v>190306</v>
      </c>
      <c r="O1875" s="71" t="s">
        <v>149</v>
      </c>
      <c r="P1875" s="103" t="str">
        <f t="shared" si="978"/>
        <v>판 클리너(12개)</v>
      </c>
      <c r="Q1875" s="71">
        <f t="shared" si="979"/>
        <v>5</v>
      </c>
      <c r="R1875" s="102">
        <v>108000</v>
      </c>
      <c r="S1875" s="102">
        <f t="shared" si="980"/>
        <v>594000</v>
      </c>
      <c r="T1875" s="102">
        <f t="shared" si="981"/>
        <v>540000</v>
      </c>
      <c r="U1875" s="71" t="str">
        <f t="shared" si="982"/>
        <v>X</v>
      </c>
      <c r="V1875" s="71"/>
      <c r="W1875" s="474"/>
      <c r="X1875" s="71"/>
      <c r="Y1875" s="71"/>
    </row>
    <row r="1876" spans="1:25" ht="30" hidden="1" customHeight="1" x14ac:dyDescent="0.25">
      <c r="A1876" s="82">
        <v>190306</v>
      </c>
      <c r="B1876" s="664" t="s">
        <v>631</v>
      </c>
      <c r="C1876" s="67" t="s">
        <v>201</v>
      </c>
      <c r="D1876" s="71">
        <v>10</v>
      </c>
      <c r="E1876" s="102">
        <v>75000</v>
      </c>
      <c r="F1876" s="102">
        <f t="shared" ref="F1876:F1886" si="983">(E1876*D1876)*1.1</f>
        <v>825000.00000000012</v>
      </c>
      <c r="G1876" s="102">
        <f t="shared" ref="G1876:G1886" si="984">(E1876*D1876)</f>
        <v>750000</v>
      </c>
      <c r="H1876" s="690" t="s">
        <v>173</v>
      </c>
      <c r="I1876" s="71" t="s">
        <v>109</v>
      </c>
      <c r="J1876" s="53">
        <f>(G1876-(VLOOKUP(C1876,Price!B:D,3,FALSE)*D1876))</f>
        <v>200000</v>
      </c>
      <c r="K1876" s="63">
        <f t="shared" ref="K1876:K1886" si="985">(J1876/(F1876/11*10))</f>
        <v>0.26666666666666661</v>
      </c>
      <c r="L1876" s="871" t="s">
        <v>1750</v>
      </c>
      <c r="M1876" s="468"/>
      <c r="N1876" s="664">
        <f t="shared" ref="N1876:N1887" si="986">A1876</f>
        <v>190306</v>
      </c>
      <c r="O1876" s="71" t="s">
        <v>149</v>
      </c>
      <c r="P1876" s="103" t="str">
        <f t="shared" si="978"/>
        <v>Bar블랑켓 730*710</v>
      </c>
      <c r="Q1876" s="71">
        <f t="shared" ref="Q1876:Q1881" si="987">D1876</f>
        <v>10</v>
      </c>
      <c r="R1876" s="102">
        <v>55000</v>
      </c>
      <c r="S1876" s="102">
        <f t="shared" si="980"/>
        <v>605000</v>
      </c>
      <c r="T1876" s="102">
        <f t="shared" si="981"/>
        <v>550000</v>
      </c>
      <c r="U1876" s="71" t="str">
        <f t="shared" si="982"/>
        <v>O</v>
      </c>
      <c r="V1876" s="71"/>
      <c r="W1876" s="474">
        <f>(G1876-T1876)</f>
        <v>200000</v>
      </c>
      <c r="X1876" s="71"/>
      <c r="Y1876" s="71"/>
    </row>
    <row r="1877" spans="1:25" ht="30" hidden="1" customHeight="1" x14ac:dyDescent="0.25">
      <c r="A1877" s="82">
        <v>190306</v>
      </c>
      <c r="B1877" s="664" t="s">
        <v>1045</v>
      </c>
      <c r="C1877" s="71" t="s">
        <v>123</v>
      </c>
      <c r="D1877" s="71">
        <v>3</v>
      </c>
      <c r="E1877" s="102">
        <v>35000</v>
      </c>
      <c r="F1877" s="102">
        <f t="shared" si="983"/>
        <v>115500.00000000001</v>
      </c>
      <c r="G1877" s="102">
        <f t="shared" si="984"/>
        <v>105000</v>
      </c>
      <c r="H1877" s="1010" t="s">
        <v>39</v>
      </c>
      <c r="I1877" s="71" t="s">
        <v>1432</v>
      </c>
      <c r="J1877" s="53">
        <f>(G1877-(VLOOKUP(C1877,Import!C:G,4,FALSE)*D1877))</f>
        <v>105000</v>
      </c>
      <c r="K1877" s="63">
        <f t="shared" si="985"/>
        <v>0.99999999999999989</v>
      </c>
      <c r="L1877" s="871" t="s">
        <v>1750</v>
      </c>
      <c r="M1877" s="468"/>
      <c r="N1877" s="664">
        <f t="shared" si="986"/>
        <v>190306</v>
      </c>
      <c r="O1877" s="991" t="s">
        <v>39</v>
      </c>
      <c r="P1877" s="103" t="str">
        <f t="shared" si="978"/>
        <v>필터백</v>
      </c>
      <c r="Q1877" s="71">
        <f t="shared" si="987"/>
        <v>3</v>
      </c>
      <c r="R1877" s="102">
        <f>VLOOKUP(P1877,Price!B:D,3,FALSE)</f>
        <v>22461</v>
      </c>
      <c r="S1877" s="102">
        <f t="shared" si="980"/>
        <v>74121.3</v>
      </c>
      <c r="T1877" s="102">
        <f t="shared" si="981"/>
        <v>67383</v>
      </c>
      <c r="U1877" s="71" t="str">
        <f t="shared" si="982"/>
        <v>X</v>
      </c>
      <c r="V1877" s="71"/>
      <c r="W1877" s="474">
        <f>(G1877-T1877)</f>
        <v>37617</v>
      </c>
      <c r="X1877" s="71"/>
      <c r="Y1877" s="71"/>
    </row>
    <row r="1878" spans="1:25" ht="30" hidden="1" customHeight="1" x14ac:dyDescent="0.25">
      <c r="A1878" s="82">
        <v>190307</v>
      </c>
      <c r="B1878" s="664" t="s">
        <v>1178</v>
      </c>
      <c r="C1878" s="71" t="s">
        <v>1797</v>
      </c>
      <c r="D1878" s="71">
        <v>1</v>
      </c>
      <c r="E1878" s="102">
        <v>6210000</v>
      </c>
      <c r="F1878" s="102">
        <f t="shared" si="983"/>
        <v>6831000.0000000009</v>
      </c>
      <c r="G1878" s="102">
        <f t="shared" si="984"/>
        <v>6210000</v>
      </c>
      <c r="H1878" s="1010" t="s">
        <v>142</v>
      </c>
      <c r="I1878" s="71" t="s">
        <v>142</v>
      </c>
      <c r="J1878" s="53">
        <f>G1878-T1878</f>
        <v>4014000</v>
      </c>
      <c r="K1878" s="63">
        <f>(J1878/(F1878/11*10))</f>
        <v>0.64637681159420279</v>
      </c>
      <c r="L1878" s="871" t="s">
        <v>1750</v>
      </c>
      <c r="M1878" s="468" t="s">
        <v>1798</v>
      </c>
      <c r="N1878" s="664">
        <f t="shared" si="986"/>
        <v>190307</v>
      </c>
      <c r="O1878" s="991" t="s">
        <v>1661</v>
      </c>
      <c r="P1878" s="103" t="str">
        <f t="shared" si="978"/>
        <v>플렉소 유니트 소모품</v>
      </c>
      <c r="Q1878" s="71">
        <f t="shared" si="987"/>
        <v>1</v>
      </c>
      <c r="R1878" s="102">
        <v>2196000</v>
      </c>
      <c r="S1878" s="102">
        <f t="shared" si="980"/>
        <v>2415600</v>
      </c>
      <c r="T1878" s="102">
        <f t="shared" si="981"/>
        <v>2196000</v>
      </c>
      <c r="U1878" s="71" t="str">
        <f t="shared" si="982"/>
        <v>X</v>
      </c>
      <c r="V1878" s="71"/>
      <c r="W1878" s="474"/>
      <c r="X1878" s="71"/>
      <c r="Y1878" s="71"/>
    </row>
    <row r="1879" spans="1:25" ht="30" hidden="1" customHeight="1" x14ac:dyDescent="0.25">
      <c r="A1879" s="82">
        <v>190307</v>
      </c>
      <c r="B1879" s="664" t="s">
        <v>545</v>
      </c>
      <c r="C1879" s="71" t="s">
        <v>952</v>
      </c>
      <c r="D1879" s="71">
        <v>1</v>
      </c>
      <c r="E1879" s="102">
        <v>630000</v>
      </c>
      <c r="F1879" s="102">
        <f t="shared" si="983"/>
        <v>693000</v>
      </c>
      <c r="G1879" s="102">
        <f t="shared" si="984"/>
        <v>630000</v>
      </c>
      <c r="H1879" s="690" t="s">
        <v>173</v>
      </c>
      <c r="I1879" s="71" t="s">
        <v>108</v>
      </c>
      <c r="J1879" s="53">
        <f>(G1879-(VLOOKUP(C1879,Price!B:D,3,FALSE)*D1879))</f>
        <v>180000</v>
      </c>
      <c r="K1879" s="63">
        <f t="shared" si="985"/>
        <v>0.2857142857142857</v>
      </c>
      <c r="L1879" s="871" t="s">
        <v>1750</v>
      </c>
      <c r="M1879" s="468"/>
      <c r="N1879" s="664">
        <f t="shared" si="986"/>
        <v>190307</v>
      </c>
      <c r="O1879" s="71" t="s">
        <v>599</v>
      </c>
      <c r="P1879" s="103" t="str">
        <f t="shared" si="978"/>
        <v>점보롤 세정포</v>
      </c>
      <c r="Q1879" s="71">
        <f t="shared" si="987"/>
        <v>1</v>
      </c>
      <c r="R1879" s="102">
        <v>440000</v>
      </c>
      <c r="S1879" s="102">
        <f t="shared" si="980"/>
        <v>484000.00000000006</v>
      </c>
      <c r="T1879" s="102">
        <f t="shared" si="981"/>
        <v>440000</v>
      </c>
      <c r="U1879" s="71" t="str">
        <f t="shared" si="982"/>
        <v>X</v>
      </c>
      <c r="V1879" s="71" t="s">
        <v>1228</v>
      </c>
      <c r="W1879" s="474">
        <f t="shared" ref="W1879:W1886" si="988">(G1879-T1879)</f>
        <v>190000</v>
      </c>
      <c r="X1879" s="71"/>
      <c r="Y1879" s="71"/>
    </row>
    <row r="1880" spans="1:25" ht="30" hidden="1" customHeight="1" x14ac:dyDescent="0.25">
      <c r="A1880" s="82">
        <v>190308</v>
      </c>
      <c r="B1880" s="664" t="s">
        <v>983</v>
      </c>
      <c r="C1880" s="71" t="s">
        <v>1009</v>
      </c>
      <c r="D1880" s="71">
        <v>520</v>
      </c>
      <c r="E1880" s="102">
        <v>3900</v>
      </c>
      <c r="F1880" s="102">
        <f>(E1880*D1880)*1.1</f>
        <v>2230800</v>
      </c>
      <c r="G1880" s="102">
        <f t="shared" si="984"/>
        <v>2028000</v>
      </c>
      <c r="H1880" s="690" t="s">
        <v>173</v>
      </c>
      <c r="I1880" s="71" t="s">
        <v>2230</v>
      </c>
      <c r="J1880" s="53">
        <f>G1880-T1880</f>
        <v>312000</v>
      </c>
      <c r="K1880" s="63">
        <f t="shared" si="985"/>
        <v>0.15384615384615385</v>
      </c>
      <c r="L1880" s="871" t="s">
        <v>1750</v>
      </c>
      <c r="M1880" s="468"/>
      <c r="N1880" s="664">
        <f t="shared" si="986"/>
        <v>190308</v>
      </c>
      <c r="O1880" s="71" t="s">
        <v>147</v>
      </c>
      <c r="P1880" s="103" t="str">
        <f t="shared" si="978"/>
        <v>CTP판(1030*790mm)</v>
      </c>
      <c r="Q1880" s="71">
        <f t="shared" si="987"/>
        <v>520</v>
      </c>
      <c r="R1880" s="102">
        <v>3300</v>
      </c>
      <c r="S1880" s="102">
        <f t="shared" si="980"/>
        <v>1887600.0000000002</v>
      </c>
      <c r="T1880" s="102">
        <f t="shared" si="981"/>
        <v>1716000</v>
      </c>
      <c r="U1880" s="71" t="str">
        <f t="shared" si="982"/>
        <v>O</v>
      </c>
      <c r="V1880" s="71"/>
      <c r="W1880" s="474">
        <f t="shared" si="988"/>
        <v>312000</v>
      </c>
      <c r="X1880" s="71"/>
      <c r="Y1880" s="71"/>
    </row>
    <row r="1881" spans="1:25" ht="30" hidden="1" customHeight="1" x14ac:dyDescent="0.25">
      <c r="A1881" s="82">
        <v>190308</v>
      </c>
      <c r="B1881" s="664" t="s">
        <v>983</v>
      </c>
      <c r="C1881" s="71" t="s">
        <v>984</v>
      </c>
      <c r="D1881" s="71">
        <v>5</v>
      </c>
      <c r="E1881" s="102">
        <v>45000</v>
      </c>
      <c r="F1881" s="102">
        <f>(E1881*D1881)*1.1</f>
        <v>247500.00000000003</v>
      </c>
      <c r="G1881" s="102">
        <f t="shared" si="984"/>
        <v>225000</v>
      </c>
      <c r="H1881" s="690" t="s">
        <v>173</v>
      </c>
      <c r="I1881" s="71" t="s">
        <v>2230</v>
      </c>
      <c r="J1881" s="53">
        <f>G1881-T1881</f>
        <v>50000</v>
      </c>
      <c r="K1881" s="63">
        <f t="shared" si="985"/>
        <v>0.22222222222222218</v>
      </c>
      <c r="L1881" s="871" t="s">
        <v>1750</v>
      </c>
      <c r="M1881" s="468"/>
      <c r="N1881" s="664">
        <f t="shared" si="986"/>
        <v>190308</v>
      </c>
      <c r="O1881" s="71" t="s">
        <v>147</v>
      </c>
      <c r="P1881" s="103" t="str">
        <f t="shared" si="978"/>
        <v>CTP 현상액</v>
      </c>
      <c r="Q1881" s="71">
        <f t="shared" si="987"/>
        <v>5</v>
      </c>
      <c r="R1881" s="102">
        <v>35000</v>
      </c>
      <c r="S1881" s="102">
        <f t="shared" si="980"/>
        <v>192500.00000000003</v>
      </c>
      <c r="T1881" s="102">
        <f t="shared" si="981"/>
        <v>175000</v>
      </c>
      <c r="U1881" s="71" t="str">
        <f t="shared" si="982"/>
        <v>O</v>
      </c>
      <c r="V1881" s="71"/>
      <c r="W1881" s="474">
        <f t="shared" si="988"/>
        <v>50000</v>
      </c>
      <c r="X1881" s="71"/>
      <c r="Y1881" s="71"/>
    </row>
    <row r="1882" spans="1:25" s="209" customFormat="1" ht="30" customHeight="1" x14ac:dyDescent="0.2">
      <c r="A1882" s="82">
        <v>190308</v>
      </c>
      <c r="B1882" s="664" t="s">
        <v>422</v>
      </c>
      <c r="C1882" s="71" t="s">
        <v>130</v>
      </c>
      <c r="D1882" s="71">
        <v>10</v>
      </c>
      <c r="E1882" s="102">
        <v>125000</v>
      </c>
      <c r="F1882" s="163">
        <f t="shared" si="983"/>
        <v>1375000</v>
      </c>
      <c r="G1882" s="102">
        <f t="shared" si="984"/>
        <v>1250000</v>
      </c>
      <c r="H1882" s="165" t="s">
        <v>172</v>
      </c>
      <c r="I1882" s="71" t="s">
        <v>109</v>
      </c>
      <c r="J1882" s="53">
        <f>(G1882-(VLOOKUP(C1882,Price!B:D,3,FALSE)*D1882))</f>
        <v>260000</v>
      </c>
      <c r="K1882" s="63">
        <f t="shared" si="985"/>
        <v>0.20799999999999999</v>
      </c>
      <c r="L1882" s="871" t="s">
        <v>1750</v>
      </c>
      <c r="M1882" s="468"/>
      <c r="N1882" s="664">
        <f t="shared" si="986"/>
        <v>190308</v>
      </c>
      <c r="O1882" s="71" t="s">
        <v>150</v>
      </c>
      <c r="P1882" s="103" t="str">
        <f t="shared" si="978"/>
        <v>XL106 Blanket(1077*885)</v>
      </c>
      <c r="Q1882" s="71">
        <f t="shared" ref="Q1882:Q1911" si="989">D1882</f>
        <v>10</v>
      </c>
      <c r="R1882" s="102">
        <v>99000</v>
      </c>
      <c r="S1882" s="102">
        <f>(R1882*D1882)*1.1</f>
        <v>1089000</v>
      </c>
      <c r="T1882" s="102">
        <f>(R1882*Q1882)</f>
        <v>990000</v>
      </c>
      <c r="U1882" s="71" t="str">
        <f t="shared" si="982"/>
        <v>O</v>
      </c>
      <c r="V1882" s="71"/>
      <c r="W1882" s="474">
        <f t="shared" si="988"/>
        <v>260000</v>
      </c>
      <c r="X1882" s="71"/>
      <c r="Y1882" s="71"/>
    </row>
    <row r="1883" spans="1:25" ht="30" customHeight="1" x14ac:dyDescent="0.25">
      <c r="A1883" s="82">
        <v>190308</v>
      </c>
      <c r="B1883" s="664" t="s">
        <v>422</v>
      </c>
      <c r="C1883" s="71" t="s">
        <v>129</v>
      </c>
      <c r="D1883" s="71">
        <v>7</v>
      </c>
      <c r="E1883" s="102">
        <v>272000</v>
      </c>
      <c r="F1883" s="102">
        <f t="shared" si="983"/>
        <v>2094400.0000000002</v>
      </c>
      <c r="G1883" s="102">
        <f t="shared" si="984"/>
        <v>1904000</v>
      </c>
      <c r="H1883" s="690" t="s">
        <v>173</v>
      </c>
      <c r="I1883" s="71" t="s">
        <v>108</v>
      </c>
      <c r="J1883" s="53">
        <f>(G1883-(VLOOKUP(C1883,Price!B:D,3,FALSE)*D1883))</f>
        <v>448000</v>
      </c>
      <c r="K1883" s="63">
        <f t="shared" si="985"/>
        <v>0.23529411764705879</v>
      </c>
      <c r="L1883" s="871" t="s">
        <v>1750</v>
      </c>
      <c r="M1883" s="468"/>
      <c r="N1883" s="664">
        <f t="shared" si="986"/>
        <v>190308</v>
      </c>
      <c r="O1883" s="71" t="s">
        <v>149</v>
      </c>
      <c r="P1883" s="103" t="str">
        <f t="shared" si="978"/>
        <v>세정포-XL106</v>
      </c>
      <c r="Q1883" s="71">
        <f t="shared" si="989"/>
        <v>7</v>
      </c>
      <c r="R1883" s="102">
        <v>208000</v>
      </c>
      <c r="S1883" s="102">
        <f>R1883*Q1883*1.1</f>
        <v>1601600.0000000002</v>
      </c>
      <c r="T1883" s="102">
        <f>R1883*Q1883</f>
        <v>1456000</v>
      </c>
      <c r="U1883" s="71" t="str">
        <f t="shared" si="982"/>
        <v>O</v>
      </c>
      <c r="V1883" s="71"/>
      <c r="W1883" s="474">
        <f t="shared" si="988"/>
        <v>448000</v>
      </c>
      <c r="X1883" s="71"/>
      <c r="Y1883" s="71"/>
    </row>
    <row r="1884" spans="1:25" ht="30" customHeight="1" x14ac:dyDescent="0.25">
      <c r="A1884" s="82">
        <v>190308</v>
      </c>
      <c r="B1884" s="664" t="s">
        <v>422</v>
      </c>
      <c r="C1884" s="71" t="s">
        <v>584</v>
      </c>
      <c r="D1884" s="71">
        <v>3</v>
      </c>
      <c r="E1884" s="102">
        <v>270000</v>
      </c>
      <c r="F1884" s="102">
        <f t="shared" si="983"/>
        <v>891000.00000000012</v>
      </c>
      <c r="G1884" s="102">
        <f t="shared" si="984"/>
        <v>810000</v>
      </c>
      <c r="H1884" s="690" t="s">
        <v>173</v>
      </c>
      <c r="I1884" s="71" t="s">
        <v>2231</v>
      </c>
      <c r="J1884" s="53">
        <f>(G1884-(VLOOKUP(C1884,Price!B:D,3,FALSE)*D1884))</f>
        <v>162000</v>
      </c>
      <c r="K1884" s="63">
        <f t="shared" si="985"/>
        <v>0.19999999999999998</v>
      </c>
      <c r="L1884" s="871" t="s">
        <v>1750</v>
      </c>
      <c r="M1884" s="468"/>
      <c r="N1884" s="664">
        <f t="shared" si="986"/>
        <v>190308</v>
      </c>
      <c r="O1884" s="71" t="s">
        <v>150</v>
      </c>
      <c r="P1884" s="103" t="str">
        <f t="shared" si="978"/>
        <v>데리바리 석션벨트</v>
      </c>
      <c r="Q1884" s="71">
        <f t="shared" si="989"/>
        <v>3</v>
      </c>
      <c r="R1884" s="102">
        <v>216000</v>
      </c>
      <c r="S1884" s="102">
        <f>R1884*Q1884*1.1</f>
        <v>712800</v>
      </c>
      <c r="T1884" s="102">
        <f>R1884*Q1884</f>
        <v>648000</v>
      </c>
      <c r="U1884" s="71" t="str">
        <f t="shared" si="982"/>
        <v>O</v>
      </c>
      <c r="V1884" s="71"/>
      <c r="W1884" s="474">
        <f t="shared" si="988"/>
        <v>162000</v>
      </c>
      <c r="X1884" s="71"/>
      <c r="Y1884" s="71"/>
    </row>
    <row r="1885" spans="1:25" s="209" customFormat="1" ht="30" hidden="1" customHeight="1" x14ac:dyDescent="0.25">
      <c r="A1885" s="82">
        <v>190311</v>
      </c>
      <c r="B1885" s="664" t="s">
        <v>445</v>
      </c>
      <c r="C1885" s="71" t="s">
        <v>137</v>
      </c>
      <c r="D1885" s="71">
        <v>5</v>
      </c>
      <c r="E1885" s="102">
        <v>172000</v>
      </c>
      <c r="F1885" s="102">
        <f t="shared" si="983"/>
        <v>946000.00000000012</v>
      </c>
      <c r="G1885" s="102">
        <f t="shared" si="984"/>
        <v>860000</v>
      </c>
      <c r="H1885" s="690" t="s">
        <v>173</v>
      </c>
      <c r="I1885" s="71" t="s">
        <v>108</v>
      </c>
      <c r="J1885" s="53">
        <f>(G1885-(VLOOKUP(C1885,Price!B:D,3,FALSE)*D1885))</f>
        <v>285000</v>
      </c>
      <c r="K1885" s="63">
        <f t="shared" si="985"/>
        <v>0.33139534883720928</v>
      </c>
      <c r="L1885" s="871" t="s">
        <v>1750</v>
      </c>
      <c r="M1885" s="468"/>
      <c r="N1885" s="664">
        <f t="shared" si="986"/>
        <v>190311</v>
      </c>
      <c r="O1885" s="71" t="s">
        <v>150</v>
      </c>
      <c r="P1885" s="103" t="str">
        <f t="shared" si="978"/>
        <v>윤전용 세척제(Web 504)</v>
      </c>
      <c r="Q1885" s="71">
        <f t="shared" si="989"/>
        <v>5</v>
      </c>
      <c r="R1885" s="102">
        <v>115000</v>
      </c>
      <c r="S1885" s="102">
        <f>(R1885*D1885)*1.1</f>
        <v>632500</v>
      </c>
      <c r="T1885" s="102">
        <f>(R1885*Q1885)</f>
        <v>575000</v>
      </c>
      <c r="U1885" s="71" t="str">
        <f t="shared" si="982"/>
        <v>O</v>
      </c>
      <c r="V1885" s="71"/>
      <c r="W1885" s="474">
        <f t="shared" si="988"/>
        <v>285000</v>
      </c>
      <c r="X1885" s="71"/>
      <c r="Y1885" s="71"/>
    </row>
    <row r="1886" spans="1:25" s="209" customFormat="1" ht="30" hidden="1" customHeight="1" x14ac:dyDescent="0.2">
      <c r="A1886" s="82">
        <v>190311</v>
      </c>
      <c r="B1886" s="664" t="s">
        <v>445</v>
      </c>
      <c r="C1886" s="71" t="s">
        <v>138</v>
      </c>
      <c r="D1886" s="71">
        <v>10</v>
      </c>
      <c r="E1886" s="102">
        <v>59500</v>
      </c>
      <c r="F1886" s="163">
        <f t="shared" si="983"/>
        <v>654500</v>
      </c>
      <c r="G1886" s="102">
        <f t="shared" si="984"/>
        <v>595000</v>
      </c>
      <c r="H1886" s="165" t="s">
        <v>172</v>
      </c>
      <c r="I1886" s="71" t="s">
        <v>108</v>
      </c>
      <c r="J1886" s="53">
        <f>(G1886-(VLOOKUP(C1886,Price!B:D,3,FALSE)*D1886))</f>
        <v>85000</v>
      </c>
      <c r="K1886" s="63">
        <f t="shared" si="985"/>
        <v>0.14285714285714285</v>
      </c>
      <c r="L1886" s="871" t="s">
        <v>1750</v>
      </c>
      <c r="M1886" s="468"/>
      <c r="N1886" s="664">
        <f t="shared" si="986"/>
        <v>190311</v>
      </c>
      <c r="O1886" s="71" t="s">
        <v>150</v>
      </c>
      <c r="P1886" s="103" t="str">
        <f t="shared" si="978"/>
        <v>매엽용 세척제(Wash 562)</v>
      </c>
      <c r="Q1886" s="71">
        <f t="shared" si="989"/>
        <v>10</v>
      </c>
      <c r="R1886" s="102">
        <v>51000</v>
      </c>
      <c r="S1886" s="102">
        <f>(R1886*D1886)*1.1</f>
        <v>561000</v>
      </c>
      <c r="T1886" s="102">
        <f>(R1886*Q1886)</f>
        <v>510000</v>
      </c>
      <c r="U1886" s="71" t="str">
        <f t="shared" si="982"/>
        <v>O</v>
      </c>
      <c r="V1886" s="71"/>
      <c r="W1886" s="474">
        <f t="shared" si="988"/>
        <v>85000</v>
      </c>
      <c r="X1886" s="71"/>
      <c r="Y1886" s="71"/>
    </row>
    <row r="1887" spans="1:25" ht="30" hidden="1" customHeight="1" x14ac:dyDescent="0.25">
      <c r="A1887" s="82">
        <v>190311</v>
      </c>
      <c r="B1887" s="664" t="s">
        <v>1513</v>
      </c>
      <c r="C1887" s="71" t="s">
        <v>1746</v>
      </c>
      <c r="D1887" s="71">
        <v>10</v>
      </c>
      <c r="E1887" s="102">
        <v>155000</v>
      </c>
      <c r="F1887" s="102">
        <f t="shared" ref="F1887:F1920" si="990">(E1887*D1887)*1.1</f>
        <v>1705000.0000000002</v>
      </c>
      <c r="G1887" s="102">
        <f t="shared" ref="G1887:G1920" si="991">(E1887*D1887)</f>
        <v>1550000</v>
      </c>
      <c r="H1887" s="690" t="s">
        <v>173</v>
      </c>
      <c r="I1887" s="71" t="s">
        <v>2231</v>
      </c>
      <c r="J1887" s="53">
        <f t="shared" ref="J1887:J1895" si="992">G1887-T1887</f>
        <v>350000</v>
      </c>
      <c r="K1887" s="63">
        <f>(J1887/(F1887/11*10))</f>
        <v>0.22580645161290319</v>
      </c>
      <c r="L1887" s="871" t="s">
        <v>1750</v>
      </c>
      <c r="M1887" s="468"/>
      <c r="N1887" s="664">
        <f t="shared" si="986"/>
        <v>190311</v>
      </c>
      <c r="O1887" s="71" t="s">
        <v>1826</v>
      </c>
      <c r="P1887" s="103" t="str">
        <f t="shared" si="978"/>
        <v>KBA용 솔레노이드 전자변 에어밸브</v>
      </c>
      <c r="Q1887" s="71">
        <f t="shared" si="989"/>
        <v>10</v>
      </c>
      <c r="R1887" s="102">
        <v>120000</v>
      </c>
      <c r="S1887" s="102">
        <f t="shared" ref="S1887:S1896" si="993">R1887*Q1887*1.1</f>
        <v>1320000</v>
      </c>
      <c r="T1887" s="102">
        <f t="shared" ref="T1887:T1896" si="994">R1887*Q1887</f>
        <v>1200000</v>
      </c>
      <c r="U1887" s="71" t="str">
        <f t="shared" si="982"/>
        <v>X</v>
      </c>
      <c r="V1887" s="71"/>
      <c r="W1887" s="474"/>
      <c r="X1887" s="71"/>
      <c r="Y1887" s="71"/>
    </row>
    <row r="1888" spans="1:25" ht="30" hidden="1" customHeight="1" x14ac:dyDescent="0.25">
      <c r="A1888" s="82">
        <v>190312</v>
      </c>
      <c r="B1888" s="664" t="s">
        <v>446</v>
      </c>
      <c r="C1888" s="71" t="s">
        <v>1144</v>
      </c>
      <c r="D1888" s="71">
        <v>8</v>
      </c>
      <c r="E1888" s="102">
        <v>110000</v>
      </c>
      <c r="F1888" s="102">
        <f t="shared" si="990"/>
        <v>968000.00000000012</v>
      </c>
      <c r="G1888" s="102">
        <f t="shared" si="991"/>
        <v>880000</v>
      </c>
      <c r="H1888" s="690" t="s">
        <v>173</v>
      </c>
      <c r="I1888" s="71" t="s">
        <v>2231</v>
      </c>
      <c r="J1888" s="53">
        <f t="shared" si="992"/>
        <v>152000</v>
      </c>
      <c r="K1888" s="63">
        <f>(J1888/(F1888/11*10))</f>
        <v>0.1727272727272727</v>
      </c>
      <c r="L1888" s="871" t="s">
        <v>1750</v>
      </c>
      <c r="M1888" s="468"/>
      <c r="N1888" s="664">
        <f t="shared" ref="N1888:N1927" si="995">A1888</f>
        <v>190312</v>
      </c>
      <c r="O1888" s="71" t="s">
        <v>150</v>
      </c>
      <c r="P1888" s="103" t="str">
        <f t="shared" si="978"/>
        <v>실리콘 에멀전</v>
      </c>
      <c r="Q1888" s="71">
        <f t="shared" si="989"/>
        <v>8</v>
      </c>
      <c r="R1888" s="102">
        <v>91000</v>
      </c>
      <c r="S1888" s="102">
        <f t="shared" si="993"/>
        <v>800800.00000000012</v>
      </c>
      <c r="T1888" s="102">
        <f t="shared" si="994"/>
        <v>728000</v>
      </c>
      <c r="U1888" s="71" t="str">
        <f t="shared" si="982"/>
        <v>O</v>
      </c>
      <c r="V1888" s="71"/>
      <c r="W1888" s="474">
        <f>(G1888-T1888)</f>
        <v>152000</v>
      </c>
      <c r="X1888" s="71"/>
      <c r="Y1888" s="71"/>
    </row>
    <row r="1889" spans="1:25" ht="30" hidden="1" customHeight="1" x14ac:dyDescent="0.25">
      <c r="A1889" s="82">
        <v>190312</v>
      </c>
      <c r="B1889" s="664" t="s">
        <v>1286</v>
      </c>
      <c r="C1889" s="71" t="s">
        <v>1790</v>
      </c>
      <c r="D1889" s="71">
        <v>1</v>
      </c>
      <c r="E1889" s="102">
        <v>1500000</v>
      </c>
      <c r="F1889" s="102">
        <f t="shared" si="990"/>
        <v>1650000.0000000002</v>
      </c>
      <c r="G1889" s="102">
        <f t="shared" si="991"/>
        <v>1500000</v>
      </c>
      <c r="H1889" s="690" t="s">
        <v>985</v>
      </c>
      <c r="I1889" s="71" t="s">
        <v>985</v>
      </c>
      <c r="J1889" s="53">
        <f t="shared" si="992"/>
        <v>1500000</v>
      </c>
      <c r="K1889" s="63">
        <f>(J1889/(F1889/11*10))</f>
        <v>0.99999999999999989</v>
      </c>
      <c r="L1889" s="871" t="s">
        <v>1750</v>
      </c>
      <c r="M1889" s="468"/>
      <c r="N1889" s="664">
        <f t="shared" si="995"/>
        <v>190312</v>
      </c>
      <c r="O1889" s="71" t="s">
        <v>1825</v>
      </c>
      <c r="P1889" s="103" t="str">
        <f t="shared" si="978"/>
        <v>알레스 서비스 비용</v>
      </c>
      <c r="Q1889" s="71">
        <f t="shared" si="989"/>
        <v>1</v>
      </c>
      <c r="R1889" s="102"/>
      <c r="S1889" s="102">
        <f t="shared" si="993"/>
        <v>0</v>
      </c>
      <c r="T1889" s="102">
        <f t="shared" si="994"/>
        <v>0</v>
      </c>
      <c r="U1889" s="71" t="str">
        <f t="shared" si="982"/>
        <v>X</v>
      </c>
      <c r="V1889" s="71"/>
      <c r="W1889" s="474"/>
      <c r="X1889" s="71"/>
      <c r="Y1889" s="71"/>
    </row>
    <row r="1890" spans="1:25" ht="30" hidden="1" customHeight="1" x14ac:dyDescent="0.25">
      <c r="A1890" s="82">
        <v>190312</v>
      </c>
      <c r="B1890" s="664" t="s">
        <v>1286</v>
      </c>
      <c r="C1890" s="71" t="s">
        <v>1791</v>
      </c>
      <c r="D1890" s="71">
        <v>1</v>
      </c>
      <c r="E1890" s="102">
        <v>7418600</v>
      </c>
      <c r="F1890" s="102">
        <f t="shared" si="990"/>
        <v>8160460.0000000009</v>
      </c>
      <c r="G1890" s="102">
        <f t="shared" si="991"/>
        <v>7418600</v>
      </c>
      <c r="H1890" s="690" t="s">
        <v>985</v>
      </c>
      <c r="I1890" s="71" t="s">
        <v>985</v>
      </c>
      <c r="J1890" s="53">
        <f t="shared" si="992"/>
        <v>0</v>
      </c>
      <c r="K1890" s="63">
        <v>0</v>
      </c>
      <c r="L1890" s="871" t="s">
        <v>1750</v>
      </c>
      <c r="M1890" s="468"/>
      <c r="N1890" s="664">
        <f t="shared" si="995"/>
        <v>190312</v>
      </c>
      <c r="O1890" s="71" t="s">
        <v>1431</v>
      </c>
      <c r="P1890" s="103" t="str">
        <f t="shared" si="978"/>
        <v>Tan 서비스 비용</v>
      </c>
      <c r="Q1890" s="71">
        <f t="shared" si="989"/>
        <v>1</v>
      </c>
      <c r="R1890" s="102">
        <v>7418600</v>
      </c>
      <c r="S1890" s="102">
        <f t="shared" si="993"/>
        <v>8160460.0000000009</v>
      </c>
      <c r="T1890" s="102">
        <f t="shared" si="994"/>
        <v>7418600</v>
      </c>
      <c r="U1890" s="71" t="str">
        <f t="shared" si="982"/>
        <v>O</v>
      </c>
      <c r="V1890" s="71"/>
      <c r="W1890" s="474"/>
      <c r="X1890" s="71"/>
      <c r="Y1890" s="71"/>
    </row>
    <row r="1891" spans="1:25" ht="30" hidden="1" customHeight="1" x14ac:dyDescent="0.25">
      <c r="A1891" s="82">
        <v>190313</v>
      </c>
      <c r="B1891" s="664" t="s">
        <v>545</v>
      </c>
      <c r="C1891" s="71" t="s">
        <v>1747</v>
      </c>
      <c r="D1891" s="71">
        <v>10</v>
      </c>
      <c r="E1891" s="102">
        <v>610000</v>
      </c>
      <c r="F1891" s="102">
        <f t="shared" si="990"/>
        <v>6710000.0000000009</v>
      </c>
      <c r="G1891" s="102">
        <f t="shared" si="991"/>
        <v>6100000</v>
      </c>
      <c r="H1891" s="690" t="s">
        <v>173</v>
      </c>
      <c r="I1891" s="71" t="s">
        <v>2184</v>
      </c>
      <c r="J1891" s="53">
        <f t="shared" si="992"/>
        <v>3452830.3476456292</v>
      </c>
      <c r="K1891" s="63">
        <f>(J1891/(F1891/11*10))</f>
        <v>0.56603776190911947</v>
      </c>
      <c r="L1891" s="871" t="s">
        <v>1750</v>
      </c>
      <c r="M1891" s="468"/>
      <c r="N1891" s="664">
        <f t="shared" si="995"/>
        <v>190313</v>
      </c>
      <c r="O1891" s="71" t="s">
        <v>1458</v>
      </c>
      <c r="P1891" s="103" t="str">
        <f t="shared" si="978"/>
        <v>UV 램프 - KBA(1145mm)</v>
      </c>
      <c r="Q1891" s="71">
        <f t="shared" si="989"/>
        <v>10</v>
      </c>
      <c r="R1891" s="102">
        <f>Import!G732</f>
        <v>264716.96523543709</v>
      </c>
      <c r="S1891" s="102">
        <f t="shared" si="993"/>
        <v>2911886.6175898081</v>
      </c>
      <c r="T1891" s="102">
        <f t="shared" si="994"/>
        <v>2647169.6523543708</v>
      </c>
      <c r="U1891" s="71" t="str">
        <f t="shared" si="982"/>
        <v>X</v>
      </c>
      <c r="V1891" s="71"/>
      <c r="W1891" s="474"/>
      <c r="X1891" s="71"/>
      <c r="Y1891" s="71"/>
    </row>
    <row r="1892" spans="1:25" ht="30" hidden="1" customHeight="1" x14ac:dyDescent="0.25">
      <c r="A1892" s="82">
        <v>190313</v>
      </c>
      <c r="B1892" s="664" t="s">
        <v>545</v>
      </c>
      <c r="C1892" s="71" t="s">
        <v>1748</v>
      </c>
      <c r="D1892" s="71">
        <v>10</v>
      </c>
      <c r="E1892" s="102">
        <v>610000</v>
      </c>
      <c r="F1892" s="102">
        <f t="shared" si="990"/>
        <v>6710000.0000000009</v>
      </c>
      <c r="G1892" s="102">
        <f t="shared" si="991"/>
        <v>6100000</v>
      </c>
      <c r="H1892" s="690" t="s">
        <v>173</v>
      </c>
      <c r="I1892" s="71" t="s">
        <v>2184</v>
      </c>
      <c r="J1892" s="53">
        <f t="shared" si="992"/>
        <v>2485827.7349134386</v>
      </c>
      <c r="K1892" s="63">
        <f>(J1892/(F1892/11*10))</f>
        <v>0.40751274342843247</v>
      </c>
      <c r="L1892" s="871" t="s">
        <v>1750</v>
      </c>
      <c r="M1892" s="468"/>
      <c r="N1892" s="664">
        <f t="shared" si="995"/>
        <v>190313</v>
      </c>
      <c r="O1892" s="71" t="s">
        <v>1458</v>
      </c>
      <c r="P1892" s="103" t="str">
        <f t="shared" si="978"/>
        <v>UV 램프 - KBA(1130mm)</v>
      </c>
      <c r="Q1892" s="71">
        <f t="shared" si="989"/>
        <v>10</v>
      </c>
      <c r="R1892" s="102">
        <f>Import!G733</f>
        <v>361417.22650865617</v>
      </c>
      <c r="S1892" s="102">
        <f t="shared" si="993"/>
        <v>3975589.491595218</v>
      </c>
      <c r="T1892" s="102">
        <f t="shared" si="994"/>
        <v>3614172.2650865614</v>
      </c>
      <c r="U1892" s="71" t="str">
        <f t="shared" si="982"/>
        <v>X</v>
      </c>
      <c r="V1892" s="71"/>
      <c r="W1892" s="474"/>
      <c r="X1892" s="71"/>
      <c r="Y1892" s="71"/>
    </row>
    <row r="1893" spans="1:25" ht="30" hidden="1" customHeight="1" x14ac:dyDescent="0.25">
      <c r="A1893" s="82">
        <v>190313</v>
      </c>
      <c r="B1893" s="664" t="s">
        <v>545</v>
      </c>
      <c r="C1893" s="71" t="s">
        <v>1749</v>
      </c>
      <c r="D1893" s="71">
        <v>1</v>
      </c>
      <c r="E1893" s="102"/>
      <c r="F1893" s="102">
        <f t="shared" si="990"/>
        <v>0</v>
      </c>
      <c r="G1893" s="102">
        <f t="shared" si="991"/>
        <v>0</v>
      </c>
      <c r="H1893" s="690" t="s">
        <v>173</v>
      </c>
      <c r="I1893" s="71" t="s">
        <v>2184</v>
      </c>
      <c r="J1893" s="53">
        <f t="shared" si="992"/>
        <v>-480000</v>
      </c>
      <c r="K1893" s="63" t="e">
        <f>(J1893/(F1893/11*10))</f>
        <v>#DIV/0!</v>
      </c>
      <c r="L1893" s="871" t="s">
        <v>1750</v>
      </c>
      <c r="M1893" s="468" t="s">
        <v>1799</v>
      </c>
      <c r="N1893" s="664">
        <f t="shared" si="995"/>
        <v>190313</v>
      </c>
      <c r="O1893" s="71" t="s">
        <v>1779</v>
      </c>
      <c r="P1893" s="103" t="str">
        <f t="shared" si="978"/>
        <v>UV 램프 - 하이델 XL106</v>
      </c>
      <c r="Q1893" s="71">
        <f t="shared" si="989"/>
        <v>1</v>
      </c>
      <c r="R1893" s="102">
        <v>480000</v>
      </c>
      <c r="S1893" s="102">
        <f t="shared" si="993"/>
        <v>528000</v>
      </c>
      <c r="T1893" s="102">
        <f t="shared" si="994"/>
        <v>480000</v>
      </c>
      <c r="U1893" s="71" t="str">
        <f t="shared" si="982"/>
        <v>X</v>
      </c>
      <c r="V1893" s="71"/>
      <c r="W1893" s="474"/>
      <c r="X1893" s="71"/>
      <c r="Y1893" s="71"/>
    </row>
    <row r="1894" spans="1:25" ht="30" hidden="1" customHeight="1" x14ac:dyDescent="0.25">
      <c r="A1894" s="82">
        <v>190313</v>
      </c>
      <c r="B1894" s="664" t="s">
        <v>764</v>
      </c>
      <c r="C1894" s="71" t="s">
        <v>123</v>
      </c>
      <c r="D1894" s="71">
        <v>25</v>
      </c>
      <c r="E1894" s="102">
        <v>35000</v>
      </c>
      <c r="F1894" s="102">
        <f t="shared" si="990"/>
        <v>962500.00000000012</v>
      </c>
      <c r="G1894" s="102">
        <f t="shared" si="991"/>
        <v>875000</v>
      </c>
      <c r="H1894" s="690" t="s">
        <v>1432</v>
      </c>
      <c r="I1894" s="71" t="s">
        <v>1432</v>
      </c>
      <c r="J1894" s="53">
        <f t="shared" si="992"/>
        <v>313475</v>
      </c>
      <c r="K1894" s="63">
        <f t="shared" ref="K1894:K1911" si="996">(J1894/(F1894/11*10))</f>
        <v>0.35825714285714283</v>
      </c>
      <c r="L1894" s="871" t="s">
        <v>1750</v>
      </c>
      <c r="M1894" s="468"/>
      <c r="N1894" s="664">
        <f t="shared" si="995"/>
        <v>190313</v>
      </c>
      <c r="O1894" s="71" t="s">
        <v>1432</v>
      </c>
      <c r="P1894" s="103" t="str">
        <f t="shared" si="978"/>
        <v>필터백</v>
      </c>
      <c r="Q1894" s="71">
        <f t="shared" si="989"/>
        <v>25</v>
      </c>
      <c r="R1894" s="102">
        <v>22461</v>
      </c>
      <c r="S1894" s="102">
        <f t="shared" si="993"/>
        <v>617677.5</v>
      </c>
      <c r="T1894" s="102">
        <f t="shared" si="994"/>
        <v>561525</v>
      </c>
      <c r="U1894" s="71" t="str">
        <f t="shared" si="982"/>
        <v>O</v>
      </c>
      <c r="V1894" s="71"/>
      <c r="W1894" s="474">
        <f>(G1894-T1894)</f>
        <v>313475</v>
      </c>
      <c r="X1894" s="71"/>
      <c r="Y1894" s="71"/>
    </row>
    <row r="1895" spans="1:25" ht="30" hidden="1" customHeight="1" x14ac:dyDescent="0.25">
      <c r="A1895" s="82">
        <v>190313</v>
      </c>
      <c r="B1895" s="664" t="s">
        <v>764</v>
      </c>
      <c r="C1895" s="71" t="s">
        <v>1787</v>
      </c>
      <c r="D1895" s="71">
        <v>10</v>
      </c>
      <c r="E1895" s="102">
        <v>125000</v>
      </c>
      <c r="F1895" s="102">
        <f>(E1895*D1895)*1.1</f>
        <v>1375000</v>
      </c>
      <c r="G1895" s="102">
        <f>(E1895*D1895)</f>
        <v>1250000</v>
      </c>
      <c r="H1895" s="690" t="s">
        <v>173</v>
      </c>
      <c r="I1895" s="71" t="s">
        <v>109</v>
      </c>
      <c r="J1895" s="53">
        <f t="shared" si="992"/>
        <v>300000</v>
      </c>
      <c r="K1895" s="63">
        <f>(J1895/(F1895/11*10))</f>
        <v>0.24</v>
      </c>
      <c r="L1895" s="871" t="s">
        <v>1750</v>
      </c>
      <c r="M1895" s="468"/>
      <c r="N1895" s="664">
        <f>A1895</f>
        <v>190313</v>
      </c>
      <c r="O1895" s="71" t="s">
        <v>1820</v>
      </c>
      <c r="P1895" s="103" t="str">
        <f>C1895</f>
        <v>겸용 블랑켓 1050*840</v>
      </c>
      <c r="Q1895" s="71">
        <f>D1895</f>
        <v>10</v>
      </c>
      <c r="R1895" s="102">
        <v>95000</v>
      </c>
      <c r="S1895" s="102">
        <f t="shared" si="993"/>
        <v>1045000.0000000001</v>
      </c>
      <c r="T1895" s="102">
        <f t="shared" si="994"/>
        <v>950000</v>
      </c>
      <c r="U1895" s="71" t="str">
        <f t="shared" si="982"/>
        <v>O</v>
      </c>
      <c r="V1895" s="71"/>
      <c r="W1895" s="474">
        <f>(G1895-T1895)</f>
        <v>300000</v>
      </c>
      <c r="X1895" s="71"/>
      <c r="Y1895" s="71"/>
    </row>
    <row r="1896" spans="1:25" ht="30" hidden="1" customHeight="1" x14ac:dyDescent="0.25">
      <c r="A1896" s="82">
        <v>190313</v>
      </c>
      <c r="B1896" s="664" t="s">
        <v>764</v>
      </c>
      <c r="C1896" s="71" t="s">
        <v>1788</v>
      </c>
      <c r="D1896" s="71">
        <v>10</v>
      </c>
      <c r="E1896" s="102">
        <v>128000</v>
      </c>
      <c r="F1896" s="102">
        <f>(E1896*D1896)*1.1</f>
        <v>1408000</v>
      </c>
      <c r="G1896" s="102">
        <f>(E1896*D1896)</f>
        <v>1280000</v>
      </c>
      <c r="H1896" s="690" t="s">
        <v>173</v>
      </c>
      <c r="I1896" s="71" t="s">
        <v>109</v>
      </c>
      <c r="J1896" s="53">
        <f>G1896-T1896+(5*106000)</f>
        <v>750000</v>
      </c>
      <c r="K1896" s="63">
        <f>(J1896/(F1896/11*10))</f>
        <v>0.5859375</v>
      </c>
      <c r="L1896" s="871" t="s">
        <v>1750</v>
      </c>
      <c r="M1896" s="468" t="s">
        <v>1821</v>
      </c>
      <c r="N1896" s="664">
        <f>A1896</f>
        <v>190313</v>
      </c>
      <c r="O1896" s="71" t="s">
        <v>1820</v>
      </c>
      <c r="P1896" s="103" t="str">
        <f>C1896</f>
        <v>UV 전용 블랑켓 1050*840</v>
      </c>
      <c r="Q1896" s="71">
        <f>D1896</f>
        <v>10</v>
      </c>
      <c r="R1896" s="102">
        <v>106000</v>
      </c>
      <c r="S1896" s="102">
        <f t="shared" si="993"/>
        <v>1166000</v>
      </c>
      <c r="T1896" s="102">
        <f t="shared" si="994"/>
        <v>1060000</v>
      </c>
      <c r="U1896" s="71" t="str">
        <f t="shared" si="982"/>
        <v>X</v>
      </c>
      <c r="V1896" s="71"/>
      <c r="W1896" s="474">
        <f>(G1896-T1896)</f>
        <v>220000</v>
      </c>
      <c r="X1896" s="71"/>
      <c r="Y1896" s="71"/>
    </row>
    <row r="1897" spans="1:25" s="209" customFormat="1" ht="30" hidden="1" customHeight="1" x14ac:dyDescent="0.2">
      <c r="A1897" s="82">
        <v>190313</v>
      </c>
      <c r="B1897" s="664" t="s">
        <v>549</v>
      </c>
      <c r="C1897" s="71" t="s">
        <v>217</v>
      </c>
      <c r="D1897" s="71">
        <v>5</v>
      </c>
      <c r="E1897" s="102">
        <v>112500</v>
      </c>
      <c r="F1897" s="163">
        <f t="shared" si="990"/>
        <v>618750</v>
      </c>
      <c r="G1897" s="163">
        <f t="shared" si="991"/>
        <v>562500</v>
      </c>
      <c r="H1897" s="165" t="s">
        <v>172</v>
      </c>
      <c r="I1897" s="71" t="s">
        <v>120</v>
      </c>
      <c r="J1897" s="53">
        <f>(G1897-(VLOOKUP(C1897,Price!B:D,3,FALSE)*D1897))</f>
        <v>162500</v>
      </c>
      <c r="K1897" s="63">
        <f t="shared" si="996"/>
        <v>0.28888888888888886</v>
      </c>
      <c r="L1897" s="871" t="s">
        <v>1750</v>
      </c>
      <c r="M1897" s="468"/>
      <c r="N1897" s="664">
        <f t="shared" si="995"/>
        <v>190313</v>
      </c>
      <c r="O1897" s="71" t="s">
        <v>150</v>
      </c>
      <c r="P1897" s="103" t="str">
        <f>(C1897)</f>
        <v>Fount 511</v>
      </c>
      <c r="Q1897" s="71">
        <f t="shared" si="989"/>
        <v>5</v>
      </c>
      <c r="R1897" s="102">
        <v>80000</v>
      </c>
      <c r="S1897" s="102">
        <f>(R1897*D1897)*1.1</f>
        <v>440000.00000000006</v>
      </c>
      <c r="T1897" s="102">
        <f>(R1897*Q1897)</f>
        <v>400000</v>
      </c>
      <c r="U1897" s="71" t="str">
        <f t="shared" si="982"/>
        <v>O</v>
      </c>
      <c r="V1897" s="71"/>
      <c r="W1897" s="474">
        <f>(G1897-T1897)</f>
        <v>162500</v>
      </c>
      <c r="X1897" s="71"/>
      <c r="Y1897" s="71"/>
    </row>
    <row r="1898" spans="1:25" ht="30" hidden="1" customHeight="1" x14ac:dyDescent="0.25">
      <c r="A1898" s="82">
        <v>190315</v>
      </c>
      <c r="B1898" s="664" t="s">
        <v>673</v>
      </c>
      <c r="C1898" s="71" t="s">
        <v>236</v>
      </c>
      <c r="D1898" s="71">
        <v>2</v>
      </c>
      <c r="E1898" s="102">
        <v>110000</v>
      </c>
      <c r="F1898" s="102">
        <f t="shared" si="990"/>
        <v>242000.00000000003</v>
      </c>
      <c r="G1898" s="102">
        <f t="shared" si="991"/>
        <v>220000</v>
      </c>
      <c r="H1898" s="690" t="s">
        <v>173</v>
      </c>
      <c r="I1898" s="71" t="s">
        <v>2231</v>
      </c>
      <c r="J1898" s="53">
        <f>(G1898-(VLOOKUP(C1898,Price!B:D,3,FALSE)*D1898))</f>
        <v>120000</v>
      </c>
      <c r="K1898" s="63">
        <f t="shared" si="996"/>
        <v>0.54545454545454541</v>
      </c>
      <c r="L1898" s="871" t="s">
        <v>1691</v>
      </c>
      <c r="M1898" s="468"/>
      <c r="N1898" s="664">
        <f t="shared" si="995"/>
        <v>190315</v>
      </c>
      <c r="O1898" s="71" t="s">
        <v>153</v>
      </c>
      <c r="P1898" s="103" t="str">
        <f t="shared" si="978"/>
        <v>아스테이지(국전)</v>
      </c>
      <c r="Q1898" s="71">
        <f t="shared" si="989"/>
        <v>2</v>
      </c>
      <c r="R1898" s="102">
        <v>50000</v>
      </c>
      <c r="S1898" s="102">
        <f>(R1898*D1898)*1.1</f>
        <v>110000.00000000001</v>
      </c>
      <c r="T1898" s="102">
        <f>(R1898*Q1898)</f>
        <v>100000</v>
      </c>
      <c r="U1898" s="71" t="str">
        <f t="shared" si="982"/>
        <v>O</v>
      </c>
      <c r="V1898" s="71"/>
      <c r="W1898" s="474">
        <f>(G1898-T1898)</f>
        <v>120000</v>
      </c>
      <c r="X1898" s="71"/>
      <c r="Y1898" s="71"/>
    </row>
    <row r="1899" spans="1:25" ht="30" customHeight="1" x14ac:dyDescent="0.25">
      <c r="A1899" s="82">
        <v>190315</v>
      </c>
      <c r="B1899" s="664" t="s">
        <v>565</v>
      </c>
      <c r="C1899" s="71" t="s">
        <v>1800</v>
      </c>
      <c r="D1899" s="71">
        <v>10</v>
      </c>
      <c r="E1899" s="102">
        <v>80000</v>
      </c>
      <c r="F1899" s="102">
        <f t="shared" si="990"/>
        <v>880000.00000000012</v>
      </c>
      <c r="G1899" s="102">
        <f t="shared" si="991"/>
        <v>800000</v>
      </c>
      <c r="H1899" s="690" t="s">
        <v>142</v>
      </c>
      <c r="I1899" s="71" t="s">
        <v>2273</v>
      </c>
      <c r="J1899" s="53">
        <f>G1899-T1899</f>
        <v>200000</v>
      </c>
      <c r="K1899" s="63">
        <f>(J1899/(F1899/11*10))</f>
        <v>0.24999999999999997</v>
      </c>
      <c r="L1899" s="871" t="s">
        <v>1691</v>
      </c>
      <c r="M1899" s="468"/>
      <c r="N1899" s="664">
        <f t="shared" si="995"/>
        <v>190315</v>
      </c>
      <c r="O1899" s="71" t="s">
        <v>1801</v>
      </c>
      <c r="P1899" s="103" t="str">
        <f t="shared" si="978"/>
        <v>CTP 베어링</v>
      </c>
      <c r="Q1899" s="71">
        <f t="shared" si="989"/>
        <v>10</v>
      </c>
      <c r="R1899" s="102">
        <v>60000</v>
      </c>
      <c r="S1899" s="102">
        <f>(R1899*D1899)*1.1</f>
        <v>660000</v>
      </c>
      <c r="T1899" s="102">
        <f>(R1899*Q1899)</f>
        <v>600000</v>
      </c>
      <c r="U1899" s="71" t="str">
        <f t="shared" ref="U1899:U1923" si="997">IF(J1899=W1899,"O", "X")</f>
        <v>X</v>
      </c>
      <c r="V1899" s="71"/>
      <c r="W1899" s="474"/>
      <c r="X1899" s="71"/>
      <c r="Y1899" s="71"/>
    </row>
    <row r="1900" spans="1:25" ht="30" customHeight="1" x14ac:dyDescent="0.25">
      <c r="A1900" s="82">
        <v>190318</v>
      </c>
      <c r="B1900" s="664" t="s">
        <v>565</v>
      </c>
      <c r="C1900" s="71" t="s">
        <v>692</v>
      </c>
      <c r="D1900" s="71">
        <v>10</v>
      </c>
      <c r="E1900" s="102">
        <v>218000</v>
      </c>
      <c r="F1900" s="102">
        <f t="shared" si="990"/>
        <v>2398000</v>
      </c>
      <c r="G1900" s="102">
        <f t="shared" si="991"/>
        <v>2180000</v>
      </c>
      <c r="H1900" s="690" t="s">
        <v>173</v>
      </c>
      <c r="I1900" s="71" t="s">
        <v>109</v>
      </c>
      <c r="J1900" s="53">
        <f>(G1900-(VLOOKUP(C1900,Price!B:D,3,FALSE)*D1900))</f>
        <v>580000</v>
      </c>
      <c r="K1900" s="63">
        <f t="shared" si="996"/>
        <v>0.26605504587155965</v>
      </c>
      <c r="L1900" s="871" t="s">
        <v>1750</v>
      </c>
      <c r="M1900" s="468"/>
      <c r="N1900" s="664">
        <f t="shared" si="995"/>
        <v>190318</v>
      </c>
      <c r="O1900" s="71" t="s">
        <v>150</v>
      </c>
      <c r="P1900" s="103" t="str">
        <f t="shared" si="978"/>
        <v>윤전 블랑켓</v>
      </c>
      <c r="Q1900" s="71">
        <f t="shared" si="989"/>
        <v>10</v>
      </c>
      <c r="R1900" s="102">
        <v>160000</v>
      </c>
      <c r="S1900" s="102">
        <f>(R1900*D1900)*1.1</f>
        <v>1760000.0000000002</v>
      </c>
      <c r="T1900" s="102">
        <f>(R1900*Q1900)</f>
        <v>1600000</v>
      </c>
      <c r="U1900" s="71" t="str">
        <f t="shared" si="997"/>
        <v>O</v>
      </c>
      <c r="V1900" s="71" t="s">
        <v>784</v>
      </c>
      <c r="W1900" s="474">
        <f>(G1900-T1900)</f>
        <v>580000</v>
      </c>
      <c r="X1900" s="71"/>
      <c r="Y1900" s="71"/>
    </row>
    <row r="1901" spans="1:25" s="209" customFormat="1" ht="30" hidden="1" customHeight="1" x14ac:dyDescent="0.25">
      <c r="A1901" s="82">
        <v>190318</v>
      </c>
      <c r="B1901" s="664" t="s">
        <v>1286</v>
      </c>
      <c r="C1901" s="71" t="s">
        <v>1144</v>
      </c>
      <c r="D1901" s="71">
        <v>5</v>
      </c>
      <c r="E1901" s="102">
        <v>110000</v>
      </c>
      <c r="F1901" s="102">
        <f t="shared" si="990"/>
        <v>605000</v>
      </c>
      <c r="G1901" s="102">
        <f t="shared" si="991"/>
        <v>550000</v>
      </c>
      <c r="H1901" s="690" t="s">
        <v>173</v>
      </c>
      <c r="I1901" s="71" t="s">
        <v>2231</v>
      </c>
      <c r="J1901" s="53">
        <f>G1901-T1901</f>
        <v>95000</v>
      </c>
      <c r="K1901" s="63">
        <f t="shared" si="996"/>
        <v>0.17272727272727273</v>
      </c>
      <c r="L1901" s="871" t="s">
        <v>1750</v>
      </c>
      <c r="M1901" s="468"/>
      <c r="N1901" s="664">
        <f t="shared" si="995"/>
        <v>190318</v>
      </c>
      <c r="O1901" s="71" t="s">
        <v>150</v>
      </c>
      <c r="P1901" s="103" t="str">
        <f t="shared" si="978"/>
        <v>실리콘 에멀전</v>
      </c>
      <c r="Q1901" s="71">
        <f t="shared" si="989"/>
        <v>5</v>
      </c>
      <c r="R1901" s="102">
        <v>91000</v>
      </c>
      <c r="S1901" s="102">
        <f t="shared" ref="S1901:S1911" si="998">R1901*Q1901*1.1</f>
        <v>500500.00000000006</v>
      </c>
      <c r="T1901" s="102">
        <f t="shared" ref="T1901:T1911" si="999">R1901*Q1901</f>
        <v>455000</v>
      </c>
      <c r="U1901" s="71" t="str">
        <f t="shared" si="997"/>
        <v>X</v>
      </c>
      <c r="V1901" s="71"/>
      <c r="W1901" s="474"/>
      <c r="X1901" s="71"/>
      <c r="Y1901" s="71"/>
    </row>
    <row r="1902" spans="1:25" ht="30" hidden="1" customHeight="1" x14ac:dyDescent="0.25">
      <c r="A1902" s="82">
        <v>190318</v>
      </c>
      <c r="B1902" s="664" t="s">
        <v>446</v>
      </c>
      <c r="C1902" s="71" t="s">
        <v>1144</v>
      </c>
      <c r="D1902" s="71">
        <v>8</v>
      </c>
      <c r="E1902" s="102">
        <v>110000</v>
      </c>
      <c r="F1902" s="102">
        <f t="shared" si="990"/>
        <v>968000.00000000012</v>
      </c>
      <c r="G1902" s="102">
        <f t="shared" si="991"/>
        <v>880000</v>
      </c>
      <c r="H1902" s="690" t="s">
        <v>173</v>
      </c>
      <c r="I1902" s="71" t="s">
        <v>2231</v>
      </c>
      <c r="J1902" s="53">
        <f>G1902-T1902</f>
        <v>152000</v>
      </c>
      <c r="K1902" s="63">
        <f t="shared" si="996"/>
        <v>0.1727272727272727</v>
      </c>
      <c r="L1902" s="871" t="s">
        <v>1750</v>
      </c>
      <c r="M1902" s="468"/>
      <c r="N1902" s="664">
        <f t="shared" si="995"/>
        <v>190318</v>
      </c>
      <c r="O1902" s="71" t="s">
        <v>150</v>
      </c>
      <c r="P1902" s="103" t="str">
        <f t="shared" si="978"/>
        <v>실리콘 에멀전</v>
      </c>
      <c r="Q1902" s="71">
        <f t="shared" si="989"/>
        <v>8</v>
      </c>
      <c r="R1902" s="102">
        <v>91000</v>
      </c>
      <c r="S1902" s="102">
        <f t="shared" si="998"/>
        <v>800800.00000000012</v>
      </c>
      <c r="T1902" s="102">
        <f t="shared" si="999"/>
        <v>728000</v>
      </c>
      <c r="U1902" s="71" t="str">
        <f t="shared" si="997"/>
        <v>O</v>
      </c>
      <c r="V1902" s="71"/>
      <c r="W1902" s="474">
        <f>(G1902-T1902)</f>
        <v>152000</v>
      </c>
      <c r="X1902" s="71"/>
      <c r="Y1902" s="71"/>
    </row>
    <row r="1903" spans="1:25" ht="30" hidden="1" customHeight="1" x14ac:dyDescent="0.25">
      <c r="A1903" s="82">
        <v>190318</v>
      </c>
      <c r="B1903" s="664" t="s">
        <v>442</v>
      </c>
      <c r="C1903" s="71" t="s">
        <v>133</v>
      </c>
      <c r="D1903" s="71">
        <v>2</v>
      </c>
      <c r="E1903" s="102">
        <v>327000</v>
      </c>
      <c r="F1903" s="102">
        <f t="shared" si="990"/>
        <v>719400</v>
      </c>
      <c r="G1903" s="102">
        <f t="shared" si="991"/>
        <v>654000</v>
      </c>
      <c r="H1903" s="690" t="s">
        <v>173</v>
      </c>
      <c r="I1903" s="71" t="s">
        <v>141</v>
      </c>
      <c r="J1903" s="53">
        <f>(G1903-(VLOOKUP(C1903,Price!B:D,3,FALSE)*D1903))</f>
        <v>115800</v>
      </c>
      <c r="K1903" s="63">
        <f t="shared" si="996"/>
        <v>0.17706422018348625</v>
      </c>
      <c r="L1903" s="871" t="s">
        <v>1750</v>
      </c>
      <c r="M1903" s="468"/>
      <c r="N1903" s="664">
        <f t="shared" si="995"/>
        <v>190318</v>
      </c>
      <c r="O1903" s="71" t="s">
        <v>145</v>
      </c>
      <c r="P1903" s="103" t="str">
        <f t="shared" si="978"/>
        <v>Agfa Film(24inch)</v>
      </c>
      <c r="Q1903" s="71">
        <f t="shared" si="989"/>
        <v>2</v>
      </c>
      <c r="R1903" s="102">
        <v>269100</v>
      </c>
      <c r="S1903" s="102">
        <f t="shared" si="998"/>
        <v>592020</v>
      </c>
      <c r="T1903" s="102">
        <f t="shared" si="999"/>
        <v>538200</v>
      </c>
      <c r="U1903" s="71" t="str">
        <f t="shared" si="997"/>
        <v>O</v>
      </c>
      <c r="V1903" s="71"/>
      <c r="W1903" s="474">
        <f>(G1903-T1903)</f>
        <v>115800</v>
      </c>
      <c r="X1903" s="71"/>
      <c r="Y1903" s="71"/>
    </row>
    <row r="1904" spans="1:25" ht="30" hidden="1" customHeight="1" x14ac:dyDescent="0.25">
      <c r="A1904" s="82">
        <v>190318</v>
      </c>
      <c r="B1904" s="664" t="s">
        <v>442</v>
      </c>
      <c r="C1904" s="71" t="s">
        <v>134</v>
      </c>
      <c r="D1904" s="71">
        <v>2</v>
      </c>
      <c r="E1904" s="102">
        <v>401000</v>
      </c>
      <c r="F1904" s="102">
        <f t="shared" si="990"/>
        <v>882200.00000000012</v>
      </c>
      <c r="G1904" s="102">
        <f t="shared" si="991"/>
        <v>802000</v>
      </c>
      <c r="H1904" s="690" t="s">
        <v>173</v>
      </c>
      <c r="I1904" s="71" t="s">
        <v>141</v>
      </c>
      <c r="J1904" s="53">
        <f>(G1904-(VLOOKUP(C1904,Price!B:D,3,FALSE)*D1904))</f>
        <v>174080</v>
      </c>
      <c r="K1904" s="63">
        <f t="shared" si="996"/>
        <v>0.21705735660847877</v>
      </c>
      <c r="L1904" s="871" t="s">
        <v>1750</v>
      </c>
      <c r="M1904" s="468"/>
      <c r="N1904" s="664">
        <f t="shared" si="995"/>
        <v>190318</v>
      </c>
      <c r="O1904" s="71" t="s">
        <v>145</v>
      </c>
      <c r="P1904" s="103" t="str">
        <f t="shared" si="978"/>
        <v>Agfa Film(28inch)</v>
      </c>
      <c r="Q1904" s="71">
        <f t="shared" si="989"/>
        <v>2</v>
      </c>
      <c r="R1904" s="102">
        <f>VLOOKUP(P1904,Price!B:D,3,FALSE)</f>
        <v>313960</v>
      </c>
      <c r="S1904" s="102">
        <f t="shared" si="998"/>
        <v>690712</v>
      </c>
      <c r="T1904" s="102">
        <f t="shared" si="999"/>
        <v>627920</v>
      </c>
      <c r="U1904" s="71" t="str">
        <f t="shared" si="997"/>
        <v>O</v>
      </c>
      <c r="V1904" s="71"/>
      <c r="W1904" s="474">
        <f>(G1904-T1904)</f>
        <v>174080</v>
      </c>
      <c r="X1904" s="71"/>
      <c r="Y1904" s="71"/>
    </row>
    <row r="1905" spans="1:25" ht="30" hidden="1" customHeight="1" x14ac:dyDescent="0.25">
      <c r="A1905" s="82">
        <v>190318</v>
      </c>
      <c r="B1905" s="664" t="s">
        <v>442</v>
      </c>
      <c r="C1905" s="71" t="s">
        <v>135</v>
      </c>
      <c r="D1905" s="71">
        <v>2</v>
      </c>
      <c r="E1905" s="102">
        <v>448000</v>
      </c>
      <c r="F1905" s="102">
        <f t="shared" si="990"/>
        <v>985600.00000000012</v>
      </c>
      <c r="G1905" s="102">
        <f t="shared" si="991"/>
        <v>896000</v>
      </c>
      <c r="H1905" s="690" t="s">
        <v>173</v>
      </c>
      <c r="I1905" s="71" t="s">
        <v>141</v>
      </c>
      <c r="J1905" s="53">
        <f>(G1905-(VLOOKUP(C1905,Price!B:D,3,FALSE)*D1905))</f>
        <v>155980</v>
      </c>
      <c r="K1905" s="63">
        <f t="shared" si="996"/>
        <v>0.1740848214285714</v>
      </c>
      <c r="L1905" s="871" t="s">
        <v>1750</v>
      </c>
      <c r="M1905" s="468"/>
      <c r="N1905" s="664">
        <f t="shared" si="995"/>
        <v>190318</v>
      </c>
      <c r="O1905" s="71" t="s">
        <v>145</v>
      </c>
      <c r="P1905" s="103" t="str">
        <f t="shared" ref="P1905:P1913" si="1000">C1905</f>
        <v>Agfa Film(32inch)</v>
      </c>
      <c r="Q1905" s="71">
        <f t="shared" si="989"/>
        <v>2</v>
      </c>
      <c r="R1905" s="102">
        <f>VLOOKUP(P1905,Price!B:D,3,FALSE)</f>
        <v>370010</v>
      </c>
      <c r="S1905" s="102">
        <f t="shared" si="998"/>
        <v>814022.00000000012</v>
      </c>
      <c r="T1905" s="102">
        <f t="shared" si="999"/>
        <v>740020</v>
      </c>
      <c r="U1905" s="71" t="str">
        <f t="shared" si="997"/>
        <v>O</v>
      </c>
      <c r="V1905" s="71"/>
      <c r="W1905" s="474">
        <f>(G1905-T1905)</f>
        <v>155980</v>
      </c>
      <c r="X1905" s="71"/>
      <c r="Y1905" s="71"/>
    </row>
    <row r="1906" spans="1:25" ht="30" hidden="1" customHeight="1" x14ac:dyDescent="0.2">
      <c r="A1906" s="82">
        <v>190318</v>
      </c>
      <c r="B1906" s="664" t="s">
        <v>442</v>
      </c>
      <c r="C1906" s="71" t="s">
        <v>650</v>
      </c>
      <c r="D1906" s="71">
        <v>1</v>
      </c>
      <c r="E1906" s="102">
        <v>93000</v>
      </c>
      <c r="F1906" s="163">
        <f t="shared" si="990"/>
        <v>102300.00000000001</v>
      </c>
      <c r="G1906" s="163">
        <f t="shared" si="991"/>
        <v>93000</v>
      </c>
      <c r="H1906" s="165" t="s">
        <v>172</v>
      </c>
      <c r="I1906" s="71" t="s">
        <v>141</v>
      </c>
      <c r="J1906" s="53">
        <f>(G1906-(VLOOKUP(C1906,Price!B:D,3,FALSE)*D1906))</f>
        <v>33000</v>
      </c>
      <c r="K1906" s="63">
        <f t="shared" si="996"/>
        <v>0.35483870967741932</v>
      </c>
      <c r="L1906" s="871" t="s">
        <v>1750</v>
      </c>
      <c r="M1906" s="468"/>
      <c r="N1906" s="664">
        <f t="shared" si="995"/>
        <v>190318</v>
      </c>
      <c r="O1906" s="71" t="s">
        <v>145</v>
      </c>
      <c r="P1906" s="103" t="str">
        <f t="shared" si="1000"/>
        <v>Agfa 정착액 G333C(20L)</v>
      </c>
      <c r="Q1906" s="71">
        <f t="shared" si="989"/>
        <v>1</v>
      </c>
      <c r="R1906" s="102">
        <f>VLOOKUP(P1906,Price!B:D,3,FALSE)</f>
        <v>60000</v>
      </c>
      <c r="S1906" s="102">
        <f t="shared" si="998"/>
        <v>66000</v>
      </c>
      <c r="T1906" s="102">
        <f t="shared" si="999"/>
        <v>60000</v>
      </c>
      <c r="U1906" s="71" t="str">
        <f t="shared" si="997"/>
        <v>O</v>
      </c>
      <c r="V1906" s="71"/>
      <c r="W1906" s="474">
        <f>(G1906-T1906)</f>
        <v>33000</v>
      </c>
      <c r="X1906" s="71"/>
      <c r="Y1906" s="71"/>
    </row>
    <row r="1907" spans="1:25" ht="30" hidden="1" customHeight="1" x14ac:dyDescent="0.2">
      <c r="A1907" s="82">
        <v>190319</v>
      </c>
      <c r="B1907" s="664" t="s">
        <v>546</v>
      </c>
      <c r="C1907" s="71" t="s">
        <v>1261</v>
      </c>
      <c r="D1907" s="71">
        <v>50</v>
      </c>
      <c r="E1907" s="102">
        <v>20000</v>
      </c>
      <c r="F1907" s="163">
        <f t="shared" si="990"/>
        <v>1100000</v>
      </c>
      <c r="G1907" s="163">
        <f t="shared" si="991"/>
        <v>1000000</v>
      </c>
      <c r="H1907" s="165" t="s">
        <v>1431</v>
      </c>
      <c r="I1907" s="71" t="s">
        <v>1431</v>
      </c>
      <c r="J1907" s="53">
        <f>G1907-T1907</f>
        <v>593481.30960236397</v>
      </c>
      <c r="K1907" s="63">
        <f>(J1907/(F1907/11*10))</f>
        <v>0.593481309602364</v>
      </c>
      <c r="L1907" s="871" t="s">
        <v>1750</v>
      </c>
      <c r="M1907" s="468"/>
      <c r="N1907" s="664">
        <f t="shared" si="995"/>
        <v>190319</v>
      </c>
      <c r="O1907" s="71" t="s">
        <v>1431</v>
      </c>
      <c r="P1907" s="103" t="str">
        <f t="shared" si="1000"/>
        <v>아스테이지</v>
      </c>
      <c r="Q1907" s="71">
        <f t="shared" si="989"/>
        <v>50</v>
      </c>
      <c r="R1907" s="102">
        <f>Import!G175</f>
        <v>8130.3738079527193</v>
      </c>
      <c r="S1907" s="102">
        <f t="shared" si="998"/>
        <v>447170.55943739961</v>
      </c>
      <c r="T1907" s="102">
        <f t="shared" si="999"/>
        <v>406518.69039763598</v>
      </c>
      <c r="U1907" s="71" t="str">
        <f t="shared" si="997"/>
        <v>X</v>
      </c>
      <c r="V1907" s="71"/>
      <c r="W1907" s="474"/>
      <c r="X1907" s="71"/>
      <c r="Y1907" s="71"/>
    </row>
    <row r="1908" spans="1:25" ht="30" hidden="1" customHeight="1" x14ac:dyDescent="0.25">
      <c r="A1908" s="82">
        <v>190320</v>
      </c>
      <c r="B1908" s="664" t="s">
        <v>545</v>
      </c>
      <c r="C1908" s="71" t="s">
        <v>227</v>
      </c>
      <c r="D1908" s="71">
        <v>10</v>
      </c>
      <c r="E1908" s="102">
        <v>110000</v>
      </c>
      <c r="F1908" s="102">
        <f>(E1908*D1908)*1.1</f>
        <v>1210000</v>
      </c>
      <c r="G1908" s="102">
        <f>(E1908*D1908)</f>
        <v>1100000</v>
      </c>
      <c r="H1908" s="690" t="s">
        <v>173</v>
      </c>
      <c r="I1908" s="71" t="s">
        <v>109</v>
      </c>
      <c r="J1908" s="53">
        <f>(G1908-(VLOOKUP(C1908,Price!B:D,3,FALSE)*D1908))</f>
        <v>271000</v>
      </c>
      <c r="K1908" s="63">
        <f>(J1908/(F1908/11*10))</f>
        <v>0.24636363636363637</v>
      </c>
      <c r="L1908" s="871" t="s">
        <v>1750</v>
      </c>
      <c r="M1908" s="468"/>
      <c r="N1908" s="664">
        <f>A1908</f>
        <v>190320</v>
      </c>
      <c r="O1908" s="71" t="s">
        <v>147</v>
      </c>
      <c r="P1908" s="103" t="str">
        <f>C1908</f>
        <v>Blanket(1060*860)</v>
      </c>
      <c r="Q1908" s="71">
        <f>D1908</f>
        <v>10</v>
      </c>
      <c r="R1908" s="102">
        <v>82900</v>
      </c>
      <c r="S1908" s="102">
        <f t="shared" si="998"/>
        <v>911900.00000000012</v>
      </c>
      <c r="T1908" s="102">
        <f t="shared" si="999"/>
        <v>829000</v>
      </c>
      <c r="U1908" s="71" t="str">
        <f t="shared" si="997"/>
        <v>O</v>
      </c>
      <c r="V1908" s="71"/>
      <c r="W1908" s="474">
        <f t="shared" ref="W1908:W1918" si="1001">(G1908-T1908)</f>
        <v>271000</v>
      </c>
      <c r="X1908" s="71"/>
      <c r="Y1908" s="71"/>
    </row>
    <row r="1909" spans="1:25" ht="30" hidden="1" customHeight="1" x14ac:dyDescent="0.25">
      <c r="A1909" s="82">
        <v>190320</v>
      </c>
      <c r="B1909" s="664" t="s">
        <v>446</v>
      </c>
      <c r="C1909" s="71" t="s">
        <v>1144</v>
      </c>
      <c r="D1909" s="71">
        <v>10</v>
      </c>
      <c r="E1909" s="102">
        <v>110000</v>
      </c>
      <c r="F1909" s="102">
        <f t="shared" si="990"/>
        <v>1210000</v>
      </c>
      <c r="G1909" s="102">
        <f t="shared" si="991"/>
        <v>1100000</v>
      </c>
      <c r="H1909" s="690" t="s">
        <v>173</v>
      </c>
      <c r="I1909" s="71" t="s">
        <v>2231</v>
      </c>
      <c r="J1909" s="53">
        <f>G1909-T1909</f>
        <v>190000</v>
      </c>
      <c r="K1909" s="63">
        <f t="shared" si="996"/>
        <v>0.17272727272727273</v>
      </c>
      <c r="L1909" s="871" t="s">
        <v>1750</v>
      </c>
      <c r="M1909" s="468"/>
      <c r="N1909" s="664">
        <f t="shared" si="995"/>
        <v>190320</v>
      </c>
      <c r="O1909" s="71" t="s">
        <v>150</v>
      </c>
      <c r="P1909" s="103" t="str">
        <f t="shared" si="1000"/>
        <v>실리콘 에멀전</v>
      </c>
      <c r="Q1909" s="71">
        <f t="shared" si="989"/>
        <v>10</v>
      </c>
      <c r="R1909" s="102">
        <v>91000</v>
      </c>
      <c r="S1909" s="102">
        <f t="shared" si="998"/>
        <v>1001000.0000000001</v>
      </c>
      <c r="T1909" s="102">
        <f t="shared" si="999"/>
        <v>910000</v>
      </c>
      <c r="U1909" s="71" t="str">
        <f t="shared" si="997"/>
        <v>O</v>
      </c>
      <c r="V1909" s="71"/>
      <c r="W1909" s="474">
        <f t="shared" si="1001"/>
        <v>190000</v>
      </c>
      <c r="X1909" s="71"/>
      <c r="Y1909" s="71"/>
    </row>
    <row r="1910" spans="1:25" ht="30" hidden="1" customHeight="1" x14ac:dyDescent="0.25">
      <c r="A1910" s="82">
        <v>190321</v>
      </c>
      <c r="B1910" s="664" t="s">
        <v>690</v>
      </c>
      <c r="C1910" s="71" t="s">
        <v>1186</v>
      </c>
      <c r="D1910" s="71">
        <v>500</v>
      </c>
      <c r="E1910" s="102">
        <v>3600</v>
      </c>
      <c r="F1910" s="102">
        <f t="shared" si="990"/>
        <v>1980000.0000000002</v>
      </c>
      <c r="G1910" s="102">
        <f t="shared" si="991"/>
        <v>1800000</v>
      </c>
      <c r="H1910" s="690" t="s">
        <v>173</v>
      </c>
      <c r="I1910" s="71" t="s">
        <v>2230</v>
      </c>
      <c r="J1910" s="53">
        <f>(G1910-(VLOOKUP(C1910,Price!B:D,3,FALSE)*D1910))</f>
        <v>-200000</v>
      </c>
      <c r="K1910" s="63">
        <f t="shared" si="996"/>
        <v>-0.11111111111111109</v>
      </c>
      <c r="L1910" s="871" t="s">
        <v>1750</v>
      </c>
      <c r="M1910" s="468" t="s">
        <v>1393</v>
      </c>
      <c r="N1910" s="664">
        <f t="shared" si="995"/>
        <v>190321</v>
      </c>
      <c r="O1910" s="71" t="s">
        <v>145</v>
      </c>
      <c r="P1910" s="103" t="str">
        <f t="shared" si="1000"/>
        <v>CTP 판(1030*790mm)</v>
      </c>
      <c r="Q1910" s="71">
        <f t="shared" si="989"/>
        <v>500</v>
      </c>
      <c r="R1910" s="102">
        <v>4000</v>
      </c>
      <c r="S1910" s="102">
        <f t="shared" si="998"/>
        <v>2200000</v>
      </c>
      <c r="T1910" s="102">
        <f t="shared" si="999"/>
        <v>2000000</v>
      </c>
      <c r="U1910" s="71" t="str">
        <f t="shared" si="997"/>
        <v>O</v>
      </c>
      <c r="V1910" s="71"/>
      <c r="W1910" s="474">
        <f t="shared" si="1001"/>
        <v>-200000</v>
      </c>
      <c r="X1910" s="71"/>
      <c r="Y1910" s="71"/>
    </row>
    <row r="1911" spans="1:25" ht="30" hidden="1" customHeight="1" x14ac:dyDescent="0.25">
      <c r="A1911" s="82">
        <v>190321</v>
      </c>
      <c r="B1911" s="664" t="s">
        <v>690</v>
      </c>
      <c r="C1911" s="71" t="s">
        <v>750</v>
      </c>
      <c r="D1911" s="71">
        <v>4</v>
      </c>
      <c r="E1911" s="102">
        <v>49000</v>
      </c>
      <c r="F1911" s="102">
        <f t="shared" si="990"/>
        <v>215600.00000000003</v>
      </c>
      <c r="G1911" s="102">
        <f t="shared" si="991"/>
        <v>196000</v>
      </c>
      <c r="H1911" s="690" t="s">
        <v>173</v>
      </c>
      <c r="I1911" s="71" t="s">
        <v>2230</v>
      </c>
      <c r="J1911" s="53">
        <f>(G1911-(VLOOKUP(C1911,Price!B:D,3,FALSE)*D1911))</f>
        <v>56000</v>
      </c>
      <c r="K1911" s="63">
        <f t="shared" si="996"/>
        <v>0.2857142857142857</v>
      </c>
      <c r="L1911" s="871" t="s">
        <v>1750</v>
      </c>
      <c r="M1911" s="468" t="s">
        <v>1394</v>
      </c>
      <c r="N1911" s="664">
        <f t="shared" si="995"/>
        <v>190321</v>
      </c>
      <c r="O1911" s="71" t="s">
        <v>145</v>
      </c>
      <c r="P1911" s="103" t="str">
        <f t="shared" si="1000"/>
        <v>THD200(20L)</v>
      </c>
      <c r="Q1911" s="71">
        <f t="shared" si="989"/>
        <v>4</v>
      </c>
      <c r="R1911" s="102">
        <v>35000</v>
      </c>
      <c r="S1911" s="102">
        <f t="shared" si="998"/>
        <v>154000</v>
      </c>
      <c r="T1911" s="102">
        <f t="shared" si="999"/>
        <v>140000</v>
      </c>
      <c r="U1911" s="71" t="str">
        <f t="shared" si="997"/>
        <v>O</v>
      </c>
      <c r="V1911" s="71"/>
      <c r="W1911" s="474">
        <f t="shared" si="1001"/>
        <v>56000</v>
      </c>
      <c r="X1911" s="71"/>
      <c r="Y1911" s="71"/>
    </row>
    <row r="1912" spans="1:25" s="209" customFormat="1" ht="30" hidden="1" customHeight="1" x14ac:dyDescent="0.2">
      <c r="A1912" s="82">
        <v>190326</v>
      </c>
      <c r="B1912" s="664" t="s">
        <v>445</v>
      </c>
      <c r="C1912" s="71" t="s">
        <v>138</v>
      </c>
      <c r="D1912" s="71">
        <v>10</v>
      </c>
      <c r="E1912" s="102">
        <v>59500</v>
      </c>
      <c r="F1912" s="163">
        <f t="shared" si="990"/>
        <v>654500</v>
      </c>
      <c r="G1912" s="102">
        <f t="shared" si="991"/>
        <v>595000</v>
      </c>
      <c r="H1912" s="165" t="s">
        <v>172</v>
      </c>
      <c r="I1912" s="71" t="s">
        <v>108</v>
      </c>
      <c r="J1912" s="53">
        <f>(G1912-(VLOOKUP(C1912,Price!B:D,3,FALSE)*D1912))</f>
        <v>85000</v>
      </c>
      <c r="K1912" s="63">
        <f t="shared" ref="K1912:K1919" si="1002">(J1912/(F1912/11*10))</f>
        <v>0.14285714285714285</v>
      </c>
      <c r="L1912" s="871" t="s">
        <v>1750</v>
      </c>
      <c r="M1912" s="468"/>
      <c r="N1912" s="664">
        <f t="shared" si="995"/>
        <v>190326</v>
      </c>
      <c r="O1912" s="71" t="s">
        <v>150</v>
      </c>
      <c r="P1912" s="103" t="str">
        <f t="shared" si="1000"/>
        <v>매엽용 세척제(Wash 562)</v>
      </c>
      <c r="Q1912" s="71">
        <f t="shared" ref="Q1912:Q1920" si="1003">D1912</f>
        <v>10</v>
      </c>
      <c r="R1912" s="102">
        <v>51000</v>
      </c>
      <c r="S1912" s="102">
        <f>(R1912*D1912)*1.1</f>
        <v>561000</v>
      </c>
      <c r="T1912" s="102">
        <f>(R1912*Q1912)</f>
        <v>510000</v>
      </c>
      <c r="U1912" s="71" t="str">
        <f t="shared" si="997"/>
        <v>O</v>
      </c>
      <c r="V1912" s="71"/>
      <c r="W1912" s="474">
        <f t="shared" si="1001"/>
        <v>85000</v>
      </c>
      <c r="X1912" s="71"/>
      <c r="Y1912" s="71"/>
    </row>
    <row r="1913" spans="1:25" ht="30" hidden="1" customHeight="1" x14ac:dyDescent="0.25">
      <c r="A1913" s="82">
        <v>190326</v>
      </c>
      <c r="B1913" s="664" t="s">
        <v>1286</v>
      </c>
      <c r="C1913" s="760" t="s">
        <v>218</v>
      </c>
      <c r="D1913" s="71">
        <v>5</v>
      </c>
      <c r="E1913" s="102">
        <v>192500</v>
      </c>
      <c r="F1913" s="102">
        <f t="shared" si="990"/>
        <v>1058750</v>
      </c>
      <c r="G1913" s="102">
        <f t="shared" si="991"/>
        <v>962500</v>
      </c>
      <c r="H1913" s="690" t="s">
        <v>173</v>
      </c>
      <c r="I1913" s="71" t="s">
        <v>120</v>
      </c>
      <c r="J1913" s="53">
        <f>(G1913-(VLOOKUP(C1913,Price!B:D,3,FALSE)*D1913))</f>
        <v>400000</v>
      </c>
      <c r="K1913" s="63">
        <f t="shared" si="1002"/>
        <v>0.41558441558441561</v>
      </c>
      <c r="L1913" s="871" t="s">
        <v>1750</v>
      </c>
      <c r="M1913" s="468"/>
      <c r="N1913" s="664">
        <f t="shared" si="995"/>
        <v>190326</v>
      </c>
      <c r="O1913" s="71" t="s">
        <v>150</v>
      </c>
      <c r="P1913" s="103" t="str">
        <f t="shared" si="1000"/>
        <v>Fount Web 551AF</v>
      </c>
      <c r="Q1913" s="71">
        <f t="shared" si="1003"/>
        <v>5</v>
      </c>
      <c r="R1913" s="102">
        <v>112500</v>
      </c>
      <c r="S1913" s="102">
        <f>R1913*Q1913*1.1</f>
        <v>618750</v>
      </c>
      <c r="T1913" s="102">
        <f>R1913*Q1913</f>
        <v>562500</v>
      </c>
      <c r="U1913" s="71" t="str">
        <f t="shared" si="997"/>
        <v>O</v>
      </c>
      <c r="V1913" s="71"/>
      <c r="W1913" s="474">
        <f t="shared" si="1001"/>
        <v>400000</v>
      </c>
      <c r="X1913" s="71"/>
      <c r="Y1913" s="71"/>
    </row>
    <row r="1914" spans="1:25" s="209" customFormat="1" ht="30" customHeight="1" x14ac:dyDescent="0.2">
      <c r="A1914" s="82">
        <v>190326</v>
      </c>
      <c r="B1914" s="664" t="s">
        <v>422</v>
      </c>
      <c r="C1914" s="71" t="s">
        <v>138</v>
      </c>
      <c r="D1914" s="71">
        <v>10</v>
      </c>
      <c r="E1914" s="102">
        <v>68000</v>
      </c>
      <c r="F1914" s="163">
        <f t="shared" ref="F1914:F1919" si="1004">(E1914*D1914)*1.1</f>
        <v>748000.00000000012</v>
      </c>
      <c r="G1914" s="163">
        <f t="shared" ref="G1914:G1919" si="1005">(E1914*D1914)</f>
        <v>680000</v>
      </c>
      <c r="H1914" s="165" t="s">
        <v>172</v>
      </c>
      <c r="I1914" s="71" t="s">
        <v>109</v>
      </c>
      <c r="J1914" s="53">
        <f>(G1914-(VLOOKUP(C1914,Price!B:D,3,FALSE)*D1914))</f>
        <v>170000</v>
      </c>
      <c r="K1914" s="63">
        <f t="shared" si="1002"/>
        <v>0.24999999999999994</v>
      </c>
      <c r="L1914" s="871" t="s">
        <v>1750</v>
      </c>
      <c r="M1914" s="468"/>
      <c r="N1914" s="664">
        <f t="shared" ref="N1914:N1919" si="1006">A1914</f>
        <v>190326</v>
      </c>
      <c r="O1914" s="71" t="s">
        <v>150</v>
      </c>
      <c r="P1914" s="103" t="str">
        <f>C1914</f>
        <v>매엽용 세척제(Wash 562)</v>
      </c>
      <c r="Q1914" s="71">
        <f t="shared" si="1003"/>
        <v>10</v>
      </c>
      <c r="R1914" s="102">
        <v>51000</v>
      </c>
      <c r="S1914" s="102">
        <f>(R1914*D1914)*1.1</f>
        <v>561000</v>
      </c>
      <c r="T1914" s="102">
        <f>(R1914*Q1914)</f>
        <v>510000</v>
      </c>
      <c r="U1914" s="71" t="str">
        <f t="shared" si="997"/>
        <v>O</v>
      </c>
      <c r="V1914" s="71"/>
      <c r="W1914" s="474">
        <f t="shared" si="1001"/>
        <v>170000</v>
      </c>
      <c r="X1914" s="71"/>
      <c r="Y1914" s="71"/>
    </row>
    <row r="1915" spans="1:25" ht="30" customHeight="1" x14ac:dyDescent="0.25">
      <c r="A1915" s="82">
        <v>190326</v>
      </c>
      <c r="B1915" s="664" t="s">
        <v>422</v>
      </c>
      <c r="C1915" s="71" t="s">
        <v>129</v>
      </c>
      <c r="D1915" s="71">
        <v>7</v>
      </c>
      <c r="E1915" s="102">
        <v>272000</v>
      </c>
      <c r="F1915" s="102">
        <f t="shared" si="1004"/>
        <v>2094400.0000000002</v>
      </c>
      <c r="G1915" s="102">
        <f t="shared" si="1005"/>
        <v>1904000</v>
      </c>
      <c r="H1915" s="690" t="s">
        <v>173</v>
      </c>
      <c r="I1915" s="71" t="s">
        <v>108</v>
      </c>
      <c r="J1915" s="53">
        <f>(G1915-(VLOOKUP(C1915,Price!B:D,3,FALSE)*D1915))</f>
        <v>448000</v>
      </c>
      <c r="K1915" s="63">
        <f t="shared" si="1002"/>
        <v>0.23529411764705879</v>
      </c>
      <c r="L1915" s="871" t="s">
        <v>1750</v>
      </c>
      <c r="M1915" s="468"/>
      <c r="N1915" s="664">
        <f t="shared" si="1006"/>
        <v>190326</v>
      </c>
      <c r="O1915" s="71" t="s">
        <v>149</v>
      </c>
      <c r="P1915" s="103" t="str">
        <f>C1915</f>
        <v>세정포-XL106</v>
      </c>
      <c r="Q1915" s="71">
        <f t="shared" si="1003"/>
        <v>7</v>
      </c>
      <c r="R1915" s="102">
        <v>208000</v>
      </c>
      <c r="S1915" s="102">
        <f>R1915*Q1915*1.1</f>
        <v>1601600.0000000002</v>
      </c>
      <c r="T1915" s="102">
        <f>R1915*Q1915</f>
        <v>1456000</v>
      </c>
      <c r="U1915" s="71" t="str">
        <f t="shared" si="997"/>
        <v>O</v>
      </c>
      <c r="V1915" s="71"/>
      <c r="W1915" s="474">
        <f t="shared" si="1001"/>
        <v>448000</v>
      </c>
      <c r="X1915" s="71"/>
      <c r="Y1915" s="71"/>
    </row>
    <row r="1916" spans="1:25" s="209" customFormat="1" ht="30" customHeight="1" x14ac:dyDescent="0.25">
      <c r="A1916" s="82">
        <v>190327</v>
      </c>
      <c r="B1916" s="664" t="s">
        <v>565</v>
      </c>
      <c r="C1916" s="71" t="s">
        <v>583</v>
      </c>
      <c r="D1916" s="71">
        <v>40</v>
      </c>
      <c r="E1916" s="102">
        <v>89000</v>
      </c>
      <c r="F1916" s="102">
        <f t="shared" si="1004"/>
        <v>3916000.0000000005</v>
      </c>
      <c r="G1916" s="102">
        <f t="shared" si="1005"/>
        <v>3560000</v>
      </c>
      <c r="H1916" s="690" t="s">
        <v>173</v>
      </c>
      <c r="I1916" s="71" t="s">
        <v>108</v>
      </c>
      <c r="J1916" s="53">
        <f>(G1916-(VLOOKUP(C1916,Price!B:D,3,FALSE)*D1916))</f>
        <v>1800000</v>
      </c>
      <c r="K1916" s="63">
        <f t="shared" si="1002"/>
        <v>0.50561797752808979</v>
      </c>
      <c r="L1916" s="871" t="s">
        <v>1750</v>
      </c>
      <c r="M1916" s="468"/>
      <c r="N1916" s="664">
        <f t="shared" si="1006"/>
        <v>190327</v>
      </c>
      <c r="O1916" s="71" t="s">
        <v>599</v>
      </c>
      <c r="P1916" s="103" t="str">
        <f>C1916</f>
        <v>M600 윤전 세정포</v>
      </c>
      <c r="Q1916" s="71">
        <f t="shared" si="1003"/>
        <v>40</v>
      </c>
      <c r="R1916" s="102">
        <v>44000</v>
      </c>
      <c r="S1916" s="102">
        <f>(R1916*D1916)*1.1</f>
        <v>1936000.0000000002</v>
      </c>
      <c r="T1916" s="102">
        <f>(R1916*Q1916)</f>
        <v>1760000</v>
      </c>
      <c r="U1916" s="71" t="str">
        <f t="shared" si="997"/>
        <v>O</v>
      </c>
      <c r="V1916" s="71"/>
      <c r="W1916" s="474">
        <f t="shared" si="1001"/>
        <v>1800000</v>
      </c>
      <c r="X1916" s="71"/>
      <c r="Y1916" s="71"/>
    </row>
    <row r="1917" spans="1:25" ht="30" customHeight="1" x14ac:dyDescent="0.25">
      <c r="A1917" s="82">
        <v>190327</v>
      </c>
      <c r="B1917" s="664" t="s">
        <v>422</v>
      </c>
      <c r="C1917" s="760" t="s">
        <v>218</v>
      </c>
      <c r="D1917" s="71">
        <v>5</v>
      </c>
      <c r="E1917" s="102">
        <v>235000</v>
      </c>
      <c r="F1917" s="102">
        <f t="shared" si="1004"/>
        <v>1292500</v>
      </c>
      <c r="G1917" s="102">
        <f t="shared" si="1005"/>
        <v>1175000</v>
      </c>
      <c r="H1917" s="690" t="s">
        <v>173</v>
      </c>
      <c r="I1917" s="71" t="s">
        <v>120</v>
      </c>
      <c r="J1917" s="53">
        <f>(G1917-(VLOOKUP(C1917,Price!B:D,3,FALSE)*D1917))</f>
        <v>612500</v>
      </c>
      <c r="K1917" s="63">
        <f t="shared" si="1002"/>
        <v>0.52127659574468088</v>
      </c>
      <c r="L1917" s="871" t="s">
        <v>1750</v>
      </c>
      <c r="M1917" s="468"/>
      <c r="N1917" s="664">
        <f t="shared" si="1006"/>
        <v>190327</v>
      </c>
      <c r="O1917" s="71" t="s">
        <v>150</v>
      </c>
      <c r="P1917" s="103" t="str">
        <f>C1917</f>
        <v>Fount Web 551AF</v>
      </c>
      <c r="Q1917" s="71">
        <f t="shared" si="1003"/>
        <v>5</v>
      </c>
      <c r="R1917" s="102">
        <v>112500</v>
      </c>
      <c r="S1917" s="102">
        <f>R1917*Q1917*1.1</f>
        <v>618750</v>
      </c>
      <c r="T1917" s="102">
        <f>R1917*Q1917</f>
        <v>562500</v>
      </c>
      <c r="U1917" s="71" t="str">
        <f t="shared" si="997"/>
        <v>O</v>
      </c>
      <c r="V1917" s="71"/>
      <c r="W1917" s="474">
        <f t="shared" si="1001"/>
        <v>612500</v>
      </c>
      <c r="X1917" s="71"/>
      <c r="Y1917" s="71"/>
    </row>
    <row r="1918" spans="1:25" s="209" customFormat="1" ht="30" hidden="1" customHeight="1" x14ac:dyDescent="0.2">
      <c r="A1918" s="82">
        <v>190327</v>
      </c>
      <c r="B1918" s="664" t="s">
        <v>564</v>
      </c>
      <c r="C1918" s="71" t="s">
        <v>805</v>
      </c>
      <c r="D1918" s="71">
        <v>2</v>
      </c>
      <c r="E1918" s="102">
        <v>270000</v>
      </c>
      <c r="F1918" s="163">
        <f t="shared" si="1004"/>
        <v>594000</v>
      </c>
      <c r="G1918" s="163">
        <f t="shared" si="1005"/>
        <v>540000</v>
      </c>
      <c r="H1918" s="165" t="s">
        <v>173</v>
      </c>
      <c r="I1918" s="71" t="s">
        <v>120</v>
      </c>
      <c r="J1918" s="53">
        <f>(G1918-(VLOOKUP(C1918,Price!B:D,3,FALSE)*D1918))</f>
        <v>260000</v>
      </c>
      <c r="K1918" s="63">
        <f t="shared" si="1002"/>
        <v>0.48148148148148145</v>
      </c>
      <c r="L1918" s="871" t="s">
        <v>1750</v>
      </c>
      <c r="M1918" s="468"/>
      <c r="N1918" s="664">
        <f t="shared" si="1006"/>
        <v>190327</v>
      </c>
      <c r="O1918" s="71" t="s">
        <v>150</v>
      </c>
      <c r="P1918" s="103" t="str">
        <f>(C1918)</f>
        <v>Fount 554</v>
      </c>
      <c r="Q1918" s="71">
        <f t="shared" si="1003"/>
        <v>2</v>
      </c>
      <c r="R1918" s="102">
        <v>140000</v>
      </c>
      <c r="S1918" s="102">
        <f>(R1918*D1918)*1.1</f>
        <v>308000</v>
      </c>
      <c r="T1918" s="102">
        <f>(R1918*Q1918)</f>
        <v>280000</v>
      </c>
      <c r="U1918" s="71" t="str">
        <f t="shared" si="997"/>
        <v>O</v>
      </c>
      <c r="V1918" s="71"/>
      <c r="W1918" s="474">
        <f t="shared" si="1001"/>
        <v>260000</v>
      </c>
      <c r="X1918" s="71"/>
      <c r="Y1918" s="71"/>
    </row>
    <row r="1919" spans="1:25" s="209" customFormat="1" ht="30" hidden="1" customHeight="1" x14ac:dyDescent="0.2">
      <c r="A1919" s="82">
        <v>190327</v>
      </c>
      <c r="B1919" s="664" t="s">
        <v>564</v>
      </c>
      <c r="C1919" s="71" t="s">
        <v>1789</v>
      </c>
      <c r="D1919" s="71">
        <v>2</v>
      </c>
      <c r="E1919" s="102">
        <v>165000</v>
      </c>
      <c r="F1919" s="163">
        <f t="shared" si="1004"/>
        <v>363000.00000000006</v>
      </c>
      <c r="G1919" s="163">
        <f t="shared" si="1005"/>
        <v>330000</v>
      </c>
      <c r="H1919" s="165" t="s">
        <v>173</v>
      </c>
      <c r="I1919" s="71" t="s">
        <v>109</v>
      </c>
      <c r="J1919" s="53">
        <f>G1919-T1919</f>
        <v>60000</v>
      </c>
      <c r="K1919" s="63">
        <f t="shared" si="1002"/>
        <v>0.1818181818181818</v>
      </c>
      <c r="L1919" s="871" t="s">
        <v>1750</v>
      </c>
      <c r="M1919" s="468"/>
      <c r="N1919" s="664">
        <f t="shared" si="1006"/>
        <v>190327</v>
      </c>
      <c r="O1919" s="71" t="s">
        <v>151</v>
      </c>
      <c r="P1919" s="103" t="str">
        <f>C1919</f>
        <v>불칸폴리오 블랑켓 1050*840</v>
      </c>
      <c r="Q1919" s="71">
        <f t="shared" si="1003"/>
        <v>2</v>
      </c>
      <c r="R1919" s="102">
        <v>135000</v>
      </c>
      <c r="S1919" s="102">
        <f>R1919*Q1919*1.1</f>
        <v>297000</v>
      </c>
      <c r="T1919" s="102">
        <f>R1919*Q1919</f>
        <v>270000</v>
      </c>
      <c r="U1919" s="71" t="str">
        <f t="shared" si="997"/>
        <v>X</v>
      </c>
      <c r="V1919" s="71"/>
      <c r="W1919" s="474"/>
      <c r="X1919" s="71"/>
      <c r="Y1919" s="71"/>
    </row>
    <row r="1920" spans="1:25" ht="30" hidden="1" customHeight="1" x14ac:dyDescent="0.25">
      <c r="A1920" s="82">
        <v>190327</v>
      </c>
      <c r="B1920" s="664" t="s">
        <v>545</v>
      </c>
      <c r="C1920" s="71" t="s">
        <v>952</v>
      </c>
      <c r="D1920" s="71">
        <v>1</v>
      </c>
      <c r="E1920" s="102">
        <v>630000</v>
      </c>
      <c r="F1920" s="102">
        <f t="shared" si="990"/>
        <v>693000</v>
      </c>
      <c r="G1920" s="102">
        <f t="shared" si="991"/>
        <v>630000</v>
      </c>
      <c r="H1920" s="690" t="s">
        <v>173</v>
      </c>
      <c r="I1920" s="71" t="s">
        <v>108</v>
      </c>
      <c r="J1920" s="53">
        <f>(G1920-(VLOOKUP(C1920,Price!B:D,3,FALSE)*D1920))</f>
        <v>180000</v>
      </c>
      <c r="K1920" s="63">
        <f t="shared" ref="K1920:K1937" si="1007">(J1920/(F1920/11*10))</f>
        <v>0.2857142857142857</v>
      </c>
      <c r="L1920" s="871" t="s">
        <v>1750</v>
      </c>
      <c r="M1920" s="468"/>
      <c r="N1920" s="664">
        <f t="shared" si="995"/>
        <v>190327</v>
      </c>
      <c r="O1920" s="71" t="s">
        <v>599</v>
      </c>
      <c r="P1920" s="103" t="str">
        <f>C1920</f>
        <v>점보롤 세정포</v>
      </c>
      <c r="Q1920" s="71">
        <f t="shared" si="1003"/>
        <v>1</v>
      </c>
      <c r="R1920" s="102">
        <v>440000</v>
      </c>
      <c r="S1920" s="102">
        <f>R1920*Q1920*1.1</f>
        <v>484000.00000000006</v>
      </c>
      <c r="T1920" s="102">
        <f>R1920*Q1920</f>
        <v>440000</v>
      </c>
      <c r="U1920" s="71" t="str">
        <f t="shared" si="997"/>
        <v>X</v>
      </c>
      <c r="V1920" s="71" t="s">
        <v>1228</v>
      </c>
      <c r="W1920" s="474">
        <f>(G1920-T1920)</f>
        <v>190000</v>
      </c>
      <c r="X1920" s="71"/>
      <c r="Y1920" s="71"/>
    </row>
    <row r="1921" spans="1:25" ht="30" hidden="1" customHeight="1" x14ac:dyDescent="0.25">
      <c r="A1921" s="82">
        <v>190327</v>
      </c>
      <c r="B1921" s="664" t="s">
        <v>1051</v>
      </c>
      <c r="C1921" s="71" t="s">
        <v>1294</v>
      </c>
      <c r="D1921" s="71">
        <v>5000</v>
      </c>
      <c r="E1921" s="102">
        <v>5910</v>
      </c>
      <c r="F1921" s="102">
        <f>(E1921*D1921)*1.1</f>
        <v>32505000.000000004</v>
      </c>
      <c r="G1921" s="102">
        <f>(E1921*D1921)</f>
        <v>29550000</v>
      </c>
      <c r="H1921" s="690" t="s">
        <v>142</v>
      </c>
      <c r="I1921" s="71" t="s">
        <v>2273</v>
      </c>
      <c r="J1921" s="53">
        <f t="shared" ref="J1921:J1927" si="1008">G1921-T1921</f>
        <v>9550000</v>
      </c>
      <c r="K1921" s="63">
        <f t="shared" si="1007"/>
        <v>0.32318104906937389</v>
      </c>
      <c r="L1921" s="871" t="s">
        <v>1750</v>
      </c>
      <c r="M1921" s="468"/>
      <c r="N1921" s="664">
        <f t="shared" si="995"/>
        <v>190327</v>
      </c>
      <c r="O1921" s="71" t="s">
        <v>145</v>
      </c>
      <c r="P1921" s="103" t="str">
        <f>(C1921)</f>
        <v>ENGAGE 1030*790</v>
      </c>
      <c r="Q1921" s="71">
        <f t="shared" ref="Q1921:Q1938" si="1009">D1921</f>
        <v>5000</v>
      </c>
      <c r="R1921" s="102">
        <v>4000</v>
      </c>
      <c r="S1921" s="102">
        <f>(R1921*D1921)*1.1</f>
        <v>22000000</v>
      </c>
      <c r="T1921" s="102">
        <f>(R1921*Q1921)</f>
        <v>20000000</v>
      </c>
      <c r="U1921" s="71" t="str">
        <f t="shared" si="997"/>
        <v>X</v>
      </c>
      <c r="V1921" s="71"/>
      <c r="W1921" s="474"/>
      <c r="X1921" s="71"/>
      <c r="Y1921" s="71"/>
    </row>
    <row r="1922" spans="1:25" ht="30" hidden="1" customHeight="1" x14ac:dyDescent="0.25">
      <c r="A1922" s="82">
        <v>190327</v>
      </c>
      <c r="B1922" s="664" t="s">
        <v>1051</v>
      </c>
      <c r="C1922" s="71" t="s">
        <v>1384</v>
      </c>
      <c r="D1922" s="71">
        <v>3400</v>
      </c>
      <c r="E1922" s="102">
        <v>3720</v>
      </c>
      <c r="F1922" s="102">
        <f t="shared" ref="F1922:F1938" si="1010">(E1922*D1922)*1.1</f>
        <v>13912800.000000002</v>
      </c>
      <c r="G1922" s="102">
        <f t="shared" ref="G1922:G1938" si="1011">(E1922*D1922)</f>
        <v>12648000</v>
      </c>
      <c r="H1922" s="690" t="s">
        <v>142</v>
      </c>
      <c r="I1922" s="71" t="s">
        <v>2273</v>
      </c>
      <c r="J1922" s="53">
        <f t="shared" si="1008"/>
        <v>4080000</v>
      </c>
      <c r="K1922" s="63">
        <f t="shared" si="1007"/>
        <v>0.32258064516129026</v>
      </c>
      <c r="L1922" s="871" t="s">
        <v>1750</v>
      </c>
      <c r="M1922" s="468"/>
      <c r="N1922" s="664">
        <f t="shared" si="995"/>
        <v>190327</v>
      </c>
      <c r="O1922" s="71" t="s">
        <v>145</v>
      </c>
      <c r="P1922" s="103" t="str">
        <f>C1922</f>
        <v>ENGAGE 900X571 - 27RO</v>
      </c>
      <c r="Q1922" s="71">
        <f t="shared" si="1009"/>
        <v>3400</v>
      </c>
      <c r="R1922" s="102">
        <v>2520</v>
      </c>
      <c r="S1922" s="102">
        <f>R1922*Q1922*1.1</f>
        <v>9424800</v>
      </c>
      <c r="T1922" s="102">
        <f>R1922*Q1922</f>
        <v>8568000</v>
      </c>
      <c r="U1922" s="71" t="str">
        <f t="shared" si="997"/>
        <v>O</v>
      </c>
      <c r="V1922" s="71"/>
      <c r="W1922" s="474">
        <f t="shared" ref="W1922:W1937" si="1012">(G1922-T1922)</f>
        <v>4080000</v>
      </c>
      <c r="X1922" s="71"/>
      <c r="Y1922" s="71"/>
    </row>
    <row r="1923" spans="1:25" ht="30" hidden="1" customHeight="1" x14ac:dyDescent="0.25">
      <c r="A1923" s="82">
        <v>190327</v>
      </c>
      <c r="B1923" s="664" t="s">
        <v>1051</v>
      </c>
      <c r="C1923" s="71" t="s">
        <v>951</v>
      </c>
      <c r="D1923" s="71">
        <v>1500</v>
      </c>
      <c r="E1923" s="102">
        <v>3540</v>
      </c>
      <c r="F1923" s="102">
        <f t="shared" si="1010"/>
        <v>5841000.0000000009</v>
      </c>
      <c r="G1923" s="102">
        <f t="shared" si="1011"/>
        <v>5310000</v>
      </c>
      <c r="H1923" s="690" t="s">
        <v>142</v>
      </c>
      <c r="I1923" s="71" t="s">
        <v>2273</v>
      </c>
      <c r="J1923" s="53">
        <f t="shared" si="1008"/>
        <v>1725000</v>
      </c>
      <c r="K1923" s="63">
        <f t="shared" si="1007"/>
        <v>0.32485875706214684</v>
      </c>
      <c r="L1923" s="871" t="s">
        <v>1750</v>
      </c>
      <c r="M1923" s="468"/>
      <c r="N1923" s="664">
        <f t="shared" si="995"/>
        <v>190327</v>
      </c>
      <c r="O1923" s="71" t="s">
        <v>145</v>
      </c>
      <c r="P1923" s="103" t="str">
        <f>(C1923)</f>
        <v>ENGAGE 30WEB(883*552)</v>
      </c>
      <c r="Q1923" s="71">
        <f t="shared" si="1009"/>
        <v>1500</v>
      </c>
      <c r="R1923" s="102">
        <v>2390</v>
      </c>
      <c r="S1923" s="102">
        <f>(R1923*D1923)*1.1</f>
        <v>3943500.0000000005</v>
      </c>
      <c r="T1923" s="102">
        <f>(R1923*Q1923)</f>
        <v>3585000</v>
      </c>
      <c r="U1923" s="71" t="str">
        <f t="shared" si="997"/>
        <v>O</v>
      </c>
      <c r="V1923" s="71"/>
      <c r="W1923" s="474">
        <f t="shared" si="1012"/>
        <v>1725000</v>
      </c>
      <c r="X1923" s="71"/>
      <c r="Y1923" s="71"/>
    </row>
    <row r="1924" spans="1:25" ht="30" hidden="1" customHeight="1" x14ac:dyDescent="0.25">
      <c r="A1924" s="82">
        <v>190327</v>
      </c>
      <c r="B1924" s="664" t="s">
        <v>1051</v>
      </c>
      <c r="C1924" s="71" t="s">
        <v>1383</v>
      </c>
      <c r="D1924" s="71">
        <v>1500</v>
      </c>
      <c r="E1924" s="102">
        <v>6200</v>
      </c>
      <c r="F1924" s="102">
        <f t="shared" si="1010"/>
        <v>10230000</v>
      </c>
      <c r="G1924" s="102">
        <f t="shared" si="1011"/>
        <v>9300000</v>
      </c>
      <c r="H1924" s="690" t="s">
        <v>142</v>
      </c>
      <c r="I1924" s="71" t="s">
        <v>2273</v>
      </c>
      <c r="J1924" s="53">
        <f t="shared" si="1008"/>
        <v>2985000</v>
      </c>
      <c r="K1924" s="63">
        <f t="shared" si="1007"/>
        <v>0.32096774193548389</v>
      </c>
      <c r="L1924" s="871" t="s">
        <v>1750</v>
      </c>
      <c r="M1924" s="468"/>
      <c r="N1924" s="664">
        <f t="shared" si="995"/>
        <v>190327</v>
      </c>
      <c r="O1924" s="71" t="s">
        <v>145</v>
      </c>
      <c r="P1924" s="103" t="str">
        <f>C1924</f>
        <v>ENGAGE 1055*811</v>
      </c>
      <c r="Q1924" s="71">
        <f t="shared" si="1009"/>
        <v>1500</v>
      </c>
      <c r="R1924" s="102">
        <v>4210</v>
      </c>
      <c r="S1924" s="102">
        <f>R1924*Q1924*1.1</f>
        <v>6946500.0000000009</v>
      </c>
      <c r="T1924" s="102">
        <f>R1924*Q1924</f>
        <v>6315000</v>
      </c>
      <c r="U1924" s="71"/>
      <c r="V1924" s="71"/>
      <c r="W1924" s="474">
        <f t="shared" si="1012"/>
        <v>2985000</v>
      </c>
      <c r="X1924" s="71"/>
      <c r="Y1924" s="71"/>
    </row>
    <row r="1925" spans="1:25" ht="30" hidden="1" customHeight="1" x14ac:dyDescent="0.25">
      <c r="A1925" s="82">
        <v>190327</v>
      </c>
      <c r="B1925" s="664" t="s">
        <v>1051</v>
      </c>
      <c r="C1925" s="71" t="s">
        <v>1650</v>
      </c>
      <c r="D1925" s="71">
        <v>500</v>
      </c>
      <c r="E1925" s="102">
        <v>4440</v>
      </c>
      <c r="F1925" s="102">
        <f t="shared" si="1010"/>
        <v>2442000</v>
      </c>
      <c r="G1925" s="102">
        <f t="shared" si="1011"/>
        <v>2220000</v>
      </c>
      <c r="H1925" s="690" t="s">
        <v>142</v>
      </c>
      <c r="I1925" s="71" t="s">
        <v>2273</v>
      </c>
      <c r="J1925" s="53">
        <f t="shared" si="1008"/>
        <v>720000</v>
      </c>
      <c r="K1925" s="63">
        <f t="shared" si="1007"/>
        <v>0.32432432432432434</v>
      </c>
      <c r="L1925" s="871" t="s">
        <v>1750</v>
      </c>
      <c r="M1925" s="468"/>
      <c r="N1925" s="664">
        <f t="shared" si="995"/>
        <v>190327</v>
      </c>
      <c r="O1925" s="71" t="s">
        <v>145</v>
      </c>
      <c r="P1925" s="103" t="s">
        <v>1385</v>
      </c>
      <c r="Q1925" s="71">
        <f t="shared" si="1009"/>
        <v>500</v>
      </c>
      <c r="R1925" s="102">
        <v>3000</v>
      </c>
      <c r="S1925" s="102">
        <f>R1925*Q1925*1.1</f>
        <v>1650000.0000000002</v>
      </c>
      <c r="T1925" s="102">
        <f>R1925*Q1925</f>
        <v>1500000</v>
      </c>
      <c r="U1925" s="71" t="str">
        <f t="shared" ref="U1925:U1942" si="1013">IF(J1925=W1925,"O", "X")</f>
        <v>O</v>
      </c>
      <c r="V1925" s="71"/>
      <c r="W1925" s="474">
        <f t="shared" si="1012"/>
        <v>720000</v>
      </c>
      <c r="X1925" s="71"/>
      <c r="Y1925" s="71"/>
    </row>
    <row r="1926" spans="1:25" ht="30" hidden="1" customHeight="1" x14ac:dyDescent="0.25">
      <c r="A1926" s="82">
        <v>190327</v>
      </c>
      <c r="B1926" s="664" t="s">
        <v>1051</v>
      </c>
      <c r="C1926" s="67" t="s">
        <v>1386</v>
      </c>
      <c r="D1926" s="71">
        <v>30</v>
      </c>
      <c r="E1926" s="102">
        <v>54500</v>
      </c>
      <c r="F1926" s="102">
        <f t="shared" si="1010"/>
        <v>1798500.0000000002</v>
      </c>
      <c r="G1926" s="102">
        <f t="shared" si="1011"/>
        <v>1635000</v>
      </c>
      <c r="H1926" s="690" t="s">
        <v>142</v>
      </c>
      <c r="I1926" s="71" t="s">
        <v>2273</v>
      </c>
      <c r="J1926" s="53">
        <f t="shared" si="1008"/>
        <v>585000</v>
      </c>
      <c r="K1926" s="63">
        <f t="shared" si="1007"/>
        <v>0.35779816513761464</v>
      </c>
      <c r="L1926" s="871" t="s">
        <v>1750</v>
      </c>
      <c r="M1926" s="468"/>
      <c r="N1926" s="664">
        <f t="shared" si="995"/>
        <v>190327</v>
      </c>
      <c r="O1926" s="71" t="s">
        <v>145</v>
      </c>
      <c r="P1926" s="103" t="str">
        <f>C1926</f>
        <v>THR200(20L)보충액</v>
      </c>
      <c r="Q1926" s="71">
        <f t="shared" si="1009"/>
        <v>30</v>
      </c>
      <c r="R1926" s="102">
        <v>35000</v>
      </c>
      <c r="S1926" s="102">
        <f>R1926*Q1926*1.1</f>
        <v>1155000</v>
      </c>
      <c r="T1926" s="102">
        <f>R1926*Q1926</f>
        <v>1050000</v>
      </c>
      <c r="U1926" s="71" t="str">
        <f t="shared" si="1013"/>
        <v>O</v>
      </c>
      <c r="V1926" s="71"/>
      <c r="W1926" s="474">
        <f t="shared" si="1012"/>
        <v>585000</v>
      </c>
      <c r="X1926" s="71"/>
      <c r="Y1926" s="71"/>
    </row>
    <row r="1927" spans="1:25" ht="30" hidden="1" customHeight="1" x14ac:dyDescent="0.25">
      <c r="A1927" s="82">
        <v>190327</v>
      </c>
      <c r="B1927" s="664" t="s">
        <v>1051</v>
      </c>
      <c r="C1927" s="71" t="s">
        <v>1387</v>
      </c>
      <c r="D1927" s="71">
        <v>10</v>
      </c>
      <c r="E1927" s="102">
        <v>54500</v>
      </c>
      <c r="F1927" s="102">
        <f t="shared" si="1010"/>
        <v>599500</v>
      </c>
      <c r="G1927" s="102">
        <f t="shared" si="1011"/>
        <v>545000</v>
      </c>
      <c r="H1927" s="690" t="s">
        <v>142</v>
      </c>
      <c r="I1927" s="71" t="s">
        <v>2273</v>
      </c>
      <c r="J1927" s="53">
        <f t="shared" si="1008"/>
        <v>195000</v>
      </c>
      <c r="K1927" s="63">
        <f t="shared" si="1007"/>
        <v>0.3577981651376147</v>
      </c>
      <c r="L1927" s="871" t="s">
        <v>1750</v>
      </c>
      <c r="M1927" s="468"/>
      <c r="N1927" s="664">
        <f t="shared" si="995"/>
        <v>190327</v>
      </c>
      <c r="O1927" s="71" t="s">
        <v>145</v>
      </c>
      <c r="P1927" s="103" t="str">
        <f>(C1927)</f>
        <v>THD200(20L)현상액</v>
      </c>
      <c r="Q1927" s="71">
        <f t="shared" si="1009"/>
        <v>10</v>
      </c>
      <c r="R1927" s="102">
        <v>35000</v>
      </c>
      <c r="S1927" s="102">
        <f>(R1927*D1927)*1.1</f>
        <v>385000.00000000006</v>
      </c>
      <c r="T1927" s="102">
        <f>(R1927*Q1927)</f>
        <v>350000</v>
      </c>
      <c r="U1927" s="71" t="str">
        <f t="shared" si="1013"/>
        <v>O</v>
      </c>
      <c r="V1927" s="71"/>
      <c r="W1927" s="474">
        <f t="shared" si="1012"/>
        <v>195000</v>
      </c>
      <c r="X1927" s="71"/>
      <c r="Y1927" s="71"/>
    </row>
    <row r="1928" spans="1:25" ht="30" hidden="1" customHeight="1" x14ac:dyDescent="0.25">
      <c r="A1928" s="82">
        <v>190327</v>
      </c>
      <c r="B1928" s="664" t="s">
        <v>1061</v>
      </c>
      <c r="C1928" s="71" t="s">
        <v>616</v>
      </c>
      <c r="D1928" s="71">
        <v>200</v>
      </c>
      <c r="E1928" s="102">
        <v>6600</v>
      </c>
      <c r="F1928" s="102">
        <f t="shared" si="1010"/>
        <v>1452000.0000000002</v>
      </c>
      <c r="G1928" s="102">
        <f t="shared" si="1011"/>
        <v>1320000</v>
      </c>
      <c r="H1928" s="690" t="s">
        <v>142</v>
      </c>
      <c r="I1928" s="71" t="s">
        <v>144</v>
      </c>
      <c r="J1928" s="53">
        <f>(G1928-(VLOOKUP(C1928,Price!B:D,3,FALSE)*D1928))</f>
        <v>140000</v>
      </c>
      <c r="K1928" s="63">
        <f t="shared" si="1007"/>
        <v>0.10606060606060604</v>
      </c>
      <c r="L1928" s="871" t="s">
        <v>1750</v>
      </c>
      <c r="M1928" s="468"/>
      <c r="N1928" s="664">
        <f>A1928</f>
        <v>190327</v>
      </c>
      <c r="O1928" s="71" t="s">
        <v>147</v>
      </c>
      <c r="P1928" s="103" t="str">
        <f t="shared" ref="P1928:P1936" si="1014">C1928</f>
        <v>프리미어(먹)</v>
      </c>
      <c r="Q1928" s="71">
        <f t="shared" si="1009"/>
        <v>200</v>
      </c>
      <c r="R1928" s="102">
        <v>5900</v>
      </c>
      <c r="S1928" s="102">
        <f>R1928*Q1928*1.1</f>
        <v>1298000</v>
      </c>
      <c r="T1928" s="102">
        <f>R1928*Q1928</f>
        <v>1180000</v>
      </c>
      <c r="U1928" s="71" t="str">
        <f t="shared" si="1013"/>
        <v>O</v>
      </c>
      <c r="V1928" s="71"/>
      <c r="W1928" s="474">
        <f t="shared" si="1012"/>
        <v>140000</v>
      </c>
      <c r="X1928" s="71"/>
      <c r="Y1928" s="71"/>
    </row>
    <row r="1929" spans="1:25" ht="30" hidden="1" customHeight="1" x14ac:dyDescent="0.25">
      <c r="A1929" s="82">
        <v>190327</v>
      </c>
      <c r="B1929" s="664" t="s">
        <v>1052</v>
      </c>
      <c r="C1929" s="71" t="s">
        <v>585</v>
      </c>
      <c r="D1929" s="71">
        <v>200</v>
      </c>
      <c r="E1929" s="102">
        <v>7500</v>
      </c>
      <c r="F1929" s="102">
        <f t="shared" si="1010"/>
        <v>1650000.0000000002</v>
      </c>
      <c r="G1929" s="102">
        <f t="shared" si="1011"/>
        <v>1500000</v>
      </c>
      <c r="H1929" s="690" t="s">
        <v>142</v>
      </c>
      <c r="I1929" s="71" t="s">
        <v>144</v>
      </c>
      <c r="J1929" s="53">
        <f>(G1929-(VLOOKUP(C1929,Price!B:D,3,FALSE)*D1929))</f>
        <v>146000</v>
      </c>
      <c r="K1929" s="63">
        <f t="shared" si="1007"/>
        <v>9.7333333333333313E-2</v>
      </c>
      <c r="L1929" s="871" t="s">
        <v>1750</v>
      </c>
      <c r="M1929" s="468"/>
      <c r="N1929" s="664">
        <f>A1929</f>
        <v>190327</v>
      </c>
      <c r="O1929" s="71" t="s">
        <v>147</v>
      </c>
      <c r="P1929" s="103" t="str">
        <f t="shared" si="1014"/>
        <v>프리미어(적)</v>
      </c>
      <c r="Q1929" s="71">
        <f t="shared" si="1009"/>
        <v>200</v>
      </c>
      <c r="R1929" s="102">
        <v>6770</v>
      </c>
      <c r="S1929" s="102">
        <f>R1929*Q1929*1.1</f>
        <v>1489400.0000000002</v>
      </c>
      <c r="T1929" s="102">
        <f>R1929*Q1929</f>
        <v>1354000</v>
      </c>
      <c r="U1929" s="71" t="str">
        <f t="shared" si="1013"/>
        <v>O</v>
      </c>
      <c r="V1929" s="71"/>
      <c r="W1929" s="474">
        <f t="shared" si="1012"/>
        <v>146000</v>
      </c>
      <c r="X1929" s="71"/>
      <c r="Y1929" s="71"/>
    </row>
    <row r="1930" spans="1:25" ht="30" hidden="1" customHeight="1" x14ac:dyDescent="0.25">
      <c r="A1930" s="82">
        <v>190327</v>
      </c>
      <c r="B1930" s="664" t="s">
        <v>1061</v>
      </c>
      <c r="C1930" s="71" t="s">
        <v>586</v>
      </c>
      <c r="D1930" s="71">
        <v>200</v>
      </c>
      <c r="E1930" s="102">
        <v>6750</v>
      </c>
      <c r="F1930" s="102">
        <f t="shared" si="1010"/>
        <v>1485000.0000000002</v>
      </c>
      <c r="G1930" s="102">
        <f t="shared" si="1011"/>
        <v>1350000</v>
      </c>
      <c r="H1930" s="690" t="s">
        <v>142</v>
      </c>
      <c r="I1930" s="71" t="s">
        <v>144</v>
      </c>
      <c r="J1930" s="53">
        <f t="shared" ref="J1930:J1936" si="1015">G1930-T1930</f>
        <v>114000</v>
      </c>
      <c r="K1930" s="63">
        <f t="shared" si="1007"/>
        <v>8.4444444444444433E-2</v>
      </c>
      <c r="L1930" s="871" t="s">
        <v>1750</v>
      </c>
      <c r="M1930" s="468"/>
      <c r="N1930" s="664">
        <v>180713</v>
      </c>
      <c r="O1930" s="71" t="s">
        <v>147</v>
      </c>
      <c r="P1930" s="103" t="str">
        <f t="shared" si="1014"/>
        <v>프리미어(황)</v>
      </c>
      <c r="Q1930" s="71">
        <f t="shared" si="1009"/>
        <v>200</v>
      </c>
      <c r="R1930" s="102">
        <v>6180</v>
      </c>
      <c r="S1930" s="102">
        <f>(R1930*D1930)*1.1</f>
        <v>1359600</v>
      </c>
      <c r="T1930" s="102">
        <f>(R1930*Q1930)</f>
        <v>1236000</v>
      </c>
      <c r="U1930" s="71" t="str">
        <f t="shared" si="1013"/>
        <v>O</v>
      </c>
      <c r="V1930" s="71"/>
      <c r="W1930" s="474">
        <f t="shared" si="1012"/>
        <v>114000</v>
      </c>
      <c r="X1930" s="71"/>
      <c r="Y1930" s="71"/>
    </row>
    <row r="1931" spans="1:25" ht="30" hidden="1" customHeight="1" x14ac:dyDescent="0.25">
      <c r="A1931" s="82">
        <v>190327</v>
      </c>
      <c r="B1931" s="664" t="s">
        <v>1061</v>
      </c>
      <c r="C1931" s="71" t="s">
        <v>587</v>
      </c>
      <c r="D1931" s="71">
        <v>200</v>
      </c>
      <c r="E1931" s="102">
        <v>8000</v>
      </c>
      <c r="F1931" s="102">
        <f t="shared" si="1010"/>
        <v>1760000.0000000002</v>
      </c>
      <c r="G1931" s="102">
        <f t="shared" si="1011"/>
        <v>1600000</v>
      </c>
      <c r="H1931" s="690" t="s">
        <v>142</v>
      </c>
      <c r="I1931" s="71" t="s">
        <v>144</v>
      </c>
      <c r="J1931" s="53">
        <f t="shared" si="1015"/>
        <v>218000</v>
      </c>
      <c r="K1931" s="63">
        <f t="shared" si="1007"/>
        <v>0.13624999999999998</v>
      </c>
      <c r="L1931" s="871" t="s">
        <v>1750</v>
      </c>
      <c r="M1931" s="468"/>
      <c r="N1931" s="664">
        <v>180713</v>
      </c>
      <c r="O1931" s="71" t="s">
        <v>147</v>
      </c>
      <c r="P1931" s="103" t="str">
        <f t="shared" si="1014"/>
        <v>프리미어(청)</v>
      </c>
      <c r="Q1931" s="71">
        <f t="shared" si="1009"/>
        <v>200</v>
      </c>
      <c r="R1931" s="102">
        <v>6910</v>
      </c>
      <c r="S1931" s="102">
        <f>(R1931*D1931)*1.1</f>
        <v>1520200.0000000002</v>
      </c>
      <c r="T1931" s="102">
        <f>(R1931*Q1931)</f>
        <v>1382000</v>
      </c>
      <c r="U1931" s="71" t="str">
        <f t="shared" si="1013"/>
        <v>O</v>
      </c>
      <c r="V1931" s="71"/>
      <c r="W1931" s="474">
        <f t="shared" si="1012"/>
        <v>218000</v>
      </c>
      <c r="X1931" s="71"/>
      <c r="Y1931" s="71"/>
    </row>
    <row r="1932" spans="1:25" ht="30" hidden="1" customHeight="1" x14ac:dyDescent="0.25">
      <c r="A1932" s="82">
        <v>190327</v>
      </c>
      <c r="B1932" s="664" t="s">
        <v>1052</v>
      </c>
      <c r="C1932" s="71" t="s">
        <v>1115</v>
      </c>
      <c r="D1932" s="71">
        <v>350</v>
      </c>
      <c r="E1932" s="102">
        <v>6200</v>
      </c>
      <c r="F1932" s="102">
        <f t="shared" si="1010"/>
        <v>2387000</v>
      </c>
      <c r="G1932" s="102">
        <f t="shared" si="1011"/>
        <v>2170000</v>
      </c>
      <c r="H1932" s="690" t="s">
        <v>142</v>
      </c>
      <c r="I1932" s="71" t="s">
        <v>144</v>
      </c>
      <c r="J1932" s="53">
        <f t="shared" si="1015"/>
        <v>35000</v>
      </c>
      <c r="K1932" s="63">
        <f t="shared" si="1007"/>
        <v>1.6129032258064516E-2</v>
      </c>
      <c r="L1932" s="871" t="s">
        <v>1750</v>
      </c>
      <c r="M1932" s="468"/>
      <c r="N1932" s="664">
        <f t="shared" ref="N1932:N1942" si="1016">A1932</f>
        <v>190327</v>
      </c>
      <c r="O1932" s="71" t="s">
        <v>147</v>
      </c>
      <c r="P1932" s="103" t="str">
        <f t="shared" si="1014"/>
        <v>한특 잉크(적)</v>
      </c>
      <c r="Q1932" s="71">
        <f t="shared" si="1009"/>
        <v>350</v>
      </c>
      <c r="R1932" s="102">
        <v>6100</v>
      </c>
      <c r="S1932" s="102">
        <f>R1932*Q1932*1.1</f>
        <v>2348500</v>
      </c>
      <c r="T1932" s="102">
        <f>R1932*Q1932</f>
        <v>2135000</v>
      </c>
      <c r="U1932" s="71" t="str">
        <f t="shared" si="1013"/>
        <v>O</v>
      </c>
      <c r="V1932" s="71"/>
      <c r="W1932" s="474">
        <f t="shared" si="1012"/>
        <v>35000</v>
      </c>
      <c r="X1932" s="71"/>
      <c r="Y1932" s="71"/>
    </row>
    <row r="1933" spans="1:25" ht="30" hidden="1" customHeight="1" x14ac:dyDescent="0.25">
      <c r="A1933" s="82">
        <v>190327</v>
      </c>
      <c r="B1933" s="664" t="s">
        <v>1052</v>
      </c>
      <c r="C1933" s="71" t="s">
        <v>1116</v>
      </c>
      <c r="D1933" s="71">
        <v>450</v>
      </c>
      <c r="E1933" s="102">
        <v>6000</v>
      </c>
      <c r="F1933" s="102">
        <f t="shared" si="1010"/>
        <v>2970000.0000000005</v>
      </c>
      <c r="G1933" s="102">
        <f t="shared" si="1011"/>
        <v>2700000</v>
      </c>
      <c r="H1933" s="690" t="s">
        <v>142</v>
      </c>
      <c r="I1933" s="71" t="s">
        <v>144</v>
      </c>
      <c r="J1933" s="53">
        <f t="shared" si="1015"/>
        <v>45000</v>
      </c>
      <c r="K1933" s="63">
        <f t="shared" si="1007"/>
        <v>1.6666666666666663E-2</v>
      </c>
      <c r="L1933" s="871" t="s">
        <v>1750</v>
      </c>
      <c r="M1933" s="468"/>
      <c r="N1933" s="664">
        <f t="shared" si="1016"/>
        <v>190327</v>
      </c>
      <c r="O1933" s="71" t="s">
        <v>147</v>
      </c>
      <c r="P1933" s="103" t="str">
        <f t="shared" si="1014"/>
        <v>한특 잉크(황)</v>
      </c>
      <c r="Q1933" s="71">
        <f t="shared" si="1009"/>
        <v>450</v>
      </c>
      <c r="R1933" s="102">
        <v>5900</v>
      </c>
      <c r="S1933" s="102">
        <f>R1933*Q1933*1.1</f>
        <v>2920500.0000000005</v>
      </c>
      <c r="T1933" s="102">
        <f>R1933*Q1933</f>
        <v>2655000</v>
      </c>
      <c r="U1933" s="71" t="str">
        <f t="shared" si="1013"/>
        <v>O</v>
      </c>
      <c r="V1933" s="71"/>
      <c r="W1933" s="474">
        <f t="shared" si="1012"/>
        <v>45000</v>
      </c>
      <c r="X1933" s="71"/>
      <c r="Y1933" s="71"/>
    </row>
    <row r="1934" spans="1:25" ht="30" hidden="1" customHeight="1" x14ac:dyDescent="0.25">
      <c r="A1934" s="82">
        <v>190327</v>
      </c>
      <c r="B1934" s="664" t="s">
        <v>1052</v>
      </c>
      <c r="C1934" s="71" t="s">
        <v>1117</v>
      </c>
      <c r="D1934" s="71">
        <v>350</v>
      </c>
      <c r="E1934" s="102">
        <v>6500</v>
      </c>
      <c r="F1934" s="102">
        <f t="shared" si="1010"/>
        <v>2502500</v>
      </c>
      <c r="G1934" s="102">
        <f t="shared" si="1011"/>
        <v>2275000</v>
      </c>
      <c r="H1934" s="690" t="s">
        <v>142</v>
      </c>
      <c r="I1934" s="71" t="s">
        <v>144</v>
      </c>
      <c r="J1934" s="53">
        <f t="shared" si="1015"/>
        <v>35000</v>
      </c>
      <c r="K1934" s="63">
        <f t="shared" si="1007"/>
        <v>1.5384615384615385E-2</v>
      </c>
      <c r="L1934" s="871" t="s">
        <v>1750</v>
      </c>
      <c r="M1934" s="468"/>
      <c r="N1934" s="664">
        <f t="shared" si="1016"/>
        <v>190327</v>
      </c>
      <c r="O1934" s="71" t="s">
        <v>147</v>
      </c>
      <c r="P1934" s="103" t="str">
        <f t="shared" si="1014"/>
        <v>한특 잉크(청)</v>
      </c>
      <c r="Q1934" s="71">
        <f t="shared" si="1009"/>
        <v>350</v>
      </c>
      <c r="R1934" s="102">
        <v>6400</v>
      </c>
      <c r="S1934" s="102">
        <f>R1934*Q1934*1.1</f>
        <v>2464000</v>
      </c>
      <c r="T1934" s="102">
        <f>R1934*Q1934</f>
        <v>2240000</v>
      </c>
      <c r="U1934" s="71" t="str">
        <f t="shared" si="1013"/>
        <v>O</v>
      </c>
      <c r="V1934" s="71"/>
      <c r="W1934" s="474">
        <f t="shared" si="1012"/>
        <v>35000</v>
      </c>
      <c r="X1934" s="71"/>
      <c r="Y1934" s="71"/>
    </row>
    <row r="1935" spans="1:25" ht="30" hidden="1" customHeight="1" x14ac:dyDescent="0.25">
      <c r="A1935" s="82">
        <v>190327</v>
      </c>
      <c r="B1935" s="664" t="s">
        <v>1052</v>
      </c>
      <c r="C1935" s="71" t="s">
        <v>1118</v>
      </c>
      <c r="D1935" s="71">
        <v>200</v>
      </c>
      <c r="E1935" s="102">
        <v>5600</v>
      </c>
      <c r="F1935" s="102">
        <f t="shared" si="1010"/>
        <v>1232000</v>
      </c>
      <c r="G1935" s="102">
        <f t="shared" si="1011"/>
        <v>1120000</v>
      </c>
      <c r="H1935" s="690" t="s">
        <v>142</v>
      </c>
      <c r="I1935" s="71" t="s">
        <v>144</v>
      </c>
      <c r="J1935" s="53">
        <f t="shared" si="1015"/>
        <v>20000</v>
      </c>
      <c r="K1935" s="63">
        <f t="shared" si="1007"/>
        <v>1.7857142857142856E-2</v>
      </c>
      <c r="L1935" s="871" t="s">
        <v>1750</v>
      </c>
      <c r="M1935" s="468"/>
      <c r="N1935" s="664">
        <f t="shared" si="1016"/>
        <v>190327</v>
      </c>
      <c r="O1935" s="71" t="s">
        <v>147</v>
      </c>
      <c r="P1935" s="103" t="str">
        <f t="shared" si="1014"/>
        <v>한특 잉크(먹)</v>
      </c>
      <c r="Q1935" s="71">
        <f t="shared" si="1009"/>
        <v>200</v>
      </c>
      <c r="R1935" s="102">
        <v>5500</v>
      </c>
      <c r="S1935" s="102">
        <f>R1935*Q1935*1.1</f>
        <v>1210000</v>
      </c>
      <c r="T1935" s="102">
        <f>R1935*Q1935</f>
        <v>1100000</v>
      </c>
      <c r="U1935" s="71" t="str">
        <f t="shared" si="1013"/>
        <v>O</v>
      </c>
      <c r="V1935" s="71"/>
      <c r="W1935" s="474">
        <f t="shared" si="1012"/>
        <v>20000</v>
      </c>
      <c r="X1935" s="71"/>
      <c r="Y1935" s="71"/>
    </row>
    <row r="1936" spans="1:25" ht="30" hidden="1" customHeight="1" x14ac:dyDescent="0.25">
      <c r="A1936" s="82">
        <v>190327</v>
      </c>
      <c r="B1936" s="664" t="s">
        <v>1052</v>
      </c>
      <c r="C1936" s="71" t="s">
        <v>1783</v>
      </c>
      <c r="D1936" s="71">
        <v>794</v>
      </c>
      <c r="E1936" s="102">
        <v>8200</v>
      </c>
      <c r="F1936" s="102">
        <f t="shared" si="1010"/>
        <v>7161880.0000000009</v>
      </c>
      <c r="G1936" s="102">
        <f t="shared" si="1011"/>
        <v>6510800</v>
      </c>
      <c r="H1936" s="690" t="s">
        <v>142</v>
      </c>
      <c r="I1936" s="71" t="s">
        <v>144</v>
      </c>
      <c r="J1936" s="53">
        <f t="shared" si="1015"/>
        <v>277900</v>
      </c>
      <c r="K1936" s="63">
        <f t="shared" si="1007"/>
        <v>4.2682926829268289E-2</v>
      </c>
      <c r="L1936" s="871" t="s">
        <v>1750</v>
      </c>
      <c r="M1936" s="468"/>
      <c r="N1936" s="664">
        <f t="shared" si="1016"/>
        <v>190327</v>
      </c>
      <c r="O1936" s="71" t="s">
        <v>147</v>
      </c>
      <c r="P1936" s="103" t="str">
        <f t="shared" si="1014"/>
        <v>아라니아 분홍</v>
      </c>
      <c r="Q1936" s="71">
        <f t="shared" si="1009"/>
        <v>794</v>
      </c>
      <c r="R1936" s="102">
        <v>7850</v>
      </c>
      <c r="S1936" s="102">
        <f>R1936*Q1936*1.1</f>
        <v>6856190.0000000009</v>
      </c>
      <c r="T1936" s="102">
        <f>R1936*Q1936</f>
        <v>6232900</v>
      </c>
      <c r="U1936" s="71" t="str">
        <f t="shared" si="1013"/>
        <v>O</v>
      </c>
      <c r="V1936" s="71"/>
      <c r="W1936" s="474">
        <f t="shared" si="1012"/>
        <v>277900</v>
      </c>
      <c r="X1936" s="71"/>
      <c r="Y1936" s="71"/>
    </row>
    <row r="1937" spans="1:25" s="209" customFormat="1" ht="30" hidden="1" customHeight="1" x14ac:dyDescent="0.25">
      <c r="A1937" s="82">
        <v>190329</v>
      </c>
      <c r="B1937" s="664" t="s">
        <v>1286</v>
      </c>
      <c r="C1937" s="71" t="s">
        <v>277</v>
      </c>
      <c r="D1937" s="71">
        <v>6</v>
      </c>
      <c r="E1937" s="102">
        <v>172000</v>
      </c>
      <c r="F1937" s="102">
        <f t="shared" si="1010"/>
        <v>1135200</v>
      </c>
      <c r="G1937" s="102">
        <f t="shared" si="1011"/>
        <v>1032000</v>
      </c>
      <c r="H1937" s="690" t="s">
        <v>173</v>
      </c>
      <c r="I1937" s="71" t="s">
        <v>108</v>
      </c>
      <c r="J1937" s="53">
        <f>(G1937-(VLOOKUP(C1937,Price!B:D,3,FALSE)*D1937))</f>
        <v>342000</v>
      </c>
      <c r="K1937" s="63">
        <f t="shared" si="1007"/>
        <v>0.33139534883720928</v>
      </c>
      <c r="L1937" s="871" t="s">
        <v>1750</v>
      </c>
      <c r="M1937" s="468"/>
      <c r="N1937" s="664">
        <f t="shared" si="1016"/>
        <v>190329</v>
      </c>
      <c r="O1937" s="71" t="s">
        <v>150</v>
      </c>
      <c r="P1937" s="103" t="str">
        <f t="shared" ref="P1937:P1942" si="1017">(C1937)</f>
        <v>윤전용 세척제(Web 504)</v>
      </c>
      <c r="Q1937" s="71">
        <f t="shared" si="1009"/>
        <v>6</v>
      </c>
      <c r="R1937" s="102">
        <v>115000</v>
      </c>
      <c r="S1937" s="102">
        <f>(R1937*D1937)*1.1</f>
        <v>759000.00000000012</v>
      </c>
      <c r="T1937" s="102">
        <f>(R1937*Q1937)</f>
        <v>690000</v>
      </c>
      <c r="U1937" s="71" t="str">
        <f t="shared" si="1013"/>
        <v>O</v>
      </c>
      <c r="V1937" s="71"/>
      <c r="W1937" s="474">
        <f t="shared" si="1012"/>
        <v>342000</v>
      </c>
      <c r="X1937" s="71"/>
      <c r="Y1937" s="71"/>
    </row>
    <row r="1938" spans="1:25" ht="30" hidden="1" customHeight="1" x14ac:dyDescent="0.25">
      <c r="A1938" s="82">
        <v>190329</v>
      </c>
      <c r="B1938" s="664" t="s">
        <v>575</v>
      </c>
      <c r="C1938" s="71" t="s">
        <v>1792</v>
      </c>
      <c r="D1938" s="71">
        <v>2</v>
      </c>
      <c r="E1938" s="102">
        <v>150000</v>
      </c>
      <c r="F1938" s="102">
        <f t="shared" si="1010"/>
        <v>330000</v>
      </c>
      <c r="G1938" s="102">
        <f t="shared" si="1011"/>
        <v>300000</v>
      </c>
      <c r="H1938" s="690" t="s">
        <v>1431</v>
      </c>
      <c r="I1938" s="71" t="s">
        <v>1431</v>
      </c>
      <c r="J1938" s="53">
        <f>G1938-T1938</f>
        <v>40400</v>
      </c>
      <c r="K1938" s="63">
        <f>(J1938/(F1938/11*10))</f>
        <v>0.13466666666666666</v>
      </c>
      <c r="L1938" s="871" t="s">
        <v>1750</v>
      </c>
      <c r="M1938" s="468"/>
      <c r="N1938" s="664">
        <f t="shared" si="1016"/>
        <v>190329</v>
      </c>
      <c r="O1938" s="71" t="s">
        <v>1431</v>
      </c>
      <c r="P1938" s="103" t="str">
        <f t="shared" si="1017"/>
        <v>가스 쇼바</v>
      </c>
      <c r="Q1938" s="71">
        <f t="shared" si="1009"/>
        <v>2</v>
      </c>
      <c r="R1938" s="102">
        <v>129800</v>
      </c>
      <c r="S1938" s="102">
        <f>R1938*Q1938*1.1</f>
        <v>285560</v>
      </c>
      <c r="T1938" s="102">
        <f>R1938*Q1938</f>
        <v>259600</v>
      </c>
      <c r="U1938" s="71" t="str">
        <f t="shared" si="1013"/>
        <v>X</v>
      </c>
      <c r="V1938" s="71"/>
      <c r="W1938" s="474"/>
      <c r="X1938" s="71"/>
      <c r="Y1938" s="71"/>
    </row>
    <row r="1939" spans="1:25" ht="30" hidden="1" customHeight="1" x14ac:dyDescent="0.25">
      <c r="A1939" s="82">
        <v>190329</v>
      </c>
      <c r="B1939" s="664" t="s">
        <v>575</v>
      </c>
      <c r="C1939" s="71" t="s">
        <v>1793</v>
      </c>
      <c r="D1939" s="71">
        <v>2</v>
      </c>
      <c r="E1939" s="102">
        <v>400000</v>
      </c>
      <c r="F1939" s="102">
        <f>(E1939*D1939)*1.1</f>
        <v>880000.00000000012</v>
      </c>
      <c r="G1939" s="102">
        <f>(E1939*D1939)</f>
        <v>800000</v>
      </c>
      <c r="H1939" s="690" t="s">
        <v>1431</v>
      </c>
      <c r="I1939" s="71" t="s">
        <v>1431</v>
      </c>
      <c r="J1939" s="53">
        <f>G1939-T1939</f>
        <v>115000</v>
      </c>
      <c r="K1939" s="63">
        <f>(J1939/(F1939/11*10))</f>
        <v>0.14374999999999999</v>
      </c>
      <c r="L1939" s="871" t="s">
        <v>1750</v>
      </c>
      <c r="M1939" s="468"/>
      <c r="N1939" s="664">
        <f t="shared" si="1016"/>
        <v>190329</v>
      </c>
      <c r="O1939" s="71" t="s">
        <v>1824</v>
      </c>
      <c r="P1939" s="103" t="str">
        <f t="shared" si="1017"/>
        <v>파워 서플라이</v>
      </c>
      <c r="Q1939" s="71">
        <v>2</v>
      </c>
      <c r="R1939" s="102">
        <v>342500</v>
      </c>
      <c r="S1939" s="102">
        <f>R1939*Q1939*1.1</f>
        <v>753500.00000000012</v>
      </c>
      <c r="T1939" s="102">
        <f>R1939*Q1939</f>
        <v>685000</v>
      </c>
      <c r="U1939" s="71" t="str">
        <f t="shared" si="1013"/>
        <v>X</v>
      </c>
      <c r="V1939" s="71"/>
      <c r="W1939" s="474"/>
      <c r="X1939" s="71"/>
      <c r="Y1939" s="71"/>
    </row>
    <row r="1940" spans="1:25" ht="30" hidden="1" customHeight="1" x14ac:dyDescent="0.25">
      <c r="A1940" s="82">
        <v>190329</v>
      </c>
      <c r="B1940" s="664" t="s">
        <v>575</v>
      </c>
      <c r="C1940" s="71" t="s">
        <v>1794</v>
      </c>
      <c r="D1940" s="71">
        <v>1</v>
      </c>
      <c r="E1940" s="102">
        <v>2500000</v>
      </c>
      <c r="F1940" s="102">
        <f>(E1940*D1940)*1.1</f>
        <v>2750000</v>
      </c>
      <c r="G1940" s="102">
        <f>(E1940*D1940)</f>
        <v>2500000</v>
      </c>
      <c r="H1940" s="690" t="s">
        <v>1431</v>
      </c>
      <c r="I1940" s="71" t="s">
        <v>1431</v>
      </c>
      <c r="J1940" s="53">
        <f>G1940-T1940</f>
        <v>862086.05288135516</v>
      </c>
      <c r="K1940" s="63">
        <f>(J1940/(F1940/11*10))</f>
        <v>0.34483442115254209</v>
      </c>
      <c r="L1940" s="871" t="s">
        <v>1750</v>
      </c>
      <c r="M1940" s="468"/>
      <c r="N1940" s="664">
        <f t="shared" si="1016"/>
        <v>190329</v>
      </c>
      <c r="O1940" s="71" t="s">
        <v>1431</v>
      </c>
      <c r="P1940" s="103" t="str">
        <f t="shared" si="1017"/>
        <v>폴더 기어</v>
      </c>
      <c r="Q1940" s="71">
        <v>1</v>
      </c>
      <c r="R1940" s="102">
        <f>Import!G141</f>
        <v>1637913.9471186448</v>
      </c>
      <c r="S1940" s="102">
        <f>R1940*Q1940*1.1</f>
        <v>1801705.3418305095</v>
      </c>
      <c r="T1940" s="102">
        <f>R1940*Q1940</f>
        <v>1637913.9471186448</v>
      </c>
      <c r="U1940" s="71" t="str">
        <f t="shared" si="1013"/>
        <v>X</v>
      </c>
      <c r="V1940" s="71"/>
      <c r="W1940" s="474"/>
      <c r="X1940" s="71"/>
      <c r="Y1940" s="71"/>
    </row>
    <row r="1941" spans="1:25" ht="30" hidden="1" customHeight="1" x14ac:dyDescent="0.25">
      <c r="A1941" s="82">
        <v>190329</v>
      </c>
      <c r="B1941" s="664" t="s">
        <v>575</v>
      </c>
      <c r="C1941" s="71" t="s">
        <v>1795</v>
      </c>
      <c r="D1941" s="71">
        <v>3</v>
      </c>
      <c r="E1941" s="102">
        <v>9500000</v>
      </c>
      <c r="F1941" s="102">
        <f>(E1941*D1941)*1.1</f>
        <v>31350000.000000004</v>
      </c>
      <c r="G1941" s="102">
        <f>(E1941*D1941)</f>
        <v>28500000</v>
      </c>
      <c r="H1941" s="690" t="s">
        <v>1431</v>
      </c>
      <c r="I1941" s="71" t="s">
        <v>1431</v>
      </c>
      <c r="J1941" s="53">
        <f>G1941-T1941</f>
        <v>12611586.568644019</v>
      </c>
      <c r="K1941" s="63">
        <f>(J1941/(F1941/11*10))</f>
        <v>0.44251180942610585</v>
      </c>
      <c r="L1941" s="871" t="s">
        <v>1750</v>
      </c>
      <c r="M1941" s="468"/>
      <c r="N1941" s="664">
        <f t="shared" si="1016"/>
        <v>190329</v>
      </c>
      <c r="O1941" s="71" t="s">
        <v>1431</v>
      </c>
      <c r="P1941" s="103" t="str">
        <f t="shared" si="1017"/>
        <v>칠 롤러</v>
      </c>
      <c r="Q1941" s="71">
        <v>3</v>
      </c>
      <c r="R1941" s="918">
        <f>Import!G154/3</f>
        <v>5296137.8104519937</v>
      </c>
      <c r="S1941" s="102">
        <f>R1941*Q1941*1.1</f>
        <v>17477254.774491582</v>
      </c>
      <c r="T1941" s="102">
        <f>R1941*Q1941</f>
        <v>15888413.431355981</v>
      </c>
      <c r="U1941" s="71" t="str">
        <f t="shared" si="1013"/>
        <v>X</v>
      </c>
      <c r="V1941" s="71"/>
      <c r="W1941" s="474"/>
      <c r="X1941" s="71"/>
      <c r="Y1941" s="71"/>
    </row>
    <row r="1942" spans="1:25" ht="30" hidden="1" customHeight="1" x14ac:dyDescent="0.25">
      <c r="A1942" s="82">
        <v>190329</v>
      </c>
      <c r="B1942" s="664" t="s">
        <v>575</v>
      </c>
      <c r="C1942" s="71" t="s">
        <v>1796</v>
      </c>
      <c r="D1942" s="71">
        <v>3</v>
      </c>
      <c r="E1942" s="102">
        <v>2000000</v>
      </c>
      <c r="F1942" s="102">
        <f>(E1942*D1942)*1.1</f>
        <v>6600000.0000000009</v>
      </c>
      <c r="G1942" s="102">
        <f>(E1942*D1942)</f>
        <v>6000000</v>
      </c>
      <c r="H1942" s="690" t="s">
        <v>1431</v>
      </c>
      <c r="I1942" s="71" t="s">
        <v>1431</v>
      </c>
      <c r="J1942" s="53">
        <f>G1942-T1942</f>
        <v>420000</v>
      </c>
      <c r="K1942" s="63">
        <f>(J1942/(F1942/11*10))</f>
        <v>6.9999999999999993E-2</v>
      </c>
      <c r="L1942" s="871" t="s">
        <v>1750</v>
      </c>
      <c r="M1942" s="468"/>
      <c r="N1942" s="664">
        <f t="shared" si="1016"/>
        <v>190329</v>
      </c>
      <c r="O1942" s="71" t="s">
        <v>612</v>
      </c>
      <c r="P1942" s="103" t="str">
        <f t="shared" si="1017"/>
        <v>3번 판 롤러</v>
      </c>
      <c r="Q1942" s="71">
        <v>3</v>
      </c>
      <c r="R1942" s="102">
        <v>1860000</v>
      </c>
      <c r="S1942" s="102">
        <f>R1942*Q1942*1.1</f>
        <v>6138000.0000000009</v>
      </c>
      <c r="T1942" s="102">
        <f>R1942*Q1942</f>
        <v>5580000</v>
      </c>
      <c r="U1942" s="71" t="str">
        <f t="shared" si="1013"/>
        <v>X</v>
      </c>
      <c r="V1942" s="71"/>
      <c r="W1942" s="474"/>
      <c r="X1942" s="71"/>
      <c r="Y1942" s="71"/>
    </row>
    <row r="1943" spans="1:25" s="978" customFormat="1" ht="45" hidden="1" customHeight="1" x14ac:dyDescent="0.25">
      <c r="A1943" s="982" t="s">
        <v>1781</v>
      </c>
      <c r="B1943" s="976" t="s">
        <v>544</v>
      </c>
      <c r="C1943" s="453"/>
      <c r="D1943" s="453"/>
      <c r="E1943" s="454"/>
      <c r="F1943" s="454"/>
      <c r="G1943" s="454"/>
      <c r="H1943" s="455"/>
      <c r="I1943" s="453"/>
      <c r="J1943" s="417"/>
      <c r="K1943" s="418"/>
      <c r="L1943" s="983" t="s">
        <v>1782</v>
      </c>
      <c r="M1943" s="643"/>
      <c r="N1943" s="724" t="str">
        <f t="shared" ref="N1943:N1960" si="1018">A1943</f>
        <v>2019,4</v>
      </c>
      <c r="O1943" s="453" t="s">
        <v>154</v>
      </c>
      <c r="P1943" s="728"/>
      <c r="Q1943" s="419"/>
      <c r="R1943" s="420"/>
      <c r="S1943" s="417"/>
      <c r="T1943" s="417"/>
      <c r="U1943" s="421"/>
      <c r="V1943" s="421"/>
      <c r="W1943" s="479">
        <f>(G1943-T1943)</f>
        <v>0</v>
      </c>
      <c r="X1943" s="421"/>
      <c r="Y1943" s="421"/>
    </row>
    <row r="1944" spans="1:25" ht="30" hidden="1" customHeight="1" x14ac:dyDescent="0.25">
      <c r="A1944" s="82">
        <v>190305</v>
      </c>
      <c r="B1944" s="664" t="s">
        <v>546</v>
      </c>
      <c r="C1944" s="71" t="s">
        <v>1752</v>
      </c>
      <c r="D1944" s="71">
        <v>2</v>
      </c>
      <c r="E1944" s="102">
        <v>497000</v>
      </c>
      <c r="F1944" s="102">
        <f t="shared" ref="F1944:F1956" si="1019">(E1944*D1944)*1.1</f>
        <v>1093400</v>
      </c>
      <c r="G1944" s="102">
        <f t="shared" ref="G1944:G1956" si="1020">(E1944*D1944)</f>
        <v>994000</v>
      </c>
      <c r="H1944" s="690" t="s">
        <v>1431</v>
      </c>
      <c r="I1944" s="71" t="s">
        <v>1431</v>
      </c>
      <c r="J1944" s="53">
        <f>G1944-T1944</f>
        <v>194000</v>
      </c>
      <c r="K1944" s="63">
        <f t="shared" ref="K1944:K1952" si="1021">(J1944/(F1944/11*10))</f>
        <v>0.19517102615694165</v>
      </c>
      <c r="L1944" s="871" t="s">
        <v>1782</v>
      </c>
      <c r="M1944" s="468"/>
      <c r="N1944" s="664">
        <f t="shared" si="1018"/>
        <v>190305</v>
      </c>
      <c r="O1944" s="71" t="s">
        <v>150</v>
      </c>
      <c r="P1944" s="103" t="str">
        <f t="shared" ref="P1944:Q1946" si="1022">C1944</f>
        <v>잉크 키 모터</v>
      </c>
      <c r="Q1944" s="71">
        <f t="shared" si="1022"/>
        <v>2</v>
      </c>
      <c r="R1944" s="102">
        <v>400000</v>
      </c>
      <c r="S1944" s="102">
        <f t="shared" ref="S1944:S1949" si="1023">R1944*Q1944*1.1</f>
        <v>880000.00000000012</v>
      </c>
      <c r="T1944" s="102">
        <f t="shared" ref="T1944:T1949" si="1024">R1944*Q1944</f>
        <v>800000</v>
      </c>
      <c r="U1944" s="71" t="str">
        <f t="shared" ref="U1944:U1951" si="1025">IF(J1944=W1944,"O", "X")</f>
        <v>X</v>
      </c>
      <c r="V1944" s="71"/>
      <c r="W1944" s="474"/>
      <c r="X1944" s="71"/>
      <c r="Y1944" s="71"/>
    </row>
    <row r="1945" spans="1:25" ht="30" hidden="1" customHeight="1" x14ac:dyDescent="0.25">
      <c r="A1945" s="82">
        <v>190305</v>
      </c>
      <c r="B1945" s="664" t="s">
        <v>546</v>
      </c>
      <c r="C1945" s="71" t="s">
        <v>1121</v>
      </c>
      <c r="D1945" s="71">
        <v>2</v>
      </c>
      <c r="E1945" s="102">
        <v>143000</v>
      </c>
      <c r="F1945" s="102">
        <f t="shared" si="1019"/>
        <v>314600</v>
      </c>
      <c r="G1945" s="102">
        <f t="shared" si="1020"/>
        <v>286000</v>
      </c>
      <c r="H1945" s="690" t="s">
        <v>1431</v>
      </c>
      <c r="I1945" s="71" t="s">
        <v>1431</v>
      </c>
      <c r="J1945" s="53">
        <f>G1945-T1945</f>
        <v>86000</v>
      </c>
      <c r="K1945" s="63">
        <f t="shared" si="1021"/>
        <v>0.30069930069930068</v>
      </c>
      <c r="L1945" s="871" t="s">
        <v>1782</v>
      </c>
      <c r="M1945" s="468"/>
      <c r="N1945" s="664">
        <f t="shared" si="1018"/>
        <v>190305</v>
      </c>
      <c r="O1945" s="71" t="s">
        <v>1862</v>
      </c>
      <c r="P1945" s="103" t="str">
        <f t="shared" si="1022"/>
        <v>포텐시오미터</v>
      </c>
      <c r="Q1945" s="71">
        <f t="shared" si="1022"/>
        <v>2</v>
      </c>
      <c r="R1945" s="102">
        <v>100000</v>
      </c>
      <c r="S1945" s="102">
        <f t="shared" si="1023"/>
        <v>220000.00000000003</v>
      </c>
      <c r="T1945" s="102">
        <f t="shared" si="1024"/>
        <v>200000</v>
      </c>
      <c r="U1945" s="71" t="str">
        <f t="shared" si="1025"/>
        <v>X</v>
      </c>
      <c r="V1945" s="71"/>
      <c r="W1945" s="474"/>
      <c r="X1945" s="71"/>
      <c r="Y1945" s="71"/>
    </row>
    <row r="1946" spans="1:25" ht="30" hidden="1" customHeight="1" x14ac:dyDescent="0.2">
      <c r="A1946" s="82">
        <v>190326</v>
      </c>
      <c r="B1946" s="664" t="s">
        <v>548</v>
      </c>
      <c r="C1946" s="71" t="s">
        <v>107</v>
      </c>
      <c r="D1946" s="71">
        <v>10</v>
      </c>
      <c r="E1946" s="102">
        <v>100000</v>
      </c>
      <c r="F1946" s="163">
        <f t="shared" si="1019"/>
        <v>1100000</v>
      </c>
      <c r="G1946" s="102">
        <f t="shared" si="1020"/>
        <v>1000000</v>
      </c>
      <c r="H1946" s="165" t="s">
        <v>172</v>
      </c>
      <c r="I1946" s="71" t="s">
        <v>109</v>
      </c>
      <c r="J1946" s="53">
        <f>(G1946-(VLOOKUP(C1946,Price!B:D,3,FALSE)*D1946))</f>
        <v>195000</v>
      </c>
      <c r="K1946" s="63">
        <f t="shared" si="1021"/>
        <v>0.19500000000000001</v>
      </c>
      <c r="L1946" s="871" t="s">
        <v>1782</v>
      </c>
      <c r="M1946" s="468"/>
      <c r="N1946" s="664">
        <f t="shared" si="1018"/>
        <v>190326</v>
      </c>
      <c r="O1946" s="71" t="s">
        <v>147</v>
      </c>
      <c r="P1946" s="103" t="str">
        <f t="shared" si="1022"/>
        <v>Blanket(1050*840)</v>
      </c>
      <c r="Q1946" s="71">
        <f t="shared" si="1022"/>
        <v>10</v>
      </c>
      <c r="R1946" s="102">
        <v>80500</v>
      </c>
      <c r="S1946" s="102">
        <f t="shared" si="1023"/>
        <v>885500.00000000012</v>
      </c>
      <c r="T1946" s="102">
        <f t="shared" si="1024"/>
        <v>805000</v>
      </c>
      <c r="U1946" s="71" t="str">
        <f t="shared" si="1025"/>
        <v>O</v>
      </c>
      <c r="V1946" s="71"/>
      <c r="W1946" s="474">
        <f>(G1946-T1946)</f>
        <v>195000</v>
      </c>
      <c r="X1946" s="71"/>
      <c r="Y1946" s="71"/>
    </row>
    <row r="1947" spans="1:25" ht="30" hidden="1" customHeight="1" x14ac:dyDescent="0.25">
      <c r="A1947" s="82">
        <v>190326</v>
      </c>
      <c r="B1947" s="664" t="s">
        <v>546</v>
      </c>
      <c r="C1947" s="71" t="s">
        <v>1780</v>
      </c>
      <c r="D1947" s="71">
        <v>3</v>
      </c>
      <c r="E1947" s="102">
        <v>565000</v>
      </c>
      <c r="F1947" s="102">
        <f t="shared" si="1019"/>
        <v>1864500.0000000002</v>
      </c>
      <c r="G1947" s="102">
        <f t="shared" si="1020"/>
        <v>1695000</v>
      </c>
      <c r="H1947" s="690" t="s">
        <v>1432</v>
      </c>
      <c r="I1947" s="71" t="s">
        <v>1432</v>
      </c>
      <c r="J1947" s="53">
        <f>G1947-T1947</f>
        <v>477298.20631892188</v>
      </c>
      <c r="K1947" s="63">
        <f t="shared" si="1021"/>
        <v>0.2815918621350571</v>
      </c>
      <c r="L1947" s="871" t="s">
        <v>1782</v>
      </c>
      <c r="M1947" s="468"/>
      <c r="N1947" s="664">
        <f t="shared" si="1018"/>
        <v>190326</v>
      </c>
      <c r="O1947" s="71" t="s">
        <v>1432</v>
      </c>
      <c r="P1947" s="103" t="str">
        <f>(C1947)</f>
        <v>Beta.F 필터 set</v>
      </c>
      <c r="Q1947" s="71">
        <f t="shared" ref="Q1947:Q1956" si="1026">D1947</f>
        <v>3</v>
      </c>
      <c r="R1947" s="102">
        <f>Import!G636</f>
        <v>405900.59789369273</v>
      </c>
      <c r="S1947" s="102">
        <f t="shared" si="1023"/>
        <v>1339471.9730491859</v>
      </c>
      <c r="T1947" s="102">
        <f t="shared" si="1024"/>
        <v>1217701.7936810781</v>
      </c>
      <c r="U1947" s="71" t="str">
        <f t="shared" si="1025"/>
        <v>X</v>
      </c>
      <c r="V1947" s="71"/>
      <c r="W1947" s="474"/>
      <c r="X1947" s="71"/>
      <c r="Y1947" s="71"/>
    </row>
    <row r="1948" spans="1:25" ht="30" hidden="1" customHeight="1" x14ac:dyDescent="0.25">
      <c r="A1948" s="82">
        <v>190325</v>
      </c>
      <c r="B1948" s="664" t="s">
        <v>575</v>
      </c>
      <c r="C1948" s="71" t="s">
        <v>112</v>
      </c>
      <c r="D1948" s="71">
        <v>1</v>
      </c>
      <c r="E1948" s="102">
        <v>6100000</v>
      </c>
      <c r="F1948" s="102">
        <f t="shared" si="1019"/>
        <v>6710000.0000000009</v>
      </c>
      <c r="G1948" s="102">
        <f t="shared" si="1020"/>
        <v>6100000</v>
      </c>
      <c r="H1948" s="690" t="s">
        <v>1431</v>
      </c>
      <c r="I1948" s="71" t="s">
        <v>1431</v>
      </c>
      <c r="J1948" s="53">
        <f>G1948-T1948</f>
        <v>2525658.1315062502</v>
      </c>
      <c r="K1948" s="63">
        <f t="shared" si="1021"/>
        <v>0.41404231664036883</v>
      </c>
      <c r="L1948" s="871" t="s">
        <v>1782</v>
      </c>
      <c r="M1948" s="468"/>
      <c r="N1948" s="664">
        <f>A1948</f>
        <v>190325</v>
      </c>
      <c r="O1948" s="71" t="s">
        <v>1431</v>
      </c>
      <c r="P1948" s="103" t="str">
        <f>C1948</f>
        <v>삼각판 코</v>
      </c>
      <c r="Q1948" s="71">
        <f t="shared" si="1026"/>
        <v>1</v>
      </c>
      <c r="R1948" s="102">
        <f>Import!G178</f>
        <v>3574341.8684937498</v>
      </c>
      <c r="S1948" s="102">
        <f t="shared" si="1023"/>
        <v>3931776.055343125</v>
      </c>
      <c r="T1948" s="102">
        <f t="shared" si="1024"/>
        <v>3574341.8684937498</v>
      </c>
      <c r="U1948" s="71" t="str">
        <f t="shared" si="1025"/>
        <v>X</v>
      </c>
      <c r="V1948" s="71"/>
      <c r="W1948" s="474"/>
      <c r="X1948" s="71"/>
      <c r="Y1948" s="71"/>
    </row>
    <row r="1949" spans="1:25" s="209" customFormat="1" ht="30" hidden="1" customHeight="1" x14ac:dyDescent="0.25">
      <c r="A1949" s="82">
        <v>190325</v>
      </c>
      <c r="B1949" s="664" t="s">
        <v>764</v>
      </c>
      <c r="C1949" s="71" t="s">
        <v>236</v>
      </c>
      <c r="D1949" s="71">
        <v>5</v>
      </c>
      <c r="E1949" s="102">
        <v>100000</v>
      </c>
      <c r="F1949" s="102">
        <f t="shared" si="1019"/>
        <v>550000</v>
      </c>
      <c r="G1949" s="102">
        <f t="shared" si="1020"/>
        <v>500000</v>
      </c>
      <c r="H1949" s="690" t="s">
        <v>173</v>
      </c>
      <c r="I1949" s="71" t="s">
        <v>2231</v>
      </c>
      <c r="J1949" s="53">
        <f>(G1949-(VLOOKUP(C1949,Price!B:D,3,FALSE)*D1949))</f>
        <v>250000</v>
      </c>
      <c r="K1949" s="63">
        <f t="shared" si="1021"/>
        <v>0.5</v>
      </c>
      <c r="L1949" s="871" t="s">
        <v>1782</v>
      </c>
      <c r="M1949" s="468"/>
      <c r="N1949" s="664">
        <f t="shared" si="1018"/>
        <v>190325</v>
      </c>
      <c r="O1949" s="71" t="s">
        <v>153</v>
      </c>
      <c r="P1949" s="103" t="str">
        <f t="shared" ref="P1949:P1956" si="1027">C1949</f>
        <v>아스테이지(국전)</v>
      </c>
      <c r="Q1949" s="71">
        <f t="shared" si="1026"/>
        <v>5</v>
      </c>
      <c r="R1949" s="102">
        <f>VLOOKUP(P1949,Price!B:D,3,FALSE)</f>
        <v>50000</v>
      </c>
      <c r="S1949" s="102">
        <f t="shared" si="1023"/>
        <v>275000</v>
      </c>
      <c r="T1949" s="102">
        <f t="shared" si="1024"/>
        <v>250000</v>
      </c>
      <c r="U1949" s="71" t="str">
        <f t="shared" si="1025"/>
        <v>O</v>
      </c>
      <c r="V1949" s="71"/>
      <c r="W1949" s="474">
        <f>(G1949-T1949)</f>
        <v>250000</v>
      </c>
      <c r="X1949" s="71"/>
      <c r="Y1949" s="71"/>
    </row>
    <row r="1950" spans="1:25" ht="30" hidden="1" customHeight="1" x14ac:dyDescent="0.2">
      <c r="A1950" s="82">
        <v>190328</v>
      </c>
      <c r="B1950" s="664" t="s">
        <v>575</v>
      </c>
      <c r="C1950" s="71" t="s">
        <v>1388</v>
      </c>
      <c r="D1950" s="71">
        <v>3</v>
      </c>
      <c r="E1950" s="102">
        <v>185000</v>
      </c>
      <c r="F1950" s="163">
        <f t="shared" si="1019"/>
        <v>610500</v>
      </c>
      <c r="G1950" s="102">
        <f t="shared" si="1020"/>
        <v>555000</v>
      </c>
      <c r="H1950" s="690" t="s">
        <v>173</v>
      </c>
      <c r="I1950" s="71" t="s">
        <v>108</v>
      </c>
      <c r="J1950" s="53">
        <f t="shared" ref="J1950:J1956" si="1028">G1950-T1950</f>
        <v>165000</v>
      </c>
      <c r="K1950" s="63">
        <f t="shared" si="1021"/>
        <v>0.29729729729729731</v>
      </c>
      <c r="L1950" s="871" t="s">
        <v>1782</v>
      </c>
      <c r="M1950" s="468"/>
      <c r="N1950" s="664">
        <f t="shared" si="1018"/>
        <v>190328</v>
      </c>
      <c r="O1950" s="71" t="s">
        <v>1443</v>
      </c>
      <c r="P1950" s="103" t="str">
        <f t="shared" si="1027"/>
        <v>Flint 무알콜 윤전약물(Superaster)</v>
      </c>
      <c r="Q1950" s="71">
        <f t="shared" si="1026"/>
        <v>3</v>
      </c>
      <c r="R1950" s="102">
        <v>130000</v>
      </c>
      <c r="S1950" s="102">
        <f>(R1950*D1950)*1.1+117230*1.1</f>
        <v>557953.00000000012</v>
      </c>
      <c r="T1950" s="102">
        <f>(R1950*Q1950)</f>
        <v>390000</v>
      </c>
      <c r="U1950" s="71" t="str">
        <f t="shared" si="1025"/>
        <v>O</v>
      </c>
      <c r="V1950" s="71"/>
      <c r="W1950" s="474">
        <f>(G1950-T1950)</f>
        <v>165000</v>
      </c>
      <c r="X1950" s="71"/>
      <c r="Y1950" s="71"/>
    </row>
    <row r="1951" spans="1:25" ht="30" hidden="1" customHeight="1" x14ac:dyDescent="0.25">
      <c r="A1951" s="82">
        <v>190328</v>
      </c>
      <c r="B1951" s="664" t="s">
        <v>575</v>
      </c>
      <c r="C1951" s="71" t="s">
        <v>1367</v>
      </c>
      <c r="D1951" s="71">
        <v>10</v>
      </c>
      <c r="E1951" s="102">
        <v>218000</v>
      </c>
      <c r="F1951" s="102">
        <f t="shared" si="1019"/>
        <v>2398000</v>
      </c>
      <c r="G1951" s="102">
        <f t="shared" si="1020"/>
        <v>2180000</v>
      </c>
      <c r="H1951" s="690" t="s">
        <v>173</v>
      </c>
      <c r="I1951" s="71" t="s">
        <v>109</v>
      </c>
      <c r="J1951" s="53">
        <f t="shared" si="1028"/>
        <v>977400</v>
      </c>
      <c r="K1951" s="63">
        <f t="shared" si="1021"/>
        <v>0.448348623853211</v>
      </c>
      <c r="L1951" s="871" t="s">
        <v>1782</v>
      </c>
      <c r="M1951" s="468"/>
      <c r="N1951" s="664">
        <f t="shared" si="1018"/>
        <v>190328</v>
      </c>
      <c r="O1951" s="71" t="s">
        <v>1443</v>
      </c>
      <c r="P1951" s="103" t="str">
        <f t="shared" si="1027"/>
        <v>M600 윤전 블랑켓 995*742</v>
      </c>
      <c r="Q1951" s="71">
        <f t="shared" si="1026"/>
        <v>10</v>
      </c>
      <c r="R1951" s="102">
        <v>120260</v>
      </c>
      <c r="S1951" s="102">
        <f>R1951*Q1951*1.1</f>
        <v>1322860</v>
      </c>
      <c r="T1951" s="102">
        <f>R1951*Q1951</f>
        <v>1202600</v>
      </c>
      <c r="U1951" s="71" t="str">
        <f t="shared" si="1025"/>
        <v>X</v>
      </c>
      <c r="V1951" s="71"/>
      <c r="W1951" s="474"/>
      <c r="X1951" s="71"/>
      <c r="Y1951" s="71"/>
    </row>
    <row r="1952" spans="1:25" ht="30" hidden="1" customHeight="1" x14ac:dyDescent="0.25">
      <c r="A1952" s="82">
        <v>190401</v>
      </c>
      <c r="B1952" s="664" t="s">
        <v>1286</v>
      </c>
      <c r="C1952" s="71" t="s">
        <v>1855</v>
      </c>
      <c r="D1952" s="71">
        <v>1</v>
      </c>
      <c r="E1952" s="102">
        <v>250000</v>
      </c>
      <c r="F1952" s="102">
        <f t="shared" si="1019"/>
        <v>275000</v>
      </c>
      <c r="G1952" s="102">
        <f t="shared" si="1020"/>
        <v>250000</v>
      </c>
      <c r="H1952" s="690" t="s">
        <v>985</v>
      </c>
      <c r="I1952" s="71" t="s">
        <v>985</v>
      </c>
      <c r="J1952" s="53">
        <f t="shared" si="1028"/>
        <v>250000</v>
      </c>
      <c r="K1952" s="63">
        <f t="shared" si="1021"/>
        <v>1</v>
      </c>
      <c r="L1952" s="871" t="s">
        <v>1782</v>
      </c>
      <c r="M1952" s="468"/>
      <c r="N1952" s="664">
        <f t="shared" si="1018"/>
        <v>190401</v>
      </c>
      <c r="O1952" s="71"/>
      <c r="P1952" s="103" t="str">
        <f t="shared" si="1027"/>
        <v>스플라이서 수리</v>
      </c>
      <c r="Q1952" s="71">
        <f t="shared" si="1026"/>
        <v>1</v>
      </c>
      <c r="R1952" s="102"/>
      <c r="S1952" s="102"/>
      <c r="T1952" s="102"/>
      <c r="U1952" s="71"/>
      <c r="V1952" s="71"/>
      <c r="W1952" s="474"/>
      <c r="X1952" s="71"/>
      <c r="Y1952" s="71"/>
    </row>
    <row r="1953" spans="1:25" ht="30" hidden="1" customHeight="1" x14ac:dyDescent="0.25">
      <c r="A1953" s="82">
        <v>190401</v>
      </c>
      <c r="B1953" s="664" t="s">
        <v>983</v>
      </c>
      <c r="C1953" s="71" t="s">
        <v>1009</v>
      </c>
      <c r="D1953" s="71">
        <v>520</v>
      </c>
      <c r="E1953" s="102">
        <v>3900</v>
      </c>
      <c r="F1953" s="102">
        <f t="shared" si="1019"/>
        <v>2230800</v>
      </c>
      <c r="G1953" s="102">
        <f t="shared" si="1020"/>
        <v>2028000</v>
      </c>
      <c r="H1953" s="690" t="s">
        <v>173</v>
      </c>
      <c r="I1953" s="71" t="s">
        <v>2230</v>
      </c>
      <c r="J1953" s="53">
        <f t="shared" si="1028"/>
        <v>312000</v>
      </c>
      <c r="K1953" s="63">
        <f>(J1953/(F1953/11*10))</f>
        <v>0.15384615384615385</v>
      </c>
      <c r="L1953" s="871" t="s">
        <v>1782</v>
      </c>
      <c r="M1953" s="468"/>
      <c r="N1953" s="664">
        <f t="shared" si="1018"/>
        <v>190401</v>
      </c>
      <c r="O1953" s="71" t="s">
        <v>147</v>
      </c>
      <c r="P1953" s="103" t="str">
        <f t="shared" si="1027"/>
        <v>CTP판(1030*790mm)</v>
      </c>
      <c r="Q1953" s="71">
        <f t="shared" si="1026"/>
        <v>520</v>
      </c>
      <c r="R1953" s="102">
        <v>3300</v>
      </c>
      <c r="S1953" s="102">
        <f>R1953*Q1953*1.1</f>
        <v>1887600.0000000002</v>
      </c>
      <c r="T1953" s="102">
        <f>R1953*Q1953</f>
        <v>1716000</v>
      </c>
      <c r="U1953" s="71" t="str">
        <f>IF(J1953=W1953,"O", "X")</f>
        <v>O</v>
      </c>
      <c r="V1953" s="71"/>
      <c r="W1953" s="474">
        <f>(G1953-T1953)</f>
        <v>312000</v>
      </c>
      <c r="X1953" s="71"/>
      <c r="Y1953" s="71"/>
    </row>
    <row r="1954" spans="1:25" ht="30" hidden="1" customHeight="1" x14ac:dyDescent="0.25">
      <c r="A1954" s="82">
        <v>190401</v>
      </c>
      <c r="B1954" s="664" t="s">
        <v>983</v>
      </c>
      <c r="C1954" s="71" t="s">
        <v>984</v>
      </c>
      <c r="D1954" s="71">
        <v>5</v>
      </c>
      <c r="E1954" s="102">
        <v>45000</v>
      </c>
      <c r="F1954" s="102">
        <f t="shared" si="1019"/>
        <v>247500.00000000003</v>
      </c>
      <c r="G1954" s="102">
        <f t="shared" si="1020"/>
        <v>225000</v>
      </c>
      <c r="H1954" s="690" t="s">
        <v>173</v>
      </c>
      <c r="I1954" s="71" t="s">
        <v>2230</v>
      </c>
      <c r="J1954" s="53">
        <f t="shared" si="1028"/>
        <v>50000</v>
      </c>
      <c r="K1954" s="63">
        <f>(J1954/(F1954/11*10))</f>
        <v>0.22222222222222218</v>
      </c>
      <c r="L1954" s="871" t="s">
        <v>1782</v>
      </c>
      <c r="M1954" s="468"/>
      <c r="N1954" s="664">
        <f t="shared" si="1018"/>
        <v>190401</v>
      </c>
      <c r="O1954" s="71" t="s">
        <v>147</v>
      </c>
      <c r="P1954" s="103" t="str">
        <f t="shared" si="1027"/>
        <v>CTP 현상액</v>
      </c>
      <c r="Q1954" s="71">
        <f t="shared" si="1026"/>
        <v>5</v>
      </c>
      <c r="R1954" s="102">
        <v>35000</v>
      </c>
      <c r="S1954" s="102">
        <f>R1954*Q1954*1.1</f>
        <v>192500.00000000003</v>
      </c>
      <c r="T1954" s="102">
        <f>R1954*Q1954</f>
        <v>175000</v>
      </c>
      <c r="U1954" s="71" t="str">
        <f>IF(J1954=W1954,"O", "X")</f>
        <v>O</v>
      </c>
      <c r="V1954" s="71"/>
      <c r="W1954" s="474">
        <f>(G1954-T1954)</f>
        <v>50000</v>
      </c>
      <c r="X1954" s="71"/>
      <c r="Y1954" s="71"/>
    </row>
    <row r="1955" spans="1:25" ht="30" hidden="1" customHeight="1" x14ac:dyDescent="0.25">
      <c r="A1955" s="82">
        <v>190401</v>
      </c>
      <c r="B1955" s="664" t="s">
        <v>446</v>
      </c>
      <c r="C1955" s="71" t="s">
        <v>1144</v>
      </c>
      <c r="D1955" s="71">
        <v>8</v>
      </c>
      <c r="E1955" s="102">
        <v>110000</v>
      </c>
      <c r="F1955" s="102">
        <f t="shared" si="1019"/>
        <v>968000.00000000012</v>
      </c>
      <c r="G1955" s="102">
        <f t="shared" si="1020"/>
        <v>880000</v>
      </c>
      <c r="H1955" s="690" t="s">
        <v>173</v>
      </c>
      <c r="I1955" s="71" t="s">
        <v>2231</v>
      </c>
      <c r="J1955" s="53">
        <f t="shared" si="1028"/>
        <v>152000</v>
      </c>
      <c r="K1955" s="63">
        <f>(J1955/(F1955/11*10))</f>
        <v>0.1727272727272727</v>
      </c>
      <c r="L1955" s="871" t="s">
        <v>1782</v>
      </c>
      <c r="M1955" s="468"/>
      <c r="N1955" s="664">
        <f t="shared" si="1018"/>
        <v>190401</v>
      </c>
      <c r="O1955" s="71" t="s">
        <v>150</v>
      </c>
      <c r="P1955" s="103" t="str">
        <f t="shared" si="1027"/>
        <v>실리콘 에멀전</v>
      </c>
      <c r="Q1955" s="71">
        <f t="shared" si="1026"/>
        <v>8</v>
      </c>
      <c r="R1955" s="102">
        <v>91000</v>
      </c>
      <c r="S1955" s="102">
        <f>R1955*Q1955*1.1</f>
        <v>800800.00000000012</v>
      </c>
      <c r="T1955" s="102">
        <f>R1955*Q1955</f>
        <v>728000</v>
      </c>
      <c r="U1955" s="71" t="str">
        <f>IF(J1955=W1955,"O", "X")</f>
        <v>O</v>
      </c>
      <c r="V1955" s="71"/>
      <c r="W1955" s="474">
        <f>(G1955-T1955)</f>
        <v>152000</v>
      </c>
      <c r="X1955" s="71"/>
      <c r="Y1955" s="71"/>
    </row>
    <row r="1956" spans="1:25" ht="30" hidden="1" customHeight="1" x14ac:dyDescent="0.25">
      <c r="A1956" s="82">
        <v>190401</v>
      </c>
      <c r="B1956" s="664" t="s">
        <v>546</v>
      </c>
      <c r="C1956" s="71" t="s">
        <v>1121</v>
      </c>
      <c r="D1956" s="71">
        <v>10</v>
      </c>
      <c r="E1956" s="102">
        <v>60000</v>
      </c>
      <c r="F1956" s="102">
        <f t="shared" si="1019"/>
        <v>660000</v>
      </c>
      <c r="G1956" s="102">
        <f t="shared" si="1020"/>
        <v>600000</v>
      </c>
      <c r="H1956" s="690" t="s">
        <v>1431</v>
      </c>
      <c r="I1956" s="71" t="s">
        <v>1431</v>
      </c>
      <c r="J1956" s="53">
        <f t="shared" si="1028"/>
        <v>399290</v>
      </c>
      <c r="K1956" s="63">
        <f>(J1956/(F1956/11*10))</f>
        <v>0.66548333333333332</v>
      </c>
      <c r="L1956" s="871" t="s">
        <v>1782</v>
      </c>
      <c r="M1956" s="468"/>
      <c r="N1956" s="664">
        <f t="shared" si="1018"/>
        <v>190401</v>
      </c>
      <c r="O1956" s="71" t="s">
        <v>1431</v>
      </c>
      <c r="P1956" s="103" t="str">
        <f t="shared" si="1027"/>
        <v>포텐시오미터</v>
      </c>
      <c r="Q1956" s="71">
        <f t="shared" si="1026"/>
        <v>10</v>
      </c>
      <c r="R1956" s="102">
        <v>20071</v>
      </c>
      <c r="S1956" s="102">
        <f>R1956*Q1956*1.1</f>
        <v>220781.00000000003</v>
      </c>
      <c r="T1956" s="102">
        <f>R1956*Q1956</f>
        <v>200710</v>
      </c>
      <c r="U1956" s="71" t="str">
        <f>IF(J1956=W1956,"O", "X")</f>
        <v>X</v>
      </c>
      <c r="V1956" s="71"/>
      <c r="W1956" s="474"/>
      <c r="X1956" s="71"/>
      <c r="Y1956" s="71"/>
    </row>
    <row r="1957" spans="1:25" ht="30" hidden="1" customHeight="1" x14ac:dyDescent="0.25">
      <c r="A1957" s="82">
        <v>190402</v>
      </c>
      <c r="B1957" s="664" t="s">
        <v>690</v>
      </c>
      <c r="C1957" s="71" t="s">
        <v>825</v>
      </c>
      <c r="D1957" s="71">
        <v>2</v>
      </c>
      <c r="E1957" s="102">
        <v>150000</v>
      </c>
      <c r="F1957" s="102">
        <v>330000</v>
      </c>
      <c r="G1957" s="102">
        <v>300000</v>
      </c>
      <c r="H1957" s="690" t="s">
        <v>173</v>
      </c>
      <c r="I1957" s="71" t="s">
        <v>2231</v>
      </c>
      <c r="J1957" s="53">
        <v>110000</v>
      </c>
      <c r="K1957" s="63">
        <v>0.36666666666666664</v>
      </c>
      <c r="L1957" s="871" t="s">
        <v>1782</v>
      </c>
      <c r="M1957" s="468"/>
      <c r="N1957" s="664">
        <f t="shared" si="1018"/>
        <v>190402</v>
      </c>
      <c r="O1957" s="71" t="s">
        <v>150</v>
      </c>
      <c r="P1957" s="103" t="s">
        <v>1802</v>
      </c>
      <c r="Q1957" s="71">
        <v>2</v>
      </c>
      <c r="R1957" s="102">
        <v>95000</v>
      </c>
      <c r="S1957" s="102">
        <v>209000.00000000003</v>
      </c>
      <c r="T1957" s="102">
        <v>190000</v>
      </c>
      <c r="U1957" s="71" t="s">
        <v>859</v>
      </c>
      <c r="V1957" s="71"/>
      <c r="W1957" s="474">
        <v>110000</v>
      </c>
      <c r="X1957" s="71"/>
      <c r="Y1957" s="71"/>
    </row>
    <row r="1958" spans="1:25" ht="30" hidden="1" customHeight="1" x14ac:dyDescent="0.25">
      <c r="A1958" s="82">
        <v>190402</v>
      </c>
      <c r="B1958" s="664" t="s">
        <v>442</v>
      </c>
      <c r="C1958" s="71" t="s">
        <v>773</v>
      </c>
      <c r="D1958" s="71">
        <v>5</v>
      </c>
      <c r="E1958" s="102">
        <v>192000</v>
      </c>
      <c r="F1958" s="102">
        <v>1056000</v>
      </c>
      <c r="G1958" s="102">
        <v>960000</v>
      </c>
      <c r="H1958" s="690" t="s">
        <v>173</v>
      </c>
      <c r="I1958" s="71" t="s">
        <v>109</v>
      </c>
      <c r="J1958" s="53">
        <v>120000</v>
      </c>
      <c r="K1958" s="63">
        <v>0.125</v>
      </c>
      <c r="L1958" s="871" t="s">
        <v>1782</v>
      </c>
      <c r="M1958" s="468"/>
      <c r="N1958" s="664">
        <v>190110</v>
      </c>
      <c r="O1958" s="71" t="s">
        <v>151</v>
      </c>
      <c r="P1958" s="103" t="s">
        <v>1803</v>
      </c>
      <c r="Q1958" s="71">
        <v>5</v>
      </c>
      <c r="R1958" s="102">
        <v>168000</v>
      </c>
      <c r="S1958" s="102">
        <v>924000.00000000012</v>
      </c>
      <c r="T1958" s="102">
        <v>840000</v>
      </c>
      <c r="U1958" s="71" t="s">
        <v>859</v>
      </c>
      <c r="V1958" s="71"/>
      <c r="W1958" s="474">
        <v>120000</v>
      </c>
      <c r="X1958" s="71"/>
      <c r="Y1958" s="71"/>
    </row>
    <row r="1959" spans="1:25" s="209" customFormat="1" ht="30" hidden="1" customHeight="1" x14ac:dyDescent="0.25">
      <c r="A1959" s="82">
        <v>190402</v>
      </c>
      <c r="B1959" s="664" t="s">
        <v>442</v>
      </c>
      <c r="C1959" s="71" t="s">
        <v>138</v>
      </c>
      <c r="D1959" s="71">
        <v>22</v>
      </c>
      <c r="E1959" s="102">
        <v>69000</v>
      </c>
      <c r="F1959" s="102">
        <f t="shared" ref="F1959:F1970" si="1029">(E1959*D1959)*1.1</f>
        <v>1669800.0000000002</v>
      </c>
      <c r="G1959" s="102">
        <f t="shared" ref="G1959:G1970" si="1030">(E1959*D1959)</f>
        <v>1518000</v>
      </c>
      <c r="H1959" s="690" t="s">
        <v>173</v>
      </c>
      <c r="I1959" s="71" t="s">
        <v>108</v>
      </c>
      <c r="J1959" s="53">
        <f>(G1959-(VLOOKUP(C1959,Price!B:D,3,FALSE)*D1959))-96800</f>
        <v>299200</v>
      </c>
      <c r="K1959" s="63">
        <f t="shared" ref="K1959:K1964" si="1031">(J1959/(F1959/11*10))</f>
        <v>0.1971014492753623</v>
      </c>
      <c r="L1959" s="871" t="s">
        <v>1782</v>
      </c>
      <c r="M1959" s="468" t="s">
        <v>1854</v>
      </c>
      <c r="N1959" s="664">
        <f t="shared" si="1018"/>
        <v>190402</v>
      </c>
      <c r="O1959" s="71" t="s">
        <v>150</v>
      </c>
      <c r="P1959" s="103" t="str">
        <f t="shared" ref="P1959:Q1961" si="1032">C1959</f>
        <v>매엽용 세척제(Wash 562)</v>
      </c>
      <c r="Q1959" s="71">
        <f t="shared" si="1032"/>
        <v>22</v>
      </c>
      <c r="R1959" s="102">
        <v>51000</v>
      </c>
      <c r="S1959" s="102">
        <f>(R1959*D1959)*1.1</f>
        <v>1234200</v>
      </c>
      <c r="T1959" s="102">
        <f>(R1959*Q1959)</f>
        <v>1122000</v>
      </c>
      <c r="U1959" s="71" t="str">
        <f t="shared" ref="U1959:U1966" si="1033">IF(J1959=W1959,"O", "X")</f>
        <v>X</v>
      </c>
      <c r="V1959" s="71"/>
      <c r="W1959" s="474">
        <f>(G1959-T1959)</f>
        <v>396000</v>
      </c>
      <c r="X1959" s="71"/>
      <c r="Y1959" s="71"/>
    </row>
    <row r="1960" spans="1:25" ht="30" hidden="1" customHeight="1" x14ac:dyDescent="0.25">
      <c r="A1960" s="82">
        <v>190402</v>
      </c>
      <c r="B1960" s="664" t="s">
        <v>690</v>
      </c>
      <c r="C1960" s="71" t="s">
        <v>217</v>
      </c>
      <c r="D1960" s="71">
        <v>2</v>
      </c>
      <c r="E1960" s="102">
        <v>145000</v>
      </c>
      <c r="F1960" s="102">
        <f t="shared" si="1029"/>
        <v>319000</v>
      </c>
      <c r="G1960" s="102">
        <f t="shared" si="1030"/>
        <v>290000</v>
      </c>
      <c r="H1960" s="690" t="s">
        <v>173</v>
      </c>
      <c r="I1960" s="71" t="s">
        <v>108</v>
      </c>
      <c r="J1960" s="53">
        <f>(G1960-(VLOOKUP(C1960,Price!B:D,3,FALSE)*D1960))</f>
        <v>130000</v>
      </c>
      <c r="K1960" s="63">
        <f t="shared" si="1031"/>
        <v>0.44827586206896552</v>
      </c>
      <c r="L1960" s="871" t="s">
        <v>1782</v>
      </c>
      <c r="M1960" s="468"/>
      <c r="N1960" s="664">
        <f t="shared" si="1018"/>
        <v>190402</v>
      </c>
      <c r="O1960" s="71" t="s">
        <v>150</v>
      </c>
      <c r="P1960" s="103" t="str">
        <f t="shared" si="1032"/>
        <v>Fount 511</v>
      </c>
      <c r="Q1960" s="71">
        <f t="shared" si="1032"/>
        <v>2</v>
      </c>
      <c r="R1960" s="102">
        <f>VLOOKUP(P1960,Price!B:D,3,FALSE)</f>
        <v>80000</v>
      </c>
      <c r="S1960" s="102">
        <f>R1960*Q1960*1.1</f>
        <v>176000</v>
      </c>
      <c r="T1960" s="102">
        <f>R1960*Q1960</f>
        <v>160000</v>
      </c>
      <c r="U1960" s="71" t="str">
        <f t="shared" si="1033"/>
        <v>O</v>
      </c>
      <c r="V1960" s="71"/>
      <c r="W1960" s="474">
        <f>(G1960-T1960)</f>
        <v>130000</v>
      </c>
      <c r="X1960" s="71"/>
      <c r="Y1960" s="71"/>
    </row>
    <row r="1961" spans="1:25" ht="30" hidden="1" customHeight="1" x14ac:dyDescent="0.25">
      <c r="A1961" s="82">
        <v>190402</v>
      </c>
      <c r="B1961" s="664" t="s">
        <v>567</v>
      </c>
      <c r="C1961" s="71" t="s">
        <v>1652</v>
      </c>
      <c r="D1961" s="71">
        <v>5</v>
      </c>
      <c r="E1961" s="102">
        <v>55000</v>
      </c>
      <c r="F1961" s="102">
        <f t="shared" si="1029"/>
        <v>302500</v>
      </c>
      <c r="G1961" s="102">
        <f t="shared" si="1030"/>
        <v>275000</v>
      </c>
      <c r="H1961" s="690" t="s">
        <v>173</v>
      </c>
      <c r="I1961" s="71" t="s">
        <v>2231</v>
      </c>
      <c r="J1961" s="53">
        <f>G1961-T1961</f>
        <v>75000</v>
      </c>
      <c r="K1961" s="63">
        <f t="shared" si="1031"/>
        <v>0.27272727272727271</v>
      </c>
      <c r="L1961" s="871" t="s">
        <v>1782</v>
      </c>
      <c r="M1961" s="468"/>
      <c r="N1961" s="664">
        <f t="shared" ref="N1961:N1970" si="1034">A1961</f>
        <v>190402</v>
      </c>
      <c r="O1961" s="71" t="s">
        <v>153</v>
      </c>
      <c r="P1961" s="103" t="str">
        <f t="shared" si="1032"/>
        <v>아스테이지(CD74용)</v>
      </c>
      <c r="Q1961" s="71">
        <f t="shared" si="1032"/>
        <v>5</v>
      </c>
      <c r="R1961" s="102">
        <v>40000</v>
      </c>
      <c r="S1961" s="102">
        <f>R1961*Q1961*1.1</f>
        <v>220000.00000000003</v>
      </c>
      <c r="T1961" s="102">
        <f>R1961*Q1961</f>
        <v>200000</v>
      </c>
      <c r="U1961" s="71" t="str">
        <f t="shared" si="1033"/>
        <v>X</v>
      </c>
      <c r="V1961" s="71"/>
      <c r="W1961" s="474"/>
      <c r="X1961" s="71"/>
      <c r="Y1961" s="71"/>
    </row>
    <row r="1962" spans="1:25" s="209" customFormat="1" ht="30" hidden="1" customHeight="1" x14ac:dyDescent="0.25">
      <c r="A1962" s="82">
        <v>190402</v>
      </c>
      <c r="B1962" s="664" t="s">
        <v>567</v>
      </c>
      <c r="C1962" s="71" t="s">
        <v>236</v>
      </c>
      <c r="D1962" s="71">
        <v>10</v>
      </c>
      <c r="E1962" s="102">
        <v>65000</v>
      </c>
      <c r="F1962" s="102">
        <f t="shared" si="1029"/>
        <v>715000</v>
      </c>
      <c r="G1962" s="102">
        <f t="shared" si="1030"/>
        <v>650000</v>
      </c>
      <c r="H1962" s="690" t="s">
        <v>173</v>
      </c>
      <c r="I1962" s="71" t="s">
        <v>2231</v>
      </c>
      <c r="J1962" s="53">
        <f>(G1962-(VLOOKUP(C1962,Price!B:D,3,FALSE)*D1962))</f>
        <v>150000</v>
      </c>
      <c r="K1962" s="63">
        <f t="shared" si="1031"/>
        <v>0.23076923076923078</v>
      </c>
      <c r="L1962" s="871" t="s">
        <v>1782</v>
      </c>
      <c r="M1962" s="468"/>
      <c r="N1962" s="664">
        <f t="shared" si="1034"/>
        <v>190402</v>
      </c>
      <c r="O1962" s="71" t="s">
        <v>153</v>
      </c>
      <c r="P1962" s="103" t="str">
        <f>(C1962)</f>
        <v>아스테이지(국전)</v>
      </c>
      <c r="Q1962" s="71">
        <f t="shared" ref="Q1962:Q1970" si="1035">D1962</f>
        <v>10</v>
      </c>
      <c r="R1962" s="102">
        <v>50000</v>
      </c>
      <c r="S1962" s="102">
        <f>(R1962*D1962)*1.1</f>
        <v>550000</v>
      </c>
      <c r="T1962" s="102">
        <f>(R1962*Q1962)</f>
        <v>500000</v>
      </c>
      <c r="U1962" s="71" t="str">
        <f t="shared" si="1033"/>
        <v>O</v>
      </c>
      <c r="V1962" s="71"/>
      <c r="W1962" s="474">
        <f>(G1962-T1962)</f>
        <v>150000</v>
      </c>
      <c r="X1962" s="71"/>
      <c r="Y1962" s="71"/>
    </row>
    <row r="1963" spans="1:25" s="209" customFormat="1" ht="30" hidden="1" customHeight="1" x14ac:dyDescent="0.2">
      <c r="A1963" s="82">
        <v>190402</v>
      </c>
      <c r="B1963" s="664" t="s">
        <v>445</v>
      </c>
      <c r="C1963" s="71" t="s">
        <v>138</v>
      </c>
      <c r="D1963" s="71">
        <v>10</v>
      </c>
      <c r="E1963" s="102">
        <v>59500</v>
      </c>
      <c r="F1963" s="163">
        <f t="shared" si="1029"/>
        <v>654500</v>
      </c>
      <c r="G1963" s="102">
        <f t="shared" si="1030"/>
        <v>595000</v>
      </c>
      <c r="H1963" s="165" t="s">
        <v>172</v>
      </c>
      <c r="I1963" s="71" t="s">
        <v>108</v>
      </c>
      <c r="J1963" s="53">
        <f>(G1963-(VLOOKUP(C1963,Price!B:D,3,FALSE)*D1963))</f>
        <v>85000</v>
      </c>
      <c r="K1963" s="63">
        <f t="shared" si="1031"/>
        <v>0.14285714285714285</v>
      </c>
      <c r="L1963" s="871" t="s">
        <v>1782</v>
      </c>
      <c r="M1963" s="468"/>
      <c r="N1963" s="664">
        <f t="shared" si="1034"/>
        <v>190402</v>
      </c>
      <c r="O1963" s="71" t="s">
        <v>150</v>
      </c>
      <c r="P1963" s="103" t="str">
        <f t="shared" ref="P1963:P1970" si="1036">C1963</f>
        <v>매엽용 세척제(Wash 562)</v>
      </c>
      <c r="Q1963" s="71">
        <f t="shared" si="1035"/>
        <v>10</v>
      </c>
      <c r="R1963" s="102">
        <v>51000</v>
      </c>
      <c r="S1963" s="102">
        <f>(R1963*D1963)*1.1</f>
        <v>561000</v>
      </c>
      <c r="T1963" s="102">
        <f>(R1963*Q1963)</f>
        <v>510000</v>
      </c>
      <c r="U1963" s="71" t="str">
        <f t="shared" si="1033"/>
        <v>O</v>
      </c>
      <c r="V1963" s="71"/>
      <c r="W1963" s="474">
        <f>(G1963-T1963)</f>
        <v>85000</v>
      </c>
      <c r="X1963" s="71"/>
      <c r="Y1963" s="71"/>
    </row>
    <row r="1964" spans="1:25" s="209" customFormat="1" ht="30" hidden="1" customHeight="1" x14ac:dyDescent="0.2">
      <c r="A1964" s="82">
        <v>190402</v>
      </c>
      <c r="B1964" s="664" t="s">
        <v>445</v>
      </c>
      <c r="C1964" s="71" t="s">
        <v>107</v>
      </c>
      <c r="D1964" s="71">
        <v>5</v>
      </c>
      <c r="E1964" s="102">
        <v>108000</v>
      </c>
      <c r="F1964" s="163">
        <f t="shared" si="1029"/>
        <v>594000</v>
      </c>
      <c r="G1964" s="102">
        <f t="shared" si="1030"/>
        <v>540000</v>
      </c>
      <c r="H1964" s="165" t="s">
        <v>172</v>
      </c>
      <c r="I1964" s="71" t="s">
        <v>109</v>
      </c>
      <c r="J1964" s="53">
        <f>(G1964-(VLOOKUP(C1964,Price!B:D,3,FALSE)*D1964))</f>
        <v>137500</v>
      </c>
      <c r="K1964" s="63">
        <f t="shared" si="1031"/>
        <v>0.25462962962962965</v>
      </c>
      <c r="L1964" s="871" t="s">
        <v>1782</v>
      </c>
      <c r="M1964" s="468"/>
      <c r="N1964" s="664">
        <f t="shared" si="1034"/>
        <v>190402</v>
      </c>
      <c r="O1964" s="71" t="s">
        <v>147</v>
      </c>
      <c r="P1964" s="103" t="str">
        <f t="shared" si="1036"/>
        <v>Blanket(1050*840)</v>
      </c>
      <c r="Q1964" s="71">
        <f t="shared" si="1035"/>
        <v>5</v>
      </c>
      <c r="R1964" s="102">
        <v>80500</v>
      </c>
      <c r="S1964" s="102">
        <f>(R1964*D1964)*1.1</f>
        <v>442750.00000000006</v>
      </c>
      <c r="T1964" s="102">
        <f>(R1964*Q1964)</f>
        <v>402500</v>
      </c>
      <c r="U1964" s="71" t="str">
        <f t="shared" si="1033"/>
        <v>O</v>
      </c>
      <c r="V1964" s="71"/>
      <c r="W1964" s="474">
        <f>(G1964-T1964)</f>
        <v>137500</v>
      </c>
      <c r="X1964" s="71"/>
      <c r="Y1964" s="71"/>
    </row>
    <row r="1965" spans="1:25" s="209" customFormat="1" ht="30" hidden="1" customHeight="1" x14ac:dyDescent="0.2">
      <c r="A1965" s="82">
        <v>190403</v>
      </c>
      <c r="B1965" s="664" t="s">
        <v>546</v>
      </c>
      <c r="C1965" s="71" t="s">
        <v>114</v>
      </c>
      <c r="D1965" s="71">
        <v>50</v>
      </c>
      <c r="E1965" s="102">
        <v>18000</v>
      </c>
      <c r="F1965" s="163">
        <f t="shared" si="1029"/>
        <v>990000.00000000012</v>
      </c>
      <c r="G1965" s="102">
        <f t="shared" si="1030"/>
        <v>900000</v>
      </c>
      <c r="H1965" s="165" t="s">
        <v>1431</v>
      </c>
      <c r="I1965" s="71" t="s">
        <v>1431</v>
      </c>
      <c r="J1965" s="53">
        <f>G1965-T1965</f>
        <v>450000</v>
      </c>
      <c r="K1965" s="63">
        <f>(J1965/(F1965/11*10))</f>
        <v>0.49999999999999994</v>
      </c>
      <c r="L1965" s="871" t="s">
        <v>1782</v>
      </c>
      <c r="M1965" s="468" t="s">
        <v>1891</v>
      </c>
      <c r="N1965" s="664">
        <f t="shared" si="1034"/>
        <v>190403</v>
      </c>
      <c r="O1965" s="71" t="s">
        <v>1431</v>
      </c>
      <c r="P1965" s="103" t="str">
        <f t="shared" si="1036"/>
        <v>스트리퍼</v>
      </c>
      <c r="Q1965" s="71">
        <f t="shared" si="1035"/>
        <v>50</v>
      </c>
      <c r="R1965" s="102">
        <v>9000</v>
      </c>
      <c r="S1965" s="102">
        <f>(R1965*D1965)*1.1</f>
        <v>495000.00000000006</v>
      </c>
      <c r="T1965" s="102">
        <f>(R1965*Q1965)</f>
        <v>450000</v>
      </c>
      <c r="U1965" s="71" t="str">
        <f t="shared" si="1033"/>
        <v>X</v>
      </c>
      <c r="V1965" s="71"/>
      <c r="W1965" s="474"/>
      <c r="X1965" s="71"/>
      <c r="Y1965" s="71"/>
    </row>
    <row r="1966" spans="1:25" s="209" customFormat="1" ht="30" hidden="1" customHeight="1" x14ac:dyDescent="0.2">
      <c r="A1966" s="82">
        <v>190403</v>
      </c>
      <c r="B1966" s="664" t="s">
        <v>575</v>
      </c>
      <c r="C1966" s="71" t="s">
        <v>1144</v>
      </c>
      <c r="D1966" s="71">
        <v>1</v>
      </c>
      <c r="E1966" s="102">
        <v>0</v>
      </c>
      <c r="F1966" s="163">
        <f t="shared" si="1029"/>
        <v>0</v>
      </c>
      <c r="G1966" s="102">
        <f t="shared" si="1030"/>
        <v>0</v>
      </c>
      <c r="H1966" s="165" t="s">
        <v>173</v>
      </c>
      <c r="I1966" s="71" t="s">
        <v>2231</v>
      </c>
      <c r="J1966" s="53">
        <f>G1966-T1966</f>
        <v>-91000</v>
      </c>
      <c r="K1966" s="63" t="e">
        <f>(J1966/(F1966/11*10))</f>
        <v>#DIV/0!</v>
      </c>
      <c r="L1966" s="871" t="s">
        <v>1782</v>
      </c>
      <c r="M1966" s="468" t="s">
        <v>1805</v>
      </c>
      <c r="N1966" s="664">
        <f t="shared" si="1034"/>
        <v>190403</v>
      </c>
      <c r="O1966" s="71" t="s">
        <v>150</v>
      </c>
      <c r="P1966" s="103" t="str">
        <f t="shared" si="1036"/>
        <v>실리콘 에멀전</v>
      </c>
      <c r="Q1966" s="71">
        <f t="shared" si="1035"/>
        <v>1</v>
      </c>
      <c r="R1966" s="102">
        <v>91000</v>
      </c>
      <c r="S1966" s="102">
        <f>R1966*Q1966*1.1</f>
        <v>100100.00000000001</v>
      </c>
      <c r="T1966" s="102">
        <f>R1966*Q1966</f>
        <v>91000</v>
      </c>
      <c r="U1966" s="71" t="str">
        <f t="shared" si="1033"/>
        <v>X</v>
      </c>
      <c r="V1966" s="71"/>
      <c r="W1966" s="474"/>
      <c r="X1966" s="71"/>
      <c r="Y1966" s="71"/>
    </row>
    <row r="1967" spans="1:25" ht="30" hidden="1" customHeight="1" x14ac:dyDescent="0.25">
      <c r="A1967" s="82">
        <v>190404</v>
      </c>
      <c r="B1967" s="664" t="s">
        <v>548</v>
      </c>
      <c r="C1967" s="71" t="s">
        <v>1804</v>
      </c>
      <c r="D1967" s="71">
        <v>300</v>
      </c>
      <c r="E1967" s="102">
        <v>300</v>
      </c>
      <c r="F1967" s="102">
        <f t="shared" si="1029"/>
        <v>99000.000000000015</v>
      </c>
      <c r="G1967" s="102">
        <f t="shared" si="1030"/>
        <v>90000</v>
      </c>
      <c r="H1967" s="690" t="s">
        <v>173</v>
      </c>
      <c r="I1967" s="71" t="s">
        <v>2231</v>
      </c>
      <c r="J1967" s="53">
        <f>G1967-T1967</f>
        <v>30000</v>
      </c>
      <c r="K1967" s="63">
        <f>(J1967/(F1967/11*10))</f>
        <v>0.33333333333333326</v>
      </c>
      <c r="L1967" s="871" t="s">
        <v>1782</v>
      </c>
      <c r="M1967" s="468"/>
      <c r="N1967" s="664">
        <f t="shared" si="1034"/>
        <v>190404</v>
      </c>
      <c r="O1967" s="71" t="s">
        <v>149</v>
      </c>
      <c r="P1967" s="103" t="str">
        <f t="shared" si="1036"/>
        <v>고무사카 노란색</v>
      </c>
      <c r="Q1967" s="71">
        <f t="shared" si="1035"/>
        <v>300</v>
      </c>
      <c r="R1967" s="102">
        <v>200</v>
      </c>
      <c r="S1967" s="102">
        <f>R1967*Q1967*1.1</f>
        <v>66000</v>
      </c>
      <c r="T1967" s="102">
        <f>R1967*Q1967</f>
        <v>60000</v>
      </c>
      <c r="U1967" s="71"/>
      <c r="V1967" s="71"/>
      <c r="W1967" s="474"/>
      <c r="X1967" s="71"/>
      <c r="Y1967" s="71"/>
    </row>
    <row r="1968" spans="1:25" ht="30" customHeight="1" x14ac:dyDescent="0.25">
      <c r="A1968" s="82">
        <v>190404</v>
      </c>
      <c r="B1968" s="664" t="s">
        <v>565</v>
      </c>
      <c r="C1968" s="71" t="s">
        <v>1857</v>
      </c>
      <c r="D1968" s="71">
        <v>2</v>
      </c>
      <c r="E1968" s="102">
        <v>0</v>
      </c>
      <c r="F1968" s="102">
        <f t="shared" si="1029"/>
        <v>0</v>
      </c>
      <c r="G1968" s="102">
        <f t="shared" si="1030"/>
        <v>0</v>
      </c>
      <c r="H1968" s="690" t="s">
        <v>173</v>
      </c>
      <c r="I1968" s="71" t="s">
        <v>108</v>
      </c>
      <c r="J1968" s="53"/>
      <c r="K1968" s="63"/>
      <c r="L1968" s="871" t="s">
        <v>1782</v>
      </c>
      <c r="M1968" s="468" t="s">
        <v>1805</v>
      </c>
      <c r="N1968" s="664">
        <f t="shared" si="1034"/>
        <v>190404</v>
      </c>
      <c r="O1968" s="71" t="s">
        <v>1443</v>
      </c>
      <c r="P1968" s="103" t="str">
        <f t="shared" si="1036"/>
        <v>SuperRaster AlcoReplace Fount</v>
      </c>
      <c r="Q1968" s="71">
        <f t="shared" si="1035"/>
        <v>2</v>
      </c>
      <c r="R1968" s="102"/>
      <c r="S1968" s="102"/>
      <c r="T1968" s="102"/>
      <c r="U1968" s="71"/>
      <c r="V1968" s="71"/>
      <c r="W1968" s="474"/>
      <c r="X1968" s="71"/>
      <c r="Y1968" s="71"/>
    </row>
    <row r="1969" spans="1:25" ht="30" customHeight="1" x14ac:dyDescent="0.25">
      <c r="A1969" s="82">
        <v>190404</v>
      </c>
      <c r="B1969" s="664" t="s">
        <v>565</v>
      </c>
      <c r="C1969" s="71" t="s">
        <v>1556</v>
      </c>
      <c r="D1969" s="71">
        <v>2</v>
      </c>
      <c r="E1969" s="102">
        <v>0</v>
      </c>
      <c r="F1969" s="102">
        <f>(E1969*D1969)*1.1</f>
        <v>0</v>
      </c>
      <c r="G1969" s="102">
        <f>(E1969*D1969)</f>
        <v>0</v>
      </c>
      <c r="H1969" s="690" t="s">
        <v>173</v>
      </c>
      <c r="I1969" s="71" t="s">
        <v>108</v>
      </c>
      <c r="J1969" s="53"/>
      <c r="K1969" s="63"/>
      <c r="L1969" s="871" t="s">
        <v>1782</v>
      </c>
      <c r="M1969" s="468" t="s">
        <v>1805</v>
      </c>
      <c r="N1969" s="664">
        <f>A1969</f>
        <v>190404</v>
      </c>
      <c r="O1969" s="71" t="s">
        <v>1443</v>
      </c>
      <c r="P1969" s="103" t="str">
        <f>C1969</f>
        <v>SuperRaster Dampening Cleaner</v>
      </c>
      <c r="Q1969" s="71">
        <f>D1969</f>
        <v>2</v>
      </c>
      <c r="R1969" s="102"/>
      <c r="S1969" s="102"/>
      <c r="T1969" s="102"/>
      <c r="U1969" s="71"/>
      <c r="V1969" s="71"/>
      <c r="W1969" s="474"/>
      <c r="X1969" s="71"/>
      <c r="Y1969" s="71"/>
    </row>
    <row r="1970" spans="1:25" ht="30" hidden="1" customHeight="1" x14ac:dyDescent="0.25">
      <c r="A1970" s="82">
        <v>190404</v>
      </c>
      <c r="B1970" s="664" t="s">
        <v>591</v>
      </c>
      <c r="C1970" s="71" t="s">
        <v>1846</v>
      </c>
      <c r="D1970" s="71">
        <v>1</v>
      </c>
      <c r="E1970" s="102">
        <v>3280000</v>
      </c>
      <c r="F1970" s="102">
        <f t="shared" si="1029"/>
        <v>3608000.0000000005</v>
      </c>
      <c r="G1970" s="102">
        <f t="shared" si="1030"/>
        <v>3280000</v>
      </c>
      <c r="H1970" s="690" t="s">
        <v>173</v>
      </c>
      <c r="I1970" s="71" t="s">
        <v>143</v>
      </c>
      <c r="J1970" s="53">
        <f>G1970-T1970</f>
        <v>850000</v>
      </c>
      <c r="K1970" s="63">
        <f>(J1970/(F1970/11*10))</f>
        <v>0.25914634146341459</v>
      </c>
      <c r="L1970" s="871" t="s">
        <v>1782</v>
      </c>
      <c r="M1970" s="468"/>
      <c r="N1970" s="664">
        <f t="shared" si="1034"/>
        <v>190404</v>
      </c>
      <c r="O1970" s="71" t="s">
        <v>612</v>
      </c>
      <c r="P1970" s="103" t="str">
        <f t="shared" si="1036"/>
        <v>하이델 CD102 롤러 set</v>
      </c>
      <c r="Q1970" s="71">
        <f t="shared" si="1035"/>
        <v>1</v>
      </c>
      <c r="R1970" s="102">
        <v>2430000</v>
      </c>
      <c r="S1970" s="102">
        <f t="shared" ref="S1970:S1979" si="1037">R1970*Q1970*1.1</f>
        <v>2673000</v>
      </c>
      <c r="T1970" s="102">
        <f t="shared" ref="T1970:T1979" si="1038">R1970*Q1970</f>
        <v>2430000</v>
      </c>
      <c r="U1970" s="71" t="str">
        <f t="shared" ref="U1970:U1980" si="1039">IF(J1970=W1970,"O", "X")</f>
        <v>X</v>
      </c>
      <c r="V1970" s="71"/>
      <c r="W1970" s="474"/>
      <c r="X1970" s="71"/>
      <c r="Y1970" s="71"/>
    </row>
    <row r="1971" spans="1:25" ht="30" hidden="1" customHeight="1" x14ac:dyDescent="0.25">
      <c r="A1971" s="82">
        <v>190408</v>
      </c>
      <c r="B1971" s="664" t="s">
        <v>983</v>
      </c>
      <c r="C1971" s="71" t="s">
        <v>1009</v>
      </c>
      <c r="D1971" s="71">
        <v>520</v>
      </c>
      <c r="E1971" s="102">
        <v>3900</v>
      </c>
      <c r="F1971" s="102">
        <f t="shared" ref="F1971:F1977" si="1040">(E1971*D1971)*1.1</f>
        <v>2230800</v>
      </c>
      <c r="G1971" s="102">
        <f t="shared" ref="G1971:G1977" si="1041">(E1971*D1971)</f>
        <v>2028000</v>
      </c>
      <c r="H1971" s="690" t="s">
        <v>173</v>
      </c>
      <c r="I1971" s="71" t="s">
        <v>2230</v>
      </c>
      <c r="J1971" s="53">
        <f>G1971-T1971</f>
        <v>312000</v>
      </c>
      <c r="K1971" s="63">
        <f t="shared" ref="K1971:K1977" si="1042">(J1971/(F1971/11*10))</f>
        <v>0.15384615384615385</v>
      </c>
      <c r="L1971" s="871" t="s">
        <v>1782</v>
      </c>
      <c r="M1971" s="468"/>
      <c r="N1971" s="664">
        <f t="shared" ref="N1971:N1979" si="1043">A1971</f>
        <v>190408</v>
      </c>
      <c r="O1971" s="71" t="s">
        <v>147</v>
      </c>
      <c r="P1971" s="103" t="str">
        <f t="shared" ref="P1971:Q1979" si="1044">C1971</f>
        <v>CTP판(1030*790mm)</v>
      </c>
      <c r="Q1971" s="71">
        <f t="shared" si="1044"/>
        <v>520</v>
      </c>
      <c r="R1971" s="102">
        <v>3300</v>
      </c>
      <c r="S1971" s="102">
        <f t="shared" si="1037"/>
        <v>1887600.0000000002</v>
      </c>
      <c r="T1971" s="102">
        <f t="shared" si="1038"/>
        <v>1716000</v>
      </c>
      <c r="U1971" s="71" t="str">
        <f t="shared" si="1039"/>
        <v>O</v>
      </c>
      <c r="V1971" s="71"/>
      <c r="W1971" s="474">
        <f>(G1971-T1971)</f>
        <v>312000</v>
      </c>
      <c r="X1971" s="71"/>
      <c r="Y1971" s="71"/>
    </row>
    <row r="1972" spans="1:25" ht="30" hidden="1" customHeight="1" x14ac:dyDescent="0.25">
      <c r="A1972" s="82">
        <v>190408</v>
      </c>
      <c r="B1972" s="664" t="s">
        <v>983</v>
      </c>
      <c r="C1972" s="71" t="s">
        <v>984</v>
      </c>
      <c r="D1972" s="71">
        <v>6</v>
      </c>
      <c r="E1972" s="102">
        <v>45000</v>
      </c>
      <c r="F1972" s="102">
        <f t="shared" si="1040"/>
        <v>297000</v>
      </c>
      <c r="G1972" s="102">
        <f t="shared" si="1041"/>
        <v>270000</v>
      </c>
      <c r="H1972" s="690" t="s">
        <v>173</v>
      </c>
      <c r="I1972" s="71" t="s">
        <v>2230</v>
      </c>
      <c r="J1972" s="53">
        <f>G1972-T1972</f>
        <v>60000</v>
      </c>
      <c r="K1972" s="63">
        <f t="shared" si="1042"/>
        <v>0.22222222222222221</v>
      </c>
      <c r="L1972" s="871" t="s">
        <v>1782</v>
      </c>
      <c r="M1972" s="468"/>
      <c r="N1972" s="664">
        <f t="shared" si="1043"/>
        <v>190408</v>
      </c>
      <c r="O1972" s="71" t="s">
        <v>147</v>
      </c>
      <c r="P1972" s="103" t="str">
        <f t="shared" si="1044"/>
        <v>CTP 현상액</v>
      </c>
      <c r="Q1972" s="71">
        <f t="shared" si="1044"/>
        <v>6</v>
      </c>
      <c r="R1972" s="102">
        <v>35000</v>
      </c>
      <c r="S1972" s="102">
        <f t="shared" si="1037"/>
        <v>231000.00000000003</v>
      </c>
      <c r="T1972" s="102">
        <f t="shared" si="1038"/>
        <v>210000</v>
      </c>
      <c r="U1972" s="71" t="str">
        <f t="shared" si="1039"/>
        <v>O</v>
      </c>
      <c r="V1972" s="71"/>
      <c r="W1972" s="474">
        <f>(G1972-T1972)</f>
        <v>60000</v>
      </c>
      <c r="X1972" s="71"/>
      <c r="Y1972" s="71"/>
    </row>
    <row r="1973" spans="1:25" ht="30" hidden="1" customHeight="1" x14ac:dyDescent="0.2">
      <c r="A1973" s="82">
        <v>190409</v>
      </c>
      <c r="B1973" s="664" t="s">
        <v>548</v>
      </c>
      <c r="C1973" s="71" t="s">
        <v>107</v>
      </c>
      <c r="D1973" s="71">
        <v>10</v>
      </c>
      <c r="E1973" s="102">
        <v>100000</v>
      </c>
      <c r="F1973" s="163">
        <f t="shared" si="1040"/>
        <v>1100000</v>
      </c>
      <c r="G1973" s="102">
        <f t="shared" si="1041"/>
        <v>1000000</v>
      </c>
      <c r="H1973" s="165" t="s">
        <v>172</v>
      </c>
      <c r="I1973" s="71" t="s">
        <v>109</v>
      </c>
      <c r="J1973" s="53">
        <f>(G1973-(VLOOKUP(C1973,Price!B:D,3,FALSE)*D1973))</f>
        <v>195000</v>
      </c>
      <c r="K1973" s="63">
        <f t="shared" si="1042"/>
        <v>0.19500000000000001</v>
      </c>
      <c r="L1973" s="871" t="s">
        <v>1782</v>
      </c>
      <c r="M1973" s="468"/>
      <c r="N1973" s="664">
        <f t="shared" si="1043"/>
        <v>190409</v>
      </c>
      <c r="O1973" s="71" t="s">
        <v>147</v>
      </c>
      <c r="P1973" s="103" t="str">
        <f t="shared" si="1044"/>
        <v>Blanket(1050*840)</v>
      </c>
      <c r="Q1973" s="71">
        <f t="shared" si="1044"/>
        <v>10</v>
      </c>
      <c r="R1973" s="102">
        <v>80500</v>
      </c>
      <c r="S1973" s="102">
        <f t="shared" si="1037"/>
        <v>885500.00000000012</v>
      </c>
      <c r="T1973" s="102">
        <f t="shared" si="1038"/>
        <v>805000</v>
      </c>
      <c r="U1973" s="71" t="str">
        <f t="shared" si="1039"/>
        <v>O</v>
      </c>
      <c r="V1973" s="71"/>
      <c r="W1973" s="474">
        <f>(G1973-T1973)</f>
        <v>195000</v>
      </c>
      <c r="X1973" s="71"/>
      <c r="Y1973" s="71"/>
    </row>
    <row r="1974" spans="1:25" s="209" customFormat="1" ht="30" hidden="1" customHeight="1" x14ac:dyDescent="0.25">
      <c r="A1974" s="82">
        <v>190411</v>
      </c>
      <c r="B1974" s="664" t="s">
        <v>764</v>
      </c>
      <c r="C1974" s="71" t="s">
        <v>236</v>
      </c>
      <c r="D1974" s="71">
        <v>5</v>
      </c>
      <c r="E1974" s="102">
        <v>100000</v>
      </c>
      <c r="F1974" s="102">
        <f t="shared" si="1040"/>
        <v>550000</v>
      </c>
      <c r="G1974" s="102">
        <f t="shared" si="1041"/>
        <v>500000</v>
      </c>
      <c r="H1974" s="690" t="s">
        <v>173</v>
      </c>
      <c r="I1974" s="71" t="s">
        <v>2231</v>
      </c>
      <c r="J1974" s="53">
        <f>(G1974-(VLOOKUP(C1974,Price!B:D,3,FALSE)*D1974))</f>
        <v>250000</v>
      </c>
      <c r="K1974" s="63">
        <f t="shared" si="1042"/>
        <v>0.5</v>
      </c>
      <c r="L1974" s="871" t="s">
        <v>1782</v>
      </c>
      <c r="M1974" s="468"/>
      <c r="N1974" s="664">
        <f t="shared" si="1043"/>
        <v>190411</v>
      </c>
      <c r="O1974" s="71" t="s">
        <v>153</v>
      </c>
      <c r="P1974" s="103" t="str">
        <f t="shared" si="1044"/>
        <v>아스테이지(국전)</v>
      </c>
      <c r="Q1974" s="71">
        <f t="shared" si="1044"/>
        <v>5</v>
      </c>
      <c r="R1974" s="102">
        <f>VLOOKUP(P1974,Price!B:D,3,FALSE)</f>
        <v>50000</v>
      </c>
      <c r="S1974" s="102">
        <f t="shared" si="1037"/>
        <v>275000</v>
      </c>
      <c r="T1974" s="102">
        <f t="shared" si="1038"/>
        <v>250000</v>
      </c>
      <c r="U1974" s="71" t="str">
        <f t="shared" si="1039"/>
        <v>O</v>
      </c>
      <c r="V1974" s="71"/>
      <c r="W1974" s="474">
        <f>(G1974-T1974)</f>
        <v>250000</v>
      </c>
      <c r="X1974" s="71"/>
      <c r="Y1974" s="71"/>
    </row>
    <row r="1975" spans="1:25" ht="30" hidden="1" customHeight="1" x14ac:dyDescent="0.25">
      <c r="A1975" s="82">
        <v>190411</v>
      </c>
      <c r="B1975" s="664" t="s">
        <v>690</v>
      </c>
      <c r="C1975" s="67" t="s">
        <v>197</v>
      </c>
      <c r="D1975" s="71">
        <v>5</v>
      </c>
      <c r="E1975" s="102">
        <v>49000</v>
      </c>
      <c r="F1975" s="102">
        <f t="shared" si="1040"/>
        <v>269500</v>
      </c>
      <c r="G1975" s="102">
        <f t="shared" si="1041"/>
        <v>245000</v>
      </c>
      <c r="H1975" s="690" t="s">
        <v>173</v>
      </c>
      <c r="I1975" s="71" t="s">
        <v>2230</v>
      </c>
      <c r="J1975" s="53">
        <f>(G1975-(VLOOKUP(C1975,Price!B:D,3,FALSE)*D1975))</f>
        <v>70000</v>
      </c>
      <c r="K1975" s="63">
        <f t="shared" si="1042"/>
        <v>0.2857142857142857</v>
      </c>
      <c r="L1975" s="871" t="s">
        <v>1782</v>
      </c>
      <c r="M1975" s="468" t="s">
        <v>1394</v>
      </c>
      <c r="N1975" s="664">
        <f t="shared" si="1043"/>
        <v>190411</v>
      </c>
      <c r="O1975" s="71" t="s">
        <v>145</v>
      </c>
      <c r="P1975" s="103" t="str">
        <f t="shared" si="1044"/>
        <v>THR200(20L)</v>
      </c>
      <c r="Q1975" s="71">
        <f t="shared" si="1044"/>
        <v>5</v>
      </c>
      <c r="R1975" s="102">
        <v>35000</v>
      </c>
      <c r="S1975" s="102">
        <f t="shared" si="1037"/>
        <v>192500.00000000003</v>
      </c>
      <c r="T1975" s="102">
        <f t="shared" si="1038"/>
        <v>175000</v>
      </c>
      <c r="U1975" s="71" t="str">
        <f t="shared" si="1039"/>
        <v>X</v>
      </c>
      <c r="V1975" s="71"/>
      <c r="W1975" s="474"/>
      <c r="X1975" s="71"/>
      <c r="Y1975" s="71"/>
    </row>
    <row r="1976" spans="1:25" ht="30" hidden="1" customHeight="1" x14ac:dyDescent="0.25">
      <c r="A1976" s="82">
        <v>190411</v>
      </c>
      <c r="B1976" s="664" t="s">
        <v>690</v>
      </c>
      <c r="C1976" s="71" t="s">
        <v>750</v>
      </c>
      <c r="D1976" s="71">
        <v>4</v>
      </c>
      <c r="E1976" s="102">
        <v>49000</v>
      </c>
      <c r="F1976" s="102">
        <f t="shared" si="1040"/>
        <v>215600.00000000003</v>
      </c>
      <c r="G1976" s="102">
        <f t="shared" si="1041"/>
        <v>196000</v>
      </c>
      <c r="H1976" s="690" t="s">
        <v>173</v>
      </c>
      <c r="I1976" s="71" t="s">
        <v>2230</v>
      </c>
      <c r="J1976" s="53">
        <f>(G1976-(VLOOKUP(C1976,Price!B:D,3,FALSE)*D1976))</f>
        <v>56000</v>
      </c>
      <c r="K1976" s="63">
        <f t="shared" si="1042"/>
        <v>0.2857142857142857</v>
      </c>
      <c r="L1976" s="871" t="s">
        <v>1782</v>
      </c>
      <c r="M1976" s="468" t="s">
        <v>1394</v>
      </c>
      <c r="N1976" s="664">
        <f t="shared" si="1043"/>
        <v>190411</v>
      </c>
      <c r="O1976" s="71" t="s">
        <v>145</v>
      </c>
      <c r="P1976" s="103" t="str">
        <f t="shared" si="1044"/>
        <v>THD200(20L)</v>
      </c>
      <c r="Q1976" s="71">
        <f t="shared" si="1044"/>
        <v>4</v>
      </c>
      <c r="R1976" s="102">
        <v>35000</v>
      </c>
      <c r="S1976" s="102">
        <f t="shared" si="1037"/>
        <v>154000</v>
      </c>
      <c r="T1976" s="102">
        <f t="shared" si="1038"/>
        <v>140000</v>
      </c>
      <c r="U1976" s="71" t="str">
        <f t="shared" si="1039"/>
        <v>O</v>
      </c>
      <c r="V1976" s="71"/>
      <c r="W1976" s="474">
        <f>(G1976-T1976)</f>
        <v>56000</v>
      </c>
      <c r="X1976" s="71"/>
      <c r="Y1976" s="71"/>
    </row>
    <row r="1977" spans="1:25" ht="30" hidden="1" customHeight="1" x14ac:dyDescent="0.25">
      <c r="A1977" s="82">
        <v>190411</v>
      </c>
      <c r="B1977" s="664" t="s">
        <v>690</v>
      </c>
      <c r="C1977" s="71" t="s">
        <v>1186</v>
      </c>
      <c r="D1977" s="71">
        <v>500</v>
      </c>
      <c r="E1977" s="102">
        <v>3600</v>
      </c>
      <c r="F1977" s="102">
        <f t="shared" si="1040"/>
        <v>1980000.0000000002</v>
      </c>
      <c r="G1977" s="102">
        <f t="shared" si="1041"/>
        <v>1800000</v>
      </c>
      <c r="H1977" s="690" t="s">
        <v>173</v>
      </c>
      <c r="I1977" s="71" t="s">
        <v>2230</v>
      </c>
      <c r="J1977" s="53">
        <f>(G1977-(VLOOKUP(C1977,Price!B:D,3,FALSE)*D1977))</f>
        <v>-200000</v>
      </c>
      <c r="K1977" s="63">
        <f t="shared" si="1042"/>
        <v>-0.11111111111111109</v>
      </c>
      <c r="L1977" s="871" t="s">
        <v>1782</v>
      </c>
      <c r="M1977" s="468" t="s">
        <v>1393</v>
      </c>
      <c r="N1977" s="664">
        <f t="shared" si="1043"/>
        <v>190411</v>
      </c>
      <c r="O1977" s="71" t="s">
        <v>145</v>
      </c>
      <c r="P1977" s="103" t="str">
        <f t="shared" si="1044"/>
        <v>CTP 판(1030*790mm)</v>
      </c>
      <c r="Q1977" s="71">
        <f t="shared" si="1044"/>
        <v>500</v>
      </c>
      <c r="R1977" s="102">
        <v>4000</v>
      </c>
      <c r="S1977" s="102">
        <f t="shared" si="1037"/>
        <v>2200000</v>
      </c>
      <c r="T1977" s="102">
        <f t="shared" si="1038"/>
        <v>2000000</v>
      </c>
      <c r="U1977" s="71" t="str">
        <f t="shared" si="1039"/>
        <v>O</v>
      </c>
      <c r="V1977" s="71"/>
      <c r="W1977" s="474">
        <f>(G1977-T1977)</f>
        <v>-200000</v>
      </c>
      <c r="X1977" s="71"/>
      <c r="Y1977" s="71"/>
    </row>
    <row r="1978" spans="1:25" ht="30" hidden="1" customHeight="1" x14ac:dyDescent="0.2">
      <c r="A1978" s="82">
        <v>190415</v>
      </c>
      <c r="B1978" s="664" t="s">
        <v>591</v>
      </c>
      <c r="C1978" s="71" t="s">
        <v>1847</v>
      </c>
      <c r="D1978" s="71">
        <v>1</v>
      </c>
      <c r="E1978" s="102">
        <v>480000</v>
      </c>
      <c r="F1978" s="163">
        <f t="shared" ref="F1978:F1992" si="1045">(E1978*D1978)*1.1</f>
        <v>528000</v>
      </c>
      <c r="G1978" s="102">
        <f t="shared" ref="G1978:G1992" si="1046">(E1978*D1978)</f>
        <v>480000</v>
      </c>
      <c r="H1978" s="690" t="s">
        <v>173</v>
      </c>
      <c r="I1978" s="71" t="s">
        <v>143</v>
      </c>
      <c r="J1978" s="53">
        <f>G1978-T1978</f>
        <v>130000</v>
      </c>
      <c r="K1978" s="63">
        <f>(J1978/(F1978/11*10))</f>
        <v>0.27083333333333331</v>
      </c>
      <c r="L1978" s="871" t="s">
        <v>1782</v>
      </c>
      <c r="M1978" s="468"/>
      <c r="N1978" s="664">
        <f t="shared" si="1043"/>
        <v>190415</v>
      </c>
      <c r="O1978" s="71" t="s">
        <v>612</v>
      </c>
      <c r="P1978" s="103" t="str">
        <f t="shared" si="1044"/>
        <v>고모리 윤전 롤러</v>
      </c>
      <c r="Q1978" s="71">
        <v>1</v>
      </c>
      <c r="R1978" s="102">
        <v>350000</v>
      </c>
      <c r="S1978" s="102">
        <f t="shared" si="1037"/>
        <v>385000.00000000006</v>
      </c>
      <c r="T1978" s="102">
        <f t="shared" si="1038"/>
        <v>350000</v>
      </c>
      <c r="U1978" s="71" t="str">
        <f t="shared" si="1039"/>
        <v>X</v>
      </c>
      <c r="V1978" s="71"/>
      <c r="W1978" s="474"/>
      <c r="X1978" s="71"/>
      <c r="Y1978" s="71"/>
    </row>
    <row r="1979" spans="1:25" ht="30" hidden="1" customHeight="1" x14ac:dyDescent="0.2">
      <c r="A1979" s="82">
        <v>190415</v>
      </c>
      <c r="B1979" s="664" t="s">
        <v>591</v>
      </c>
      <c r="C1979" s="71" t="s">
        <v>1848</v>
      </c>
      <c r="D1979" s="71">
        <v>1</v>
      </c>
      <c r="E1979" s="102">
        <v>1510000</v>
      </c>
      <c r="F1979" s="163">
        <f t="shared" si="1045"/>
        <v>1661000.0000000002</v>
      </c>
      <c r="G1979" s="102">
        <f t="shared" si="1046"/>
        <v>1510000</v>
      </c>
      <c r="H1979" s="690" t="s">
        <v>173</v>
      </c>
      <c r="I1979" s="71" t="s">
        <v>143</v>
      </c>
      <c r="J1979" s="53">
        <f>G1979-T1979</f>
        <v>20000</v>
      </c>
      <c r="K1979" s="63">
        <f>(J1979/(F1979/11*10))</f>
        <v>1.324503311258278E-2</v>
      </c>
      <c r="L1979" s="871" t="s">
        <v>1782</v>
      </c>
      <c r="M1979" s="468"/>
      <c r="N1979" s="664">
        <f t="shared" si="1043"/>
        <v>190415</v>
      </c>
      <c r="O1979" s="71" t="s">
        <v>612</v>
      </c>
      <c r="P1979" s="103" t="str">
        <f t="shared" si="1044"/>
        <v>M600 윤전 롤러</v>
      </c>
      <c r="Q1979" s="71">
        <v>1</v>
      </c>
      <c r="R1979" s="102">
        <v>1490000</v>
      </c>
      <c r="S1979" s="102">
        <f t="shared" si="1037"/>
        <v>1639000.0000000002</v>
      </c>
      <c r="T1979" s="102">
        <f t="shared" si="1038"/>
        <v>1490000</v>
      </c>
      <c r="U1979" s="71" t="str">
        <f t="shared" si="1039"/>
        <v>X</v>
      </c>
      <c r="V1979" s="71"/>
      <c r="W1979" s="474"/>
      <c r="X1979" s="71"/>
      <c r="Y1979" s="71"/>
    </row>
    <row r="1980" spans="1:25" s="209" customFormat="1" ht="30" hidden="1" customHeight="1" x14ac:dyDescent="0.2">
      <c r="A1980" s="82">
        <v>190415</v>
      </c>
      <c r="B1980" s="664" t="s">
        <v>445</v>
      </c>
      <c r="C1980" s="71" t="s">
        <v>138</v>
      </c>
      <c r="D1980" s="71">
        <v>10</v>
      </c>
      <c r="E1980" s="102">
        <v>59500</v>
      </c>
      <c r="F1980" s="163">
        <f t="shared" si="1045"/>
        <v>654500</v>
      </c>
      <c r="G1980" s="102">
        <f t="shared" si="1046"/>
        <v>595000</v>
      </c>
      <c r="H1980" s="165" t="s">
        <v>172</v>
      </c>
      <c r="I1980" s="71" t="s">
        <v>108</v>
      </c>
      <c r="J1980" s="53">
        <f>(G1980-(VLOOKUP(C1980,Price!B:D,3,FALSE)*D1980))</f>
        <v>85000</v>
      </c>
      <c r="K1980" s="63">
        <f t="shared" ref="K1980:K1986" si="1047">(J1980/(F1980/11*10))</f>
        <v>0.14285714285714285</v>
      </c>
      <c r="L1980" s="871" t="s">
        <v>1782</v>
      </c>
      <c r="M1980" s="468"/>
      <c r="N1980" s="664">
        <f t="shared" ref="N1980:N1987" si="1048">A1980</f>
        <v>190415</v>
      </c>
      <c r="O1980" s="71" t="s">
        <v>150</v>
      </c>
      <c r="P1980" s="103" t="str">
        <f>C1980</f>
        <v>매엽용 세척제(Wash 562)</v>
      </c>
      <c r="Q1980" s="71">
        <f>D1980</f>
        <v>10</v>
      </c>
      <c r="R1980" s="102">
        <v>51000</v>
      </c>
      <c r="S1980" s="102">
        <f>(R1980*D1980)*1.1</f>
        <v>561000</v>
      </c>
      <c r="T1980" s="102">
        <f>(R1980*Q1980)</f>
        <v>510000</v>
      </c>
      <c r="U1980" s="71" t="str">
        <f t="shared" si="1039"/>
        <v>O</v>
      </c>
      <c r="V1980" s="71"/>
      <c r="W1980" s="474">
        <f>(G1980-T1980)</f>
        <v>85000</v>
      </c>
      <c r="X1980" s="71"/>
      <c r="Y1980" s="71"/>
    </row>
    <row r="1981" spans="1:25" ht="30" hidden="1" customHeight="1" x14ac:dyDescent="0.25">
      <c r="A1981" s="82">
        <v>190416</v>
      </c>
      <c r="B1981" s="664" t="s">
        <v>575</v>
      </c>
      <c r="C1981" s="71" t="s">
        <v>1806</v>
      </c>
      <c r="D1981" s="71">
        <v>1</v>
      </c>
      <c r="E1981" s="102">
        <v>1250000</v>
      </c>
      <c r="F1981" s="102">
        <f>(E1981*D1981)*1.1</f>
        <v>1375000</v>
      </c>
      <c r="G1981" s="102">
        <f>(E1981*D1981)</f>
        <v>1250000</v>
      </c>
      <c r="H1981" s="690" t="s">
        <v>985</v>
      </c>
      <c r="I1981" s="71" t="s">
        <v>985</v>
      </c>
      <c r="J1981" s="53">
        <f>G1981-T1981</f>
        <v>1250000</v>
      </c>
      <c r="K1981" s="63">
        <f t="shared" si="1047"/>
        <v>1</v>
      </c>
      <c r="L1981" s="871" t="s">
        <v>1782</v>
      </c>
      <c r="M1981" s="468"/>
      <c r="N1981" s="664">
        <f t="shared" si="1048"/>
        <v>190416</v>
      </c>
      <c r="O1981" s="71"/>
      <c r="P1981" s="103" t="str">
        <f>C1981</f>
        <v>M600 서비스 계약(1회차)</v>
      </c>
      <c r="Q1981" s="71">
        <f>D1981</f>
        <v>1</v>
      </c>
      <c r="R1981" s="102"/>
      <c r="S1981" s="102"/>
      <c r="T1981" s="102"/>
      <c r="U1981" s="71"/>
      <c r="V1981" s="71"/>
      <c r="W1981" s="474"/>
      <c r="X1981" s="71"/>
      <c r="Y1981" s="71"/>
    </row>
    <row r="1982" spans="1:25" s="209" customFormat="1" ht="30" customHeight="1" x14ac:dyDescent="0.2">
      <c r="A1982" s="82">
        <v>190416</v>
      </c>
      <c r="B1982" s="664" t="s">
        <v>422</v>
      </c>
      <c r="C1982" s="71" t="s">
        <v>130</v>
      </c>
      <c r="D1982" s="71">
        <v>10</v>
      </c>
      <c r="E1982" s="102">
        <v>125000</v>
      </c>
      <c r="F1982" s="163">
        <f t="shared" si="1045"/>
        <v>1375000</v>
      </c>
      <c r="G1982" s="102">
        <f t="shared" si="1046"/>
        <v>1250000</v>
      </c>
      <c r="H1982" s="165" t="s">
        <v>172</v>
      </c>
      <c r="I1982" s="71" t="s">
        <v>109</v>
      </c>
      <c r="J1982" s="53">
        <f>(G1982-(VLOOKUP(C1982,Price!B:D,3,FALSE)*D1982))</f>
        <v>260000</v>
      </c>
      <c r="K1982" s="63">
        <f t="shared" si="1047"/>
        <v>0.20799999999999999</v>
      </c>
      <c r="L1982" s="871" t="s">
        <v>1782</v>
      </c>
      <c r="M1982" s="468"/>
      <c r="N1982" s="664">
        <f t="shared" si="1048"/>
        <v>190416</v>
      </c>
      <c r="O1982" s="71" t="s">
        <v>150</v>
      </c>
      <c r="P1982" s="103" t="str">
        <f>(C1982)</f>
        <v>XL106 Blanket(1077*885)</v>
      </c>
      <c r="Q1982" s="71">
        <f t="shared" ref="Q1982:Q1987" si="1049">D1982</f>
        <v>10</v>
      </c>
      <c r="R1982" s="102">
        <v>99000</v>
      </c>
      <c r="S1982" s="102">
        <f>(R1982*D1982)*1.1</f>
        <v>1089000</v>
      </c>
      <c r="T1982" s="102">
        <f>(R1982*Q1982)</f>
        <v>990000</v>
      </c>
      <c r="U1982" s="71" t="str">
        <f t="shared" ref="U1982:U2004" si="1050">IF(J1982=W1982,"O", "X")</f>
        <v>O</v>
      </c>
      <c r="V1982" s="71"/>
      <c r="W1982" s="474">
        <f>(G1982-T1982)</f>
        <v>260000</v>
      </c>
      <c r="X1982" s="71"/>
      <c r="Y1982" s="71"/>
    </row>
    <row r="1983" spans="1:25" ht="30" customHeight="1" x14ac:dyDescent="0.25">
      <c r="A1983" s="82">
        <v>190416</v>
      </c>
      <c r="B1983" s="664" t="s">
        <v>422</v>
      </c>
      <c r="C1983" s="71" t="s">
        <v>129</v>
      </c>
      <c r="D1983" s="71">
        <v>7</v>
      </c>
      <c r="E1983" s="102">
        <v>272000</v>
      </c>
      <c r="F1983" s="102">
        <f t="shared" si="1045"/>
        <v>2094400.0000000002</v>
      </c>
      <c r="G1983" s="102">
        <f t="shared" si="1046"/>
        <v>1904000</v>
      </c>
      <c r="H1983" s="690" t="s">
        <v>173</v>
      </c>
      <c r="I1983" s="71" t="s">
        <v>108</v>
      </c>
      <c r="J1983" s="53">
        <f>(G1983-(VLOOKUP(C1983,Price!B:D,3,FALSE)*D1983))</f>
        <v>448000</v>
      </c>
      <c r="K1983" s="63">
        <f t="shared" si="1047"/>
        <v>0.23529411764705879</v>
      </c>
      <c r="L1983" s="871" t="s">
        <v>1782</v>
      </c>
      <c r="M1983" s="468"/>
      <c r="N1983" s="664">
        <f t="shared" si="1048"/>
        <v>190416</v>
      </c>
      <c r="O1983" s="71" t="s">
        <v>149</v>
      </c>
      <c r="P1983" s="103" t="str">
        <f>C1983</f>
        <v>세정포-XL106</v>
      </c>
      <c r="Q1983" s="71">
        <f t="shared" si="1049"/>
        <v>7</v>
      </c>
      <c r="R1983" s="102">
        <v>208000</v>
      </c>
      <c r="S1983" s="102">
        <f>R1983*Q1983*1.1</f>
        <v>1601600.0000000002</v>
      </c>
      <c r="T1983" s="102">
        <f>R1983*Q1983</f>
        <v>1456000</v>
      </c>
      <c r="U1983" s="71" t="str">
        <f t="shared" si="1050"/>
        <v>O</v>
      </c>
      <c r="V1983" s="71"/>
      <c r="W1983" s="474">
        <f>(G1983-T1983)</f>
        <v>448000</v>
      </c>
      <c r="X1983" s="71"/>
      <c r="Y1983" s="71"/>
    </row>
    <row r="1984" spans="1:25" ht="30" customHeight="1" x14ac:dyDescent="0.25">
      <c r="A1984" s="82">
        <v>190416</v>
      </c>
      <c r="B1984" s="664" t="s">
        <v>422</v>
      </c>
      <c r="C1984" s="71" t="s">
        <v>584</v>
      </c>
      <c r="D1984" s="71">
        <v>3</v>
      </c>
      <c r="E1984" s="102">
        <v>270000</v>
      </c>
      <c r="F1984" s="102">
        <f t="shared" si="1045"/>
        <v>891000.00000000012</v>
      </c>
      <c r="G1984" s="102">
        <f t="shared" si="1046"/>
        <v>810000</v>
      </c>
      <c r="H1984" s="690" t="s">
        <v>173</v>
      </c>
      <c r="I1984" s="71" t="s">
        <v>2231</v>
      </c>
      <c r="J1984" s="53">
        <f>(G1984-(VLOOKUP(C1984,Price!B:D,3,FALSE)*D1984))</f>
        <v>162000</v>
      </c>
      <c r="K1984" s="63">
        <f t="shared" si="1047"/>
        <v>0.19999999999999998</v>
      </c>
      <c r="L1984" s="871" t="s">
        <v>1782</v>
      </c>
      <c r="M1984" s="468"/>
      <c r="N1984" s="664">
        <f t="shared" si="1048"/>
        <v>190416</v>
      </c>
      <c r="O1984" s="71" t="s">
        <v>150</v>
      </c>
      <c r="P1984" s="103" t="str">
        <f>C1984</f>
        <v>데리바리 석션벨트</v>
      </c>
      <c r="Q1984" s="71">
        <f t="shared" si="1049"/>
        <v>3</v>
      </c>
      <c r="R1984" s="102">
        <v>216000</v>
      </c>
      <c r="S1984" s="102">
        <f>R1984*Q1984*1.1</f>
        <v>712800</v>
      </c>
      <c r="T1984" s="102">
        <f>R1984*Q1984</f>
        <v>648000</v>
      </c>
      <c r="U1984" s="71" t="str">
        <f t="shared" si="1050"/>
        <v>O</v>
      </c>
      <c r="V1984" s="71"/>
      <c r="W1984" s="474">
        <f>(G1984-T1984)</f>
        <v>162000</v>
      </c>
      <c r="X1984" s="71"/>
      <c r="Y1984" s="71"/>
    </row>
    <row r="1985" spans="1:25" ht="30" hidden="1" customHeight="1" x14ac:dyDescent="0.25">
      <c r="A1985" s="82">
        <v>190416</v>
      </c>
      <c r="B1985" s="664" t="s">
        <v>446</v>
      </c>
      <c r="C1985" s="71" t="s">
        <v>1144</v>
      </c>
      <c r="D1985" s="71">
        <v>10</v>
      </c>
      <c r="E1985" s="102">
        <v>110000</v>
      </c>
      <c r="F1985" s="102">
        <f t="shared" si="1045"/>
        <v>1210000</v>
      </c>
      <c r="G1985" s="102">
        <f t="shared" si="1046"/>
        <v>1100000</v>
      </c>
      <c r="H1985" s="690" t="s">
        <v>173</v>
      </c>
      <c r="I1985" s="71" t="s">
        <v>2231</v>
      </c>
      <c r="J1985" s="53">
        <f>G1985-T1985</f>
        <v>190000</v>
      </c>
      <c r="K1985" s="63">
        <f t="shared" si="1047"/>
        <v>0.17272727272727273</v>
      </c>
      <c r="L1985" s="871" t="s">
        <v>1782</v>
      </c>
      <c r="M1985" s="468"/>
      <c r="N1985" s="664">
        <f t="shared" si="1048"/>
        <v>190416</v>
      </c>
      <c r="O1985" s="71" t="s">
        <v>150</v>
      </c>
      <c r="P1985" s="103" t="str">
        <f>C1985</f>
        <v>실리콘 에멀전</v>
      </c>
      <c r="Q1985" s="71">
        <f t="shared" si="1049"/>
        <v>10</v>
      </c>
      <c r="R1985" s="102">
        <v>91000</v>
      </c>
      <c r="S1985" s="102">
        <f>R1985*Q1985*1.1</f>
        <v>1001000.0000000001</v>
      </c>
      <c r="T1985" s="102">
        <f>R1985*Q1985</f>
        <v>910000</v>
      </c>
      <c r="U1985" s="71" t="str">
        <f t="shared" si="1050"/>
        <v>O</v>
      </c>
      <c r="V1985" s="71"/>
      <c r="W1985" s="474">
        <f>(G1985-T1985)</f>
        <v>190000</v>
      </c>
      <c r="X1985" s="71"/>
      <c r="Y1985" s="71"/>
    </row>
    <row r="1986" spans="1:25" s="209" customFormat="1" ht="30" customHeight="1" x14ac:dyDescent="0.2">
      <c r="A1986" s="82">
        <v>190416</v>
      </c>
      <c r="B1986" s="664" t="s">
        <v>422</v>
      </c>
      <c r="C1986" s="71" t="s">
        <v>123</v>
      </c>
      <c r="D1986" s="71">
        <v>3</v>
      </c>
      <c r="E1986" s="102">
        <v>35000</v>
      </c>
      <c r="F1986" s="163">
        <f t="shared" si="1045"/>
        <v>115500.00000000001</v>
      </c>
      <c r="G1986" s="163">
        <f t="shared" si="1046"/>
        <v>105000</v>
      </c>
      <c r="H1986" s="165" t="s">
        <v>1432</v>
      </c>
      <c r="I1986" s="71" t="s">
        <v>1432</v>
      </c>
      <c r="J1986" s="53">
        <f>G1986-T1986</f>
        <v>37617</v>
      </c>
      <c r="K1986" s="63">
        <f t="shared" si="1047"/>
        <v>0.35825714285714283</v>
      </c>
      <c r="L1986" s="871" t="s">
        <v>1782</v>
      </c>
      <c r="M1986" s="468"/>
      <c r="N1986" s="664">
        <f t="shared" si="1048"/>
        <v>190416</v>
      </c>
      <c r="O1986" s="71" t="s">
        <v>1432</v>
      </c>
      <c r="P1986" s="103" t="str">
        <f>C1986</f>
        <v>필터백</v>
      </c>
      <c r="Q1986" s="71">
        <f t="shared" si="1049"/>
        <v>3</v>
      </c>
      <c r="R1986" s="102">
        <v>22461</v>
      </c>
      <c r="S1986" s="102">
        <f>(R1986*D1986)*1.1</f>
        <v>74121.3</v>
      </c>
      <c r="T1986" s="102">
        <f>(R1986*Q1986)</f>
        <v>67383</v>
      </c>
      <c r="U1986" s="71" t="str">
        <f t="shared" si="1050"/>
        <v>X</v>
      </c>
      <c r="V1986" s="71"/>
      <c r="W1986" s="474"/>
      <c r="X1986" s="71"/>
      <c r="Y1986" s="71"/>
    </row>
    <row r="1987" spans="1:25" ht="30" hidden="1" customHeight="1" x14ac:dyDescent="0.25">
      <c r="A1987" s="82">
        <v>190417</v>
      </c>
      <c r="B1987" s="664" t="s">
        <v>569</v>
      </c>
      <c r="C1987" s="71" t="s">
        <v>123</v>
      </c>
      <c r="D1987" s="71">
        <v>20</v>
      </c>
      <c r="E1987" s="102">
        <v>40000</v>
      </c>
      <c r="F1987" s="102">
        <f t="shared" si="1045"/>
        <v>880000.00000000012</v>
      </c>
      <c r="G1987" s="102">
        <f t="shared" si="1046"/>
        <v>800000</v>
      </c>
      <c r="H1987" s="690" t="s">
        <v>1432</v>
      </c>
      <c r="I1987" s="71" t="s">
        <v>1432</v>
      </c>
      <c r="J1987" s="53">
        <f>G1987-T1987</f>
        <v>350780</v>
      </c>
      <c r="K1987" s="63">
        <f t="shared" ref="K1987:K1992" si="1051">(J1987/(F1987/11*10))</f>
        <v>0.43847499999999995</v>
      </c>
      <c r="L1987" s="871" t="s">
        <v>1782</v>
      </c>
      <c r="M1987" s="468"/>
      <c r="N1987" s="664">
        <f t="shared" si="1048"/>
        <v>190417</v>
      </c>
      <c r="O1987" s="71" t="s">
        <v>1432</v>
      </c>
      <c r="P1987" s="103" t="str">
        <f>C1987</f>
        <v>필터백</v>
      </c>
      <c r="Q1987" s="71">
        <f t="shared" si="1049"/>
        <v>20</v>
      </c>
      <c r="R1987" s="102">
        <v>22461</v>
      </c>
      <c r="S1987" s="102">
        <f>(R1987*D1987)*1.1</f>
        <v>494142.00000000006</v>
      </c>
      <c r="T1987" s="102">
        <f>(R1987*Q1987)</f>
        <v>449220</v>
      </c>
      <c r="U1987" s="71" t="str">
        <f t="shared" si="1050"/>
        <v>X</v>
      </c>
      <c r="V1987" s="71"/>
      <c r="W1987" s="474"/>
      <c r="X1987" s="71"/>
      <c r="Y1987" s="71"/>
    </row>
    <row r="1988" spans="1:25" ht="30" hidden="1" customHeight="1" x14ac:dyDescent="0.25">
      <c r="A1988" s="82">
        <v>190418</v>
      </c>
      <c r="B1988" s="664" t="s">
        <v>545</v>
      </c>
      <c r="C1988" s="71" t="s">
        <v>1441</v>
      </c>
      <c r="D1988" s="71">
        <v>2</v>
      </c>
      <c r="E1988" s="102">
        <v>210000</v>
      </c>
      <c r="F1988" s="102">
        <f t="shared" si="1045"/>
        <v>462000.00000000006</v>
      </c>
      <c r="G1988" s="102">
        <f t="shared" si="1046"/>
        <v>420000</v>
      </c>
      <c r="H1988" s="690" t="s">
        <v>173</v>
      </c>
      <c r="I1988" s="71" t="s">
        <v>2231</v>
      </c>
      <c r="J1988" s="53">
        <f>G1988-T1988</f>
        <v>90000</v>
      </c>
      <c r="K1988" s="63">
        <f t="shared" si="1051"/>
        <v>0.21428571428571425</v>
      </c>
      <c r="L1988" s="871" t="s">
        <v>1782</v>
      </c>
      <c r="M1988" s="468"/>
      <c r="N1988" s="664">
        <f>A1988</f>
        <v>190418</v>
      </c>
      <c r="O1988" s="71" t="s">
        <v>1555</v>
      </c>
      <c r="P1988" s="103" t="str">
        <f t="shared" ref="P1988:Q1992" si="1052">C1988</f>
        <v xml:space="preserve"> OKS340 체인구리스</v>
      </c>
      <c r="Q1988" s="71">
        <f t="shared" si="1052"/>
        <v>2</v>
      </c>
      <c r="R1988" s="102">
        <v>165000</v>
      </c>
      <c r="S1988" s="102">
        <f t="shared" ref="S1988:S1995" si="1053">R1988*Q1988*1.1</f>
        <v>363000.00000000006</v>
      </c>
      <c r="T1988" s="102">
        <f t="shared" ref="T1988:T1995" si="1054">R1988*Q1988</f>
        <v>330000</v>
      </c>
      <c r="U1988" s="71" t="str">
        <f t="shared" si="1050"/>
        <v>X</v>
      </c>
      <c r="V1988" s="71"/>
      <c r="W1988" s="474"/>
      <c r="X1988" s="71"/>
      <c r="Y1988" s="71"/>
    </row>
    <row r="1989" spans="1:25" ht="30" hidden="1" customHeight="1" x14ac:dyDescent="0.25">
      <c r="A1989" s="82">
        <v>190418</v>
      </c>
      <c r="B1989" s="664" t="s">
        <v>545</v>
      </c>
      <c r="C1989" s="71" t="s">
        <v>227</v>
      </c>
      <c r="D1989" s="71">
        <v>10</v>
      </c>
      <c r="E1989" s="102">
        <v>110000</v>
      </c>
      <c r="F1989" s="102">
        <f t="shared" si="1045"/>
        <v>1210000</v>
      </c>
      <c r="G1989" s="102">
        <f t="shared" si="1046"/>
        <v>1100000</v>
      </c>
      <c r="H1989" s="690" t="s">
        <v>173</v>
      </c>
      <c r="I1989" s="71" t="s">
        <v>109</v>
      </c>
      <c r="J1989" s="53">
        <f>(G1989-(VLOOKUP(C1989,Price!B:D,3,FALSE)*D1989))</f>
        <v>271000</v>
      </c>
      <c r="K1989" s="63">
        <f t="shared" si="1051"/>
        <v>0.24636363636363637</v>
      </c>
      <c r="L1989" s="871" t="s">
        <v>1782</v>
      </c>
      <c r="M1989" s="468"/>
      <c r="N1989" s="664">
        <f>A1989</f>
        <v>190418</v>
      </c>
      <c r="O1989" s="71" t="s">
        <v>147</v>
      </c>
      <c r="P1989" s="103" t="str">
        <f t="shared" si="1052"/>
        <v>Blanket(1060*860)</v>
      </c>
      <c r="Q1989" s="71">
        <f t="shared" si="1052"/>
        <v>10</v>
      </c>
      <c r="R1989" s="102">
        <v>82900</v>
      </c>
      <c r="S1989" s="102">
        <f t="shared" si="1053"/>
        <v>911900.00000000012</v>
      </c>
      <c r="T1989" s="102">
        <f t="shared" si="1054"/>
        <v>829000</v>
      </c>
      <c r="U1989" s="71" t="str">
        <f t="shared" si="1050"/>
        <v>O</v>
      </c>
      <c r="V1989" s="71"/>
      <c r="W1989" s="474">
        <f>(G1989-T1989)</f>
        <v>271000</v>
      </c>
      <c r="X1989" s="71"/>
      <c r="Y1989" s="71"/>
    </row>
    <row r="1990" spans="1:25" ht="30" hidden="1" customHeight="1" x14ac:dyDescent="0.25">
      <c r="A1990" s="82">
        <v>190422</v>
      </c>
      <c r="B1990" s="664" t="s">
        <v>575</v>
      </c>
      <c r="C1990" s="71" t="s">
        <v>1849</v>
      </c>
      <c r="D1990" s="71">
        <v>2</v>
      </c>
      <c r="E1990" s="102">
        <v>650000</v>
      </c>
      <c r="F1990" s="102">
        <f t="shared" si="1045"/>
        <v>1430000</v>
      </c>
      <c r="G1990" s="102">
        <f t="shared" si="1046"/>
        <v>1300000</v>
      </c>
      <c r="H1990" s="690" t="s">
        <v>1431</v>
      </c>
      <c r="I1990" s="71" t="s">
        <v>1431</v>
      </c>
      <c r="J1990" s="53">
        <f>G1990-T1990</f>
        <v>429194</v>
      </c>
      <c r="K1990" s="63">
        <f t="shared" si="1051"/>
        <v>0.33014923076923075</v>
      </c>
      <c r="L1990" s="871" t="s">
        <v>1782</v>
      </c>
      <c r="M1990" s="468"/>
      <c r="N1990" s="664">
        <f>A1990</f>
        <v>190422</v>
      </c>
      <c r="O1990" s="71" t="s">
        <v>1431</v>
      </c>
      <c r="P1990" s="103" t="str">
        <f t="shared" si="1052"/>
        <v>냉각 팬 모터</v>
      </c>
      <c r="Q1990" s="71">
        <f t="shared" si="1052"/>
        <v>2</v>
      </c>
      <c r="R1990" s="102">
        <v>435403</v>
      </c>
      <c r="S1990" s="102">
        <f t="shared" si="1053"/>
        <v>957886.60000000009</v>
      </c>
      <c r="T1990" s="102">
        <f t="shared" si="1054"/>
        <v>870806</v>
      </c>
      <c r="U1990" s="71" t="str">
        <f t="shared" si="1050"/>
        <v>X</v>
      </c>
      <c r="V1990" s="71"/>
      <c r="W1990" s="474"/>
      <c r="X1990" s="71"/>
      <c r="Y1990" s="71"/>
    </row>
    <row r="1991" spans="1:25" ht="30" hidden="1" customHeight="1" x14ac:dyDescent="0.25">
      <c r="A1991" s="82">
        <v>190422</v>
      </c>
      <c r="B1991" s="664" t="s">
        <v>763</v>
      </c>
      <c r="C1991" s="71" t="s">
        <v>1752</v>
      </c>
      <c r="D1991" s="71">
        <v>2</v>
      </c>
      <c r="E1991" s="102">
        <v>497000</v>
      </c>
      <c r="F1991" s="102">
        <f t="shared" si="1045"/>
        <v>1093400</v>
      </c>
      <c r="G1991" s="102">
        <f t="shared" si="1046"/>
        <v>994000</v>
      </c>
      <c r="H1991" s="690" t="s">
        <v>1431</v>
      </c>
      <c r="I1991" s="71" t="s">
        <v>1431</v>
      </c>
      <c r="J1991" s="53">
        <f>G1991-T1991</f>
        <v>194000</v>
      </c>
      <c r="K1991" s="63">
        <f t="shared" si="1051"/>
        <v>0.19517102615694165</v>
      </c>
      <c r="L1991" s="871" t="s">
        <v>1782</v>
      </c>
      <c r="M1991" s="468"/>
      <c r="N1991" s="664">
        <f>A1991</f>
        <v>190422</v>
      </c>
      <c r="O1991" s="71" t="s">
        <v>150</v>
      </c>
      <c r="P1991" s="103" t="str">
        <f t="shared" si="1052"/>
        <v>잉크 키 모터</v>
      </c>
      <c r="Q1991" s="71">
        <f t="shared" si="1052"/>
        <v>2</v>
      </c>
      <c r="R1991" s="102">
        <v>400000</v>
      </c>
      <c r="S1991" s="102">
        <f t="shared" si="1053"/>
        <v>880000.00000000012</v>
      </c>
      <c r="T1991" s="102">
        <f t="shared" si="1054"/>
        <v>800000</v>
      </c>
      <c r="U1991" s="71" t="str">
        <f t="shared" si="1050"/>
        <v>X</v>
      </c>
      <c r="V1991" s="71"/>
      <c r="W1991" s="474"/>
      <c r="X1991" s="71"/>
      <c r="Y1991" s="71"/>
    </row>
    <row r="1992" spans="1:25" ht="30" hidden="1" customHeight="1" x14ac:dyDescent="0.25">
      <c r="A1992" s="82">
        <v>190422</v>
      </c>
      <c r="B1992" s="664" t="s">
        <v>445</v>
      </c>
      <c r="C1992" s="71" t="s">
        <v>1148</v>
      </c>
      <c r="D1992" s="71">
        <v>8</v>
      </c>
      <c r="E1992" s="102">
        <v>250000</v>
      </c>
      <c r="F1992" s="102">
        <f t="shared" si="1045"/>
        <v>2200000</v>
      </c>
      <c r="G1992" s="102">
        <f t="shared" si="1046"/>
        <v>2000000</v>
      </c>
      <c r="H1992" s="690" t="s">
        <v>1431</v>
      </c>
      <c r="I1992" s="71" t="s">
        <v>1431</v>
      </c>
      <c r="J1992" s="53">
        <f>G1992-T1992</f>
        <v>800000</v>
      </c>
      <c r="K1992" s="63">
        <f t="shared" si="1051"/>
        <v>0.4</v>
      </c>
      <c r="L1992" s="871" t="s">
        <v>1782</v>
      </c>
      <c r="M1992" s="468"/>
      <c r="N1992" s="664">
        <f>A1992</f>
        <v>190422</v>
      </c>
      <c r="O1992" s="71" t="s">
        <v>1431</v>
      </c>
      <c r="P1992" s="103" t="str">
        <f t="shared" si="1052"/>
        <v>브레이크 라이닝</v>
      </c>
      <c r="Q1992" s="71">
        <f t="shared" si="1052"/>
        <v>8</v>
      </c>
      <c r="R1992" s="102">
        <v>150000</v>
      </c>
      <c r="S1992" s="102">
        <f t="shared" si="1053"/>
        <v>1320000</v>
      </c>
      <c r="T1992" s="102">
        <f t="shared" si="1054"/>
        <v>1200000</v>
      </c>
      <c r="U1992" s="71" t="str">
        <f t="shared" si="1050"/>
        <v>X</v>
      </c>
      <c r="V1992" s="71"/>
      <c r="W1992" s="474"/>
      <c r="X1992" s="71"/>
      <c r="Y1992" s="71"/>
    </row>
    <row r="1993" spans="1:25" ht="30" hidden="1" customHeight="1" x14ac:dyDescent="0.25">
      <c r="A1993" s="82">
        <v>190422</v>
      </c>
      <c r="B1993" s="664" t="s">
        <v>446</v>
      </c>
      <c r="C1993" s="71" t="s">
        <v>1144</v>
      </c>
      <c r="D1993" s="71">
        <v>8</v>
      </c>
      <c r="E1993" s="102">
        <v>110000</v>
      </c>
      <c r="F1993" s="102">
        <f t="shared" ref="F1993:F1999" si="1055">(E1993*D1993)*1.1</f>
        <v>968000.00000000012</v>
      </c>
      <c r="G1993" s="102">
        <f t="shared" ref="G1993:G1999" si="1056">(E1993*D1993)</f>
        <v>880000</v>
      </c>
      <c r="H1993" s="690" t="s">
        <v>173</v>
      </c>
      <c r="I1993" s="71" t="s">
        <v>2231</v>
      </c>
      <c r="J1993" s="53">
        <f>G1993-T1993</f>
        <v>152000</v>
      </c>
      <c r="K1993" s="63">
        <f t="shared" ref="K1993:K1999" si="1057">(J1993/(F1993/11*10))</f>
        <v>0.1727272727272727</v>
      </c>
      <c r="L1993" s="871" t="s">
        <v>1782</v>
      </c>
      <c r="M1993" s="468"/>
      <c r="N1993" s="664">
        <f t="shared" ref="N1993:N1999" si="1058">A1993</f>
        <v>190422</v>
      </c>
      <c r="O1993" s="71" t="s">
        <v>150</v>
      </c>
      <c r="P1993" s="103" t="str">
        <f t="shared" ref="P1993:Q1998" si="1059">C1993</f>
        <v>실리콘 에멀전</v>
      </c>
      <c r="Q1993" s="71">
        <f t="shared" si="1059"/>
        <v>8</v>
      </c>
      <c r="R1993" s="102">
        <v>91000</v>
      </c>
      <c r="S1993" s="102">
        <f t="shared" si="1053"/>
        <v>800800.00000000012</v>
      </c>
      <c r="T1993" s="102">
        <f t="shared" si="1054"/>
        <v>728000</v>
      </c>
      <c r="U1993" s="71" t="str">
        <f t="shared" si="1050"/>
        <v>O</v>
      </c>
      <c r="V1993" s="71"/>
      <c r="W1993" s="474">
        <f>(G1993-T1993)</f>
        <v>152000</v>
      </c>
      <c r="X1993" s="71"/>
      <c r="Y1993" s="71"/>
    </row>
    <row r="1994" spans="1:25" ht="30" hidden="1" customHeight="1" x14ac:dyDescent="0.25">
      <c r="A1994" s="82">
        <v>190423</v>
      </c>
      <c r="B1994" s="664" t="s">
        <v>640</v>
      </c>
      <c r="C1994" s="71" t="s">
        <v>1144</v>
      </c>
      <c r="D1994" s="71">
        <v>5</v>
      </c>
      <c r="E1994" s="102">
        <v>110000</v>
      </c>
      <c r="F1994" s="102">
        <f t="shared" si="1055"/>
        <v>605000</v>
      </c>
      <c r="G1994" s="102">
        <f t="shared" si="1056"/>
        <v>550000</v>
      </c>
      <c r="H1994" s="690" t="s">
        <v>173</v>
      </c>
      <c r="I1994" s="71" t="s">
        <v>2231</v>
      </c>
      <c r="J1994" s="53">
        <f>G1994-T1994</f>
        <v>95000</v>
      </c>
      <c r="K1994" s="63">
        <f t="shared" si="1057"/>
        <v>0.17272727272727273</v>
      </c>
      <c r="L1994" s="871" t="s">
        <v>1782</v>
      </c>
      <c r="M1994" s="468"/>
      <c r="N1994" s="664">
        <f t="shared" si="1058"/>
        <v>190423</v>
      </c>
      <c r="O1994" s="71" t="s">
        <v>150</v>
      </c>
      <c r="P1994" s="103" t="str">
        <f t="shared" si="1059"/>
        <v>실리콘 에멀전</v>
      </c>
      <c r="Q1994" s="71">
        <f t="shared" si="1059"/>
        <v>5</v>
      </c>
      <c r="R1994" s="102">
        <v>91000</v>
      </c>
      <c r="S1994" s="102">
        <f t="shared" si="1053"/>
        <v>500500.00000000006</v>
      </c>
      <c r="T1994" s="102">
        <f t="shared" si="1054"/>
        <v>455000</v>
      </c>
      <c r="U1994" s="71" t="str">
        <f t="shared" si="1050"/>
        <v>X</v>
      </c>
      <c r="V1994" s="71"/>
      <c r="W1994" s="474"/>
      <c r="X1994" s="71"/>
      <c r="Y1994" s="71"/>
    </row>
    <row r="1995" spans="1:25" ht="30" hidden="1" customHeight="1" x14ac:dyDescent="0.25">
      <c r="A1995" s="82">
        <v>190423</v>
      </c>
      <c r="B1995" s="664" t="s">
        <v>545</v>
      </c>
      <c r="C1995" s="71" t="s">
        <v>952</v>
      </c>
      <c r="D1995" s="71">
        <v>1</v>
      </c>
      <c r="E1995" s="102">
        <v>630000</v>
      </c>
      <c r="F1995" s="102">
        <f>(E1995*D1995)*1.1</f>
        <v>693000</v>
      </c>
      <c r="G1995" s="102">
        <f>(E1995*D1995)</f>
        <v>630000</v>
      </c>
      <c r="H1995" s="690" t="s">
        <v>173</v>
      </c>
      <c r="I1995" s="71" t="s">
        <v>108</v>
      </c>
      <c r="J1995" s="53">
        <f>(G1995-(VLOOKUP(C1995,Price!B:D,3,FALSE)*D1995))</f>
        <v>180000</v>
      </c>
      <c r="K1995" s="63">
        <f>(J1995/(F1995/11*10))</f>
        <v>0.2857142857142857</v>
      </c>
      <c r="L1995" s="871" t="s">
        <v>1782</v>
      </c>
      <c r="M1995" s="468"/>
      <c r="N1995" s="664">
        <f>A1995</f>
        <v>190423</v>
      </c>
      <c r="O1995" s="71" t="s">
        <v>599</v>
      </c>
      <c r="P1995" s="103" t="str">
        <f>C1995</f>
        <v>점보롤 세정포</v>
      </c>
      <c r="Q1995" s="71">
        <f>D1995</f>
        <v>1</v>
      </c>
      <c r="R1995" s="102">
        <v>440000</v>
      </c>
      <c r="S1995" s="102">
        <f t="shared" si="1053"/>
        <v>484000.00000000006</v>
      </c>
      <c r="T1995" s="102">
        <f t="shared" si="1054"/>
        <v>440000</v>
      </c>
      <c r="U1995" s="71" t="str">
        <f t="shared" si="1050"/>
        <v>X</v>
      </c>
      <c r="V1995" s="71" t="s">
        <v>1228</v>
      </c>
      <c r="W1995" s="474">
        <f t="shared" ref="W1995:W2001" si="1060">(G1995-T1995)</f>
        <v>190000</v>
      </c>
      <c r="X1995" s="71"/>
      <c r="Y1995" s="71"/>
    </row>
    <row r="1996" spans="1:25" s="209" customFormat="1" ht="30" hidden="1" customHeight="1" x14ac:dyDescent="0.25">
      <c r="A1996" s="82">
        <v>190424</v>
      </c>
      <c r="B1996" s="664" t="s">
        <v>445</v>
      </c>
      <c r="C1996" s="71" t="s">
        <v>277</v>
      </c>
      <c r="D1996" s="71">
        <v>5</v>
      </c>
      <c r="E1996" s="102">
        <v>172000</v>
      </c>
      <c r="F1996" s="102">
        <f t="shared" si="1055"/>
        <v>946000.00000000012</v>
      </c>
      <c r="G1996" s="102">
        <f t="shared" si="1056"/>
        <v>860000</v>
      </c>
      <c r="H1996" s="690" t="s">
        <v>173</v>
      </c>
      <c r="I1996" s="71" t="s">
        <v>108</v>
      </c>
      <c r="J1996" s="53">
        <f>(G1996-(VLOOKUP(C1996,Price!B:D,3,FALSE)*D1996))</f>
        <v>285000</v>
      </c>
      <c r="K1996" s="63">
        <f t="shared" si="1057"/>
        <v>0.33139534883720928</v>
      </c>
      <c r="L1996" s="871" t="s">
        <v>1782</v>
      </c>
      <c r="M1996" s="468"/>
      <c r="N1996" s="664">
        <f t="shared" si="1058"/>
        <v>190424</v>
      </c>
      <c r="O1996" s="71" t="s">
        <v>150</v>
      </c>
      <c r="P1996" s="103" t="str">
        <f t="shared" si="1059"/>
        <v>윤전용 세척제(Web 504)</v>
      </c>
      <c r="Q1996" s="71">
        <f t="shared" si="1059"/>
        <v>5</v>
      </c>
      <c r="R1996" s="102">
        <v>115000</v>
      </c>
      <c r="S1996" s="102">
        <f>(R1996*D1996)*1.1</f>
        <v>632500</v>
      </c>
      <c r="T1996" s="102">
        <f>(R1996*Q1996)</f>
        <v>575000</v>
      </c>
      <c r="U1996" s="71" t="str">
        <f t="shared" si="1050"/>
        <v>O</v>
      </c>
      <c r="V1996" s="71"/>
      <c r="W1996" s="474">
        <f t="shared" si="1060"/>
        <v>285000</v>
      </c>
      <c r="X1996" s="71"/>
      <c r="Y1996" s="71"/>
    </row>
    <row r="1997" spans="1:25" s="209" customFormat="1" ht="30" hidden="1" customHeight="1" x14ac:dyDescent="0.2">
      <c r="A1997" s="82">
        <v>190424</v>
      </c>
      <c r="B1997" s="664" t="s">
        <v>445</v>
      </c>
      <c r="C1997" s="71" t="s">
        <v>107</v>
      </c>
      <c r="D1997" s="71">
        <v>10</v>
      </c>
      <c r="E1997" s="102">
        <v>108000</v>
      </c>
      <c r="F1997" s="163">
        <f t="shared" si="1055"/>
        <v>1188000</v>
      </c>
      <c r="G1997" s="163">
        <f t="shared" si="1056"/>
        <v>1080000</v>
      </c>
      <c r="H1997" s="165" t="s">
        <v>172</v>
      </c>
      <c r="I1997" s="71" t="s">
        <v>109</v>
      </c>
      <c r="J1997" s="53">
        <f>(G1997-(VLOOKUP(C1997,Price!B:D,3,FALSE)*D1997))</f>
        <v>275000</v>
      </c>
      <c r="K1997" s="63">
        <f t="shared" si="1057"/>
        <v>0.25462962962962965</v>
      </c>
      <c r="L1997" s="871" t="s">
        <v>1782</v>
      </c>
      <c r="M1997" s="468"/>
      <c r="N1997" s="664">
        <f t="shared" si="1058"/>
        <v>190424</v>
      </c>
      <c r="O1997" s="71" t="s">
        <v>147</v>
      </c>
      <c r="P1997" s="103" t="str">
        <f t="shared" si="1059"/>
        <v>Blanket(1050*840)</v>
      </c>
      <c r="Q1997" s="71">
        <f t="shared" si="1059"/>
        <v>10</v>
      </c>
      <c r="R1997" s="102">
        <v>80500</v>
      </c>
      <c r="S1997" s="102">
        <f>(R1997*D1997)*1.1</f>
        <v>885500.00000000012</v>
      </c>
      <c r="T1997" s="102">
        <f>(R1997*Q1997)</f>
        <v>805000</v>
      </c>
      <c r="U1997" s="71" t="str">
        <f t="shared" si="1050"/>
        <v>O</v>
      </c>
      <c r="V1997" s="71"/>
      <c r="W1997" s="474">
        <f t="shared" si="1060"/>
        <v>275000</v>
      </c>
      <c r="X1997" s="71"/>
      <c r="Y1997" s="71"/>
    </row>
    <row r="1998" spans="1:25" ht="30" hidden="1" customHeight="1" x14ac:dyDescent="0.25">
      <c r="A1998" s="82">
        <v>190424</v>
      </c>
      <c r="B1998" s="664" t="s">
        <v>1286</v>
      </c>
      <c r="C1998" s="760" t="s">
        <v>218</v>
      </c>
      <c r="D1998" s="71">
        <v>6</v>
      </c>
      <c r="E1998" s="102">
        <v>192500</v>
      </c>
      <c r="F1998" s="102">
        <f t="shared" si="1055"/>
        <v>1270500</v>
      </c>
      <c r="G1998" s="102">
        <f t="shared" si="1056"/>
        <v>1155000</v>
      </c>
      <c r="H1998" s="690" t="s">
        <v>173</v>
      </c>
      <c r="I1998" s="71" t="s">
        <v>120</v>
      </c>
      <c r="J1998" s="53">
        <f>(G1998-(VLOOKUP(C1998,Price!B:D,3,FALSE)*D1998))</f>
        <v>480000</v>
      </c>
      <c r="K1998" s="63">
        <f t="shared" si="1057"/>
        <v>0.41558441558441561</v>
      </c>
      <c r="L1998" s="871" t="s">
        <v>1782</v>
      </c>
      <c r="M1998" s="468"/>
      <c r="N1998" s="664">
        <f t="shared" si="1058"/>
        <v>190424</v>
      </c>
      <c r="O1998" s="71" t="s">
        <v>150</v>
      </c>
      <c r="P1998" s="103" t="str">
        <f t="shared" si="1059"/>
        <v>Fount Web 551AF</v>
      </c>
      <c r="Q1998" s="71">
        <f t="shared" si="1059"/>
        <v>6</v>
      </c>
      <c r="R1998" s="102">
        <v>112500</v>
      </c>
      <c r="S1998" s="102">
        <f>R1998*Q1998*1.1</f>
        <v>742500.00000000012</v>
      </c>
      <c r="T1998" s="102">
        <f>R1998*Q1998</f>
        <v>675000</v>
      </c>
      <c r="U1998" s="71" t="str">
        <f t="shared" si="1050"/>
        <v>O</v>
      </c>
      <c r="V1998" s="71"/>
      <c r="W1998" s="474">
        <f t="shared" si="1060"/>
        <v>480000</v>
      </c>
      <c r="X1998" s="71"/>
      <c r="Y1998" s="71"/>
    </row>
    <row r="1999" spans="1:25" s="209" customFormat="1" ht="30" hidden="1" customHeight="1" x14ac:dyDescent="0.2">
      <c r="A1999" s="82">
        <v>190424</v>
      </c>
      <c r="B1999" s="664" t="s">
        <v>1286</v>
      </c>
      <c r="C1999" s="71" t="s">
        <v>231</v>
      </c>
      <c r="D1999" s="71">
        <v>10</v>
      </c>
      <c r="E1999" s="102">
        <v>120000</v>
      </c>
      <c r="F1999" s="163">
        <f t="shared" si="1055"/>
        <v>1320000</v>
      </c>
      <c r="G1999" s="102">
        <f t="shared" si="1056"/>
        <v>1200000</v>
      </c>
      <c r="H1999" s="165" t="s">
        <v>172</v>
      </c>
      <c r="I1999" s="71" t="s">
        <v>109</v>
      </c>
      <c r="J1999" s="53">
        <f>(G1999-(VLOOKUP(C1999,Price!B:D,3,FALSE)*D1999))</f>
        <v>80000</v>
      </c>
      <c r="K1999" s="63">
        <f t="shared" si="1057"/>
        <v>6.6666666666666666E-2</v>
      </c>
      <c r="L1999" s="871" t="s">
        <v>1782</v>
      </c>
      <c r="M1999" s="468"/>
      <c r="N1999" s="664">
        <f t="shared" si="1058"/>
        <v>190424</v>
      </c>
      <c r="O1999" s="71" t="s">
        <v>151</v>
      </c>
      <c r="P1999" s="103" t="str">
        <f>(C1999)</f>
        <v>Blanket(990*725)</v>
      </c>
      <c r="Q1999" s="71">
        <f>D1999</f>
        <v>10</v>
      </c>
      <c r="R1999" s="102">
        <v>112000</v>
      </c>
      <c r="S1999" s="102">
        <f>(R1999*D1999)*1.1</f>
        <v>1232000</v>
      </c>
      <c r="T1999" s="102">
        <f>(R1999*Q1999)</f>
        <v>1120000</v>
      </c>
      <c r="U1999" s="71" t="str">
        <f t="shared" si="1050"/>
        <v>O</v>
      </c>
      <c r="V1999" s="71"/>
      <c r="W1999" s="474">
        <f t="shared" si="1060"/>
        <v>80000</v>
      </c>
      <c r="X1999" s="71"/>
      <c r="Y1999" s="71"/>
    </row>
    <row r="2000" spans="1:25" ht="30" hidden="1" customHeight="1" x14ac:dyDescent="0.25">
      <c r="A2000" s="82">
        <v>190424</v>
      </c>
      <c r="B2000" s="664" t="s">
        <v>983</v>
      </c>
      <c r="C2000" s="71" t="s">
        <v>1009</v>
      </c>
      <c r="D2000" s="71">
        <v>520</v>
      </c>
      <c r="E2000" s="102">
        <v>3900</v>
      </c>
      <c r="F2000" s="102">
        <f>(E2000*D2000)*1.1</f>
        <v>2230800</v>
      </c>
      <c r="G2000" s="102">
        <f>(E2000*D2000)</f>
        <v>2028000</v>
      </c>
      <c r="H2000" s="690" t="s">
        <v>173</v>
      </c>
      <c r="I2000" s="71" t="s">
        <v>2230</v>
      </c>
      <c r="J2000" s="53">
        <f t="shared" ref="J2000:J2009" si="1061">G2000-T2000</f>
        <v>312000</v>
      </c>
      <c r="K2000" s="63">
        <f>(J2000/(F2000/11*10))</f>
        <v>0.15384615384615385</v>
      </c>
      <c r="L2000" s="871" t="s">
        <v>1782</v>
      </c>
      <c r="M2000" s="468"/>
      <c r="N2000" s="664">
        <f t="shared" ref="N2000:N2008" si="1062">A2000</f>
        <v>190424</v>
      </c>
      <c r="O2000" s="71" t="s">
        <v>147</v>
      </c>
      <c r="P2000" s="103" t="str">
        <f>C2000</f>
        <v>CTP판(1030*790mm)</v>
      </c>
      <c r="Q2000" s="71">
        <f t="shared" ref="Q2000:Q2036" si="1063">D2000</f>
        <v>520</v>
      </c>
      <c r="R2000" s="102">
        <v>3300</v>
      </c>
      <c r="S2000" s="102">
        <f>R2000*Q2000*1.1</f>
        <v>1887600.0000000002</v>
      </c>
      <c r="T2000" s="102">
        <f>R2000*Q2000</f>
        <v>1716000</v>
      </c>
      <c r="U2000" s="71" t="str">
        <f t="shared" si="1050"/>
        <v>O</v>
      </c>
      <c r="V2000" s="71"/>
      <c r="W2000" s="474">
        <f t="shared" si="1060"/>
        <v>312000</v>
      </c>
      <c r="X2000" s="71"/>
      <c r="Y2000" s="71"/>
    </row>
    <row r="2001" spans="1:25" ht="30" hidden="1" customHeight="1" x14ac:dyDescent="0.25">
      <c r="A2001" s="82">
        <v>190424</v>
      </c>
      <c r="B2001" s="664" t="s">
        <v>983</v>
      </c>
      <c r="C2001" s="71" t="s">
        <v>984</v>
      </c>
      <c r="D2001" s="71">
        <v>6</v>
      </c>
      <c r="E2001" s="102">
        <v>45000</v>
      </c>
      <c r="F2001" s="102">
        <f>(E2001*D2001)*1.1</f>
        <v>297000</v>
      </c>
      <c r="G2001" s="102">
        <f>(E2001*D2001)</f>
        <v>270000</v>
      </c>
      <c r="H2001" s="690" t="s">
        <v>173</v>
      </c>
      <c r="I2001" s="71" t="s">
        <v>2230</v>
      </c>
      <c r="J2001" s="53">
        <f t="shared" si="1061"/>
        <v>60000</v>
      </c>
      <c r="K2001" s="63">
        <f>(J2001/(F2001/11*10))</f>
        <v>0.22222222222222221</v>
      </c>
      <c r="L2001" s="871" t="s">
        <v>1782</v>
      </c>
      <c r="M2001" s="468"/>
      <c r="N2001" s="664">
        <f t="shared" si="1062"/>
        <v>190424</v>
      </c>
      <c r="O2001" s="71" t="s">
        <v>147</v>
      </c>
      <c r="P2001" s="103" t="str">
        <f>C2001</f>
        <v>CTP 현상액</v>
      </c>
      <c r="Q2001" s="71">
        <f t="shared" si="1063"/>
        <v>6</v>
      </c>
      <c r="R2001" s="102">
        <v>35000</v>
      </c>
      <c r="S2001" s="102">
        <f>R2001*Q2001*1.1</f>
        <v>231000.00000000003</v>
      </c>
      <c r="T2001" s="102">
        <f>R2001*Q2001</f>
        <v>210000</v>
      </c>
      <c r="U2001" s="71" t="str">
        <f t="shared" si="1050"/>
        <v>O</v>
      </c>
      <c r="V2001" s="71"/>
      <c r="W2001" s="474">
        <f t="shared" si="1060"/>
        <v>60000</v>
      </c>
      <c r="X2001" s="71"/>
      <c r="Y2001" s="71"/>
    </row>
    <row r="2002" spans="1:25" ht="30" hidden="1" customHeight="1" x14ac:dyDescent="0.25">
      <c r="A2002" s="82">
        <v>190424</v>
      </c>
      <c r="B2002" s="664" t="s">
        <v>1051</v>
      </c>
      <c r="C2002" s="71" t="s">
        <v>1294</v>
      </c>
      <c r="D2002" s="71">
        <v>5900</v>
      </c>
      <c r="E2002" s="102">
        <v>5910</v>
      </c>
      <c r="F2002" s="102">
        <f>(E2002*D2002)*1.1</f>
        <v>38355900</v>
      </c>
      <c r="G2002" s="102">
        <f>(E2002*D2002)</f>
        <v>34869000</v>
      </c>
      <c r="H2002" s="690" t="s">
        <v>142</v>
      </c>
      <c r="I2002" s="71" t="s">
        <v>2273</v>
      </c>
      <c r="J2002" s="53">
        <f t="shared" si="1061"/>
        <v>11269000</v>
      </c>
      <c r="K2002" s="63">
        <f t="shared" ref="K2002:K2027" si="1064">(J2002/(F2002/11*10))</f>
        <v>0.32318104906937395</v>
      </c>
      <c r="L2002" s="871" t="s">
        <v>1782</v>
      </c>
      <c r="M2002" s="468"/>
      <c r="N2002" s="664">
        <f t="shared" si="1062"/>
        <v>190424</v>
      </c>
      <c r="O2002" s="71" t="s">
        <v>145</v>
      </c>
      <c r="P2002" s="103" t="str">
        <f>(C2002)</f>
        <v>ENGAGE 1030*790</v>
      </c>
      <c r="Q2002" s="71">
        <f t="shared" si="1063"/>
        <v>5900</v>
      </c>
      <c r="R2002" s="102">
        <v>4000</v>
      </c>
      <c r="S2002" s="102">
        <f>(R2002*D2002)*1.1</f>
        <v>25960000.000000004</v>
      </c>
      <c r="T2002" s="102">
        <f>(R2002*Q2002)</f>
        <v>23600000</v>
      </c>
      <c r="U2002" s="71" t="str">
        <f t="shared" si="1050"/>
        <v>X</v>
      </c>
      <c r="V2002" s="71"/>
      <c r="W2002" s="474"/>
      <c r="X2002" s="71"/>
      <c r="Y2002" s="71"/>
    </row>
    <row r="2003" spans="1:25" ht="30" hidden="1" customHeight="1" x14ac:dyDescent="0.25">
      <c r="A2003" s="82">
        <v>190424</v>
      </c>
      <c r="B2003" s="664" t="s">
        <v>1051</v>
      </c>
      <c r="C2003" s="71" t="s">
        <v>1384</v>
      </c>
      <c r="D2003" s="71">
        <v>3600</v>
      </c>
      <c r="E2003" s="102">
        <v>3720</v>
      </c>
      <c r="F2003" s="102">
        <f t="shared" ref="F2003:F2026" si="1065">(E2003*D2003)*1.1</f>
        <v>14731200.000000002</v>
      </c>
      <c r="G2003" s="102">
        <f t="shared" ref="G2003:G2026" si="1066">(E2003*D2003)</f>
        <v>13392000</v>
      </c>
      <c r="H2003" s="690" t="s">
        <v>142</v>
      </c>
      <c r="I2003" s="71" t="s">
        <v>2273</v>
      </c>
      <c r="J2003" s="53">
        <f t="shared" si="1061"/>
        <v>4320000</v>
      </c>
      <c r="K2003" s="63">
        <f t="shared" si="1064"/>
        <v>0.32258064516129026</v>
      </c>
      <c r="L2003" s="871" t="s">
        <v>1782</v>
      </c>
      <c r="M2003" s="468"/>
      <c r="N2003" s="664">
        <f t="shared" si="1062"/>
        <v>190424</v>
      </c>
      <c r="O2003" s="71" t="s">
        <v>145</v>
      </c>
      <c r="P2003" s="103" t="str">
        <f>C2003</f>
        <v>ENGAGE 900X571 - 27RO</v>
      </c>
      <c r="Q2003" s="71">
        <f t="shared" si="1063"/>
        <v>3600</v>
      </c>
      <c r="R2003" s="102">
        <v>2520</v>
      </c>
      <c r="S2003" s="102">
        <f>R2003*Q2003*1.1</f>
        <v>9979200</v>
      </c>
      <c r="T2003" s="102">
        <f>R2003*Q2003</f>
        <v>9072000</v>
      </c>
      <c r="U2003" s="71" t="str">
        <f t="shared" si="1050"/>
        <v>O</v>
      </c>
      <c r="V2003" s="71"/>
      <c r="W2003" s="474">
        <f t="shared" ref="W2003:W2027" si="1067">(G2003-T2003)</f>
        <v>4320000</v>
      </c>
      <c r="X2003" s="71"/>
      <c r="Y2003" s="71"/>
    </row>
    <row r="2004" spans="1:25" ht="30" hidden="1" customHeight="1" x14ac:dyDescent="0.25">
      <c r="A2004" s="82">
        <v>190424</v>
      </c>
      <c r="B2004" s="664" t="s">
        <v>1051</v>
      </c>
      <c r="C2004" s="71" t="s">
        <v>951</v>
      </c>
      <c r="D2004" s="71">
        <v>1400</v>
      </c>
      <c r="E2004" s="102">
        <v>3540</v>
      </c>
      <c r="F2004" s="102">
        <f t="shared" si="1065"/>
        <v>5451600</v>
      </c>
      <c r="G2004" s="102">
        <f t="shared" si="1066"/>
        <v>4956000</v>
      </c>
      <c r="H2004" s="690" t="s">
        <v>142</v>
      </c>
      <c r="I2004" s="71" t="s">
        <v>2273</v>
      </c>
      <c r="J2004" s="53">
        <f t="shared" si="1061"/>
        <v>1610000</v>
      </c>
      <c r="K2004" s="63">
        <f t="shared" si="1064"/>
        <v>0.3248587570621469</v>
      </c>
      <c r="L2004" s="871" t="s">
        <v>1782</v>
      </c>
      <c r="M2004" s="468"/>
      <c r="N2004" s="664">
        <f t="shared" si="1062"/>
        <v>190424</v>
      </c>
      <c r="O2004" s="71" t="s">
        <v>145</v>
      </c>
      <c r="P2004" s="103" t="str">
        <f>(C2004)</f>
        <v>ENGAGE 30WEB(883*552)</v>
      </c>
      <c r="Q2004" s="71">
        <f t="shared" si="1063"/>
        <v>1400</v>
      </c>
      <c r="R2004" s="102">
        <v>2390</v>
      </c>
      <c r="S2004" s="102">
        <f>(R2004*D2004)*1.1</f>
        <v>3680600.0000000005</v>
      </c>
      <c r="T2004" s="102">
        <f>(R2004*Q2004)</f>
        <v>3346000</v>
      </c>
      <c r="U2004" s="71" t="str">
        <f t="shared" si="1050"/>
        <v>O</v>
      </c>
      <c r="V2004" s="71"/>
      <c r="W2004" s="474">
        <f t="shared" si="1067"/>
        <v>1610000</v>
      </c>
      <c r="X2004" s="71"/>
      <c r="Y2004" s="71"/>
    </row>
    <row r="2005" spans="1:25" ht="30" hidden="1" customHeight="1" x14ac:dyDescent="0.25">
      <c r="A2005" s="82">
        <v>190424</v>
      </c>
      <c r="B2005" s="664" t="s">
        <v>1051</v>
      </c>
      <c r="C2005" s="71" t="s">
        <v>1383</v>
      </c>
      <c r="D2005" s="71">
        <v>1900</v>
      </c>
      <c r="E2005" s="102">
        <v>6200</v>
      </c>
      <c r="F2005" s="102">
        <f t="shared" si="1065"/>
        <v>12958000.000000002</v>
      </c>
      <c r="G2005" s="102">
        <f t="shared" si="1066"/>
        <v>11780000</v>
      </c>
      <c r="H2005" s="690" t="s">
        <v>142</v>
      </c>
      <c r="I2005" s="71" t="s">
        <v>2273</v>
      </c>
      <c r="J2005" s="53">
        <f t="shared" si="1061"/>
        <v>3781000</v>
      </c>
      <c r="K2005" s="63">
        <f t="shared" si="1064"/>
        <v>0.32096774193548383</v>
      </c>
      <c r="L2005" s="871" t="s">
        <v>1782</v>
      </c>
      <c r="M2005" s="468"/>
      <c r="N2005" s="664">
        <f t="shared" si="1062"/>
        <v>190424</v>
      </c>
      <c r="O2005" s="71" t="s">
        <v>145</v>
      </c>
      <c r="P2005" s="103" t="str">
        <f>C2005</f>
        <v>ENGAGE 1055*811</v>
      </c>
      <c r="Q2005" s="71">
        <f t="shared" si="1063"/>
        <v>1900</v>
      </c>
      <c r="R2005" s="102">
        <v>4210</v>
      </c>
      <c r="S2005" s="102">
        <f>R2005*Q2005*1.1</f>
        <v>8798900</v>
      </c>
      <c r="T2005" s="102">
        <f>R2005*Q2005</f>
        <v>7999000</v>
      </c>
      <c r="U2005" s="71"/>
      <c r="V2005" s="71"/>
      <c r="W2005" s="474">
        <f t="shared" si="1067"/>
        <v>3781000</v>
      </c>
      <c r="X2005" s="71"/>
      <c r="Y2005" s="71"/>
    </row>
    <row r="2006" spans="1:25" ht="30" hidden="1" customHeight="1" x14ac:dyDescent="0.25">
      <c r="A2006" s="82">
        <v>190424</v>
      </c>
      <c r="B2006" s="664" t="s">
        <v>1051</v>
      </c>
      <c r="C2006" s="71" t="s">
        <v>1650</v>
      </c>
      <c r="D2006" s="71">
        <v>400</v>
      </c>
      <c r="E2006" s="102">
        <v>4440</v>
      </c>
      <c r="F2006" s="102">
        <f t="shared" si="1065"/>
        <v>1953600.0000000002</v>
      </c>
      <c r="G2006" s="102">
        <f t="shared" si="1066"/>
        <v>1776000</v>
      </c>
      <c r="H2006" s="690" t="s">
        <v>142</v>
      </c>
      <c r="I2006" s="71" t="s">
        <v>2273</v>
      </c>
      <c r="J2006" s="53">
        <f t="shared" si="1061"/>
        <v>576000</v>
      </c>
      <c r="K2006" s="63">
        <f t="shared" si="1064"/>
        <v>0.32432432432432429</v>
      </c>
      <c r="L2006" s="871" t="s">
        <v>1782</v>
      </c>
      <c r="M2006" s="468"/>
      <c r="N2006" s="664">
        <f t="shared" si="1062"/>
        <v>190424</v>
      </c>
      <c r="O2006" s="71" t="s">
        <v>145</v>
      </c>
      <c r="P2006" s="103" t="s">
        <v>1385</v>
      </c>
      <c r="Q2006" s="71">
        <f t="shared" si="1063"/>
        <v>400</v>
      </c>
      <c r="R2006" s="102">
        <v>3000</v>
      </c>
      <c r="S2006" s="102">
        <f>R2006*Q2006*1.1</f>
        <v>1320000</v>
      </c>
      <c r="T2006" s="102">
        <f>R2006*Q2006</f>
        <v>1200000</v>
      </c>
      <c r="U2006" s="71" t="str">
        <f t="shared" ref="U2006:U2030" si="1068">IF(J2006=W2006,"O", "X")</f>
        <v>O</v>
      </c>
      <c r="V2006" s="71"/>
      <c r="W2006" s="474">
        <f t="shared" si="1067"/>
        <v>576000</v>
      </c>
      <c r="X2006" s="71"/>
      <c r="Y2006" s="71"/>
    </row>
    <row r="2007" spans="1:25" ht="30" hidden="1" customHeight="1" x14ac:dyDescent="0.25">
      <c r="A2007" s="82">
        <v>190424</v>
      </c>
      <c r="B2007" s="664" t="s">
        <v>1051</v>
      </c>
      <c r="C2007" s="67" t="s">
        <v>1386</v>
      </c>
      <c r="D2007" s="71">
        <v>35</v>
      </c>
      <c r="E2007" s="102">
        <v>54500</v>
      </c>
      <c r="F2007" s="102">
        <f t="shared" si="1065"/>
        <v>2098250</v>
      </c>
      <c r="G2007" s="102">
        <f t="shared" si="1066"/>
        <v>1907500</v>
      </c>
      <c r="H2007" s="690" t="s">
        <v>142</v>
      </c>
      <c r="I2007" s="71" t="s">
        <v>2273</v>
      </c>
      <c r="J2007" s="53">
        <f t="shared" si="1061"/>
        <v>682500</v>
      </c>
      <c r="K2007" s="63">
        <f t="shared" si="1064"/>
        <v>0.3577981651376147</v>
      </c>
      <c r="L2007" s="871" t="s">
        <v>1782</v>
      </c>
      <c r="M2007" s="468"/>
      <c r="N2007" s="664">
        <f t="shared" si="1062"/>
        <v>190424</v>
      </c>
      <c r="O2007" s="71" t="s">
        <v>145</v>
      </c>
      <c r="P2007" s="103" t="str">
        <f>C2007</f>
        <v>THR200(20L)보충액</v>
      </c>
      <c r="Q2007" s="71">
        <f t="shared" si="1063"/>
        <v>35</v>
      </c>
      <c r="R2007" s="102">
        <v>35000</v>
      </c>
      <c r="S2007" s="102">
        <f>R2007*Q2007*1.1</f>
        <v>1347500</v>
      </c>
      <c r="T2007" s="102">
        <f>R2007*Q2007</f>
        <v>1225000</v>
      </c>
      <c r="U2007" s="71" t="str">
        <f t="shared" si="1068"/>
        <v>O</v>
      </c>
      <c r="V2007" s="71"/>
      <c r="W2007" s="474">
        <f t="shared" si="1067"/>
        <v>682500</v>
      </c>
      <c r="X2007" s="71"/>
      <c r="Y2007" s="71"/>
    </row>
    <row r="2008" spans="1:25" ht="30" hidden="1" customHeight="1" x14ac:dyDescent="0.25">
      <c r="A2008" s="82">
        <v>190424</v>
      </c>
      <c r="B2008" s="664" t="s">
        <v>1051</v>
      </c>
      <c r="C2008" s="71" t="s">
        <v>1387</v>
      </c>
      <c r="D2008" s="71">
        <v>10</v>
      </c>
      <c r="E2008" s="102">
        <v>54500</v>
      </c>
      <c r="F2008" s="102">
        <f t="shared" si="1065"/>
        <v>599500</v>
      </c>
      <c r="G2008" s="102">
        <f t="shared" si="1066"/>
        <v>545000</v>
      </c>
      <c r="H2008" s="690" t="s">
        <v>142</v>
      </c>
      <c r="I2008" s="71" t="s">
        <v>2273</v>
      </c>
      <c r="J2008" s="53">
        <f t="shared" si="1061"/>
        <v>195000</v>
      </c>
      <c r="K2008" s="63">
        <f t="shared" si="1064"/>
        <v>0.3577981651376147</v>
      </c>
      <c r="L2008" s="871" t="s">
        <v>1782</v>
      </c>
      <c r="M2008" s="468"/>
      <c r="N2008" s="664">
        <f t="shared" si="1062"/>
        <v>190424</v>
      </c>
      <c r="O2008" s="71" t="s">
        <v>145</v>
      </c>
      <c r="P2008" s="103" t="str">
        <f>(C2008)</f>
        <v>THD200(20L)현상액</v>
      </c>
      <c r="Q2008" s="71">
        <f t="shared" si="1063"/>
        <v>10</v>
      </c>
      <c r="R2008" s="102">
        <v>35000</v>
      </c>
      <c r="S2008" s="102">
        <f>(R2008*D2008)*1.1</f>
        <v>385000.00000000006</v>
      </c>
      <c r="T2008" s="102">
        <f>(R2008*Q2008)</f>
        <v>350000</v>
      </c>
      <c r="U2008" s="71" t="str">
        <f t="shared" si="1068"/>
        <v>O</v>
      </c>
      <c r="V2008" s="71"/>
      <c r="W2008" s="474">
        <f t="shared" si="1067"/>
        <v>195000</v>
      </c>
      <c r="X2008" s="71"/>
      <c r="Y2008" s="71"/>
    </row>
    <row r="2009" spans="1:25" ht="30" hidden="1" customHeight="1" x14ac:dyDescent="0.25">
      <c r="A2009" s="82">
        <v>190424</v>
      </c>
      <c r="B2009" s="664" t="s">
        <v>1061</v>
      </c>
      <c r="C2009" s="71" t="s">
        <v>616</v>
      </c>
      <c r="D2009" s="71">
        <v>0</v>
      </c>
      <c r="E2009" s="102">
        <v>6600</v>
      </c>
      <c r="F2009" s="102">
        <f t="shared" si="1065"/>
        <v>0</v>
      </c>
      <c r="G2009" s="102">
        <f t="shared" si="1066"/>
        <v>0</v>
      </c>
      <c r="H2009" s="690" t="s">
        <v>142</v>
      </c>
      <c r="I2009" s="71" t="s">
        <v>144</v>
      </c>
      <c r="J2009" s="53">
        <f t="shared" si="1061"/>
        <v>0</v>
      </c>
      <c r="K2009" s="63" t="e">
        <f t="shared" si="1064"/>
        <v>#DIV/0!</v>
      </c>
      <c r="L2009" s="871" t="s">
        <v>1782</v>
      </c>
      <c r="M2009" s="468"/>
      <c r="N2009" s="664">
        <f>A2009</f>
        <v>190424</v>
      </c>
      <c r="O2009" s="71" t="s">
        <v>147</v>
      </c>
      <c r="P2009" s="103" t="str">
        <f t="shared" ref="P2009:P2026" si="1069">C2009</f>
        <v>프리미어(먹)</v>
      </c>
      <c r="Q2009" s="71">
        <f t="shared" si="1063"/>
        <v>0</v>
      </c>
      <c r="R2009" s="102">
        <v>5900</v>
      </c>
      <c r="S2009" s="102">
        <f>R2009*Q2009*1.1</f>
        <v>0</v>
      </c>
      <c r="T2009" s="102">
        <f>R2009*Q2009</f>
        <v>0</v>
      </c>
      <c r="U2009" s="71" t="str">
        <f t="shared" si="1068"/>
        <v>O</v>
      </c>
      <c r="V2009" s="71"/>
      <c r="W2009" s="474">
        <f t="shared" si="1067"/>
        <v>0</v>
      </c>
      <c r="X2009" s="71"/>
      <c r="Y2009" s="71"/>
    </row>
    <row r="2010" spans="1:25" ht="30" hidden="1" customHeight="1" x14ac:dyDescent="0.25">
      <c r="A2010" s="82">
        <v>190424</v>
      </c>
      <c r="B2010" s="664" t="s">
        <v>1052</v>
      </c>
      <c r="C2010" s="71" t="s">
        <v>585</v>
      </c>
      <c r="D2010" s="71">
        <v>400</v>
      </c>
      <c r="E2010" s="102">
        <v>7500</v>
      </c>
      <c r="F2010" s="102">
        <f t="shared" si="1065"/>
        <v>3300000.0000000005</v>
      </c>
      <c r="G2010" s="102">
        <f t="shared" si="1066"/>
        <v>3000000</v>
      </c>
      <c r="H2010" s="690" t="s">
        <v>142</v>
      </c>
      <c r="I2010" s="71" t="s">
        <v>144</v>
      </c>
      <c r="J2010" s="53">
        <f>(G2010-(VLOOKUP(C2010,Price!B:D,3,FALSE)*D2010))</f>
        <v>292000</v>
      </c>
      <c r="K2010" s="63">
        <f t="shared" si="1064"/>
        <v>9.7333333333333313E-2</v>
      </c>
      <c r="L2010" s="871" t="s">
        <v>1782</v>
      </c>
      <c r="M2010" s="468"/>
      <c r="N2010" s="664">
        <f>A2010</f>
        <v>190424</v>
      </c>
      <c r="O2010" s="71" t="s">
        <v>147</v>
      </c>
      <c r="P2010" s="103" t="str">
        <f t="shared" si="1069"/>
        <v>프리미어(적)</v>
      </c>
      <c r="Q2010" s="71">
        <f t="shared" si="1063"/>
        <v>400</v>
      </c>
      <c r="R2010" s="102">
        <v>6770</v>
      </c>
      <c r="S2010" s="102">
        <f>R2010*Q2010*1.1</f>
        <v>2978800.0000000005</v>
      </c>
      <c r="T2010" s="102">
        <f>R2010*Q2010</f>
        <v>2708000</v>
      </c>
      <c r="U2010" s="71" t="str">
        <f t="shared" si="1068"/>
        <v>O</v>
      </c>
      <c r="V2010" s="71"/>
      <c r="W2010" s="474">
        <f t="shared" si="1067"/>
        <v>292000</v>
      </c>
      <c r="X2010" s="71"/>
      <c r="Y2010" s="71"/>
    </row>
    <row r="2011" spans="1:25" ht="30" hidden="1" customHeight="1" x14ac:dyDescent="0.25">
      <c r="A2011" s="82">
        <v>190424</v>
      </c>
      <c r="B2011" s="664" t="s">
        <v>1061</v>
      </c>
      <c r="C2011" s="71" t="s">
        <v>586</v>
      </c>
      <c r="D2011" s="71">
        <v>600</v>
      </c>
      <c r="E2011" s="102">
        <v>6750</v>
      </c>
      <c r="F2011" s="102">
        <f t="shared" si="1065"/>
        <v>4455000</v>
      </c>
      <c r="G2011" s="102">
        <f t="shared" si="1066"/>
        <v>4050000</v>
      </c>
      <c r="H2011" s="690" t="s">
        <v>142</v>
      </c>
      <c r="I2011" s="71" t="s">
        <v>144</v>
      </c>
      <c r="J2011" s="53">
        <f t="shared" ref="J2011:J2020" si="1070">G2011-T2011</f>
        <v>342000</v>
      </c>
      <c r="K2011" s="63">
        <f t="shared" si="1064"/>
        <v>8.4444444444444447E-2</v>
      </c>
      <c r="L2011" s="871" t="s">
        <v>1782</v>
      </c>
      <c r="M2011" s="468"/>
      <c r="N2011" s="664">
        <v>180713</v>
      </c>
      <c r="O2011" s="71" t="s">
        <v>147</v>
      </c>
      <c r="P2011" s="103" t="str">
        <f t="shared" si="1069"/>
        <v>프리미어(황)</v>
      </c>
      <c r="Q2011" s="71">
        <f t="shared" si="1063"/>
        <v>600</v>
      </c>
      <c r="R2011" s="102">
        <v>6180</v>
      </c>
      <c r="S2011" s="102">
        <f>(R2011*D2011)*1.1</f>
        <v>4078800.0000000005</v>
      </c>
      <c r="T2011" s="102">
        <f>(R2011*Q2011)</f>
        <v>3708000</v>
      </c>
      <c r="U2011" s="71" t="str">
        <f t="shared" si="1068"/>
        <v>O</v>
      </c>
      <c r="V2011" s="71"/>
      <c r="W2011" s="474">
        <f t="shared" si="1067"/>
        <v>342000</v>
      </c>
      <c r="X2011" s="71"/>
      <c r="Y2011" s="71"/>
    </row>
    <row r="2012" spans="1:25" ht="30" hidden="1" customHeight="1" x14ac:dyDescent="0.25">
      <c r="A2012" s="82">
        <v>190424</v>
      </c>
      <c r="B2012" s="664" t="s">
        <v>1061</v>
      </c>
      <c r="C2012" s="71" t="s">
        <v>587</v>
      </c>
      <c r="D2012" s="71">
        <v>400</v>
      </c>
      <c r="E2012" s="102">
        <v>8000</v>
      </c>
      <c r="F2012" s="102">
        <f t="shared" si="1065"/>
        <v>3520000.0000000005</v>
      </c>
      <c r="G2012" s="102">
        <f t="shared" si="1066"/>
        <v>3200000</v>
      </c>
      <c r="H2012" s="690" t="s">
        <v>142</v>
      </c>
      <c r="I2012" s="71" t="s">
        <v>144</v>
      </c>
      <c r="J2012" s="53">
        <f t="shared" si="1070"/>
        <v>436000</v>
      </c>
      <c r="K2012" s="63">
        <f t="shared" si="1064"/>
        <v>0.13624999999999998</v>
      </c>
      <c r="L2012" s="871" t="s">
        <v>1782</v>
      </c>
      <c r="M2012" s="468"/>
      <c r="N2012" s="664">
        <v>180713</v>
      </c>
      <c r="O2012" s="71" t="s">
        <v>147</v>
      </c>
      <c r="P2012" s="103" t="str">
        <f t="shared" si="1069"/>
        <v>프리미어(청)</v>
      </c>
      <c r="Q2012" s="71">
        <f t="shared" si="1063"/>
        <v>400</v>
      </c>
      <c r="R2012" s="102">
        <v>6910</v>
      </c>
      <c r="S2012" s="102">
        <f>(R2012*D2012)*1.1</f>
        <v>3040400.0000000005</v>
      </c>
      <c r="T2012" s="102">
        <f>(R2012*Q2012)</f>
        <v>2764000</v>
      </c>
      <c r="U2012" s="71" t="str">
        <f t="shared" si="1068"/>
        <v>O</v>
      </c>
      <c r="V2012" s="71"/>
      <c r="W2012" s="474">
        <f t="shared" si="1067"/>
        <v>436000</v>
      </c>
      <c r="X2012" s="71"/>
      <c r="Y2012" s="71"/>
    </row>
    <row r="2013" spans="1:25" ht="30" hidden="1" customHeight="1" x14ac:dyDescent="0.25">
      <c r="A2013" s="82">
        <v>190424</v>
      </c>
      <c r="B2013" s="664" t="s">
        <v>1052</v>
      </c>
      <c r="C2013" s="71" t="s">
        <v>1115</v>
      </c>
      <c r="D2013" s="71">
        <v>400</v>
      </c>
      <c r="E2013" s="102">
        <v>6200</v>
      </c>
      <c r="F2013" s="102">
        <f t="shared" si="1065"/>
        <v>2728000</v>
      </c>
      <c r="G2013" s="102">
        <f t="shared" si="1066"/>
        <v>2480000</v>
      </c>
      <c r="H2013" s="690" t="s">
        <v>142</v>
      </c>
      <c r="I2013" s="71" t="s">
        <v>144</v>
      </c>
      <c r="J2013" s="53">
        <f t="shared" si="1070"/>
        <v>40000</v>
      </c>
      <c r="K2013" s="63">
        <f t="shared" si="1064"/>
        <v>1.6129032258064516E-2</v>
      </c>
      <c r="L2013" s="871" t="s">
        <v>1782</v>
      </c>
      <c r="M2013" s="468"/>
      <c r="N2013" s="664">
        <f t="shared" ref="N2013:N2026" si="1071">A2013</f>
        <v>190424</v>
      </c>
      <c r="O2013" s="71" t="s">
        <v>147</v>
      </c>
      <c r="P2013" s="103" t="str">
        <f t="shared" si="1069"/>
        <v>한특 잉크(적)</v>
      </c>
      <c r="Q2013" s="71">
        <f t="shared" si="1063"/>
        <v>400</v>
      </c>
      <c r="R2013" s="102">
        <v>6100</v>
      </c>
      <c r="S2013" s="102">
        <f t="shared" ref="S2013:S2024" si="1072">R2013*Q2013*1.1</f>
        <v>2684000</v>
      </c>
      <c r="T2013" s="102">
        <f t="shared" ref="T2013:T2024" si="1073">R2013*Q2013</f>
        <v>2440000</v>
      </c>
      <c r="U2013" s="71" t="str">
        <f t="shared" si="1068"/>
        <v>O</v>
      </c>
      <c r="V2013" s="71"/>
      <c r="W2013" s="474">
        <f t="shared" si="1067"/>
        <v>40000</v>
      </c>
      <c r="X2013" s="71"/>
      <c r="Y2013" s="71"/>
    </row>
    <row r="2014" spans="1:25" ht="30" hidden="1" customHeight="1" x14ac:dyDescent="0.25">
      <c r="A2014" s="82">
        <v>190424</v>
      </c>
      <c r="B2014" s="664" t="s">
        <v>1052</v>
      </c>
      <c r="C2014" s="71" t="s">
        <v>1116</v>
      </c>
      <c r="D2014" s="71">
        <v>500</v>
      </c>
      <c r="E2014" s="102">
        <v>6000</v>
      </c>
      <c r="F2014" s="102">
        <f t="shared" si="1065"/>
        <v>3300000.0000000005</v>
      </c>
      <c r="G2014" s="102">
        <f t="shared" si="1066"/>
        <v>3000000</v>
      </c>
      <c r="H2014" s="690" t="s">
        <v>142</v>
      </c>
      <c r="I2014" s="71" t="s">
        <v>144</v>
      </c>
      <c r="J2014" s="53">
        <f t="shared" si="1070"/>
        <v>50000</v>
      </c>
      <c r="K2014" s="63">
        <f t="shared" si="1064"/>
        <v>1.6666666666666663E-2</v>
      </c>
      <c r="L2014" s="871" t="s">
        <v>1782</v>
      </c>
      <c r="M2014" s="468"/>
      <c r="N2014" s="664">
        <f t="shared" si="1071"/>
        <v>190424</v>
      </c>
      <c r="O2014" s="71" t="s">
        <v>147</v>
      </c>
      <c r="P2014" s="103" t="str">
        <f t="shared" si="1069"/>
        <v>한특 잉크(황)</v>
      </c>
      <c r="Q2014" s="71">
        <f t="shared" si="1063"/>
        <v>500</v>
      </c>
      <c r="R2014" s="102">
        <v>5900</v>
      </c>
      <c r="S2014" s="102">
        <f t="shared" si="1072"/>
        <v>3245000.0000000005</v>
      </c>
      <c r="T2014" s="102">
        <f t="shared" si="1073"/>
        <v>2950000</v>
      </c>
      <c r="U2014" s="71" t="str">
        <f t="shared" si="1068"/>
        <v>O</v>
      </c>
      <c r="V2014" s="71"/>
      <c r="W2014" s="474">
        <f t="shared" si="1067"/>
        <v>50000</v>
      </c>
      <c r="X2014" s="71"/>
      <c r="Y2014" s="71"/>
    </row>
    <row r="2015" spans="1:25" ht="30" hidden="1" customHeight="1" x14ac:dyDescent="0.25">
      <c r="A2015" s="82">
        <v>190424</v>
      </c>
      <c r="B2015" s="664" t="s">
        <v>1052</v>
      </c>
      <c r="C2015" s="71" t="s">
        <v>1117</v>
      </c>
      <c r="D2015" s="71">
        <v>400</v>
      </c>
      <c r="E2015" s="102">
        <v>6500</v>
      </c>
      <c r="F2015" s="102">
        <f t="shared" si="1065"/>
        <v>2860000</v>
      </c>
      <c r="G2015" s="102">
        <f t="shared" si="1066"/>
        <v>2600000</v>
      </c>
      <c r="H2015" s="690" t="s">
        <v>142</v>
      </c>
      <c r="I2015" s="71" t="s">
        <v>144</v>
      </c>
      <c r="J2015" s="53">
        <f t="shared" si="1070"/>
        <v>40000</v>
      </c>
      <c r="K2015" s="63">
        <f t="shared" si="1064"/>
        <v>1.5384615384615385E-2</v>
      </c>
      <c r="L2015" s="871" t="s">
        <v>1782</v>
      </c>
      <c r="M2015" s="468"/>
      <c r="N2015" s="664">
        <f t="shared" si="1071"/>
        <v>190424</v>
      </c>
      <c r="O2015" s="71" t="s">
        <v>147</v>
      </c>
      <c r="P2015" s="103" t="str">
        <f t="shared" si="1069"/>
        <v>한특 잉크(청)</v>
      </c>
      <c r="Q2015" s="71">
        <f t="shared" si="1063"/>
        <v>400</v>
      </c>
      <c r="R2015" s="102">
        <v>6400</v>
      </c>
      <c r="S2015" s="102">
        <f t="shared" si="1072"/>
        <v>2816000</v>
      </c>
      <c r="T2015" s="102">
        <f t="shared" si="1073"/>
        <v>2560000</v>
      </c>
      <c r="U2015" s="71" t="str">
        <f t="shared" si="1068"/>
        <v>O</v>
      </c>
      <c r="V2015" s="71"/>
      <c r="W2015" s="474">
        <f t="shared" si="1067"/>
        <v>40000</v>
      </c>
      <c r="X2015" s="71"/>
      <c r="Y2015" s="71"/>
    </row>
    <row r="2016" spans="1:25" ht="30" hidden="1" customHeight="1" x14ac:dyDescent="0.25">
      <c r="A2016" s="82">
        <v>190424</v>
      </c>
      <c r="B2016" s="664" t="s">
        <v>1052</v>
      </c>
      <c r="C2016" s="71" t="s">
        <v>1118</v>
      </c>
      <c r="D2016" s="71">
        <v>400</v>
      </c>
      <c r="E2016" s="102">
        <v>5600</v>
      </c>
      <c r="F2016" s="102">
        <f t="shared" si="1065"/>
        <v>2464000</v>
      </c>
      <c r="G2016" s="102">
        <f t="shared" si="1066"/>
        <v>2240000</v>
      </c>
      <c r="H2016" s="690" t="s">
        <v>142</v>
      </c>
      <c r="I2016" s="71" t="s">
        <v>144</v>
      </c>
      <c r="J2016" s="53">
        <f t="shared" si="1070"/>
        <v>40000</v>
      </c>
      <c r="K2016" s="63">
        <f t="shared" si="1064"/>
        <v>1.7857142857142856E-2</v>
      </c>
      <c r="L2016" s="871" t="s">
        <v>1782</v>
      </c>
      <c r="M2016" s="468"/>
      <c r="N2016" s="664">
        <f t="shared" si="1071"/>
        <v>190424</v>
      </c>
      <c r="O2016" s="71" t="s">
        <v>147</v>
      </c>
      <c r="P2016" s="103" t="str">
        <f t="shared" si="1069"/>
        <v>한특 잉크(먹)</v>
      </c>
      <c r="Q2016" s="71">
        <f t="shared" si="1063"/>
        <v>400</v>
      </c>
      <c r="R2016" s="102">
        <v>5500</v>
      </c>
      <c r="S2016" s="102">
        <f t="shared" si="1072"/>
        <v>2420000</v>
      </c>
      <c r="T2016" s="102">
        <f t="shared" si="1073"/>
        <v>2200000</v>
      </c>
      <c r="U2016" s="71" t="str">
        <f t="shared" si="1068"/>
        <v>O</v>
      </c>
      <c r="V2016" s="71"/>
      <c r="W2016" s="474">
        <f t="shared" si="1067"/>
        <v>40000</v>
      </c>
      <c r="X2016" s="71"/>
      <c r="Y2016" s="71"/>
    </row>
    <row r="2017" spans="1:25" ht="30" hidden="1" customHeight="1" x14ac:dyDescent="0.25">
      <c r="A2017" s="82">
        <v>190424</v>
      </c>
      <c r="B2017" s="664" t="s">
        <v>1052</v>
      </c>
      <c r="C2017" s="71" t="s">
        <v>1843</v>
      </c>
      <c r="D2017" s="71">
        <v>334</v>
      </c>
      <c r="E2017" s="102">
        <v>8200</v>
      </c>
      <c r="F2017" s="102">
        <f t="shared" si="1065"/>
        <v>3012680.0000000005</v>
      </c>
      <c r="G2017" s="102">
        <f t="shared" si="1066"/>
        <v>2738800</v>
      </c>
      <c r="H2017" s="690" t="s">
        <v>142</v>
      </c>
      <c r="I2017" s="71" t="s">
        <v>144</v>
      </c>
      <c r="J2017" s="53">
        <f t="shared" si="1070"/>
        <v>116900</v>
      </c>
      <c r="K2017" s="63">
        <f t="shared" si="1064"/>
        <v>4.2682926829268282E-2</v>
      </c>
      <c r="L2017" s="871" t="s">
        <v>1782</v>
      </c>
      <c r="M2017" s="468"/>
      <c r="N2017" s="664">
        <f t="shared" si="1071"/>
        <v>190424</v>
      </c>
      <c r="O2017" s="71" t="s">
        <v>147</v>
      </c>
      <c r="P2017" s="103" t="str">
        <f t="shared" si="1069"/>
        <v>아라니아 분홍(1) 190c</v>
      </c>
      <c r="Q2017" s="71">
        <f t="shared" si="1063"/>
        <v>334</v>
      </c>
      <c r="R2017" s="102">
        <v>7850</v>
      </c>
      <c r="S2017" s="102">
        <f t="shared" si="1072"/>
        <v>2884090</v>
      </c>
      <c r="T2017" s="102">
        <f t="shared" si="1073"/>
        <v>2621900</v>
      </c>
      <c r="U2017" s="71" t="str">
        <f t="shared" si="1068"/>
        <v>O</v>
      </c>
      <c r="V2017" s="71"/>
      <c r="W2017" s="474">
        <f t="shared" si="1067"/>
        <v>116900</v>
      </c>
      <c r="X2017" s="71"/>
      <c r="Y2017" s="71"/>
    </row>
    <row r="2018" spans="1:25" ht="30" hidden="1" customHeight="1" x14ac:dyDescent="0.25">
      <c r="A2018" s="82">
        <v>190424</v>
      </c>
      <c r="B2018" s="664" t="s">
        <v>1052</v>
      </c>
      <c r="C2018" s="71" t="s">
        <v>1840</v>
      </c>
      <c r="D2018" s="71">
        <v>202</v>
      </c>
      <c r="E2018" s="102">
        <v>8000</v>
      </c>
      <c r="F2018" s="102">
        <f>(E2018*D2018)*1.1</f>
        <v>1777600.0000000002</v>
      </c>
      <c r="G2018" s="102">
        <f>(E2018*D2018)</f>
        <v>1616000</v>
      </c>
      <c r="H2018" s="690" t="s">
        <v>142</v>
      </c>
      <c r="I2018" s="71" t="s">
        <v>144</v>
      </c>
      <c r="J2018" s="53">
        <f t="shared" si="1070"/>
        <v>80800</v>
      </c>
      <c r="K2018" s="63">
        <f>(J2018/(F2018/11*10))</f>
        <v>4.9999999999999996E-2</v>
      </c>
      <c r="L2018" s="871" t="s">
        <v>1782</v>
      </c>
      <c r="M2018" s="468"/>
      <c r="N2018" s="664">
        <f>A2018</f>
        <v>190424</v>
      </c>
      <c r="O2018" s="71" t="s">
        <v>147</v>
      </c>
      <c r="P2018" s="103" t="str">
        <f>C2018</f>
        <v>아라니아 연청 304c</v>
      </c>
      <c r="Q2018" s="71">
        <f>D2018</f>
        <v>202</v>
      </c>
      <c r="R2018" s="102">
        <v>7600</v>
      </c>
      <c r="S2018" s="102">
        <f t="shared" si="1072"/>
        <v>1688720.0000000002</v>
      </c>
      <c r="T2018" s="102">
        <f t="shared" si="1073"/>
        <v>1535200</v>
      </c>
      <c r="U2018" s="71" t="str">
        <f t="shared" si="1068"/>
        <v>O</v>
      </c>
      <c r="V2018" s="71"/>
      <c r="W2018" s="474">
        <f t="shared" si="1067"/>
        <v>80800</v>
      </c>
      <c r="X2018" s="71"/>
      <c r="Y2018" s="71"/>
    </row>
    <row r="2019" spans="1:25" ht="30" hidden="1" customHeight="1" x14ac:dyDescent="0.25">
      <c r="A2019" s="82">
        <v>190424</v>
      </c>
      <c r="B2019" s="664" t="s">
        <v>1052</v>
      </c>
      <c r="C2019" s="71" t="s">
        <v>1841</v>
      </c>
      <c r="D2019" s="71">
        <v>30</v>
      </c>
      <c r="E2019" s="102">
        <v>7700</v>
      </c>
      <c r="F2019" s="102">
        <f>(E2019*D2019)*1.1</f>
        <v>254100.00000000003</v>
      </c>
      <c r="G2019" s="102">
        <f>(E2019*D2019)</f>
        <v>231000</v>
      </c>
      <c r="H2019" s="690" t="s">
        <v>142</v>
      </c>
      <c r="I2019" s="71" t="s">
        <v>144</v>
      </c>
      <c r="J2019" s="53">
        <f t="shared" si="1070"/>
        <v>12000</v>
      </c>
      <c r="K2019" s="63">
        <f>(J2019/(F2019/11*10))</f>
        <v>5.1948051948051945E-2</v>
      </c>
      <c r="L2019" s="871" t="s">
        <v>1782</v>
      </c>
      <c r="M2019" s="468"/>
      <c r="N2019" s="664">
        <f>A2019</f>
        <v>190424</v>
      </c>
      <c r="O2019" s="71" t="s">
        <v>147</v>
      </c>
      <c r="P2019" s="103" t="str">
        <f>C2019</f>
        <v>아라니아 분홍(2) 1905c</v>
      </c>
      <c r="Q2019" s="71">
        <f>D2019</f>
        <v>30</v>
      </c>
      <c r="R2019" s="102">
        <v>7300</v>
      </c>
      <c r="S2019" s="102">
        <f t="shared" si="1072"/>
        <v>240900.00000000003</v>
      </c>
      <c r="T2019" s="102">
        <f t="shared" si="1073"/>
        <v>219000</v>
      </c>
      <c r="U2019" s="71" t="str">
        <f t="shared" si="1068"/>
        <v>O</v>
      </c>
      <c r="V2019" s="71"/>
      <c r="W2019" s="474">
        <f t="shared" si="1067"/>
        <v>12000</v>
      </c>
      <c r="X2019" s="71"/>
      <c r="Y2019" s="71"/>
    </row>
    <row r="2020" spans="1:25" ht="30" hidden="1" customHeight="1" x14ac:dyDescent="0.25">
      <c r="A2020" s="82">
        <v>190424</v>
      </c>
      <c r="B2020" s="664" t="s">
        <v>1052</v>
      </c>
      <c r="C2020" s="71" t="s">
        <v>1842</v>
      </c>
      <c r="D2020" s="71">
        <v>60</v>
      </c>
      <c r="E2020" s="102">
        <v>8600</v>
      </c>
      <c r="F2020" s="102">
        <f t="shared" si="1065"/>
        <v>567600</v>
      </c>
      <c r="G2020" s="102">
        <f t="shared" si="1066"/>
        <v>516000</v>
      </c>
      <c r="H2020" s="690" t="s">
        <v>142</v>
      </c>
      <c r="I2020" s="71" t="s">
        <v>144</v>
      </c>
      <c r="J2020" s="53">
        <f t="shared" si="1070"/>
        <v>30000</v>
      </c>
      <c r="K2020" s="63">
        <f t="shared" si="1064"/>
        <v>5.8139534883720929E-2</v>
      </c>
      <c r="L2020" s="871" t="s">
        <v>1782</v>
      </c>
      <c r="M2020" s="468"/>
      <c r="N2020" s="664">
        <f t="shared" si="1071"/>
        <v>190424</v>
      </c>
      <c r="O2020" s="71" t="s">
        <v>147</v>
      </c>
      <c r="P2020" s="103" t="str">
        <f t="shared" si="1069"/>
        <v>아라니아 분홍(3) 1775c</v>
      </c>
      <c r="Q2020" s="71">
        <f t="shared" si="1063"/>
        <v>60</v>
      </c>
      <c r="R2020" s="102">
        <v>8100</v>
      </c>
      <c r="S2020" s="102">
        <f t="shared" si="1072"/>
        <v>534600</v>
      </c>
      <c r="T2020" s="102">
        <f t="shared" si="1073"/>
        <v>486000</v>
      </c>
      <c r="U2020" s="71" t="str">
        <f t="shared" si="1068"/>
        <v>O</v>
      </c>
      <c r="V2020" s="71"/>
      <c r="W2020" s="474">
        <f t="shared" si="1067"/>
        <v>30000</v>
      </c>
      <c r="X2020" s="71"/>
      <c r="Y2020" s="71"/>
    </row>
    <row r="2021" spans="1:25" ht="30" hidden="1" customHeight="1" x14ac:dyDescent="0.25">
      <c r="A2021" s="82">
        <v>190425</v>
      </c>
      <c r="B2021" s="664" t="s">
        <v>442</v>
      </c>
      <c r="C2021" s="71" t="s">
        <v>133</v>
      </c>
      <c r="D2021" s="71">
        <v>2</v>
      </c>
      <c r="E2021" s="102">
        <v>327000</v>
      </c>
      <c r="F2021" s="102">
        <f t="shared" si="1065"/>
        <v>719400</v>
      </c>
      <c r="G2021" s="102">
        <f t="shared" si="1066"/>
        <v>654000</v>
      </c>
      <c r="H2021" s="690" t="s">
        <v>173</v>
      </c>
      <c r="I2021" s="71" t="s">
        <v>141</v>
      </c>
      <c r="J2021" s="53">
        <f>(G2021-(VLOOKUP(C2021,Price!B:D,3,FALSE)*D2021))</f>
        <v>115800</v>
      </c>
      <c r="K2021" s="63">
        <f t="shared" si="1064"/>
        <v>0.17706422018348625</v>
      </c>
      <c r="L2021" s="871" t="s">
        <v>1782</v>
      </c>
      <c r="M2021" s="468"/>
      <c r="N2021" s="664">
        <f t="shared" si="1071"/>
        <v>190425</v>
      </c>
      <c r="O2021" s="71" t="s">
        <v>145</v>
      </c>
      <c r="P2021" s="103" t="str">
        <f t="shared" si="1069"/>
        <v>Agfa Film(24inch)</v>
      </c>
      <c r="Q2021" s="71">
        <f t="shared" si="1063"/>
        <v>2</v>
      </c>
      <c r="R2021" s="102">
        <v>269100</v>
      </c>
      <c r="S2021" s="102">
        <f t="shared" si="1072"/>
        <v>592020</v>
      </c>
      <c r="T2021" s="102">
        <f t="shared" si="1073"/>
        <v>538200</v>
      </c>
      <c r="U2021" s="71" t="str">
        <f t="shared" si="1068"/>
        <v>O</v>
      </c>
      <c r="V2021" s="71"/>
      <c r="W2021" s="474">
        <f t="shared" si="1067"/>
        <v>115800</v>
      </c>
      <c r="X2021" s="71"/>
      <c r="Y2021" s="71"/>
    </row>
    <row r="2022" spans="1:25" ht="30" hidden="1" customHeight="1" x14ac:dyDescent="0.25">
      <c r="A2022" s="82">
        <v>190425</v>
      </c>
      <c r="B2022" s="664" t="s">
        <v>442</v>
      </c>
      <c r="C2022" s="71" t="s">
        <v>134</v>
      </c>
      <c r="D2022" s="71">
        <v>2</v>
      </c>
      <c r="E2022" s="102">
        <v>401000</v>
      </c>
      <c r="F2022" s="102">
        <f t="shared" si="1065"/>
        <v>882200.00000000012</v>
      </c>
      <c r="G2022" s="102">
        <f t="shared" si="1066"/>
        <v>802000</v>
      </c>
      <c r="H2022" s="690" t="s">
        <v>173</v>
      </c>
      <c r="I2022" s="71" t="s">
        <v>141</v>
      </c>
      <c r="J2022" s="53">
        <f>(G2022-(VLOOKUP(C2022,Price!B:D,3,FALSE)*D2022))</f>
        <v>174080</v>
      </c>
      <c r="K2022" s="63">
        <f t="shared" si="1064"/>
        <v>0.21705735660847877</v>
      </c>
      <c r="L2022" s="871" t="s">
        <v>1782</v>
      </c>
      <c r="M2022" s="468"/>
      <c r="N2022" s="664">
        <f t="shared" si="1071"/>
        <v>190425</v>
      </c>
      <c r="O2022" s="71" t="s">
        <v>145</v>
      </c>
      <c r="P2022" s="103" t="str">
        <f t="shared" si="1069"/>
        <v>Agfa Film(28inch)</v>
      </c>
      <c r="Q2022" s="71">
        <f t="shared" si="1063"/>
        <v>2</v>
      </c>
      <c r="R2022" s="102">
        <f>VLOOKUP(P2022,Price!B:D,3,FALSE)</f>
        <v>313960</v>
      </c>
      <c r="S2022" s="102">
        <f t="shared" si="1072"/>
        <v>690712</v>
      </c>
      <c r="T2022" s="102">
        <f t="shared" si="1073"/>
        <v>627920</v>
      </c>
      <c r="U2022" s="71" t="str">
        <f t="shared" si="1068"/>
        <v>O</v>
      </c>
      <c r="V2022" s="71"/>
      <c r="W2022" s="474">
        <f t="shared" si="1067"/>
        <v>174080</v>
      </c>
      <c r="X2022" s="71"/>
      <c r="Y2022" s="71"/>
    </row>
    <row r="2023" spans="1:25" ht="30" hidden="1" customHeight="1" x14ac:dyDescent="0.25">
      <c r="A2023" s="82">
        <v>190425</v>
      </c>
      <c r="B2023" s="664" t="s">
        <v>442</v>
      </c>
      <c r="C2023" s="71" t="s">
        <v>135</v>
      </c>
      <c r="D2023" s="71">
        <v>2</v>
      </c>
      <c r="E2023" s="102">
        <v>448000</v>
      </c>
      <c r="F2023" s="102">
        <f t="shared" si="1065"/>
        <v>985600.00000000012</v>
      </c>
      <c r="G2023" s="102">
        <f t="shared" si="1066"/>
        <v>896000</v>
      </c>
      <c r="H2023" s="690" t="s">
        <v>173</v>
      </c>
      <c r="I2023" s="71" t="s">
        <v>141</v>
      </c>
      <c r="J2023" s="53">
        <f>(G2023-(VLOOKUP(C2023,Price!B:D,3,FALSE)*D2023))</f>
        <v>155980</v>
      </c>
      <c r="K2023" s="63">
        <f t="shared" si="1064"/>
        <v>0.1740848214285714</v>
      </c>
      <c r="L2023" s="871" t="s">
        <v>1782</v>
      </c>
      <c r="M2023" s="468"/>
      <c r="N2023" s="664">
        <f t="shared" si="1071"/>
        <v>190425</v>
      </c>
      <c r="O2023" s="71" t="s">
        <v>145</v>
      </c>
      <c r="P2023" s="103" t="str">
        <f t="shared" si="1069"/>
        <v>Agfa Film(32inch)</v>
      </c>
      <c r="Q2023" s="71">
        <f t="shared" si="1063"/>
        <v>2</v>
      </c>
      <c r="R2023" s="102">
        <f>VLOOKUP(P2023,Price!B:D,3,FALSE)</f>
        <v>370010</v>
      </c>
      <c r="S2023" s="102">
        <f t="shared" si="1072"/>
        <v>814022.00000000012</v>
      </c>
      <c r="T2023" s="102">
        <f t="shared" si="1073"/>
        <v>740020</v>
      </c>
      <c r="U2023" s="71" t="str">
        <f t="shared" si="1068"/>
        <v>O</v>
      </c>
      <c r="V2023" s="71"/>
      <c r="W2023" s="474">
        <f t="shared" si="1067"/>
        <v>155980</v>
      </c>
      <c r="X2023" s="71"/>
      <c r="Y2023" s="71"/>
    </row>
    <row r="2024" spans="1:25" ht="30" hidden="1" customHeight="1" x14ac:dyDescent="0.25">
      <c r="A2024" s="82">
        <v>190425</v>
      </c>
      <c r="B2024" s="664" t="s">
        <v>442</v>
      </c>
      <c r="C2024" s="71" t="s">
        <v>649</v>
      </c>
      <c r="D2024" s="71">
        <v>6</v>
      </c>
      <c r="E2024" s="102">
        <v>41000</v>
      </c>
      <c r="F2024" s="102">
        <f t="shared" si="1065"/>
        <v>270600</v>
      </c>
      <c r="G2024" s="102">
        <f t="shared" si="1066"/>
        <v>246000</v>
      </c>
      <c r="H2024" s="690" t="s">
        <v>173</v>
      </c>
      <c r="I2024" s="71" t="s">
        <v>141</v>
      </c>
      <c r="J2024" s="53">
        <f>(G2024-(VLOOKUP(C2024,Price!B:D,3,FALSE)*D2024))</f>
        <v>96000</v>
      </c>
      <c r="K2024" s="63">
        <f t="shared" si="1064"/>
        <v>0.3902439024390244</v>
      </c>
      <c r="L2024" s="871" t="s">
        <v>1782</v>
      </c>
      <c r="M2024" s="468"/>
      <c r="N2024" s="664">
        <f t="shared" si="1071"/>
        <v>190425</v>
      </c>
      <c r="O2024" s="71" t="s">
        <v>145</v>
      </c>
      <c r="P2024" s="103" t="str">
        <f t="shared" si="1069"/>
        <v>Agfa 현상액 G101C(10L)</v>
      </c>
      <c r="Q2024" s="71">
        <f t="shared" si="1063"/>
        <v>6</v>
      </c>
      <c r="R2024" s="102">
        <f>VLOOKUP(P2024,Price!B:D,3,FALSE)</f>
        <v>25000</v>
      </c>
      <c r="S2024" s="102">
        <f t="shared" si="1072"/>
        <v>165000</v>
      </c>
      <c r="T2024" s="102">
        <f t="shared" si="1073"/>
        <v>150000</v>
      </c>
      <c r="U2024" s="71" t="str">
        <f t="shared" si="1068"/>
        <v>O</v>
      </c>
      <c r="V2024" s="71"/>
      <c r="W2024" s="474">
        <f t="shared" si="1067"/>
        <v>96000</v>
      </c>
      <c r="X2024" s="71"/>
      <c r="Y2024" s="71"/>
    </row>
    <row r="2025" spans="1:25" s="209" customFormat="1" ht="30" customHeight="1" x14ac:dyDescent="0.2">
      <c r="A2025" s="82">
        <v>190425</v>
      </c>
      <c r="B2025" s="664" t="s">
        <v>422</v>
      </c>
      <c r="C2025" s="71" t="s">
        <v>138</v>
      </c>
      <c r="D2025" s="71">
        <v>10</v>
      </c>
      <c r="E2025" s="102">
        <v>68000</v>
      </c>
      <c r="F2025" s="163">
        <f t="shared" si="1065"/>
        <v>748000.00000000012</v>
      </c>
      <c r="G2025" s="163">
        <f t="shared" si="1066"/>
        <v>680000</v>
      </c>
      <c r="H2025" s="165" t="s">
        <v>172</v>
      </c>
      <c r="I2025" s="71" t="s">
        <v>109</v>
      </c>
      <c r="J2025" s="53">
        <f>(G2025-(VLOOKUP(C2025,Price!B:D,3,FALSE)*D2025))</f>
        <v>170000</v>
      </c>
      <c r="K2025" s="63">
        <f t="shared" si="1064"/>
        <v>0.24999999999999994</v>
      </c>
      <c r="L2025" s="871" t="s">
        <v>1782</v>
      </c>
      <c r="M2025" s="468"/>
      <c r="N2025" s="664">
        <f t="shared" si="1071"/>
        <v>190425</v>
      </c>
      <c r="O2025" s="71" t="s">
        <v>150</v>
      </c>
      <c r="P2025" s="103" t="str">
        <f>C2025</f>
        <v>매엽용 세척제(Wash 562)</v>
      </c>
      <c r="Q2025" s="71">
        <f t="shared" si="1063"/>
        <v>10</v>
      </c>
      <c r="R2025" s="102">
        <v>51000</v>
      </c>
      <c r="S2025" s="102">
        <f>(R2025*D2025)*1.1</f>
        <v>561000</v>
      </c>
      <c r="T2025" s="102">
        <f>(R2025*Q2025)</f>
        <v>510000</v>
      </c>
      <c r="U2025" s="71" t="str">
        <f t="shared" si="1068"/>
        <v>O</v>
      </c>
      <c r="V2025" s="71"/>
      <c r="W2025" s="474">
        <f t="shared" si="1067"/>
        <v>170000</v>
      </c>
      <c r="X2025" s="71"/>
      <c r="Y2025" s="71"/>
    </row>
    <row r="2026" spans="1:25" ht="30" customHeight="1" x14ac:dyDescent="0.25">
      <c r="A2026" s="82">
        <v>190425</v>
      </c>
      <c r="B2026" s="664" t="s">
        <v>422</v>
      </c>
      <c r="C2026" s="71" t="s">
        <v>584</v>
      </c>
      <c r="D2026" s="71">
        <v>3</v>
      </c>
      <c r="E2026" s="102">
        <v>270000</v>
      </c>
      <c r="F2026" s="102">
        <f t="shared" si="1065"/>
        <v>891000.00000000012</v>
      </c>
      <c r="G2026" s="102">
        <f t="shared" si="1066"/>
        <v>810000</v>
      </c>
      <c r="H2026" s="690" t="s">
        <v>173</v>
      </c>
      <c r="I2026" s="71" t="s">
        <v>2231</v>
      </c>
      <c r="J2026" s="53">
        <f>(G2026-(VLOOKUP(C2026,Price!B:D,3,FALSE)*D2026))</f>
        <v>162000</v>
      </c>
      <c r="K2026" s="63">
        <f t="shared" si="1064"/>
        <v>0.19999999999999998</v>
      </c>
      <c r="L2026" s="871" t="s">
        <v>1782</v>
      </c>
      <c r="M2026" s="468"/>
      <c r="N2026" s="664">
        <f t="shared" si="1071"/>
        <v>190425</v>
      </c>
      <c r="O2026" s="71" t="s">
        <v>150</v>
      </c>
      <c r="P2026" s="103" t="str">
        <f t="shared" si="1069"/>
        <v>데리바리 석션벨트</v>
      </c>
      <c r="Q2026" s="71">
        <f t="shared" si="1063"/>
        <v>3</v>
      </c>
      <c r="R2026" s="102">
        <v>216000</v>
      </c>
      <c r="S2026" s="102">
        <f t="shared" ref="S2026:S2036" si="1074">R2026*Q2026*1.1</f>
        <v>712800</v>
      </c>
      <c r="T2026" s="102">
        <f t="shared" ref="T2026:T2036" si="1075">R2026*Q2026</f>
        <v>648000</v>
      </c>
      <c r="U2026" s="71" t="str">
        <f t="shared" si="1068"/>
        <v>O</v>
      </c>
      <c r="V2026" s="71"/>
      <c r="W2026" s="474">
        <f t="shared" si="1067"/>
        <v>162000</v>
      </c>
      <c r="X2026" s="71"/>
      <c r="Y2026" s="71"/>
    </row>
    <row r="2027" spans="1:25" ht="30" hidden="1" customHeight="1" x14ac:dyDescent="0.25">
      <c r="A2027" s="82">
        <v>190426</v>
      </c>
      <c r="B2027" s="664" t="s">
        <v>549</v>
      </c>
      <c r="C2027" s="71" t="s">
        <v>119</v>
      </c>
      <c r="D2027" s="71">
        <v>15</v>
      </c>
      <c r="E2027" s="102">
        <v>115000</v>
      </c>
      <c r="F2027" s="102">
        <f t="shared" ref="F2027:F2036" si="1076">(E2027*D2027)*1.1</f>
        <v>1897500.0000000002</v>
      </c>
      <c r="G2027" s="102">
        <f t="shared" ref="G2027:G2036" si="1077">(E2027*D2027)</f>
        <v>1725000</v>
      </c>
      <c r="H2027" s="690" t="s">
        <v>173</v>
      </c>
      <c r="I2027" s="71" t="s">
        <v>109</v>
      </c>
      <c r="J2027" s="53">
        <f>(G2027-(VLOOKUP(C2027,Price!B:D,3,FALSE)*D2027))</f>
        <v>394500</v>
      </c>
      <c r="K2027" s="63">
        <f t="shared" si="1064"/>
        <v>0.22869565217391302</v>
      </c>
      <c r="L2027" s="871" t="s">
        <v>1782</v>
      </c>
      <c r="M2027" s="468"/>
      <c r="N2027" s="664">
        <f t="shared" ref="N2027:N2036" si="1078">A2027</f>
        <v>190426</v>
      </c>
      <c r="O2027" s="71" t="s">
        <v>150</v>
      </c>
      <c r="P2027" s="103" t="str">
        <f t="shared" ref="P2027:P2036" si="1079">C2027</f>
        <v>미쯔비시 Blanket(1035*910)</v>
      </c>
      <c r="Q2027" s="71">
        <f t="shared" si="1063"/>
        <v>15</v>
      </c>
      <c r="R2027" s="102">
        <v>88700</v>
      </c>
      <c r="S2027" s="102">
        <f t="shared" si="1074"/>
        <v>1463550.0000000002</v>
      </c>
      <c r="T2027" s="102">
        <f t="shared" si="1075"/>
        <v>1330500</v>
      </c>
      <c r="U2027" s="71" t="str">
        <f t="shared" si="1068"/>
        <v>O</v>
      </c>
      <c r="V2027" s="71" t="s">
        <v>1078</v>
      </c>
      <c r="W2027" s="474">
        <f t="shared" si="1067"/>
        <v>394500</v>
      </c>
      <c r="X2027" s="71"/>
      <c r="Y2027" s="71"/>
    </row>
    <row r="2028" spans="1:25" ht="30" hidden="1" customHeight="1" x14ac:dyDescent="0.25">
      <c r="A2028" s="82">
        <v>190429</v>
      </c>
      <c r="B2028" s="664" t="s">
        <v>1023</v>
      </c>
      <c r="C2028" s="71" t="s">
        <v>1844</v>
      </c>
      <c r="D2028" s="71">
        <v>30</v>
      </c>
      <c r="E2028" s="102">
        <v>45000</v>
      </c>
      <c r="F2028" s="102">
        <f t="shared" si="1076"/>
        <v>1485000.0000000002</v>
      </c>
      <c r="G2028" s="102">
        <f t="shared" si="1077"/>
        <v>1350000</v>
      </c>
      <c r="H2028" s="690" t="s">
        <v>142</v>
      </c>
      <c r="I2028" s="71" t="s">
        <v>142</v>
      </c>
      <c r="J2028" s="53">
        <f t="shared" ref="J2028:J2036" si="1080">G2028-T2028</f>
        <v>445121.8668184405</v>
      </c>
      <c r="K2028" s="63">
        <f t="shared" ref="K2028:K2036" si="1081">(J2028/(F2028/11*10))</f>
        <v>0.32971990134699292</v>
      </c>
      <c r="L2028" s="871" t="s">
        <v>1782</v>
      </c>
      <c r="M2028" s="468"/>
      <c r="N2028" s="664">
        <f t="shared" si="1078"/>
        <v>190429</v>
      </c>
      <c r="O2028" s="71" t="s">
        <v>1432</v>
      </c>
      <c r="P2028" s="103" t="str">
        <f t="shared" si="1079"/>
        <v>Plunger TTA 155A-1040</v>
      </c>
      <c r="Q2028" s="71">
        <f t="shared" si="1063"/>
        <v>30</v>
      </c>
      <c r="R2028" s="102">
        <f>Import!G670</f>
        <v>30162.604439385315</v>
      </c>
      <c r="S2028" s="102">
        <f t="shared" si="1074"/>
        <v>995365.94649971556</v>
      </c>
      <c r="T2028" s="102">
        <f t="shared" si="1075"/>
        <v>904878.1331815595</v>
      </c>
      <c r="U2028" s="71" t="str">
        <f t="shared" si="1068"/>
        <v>X</v>
      </c>
      <c r="V2028" s="71"/>
      <c r="W2028" s="474"/>
      <c r="X2028" s="71"/>
      <c r="Y2028" s="71"/>
    </row>
    <row r="2029" spans="1:25" ht="30" hidden="1" customHeight="1" x14ac:dyDescent="0.25">
      <c r="A2029" s="82">
        <v>190429</v>
      </c>
      <c r="B2029" s="664" t="s">
        <v>1023</v>
      </c>
      <c r="C2029" s="71" t="s">
        <v>1845</v>
      </c>
      <c r="D2029" s="71">
        <v>20</v>
      </c>
      <c r="E2029" s="102">
        <v>95800</v>
      </c>
      <c r="F2029" s="102">
        <f t="shared" si="1076"/>
        <v>2107600</v>
      </c>
      <c r="G2029" s="102">
        <f t="shared" si="1077"/>
        <v>1916000</v>
      </c>
      <c r="H2029" s="690" t="s">
        <v>142</v>
      </c>
      <c r="I2029" s="71" t="s">
        <v>142</v>
      </c>
      <c r="J2029" s="53">
        <f t="shared" si="1080"/>
        <v>622318.13318155962</v>
      </c>
      <c r="K2029" s="63">
        <f t="shared" si="1081"/>
        <v>0.32480069581501025</v>
      </c>
      <c r="L2029" s="871" t="s">
        <v>1782</v>
      </c>
      <c r="M2029" s="468"/>
      <c r="N2029" s="664">
        <f t="shared" si="1078"/>
        <v>190429</v>
      </c>
      <c r="O2029" s="71" t="s">
        <v>1432</v>
      </c>
      <c r="P2029" s="103" t="str">
        <f t="shared" si="1079"/>
        <v>Plunger TTA 155A-1040-15</v>
      </c>
      <c r="Q2029" s="71">
        <f t="shared" si="1063"/>
        <v>20</v>
      </c>
      <c r="R2029" s="102">
        <f>Import!G671</f>
        <v>64684.093340922023</v>
      </c>
      <c r="S2029" s="102">
        <f t="shared" si="1074"/>
        <v>1423050.0535002844</v>
      </c>
      <c r="T2029" s="102">
        <f t="shared" si="1075"/>
        <v>1293681.8668184404</v>
      </c>
      <c r="U2029" s="71" t="str">
        <f t="shared" si="1068"/>
        <v>X</v>
      </c>
      <c r="V2029" s="71"/>
      <c r="W2029" s="474"/>
      <c r="X2029" s="71"/>
      <c r="Y2029" s="71"/>
    </row>
    <row r="2030" spans="1:25" ht="30" hidden="1" customHeight="1" x14ac:dyDescent="0.25">
      <c r="A2030" s="82">
        <v>190429</v>
      </c>
      <c r="B2030" s="664" t="s">
        <v>764</v>
      </c>
      <c r="C2030" s="71" t="s">
        <v>123</v>
      </c>
      <c r="D2030" s="71">
        <v>25</v>
      </c>
      <c r="E2030" s="102">
        <v>35000</v>
      </c>
      <c r="F2030" s="102">
        <f t="shared" si="1076"/>
        <v>962500.00000000012</v>
      </c>
      <c r="G2030" s="102">
        <f t="shared" si="1077"/>
        <v>875000</v>
      </c>
      <c r="H2030" s="690" t="s">
        <v>1432</v>
      </c>
      <c r="I2030" s="71" t="s">
        <v>1432</v>
      </c>
      <c r="J2030" s="53">
        <f t="shared" si="1080"/>
        <v>313475</v>
      </c>
      <c r="K2030" s="63">
        <f t="shared" si="1081"/>
        <v>0.35825714285714283</v>
      </c>
      <c r="L2030" s="871" t="s">
        <v>1782</v>
      </c>
      <c r="M2030" s="468"/>
      <c r="N2030" s="664">
        <f t="shared" si="1078"/>
        <v>190429</v>
      </c>
      <c r="O2030" s="71" t="s">
        <v>1432</v>
      </c>
      <c r="P2030" s="103" t="str">
        <f t="shared" si="1079"/>
        <v>필터백</v>
      </c>
      <c r="Q2030" s="71">
        <f t="shared" si="1063"/>
        <v>25</v>
      </c>
      <c r="R2030" s="102">
        <v>22461</v>
      </c>
      <c r="S2030" s="102">
        <f t="shared" si="1074"/>
        <v>617677.5</v>
      </c>
      <c r="T2030" s="102">
        <f t="shared" si="1075"/>
        <v>561525</v>
      </c>
      <c r="U2030" s="71" t="str">
        <f t="shared" si="1068"/>
        <v>O</v>
      </c>
      <c r="V2030" s="71"/>
      <c r="W2030" s="474">
        <f>(G2030-T2030)</f>
        <v>313475</v>
      </c>
      <c r="X2030" s="71"/>
      <c r="Y2030" s="71"/>
    </row>
    <row r="2031" spans="1:25" ht="30" hidden="1" customHeight="1" x14ac:dyDescent="0.25">
      <c r="A2031" s="82">
        <v>190429</v>
      </c>
      <c r="B2031" s="664" t="s">
        <v>1178</v>
      </c>
      <c r="C2031" s="71" t="s">
        <v>1851</v>
      </c>
      <c r="D2031" s="71">
        <v>1000</v>
      </c>
      <c r="E2031" s="102">
        <v>4160</v>
      </c>
      <c r="F2031" s="102">
        <f t="shared" si="1076"/>
        <v>4576000</v>
      </c>
      <c r="G2031" s="102">
        <f t="shared" si="1077"/>
        <v>4160000</v>
      </c>
      <c r="H2031" s="690" t="s">
        <v>142</v>
      </c>
      <c r="I2031" s="71" t="s">
        <v>2273</v>
      </c>
      <c r="J2031" s="53">
        <f t="shared" si="1080"/>
        <v>1150000</v>
      </c>
      <c r="K2031" s="63">
        <f t="shared" si="1081"/>
        <v>0.27644230769230771</v>
      </c>
      <c r="L2031" s="871" t="s">
        <v>1782</v>
      </c>
      <c r="M2031" s="468" t="s">
        <v>1853</v>
      </c>
      <c r="N2031" s="664">
        <f t="shared" si="1078"/>
        <v>190429</v>
      </c>
      <c r="O2031" s="71" t="s">
        <v>145</v>
      </c>
      <c r="P2031" s="103" t="str">
        <f t="shared" si="1079"/>
        <v>Engage 850*720</v>
      </c>
      <c r="Q2031" s="71">
        <f t="shared" si="1063"/>
        <v>1000</v>
      </c>
      <c r="R2031" s="102">
        <v>3010</v>
      </c>
      <c r="S2031" s="102">
        <f t="shared" si="1074"/>
        <v>3311000.0000000005</v>
      </c>
      <c r="T2031" s="102">
        <f t="shared" si="1075"/>
        <v>3010000</v>
      </c>
      <c r="U2031" s="71"/>
      <c r="V2031" s="71"/>
      <c r="W2031" s="474"/>
      <c r="X2031" s="71"/>
      <c r="Y2031" s="71"/>
    </row>
    <row r="2032" spans="1:25" ht="30" hidden="1" customHeight="1" x14ac:dyDescent="0.25">
      <c r="A2032" s="82">
        <v>190429</v>
      </c>
      <c r="B2032" s="664" t="s">
        <v>1178</v>
      </c>
      <c r="C2032" s="71" t="s">
        <v>984</v>
      </c>
      <c r="D2032" s="71">
        <v>20</v>
      </c>
      <c r="E2032" s="102">
        <v>58000</v>
      </c>
      <c r="F2032" s="102">
        <f t="shared" si="1076"/>
        <v>1276000</v>
      </c>
      <c r="G2032" s="102">
        <f t="shared" si="1077"/>
        <v>1160000</v>
      </c>
      <c r="H2032" s="690" t="s">
        <v>142</v>
      </c>
      <c r="I2032" s="71" t="s">
        <v>2273</v>
      </c>
      <c r="J2032" s="53">
        <f t="shared" si="1080"/>
        <v>460000</v>
      </c>
      <c r="K2032" s="63">
        <f t="shared" si="1081"/>
        <v>0.39655172413793105</v>
      </c>
      <c r="L2032" s="871" t="s">
        <v>1782</v>
      </c>
      <c r="M2032" s="468" t="s">
        <v>1853</v>
      </c>
      <c r="N2032" s="664">
        <f t="shared" si="1078"/>
        <v>190429</v>
      </c>
      <c r="O2032" s="71" t="s">
        <v>145</v>
      </c>
      <c r="P2032" s="103" t="str">
        <f t="shared" si="1079"/>
        <v>CTP 현상액</v>
      </c>
      <c r="Q2032" s="71">
        <f t="shared" si="1063"/>
        <v>20</v>
      </c>
      <c r="R2032" s="102">
        <v>35000</v>
      </c>
      <c r="S2032" s="102">
        <f t="shared" si="1074"/>
        <v>770000.00000000012</v>
      </c>
      <c r="T2032" s="102">
        <f t="shared" si="1075"/>
        <v>700000</v>
      </c>
      <c r="U2032" s="71"/>
      <c r="V2032" s="71"/>
      <c r="W2032" s="474"/>
      <c r="X2032" s="71"/>
      <c r="Y2032" s="71"/>
    </row>
    <row r="2033" spans="1:25" ht="30" hidden="1" customHeight="1" x14ac:dyDescent="0.25">
      <c r="A2033" s="82">
        <v>190429</v>
      </c>
      <c r="B2033" s="664" t="s">
        <v>1178</v>
      </c>
      <c r="C2033" s="71" t="s">
        <v>1852</v>
      </c>
      <c r="D2033" s="71">
        <v>20</v>
      </c>
      <c r="E2033" s="102">
        <v>58000</v>
      </c>
      <c r="F2033" s="102">
        <f t="shared" si="1076"/>
        <v>1276000</v>
      </c>
      <c r="G2033" s="102">
        <f t="shared" si="1077"/>
        <v>1160000</v>
      </c>
      <c r="H2033" s="690" t="s">
        <v>142</v>
      </c>
      <c r="I2033" s="71" t="s">
        <v>2273</v>
      </c>
      <c r="J2033" s="53">
        <f t="shared" si="1080"/>
        <v>460000</v>
      </c>
      <c r="K2033" s="63">
        <f t="shared" si="1081"/>
        <v>0.39655172413793105</v>
      </c>
      <c r="L2033" s="871" t="s">
        <v>1782</v>
      </c>
      <c r="M2033" s="468" t="s">
        <v>1853</v>
      </c>
      <c r="N2033" s="664">
        <f t="shared" si="1078"/>
        <v>190429</v>
      </c>
      <c r="O2033" s="71" t="s">
        <v>145</v>
      </c>
      <c r="P2033" s="103" t="str">
        <f t="shared" si="1079"/>
        <v>CTP 보충액</v>
      </c>
      <c r="Q2033" s="71">
        <f t="shared" si="1063"/>
        <v>20</v>
      </c>
      <c r="R2033" s="102">
        <v>35000</v>
      </c>
      <c r="S2033" s="102">
        <f t="shared" si="1074"/>
        <v>770000.00000000012</v>
      </c>
      <c r="T2033" s="102">
        <f t="shared" si="1075"/>
        <v>700000</v>
      </c>
      <c r="U2033" s="71"/>
      <c r="V2033" s="71"/>
      <c r="W2033" s="474"/>
      <c r="X2033" s="71"/>
      <c r="Y2033" s="71"/>
    </row>
    <row r="2034" spans="1:25" ht="30" hidden="1" customHeight="1" x14ac:dyDescent="0.25">
      <c r="A2034" s="82">
        <v>190430</v>
      </c>
      <c r="B2034" s="664" t="s">
        <v>446</v>
      </c>
      <c r="C2034" s="71" t="s">
        <v>1144</v>
      </c>
      <c r="D2034" s="71">
        <v>10</v>
      </c>
      <c r="E2034" s="102">
        <v>110000</v>
      </c>
      <c r="F2034" s="102">
        <f t="shared" si="1076"/>
        <v>1210000</v>
      </c>
      <c r="G2034" s="102">
        <f t="shared" si="1077"/>
        <v>1100000</v>
      </c>
      <c r="H2034" s="690" t="s">
        <v>173</v>
      </c>
      <c r="I2034" s="71" t="s">
        <v>2231</v>
      </c>
      <c r="J2034" s="53">
        <f t="shared" si="1080"/>
        <v>190000</v>
      </c>
      <c r="K2034" s="63">
        <f t="shared" si="1081"/>
        <v>0.17272727272727273</v>
      </c>
      <c r="L2034" s="871" t="s">
        <v>1782</v>
      </c>
      <c r="M2034" s="468"/>
      <c r="N2034" s="664">
        <f t="shared" si="1078"/>
        <v>190430</v>
      </c>
      <c r="O2034" s="71" t="s">
        <v>150</v>
      </c>
      <c r="P2034" s="103" t="str">
        <f t="shared" si="1079"/>
        <v>실리콘 에멀전</v>
      </c>
      <c r="Q2034" s="71">
        <f t="shared" si="1063"/>
        <v>10</v>
      </c>
      <c r="R2034" s="102">
        <v>91000</v>
      </c>
      <c r="S2034" s="102">
        <f t="shared" si="1074"/>
        <v>1001000.0000000001</v>
      </c>
      <c r="T2034" s="102">
        <f t="shared" si="1075"/>
        <v>910000</v>
      </c>
      <c r="U2034" s="71" t="str">
        <f>IF(J2034=W2034,"O", "X")</f>
        <v>O</v>
      </c>
      <c r="V2034" s="71"/>
      <c r="W2034" s="474">
        <f>(G2034-T2034)</f>
        <v>190000</v>
      </c>
      <c r="X2034" s="71"/>
      <c r="Y2034" s="71"/>
    </row>
    <row r="2035" spans="1:25" ht="30" customHeight="1" x14ac:dyDescent="0.25">
      <c r="A2035" s="82">
        <v>190430</v>
      </c>
      <c r="B2035" s="664" t="s">
        <v>565</v>
      </c>
      <c r="C2035" s="71" t="s">
        <v>1858</v>
      </c>
      <c r="D2035" s="71">
        <v>1</v>
      </c>
      <c r="E2035" s="102">
        <v>3500000</v>
      </c>
      <c r="F2035" s="102">
        <f t="shared" si="1076"/>
        <v>3850000.0000000005</v>
      </c>
      <c r="G2035" s="102">
        <f t="shared" si="1077"/>
        <v>3500000</v>
      </c>
      <c r="H2035" s="690" t="s">
        <v>985</v>
      </c>
      <c r="I2035" s="71" t="s">
        <v>985</v>
      </c>
      <c r="J2035" s="53">
        <f t="shared" si="1080"/>
        <v>0</v>
      </c>
      <c r="K2035" s="63">
        <f t="shared" si="1081"/>
        <v>0</v>
      </c>
      <c r="L2035" s="871" t="s">
        <v>1782</v>
      </c>
      <c r="M2035" s="468"/>
      <c r="N2035" s="664">
        <f t="shared" si="1078"/>
        <v>190430</v>
      </c>
      <c r="O2035" s="71" t="s">
        <v>1431</v>
      </c>
      <c r="P2035" s="103" t="str">
        <f t="shared" si="1079"/>
        <v>M600 Tan 서비스 비용</v>
      </c>
      <c r="Q2035" s="71">
        <f t="shared" si="1063"/>
        <v>1</v>
      </c>
      <c r="R2035" s="102">
        <v>3500000</v>
      </c>
      <c r="S2035" s="102">
        <f t="shared" si="1074"/>
        <v>3850000.0000000005</v>
      </c>
      <c r="T2035" s="102">
        <f t="shared" si="1075"/>
        <v>3500000</v>
      </c>
      <c r="U2035" s="71"/>
      <c r="V2035" s="71"/>
      <c r="W2035" s="474"/>
      <c r="X2035" s="71"/>
      <c r="Y2035" s="71"/>
    </row>
    <row r="2036" spans="1:25" ht="30" hidden="1" customHeight="1" x14ac:dyDescent="0.25">
      <c r="A2036" s="82">
        <v>190430</v>
      </c>
      <c r="B2036" s="664" t="s">
        <v>1859</v>
      </c>
      <c r="C2036" s="71" t="s">
        <v>1607</v>
      </c>
      <c r="D2036" s="71">
        <v>2034</v>
      </c>
      <c r="E2036" s="102">
        <v>1000</v>
      </c>
      <c r="F2036" s="102">
        <f t="shared" si="1076"/>
        <v>2237400</v>
      </c>
      <c r="G2036" s="102">
        <f t="shared" si="1077"/>
        <v>2034000</v>
      </c>
      <c r="H2036" s="690" t="s">
        <v>173</v>
      </c>
      <c r="I2036" s="71" t="s">
        <v>2230</v>
      </c>
      <c r="J2036" s="53">
        <f t="shared" si="1080"/>
        <v>2034000</v>
      </c>
      <c r="K2036" s="63">
        <f t="shared" si="1081"/>
        <v>1</v>
      </c>
      <c r="L2036" s="871" t="s">
        <v>1782</v>
      </c>
      <c r="M2036" s="468"/>
      <c r="N2036" s="664">
        <f t="shared" si="1078"/>
        <v>190430</v>
      </c>
      <c r="O2036" s="71"/>
      <c r="P2036" s="103" t="str">
        <f t="shared" si="1079"/>
        <v>폐판수거(세흥인쇄)</v>
      </c>
      <c r="Q2036" s="71">
        <f t="shared" si="1063"/>
        <v>2034</v>
      </c>
      <c r="R2036" s="102">
        <v>0</v>
      </c>
      <c r="S2036" s="102">
        <f t="shared" si="1074"/>
        <v>0</v>
      </c>
      <c r="T2036" s="102">
        <f t="shared" si="1075"/>
        <v>0</v>
      </c>
      <c r="U2036" s="71" t="str">
        <f>IF(J2036=W2036,"O", "X")</f>
        <v>X</v>
      </c>
      <c r="V2036" s="71"/>
      <c r="W2036" s="474"/>
      <c r="X2036" s="71"/>
      <c r="Y2036" s="71"/>
    </row>
    <row r="2037" spans="1:25" s="978" customFormat="1" ht="45" hidden="1" customHeight="1" x14ac:dyDescent="0.25">
      <c r="A2037" s="982" t="s">
        <v>1838</v>
      </c>
      <c r="B2037" s="976" t="s">
        <v>544</v>
      </c>
      <c r="C2037" s="453"/>
      <c r="D2037" s="453"/>
      <c r="E2037" s="454"/>
      <c r="F2037" s="454"/>
      <c r="G2037" s="454"/>
      <c r="H2037" s="455"/>
      <c r="I2037" s="453"/>
      <c r="J2037" s="417"/>
      <c r="K2037" s="418"/>
      <c r="L2037" s="983" t="s">
        <v>1839</v>
      </c>
      <c r="M2037" s="643"/>
      <c r="N2037" s="724" t="str">
        <f t="shared" ref="N2037:N2050" si="1082">A2037</f>
        <v>2019,5</v>
      </c>
      <c r="O2037" s="453" t="s">
        <v>154</v>
      </c>
      <c r="P2037" s="728"/>
      <c r="Q2037" s="419"/>
      <c r="R2037" s="420"/>
      <c r="S2037" s="417"/>
      <c r="T2037" s="417"/>
      <c r="U2037" s="421"/>
      <c r="V2037" s="421"/>
      <c r="W2037" s="479">
        <f t="shared" ref="W2037:W2068" si="1083">(G2037-T2037)</f>
        <v>0</v>
      </c>
      <c r="X2037" s="421"/>
      <c r="Y2037" s="421"/>
    </row>
    <row r="2038" spans="1:25" ht="30" hidden="1" customHeight="1" x14ac:dyDescent="0.25">
      <c r="A2038" s="82">
        <v>190401</v>
      </c>
      <c r="B2038" s="664" t="s">
        <v>575</v>
      </c>
      <c r="C2038" s="71" t="s">
        <v>1850</v>
      </c>
      <c r="D2038" s="71">
        <v>1</v>
      </c>
      <c r="E2038" s="102">
        <v>5500000</v>
      </c>
      <c r="F2038" s="102">
        <f t="shared" ref="F2038:F2050" si="1084">(E2038*D2038)*1.1</f>
        <v>6050000.0000000009</v>
      </c>
      <c r="G2038" s="102">
        <f t="shared" ref="G2038:G2050" si="1085">(E2038*D2038)</f>
        <v>5500000</v>
      </c>
      <c r="H2038" s="690" t="s">
        <v>1431</v>
      </c>
      <c r="I2038" s="71" t="s">
        <v>1431</v>
      </c>
      <c r="J2038" s="53">
        <f>G2038-T2038</f>
        <v>802793.73356170394</v>
      </c>
      <c r="K2038" s="63">
        <f>(J2038/(F2038/11*10))</f>
        <v>0.14596249701121888</v>
      </c>
      <c r="L2038" s="871" t="s">
        <v>1839</v>
      </c>
      <c r="M2038" s="468"/>
      <c r="N2038" s="664">
        <f t="shared" si="1082"/>
        <v>190401</v>
      </c>
      <c r="O2038" s="71" t="s">
        <v>1431</v>
      </c>
      <c r="P2038" s="103" t="str">
        <f t="shared" ref="P2038:Q2044" si="1086">C2038</f>
        <v>미터링 롤러</v>
      </c>
      <c r="Q2038" s="71">
        <f t="shared" si="1086"/>
        <v>1</v>
      </c>
      <c r="R2038" s="102">
        <f>Import!G176</f>
        <v>4697206.2664382961</v>
      </c>
      <c r="S2038" s="102">
        <f>R2038*Q2038*1.1</f>
        <v>5166926.893082126</v>
      </c>
      <c r="T2038" s="102">
        <f>R2038*Q2038</f>
        <v>4697206.2664382961</v>
      </c>
      <c r="U2038" s="71" t="str">
        <f t="shared" ref="U2038:U2046" si="1087">IF(J2038=W2038,"O", "X")</f>
        <v>O</v>
      </c>
      <c r="V2038" s="71"/>
      <c r="W2038" s="474">
        <f t="shared" si="1083"/>
        <v>802793.73356170394</v>
      </c>
      <c r="X2038" s="71"/>
      <c r="Y2038" s="71"/>
    </row>
    <row r="2039" spans="1:25" s="209" customFormat="1" ht="30" hidden="1" customHeight="1" x14ac:dyDescent="0.25">
      <c r="A2039" s="82">
        <v>190426</v>
      </c>
      <c r="B2039" s="664" t="s">
        <v>764</v>
      </c>
      <c r="C2039" s="71" t="s">
        <v>236</v>
      </c>
      <c r="D2039" s="71">
        <v>5</v>
      </c>
      <c r="E2039" s="102">
        <v>100000</v>
      </c>
      <c r="F2039" s="102">
        <f t="shared" si="1084"/>
        <v>550000</v>
      </c>
      <c r="G2039" s="102">
        <f t="shared" si="1085"/>
        <v>500000</v>
      </c>
      <c r="H2039" s="690" t="s">
        <v>173</v>
      </c>
      <c r="I2039" s="71" t="s">
        <v>2231</v>
      </c>
      <c r="J2039" s="53">
        <f>(G2039-(VLOOKUP(C2039,Price!B:D,3,FALSE)*D2039))</f>
        <v>250000</v>
      </c>
      <c r="K2039" s="63">
        <f t="shared" ref="K2039:K2046" si="1088">(J2039/(F2039/11*10))</f>
        <v>0.5</v>
      </c>
      <c r="L2039" s="871" t="s">
        <v>1839</v>
      </c>
      <c r="M2039" s="468"/>
      <c r="N2039" s="664">
        <f t="shared" si="1082"/>
        <v>190426</v>
      </c>
      <c r="O2039" s="71" t="s">
        <v>153</v>
      </c>
      <c r="P2039" s="103" t="str">
        <f t="shared" si="1086"/>
        <v>아스테이지(국전)</v>
      </c>
      <c r="Q2039" s="71">
        <f t="shared" si="1086"/>
        <v>5</v>
      </c>
      <c r="R2039" s="102">
        <f>VLOOKUP(P2039,Price!B:D,3,FALSE)</f>
        <v>50000</v>
      </c>
      <c r="S2039" s="102">
        <f>R2039*Q2039*1.1</f>
        <v>275000</v>
      </c>
      <c r="T2039" s="102">
        <f>R2039*Q2039</f>
        <v>250000</v>
      </c>
      <c r="U2039" s="71" t="str">
        <f t="shared" si="1087"/>
        <v>O</v>
      </c>
      <c r="V2039" s="71"/>
      <c r="W2039" s="474">
        <f t="shared" si="1083"/>
        <v>250000</v>
      </c>
      <c r="X2039" s="71"/>
      <c r="Y2039" s="71"/>
    </row>
    <row r="2040" spans="1:25" s="209" customFormat="1" ht="30" customHeight="1" x14ac:dyDescent="0.25">
      <c r="A2040" s="82">
        <v>190501</v>
      </c>
      <c r="B2040" s="664" t="s">
        <v>565</v>
      </c>
      <c r="C2040" s="71" t="s">
        <v>1888</v>
      </c>
      <c r="D2040" s="71">
        <v>1</v>
      </c>
      <c r="E2040" s="102">
        <v>3000000</v>
      </c>
      <c r="F2040" s="102">
        <f t="shared" si="1084"/>
        <v>3300000.0000000005</v>
      </c>
      <c r="G2040" s="102">
        <f t="shared" si="1085"/>
        <v>3000000</v>
      </c>
      <c r="H2040" s="690" t="s">
        <v>985</v>
      </c>
      <c r="I2040" s="71" t="s">
        <v>985</v>
      </c>
      <c r="J2040" s="53">
        <v>0</v>
      </c>
      <c r="K2040" s="63">
        <v>0</v>
      </c>
      <c r="L2040" s="871" t="s">
        <v>1839</v>
      </c>
      <c r="M2040" s="468"/>
      <c r="N2040" s="664">
        <f t="shared" si="1082"/>
        <v>190501</v>
      </c>
      <c r="O2040" s="71" t="s">
        <v>1431</v>
      </c>
      <c r="P2040" s="103" t="str">
        <f t="shared" si="1086"/>
        <v>M600 Tan 서비스 자재 비용</v>
      </c>
      <c r="Q2040" s="71">
        <f t="shared" si="1086"/>
        <v>1</v>
      </c>
      <c r="R2040" s="102">
        <v>3000000</v>
      </c>
      <c r="S2040" s="102">
        <f>R2040*Q2040*1.1</f>
        <v>3300000.0000000005</v>
      </c>
      <c r="T2040" s="102">
        <f>R2040*Q2040</f>
        <v>3000000</v>
      </c>
      <c r="U2040" s="71" t="str">
        <f t="shared" si="1087"/>
        <v>O</v>
      </c>
      <c r="V2040" s="71"/>
      <c r="W2040" s="474">
        <f t="shared" si="1083"/>
        <v>0</v>
      </c>
      <c r="X2040" s="71"/>
      <c r="Y2040" s="71"/>
    </row>
    <row r="2041" spans="1:25" ht="30" hidden="1" customHeight="1" x14ac:dyDescent="0.25">
      <c r="A2041" s="82">
        <v>190502</v>
      </c>
      <c r="B2041" s="664" t="s">
        <v>983</v>
      </c>
      <c r="C2041" s="71" t="s">
        <v>1860</v>
      </c>
      <c r="D2041" s="71">
        <v>2</v>
      </c>
      <c r="E2041" s="102">
        <v>850000</v>
      </c>
      <c r="F2041" s="102">
        <f t="shared" si="1084"/>
        <v>1870000.0000000002</v>
      </c>
      <c r="G2041" s="102">
        <f t="shared" si="1085"/>
        <v>1700000</v>
      </c>
      <c r="H2041" s="690" t="s">
        <v>173</v>
      </c>
      <c r="I2041" s="71" t="s">
        <v>2231</v>
      </c>
      <c r="J2041" s="53">
        <f>G2041-T2041</f>
        <v>600000</v>
      </c>
      <c r="K2041" s="63">
        <f t="shared" si="1088"/>
        <v>0.3529411764705882</v>
      </c>
      <c r="L2041" s="871" t="s">
        <v>1839</v>
      </c>
      <c r="M2041" s="468"/>
      <c r="N2041" s="664">
        <f t="shared" si="1082"/>
        <v>190502</v>
      </c>
      <c r="O2041" s="71" t="s">
        <v>1861</v>
      </c>
      <c r="P2041" s="103" t="str">
        <f t="shared" si="1086"/>
        <v>건타입 스트립퍼</v>
      </c>
      <c r="Q2041" s="71">
        <f t="shared" si="1086"/>
        <v>2</v>
      </c>
      <c r="R2041" s="102">
        <v>550000</v>
      </c>
      <c r="S2041" s="102">
        <f>R2041*Q2041*1.1</f>
        <v>1210000</v>
      </c>
      <c r="T2041" s="102">
        <f>R2041*Q2041</f>
        <v>1100000</v>
      </c>
      <c r="U2041" s="71" t="str">
        <f t="shared" si="1087"/>
        <v>O</v>
      </c>
      <c r="V2041" s="71"/>
      <c r="W2041" s="474">
        <f t="shared" si="1083"/>
        <v>600000</v>
      </c>
      <c r="X2041" s="71"/>
      <c r="Y2041" s="71"/>
    </row>
    <row r="2042" spans="1:25" s="209" customFormat="1" ht="30" hidden="1" customHeight="1" x14ac:dyDescent="0.25">
      <c r="A2042" s="82">
        <v>190502</v>
      </c>
      <c r="B2042" s="664" t="s">
        <v>442</v>
      </c>
      <c r="C2042" s="71" t="s">
        <v>138</v>
      </c>
      <c r="D2042" s="71">
        <v>22</v>
      </c>
      <c r="E2042" s="102">
        <v>69000</v>
      </c>
      <c r="F2042" s="102">
        <f t="shared" si="1084"/>
        <v>1669800.0000000002</v>
      </c>
      <c r="G2042" s="102">
        <f t="shared" si="1085"/>
        <v>1518000</v>
      </c>
      <c r="H2042" s="690" t="s">
        <v>173</v>
      </c>
      <c r="I2042" s="71" t="s">
        <v>108</v>
      </c>
      <c r="J2042" s="53">
        <f>(G2042-(VLOOKUP(C2042,Price!B:D,3,FALSE)*D2042))-96800</f>
        <v>299200</v>
      </c>
      <c r="K2042" s="63">
        <f t="shared" si="1088"/>
        <v>0.1971014492753623</v>
      </c>
      <c r="L2042" s="871" t="s">
        <v>1839</v>
      </c>
      <c r="M2042" s="468" t="s">
        <v>1854</v>
      </c>
      <c r="N2042" s="664">
        <f t="shared" si="1082"/>
        <v>190502</v>
      </c>
      <c r="O2042" s="71" t="s">
        <v>150</v>
      </c>
      <c r="P2042" s="103" t="str">
        <f t="shared" si="1086"/>
        <v>매엽용 세척제(Wash 562)</v>
      </c>
      <c r="Q2042" s="71">
        <f t="shared" si="1086"/>
        <v>22</v>
      </c>
      <c r="R2042" s="102">
        <v>51000</v>
      </c>
      <c r="S2042" s="102">
        <f>(R2042*D2042)*1.1</f>
        <v>1234200</v>
      </c>
      <c r="T2042" s="102">
        <f>(R2042*Q2042)</f>
        <v>1122000</v>
      </c>
      <c r="U2042" s="71" t="str">
        <f t="shared" si="1087"/>
        <v>X</v>
      </c>
      <c r="V2042" s="71"/>
      <c r="W2042" s="474">
        <f t="shared" si="1083"/>
        <v>396000</v>
      </c>
      <c r="X2042" s="71"/>
      <c r="Y2042" s="71"/>
    </row>
    <row r="2043" spans="1:25" ht="30" hidden="1" customHeight="1" x14ac:dyDescent="0.25">
      <c r="A2043" s="82">
        <v>190502</v>
      </c>
      <c r="B2043" s="664" t="s">
        <v>690</v>
      </c>
      <c r="C2043" s="71" t="s">
        <v>217</v>
      </c>
      <c r="D2043" s="71">
        <v>2</v>
      </c>
      <c r="E2043" s="102">
        <v>145000</v>
      </c>
      <c r="F2043" s="102">
        <f t="shared" si="1084"/>
        <v>319000</v>
      </c>
      <c r="G2043" s="102">
        <f t="shared" si="1085"/>
        <v>290000</v>
      </c>
      <c r="H2043" s="690" t="s">
        <v>173</v>
      </c>
      <c r="I2043" s="71" t="s">
        <v>108</v>
      </c>
      <c r="J2043" s="53">
        <f>(G2043-(VLOOKUP(C2043,Price!B:D,3,FALSE)*D2043))</f>
        <v>130000</v>
      </c>
      <c r="K2043" s="63">
        <f t="shared" si="1088"/>
        <v>0.44827586206896552</v>
      </c>
      <c r="L2043" s="871" t="s">
        <v>1839</v>
      </c>
      <c r="M2043" s="468"/>
      <c r="N2043" s="664">
        <f t="shared" si="1082"/>
        <v>190502</v>
      </c>
      <c r="O2043" s="71" t="s">
        <v>150</v>
      </c>
      <c r="P2043" s="103" t="str">
        <f t="shared" si="1086"/>
        <v>Fount 511</v>
      </c>
      <c r="Q2043" s="71">
        <f t="shared" si="1086"/>
        <v>2</v>
      </c>
      <c r="R2043" s="102">
        <f>VLOOKUP(P2043,Price!B:D,3,FALSE)</f>
        <v>80000</v>
      </c>
      <c r="S2043" s="102">
        <f>R2043*Q2043*1.1</f>
        <v>176000</v>
      </c>
      <c r="T2043" s="102">
        <f>R2043*Q2043</f>
        <v>160000</v>
      </c>
      <c r="U2043" s="71" t="str">
        <f t="shared" si="1087"/>
        <v>O</v>
      </c>
      <c r="V2043" s="71"/>
      <c r="W2043" s="474">
        <f t="shared" si="1083"/>
        <v>130000</v>
      </c>
      <c r="X2043" s="71"/>
      <c r="Y2043" s="71"/>
    </row>
    <row r="2044" spans="1:25" s="209" customFormat="1" ht="30" hidden="1" customHeight="1" x14ac:dyDescent="0.2">
      <c r="A2044" s="82">
        <v>190503</v>
      </c>
      <c r="B2044" s="664" t="s">
        <v>445</v>
      </c>
      <c r="C2044" s="71" t="s">
        <v>138</v>
      </c>
      <c r="D2044" s="71">
        <v>10</v>
      </c>
      <c r="E2044" s="102">
        <v>59500</v>
      </c>
      <c r="F2044" s="163">
        <f t="shared" si="1084"/>
        <v>654500</v>
      </c>
      <c r="G2044" s="102">
        <f t="shared" si="1085"/>
        <v>595000</v>
      </c>
      <c r="H2044" s="165" t="s">
        <v>172</v>
      </c>
      <c r="I2044" s="71" t="s">
        <v>108</v>
      </c>
      <c r="J2044" s="53">
        <f>(G2044-(VLOOKUP(C2044,Price!B:D,3,FALSE)*D2044))</f>
        <v>85000</v>
      </c>
      <c r="K2044" s="63">
        <f t="shared" si="1088"/>
        <v>0.14285714285714285</v>
      </c>
      <c r="L2044" s="871" t="s">
        <v>1839</v>
      </c>
      <c r="M2044" s="468"/>
      <c r="N2044" s="664">
        <f t="shared" si="1082"/>
        <v>190503</v>
      </c>
      <c r="O2044" s="71" t="s">
        <v>150</v>
      </c>
      <c r="P2044" s="103" t="str">
        <f t="shared" si="1086"/>
        <v>매엽용 세척제(Wash 562)</v>
      </c>
      <c r="Q2044" s="71">
        <f t="shared" si="1086"/>
        <v>10</v>
      </c>
      <c r="R2044" s="102">
        <v>51000</v>
      </c>
      <c r="S2044" s="102">
        <f>(R2044*D2044)*1.1</f>
        <v>561000</v>
      </c>
      <c r="T2044" s="102">
        <f>(R2044*Q2044)</f>
        <v>510000</v>
      </c>
      <c r="U2044" s="71" t="str">
        <f t="shared" si="1087"/>
        <v>O</v>
      </c>
      <c r="V2044" s="71"/>
      <c r="W2044" s="474">
        <f t="shared" si="1083"/>
        <v>85000</v>
      </c>
      <c r="X2044" s="71"/>
      <c r="Y2044" s="71"/>
    </row>
    <row r="2045" spans="1:25" s="209" customFormat="1" ht="30" hidden="1" customHeight="1" x14ac:dyDescent="0.25">
      <c r="A2045" s="82">
        <v>190503</v>
      </c>
      <c r="B2045" s="664" t="s">
        <v>442</v>
      </c>
      <c r="C2045" s="71" t="s">
        <v>107</v>
      </c>
      <c r="D2045" s="71">
        <v>6</v>
      </c>
      <c r="E2045" s="102">
        <v>110000</v>
      </c>
      <c r="F2045" s="102">
        <f t="shared" si="1084"/>
        <v>726000.00000000012</v>
      </c>
      <c r="G2045" s="102">
        <f t="shared" si="1085"/>
        <v>660000</v>
      </c>
      <c r="H2045" s="690" t="s">
        <v>173</v>
      </c>
      <c r="I2045" s="71" t="s">
        <v>109</v>
      </c>
      <c r="J2045" s="53">
        <f>G2045-S2045</f>
        <v>128700</v>
      </c>
      <c r="K2045" s="63">
        <f t="shared" si="1088"/>
        <v>0.19499999999999998</v>
      </c>
      <c r="L2045" s="871" t="s">
        <v>1839</v>
      </c>
      <c r="M2045" s="468" t="s">
        <v>1864</v>
      </c>
      <c r="N2045" s="664">
        <f t="shared" si="1082"/>
        <v>190503</v>
      </c>
      <c r="O2045" s="71" t="s">
        <v>147</v>
      </c>
      <c r="P2045" s="103" t="str">
        <f>(C2045)</f>
        <v>Blanket(1050*840)</v>
      </c>
      <c r="Q2045" s="71">
        <v>7</v>
      </c>
      <c r="R2045" s="102">
        <v>80500</v>
      </c>
      <c r="S2045" s="102">
        <f>(R2045*D2045)*1.1</f>
        <v>531300</v>
      </c>
      <c r="T2045" s="102">
        <f>(R2045*Q2045)</f>
        <v>563500</v>
      </c>
      <c r="U2045" s="71" t="str">
        <f t="shared" si="1087"/>
        <v>X</v>
      </c>
      <c r="V2045" s="71"/>
      <c r="W2045" s="474">
        <f t="shared" si="1083"/>
        <v>96500</v>
      </c>
      <c r="X2045" s="71"/>
      <c r="Y2045" s="71"/>
    </row>
    <row r="2046" spans="1:25" ht="30" hidden="1" customHeight="1" x14ac:dyDescent="0.25">
      <c r="A2046" s="82">
        <v>190506</v>
      </c>
      <c r="B2046" s="664" t="s">
        <v>446</v>
      </c>
      <c r="C2046" s="71" t="s">
        <v>1144</v>
      </c>
      <c r="D2046" s="71">
        <v>10</v>
      </c>
      <c r="E2046" s="102">
        <v>110000</v>
      </c>
      <c r="F2046" s="102">
        <f t="shared" si="1084"/>
        <v>1210000</v>
      </c>
      <c r="G2046" s="102">
        <f t="shared" si="1085"/>
        <v>1100000</v>
      </c>
      <c r="H2046" s="690" t="s">
        <v>173</v>
      </c>
      <c r="I2046" s="71" t="s">
        <v>2231</v>
      </c>
      <c r="J2046" s="53">
        <f>G2046-T2046</f>
        <v>190000</v>
      </c>
      <c r="K2046" s="63">
        <f t="shared" si="1088"/>
        <v>0.17272727272727273</v>
      </c>
      <c r="L2046" s="871" t="s">
        <v>1839</v>
      </c>
      <c r="M2046" s="468"/>
      <c r="N2046" s="664">
        <f t="shared" si="1082"/>
        <v>190506</v>
      </c>
      <c r="O2046" s="71" t="s">
        <v>150</v>
      </c>
      <c r="P2046" s="103" t="str">
        <f t="shared" ref="P2046:Q2050" si="1089">C2046</f>
        <v>실리콘 에멀전</v>
      </c>
      <c r="Q2046" s="71">
        <f t="shared" si="1089"/>
        <v>10</v>
      </c>
      <c r="R2046" s="102">
        <v>91000</v>
      </c>
      <c r="S2046" s="102">
        <f t="shared" ref="S2046:S2054" si="1090">R2046*Q2046*1.1</f>
        <v>1001000.0000000001</v>
      </c>
      <c r="T2046" s="102">
        <f t="shared" ref="T2046:T2054" si="1091">R2046*Q2046</f>
        <v>910000</v>
      </c>
      <c r="U2046" s="71" t="str">
        <f t="shared" si="1087"/>
        <v>O</v>
      </c>
      <c r="V2046" s="71"/>
      <c r="W2046" s="474">
        <f t="shared" si="1083"/>
        <v>190000</v>
      </c>
      <c r="X2046" s="71"/>
      <c r="Y2046" s="71"/>
    </row>
    <row r="2047" spans="1:25" ht="30" hidden="1" customHeight="1" x14ac:dyDescent="0.25">
      <c r="A2047" s="82">
        <v>190507</v>
      </c>
      <c r="B2047" s="664" t="s">
        <v>546</v>
      </c>
      <c r="C2047" s="71" t="s">
        <v>920</v>
      </c>
      <c r="D2047" s="71">
        <v>3</v>
      </c>
      <c r="E2047" s="102">
        <v>270000</v>
      </c>
      <c r="F2047" s="102">
        <f t="shared" si="1084"/>
        <v>891000.00000000012</v>
      </c>
      <c r="G2047" s="102">
        <f t="shared" si="1085"/>
        <v>810000</v>
      </c>
      <c r="H2047" s="690" t="s">
        <v>1431</v>
      </c>
      <c r="I2047" s="71" t="s">
        <v>1431</v>
      </c>
      <c r="J2047" s="53">
        <f>G2047-T2047</f>
        <v>166236.98619389767</v>
      </c>
      <c r="K2047" s="63">
        <f t="shared" ref="K2047:K2054" si="1092">(J2047/(F2047/11*10))</f>
        <v>0.20523084715296006</v>
      </c>
      <c r="L2047" s="871" t="s">
        <v>1863</v>
      </c>
      <c r="M2047" s="468"/>
      <c r="N2047" s="664">
        <f t="shared" si="1082"/>
        <v>190507</v>
      </c>
      <c r="O2047" s="71" t="s">
        <v>1431</v>
      </c>
      <c r="P2047" s="103" t="str">
        <f t="shared" si="1089"/>
        <v>에어 실린더</v>
      </c>
      <c r="Q2047" s="71">
        <f t="shared" si="1089"/>
        <v>3</v>
      </c>
      <c r="R2047" s="102">
        <f>Import!G181</f>
        <v>214587.6712687008</v>
      </c>
      <c r="S2047" s="102">
        <f t="shared" si="1090"/>
        <v>708139.31518671266</v>
      </c>
      <c r="T2047" s="102">
        <f t="shared" si="1091"/>
        <v>643763.01380610233</v>
      </c>
      <c r="U2047" s="71"/>
      <c r="V2047" s="71"/>
      <c r="W2047" s="474">
        <f t="shared" si="1083"/>
        <v>166236.98619389767</v>
      </c>
      <c r="X2047" s="71"/>
      <c r="Y2047" s="71"/>
    </row>
    <row r="2048" spans="1:25" ht="30" customHeight="1" x14ac:dyDescent="0.25">
      <c r="A2048" s="82">
        <v>190507</v>
      </c>
      <c r="B2048" s="664" t="s">
        <v>565</v>
      </c>
      <c r="C2048" s="71" t="s">
        <v>1890</v>
      </c>
      <c r="D2048" s="71">
        <v>2</v>
      </c>
      <c r="E2048" s="102">
        <v>400000</v>
      </c>
      <c r="F2048" s="102">
        <f t="shared" si="1084"/>
        <v>880000.00000000012</v>
      </c>
      <c r="G2048" s="102">
        <f t="shared" si="1085"/>
        <v>800000</v>
      </c>
      <c r="H2048" s="690" t="s">
        <v>1431</v>
      </c>
      <c r="I2048" s="71" t="s">
        <v>1431</v>
      </c>
      <c r="J2048" s="53">
        <f>G2048-T2048</f>
        <v>500877.30878157279</v>
      </c>
      <c r="K2048" s="63">
        <f t="shared" si="1092"/>
        <v>0.62609663597696585</v>
      </c>
      <c r="L2048" s="871" t="s">
        <v>1863</v>
      </c>
      <c r="M2048" s="468"/>
      <c r="N2048" s="664">
        <f t="shared" si="1082"/>
        <v>190507</v>
      </c>
      <c r="O2048" s="71" t="s">
        <v>1431</v>
      </c>
      <c r="P2048" s="103" t="str">
        <f t="shared" si="1089"/>
        <v>에어 실린더(111)</v>
      </c>
      <c r="Q2048" s="71">
        <f t="shared" si="1089"/>
        <v>2</v>
      </c>
      <c r="R2048" s="102">
        <f>Import!G182</f>
        <v>149561.3456092136</v>
      </c>
      <c r="S2048" s="102">
        <f t="shared" si="1090"/>
        <v>329034.96034026996</v>
      </c>
      <c r="T2048" s="102">
        <f t="shared" si="1091"/>
        <v>299122.69121842721</v>
      </c>
      <c r="U2048" s="71"/>
      <c r="V2048" s="71"/>
      <c r="W2048" s="474">
        <f t="shared" si="1083"/>
        <v>500877.30878157279</v>
      </c>
      <c r="X2048" s="71"/>
      <c r="Y2048" s="71"/>
    </row>
    <row r="2049" spans="1:25" ht="30" hidden="1" customHeight="1" x14ac:dyDescent="0.25">
      <c r="A2049" s="82">
        <v>190507</v>
      </c>
      <c r="B2049" s="664" t="s">
        <v>640</v>
      </c>
      <c r="C2049" s="71" t="s">
        <v>920</v>
      </c>
      <c r="D2049" s="71">
        <v>2</v>
      </c>
      <c r="E2049" s="102">
        <v>270000</v>
      </c>
      <c r="F2049" s="102">
        <f t="shared" si="1084"/>
        <v>594000</v>
      </c>
      <c r="G2049" s="102">
        <f t="shared" si="1085"/>
        <v>540000</v>
      </c>
      <c r="H2049" s="690" t="s">
        <v>1431</v>
      </c>
      <c r="I2049" s="71" t="s">
        <v>1431</v>
      </c>
      <c r="J2049" s="53">
        <f>G2049-T2049</f>
        <v>110824</v>
      </c>
      <c r="K2049" s="63">
        <f t="shared" si="1092"/>
        <v>0.20522962962962962</v>
      </c>
      <c r="L2049" s="871" t="s">
        <v>1863</v>
      </c>
      <c r="M2049" s="468"/>
      <c r="N2049" s="664">
        <f t="shared" si="1082"/>
        <v>190507</v>
      </c>
      <c r="O2049" s="71" t="s">
        <v>1431</v>
      </c>
      <c r="P2049" s="103" t="str">
        <f t="shared" si="1089"/>
        <v>에어 실린더</v>
      </c>
      <c r="Q2049" s="71">
        <f t="shared" si="1089"/>
        <v>2</v>
      </c>
      <c r="R2049" s="102">
        <v>214588</v>
      </c>
      <c r="S2049" s="102">
        <f t="shared" si="1090"/>
        <v>472093.60000000003</v>
      </c>
      <c r="T2049" s="102">
        <f t="shared" si="1091"/>
        <v>429176</v>
      </c>
      <c r="U2049" s="71"/>
      <c r="V2049" s="71"/>
      <c r="W2049" s="474">
        <f t="shared" si="1083"/>
        <v>110824</v>
      </c>
      <c r="X2049" s="71"/>
      <c r="Y2049" s="71"/>
    </row>
    <row r="2050" spans="1:25" ht="30" hidden="1" customHeight="1" x14ac:dyDescent="0.25">
      <c r="A2050" s="82">
        <v>190507</v>
      </c>
      <c r="B2050" s="664" t="s">
        <v>1286</v>
      </c>
      <c r="C2050" s="71" t="s">
        <v>920</v>
      </c>
      <c r="D2050" s="71">
        <v>2</v>
      </c>
      <c r="E2050" s="102">
        <v>270000</v>
      </c>
      <c r="F2050" s="102">
        <f t="shared" si="1084"/>
        <v>594000</v>
      </c>
      <c r="G2050" s="102">
        <f t="shared" si="1085"/>
        <v>540000</v>
      </c>
      <c r="H2050" s="690" t="s">
        <v>1431</v>
      </c>
      <c r="I2050" s="71" t="s">
        <v>1431</v>
      </c>
      <c r="J2050" s="53">
        <f>G2050-T2050</f>
        <v>110824</v>
      </c>
      <c r="K2050" s="63">
        <f t="shared" si="1092"/>
        <v>0.20522962962962962</v>
      </c>
      <c r="L2050" s="871" t="s">
        <v>1863</v>
      </c>
      <c r="M2050" s="468"/>
      <c r="N2050" s="664">
        <f t="shared" si="1082"/>
        <v>190507</v>
      </c>
      <c r="O2050" s="71" t="s">
        <v>1431</v>
      </c>
      <c r="P2050" s="103" t="str">
        <f t="shared" si="1089"/>
        <v>에어 실린더</v>
      </c>
      <c r="Q2050" s="71">
        <f t="shared" si="1089"/>
        <v>2</v>
      </c>
      <c r="R2050" s="102">
        <v>214588</v>
      </c>
      <c r="S2050" s="102">
        <f t="shared" si="1090"/>
        <v>472093.60000000003</v>
      </c>
      <c r="T2050" s="102">
        <f t="shared" si="1091"/>
        <v>429176</v>
      </c>
      <c r="U2050" s="71"/>
      <c r="V2050" s="71"/>
      <c r="W2050" s="474">
        <f t="shared" si="1083"/>
        <v>110824</v>
      </c>
      <c r="X2050" s="71"/>
      <c r="Y2050" s="71"/>
    </row>
    <row r="2051" spans="1:25" ht="30" hidden="1" customHeight="1" x14ac:dyDescent="0.25">
      <c r="A2051" s="82">
        <v>190508</v>
      </c>
      <c r="B2051" s="664" t="s">
        <v>690</v>
      </c>
      <c r="C2051" s="67" t="s">
        <v>197</v>
      </c>
      <c r="D2051" s="71">
        <v>4</v>
      </c>
      <c r="E2051" s="102">
        <v>49000</v>
      </c>
      <c r="F2051" s="102">
        <f t="shared" ref="F2051:F2065" si="1093">(E2051*D2051)*1.1</f>
        <v>215600.00000000003</v>
      </c>
      <c r="G2051" s="102">
        <f t="shared" ref="G2051:G2065" si="1094">(E2051*D2051)</f>
        <v>196000</v>
      </c>
      <c r="H2051" s="690" t="s">
        <v>173</v>
      </c>
      <c r="I2051" s="71" t="s">
        <v>2230</v>
      </c>
      <c r="J2051" s="53">
        <f>(G2051-(VLOOKUP(C2051,Price!B:D,3,FALSE)*D2051))</f>
        <v>56000</v>
      </c>
      <c r="K2051" s="63">
        <f t="shared" si="1092"/>
        <v>0.2857142857142857</v>
      </c>
      <c r="L2051" s="871" t="s">
        <v>1863</v>
      </c>
      <c r="M2051" s="468" t="s">
        <v>1394</v>
      </c>
      <c r="N2051" s="664">
        <f t="shared" ref="N2051:N2065" si="1095">A2051</f>
        <v>190508</v>
      </c>
      <c r="O2051" s="71" t="s">
        <v>145</v>
      </c>
      <c r="P2051" s="103" t="str">
        <f>C2051</f>
        <v>THR200(20L)</v>
      </c>
      <c r="Q2051" s="71">
        <f t="shared" ref="Q2051:Q2065" si="1096">D2051</f>
        <v>4</v>
      </c>
      <c r="R2051" s="102">
        <v>35000</v>
      </c>
      <c r="S2051" s="102">
        <f t="shared" si="1090"/>
        <v>154000</v>
      </c>
      <c r="T2051" s="102">
        <f t="shared" si="1091"/>
        <v>140000</v>
      </c>
      <c r="U2051" s="71" t="str">
        <f t="shared" ref="U2051:U2087" si="1097">IF(J2051=W2051,"O", "X")</f>
        <v>O</v>
      </c>
      <c r="V2051" s="71"/>
      <c r="W2051" s="474">
        <f t="shared" si="1083"/>
        <v>56000</v>
      </c>
      <c r="X2051" s="71"/>
      <c r="Y2051" s="71"/>
    </row>
    <row r="2052" spans="1:25" ht="30" hidden="1" customHeight="1" x14ac:dyDescent="0.25">
      <c r="A2052" s="82">
        <v>190508</v>
      </c>
      <c r="B2052" s="664" t="s">
        <v>690</v>
      </c>
      <c r="C2052" s="71" t="s">
        <v>1186</v>
      </c>
      <c r="D2052" s="71">
        <v>500</v>
      </c>
      <c r="E2052" s="102">
        <v>3600</v>
      </c>
      <c r="F2052" s="102">
        <f t="shared" si="1093"/>
        <v>1980000.0000000002</v>
      </c>
      <c r="G2052" s="102">
        <f t="shared" si="1094"/>
        <v>1800000</v>
      </c>
      <c r="H2052" s="690" t="s">
        <v>173</v>
      </c>
      <c r="I2052" s="71" t="s">
        <v>2230</v>
      </c>
      <c r="J2052" s="53">
        <f>(G2052-(VLOOKUP(C2052,Price!B:D,3,FALSE)*D2052))</f>
        <v>-200000</v>
      </c>
      <c r="K2052" s="63">
        <f t="shared" si="1092"/>
        <v>-0.11111111111111109</v>
      </c>
      <c r="L2052" s="871" t="s">
        <v>1863</v>
      </c>
      <c r="M2052" s="468" t="s">
        <v>1393</v>
      </c>
      <c r="N2052" s="664">
        <f t="shared" si="1095"/>
        <v>190508</v>
      </c>
      <c r="O2052" s="71" t="s">
        <v>145</v>
      </c>
      <c r="P2052" s="103" t="str">
        <f>C2052</f>
        <v>CTP 판(1030*790mm)</v>
      </c>
      <c r="Q2052" s="71">
        <f t="shared" si="1096"/>
        <v>500</v>
      </c>
      <c r="R2052" s="102">
        <v>4000</v>
      </c>
      <c r="S2052" s="102">
        <f t="shared" si="1090"/>
        <v>2200000</v>
      </c>
      <c r="T2052" s="102">
        <f t="shared" si="1091"/>
        <v>2000000</v>
      </c>
      <c r="U2052" s="71" t="str">
        <f t="shared" si="1097"/>
        <v>O</v>
      </c>
      <c r="V2052" s="71"/>
      <c r="W2052" s="474">
        <f t="shared" si="1083"/>
        <v>-200000</v>
      </c>
      <c r="X2052" s="71"/>
      <c r="Y2052" s="71"/>
    </row>
    <row r="2053" spans="1:25" s="209" customFormat="1" ht="30" hidden="1" customHeight="1" x14ac:dyDescent="0.25">
      <c r="A2053" s="82">
        <v>190510</v>
      </c>
      <c r="B2053" s="664" t="s">
        <v>764</v>
      </c>
      <c r="C2053" s="71" t="s">
        <v>236</v>
      </c>
      <c r="D2053" s="71">
        <v>5</v>
      </c>
      <c r="E2053" s="102">
        <v>100000</v>
      </c>
      <c r="F2053" s="102">
        <f t="shared" si="1093"/>
        <v>550000</v>
      </c>
      <c r="G2053" s="102">
        <f t="shared" si="1094"/>
        <v>500000</v>
      </c>
      <c r="H2053" s="690" t="s">
        <v>173</v>
      </c>
      <c r="I2053" s="71" t="s">
        <v>2231</v>
      </c>
      <c r="J2053" s="53">
        <f>(G2053-(VLOOKUP(C2053,Price!B:D,3,FALSE)*D2053))</f>
        <v>250000</v>
      </c>
      <c r="K2053" s="63">
        <f t="shared" si="1092"/>
        <v>0.5</v>
      </c>
      <c r="L2053" s="871" t="s">
        <v>1863</v>
      </c>
      <c r="M2053" s="468"/>
      <c r="N2053" s="664">
        <f t="shared" si="1095"/>
        <v>190510</v>
      </c>
      <c r="O2053" s="71" t="s">
        <v>153</v>
      </c>
      <c r="P2053" s="103" t="str">
        <f>C2053</f>
        <v>아스테이지(국전)</v>
      </c>
      <c r="Q2053" s="71">
        <f t="shared" si="1096"/>
        <v>5</v>
      </c>
      <c r="R2053" s="102">
        <f>VLOOKUP(P2053,Price!B:D,3,FALSE)</f>
        <v>50000</v>
      </c>
      <c r="S2053" s="102">
        <f t="shared" si="1090"/>
        <v>275000</v>
      </c>
      <c r="T2053" s="102">
        <f t="shared" si="1091"/>
        <v>250000</v>
      </c>
      <c r="U2053" s="71" t="str">
        <f t="shared" si="1097"/>
        <v>O</v>
      </c>
      <c r="V2053" s="71"/>
      <c r="W2053" s="474">
        <f t="shared" si="1083"/>
        <v>250000</v>
      </c>
      <c r="X2053" s="71"/>
      <c r="Y2053" s="71"/>
    </row>
    <row r="2054" spans="1:25" ht="30" hidden="1" customHeight="1" x14ac:dyDescent="0.25">
      <c r="A2054" s="82">
        <v>190510</v>
      </c>
      <c r="B2054" s="664" t="s">
        <v>1579</v>
      </c>
      <c r="C2054" s="71" t="s">
        <v>123</v>
      </c>
      <c r="D2054" s="71">
        <v>10</v>
      </c>
      <c r="E2054" s="102">
        <v>40000</v>
      </c>
      <c r="F2054" s="102">
        <f>(E2054*D2054)*1.1</f>
        <v>440000.00000000006</v>
      </c>
      <c r="G2054" s="102">
        <f>(E2054*D2054)</f>
        <v>400000</v>
      </c>
      <c r="H2054" s="690" t="s">
        <v>1432</v>
      </c>
      <c r="I2054" s="71" t="s">
        <v>1432</v>
      </c>
      <c r="J2054" s="53">
        <f>G2054-T2054</f>
        <v>175390</v>
      </c>
      <c r="K2054" s="63">
        <f t="shared" si="1092"/>
        <v>0.43847499999999995</v>
      </c>
      <c r="L2054" s="871" t="s">
        <v>1863</v>
      </c>
      <c r="M2054" s="468"/>
      <c r="N2054" s="664">
        <f t="shared" si="1095"/>
        <v>190510</v>
      </c>
      <c r="O2054" s="71" t="s">
        <v>1432</v>
      </c>
      <c r="P2054" s="103" t="str">
        <f>C2054</f>
        <v>필터백</v>
      </c>
      <c r="Q2054" s="71">
        <f t="shared" si="1096"/>
        <v>10</v>
      </c>
      <c r="R2054" s="102">
        <v>22461</v>
      </c>
      <c r="S2054" s="102">
        <f t="shared" si="1090"/>
        <v>247071.00000000003</v>
      </c>
      <c r="T2054" s="102">
        <f t="shared" si="1091"/>
        <v>224610</v>
      </c>
      <c r="U2054" s="71" t="str">
        <f t="shared" si="1097"/>
        <v>O</v>
      </c>
      <c r="V2054" s="71"/>
      <c r="W2054" s="474">
        <f t="shared" si="1083"/>
        <v>175390</v>
      </c>
      <c r="X2054" s="71"/>
      <c r="Y2054" s="71"/>
    </row>
    <row r="2055" spans="1:25" ht="30" customHeight="1" x14ac:dyDescent="0.25">
      <c r="A2055" s="82">
        <v>190510</v>
      </c>
      <c r="B2055" s="664" t="s">
        <v>565</v>
      </c>
      <c r="C2055" s="71" t="s">
        <v>692</v>
      </c>
      <c r="D2055" s="71">
        <v>10</v>
      </c>
      <c r="E2055" s="102">
        <v>218000</v>
      </c>
      <c r="F2055" s="102">
        <f>(E2055*D2055)*1.1</f>
        <v>2398000</v>
      </c>
      <c r="G2055" s="102">
        <f>(E2055*D2055)</f>
        <v>2180000</v>
      </c>
      <c r="H2055" s="690" t="s">
        <v>173</v>
      </c>
      <c r="I2055" s="71" t="s">
        <v>109</v>
      </c>
      <c r="J2055" s="53">
        <f>(G2055-(VLOOKUP(C2055,Price!B:D,3,FALSE)*D2055))</f>
        <v>580000</v>
      </c>
      <c r="K2055" s="63">
        <f t="shared" ref="K2055:K2072" si="1098">(J2055/(F2055/11*10))</f>
        <v>0.26605504587155965</v>
      </c>
      <c r="L2055" s="871" t="s">
        <v>1863</v>
      </c>
      <c r="M2055" s="468"/>
      <c r="N2055" s="664">
        <f t="shared" si="1095"/>
        <v>190510</v>
      </c>
      <c r="O2055" s="71" t="s">
        <v>150</v>
      </c>
      <c r="P2055" s="103" t="str">
        <f>C2055</f>
        <v>윤전 블랑켓</v>
      </c>
      <c r="Q2055" s="71">
        <f>D2055</f>
        <v>10</v>
      </c>
      <c r="R2055" s="102">
        <v>160000</v>
      </c>
      <c r="S2055" s="102">
        <f>(R2055*D2055)*1.1</f>
        <v>1760000.0000000002</v>
      </c>
      <c r="T2055" s="102">
        <f>(R2055*Q2055)</f>
        <v>1600000</v>
      </c>
      <c r="U2055" s="71" t="str">
        <f t="shared" si="1097"/>
        <v>O</v>
      </c>
      <c r="V2055" s="71" t="s">
        <v>784</v>
      </c>
      <c r="W2055" s="474">
        <f t="shared" si="1083"/>
        <v>580000</v>
      </c>
      <c r="X2055" s="71"/>
      <c r="Y2055" s="71"/>
    </row>
    <row r="2056" spans="1:25" s="209" customFormat="1" ht="30" hidden="1" customHeight="1" x14ac:dyDescent="0.25">
      <c r="A2056" s="82">
        <v>190510</v>
      </c>
      <c r="B2056" s="664" t="s">
        <v>567</v>
      </c>
      <c r="C2056" s="71" t="s">
        <v>236</v>
      </c>
      <c r="D2056" s="71">
        <v>10</v>
      </c>
      <c r="E2056" s="102">
        <v>65000</v>
      </c>
      <c r="F2056" s="102">
        <f>(E2056*D2056)*1.1</f>
        <v>715000</v>
      </c>
      <c r="G2056" s="102">
        <f>(E2056*D2056)</f>
        <v>650000</v>
      </c>
      <c r="H2056" s="690" t="s">
        <v>173</v>
      </c>
      <c r="I2056" s="71" t="s">
        <v>2231</v>
      </c>
      <c r="J2056" s="53">
        <f>(G2056-(VLOOKUP(C2056,Price!B:D,3,FALSE)*D2056))</f>
        <v>150000</v>
      </c>
      <c r="K2056" s="63">
        <f t="shared" si="1098"/>
        <v>0.23076923076923078</v>
      </c>
      <c r="L2056" s="871" t="s">
        <v>1863</v>
      </c>
      <c r="M2056" s="468"/>
      <c r="N2056" s="664">
        <f t="shared" si="1095"/>
        <v>190510</v>
      </c>
      <c r="O2056" s="71" t="s">
        <v>153</v>
      </c>
      <c r="P2056" s="103" t="str">
        <f>(C2056)</f>
        <v>아스테이지(국전)</v>
      </c>
      <c r="Q2056" s="71">
        <f>D2056</f>
        <v>10</v>
      </c>
      <c r="R2056" s="102">
        <v>50000</v>
      </c>
      <c r="S2056" s="102">
        <f>(R2056*D2056)*1.1</f>
        <v>550000</v>
      </c>
      <c r="T2056" s="102">
        <f>(R2056*Q2056)</f>
        <v>500000</v>
      </c>
      <c r="U2056" s="71" t="str">
        <f t="shared" si="1097"/>
        <v>O</v>
      </c>
      <c r="V2056" s="71"/>
      <c r="W2056" s="474">
        <f t="shared" si="1083"/>
        <v>150000</v>
      </c>
      <c r="X2056" s="71"/>
      <c r="Y2056" s="71"/>
    </row>
    <row r="2057" spans="1:25" ht="30" hidden="1" customHeight="1" x14ac:dyDescent="0.25">
      <c r="A2057" s="82">
        <v>190510</v>
      </c>
      <c r="B2057" s="664" t="s">
        <v>631</v>
      </c>
      <c r="C2057" s="67" t="s">
        <v>201</v>
      </c>
      <c r="D2057" s="71">
        <v>10</v>
      </c>
      <c r="E2057" s="102">
        <v>75000</v>
      </c>
      <c r="F2057" s="102">
        <f>(E2057*D2057)*1.1</f>
        <v>825000.00000000012</v>
      </c>
      <c r="G2057" s="102">
        <f>(E2057*D2057)</f>
        <v>750000</v>
      </c>
      <c r="H2057" s="690" t="s">
        <v>173</v>
      </c>
      <c r="I2057" s="71" t="s">
        <v>109</v>
      </c>
      <c r="J2057" s="53">
        <f>(G2057-(VLOOKUP(C2057,Price!B:D,3,FALSE)*D2057))</f>
        <v>200000</v>
      </c>
      <c r="K2057" s="63">
        <f t="shared" si="1098"/>
        <v>0.26666666666666661</v>
      </c>
      <c r="L2057" s="871" t="s">
        <v>1839</v>
      </c>
      <c r="M2057" s="468"/>
      <c r="N2057" s="664">
        <f t="shared" si="1095"/>
        <v>190510</v>
      </c>
      <c r="O2057" s="71" t="s">
        <v>149</v>
      </c>
      <c r="P2057" s="103" t="str">
        <f>C2057</f>
        <v>Bar블랑켓 730*710</v>
      </c>
      <c r="Q2057" s="71">
        <f>D2057</f>
        <v>10</v>
      </c>
      <c r="R2057" s="102">
        <v>55000</v>
      </c>
      <c r="S2057" s="102">
        <f>R2057*Q2057*1.1</f>
        <v>605000</v>
      </c>
      <c r="T2057" s="102">
        <f>R2057*Q2057</f>
        <v>550000</v>
      </c>
      <c r="U2057" s="71" t="str">
        <f t="shared" si="1097"/>
        <v>O</v>
      </c>
      <c r="V2057" s="71"/>
      <c r="W2057" s="474">
        <f t="shared" si="1083"/>
        <v>200000</v>
      </c>
      <c r="X2057" s="71"/>
      <c r="Y2057" s="71"/>
    </row>
    <row r="2058" spans="1:25" ht="30" hidden="1" customHeight="1" x14ac:dyDescent="0.25">
      <c r="A2058" s="82">
        <v>190515</v>
      </c>
      <c r="B2058" s="664" t="s">
        <v>446</v>
      </c>
      <c r="C2058" s="71" t="s">
        <v>1144</v>
      </c>
      <c r="D2058" s="71">
        <v>10</v>
      </c>
      <c r="E2058" s="102">
        <v>110000</v>
      </c>
      <c r="F2058" s="102">
        <f>(E2058*D2058)*1.1</f>
        <v>1210000</v>
      </c>
      <c r="G2058" s="102">
        <f>(E2058*D2058)</f>
        <v>1100000</v>
      </c>
      <c r="H2058" s="690" t="s">
        <v>173</v>
      </c>
      <c r="I2058" s="71" t="s">
        <v>2231</v>
      </c>
      <c r="J2058" s="53">
        <f>G2058-T2058</f>
        <v>190000</v>
      </c>
      <c r="K2058" s="63">
        <f>(J2058/(F2058/11*10))</f>
        <v>0.17272727272727273</v>
      </c>
      <c r="L2058" s="871" t="s">
        <v>1839</v>
      </c>
      <c r="M2058" s="468"/>
      <c r="N2058" s="664">
        <f>A2058</f>
        <v>190515</v>
      </c>
      <c r="O2058" s="71" t="s">
        <v>150</v>
      </c>
      <c r="P2058" s="103" t="str">
        <f>C2058</f>
        <v>실리콘 에멀전</v>
      </c>
      <c r="Q2058" s="71">
        <f>D2058</f>
        <v>10</v>
      </c>
      <c r="R2058" s="102">
        <v>91000</v>
      </c>
      <c r="S2058" s="102">
        <f>R2058*Q2058*1.1</f>
        <v>1001000.0000000001</v>
      </c>
      <c r="T2058" s="102">
        <f>R2058*Q2058</f>
        <v>910000</v>
      </c>
      <c r="U2058" s="71" t="str">
        <f t="shared" si="1097"/>
        <v>O</v>
      </c>
      <c r="V2058" s="71"/>
      <c r="W2058" s="474">
        <f t="shared" si="1083"/>
        <v>190000</v>
      </c>
      <c r="X2058" s="71"/>
      <c r="Y2058" s="71"/>
    </row>
    <row r="2059" spans="1:25" ht="30" hidden="1" customHeight="1" x14ac:dyDescent="0.25">
      <c r="A2059" s="82">
        <v>190515</v>
      </c>
      <c r="B2059" s="664" t="s">
        <v>764</v>
      </c>
      <c r="C2059" s="71" t="s">
        <v>123</v>
      </c>
      <c r="D2059" s="71">
        <v>25</v>
      </c>
      <c r="E2059" s="102">
        <v>35000</v>
      </c>
      <c r="F2059" s="102">
        <f t="shared" si="1093"/>
        <v>962500.00000000012</v>
      </c>
      <c r="G2059" s="102">
        <f t="shared" si="1094"/>
        <v>875000</v>
      </c>
      <c r="H2059" s="690" t="s">
        <v>1432</v>
      </c>
      <c r="I2059" s="71" t="s">
        <v>1432</v>
      </c>
      <c r="J2059" s="53">
        <f>G2059-T2059</f>
        <v>313475</v>
      </c>
      <c r="K2059" s="63">
        <f t="shared" si="1098"/>
        <v>0.35825714285714283</v>
      </c>
      <c r="L2059" s="871" t="s">
        <v>1863</v>
      </c>
      <c r="M2059" s="468"/>
      <c r="N2059" s="664">
        <f t="shared" si="1095"/>
        <v>190515</v>
      </c>
      <c r="O2059" s="71" t="s">
        <v>1432</v>
      </c>
      <c r="P2059" s="103" t="str">
        <f>C2059</f>
        <v>필터백</v>
      </c>
      <c r="Q2059" s="71">
        <f t="shared" si="1096"/>
        <v>25</v>
      </c>
      <c r="R2059" s="102">
        <v>22461</v>
      </c>
      <c r="S2059" s="102">
        <f>R2059*Q2059*1.1</f>
        <v>617677.5</v>
      </c>
      <c r="T2059" s="102">
        <f>R2059*Q2059</f>
        <v>561525</v>
      </c>
      <c r="U2059" s="71" t="str">
        <f t="shared" si="1097"/>
        <v>O</v>
      </c>
      <c r="V2059" s="71"/>
      <c r="W2059" s="474">
        <f t="shared" si="1083"/>
        <v>313475</v>
      </c>
      <c r="X2059" s="71"/>
      <c r="Y2059" s="71"/>
    </row>
    <row r="2060" spans="1:25" ht="30" hidden="1" customHeight="1" x14ac:dyDescent="0.25">
      <c r="A2060" s="82">
        <v>190515</v>
      </c>
      <c r="B2060" s="664" t="s">
        <v>1286</v>
      </c>
      <c r="C2060" s="760" t="s">
        <v>218</v>
      </c>
      <c r="D2060" s="71">
        <v>3</v>
      </c>
      <c r="E2060" s="102">
        <v>192500</v>
      </c>
      <c r="F2060" s="102">
        <f t="shared" si="1093"/>
        <v>635250</v>
      </c>
      <c r="G2060" s="102">
        <f t="shared" si="1094"/>
        <v>577500</v>
      </c>
      <c r="H2060" s="690" t="s">
        <v>173</v>
      </c>
      <c r="I2060" s="71" t="s">
        <v>120</v>
      </c>
      <c r="J2060" s="53">
        <f>(G2060-(VLOOKUP(C2060,Price!B:D,3,FALSE)*D2060))</f>
        <v>240000</v>
      </c>
      <c r="K2060" s="63">
        <f t="shared" si="1098"/>
        <v>0.41558441558441561</v>
      </c>
      <c r="L2060" s="871" t="s">
        <v>1863</v>
      </c>
      <c r="M2060" s="468"/>
      <c r="N2060" s="664">
        <f t="shared" si="1095"/>
        <v>190515</v>
      </c>
      <c r="O2060" s="71" t="s">
        <v>150</v>
      </c>
      <c r="P2060" s="103" t="str">
        <f>C2060</f>
        <v>Fount Web 551AF</v>
      </c>
      <c r="Q2060" s="71">
        <f t="shared" si="1096"/>
        <v>3</v>
      </c>
      <c r="R2060" s="102">
        <v>112500</v>
      </c>
      <c r="S2060" s="102">
        <f>R2060*Q2060*1.1</f>
        <v>371250.00000000006</v>
      </c>
      <c r="T2060" s="102">
        <f>R2060*Q2060</f>
        <v>337500</v>
      </c>
      <c r="U2060" s="71" t="str">
        <f t="shared" si="1097"/>
        <v>O</v>
      </c>
      <c r="V2060" s="71"/>
      <c r="W2060" s="474">
        <f t="shared" si="1083"/>
        <v>240000</v>
      </c>
      <c r="X2060" s="71"/>
      <c r="Y2060" s="71"/>
    </row>
    <row r="2061" spans="1:25" s="209" customFormat="1" ht="30" hidden="1" customHeight="1" x14ac:dyDescent="0.25">
      <c r="A2061" s="82">
        <v>190515</v>
      </c>
      <c r="B2061" s="664" t="s">
        <v>1286</v>
      </c>
      <c r="C2061" s="71" t="s">
        <v>277</v>
      </c>
      <c r="D2061" s="71">
        <v>5</v>
      </c>
      <c r="E2061" s="102">
        <v>172000</v>
      </c>
      <c r="F2061" s="102">
        <f t="shared" si="1093"/>
        <v>946000.00000000012</v>
      </c>
      <c r="G2061" s="102">
        <f t="shared" si="1094"/>
        <v>860000</v>
      </c>
      <c r="H2061" s="690" t="s">
        <v>173</v>
      </c>
      <c r="I2061" s="71" t="s">
        <v>108</v>
      </c>
      <c r="J2061" s="53">
        <f>(G2061-(VLOOKUP(C2061,Price!B:D,3,FALSE)*D2061))</f>
        <v>285000</v>
      </c>
      <c r="K2061" s="63">
        <f t="shared" si="1098"/>
        <v>0.33139534883720928</v>
      </c>
      <c r="L2061" s="871" t="s">
        <v>1863</v>
      </c>
      <c r="M2061" s="468"/>
      <c r="N2061" s="664">
        <f t="shared" si="1095"/>
        <v>190515</v>
      </c>
      <c r="O2061" s="71" t="s">
        <v>150</v>
      </c>
      <c r="P2061" s="103" t="str">
        <f>(C2061)</f>
        <v>윤전용 세척제(Web 504)</v>
      </c>
      <c r="Q2061" s="71">
        <f t="shared" si="1096"/>
        <v>5</v>
      </c>
      <c r="R2061" s="102">
        <v>115000</v>
      </c>
      <c r="S2061" s="102">
        <f>(R2061*D2061)*1.1</f>
        <v>632500</v>
      </c>
      <c r="T2061" s="102">
        <f>(R2061*Q2061)</f>
        <v>575000</v>
      </c>
      <c r="U2061" s="71" t="str">
        <f t="shared" si="1097"/>
        <v>O</v>
      </c>
      <c r="V2061" s="71"/>
      <c r="W2061" s="474">
        <f t="shared" si="1083"/>
        <v>285000</v>
      </c>
      <c r="X2061" s="71"/>
      <c r="Y2061" s="71"/>
    </row>
    <row r="2062" spans="1:25" s="209" customFormat="1" ht="30" hidden="1" customHeight="1" x14ac:dyDescent="0.25">
      <c r="A2062" s="82">
        <v>190515</v>
      </c>
      <c r="B2062" s="664" t="s">
        <v>1286</v>
      </c>
      <c r="C2062" s="71" t="s">
        <v>1144</v>
      </c>
      <c r="D2062" s="71">
        <v>5</v>
      </c>
      <c r="E2062" s="102">
        <v>110000</v>
      </c>
      <c r="F2062" s="102">
        <f t="shared" si="1093"/>
        <v>605000</v>
      </c>
      <c r="G2062" s="102">
        <f t="shared" si="1094"/>
        <v>550000</v>
      </c>
      <c r="H2062" s="690" t="s">
        <v>173</v>
      </c>
      <c r="I2062" s="71" t="s">
        <v>2231</v>
      </c>
      <c r="J2062" s="53">
        <f>G2062-T2062</f>
        <v>95000</v>
      </c>
      <c r="K2062" s="63">
        <f t="shared" si="1098"/>
        <v>0.17272727272727273</v>
      </c>
      <c r="L2062" s="871" t="s">
        <v>1863</v>
      </c>
      <c r="M2062" s="468"/>
      <c r="N2062" s="664">
        <f t="shared" si="1095"/>
        <v>190515</v>
      </c>
      <c r="O2062" s="71" t="s">
        <v>150</v>
      </c>
      <c r="P2062" s="103" t="str">
        <f>C2062</f>
        <v>실리콘 에멀전</v>
      </c>
      <c r="Q2062" s="71">
        <f t="shared" si="1096"/>
        <v>5</v>
      </c>
      <c r="R2062" s="102">
        <v>91000</v>
      </c>
      <c r="S2062" s="102">
        <f>R2062*Q2062*1.1</f>
        <v>500500.00000000006</v>
      </c>
      <c r="T2062" s="102">
        <f>R2062*Q2062</f>
        <v>455000</v>
      </c>
      <c r="U2062" s="71" t="str">
        <f t="shared" si="1097"/>
        <v>O</v>
      </c>
      <c r="V2062" s="71"/>
      <c r="W2062" s="474">
        <f t="shared" si="1083"/>
        <v>95000</v>
      </c>
      <c r="X2062" s="71"/>
      <c r="Y2062" s="71"/>
    </row>
    <row r="2063" spans="1:25" ht="30" hidden="1" customHeight="1" x14ac:dyDescent="0.25">
      <c r="A2063" s="82">
        <v>190516</v>
      </c>
      <c r="B2063" s="664" t="s">
        <v>983</v>
      </c>
      <c r="C2063" s="71" t="s">
        <v>1009</v>
      </c>
      <c r="D2063" s="71">
        <v>520</v>
      </c>
      <c r="E2063" s="102">
        <v>3900</v>
      </c>
      <c r="F2063" s="102">
        <f>(E2063*D2063)*1.1</f>
        <v>2230800</v>
      </c>
      <c r="G2063" s="102">
        <f>(E2063*D2063)</f>
        <v>2028000</v>
      </c>
      <c r="H2063" s="690" t="s">
        <v>173</v>
      </c>
      <c r="I2063" s="71" t="s">
        <v>2230</v>
      </c>
      <c r="J2063" s="53">
        <f>G2063-T2063</f>
        <v>312000</v>
      </c>
      <c r="K2063" s="63">
        <f t="shared" si="1098"/>
        <v>0.15384615384615385</v>
      </c>
      <c r="L2063" s="871" t="s">
        <v>1863</v>
      </c>
      <c r="M2063" s="468"/>
      <c r="N2063" s="664">
        <f t="shared" si="1095"/>
        <v>190516</v>
      </c>
      <c r="O2063" s="71" t="s">
        <v>147</v>
      </c>
      <c r="P2063" s="103" t="str">
        <f>C2063</f>
        <v>CTP판(1030*790mm)</v>
      </c>
      <c r="Q2063" s="71">
        <f t="shared" si="1096"/>
        <v>520</v>
      </c>
      <c r="R2063" s="102">
        <v>3300</v>
      </c>
      <c r="S2063" s="102">
        <f>R2063*Q2063*1.1</f>
        <v>1887600.0000000002</v>
      </c>
      <c r="T2063" s="102">
        <f>R2063*Q2063</f>
        <v>1716000</v>
      </c>
      <c r="U2063" s="71" t="str">
        <f t="shared" si="1097"/>
        <v>O</v>
      </c>
      <c r="V2063" s="71"/>
      <c r="W2063" s="474">
        <f t="shared" si="1083"/>
        <v>312000</v>
      </c>
      <c r="X2063" s="71"/>
      <c r="Y2063" s="71"/>
    </row>
    <row r="2064" spans="1:25" ht="30" hidden="1" customHeight="1" x14ac:dyDescent="0.25">
      <c r="A2064" s="82">
        <v>190516</v>
      </c>
      <c r="B2064" s="664" t="s">
        <v>983</v>
      </c>
      <c r="C2064" s="71" t="s">
        <v>984</v>
      </c>
      <c r="D2064" s="71">
        <v>8</v>
      </c>
      <c r="E2064" s="102">
        <v>45000</v>
      </c>
      <c r="F2064" s="102">
        <f>(E2064*D2064)*1.1</f>
        <v>396000.00000000006</v>
      </c>
      <c r="G2064" s="102">
        <f>(E2064*D2064)</f>
        <v>360000</v>
      </c>
      <c r="H2064" s="690" t="s">
        <v>173</v>
      </c>
      <c r="I2064" s="71" t="s">
        <v>2230</v>
      </c>
      <c r="J2064" s="53">
        <f>G2064-T2064</f>
        <v>80000</v>
      </c>
      <c r="K2064" s="63">
        <f t="shared" si="1098"/>
        <v>0.22222222222222218</v>
      </c>
      <c r="L2064" s="871" t="s">
        <v>1863</v>
      </c>
      <c r="M2064" s="468"/>
      <c r="N2064" s="664">
        <f t="shared" si="1095"/>
        <v>190516</v>
      </c>
      <c r="O2064" s="71" t="s">
        <v>147</v>
      </c>
      <c r="P2064" s="103" t="str">
        <f>C2064</f>
        <v>CTP 현상액</v>
      </c>
      <c r="Q2064" s="71">
        <f t="shared" si="1096"/>
        <v>8</v>
      </c>
      <c r="R2064" s="102">
        <v>35000</v>
      </c>
      <c r="S2064" s="102">
        <f>R2064*Q2064*1.1</f>
        <v>308000</v>
      </c>
      <c r="T2064" s="102">
        <f>R2064*Q2064</f>
        <v>280000</v>
      </c>
      <c r="U2064" s="71" t="str">
        <f t="shared" si="1097"/>
        <v>O</v>
      </c>
      <c r="V2064" s="71"/>
      <c r="W2064" s="474">
        <f t="shared" si="1083"/>
        <v>80000</v>
      </c>
      <c r="X2064" s="71"/>
      <c r="Y2064" s="71"/>
    </row>
    <row r="2065" spans="1:25" ht="31.5" hidden="1" customHeight="1" x14ac:dyDescent="0.25">
      <c r="A2065" s="82">
        <v>190516</v>
      </c>
      <c r="B2065" s="664" t="s">
        <v>545</v>
      </c>
      <c r="C2065" s="71" t="s">
        <v>911</v>
      </c>
      <c r="D2065" s="71">
        <v>1</v>
      </c>
      <c r="E2065" s="102">
        <v>250000</v>
      </c>
      <c r="F2065" s="102">
        <f t="shared" si="1093"/>
        <v>275000</v>
      </c>
      <c r="G2065" s="102">
        <f t="shared" si="1094"/>
        <v>250000</v>
      </c>
      <c r="H2065" s="690" t="s">
        <v>173</v>
      </c>
      <c r="I2065" s="71" t="s">
        <v>2231</v>
      </c>
      <c r="J2065" s="53">
        <f>E2065-75000</f>
        <v>175000</v>
      </c>
      <c r="K2065" s="63">
        <f t="shared" si="1098"/>
        <v>0.7</v>
      </c>
      <c r="L2065" s="871" t="s">
        <v>1863</v>
      </c>
      <c r="M2065" s="468"/>
      <c r="N2065" s="664">
        <f t="shared" si="1095"/>
        <v>190516</v>
      </c>
      <c r="O2065" s="71" t="s">
        <v>994</v>
      </c>
      <c r="P2065" s="103" t="str">
        <f>C2065</f>
        <v>콤푸레샤 에어필터</v>
      </c>
      <c r="Q2065" s="71">
        <f t="shared" si="1096"/>
        <v>1</v>
      </c>
      <c r="R2065" s="102">
        <v>75000</v>
      </c>
      <c r="S2065" s="102">
        <f>R2065*Q2065*1.1</f>
        <v>82500</v>
      </c>
      <c r="T2065" s="102">
        <f>R2065*Q2065</f>
        <v>75000</v>
      </c>
      <c r="U2065" s="71" t="str">
        <f t="shared" si="1097"/>
        <v>O</v>
      </c>
      <c r="V2065" s="71"/>
      <c r="W2065" s="474">
        <f t="shared" si="1083"/>
        <v>175000</v>
      </c>
      <c r="X2065" s="71"/>
      <c r="Y2065" s="71"/>
    </row>
    <row r="2066" spans="1:25" ht="30" hidden="1" customHeight="1" x14ac:dyDescent="0.25">
      <c r="A2066" s="82">
        <v>190516</v>
      </c>
      <c r="B2066" s="664" t="s">
        <v>545</v>
      </c>
      <c r="C2066" s="71" t="s">
        <v>952</v>
      </c>
      <c r="D2066" s="71">
        <v>1</v>
      </c>
      <c r="E2066" s="102">
        <v>630000</v>
      </c>
      <c r="F2066" s="102">
        <f t="shared" ref="F2066:F2072" si="1099">(E2066*D2066)*1.1</f>
        <v>693000</v>
      </c>
      <c r="G2066" s="102">
        <f t="shared" ref="G2066:G2072" si="1100">(E2066*D2066)</f>
        <v>630000</v>
      </c>
      <c r="H2066" s="690" t="s">
        <v>173</v>
      </c>
      <c r="I2066" s="71" t="s">
        <v>108</v>
      </c>
      <c r="J2066" s="53">
        <f>G2066-T2066</f>
        <v>190000</v>
      </c>
      <c r="K2066" s="63">
        <f t="shared" si="1098"/>
        <v>0.30158730158730157</v>
      </c>
      <c r="L2066" s="871" t="s">
        <v>1863</v>
      </c>
      <c r="M2066" s="468"/>
      <c r="N2066" s="664">
        <f t="shared" ref="N2066:N2072" si="1101">A2066</f>
        <v>190516</v>
      </c>
      <c r="O2066" s="71" t="s">
        <v>599</v>
      </c>
      <c r="P2066" s="103" t="str">
        <f t="shared" ref="P2066:Q2068" si="1102">C2066</f>
        <v>점보롤 세정포</v>
      </c>
      <c r="Q2066" s="71">
        <f t="shared" si="1102"/>
        <v>1</v>
      </c>
      <c r="R2066" s="102">
        <v>440000</v>
      </c>
      <c r="S2066" s="102">
        <f>R2066*Q2066*1.1</f>
        <v>484000.00000000006</v>
      </c>
      <c r="T2066" s="102">
        <f>R2066*Q2066</f>
        <v>440000</v>
      </c>
      <c r="U2066" s="71" t="str">
        <f t="shared" si="1097"/>
        <v>O</v>
      </c>
      <c r="V2066" s="71"/>
      <c r="W2066" s="474">
        <f t="shared" si="1083"/>
        <v>190000</v>
      </c>
      <c r="X2066" s="71"/>
      <c r="Y2066" s="71"/>
    </row>
    <row r="2067" spans="1:25" s="209" customFormat="1" ht="30" hidden="1" customHeight="1" x14ac:dyDescent="0.2">
      <c r="A2067" s="82">
        <v>190517</v>
      </c>
      <c r="B2067" s="664" t="s">
        <v>640</v>
      </c>
      <c r="C2067" s="71" t="s">
        <v>114</v>
      </c>
      <c r="D2067" s="71">
        <v>50</v>
      </c>
      <c r="E2067" s="102">
        <v>18000</v>
      </c>
      <c r="F2067" s="163">
        <f t="shared" si="1099"/>
        <v>990000.00000000012</v>
      </c>
      <c r="G2067" s="102">
        <f t="shared" si="1100"/>
        <v>900000</v>
      </c>
      <c r="H2067" s="165" t="s">
        <v>1431</v>
      </c>
      <c r="I2067" s="71" t="s">
        <v>1431</v>
      </c>
      <c r="J2067" s="53">
        <f>G2067-T2067</f>
        <v>450000</v>
      </c>
      <c r="K2067" s="63">
        <f t="shared" si="1098"/>
        <v>0.49999999999999994</v>
      </c>
      <c r="L2067" s="871" t="s">
        <v>1863</v>
      </c>
      <c r="M2067" s="468"/>
      <c r="N2067" s="664">
        <f t="shared" si="1101"/>
        <v>190517</v>
      </c>
      <c r="O2067" s="71" t="s">
        <v>1431</v>
      </c>
      <c r="P2067" s="103" t="str">
        <f t="shared" si="1102"/>
        <v>스트리퍼</v>
      </c>
      <c r="Q2067" s="71">
        <f t="shared" si="1102"/>
        <v>50</v>
      </c>
      <c r="R2067" s="102">
        <v>9000</v>
      </c>
      <c r="S2067" s="102">
        <f>(R2067*D2067)*1.1</f>
        <v>495000.00000000006</v>
      </c>
      <c r="T2067" s="102">
        <f>(R2067*Q2067)</f>
        <v>450000</v>
      </c>
      <c r="U2067" s="71" t="str">
        <f t="shared" si="1097"/>
        <v>O</v>
      </c>
      <c r="V2067" s="71"/>
      <c r="W2067" s="474">
        <f t="shared" si="1083"/>
        <v>450000</v>
      </c>
      <c r="X2067" s="71"/>
      <c r="Y2067" s="71"/>
    </row>
    <row r="2068" spans="1:25" ht="30" customHeight="1" x14ac:dyDescent="0.25">
      <c r="A2068" s="82">
        <v>190517</v>
      </c>
      <c r="B2068" s="664" t="s">
        <v>422</v>
      </c>
      <c r="C2068" s="760" t="s">
        <v>218</v>
      </c>
      <c r="D2068" s="71">
        <v>5</v>
      </c>
      <c r="E2068" s="102">
        <v>235000</v>
      </c>
      <c r="F2068" s="102">
        <f t="shared" si="1099"/>
        <v>1292500</v>
      </c>
      <c r="G2068" s="102">
        <f t="shared" si="1100"/>
        <v>1175000</v>
      </c>
      <c r="H2068" s="690" t="s">
        <v>173</v>
      </c>
      <c r="I2068" s="71" t="s">
        <v>120</v>
      </c>
      <c r="J2068" s="53">
        <f>(G2068-(VLOOKUP(C2068,Price!B:D,3,FALSE)*D2068))</f>
        <v>612500</v>
      </c>
      <c r="K2068" s="63">
        <f t="shared" si="1098"/>
        <v>0.52127659574468088</v>
      </c>
      <c r="L2068" s="871" t="s">
        <v>1863</v>
      </c>
      <c r="M2068" s="468"/>
      <c r="N2068" s="664">
        <f t="shared" si="1101"/>
        <v>190517</v>
      </c>
      <c r="O2068" s="71" t="s">
        <v>150</v>
      </c>
      <c r="P2068" s="103" t="str">
        <f t="shared" si="1102"/>
        <v>Fount Web 551AF</v>
      </c>
      <c r="Q2068" s="71">
        <f t="shared" si="1102"/>
        <v>5</v>
      </c>
      <c r="R2068" s="102">
        <v>112500</v>
      </c>
      <c r="S2068" s="102">
        <f>R2068*Q2068*1.1</f>
        <v>618750</v>
      </c>
      <c r="T2068" s="102">
        <f>R2068*Q2068</f>
        <v>562500</v>
      </c>
      <c r="U2068" s="71" t="str">
        <f t="shared" si="1097"/>
        <v>O</v>
      </c>
      <c r="V2068" s="71"/>
      <c r="W2068" s="474">
        <f t="shared" si="1083"/>
        <v>612500</v>
      </c>
      <c r="X2068" s="71"/>
      <c r="Y2068" s="71"/>
    </row>
    <row r="2069" spans="1:25" s="209" customFormat="1" ht="30" customHeight="1" x14ac:dyDescent="0.2">
      <c r="A2069" s="82">
        <v>190517</v>
      </c>
      <c r="B2069" s="664" t="s">
        <v>422</v>
      </c>
      <c r="C2069" s="71" t="s">
        <v>130</v>
      </c>
      <c r="D2069" s="71">
        <v>10</v>
      </c>
      <c r="E2069" s="102">
        <v>125000</v>
      </c>
      <c r="F2069" s="163">
        <f t="shared" si="1099"/>
        <v>1375000</v>
      </c>
      <c r="G2069" s="102">
        <f t="shared" si="1100"/>
        <v>1250000</v>
      </c>
      <c r="H2069" s="165" t="s">
        <v>172</v>
      </c>
      <c r="I2069" s="71" t="s">
        <v>109</v>
      </c>
      <c r="J2069" s="53">
        <f>(G2069-(VLOOKUP(C2069,Price!B:D,3,FALSE)*D2069))</f>
        <v>260000</v>
      </c>
      <c r="K2069" s="63">
        <f t="shared" si="1098"/>
        <v>0.20799999999999999</v>
      </c>
      <c r="L2069" s="871" t="s">
        <v>1863</v>
      </c>
      <c r="M2069" s="468"/>
      <c r="N2069" s="664">
        <f t="shared" si="1101"/>
        <v>190517</v>
      </c>
      <c r="O2069" s="71" t="s">
        <v>150</v>
      </c>
      <c r="P2069" s="103" t="str">
        <f>(C2069)</f>
        <v>XL106 Blanket(1077*885)</v>
      </c>
      <c r="Q2069" s="71">
        <f t="shared" ref="Q2069:Q2074" si="1103">D2069</f>
        <v>10</v>
      </c>
      <c r="R2069" s="102">
        <v>99000</v>
      </c>
      <c r="S2069" s="102">
        <f>(R2069*D2069)*1.1</f>
        <v>1089000</v>
      </c>
      <c r="T2069" s="102">
        <f>(R2069*Q2069)</f>
        <v>990000</v>
      </c>
      <c r="U2069" s="71" t="str">
        <f t="shared" si="1097"/>
        <v>O</v>
      </c>
      <c r="V2069" s="71"/>
      <c r="W2069" s="474">
        <f t="shared" ref="W2069:W2100" si="1104">(G2069-T2069)</f>
        <v>260000</v>
      </c>
      <c r="X2069" s="71"/>
      <c r="Y2069" s="71"/>
    </row>
    <row r="2070" spans="1:25" ht="30" customHeight="1" x14ac:dyDescent="0.25">
      <c r="A2070" s="82">
        <v>190517</v>
      </c>
      <c r="B2070" s="664" t="s">
        <v>422</v>
      </c>
      <c r="C2070" s="71" t="s">
        <v>129</v>
      </c>
      <c r="D2070" s="71">
        <v>7</v>
      </c>
      <c r="E2070" s="102">
        <v>272000</v>
      </c>
      <c r="F2070" s="102">
        <f t="shared" si="1099"/>
        <v>2094400.0000000002</v>
      </c>
      <c r="G2070" s="102">
        <f t="shared" si="1100"/>
        <v>1904000</v>
      </c>
      <c r="H2070" s="690" t="s">
        <v>173</v>
      </c>
      <c r="I2070" s="71" t="s">
        <v>108</v>
      </c>
      <c r="J2070" s="53">
        <f>(G2070-(VLOOKUP(C2070,Price!B:D,3,FALSE)*D2070))</f>
        <v>448000</v>
      </c>
      <c r="K2070" s="63">
        <f t="shared" si="1098"/>
        <v>0.23529411764705879</v>
      </c>
      <c r="L2070" s="871" t="s">
        <v>1863</v>
      </c>
      <c r="M2070" s="468"/>
      <c r="N2070" s="664">
        <f t="shared" si="1101"/>
        <v>190517</v>
      </c>
      <c r="O2070" s="71" t="s">
        <v>149</v>
      </c>
      <c r="P2070" s="103" t="str">
        <f t="shared" ref="P2070:P2075" si="1105">C2070</f>
        <v>세정포-XL106</v>
      </c>
      <c r="Q2070" s="71">
        <f t="shared" si="1103"/>
        <v>7</v>
      </c>
      <c r="R2070" s="102">
        <v>208000</v>
      </c>
      <c r="S2070" s="102">
        <f>R2070*Q2070*1.1</f>
        <v>1601600.0000000002</v>
      </c>
      <c r="T2070" s="102">
        <f>R2070*Q2070</f>
        <v>1456000</v>
      </c>
      <c r="U2070" s="71" t="str">
        <f t="shared" si="1097"/>
        <v>O</v>
      </c>
      <c r="V2070" s="71"/>
      <c r="W2070" s="474">
        <f t="shared" si="1104"/>
        <v>448000</v>
      </c>
      <c r="X2070" s="71"/>
      <c r="Y2070" s="71"/>
    </row>
    <row r="2071" spans="1:25" ht="30" customHeight="1" x14ac:dyDescent="0.25">
      <c r="A2071" s="82">
        <v>190517</v>
      </c>
      <c r="B2071" s="664" t="s">
        <v>422</v>
      </c>
      <c r="C2071" s="71" t="s">
        <v>584</v>
      </c>
      <c r="D2071" s="71">
        <v>3</v>
      </c>
      <c r="E2071" s="102">
        <v>270000</v>
      </c>
      <c r="F2071" s="102">
        <f t="shared" si="1099"/>
        <v>891000.00000000012</v>
      </c>
      <c r="G2071" s="102">
        <f t="shared" si="1100"/>
        <v>810000</v>
      </c>
      <c r="H2071" s="690" t="s">
        <v>173</v>
      </c>
      <c r="I2071" s="71" t="s">
        <v>2231</v>
      </c>
      <c r="J2071" s="53">
        <f>(G2071-(VLOOKUP(C2071,Price!B:D,3,FALSE)*D2071))</f>
        <v>162000</v>
      </c>
      <c r="K2071" s="63">
        <f t="shared" si="1098"/>
        <v>0.19999999999999998</v>
      </c>
      <c r="L2071" s="871" t="s">
        <v>1863</v>
      </c>
      <c r="M2071" s="468"/>
      <c r="N2071" s="664">
        <f t="shared" si="1101"/>
        <v>190517</v>
      </c>
      <c r="O2071" s="71" t="s">
        <v>150</v>
      </c>
      <c r="P2071" s="103" t="str">
        <f t="shared" si="1105"/>
        <v>데리바리 석션벨트</v>
      </c>
      <c r="Q2071" s="71">
        <f t="shared" si="1103"/>
        <v>3</v>
      </c>
      <c r="R2071" s="102">
        <v>216000</v>
      </c>
      <c r="S2071" s="102">
        <f>R2071*Q2071*1.1</f>
        <v>712800</v>
      </c>
      <c r="T2071" s="102">
        <f>R2071*Q2071</f>
        <v>648000</v>
      </c>
      <c r="U2071" s="71" t="str">
        <f t="shared" si="1097"/>
        <v>O</v>
      </c>
      <c r="V2071" s="71"/>
      <c r="W2071" s="474">
        <f t="shared" si="1104"/>
        <v>162000</v>
      </c>
      <c r="X2071" s="71"/>
      <c r="Y2071" s="71"/>
    </row>
    <row r="2072" spans="1:25" s="209" customFormat="1" ht="30" hidden="1" customHeight="1" x14ac:dyDescent="0.2">
      <c r="A2072" s="82">
        <v>190521</v>
      </c>
      <c r="B2072" s="664" t="s">
        <v>445</v>
      </c>
      <c r="C2072" s="71" t="s">
        <v>138</v>
      </c>
      <c r="D2072" s="71">
        <v>10</v>
      </c>
      <c r="E2072" s="102">
        <v>59500</v>
      </c>
      <c r="F2072" s="163">
        <f t="shared" si="1099"/>
        <v>654500</v>
      </c>
      <c r="G2072" s="102">
        <f t="shared" si="1100"/>
        <v>595000</v>
      </c>
      <c r="H2072" s="165" t="s">
        <v>172</v>
      </c>
      <c r="I2072" s="71" t="s">
        <v>108</v>
      </c>
      <c r="J2072" s="53">
        <f>(G2072-(VLOOKUP(C2072,Price!B:D,3,FALSE)*D2072))</f>
        <v>85000</v>
      </c>
      <c r="K2072" s="63">
        <f t="shared" si="1098"/>
        <v>0.14285714285714285</v>
      </c>
      <c r="L2072" s="871" t="s">
        <v>1863</v>
      </c>
      <c r="M2072" s="468"/>
      <c r="N2072" s="664">
        <f t="shared" si="1101"/>
        <v>190521</v>
      </c>
      <c r="O2072" s="71" t="s">
        <v>150</v>
      </c>
      <c r="P2072" s="103" t="str">
        <f t="shared" si="1105"/>
        <v>매엽용 세척제(Wash 562)</v>
      </c>
      <c r="Q2072" s="71">
        <f t="shared" si="1103"/>
        <v>10</v>
      </c>
      <c r="R2072" s="102">
        <v>51000</v>
      </c>
      <c r="S2072" s="102">
        <f>(R2072*D2072)*1.1</f>
        <v>561000</v>
      </c>
      <c r="T2072" s="102">
        <f>(R2072*Q2072)</f>
        <v>510000</v>
      </c>
      <c r="U2072" s="71" t="str">
        <f t="shared" si="1097"/>
        <v>O</v>
      </c>
      <c r="V2072" s="71"/>
      <c r="W2072" s="474">
        <f t="shared" si="1104"/>
        <v>85000</v>
      </c>
      <c r="X2072" s="71"/>
      <c r="Y2072" s="71"/>
    </row>
    <row r="2073" spans="1:25" ht="30" hidden="1" customHeight="1" x14ac:dyDescent="0.25">
      <c r="A2073" s="82">
        <v>190521</v>
      </c>
      <c r="B2073" s="664" t="s">
        <v>640</v>
      </c>
      <c r="C2073" s="71" t="s">
        <v>1144</v>
      </c>
      <c r="D2073" s="71">
        <v>3</v>
      </c>
      <c r="E2073" s="102">
        <v>110000</v>
      </c>
      <c r="F2073" s="102">
        <f>(E2073*D2073)*1.1</f>
        <v>363000.00000000006</v>
      </c>
      <c r="G2073" s="102">
        <f>(E2073*D2073)</f>
        <v>330000</v>
      </c>
      <c r="H2073" s="690" t="s">
        <v>173</v>
      </c>
      <c r="I2073" s="71" t="s">
        <v>2231</v>
      </c>
      <c r="J2073" s="53">
        <f>G2073-T2073</f>
        <v>57000</v>
      </c>
      <c r="K2073" s="63">
        <f>(J2073/(F2073/11*10))</f>
        <v>0.1727272727272727</v>
      </c>
      <c r="L2073" s="871" t="s">
        <v>1863</v>
      </c>
      <c r="M2073" s="468"/>
      <c r="N2073" s="664">
        <f>A2073</f>
        <v>190521</v>
      </c>
      <c r="O2073" s="71" t="s">
        <v>150</v>
      </c>
      <c r="P2073" s="103" t="str">
        <f t="shared" si="1105"/>
        <v>실리콘 에멀전</v>
      </c>
      <c r="Q2073" s="71">
        <f t="shared" si="1103"/>
        <v>3</v>
      </c>
      <c r="R2073" s="102">
        <v>91000</v>
      </c>
      <c r="S2073" s="102">
        <f t="shared" ref="S2073:S2084" si="1106">R2073*Q2073*1.1</f>
        <v>300300</v>
      </c>
      <c r="T2073" s="102">
        <f t="shared" ref="T2073:T2084" si="1107">R2073*Q2073</f>
        <v>273000</v>
      </c>
      <c r="U2073" s="71" t="str">
        <f t="shared" si="1097"/>
        <v>O</v>
      </c>
      <c r="V2073" s="71"/>
      <c r="W2073" s="474">
        <f t="shared" si="1104"/>
        <v>57000</v>
      </c>
      <c r="X2073" s="71"/>
      <c r="Y2073" s="71"/>
    </row>
    <row r="2074" spans="1:25" ht="30" hidden="1" customHeight="1" x14ac:dyDescent="0.25">
      <c r="A2074" s="82">
        <v>190521</v>
      </c>
      <c r="B2074" s="664" t="s">
        <v>446</v>
      </c>
      <c r="C2074" s="71" t="s">
        <v>1144</v>
      </c>
      <c r="D2074" s="71">
        <v>8</v>
      </c>
      <c r="E2074" s="102">
        <v>110000</v>
      </c>
      <c r="F2074" s="102">
        <f>(E2074*D2074)*1.1</f>
        <v>968000.00000000012</v>
      </c>
      <c r="G2074" s="102">
        <f>(E2074*D2074)</f>
        <v>880000</v>
      </c>
      <c r="H2074" s="690" t="s">
        <v>173</v>
      </c>
      <c r="I2074" s="71" t="s">
        <v>2231</v>
      </c>
      <c r="J2074" s="53">
        <f>G2074-T2074</f>
        <v>152000</v>
      </c>
      <c r="K2074" s="63">
        <f>(J2074/(F2074/11*10))</f>
        <v>0.1727272727272727</v>
      </c>
      <c r="L2074" s="871" t="s">
        <v>1839</v>
      </c>
      <c r="M2074" s="468"/>
      <c r="N2074" s="664">
        <f>A2074</f>
        <v>190521</v>
      </c>
      <c r="O2074" s="71" t="s">
        <v>150</v>
      </c>
      <c r="P2074" s="103" t="str">
        <f t="shared" si="1105"/>
        <v>실리콘 에멀전</v>
      </c>
      <c r="Q2074" s="71">
        <f t="shared" si="1103"/>
        <v>8</v>
      </c>
      <c r="R2074" s="102">
        <v>91000</v>
      </c>
      <c r="S2074" s="102">
        <f t="shared" si="1106"/>
        <v>800800.00000000012</v>
      </c>
      <c r="T2074" s="102">
        <f t="shared" si="1107"/>
        <v>728000</v>
      </c>
      <c r="U2074" s="71" t="str">
        <f t="shared" si="1097"/>
        <v>O</v>
      </c>
      <c r="V2074" s="71"/>
      <c r="W2074" s="474">
        <f t="shared" si="1104"/>
        <v>152000</v>
      </c>
      <c r="X2074" s="71"/>
      <c r="Y2074" s="71"/>
    </row>
    <row r="2075" spans="1:25" ht="30" hidden="1" customHeight="1" x14ac:dyDescent="0.25">
      <c r="A2075" s="82">
        <v>190522</v>
      </c>
      <c r="B2075" s="664" t="s">
        <v>1178</v>
      </c>
      <c r="C2075" s="71" t="s">
        <v>1898</v>
      </c>
      <c r="D2075" s="71">
        <v>500</v>
      </c>
      <c r="E2075" s="102">
        <v>3580</v>
      </c>
      <c r="F2075" s="102">
        <f>(E2075*D2075)*1.1</f>
        <v>1969000.0000000002</v>
      </c>
      <c r="G2075" s="102">
        <v>2063000</v>
      </c>
      <c r="H2075" s="690" t="s">
        <v>142</v>
      </c>
      <c r="I2075" s="71" t="s">
        <v>2273</v>
      </c>
      <c r="J2075" s="53">
        <f>G2075-T2075</f>
        <v>768000</v>
      </c>
      <c r="K2075" s="63">
        <f>(J2075/(F2075/11*10))</f>
        <v>0.42905027932960887</v>
      </c>
      <c r="L2075" s="871" t="s">
        <v>1863</v>
      </c>
      <c r="M2075" s="468" t="s">
        <v>1894</v>
      </c>
      <c r="N2075" s="664">
        <f>A2075</f>
        <v>190522</v>
      </c>
      <c r="O2075" s="71" t="s">
        <v>145</v>
      </c>
      <c r="P2075" s="103" t="str">
        <f t="shared" si="1105"/>
        <v>850*620 Plate</v>
      </c>
      <c r="Q2075" s="71">
        <f>D2075</f>
        <v>500</v>
      </c>
      <c r="R2075" s="102">
        <v>2590</v>
      </c>
      <c r="S2075" s="102">
        <f t="shared" si="1106"/>
        <v>1424500</v>
      </c>
      <c r="T2075" s="102">
        <f t="shared" si="1107"/>
        <v>1295000</v>
      </c>
      <c r="U2075" s="71" t="str">
        <f t="shared" si="1097"/>
        <v>O</v>
      </c>
      <c r="V2075" s="71"/>
      <c r="W2075" s="474">
        <f t="shared" si="1104"/>
        <v>768000</v>
      </c>
      <c r="X2075" s="71"/>
      <c r="Y2075" s="71"/>
    </row>
    <row r="2076" spans="1:25" ht="30" hidden="1" customHeight="1" x14ac:dyDescent="0.25">
      <c r="A2076" s="82">
        <v>190523</v>
      </c>
      <c r="B2076" s="664" t="s">
        <v>442</v>
      </c>
      <c r="C2076" s="71" t="s">
        <v>133</v>
      </c>
      <c r="D2076" s="71">
        <v>2</v>
      </c>
      <c r="E2076" s="102">
        <v>327000</v>
      </c>
      <c r="F2076" s="102">
        <f t="shared" ref="F2076:F2081" si="1108">(E2076*D2076)*1.1</f>
        <v>719400</v>
      </c>
      <c r="G2076" s="102">
        <f t="shared" ref="G2076:G2081" si="1109">(E2076*D2076)</f>
        <v>654000</v>
      </c>
      <c r="H2076" s="690" t="s">
        <v>173</v>
      </c>
      <c r="I2076" s="71" t="s">
        <v>141</v>
      </c>
      <c r="J2076" s="53">
        <f>(G2076-(VLOOKUP(C2076,Price!B:D,3,FALSE)*D2076))</f>
        <v>115800</v>
      </c>
      <c r="K2076" s="63">
        <f t="shared" ref="K2076:K2082" si="1110">(J2076/(F2076/11*10))</f>
        <v>0.17706422018348625</v>
      </c>
      <c r="L2076" s="871" t="s">
        <v>1863</v>
      </c>
      <c r="M2076" s="468"/>
      <c r="N2076" s="664">
        <f t="shared" ref="N2076:N2084" si="1111">A2076</f>
        <v>190523</v>
      </c>
      <c r="O2076" s="71" t="s">
        <v>145</v>
      </c>
      <c r="P2076" s="103" t="str">
        <f t="shared" ref="P2076:P2081" si="1112">C2076</f>
        <v>Agfa Film(24inch)</v>
      </c>
      <c r="Q2076" s="71">
        <f t="shared" ref="Q2076:Q2081" si="1113">D2076</f>
        <v>2</v>
      </c>
      <c r="R2076" s="102">
        <v>269100</v>
      </c>
      <c r="S2076" s="102">
        <f t="shared" si="1106"/>
        <v>592020</v>
      </c>
      <c r="T2076" s="102">
        <f t="shared" si="1107"/>
        <v>538200</v>
      </c>
      <c r="U2076" s="71" t="str">
        <f t="shared" si="1097"/>
        <v>O</v>
      </c>
      <c r="V2076" s="71"/>
      <c r="W2076" s="474">
        <f t="shared" si="1104"/>
        <v>115800</v>
      </c>
      <c r="X2076" s="71"/>
      <c r="Y2076" s="71"/>
    </row>
    <row r="2077" spans="1:25" ht="30" hidden="1" customHeight="1" x14ac:dyDescent="0.25">
      <c r="A2077" s="82">
        <v>190523</v>
      </c>
      <c r="B2077" s="664" t="s">
        <v>442</v>
      </c>
      <c r="C2077" s="71" t="s">
        <v>134</v>
      </c>
      <c r="D2077" s="71">
        <v>2</v>
      </c>
      <c r="E2077" s="102">
        <v>401000</v>
      </c>
      <c r="F2077" s="102">
        <f t="shared" si="1108"/>
        <v>882200.00000000012</v>
      </c>
      <c r="G2077" s="102">
        <f t="shared" si="1109"/>
        <v>802000</v>
      </c>
      <c r="H2077" s="690" t="s">
        <v>173</v>
      </c>
      <c r="I2077" s="71" t="s">
        <v>141</v>
      </c>
      <c r="J2077" s="53">
        <f>(G2077-(VLOOKUP(C2077,Price!B:D,3,FALSE)*D2077))</f>
        <v>174080</v>
      </c>
      <c r="K2077" s="63">
        <f t="shared" si="1110"/>
        <v>0.21705735660847877</v>
      </c>
      <c r="L2077" s="871" t="s">
        <v>1863</v>
      </c>
      <c r="M2077" s="468"/>
      <c r="N2077" s="664">
        <f t="shared" si="1111"/>
        <v>190523</v>
      </c>
      <c r="O2077" s="71" t="s">
        <v>145</v>
      </c>
      <c r="P2077" s="103" t="str">
        <f t="shared" si="1112"/>
        <v>Agfa Film(28inch)</v>
      </c>
      <c r="Q2077" s="71">
        <f t="shared" si="1113"/>
        <v>2</v>
      </c>
      <c r="R2077" s="102">
        <f>VLOOKUP(P2077,Price!B:D,3,FALSE)</f>
        <v>313960</v>
      </c>
      <c r="S2077" s="102">
        <f t="shared" si="1106"/>
        <v>690712</v>
      </c>
      <c r="T2077" s="102">
        <f t="shared" si="1107"/>
        <v>627920</v>
      </c>
      <c r="U2077" s="71" t="str">
        <f t="shared" si="1097"/>
        <v>O</v>
      </c>
      <c r="V2077" s="71"/>
      <c r="W2077" s="474">
        <f t="shared" si="1104"/>
        <v>174080</v>
      </c>
      <c r="X2077" s="71"/>
      <c r="Y2077" s="71"/>
    </row>
    <row r="2078" spans="1:25" ht="30" hidden="1" customHeight="1" x14ac:dyDescent="0.25">
      <c r="A2078" s="82">
        <v>190523</v>
      </c>
      <c r="B2078" s="664" t="s">
        <v>442</v>
      </c>
      <c r="C2078" s="71" t="s">
        <v>135</v>
      </c>
      <c r="D2078" s="71">
        <v>1</v>
      </c>
      <c r="E2078" s="102">
        <v>448000</v>
      </c>
      <c r="F2078" s="102">
        <f t="shared" si="1108"/>
        <v>492800.00000000006</v>
      </c>
      <c r="G2078" s="102">
        <f t="shared" si="1109"/>
        <v>448000</v>
      </c>
      <c r="H2078" s="690" t="s">
        <v>173</v>
      </c>
      <c r="I2078" s="71" t="s">
        <v>141</v>
      </c>
      <c r="J2078" s="53">
        <f>(G2078-(VLOOKUP(C2078,Price!B:D,3,FALSE)*D2078))</f>
        <v>77990</v>
      </c>
      <c r="K2078" s="63">
        <f t="shared" si="1110"/>
        <v>0.1740848214285714</v>
      </c>
      <c r="L2078" s="871" t="s">
        <v>1863</v>
      </c>
      <c r="M2078" s="468"/>
      <c r="N2078" s="664">
        <f t="shared" si="1111"/>
        <v>190523</v>
      </c>
      <c r="O2078" s="71" t="s">
        <v>145</v>
      </c>
      <c r="P2078" s="103" t="str">
        <f t="shared" si="1112"/>
        <v>Agfa Film(32inch)</v>
      </c>
      <c r="Q2078" s="71">
        <f t="shared" si="1113"/>
        <v>1</v>
      </c>
      <c r="R2078" s="102">
        <f>VLOOKUP(P2078,Price!B:D,3,FALSE)</f>
        <v>370010</v>
      </c>
      <c r="S2078" s="102">
        <f t="shared" si="1106"/>
        <v>407011.00000000006</v>
      </c>
      <c r="T2078" s="102">
        <f t="shared" si="1107"/>
        <v>370010</v>
      </c>
      <c r="U2078" s="71" t="str">
        <f t="shared" si="1097"/>
        <v>O</v>
      </c>
      <c r="V2078" s="71"/>
      <c r="W2078" s="474">
        <f t="shared" si="1104"/>
        <v>77990</v>
      </c>
      <c r="X2078" s="71"/>
      <c r="Y2078" s="71"/>
    </row>
    <row r="2079" spans="1:25" ht="30" hidden="1" customHeight="1" x14ac:dyDescent="0.2">
      <c r="A2079" s="82">
        <v>190523</v>
      </c>
      <c r="B2079" s="664" t="s">
        <v>442</v>
      </c>
      <c r="C2079" s="71" t="s">
        <v>650</v>
      </c>
      <c r="D2079" s="71">
        <v>1</v>
      </c>
      <c r="E2079" s="102">
        <v>93000</v>
      </c>
      <c r="F2079" s="163">
        <f t="shared" si="1108"/>
        <v>102300.00000000001</v>
      </c>
      <c r="G2079" s="163">
        <f t="shared" si="1109"/>
        <v>93000</v>
      </c>
      <c r="H2079" s="165" t="s">
        <v>172</v>
      </c>
      <c r="I2079" s="71" t="s">
        <v>141</v>
      </c>
      <c r="J2079" s="53">
        <f>(G2079-(VLOOKUP(C2079,Price!B:D,3,FALSE)*D2079))</f>
        <v>33000</v>
      </c>
      <c r="K2079" s="63">
        <f t="shared" si="1110"/>
        <v>0.35483870967741932</v>
      </c>
      <c r="L2079" s="871" t="s">
        <v>1863</v>
      </c>
      <c r="M2079" s="468"/>
      <c r="N2079" s="664">
        <f t="shared" si="1111"/>
        <v>190523</v>
      </c>
      <c r="O2079" s="71" t="s">
        <v>145</v>
      </c>
      <c r="P2079" s="103" t="str">
        <f t="shared" si="1112"/>
        <v>Agfa 정착액 G333C(20L)</v>
      </c>
      <c r="Q2079" s="71">
        <f t="shared" si="1113"/>
        <v>1</v>
      </c>
      <c r="R2079" s="102">
        <f>VLOOKUP(P2079,Price!B:D,3,FALSE)</f>
        <v>60000</v>
      </c>
      <c r="S2079" s="102">
        <f t="shared" si="1106"/>
        <v>66000</v>
      </c>
      <c r="T2079" s="102">
        <f t="shared" si="1107"/>
        <v>60000</v>
      </c>
      <c r="U2079" s="71" t="str">
        <f t="shared" si="1097"/>
        <v>O</v>
      </c>
      <c r="V2079" s="71"/>
      <c r="W2079" s="474">
        <f t="shared" si="1104"/>
        <v>33000</v>
      </c>
      <c r="X2079" s="71"/>
      <c r="Y2079" s="71"/>
    </row>
    <row r="2080" spans="1:25" ht="30" hidden="1" customHeight="1" x14ac:dyDescent="0.25">
      <c r="A2080" s="82">
        <v>190523</v>
      </c>
      <c r="B2080" s="664" t="s">
        <v>690</v>
      </c>
      <c r="C2080" s="67" t="s">
        <v>197</v>
      </c>
      <c r="D2080" s="71">
        <v>4</v>
      </c>
      <c r="E2080" s="102">
        <v>49000</v>
      </c>
      <c r="F2080" s="102">
        <f t="shared" si="1108"/>
        <v>215600.00000000003</v>
      </c>
      <c r="G2080" s="102">
        <f t="shared" si="1109"/>
        <v>196000</v>
      </c>
      <c r="H2080" s="690" t="s">
        <v>173</v>
      </c>
      <c r="I2080" s="71" t="s">
        <v>2230</v>
      </c>
      <c r="J2080" s="53">
        <f>(G2080-(VLOOKUP(C2080,Price!B:D,3,FALSE)*D2080))</f>
        <v>56000</v>
      </c>
      <c r="K2080" s="63">
        <f t="shared" si="1110"/>
        <v>0.2857142857142857</v>
      </c>
      <c r="L2080" s="871" t="s">
        <v>1863</v>
      </c>
      <c r="M2080" s="468" t="s">
        <v>1394</v>
      </c>
      <c r="N2080" s="664">
        <f t="shared" si="1111"/>
        <v>190523</v>
      </c>
      <c r="O2080" s="71" t="s">
        <v>145</v>
      </c>
      <c r="P2080" s="103" t="str">
        <f t="shared" si="1112"/>
        <v>THR200(20L)</v>
      </c>
      <c r="Q2080" s="71">
        <f t="shared" si="1113"/>
        <v>4</v>
      </c>
      <c r="R2080" s="102">
        <v>35000</v>
      </c>
      <c r="S2080" s="102">
        <f t="shared" si="1106"/>
        <v>154000</v>
      </c>
      <c r="T2080" s="102">
        <f t="shared" si="1107"/>
        <v>140000</v>
      </c>
      <c r="U2080" s="71" t="str">
        <f t="shared" si="1097"/>
        <v>O</v>
      </c>
      <c r="V2080" s="71"/>
      <c r="W2080" s="474">
        <f t="shared" si="1104"/>
        <v>56000</v>
      </c>
      <c r="X2080" s="71"/>
      <c r="Y2080" s="71"/>
    </row>
    <row r="2081" spans="1:25" ht="30" hidden="1" customHeight="1" x14ac:dyDescent="0.25">
      <c r="A2081" s="82">
        <v>190523</v>
      </c>
      <c r="B2081" s="664" t="s">
        <v>690</v>
      </c>
      <c r="C2081" s="71" t="s">
        <v>1186</v>
      </c>
      <c r="D2081" s="71">
        <v>500</v>
      </c>
      <c r="E2081" s="102">
        <v>3600</v>
      </c>
      <c r="F2081" s="102">
        <f t="shared" si="1108"/>
        <v>1980000.0000000002</v>
      </c>
      <c r="G2081" s="102">
        <f t="shared" si="1109"/>
        <v>1800000</v>
      </c>
      <c r="H2081" s="690" t="s">
        <v>173</v>
      </c>
      <c r="I2081" s="71" t="s">
        <v>2230</v>
      </c>
      <c r="J2081" s="53">
        <f>(G2081-(VLOOKUP(C2081,Price!B:D,3,FALSE)*D2081))</f>
        <v>-200000</v>
      </c>
      <c r="K2081" s="63">
        <f t="shared" si="1110"/>
        <v>-0.11111111111111109</v>
      </c>
      <c r="L2081" s="871" t="s">
        <v>1863</v>
      </c>
      <c r="M2081" s="468" t="s">
        <v>1393</v>
      </c>
      <c r="N2081" s="664">
        <f t="shared" si="1111"/>
        <v>190523</v>
      </c>
      <c r="O2081" s="71" t="s">
        <v>145</v>
      </c>
      <c r="P2081" s="103" t="str">
        <f t="shared" si="1112"/>
        <v>CTP 판(1030*790mm)</v>
      </c>
      <c r="Q2081" s="71">
        <f t="shared" si="1113"/>
        <v>500</v>
      </c>
      <c r="R2081" s="102">
        <v>4000</v>
      </c>
      <c r="S2081" s="102">
        <f t="shared" si="1106"/>
        <v>2200000</v>
      </c>
      <c r="T2081" s="102">
        <f t="shared" si="1107"/>
        <v>2000000</v>
      </c>
      <c r="U2081" s="71" t="str">
        <f t="shared" si="1097"/>
        <v>O</v>
      </c>
      <c r="V2081" s="71"/>
      <c r="W2081" s="474">
        <f t="shared" si="1104"/>
        <v>-200000</v>
      </c>
      <c r="X2081" s="71"/>
      <c r="Y2081" s="71"/>
    </row>
    <row r="2082" spans="1:25" ht="30" customHeight="1" x14ac:dyDescent="0.25">
      <c r="A2082" s="82">
        <v>190523</v>
      </c>
      <c r="B2082" s="664" t="s">
        <v>565</v>
      </c>
      <c r="C2082" s="71" t="s">
        <v>1889</v>
      </c>
      <c r="D2082" s="71">
        <v>3</v>
      </c>
      <c r="E2082" s="102">
        <v>270000</v>
      </c>
      <c r="F2082" s="102">
        <f>(E2082*D2082)*1.1</f>
        <v>891000.00000000012</v>
      </c>
      <c r="G2082" s="102">
        <f>(E2082*D2082)</f>
        <v>810000</v>
      </c>
      <c r="H2082" s="690" t="s">
        <v>1431</v>
      </c>
      <c r="I2082" s="71" t="s">
        <v>1431</v>
      </c>
      <c r="J2082" s="53">
        <f t="shared" ref="J2082:J2092" si="1114">G2082-T2082</f>
        <v>290125.85006721126</v>
      </c>
      <c r="K2082" s="63">
        <f t="shared" si="1110"/>
        <v>0.35818006181137185</v>
      </c>
      <c r="L2082" s="871" t="s">
        <v>1863</v>
      </c>
      <c r="M2082" s="468"/>
      <c r="N2082" s="664">
        <f t="shared" si="1111"/>
        <v>190523</v>
      </c>
      <c r="O2082" s="71" t="s">
        <v>1431</v>
      </c>
      <c r="P2082" s="103" t="str">
        <f t="shared" ref="P2082:Q2084" si="1115">C2082</f>
        <v>에어 실린더(107)</v>
      </c>
      <c r="Q2082" s="71">
        <f t="shared" si="1115"/>
        <v>3</v>
      </c>
      <c r="R2082" s="102">
        <f>Import!G183</f>
        <v>173291.38331092958</v>
      </c>
      <c r="S2082" s="102">
        <f t="shared" si="1106"/>
        <v>571861.56492606772</v>
      </c>
      <c r="T2082" s="102">
        <f t="shared" si="1107"/>
        <v>519874.14993278874</v>
      </c>
      <c r="U2082" s="71" t="str">
        <f t="shared" si="1097"/>
        <v>O</v>
      </c>
      <c r="V2082" s="71"/>
      <c r="W2082" s="474">
        <f t="shared" si="1104"/>
        <v>290125.85006721126</v>
      </c>
      <c r="X2082" s="71"/>
      <c r="Y2082" s="71"/>
    </row>
    <row r="2083" spans="1:25" ht="30" hidden="1" customHeight="1" x14ac:dyDescent="0.25">
      <c r="A2083" s="82">
        <v>190523</v>
      </c>
      <c r="B2083" s="664" t="s">
        <v>1231</v>
      </c>
      <c r="C2083" s="71" t="s">
        <v>1886</v>
      </c>
      <c r="D2083" s="71">
        <v>2</v>
      </c>
      <c r="E2083" s="102">
        <v>90000</v>
      </c>
      <c r="F2083" s="102">
        <f>(E2083*D2083)*1.1</f>
        <v>198000.00000000003</v>
      </c>
      <c r="G2083" s="102">
        <f>(E2083*D2083)</f>
        <v>180000</v>
      </c>
      <c r="H2083" s="690" t="s">
        <v>173</v>
      </c>
      <c r="I2083" s="71" t="s">
        <v>2231</v>
      </c>
      <c r="J2083" s="53">
        <f t="shared" si="1114"/>
        <v>28000</v>
      </c>
      <c r="K2083" s="63">
        <f>(J2083/(F2083/11*10))</f>
        <v>0.15555555555555553</v>
      </c>
      <c r="L2083" s="871" t="s">
        <v>1863</v>
      </c>
      <c r="M2083" s="468"/>
      <c r="N2083" s="664">
        <v>190523</v>
      </c>
      <c r="O2083" s="71" t="s">
        <v>150</v>
      </c>
      <c r="P2083" s="103" t="str">
        <f t="shared" si="1115"/>
        <v>Lubricant 오일</v>
      </c>
      <c r="Q2083" s="71">
        <f t="shared" si="1115"/>
        <v>2</v>
      </c>
      <c r="R2083" s="102">
        <v>76000</v>
      </c>
      <c r="S2083" s="102">
        <f t="shared" si="1106"/>
        <v>167200</v>
      </c>
      <c r="T2083" s="102">
        <f t="shared" si="1107"/>
        <v>152000</v>
      </c>
      <c r="U2083" s="71" t="str">
        <f t="shared" si="1097"/>
        <v>O</v>
      </c>
      <c r="V2083" s="71"/>
      <c r="W2083" s="474">
        <f t="shared" si="1104"/>
        <v>28000</v>
      </c>
      <c r="X2083" s="71"/>
      <c r="Y2083" s="71"/>
    </row>
    <row r="2084" spans="1:25" ht="30" hidden="1" customHeight="1" x14ac:dyDescent="0.25">
      <c r="A2084" s="82">
        <v>190524</v>
      </c>
      <c r="B2084" s="664" t="s">
        <v>1220</v>
      </c>
      <c r="C2084" s="71" t="s">
        <v>1885</v>
      </c>
      <c r="D2084" s="71">
        <v>8</v>
      </c>
      <c r="E2084" s="102">
        <v>144000</v>
      </c>
      <c r="F2084" s="102">
        <f>(E2084*D2084)*1.1</f>
        <v>1267200</v>
      </c>
      <c r="G2084" s="102">
        <f>(E2084*D2084)</f>
        <v>1152000</v>
      </c>
      <c r="H2084" s="690" t="s">
        <v>1431</v>
      </c>
      <c r="I2084" s="71" t="s">
        <v>1431</v>
      </c>
      <c r="J2084" s="53">
        <f t="shared" si="1114"/>
        <v>345082.1499327888</v>
      </c>
      <c r="K2084" s="63">
        <f>(J2084/(F2084/11*10))</f>
        <v>0.29955047737221252</v>
      </c>
      <c r="L2084" s="871" t="s">
        <v>1863</v>
      </c>
      <c r="M2084" s="468"/>
      <c r="N2084" s="664">
        <f t="shared" si="1111"/>
        <v>190524</v>
      </c>
      <c r="O2084" s="71" t="s">
        <v>1431</v>
      </c>
      <c r="P2084" s="103" t="str">
        <f t="shared" si="1115"/>
        <v>브레이크 슈</v>
      </c>
      <c r="Q2084" s="71">
        <f t="shared" si="1115"/>
        <v>8</v>
      </c>
      <c r="R2084" s="102">
        <f>Import!G184</f>
        <v>100864.7312584014</v>
      </c>
      <c r="S2084" s="102">
        <f t="shared" si="1106"/>
        <v>887609.63507393235</v>
      </c>
      <c r="T2084" s="102">
        <f t="shared" si="1107"/>
        <v>806917.8500672112</v>
      </c>
      <c r="U2084" s="71" t="str">
        <f t="shared" si="1097"/>
        <v>O</v>
      </c>
      <c r="V2084" s="71"/>
      <c r="W2084" s="474">
        <f t="shared" si="1104"/>
        <v>345082.1499327888</v>
      </c>
      <c r="X2084" s="71"/>
      <c r="Y2084" s="71"/>
    </row>
    <row r="2085" spans="1:25" ht="30" hidden="1" customHeight="1" x14ac:dyDescent="0.25">
      <c r="A2085" s="82">
        <v>190525</v>
      </c>
      <c r="B2085" s="664" t="s">
        <v>1051</v>
      </c>
      <c r="C2085" s="71" t="s">
        <v>1294</v>
      </c>
      <c r="D2085" s="71">
        <v>5100</v>
      </c>
      <c r="E2085" s="102">
        <v>5960</v>
      </c>
      <c r="F2085" s="102">
        <f>(E2085*D2085)*1.1</f>
        <v>33435600.000000004</v>
      </c>
      <c r="G2085" s="102">
        <f>(E2085*D2085)</f>
        <v>30396000</v>
      </c>
      <c r="H2085" s="690" t="s">
        <v>142</v>
      </c>
      <c r="I2085" s="71" t="s">
        <v>2273</v>
      </c>
      <c r="J2085" s="53">
        <f t="shared" si="1114"/>
        <v>9996000</v>
      </c>
      <c r="K2085" s="63">
        <f t="shared" ref="K2085:K2100" si="1116">(J2085/(F2085/11*10))</f>
        <v>0.32885906040268453</v>
      </c>
      <c r="L2085" s="871" t="s">
        <v>1863</v>
      </c>
      <c r="M2085" s="468"/>
      <c r="N2085" s="664">
        <f t="shared" ref="N2085:N2091" si="1117">A2085</f>
        <v>190525</v>
      </c>
      <c r="O2085" s="71" t="s">
        <v>145</v>
      </c>
      <c r="P2085" s="103" t="str">
        <f>(C2085)</f>
        <v>ENGAGE 1030*790</v>
      </c>
      <c r="Q2085" s="71">
        <f t="shared" ref="Q2085:Q2100" si="1118">D2085</f>
        <v>5100</v>
      </c>
      <c r="R2085" s="102">
        <v>4000</v>
      </c>
      <c r="S2085" s="102">
        <f>(R2085*D2085)*1.1</f>
        <v>22440000</v>
      </c>
      <c r="T2085" s="102">
        <f>(R2085*Q2085)</f>
        <v>20400000</v>
      </c>
      <c r="U2085" s="71" t="str">
        <f t="shared" si="1097"/>
        <v>O</v>
      </c>
      <c r="V2085" s="71"/>
      <c r="W2085" s="474">
        <f t="shared" si="1104"/>
        <v>9996000</v>
      </c>
      <c r="X2085" s="71"/>
      <c r="Y2085" s="71"/>
    </row>
    <row r="2086" spans="1:25" ht="30" hidden="1" customHeight="1" x14ac:dyDescent="0.25">
      <c r="A2086" s="82">
        <v>190525</v>
      </c>
      <c r="B2086" s="664" t="s">
        <v>1051</v>
      </c>
      <c r="C2086" s="71" t="s">
        <v>1384</v>
      </c>
      <c r="D2086" s="71">
        <v>1200</v>
      </c>
      <c r="E2086" s="102">
        <v>3750</v>
      </c>
      <c r="F2086" s="102">
        <f t="shared" ref="F2086:F2100" si="1119">(E2086*D2086)*1.1</f>
        <v>4950000</v>
      </c>
      <c r="G2086" s="102">
        <f t="shared" ref="G2086:G2100" si="1120">(E2086*D2086)</f>
        <v>4500000</v>
      </c>
      <c r="H2086" s="690" t="s">
        <v>142</v>
      </c>
      <c r="I2086" s="71" t="s">
        <v>2273</v>
      </c>
      <c r="J2086" s="53">
        <f t="shared" si="1114"/>
        <v>1476000</v>
      </c>
      <c r="K2086" s="63">
        <f t="shared" si="1116"/>
        <v>0.32800000000000001</v>
      </c>
      <c r="L2086" s="871" t="s">
        <v>1863</v>
      </c>
      <c r="M2086" s="468"/>
      <c r="N2086" s="664">
        <f t="shared" si="1117"/>
        <v>190525</v>
      </c>
      <c r="O2086" s="71" t="s">
        <v>145</v>
      </c>
      <c r="P2086" s="103" t="str">
        <f>C2086</f>
        <v>ENGAGE 900X571 - 27RO</v>
      </c>
      <c r="Q2086" s="71">
        <f t="shared" si="1118"/>
        <v>1200</v>
      </c>
      <c r="R2086" s="102">
        <v>2520</v>
      </c>
      <c r="S2086" s="102">
        <f>R2086*Q2086*1.1</f>
        <v>3326400.0000000005</v>
      </c>
      <c r="T2086" s="102">
        <f>R2086*Q2086</f>
        <v>3024000</v>
      </c>
      <c r="U2086" s="71" t="str">
        <f t="shared" si="1097"/>
        <v>O</v>
      </c>
      <c r="V2086" s="71"/>
      <c r="W2086" s="474">
        <f t="shared" si="1104"/>
        <v>1476000</v>
      </c>
      <c r="X2086" s="71"/>
      <c r="Y2086" s="71"/>
    </row>
    <row r="2087" spans="1:25" ht="30" hidden="1" customHeight="1" x14ac:dyDescent="0.25">
      <c r="A2087" s="82">
        <v>190525</v>
      </c>
      <c r="B2087" s="664" t="s">
        <v>1051</v>
      </c>
      <c r="C2087" s="71" t="s">
        <v>951</v>
      </c>
      <c r="D2087" s="71">
        <v>700</v>
      </c>
      <c r="E2087" s="102">
        <v>3580</v>
      </c>
      <c r="F2087" s="102">
        <f t="shared" si="1119"/>
        <v>2756600</v>
      </c>
      <c r="G2087" s="102">
        <f t="shared" si="1120"/>
        <v>2506000</v>
      </c>
      <c r="H2087" s="690" t="s">
        <v>142</v>
      </c>
      <c r="I2087" s="71" t="s">
        <v>2273</v>
      </c>
      <c r="J2087" s="53">
        <f t="shared" si="1114"/>
        <v>833000</v>
      </c>
      <c r="K2087" s="63">
        <f t="shared" si="1116"/>
        <v>0.33240223463687152</v>
      </c>
      <c r="L2087" s="871" t="s">
        <v>1863</v>
      </c>
      <c r="M2087" s="468"/>
      <c r="N2087" s="664">
        <f t="shared" si="1117"/>
        <v>190525</v>
      </c>
      <c r="O2087" s="71" t="s">
        <v>145</v>
      </c>
      <c r="P2087" s="103" t="str">
        <f>(C2087)</f>
        <v>ENGAGE 30WEB(883*552)</v>
      </c>
      <c r="Q2087" s="71">
        <f t="shared" si="1118"/>
        <v>700</v>
      </c>
      <c r="R2087" s="102">
        <v>2390</v>
      </c>
      <c r="S2087" s="102">
        <f>(R2087*D2087)*1.1</f>
        <v>1840300.0000000002</v>
      </c>
      <c r="T2087" s="102">
        <f>(R2087*Q2087)</f>
        <v>1673000</v>
      </c>
      <c r="U2087" s="71" t="str">
        <f t="shared" si="1097"/>
        <v>O</v>
      </c>
      <c r="V2087" s="71"/>
      <c r="W2087" s="474">
        <f t="shared" si="1104"/>
        <v>833000</v>
      </c>
      <c r="X2087" s="71"/>
      <c r="Y2087" s="71"/>
    </row>
    <row r="2088" spans="1:25" ht="30" hidden="1" customHeight="1" x14ac:dyDescent="0.25">
      <c r="A2088" s="82">
        <v>190525</v>
      </c>
      <c r="B2088" s="664" t="s">
        <v>1051</v>
      </c>
      <c r="C2088" s="71" t="s">
        <v>1383</v>
      </c>
      <c r="D2088" s="71">
        <v>2300</v>
      </c>
      <c r="E2088" s="102">
        <v>6260</v>
      </c>
      <c r="F2088" s="102">
        <f t="shared" si="1119"/>
        <v>15837800.000000002</v>
      </c>
      <c r="G2088" s="102">
        <f t="shared" si="1120"/>
        <v>14398000</v>
      </c>
      <c r="H2088" s="690" t="s">
        <v>142</v>
      </c>
      <c r="I2088" s="71" t="s">
        <v>2273</v>
      </c>
      <c r="J2088" s="53">
        <f t="shared" si="1114"/>
        <v>4715000</v>
      </c>
      <c r="K2088" s="63">
        <f t="shared" si="1116"/>
        <v>0.32747603833865813</v>
      </c>
      <c r="L2088" s="871" t="s">
        <v>1863</v>
      </c>
      <c r="M2088" s="468"/>
      <c r="N2088" s="664">
        <f t="shared" si="1117"/>
        <v>190525</v>
      </c>
      <c r="O2088" s="71" t="s">
        <v>145</v>
      </c>
      <c r="P2088" s="103" t="str">
        <f>C2088</f>
        <v>ENGAGE 1055*811</v>
      </c>
      <c r="Q2088" s="71">
        <f t="shared" si="1118"/>
        <v>2300</v>
      </c>
      <c r="R2088" s="102">
        <v>4210</v>
      </c>
      <c r="S2088" s="102">
        <f>R2088*Q2088*1.1</f>
        <v>10651300</v>
      </c>
      <c r="T2088" s="102">
        <f>R2088*Q2088</f>
        <v>9683000</v>
      </c>
      <c r="U2088" s="71"/>
      <c r="V2088" s="71"/>
      <c r="W2088" s="474">
        <f t="shared" si="1104"/>
        <v>4715000</v>
      </c>
      <c r="X2088" s="71"/>
      <c r="Y2088" s="71"/>
    </row>
    <row r="2089" spans="1:25" ht="30" hidden="1" customHeight="1" x14ac:dyDescent="0.25">
      <c r="A2089" s="82">
        <v>190525</v>
      </c>
      <c r="B2089" s="664" t="s">
        <v>1051</v>
      </c>
      <c r="C2089" s="71" t="s">
        <v>1650</v>
      </c>
      <c r="D2089" s="71"/>
      <c r="E2089" s="102">
        <v>4440</v>
      </c>
      <c r="F2089" s="102">
        <f t="shared" si="1119"/>
        <v>0</v>
      </c>
      <c r="G2089" s="102">
        <f t="shared" si="1120"/>
        <v>0</v>
      </c>
      <c r="H2089" s="690" t="s">
        <v>142</v>
      </c>
      <c r="I2089" s="71" t="s">
        <v>2273</v>
      </c>
      <c r="J2089" s="53">
        <f t="shared" si="1114"/>
        <v>0</v>
      </c>
      <c r="K2089" s="63" t="e">
        <f t="shared" si="1116"/>
        <v>#DIV/0!</v>
      </c>
      <c r="L2089" s="871" t="s">
        <v>1863</v>
      </c>
      <c r="M2089" s="468"/>
      <c r="N2089" s="664">
        <f t="shared" si="1117"/>
        <v>190525</v>
      </c>
      <c r="O2089" s="71" t="s">
        <v>145</v>
      </c>
      <c r="P2089" s="103" t="s">
        <v>1385</v>
      </c>
      <c r="Q2089" s="71">
        <f t="shared" si="1118"/>
        <v>0</v>
      </c>
      <c r="R2089" s="102">
        <v>3000</v>
      </c>
      <c r="S2089" s="102">
        <f>R2089*Q2089*1.1</f>
        <v>0</v>
      </c>
      <c r="T2089" s="102">
        <f>R2089*Q2089</f>
        <v>0</v>
      </c>
      <c r="U2089" s="71" t="str">
        <f t="shared" ref="U2089:U2115" si="1121">IF(J2089=W2089,"O", "X")</f>
        <v>O</v>
      </c>
      <c r="V2089" s="71"/>
      <c r="W2089" s="474">
        <f t="shared" si="1104"/>
        <v>0</v>
      </c>
      <c r="X2089" s="71"/>
      <c r="Y2089" s="71"/>
    </row>
    <row r="2090" spans="1:25" ht="30" hidden="1" customHeight="1" x14ac:dyDescent="0.25">
      <c r="A2090" s="82">
        <v>190525</v>
      </c>
      <c r="B2090" s="664" t="s">
        <v>1051</v>
      </c>
      <c r="C2090" s="67" t="s">
        <v>1386</v>
      </c>
      <c r="D2090" s="71">
        <v>20</v>
      </c>
      <c r="E2090" s="102">
        <v>55000</v>
      </c>
      <c r="F2090" s="102">
        <f t="shared" si="1119"/>
        <v>1210000</v>
      </c>
      <c r="G2090" s="102">
        <f t="shared" si="1120"/>
        <v>1100000</v>
      </c>
      <c r="H2090" s="690" t="s">
        <v>142</v>
      </c>
      <c r="I2090" s="71" t="s">
        <v>2273</v>
      </c>
      <c r="J2090" s="53">
        <f t="shared" si="1114"/>
        <v>400000</v>
      </c>
      <c r="K2090" s="63">
        <f t="shared" si="1116"/>
        <v>0.36363636363636365</v>
      </c>
      <c r="L2090" s="871" t="s">
        <v>1863</v>
      </c>
      <c r="M2090" s="468"/>
      <c r="N2090" s="664">
        <f t="shared" si="1117"/>
        <v>190525</v>
      </c>
      <c r="O2090" s="71" t="s">
        <v>145</v>
      </c>
      <c r="P2090" s="103" t="str">
        <f>C2090</f>
        <v>THR200(20L)보충액</v>
      </c>
      <c r="Q2090" s="71">
        <f t="shared" si="1118"/>
        <v>20</v>
      </c>
      <c r="R2090" s="102">
        <v>35000</v>
      </c>
      <c r="S2090" s="102">
        <f>R2090*Q2090*1.1</f>
        <v>770000.00000000012</v>
      </c>
      <c r="T2090" s="102">
        <f>R2090*Q2090</f>
        <v>700000</v>
      </c>
      <c r="U2090" s="71" t="str">
        <f t="shared" si="1121"/>
        <v>O</v>
      </c>
      <c r="V2090" s="71"/>
      <c r="W2090" s="474">
        <f t="shared" si="1104"/>
        <v>400000</v>
      </c>
      <c r="X2090" s="71"/>
      <c r="Y2090" s="71"/>
    </row>
    <row r="2091" spans="1:25" ht="30" hidden="1" customHeight="1" x14ac:dyDescent="0.25">
      <c r="A2091" s="82">
        <v>190525</v>
      </c>
      <c r="B2091" s="664" t="s">
        <v>1051</v>
      </c>
      <c r="C2091" s="71" t="s">
        <v>1387</v>
      </c>
      <c r="D2091" s="71">
        <v>10</v>
      </c>
      <c r="E2091" s="102">
        <v>55000</v>
      </c>
      <c r="F2091" s="102">
        <f t="shared" si="1119"/>
        <v>605000</v>
      </c>
      <c r="G2091" s="102">
        <f t="shared" si="1120"/>
        <v>550000</v>
      </c>
      <c r="H2091" s="690" t="s">
        <v>142</v>
      </c>
      <c r="I2091" s="71" t="s">
        <v>2273</v>
      </c>
      <c r="J2091" s="53">
        <f t="shared" si="1114"/>
        <v>200000</v>
      </c>
      <c r="K2091" s="63">
        <f t="shared" si="1116"/>
        <v>0.36363636363636365</v>
      </c>
      <c r="L2091" s="871" t="s">
        <v>1863</v>
      </c>
      <c r="M2091" s="468"/>
      <c r="N2091" s="664">
        <f t="shared" si="1117"/>
        <v>190525</v>
      </c>
      <c r="O2091" s="71" t="s">
        <v>145</v>
      </c>
      <c r="P2091" s="103" t="str">
        <f>(C2091)</f>
        <v>THD200(20L)현상액</v>
      </c>
      <c r="Q2091" s="71">
        <f t="shared" si="1118"/>
        <v>10</v>
      </c>
      <c r="R2091" s="102">
        <v>35000</v>
      </c>
      <c r="S2091" s="102">
        <f>(R2091*D2091)*1.1</f>
        <v>385000.00000000006</v>
      </c>
      <c r="T2091" s="102">
        <f>(R2091*Q2091)</f>
        <v>350000</v>
      </c>
      <c r="U2091" s="71" t="str">
        <f t="shared" si="1121"/>
        <v>O</v>
      </c>
      <c r="V2091" s="71"/>
      <c r="W2091" s="474">
        <f t="shared" si="1104"/>
        <v>200000</v>
      </c>
      <c r="X2091" s="71"/>
      <c r="Y2091" s="71"/>
    </row>
    <row r="2092" spans="1:25" ht="30" hidden="1" customHeight="1" x14ac:dyDescent="0.25">
      <c r="A2092" s="82">
        <v>190525</v>
      </c>
      <c r="B2092" s="664" t="s">
        <v>1061</v>
      </c>
      <c r="C2092" s="71" t="s">
        <v>616</v>
      </c>
      <c r="D2092" s="71">
        <v>200</v>
      </c>
      <c r="E2092" s="102">
        <v>6600</v>
      </c>
      <c r="F2092" s="102">
        <f t="shared" si="1119"/>
        <v>1452000.0000000002</v>
      </c>
      <c r="G2092" s="102">
        <f t="shared" si="1120"/>
        <v>1320000</v>
      </c>
      <c r="H2092" s="690" t="s">
        <v>142</v>
      </c>
      <c r="I2092" s="71" t="s">
        <v>144</v>
      </c>
      <c r="J2092" s="53">
        <f t="shared" si="1114"/>
        <v>140000</v>
      </c>
      <c r="K2092" s="63">
        <f t="shared" si="1116"/>
        <v>0.10606060606060604</v>
      </c>
      <c r="L2092" s="871" t="s">
        <v>1863</v>
      </c>
      <c r="M2092" s="468"/>
      <c r="N2092" s="664">
        <f>A2092</f>
        <v>190525</v>
      </c>
      <c r="O2092" s="71" t="s">
        <v>147</v>
      </c>
      <c r="P2092" s="103" t="str">
        <f t="shared" ref="P2092:P2100" si="1122">C2092</f>
        <v>프리미어(먹)</v>
      </c>
      <c r="Q2092" s="71">
        <f t="shared" si="1118"/>
        <v>200</v>
      </c>
      <c r="R2092" s="102">
        <v>5900</v>
      </c>
      <c r="S2092" s="102">
        <f>R2092*Q2092*1.1</f>
        <v>1298000</v>
      </c>
      <c r="T2092" s="102">
        <f>R2092*Q2092</f>
        <v>1180000</v>
      </c>
      <c r="U2092" s="71" t="str">
        <f t="shared" si="1121"/>
        <v>O</v>
      </c>
      <c r="V2092" s="71"/>
      <c r="W2092" s="474">
        <f t="shared" si="1104"/>
        <v>140000</v>
      </c>
      <c r="X2092" s="71"/>
      <c r="Y2092" s="71"/>
    </row>
    <row r="2093" spans="1:25" ht="30" hidden="1" customHeight="1" x14ac:dyDescent="0.25">
      <c r="A2093" s="82">
        <v>190525</v>
      </c>
      <c r="B2093" s="664" t="s">
        <v>1052</v>
      </c>
      <c r="C2093" s="71" t="s">
        <v>585</v>
      </c>
      <c r="D2093" s="71">
        <v>200</v>
      </c>
      <c r="E2093" s="102">
        <v>7500</v>
      </c>
      <c r="F2093" s="102">
        <f t="shared" si="1119"/>
        <v>1650000.0000000002</v>
      </c>
      <c r="G2093" s="102">
        <f t="shared" si="1120"/>
        <v>1500000</v>
      </c>
      <c r="H2093" s="690" t="s">
        <v>142</v>
      </c>
      <c r="I2093" s="71" t="s">
        <v>144</v>
      </c>
      <c r="J2093" s="53">
        <f>(G2093-(VLOOKUP(C2093,Price!B:D,3,FALSE)*D2093))</f>
        <v>146000</v>
      </c>
      <c r="K2093" s="63">
        <f t="shared" si="1116"/>
        <v>9.7333333333333313E-2</v>
      </c>
      <c r="L2093" s="871" t="s">
        <v>1863</v>
      </c>
      <c r="M2093" s="468"/>
      <c r="N2093" s="664">
        <f>A2093</f>
        <v>190525</v>
      </c>
      <c r="O2093" s="71" t="s">
        <v>147</v>
      </c>
      <c r="P2093" s="103" t="str">
        <f t="shared" si="1122"/>
        <v>프리미어(적)</v>
      </c>
      <c r="Q2093" s="71">
        <f t="shared" si="1118"/>
        <v>200</v>
      </c>
      <c r="R2093" s="102">
        <v>6770</v>
      </c>
      <c r="S2093" s="102">
        <f>R2093*Q2093*1.1</f>
        <v>1489400.0000000002</v>
      </c>
      <c r="T2093" s="102">
        <f>R2093*Q2093</f>
        <v>1354000</v>
      </c>
      <c r="U2093" s="71" t="str">
        <f t="shared" si="1121"/>
        <v>O</v>
      </c>
      <c r="V2093" s="71"/>
      <c r="W2093" s="474">
        <f t="shared" si="1104"/>
        <v>146000</v>
      </c>
      <c r="X2093" s="71"/>
      <c r="Y2093" s="71"/>
    </row>
    <row r="2094" spans="1:25" ht="30" hidden="1" customHeight="1" x14ac:dyDescent="0.25">
      <c r="A2094" s="82">
        <v>190525</v>
      </c>
      <c r="B2094" s="664" t="s">
        <v>1061</v>
      </c>
      <c r="C2094" s="71" t="s">
        <v>586</v>
      </c>
      <c r="D2094" s="71">
        <v>400</v>
      </c>
      <c r="E2094" s="102">
        <v>6750</v>
      </c>
      <c r="F2094" s="102">
        <f t="shared" si="1119"/>
        <v>2970000.0000000005</v>
      </c>
      <c r="G2094" s="102">
        <f t="shared" si="1120"/>
        <v>2700000</v>
      </c>
      <c r="H2094" s="690" t="s">
        <v>142</v>
      </c>
      <c r="I2094" s="71" t="s">
        <v>144</v>
      </c>
      <c r="J2094" s="53">
        <f t="shared" ref="J2094:J2104" si="1123">G2094-T2094</f>
        <v>228000</v>
      </c>
      <c r="K2094" s="63">
        <f t="shared" si="1116"/>
        <v>8.4444444444444433E-2</v>
      </c>
      <c r="L2094" s="871" t="s">
        <v>1863</v>
      </c>
      <c r="M2094" s="468"/>
      <c r="N2094" s="664">
        <v>180713</v>
      </c>
      <c r="O2094" s="71" t="s">
        <v>147</v>
      </c>
      <c r="P2094" s="103" t="str">
        <f t="shared" si="1122"/>
        <v>프리미어(황)</v>
      </c>
      <c r="Q2094" s="71">
        <f t="shared" si="1118"/>
        <v>400</v>
      </c>
      <c r="R2094" s="102">
        <v>6180</v>
      </c>
      <c r="S2094" s="102">
        <f>(R2094*D2094)*1.1</f>
        <v>2719200</v>
      </c>
      <c r="T2094" s="102">
        <f>(R2094*Q2094)</f>
        <v>2472000</v>
      </c>
      <c r="U2094" s="71" t="str">
        <f t="shared" si="1121"/>
        <v>O</v>
      </c>
      <c r="V2094" s="71"/>
      <c r="W2094" s="474">
        <f t="shared" si="1104"/>
        <v>228000</v>
      </c>
      <c r="X2094" s="71"/>
      <c r="Y2094" s="71"/>
    </row>
    <row r="2095" spans="1:25" ht="30" hidden="1" customHeight="1" x14ac:dyDescent="0.25">
      <c r="A2095" s="82">
        <v>190525</v>
      </c>
      <c r="B2095" s="664" t="s">
        <v>1061</v>
      </c>
      <c r="C2095" s="71" t="s">
        <v>587</v>
      </c>
      <c r="D2095" s="71">
        <v>200</v>
      </c>
      <c r="E2095" s="102">
        <v>8000</v>
      </c>
      <c r="F2095" s="102">
        <f t="shared" si="1119"/>
        <v>1760000.0000000002</v>
      </c>
      <c r="G2095" s="102">
        <f t="shared" si="1120"/>
        <v>1600000</v>
      </c>
      <c r="H2095" s="690" t="s">
        <v>142</v>
      </c>
      <c r="I2095" s="71" t="s">
        <v>144</v>
      </c>
      <c r="J2095" s="53">
        <f t="shared" si="1123"/>
        <v>218000</v>
      </c>
      <c r="K2095" s="63">
        <f t="shared" si="1116"/>
        <v>0.13624999999999998</v>
      </c>
      <c r="L2095" s="871" t="s">
        <v>1863</v>
      </c>
      <c r="M2095" s="468"/>
      <c r="N2095" s="664">
        <v>180713</v>
      </c>
      <c r="O2095" s="71" t="s">
        <v>147</v>
      </c>
      <c r="P2095" s="103" t="str">
        <f t="shared" si="1122"/>
        <v>프리미어(청)</v>
      </c>
      <c r="Q2095" s="71">
        <f t="shared" si="1118"/>
        <v>200</v>
      </c>
      <c r="R2095" s="102">
        <v>6910</v>
      </c>
      <c r="S2095" s="102">
        <f>(R2095*D2095)*1.1</f>
        <v>1520200.0000000002</v>
      </c>
      <c r="T2095" s="102">
        <f>(R2095*Q2095)</f>
        <v>1382000</v>
      </c>
      <c r="U2095" s="71" t="str">
        <f t="shared" si="1121"/>
        <v>O</v>
      </c>
      <c r="V2095" s="71"/>
      <c r="W2095" s="474">
        <f t="shared" si="1104"/>
        <v>218000</v>
      </c>
      <c r="X2095" s="71"/>
      <c r="Y2095" s="71"/>
    </row>
    <row r="2096" spans="1:25" ht="30" hidden="1" customHeight="1" x14ac:dyDescent="0.25">
      <c r="A2096" s="82">
        <v>190525</v>
      </c>
      <c r="B2096" s="664" t="s">
        <v>1052</v>
      </c>
      <c r="C2096" s="71" t="s">
        <v>1115</v>
      </c>
      <c r="D2096" s="71">
        <v>150</v>
      </c>
      <c r="E2096" s="102">
        <v>6200</v>
      </c>
      <c r="F2096" s="102">
        <f t="shared" si="1119"/>
        <v>1023000.0000000001</v>
      </c>
      <c r="G2096" s="102">
        <f t="shared" si="1120"/>
        <v>930000</v>
      </c>
      <c r="H2096" s="690" t="s">
        <v>142</v>
      </c>
      <c r="I2096" s="71" t="s">
        <v>144</v>
      </c>
      <c r="J2096" s="53">
        <f t="shared" si="1123"/>
        <v>15000</v>
      </c>
      <c r="K2096" s="63">
        <f t="shared" si="1116"/>
        <v>1.6129032258064516E-2</v>
      </c>
      <c r="L2096" s="871" t="s">
        <v>1863</v>
      </c>
      <c r="M2096" s="468"/>
      <c r="N2096" s="664">
        <f t="shared" ref="N2096:N2104" si="1124">A2096</f>
        <v>190525</v>
      </c>
      <c r="O2096" s="71" t="s">
        <v>147</v>
      </c>
      <c r="P2096" s="103" t="str">
        <f t="shared" si="1122"/>
        <v>한특 잉크(적)</v>
      </c>
      <c r="Q2096" s="71">
        <f t="shared" si="1118"/>
        <v>150</v>
      </c>
      <c r="R2096" s="102">
        <v>6100</v>
      </c>
      <c r="S2096" s="102">
        <f t="shared" ref="S2096:S2104" si="1125">R2096*Q2096*1.1</f>
        <v>1006500.0000000001</v>
      </c>
      <c r="T2096" s="102">
        <f t="shared" ref="T2096:T2104" si="1126">R2096*Q2096</f>
        <v>915000</v>
      </c>
      <c r="U2096" s="71" t="str">
        <f t="shared" si="1121"/>
        <v>O</v>
      </c>
      <c r="V2096" s="71"/>
      <c r="W2096" s="474">
        <f t="shared" si="1104"/>
        <v>15000</v>
      </c>
      <c r="X2096" s="71"/>
      <c r="Y2096" s="71"/>
    </row>
    <row r="2097" spans="1:25" ht="30" hidden="1" customHeight="1" x14ac:dyDescent="0.25">
      <c r="A2097" s="82">
        <v>190525</v>
      </c>
      <c r="B2097" s="664" t="s">
        <v>1052</v>
      </c>
      <c r="C2097" s="71" t="s">
        <v>1116</v>
      </c>
      <c r="D2097" s="71">
        <v>350</v>
      </c>
      <c r="E2097" s="102">
        <v>6000</v>
      </c>
      <c r="F2097" s="102">
        <f t="shared" si="1119"/>
        <v>2310000</v>
      </c>
      <c r="G2097" s="102">
        <f t="shared" si="1120"/>
        <v>2100000</v>
      </c>
      <c r="H2097" s="690" t="s">
        <v>142</v>
      </c>
      <c r="I2097" s="71" t="s">
        <v>144</v>
      </c>
      <c r="J2097" s="53">
        <f t="shared" si="1123"/>
        <v>35000</v>
      </c>
      <c r="K2097" s="63">
        <f t="shared" si="1116"/>
        <v>1.6666666666666666E-2</v>
      </c>
      <c r="L2097" s="871" t="s">
        <v>1863</v>
      </c>
      <c r="M2097" s="468"/>
      <c r="N2097" s="664">
        <f t="shared" si="1124"/>
        <v>190525</v>
      </c>
      <c r="O2097" s="71" t="s">
        <v>147</v>
      </c>
      <c r="P2097" s="103" t="str">
        <f t="shared" si="1122"/>
        <v>한특 잉크(황)</v>
      </c>
      <c r="Q2097" s="71">
        <f t="shared" si="1118"/>
        <v>350</v>
      </c>
      <c r="R2097" s="102">
        <v>5900</v>
      </c>
      <c r="S2097" s="102">
        <f t="shared" si="1125"/>
        <v>2271500</v>
      </c>
      <c r="T2097" s="102">
        <f t="shared" si="1126"/>
        <v>2065000</v>
      </c>
      <c r="U2097" s="71" t="str">
        <f t="shared" si="1121"/>
        <v>O</v>
      </c>
      <c r="V2097" s="71"/>
      <c r="W2097" s="474">
        <f t="shared" si="1104"/>
        <v>35000</v>
      </c>
      <c r="X2097" s="71"/>
      <c r="Y2097" s="71"/>
    </row>
    <row r="2098" spans="1:25" ht="30" hidden="1" customHeight="1" x14ac:dyDescent="0.25">
      <c r="A2098" s="82">
        <v>190525</v>
      </c>
      <c r="B2098" s="664" t="s">
        <v>1052</v>
      </c>
      <c r="C2098" s="71" t="s">
        <v>1117</v>
      </c>
      <c r="D2098" s="71">
        <v>150</v>
      </c>
      <c r="E2098" s="102">
        <v>6500</v>
      </c>
      <c r="F2098" s="102">
        <f t="shared" si="1119"/>
        <v>1072500</v>
      </c>
      <c r="G2098" s="102">
        <f t="shared" si="1120"/>
        <v>975000</v>
      </c>
      <c r="H2098" s="690" t="s">
        <v>142</v>
      </c>
      <c r="I2098" s="71" t="s">
        <v>144</v>
      </c>
      <c r="J2098" s="53">
        <f t="shared" si="1123"/>
        <v>15000</v>
      </c>
      <c r="K2098" s="63">
        <f t="shared" si="1116"/>
        <v>1.5384615384615385E-2</v>
      </c>
      <c r="L2098" s="871" t="s">
        <v>1863</v>
      </c>
      <c r="M2098" s="468"/>
      <c r="N2098" s="664">
        <f t="shared" si="1124"/>
        <v>190525</v>
      </c>
      <c r="O2098" s="71" t="s">
        <v>147</v>
      </c>
      <c r="P2098" s="103" t="str">
        <f t="shared" si="1122"/>
        <v>한특 잉크(청)</v>
      </c>
      <c r="Q2098" s="71">
        <f t="shared" si="1118"/>
        <v>150</v>
      </c>
      <c r="R2098" s="102">
        <v>6400</v>
      </c>
      <c r="S2098" s="102">
        <f t="shared" si="1125"/>
        <v>1056000</v>
      </c>
      <c r="T2098" s="102">
        <f t="shared" si="1126"/>
        <v>960000</v>
      </c>
      <c r="U2098" s="71" t="str">
        <f t="shared" si="1121"/>
        <v>O</v>
      </c>
      <c r="V2098" s="71"/>
      <c r="W2098" s="474">
        <f t="shared" si="1104"/>
        <v>15000</v>
      </c>
      <c r="X2098" s="71"/>
      <c r="Y2098" s="71"/>
    </row>
    <row r="2099" spans="1:25" ht="30" hidden="1" customHeight="1" x14ac:dyDescent="0.25">
      <c r="A2099" s="82">
        <v>190525</v>
      </c>
      <c r="B2099" s="664" t="s">
        <v>1052</v>
      </c>
      <c r="C2099" s="71" t="s">
        <v>1118</v>
      </c>
      <c r="D2099" s="71"/>
      <c r="E2099" s="102">
        <v>5600</v>
      </c>
      <c r="F2099" s="102">
        <f t="shared" si="1119"/>
        <v>0</v>
      </c>
      <c r="G2099" s="102">
        <f t="shared" si="1120"/>
        <v>0</v>
      </c>
      <c r="H2099" s="690" t="s">
        <v>142</v>
      </c>
      <c r="I2099" s="71" t="s">
        <v>144</v>
      </c>
      <c r="J2099" s="53">
        <f t="shared" si="1123"/>
        <v>0</v>
      </c>
      <c r="K2099" s="63" t="e">
        <f t="shared" si="1116"/>
        <v>#DIV/0!</v>
      </c>
      <c r="L2099" s="871" t="s">
        <v>1863</v>
      </c>
      <c r="M2099" s="468"/>
      <c r="N2099" s="664">
        <f t="shared" si="1124"/>
        <v>190525</v>
      </c>
      <c r="O2099" s="71" t="s">
        <v>147</v>
      </c>
      <c r="P2099" s="103" t="str">
        <f t="shared" si="1122"/>
        <v>한특 잉크(먹)</v>
      </c>
      <c r="Q2099" s="71">
        <f t="shared" si="1118"/>
        <v>0</v>
      </c>
      <c r="R2099" s="102">
        <v>5500</v>
      </c>
      <c r="S2099" s="102">
        <f t="shared" si="1125"/>
        <v>0</v>
      </c>
      <c r="T2099" s="102">
        <f t="shared" si="1126"/>
        <v>0</v>
      </c>
      <c r="U2099" s="71" t="str">
        <f t="shared" si="1121"/>
        <v>O</v>
      </c>
      <c r="V2099" s="71"/>
      <c r="W2099" s="474">
        <f t="shared" si="1104"/>
        <v>0</v>
      </c>
      <c r="X2099" s="71"/>
      <c r="Y2099" s="71"/>
    </row>
    <row r="2100" spans="1:25" ht="30" hidden="1" customHeight="1" x14ac:dyDescent="0.25">
      <c r="A2100" s="82">
        <v>190525</v>
      </c>
      <c r="B2100" s="664" t="s">
        <v>1052</v>
      </c>
      <c r="C2100" s="71" t="s">
        <v>1843</v>
      </c>
      <c r="D2100" s="71"/>
      <c r="E2100" s="102">
        <v>8200</v>
      </c>
      <c r="F2100" s="102">
        <f t="shared" si="1119"/>
        <v>0</v>
      </c>
      <c r="G2100" s="102">
        <f t="shared" si="1120"/>
        <v>0</v>
      </c>
      <c r="H2100" s="690" t="s">
        <v>142</v>
      </c>
      <c r="I2100" s="71" t="s">
        <v>144</v>
      </c>
      <c r="J2100" s="53">
        <f t="shared" si="1123"/>
        <v>0</v>
      </c>
      <c r="K2100" s="63" t="e">
        <f t="shared" si="1116"/>
        <v>#DIV/0!</v>
      </c>
      <c r="L2100" s="871" t="s">
        <v>1863</v>
      </c>
      <c r="M2100" s="468"/>
      <c r="N2100" s="664">
        <f t="shared" si="1124"/>
        <v>190525</v>
      </c>
      <c r="O2100" s="71" t="s">
        <v>147</v>
      </c>
      <c r="P2100" s="103" t="str">
        <f t="shared" si="1122"/>
        <v>아라니아 분홍(1) 190c</v>
      </c>
      <c r="Q2100" s="71">
        <f t="shared" si="1118"/>
        <v>0</v>
      </c>
      <c r="R2100" s="102">
        <v>7850</v>
      </c>
      <c r="S2100" s="102">
        <f t="shared" si="1125"/>
        <v>0</v>
      </c>
      <c r="T2100" s="102">
        <f t="shared" si="1126"/>
        <v>0</v>
      </c>
      <c r="U2100" s="71" t="str">
        <f t="shared" si="1121"/>
        <v>O</v>
      </c>
      <c r="V2100" s="71"/>
      <c r="W2100" s="474">
        <f t="shared" si="1104"/>
        <v>0</v>
      </c>
      <c r="X2100" s="71"/>
      <c r="Y2100" s="71"/>
    </row>
    <row r="2101" spans="1:25" ht="30" hidden="1" customHeight="1" x14ac:dyDescent="0.25">
      <c r="A2101" s="82">
        <v>190525</v>
      </c>
      <c r="B2101" s="664" t="s">
        <v>1052</v>
      </c>
      <c r="C2101" s="71" t="s">
        <v>1840</v>
      </c>
      <c r="D2101" s="71">
        <v>20</v>
      </c>
      <c r="E2101" s="102">
        <v>8000</v>
      </c>
      <c r="F2101" s="102">
        <f t="shared" ref="F2101:F2115" si="1127">(E2101*D2101)*1.1</f>
        <v>176000</v>
      </c>
      <c r="G2101" s="102">
        <f t="shared" ref="G2101:G2115" si="1128">(E2101*D2101)</f>
        <v>160000</v>
      </c>
      <c r="H2101" s="690" t="s">
        <v>142</v>
      </c>
      <c r="I2101" s="71" t="s">
        <v>144</v>
      </c>
      <c r="J2101" s="53">
        <f t="shared" si="1123"/>
        <v>8000</v>
      </c>
      <c r="K2101" s="63">
        <f>(J2101/(F2101/11*10))</f>
        <v>0.05</v>
      </c>
      <c r="L2101" s="871" t="s">
        <v>1863</v>
      </c>
      <c r="M2101" s="468"/>
      <c r="N2101" s="664">
        <f t="shared" si="1124"/>
        <v>190525</v>
      </c>
      <c r="O2101" s="71" t="s">
        <v>147</v>
      </c>
      <c r="P2101" s="103" t="str">
        <f t="shared" ref="P2101:Q2104" si="1129">C2101</f>
        <v>아라니아 연청 304c</v>
      </c>
      <c r="Q2101" s="71">
        <f t="shared" si="1129"/>
        <v>20</v>
      </c>
      <c r="R2101" s="102">
        <v>7600</v>
      </c>
      <c r="S2101" s="102">
        <f t="shared" si="1125"/>
        <v>167200</v>
      </c>
      <c r="T2101" s="102">
        <f t="shared" si="1126"/>
        <v>152000</v>
      </c>
      <c r="U2101" s="71" t="str">
        <f t="shared" si="1121"/>
        <v>O</v>
      </c>
      <c r="V2101" s="71"/>
      <c r="W2101" s="474">
        <f t="shared" ref="W2101:W2116" si="1130">(G2101-T2101)</f>
        <v>8000</v>
      </c>
      <c r="X2101" s="71"/>
      <c r="Y2101" s="71"/>
    </row>
    <row r="2102" spans="1:25" ht="30" hidden="1" customHeight="1" x14ac:dyDescent="0.25">
      <c r="A2102" s="82">
        <v>190525</v>
      </c>
      <c r="B2102" s="664" t="s">
        <v>1052</v>
      </c>
      <c r="C2102" s="71" t="s">
        <v>1841</v>
      </c>
      <c r="D2102" s="71">
        <v>20</v>
      </c>
      <c r="E2102" s="102">
        <v>7700</v>
      </c>
      <c r="F2102" s="102">
        <f t="shared" si="1127"/>
        <v>169400</v>
      </c>
      <c r="G2102" s="102">
        <f t="shared" si="1128"/>
        <v>154000</v>
      </c>
      <c r="H2102" s="690" t="s">
        <v>142</v>
      </c>
      <c r="I2102" s="71" t="s">
        <v>144</v>
      </c>
      <c r="J2102" s="53">
        <f t="shared" si="1123"/>
        <v>8000</v>
      </c>
      <c r="K2102" s="63">
        <f>(J2102/(F2102/11*10))</f>
        <v>5.1948051948051951E-2</v>
      </c>
      <c r="L2102" s="871" t="s">
        <v>1863</v>
      </c>
      <c r="M2102" s="468"/>
      <c r="N2102" s="664">
        <f t="shared" si="1124"/>
        <v>190525</v>
      </c>
      <c r="O2102" s="71" t="s">
        <v>147</v>
      </c>
      <c r="P2102" s="103" t="str">
        <f t="shared" si="1129"/>
        <v>아라니아 분홍(2) 1905c</v>
      </c>
      <c r="Q2102" s="71">
        <f t="shared" si="1129"/>
        <v>20</v>
      </c>
      <c r="R2102" s="102">
        <v>7300</v>
      </c>
      <c r="S2102" s="102">
        <f t="shared" si="1125"/>
        <v>160600</v>
      </c>
      <c r="T2102" s="102">
        <f t="shared" si="1126"/>
        <v>146000</v>
      </c>
      <c r="U2102" s="71" t="str">
        <f t="shared" si="1121"/>
        <v>O</v>
      </c>
      <c r="V2102" s="71"/>
      <c r="W2102" s="474">
        <f t="shared" si="1130"/>
        <v>8000</v>
      </c>
      <c r="X2102" s="71"/>
      <c r="Y2102" s="71"/>
    </row>
    <row r="2103" spans="1:25" ht="30" hidden="1" customHeight="1" x14ac:dyDescent="0.25">
      <c r="A2103" s="82">
        <v>190525</v>
      </c>
      <c r="B2103" s="664" t="s">
        <v>1052</v>
      </c>
      <c r="C2103" s="71" t="s">
        <v>1842</v>
      </c>
      <c r="D2103" s="71"/>
      <c r="E2103" s="102">
        <v>8600</v>
      </c>
      <c r="F2103" s="102">
        <f t="shared" si="1127"/>
        <v>0</v>
      </c>
      <c r="G2103" s="102">
        <f t="shared" si="1128"/>
        <v>0</v>
      </c>
      <c r="H2103" s="690" t="s">
        <v>142</v>
      </c>
      <c r="I2103" s="71" t="s">
        <v>144</v>
      </c>
      <c r="J2103" s="53">
        <f t="shared" si="1123"/>
        <v>0</v>
      </c>
      <c r="K2103" s="63" t="e">
        <f>(J2103/(F2103/11*10))</f>
        <v>#DIV/0!</v>
      </c>
      <c r="L2103" s="871" t="s">
        <v>1863</v>
      </c>
      <c r="M2103" s="468"/>
      <c r="N2103" s="664">
        <f t="shared" si="1124"/>
        <v>190525</v>
      </c>
      <c r="O2103" s="71" t="s">
        <v>147</v>
      </c>
      <c r="P2103" s="103" t="str">
        <f t="shared" si="1129"/>
        <v>아라니아 분홍(3) 1775c</v>
      </c>
      <c r="Q2103" s="71">
        <f t="shared" si="1129"/>
        <v>0</v>
      </c>
      <c r="R2103" s="102">
        <v>8100</v>
      </c>
      <c r="S2103" s="102">
        <f t="shared" si="1125"/>
        <v>0</v>
      </c>
      <c r="T2103" s="102">
        <f t="shared" si="1126"/>
        <v>0</v>
      </c>
      <c r="U2103" s="71" t="str">
        <f t="shared" si="1121"/>
        <v>O</v>
      </c>
      <c r="V2103" s="71"/>
      <c r="W2103" s="474">
        <f t="shared" si="1130"/>
        <v>0</v>
      </c>
      <c r="X2103" s="71"/>
      <c r="Y2103" s="71"/>
    </row>
    <row r="2104" spans="1:25" ht="30" hidden="1" customHeight="1" x14ac:dyDescent="0.25">
      <c r="A2104" s="82">
        <v>190528</v>
      </c>
      <c r="B2104" s="664" t="s">
        <v>1887</v>
      </c>
      <c r="C2104" s="71" t="s">
        <v>123</v>
      </c>
      <c r="D2104" s="71">
        <v>2</v>
      </c>
      <c r="E2104" s="102">
        <v>40000</v>
      </c>
      <c r="F2104" s="102">
        <f t="shared" si="1127"/>
        <v>88000</v>
      </c>
      <c r="G2104" s="102">
        <f t="shared" si="1128"/>
        <v>80000</v>
      </c>
      <c r="H2104" s="690" t="s">
        <v>1431</v>
      </c>
      <c r="I2104" s="71" t="s">
        <v>1432</v>
      </c>
      <c r="J2104" s="53">
        <f t="shared" si="1123"/>
        <v>35078</v>
      </c>
      <c r="K2104" s="63">
        <f>(J2104/(F2104/11*10))</f>
        <v>0.438475</v>
      </c>
      <c r="L2104" s="871" t="s">
        <v>1863</v>
      </c>
      <c r="M2104" s="468"/>
      <c r="N2104" s="664">
        <f t="shared" si="1124"/>
        <v>190528</v>
      </c>
      <c r="O2104" s="71" t="s">
        <v>1432</v>
      </c>
      <c r="P2104" s="103" t="str">
        <f>C2104</f>
        <v>필터백</v>
      </c>
      <c r="Q2104" s="71">
        <f t="shared" si="1129"/>
        <v>2</v>
      </c>
      <c r="R2104" s="102">
        <v>22461</v>
      </c>
      <c r="S2104" s="102">
        <f t="shared" si="1125"/>
        <v>49414.200000000004</v>
      </c>
      <c r="T2104" s="102">
        <f t="shared" si="1126"/>
        <v>44922</v>
      </c>
      <c r="U2104" s="71" t="str">
        <f t="shared" si="1121"/>
        <v>O</v>
      </c>
      <c r="V2104" s="71"/>
      <c r="W2104" s="474">
        <f t="shared" si="1130"/>
        <v>35078</v>
      </c>
      <c r="X2104" s="71"/>
      <c r="Y2104" s="71"/>
    </row>
    <row r="2105" spans="1:25" s="209" customFormat="1" ht="30" hidden="1" customHeight="1" x14ac:dyDescent="0.2">
      <c r="A2105" s="82">
        <v>190528</v>
      </c>
      <c r="B2105" s="664" t="s">
        <v>445</v>
      </c>
      <c r="C2105" s="71" t="s">
        <v>138</v>
      </c>
      <c r="D2105" s="71">
        <v>6</v>
      </c>
      <c r="E2105" s="102">
        <v>59500</v>
      </c>
      <c r="F2105" s="163">
        <f t="shared" si="1127"/>
        <v>392700.00000000006</v>
      </c>
      <c r="G2105" s="102">
        <f t="shared" si="1128"/>
        <v>357000</v>
      </c>
      <c r="H2105" s="165" t="s">
        <v>172</v>
      </c>
      <c r="I2105" s="71" t="s">
        <v>108</v>
      </c>
      <c r="J2105" s="53">
        <f>(G2105-(VLOOKUP(C2105,Price!B:D,3,FALSE)*D2105))</f>
        <v>51000</v>
      </c>
      <c r="K2105" s="63">
        <f t="shared" ref="K2105:K2114" si="1131">(J2105/(F2105/11*10))</f>
        <v>0.14285714285714282</v>
      </c>
      <c r="L2105" s="871" t="s">
        <v>1863</v>
      </c>
      <c r="M2105" s="468"/>
      <c r="N2105" s="664">
        <f t="shared" ref="N2105:N2115" si="1132">A2105</f>
        <v>190528</v>
      </c>
      <c r="O2105" s="71" t="s">
        <v>150</v>
      </c>
      <c r="P2105" s="103" t="str">
        <f>C2105</f>
        <v>매엽용 세척제(Wash 562)</v>
      </c>
      <c r="Q2105" s="71">
        <f t="shared" ref="Q2105:Q2113" si="1133">D2105</f>
        <v>6</v>
      </c>
      <c r="R2105" s="102">
        <v>51000</v>
      </c>
      <c r="S2105" s="102">
        <f>(R2105*D2105)*1.1</f>
        <v>336600</v>
      </c>
      <c r="T2105" s="102">
        <f>(R2105*Q2105)</f>
        <v>306000</v>
      </c>
      <c r="U2105" s="71" t="str">
        <f t="shared" si="1121"/>
        <v>O</v>
      </c>
      <c r="V2105" s="71"/>
      <c r="W2105" s="474">
        <f t="shared" si="1130"/>
        <v>51000</v>
      </c>
      <c r="X2105" s="71"/>
      <c r="Y2105" s="71"/>
    </row>
    <row r="2106" spans="1:25" s="209" customFormat="1" ht="30" hidden="1" customHeight="1" x14ac:dyDescent="0.25">
      <c r="A2106" s="82">
        <v>190528</v>
      </c>
      <c r="B2106" s="664" t="s">
        <v>445</v>
      </c>
      <c r="C2106" s="71" t="s">
        <v>277</v>
      </c>
      <c r="D2106" s="71">
        <v>6</v>
      </c>
      <c r="E2106" s="102">
        <v>172000</v>
      </c>
      <c r="F2106" s="102">
        <f t="shared" si="1127"/>
        <v>1135200</v>
      </c>
      <c r="G2106" s="102">
        <f t="shared" si="1128"/>
        <v>1032000</v>
      </c>
      <c r="H2106" s="690" t="s">
        <v>173</v>
      </c>
      <c r="I2106" s="71" t="s">
        <v>108</v>
      </c>
      <c r="J2106" s="53">
        <f>(G2106-(VLOOKUP(C2106,Price!B:D,3,FALSE)*D2106))</f>
        <v>342000</v>
      </c>
      <c r="K2106" s="63">
        <f t="shared" si="1131"/>
        <v>0.33139534883720928</v>
      </c>
      <c r="L2106" s="871" t="s">
        <v>1863</v>
      </c>
      <c r="M2106" s="468"/>
      <c r="N2106" s="664">
        <f t="shared" si="1132"/>
        <v>190528</v>
      </c>
      <c r="O2106" s="71" t="s">
        <v>150</v>
      </c>
      <c r="P2106" s="103" t="str">
        <f>C2106</f>
        <v>윤전용 세척제(Web 504)</v>
      </c>
      <c r="Q2106" s="71">
        <f t="shared" si="1133"/>
        <v>6</v>
      </c>
      <c r="R2106" s="102">
        <v>115000</v>
      </c>
      <c r="S2106" s="102">
        <f>(R2106*D2106)*1.1</f>
        <v>759000.00000000012</v>
      </c>
      <c r="T2106" s="102">
        <f>(R2106*Q2106)</f>
        <v>690000</v>
      </c>
      <c r="U2106" s="71" t="str">
        <f t="shared" si="1121"/>
        <v>O</v>
      </c>
      <c r="V2106" s="71"/>
      <c r="W2106" s="474">
        <f t="shared" si="1130"/>
        <v>342000</v>
      </c>
      <c r="X2106" s="71"/>
      <c r="Y2106" s="71"/>
    </row>
    <row r="2107" spans="1:25" s="209" customFormat="1" ht="30" hidden="1" customHeight="1" x14ac:dyDescent="0.2">
      <c r="A2107" s="82">
        <v>190528</v>
      </c>
      <c r="B2107" s="664" t="s">
        <v>445</v>
      </c>
      <c r="C2107" s="71" t="s">
        <v>107</v>
      </c>
      <c r="D2107" s="71">
        <v>10</v>
      </c>
      <c r="E2107" s="102">
        <v>108000</v>
      </c>
      <c r="F2107" s="163">
        <f t="shared" si="1127"/>
        <v>1188000</v>
      </c>
      <c r="G2107" s="163">
        <f t="shared" si="1128"/>
        <v>1080000</v>
      </c>
      <c r="H2107" s="165" t="s">
        <v>172</v>
      </c>
      <c r="I2107" s="71" t="s">
        <v>109</v>
      </c>
      <c r="J2107" s="53">
        <f>(G2107-(VLOOKUP(C2107,Price!B:D,3,FALSE)*D2107))</f>
        <v>275000</v>
      </c>
      <c r="K2107" s="63">
        <f t="shared" si="1131"/>
        <v>0.25462962962962965</v>
      </c>
      <c r="L2107" s="871" t="s">
        <v>1863</v>
      </c>
      <c r="M2107" s="468"/>
      <c r="N2107" s="664">
        <f t="shared" si="1132"/>
        <v>190528</v>
      </c>
      <c r="O2107" s="71" t="s">
        <v>147</v>
      </c>
      <c r="P2107" s="103" t="str">
        <f>C2107</f>
        <v>Blanket(1050*840)</v>
      </c>
      <c r="Q2107" s="71">
        <f t="shared" si="1133"/>
        <v>10</v>
      </c>
      <c r="R2107" s="102">
        <v>80500</v>
      </c>
      <c r="S2107" s="102">
        <f>(R2107*D2107)*1.1</f>
        <v>885500.00000000012</v>
      </c>
      <c r="T2107" s="102">
        <f>(R2107*Q2107)</f>
        <v>805000</v>
      </c>
      <c r="U2107" s="71" t="str">
        <f t="shared" si="1121"/>
        <v>O</v>
      </c>
      <c r="V2107" s="71"/>
      <c r="W2107" s="474">
        <f t="shared" si="1130"/>
        <v>275000</v>
      </c>
      <c r="X2107" s="71"/>
      <c r="Y2107" s="71"/>
    </row>
    <row r="2108" spans="1:25" s="209" customFormat="1" ht="30" hidden="1" customHeight="1" x14ac:dyDescent="0.2">
      <c r="A2108" s="82">
        <v>190528</v>
      </c>
      <c r="B2108" s="664" t="s">
        <v>445</v>
      </c>
      <c r="C2108" s="71" t="s">
        <v>231</v>
      </c>
      <c r="D2108" s="71">
        <v>10</v>
      </c>
      <c r="E2108" s="102">
        <v>120000</v>
      </c>
      <c r="F2108" s="163">
        <f t="shared" si="1127"/>
        <v>1320000</v>
      </c>
      <c r="G2108" s="163">
        <f t="shared" si="1128"/>
        <v>1200000</v>
      </c>
      <c r="H2108" s="165" t="s">
        <v>172</v>
      </c>
      <c r="I2108" s="71" t="s">
        <v>109</v>
      </c>
      <c r="J2108" s="53">
        <f>(G2108-(VLOOKUP(C2108,Price!B:D,3,FALSE)*D2108))</f>
        <v>80000</v>
      </c>
      <c r="K2108" s="63">
        <f t="shared" si="1131"/>
        <v>6.6666666666666666E-2</v>
      </c>
      <c r="L2108" s="871" t="s">
        <v>1863</v>
      </c>
      <c r="M2108" s="468"/>
      <c r="N2108" s="664">
        <f t="shared" si="1132"/>
        <v>190528</v>
      </c>
      <c r="O2108" s="71" t="s">
        <v>151</v>
      </c>
      <c r="P2108" s="103" t="str">
        <f>(C2108)</f>
        <v>Blanket(990*725)</v>
      </c>
      <c r="Q2108" s="71">
        <f t="shared" si="1133"/>
        <v>10</v>
      </c>
      <c r="R2108" s="102">
        <v>112000</v>
      </c>
      <c r="S2108" s="102">
        <f>(R2108*D2108)*1.1</f>
        <v>1232000</v>
      </c>
      <c r="T2108" s="102">
        <f>(R2108*Q2108)</f>
        <v>1120000</v>
      </c>
      <c r="U2108" s="71" t="str">
        <f t="shared" si="1121"/>
        <v>O</v>
      </c>
      <c r="V2108" s="71"/>
      <c r="W2108" s="474">
        <f t="shared" si="1130"/>
        <v>80000</v>
      </c>
      <c r="X2108" s="71"/>
      <c r="Y2108" s="71"/>
    </row>
    <row r="2109" spans="1:25" ht="30" hidden="1" customHeight="1" x14ac:dyDescent="0.25">
      <c r="A2109" s="82">
        <v>190528</v>
      </c>
      <c r="B2109" s="664" t="s">
        <v>545</v>
      </c>
      <c r="C2109" s="71" t="s">
        <v>227</v>
      </c>
      <c r="D2109" s="71">
        <v>10</v>
      </c>
      <c r="E2109" s="102">
        <v>110000</v>
      </c>
      <c r="F2109" s="102">
        <f t="shared" si="1127"/>
        <v>1210000</v>
      </c>
      <c r="G2109" s="102">
        <f t="shared" si="1128"/>
        <v>1100000</v>
      </c>
      <c r="H2109" s="690" t="s">
        <v>173</v>
      </c>
      <c r="I2109" s="71" t="s">
        <v>109</v>
      </c>
      <c r="J2109" s="53">
        <f>(G2109-(VLOOKUP(C2109,Price!B:D,3,FALSE)*D2109))</f>
        <v>271000</v>
      </c>
      <c r="K2109" s="63">
        <f t="shared" si="1131"/>
        <v>0.24636363636363637</v>
      </c>
      <c r="L2109" s="871" t="s">
        <v>1863</v>
      </c>
      <c r="M2109" s="468"/>
      <c r="N2109" s="664">
        <f t="shared" si="1132"/>
        <v>190528</v>
      </c>
      <c r="O2109" s="71" t="s">
        <v>147</v>
      </c>
      <c r="P2109" s="103" t="str">
        <f>C2109</f>
        <v>Blanket(1060*860)</v>
      </c>
      <c r="Q2109" s="71">
        <f t="shared" si="1133"/>
        <v>10</v>
      </c>
      <c r="R2109" s="102">
        <v>82900</v>
      </c>
      <c r="S2109" s="102">
        <f>R2109*Q2109*1.1</f>
        <v>911900.00000000012</v>
      </c>
      <c r="T2109" s="102">
        <f>R2109*Q2109</f>
        <v>829000</v>
      </c>
      <c r="U2109" s="71" t="str">
        <f t="shared" si="1121"/>
        <v>O</v>
      </c>
      <c r="V2109" s="71"/>
      <c r="W2109" s="474">
        <f t="shared" si="1130"/>
        <v>271000</v>
      </c>
      <c r="X2109" s="71"/>
      <c r="Y2109" s="71"/>
    </row>
    <row r="2110" spans="1:25" ht="30" hidden="1" customHeight="1" x14ac:dyDescent="0.25">
      <c r="A2110" s="82">
        <v>190529</v>
      </c>
      <c r="B2110" s="664" t="s">
        <v>446</v>
      </c>
      <c r="C2110" s="71" t="s">
        <v>1144</v>
      </c>
      <c r="D2110" s="71">
        <v>8</v>
      </c>
      <c r="E2110" s="102">
        <v>110000</v>
      </c>
      <c r="F2110" s="102">
        <f t="shared" si="1127"/>
        <v>968000.00000000012</v>
      </c>
      <c r="G2110" s="102">
        <f t="shared" si="1128"/>
        <v>880000</v>
      </c>
      <c r="H2110" s="690" t="s">
        <v>173</v>
      </c>
      <c r="I2110" s="71" t="s">
        <v>2231</v>
      </c>
      <c r="J2110" s="53">
        <f>G2110-T2110</f>
        <v>152000</v>
      </c>
      <c r="K2110" s="63">
        <f t="shared" si="1131"/>
        <v>0.1727272727272727</v>
      </c>
      <c r="L2110" s="871" t="s">
        <v>1839</v>
      </c>
      <c r="M2110" s="468"/>
      <c r="N2110" s="664">
        <f t="shared" si="1132"/>
        <v>190529</v>
      </c>
      <c r="O2110" s="71" t="s">
        <v>150</v>
      </c>
      <c r="P2110" s="103" t="str">
        <f>C2110</f>
        <v>실리콘 에멀전</v>
      </c>
      <c r="Q2110" s="71">
        <f t="shared" si="1133"/>
        <v>8</v>
      </c>
      <c r="R2110" s="102">
        <v>91000</v>
      </c>
      <c r="S2110" s="102">
        <f>R2110*Q2110*1.1</f>
        <v>800800.00000000012</v>
      </c>
      <c r="T2110" s="102">
        <f>R2110*Q2110</f>
        <v>728000</v>
      </c>
      <c r="U2110" s="71" t="str">
        <f t="shared" si="1121"/>
        <v>O</v>
      </c>
      <c r="V2110" s="71"/>
      <c r="W2110" s="474">
        <f t="shared" si="1130"/>
        <v>152000</v>
      </c>
      <c r="X2110" s="71"/>
      <c r="Y2110" s="71"/>
    </row>
    <row r="2111" spans="1:25" ht="30" customHeight="1" x14ac:dyDescent="0.25">
      <c r="A2111" s="82">
        <v>190529</v>
      </c>
      <c r="B2111" s="664" t="s">
        <v>422</v>
      </c>
      <c r="C2111" s="71" t="s">
        <v>129</v>
      </c>
      <c r="D2111" s="71">
        <v>7</v>
      </c>
      <c r="E2111" s="102">
        <v>272000</v>
      </c>
      <c r="F2111" s="102">
        <f t="shared" si="1127"/>
        <v>2094400.0000000002</v>
      </c>
      <c r="G2111" s="102">
        <f t="shared" si="1128"/>
        <v>1904000</v>
      </c>
      <c r="H2111" s="690" t="s">
        <v>173</v>
      </c>
      <c r="I2111" s="71" t="s">
        <v>108</v>
      </c>
      <c r="J2111" s="53">
        <f>(G2111-(VLOOKUP(C2111,Price!B:D,3,FALSE)*D2111))</f>
        <v>448000</v>
      </c>
      <c r="K2111" s="63">
        <f t="shared" si="1131"/>
        <v>0.23529411764705879</v>
      </c>
      <c r="L2111" s="871" t="s">
        <v>1863</v>
      </c>
      <c r="M2111" s="468"/>
      <c r="N2111" s="664">
        <f t="shared" si="1132"/>
        <v>190529</v>
      </c>
      <c r="O2111" s="71" t="s">
        <v>149</v>
      </c>
      <c r="P2111" s="103" t="str">
        <f>C2111</f>
        <v>세정포-XL106</v>
      </c>
      <c r="Q2111" s="71">
        <f t="shared" si="1133"/>
        <v>7</v>
      </c>
      <c r="R2111" s="102">
        <v>208000</v>
      </c>
      <c r="S2111" s="102">
        <f>R2111*Q2111*1.1</f>
        <v>1601600.0000000002</v>
      </c>
      <c r="T2111" s="102">
        <f>R2111*Q2111</f>
        <v>1456000</v>
      </c>
      <c r="U2111" s="71" t="str">
        <f t="shared" si="1121"/>
        <v>O</v>
      </c>
      <c r="V2111" s="71"/>
      <c r="W2111" s="474">
        <f t="shared" si="1130"/>
        <v>448000</v>
      </c>
      <c r="X2111" s="71"/>
      <c r="Y2111" s="71"/>
    </row>
    <row r="2112" spans="1:25" s="209" customFormat="1" ht="30" customHeight="1" x14ac:dyDescent="0.2">
      <c r="A2112" s="82">
        <v>190529</v>
      </c>
      <c r="B2112" s="664" t="s">
        <v>422</v>
      </c>
      <c r="C2112" s="71" t="s">
        <v>138</v>
      </c>
      <c r="D2112" s="71">
        <v>10</v>
      </c>
      <c r="E2112" s="102">
        <v>68000</v>
      </c>
      <c r="F2112" s="163">
        <f t="shared" si="1127"/>
        <v>748000.00000000012</v>
      </c>
      <c r="G2112" s="163">
        <f t="shared" si="1128"/>
        <v>680000</v>
      </c>
      <c r="H2112" s="165" t="s">
        <v>172</v>
      </c>
      <c r="I2112" s="71" t="s">
        <v>109</v>
      </c>
      <c r="J2112" s="53">
        <f>(G2112-(VLOOKUP(C2112,Price!B:D,3,FALSE)*D2112))</f>
        <v>170000</v>
      </c>
      <c r="K2112" s="63">
        <f t="shared" si="1131"/>
        <v>0.24999999999999994</v>
      </c>
      <c r="L2112" s="871" t="s">
        <v>1863</v>
      </c>
      <c r="M2112" s="468"/>
      <c r="N2112" s="664">
        <f t="shared" si="1132"/>
        <v>190529</v>
      </c>
      <c r="O2112" s="71" t="s">
        <v>150</v>
      </c>
      <c r="P2112" s="103" t="str">
        <f>C2112</f>
        <v>매엽용 세척제(Wash 562)</v>
      </c>
      <c r="Q2112" s="71">
        <f t="shared" si="1133"/>
        <v>10</v>
      </c>
      <c r="R2112" s="102">
        <v>51000</v>
      </c>
      <c r="S2112" s="102">
        <f>(R2112*D2112)*1.1</f>
        <v>561000</v>
      </c>
      <c r="T2112" s="102">
        <f>(R2112*Q2112)</f>
        <v>510000</v>
      </c>
      <c r="U2112" s="71" t="str">
        <f t="shared" si="1121"/>
        <v>O</v>
      </c>
      <c r="V2112" s="71"/>
      <c r="W2112" s="474">
        <f t="shared" si="1130"/>
        <v>170000</v>
      </c>
      <c r="X2112" s="71"/>
      <c r="Y2112" s="71"/>
    </row>
    <row r="2113" spans="1:25" ht="30" hidden="1" customHeight="1" x14ac:dyDescent="0.25">
      <c r="A2113" s="82">
        <v>190530</v>
      </c>
      <c r="B2113" s="664" t="s">
        <v>1286</v>
      </c>
      <c r="C2113" s="760" t="s">
        <v>218</v>
      </c>
      <c r="D2113" s="71">
        <v>5</v>
      </c>
      <c r="E2113" s="102">
        <v>192500</v>
      </c>
      <c r="F2113" s="102">
        <f t="shared" si="1127"/>
        <v>1058750</v>
      </c>
      <c r="G2113" s="102">
        <f t="shared" si="1128"/>
        <v>962500</v>
      </c>
      <c r="H2113" s="690" t="s">
        <v>173</v>
      </c>
      <c r="I2113" s="71" t="s">
        <v>120</v>
      </c>
      <c r="J2113" s="53">
        <f>(G2113-(VLOOKUP(C2113,Price!B:D,3,FALSE)*D2113))</f>
        <v>400000</v>
      </c>
      <c r="K2113" s="63">
        <f t="shared" si="1131"/>
        <v>0.41558441558441561</v>
      </c>
      <c r="L2113" s="871" t="s">
        <v>1863</v>
      </c>
      <c r="M2113" s="468"/>
      <c r="N2113" s="664">
        <f t="shared" si="1132"/>
        <v>190530</v>
      </c>
      <c r="O2113" s="71" t="s">
        <v>150</v>
      </c>
      <c r="P2113" s="103" t="str">
        <f>C2113</f>
        <v>Fount Web 551AF</v>
      </c>
      <c r="Q2113" s="71">
        <f t="shared" si="1133"/>
        <v>5</v>
      </c>
      <c r="R2113" s="102">
        <v>112500</v>
      </c>
      <c r="S2113" s="102">
        <f>R2113*Q2113*1.1</f>
        <v>618750</v>
      </c>
      <c r="T2113" s="102">
        <f>R2113*Q2113</f>
        <v>562500</v>
      </c>
      <c r="U2113" s="71" t="str">
        <f t="shared" si="1121"/>
        <v>O</v>
      </c>
      <c r="V2113" s="71"/>
      <c r="W2113" s="474">
        <f t="shared" si="1130"/>
        <v>400000</v>
      </c>
      <c r="X2113" s="71"/>
      <c r="Y2113" s="71"/>
    </row>
    <row r="2114" spans="1:25" s="209" customFormat="1" ht="30" hidden="1" customHeight="1" x14ac:dyDescent="0.2">
      <c r="A2114" s="82">
        <v>190530</v>
      </c>
      <c r="B2114" s="664" t="s">
        <v>1286</v>
      </c>
      <c r="C2114" s="71" t="s">
        <v>231</v>
      </c>
      <c r="D2114" s="71">
        <v>10</v>
      </c>
      <c r="E2114" s="102">
        <v>120000</v>
      </c>
      <c r="F2114" s="163">
        <f t="shared" si="1127"/>
        <v>1320000</v>
      </c>
      <c r="G2114" s="102">
        <f t="shared" si="1128"/>
        <v>1200000</v>
      </c>
      <c r="H2114" s="165" t="s">
        <v>172</v>
      </c>
      <c r="I2114" s="71" t="s">
        <v>109</v>
      </c>
      <c r="J2114" s="53">
        <f>(G2114-(VLOOKUP(C2114,Price!B:D,3,FALSE)*D2114))</f>
        <v>80000</v>
      </c>
      <c r="K2114" s="63">
        <f t="shared" si="1131"/>
        <v>6.6666666666666666E-2</v>
      </c>
      <c r="L2114" s="871" t="s">
        <v>1863</v>
      </c>
      <c r="M2114" s="468"/>
      <c r="N2114" s="664">
        <f t="shared" si="1132"/>
        <v>190530</v>
      </c>
      <c r="O2114" s="71" t="s">
        <v>151</v>
      </c>
      <c r="P2114" s="103" t="str">
        <f>(C2114)</f>
        <v>Blanket(990*725)</v>
      </c>
      <c r="Q2114" s="71">
        <f>D2114</f>
        <v>10</v>
      </c>
      <c r="R2114" s="102">
        <v>112000</v>
      </c>
      <c r="S2114" s="102">
        <f>(R2114*D2114)*1.1</f>
        <v>1232000</v>
      </c>
      <c r="T2114" s="102">
        <f>(R2114*Q2114)</f>
        <v>1120000</v>
      </c>
      <c r="U2114" s="71" t="str">
        <f t="shared" si="1121"/>
        <v>O</v>
      </c>
      <c r="V2114" s="71"/>
      <c r="W2114" s="474">
        <f t="shared" si="1130"/>
        <v>80000</v>
      </c>
      <c r="X2114" s="71"/>
      <c r="Y2114" s="71"/>
    </row>
    <row r="2115" spans="1:25" ht="30" customHeight="1" x14ac:dyDescent="0.25">
      <c r="A2115" s="82">
        <v>190530</v>
      </c>
      <c r="B2115" s="664" t="s">
        <v>565</v>
      </c>
      <c r="C2115" s="71" t="s">
        <v>1516</v>
      </c>
      <c r="D2115" s="71">
        <v>1</v>
      </c>
      <c r="E2115" s="102">
        <v>11209890</v>
      </c>
      <c r="F2115" s="102">
        <f t="shared" si="1127"/>
        <v>12330879.000000002</v>
      </c>
      <c r="G2115" s="102">
        <f t="shared" si="1128"/>
        <v>11209890</v>
      </c>
      <c r="H2115" s="690" t="s">
        <v>142</v>
      </c>
      <c r="I2115" s="71" t="s">
        <v>142</v>
      </c>
      <c r="J2115" s="53">
        <f>G2115-T2115</f>
        <v>3906469.3499999996</v>
      </c>
      <c r="K2115" s="63">
        <f>(J2115/(F2115/11*10))</f>
        <v>0.34848418227119077</v>
      </c>
      <c r="L2115" s="871" t="s">
        <v>1863</v>
      </c>
      <c r="M2115" s="468"/>
      <c r="N2115" s="664">
        <f t="shared" si="1132"/>
        <v>190530</v>
      </c>
      <c r="O2115" s="71" t="s">
        <v>1431</v>
      </c>
      <c r="P2115" s="103" t="str">
        <f>(C2115)</f>
        <v>Water Crutch</v>
      </c>
      <c r="Q2115" s="71">
        <f>D2115</f>
        <v>1</v>
      </c>
      <c r="R2115" s="102">
        <f>Import!G185</f>
        <v>7303420.6500000004</v>
      </c>
      <c r="S2115" s="102">
        <f>(R2115*D2115)*1.1</f>
        <v>8033762.7150000008</v>
      </c>
      <c r="T2115" s="102">
        <f>(R2115*Q2115)</f>
        <v>7303420.6500000004</v>
      </c>
      <c r="U2115" s="71" t="str">
        <f t="shared" si="1121"/>
        <v>O</v>
      </c>
      <c r="V2115" s="71"/>
      <c r="W2115" s="474">
        <f t="shared" si="1130"/>
        <v>3906469.3499999996</v>
      </c>
      <c r="X2115" s="71"/>
      <c r="Y2115" s="71"/>
    </row>
    <row r="2116" spans="1:25" s="978" customFormat="1" ht="45" hidden="1" customHeight="1" x14ac:dyDescent="0.25">
      <c r="A2116" s="982" t="s">
        <v>1892</v>
      </c>
      <c r="B2116" s="976" t="s">
        <v>544</v>
      </c>
      <c r="C2116" s="453"/>
      <c r="D2116" s="453"/>
      <c r="E2116" s="454"/>
      <c r="F2116" s="454"/>
      <c r="G2116" s="454"/>
      <c r="H2116" s="455"/>
      <c r="I2116" s="453"/>
      <c r="J2116" s="417"/>
      <c r="K2116" s="418"/>
      <c r="L2116" s="983" t="s">
        <v>1893</v>
      </c>
      <c r="M2116" s="643"/>
      <c r="N2116" s="724" t="str">
        <f t="shared" ref="N2116:N2122" si="1134">A2116</f>
        <v>2019,6</v>
      </c>
      <c r="O2116" s="453" t="s">
        <v>154</v>
      </c>
      <c r="P2116" s="728"/>
      <c r="Q2116" s="419"/>
      <c r="R2116" s="420"/>
      <c r="S2116" s="417"/>
      <c r="T2116" s="417"/>
      <c r="U2116" s="421"/>
      <c r="V2116" s="421"/>
      <c r="W2116" s="479">
        <f t="shared" si="1130"/>
        <v>0</v>
      </c>
      <c r="X2116" s="421"/>
      <c r="Y2116" s="421"/>
    </row>
    <row r="2117" spans="1:25" ht="30" hidden="1" customHeight="1" x14ac:dyDescent="0.25">
      <c r="A2117" s="82">
        <v>190423</v>
      </c>
      <c r="B2117" s="664" t="s">
        <v>546</v>
      </c>
      <c r="C2117" s="71" t="s">
        <v>950</v>
      </c>
      <c r="D2117" s="71">
        <v>3</v>
      </c>
      <c r="E2117" s="102">
        <v>13000000</v>
      </c>
      <c r="F2117" s="102">
        <f>(E2117*D2117)*1.1</f>
        <v>42900000</v>
      </c>
      <c r="G2117" s="102">
        <f>(E2117*D2117)</f>
        <v>39000000</v>
      </c>
      <c r="H2117" s="690" t="s">
        <v>1431</v>
      </c>
      <c r="I2117" s="71" t="s">
        <v>1431</v>
      </c>
      <c r="J2117" s="53">
        <f t="shared" ref="J2117:J2124" si="1135">G2117-T2117</f>
        <v>19465500</v>
      </c>
      <c r="K2117" s="63">
        <f t="shared" ref="K2117:K2122" si="1136">(J2117/(F2117/11*10))</f>
        <v>0.49911538461538463</v>
      </c>
      <c r="L2117" s="871" t="s">
        <v>1893</v>
      </c>
      <c r="M2117" s="468"/>
      <c r="N2117" s="664">
        <f t="shared" si="1134"/>
        <v>190423</v>
      </c>
      <c r="O2117" s="71" t="s">
        <v>1431</v>
      </c>
      <c r="P2117" s="103" t="str">
        <f t="shared" ref="P2117:Q2122" si="1137">C2117</f>
        <v>상하 핀맞춤 모터</v>
      </c>
      <c r="Q2117" s="71">
        <f t="shared" si="1137"/>
        <v>3</v>
      </c>
      <c r="R2117" s="102">
        <f>14470*1350/3</f>
        <v>6511500</v>
      </c>
      <c r="S2117" s="102">
        <f t="shared" ref="S2117:S2130" si="1138">R2117*Q2117*1.1</f>
        <v>21487950</v>
      </c>
      <c r="T2117" s="102">
        <f t="shared" ref="T2117:T2130" si="1139">R2117*Q2117</f>
        <v>19534500</v>
      </c>
      <c r="U2117" s="71" t="str">
        <f>IF(J2117=W2117,"O", "X")</f>
        <v>X</v>
      </c>
      <c r="V2117" s="71"/>
      <c r="W2117" s="474"/>
      <c r="X2117" s="71"/>
      <c r="Y2117" s="71"/>
    </row>
    <row r="2118" spans="1:25" s="209" customFormat="1" ht="30" hidden="1" customHeight="1" x14ac:dyDescent="0.25">
      <c r="A2118" s="82">
        <v>190531</v>
      </c>
      <c r="B2118" s="664" t="s">
        <v>764</v>
      </c>
      <c r="C2118" s="71" t="s">
        <v>236</v>
      </c>
      <c r="D2118" s="71">
        <v>5</v>
      </c>
      <c r="E2118" s="102">
        <v>100000</v>
      </c>
      <c r="F2118" s="102">
        <f>(E2118*D2118)*1.1</f>
        <v>550000</v>
      </c>
      <c r="G2118" s="102">
        <f>(E2118*D2118)</f>
        <v>500000</v>
      </c>
      <c r="H2118" s="690" t="s">
        <v>173</v>
      </c>
      <c r="I2118" s="71" t="s">
        <v>2231</v>
      </c>
      <c r="J2118" s="53">
        <f t="shared" si="1135"/>
        <v>250000</v>
      </c>
      <c r="K2118" s="63">
        <f t="shared" si="1136"/>
        <v>0.5</v>
      </c>
      <c r="L2118" s="871" t="s">
        <v>1893</v>
      </c>
      <c r="M2118" s="468"/>
      <c r="N2118" s="664">
        <f t="shared" si="1134"/>
        <v>190531</v>
      </c>
      <c r="O2118" s="71" t="s">
        <v>153</v>
      </c>
      <c r="P2118" s="103" t="str">
        <f t="shared" si="1137"/>
        <v>아스테이지(국전)</v>
      </c>
      <c r="Q2118" s="71">
        <f t="shared" si="1137"/>
        <v>5</v>
      </c>
      <c r="R2118" s="102">
        <f>VLOOKUP(P2118,Price!B:D,3,FALSE)</f>
        <v>50000</v>
      </c>
      <c r="S2118" s="102">
        <f t="shared" si="1138"/>
        <v>275000</v>
      </c>
      <c r="T2118" s="102">
        <f t="shared" si="1139"/>
        <v>250000</v>
      </c>
      <c r="U2118" s="71" t="str">
        <f>IF(J2118=W2118,"O", "X")</f>
        <v>O</v>
      </c>
      <c r="V2118" s="71"/>
      <c r="W2118" s="474">
        <f>(G2118-T2118)</f>
        <v>250000</v>
      </c>
      <c r="X2118" s="71"/>
      <c r="Y2118" s="71"/>
    </row>
    <row r="2119" spans="1:25" ht="30" hidden="1" customHeight="1" x14ac:dyDescent="0.25">
      <c r="A2119" s="82">
        <v>190531</v>
      </c>
      <c r="B2119" s="664" t="s">
        <v>1178</v>
      </c>
      <c r="C2119" s="71" t="s">
        <v>124</v>
      </c>
      <c r="D2119" s="71">
        <v>1</v>
      </c>
      <c r="E2119" s="102">
        <v>6994450</v>
      </c>
      <c r="F2119" s="102">
        <f>(E2119*D2119)*1.1</f>
        <v>7693895.0000000009</v>
      </c>
      <c r="G2119" s="102">
        <f>(E2119*D2119)</f>
        <v>6994450</v>
      </c>
      <c r="H2119" s="690" t="s">
        <v>142</v>
      </c>
      <c r="I2119" s="71" t="s">
        <v>142</v>
      </c>
      <c r="J2119" s="53">
        <f t="shared" si="1135"/>
        <v>2947250</v>
      </c>
      <c r="K2119" s="63">
        <f t="shared" si="1136"/>
        <v>0.42136980034169941</v>
      </c>
      <c r="L2119" s="871" t="s">
        <v>1893</v>
      </c>
      <c r="M2119" s="468"/>
      <c r="N2119" s="664">
        <f t="shared" si="1134"/>
        <v>190531</v>
      </c>
      <c r="O2119" s="71" t="s">
        <v>1431</v>
      </c>
      <c r="P2119" s="103" t="str">
        <f t="shared" si="1137"/>
        <v>아니록스 롤러</v>
      </c>
      <c r="Q2119" s="71">
        <f t="shared" si="1137"/>
        <v>1</v>
      </c>
      <c r="R2119" s="102">
        <f>2706*1200+800000</f>
        <v>4047200</v>
      </c>
      <c r="S2119" s="102">
        <f t="shared" si="1138"/>
        <v>4451920</v>
      </c>
      <c r="T2119" s="102">
        <f t="shared" si="1139"/>
        <v>4047200</v>
      </c>
      <c r="U2119" s="71"/>
      <c r="V2119" s="71"/>
      <c r="W2119" s="474"/>
      <c r="X2119" s="71"/>
      <c r="Y2119" s="71"/>
    </row>
    <row r="2120" spans="1:25" ht="30" hidden="1" customHeight="1" x14ac:dyDescent="0.25">
      <c r="A2120" s="82">
        <v>190603</v>
      </c>
      <c r="B2120" s="664" t="s">
        <v>1155</v>
      </c>
      <c r="C2120" s="71" t="s">
        <v>123</v>
      </c>
      <c r="D2120" s="71">
        <v>10</v>
      </c>
      <c r="E2120" s="102">
        <v>30000</v>
      </c>
      <c r="F2120" s="102">
        <f t="shared" ref="F2120:F2125" si="1140">(E2120*D2120)*1.1</f>
        <v>330000</v>
      </c>
      <c r="G2120" s="102">
        <f t="shared" ref="G2120:G2125" si="1141">(E2120*D2120)</f>
        <v>300000</v>
      </c>
      <c r="H2120" s="690" t="s">
        <v>1432</v>
      </c>
      <c r="I2120" s="71" t="s">
        <v>1432</v>
      </c>
      <c r="J2120" s="53">
        <f t="shared" si="1135"/>
        <v>75390</v>
      </c>
      <c r="K2120" s="63">
        <f t="shared" si="1136"/>
        <v>0.25130000000000002</v>
      </c>
      <c r="L2120" s="871" t="s">
        <v>1893</v>
      </c>
      <c r="M2120" s="468"/>
      <c r="N2120" s="664">
        <f t="shared" si="1134"/>
        <v>190603</v>
      </c>
      <c r="O2120" s="71" t="s">
        <v>1432</v>
      </c>
      <c r="P2120" s="103" t="str">
        <f t="shared" si="1137"/>
        <v>필터백</v>
      </c>
      <c r="Q2120" s="71">
        <f t="shared" si="1137"/>
        <v>10</v>
      </c>
      <c r="R2120" s="102">
        <v>22461</v>
      </c>
      <c r="S2120" s="102">
        <f t="shared" si="1138"/>
        <v>247071.00000000003</v>
      </c>
      <c r="T2120" s="102">
        <f t="shared" si="1139"/>
        <v>224610</v>
      </c>
      <c r="U2120" s="71"/>
      <c r="V2120" s="71"/>
      <c r="W2120" s="474"/>
      <c r="X2120" s="71"/>
      <c r="Y2120" s="71"/>
    </row>
    <row r="2121" spans="1:25" ht="30" hidden="1" customHeight="1" x14ac:dyDescent="0.25">
      <c r="A2121" s="82">
        <v>190604</v>
      </c>
      <c r="B2121" s="664" t="s">
        <v>446</v>
      </c>
      <c r="C2121" s="71" t="s">
        <v>1144</v>
      </c>
      <c r="D2121" s="71">
        <v>8</v>
      </c>
      <c r="E2121" s="102">
        <v>110000</v>
      </c>
      <c r="F2121" s="102">
        <f t="shared" si="1140"/>
        <v>968000.00000000012</v>
      </c>
      <c r="G2121" s="102">
        <f t="shared" si="1141"/>
        <v>880000</v>
      </c>
      <c r="H2121" s="690" t="s">
        <v>173</v>
      </c>
      <c r="I2121" s="71" t="s">
        <v>2231</v>
      </c>
      <c r="J2121" s="53">
        <f t="shared" si="1135"/>
        <v>152000</v>
      </c>
      <c r="K2121" s="63">
        <f t="shared" si="1136"/>
        <v>0.1727272727272727</v>
      </c>
      <c r="L2121" s="871" t="s">
        <v>1913</v>
      </c>
      <c r="M2121" s="468"/>
      <c r="N2121" s="664">
        <f t="shared" si="1134"/>
        <v>190604</v>
      </c>
      <c r="O2121" s="71" t="s">
        <v>150</v>
      </c>
      <c r="P2121" s="103" t="str">
        <f t="shared" si="1137"/>
        <v>실리콘 에멀전</v>
      </c>
      <c r="Q2121" s="71">
        <f t="shared" si="1137"/>
        <v>8</v>
      </c>
      <c r="R2121" s="102">
        <v>91000</v>
      </c>
      <c r="S2121" s="102">
        <f t="shared" si="1138"/>
        <v>800800.00000000012</v>
      </c>
      <c r="T2121" s="102">
        <f t="shared" si="1139"/>
        <v>728000</v>
      </c>
      <c r="U2121" s="71" t="str">
        <f>IF(J2121=W2121,"O", "X")</f>
        <v>O</v>
      </c>
      <c r="V2121" s="71"/>
      <c r="W2121" s="474">
        <f>(G2121-T2121)</f>
        <v>152000</v>
      </c>
      <c r="X2121" s="71"/>
      <c r="Y2121" s="71"/>
    </row>
    <row r="2122" spans="1:25" ht="30" hidden="1" customHeight="1" x14ac:dyDescent="0.25">
      <c r="A2122" s="82">
        <v>190607</v>
      </c>
      <c r="B2122" s="664" t="s">
        <v>546</v>
      </c>
      <c r="C2122" s="71" t="s">
        <v>114</v>
      </c>
      <c r="D2122" s="71">
        <v>50</v>
      </c>
      <c r="E2122" s="102">
        <v>18000</v>
      </c>
      <c r="F2122" s="102">
        <f t="shared" si="1140"/>
        <v>990000.00000000012</v>
      </c>
      <c r="G2122" s="102">
        <f t="shared" si="1141"/>
        <v>900000</v>
      </c>
      <c r="H2122" s="690" t="s">
        <v>1431</v>
      </c>
      <c r="I2122" s="71" t="s">
        <v>1431</v>
      </c>
      <c r="J2122" s="53">
        <f t="shared" si="1135"/>
        <v>450000</v>
      </c>
      <c r="K2122" s="63">
        <f t="shared" si="1136"/>
        <v>0.49999999999999994</v>
      </c>
      <c r="L2122" s="871" t="s">
        <v>1913</v>
      </c>
      <c r="M2122" s="468"/>
      <c r="N2122" s="664">
        <f t="shared" si="1134"/>
        <v>190607</v>
      </c>
      <c r="O2122" s="71" t="s">
        <v>1431</v>
      </c>
      <c r="P2122" s="103" t="str">
        <f t="shared" si="1137"/>
        <v>스트리퍼</v>
      </c>
      <c r="Q2122" s="71">
        <f t="shared" si="1137"/>
        <v>50</v>
      </c>
      <c r="R2122" s="102">
        <v>9000</v>
      </c>
      <c r="S2122" s="102">
        <f t="shared" si="1138"/>
        <v>495000.00000000006</v>
      </c>
      <c r="T2122" s="102">
        <f t="shared" si="1139"/>
        <v>450000</v>
      </c>
      <c r="U2122" s="71"/>
      <c r="V2122" s="71"/>
      <c r="W2122" s="474"/>
      <c r="X2122" s="71"/>
      <c r="Y2122" s="71"/>
    </row>
    <row r="2123" spans="1:25" ht="30" hidden="1" customHeight="1" x14ac:dyDescent="0.25">
      <c r="A2123" s="82">
        <v>190607</v>
      </c>
      <c r="B2123" s="664" t="s">
        <v>983</v>
      </c>
      <c r="C2123" s="71" t="s">
        <v>1009</v>
      </c>
      <c r="D2123" s="71">
        <v>520</v>
      </c>
      <c r="E2123" s="102">
        <v>3900</v>
      </c>
      <c r="F2123" s="102">
        <f t="shared" si="1140"/>
        <v>2230800</v>
      </c>
      <c r="G2123" s="102">
        <f t="shared" si="1141"/>
        <v>2028000</v>
      </c>
      <c r="H2123" s="690" t="s">
        <v>173</v>
      </c>
      <c r="I2123" s="71" t="s">
        <v>2230</v>
      </c>
      <c r="J2123" s="53">
        <f t="shared" si="1135"/>
        <v>312000</v>
      </c>
      <c r="K2123" s="63">
        <f t="shared" ref="K2123:K2129" si="1142">(J2123/(F2123/11*10))</f>
        <v>0.15384615384615385</v>
      </c>
      <c r="L2123" s="871" t="s">
        <v>1913</v>
      </c>
      <c r="M2123" s="468"/>
      <c r="N2123" s="664">
        <f t="shared" ref="N2123:N2131" si="1143">A2123</f>
        <v>190607</v>
      </c>
      <c r="O2123" s="71" t="s">
        <v>147</v>
      </c>
      <c r="P2123" s="103" t="str">
        <f t="shared" ref="P2123:P2141" si="1144">C2123</f>
        <v>CTP판(1030*790mm)</v>
      </c>
      <c r="Q2123" s="71">
        <f t="shared" ref="Q2123:Q2140" si="1145">D2123</f>
        <v>520</v>
      </c>
      <c r="R2123" s="102">
        <v>3300</v>
      </c>
      <c r="S2123" s="102">
        <f t="shared" si="1138"/>
        <v>1887600.0000000002</v>
      </c>
      <c r="T2123" s="102">
        <f t="shared" si="1139"/>
        <v>1716000</v>
      </c>
      <c r="U2123" s="71" t="str">
        <f t="shared" ref="U2123:U2129" si="1146">IF(J2123=W2123,"O", "X")</f>
        <v>O</v>
      </c>
      <c r="V2123" s="71"/>
      <c r="W2123" s="474">
        <f>(G2123-T2123)</f>
        <v>312000</v>
      </c>
      <c r="X2123" s="71"/>
      <c r="Y2123" s="71"/>
    </row>
    <row r="2124" spans="1:25" ht="30" hidden="1" customHeight="1" x14ac:dyDescent="0.25">
      <c r="A2124" s="82">
        <v>190607</v>
      </c>
      <c r="B2124" s="664" t="s">
        <v>983</v>
      </c>
      <c r="C2124" s="71" t="s">
        <v>984</v>
      </c>
      <c r="D2124" s="71">
        <v>6</v>
      </c>
      <c r="E2124" s="102">
        <v>45000</v>
      </c>
      <c r="F2124" s="102">
        <f t="shared" si="1140"/>
        <v>297000</v>
      </c>
      <c r="G2124" s="102">
        <f t="shared" si="1141"/>
        <v>270000</v>
      </c>
      <c r="H2124" s="690" t="s">
        <v>173</v>
      </c>
      <c r="I2124" s="71" t="s">
        <v>2230</v>
      </c>
      <c r="J2124" s="53">
        <f t="shared" si="1135"/>
        <v>60000</v>
      </c>
      <c r="K2124" s="63">
        <f t="shared" si="1142"/>
        <v>0.22222222222222221</v>
      </c>
      <c r="L2124" s="871" t="s">
        <v>1913</v>
      </c>
      <c r="M2124" s="468"/>
      <c r="N2124" s="664">
        <f t="shared" si="1143"/>
        <v>190607</v>
      </c>
      <c r="O2124" s="71" t="s">
        <v>147</v>
      </c>
      <c r="P2124" s="103" t="str">
        <f t="shared" si="1144"/>
        <v>CTP 현상액</v>
      </c>
      <c r="Q2124" s="71">
        <f t="shared" si="1145"/>
        <v>6</v>
      </c>
      <c r="R2124" s="102">
        <v>35000</v>
      </c>
      <c r="S2124" s="102">
        <f t="shared" si="1138"/>
        <v>231000.00000000003</v>
      </c>
      <c r="T2124" s="102">
        <f t="shared" si="1139"/>
        <v>210000</v>
      </c>
      <c r="U2124" s="71" t="str">
        <f t="shared" si="1146"/>
        <v>O</v>
      </c>
      <c r="V2124" s="71"/>
      <c r="W2124" s="474">
        <f>(G2124-T2124)</f>
        <v>60000</v>
      </c>
      <c r="X2124" s="71"/>
      <c r="Y2124" s="71"/>
    </row>
    <row r="2125" spans="1:25" ht="30" hidden="1" customHeight="1" x14ac:dyDescent="0.25">
      <c r="A2125" s="82">
        <v>190607</v>
      </c>
      <c r="B2125" s="664" t="s">
        <v>545</v>
      </c>
      <c r="C2125" s="71" t="s">
        <v>952</v>
      </c>
      <c r="D2125" s="71">
        <v>1</v>
      </c>
      <c r="E2125" s="102">
        <v>630000</v>
      </c>
      <c r="F2125" s="102">
        <f t="shared" si="1140"/>
        <v>693000</v>
      </c>
      <c r="G2125" s="102">
        <f t="shared" si="1141"/>
        <v>630000</v>
      </c>
      <c r="H2125" s="690" t="s">
        <v>173</v>
      </c>
      <c r="I2125" s="71" t="s">
        <v>108</v>
      </c>
      <c r="J2125" s="53">
        <f>(G2125-(VLOOKUP(C2125,Price!B:D,3,FALSE)*D2125))</f>
        <v>180000</v>
      </c>
      <c r="K2125" s="63">
        <f t="shared" si="1142"/>
        <v>0.2857142857142857</v>
      </c>
      <c r="L2125" s="871" t="s">
        <v>1913</v>
      </c>
      <c r="M2125" s="468"/>
      <c r="N2125" s="664">
        <f t="shared" si="1143"/>
        <v>190607</v>
      </c>
      <c r="O2125" s="71" t="s">
        <v>599</v>
      </c>
      <c r="P2125" s="103" t="str">
        <f t="shared" si="1144"/>
        <v>점보롤 세정포</v>
      </c>
      <c r="Q2125" s="71">
        <f t="shared" si="1145"/>
        <v>1</v>
      </c>
      <c r="R2125" s="102">
        <v>440000</v>
      </c>
      <c r="S2125" s="102">
        <f t="shared" si="1138"/>
        <v>484000.00000000006</v>
      </c>
      <c r="T2125" s="102">
        <f t="shared" si="1139"/>
        <v>440000</v>
      </c>
      <c r="U2125" s="71" t="str">
        <f t="shared" si="1146"/>
        <v>X</v>
      </c>
      <c r="V2125" s="71" t="s">
        <v>1228</v>
      </c>
      <c r="W2125" s="474">
        <f>(G2125-T2125)</f>
        <v>190000</v>
      </c>
      <c r="X2125" s="71"/>
      <c r="Y2125" s="71"/>
    </row>
    <row r="2126" spans="1:25" ht="35.65" customHeight="1" x14ac:dyDescent="0.25">
      <c r="A2126" s="82">
        <v>190610</v>
      </c>
      <c r="B2126" s="664" t="s">
        <v>422</v>
      </c>
      <c r="C2126" s="760" t="s">
        <v>218</v>
      </c>
      <c r="D2126" s="71">
        <v>5</v>
      </c>
      <c r="E2126" s="102">
        <v>235000</v>
      </c>
      <c r="F2126" s="102">
        <f t="shared" ref="F2126:F2140" si="1147">(E2126*D2126)*1.1</f>
        <v>1292500</v>
      </c>
      <c r="G2126" s="102">
        <f t="shared" ref="G2126:G2140" si="1148">(E2126*D2126)</f>
        <v>1175000</v>
      </c>
      <c r="H2126" s="690" t="s">
        <v>173</v>
      </c>
      <c r="I2126" s="71" t="s">
        <v>120</v>
      </c>
      <c r="J2126" s="53">
        <f>(G2126-(VLOOKUP(C2126,Price!B:D,3,FALSE)*D2126))</f>
        <v>612500</v>
      </c>
      <c r="K2126" s="63">
        <f t="shared" si="1142"/>
        <v>0.52127659574468088</v>
      </c>
      <c r="L2126" s="871" t="s">
        <v>1913</v>
      </c>
      <c r="M2126" s="468"/>
      <c r="N2126" s="664">
        <f t="shared" si="1143"/>
        <v>190610</v>
      </c>
      <c r="O2126" s="71" t="s">
        <v>150</v>
      </c>
      <c r="P2126" s="103" t="str">
        <f t="shared" si="1144"/>
        <v>Fount Web 551AF</v>
      </c>
      <c r="Q2126" s="71">
        <f t="shared" si="1145"/>
        <v>5</v>
      </c>
      <c r="R2126" s="102">
        <v>112500</v>
      </c>
      <c r="S2126" s="102">
        <f t="shared" si="1138"/>
        <v>618750</v>
      </c>
      <c r="T2126" s="102">
        <f t="shared" si="1139"/>
        <v>562500</v>
      </c>
      <c r="U2126" s="71" t="str">
        <f t="shared" si="1146"/>
        <v>O</v>
      </c>
      <c r="V2126" s="71"/>
      <c r="W2126" s="474">
        <f>(G2126-T2126)</f>
        <v>612500</v>
      </c>
      <c r="X2126" s="71"/>
      <c r="Y2126" s="71"/>
    </row>
    <row r="2127" spans="1:25" ht="30" hidden="1" customHeight="1" x14ac:dyDescent="0.25">
      <c r="A2127" s="82">
        <v>190610</v>
      </c>
      <c r="B2127" s="664" t="s">
        <v>690</v>
      </c>
      <c r="C2127" s="71" t="s">
        <v>752</v>
      </c>
      <c r="D2127" s="71">
        <v>1</v>
      </c>
      <c r="E2127" s="102">
        <v>80000</v>
      </c>
      <c r="F2127" s="102">
        <f t="shared" si="1147"/>
        <v>88000</v>
      </c>
      <c r="G2127" s="102">
        <f t="shared" si="1148"/>
        <v>80000</v>
      </c>
      <c r="H2127" s="690" t="s">
        <v>173</v>
      </c>
      <c r="I2127" s="71" t="s">
        <v>2230</v>
      </c>
      <c r="J2127" s="53">
        <f>(G2127-(VLOOKUP(C2127,Price!B:D,3,FALSE)*D2127))</f>
        <v>15000</v>
      </c>
      <c r="K2127" s="63">
        <f t="shared" si="1142"/>
        <v>0.1875</v>
      </c>
      <c r="L2127" s="871" t="s">
        <v>1913</v>
      </c>
      <c r="M2127" s="468"/>
      <c r="N2127" s="664">
        <f t="shared" si="1143"/>
        <v>190610</v>
      </c>
      <c r="O2127" s="71" t="s">
        <v>145</v>
      </c>
      <c r="P2127" s="103" t="str">
        <f t="shared" si="1144"/>
        <v>RC795(20L)</v>
      </c>
      <c r="Q2127" s="71">
        <f t="shared" si="1145"/>
        <v>1</v>
      </c>
      <c r="R2127" s="102">
        <v>65000</v>
      </c>
      <c r="S2127" s="102">
        <f t="shared" si="1138"/>
        <v>71500</v>
      </c>
      <c r="T2127" s="102">
        <f t="shared" si="1139"/>
        <v>65000</v>
      </c>
      <c r="U2127" s="71" t="str">
        <f t="shared" si="1146"/>
        <v>O</v>
      </c>
      <c r="V2127" s="71"/>
      <c r="W2127" s="474">
        <f>(G2127-T2127)</f>
        <v>15000</v>
      </c>
      <c r="X2127" s="71"/>
      <c r="Y2127" s="71"/>
    </row>
    <row r="2128" spans="1:25" ht="30" hidden="1" customHeight="1" x14ac:dyDescent="0.25">
      <c r="A2128" s="82">
        <v>190610</v>
      </c>
      <c r="B2128" s="664" t="s">
        <v>690</v>
      </c>
      <c r="C2128" s="67" t="s">
        <v>197</v>
      </c>
      <c r="D2128" s="71">
        <v>3</v>
      </c>
      <c r="E2128" s="102">
        <v>49000</v>
      </c>
      <c r="F2128" s="102">
        <f t="shared" si="1147"/>
        <v>161700</v>
      </c>
      <c r="G2128" s="102">
        <f t="shared" si="1148"/>
        <v>147000</v>
      </c>
      <c r="H2128" s="690" t="s">
        <v>173</v>
      </c>
      <c r="I2128" s="71" t="s">
        <v>2230</v>
      </c>
      <c r="J2128" s="53">
        <f>(G2128-(VLOOKUP(C2128,Price!B:D,3,FALSE)*D2128))</f>
        <v>42000</v>
      </c>
      <c r="K2128" s="63">
        <f t="shared" si="1142"/>
        <v>0.2857142857142857</v>
      </c>
      <c r="L2128" s="871" t="s">
        <v>1913</v>
      </c>
      <c r="M2128" s="468" t="s">
        <v>1394</v>
      </c>
      <c r="N2128" s="664">
        <f t="shared" si="1143"/>
        <v>190610</v>
      </c>
      <c r="O2128" s="71" t="s">
        <v>145</v>
      </c>
      <c r="P2128" s="103" t="str">
        <f t="shared" si="1144"/>
        <v>THR200(20L)</v>
      </c>
      <c r="Q2128" s="71">
        <f t="shared" si="1145"/>
        <v>3</v>
      </c>
      <c r="R2128" s="102">
        <v>35000</v>
      </c>
      <c r="S2128" s="102">
        <f t="shared" si="1138"/>
        <v>115500.00000000001</v>
      </c>
      <c r="T2128" s="102">
        <f t="shared" si="1139"/>
        <v>105000</v>
      </c>
      <c r="U2128" s="71" t="str">
        <f t="shared" si="1146"/>
        <v>X</v>
      </c>
      <c r="V2128" s="71"/>
      <c r="W2128" s="474"/>
      <c r="X2128" s="71"/>
      <c r="Y2128" s="71"/>
    </row>
    <row r="2129" spans="1:25" ht="30" hidden="1" customHeight="1" x14ac:dyDescent="0.25">
      <c r="A2129" s="82">
        <v>190610</v>
      </c>
      <c r="B2129" s="664" t="s">
        <v>690</v>
      </c>
      <c r="C2129" s="71" t="s">
        <v>1186</v>
      </c>
      <c r="D2129" s="71">
        <v>500</v>
      </c>
      <c r="E2129" s="102">
        <v>3600</v>
      </c>
      <c r="F2129" s="102">
        <f t="shared" si="1147"/>
        <v>1980000.0000000002</v>
      </c>
      <c r="G2129" s="102">
        <f t="shared" si="1148"/>
        <v>1800000</v>
      </c>
      <c r="H2129" s="690" t="s">
        <v>173</v>
      </c>
      <c r="I2129" s="71" t="s">
        <v>2230</v>
      </c>
      <c r="J2129" s="53">
        <f>(G2129-(VLOOKUP(C2129,Price!B:D,3,FALSE)*D2129))</f>
        <v>-200000</v>
      </c>
      <c r="K2129" s="63">
        <f t="shared" si="1142"/>
        <v>-0.11111111111111109</v>
      </c>
      <c r="L2129" s="871" t="s">
        <v>1913</v>
      </c>
      <c r="M2129" s="468" t="s">
        <v>1393</v>
      </c>
      <c r="N2129" s="664">
        <f t="shared" si="1143"/>
        <v>190610</v>
      </c>
      <c r="O2129" s="71" t="s">
        <v>145</v>
      </c>
      <c r="P2129" s="103" t="str">
        <f t="shared" si="1144"/>
        <v>CTP 판(1030*790mm)</v>
      </c>
      <c r="Q2129" s="71">
        <f t="shared" si="1145"/>
        <v>500</v>
      </c>
      <c r="R2129" s="102">
        <v>4000</v>
      </c>
      <c r="S2129" s="102">
        <f t="shared" si="1138"/>
        <v>2200000</v>
      </c>
      <c r="T2129" s="102">
        <f t="shared" si="1139"/>
        <v>2000000</v>
      </c>
      <c r="U2129" s="71" t="str">
        <f t="shared" si="1146"/>
        <v>O</v>
      </c>
      <c r="V2129" s="71"/>
      <c r="W2129" s="474">
        <f>(G2129-T2129)</f>
        <v>-200000</v>
      </c>
      <c r="X2129" s="71"/>
      <c r="Y2129" s="71"/>
    </row>
    <row r="2130" spans="1:25" ht="30" hidden="1" customHeight="1" x14ac:dyDescent="0.25">
      <c r="A2130" s="82">
        <v>190611</v>
      </c>
      <c r="B2130" s="664" t="s">
        <v>764</v>
      </c>
      <c r="C2130" s="760" t="s">
        <v>910</v>
      </c>
      <c r="D2130" s="71">
        <v>2</v>
      </c>
      <c r="E2130" s="102">
        <v>750000</v>
      </c>
      <c r="F2130" s="102">
        <f t="shared" si="1147"/>
        <v>1650000.0000000002</v>
      </c>
      <c r="G2130" s="102">
        <f t="shared" si="1148"/>
        <v>1500000</v>
      </c>
      <c r="H2130" s="690" t="s">
        <v>1432</v>
      </c>
      <c r="I2130" s="71" t="s">
        <v>1432</v>
      </c>
      <c r="J2130" s="53">
        <f>G2130-T2130</f>
        <v>483233.99999999988</v>
      </c>
      <c r="K2130" s="63">
        <f t="shared" ref="K2130:K2145" si="1149">(J2130/(F2130/11*10))</f>
        <v>0.32215599999999989</v>
      </c>
      <c r="L2130" s="871" t="s">
        <v>1913</v>
      </c>
      <c r="M2130" s="468"/>
      <c r="N2130" s="664">
        <f t="shared" si="1143"/>
        <v>190611</v>
      </c>
      <c r="O2130" s="71" t="s">
        <v>1432</v>
      </c>
      <c r="P2130" s="103" t="str">
        <f t="shared" si="1144"/>
        <v>솔레노이드 밸브</v>
      </c>
      <c r="Q2130" s="71">
        <f t="shared" si="1145"/>
        <v>2</v>
      </c>
      <c r="R2130" s="102">
        <f>Import!G672</f>
        <v>508383.00000000006</v>
      </c>
      <c r="S2130" s="102">
        <f t="shared" si="1138"/>
        <v>1118442.6000000003</v>
      </c>
      <c r="T2130" s="102">
        <f t="shared" si="1139"/>
        <v>1016766.0000000001</v>
      </c>
      <c r="U2130" s="71"/>
      <c r="V2130" s="71"/>
      <c r="W2130" s="474"/>
      <c r="X2130" s="71"/>
      <c r="Y2130" s="71"/>
    </row>
    <row r="2131" spans="1:25" s="209" customFormat="1" ht="30" hidden="1" customHeight="1" x14ac:dyDescent="0.2">
      <c r="A2131" s="82">
        <v>190612</v>
      </c>
      <c r="B2131" s="664" t="s">
        <v>445</v>
      </c>
      <c r="C2131" s="71" t="s">
        <v>138</v>
      </c>
      <c r="D2131" s="71">
        <v>10</v>
      </c>
      <c r="E2131" s="102">
        <v>59500</v>
      </c>
      <c r="F2131" s="163">
        <f t="shared" si="1147"/>
        <v>654500</v>
      </c>
      <c r="G2131" s="102">
        <f t="shared" si="1148"/>
        <v>595000</v>
      </c>
      <c r="H2131" s="165" t="s">
        <v>172</v>
      </c>
      <c r="I2131" s="71" t="s">
        <v>108</v>
      </c>
      <c r="J2131" s="53">
        <f>(G2131-(VLOOKUP(C2131,Price!B:D,3,FALSE)*D2131))</f>
        <v>85000</v>
      </c>
      <c r="K2131" s="63">
        <f t="shared" si="1149"/>
        <v>0.14285714285714285</v>
      </c>
      <c r="L2131" s="871" t="s">
        <v>1913</v>
      </c>
      <c r="M2131" s="468"/>
      <c r="N2131" s="664">
        <f t="shared" si="1143"/>
        <v>190612</v>
      </c>
      <c r="O2131" s="71" t="s">
        <v>150</v>
      </c>
      <c r="P2131" s="103" t="str">
        <f t="shared" si="1144"/>
        <v>매엽용 세척제(Wash 562)</v>
      </c>
      <c r="Q2131" s="71">
        <f t="shared" si="1145"/>
        <v>10</v>
      </c>
      <c r="R2131" s="102">
        <v>51000</v>
      </c>
      <c r="S2131" s="102">
        <f>(R2131*D2131)*1.1</f>
        <v>561000</v>
      </c>
      <c r="T2131" s="102">
        <f>(R2131*Q2131)</f>
        <v>510000</v>
      </c>
      <c r="U2131" s="71" t="str">
        <f>IF(J2131=W2131,"O", "X")</f>
        <v>O</v>
      </c>
      <c r="V2131" s="71"/>
      <c r="W2131" s="474">
        <f>(G2131-T2131)</f>
        <v>85000</v>
      </c>
      <c r="X2131" s="71"/>
      <c r="Y2131" s="71"/>
    </row>
    <row r="2132" spans="1:25" ht="30" hidden="1" customHeight="1" x14ac:dyDescent="0.25">
      <c r="A2132" s="82">
        <v>190612</v>
      </c>
      <c r="B2132" s="664" t="s">
        <v>545</v>
      </c>
      <c r="C2132" s="71" t="s">
        <v>1441</v>
      </c>
      <c r="D2132" s="71">
        <v>2</v>
      </c>
      <c r="E2132" s="102">
        <v>210000</v>
      </c>
      <c r="F2132" s="102">
        <f t="shared" si="1147"/>
        <v>462000.00000000006</v>
      </c>
      <c r="G2132" s="102">
        <f t="shared" si="1148"/>
        <v>420000</v>
      </c>
      <c r="H2132" s="690" t="s">
        <v>173</v>
      </c>
      <c r="I2132" s="71" t="s">
        <v>2231</v>
      </c>
      <c r="J2132" s="53">
        <f>G2132-T2132</f>
        <v>90000</v>
      </c>
      <c r="K2132" s="63">
        <f t="shared" si="1149"/>
        <v>0.21428571428571425</v>
      </c>
      <c r="L2132" s="871" t="s">
        <v>1913</v>
      </c>
      <c r="M2132" s="468"/>
      <c r="N2132" s="664">
        <f>A2132</f>
        <v>190612</v>
      </c>
      <c r="O2132" s="71" t="s">
        <v>1555</v>
      </c>
      <c r="P2132" s="103" t="str">
        <f t="shared" si="1144"/>
        <v xml:space="preserve"> OKS340 체인구리스</v>
      </c>
      <c r="Q2132" s="71">
        <f t="shared" si="1145"/>
        <v>2</v>
      </c>
      <c r="R2132" s="102">
        <v>165000</v>
      </c>
      <c r="S2132" s="102">
        <f>R2132*Q2132*1.1</f>
        <v>363000.00000000006</v>
      </c>
      <c r="T2132" s="102">
        <f>R2132*Q2132</f>
        <v>330000</v>
      </c>
      <c r="U2132" s="71" t="str">
        <f>IF(J2132=W2132,"O", "X")</f>
        <v>X</v>
      </c>
      <c r="V2132" s="71"/>
      <c r="W2132" s="474"/>
      <c r="X2132" s="71"/>
      <c r="Y2132" s="71"/>
    </row>
    <row r="2133" spans="1:25" ht="30" hidden="1" customHeight="1" x14ac:dyDescent="0.25">
      <c r="A2133" s="82">
        <v>190612</v>
      </c>
      <c r="B2133" s="664" t="s">
        <v>545</v>
      </c>
      <c r="C2133" s="71" t="s">
        <v>227</v>
      </c>
      <c r="D2133" s="71">
        <v>10</v>
      </c>
      <c r="E2133" s="102">
        <v>110000</v>
      </c>
      <c r="F2133" s="102">
        <f t="shared" si="1147"/>
        <v>1210000</v>
      </c>
      <c r="G2133" s="102">
        <f t="shared" si="1148"/>
        <v>1100000</v>
      </c>
      <c r="H2133" s="690" t="s">
        <v>173</v>
      </c>
      <c r="I2133" s="71" t="s">
        <v>109</v>
      </c>
      <c r="J2133" s="53">
        <f>(G2133-(VLOOKUP(C2133,Price!B:D,3,FALSE)*D2133))</f>
        <v>271000</v>
      </c>
      <c r="K2133" s="63">
        <f t="shared" si="1149"/>
        <v>0.24636363636363637</v>
      </c>
      <c r="L2133" s="871" t="s">
        <v>1913</v>
      </c>
      <c r="M2133" s="468"/>
      <c r="N2133" s="664">
        <f>A2133</f>
        <v>190612</v>
      </c>
      <c r="O2133" s="71" t="s">
        <v>147</v>
      </c>
      <c r="P2133" s="103" t="str">
        <f t="shared" si="1144"/>
        <v>Blanket(1060*860)</v>
      </c>
      <c r="Q2133" s="71">
        <f t="shared" si="1145"/>
        <v>10</v>
      </c>
      <c r="R2133" s="102">
        <v>82900</v>
      </c>
      <c r="S2133" s="102">
        <f>R2133*Q2133*1.1</f>
        <v>911900.00000000012</v>
      </c>
      <c r="T2133" s="102">
        <f>R2133*Q2133</f>
        <v>829000</v>
      </c>
      <c r="U2133" s="71" t="str">
        <f>IF(J2133=W2133,"O", "X")</f>
        <v>O</v>
      </c>
      <c r="V2133" s="71"/>
      <c r="W2133" s="474">
        <f>(G2133-T2133)</f>
        <v>271000</v>
      </c>
      <c r="X2133" s="71"/>
      <c r="Y2133" s="71"/>
    </row>
    <row r="2134" spans="1:25" ht="30" hidden="1" customHeight="1" x14ac:dyDescent="0.25">
      <c r="A2134" s="82">
        <v>190612</v>
      </c>
      <c r="B2134" s="663" t="s">
        <v>545</v>
      </c>
      <c r="C2134" s="73" t="s">
        <v>825</v>
      </c>
      <c r="D2134" s="73">
        <v>2</v>
      </c>
      <c r="E2134" s="147">
        <v>110000</v>
      </c>
      <c r="F2134" s="147">
        <f t="shared" si="1147"/>
        <v>242000.00000000003</v>
      </c>
      <c r="G2134" s="147">
        <f t="shared" si="1148"/>
        <v>220000</v>
      </c>
      <c r="H2134" s="689" t="s">
        <v>173</v>
      </c>
      <c r="I2134" s="71" t="s">
        <v>2231</v>
      </c>
      <c r="J2134" s="60">
        <f>G2134-R2134</f>
        <v>125000</v>
      </c>
      <c r="K2134" s="427">
        <f t="shared" si="1149"/>
        <v>0.56818181818181812</v>
      </c>
      <c r="L2134" s="871" t="s">
        <v>1913</v>
      </c>
      <c r="M2134" s="584"/>
      <c r="N2134" s="663">
        <f>A2134</f>
        <v>190612</v>
      </c>
      <c r="O2134" s="73" t="s">
        <v>150</v>
      </c>
      <c r="P2134" s="132" t="str">
        <f t="shared" si="1144"/>
        <v>독일제 정품 잉크호일 아스테이지</v>
      </c>
      <c r="Q2134" s="73">
        <f t="shared" si="1145"/>
        <v>2</v>
      </c>
      <c r="R2134" s="147">
        <v>95000</v>
      </c>
      <c r="S2134" s="147">
        <f>R2134*Q2134*1.1</f>
        <v>209000.00000000003</v>
      </c>
      <c r="T2134" s="147">
        <f>R2134*Q2134</f>
        <v>190000</v>
      </c>
      <c r="U2134" s="73" t="str">
        <f>IF(J2134=W2134,"O", "X")</f>
        <v>X</v>
      </c>
      <c r="V2134" s="73"/>
      <c r="W2134" s="473">
        <f>(G2134-T2134)</f>
        <v>30000</v>
      </c>
      <c r="X2134" s="73"/>
      <c r="Y2134" s="73"/>
    </row>
    <row r="2135" spans="1:25" s="209" customFormat="1" ht="30" hidden="1" customHeight="1" x14ac:dyDescent="0.2">
      <c r="A2135" s="82">
        <v>190612</v>
      </c>
      <c r="B2135" s="664" t="s">
        <v>545</v>
      </c>
      <c r="C2135" s="71" t="s">
        <v>1895</v>
      </c>
      <c r="D2135" s="71">
        <v>10</v>
      </c>
      <c r="E2135" s="102">
        <v>42000</v>
      </c>
      <c r="F2135" s="163">
        <f t="shared" si="1147"/>
        <v>462000.00000000006</v>
      </c>
      <c r="G2135" s="102">
        <f t="shared" si="1148"/>
        <v>420000</v>
      </c>
      <c r="H2135" s="165" t="s">
        <v>1432</v>
      </c>
      <c r="I2135" s="71" t="s">
        <v>1432</v>
      </c>
      <c r="J2135" s="53">
        <f>G2135-T2135</f>
        <v>195390</v>
      </c>
      <c r="K2135" s="63">
        <f t="shared" si="1149"/>
        <v>0.46521428571428564</v>
      </c>
      <c r="L2135" s="871" t="s">
        <v>1913</v>
      </c>
      <c r="M2135" s="468"/>
      <c r="N2135" s="663">
        <f>A2135</f>
        <v>190612</v>
      </c>
      <c r="O2135" s="71" t="s">
        <v>1432</v>
      </c>
      <c r="P2135" s="103" t="str">
        <f t="shared" si="1144"/>
        <v>필터벡</v>
      </c>
      <c r="Q2135" s="71">
        <f t="shared" si="1145"/>
        <v>10</v>
      </c>
      <c r="R2135" s="102">
        <v>22461</v>
      </c>
      <c r="S2135" s="102">
        <f>R2135*Q2135*1.1</f>
        <v>247071.00000000003</v>
      </c>
      <c r="T2135" s="102">
        <f>R2135*Q2135</f>
        <v>224610</v>
      </c>
      <c r="U2135" s="71"/>
      <c r="V2135" s="71"/>
      <c r="W2135" s="474"/>
      <c r="X2135" s="71"/>
      <c r="Y2135" s="71"/>
    </row>
    <row r="2136" spans="1:25" s="209" customFormat="1" ht="30" customHeight="1" x14ac:dyDescent="0.2">
      <c r="A2136" s="82">
        <v>190613</v>
      </c>
      <c r="B2136" s="664" t="s">
        <v>422</v>
      </c>
      <c r="C2136" s="71" t="s">
        <v>123</v>
      </c>
      <c r="D2136" s="71">
        <v>4</v>
      </c>
      <c r="E2136" s="102">
        <v>35000</v>
      </c>
      <c r="F2136" s="163">
        <f t="shared" si="1147"/>
        <v>154000</v>
      </c>
      <c r="G2136" s="163">
        <f t="shared" si="1148"/>
        <v>140000</v>
      </c>
      <c r="H2136" s="165" t="s">
        <v>1432</v>
      </c>
      <c r="I2136" s="71" t="s">
        <v>1432</v>
      </c>
      <c r="J2136" s="53">
        <f>G2136-T2136</f>
        <v>50156</v>
      </c>
      <c r="K2136" s="63">
        <f t="shared" si="1149"/>
        <v>0.35825714285714283</v>
      </c>
      <c r="L2136" s="871" t="s">
        <v>1913</v>
      </c>
      <c r="M2136" s="468"/>
      <c r="N2136" s="664">
        <f t="shared" ref="N2136:N2145" si="1150">A2136</f>
        <v>190613</v>
      </c>
      <c r="O2136" s="71" t="s">
        <v>1432</v>
      </c>
      <c r="P2136" s="103" t="str">
        <f>C2136</f>
        <v>필터백</v>
      </c>
      <c r="Q2136" s="71">
        <f t="shared" si="1145"/>
        <v>4</v>
      </c>
      <c r="R2136" s="102">
        <v>22461</v>
      </c>
      <c r="S2136" s="102">
        <f>(R2136*D2136)*1.1</f>
        <v>98828.400000000009</v>
      </c>
      <c r="T2136" s="102">
        <f>(R2136*Q2136)</f>
        <v>89844</v>
      </c>
      <c r="U2136" s="71" t="str">
        <f>IF(J2136=W2136,"O", "X")</f>
        <v>X</v>
      </c>
      <c r="V2136" s="71"/>
      <c r="W2136" s="474"/>
      <c r="X2136" s="71"/>
      <c r="Y2136" s="71"/>
    </row>
    <row r="2137" spans="1:25" s="209" customFormat="1" ht="30" customHeight="1" x14ac:dyDescent="0.2">
      <c r="A2137" s="82">
        <v>190613</v>
      </c>
      <c r="B2137" s="664" t="s">
        <v>422</v>
      </c>
      <c r="C2137" s="71" t="s">
        <v>130</v>
      </c>
      <c r="D2137" s="71">
        <v>20</v>
      </c>
      <c r="E2137" s="102">
        <v>125000</v>
      </c>
      <c r="F2137" s="163">
        <f t="shared" si="1147"/>
        <v>2750000</v>
      </c>
      <c r="G2137" s="102">
        <f t="shared" si="1148"/>
        <v>2500000</v>
      </c>
      <c r="H2137" s="165" t="s">
        <v>172</v>
      </c>
      <c r="I2137" s="71" t="s">
        <v>109</v>
      </c>
      <c r="J2137" s="53">
        <f>(G2137-(VLOOKUP(C2137,Price!B:D,3,FALSE)*D2137))</f>
        <v>520000</v>
      </c>
      <c r="K2137" s="63">
        <f t="shared" si="1149"/>
        <v>0.20799999999999999</v>
      </c>
      <c r="L2137" s="871" t="s">
        <v>1913</v>
      </c>
      <c r="M2137" s="468"/>
      <c r="N2137" s="664">
        <f t="shared" si="1150"/>
        <v>190613</v>
      </c>
      <c r="O2137" s="71" t="s">
        <v>150</v>
      </c>
      <c r="P2137" s="103" t="str">
        <f>(C2137)</f>
        <v>XL106 Blanket(1077*885)</v>
      </c>
      <c r="Q2137" s="71">
        <f t="shared" si="1145"/>
        <v>20</v>
      </c>
      <c r="R2137" s="102">
        <v>99000</v>
      </c>
      <c r="S2137" s="102">
        <f>(R2137*D2137)*1.1</f>
        <v>2178000</v>
      </c>
      <c r="T2137" s="102">
        <f>(R2137*Q2137)</f>
        <v>1980000</v>
      </c>
      <c r="U2137" s="71" t="str">
        <f>IF(J2137=W2137,"O", "X")</f>
        <v>O</v>
      </c>
      <c r="V2137" s="71"/>
      <c r="W2137" s="474">
        <f>(G2137-T2137)</f>
        <v>520000</v>
      </c>
      <c r="X2137" s="71"/>
      <c r="Y2137" s="71"/>
    </row>
    <row r="2138" spans="1:25" ht="30" customHeight="1" x14ac:dyDescent="0.25">
      <c r="A2138" s="82">
        <v>190613</v>
      </c>
      <c r="B2138" s="664" t="s">
        <v>422</v>
      </c>
      <c r="C2138" s="71" t="s">
        <v>129</v>
      </c>
      <c r="D2138" s="71">
        <v>3</v>
      </c>
      <c r="E2138" s="102">
        <v>272000</v>
      </c>
      <c r="F2138" s="102">
        <f t="shared" si="1147"/>
        <v>897600.00000000012</v>
      </c>
      <c r="G2138" s="102">
        <f t="shared" si="1148"/>
        <v>816000</v>
      </c>
      <c r="H2138" s="690" t="s">
        <v>173</v>
      </c>
      <c r="I2138" s="71" t="s">
        <v>108</v>
      </c>
      <c r="J2138" s="53">
        <f>(G2138-(VLOOKUP(C2138,Price!B:D,3,FALSE)*D2138))</f>
        <v>192000</v>
      </c>
      <c r="K2138" s="63">
        <f t="shared" si="1149"/>
        <v>0.23529411764705879</v>
      </c>
      <c r="L2138" s="871" t="s">
        <v>1913</v>
      </c>
      <c r="M2138" s="468"/>
      <c r="N2138" s="664">
        <f t="shared" si="1150"/>
        <v>190613</v>
      </c>
      <c r="O2138" s="71" t="s">
        <v>149</v>
      </c>
      <c r="P2138" s="103" t="str">
        <f>C2138</f>
        <v>세정포-XL106</v>
      </c>
      <c r="Q2138" s="71">
        <f t="shared" si="1145"/>
        <v>3</v>
      </c>
      <c r="R2138" s="102">
        <v>208000</v>
      </c>
      <c r="S2138" s="102">
        <f t="shared" ref="S2138:S2149" si="1151">R2138*Q2138*1.1</f>
        <v>686400</v>
      </c>
      <c r="T2138" s="102">
        <f t="shared" ref="T2138:T2149" si="1152">R2138*Q2138</f>
        <v>624000</v>
      </c>
      <c r="U2138" s="71" t="str">
        <f>IF(J2138=W2138,"O", "X")</f>
        <v>O</v>
      </c>
      <c r="V2138" s="71"/>
      <c r="W2138" s="474">
        <f>(G2138-T2138)</f>
        <v>192000</v>
      </c>
      <c r="X2138" s="71"/>
      <c r="Y2138" s="71"/>
    </row>
    <row r="2139" spans="1:25" ht="30" customHeight="1" x14ac:dyDescent="0.25">
      <c r="A2139" s="82">
        <v>190613</v>
      </c>
      <c r="B2139" s="664" t="s">
        <v>422</v>
      </c>
      <c r="C2139" s="71" t="s">
        <v>584</v>
      </c>
      <c r="D2139" s="71">
        <v>3</v>
      </c>
      <c r="E2139" s="102">
        <v>270000</v>
      </c>
      <c r="F2139" s="102">
        <f t="shared" si="1147"/>
        <v>891000.00000000012</v>
      </c>
      <c r="G2139" s="102">
        <f t="shared" si="1148"/>
        <v>810000</v>
      </c>
      <c r="H2139" s="690" t="s">
        <v>173</v>
      </c>
      <c r="I2139" s="71" t="s">
        <v>2231</v>
      </c>
      <c r="J2139" s="53">
        <f>(G2139-(VLOOKUP(C2139,Price!B:D,3,FALSE)*D2139))</f>
        <v>162000</v>
      </c>
      <c r="K2139" s="63">
        <f t="shared" si="1149"/>
        <v>0.19999999999999998</v>
      </c>
      <c r="L2139" s="871" t="s">
        <v>1913</v>
      </c>
      <c r="M2139" s="468"/>
      <c r="N2139" s="664">
        <f t="shared" si="1150"/>
        <v>190613</v>
      </c>
      <c r="O2139" s="71" t="s">
        <v>150</v>
      </c>
      <c r="P2139" s="103" t="str">
        <f>C2139</f>
        <v>데리바리 석션벨트</v>
      </c>
      <c r="Q2139" s="71">
        <f t="shared" si="1145"/>
        <v>3</v>
      </c>
      <c r="R2139" s="102">
        <v>216000</v>
      </c>
      <c r="S2139" s="102">
        <f t="shared" si="1151"/>
        <v>712800</v>
      </c>
      <c r="T2139" s="102">
        <f t="shared" si="1152"/>
        <v>648000</v>
      </c>
      <c r="U2139" s="71" t="str">
        <f>IF(J2139=W2139,"O", "X")</f>
        <v>O</v>
      </c>
      <c r="V2139" s="71"/>
      <c r="W2139" s="474">
        <f>(G2139-T2139)</f>
        <v>162000</v>
      </c>
      <c r="X2139" s="71"/>
      <c r="Y2139" s="71"/>
    </row>
    <row r="2140" spans="1:25" ht="30" hidden="1" customHeight="1" x14ac:dyDescent="0.25">
      <c r="A2140" s="82">
        <v>190615</v>
      </c>
      <c r="B2140" s="664" t="s">
        <v>764</v>
      </c>
      <c r="C2140" s="71" t="s">
        <v>123</v>
      </c>
      <c r="D2140" s="71">
        <v>25</v>
      </c>
      <c r="E2140" s="102">
        <v>35000</v>
      </c>
      <c r="F2140" s="102">
        <f t="shared" si="1147"/>
        <v>962500.00000000012</v>
      </c>
      <c r="G2140" s="102">
        <f t="shared" si="1148"/>
        <v>875000</v>
      </c>
      <c r="H2140" s="690" t="s">
        <v>1432</v>
      </c>
      <c r="I2140" s="71" t="s">
        <v>1432</v>
      </c>
      <c r="J2140" s="53">
        <f>G2140-T2140</f>
        <v>313475</v>
      </c>
      <c r="K2140" s="63">
        <f t="shared" si="1149"/>
        <v>0.35825714285714283</v>
      </c>
      <c r="L2140" s="871" t="s">
        <v>1913</v>
      </c>
      <c r="M2140" s="468"/>
      <c r="N2140" s="664">
        <f t="shared" si="1150"/>
        <v>190615</v>
      </c>
      <c r="O2140" s="71" t="s">
        <v>1432</v>
      </c>
      <c r="P2140" s="103" t="str">
        <f>C2140</f>
        <v>필터백</v>
      </c>
      <c r="Q2140" s="71">
        <f t="shared" si="1145"/>
        <v>25</v>
      </c>
      <c r="R2140" s="102">
        <v>22461</v>
      </c>
      <c r="S2140" s="102">
        <f t="shared" si="1151"/>
        <v>617677.5</v>
      </c>
      <c r="T2140" s="102">
        <f t="shared" si="1152"/>
        <v>561525</v>
      </c>
      <c r="U2140" s="71" t="str">
        <f>IF(J2140=W2140,"O", "X")</f>
        <v>O</v>
      </c>
      <c r="V2140" s="71"/>
      <c r="W2140" s="474">
        <f>(G2140-T2140)</f>
        <v>313475</v>
      </c>
      <c r="X2140" s="71"/>
      <c r="Y2140" s="71"/>
    </row>
    <row r="2141" spans="1:25" ht="30" hidden="1" customHeight="1" x14ac:dyDescent="0.25">
      <c r="A2141" s="82">
        <v>190617</v>
      </c>
      <c r="B2141" s="664" t="s">
        <v>575</v>
      </c>
      <c r="C2141" s="71" t="s">
        <v>1256</v>
      </c>
      <c r="D2141" s="71">
        <v>1</v>
      </c>
      <c r="E2141" s="102">
        <v>1250000</v>
      </c>
      <c r="F2141" s="102">
        <f>(E2141*D2141)*1.1</f>
        <v>1375000</v>
      </c>
      <c r="G2141" s="102">
        <f>(E2141*D2141)</f>
        <v>1250000</v>
      </c>
      <c r="H2141" s="690" t="s">
        <v>985</v>
      </c>
      <c r="I2141" s="71" t="s">
        <v>985</v>
      </c>
      <c r="J2141" s="53">
        <f>G2141-T2141</f>
        <v>1250000</v>
      </c>
      <c r="K2141" s="63">
        <f t="shared" si="1149"/>
        <v>1</v>
      </c>
      <c r="L2141" s="871" t="s">
        <v>1913</v>
      </c>
      <c r="M2141" s="468"/>
      <c r="N2141" s="664">
        <f t="shared" si="1150"/>
        <v>190617</v>
      </c>
      <c r="O2141" s="71"/>
      <c r="P2141" s="103" t="str">
        <f t="shared" si="1144"/>
        <v>M600 서비스 계약(2회차)</v>
      </c>
      <c r="Q2141" s="71">
        <f t="shared" ref="Q2141:Q2158" si="1153">D2141</f>
        <v>1</v>
      </c>
      <c r="R2141" s="102"/>
      <c r="S2141" s="102">
        <f t="shared" si="1151"/>
        <v>0</v>
      </c>
      <c r="T2141" s="102">
        <f t="shared" si="1152"/>
        <v>0</v>
      </c>
      <c r="U2141" s="71"/>
      <c r="V2141" s="71"/>
      <c r="W2141" s="474"/>
      <c r="X2141" s="71"/>
      <c r="Y2141" s="71"/>
    </row>
    <row r="2142" spans="1:25" ht="30" hidden="1" customHeight="1" x14ac:dyDescent="0.25">
      <c r="A2142" s="82">
        <v>190617</v>
      </c>
      <c r="B2142" s="664" t="s">
        <v>446</v>
      </c>
      <c r="C2142" s="71" t="s">
        <v>1144</v>
      </c>
      <c r="D2142" s="71">
        <v>10</v>
      </c>
      <c r="E2142" s="102">
        <v>110000</v>
      </c>
      <c r="F2142" s="102">
        <f>(E2142*D2142)*1.1</f>
        <v>1210000</v>
      </c>
      <c r="G2142" s="102">
        <f>(E2142*D2142)</f>
        <v>1100000</v>
      </c>
      <c r="H2142" s="690" t="s">
        <v>173</v>
      </c>
      <c r="I2142" s="71" t="s">
        <v>2231</v>
      </c>
      <c r="J2142" s="53">
        <f>G2142-T2142</f>
        <v>190000</v>
      </c>
      <c r="K2142" s="63">
        <f t="shared" si="1149"/>
        <v>0.17272727272727273</v>
      </c>
      <c r="L2142" s="871" t="s">
        <v>1913</v>
      </c>
      <c r="M2142" s="468"/>
      <c r="N2142" s="664">
        <f t="shared" si="1150"/>
        <v>190617</v>
      </c>
      <c r="O2142" s="71" t="s">
        <v>150</v>
      </c>
      <c r="P2142" s="103" t="str">
        <f>C2142</f>
        <v>실리콘 에멀전</v>
      </c>
      <c r="Q2142" s="71">
        <f t="shared" si="1153"/>
        <v>10</v>
      </c>
      <c r="R2142" s="102">
        <v>91000</v>
      </c>
      <c r="S2142" s="102">
        <f t="shared" si="1151"/>
        <v>1001000.0000000001</v>
      </c>
      <c r="T2142" s="102">
        <f t="shared" si="1152"/>
        <v>910000</v>
      </c>
      <c r="U2142" s="71" t="str">
        <f>IF(J2142=W2142,"O", "X")</f>
        <v>O</v>
      </c>
      <c r="V2142" s="71"/>
      <c r="W2142" s="474">
        <f>(G2142-T2142)</f>
        <v>190000</v>
      </c>
      <c r="X2142" s="71"/>
      <c r="Y2142" s="71"/>
    </row>
    <row r="2143" spans="1:25" ht="30" hidden="1" customHeight="1" x14ac:dyDescent="0.25">
      <c r="A2143" s="82">
        <v>190617</v>
      </c>
      <c r="B2143" s="664" t="s">
        <v>442</v>
      </c>
      <c r="C2143" s="71" t="s">
        <v>133</v>
      </c>
      <c r="D2143" s="71">
        <v>2</v>
      </c>
      <c r="E2143" s="102">
        <v>327000</v>
      </c>
      <c r="F2143" s="102">
        <f>(E2143*D2143)*1.1</f>
        <v>719400</v>
      </c>
      <c r="G2143" s="102">
        <f>(E2143*D2143)</f>
        <v>654000</v>
      </c>
      <c r="H2143" s="690" t="s">
        <v>173</v>
      </c>
      <c r="I2143" s="71" t="s">
        <v>141</v>
      </c>
      <c r="J2143" s="53">
        <f>(G2143-(VLOOKUP(C2143,Price!B:D,3,FALSE)*D2143))</f>
        <v>115800</v>
      </c>
      <c r="K2143" s="63">
        <f t="shared" si="1149"/>
        <v>0.17706422018348625</v>
      </c>
      <c r="L2143" s="871" t="s">
        <v>1913</v>
      </c>
      <c r="M2143" s="468"/>
      <c r="N2143" s="664">
        <f t="shared" si="1150"/>
        <v>190617</v>
      </c>
      <c r="O2143" s="71" t="s">
        <v>145</v>
      </c>
      <c r="P2143" s="103" t="str">
        <f>C2143</f>
        <v>Agfa Film(24inch)</v>
      </c>
      <c r="Q2143" s="71">
        <f t="shared" si="1153"/>
        <v>2</v>
      </c>
      <c r="R2143" s="102">
        <v>269100</v>
      </c>
      <c r="S2143" s="102">
        <f t="shared" si="1151"/>
        <v>592020</v>
      </c>
      <c r="T2143" s="102">
        <f t="shared" si="1152"/>
        <v>538200</v>
      </c>
      <c r="U2143" s="71" t="str">
        <f>IF(J2143=W2143,"O", "X")</f>
        <v>O</v>
      </c>
      <c r="V2143" s="71"/>
      <c r="W2143" s="474">
        <f>(G2143-T2143)</f>
        <v>115800</v>
      </c>
      <c r="X2143" s="71"/>
      <c r="Y2143" s="71"/>
    </row>
    <row r="2144" spans="1:25" ht="30" hidden="1" customHeight="1" x14ac:dyDescent="0.25">
      <c r="A2144" s="82">
        <v>190617</v>
      </c>
      <c r="B2144" s="664" t="s">
        <v>442</v>
      </c>
      <c r="C2144" s="71" t="s">
        <v>134</v>
      </c>
      <c r="D2144" s="71">
        <v>2</v>
      </c>
      <c r="E2144" s="102">
        <v>401000</v>
      </c>
      <c r="F2144" s="102">
        <f>(E2144*D2144)*1.1</f>
        <v>882200.00000000012</v>
      </c>
      <c r="G2144" s="102">
        <f>(E2144*D2144)</f>
        <v>802000</v>
      </c>
      <c r="H2144" s="690" t="s">
        <v>173</v>
      </c>
      <c r="I2144" s="71" t="s">
        <v>141</v>
      </c>
      <c r="J2144" s="53">
        <f>(G2144-(VLOOKUP(C2144,Price!B:D,3,FALSE)*D2144))</f>
        <v>174080</v>
      </c>
      <c r="K2144" s="63">
        <f t="shared" si="1149"/>
        <v>0.21705735660847877</v>
      </c>
      <c r="L2144" s="871" t="s">
        <v>1913</v>
      </c>
      <c r="M2144" s="468"/>
      <c r="N2144" s="664">
        <f t="shared" si="1150"/>
        <v>190617</v>
      </c>
      <c r="O2144" s="71" t="s">
        <v>145</v>
      </c>
      <c r="P2144" s="103" t="str">
        <f>C2144</f>
        <v>Agfa Film(28inch)</v>
      </c>
      <c r="Q2144" s="71">
        <f t="shared" si="1153"/>
        <v>2</v>
      </c>
      <c r="R2144" s="102">
        <f>VLOOKUP(P2144,Price!B:D,3,FALSE)</f>
        <v>313960</v>
      </c>
      <c r="S2144" s="102">
        <f t="shared" si="1151"/>
        <v>690712</v>
      </c>
      <c r="T2144" s="102">
        <f t="shared" si="1152"/>
        <v>627920</v>
      </c>
      <c r="U2144" s="71" t="str">
        <f>IF(J2144=W2144,"O", "X")</f>
        <v>O</v>
      </c>
      <c r="V2144" s="71"/>
      <c r="W2144" s="474">
        <f>(G2144-T2144)</f>
        <v>174080</v>
      </c>
      <c r="X2144" s="71"/>
      <c r="Y2144" s="71"/>
    </row>
    <row r="2145" spans="1:25" ht="30" hidden="1" customHeight="1" x14ac:dyDescent="0.25">
      <c r="A2145" s="82">
        <v>190617</v>
      </c>
      <c r="B2145" s="664" t="s">
        <v>442</v>
      </c>
      <c r="C2145" s="71" t="s">
        <v>135</v>
      </c>
      <c r="D2145" s="71">
        <v>2</v>
      </c>
      <c r="E2145" s="102">
        <v>448000</v>
      </c>
      <c r="F2145" s="102">
        <f>(E2145*D2145)*1.1</f>
        <v>985600.00000000012</v>
      </c>
      <c r="G2145" s="102">
        <f>(E2145*D2145)</f>
        <v>896000</v>
      </c>
      <c r="H2145" s="690" t="s">
        <v>173</v>
      </c>
      <c r="I2145" s="71" t="s">
        <v>141</v>
      </c>
      <c r="J2145" s="53">
        <f>(G2145-(VLOOKUP(C2145,Price!B:D,3,FALSE)*D2145))</f>
        <v>155980</v>
      </c>
      <c r="K2145" s="63">
        <f t="shared" si="1149"/>
        <v>0.1740848214285714</v>
      </c>
      <c r="L2145" s="871" t="s">
        <v>1913</v>
      </c>
      <c r="M2145" s="468"/>
      <c r="N2145" s="664">
        <f t="shared" si="1150"/>
        <v>190617</v>
      </c>
      <c r="O2145" s="71" t="s">
        <v>145</v>
      </c>
      <c r="P2145" s="103" t="str">
        <f>C2145</f>
        <v>Agfa Film(32inch)</v>
      </c>
      <c r="Q2145" s="71">
        <f t="shared" si="1153"/>
        <v>2</v>
      </c>
      <c r="R2145" s="102">
        <f>VLOOKUP(P2145,Price!B:D,3,FALSE)</f>
        <v>370010</v>
      </c>
      <c r="S2145" s="102">
        <f t="shared" si="1151"/>
        <v>814022.00000000012</v>
      </c>
      <c r="T2145" s="102">
        <f t="shared" si="1152"/>
        <v>740020</v>
      </c>
      <c r="U2145" s="71" t="str">
        <f>IF(J2145=W2145,"O", "X")</f>
        <v>O</v>
      </c>
      <c r="V2145" s="71"/>
      <c r="W2145" s="474">
        <f>(G2145-T2145)</f>
        <v>155980</v>
      </c>
      <c r="X2145" s="71"/>
      <c r="Y2145" s="71"/>
    </row>
    <row r="2146" spans="1:25" s="209" customFormat="1" ht="30" hidden="1" customHeight="1" x14ac:dyDescent="0.25">
      <c r="A2146" s="82">
        <v>190618</v>
      </c>
      <c r="B2146" s="664" t="s">
        <v>442</v>
      </c>
      <c r="C2146" s="71" t="s">
        <v>138</v>
      </c>
      <c r="D2146" s="71">
        <v>22</v>
      </c>
      <c r="E2146" s="102">
        <v>69000</v>
      </c>
      <c r="F2146" s="102">
        <f t="shared" ref="F2146:F2152" si="1154">(E2146*D2146)*1.1</f>
        <v>1669800.0000000002</v>
      </c>
      <c r="G2146" s="102">
        <f t="shared" ref="G2146:G2152" si="1155">(E2146*D2146)</f>
        <v>1518000</v>
      </c>
      <c r="H2146" s="690" t="s">
        <v>173</v>
      </c>
      <c r="I2146" s="71" t="s">
        <v>108</v>
      </c>
      <c r="J2146" s="53">
        <v>299200</v>
      </c>
      <c r="K2146" s="63">
        <v>0.1971014492753623</v>
      </c>
      <c r="L2146" s="871" t="s">
        <v>1913</v>
      </c>
      <c r="M2146" s="468" t="s">
        <v>1854</v>
      </c>
      <c r="N2146" s="664">
        <v>190402</v>
      </c>
      <c r="O2146" s="71" t="s">
        <v>150</v>
      </c>
      <c r="P2146" s="103" t="s">
        <v>1914</v>
      </c>
      <c r="Q2146" s="71">
        <f t="shared" si="1153"/>
        <v>22</v>
      </c>
      <c r="R2146" s="102">
        <v>51000</v>
      </c>
      <c r="S2146" s="102">
        <f t="shared" si="1151"/>
        <v>1234200</v>
      </c>
      <c r="T2146" s="102">
        <f t="shared" si="1152"/>
        <v>1122000</v>
      </c>
      <c r="U2146" s="71" t="s">
        <v>1915</v>
      </c>
      <c r="V2146" s="71"/>
      <c r="W2146" s="474">
        <v>396000</v>
      </c>
      <c r="X2146" s="71"/>
      <c r="Y2146" s="71"/>
    </row>
    <row r="2147" spans="1:25" ht="30" hidden="1" customHeight="1" x14ac:dyDescent="0.25">
      <c r="A2147" s="82">
        <v>190618</v>
      </c>
      <c r="B2147" s="664" t="s">
        <v>690</v>
      </c>
      <c r="C2147" s="71" t="s">
        <v>217</v>
      </c>
      <c r="D2147" s="71">
        <v>2</v>
      </c>
      <c r="E2147" s="102">
        <v>145000</v>
      </c>
      <c r="F2147" s="102">
        <f t="shared" si="1154"/>
        <v>319000</v>
      </c>
      <c r="G2147" s="102">
        <f t="shared" si="1155"/>
        <v>290000</v>
      </c>
      <c r="H2147" s="690" t="s">
        <v>173</v>
      </c>
      <c r="I2147" s="71" t="s">
        <v>108</v>
      </c>
      <c r="J2147" s="53">
        <v>130000</v>
      </c>
      <c r="K2147" s="63">
        <v>0.44827586206896552</v>
      </c>
      <c r="L2147" s="871" t="s">
        <v>1913</v>
      </c>
      <c r="M2147" s="468"/>
      <c r="N2147" s="664">
        <v>190402</v>
      </c>
      <c r="O2147" s="71" t="s">
        <v>150</v>
      </c>
      <c r="P2147" s="103" t="s">
        <v>1916</v>
      </c>
      <c r="Q2147" s="71">
        <f t="shared" si="1153"/>
        <v>2</v>
      </c>
      <c r="R2147" s="102">
        <v>80000</v>
      </c>
      <c r="S2147" s="102">
        <f t="shared" si="1151"/>
        <v>176000</v>
      </c>
      <c r="T2147" s="102">
        <f t="shared" si="1152"/>
        <v>160000</v>
      </c>
      <c r="U2147" s="71" t="s">
        <v>859</v>
      </c>
      <c r="V2147" s="71"/>
      <c r="W2147" s="474">
        <v>130000</v>
      </c>
      <c r="X2147" s="71"/>
      <c r="Y2147" s="71"/>
    </row>
    <row r="2148" spans="1:25" ht="30" customHeight="1" x14ac:dyDescent="0.25">
      <c r="A2148" s="82">
        <v>190619</v>
      </c>
      <c r="B2148" s="664" t="s">
        <v>422</v>
      </c>
      <c r="C2148" s="71" t="s">
        <v>114</v>
      </c>
      <c r="D2148" s="71">
        <v>50</v>
      </c>
      <c r="E2148" s="102">
        <v>20000</v>
      </c>
      <c r="F2148" s="102">
        <f t="shared" si="1154"/>
        <v>1100000</v>
      </c>
      <c r="G2148" s="102">
        <f t="shared" si="1155"/>
        <v>1000000</v>
      </c>
      <c r="H2148" s="690" t="s">
        <v>1431</v>
      </c>
      <c r="I2148" s="71" t="s">
        <v>1431</v>
      </c>
      <c r="J2148" s="53">
        <f>G2148-T2148</f>
        <v>550000</v>
      </c>
      <c r="K2148" s="63">
        <f t="shared" ref="K2148:K2158" si="1156">(J2148/(F2148/11*10))</f>
        <v>0.55000000000000004</v>
      </c>
      <c r="L2148" s="871" t="s">
        <v>1913</v>
      </c>
      <c r="M2148" s="468"/>
      <c r="N2148" s="664">
        <f>A2148</f>
        <v>190619</v>
      </c>
      <c r="O2148" s="71" t="s">
        <v>1431</v>
      </c>
      <c r="P2148" s="103" t="str">
        <f>(C2148)</f>
        <v>스트리퍼</v>
      </c>
      <c r="Q2148" s="71">
        <f t="shared" si="1153"/>
        <v>50</v>
      </c>
      <c r="R2148" s="102">
        <v>9000</v>
      </c>
      <c r="S2148" s="102">
        <f t="shared" si="1151"/>
        <v>495000.00000000006</v>
      </c>
      <c r="T2148" s="102">
        <f t="shared" si="1152"/>
        <v>450000</v>
      </c>
      <c r="U2148" s="71"/>
      <c r="V2148" s="71"/>
      <c r="W2148" s="474"/>
      <c r="X2148" s="71"/>
      <c r="Y2148" s="71"/>
    </row>
    <row r="2149" spans="1:25" ht="30" customHeight="1" x14ac:dyDescent="0.25">
      <c r="A2149" s="82">
        <v>190619</v>
      </c>
      <c r="B2149" s="664" t="s">
        <v>422</v>
      </c>
      <c r="C2149" s="71" t="s">
        <v>1297</v>
      </c>
      <c r="D2149" s="71">
        <v>1</v>
      </c>
      <c r="E2149" s="102">
        <v>800000</v>
      </c>
      <c r="F2149" s="102">
        <f t="shared" si="1154"/>
        <v>880000.00000000012</v>
      </c>
      <c r="G2149" s="102">
        <f t="shared" si="1155"/>
        <v>800000</v>
      </c>
      <c r="H2149" s="690" t="s">
        <v>1431</v>
      </c>
      <c r="I2149" s="71" t="s">
        <v>1431</v>
      </c>
      <c r="J2149" s="53">
        <f>G2149-T2149</f>
        <v>356984.54792632023</v>
      </c>
      <c r="K2149" s="63">
        <f t="shared" si="1156"/>
        <v>0.44623068490790024</v>
      </c>
      <c r="L2149" s="871" t="s">
        <v>1913</v>
      </c>
      <c r="M2149" s="468"/>
      <c r="N2149" s="664">
        <f>A2149</f>
        <v>190619</v>
      </c>
      <c r="O2149" s="71" t="s">
        <v>1431</v>
      </c>
      <c r="P2149" s="103" t="str">
        <f>(C2149)</f>
        <v>잉크집 호일</v>
      </c>
      <c r="Q2149" s="71">
        <f t="shared" si="1153"/>
        <v>1</v>
      </c>
      <c r="R2149" s="102">
        <f>Import!G195</f>
        <v>443015.45207367977</v>
      </c>
      <c r="S2149" s="102">
        <f t="shared" si="1151"/>
        <v>487316.99728104781</v>
      </c>
      <c r="T2149" s="102">
        <f t="shared" si="1152"/>
        <v>443015.45207367977</v>
      </c>
      <c r="U2149" s="71"/>
      <c r="V2149" s="71"/>
      <c r="W2149" s="474"/>
      <c r="X2149" s="71"/>
      <c r="Y2149" s="71"/>
    </row>
    <row r="2150" spans="1:25" s="209" customFormat="1" ht="30" hidden="1" customHeight="1" x14ac:dyDescent="0.25">
      <c r="A2150" s="82">
        <v>190620</v>
      </c>
      <c r="B2150" s="664" t="s">
        <v>567</v>
      </c>
      <c r="C2150" s="71" t="s">
        <v>236</v>
      </c>
      <c r="D2150" s="71">
        <v>10</v>
      </c>
      <c r="E2150" s="102">
        <v>65000</v>
      </c>
      <c r="F2150" s="102">
        <f>(E2150*D2150)*1.1</f>
        <v>715000</v>
      </c>
      <c r="G2150" s="102">
        <f>(E2150*D2150)</f>
        <v>650000</v>
      </c>
      <c r="H2150" s="690" t="s">
        <v>173</v>
      </c>
      <c r="I2150" s="71" t="s">
        <v>2231</v>
      </c>
      <c r="J2150" s="53">
        <f>(G2150-(VLOOKUP(C2150,Price!B:D,3,FALSE)*D2150))</f>
        <v>150000</v>
      </c>
      <c r="K2150" s="63">
        <f t="shared" si="1156"/>
        <v>0.23076923076923078</v>
      </c>
      <c r="L2150" s="871" t="s">
        <v>1893</v>
      </c>
      <c r="M2150" s="468"/>
      <c r="N2150" s="664">
        <f>A2150</f>
        <v>190620</v>
      </c>
      <c r="O2150" s="71" t="s">
        <v>153</v>
      </c>
      <c r="P2150" s="103" t="str">
        <f>(C2150)</f>
        <v>아스테이지(국전)</v>
      </c>
      <c r="Q2150" s="71">
        <f t="shared" si="1153"/>
        <v>10</v>
      </c>
      <c r="R2150" s="102">
        <v>50000</v>
      </c>
      <c r="S2150" s="102">
        <f>(R2150*D2150)*1.1</f>
        <v>550000</v>
      </c>
      <c r="T2150" s="102">
        <f>(R2150*Q2150)</f>
        <v>500000</v>
      </c>
      <c r="U2150" s="71" t="str">
        <f>IF(J2150=W2150,"O", "X")</f>
        <v>O</v>
      </c>
      <c r="V2150" s="71"/>
      <c r="W2150" s="474">
        <f>(G2150-T2150)</f>
        <v>150000</v>
      </c>
      <c r="X2150" s="71"/>
      <c r="Y2150" s="71"/>
    </row>
    <row r="2151" spans="1:25" ht="30" hidden="1" customHeight="1" x14ac:dyDescent="0.25">
      <c r="A2151" s="82">
        <v>190620</v>
      </c>
      <c r="B2151" s="664" t="s">
        <v>567</v>
      </c>
      <c r="C2151" s="71" t="s">
        <v>123</v>
      </c>
      <c r="D2151" s="71">
        <v>10</v>
      </c>
      <c r="E2151" s="102">
        <v>40000</v>
      </c>
      <c r="F2151" s="102">
        <f>(E2151*D2151)*1.1</f>
        <v>440000.00000000006</v>
      </c>
      <c r="G2151" s="102">
        <f>(E2151*D2151)</f>
        <v>400000</v>
      </c>
      <c r="H2151" s="1010" t="s">
        <v>39</v>
      </c>
      <c r="I2151" s="71" t="s">
        <v>1432</v>
      </c>
      <c r="J2151" s="53">
        <f>(G2151-(VLOOKUP(C2151,Price!B:D,3,FALSE)*D2151))</f>
        <v>175390</v>
      </c>
      <c r="K2151" s="63">
        <f t="shared" si="1156"/>
        <v>0.43847499999999995</v>
      </c>
      <c r="L2151" s="871" t="s">
        <v>1893</v>
      </c>
      <c r="M2151" s="468"/>
      <c r="N2151" s="664">
        <f>A2151</f>
        <v>190620</v>
      </c>
      <c r="O2151" s="991" t="s">
        <v>39</v>
      </c>
      <c r="P2151" s="103" t="str">
        <f>C2151</f>
        <v>필터백</v>
      </c>
      <c r="Q2151" s="71">
        <f t="shared" si="1153"/>
        <v>10</v>
      </c>
      <c r="R2151" s="102">
        <v>22054</v>
      </c>
      <c r="S2151" s="102">
        <f t="shared" ref="S2151:S2158" si="1157">R2151*Q2151*1.1</f>
        <v>242594.00000000003</v>
      </c>
      <c r="T2151" s="102">
        <f t="shared" ref="T2151:T2158" si="1158">R2151*Q2151</f>
        <v>220540</v>
      </c>
      <c r="U2151" s="71" t="str">
        <f>IF(J2151=W2151,"O", "X")</f>
        <v>X</v>
      </c>
      <c r="V2151" s="71"/>
      <c r="W2151" s="474">
        <f>(G2151-T2151)</f>
        <v>179460</v>
      </c>
      <c r="X2151" s="71"/>
      <c r="Y2151" s="71"/>
    </row>
    <row r="2152" spans="1:25" ht="30" hidden="1" customHeight="1" x14ac:dyDescent="0.25">
      <c r="A2152" s="82">
        <v>190620</v>
      </c>
      <c r="B2152" s="664" t="s">
        <v>442</v>
      </c>
      <c r="C2152" s="71" t="s">
        <v>649</v>
      </c>
      <c r="D2152" s="71">
        <v>6</v>
      </c>
      <c r="E2152" s="102">
        <v>41000</v>
      </c>
      <c r="F2152" s="102">
        <f t="shared" si="1154"/>
        <v>270600</v>
      </c>
      <c r="G2152" s="102">
        <f t="shared" si="1155"/>
        <v>246000</v>
      </c>
      <c r="H2152" s="690" t="s">
        <v>173</v>
      </c>
      <c r="I2152" s="71" t="s">
        <v>141</v>
      </c>
      <c r="J2152" s="53">
        <f>(G2152-(VLOOKUP(C2152,Price!B:D,3,FALSE)*D2152))</f>
        <v>96000</v>
      </c>
      <c r="K2152" s="63">
        <f t="shared" si="1156"/>
        <v>0.3902439024390244</v>
      </c>
      <c r="L2152" s="871" t="s">
        <v>1913</v>
      </c>
      <c r="M2152" s="468"/>
      <c r="N2152" s="664">
        <f t="shared" ref="N2152:N2158" si="1159">A2152</f>
        <v>190620</v>
      </c>
      <c r="O2152" s="71" t="s">
        <v>145</v>
      </c>
      <c r="P2152" s="103" t="str">
        <f>C2152</f>
        <v>Agfa 현상액 G101C(10L)</v>
      </c>
      <c r="Q2152" s="71">
        <f t="shared" si="1153"/>
        <v>6</v>
      </c>
      <c r="R2152" s="102">
        <f>VLOOKUP(P2152,Price!B:D,3,FALSE)</f>
        <v>25000</v>
      </c>
      <c r="S2152" s="102">
        <f t="shared" si="1157"/>
        <v>165000</v>
      </c>
      <c r="T2152" s="102">
        <f t="shared" si="1158"/>
        <v>150000</v>
      </c>
      <c r="U2152" s="71" t="str">
        <f>IF(J2152=W2152,"O", "X")</f>
        <v>O</v>
      </c>
      <c r="V2152" s="71"/>
      <c r="W2152" s="474">
        <f>(G2152-T2152)</f>
        <v>96000</v>
      </c>
      <c r="X2152" s="71"/>
      <c r="Y2152" s="71"/>
    </row>
    <row r="2153" spans="1:25" ht="30" hidden="1" customHeight="1" x14ac:dyDescent="0.25">
      <c r="A2153" s="82">
        <v>190620</v>
      </c>
      <c r="B2153" s="664" t="s">
        <v>1178</v>
      </c>
      <c r="C2153" s="71" t="s">
        <v>1924</v>
      </c>
      <c r="D2153" s="71">
        <v>1</v>
      </c>
      <c r="E2153" s="102">
        <v>559000</v>
      </c>
      <c r="F2153" s="102">
        <f t="shared" ref="F2153:F2158" si="1160">(E2153*D2153)*1.1</f>
        <v>614900</v>
      </c>
      <c r="G2153" s="102">
        <f t="shared" ref="G2153:G2158" si="1161">(E2153*D2153)</f>
        <v>559000</v>
      </c>
      <c r="H2153" s="690" t="s">
        <v>1431</v>
      </c>
      <c r="I2153" s="71" t="s">
        <v>1431</v>
      </c>
      <c r="J2153" s="53">
        <f>G2153-T2153</f>
        <v>105249</v>
      </c>
      <c r="K2153" s="63">
        <f t="shared" si="1156"/>
        <v>0.1882808586762075</v>
      </c>
      <c r="L2153" s="871" t="s">
        <v>1913</v>
      </c>
      <c r="M2153" s="468"/>
      <c r="N2153" s="664">
        <f t="shared" si="1159"/>
        <v>190620</v>
      </c>
      <c r="O2153" s="71" t="s">
        <v>1431</v>
      </c>
      <c r="P2153" s="103" t="str">
        <f>(C2153)</f>
        <v>INPUT MODULE</v>
      </c>
      <c r="Q2153" s="71">
        <f t="shared" si="1153"/>
        <v>1</v>
      </c>
      <c r="R2153" s="102">
        <f>907502/2</f>
        <v>453751</v>
      </c>
      <c r="S2153" s="102">
        <f t="shared" si="1157"/>
        <v>499126.10000000003</v>
      </c>
      <c r="T2153" s="102">
        <f t="shared" si="1158"/>
        <v>453751</v>
      </c>
      <c r="U2153" s="71"/>
      <c r="V2153" s="71"/>
      <c r="W2153" s="474"/>
      <c r="X2153" s="71"/>
      <c r="Y2153" s="71"/>
    </row>
    <row r="2154" spans="1:25" ht="30" hidden="1" customHeight="1" x14ac:dyDescent="0.25">
      <c r="A2154" s="82">
        <v>190620</v>
      </c>
      <c r="B2154" s="664" t="s">
        <v>1178</v>
      </c>
      <c r="C2154" s="71" t="s">
        <v>1925</v>
      </c>
      <c r="D2154" s="71">
        <v>1</v>
      </c>
      <c r="E2154" s="102">
        <v>822000</v>
      </c>
      <c r="F2154" s="102">
        <f t="shared" si="1160"/>
        <v>904200.00000000012</v>
      </c>
      <c r="G2154" s="102">
        <f t="shared" si="1161"/>
        <v>822000</v>
      </c>
      <c r="H2154" s="690" t="s">
        <v>1431</v>
      </c>
      <c r="I2154" s="71" t="s">
        <v>1431</v>
      </c>
      <c r="J2154" s="53">
        <f>G2154-T2154</f>
        <v>368249</v>
      </c>
      <c r="K2154" s="63">
        <f t="shared" si="1156"/>
        <v>0.4479914841849148</v>
      </c>
      <c r="L2154" s="871" t="s">
        <v>1913</v>
      </c>
      <c r="M2154" s="468"/>
      <c r="N2154" s="664">
        <f t="shared" si="1159"/>
        <v>190620</v>
      </c>
      <c r="O2154" s="71" t="s">
        <v>1431</v>
      </c>
      <c r="P2154" s="103" t="str">
        <f>(C2154)</f>
        <v>OUTPUT MODULE</v>
      </c>
      <c r="Q2154" s="71">
        <f t="shared" si="1153"/>
        <v>1</v>
      </c>
      <c r="R2154" s="102">
        <f>907502/2</f>
        <v>453751</v>
      </c>
      <c r="S2154" s="102">
        <f t="shared" si="1157"/>
        <v>499126.10000000003</v>
      </c>
      <c r="T2154" s="102">
        <f t="shared" si="1158"/>
        <v>453751</v>
      </c>
      <c r="U2154" s="71"/>
      <c r="V2154" s="71"/>
      <c r="W2154" s="474"/>
      <c r="X2154" s="71"/>
      <c r="Y2154" s="71"/>
    </row>
    <row r="2155" spans="1:25" ht="30" hidden="1" customHeight="1" x14ac:dyDescent="0.25">
      <c r="A2155" s="82">
        <v>190620</v>
      </c>
      <c r="B2155" s="664" t="s">
        <v>1178</v>
      </c>
      <c r="C2155" s="71" t="s">
        <v>1926</v>
      </c>
      <c r="D2155" s="71">
        <v>4</v>
      </c>
      <c r="E2155" s="102">
        <v>550000</v>
      </c>
      <c r="F2155" s="102">
        <f t="shared" si="1160"/>
        <v>2420000</v>
      </c>
      <c r="G2155" s="102">
        <f t="shared" si="1161"/>
        <v>2200000</v>
      </c>
      <c r="H2155" s="690" t="s">
        <v>1431</v>
      </c>
      <c r="I2155" s="71" t="s">
        <v>1431</v>
      </c>
      <c r="J2155" s="53">
        <f>G2155-T2155</f>
        <v>1876437.9657641789</v>
      </c>
      <c r="K2155" s="63">
        <f t="shared" si="1156"/>
        <v>0.85292634807462675</v>
      </c>
      <c r="L2155" s="871" t="s">
        <v>1913</v>
      </c>
      <c r="M2155" s="468"/>
      <c r="N2155" s="664">
        <f t="shared" si="1159"/>
        <v>190620</v>
      </c>
      <c r="O2155" s="71" t="s">
        <v>1431</v>
      </c>
      <c r="P2155" s="103" t="str">
        <f>(C2155)</f>
        <v>잉크 롤러 세척 칼</v>
      </c>
      <c r="Q2155" s="71">
        <f t="shared" si="1153"/>
        <v>4</v>
      </c>
      <c r="R2155" s="102">
        <f>Import!G189</f>
        <v>80890.508558955305</v>
      </c>
      <c r="S2155" s="102">
        <f t="shared" si="1157"/>
        <v>355918.23765940336</v>
      </c>
      <c r="T2155" s="102">
        <f t="shared" si="1158"/>
        <v>323562.03423582122</v>
      </c>
      <c r="U2155" s="71"/>
      <c r="V2155" s="71"/>
      <c r="W2155" s="474"/>
      <c r="X2155" s="71"/>
      <c r="Y2155" s="71"/>
    </row>
    <row r="2156" spans="1:25" ht="30" hidden="1" customHeight="1" x14ac:dyDescent="0.25">
      <c r="A2156" s="82">
        <v>190620</v>
      </c>
      <c r="B2156" s="664" t="s">
        <v>1178</v>
      </c>
      <c r="C2156" s="71" t="s">
        <v>1927</v>
      </c>
      <c r="D2156" s="71">
        <v>28</v>
      </c>
      <c r="E2156" s="102">
        <v>60000</v>
      </c>
      <c r="F2156" s="102">
        <f t="shared" si="1160"/>
        <v>1848000.0000000002</v>
      </c>
      <c r="G2156" s="102">
        <f t="shared" si="1161"/>
        <v>1680000</v>
      </c>
      <c r="H2156" s="690" t="s">
        <v>1431</v>
      </c>
      <c r="I2156" s="71" t="s">
        <v>1431</v>
      </c>
      <c r="J2156" s="53">
        <f>G2156-T2156</f>
        <v>881428.43411327689</v>
      </c>
      <c r="K2156" s="63">
        <f t="shared" si="1156"/>
        <v>0.52465978221028375</v>
      </c>
      <c r="L2156" s="871" t="s">
        <v>1913</v>
      </c>
      <c r="M2156" s="468"/>
      <c r="N2156" s="664">
        <f t="shared" si="1159"/>
        <v>190620</v>
      </c>
      <c r="O2156" s="71" t="s">
        <v>1431</v>
      </c>
      <c r="P2156" s="103" t="str">
        <f>(C2156)</f>
        <v>엔드 플레이트 솜</v>
      </c>
      <c r="Q2156" s="71">
        <f t="shared" si="1153"/>
        <v>28</v>
      </c>
      <c r="R2156" s="102">
        <f>Import!G194</f>
        <v>28520.413067382968</v>
      </c>
      <c r="S2156" s="102">
        <f t="shared" si="1157"/>
        <v>878428.72247539554</v>
      </c>
      <c r="T2156" s="102">
        <f t="shared" si="1158"/>
        <v>798571.56588672311</v>
      </c>
      <c r="U2156" s="71"/>
      <c r="V2156" s="71"/>
      <c r="W2156" s="474"/>
      <c r="X2156" s="71"/>
      <c r="Y2156" s="71"/>
    </row>
    <row r="2157" spans="1:25" ht="30" hidden="1" customHeight="1" x14ac:dyDescent="0.25">
      <c r="A2157" s="82">
        <v>190620</v>
      </c>
      <c r="B2157" s="664" t="s">
        <v>1178</v>
      </c>
      <c r="C2157" s="71" t="s">
        <v>1928</v>
      </c>
      <c r="D2157" s="71">
        <v>6</v>
      </c>
      <c r="E2157" s="102">
        <v>35000</v>
      </c>
      <c r="F2157" s="102">
        <f t="shared" si="1160"/>
        <v>231000.00000000003</v>
      </c>
      <c r="G2157" s="102">
        <f t="shared" si="1161"/>
        <v>210000</v>
      </c>
      <c r="H2157" s="690" t="s">
        <v>1431</v>
      </c>
      <c r="I2157" s="71" t="s">
        <v>1431</v>
      </c>
      <c r="J2157" s="53">
        <f>G2157-T2157</f>
        <v>43577.936276950175</v>
      </c>
      <c r="K2157" s="63">
        <f t="shared" si="1156"/>
        <v>0.20751398227119128</v>
      </c>
      <c r="L2157" s="871" t="s">
        <v>1913</v>
      </c>
      <c r="M2157" s="468"/>
      <c r="N2157" s="664">
        <f t="shared" si="1159"/>
        <v>190620</v>
      </c>
      <c r="O2157" s="71" t="s">
        <v>1431</v>
      </c>
      <c r="P2157" s="103" t="str">
        <f>(C2157)</f>
        <v>잉크집 롤러 와이퍼</v>
      </c>
      <c r="Q2157" s="71">
        <f t="shared" si="1153"/>
        <v>6</v>
      </c>
      <c r="R2157" s="102">
        <f>Import!G193</f>
        <v>27737.010620508303</v>
      </c>
      <c r="S2157" s="102">
        <f t="shared" si="1157"/>
        <v>183064.27009535482</v>
      </c>
      <c r="T2157" s="102">
        <f t="shared" si="1158"/>
        <v>166422.06372304983</v>
      </c>
      <c r="U2157" s="71"/>
      <c r="V2157" s="71"/>
      <c r="W2157" s="474"/>
      <c r="X2157" s="71"/>
      <c r="Y2157" s="71"/>
    </row>
    <row r="2158" spans="1:25" s="209" customFormat="1" ht="30" hidden="1" customHeight="1" x14ac:dyDescent="0.25">
      <c r="A2158" s="82">
        <v>190621</v>
      </c>
      <c r="B2158" s="664" t="s">
        <v>764</v>
      </c>
      <c r="C2158" s="71" t="s">
        <v>236</v>
      </c>
      <c r="D2158" s="71">
        <v>5</v>
      </c>
      <c r="E2158" s="102">
        <v>100000</v>
      </c>
      <c r="F2158" s="102">
        <f t="shared" si="1160"/>
        <v>550000</v>
      </c>
      <c r="G2158" s="102">
        <f t="shared" si="1161"/>
        <v>500000</v>
      </c>
      <c r="H2158" s="690" t="s">
        <v>173</v>
      </c>
      <c r="I2158" s="71" t="s">
        <v>2231</v>
      </c>
      <c r="J2158" s="53">
        <f>(G2158-(VLOOKUP(C2158,Price!B:D,3,FALSE)*D2158))</f>
        <v>250000</v>
      </c>
      <c r="K2158" s="63">
        <f t="shared" si="1156"/>
        <v>0.5</v>
      </c>
      <c r="L2158" s="871" t="s">
        <v>1913</v>
      </c>
      <c r="M2158" s="468"/>
      <c r="N2158" s="664">
        <f t="shared" si="1159"/>
        <v>190621</v>
      </c>
      <c r="O2158" s="71" t="s">
        <v>153</v>
      </c>
      <c r="P2158" s="103" t="str">
        <f>C2158</f>
        <v>아스테이지(국전)</v>
      </c>
      <c r="Q2158" s="71">
        <f t="shared" si="1153"/>
        <v>5</v>
      </c>
      <c r="R2158" s="102">
        <f>VLOOKUP(P2158,Price!B:D,3,FALSE)</f>
        <v>50000</v>
      </c>
      <c r="S2158" s="102">
        <f t="shared" si="1157"/>
        <v>275000</v>
      </c>
      <c r="T2158" s="102">
        <f t="shared" si="1158"/>
        <v>250000</v>
      </c>
      <c r="U2158" s="71" t="str">
        <f>IF(J2158=W2158,"O", "X")</f>
        <v>O</v>
      </c>
      <c r="V2158" s="71"/>
      <c r="W2158" s="474">
        <f t="shared" ref="W2158:W2179" si="1162">(G2158-T2158)</f>
        <v>250000</v>
      </c>
      <c r="X2158" s="71"/>
      <c r="Y2158" s="71"/>
    </row>
    <row r="2159" spans="1:25" ht="30" hidden="1" customHeight="1" x14ac:dyDescent="0.25">
      <c r="A2159" s="82">
        <v>190627</v>
      </c>
      <c r="B2159" s="664" t="s">
        <v>1051</v>
      </c>
      <c r="C2159" s="71" t="s">
        <v>1294</v>
      </c>
      <c r="D2159" s="71">
        <v>4800</v>
      </c>
      <c r="E2159" s="102">
        <v>6180</v>
      </c>
      <c r="F2159" s="102">
        <f>(E2159*D2159)*1.1</f>
        <v>32630400.000000004</v>
      </c>
      <c r="G2159" s="102">
        <f>(E2159*D2159)</f>
        <v>29664000</v>
      </c>
      <c r="H2159" s="690" t="s">
        <v>142</v>
      </c>
      <c r="I2159" s="71" t="s">
        <v>2273</v>
      </c>
      <c r="J2159" s="53">
        <f t="shared" ref="J2159:J2166" si="1163">G2159-T2159</f>
        <v>10464000</v>
      </c>
      <c r="K2159" s="63">
        <f t="shared" ref="K2159:K2174" si="1164">(J2159/(F2159/11*10))</f>
        <v>0.35275080906148865</v>
      </c>
      <c r="L2159" s="871" t="s">
        <v>1913</v>
      </c>
      <c r="M2159" s="468"/>
      <c r="N2159" s="664">
        <f t="shared" ref="N2159:N2165" si="1165">A2159</f>
        <v>190627</v>
      </c>
      <c r="O2159" s="71" t="s">
        <v>145</v>
      </c>
      <c r="P2159" s="103" t="str">
        <f>(C2159)</f>
        <v>ENGAGE 1030*790</v>
      </c>
      <c r="Q2159" s="71">
        <f t="shared" ref="Q2159:Q2177" si="1166">D2159</f>
        <v>4800</v>
      </c>
      <c r="R2159" s="102">
        <v>4000</v>
      </c>
      <c r="S2159" s="102">
        <f>(R2159*D2159)*1.1</f>
        <v>21120000</v>
      </c>
      <c r="T2159" s="102">
        <f>(R2159*Q2159)</f>
        <v>19200000</v>
      </c>
      <c r="U2159" s="71" t="str">
        <f>IF(J2159=W2159,"O", "X")</f>
        <v>O</v>
      </c>
      <c r="V2159" s="71"/>
      <c r="W2159" s="474">
        <f t="shared" si="1162"/>
        <v>10464000</v>
      </c>
      <c r="X2159" s="71"/>
      <c r="Y2159" s="71"/>
    </row>
    <row r="2160" spans="1:25" ht="30" hidden="1" customHeight="1" x14ac:dyDescent="0.25">
      <c r="A2160" s="82">
        <v>190627</v>
      </c>
      <c r="B2160" s="664" t="s">
        <v>1051</v>
      </c>
      <c r="C2160" s="71" t="s">
        <v>1384</v>
      </c>
      <c r="D2160" s="71">
        <v>2600</v>
      </c>
      <c r="E2160" s="102">
        <v>3890</v>
      </c>
      <c r="F2160" s="102">
        <f t="shared" ref="F2160:F2177" si="1167">(E2160*D2160)*1.1</f>
        <v>11125400</v>
      </c>
      <c r="G2160" s="102">
        <f t="shared" ref="G2160:G2177" si="1168">(E2160*D2160)</f>
        <v>10114000</v>
      </c>
      <c r="H2160" s="690" t="s">
        <v>142</v>
      </c>
      <c r="I2160" s="71" t="s">
        <v>2273</v>
      </c>
      <c r="J2160" s="53">
        <f t="shared" si="1163"/>
        <v>3562000</v>
      </c>
      <c r="K2160" s="63">
        <f t="shared" si="1164"/>
        <v>0.35218508997429304</v>
      </c>
      <c r="L2160" s="871" t="s">
        <v>1913</v>
      </c>
      <c r="M2160" s="468"/>
      <c r="N2160" s="664">
        <f t="shared" si="1165"/>
        <v>190627</v>
      </c>
      <c r="O2160" s="71" t="s">
        <v>145</v>
      </c>
      <c r="P2160" s="103" t="str">
        <f>C2160</f>
        <v>ENGAGE 900X571 - 27RO</v>
      </c>
      <c r="Q2160" s="71">
        <f t="shared" si="1166"/>
        <v>2600</v>
      </c>
      <c r="R2160" s="102">
        <v>2520</v>
      </c>
      <c r="S2160" s="102">
        <f>R2160*Q2160*1.1</f>
        <v>7207200.0000000009</v>
      </c>
      <c r="T2160" s="102">
        <f>R2160*Q2160</f>
        <v>6552000</v>
      </c>
      <c r="U2160" s="71" t="str">
        <f>IF(J2160=W2160,"O", "X")</f>
        <v>O</v>
      </c>
      <c r="V2160" s="71"/>
      <c r="W2160" s="474">
        <f t="shared" si="1162"/>
        <v>3562000</v>
      </c>
      <c r="X2160" s="71"/>
      <c r="Y2160" s="71"/>
    </row>
    <row r="2161" spans="1:25" ht="30" hidden="1" customHeight="1" x14ac:dyDescent="0.25">
      <c r="A2161" s="82">
        <v>190627</v>
      </c>
      <c r="B2161" s="664" t="s">
        <v>1051</v>
      </c>
      <c r="C2161" s="71" t="s">
        <v>951</v>
      </c>
      <c r="D2161" s="71">
        <v>400</v>
      </c>
      <c r="E2161" s="102">
        <v>3710</v>
      </c>
      <c r="F2161" s="102">
        <f t="shared" si="1167"/>
        <v>1632400.0000000002</v>
      </c>
      <c r="G2161" s="102">
        <f t="shared" si="1168"/>
        <v>1484000</v>
      </c>
      <c r="H2161" s="690" t="s">
        <v>142</v>
      </c>
      <c r="I2161" s="71" t="s">
        <v>2273</v>
      </c>
      <c r="J2161" s="53">
        <f t="shared" si="1163"/>
        <v>528000</v>
      </c>
      <c r="K2161" s="63">
        <f t="shared" si="1164"/>
        <v>0.35579514824797837</v>
      </c>
      <c r="L2161" s="871" t="s">
        <v>1913</v>
      </c>
      <c r="M2161" s="468"/>
      <c r="N2161" s="664">
        <f t="shared" si="1165"/>
        <v>190627</v>
      </c>
      <c r="O2161" s="71" t="s">
        <v>145</v>
      </c>
      <c r="P2161" s="103" t="str">
        <f>(C2161)</f>
        <v>ENGAGE 30WEB(883*552)</v>
      </c>
      <c r="Q2161" s="71">
        <f t="shared" si="1166"/>
        <v>400</v>
      </c>
      <c r="R2161" s="102">
        <v>2390</v>
      </c>
      <c r="S2161" s="102">
        <f>(R2161*D2161)*1.1</f>
        <v>1051600</v>
      </c>
      <c r="T2161" s="102">
        <f>(R2161*Q2161)</f>
        <v>956000</v>
      </c>
      <c r="U2161" s="71" t="str">
        <f>IF(J2161=W2161,"O", "X")</f>
        <v>O</v>
      </c>
      <c r="V2161" s="71"/>
      <c r="W2161" s="474">
        <f t="shared" si="1162"/>
        <v>528000</v>
      </c>
      <c r="X2161" s="71"/>
      <c r="Y2161" s="71"/>
    </row>
    <row r="2162" spans="1:25" ht="30" hidden="1" customHeight="1" x14ac:dyDescent="0.25">
      <c r="A2162" s="82">
        <v>190627</v>
      </c>
      <c r="B2162" s="664" t="s">
        <v>1051</v>
      </c>
      <c r="C2162" s="71" t="s">
        <v>1383</v>
      </c>
      <c r="D2162" s="71">
        <v>1800</v>
      </c>
      <c r="E2162" s="102">
        <v>6490</v>
      </c>
      <c r="F2162" s="102">
        <f t="shared" si="1167"/>
        <v>12850200.000000002</v>
      </c>
      <c r="G2162" s="102">
        <f t="shared" si="1168"/>
        <v>11682000</v>
      </c>
      <c r="H2162" s="690" t="s">
        <v>142</v>
      </c>
      <c r="I2162" s="71" t="s">
        <v>2273</v>
      </c>
      <c r="J2162" s="53">
        <f t="shared" si="1163"/>
        <v>4104000</v>
      </c>
      <c r="K2162" s="63">
        <f t="shared" si="1164"/>
        <v>0.35130970724191057</v>
      </c>
      <c r="L2162" s="871" t="s">
        <v>1913</v>
      </c>
      <c r="M2162" s="468"/>
      <c r="N2162" s="664">
        <f t="shared" si="1165"/>
        <v>190627</v>
      </c>
      <c r="O2162" s="71" t="s">
        <v>145</v>
      </c>
      <c r="P2162" s="103" t="str">
        <f>C2162</f>
        <v>ENGAGE 1055*811</v>
      </c>
      <c r="Q2162" s="71">
        <f t="shared" si="1166"/>
        <v>1800</v>
      </c>
      <c r="R2162" s="102">
        <v>4210</v>
      </c>
      <c r="S2162" s="102">
        <f>R2162*Q2162*1.1</f>
        <v>8335800.0000000009</v>
      </c>
      <c r="T2162" s="102">
        <f>R2162*Q2162</f>
        <v>7578000</v>
      </c>
      <c r="U2162" s="71"/>
      <c r="V2162" s="71"/>
      <c r="W2162" s="474">
        <f t="shared" si="1162"/>
        <v>4104000</v>
      </c>
      <c r="X2162" s="71"/>
      <c r="Y2162" s="71"/>
    </row>
    <row r="2163" spans="1:25" ht="30" hidden="1" customHeight="1" x14ac:dyDescent="0.25">
      <c r="A2163" s="82">
        <v>190627</v>
      </c>
      <c r="B2163" s="664" t="s">
        <v>1051</v>
      </c>
      <c r="C2163" s="71" t="s">
        <v>1650</v>
      </c>
      <c r="D2163" s="71"/>
      <c r="E2163" s="102">
        <v>4440</v>
      </c>
      <c r="F2163" s="102">
        <f t="shared" si="1167"/>
        <v>0</v>
      </c>
      <c r="G2163" s="102">
        <f t="shared" si="1168"/>
        <v>0</v>
      </c>
      <c r="H2163" s="690" t="s">
        <v>142</v>
      </c>
      <c r="I2163" s="71" t="s">
        <v>2273</v>
      </c>
      <c r="J2163" s="53">
        <f t="shared" si="1163"/>
        <v>0</v>
      </c>
      <c r="K2163" s="63" t="e">
        <f t="shared" si="1164"/>
        <v>#DIV/0!</v>
      </c>
      <c r="L2163" s="871" t="s">
        <v>1913</v>
      </c>
      <c r="M2163" s="468"/>
      <c r="N2163" s="664">
        <f t="shared" si="1165"/>
        <v>190627</v>
      </c>
      <c r="O2163" s="71" t="s">
        <v>145</v>
      </c>
      <c r="P2163" s="103" t="s">
        <v>1385</v>
      </c>
      <c r="Q2163" s="71">
        <f t="shared" si="1166"/>
        <v>0</v>
      </c>
      <c r="R2163" s="102">
        <v>3000</v>
      </c>
      <c r="S2163" s="102">
        <f>R2163*Q2163*1.1</f>
        <v>0</v>
      </c>
      <c r="T2163" s="102">
        <f>R2163*Q2163</f>
        <v>0</v>
      </c>
      <c r="U2163" s="71" t="str">
        <f t="shared" ref="U2163:U2181" si="1169">IF(J2163=W2163,"O", "X")</f>
        <v>O</v>
      </c>
      <c r="V2163" s="71"/>
      <c r="W2163" s="474">
        <f t="shared" si="1162"/>
        <v>0</v>
      </c>
      <c r="X2163" s="71"/>
      <c r="Y2163" s="71"/>
    </row>
    <row r="2164" spans="1:25" ht="30" hidden="1" customHeight="1" x14ac:dyDescent="0.25">
      <c r="A2164" s="82">
        <v>190627</v>
      </c>
      <c r="B2164" s="664" t="s">
        <v>1051</v>
      </c>
      <c r="C2164" s="67" t="s">
        <v>1386</v>
      </c>
      <c r="D2164" s="71">
        <v>5</v>
      </c>
      <c r="E2164" s="102">
        <v>57000</v>
      </c>
      <c r="F2164" s="102">
        <f t="shared" si="1167"/>
        <v>313500</v>
      </c>
      <c r="G2164" s="102">
        <f t="shared" si="1168"/>
        <v>285000</v>
      </c>
      <c r="H2164" s="690" t="s">
        <v>142</v>
      </c>
      <c r="I2164" s="71" t="s">
        <v>2273</v>
      </c>
      <c r="J2164" s="53">
        <f t="shared" si="1163"/>
        <v>110000</v>
      </c>
      <c r="K2164" s="63">
        <f t="shared" si="1164"/>
        <v>0.38596491228070173</v>
      </c>
      <c r="L2164" s="871" t="s">
        <v>1913</v>
      </c>
      <c r="M2164" s="468"/>
      <c r="N2164" s="664">
        <f t="shared" si="1165"/>
        <v>190627</v>
      </c>
      <c r="O2164" s="71" t="s">
        <v>145</v>
      </c>
      <c r="P2164" s="103" t="str">
        <f>C2164</f>
        <v>THR200(20L)보충액</v>
      </c>
      <c r="Q2164" s="71">
        <f t="shared" si="1166"/>
        <v>5</v>
      </c>
      <c r="R2164" s="102">
        <v>35000</v>
      </c>
      <c r="S2164" s="102">
        <f>R2164*Q2164*1.1</f>
        <v>192500.00000000003</v>
      </c>
      <c r="T2164" s="102">
        <f>R2164*Q2164</f>
        <v>175000</v>
      </c>
      <c r="U2164" s="71" t="str">
        <f t="shared" si="1169"/>
        <v>O</v>
      </c>
      <c r="V2164" s="71"/>
      <c r="W2164" s="474">
        <f t="shared" si="1162"/>
        <v>110000</v>
      </c>
      <c r="X2164" s="71"/>
      <c r="Y2164" s="71"/>
    </row>
    <row r="2165" spans="1:25" ht="30" hidden="1" customHeight="1" x14ac:dyDescent="0.25">
      <c r="A2165" s="82">
        <v>190627</v>
      </c>
      <c r="B2165" s="664" t="s">
        <v>1051</v>
      </c>
      <c r="C2165" s="71" t="s">
        <v>1387</v>
      </c>
      <c r="D2165" s="71">
        <v>25</v>
      </c>
      <c r="E2165" s="102">
        <v>57000</v>
      </c>
      <c r="F2165" s="102">
        <f t="shared" si="1167"/>
        <v>1567500.0000000002</v>
      </c>
      <c r="G2165" s="102">
        <f t="shared" si="1168"/>
        <v>1425000</v>
      </c>
      <c r="H2165" s="690" t="s">
        <v>142</v>
      </c>
      <c r="I2165" s="71" t="s">
        <v>2273</v>
      </c>
      <c r="J2165" s="53">
        <f t="shared" si="1163"/>
        <v>550000</v>
      </c>
      <c r="K2165" s="63">
        <f t="shared" si="1164"/>
        <v>0.38596491228070168</v>
      </c>
      <c r="L2165" s="871" t="s">
        <v>1913</v>
      </c>
      <c r="M2165" s="468"/>
      <c r="N2165" s="664">
        <f t="shared" si="1165"/>
        <v>190627</v>
      </c>
      <c r="O2165" s="71" t="s">
        <v>145</v>
      </c>
      <c r="P2165" s="103" t="str">
        <f>(C2165)</f>
        <v>THD200(20L)현상액</v>
      </c>
      <c r="Q2165" s="71">
        <f t="shared" si="1166"/>
        <v>25</v>
      </c>
      <c r="R2165" s="102">
        <v>35000</v>
      </c>
      <c r="S2165" s="102">
        <f>(R2165*D2165)*1.1</f>
        <v>962500.00000000012</v>
      </c>
      <c r="T2165" s="102">
        <f>(R2165*Q2165)</f>
        <v>875000</v>
      </c>
      <c r="U2165" s="71" t="str">
        <f t="shared" si="1169"/>
        <v>O</v>
      </c>
      <c r="V2165" s="71"/>
      <c r="W2165" s="474">
        <f t="shared" si="1162"/>
        <v>550000</v>
      </c>
      <c r="X2165" s="71"/>
      <c r="Y2165" s="71"/>
    </row>
    <row r="2166" spans="1:25" ht="30" hidden="1" customHeight="1" x14ac:dyDescent="0.25">
      <c r="A2166" s="82">
        <v>190627</v>
      </c>
      <c r="B2166" s="664" t="s">
        <v>1061</v>
      </c>
      <c r="C2166" s="71" t="s">
        <v>616</v>
      </c>
      <c r="D2166" s="71">
        <v>200</v>
      </c>
      <c r="E2166" s="102">
        <v>6600</v>
      </c>
      <c r="F2166" s="102">
        <f t="shared" si="1167"/>
        <v>1452000.0000000002</v>
      </c>
      <c r="G2166" s="102">
        <f t="shared" si="1168"/>
        <v>1320000</v>
      </c>
      <c r="H2166" s="690" t="s">
        <v>142</v>
      </c>
      <c r="I2166" s="71" t="s">
        <v>144</v>
      </c>
      <c r="J2166" s="53">
        <f t="shared" si="1163"/>
        <v>140000</v>
      </c>
      <c r="K2166" s="63">
        <f t="shared" si="1164"/>
        <v>0.10606060606060604</v>
      </c>
      <c r="L2166" s="871" t="s">
        <v>1913</v>
      </c>
      <c r="M2166" s="468"/>
      <c r="N2166" s="664">
        <f>A2166</f>
        <v>190627</v>
      </c>
      <c r="O2166" s="71" t="s">
        <v>147</v>
      </c>
      <c r="P2166" s="103" t="str">
        <f t="shared" ref="P2166:P2177" si="1170">C2166</f>
        <v>프리미어(먹)</v>
      </c>
      <c r="Q2166" s="71">
        <f t="shared" si="1166"/>
        <v>200</v>
      </c>
      <c r="R2166" s="102">
        <v>5900</v>
      </c>
      <c r="S2166" s="102">
        <f>R2166*Q2166*1.1</f>
        <v>1298000</v>
      </c>
      <c r="T2166" s="102">
        <f>R2166*Q2166</f>
        <v>1180000</v>
      </c>
      <c r="U2166" s="71" t="str">
        <f t="shared" si="1169"/>
        <v>O</v>
      </c>
      <c r="V2166" s="71"/>
      <c r="W2166" s="474">
        <f t="shared" si="1162"/>
        <v>140000</v>
      </c>
      <c r="X2166" s="71"/>
      <c r="Y2166" s="71"/>
    </row>
    <row r="2167" spans="1:25" ht="30" hidden="1" customHeight="1" x14ac:dyDescent="0.25">
      <c r="A2167" s="82">
        <v>190627</v>
      </c>
      <c r="B2167" s="664" t="s">
        <v>1052</v>
      </c>
      <c r="C2167" s="71" t="s">
        <v>585</v>
      </c>
      <c r="D2167" s="71">
        <v>200</v>
      </c>
      <c r="E2167" s="102">
        <v>7500</v>
      </c>
      <c r="F2167" s="102">
        <f t="shared" si="1167"/>
        <v>1650000.0000000002</v>
      </c>
      <c r="G2167" s="102">
        <f t="shared" si="1168"/>
        <v>1500000</v>
      </c>
      <c r="H2167" s="690" t="s">
        <v>142</v>
      </c>
      <c r="I2167" s="71" t="s">
        <v>144</v>
      </c>
      <c r="J2167" s="53">
        <f>(G2167-(VLOOKUP(C2167,Price!B:D,3,FALSE)*D2167))</f>
        <v>146000</v>
      </c>
      <c r="K2167" s="63">
        <f t="shared" si="1164"/>
        <v>9.7333333333333313E-2</v>
      </c>
      <c r="L2167" s="871" t="s">
        <v>1913</v>
      </c>
      <c r="M2167" s="468"/>
      <c r="N2167" s="664">
        <f>A2167</f>
        <v>190627</v>
      </c>
      <c r="O2167" s="71" t="s">
        <v>147</v>
      </c>
      <c r="P2167" s="103" t="str">
        <f t="shared" si="1170"/>
        <v>프리미어(적)</v>
      </c>
      <c r="Q2167" s="71">
        <f t="shared" si="1166"/>
        <v>200</v>
      </c>
      <c r="R2167" s="102">
        <v>6770</v>
      </c>
      <c r="S2167" s="102">
        <f>R2167*Q2167*1.1</f>
        <v>1489400.0000000002</v>
      </c>
      <c r="T2167" s="102">
        <f>R2167*Q2167</f>
        <v>1354000</v>
      </c>
      <c r="U2167" s="71" t="str">
        <f t="shared" si="1169"/>
        <v>O</v>
      </c>
      <c r="V2167" s="71"/>
      <c r="W2167" s="474">
        <f t="shared" si="1162"/>
        <v>146000</v>
      </c>
      <c r="X2167" s="71"/>
      <c r="Y2167" s="71"/>
    </row>
    <row r="2168" spans="1:25" ht="30" hidden="1" customHeight="1" x14ac:dyDescent="0.25">
      <c r="A2168" s="82">
        <v>190627</v>
      </c>
      <c r="B2168" s="664" t="s">
        <v>1061</v>
      </c>
      <c r="C2168" s="71" t="s">
        <v>586</v>
      </c>
      <c r="D2168" s="71">
        <v>400</v>
      </c>
      <c r="E2168" s="102">
        <v>6750</v>
      </c>
      <c r="F2168" s="102">
        <f t="shared" si="1167"/>
        <v>2970000.0000000005</v>
      </c>
      <c r="G2168" s="102">
        <f t="shared" si="1168"/>
        <v>2700000</v>
      </c>
      <c r="H2168" s="690" t="s">
        <v>142</v>
      </c>
      <c r="I2168" s="71" t="s">
        <v>144</v>
      </c>
      <c r="J2168" s="53">
        <f t="shared" ref="J2168:J2178" si="1171">G2168-T2168</f>
        <v>228000</v>
      </c>
      <c r="K2168" s="63">
        <f t="shared" si="1164"/>
        <v>8.4444444444444433E-2</v>
      </c>
      <c r="L2168" s="871" t="s">
        <v>1913</v>
      </c>
      <c r="M2168" s="468"/>
      <c r="N2168" s="664">
        <v>180713</v>
      </c>
      <c r="O2168" s="71" t="s">
        <v>147</v>
      </c>
      <c r="P2168" s="103" t="str">
        <f t="shared" si="1170"/>
        <v>프리미어(황)</v>
      </c>
      <c r="Q2168" s="71">
        <f t="shared" si="1166"/>
        <v>400</v>
      </c>
      <c r="R2168" s="102">
        <v>6180</v>
      </c>
      <c r="S2168" s="102">
        <f>(R2168*D2168)*1.1</f>
        <v>2719200</v>
      </c>
      <c r="T2168" s="102">
        <f>(R2168*Q2168)</f>
        <v>2472000</v>
      </c>
      <c r="U2168" s="71" t="str">
        <f t="shared" si="1169"/>
        <v>O</v>
      </c>
      <c r="V2168" s="71"/>
      <c r="W2168" s="474">
        <f t="shared" si="1162"/>
        <v>228000</v>
      </c>
      <c r="X2168" s="71"/>
      <c r="Y2168" s="71"/>
    </row>
    <row r="2169" spans="1:25" ht="30" hidden="1" customHeight="1" x14ac:dyDescent="0.25">
      <c r="A2169" s="82">
        <v>190627</v>
      </c>
      <c r="B2169" s="664" t="s">
        <v>1061</v>
      </c>
      <c r="C2169" s="71" t="s">
        <v>587</v>
      </c>
      <c r="D2169" s="71">
        <v>400</v>
      </c>
      <c r="E2169" s="102">
        <v>8000</v>
      </c>
      <c r="F2169" s="102">
        <f t="shared" si="1167"/>
        <v>3520000.0000000005</v>
      </c>
      <c r="G2169" s="102">
        <f t="shared" si="1168"/>
        <v>3200000</v>
      </c>
      <c r="H2169" s="690" t="s">
        <v>142</v>
      </c>
      <c r="I2169" s="71" t="s">
        <v>144</v>
      </c>
      <c r="J2169" s="53">
        <f t="shared" si="1171"/>
        <v>436000</v>
      </c>
      <c r="K2169" s="63">
        <f t="shared" si="1164"/>
        <v>0.13624999999999998</v>
      </c>
      <c r="L2169" s="871" t="s">
        <v>1913</v>
      </c>
      <c r="M2169" s="468"/>
      <c r="N2169" s="664">
        <v>180713</v>
      </c>
      <c r="O2169" s="71" t="s">
        <v>147</v>
      </c>
      <c r="P2169" s="103" t="str">
        <f t="shared" si="1170"/>
        <v>프리미어(청)</v>
      </c>
      <c r="Q2169" s="71">
        <f t="shared" si="1166"/>
        <v>400</v>
      </c>
      <c r="R2169" s="102">
        <v>6910</v>
      </c>
      <c r="S2169" s="102">
        <f>(R2169*D2169)*1.1</f>
        <v>3040400.0000000005</v>
      </c>
      <c r="T2169" s="102">
        <f>(R2169*Q2169)</f>
        <v>2764000</v>
      </c>
      <c r="U2169" s="71" t="str">
        <f t="shared" si="1169"/>
        <v>O</v>
      </c>
      <c r="V2169" s="71"/>
      <c r="W2169" s="474">
        <f t="shared" si="1162"/>
        <v>436000</v>
      </c>
      <c r="X2169" s="71"/>
      <c r="Y2169" s="71"/>
    </row>
    <row r="2170" spans="1:25" ht="30" hidden="1" customHeight="1" x14ac:dyDescent="0.25">
      <c r="A2170" s="82">
        <v>190627</v>
      </c>
      <c r="B2170" s="664" t="s">
        <v>1052</v>
      </c>
      <c r="C2170" s="71" t="s">
        <v>1115</v>
      </c>
      <c r="D2170" s="71">
        <v>50</v>
      </c>
      <c r="E2170" s="102">
        <v>6200</v>
      </c>
      <c r="F2170" s="102">
        <f t="shared" si="1167"/>
        <v>341000</v>
      </c>
      <c r="G2170" s="102">
        <f t="shared" si="1168"/>
        <v>310000</v>
      </c>
      <c r="H2170" s="690" t="s">
        <v>142</v>
      </c>
      <c r="I2170" s="71" t="s">
        <v>144</v>
      </c>
      <c r="J2170" s="53">
        <f t="shared" si="1171"/>
        <v>5000</v>
      </c>
      <c r="K2170" s="63">
        <f t="shared" si="1164"/>
        <v>1.6129032258064516E-2</v>
      </c>
      <c r="L2170" s="871" t="s">
        <v>1913</v>
      </c>
      <c r="M2170" s="468"/>
      <c r="N2170" s="664">
        <f t="shared" ref="N2170:N2177" si="1172">A2170</f>
        <v>190627</v>
      </c>
      <c r="O2170" s="71" t="s">
        <v>147</v>
      </c>
      <c r="P2170" s="103" t="str">
        <f t="shared" si="1170"/>
        <v>한특 잉크(적)</v>
      </c>
      <c r="Q2170" s="71">
        <f t="shared" si="1166"/>
        <v>50</v>
      </c>
      <c r="R2170" s="102">
        <v>6100</v>
      </c>
      <c r="S2170" s="102">
        <f t="shared" ref="S2170:S2181" si="1173">R2170*Q2170*1.1</f>
        <v>335500</v>
      </c>
      <c r="T2170" s="102">
        <f t="shared" ref="T2170:T2181" si="1174">R2170*Q2170</f>
        <v>305000</v>
      </c>
      <c r="U2170" s="71" t="str">
        <f t="shared" si="1169"/>
        <v>O</v>
      </c>
      <c r="V2170" s="71"/>
      <c r="W2170" s="474">
        <f t="shared" si="1162"/>
        <v>5000</v>
      </c>
      <c r="X2170" s="71"/>
      <c r="Y2170" s="71"/>
    </row>
    <row r="2171" spans="1:25" ht="30" hidden="1" customHeight="1" x14ac:dyDescent="0.25">
      <c r="A2171" s="82">
        <v>190627</v>
      </c>
      <c r="B2171" s="664" t="s">
        <v>1052</v>
      </c>
      <c r="C2171" s="71" t="s">
        <v>1116</v>
      </c>
      <c r="D2171" s="71">
        <v>100</v>
      </c>
      <c r="E2171" s="102">
        <v>6000</v>
      </c>
      <c r="F2171" s="102">
        <f t="shared" si="1167"/>
        <v>660000</v>
      </c>
      <c r="G2171" s="102">
        <f t="shared" si="1168"/>
        <v>600000</v>
      </c>
      <c r="H2171" s="690" t="s">
        <v>142</v>
      </c>
      <c r="I2171" s="71" t="s">
        <v>144</v>
      </c>
      <c r="J2171" s="53">
        <f t="shared" si="1171"/>
        <v>10000</v>
      </c>
      <c r="K2171" s="63">
        <f t="shared" si="1164"/>
        <v>1.6666666666666666E-2</v>
      </c>
      <c r="L2171" s="871" t="s">
        <v>1913</v>
      </c>
      <c r="M2171" s="468"/>
      <c r="N2171" s="664">
        <f t="shared" si="1172"/>
        <v>190627</v>
      </c>
      <c r="O2171" s="71" t="s">
        <v>147</v>
      </c>
      <c r="P2171" s="103" t="str">
        <f t="shared" si="1170"/>
        <v>한특 잉크(황)</v>
      </c>
      <c r="Q2171" s="71">
        <f t="shared" si="1166"/>
        <v>100</v>
      </c>
      <c r="R2171" s="102">
        <v>5900</v>
      </c>
      <c r="S2171" s="102">
        <f t="shared" si="1173"/>
        <v>649000</v>
      </c>
      <c r="T2171" s="102">
        <f t="shared" si="1174"/>
        <v>590000</v>
      </c>
      <c r="U2171" s="71" t="str">
        <f t="shared" si="1169"/>
        <v>O</v>
      </c>
      <c r="V2171" s="71"/>
      <c r="W2171" s="474">
        <f t="shared" si="1162"/>
        <v>10000</v>
      </c>
      <c r="X2171" s="71"/>
      <c r="Y2171" s="71"/>
    </row>
    <row r="2172" spans="1:25" ht="30" hidden="1" customHeight="1" x14ac:dyDescent="0.25">
      <c r="A2172" s="82">
        <v>190627</v>
      </c>
      <c r="B2172" s="664" t="s">
        <v>1052</v>
      </c>
      <c r="C2172" s="71" t="s">
        <v>1117</v>
      </c>
      <c r="D2172" s="71">
        <v>100</v>
      </c>
      <c r="E2172" s="102">
        <v>6500</v>
      </c>
      <c r="F2172" s="102">
        <f t="shared" si="1167"/>
        <v>715000</v>
      </c>
      <c r="G2172" s="102">
        <f t="shared" si="1168"/>
        <v>650000</v>
      </c>
      <c r="H2172" s="690" t="s">
        <v>142</v>
      </c>
      <c r="I2172" s="71" t="s">
        <v>144</v>
      </c>
      <c r="J2172" s="53">
        <f t="shared" si="1171"/>
        <v>10000</v>
      </c>
      <c r="K2172" s="63">
        <f t="shared" si="1164"/>
        <v>1.5384615384615385E-2</v>
      </c>
      <c r="L2172" s="871" t="s">
        <v>1913</v>
      </c>
      <c r="M2172" s="468"/>
      <c r="N2172" s="664">
        <f t="shared" si="1172"/>
        <v>190627</v>
      </c>
      <c r="O2172" s="71" t="s">
        <v>147</v>
      </c>
      <c r="P2172" s="103" t="str">
        <f t="shared" si="1170"/>
        <v>한특 잉크(청)</v>
      </c>
      <c r="Q2172" s="71">
        <f t="shared" si="1166"/>
        <v>100</v>
      </c>
      <c r="R2172" s="102">
        <v>6400</v>
      </c>
      <c r="S2172" s="102">
        <f t="shared" si="1173"/>
        <v>704000</v>
      </c>
      <c r="T2172" s="102">
        <f t="shared" si="1174"/>
        <v>640000</v>
      </c>
      <c r="U2172" s="71" t="str">
        <f t="shared" si="1169"/>
        <v>O</v>
      </c>
      <c r="V2172" s="71"/>
      <c r="W2172" s="474">
        <f t="shared" si="1162"/>
        <v>10000</v>
      </c>
      <c r="X2172" s="71"/>
      <c r="Y2172" s="71"/>
    </row>
    <row r="2173" spans="1:25" ht="30" hidden="1" customHeight="1" x14ac:dyDescent="0.25">
      <c r="A2173" s="82">
        <v>190627</v>
      </c>
      <c r="B2173" s="664" t="s">
        <v>1052</v>
      </c>
      <c r="C2173" s="71" t="s">
        <v>1118</v>
      </c>
      <c r="D2173" s="71">
        <v>50</v>
      </c>
      <c r="E2173" s="102">
        <v>5600</v>
      </c>
      <c r="F2173" s="102">
        <f t="shared" si="1167"/>
        <v>308000</v>
      </c>
      <c r="G2173" s="102">
        <f t="shared" si="1168"/>
        <v>280000</v>
      </c>
      <c r="H2173" s="690" t="s">
        <v>142</v>
      </c>
      <c r="I2173" s="71" t="s">
        <v>144</v>
      </c>
      <c r="J2173" s="53">
        <f t="shared" si="1171"/>
        <v>5000</v>
      </c>
      <c r="K2173" s="63">
        <f t="shared" si="1164"/>
        <v>1.7857142857142856E-2</v>
      </c>
      <c r="L2173" s="871" t="s">
        <v>1913</v>
      </c>
      <c r="M2173" s="468"/>
      <c r="N2173" s="664">
        <f t="shared" si="1172"/>
        <v>190627</v>
      </c>
      <c r="O2173" s="71" t="s">
        <v>147</v>
      </c>
      <c r="P2173" s="103" t="str">
        <f t="shared" si="1170"/>
        <v>한특 잉크(먹)</v>
      </c>
      <c r="Q2173" s="71">
        <f t="shared" si="1166"/>
        <v>50</v>
      </c>
      <c r="R2173" s="102">
        <v>5500</v>
      </c>
      <c r="S2173" s="102">
        <f t="shared" si="1173"/>
        <v>302500</v>
      </c>
      <c r="T2173" s="102">
        <f t="shared" si="1174"/>
        <v>275000</v>
      </c>
      <c r="U2173" s="71" t="str">
        <f t="shared" si="1169"/>
        <v>O</v>
      </c>
      <c r="V2173" s="71"/>
      <c r="W2173" s="474">
        <f t="shared" si="1162"/>
        <v>5000</v>
      </c>
      <c r="X2173" s="71"/>
      <c r="Y2173" s="71"/>
    </row>
    <row r="2174" spans="1:25" ht="30" hidden="1" customHeight="1" x14ac:dyDescent="0.25">
      <c r="A2174" s="82">
        <v>190627</v>
      </c>
      <c r="B2174" s="664" t="s">
        <v>1052</v>
      </c>
      <c r="C2174" s="71" t="s">
        <v>1843</v>
      </c>
      <c r="D2174" s="71">
        <v>70</v>
      </c>
      <c r="E2174" s="102">
        <v>8200</v>
      </c>
      <c r="F2174" s="102">
        <f t="shared" si="1167"/>
        <v>631400</v>
      </c>
      <c r="G2174" s="102">
        <f t="shared" si="1168"/>
        <v>574000</v>
      </c>
      <c r="H2174" s="690" t="s">
        <v>142</v>
      </c>
      <c r="I2174" s="71" t="s">
        <v>144</v>
      </c>
      <c r="J2174" s="53">
        <f t="shared" si="1171"/>
        <v>24500</v>
      </c>
      <c r="K2174" s="63">
        <f t="shared" si="1164"/>
        <v>4.2682926829268296E-2</v>
      </c>
      <c r="L2174" s="871" t="s">
        <v>1913</v>
      </c>
      <c r="M2174" s="468"/>
      <c r="N2174" s="664">
        <f t="shared" si="1172"/>
        <v>190627</v>
      </c>
      <c r="O2174" s="71" t="s">
        <v>147</v>
      </c>
      <c r="P2174" s="103" t="str">
        <f t="shared" si="1170"/>
        <v>아라니아 분홍(1) 190c</v>
      </c>
      <c r="Q2174" s="71">
        <f t="shared" si="1166"/>
        <v>70</v>
      </c>
      <c r="R2174" s="102">
        <v>7850</v>
      </c>
      <c r="S2174" s="102">
        <f t="shared" si="1173"/>
        <v>604450</v>
      </c>
      <c r="T2174" s="102">
        <f t="shared" si="1174"/>
        <v>549500</v>
      </c>
      <c r="U2174" s="71" t="str">
        <f t="shared" si="1169"/>
        <v>O</v>
      </c>
      <c r="V2174" s="71"/>
      <c r="W2174" s="474">
        <f t="shared" si="1162"/>
        <v>24500</v>
      </c>
      <c r="X2174" s="71"/>
      <c r="Y2174" s="71"/>
    </row>
    <row r="2175" spans="1:25" ht="30" hidden="1" customHeight="1" x14ac:dyDescent="0.25">
      <c r="A2175" s="82">
        <v>190627</v>
      </c>
      <c r="B2175" s="664" t="s">
        <v>1052</v>
      </c>
      <c r="C2175" s="71" t="s">
        <v>1840</v>
      </c>
      <c r="D2175" s="71">
        <v>15</v>
      </c>
      <c r="E2175" s="102">
        <v>8000</v>
      </c>
      <c r="F2175" s="102">
        <f t="shared" si="1167"/>
        <v>132000</v>
      </c>
      <c r="G2175" s="102">
        <f t="shared" si="1168"/>
        <v>120000</v>
      </c>
      <c r="H2175" s="690" t="s">
        <v>142</v>
      </c>
      <c r="I2175" s="71" t="s">
        <v>144</v>
      </c>
      <c r="J2175" s="53">
        <f t="shared" si="1171"/>
        <v>6000</v>
      </c>
      <c r="K2175" s="63">
        <f t="shared" ref="K2175:K2181" si="1175">(J2175/(F2175/11*10))</f>
        <v>0.05</v>
      </c>
      <c r="L2175" s="871" t="s">
        <v>1913</v>
      </c>
      <c r="M2175" s="468"/>
      <c r="N2175" s="664">
        <f t="shared" si="1172"/>
        <v>190627</v>
      </c>
      <c r="O2175" s="71" t="s">
        <v>147</v>
      </c>
      <c r="P2175" s="103" t="str">
        <f t="shared" si="1170"/>
        <v>아라니아 연청 304c</v>
      </c>
      <c r="Q2175" s="71">
        <f t="shared" si="1166"/>
        <v>15</v>
      </c>
      <c r="R2175" s="102">
        <v>7600</v>
      </c>
      <c r="S2175" s="102">
        <f t="shared" si="1173"/>
        <v>125400.00000000001</v>
      </c>
      <c r="T2175" s="102">
        <f t="shared" si="1174"/>
        <v>114000</v>
      </c>
      <c r="U2175" s="71" t="str">
        <f t="shared" si="1169"/>
        <v>O</v>
      </c>
      <c r="V2175" s="71"/>
      <c r="W2175" s="474">
        <f t="shared" si="1162"/>
        <v>6000</v>
      </c>
      <c r="X2175" s="71"/>
      <c r="Y2175" s="71"/>
    </row>
    <row r="2176" spans="1:25" ht="30" hidden="1" customHeight="1" x14ac:dyDescent="0.25">
      <c r="A2176" s="82">
        <v>190627</v>
      </c>
      <c r="B2176" s="664" t="s">
        <v>1052</v>
      </c>
      <c r="C2176" s="71" t="s">
        <v>1841</v>
      </c>
      <c r="D2176" s="71"/>
      <c r="E2176" s="102">
        <v>7700</v>
      </c>
      <c r="F2176" s="102">
        <f t="shared" si="1167"/>
        <v>0</v>
      </c>
      <c r="G2176" s="102">
        <f t="shared" si="1168"/>
        <v>0</v>
      </c>
      <c r="H2176" s="690" t="s">
        <v>142</v>
      </c>
      <c r="I2176" s="71" t="s">
        <v>144</v>
      </c>
      <c r="J2176" s="53">
        <f t="shared" si="1171"/>
        <v>0</v>
      </c>
      <c r="K2176" s="63" t="e">
        <f t="shared" si="1175"/>
        <v>#DIV/0!</v>
      </c>
      <c r="L2176" s="871" t="s">
        <v>1913</v>
      </c>
      <c r="M2176" s="468"/>
      <c r="N2176" s="664">
        <f t="shared" si="1172"/>
        <v>190627</v>
      </c>
      <c r="O2176" s="71" t="s">
        <v>147</v>
      </c>
      <c r="P2176" s="103" t="str">
        <f t="shared" si="1170"/>
        <v>아라니아 분홍(2) 1905c</v>
      </c>
      <c r="Q2176" s="71">
        <f t="shared" si="1166"/>
        <v>0</v>
      </c>
      <c r="R2176" s="102">
        <v>7300</v>
      </c>
      <c r="S2176" s="102">
        <f t="shared" si="1173"/>
        <v>0</v>
      </c>
      <c r="T2176" s="102">
        <f t="shared" si="1174"/>
        <v>0</v>
      </c>
      <c r="U2176" s="71" t="str">
        <f t="shared" si="1169"/>
        <v>O</v>
      </c>
      <c r="V2176" s="71"/>
      <c r="W2176" s="474">
        <f t="shared" si="1162"/>
        <v>0</v>
      </c>
      <c r="X2176" s="71"/>
      <c r="Y2176" s="71"/>
    </row>
    <row r="2177" spans="1:25" ht="30" hidden="1" customHeight="1" x14ac:dyDescent="0.25">
      <c r="A2177" s="82">
        <v>190627</v>
      </c>
      <c r="B2177" s="664" t="s">
        <v>1052</v>
      </c>
      <c r="C2177" s="71" t="s">
        <v>1842</v>
      </c>
      <c r="D2177" s="71">
        <v>10</v>
      </c>
      <c r="E2177" s="102">
        <v>8600</v>
      </c>
      <c r="F2177" s="102">
        <f t="shared" si="1167"/>
        <v>94600.000000000015</v>
      </c>
      <c r="G2177" s="102">
        <f t="shared" si="1168"/>
        <v>86000</v>
      </c>
      <c r="H2177" s="690" t="s">
        <v>142</v>
      </c>
      <c r="I2177" s="71" t="s">
        <v>144</v>
      </c>
      <c r="J2177" s="53">
        <f t="shared" si="1171"/>
        <v>5000</v>
      </c>
      <c r="K2177" s="63">
        <f t="shared" si="1175"/>
        <v>5.8139534883720922E-2</v>
      </c>
      <c r="L2177" s="871" t="s">
        <v>1913</v>
      </c>
      <c r="M2177" s="468"/>
      <c r="N2177" s="664">
        <f t="shared" si="1172"/>
        <v>190627</v>
      </c>
      <c r="O2177" s="71" t="s">
        <v>147</v>
      </c>
      <c r="P2177" s="103" t="str">
        <f t="shared" si="1170"/>
        <v>아라니아 분홍(3) 1775c</v>
      </c>
      <c r="Q2177" s="71">
        <f t="shared" si="1166"/>
        <v>10</v>
      </c>
      <c r="R2177" s="102">
        <v>8100</v>
      </c>
      <c r="S2177" s="102">
        <f t="shared" si="1173"/>
        <v>89100</v>
      </c>
      <c r="T2177" s="102">
        <f t="shared" si="1174"/>
        <v>81000</v>
      </c>
      <c r="U2177" s="71" t="str">
        <f t="shared" si="1169"/>
        <v>O</v>
      </c>
      <c r="V2177" s="71"/>
      <c r="W2177" s="474">
        <f t="shared" si="1162"/>
        <v>5000</v>
      </c>
      <c r="X2177" s="71"/>
      <c r="Y2177" s="71"/>
    </row>
    <row r="2178" spans="1:25" ht="30" hidden="1" customHeight="1" x14ac:dyDescent="0.25">
      <c r="A2178" s="82">
        <v>190628</v>
      </c>
      <c r="B2178" s="664" t="s">
        <v>446</v>
      </c>
      <c r="C2178" s="71" t="s">
        <v>1144</v>
      </c>
      <c r="D2178" s="71">
        <v>8</v>
      </c>
      <c r="E2178" s="102">
        <v>110000</v>
      </c>
      <c r="F2178" s="102">
        <f>(E2178*D2178)*1.1</f>
        <v>968000.00000000012</v>
      </c>
      <c r="G2178" s="102">
        <f>(E2178*D2178)</f>
        <v>880000</v>
      </c>
      <c r="H2178" s="690" t="s">
        <v>173</v>
      </c>
      <c r="I2178" s="71" t="s">
        <v>2231</v>
      </c>
      <c r="J2178" s="53">
        <f t="shared" si="1171"/>
        <v>152000</v>
      </c>
      <c r="K2178" s="63">
        <f t="shared" si="1175"/>
        <v>0.1727272727272727</v>
      </c>
      <c r="L2178" s="871" t="s">
        <v>1913</v>
      </c>
      <c r="M2178" s="468"/>
      <c r="N2178" s="664">
        <f t="shared" ref="N2178:N2193" si="1176">A2178</f>
        <v>190628</v>
      </c>
      <c r="O2178" s="71" t="s">
        <v>150</v>
      </c>
      <c r="P2178" s="103" t="str">
        <f t="shared" ref="P2178:Q2181" si="1177">C2178</f>
        <v>실리콘 에멀전</v>
      </c>
      <c r="Q2178" s="71">
        <f t="shared" si="1177"/>
        <v>8</v>
      </c>
      <c r="R2178" s="102">
        <v>91000</v>
      </c>
      <c r="S2178" s="102">
        <f t="shared" si="1173"/>
        <v>800800.00000000012</v>
      </c>
      <c r="T2178" s="102">
        <f t="shared" si="1174"/>
        <v>728000</v>
      </c>
      <c r="U2178" s="71" t="str">
        <f t="shared" si="1169"/>
        <v>O</v>
      </c>
      <c r="V2178" s="71"/>
      <c r="W2178" s="474">
        <f t="shared" si="1162"/>
        <v>152000</v>
      </c>
      <c r="X2178" s="71"/>
      <c r="Y2178" s="71"/>
    </row>
    <row r="2179" spans="1:25" ht="30" hidden="1" customHeight="1" x14ac:dyDescent="0.25">
      <c r="A2179" s="82">
        <v>190629</v>
      </c>
      <c r="B2179" s="664" t="s">
        <v>545</v>
      </c>
      <c r="C2179" s="71" t="s">
        <v>952</v>
      </c>
      <c r="D2179" s="71">
        <v>1</v>
      </c>
      <c r="E2179" s="102">
        <v>630000</v>
      </c>
      <c r="F2179" s="102">
        <f>(E2179*D2179)*1.1</f>
        <v>693000</v>
      </c>
      <c r="G2179" s="102">
        <f>(E2179*D2179)</f>
        <v>630000</v>
      </c>
      <c r="H2179" s="690" t="s">
        <v>173</v>
      </c>
      <c r="I2179" s="71" t="s">
        <v>108</v>
      </c>
      <c r="J2179" s="53">
        <f>(G2179-(VLOOKUP(C2179,Price!B:D,3,FALSE)*D2179))</f>
        <v>180000</v>
      </c>
      <c r="K2179" s="63">
        <f t="shared" si="1175"/>
        <v>0.2857142857142857</v>
      </c>
      <c r="L2179" s="871" t="s">
        <v>1913</v>
      </c>
      <c r="M2179" s="468"/>
      <c r="N2179" s="664">
        <f t="shared" si="1176"/>
        <v>190629</v>
      </c>
      <c r="O2179" s="71" t="s">
        <v>599</v>
      </c>
      <c r="P2179" s="103" t="str">
        <f t="shared" si="1177"/>
        <v>점보롤 세정포</v>
      </c>
      <c r="Q2179" s="71">
        <f t="shared" si="1177"/>
        <v>1</v>
      </c>
      <c r="R2179" s="102">
        <v>440000</v>
      </c>
      <c r="S2179" s="102">
        <f t="shared" si="1173"/>
        <v>484000.00000000006</v>
      </c>
      <c r="T2179" s="102">
        <f t="shared" si="1174"/>
        <v>440000</v>
      </c>
      <c r="U2179" s="71" t="str">
        <f t="shared" si="1169"/>
        <v>X</v>
      </c>
      <c r="V2179" s="71" t="s">
        <v>1228</v>
      </c>
      <c r="W2179" s="474">
        <f t="shared" si="1162"/>
        <v>190000</v>
      </c>
      <c r="X2179" s="71"/>
      <c r="Y2179" s="71"/>
    </row>
    <row r="2180" spans="1:25" ht="30" hidden="1" customHeight="1" x14ac:dyDescent="0.25">
      <c r="A2180" s="82">
        <v>190629</v>
      </c>
      <c r="B2180" s="664" t="s">
        <v>546</v>
      </c>
      <c r="C2180" s="71" t="s">
        <v>1923</v>
      </c>
      <c r="D2180" s="71">
        <v>1</v>
      </c>
      <c r="E2180" s="102">
        <v>93466100</v>
      </c>
      <c r="F2180" s="102">
        <f>(E2180*D2180)*1.1</f>
        <v>102812710.00000001</v>
      </c>
      <c r="G2180" s="102">
        <f>(E2180*D2180)</f>
        <v>93466100</v>
      </c>
      <c r="H2180" s="690" t="s">
        <v>142</v>
      </c>
      <c r="I2180" s="71" t="s">
        <v>142</v>
      </c>
      <c r="J2180" s="53">
        <f>G2180-T2180</f>
        <v>3553510</v>
      </c>
      <c r="K2180" s="63">
        <f t="shared" si="1175"/>
        <v>3.801923906100714E-2</v>
      </c>
      <c r="L2180" s="871" t="s">
        <v>1913</v>
      </c>
      <c r="M2180" s="468"/>
      <c r="N2180" s="664">
        <f t="shared" si="1176"/>
        <v>190629</v>
      </c>
      <c r="O2180" s="71" t="s">
        <v>1431</v>
      </c>
      <c r="P2180" s="103" t="str">
        <f t="shared" si="1177"/>
        <v>Pecom 업그레이드</v>
      </c>
      <c r="Q2180" s="71">
        <f t="shared" si="1177"/>
        <v>1</v>
      </c>
      <c r="R2180" s="102">
        <f>89411150+501440</f>
        <v>89912590</v>
      </c>
      <c r="S2180" s="102">
        <f t="shared" si="1173"/>
        <v>98903849.000000015</v>
      </c>
      <c r="T2180" s="102">
        <f t="shared" si="1174"/>
        <v>89912590</v>
      </c>
      <c r="U2180" s="71" t="str">
        <f t="shared" si="1169"/>
        <v>X</v>
      </c>
      <c r="V2180" s="71"/>
      <c r="W2180" s="474"/>
      <c r="X2180" s="71"/>
      <c r="Y2180" s="71"/>
    </row>
    <row r="2181" spans="1:25" ht="30" hidden="1" customHeight="1" x14ac:dyDescent="0.25">
      <c r="A2181" s="82">
        <v>190630</v>
      </c>
      <c r="B2181" s="664" t="s">
        <v>1859</v>
      </c>
      <c r="C2181" s="71" t="s">
        <v>1607</v>
      </c>
      <c r="D2181" s="71">
        <v>1577</v>
      </c>
      <c r="E2181" s="102">
        <v>1000</v>
      </c>
      <c r="F2181" s="102">
        <f>(E2181*D2181)*1.1</f>
        <v>1734700.0000000002</v>
      </c>
      <c r="G2181" s="102">
        <f>(E2181*D2181)</f>
        <v>1577000</v>
      </c>
      <c r="H2181" s="690" t="s">
        <v>173</v>
      </c>
      <c r="I2181" s="71" t="s">
        <v>2230</v>
      </c>
      <c r="J2181" s="53">
        <f>G2181-T2181</f>
        <v>1577000</v>
      </c>
      <c r="K2181" s="63">
        <f t="shared" si="1175"/>
        <v>0.99999999999999989</v>
      </c>
      <c r="L2181" s="871" t="s">
        <v>1893</v>
      </c>
      <c r="M2181" s="468"/>
      <c r="N2181" s="664">
        <f t="shared" si="1176"/>
        <v>190630</v>
      </c>
      <c r="O2181" s="71"/>
      <c r="P2181" s="103" t="str">
        <f t="shared" si="1177"/>
        <v>폐판수거(세흥인쇄)</v>
      </c>
      <c r="Q2181" s="71">
        <f t="shared" si="1177"/>
        <v>1577</v>
      </c>
      <c r="R2181" s="102">
        <v>0</v>
      </c>
      <c r="S2181" s="102">
        <f t="shared" si="1173"/>
        <v>0</v>
      </c>
      <c r="T2181" s="102">
        <f t="shared" si="1174"/>
        <v>0</v>
      </c>
      <c r="U2181" s="71" t="str">
        <f t="shared" si="1169"/>
        <v>X</v>
      </c>
      <c r="V2181" s="71"/>
      <c r="W2181" s="474"/>
      <c r="X2181" s="71"/>
      <c r="Y2181" s="71"/>
    </row>
    <row r="2182" spans="1:25" s="978" customFormat="1" ht="45" hidden="1" customHeight="1" x14ac:dyDescent="0.25">
      <c r="A2182" s="982" t="s">
        <v>1920</v>
      </c>
      <c r="B2182" s="976" t="s">
        <v>544</v>
      </c>
      <c r="C2182" s="453"/>
      <c r="D2182" s="453"/>
      <c r="E2182" s="454"/>
      <c r="F2182" s="454"/>
      <c r="G2182" s="454"/>
      <c r="H2182" s="455"/>
      <c r="I2182" s="453"/>
      <c r="J2182" s="417"/>
      <c r="K2182" s="418"/>
      <c r="L2182" s="983" t="s">
        <v>1921</v>
      </c>
      <c r="M2182" s="643"/>
      <c r="N2182" s="724" t="str">
        <f t="shared" si="1176"/>
        <v>2019,7</v>
      </c>
      <c r="O2182" s="453" t="s">
        <v>154</v>
      </c>
      <c r="P2182" s="728"/>
      <c r="Q2182" s="419"/>
      <c r="R2182" s="420"/>
      <c r="S2182" s="417"/>
      <c r="T2182" s="417"/>
      <c r="U2182" s="421"/>
      <c r="V2182" s="421"/>
      <c r="W2182" s="479">
        <f>(G2182-T2182)</f>
        <v>0</v>
      </c>
      <c r="X2182" s="421"/>
      <c r="Y2182" s="421"/>
    </row>
    <row r="2183" spans="1:25" ht="30" hidden="1" customHeight="1" x14ac:dyDescent="0.25">
      <c r="A2183" s="82">
        <v>190619</v>
      </c>
      <c r="B2183" s="664" t="s">
        <v>575</v>
      </c>
      <c r="C2183" s="71" t="s">
        <v>114</v>
      </c>
      <c r="D2183" s="71">
        <v>130</v>
      </c>
      <c r="E2183" s="102">
        <v>18000</v>
      </c>
      <c r="F2183" s="102">
        <f t="shared" ref="F2183:F2194" si="1178">(E2183*D2183)*1.1</f>
        <v>2574000</v>
      </c>
      <c r="G2183" s="102">
        <f t="shared" ref="G2183:G2194" si="1179">(E2183*D2183)</f>
        <v>2340000</v>
      </c>
      <c r="H2183" s="690" t="s">
        <v>1431</v>
      </c>
      <c r="I2183" s="71" t="s">
        <v>1431</v>
      </c>
      <c r="J2183" s="53">
        <f t="shared" ref="J2183:J2188" si="1180">G2183-T2183</f>
        <v>1039031.0568137395</v>
      </c>
      <c r="K2183" s="63">
        <f t="shared" ref="K2183:K2197" si="1181">(J2183/(F2183/11*10))</f>
        <v>0.44403036615971775</v>
      </c>
      <c r="L2183" s="871" t="s">
        <v>1921</v>
      </c>
      <c r="M2183" s="468"/>
      <c r="N2183" s="664">
        <f t="shared" si="1176"/>
        <v>190619</v>
      </c>
      <c r="O2183" s="71" t="s">
        <v>1431</v>
      </c>
      <c r="P2183" s="103" t="str">
        <f t="shared" ref="P2183:P2194" si="1182">C2183</f>
        <v>스트리퍼</v>
      </c>
      <c r="Q2183" s="71">
        <f t="shared" ref="Q2183:Q2194" si="1183">D2183</f>
        <v>130</v>
      </c>
      <c r="R2183" s="102">
        <f>Import!G186</f>
        <v>10007.453409125081</v>
      </c>
      <c r="S2183" s="102">
        <f t="shared" ref="S2183:S2194" si="1184">R2183*Q2183*1.1</f>
        <v>1431065.8375048868</v>
      </c>
      <c r="T2183" s="102">
        <f t="shared" ref="T2183:T2194" si="1185">R2183*Q2183</f>
        <v>1300968.9431862605</v>
      </c>
      <c r="U2183" s="71"/>
      <c r="V2183" s="71"/>
      <c r="W2183" s="474"/>
      <c r="X2183" s="71"/>
      <c r="Y2183" s="71"/>
    </row>
    <row r="2184" spans="1:25" ht="30" hidden="1" customHeight="1" x14ac:dyDescent="0.25">
      <c r="A2184" s="82">
        <v>190619</v>
      </c>
      <c r="B2184" s="664" t="s">
        <v>575</v>
      </c>
      <c r="C2184" s="71" t="s">
        <v>1917</v>
      </c>
      <c r="D2184" s="71">
        <v>6</v>
      </c>
      <c r="E2184" s="102">
        <v>200000</v>
      </c>
      <c r="F2184" s="102">
        <f t="shared" si="1178"/>
        <v>1320000</v>
      </c>
      <c r="G2184" s="102">
        <f t="shared" si="1179"/>
        <v>1200000</v>
      </c>
      <c r="H2184" s="690" t="s">
        <v>1431</v>
      </c>
      <c r="I2184" s="71" t="s">
        <v>1431</v>
      </c>
      <c r="J2184" s="53">
        <f t="shared" si="1180"/>
        <v>283309.25209665683</v>
      </c>
      <c r="K2184" s="63">
        <f t="shared" si="1181"/>
        <v>0.23609104341388068</v>
      </c>
      <c r="L2184" s="871" t="s">
        <v>1921</v>
      </c>
      <c r="M2184" s="468"/>
      <c r="N2184" s="664">
        <f t="shared" si="1176"/>
        <v>190619</v>
      </c>
      <c r="O2184" s="71" t="s">
        <v>1431</v>
      </c>
      <c r="P2184" s="103" t="str">
        <f t="shared" si="1182"/>
        <v>에어 실린더(00.580.3482)</v>
      </c>
      <c r="Q2184" s="71">
        <f t="shared" si="1183"/>
        <v>6</v>
      </c>
      <c r="R2184" s="102">
        <f>Import!G187</f>
        <v>152781.79131722386</v>
      </c>
      <c r="S2184" s="102">
        <f t="shared" si="1184"/>
        <v>1008359.8226936776</v>
      </c>
      <c r="T2184" s="102">
        <f t="shared" si="1185"/>
        <v>916690.74790334317</v>
      </c>
      <c r="U2184" s="71"/>
      <c r="V2184" s="71"/>
      <c r="W2184" s="474"/>
      <c r="X2184" s="71"/>
      <c r="Y2184" s="71"/>
    </row>
    <row r="2185" spans="1:25" ht="30" hidden="1" customHeight="1" x14ac:dyDescent="0.25">
      <c r="A2185" s="82">
        <v>190619</v>
      </c>
      <c r="B2185" s="664" t="s">
        <v>575</v>
      </c>
      <c r="C2185" s="71" t="s">
        <v>1064</v>
      </c>
      <c r="D2185" s="71">
        <v>8</v>
      </c>
      <c r="E2185" s="102">
        <v>300000</v>
      </c>
      <c r="F2185" s="102">
        <f t="shared" si="1178"/>
        <v>2640000</v>
      </c>
      <c r="G2185" s="102">
        <f t="shared" si="1179"/>
        <v>2400000</v>
      </c>
      <c r="H2185" s="690" t="s">
        <v>1431</v>
      </c>
      <c r="I2185" s="71" t="s">
        <v>1431</v>
      </c>
      <c r="J2185" s="53">
        <f t="shared" si="1180"/>
        <v>481472.49262819276</v>
      </c>
      <c r="K2185" s="63">
        <f t="shared" si="1181"/>
        <v>0.20061353859508033</v>
      </c>
      <c r="L2185" s="871" t="s">
        <v>1921</v>
      </c>
      <c r="M2185" s="468"/>
      <c r="N2185" s="664">
        <f t="shared" si="1176"/>
        <v>190619</v>
      </c>
      <c r="O2185" s="71" t="s">
        <v>1431</v>
      </c>
      <c r="P2185" s="103" t="str">
        <f t="shared" si="1182"/>
        <v>에어 실린더(00.580.2489)</v>
      </c>
      <c r="Q2185" s="71">
        <f t="shared" si="1183"/>
        <v>8</v>
      </c>
      <c r="R2185" s="102">
        <f>Import!G188</f>
        <v>239815.9384214759</v>
      </c>
      <c r="S2185" s="102">
        <f t="shared" si="1184"/>
        <v>2110380.2581089879</v>
      </c>
      <c r="T2185" s="102">
        <f t="shared" si="1185"/>
        <v>1918527.5073718072</v>
      </c>
      <c r="U2185" s="71"/>
      <c r="V2185" s="71"/>
      <c r="W2185" s="474"/>
      <c r="X2185" s="71"/>
      <c r="Y2185" s="71"/>
    </row>
    <row r="2186" spans="1:25" ht="30" hidden="1" customHeight="1" x14ac:dyDescent="0.25">
      <c r="A2186" s="82">
        <v>190619</v>
      </c>
      <c r="B2186" s="664" t="s">
        <v>575</v>
      </c>
      <c r="C2186" s="71" t="s">
        <v>1298</v>
      </c>
      <c r="D2186" s="71">
        <v>10</v>
      </c>
      <c r="E2186" s="102">
        <v>100000</v>
      </c>
      <c r="F2186" s="102">
        <f t="shared" si="1178"/>
        <v>1100000</v>
      </c>
      <c r="G2186" s="102">
        <f t="shared" si="1179"/>
        <v>1000000</v>
      </c>
      <c r="H2186" s="690" t="s">
        <v>1431</v>
      </c>
      <c r="I2186" s="71" t="s">
        <v>1431</v>
      </c>
      <c r="J2186" s="53">
        <f t="shared" si="1180"/>
        <v>191094.914410447</v>
      </c>
      <c r="K2186" s="63">
        <f t="shared" si="1181"/>
        <v>0.19109491441044701</v>
      </c>
      <c r="L2186" s="871" t="s">
        <v>1921</v>
      </c>
      <c r="M2186" s="468"/>
      <c r="N2186" s="664">
        <f t="shared" si="1176"/>
        <v>190619</v>
      </c>
      <c r="O2186" s="71" t="s">
        <v>1431</v>
      </c>
      <c r="P2186" s="103" t="str">
        <f t="shared" si="1182"/>
        <v>재단칼</v>
      </c>
      <c r="Q2186" s="71">
        <f t="shared" si="1183"/>
        <v>10</v>
      </c>
      <c r="R2186" s="102">
        <f>Import!G189</f>
        <v>80890.508558955305</v>
      </c>
      <c r="S2186" s="102">
        <f t="shared" si="1184"/>
        <v>889795.59414850839</v>
      </c>
      <c r="T2186" s="102">
        <f t="shared" si="1185"/>
        <v>808905.085589553</v>
      </c>
      <c r="U2186" s="71"/>
      <c r="V2186" s="71"/>
      <c r="W2186" s="474"/>
      <c r="X2186" s="71"/>
      <c r="Y2186" s="71"/>
    </row>
    <row r="2187" spans="1:25" ht="30" hidden="1" customHeight="1" x14ac:dyDescent="0.25">
      <c r="A2187" s="82">
        <v>190619</v>
      </c>
      <c r="B2187" s="664" t="s">
        <v>575</v>
      </c>
      <c r="C2187" s="71" t="s">
        <v>1918</v>
      </c>
      <c r="D2187" s="71">
        <v>6</v>
      </c>
      <c r="E2187" s="102">
        <v>25000</v>
      </c>
      <c r="F2187" s="102">
        <f t="shared" si="1178"/>
        <v>165000</v>
      </c>
      <c r="G2187" s="102">
        <f t="shared" si="1179"/>
        <v>150000</v>
      </c>
      <c r="H2187" s="690" t="s">
        <v>1431</v>
      </c>
      <c r="I2187" s="71" t="s">
        <v>1431</v>
      </c>
      <c r="J2187" s="53">
        <f t="shared" si="1180"/>
        <v>68000.497836326744</v>
      </c>
      <c r="K2187" s="63">
        <f t="shared" si="1181"/>
        <v>0.45333665224217828</v>
      </c>
      <c r="L2187" s="871" t="s">
        <v>1921</v>
      </c>
      <c r="M2187" s="468"/>
      <c r="N2187" s="664">
        <f t="shared" si="1176"/>
        <v>190619</v>
      </c>
      <c r="O2187" s="71" t="s">
        <v>1431</v>
      </c>
      <c r="P2187" s="103" t="str">
        <f t="shared" si="1182"/>
        <v>브러쉬</v>
      </c>
      <c r="Q2187" s="71">
        <f t="shared" si="1183"/>
        <v>6</v>
      </c>
      <c r="R2187" s="102">
        <f>Import!G190</f>
        <v>13666.583693945544</v>
      </c>
      <c r="S2187" s="102">
        <f t="shared" si="1184"/>
        <v>90199.452380040588</v>
      </c>
      <c r="T2187" s="102">
        <f t="shared" si="1185"/>
        <v>81999.502163673256</v>
      </c>
      <c r="U2187" s="71"/>
      <c r="V2187" s="71"/>
      <c r="W2187" s="474"/>
      <c r="X2187" s="71"/>
      <c r="Y2187" s="71"/>
    </row>
    <row r="2188" spans="1:25" ht="30" hidden="1" customHeight="1" x14ac:dyDescent="0.25">
      <c r="A2188" s="82">
        <v>190619</v>
      </c>
      <c r="B2188" s="664" t="s">
        <v>575</v>
      </c>
      <c r="C2188" s="71" t="s">
        <v>1919</v>
      </c>
      <c r="D2188" s="71">
        <v>2</v>
      </c>
      <c r="E2188" s="102">
        <v>750000</v>
      </c>
      <c r="F2188" s="102">
        <f t="shared" si="1178"/>
        <v>1650000.0000000002</v>
      </c>
      <c r="G2188" s="102">
        <f t="shared" si="1179"/>
        <v>1500000</v>
      </c>
      <c r="H2188" s="690" t="s">
        <v>1431</v>
      </c>
      <c r="I2188" s="71" t="s">
        <v>1431</v>
      </c>
      <c r="J2188" s="53">
        <f t="shared" si="1180"/>
        <v>393225.18956075516</v>
      </c>
      <c r="K2188" s="63">
        <f t="shared" si="1181"/>
        <v>0.26215012637383672</v>
      </c>
      <c r="L2188" s="871" t="s">
        <v>1921</v>
      </c>
      <c r="M2188" s="468"/>
      <c r="N2188" s="664">
        <f t="shared" si="1176"/>
        <v>190619</v>
      </c>
      <c r="O2188" s="71" t="s">
        <v>1431</v>
      </c>
      <c r="P2188" s="103" t="str">
        <f t="shared" si="1182"/>
        <v>에어 실린더(판걸이 카세트)</v>
      </c>
      <c r="Q2188" s="71">
        <f t="shared" si="1183"/>
        <v>2</v>
      </c>
      <c r="R2188" s="102">
        <f>Import!G191</f>
        <v>553387.40521962242</v>
      </c>
      <c r="S2188" s="102">
        <f t="shared" si="1184"/>
        <v>1217452.2914831694</v>
      </c>
      <c r="T2188" s="102">
        <f t="shared" si="1185"/>
        <v>1106774.8104392448</v>
      </c>
      <c r="U2188" s="71"/>
      <c r="V2188" s="71"/>
      <c r="W2188" s="474"/>
      <c r="X2188" s="71"/>
      <c r="Y2188" s="71"/>
    </row>
    <row r="2189" spans="1:25" ht="30" hidden="1" customHeight="1" x14ac:dyDescent="0.25">
      <c r="A2189" s="82">
        <v>190628</v>
      </c>
      <c r="B2189" s="664" t="s">
        <v>690</v>
      </c>
      <c r="C2189" s="67" t="s">
        <v>197</v>
      </c>
      <c r="D2189" s="71">
        <v>3</v>
      </c>
      <c r="E2189" s="102">
        <v>49000</v>
      </c>
      <c r="F2189" s="102">
        <f>(E2189*D2189)*1.1</f>
        <v>161700</v>
      </c>
      <c r="G2189" s="102">
        <f>(E2189*D2189)</f>
        <v>147000</v>
      </c>
      <c r="H2189" s="690" t="s">
        <v>173</v>
      </c>
      <c r="I2189" s="71" t="s">
        <v>2230</v>
      </c>
      <c r="J2189" s="53">
        <f>(G2189-(VLOOKUP(C2189,Price!B:D,3,FALSE)*D2189))</f>
        <v>42000</v>
      </c>
      <c r="K2189" s="63">
        <f t="shared" si="1181"/>
        <v>0.2857142857142857</v>
      </c>
      <c r="L2189" s="871" t="s">
        <v>1921</v>
      </c>
      <c r="M2189" s="468" t="s">
        <v>1394</v>
      </c>
      <c r="N2189" s="664">
        <f t="shared" si="1176"/>
        <v>190628</v>
      </c>
      <c r="O2189" s="71" t="s">
        <v>145</v>
      </c>
      <c r="P2189" s="103" t="str">
        <f t="shared" si="1182"/>
        <v>THR200(20L)</v>
      </c>
      <c r="Q2189" s="71">
        <f t="shared" si="1183"/>
        <v>3</v>
      </c>
      <c r="R2189" s="102">
        <v>35000</v>
      </c>
      <c r="S2189" s="102">
        <f t="shared" si="1184"/>
        <v>115500.00000000001</v>
      </c>
      <c r="T2189" s="102">
        <f t="shared" si="1185"/>
        <v>105000</v>
      </c>
      <c r="U2189" s="71" t="str">
        <f>IF(J2189=W2189,"O", "X")</f>
        <v>X</v>
      </c>
      <c r="V2189" s="71"/>
      <c r="W2189" s="474"/>
      <c r="X2189" s="71"/>
      <c r="Y2189" s="71"/>
    </row>
    <row r="2190" spans="1:25" ht="30" hidden="1" customHeight="1" x14ac:dyDescent="0.25">
      <c r="A2190" s="82">
        <v>190628</v>
      </c>
      <c r="B2190" s="664" t="s">
        <v>690</v>
      </c>
      <c r="C2190" s="71" t="s">
        <v>1186</v>
      </c>
      <c r="D2190" s="71">
        <v>500</v>
      </c>
      <c r="E2190" s="102">
        <v>3600</v>
      </c>
      <c r="F2190" s="102">
        <f>(E2190*D2190)*1.1</f>
        <v>1980000.0000000002</v>
      </c>
      <c r="G2190" s="102">
        <f>(E2190*D2190)</f>
        <v>1800000</v>
      </c>
      <c r="H2190" s="690" t="s">
        <v>173</v>
      </c>
      <c r="I2190" s="71" t="s">
        <v>2230</v>
      </c>
      <c r="J2190" s="53">
        <f>(G2190-(VLOOKUP(C2190,Price!B:D,3,FALSE)*D2190))</f>
        <v>-200000</v>
      </c>
      <c r="K2190" s="63">
        <f t="shared" si="1181"/>
        <v>-0.11111111111111109</v>
      </c>
      <c r="L2190" s="871" t="s">
        <v>1921</v>
      </c>
      <c r="M2190" s="468" t="s">
        <v>1393</v>
      </c>
      <c r="N2190" s="664">
        <f t="shared" si="1176"/>
        <v>190628</v>
      </c>
      <c r="O2190" s="71" t="s">
        <v>145</v>
      </c>
      <c r="P2190" s="103" t="str">
        <f t="shared" si="1182"/>
        <v>CTP 판(1030*790mm)</v>
      </c>
      <c r="Q2190" s="71">
        <f t="shared" si="1183"/>
        <v>500</v>
      </c>
      <c r="R2190" s="102">
        <v>4000</v>
      </c>
      <c r="S2190" s="102">
        <f t="shared" si="1184"/>
        <v>2200000</v>
      </c>
      <c r="T2190" s="102">
        <f t="shared" si="1185"/>
        <v>2000000</v>
      </c>
      <c r="U2190" s="71" t="str">
        <f>IF(J2190=W2190,"O", "X")</f>
        <v>O</v>
      </c>
      <c r="V2190" s="71"/>
      <c r="W2190" s="474">
        <f>(G2190-T2190)</f>
        <v>-200000</v>
      </c>
      <c r="X2190" s="71"/>
      <c r="Y2190" s="71"/>
    </row>
    <row r="2191" spans="1:25" ht="30" hidden="1" customHeight="1" x14ac:dyDescent="0.25">
      <c r="A2191" s="82">
        <v>190701</v>
      </c>
      <c r="B2191" s="664" t="s">
        <v>591</v>
      </c>
      <c r="C2191" s="71" t="s">
        <v>1929</v>
      </c>
      <c r="D2191" s="71">
        <v>1</v>
      </c>
      <c r="E2191" s="102">
        <v>2850000</v>
      </c>
      <c r="F2191" s="102">
        <f t="shared" si="1178"/>
        <v>3135000.0000000005</v>
      </c>
      <c r="G2191" s="102">
        <f t="shared" si="1179"/>
        <v>2850000</v>
      </c>
      <c r="H2191" s="690" t="s">
        <v>173</v>
      </c>
      <c r="I2191" s="71" t="s">
        <v>143</v>
      </c>
      <c r="J2191" s="53">
        <f>G2191-T2191</f>
        <v>720000</v>
      </c>
      <c r="K2191" s="63">
        <f t="shared" si="1181"/>
        <v>0.25263157894736837</v>
      </c>
      <c r="L2191" s="871" t="s">
        <v>1921</v>
      </c>
      <c r="M2191" s="468"/>
      <c r="N2191" s="664">
        <f t="shared" si="1176"/>
        <v>190701</v>
      </c>
      <c r="O2191" s="71" t="s">
        <v>612</v>
      </c>
      <c r="P2191" s="103" t="str">
        <f t="shared" si="1182"/>
        <v>고모리 윤전 롤러 6개</v>
      </c>
      <c r="Q2191" s="71">
        <f t="shared" si="1183"/>
        <v>1</v>
      </c>
      <c r="R2191" s="102">
        <v>2130000</v>
      </c>
      <c r="S2191" s="102">
        <f t="shared" si="1184"/>
        <v>2343000</v>
      </c>
      <c r="T2191" s="102">
        <f t="shared" si="1185"/>
        <v>2130000</v>
      </c>
      <c r="U2191" s="71"/>
      <c r="V2191" s="71"/>
      <c r="W2191" s="474"/>
      <c r="X2191" s="71"/>
      <c r="Y2191" s="71"/>
    </row>
    <row r="2192" spans="1:25" ht="30" hidden="1" customHeight="1" x14ac:dyDescent="0.25">
      <c r="A2192" s="82">
        <v>190701</v>
      </c>
      <c r="B2192" s="664" t="s">
        <v>591</v>
      </c>
      <c r="C2192" s="71" t="s">
        <v>1930</v>
      </c>
      <c r="D2192" s="71">
        <v>1</v>
      </c>
      <c r="E2192" s="102">
        <v>3760000</v>
      </c>
      <c r="F2192" s="102">
        <f t="shared" si="1178"/>
        <v>4136000.0000000005</v>
      </c>
      <c r="G2192" s="102">
        <f t="shared" si="1179"/>
        <v>3760000</v>
      </c>
      <c r="H2192" s="690" t="s">
        <v>173</v>
      </c>
      <c r="I2192" s="71" t="s">
        <v>143</v>
      </c>
      <c r="J2192" s="53">
        <f>G2192-T2192</f>
        <v>910000</v>
      </c>
      <c r="K2192" s="63">
        <f t="shared" si="1181"/>
        <v>0.24202127659574466</v>
      </c>
      <c r="L2192" s="871" t="s">
        <v>1921</v>
      </c>
      <c r="M2192" s="468"/>
      <c r="N2192" s="664">
        <f t="shared" si="1176"/>
        <v>190701</v>
      </c>
      <c r="O2192" s="71" t="s">
        <v>612</v>
      </c>
      <c r="P2192" s="103" t="str">
        <f t="shared" si="1182"/>
        <v>M600 윤전 롤러 10개</v>
      </c>
      <c r="Q2192" s="71">
        <f t="shared" si="1183"/>
        <v>1</v>
      </c>
      <c r="R2192" s="102">
        <v>2850000</v>
      </c>
      <c r="S2192" s="102">
        <f t="shared" si="1184"/>
        <v>3135000.0000000005</v>
      </c>
      <c r="T2192" s="102">
        <f t="shared" si="1185"/>
        <v>2850000</v>
      </c>
      <c r="U2192" s="71"/>
      <c r="V2192" s="71"/>
      <c r="W2192" s="474"/>
      <c r="X2192" s="71"/>
      <c r="Y2192" s="71"/>
    </row>
    <row r="2193" spans="1:25" ht="30" hidden="1" customHeight="1" x14ac:dyDescent="0.25">
      <c r="A2193" s="82">
        <v>190703</v>
      </c>
      <c r="B2193" s="664" t="s">
        <v>446</v>
      </c>
      <c r="C2193" s="71" t="s">
        <v>1144</v>
      </c>
      <c r="D2193" s="71">
        <v>10</v>
      </c>
      <c r="E2193" s="102">
        <v>110000</v>
      </c>
      <c r="F2193" s="102">
        <f t="shared" si="1178"/>
        <v>1210000</v>
      </c>
      <c r="G2193" s="102">
        <f t="shared" si="1179"/>
        <v>1100000</v>
      </c>
      <c r="H2193" s="690" t="s">
        <v>173</v>
      </c>
      <c r="I2193" s="71" t="s">
        <v>2231</v>
      </c>
      <c r="J2193" s="53">
        <f>G2193-T2193</f>
        <v>190000</v>
      </c>
      <c r="K2193" s="63">
        <f t="shared" si="1181"/>
        <v>0.17272727272727273</v>
      </c>
      <c r="L2193" s="871" t="s">
        <v>1921</v>
      </c>
      <c r="M2193" s="468"/>
      <c r="N2193" s="664">
        <f t="shared" si="1176"/>
        <v>190703</v>
      </c>
      <c r="O2193" s="71" t="s">
        <v>150</v>
      </c>
      <c r="P2193" s="103" t="str">
        <f t="shared" si="1182"/>
        <v>실리콘 에멀전</v>
      </c>
      <c r="Q2193" s="71">
        <f t="shared" si="1183"/>
        <v>10</v>
      </c>
      <c r="R2193" s="102">
        <v>91000</v>
      </c>
      <c r="S2193" s="102">
        <f t="shared" si="1184"/>
        <v>1001000.0000000001</v>
      </c>
      <c r="T2193" s="102">
        <f t="shared" si="1185"/>
        <v>910000</v>
      </c>
      <c r="U2193" s="71" t="str">
        <f>IF(J2193=W2193,"O", "X")</f>
        <v>O</v>
      </c>
      <c r="V2193" s="71"/>
      <c r="W2193" s="474">
        <f>(G2193-T2193)</f>
        <v>190000</v>
      </c>
      <c r="X2193" s="71"/>
      <c r="Y2193" s="71"/>
    </row>
    <row r="2194" spans="1:25" ht="30" hidden="1" customHeight="1" x14ac:dyDescent="0.25">
      <c r="A2194" s="82">
        <v>190703</v>
      </c>
      <c r="B2194" s="664" t="s">
        <v>446</v>
      </c>
      <c r="C2194" s="71" t="s">
        <v>990</v>
      </c>
      <c r="D2194" s="71">
        <v>30</v>
      </c>
      <c r="E2194" s="102">
        <v>27000</v>
      </c>
      <c r="F2194" s="102">
        <f t="shared" si="1178"/>
        <v>891000.00000000012</v>
      </c>
      <c r="G2194" s="102">
        <f t="shared" si="1179"/>
        <v>810000</v>
      </c>
      <c r="H2194" s="690" t="s">
        <v>1431</v>
      </c>
      <c r="I2194" s="71" t="s">
        <v>1431</v>
      </c>
      <c r="J2194" s="53">
        <f>G2194-T2194</f>
        <v>400002.48918163369</v>
      </c>
      <c r="K2194" s="63">
        <f t="shared" si="1181"/>
        <v>0.49383023355757238</v>
      </c>
      <c r="L2194" s="871" t="s">
        <v>2005</v>
      </c>
      <c r="M2194" s="468"/>
      <c r="N2194" s="664"/>
      <c r="O2194" s="71" t="s">
        <v>1431</v>
      </c>
      <c r="P2194" s="103" t="str">
        <f t="shared" si="1182"/>
        <v>브러쉬, 헤드 스톱</v>
      </c>
      <c r="Q2194" s="71">
        <f t="shared" si="1183"/>
        <v>30</v>
      </c>
      <c r="R2194" s="102">
        <f>Import!G190</f>
        <v>13666.583693945544</v>
      </c>
      <c r="S2194" s="102">
        <f t="shared" si="1184"/>
        <v>450997.26190020295</v>
      </c>
      <c r="T2194" s="102">
        <f t="shared" si="1185"/>
        <v>409997.51081836631</v>
      </c>
      <c r="U2194" s="71"/>
      <c r="V2194" s="71"/>
      <c r="W2194" s="474"/>
      <c r="X2194" s="71"/>
      <c r="Y2194" s="71"/>
    </row>
    <row r="2195" spans="1:25" s="209" customFormat="1" ht="30" hidden="1" customHeight="1" x14ac:dyDescent="0.25">
      <c r="A2195" s="82">
        <v>190704</v>
      </c>
      <c r="B2195" s="664" t="s">
        <v>442</v>
      </c>
      <c r="C2195" s="71" t="s">
        <v>107</v>
      </c>
      <c r="D2195" s="71">
        <v>6</v>
      </c>
      <c r="E2195" s="102">
        <v>110000</v>
      </c>
      <c r="F2195" s="102">
        <f t="shared" ref="F2195:F2201" si="1186">(E2195*D2195)*1.1</f>
        <v>726000.00000000012</v>
      </c>
      <c r="G2195" s="102">
        <f t="shared" ref="G2195:G2201" si="1187">(E2195*D2195)</f>
        <v>660000</v>
      </c>
      <c r="H2195" s="690" t="s">
        <v>173</v>
      </c>
      <c r="I2195" s="71" t="s">
        <v>109</v>
      </c>
      <c r="J2195" s="53">
        <f>G2195-S2195</f>
        <v>128700</v>
      </c>
      <c r="K2195" s="63">
        <f t="shared" si="1181"/>
        <v>0.19499999999999998</v>
      </c>
      <c r="L2195" s="871" t="s">
        <v>2005</v>
      </c>
      <c r="M2195" s="468"/>
      <c r="N2195" s="664">
        <f>A2195</f>
        <v>190704</v>
      </c>
      <c r="O2195" s="71" t="s">
        <v>147</v>
      </c>
      <c r="P2195" s="103" t="str">
        <f>(C2195)</f>
        <v>Blanket(1050*840)</v>
      </c>
      <c r="Q2195" s="71">
        <v>6</v>
      </c>
      <c r="R2195" s="102">
        <v>80500</v>
      </c>
      <c r="S2195" s="102">
        <f>(R2195*D2195)*1.1</f>
        <v>531300</v>
      </c>
      <c r="T2195" s="102">
        <f>(R2195*Q2195)</f>
        <v>483000</v>
      </c>
      <c r="U2195" s="71" t="str">
        <f>IF(J2195=W2195,"O", "X")</f>
        <v>X</v>
      </c>
      <c r="V2195" s="71"/>
      <c r="W2195" s="474">
        <f>(G2195-T2195)</f>
        <v>177000</v>
      </c>
      <c r="X2195" s="71"/>
      <c r="Y2195" s="71"/>
    </row>
    <row r="2196" spans="1:25" ht="30" hidden="1" customHeight="1" x14ac:dyDescent="0.25">
      <c r="A2196" s="82">
        <v>190705</v>
      </c>
      <c r="B2196" s="664" t="s">
        <v>442</v>
      </c>
      <c r="C2196" s="71" t="s">
        <v>773</v>
      </c>
      <c r="D2196" s="71">
        <v>5</v>
      </c>
      <c r="E2196" s="102">
        <v>192000</v>
      </c>
      <c r="F2196" s="102">
        <f t="shared" si="1186"/>
        <v>1056000</v>
      </c>
      <c r="G2196" s="102">
        <f t="shared" si="1187"/>
        <v>960000</v>
      </c>
      <c r="H2196" s="690" t="s">
        <v>173</v>
      </c>
      <c r="I2196" s="71" t="s">
        <v>109</v>
      </c>
      <c r="J2196" s="53">
        <f t="shared" ref="J2196:J2201" si="1188">G2196-T2196</f>
        <v>120000</v>
      </c>
      <c r="K2196" s="63">
        <f t="shared" si="1181"/>
        <v>0.125</v>
      </c>
      <c r="L2196" s="871" t="s">
        <v>2005</v>
      </c>
      <c r="M2196" s="468"/>
      <c r="N2196" s="664">
        <f>A2196</f>
        <v>190705</v>
      </c>
      <c r="O2196" s="71" t="s">
        <v>151</v>
      </c>
      <c r="P2196" s="103" t="str">
        <f t="shared" ref="P2196:Q2199" si="1189">C2196</f>
        <v>로랜드 전지 블랑켓(1460*1165)bar</v>
      </c>
      <c r="Q2196" s="71">
        <f t="shared" si="1189"/>
        <v>5</v>
      </c>
      <c r="R2196" s="102">
        <v>168000</v>
      </c>
      <c r="S2196" s="102">
        <f>R2196*Q2196*1.1</f>
        <v>924000.00000000012</v>
      </c>
      <c r="T2196" s="102">
        <f>R2196*Q2196</f>
        <v>840000</v>
      </c>
      <c r="U2196" s="71" t="s">
        <v>859</v>
      </c>
      <c r="V2196" s="71"/>
      <c r="W2196" s="474">
        <v>120000</v>
      </c>
      <c r="X2196" s="71"/>
      <c r="Y2196" s="71"/>
    </row>
    <row r="2197" spans="1:25" ht="30" hidden="1" customHeight="1" x14ac:dyDescent="0.25">
      <c r="A2197" s="82">
        <v>190705</v>
      </c>
      <c r="B2197" s="664" t="s">
        <v>1014</v>
      </c>
      <c r="C2197" s="71" t="s">
        <v>1931</v>
      </c>
      <c r="D2197" s="71">
        <v>1</v>
      </c>
      <c r="E2197" s="102">
        <v>31000000</v>
      </c>
      <c r="F2197" s="102">
        <f t="shared" si="1186"/>
        <v>34100000</v>
      </c>
      <c r="G2197" s="102">
        <f t="shared" si="1187"/>
        <v>31000000</v>
      </c>
      <c r="H2197" s="690" t="s">
        <v>173</v>
      </c>
      <c r="I2197" s="71" t="s">
        <v>2231</v>
      </c>
      <c r="J2197" s="53">
        <f t="shared" si="1188"/>
        <v>8417178</v>
      </c>
      <c r="K2197" s="63">
        <f t="shared" si="1181"/>
        <v>0.27152187096774194</v>
      </c>
      <c r="L2197" s="871" t="s">
        <v>2005</v>
      </c>
      <c r="M2197" s="468"/>
      <c r="N2197" s="664">
        <f>A2197</f>
        <v>190705</v>
      </c>
      <c r="O2197" s="71" t="s">
        <v>1369</v>
      </c>
      <c r="P2197" s="103" t="str">
        <f t="shared" si="1189"/>
        <v>잉크 조색 소프트웨어 1set</v>
      </c>
      <c r="Q2197" s="71">
        <f t="shared" si="1189"/>
        <v>1</v>
      </c>
      <c r="R2197" s="102">
        <f>Import!G736</f>
        <v>22582822</v>
      </c>
      <c r="S2197" s="102">
        <f>R2197*Q2197*1.1</f>
        <v>24841104.200000003</v>
      </c>
      <c r="T2197" s="102">
        <f>R2197*Q2197</f>
        <v>22582822</v>
      </c>
      <c r="U2197" s="71"/>
      <c r="V2197" s="71"/>
      <c r="W2197" s="474"/>
      <c r="X2197" s="71"/>
      <c r="Y2197" s="71"/>
    </row>
    <row r="2198" spans="1:25" ht="30" hidden="1" customHeight="1" x14ac:dyDescent="0.25">
      <c r="A2198" s="82">
        <v>190705</v>
      </c>
      <c r="B2198" s="664" t="s">
        <v>545</v>
      </c>
      <c r="C2198" s="71" t="s">
        <v>227</v>
      </c>
      <c r="D2198" s="71">
        <v>10</v>
      </c>
      <c r="E2198" s="102">
        <v>110000</v>
      </c>
      <c r="F2198" s="102">
        <f t="shared" si="1186"/>
        <v>1210000</v>
      </c>
      <c r="G2198" s="102">
        <f t="shared" si="1187"/>
        <v>1100000</v>
      </c>
      <c r="H2198" s="690" t="s">
        <v>173</v>
      </c>
      <c r="I2198" s="71" t="s">
        <v>109</v>
      </c>
      <c r="J2198" s="53">
        <f t="shared" si="1188"/>
        <v>271000</v>
      </c>
      <c r="K2198" s="63">
        <f t="shared" ref="K2198:K2203" si="1190">(J2198/(F2198/11*10))</f>
        <v>0.24636363636363637</v>
      </c>
      <c r="L2198" s="871" t="s">
        <v>2005</v>
      </c>
      <c r="M2198" s="468"/>
      <c r="N2198" s="664">
        <f>A2198</f>
        <v>190705</v>
      </c>
      <c r="O2198" s="71" t="s">
        <v>147</v>
      </c>
      <c r="P2198" s="103" t="str">
        <f t="shared" si="1189"/>
        <v>Blanket(1060*860)</v>
      </c>
      <c r="Q2198" s="71">
        <f t="shared" si="1189"/>
        <v>10</v>
      </c>
      <c r="R2198" s="102">
        <v>82900</v>
      </c>
      <c r="S2198" s="102">
        <f>R2198*Q2198*1.1</f>
        <v>911900.00000000012</v>
      </c>
      <c r="T2198" s="102">
        <f>R2198*Q2198</f>
        <v>829000</v>
      </c>
      <c r="U2198" s="71" t="str">
        <f>IF(J2198=W2198,"O", "X")</f>
        <v>O</v>
      </c>
      <c r="V2198" s="71"/>
      <c r="W2198" s="474">
        <f>(G2198-T2198)</f>
        <v>271000</v>
      </c>
      <c r="X2198" s="71"/>
      <c r="Y2198" s="71"/>
    </row>
    <row r="2199" spans="1:25" ht="31.5" hidden="1" customHeight="1" x14ac:dyDescent="0.25">
      <c r="A2199" s="82">
        <v>190705</v>
      </c>
      <c r="B2199" s="664" t="s">
        <v>545</v>
      </c>
      <c r="C2199" s="71" t="s">
        <v>911</v>
      </c>
      <c r="D2199" s="71">
        <v>1</v>
      </c>
      <c r="E2199" s="102">
        <v>250000</v>
      </c>
      <c r="F2199" s="102">
        <f t="shared" si="1186"/>
        <v>275000</v>
      </c>
      <c r="G2199" s="102">
        <f t="shared" si="1187"/>
        <v>250000</v>
      </c>
      <c r="H2199" s="690" t="s">
        <v>173</v>
      </c>
      <c r="I2199" s="71" t="s">
        <v>2231</v>
      </c>
      <c r="J2199" s="53">
        <f t="shared" si="1188"/>
        <v>175000</v>
      </c>
      <c r="K2199" s="63">
        <f t="shared" si="1190"/>
        <v>0.7</v>
      </c>
      <c r="L2199" s="871" t="s">
        <v>2005</v>
      </c>
      <c r="M2199" s="468"/>
      <c r="N2199" s="664">
        <f>A2199</f>
        <v>190705</v>
      </c>
      <c r="O2199" s="71" t="s">
        <v>994</v>
      </c>
      <c r="P2199" s="103" t="str">
        <f t="shared" si="1189"/>
        <v>콤푸레샤 에어필터</v>
      </c>
      <c r="Q2199" s="71">
        <f t="shared" si="1189"/>
        <v>1</v>
      </c>
      <c r="R2199" s="102">
        <v>75000</v>
      </c>
      <c r="S2199" s="102">
        <f>R2199*Q2199*1.1</f>
        <v>82500</v>
      </c>
      <c r="T2199" s="102">
        <f>R2199*Q2199</f>
        <v>75000</v>
      </c>
      <c r="U2199" s="71" t="str">
        <f>IF(J2199=W2199,"O", "X")</f>
        <v>O</v>
      </c>
      <c r="V2199" s="71"/>
      <c r="W2199" s="474">
        <f>(G2199-T2199)</f>
        <v>175000</v>
      </c>
      <c r="X2199" s="71"/>
      <c r="Y2199" s="71"/>
    </row>
    <row r="2200" spans="1:25" ht="30" customHeight="1" x14ac:dyDescent="0.2">
      <c r="A2200" s="82">
        <v>190709</v>
      </c>
      <c r="B2200" s="664" t="s">
        <v>422</v>
      </c>
      <c r="C2200" s="71" t="s">
        <v>129</v>
      </c>
      <c r="D2200" s="71">
        <v>6</v>
      </c>
      <c r="E2200" s="102">
        <v>272000</v>
      </c>
      <c r="F2200" s="163">
        <f t="shared" si="1186"/>
        <v>1795200.0000000002</v>
      </c>
      <c r="G2200" s="163">
        <f t="shared" si="1187"/>
        <v>1632000</v>
      </c>
      <c r="H2200" s="690" t="s">
        <v>173</v>
      </c>
      <c r="I2200" s="71" t="s">
        <v>108</v>
      </c>
      <c r="J2200" s="53">
        <f t="shared" si="1188"/>
        <v>384000</v>
      </c>
      <c r="K2200" s="63">
        <f t="shared" si="1190"/>
        <v>0.23529411764705879</v>
      </c>
      <c r="L2200" s="871" t="s">
        <v>2005</v>
      </c>
      <c r="M2200" s="468"/>
      <c r="N2200" s="664">
        <v>190613</v>
      </c>
      <c r="O2200" s="71" t="s">
        <v>149</v>
      </c>
      <c r="P2200" s="103" t="s">
        <v>220</v>
      </c>
      <c r="Q2200" s="71">
        <f>D2200</f>
        <v>6</v>
      </c>
      <c r="R2200" s="102">
        <v>208000</v>
      </c>
      <c r="S2200" s="102">
        <f>(R2200*D2200)*1.1</f>
        <v>1372800</v>
      </c>
      <c r="T2200" s="102">
        <f>(R2200*Q2200)</f>
        <v>1248000</v>
      </c>
      <c r="U2200" s="71" t="s">
        <v>859</v>
      </c>
      <c r="V2200" s="71"/>
      <c r="W2200" s="474">
        <v>192000</v>
      </c>
      <c r="X2200" s="71"/>
      <c r="Y2200" s="71"/>
    </row>
    <row r="2201" spans="1:25" ht="30" customHeight="1" x14ac:dyDescent="0.2">
      <c r="A2201" s="82">
        <v>190709</v>
      </c>
      <c r="B2201" s="664" t="s">
        <v>422</v>
      </c>
      <c r="C2201" s="71" t="s">
        <v>584</v>
      </c>
      <c r="D2201" s="71">
        <v>3</v>
      </c>
      <c r="E2201" s="102">
        <v>270000</v>
      </c>
      <c r="F2201" s="163">
        <f t="shared" si="1186"/>
        <v>891000.00000000012</v>
      </c>
      <c r="G2201" s="163">
        <f t="shared" si="1187"/>
        <v>810000</v>
      </c>
      <c r="H2201" s="690" t="s">
        <v>173</v>
      </c>
      <c r="I2201" s="71" t="s">
        <v>2231</v>
      </c>
      <c r="J2201" s="53">
        <f t="shared" si="1188"/>
        <v>162000</v>
      </c>
      <c r="K2201" s="63">
        <f t="shared" si="1190"/>
        <v>0.19999999999999998</v>
      </c>
      <c r="L2201" s="871" t="s">
        <v>2005</v>
      </c>
      <c r="M2201" s="468"/>
      <c r="N2201" s="664">
        <v>190613</v>
      </c>
      <c r="O2201" s="71" t="s">
        <v>150</v>
      </c>
      <c r="P2201" s="103" t="s">
        <v>655</v>
      </c>
      <c r="Q2201" s="71">
        <f>D2201</f>
        <v>3</v>
      </c>
      <c r="R2201" s="102">
        <v>216000</v>
      </c>
      <c r="S2201" s="102">
        <f>(R2201*D2201)*1.1</f>
        <v>712800</v>
      </c>
      <c r="T2201" s="102">
        <f>(R2201*Q2201)</f>
        <v>648000</v>
      </c>
      <c r="U2201" s="71" t="s">
        <v>859</v>
      </c>
      <c r="V2201" s="71"/>
      <c r="W2201" s="474">
        <v>162000</v>
      </c>
      <c r="X2201" s="71"/>
      <c r="Y2201" s="71"/>
    </row>
    <row r="2202" spans="1:25" s="209" customFormat="1" ht="30" customHeight="1" x14ac:dyDescent="0.2">
      <c r="A2202" s="82">
        <v>190709</v>
      </c>
      <c r="B2202" s="664" t="s">
        <v>422</v>
      </c>
      <c r="C2202" s="71" t="s">
        <v>138</v>
      </c>
      <c r="D2202" s="71">
        <v>10</v>
      </c>
      <c r="E2202" s="102">
        <v>68000</v>
      </c>
      <c r="F2202" s="163">
        <f t="shared" ref="F2202:F2248" si="1191">(E2202*D2202)*1.1</f>
        <v>748000.00000000012</v>
      </c>
      <c r="G2202" s="163">
        <f t="shared" ref="G2202:G2248" si="1192">(E2202*D2202)</f>
        <v>680000</v>
      </c>
      <c r="H2202" s="165" t="s">
        <v>172</v>
      </c>
      <c r="I2202" s="71" t="s">
        <v>109</v>
      </c>
      <c r="J2202" s="53">
        <f>(G2202-(VLOOKUP(C2202,Price!B:D,3,FALSE)*D2202))</f>
        <v>170000</v>
      </c>
      <c r="K2202" s="63">
        <f t="shared" si="1190"/>
        <v>0.24999999999999994</v>
      </c>
      <c r="L2202" s="871" t="s">
        <v>2005</v>
      </c>
      <c r="M2202" s="468"/>
      <c r="N2202" s="664">
        <f>A2202</f>
        <v>190709</v>
      </c>
      <c r="O2202" s="71" t="s">
        <v>150</v>
      </c>
      <c r="P2202" s="103" t="str">
        <f>C2202</f>
        <v>매엽용 세척제(Wash 562)</v>
      </c>
      <c r="Q2202" s="71">
        <f>D2202</f>
        <v>10</v>
      </c>
      <c r="R2202" s="102">
        <v>51000</v>
      </c>
      <c r="S2202" s="102">
        <f>(R2202*D2202)*1.1</f>
        <v>561000</v>
      </c>
      <c r="T2202" s="102">
        <f>(R2202*Q2202)</f>
        <v>510000</v>
      </c>
      <c r="U2202" s="71" t="str">
        <f>IF(J2202=W2202,"O", "X")</f>
        <v>O</v>
      </c>
      <c r="V2202" s="71"/>
      <c r="W2202" s="474">
        <f>(G2202-T2202)</f>
        <v>170000</v>
      </c>
      <c r="X2202" s="71"/>
      <c r="Y2202" s="71"/>
    </row>
    <row r="2203" spans="1:25" ht="30" customHeight="1" x14ac:dyDescent="0.25">
      <c r="A2203" s="82">
        <v>190709</v>
      </c>
      <c r="B2203" s="664" t="s">
        <v>565</v>
      </c>
      <c r="C2203" s="71" t="s">
        <v>1800</v>
      </c>
      <c r="D2203" s="71">
        <v>10</v>
      </c>
      <c r="E2203" s="102">
        <v>80000</v>
      </c>
      <c r="F2203" s="102">
        <f t="shared" si="1191"/>
        <v>880000.00000000012</v>
      </c>
      <c r="G2203" s="102">
        <f t="shared" si="1192"/>
        <v>800000</v>
      </c>
      <c r="H2203" s="690" t="s">
        <v>142</v>
      </c>
      <c r="I2203" s="71" t="s">
        <v>2273</v>
      </c>
      <c r="J2203" s="53">
        <f>G2203-T2203</f>
        <v>200000</v>
      </c>
      <c r="K2203" s="63">
        <f t="shared" si="1190"/>
        <v>0.24999999999999997</v>
      </c>
      <c r="L2203" s="871" t="s">
        <v>2005</v>
      </c>
      <c r="M2203" s="468"/>
      <c r="N2203" s="664">
        <f>A2203</f>
        <v>190709</v>
      </c>
      <c r="O2203" s="71" t="s">
        <v>1801</v>
      </c>
      <c r="P2203" s="103" t="str">
        <f>C2203</f>
        <v>CTP 베어링</v>
      </c>
      <c r="Q2203" s="71">
        <f>D2203</f>
        <v>10</v>
      </c>
      <c r="R2203" s="102">
        <v>60000</v>
      </c>
      <c r="S2203" s="102">
        <f>(R2203*D2203)*1.1</f>
        <v>660000</v>
      </c>
      <c r="T2203" s="102">
        <f>(R2203*Q2203)</f>
        <v>600000</v>
      </c>
      <c r="U2203" s="71" t="str">
        <f>IF(J2203=W2203,"O", "X")</f>
        <v>X</v>
      </c>
      <c r="V2203" s="71"/>
      <c r="W2203" s="474"/>
      <c r="X2203" s="71"/>
      <c r="Y2203" s="71"/>
    </row>
    <row r="2204" spans="1:25" ht="30" customHeight="1" x14ac:dyDescent="0.25">
      <c r="A2204" s="82">
        <v>190709</v>
      </c>
      <c r="B2204" s="664" t="s">
        <v>422</v>
      </c>
      <c r="C2204" s="71" t="s">
        <v>1222</v>
      </c>
      <c r="D2204" s="71">
        <v>150</v>
      </c>
      <c r="E2204" s="102">
        <v>58700</v>
      </c>
      <c r="F2204" s="102">
        <f t="shared" si="1191"/>
        <v>9685500</v>
      </c>
      <c r="G2204" s="102">
        <f t="shared" si="1192"/>
        <v>8805000</v>
      </c>
      <c r="H2204" s="690" t="s">
        <v>142</v>
      </c>
      <c r="I2204" s="71" t="s">
        <v>142</v>
      </c>
      <c r="J2204" s="53">
        <f>G2204-T2204</f>
        <v>1842810.4999999991</v>
      </c>
      <c r="K2204" s="63">
        <f>(J2204/(F2204/11*10))</f>
        <v>0.20929136854060182</v>
      </c>
      <c r="L2204" s="871" t="s">
        <v>2005</v>
      </c>
      <c r="M2204" s="468"/>
      <c r="N2204" s="664"/>
      <c r="O2204" s="71" t="s">
        <v>1431</v>
      </c>
      <c r="P2204" s="103" t="str">
        <f>C2204</f>
        <v>페이퍼 홀더</v>
      </c>
      <c r="Q2204" s="71">
        <f>D2204</f>
        <v>150</v>
      </c>
      <c r="R2204" s="102">
        <f>Import!G196</f>
        <v>46414.596666666672</v>
      </c>
      <c r="S2204" s="102">
        <f>(R2204*D2204)*1.1</f>
        <v>7658408.450000002</v>
      </c>
      <c r="T2204" s="102">
        <f>(R2204*Q2204)</f>
        <v>6962189.5000000009</v>
      </c>
      <c r="U2204" s="71"/>
      <c r="V2204" s="71"/>
      <c r="W2204" s="474"/>
      <c r="X2204" s="71"/>
      <c r="Y2204" s="71"/>
    </row>
    <row r="2205" spans="1:25" ht="30" customHeight="1" x14ac:dyDescent="0.25">
      <c r="A2205" s="82">
        <v>190709</v>
      </c>
      <c r="B2205" s="664" t="s">
        <v>422</v>
      </c>
      <c r="C2205" s="760" t="s">
        <v>218</v>
      </c>
      <c r="D2205" s="71">
        <v>4</v>
      </c>
      <c r="E2205" s="102">
        <v>235000</v>
      </c>
      <c r="F2205" s="102">
        <f t="shared" si="1191"/>
        <v>1034000.0000000001</v>
      </c>
      <c r="G2205" s="102">
        <f t="shared" si="1192"/>
        <v>940000</v>
      </c>
      <c r="H2205" s="690" t="s">
        <v>173</v>
      </c>
      <c r="I2205" s="71" t="s">
        <v>120</v>
      </c>
      <c r="J2205" s="53">
        <f>(G2205-(VLOOKUP(C2205,Price!B:D,3,FALSE)*D2205))</f>
        <v>490000</v>
      </c>
      <c r="K2205" s="63">
        <f>(J2205/(F2205/11*10))</f>
        <v>0.52127659574468077</v>
      </c>
      <c r="L2205" s="871" t="s">
        <v>2005</v>
      </c>
      <c r="M2205" s="468"/>
      <c r="N2205" s="664">
        <f t="shared" ref="N2205:N2231" si="1193">A2205</f>
        <v>190709</v>
      </c>
      <c r="O2205" s="71" t="s">
        <v>150</v>
      </c>
      <c r="P2205" s="103" t="str">
        <f t="shared" ref="P2205:Q2212" si="1194">C2205</f>
        <v>Fount Web 551AF</v>
      </c>
      <c r="Q2205" s="71">
        <f t="shared" si="1194"/>
        <v>4</v>
      </c>
      <c r="R2205" s="102">
        <v>112500</v>
      </c>
      <c r="S2205" s="102">
        <f>R2205*Q2205*1.1</f>
        <v>495000.00000000006</v>
      </c>
      <c r="T2205" s="102">
        <f>R2205*Q2205</f>
        <v>450000</v>
      </c>
      <c r="U2205" s="71" t="str">
        <f t="shared" ref="U2205:U2220" si="1195">IF(J2205=W2205,"O", "X")</f>
        <v>O</v>
      </c>
      <c r="V2205" s="71"/>
      <c r="W2205" s="474">
        <f t="shared" ref="W2205:W2215" si="1196">(G2205-T2205)</f>
        <v>490000</v>
      </c>
      <c r="X2205" s="71"/>
      <c r="Y2205" s="71"/>
    </row>
    <row r="2206" spans="1:25" s="209" customFormat="1" ht="30" hidden="1" customHeight="1" x14ac:dyDescent="0.25">
      <c r="A2206" s="82">
        <v>190710</v>
      </c>
      <c r="B2206" s="664" t="s">
        <v>764</v>
      </c>
      <c r="C2206" s="71" t="s">
        <v>236</v>
      </c>
      <c r="D2206" s="71">
        <v>5</v>
      </c>
      <c r="E2206" s="102">
        <v>100000</v>
      </c>
      <c r="F2206" s="102">
        <f t="shared" si="1191"/>
        <v>550000</v>
      </c>
      <c r="G2206" s="102">
        <f t="shared" si="1192"/>
        <v>500000</v>
      </c>
      <c r="H2206" s="690" t="s">
        <v>173</v>
      </c>
      <c r="I2206" s="71" t="s">
        <v>2231</v>
      </c>
      <c r="J2206" s="53">
        <f>G2206-T2206</f>
        <v>250000</v>
      </c>
      <c r="K2206" s="63">
        <f>(J2206/(F2206/11*10))</f>
        <v>0.5</v>
      </c>
      <c r="L2206" s="871" t="s">
        <v>2005</v>
      </c>
      <c r="M2206" s="468"/>
      <c r="N2206" s="664">
        <f t="shared" si="1193"/>
        <v>190710</v>
      </c>
      <c r="O2206" s="71" t="s">
        <v>153</v>
      </c>
      <c r="P2206" s="103" t="str">
        <f t="shared" si="1194"/>
        <v>아스테이지(국전)</v>
      </c>
      <c r="Q2206" s="71">
        <f t="shared" si="1194"/>
        <v>5</v>
      </c>
      <c r="R2206" s="102">
        <f>VLOOKUP(P2206,Price!B:D,3,FALSE)</f>
        <v>50000</v>
      </c>
      <c r="S2206" s="102">
        <f>R2206*Q2206*1.1</f>
        <v>275000</v>
      </c>
      <c r="T2206" s="102">
        <f>R2206*Q2206</f>
        <v>250000</v>
      </c>
      <c r="U2206" s="71" t="str">
        <f t="shared" si="1195"/>
        <v>O</v>
      </c>
      <c r="V2206" s="71"/>
      <c r="W2206" s="474">
        <f t="shared" si="1196"/>
        <v>250000</v>
      </c>
      <c r="X2206" s="71"/>
      <c r="Y2206" s="71"/>
    </row>
    <row r="2207" spans="1:25" ht="30" hidden="1" customHeight="1" x14ac:dyDescent="0.25">
      <c r="A2207" s="82">
        <v>190710</v>
      </c>
      <c r="B2207" s="664" t="s">
        <v>442</v>
      </c>
      <c r="C2207" s="71" t="s">
        <v>133</v>
      </c>
      <c r="D2207" s="71">
        <v>2</v>
      </c>
      <c r="E2207" s="102">
        <v>327000</v>
      </c>
      <c r="F2207" s="102">
        <f t="shared" si="1191"/>
        <v>719400</v>
      </c>
      <c r="G2207" s="102">
        <f t="shared" si="1192"/>
        <v>654000</v>
      </c>
      <c r="H2207" s="690" t="s">
        <v>173</v>
      </c>
      <c r="I2207" s="71" t="s">
        <v>141</v>
      </c>
      <c r="J2207" s="53">
        <f>(G2207-(VLOOKUP(C2207,Price!B:D,3,FALSE)*D2207))</f>
        <v>115800</v>
      </c>
      <c r="K2207" s="63">
        <f t="shared" ref="K2207:K2220" si="1197">(J2207/(F2207/11*10))</f>
        <v>0.17706422018348625</v>
      </c>
      <c r="L2207" s="871" t="s">
        <v>2005</v>
      </c>
      <c r="M2207" s="468"/>
      <c r="N2207" s="664">
        <f t="shared" si="1193"/>
        <v>190710</v>
      </c>
      <c r="O2207" s="71" t="s">
        <v>145</v>
      </c>
      <c r="P2207" s="103" t="str">
        <f t="shared" si="1194"/>
        <v>Agfa Film(24inch)</v>
      </c>
      <c r="Q2207" s="71">
        <f t="shared" si="1194"/>
        <v>2</v>
      </c>
      <c r="R2207" s="102">
        <v>269100</v>
      </c>
      <c r="S2207" s="102">
        <f>R2207*Q2207*1.1</f>
        <v>592020</v>
      </c>
      <c r="T2207" s="102">
        <f>R2207*Q2207</f>
        <v>538200</v>
      </c>
      <c r="U2207" s="71" t="str">
        <f t="shared" si="1195"/>
        <v>O</v>
      </c>
      <c r="V2207" s="71"/>
      <c r="W2207" s="474">
        <f t="shared" si="1196"/>
        <v>115800</v>
      </c>
      <c r="X2207" s="71"/>
      <c r="Y2207" s="71"/>
    </row>
    <row r="2208" spans="1:25" ht="30" hidden="1" customHeight="1" x14ac:dyDescent="0.25">
      <c r="A2208" s="82">
        <v>190710</v>
      </c>
      <c r="B2208" s="664" t="s">
        <v>442</v>
      </c>
      <c r="C2208" s="71" t="s">
        <v>134</v>
      </c>
      <c r="D2208" s="71">
        <v>2</v>
      </c>
      <c r="E2208" s="102">
        <v>401000</v>
      </c>
      <c r="F2208" s="102">
        <f t="shared" si="1191"/>
        <v>882200.00000000012</v>
      </c>
      <c r="G2208" s="102">
        <f t="shared" si="1192"/>
        <v>802000</v>
      </c>
      <c r="H2208" s="690" t="s">
        <v>173</v>
      </c>
      <c r="I2208" s="71" t="s">
        <v>141</v>
      </c>
      <c r="J2208" s="53">
        <f>(G2208-(VLOOKUP(C2208,Price!B:D,3,FALSE)*D2208))</f>
        <v>174080</v>
      </c>
      <c r="K2208" s="63">
        <f t="shared" si="1197"/>
        <v>0.21705735660847877</v>
      </c>
      <c r="L2208" s="871" t="s">
        <v>2005</v>
      </c>
      <c r="M2208" s="468"/>
      <c r="N2208" s="664">
        <f t="shared" si="1193"/>
        <v>190710</v>
      </c>
      <c r="O2208" s="71" t="s">
        <v>145</v>
      </c>
      <c r="P2208" s="103" t="str">
        <f t="shared" si="1194"/>
        <v>Agfa Film(28inch)</v>
      </c>
      <c r="Q2208" s="71">
        <f t="shared" si="1194"/>
        <v>2</v>
      </c>
      <c r="R2208" s="102">
        <f>VLOOKUP(P2208,Price!B:D,3,FALSE)</f>
        <v>313960</v>
      </c>
      <c r="S2208" s="102">
        <f>R2208*Q2208*1.1</f>
        <v>690712</v>
      </c>
      <c r="T2208" s="102">
        <f>R2208*Q2208</f>
        <v>627920</v>
      </c>
      <c r="U2208" s="71" t="str">
        <f t="shared" si="1195"/>
        <v>O</v>
      </c>
      <c r="V2208" s="71"/>
      <c r="W2208" s="474">
        <f t="shared" si="1196"/>
        <v>174080</v>
      </c>
      <c r="X2208" s="71"/>
      <c r="Y2208" s="71"/>
    </row>
    <row r="2209" spans="1:25" ht="30" hidden="1" customHeight="1" x14ac:dyDescent="0.25">
      <c r="A2209" s="82">
        <v>190710</v>
      </c>
      <c r="B2209" s="664" t="s">
        <v>442</v>
      </c>
      <c r="C2209" s="71" t="s">
        <v>135</v>
      </c>
      <c r="D2209" s="71">
        <v>2</v>
      </c>
      <c r="E2209" s="102">
        <v>448000</v>
      </c>
      <c r="F2209" s="102">
        <f t="shared" si="1191"/>
        <v>985600.00000000012</v>
      </c>
      <c r="G2209" s="102">
        <f t="shared" si="1192"/>
        <v>896000</v>
      </c>
      <c r="H2209" s="690" t="s">
        <v>173</v>
      </c>
      <c r="I2209" s="71" t="s">
        <v>141</v>
      </c>
      <c r="J2209" s="53">
        <f>(G2209-(VLOOKUP(C2209,Price!B:D,3,FALSE)*D2209))</f>
        <v>155980</v>
      </c>
      <c r="K2209" s="63">
        <f t="shared" si="1197"/>
        <v>0.1740848214285714</v>
      </c>
      <c r="L2209" s="871" t="s">
        <v>2005</v>
      </c>
      <c r="M2209" s="468"/>
      <c r="N2209" s="664">
        <f t="shared" si="1193"/>
        <v>190710</v>
      </c>
      <c r="O2209" s="71" t="s">
        <v>145</v>
      </c>
      <c r="P2209" s="103" t="str">
        <f t="shared" si="1194"/>
        <v>Agfa Film(32inch)</v>
      </c>
      <c r="Q2209" s="71">
        <f t="shared" si="1194"/>
        <v>2</v>
      </c>
      <c r="R2209" s="102">
        <f>VLOOKUP(P2209,Price!B:D,3,FALSE)</f>
        <v>370010</v>
      </c>
      <c r="S2209" s="102">
        <f>R2209*Q2209*1.1</f>
        <v>814022.00000000012</v>
      </c>
      <c r="T2209" s="102">
        <f>R2209*Q2209</f>
        <v>740020</v>
      </c>
      <c r="U2209" s="71" t="str">
        <f t="shared" si="1195"/>
        <v>O</v>
      </c>
      <c r="V2209" s="71"/>
      <c r="W2209" s="474">
        <f t="shared" si="1196"/>
        <v>155980</v>
      </c>
      <c r="X2209" s="71"/>
      <c r="Y2209" s="71"/>
    </row>
    <row r="2210" spans="1:25" ht="30" hidden="1" customHeight="1" x14ac:dyDescent="0.25">
      <c r="A2210" s="82">
        <v>190710</v>
      </c>
      <c r="B2210" s="664" t="s">
        <v>673</v>
      </c>
      <c r="C2210" s="71" t="s">
        <v>236</v>
      </c>
      <c r="D2210" s="71">
        <v>2</v>
      </c>
      <c r="E2210" s="102">
        <v>110000</v>
      </c>
      <c r="F2210" s="102">
        <f t="shared" si="1191"/>
        <v>242000.00000000003</v>
      </c>
      <c r="G2210" s="102">
        <f t="shared" si="1192"/>
        <v>220000</v>
      </c>
      <c r="H2210" s="690" t="s">
        <v>173</v>
      </c>
      <c r="I2210" s="71" t="s">
        <v>2231</v>
      </c>
      <c r="J2210" s="53">
        <f>(G2210-(VLOOKUP(C2210,Price!B:D,3,FALSE)*D2210))</f>
        <v>120000</v>
      </c>
      <c r="K2210" s="63">
        <f t="shared" si="1197"/>
        <v>0.54545454545454541</v>
      </c>
      <c r="L2210" s="871" t="s">
        <v>2005</v>
      </c>
      <c r="M2210" s="468"/>
      <c r="N2210" s="664">
        <f t="shared" si="1193"/>
        <v>190710</v>
      </c>
      <c r="O2210" s="71" t="s">
        <v>153</v>
      </c>
      <c r="P2210" s="103" t="str">
        <f t="shared" si="1194"/>
        <v>아스테이지(국전)</v>
      </c>
      <c r="Q2210" s="71">
        <f t="shared" si="1194"/>
        <v>2</v>
      </c>
      <c r="R2210" s="102">
        <v>50000</v>
      </c>
      <c r="S2210" s="102">
        <f>(R2210*D2210)*1.1</f>
        <v>110000.00000000001</v>
      </c>
      <c r="T2210" s="102">
        <f>(R2210*Q2210)</f>
        <v>100000</v>
      </c>
      <c r="U2210" s="71" t="str">
        <f t="shared" si="1195"/>
        <v>O</v>
      </c>
      <c r="V2210" s="71"/>
      <c r="W2210" s="474">
        <f t="shared" si="1196"/>
        <v>120000</v>
      </c>
      <c r="X2210" s="71"/>
      <c r="Y2210" s="71"/>
    </row>
    <row r="2211" spans="1:25" s="209" customFormat="1" ht="30" hidden="1" customHeight="1" x14ac:dyDescent="0.25">
      <c r="A2211" s="82">
        <v>190711</v>
      </c>
      <c r="B2211" s="664" t="s">
        <v>445</v>
      </c>
      <c r="C2211" s="71" t="s">
        <v>277</v>
      </c>
      <c r="D2211" s="71">
        <v>5</v>
      </c>
      <c r="E2211" s="102">
        <v>172000</v>
      </c>
      <c r="F2211" s="102">
        <f t="shared" si="1191"/>
        <v>946000.00000000012</v>
      </c>
      <c r="G2211" s="102">
        <f t="shared" si="1192"/>
        <v>860000</v>
      </c>
      <c r="H2211" s="690" t="s">
        <v>173</v>
      </c>
      <c r="I2211" s="71" t="s">
        <v>108</v>
      </c>
      <c r="J2211" s="53">
        <f>(G2211-(VLOOKUP(C2211,Price!B:D,3,FALSE)*D2211))</f>
        <v>285000</v>
      </c>
      <c r="K2211" s="63">
        <f t="shared" si="1197"/>
        <v>0.33139534883720928</v>
      </c>
      <c r="L2211" s="871" t="s">
        <v>2005</v>
      </c>
      <c r="M2211" s="468"/>
      <c r="N2211" s="664">
        <f t="shared" si="1193"/>
        <v>190711</v>
      </c>
      <c r="O2211" s="71" t="s">
        <v>150</v>
      </c>
      <c r="P2211" s="103" t="str">
        <f t="shared" si="1194"/>
        <v>윤전용 세척제(Web 504)</v>
      </c>
      <c r="Q2211" s="71">
        <f t="shared" si="1194"/>
        <v>5</v>
      </c>
      <c r="R2211" s="102">
        <v>115000</v>
      </c>
      <c r="S2211" s="102">
        <f>(R2211*D2211)*1.1</f>
        <v>632500</v>
      </c>
      <c r="T2211" s="102">
        <f>(R2211*Q2211)</f>
        <v>575000</v>
      </c>
      <c r="U2211" s="71" t="str">
        <f t="shared" si="1195"/>
        <v>O</v>
      </c>
      <c r="V2211" s="71"/>
      <c r="W2211" s="474">
        <f t="shared" si="1196"/>
        <v>285000</v>
      </c>
      <c r="X2211" s="71"/>
      <c r="Y2211" s="71"/>
    </row>
    <row r="2212" spans="1:25" ht="30" hidden="1" customHeight="1" x14ac:dyDescent="0.25">
      <c r="A2212" s="82">
        <v>190711</v>
      </c>
      <c r="B2212" s="664" t="s">
        <v>640</v>
      </c>
      <c r="C2212" s="71" t="s">
        <v>1144</v>
      </c>
      <c r="D2212" s="71">
        <v>6</v>
      </c>
      <c r="E2212" s="102">
        <v>110000</v>
      </c>
      <c r="F2212" s="102">
        <f t="shared" si="1191"/>
        <v>726000.00000000012</v>
      </c>
      <c r="G2212" s="102">
        <f t="shared" si="1192"/>
        <v>660000</v>
      </c>
      <c r="H2212" s="690" t="s">
        <v>173</v>
      </c>
      <c r="I2212" s="71" t="s">
        <v>2231</v>
      </c>
      <c r="J2212" s="53">
        <f>G2212-T2212</f>
        <v>114000</v>
      </c>
      <c r="K2212" s="63">
        <f>(J2212/(F2212/11*10))</f>
        <v>0.1727272727272727</v>
      </c>
      <c r="L2212" s="871" t="s">
        <v>2005</v>
      </c>
      <c r="M2212" s="468"/>
      <c r="N2212" s="664">
        <f t="shared" si="1193"/>
        <v>190711</v>
      </c>
      <c r="O2212" s="71" t="s">
        <v>150</v>
      </c>
      <c r="P2212" s="103" t="str">
        <f t="shared" si="1194"/>
        <v>실리콘 에멀전</v>
      </c>
      <c r="Q2212" s="71">
        <f t="shared" si="1194"/>
        <v>6</v>
      </c>
      <c r="R2212" s="102">
        <v>91000</v>
      </c>
      <c r="S2212" s="102">
        <f>R2212*Q2212*1.1</f>
        <v>600600</v>
      </c>
      <c r="T2212" s="102">
        <f>R2212*Q2212</f>
        <v>546000</v>
      </c>
      <c r="U2212" s="71" t="str">
        <f t="shared" si="1195"/>
        <v>O</v>
      </c>
      <c r="V2212" s="71"/>
      <c r="W2212" s="474">
        <f t="shared" si="1196"/>
        <v>114000</v>
      </c>
      <c r="X2212" s="71"/>
      <c r="Y2212" s="71"/>
    </row>
    <row r="2213" spans="1:25" s="209" customFormat="1" ht="30" hidden="1" customHeight="1" x14ac:dyDescent="0.25">
      <c r="A2213" s="82">
        <v>190711</v>
      </c>
      <c r="B2213" s="664" t="s">
        <v>1286</v>
      </c>
      <c r="C2213" s="71" t="s">
        <v>277</v>
      </c>
      <c r="D2213" s="71">
        <v>5</v>
      </c>
      <c r="E2213" s="102">
        <v>172000</v>
      </c>
      <c r="F2213" s="102">
        <f t="shared" si="1191"/>
        <v>946000.00000000012</v>
      </c>
      <c r="G2213" s="102">
        <f t="shared" si="1192"/>
        <v>860000</v>
      </c>
      <c r="H2213" s="690" t="s">
        <v>173</v>
      </c>
      <c r="I2213" s="71" t="s">
        <v>108</v>
      </c>
      <c r="J2213" s="53">
        <f>(G2213-(VLOOKUP(C2213,Price!B:D,3,FALSE)*D2213))</f>
        <v>285000</v>
      </c>
      <c r="K2213" s="63">
        <f>(J2213/(F2213/11*10))</f>
        <v>0.33139534883720928</v>
      </c>
      <c r="L2213" s="871" t="s">
        <v>2005</v>
      </c>
      <c r="M2213" s="468"/>
      <c r="N2213" s="664">
        <f t="shared" si="1193"/>
        <v>190711</v>
      </c>
      <c r="O2213" s="71" t="s">
        <v>150</v>
      </c>
      <c r="P2213" s="103" t="str">
        <f>(C2213)</f>
        <v>윤전용 세척제(Web 504)</v>
      </c>
      <c r="Q2213" s="71">
        <f t="shared" ref="Q2213:Q2221" si="1198">D2213</f>
        <v>5</v>
      </c>
      <c r="R2213" s="102">
        <v>115000</v>
      </c>
      <c r="S2213" s="102">
        <f>(R2213*D2213)*1.1</f>
        <v>632500</v>
      </c>
      <c r="T2213" s="102">
        <f>(R2213*Q2213)</f>
        <v>575000</v>
      </c>
      <c r="U2213" s="71" t="str">
        <f t="shared" si="1195"/>
        <v>O</v>
      </c>
      <c r="V2213" s="71"/>
      <c r="W2213" s="474">
        <f t="shared" si="1196"/>
        <v>285000</v>
      </c>
      <c r="X2213" s="71"/>
      <c r="Y2213" s="71"/>
    </row>
    <row r="2214" spans="1:25" s="209" customFormat="1" ht="30" hidden="1" customHeight="1" x14ac:dyDescent="0.25">
      <c r="A2214" s="82">
        <v>190711</v>
      </c>
      <c r="B2214" s="664" t="s">
        <v>1286</v>
      </c>
      <c r="C2214" s="71" t="s">
        <v>1144</v>
      </c>
      <c r="D2214" s="71">
        <v>4</v>
      </c>
      <c r="E2214" s="102">
        <v>110000</v>
      </c>
      <c r="F2214" s="102">
        <f t="shared" si="1191"/>
        <v>484000.00000000006</v>
      </c>
      <c r="G2214" s="102">
        <f t="shared" si="1192"/>
        <v>440000</v>
      </c>
      <c r="H2214" s="690" t="s">
        <v>173</v>
      </c>
      <c r="I2214" s="71" t="s">
        <v>2231</v>
      </c>
      <c r="J2214" s="53">
        <f>G2214-T2214</f>
        <v>76000</v>
      </c>
      <c r="K2214" s="63">
        <f>(J2214/(F2214/11*10))</f>
        <v>0.1727272727272727</v>
      </c>
      <c r="L2214" s="871" t="s">
        <v>2005</v>
      </c>
      <c r="M2214" s="468"/>
      <c r="N2214" s="664">
        <f t="shared" si="1193"/>
        <v>190711</v>
      </c>
      <c r="O2214" s="71" t="s">
        <v>150</v>
      </c>
      <c r="P2214" s="103" t="str">
        <f t="shared" ref="P2214:P2221" si="1199">C2214</f>
        <v>실리콘 에멀전</v>
      </c>
      <c r="Q2214" s="71">
        <f t="shared" si="1198"/>
        <v>4</v>
      </c>
      <c r="R2214" s="102">
        <v>91000</v>
      </c>
      <c r="S2214" s="102">
        <f t="shared" ref="S2214:S2241" si="1200">R2214*Q2214*1.1</f>
        <v>400400.00000000006</v>
      </c>
      <c r="T2214" s="102">
        <f t="shared" ref="T2214:T2241" si="1201">R2214*Q2214</f>
        <v>364000</v>
      </c>
      <c r="U2214" s="71" t="str">
        <f t="shared" si="1195"/>
        <v>O</v>
      </c>
      <c r="V2214" s="71"/>
      <c r="W2214" s="474">
        <f t="shared" si="1196"/>
        <v>76000</v>
      </c>
      <c r="X2214" s="71"/>
      <c r="Y2214" s="71"/>
    </row>
    <row r="2215" spans="1:25" ht="30" hidden="1" customHeight="1" x14ac:dyDescent="0.25">
      <c r="A2215" s="82">
        <v>190711</v>
      </c>
      <c r="B2215" s="664" t="s">
        <v>1286</v>
      </c>
      <c r="C2215" s="760" t="s">
        <v>218</v>
      </c>
      <c r="D2215" s="71">
        <v>5</v>
      </c>
      <c r="E2215" s="102">
        <v>192500</v>
      </c>
      <c r="F2215" s="102">
        <f t="shared" si="1191"/>
        <v>1058750</v>
      </c>
      <c r="G2215" s="102">
        <f t="shared" si="1192"/>
        <v>962500</v>
      </c>
      <c r="H2215" s="690" t="s">
        <v>173</v>
      </c>
      <c r="I2215" s="71" t="s">
        <v>120</v>
      </c>
      <c r="J2215" s="53">
        <f>(G2215-(VLOOKUP(C2215,Price!B:D,3,FALSE)*D2215))</f>
        <v>400000</v>
      </c>
      <c r="K2215" s="63">
        <f>(J2215/(F2215/11*10))</f>
        <v>0.41558441558441561</v>
      </c>
      <c r="L2215" s="871" t="s">
        <v>2005</v>
      </c>
      <c r="M2215" s="468"/>
      <c r="N2215" s="664">
        <f t="shared" si="1193"/>
        <v>190711</v>
      </c>
      <c r="O2215" s="71" t="s">
        <v>150</v>
      </c>
      <c r="P2215" s="103" t="str">
        <f t="shared" si="1199"/>
        <v>Fount Web 551AF</v>
      </c>
      <c r="Q2215" s="71">
        <f t="shared" si="1198"/>
        <v>5</v>
      </c>
      <c r="R2215" s="102">
        <v>112500</v>
      </c>
      <c r="S2215" s="102">
        <f t="shared" si="1200"/>
        <v>618750</v>
      </c>
      <c r="T2215" s="102">
        <f t="shared" si="1201"/>
        <v>562500</v>
      </c>
      <c r="U2215" s="71" t="str">
        <f t="shared" si="1195"/>
        <v>O</v>
      </c>
      <c r="V2215" s="71"/>
      <c r="W2215" s="474">
        <f t="shared" si="1196"/>
        <v>400000</v>
      </c>
      <c r="X2215" s="71"/>
      <c r="Y2215" s="71"/>
    </row>
    <row r="2216" spans="1:25" ht="30" hidden="1" customHeight="1" x14ac:dyDescent="0.25">
      <c r="A2216" s="82">
        <v>190712</v>
      </c>
      <c r="B2216" s="664" t="s">
        <v>567</v>
      </c>
      <c r="C2216" s="71" t="s">
        <v>1652</v>
      </c>
      <c r="D2216" s="71">
        <v>5</v>
      </c>
      <c r="E2216" s="102">
        <v>55000</v>
      </c>
      <c r="F2216" s="102">
        <f t="shared" si="1191"/>
        <v>302500</v>
      </c>
      <c r="G2216" s="102">
        <f t="shared" si="1192"/>
        <v>275000</v>
      </c>
      <c r="H2216" s="690" t="s">
        <v>173</v>
      </c>
      <c r="I2216" s="71" t="s">
        <v>2231</v>
      </c>
      <c r="J2216" s="53">
        <f>G2216-T2216</f>
        <v>75000</v>
      </c>
      <c r="K2216" s="63">
        <f t="shared" si="1197"/>
        <v>0.27272727272727271</v>
      </c>
      <c r="L2216" s="871" t="s">
        <v>2005</v>
      </c>
      <c r="M2216" s="468"/>
      <c r="N2216" s="664">
        <f t="shared" si="1193"/>
        <v>190712</v>
      </c>
      <c r="O2216" s="71" t="s">
        <v>153</v>
      </c>
      <c r="P2216" s="103" t="str">
        <f t="shared" si="1199"/>
        <v>아스테이지(CD74용)</v>
      </c>
      <c r="Q2216" s="71">
        <f t="shared" si="1198"/>
        <v>5</v>
      </c>
      <c r="R2216" s="102">
        <v>40000</v>
      </c>
      <c r="S2216" s="102">
        <f t="shared" si="1200"/>
        <v>220000.00000000003</v>
      </c>
      <c r="T2216" s="102">
        <f t="shared" si="1201"/>
        <v>200000</v>
      </c>
      <c r="U2216" s="71" t="str">
        <f t="shared" si="1195"/>
        <v>X</v>
      </c>
      <c r="V2216" s="71"/>
      <c r="W2216" s="474"/>
      <c r="X2216" s="71"/>
      <c r="Y2216" s="71"/>
    </row>
    <row r="2217" spans="1:25" ht="30" hidden="1" customHeight="1" x14ac:dyDescent="0.25">
      <c r="A2217" s="82">
        <v>190712</v>
      </c>
      <c r="B2217" s="664" t="s">
        <v>446</v>
      </c>
      <c r="C2217" s="71" t="s">
        <v>1144</v>
      </c>
      <c r="D2217" s="71">
        <v>8</v>
      </c>
      <c r="E2217" s="102">
        <v>110000</v>
      </c>
      <c r="F2217" s="102">
        <f t="shared" si="1191"/>
        <v>968000.00000000012</v>
      </c>
      <c r="G2217" s="102">
        <f t="shared" si="1192"/>
        <v>880000</v>
      </c>
      <c r="H2217" s="690" t="s">
        <v>173</v>
      </c>
      <c r="I2217" s="71" t="s">
        <v>2231</v>
      </c>
      <c r="J2217" s="53">
        <f>G2217-T2217</f>
        <v>152000</v>
      </c>
      <c r="K2217" s="63">
        <f t="shared" si="1197"/>
        <v>0.1727272727272727</v>
      </c>
      <c r="L2217" s="871" t="s">
        <v>2005</v>
      </c>
      <c r="M2217" s="468"/>
      <c r="N2217" s="664">
        <f t="shared" si="1193"/>
        <v>190712</v>
      </c>
      <c r="O2217" s="71" t="s">
        <v>150</v>
      </c>
      <c r="P2217" s="103" t="str">
        <f t="shared" si="1199"/>
        <v>실리콘 에멀전</v>
      </c>
      <c r="Q2217" s="71">
        <f t="shared" si="1198"/>
        <v>8</v>
      </c>
      <c r="R2217" s="102">
        <v>91000</v>
      </c>
      <c r="S2217" s="102">
        <f t="shared" si="1200"/>
        <v>800800.00000000012</v>
      </c>
      <c r="T2217" s="102">
        <f t="shared" si="1201"/>
        <v>728000</v>
      </c>
      <c r="U2217" s="71" t="str">
        <f t="shared" si="1195"/>
        <v>O</v>
      </c>
      <c r="V2217" s="71"/>
      <c r="W2217" s="474">
        <f>(G2217-T2217)</f>
        <v>152000</v>
      </c>
      <c r="X2217" s="71"/>
      <c r="Y2217" s="71"/>
    </row>
    <row r="2218" spans="1:25" s="635" customFormat="1" ht="30" hidden="1" customHeight="1" x14ac:dyDescent="0.25">
      <c r="A2218" s="159">
        <v>190712</v>
      </c>
      <c r="B2218" s="676" t="s">
        <v>640</v>
      </c>
      <c r="C2218" s="157" t="s">
        <v>236</v>
      </c>
      <c r="D2218" s="157">
        <v>2</v>
      </c>
      <c r="E2218" s="526">
        <v>99000</v>
      </c>
      <c r="F2218" s="526">
        <f t="shared" si="1191"/>
        <v>217800.00000000003</v>
      </c>
      <c r="G2218" s="526">
        <f t="shared" si="1192"/>
        <v>198000</v>
      </c>
      <c r="H2218" s="790" t="s">
        <v>173</v>
      </c>
      <c r="I2218" s="71" t="s">
        <v>2231</v>
      </c>
      <c r="J2218" s="503">
        <f>(G2218-(VLOOKUP(C2218,Price!B:D,3,FALSE)*D2218))</f>
        <v>98000</v>
      </c>
      <c r="K2218" s="65">
        <f t="shared" si="1197"/>
        <v>0.49494949494949486</v>
      </c>
      <c r="L2218" s="871" t="s">
        <v>2005</v>
      </c>
      <c r="M2218" s="634"/>
      <c r="N2218" s="676">
        <f t="shared" si="1193"/>
        <v>190712</v>
      </c>
      <c r="O2218" s="157" t="s">
        <v>153</v>
      </c>
      <c r="P2218" s="633" t="str">
        <f t="shared" si="1199"/>
        <v>아스테이지(국전)</v>
      </c>
      <c r="Q2218" s="157">
        <f t="shared" si="1198"/>
        <v>2</v>
      </c>
      <c r="R2218" s="526">
        <v>50000</v>
      </c>
      <c r="S2218" s="526">
        <f t="shared" si="1200"/>
        <v>110000.00000000001</v>
      </c>
      <c r="T2218" s="526">
        <f t="shared" si="1201"/>
        <v>100000</v>
      </c>
      <c r="U2218" s="157" t="str">
        <f t="shared" si="1195"/>
        <v>O</v>
      </c>
      <c r="V2218" s="157"/>
      <c r="W2218" s="508">
        <f>(G2218-T2218)</f>
        <v>98000</v>
      </c>
      <c r="X2218" s="157"/>
      <c r="Y2218" s="157"/>
    </row>
    <row r="2219" spans="1:25" ht="30" hidden="1" customHeight="1" x14ac:dyDescent="0.25">
      <c r="A2219" s="82">
        <v>190715</v>
      </c>
      <c r="B2219" s="664" t="s">
        <v>983</v>
      </c>
      <c r="C2219" s="71" t="s">
        <v>1009</v>
      </c>
      <c r="D2219" s="71">
        <v>400</v>
      </c>
      <c r="E2219" s="102">
        <v>3900</v>
      </c>
      <c r="F2219" s="102">
        <f t="shared" si="1191"/>
        <v>1716000.0000000002</v>
      </c>
      <c r="G2219" s="102">
        <f t="shared" si="1192"/>
        <v>1560000</v>
      </c>
      <c r="H2219" s="690" t="s">
        <v>173</v>
      </c>
      <c r="I2219" s="71" t="s">
        <v>2230</v>
      </c>
      <c r="J2219" s="53">
        <f t="shared" ref="J2219:J2224" si="1202">G2219-T2219</f>
        <v>240000</v>
      </c>
      <c r="K2219" s="63">
        <f t="shared" si="1197"/>
        <v>0.15384615384615383</v>
      </c>
      <c r="L2219" s="871" t="s">
        <v>2005</v>
      </c>
      <c r="M2219" s="468"/>
      <c r="N2219" s="664">
        <f t="shared" si="1193"/>
        <v>190715</v>
      </c>
      <c r="O2219" s="71" t="s">
        <v>147</v>
      </c>
      <c r="P2219" s="103" t="str">
        <f t="shared" si="1199"/>
        <v>CTP판(1030*790mm)</v>
      </c>
      <c r="Q2219" s="71">
        <f t="shared" si="1198"/>
        <v>400</v>
      </c>
      <c r="R2219" s="102">
        <v>3300</v>
      </c>
      <c r="S2219" s="102">
        <f t="shared" si="1200"/>
        <v>1452000.0000000002</v>
      </c>
      <c r="T2219" s="102">
        <f t="shared" si="1201"/>
        <v>1320000</v>
      </c>
      <c r="U2219" s="71" t="str">
        <f t="shared" si="1195"/>
        <v>O</v>
      </c>
      <c r="V2219" s="71"/>
      <c r="W2219" s="474">
        <f>(G2219-T2219)</f>
        <v>240000</v>
      </c>
      <c r="X2219" s="71"/>
      <c r="Y2219" s="71"/>
    </row>
    <row r="2220" spans="1:25" ht="30" hidden="1" customHeight="1" x14ac:dyDescent="0.25">
      <c r="A2220" s="82">
        <v>190715</v>
      </c>
      <c r="B2220" s="664" t="s">
        <v>983</v>
      </c>
      <c r="C2220" s="71" t="s">
        <v>984</v>
      </c>
      <c r="D2220" s="71">
        <v>4</v>
      </c>
      <c r="E2220" s="102">
        <v>45000</v>
      </c>
      <c r="F2220" s="102">
        <f t="shared" si="1191"/>
        <v>198000.00000000003</v>
      </c>
      <c r="G2220" s="102">
        <f t="shared" si="1192"/>
        <v>180000</v>
      </c>
      <c r="H2220" s="690" t="s">
        <v>173</v>
      </c>
      <c r="I2220" s="71" t="s">
        <v>2230</v>
      </c>
      <c r="J2220" s="53">
        <f t="shared" si="1202"/>
        <v>40000</v>
      </c>
      <c r="K2220" s="63">
        <f t="shared" si="1197"/>
        <v>0.22222222222222218</v>
      </c>
      <c r="L2220" s="871" t="s">
        <v>2005</v>
      </c>
      <c r="M2220" s="468"/>
      <c r="N2220" s="664">
        <f t="shared" si="1193"/>
        <v>190715</v>
      </c>
      <c r="O2220" s="71" t="s">
        <v>147</v>
      </c>
      <c r="P2220" s="103" t="str">
        <f t="shared" si="1199"/>
        <v>CTP 현상액</v>
      </c>
      <c r="Q2220" s="71">
        <f t="shared" si="1198"/>
        <v>4</v>
      </c>
      <c r="R2220" s="102">
        <v>35000</v>
      </c>
      <c r="S2220" s="102">
        <f t="shared" si="1200"/>
        <v>154000</v>
      </c>
      <c r="T2220" s="102">
        <f t="shared" si="1201"/>
        <v>140000</v>
      </c>
      <c r="U2220" s="71" t="str">
        <f t="shared" si="1195"/>
        <v>O</v>
      </c>
      <c r="V2220" s="71"/>
      <c r="W2220" s="474">
        <f>(G2220-T2220)</f>
        <v>40000</v>
      </c>
      <c r="X2220" s="71"/>
      <c r="Y2220" s="71"/>
    </row>
    <row r="2221" spans="1:25" ht="30" customHeight="1" x14ac:dyDescent="0.25">
      <c r="A2221" s="82">
        <v>190715</v>
      </c>
      <c r="B2221" s="664" t="s">
        <v>422</v>
      </c>
      <c r="C2221" s="71" t="s">
        <v>114</v>
      </c>
      <c r="D2221" s="71">
        <v>50</v>
      </c>
      <c r="E2221" s="102">
        <v>20000</v>
      </c>
      <c r="F2221" s="102">
        <f t="shared" si="1191"/>
        <v>1100000</v>
      </c>
      <c r="G2221" s="102">
        <f t="shared" si="1192"/>
        <v>1000000</v>
      </c>
      <c r="H2221" s="690" t="s">
        <v>1431</v>
      </c>
      <c r="I2221" s="71" t="s">
        <v>1431</v>
      </c>
      <c r="J2221" s="53">
        <f t="shared" si="1202"/>
        <v>499627.32954374596</v>
      </c>
      <c r="K2221" s="63">
        <f t="shared" ref="K2221:K2247" si="1203">(J2221/(F2221/11*10))</f>
        <v>0.49962732954374595</v>
      </c>
      <c r="L2221" s="871" t="s">
        <v>2005</v>
      </c>
      <c r="M2221" s="468"/>
      <c r="N2221" s="664">
        <f t="shared" si="1193"/>
        <v>190715</v>
      </c>
      <c r="O2221" s="71" t="s">
        <v>1431</v>
      </c>
      <c r="P2221" s="103" t="str">
        <f t="shared" si="1199"/>
        <v>스트리퍼</v>
      </c>
      <c r="Q2221" s="71">
        <f t="shared" si="1198"/>
        <v>50</v>
      </c>
      <c r="R2221" s="102">
        <f>Import!G186</f>
        <v>10007.453409125081</v>
      </c>
      <c r="S2221" s="102">
        <f t="shared" si="1200"/>
        <v>550409.93750187953</v>
      </c>
      <c r="T2221" s="102">
        <f t="shared" si="1201"/>
        <v>500372.67045625404</v>
      </c>
      <c r="U2221" s="71"/>
      <c r="V2221" s="71"/>
      <c r="W2221" s="474"/>
      <c r="X2221" s="71"/>
      <c r="Y2221" s="71"/>
    </row>
    <row r="2222" spans="1:25" ht="30" hidden="1" customHeight="1" x14ac:dyDescent="0.25">
      <c r="A2222" s="82">
        <v>190717</v>
      </c>
      <c r="B2222" s="664" t="s">
        <v>545</v>
      </c>
      <c r="C2222" s="71" t="s">
        <v>805</v>
      </c>
      <c r="D2222" s="71">
        <v>2</v>
      </c>
      <c r="E2222" s="102">
        <v>180000</v>
      </c>
      <c r="F2222" s="102">
        <f t="shared" si="1191"/>
        <v>396000.00000000006</v>
      </c>
      <c r="G2222" s="102">
        <f t="shared" si="1192"/>
        <v>360000</v>
      </c>
      <c r="H2222" s="690" t="s">
        <v>173</v>
      </c>
      <c r="I2222" s="71" t="s">
        <v>120</v>
      </c>
      <c r="J2222" s="53">
        <f t="shared" si="1202"/>
        <v>80000</v>
      </c>
      <c r="K2222" s="63">
        <f t="shared" si="1203"/>
        <v>0.22222222222222218</v>
      </c>
      <c r="L2222" s="871" t="s">
        <v>2005</v>
      </c>
      <c r="M2222" s="468"/>
      <c r="N2222" s="664">
        <f t="shared" si="1193"/>
        <v>190717</v>
      </c>
      <c r="O2222" s="71" t="s">
        <v>150</v>
      </c>
      <c r="P2222" s="103" t="str">
        <f t="shared" ref="P2222:P2231" si="1204">C2222</f>
        <v>Fount 554</v>
      </c>
      <c r="Q2222" s="71">
        <f t="shared" ref="Q2222:Q2231" si="1205">D2222</f>
        <v>2</v>
      </c>
      <c r="R2222" s="102">
        <v>140000</v>
      </c>
      <c r="S2222" s="102">
        <f t="shared" si="1200"/>
        <v>308000</v>
      </c>
      <c r="T2222" s="102">
        <f t="shared" si="1201"/>
        <v>280000</v>
      </c>
      <c r="U2222" s="71" t="str">
        <f>IF(J2222=W2222,"O", "X")</f>
        <v>X</v>
      </c>
      <c r="V2222" s="71"/>
      <c r="W2222" s="474"/>
      <c r="X2222" s="71"/>
      <c r="Y2222" s="71"/>
    </row>
    <row r="2223" spans="1:25" ht="30" hidden="1" customHeight="1" x14ac:dyDescent="0.25">
      <c r="A2223" s="82">
        <v>190718</v>
      </c>
      <c r="B2223" s="664" t="s">
        <v>748</v>
      </c>
      <c r="C2223" s="71" t="s">
        <v>1918</v>
      </c>
      <c r="D2223" s="71">
        <v>30</v>
      </c>
      <c r="E2223" s="102">
        <v>25000</v>
      </c>
      <c r="F2223" s="102">
        <f t="shared" si="1191"/>
        <v>825000.00000000012</v>
      </c>
      <c r="G2223" s="102">
        <f t="shared" si="1192"/>
        <v>750000</v>
      </c>
      <c r="H2223" s="690" t="s">
        <v>1431</v>
      </c>
      <c r="I2223" s="71" t="s">
        <v>1431</v>
      </c>
      <c r="J2223" s="53">
        <f t="shared" si="1202"/>
        <v>237114.89361702121</v>
      </c>
      <c r="K2223" s="63">
        <f t="shared" si="1203"/>
        <v>0.31615319148936155</v>
      </c>
      <c r="L2223" s="871" t="s">
        <v>2005</v>
      </c>
      <c r="M2223" s="468"/>
      <c r="N2223" s="664">
        <f t="shared" si="1193"/>
        <v>190718</v>
      </c>
      <c r="O2223" s="71" t="s">
        <v>1431</v>
      </c>
      <c r="P2223" s="103" t="str">
        <f t="shared" si="1204"/>
        <v>브러쉬</v>
      </c>
      <c r="Q2223" s="71">
        <f t="shared" si="1205"/>
        <v>30</v>
      </c>
      <c r="R2223" s="102">
        <f>Import!G199</f>
        <v>17096.170212765959</v>
      </c>
      <c r="S2223" s="102">
        <f t="shared" si="1200"/>
        <v>564173.61702127673</v>
      </c>
      <c r="T2223" s="102">
        <f t="shared" si="1201"/>
        <v>512885.10638297879</v>
      </c>
      <c r="U2223" s="71"/>
      <c r="V2223" s="71"/>
      <c r="W2223" s="474"/>
      <c r="X2223" s="71"/>
      <c r="Y2223" s="71"/>
    </row>
    <row r="2224" spans="1:25" ht="30" hidden="1" customHeight="1" x14ac:dyDescent="0.25">
      <c r="A2224" s="82">
        <v>190718</v>
      </c>
      <c r="B2224" s="664" t="s">
        <v>690</v>
      </c>
      <c r="C2224" s="71" t="s">
        <v>750</v>
      </c>
      <c r="D2224" s="71">
        <v>4</v>
      </c>
      <c r="E2224" s="102">
        <v>49000</v>
      </c>
      <c r="F2224" s="102">
        <f t="shared" si="1191"/>
        <v>215600.00000000003</v>
      </c>
      <c r="G2224" s="102">
        <f t="shared" si="1192"/>
        <v>196000</v>
      </c>
      <c r="H2224" s="690" t="s">
        <v>173</v>
      </c>
      <c r="I2224" s="71" t="s">
        <v>2230</v>
      </c>
      <c r="J2224" s="53">
        <f t="shared" si="1202"/>
        <v>56000</v>
      </c>
      <c r="K2224" s="63">
        <f t="shared" si="1203"/>
        <v>0.2857142857142857</v>
      </c>
      <c r="L2224" s="871" t="s">
        <v>2005</v>
      </c>
      <c r="M2224" s="468" t="s">
        <v>1394</v>
      </c>
      <c r="N2224" s="664">
        <f t="shared" si="1193"/>
        <v>190718</v>
      </c>
      <c r="O2224" s="71" t="s">
        <v>145</v>
      </c>
      <c r="P2224" s="103" t="str">
        <f t="shared" si="1204"/>
        <v>THD200(20L)</v>
      </c>
      <c r="Q2224" s="71">
        <f t="shared" si="1205"/>
        <v>4</v>
      </c>
      <c r="R2224" s="102">
        <v>35000</v>
      </c>
      <c r="S2224" s="102">
        <f t="shared" si="1200"/>
        <v>154000</v>
      </c>
      <c r="T2224" s="102">
        <f t="shared" si="1201"/>
        <v>140000</v>
      </c>
      <c r="U2224" s="71" t="str">
        <f>IF(J2224=W2224,"O", "X")</f>
        <v>O</v>
      </c>
      <c r="V2224" s="71"/>
      <c r="W2224" s="474">
        <f>(G2224-T2224)</f>
        <v>56000</v>
      </c>
      <c r="X2224" s="71"/>
      <c r="Y2224" s="71"/>
    </row>
    <row r="2225" spans="1:25" ht="30" hidden="1" customHeight="1" x14ac:dyDescent="0.25">
      <c r="A2225" s="82">
        <v>190718</v>
      </c>
      <c r="B2225" s="664" t="s">
        <v>690</v>
      </c>
      <c r="C2225" s="67" t="s">
        <v>197</v>
      </c>
      <c r="D2225" s="71">
        <v>2</v>
      </c>
      <c r="E2225" s="102">
        <v>49000</v>
      </c>
      <c r="F2225" s="102">
        <f t="shared" si="1191"/>
        <v>107800.00000000001</v>
      </c>
      <c r="G2225" s="102">
        <f t="shared" si="1192"/>
        <v>98000</v>
      </c>
      <c r="H2225" s="690" t="s">
        <v>173</v>
      </c>
      <c r="I2225" s="71" t="s">
        <v>2230</v>
      </c>
      <c r="J2225" s="53">
        <f>(G2225-(VLOOKUP(C2225,Price!B:D,3,FALSE)*D2225))</f>
        <v>28000</v>
      </c>
      <c r="K2225" s="63">
        <f t="shared" si="1203"/>
        <v>0.2857142857142857</v>
      </c>
      <c r="L2225" s="871" t="s">
        <v>2005</v>
      </c>
      <c r="M2225" s="468" t="s">
        <v>1394</v>
      </c>
      <c r="N2225" s="664">
        <f t="shared" si="1193"/>
        <v>190718</v>
      </c>
      <c r="O2225" s="71" t="s">
        <v>145</v>
      </c>
      <c r="P2225" s="103" t="str">
        <f t="shared" si="1204"/>
        <v>THR200(20L)</v>
      </c>
      <c r="Q2225" s="71">
        <f t="shared" si="1205"/>
        <v>2</v>
      </c>
      <c r="R2225" s="102">
        <v>35000</v>
      </c>
      <c r="S2225" s="102">
        <f t="shared" si="1200"/>
        <v>77000</v>
      </c>
      <c r="T2225" s="102">
        <f t="shared" si="1201"/>
        <v>70000</v>
      </c>
      <c r="U2225" s="71" t="str">
        <f>IF(J2225=W2225,"O", "X")</f>
        <v>X</v>
      </c>
      <c r="V2225" s="71"/>
      <c r="W2225" s="474"/>
      <c r="X2225" s="71"/>
      <c r="Y2225" s="71"/>
    </row>
    <row r="2226" spans="1:25" ht="30" hidden="1" customHeight="1" x14ac:dyDescent="0.25">
      <c r="A2226" s="82">
        <v>190718</v>
      </c>
      <c r="B2226" s="664" t="s">
        <v>690</v>
      </c>
      <c r="C2226" s="71" t="s">
        <v>1186</v>
      </c>
      <c r="D2226" s="71">
        <v>500</v>
      </c>
      <c r="E2226" s="102">
        <v>3600</v>
      </c>
      <c r="F2226" s="102">
        <f t="shared" si="1191"/>
        <v>1980000.0000000002</v>
      </c>
      <c r="G2226" s="102">
        <f t="shared" si="1192"/>
        <v>1800000</v>
      </c>
      <c r="H2226" s="690" t="s">
        <v>173</v>
      </c>
      <c r="I2226" s="71" t="s">
        <v>2230</v>
      </c>
      <c r="J2226" s="53">
        <f>(G2226-(VLOOKUP(C2226,Price!B:D,3,FALSE)*D2226))</f>
        <v>-200000</v>
      </c>
      <c r="K2226" s="63">
        <f t="shared" si="1203"/>
        <v>-0.11111111111111109</v>
      </c>
      <c r="L2226" s="871" t="s">
        <v>2005</v>
      </c>
      <c r="M2226" s="468" t="s">
        <v>1393</v>
      </c>
      <c r="N2226" s="664">
        <f t="shared" si="1193"/>
        <v>190718</v>
      </c>
      <c r="O2226" s="71" t="s">
        <v>145</v>
      </c>
      <c r="P2226" s="103" t="str">
        <f t="shared" si="1204"/>
        <v>CTP 판(1030*790mm)</v>
      </c>
      <c r="Q2226" s="71">
        <f t="shared" si="1205"/>
        <v>500</v>
      </c>
      <c r="R2226" s="102">
        <v>4000</v>
      </c>
      <c r="S2226" s="102">
        <f t="shared" si="1200"/>
        <v>2200000</v>
      </c>
      <c r="T2226" s="102">
        <f t="shared" si="1201"/>
        <v>2000000</v>
      </c>
      <c r="U2226" s="71" t="str">
        <f>IF(J2226=W2226,"O", "X")</f>
        <v>O</v>
      </c>
      <c r="V2226" s="71"/>
      <c r="W2226" s="474">
        <f>(G2226-T2226)</f>
        <v>-200000</v>
      </c>
      <c r="X2226" s="71"/>
      <c r="Y2226" s="71"/>
    </row>
    <row r="2227" spans="1:25" ht="30" hidden="1" customHeight="1" x14ac:dyDescent="0.25">
      <c r="A2227" s="82">
        <v>190718</v>
      </c>
      <c r="B2227" s="664" t="s">
        <v>627</v>
      </c>
      <c r="C2227" s="71" t="s">
        <v>114</v>
      </c>
      <c r="D2227" s="71">
        <v>20</v>
      </c>
      <c r="E2227" s="102">
        <v>19000</v>
      </c>
      <c r="F2227" s="102">
        <f t="shared" si="1191"/>
        <v>418000.00000000006</v>
      </c>
      <c r="G2227" s="102">
        <f t="shared" si="1192"/>
        <v>380000</v>
      </c>
      <c r="H2227" s="690" t="s">
        <v>1431</v>
      </c>
      <c r="I2227" s="71" t="s">
        <v>1431</v>
      </c>
      <c r="J2227" s="53">
        <f>(G2227-(VLOOKUP(C2227,Price!B:D,3,FALSE)*D2227))</f>
        <v>200000</v>
      </c>
      <c r="K2227" s="63">
        <f t="shared" si="1203"/>
        <v>0.52631578947368418</v>
      </c>
      <c r="L2227" s="871" t="s">
        <v>2005</v>
      </c>
      <c r="M2227" s="468"/>
      <c r="N2227" s="664">
        <f t="shared" si="1193"/>
        <v>190718</v>
      </c>
      <c r="O2227" s="71" t="s">
        <v>1431</v>
      </c>
      <c r="P2227" s="103" t="str">
        <f t="shared" si="1204"/>
        <v>스트리퍼</v>
      </c>
      <c r="Q2227" s="71">
        <f t="shared" si="1205"/>
        <v>20</v>
      </c>
      <c r="R2227" s="102">
        <f>Import!G198</f>
        <v>10059.574468085106</v>
      </c>
      <c r="S2227" s="102">
        <f t="shared" si="1200"/>
        <v>221310.63829787236</v>
      </c>
      <c r="T2227" s="102">
        <f t="shared" si="1201"/>
        <v>201191.48936170212</v>
      </c>
      <c r="U2227" s="71"/>
      <c r="V2227" s="71"/>
      <c r="W2227" s="474"/>
      <c r="X2227" s="71"/>
      <c r="Y2227" s="71"/>
    </row>
    <row r="2228" spans="1:25" ht="30" hidden="1" customHeight="1" x14ac:dyDescent="0.25">
      <c r="A2228" s="82">
        <v>190719</v>
      </c>
      <c r="B2228" s="664" t="s">
        <v>446</v>
      </c>
      <c r="C2228" s="71" t="s">
        <v>1144</v>
      </c>
      <c r="D2228" s="71">
        <v>8</v>
      </c>
      <c r="E2228" s="102">
        <v>110000</v>
      </c>
      <c r="F2228" s="102">
        <f t="shared" si="1191"/>
        <v>968000.00000000012</v>
      </c>
      <c r="G2228" s="102">
        <f t="shared" si="1192"/>
        <v>880000</v>
      </c>
      <c r="H2228" s="690" t="s">
        <v>173</v>
      </c>
      <c r="I2228" s="71" t="s">
        <v>2231</v>
      </c>
      <c r="J2228" s="53">
        <f>G2228-T2228</f>
        <v>152000</v>
      </c>
      <c r="K2228" s="63">
        <f t="shared" si="1203"/>
        <v>0.1727272727272727</v>
      </c>
      <c r="L2228" s="871" t="s">
        <v>2005</v>
      </c>
      <c r="M2228" s="468"/>
      <c r="N2228" s="664">
        <f t="shared" si="1193"/>
        <v>190719</v>
      </c>
      <c r="O2228" s="71" t="s">
        <v>150</v>
      </c>
      <c r="P2228" s="103" t="str">
        <f t="shared" si="1204"/>
        <v>실리콘 에멀전</v>
      </c>
      <c r="Q2228" s="71">
        <f t="shared" si="1205"/>
        <v>8</v>
      </c>
      <c r="R2228" s="102">
        <v>91000</v>
      </c>
      <c r="S2228" s="102">
        <f t="shared" si="1200"/>
        <v>800800.00000000012</v>
      </c>
      <c r="T2228" s="102">
        <f t="shared" si="1201"/>
        <v>728000</v>
      </c>
      <c r="U2228" s="71" t="str">
        <f>IF(J2228=W2228,"O", "X")</f>
        <v>O</v>
      </c>
      <c r="V2228" s="71"/>
      <c r="W2228" s="474">
        <f>(G2228-T2228)</f>
        <v>152000</v>
      </c>
      <c r="X2228" s="71"/>
      <c r="Y2228" s="71"/>
    </row>
    <row r="2229" spans="1:25" ht="30" customHeight="1" x14ac:dyDescent="0.25">
      <c r="A2229" s="82">
        <v>190719</v>
      </c>
      <c r="B2229" s="663" t="s">
        <v>565</v>
      </c>
      <c r="C2229" s="73" t="s">
        <v>2004</v>
      </c>
      <c r="D2229" s="73">
        <v>8</v>
      </c>
      <c r="E2229" s="147">
        <v>30000</v>
      </c>
      <c r="F2229" s="147">
        <f t="shared" si="1191"/>
        <v>264000</v>
      </c>
      <c r="G2229" s="147">
        <f t="shared" si="1192"/>
        <v>240000</v>
      </c>
      <c r="H2229" s="689" t="s">
        <v>173</v>
      </c>
      <c r="I2229" s="71" t="s">
        <v>2231</v>
      </c>
      <c r="J2229" s="53">
        <f>G2229-T2229</f>
        <v>96000</v>
      </c>
      <c r="K2229" s="63">
        <f t="shared" si="1203"/>
        <v>0.4</v>
      </c>
      <c r="L2229" s="871" t="s">
        <v>2005</v>
      </c>
      <c r="M2229" s="584"/>
      <c r="N2229" s="663">
        <f t="shared" si="1193"/>
        <v>190719</v>
      </c>
      <c r="O2229" s="73" t="s">
        <v>1448</v>
      </c>
      <c r="P2229" s="132" t="str">
        <f t="shared" si="1204"/>
        <v>롤러크리너</v>
      </c>
      <c r="Q2229" s="73">
        <f t="shared" si="1205"/>
        <v>8</v>
      </c>
      <c r="R2229" s="147">
        <v>18000</v>
      </c>
      <c r="S2229" s="102">
        <f t="shared" si="1200"/>
        <v>158400</v>
      </c>
      <c r="T2229" s="102">
        <f t="shared" si="1201"/>
        <v>144000</v>
      </c>
      <c r="U2229" s="73"/>
      <c r="V2229" s="73"/>
      <c r="W2229" s="473"/>
      <c r="X2229" s="73"/>
      <c r="Y2229" s="73"/>
    </row>
    <row r="2230" spans="1:25" ht="30" hidden="1" customHeight="1" x14ac:dyDescent="0.25">
      <c r="A2230" s="82">
        <v>190720</v>
      </c>
      <c r="B2230" s="663" t="s">
        <v>545</v>
      </c>
      <c r="C2230" s="73" t="s">
        <v>825</v>
      </c>
      <c r="D2230" s="73">
        <v>2</v>
      </c>
      <c r="E2230" s="147">
        <v>110000</v>
      </c>
      <c r="F2230" s="147">
        <f t="shared" si="1191"/>
        <v>242000.00000000003</v>
      </c>
      <c r="G2230" s="147">
        <f t="shared" si="1192"/>
        <v>220000</v>
      </c>
      <c r="H2230" s="689" t="s">
        <v>173</v>
      </c>
      <c r="I2230" s="71" t="s">
        <v>2231</v>
      </c>
      <c r="J2230" s="60">
        <f>G2230-R2230</f>
        <v>125000</v>
      </c>
      <c r="K2230" s="427">
        <f t="shared" si="1203"/>
        <v>0.56818181818181812</v>
      </c>
      <c r="L2230" s="871" t="s">
        <v>2005</v>
      </c>
      <c r="M2230" s="584"/>
      <c r="N2230" s="663">
        <f t="shared" si="1193"/>
        <v>190720</v>
      </c>
      <c r="O2230" s="73" t="s">
        <v>150</v>
      </c>
      <c r="P2230" s="132" t="str">
        <f t="shared" si="1204"/>
        <v>독일제 정품 잉크호일 아스테이지</v>
      </c>
      <c r="Q2230" s="73">
        <f t="shared" si="1205"/>
        <v>2</v>
      </c>
      <c r="R2230" s="147">
        <v>95000</v>
      </c>
      <c r="S2230" s="147">
        <f t="shared" si="1200"/>
        <v>209000.00000000003</v>
      </c>
      <c r="T2230" s="147">
        <f t="shared" si="1201"/>
        <v>190000</v>
      </c>
      <c r="U2230" s="73" t="str">
        <f>IF(J2230=W2230,"O", "X")</f>
        <v>X</v>
      </c>
      <c r="V2230" s="73"/>
      <c r="W2230" s="473">
        <f>(G2230-T2230)</f>
        <v>30000</v>
      </c>
      <c r="X2230" s="73"/>
      <c r="Y2230" s="73"/>
    </row>
    <row r="2231" spans="1:25" ht="30" hidden="1" customHeight="1" x14ac:dyDescent="0.25">
      <c r="A2231" s="82">
        <v>190720</v>
      </c>
      <c r="B2231" s="664" t="s">
        <v>545</v>
      </c>
      <c r="C2231" s="71" t="s">
        <v>227</v>
      </c>
      <c r="D2231" s="71">
        <v>10</v>
      </c>
      <c r="E2231" s="102">
        <v>110000</v>
      </c>
      <c r="F2231" s="102">
        <f t="shared" si="1191"/>
        <v>1210000</v>
      </c>
      <c r="G2231" s="102">
        <f t="shared" si="1192"/>
        <v>1100000</v>
      </c>
      <c r="H2231" s="690" t="s">
        <v>173</v>
      </c>
      <c r="I2231" s="71" t="s">
        <v>109</v>
      </c>
      <c r="J2231" s="53">
        <f t="shared" ref="J2231:J2241" si="1206">G2231-T2231</f>
        <v>271000</v>
      </c>
      <c r="K2231" s="63">
        <f t="shared" si="1203"/>
        <v>0.24636363636363637</v>
      </c>
      <c r="L2231" s="871" t="s">
        <v>2005</v>
      </c>
      <c r="M2231" s="468"/>
      <c r="N2231" s="664">
        <f t="shared" si="1193"/>
        <v>190720</v>
      </c>
      <c r="O2231" s="71" t="s">
        <v>147</v>
      </c>
      <c r="P2231" s="103" t="str">
        <f t="shared" si="1204"/>
        <v>Blanket(1060*860)</v>
      </c>
      <c r="Q2231" s="71">
        <f t="shared" si="1205"/>
        <v>10</v>
      </c>
      <c r="R2231" s="102">
        <v>82900</v>
      </c>
      <c r="S2231" s="102">
        <f t="shared" si="1200"/>
        <v>911900.00000000012</v>
      </c>
      <c r="T2231" s="102">
        <f t="shared" si="1201"/>
        <v>829000</v>
      </c>
      <c r="U2231" s="71" t="str">
        <f>IF(J2231=W2231,"O", "X")</f>
        <v>O</v>
      </c>
      <c r="V2231" s="71"/>
      <c r="W2231" s="474">
        <f>(G2231-T2231)</f>
        <v>271000</v>
      </c>
      <c r="X2231" s="71"/>
      <c r="Y2231" s="71"/>
    </row>
    <row r="2232" spans="1:25" s="209" customFormat="1" ht="30" hidden="1" customHeight="1" x14ac:dyDescent="0.25">
      <c r="A2232" s="82">
        <v>190722</v>
      </c>
      <c r="B2232" s="664" t="s">
        <v>442</v>
      </c>
      <c r="C2232" s="71" t="s">
        <v>138</v>
      </c>
      <c r="D2232" s="71">
        <v>22</v>
      </c>
      <c r="E2232" s="102">
        <v>69000</v>
      </c>
      <c r="F2232" s="102">
        <f t="shared" si="1191"/>
        <v>1669800.0000000002</v>
      </c>
      <c r="G2232" s="102">
        <f t="shared" si="1192"/>
        <v>1518000</v>
      </c>
      <c r="H2232" s="690" t="s">
        <v>173</v>
      </c>
      <c r="I2232" s="71" t="s">
        <v>108</v>
      </c>
      <c r="J2232" s="53">
        <f t="shared" si="1206"/>
        <v>396000</v>
      </c>
      <c r="K2232" s="63">
        <f t="shared" si="1203"/>
        <v>0.26086956521739124</v>
      </c>
      <c r="L2232" s="871" t="s">
        <v>2005</v>
      </c>
      <c r="M2232" s="468" t="s">
        <v>1854</v>
      </c>
      <c r="N2232" s="664">
        <v>190402</v>
      </c>
      <c r="O2232" s="71" t="s">
        <v>150</v>
      </c>
      <c r="P2232" s="103" t="s">
        <v>1914</v>
      </c>
      <c r="Q2232" s="71">
        <f>D2232</f>
        <v>22</v>
      </c>
      <c r="R2232" s="102">
        <v>51000</v>
      </c>
      <c r="S2232" s="102">
        <f t="shared" si="1200"/>
        <v>1234200</v>
      </c>
      <c r="T2232" s="102">
        <f t="shared" si="1201"/>
        <v>1122000</v>
      </c>
      <c r="U2232" s="71" t="s">
        <v>1915</v>
      </c>
      <c r="V2232" s="71"/>
      <c r="W2232" s="474">
        <v>396000</v>
      </c>
      <c r="X2232" s="71"/>
      <c r="Y2232" s="71"/>
    </row>
    <row r="2233" spans="1:25" ht="30" hidden="1" customHeight="1" x14ac:dyDescent="0.25">
      <c r="A2233" s="82">
        <v>190722</v>
      </c>
      <c r="B2233" s="664" t="s">
        <v>690</v>
      </c>
      <c r="C2233" s="71" t="s">
        <v>217</v>
      </c>
      <c r="D2233" s="71">
        <v>2</v>
      </c>
      <c r="E2233" s="102">
        <v>145000</v>
      </c>
      <c r="F2233" s="102">
        <f t="shared" si="1191"/>
        <v>319000</v>
      </c>
      <c r="G2233" s="102">
        <f t="shared" si="1192"/>
        <v>290000</v>
      </c>
      <c r="H2233" s="690" t="s">
        <v>173</v>
      </c>
      <c r="I2233" s="71" t="s">
        <v>108</v>
      </c>
      <c r="J2233" s="53">
        <f t="shared" si="1206"/>
        <v>130000</v>
      </c>
      <c r="K2233" s="63">
        <f t="shared" si="1203"/>
        <v>0.44827586206896552</v>
      </c>
      <c r="L2233" s="871" t="s">
        <v>2005</v>
      </c>
      <c r="M2233" s="468"/>
      <c r="N2233" s="664">
        <v>190402</v>
      </c>
      <c r="O2233" s="71" t="s">
        <v>150</v>
      </c>
      <c r="P2233" s="103" t="s">
        <v>1916</v>
      </c>
      <c r="Q2233" s="71">
        <f>D2233</f>
        <v>2</v>
      </c>
      <c r="R2233" s="102">
        <v>80000</v>
      </c>
      <c r="S2233" s="102">
        <f t="shared" si="1200"/>
        <v>176000</v>
      </c>
      <c r="T2233" s="102">
        <f t="shared" si="1201"/>
        <v>160000</v>
      </c>
      <c r="U2233" s="71" t="s">
        <v>859</v>
      </c>
      <c r="V2233" s="71"/>
      <c r="W2233" s="474">
        <v>130000</v>
      </c>
      <c r="X2233" s="71"/>
      <c r="Y2233" s="71"/>
    </row>
    <row r="2234" spans="1:25" ht="30" hidden="1" customHeight="1" x14ac:dyDescent="0.25">
      <c r="A2234" s="82">
        <v>190722</v>
      </c>
      <c r="B2234" s="664" t="s">
        <v>690</v>
      </c>
      <c r="C2234" s="71" t="s">
        <v>825</v>
      </c>
      <c r="D2234" s="71">
        <v>2</v>
      </c>
      <c r="E2234" s="102">
        <v>150000</v>
      </c>
      <c r="F2234" s="102">
        <f t="shared" si="1191"/>
        <v>330000</v>
      </c>
      <c r="G2234" s="102">
        <f t="shared" si="1192"/>
        <v>300000</v>
      </c>
      <c r="H2234" s="690" t="s">
        <v>173</v>
      </c>
      <c r="I2234" s="71" t="s">
        <v>2231</v>
      </c>
      <c r="J2234" s="53">
        <f t="shared" si="1206"/>
        <v>110000</v>
      </c>
      <c r="K2234" s="63">
        <f t="shared" si="1203"/>
        <v>0.36666666666666664</v>
      </c>
      <c r="L2234" s="871" t="s">
        <v>2005</v>
      </c>
      <c r="M2234" s="468"/>
      <c r="N2234" s="664">
        <f t="shared" ref="N2234:N2247" si="1207">A2234</f>
        <v>190722</v>
      </c>
      <c r="O2234" s="71" t="s">
        <v>150</v>
      </c>
      <c r="P2234" s="103" t="s">
        <v>1802</v>
      </c>
      <c r="Q2234" s="71">
        <v>2</v>
      </c>
      <c r="R2234" s="102">
        <v>95000</v>
      </c>
      <c r="S2234" s="102">
        <f t="shared" si="1200"/>
        <v>209000.00000000003</v>
      </c>
      <c r="T2234" s="102">
        <f t="shared" si="1201"/>
        <v>190000</v>
      </c>
      <c r="U2234" s="71" t="s">
        <v>859</v>
      </c>
      <c r="V2234" s="71"/>
      <c r="W2234" s="474">
        <v>110000</v>
      </c>
      <c r="X2234" s="71"/>
      <c r="Y2234" s="71"/>
    </row>
    <row r="2235" spans="1:25" ht="30" hidden="1" customHeight="1" x14ac:dyDescent="0.25">
      <c r="A2235" s="82">
        <v>190722</v>
      </c>
      <c r="B2235" s="664" t="s">
        <v>631</v>
      </c>
      <c r="C2235" s="67" t="s">
        <v>201</v>
      </c>
      <c r="D2235" s="71">
        <v>10</v>
      </c>
      <c r="E2235" s="102">
        <v>75000</v>
      </c>
      <c r="F2235" s="102">
        <f t="shared" si="1191"/>
        <v>825000.00000000012</v>
      </c>
      <c r="G2235" s="102">
        <f t="shared" si="1192"/>
        <v>750000</v>
      </c>
      <c r="H2235" s="690" t="s">
        <v>173</v>
      </c>
      <c r="I2235" s="71" t="s">
        <v>109</v>
      </c>
      <c r="J2235" s="53">
        <f t="shared" si="1206"/>
        <v>200000</v>
      </c>
      <c r="K2235" s="63">
        <f t="shared" si="1203"/>
        <v>0.26666666666666661</v>
      </c>
      <c r="L2235" s="871" t="s">
        <v>2005</v>
      </c>
      <c r="M2235" s="468"/>
      <c r="N2235" s="664">
        <f t="shared" si="1207"/>
        <v>190722</v>
      </c>
      <c r="O2235" s="71" t="s">
        <v>149</v>
      </c>
      <c r="P2235" s="103" t="str">
        <f t="shared" ref="P2235:Q2240" si="1208">C2235</f>
        <v>Bar블랑켓 730*710</v>
      </c>
      <c r="Q2235" s="71">
        <f t="shared" si="1208"/>
        <v>10</v>
      </c>
      <c r="R2235" s="102">
        <v>55000</v>
      </c>
      <c r="S2235" s="102">
        <f t="shared" si="1200"/>
        <v>605000</v>
      </c>
      <c r="T2235" s="102">
        <f t="shared" si="1201"/>
        <v>550000</v>
      </c>
      <c r="U2235" s="71" t="str">
        <f>IF(J2235=W2235,"O", "X")</f>
        <v>O</v>
      </c>
      <c r="V2235" s="71"/>
      <c r="W2235" s="474">
        <f>(G2235-T2235)</f>
        <v>200000</v>
      </c>
      <c r="X2235" s="71"/>
      <c r="Y2235" s="71"/>
    </row>
    <row r="2236" spans="1:25" ht="30" hidden="1" customHeight="1" x14ac:dyDescent="0.25">
      <c r="A2236" s="82">
        <v>190723</v>
      </c>
      <c r="B2236" s="664" t="s">
        <v>446</v>
      </c>
      <c r="C2236" s="71" t="s">
        <v>1144</v>
      </c>
      <c r="D2236" s="71">
        <v>8</v>
      </c>
      <c r="E2236" s="102">
        <v>110000</v>
      </c>
      <c r="F2236" s="102">
        <f t="shared" si="1191"/>
        <v>968000.00000000012</v>
      </c>
      <c r="G2236" s="102">
        <f t="shared" si="1192"/>
        <v>880000</v>
      </c>
      <c r="H2236" s="690" t="s">
        <v>173</v>
      </c>
      <c r="I2236" s="71" t="s">
        <v>2231</v>
      </c>
      <c r="J2236" s="53">
        <f t="shared" si="1206"/>
        <v>152000</v>
      </c>
      <c r="K2236" s="63">
        <f t="shared" si="1203"/>
        <v>0.1727272727272727</v>
      </c>
      <c r="L2236" s="871" t="s">
        <v>2005</v>
      </c>
      <c r="M2236" s="468"/>
      <c r="N2236" s="664">
        <f t="shared" si="1207"/>
        <v>190723</v>
      </c>
      <c r="O2236" s="71" t="s">
        <v>150</v>
      </c>
      <c r="P2236" s="103" t="str">
        <f t="shared" si="1208"/>
        <v>실리콘 에멀전</v>
      </c>
      <c r="Q2236" s="71">
        <f t="shared" si="1208"/>
        <v>8</v>
      </c>
      <c r="R2236" s="102">
        <v>91000</v>
      </c>
      <c r="S2236" s="102">
        <f t="shared" si="1200"/>
        <v>800800.00000000012</v>
      </c>
      <c r="T2236" s="102">
        <f t="shared" si="1201"/>
        <v>728000</v>
      </c>
      <c r="U2236" s="71" t="str">
        <f>IF(J2236=W2236,"O", "X")</f>
        <v>O</v>
      </c>
      <c r="V2236" s="71"/>
      <c r="W2236" s="474">
        <f>(G2236-T2236)</f>
        <v>152000</v>
      </c>
      <c r="X2236" s="71"/>
      <c r="Y2236" s="71"/>
    </row>
    <row r="2237" spans="1:25" ht="30" hidden="1" customHeight="1" x14ac:dyDescent="0.25">
      <c r="A2237" s="82">
        <v>190723</v>
      </c>
      <c r="B2237" s="664" t="s">
        <v>545</v>
      </c>
      <c r="C2237" s="71" t="s">
        <v>952</v>
      </c>
      <c r="D2237" s="71">
        <v>1</v>
      </c>
      <c r="E2237" s="102">
        <v>630000</v>
      </c>
      <c r="F2237" s="102">
        <f t="shared" si="1191"/>
        <v>693000</v>
      </c>
      <c r="G2237" s="102">
        <f t="shared" si="1192"/>
        <v>630000</v>
      </c>
      <c r="H2237" s="690" t="s">
        <v>173</v>
      </c>
      <c r="I2237" s="71" t="s">
        <v>108</v>
      </c>
      <c r="J2237" s="53">
        <f t="shared" si="1206"/>
        <v>190000</v>
      </c>
      <c r="K2237" s="63">
        <f t="shared" si="1203"/>
        <v>0.30158730158730157</v>
      </c>
      <c r="L2237" s="871" t="s">
        <v>2005</v>
      </c>
      <c r="M2237" s="468"/>
      <c r="N2237" s="664">
        <f t="shared" si="1207"/>
        <v>190723</v>
      </c>
      <c r="O2237" s="71" t="s">
        <v>599</v>
      </c>
      <c r="P2237" s="103" t="str">
        <f t="shared" si="1208"/>
        <v>점보롤 세정포</v>
      </c>
      <c r="Q2237" s="71">
        <f t="shared" si="1208"/>
        <v>1</v>
      </c>
      <c r="R2237" s="102">
        <v>440000</v>
      </c>
      <c r="S2237" s="102">
        <f t="shared" si="1200"/>
        <v>484000.00000000006</v>
      </c>
      <c r="T2237" s="102">
        <f t="shared" si="1201"/>
        <v>440000</v>
      </c>
      <c r="U2237" s="71" t="str">
        <f>IF(J2237=W2237,"O", "X")</f>
        <v>O</v>
      </c>
      <c r="V2237" s="71" t="s">
        <v>1228</v>
      </c>
      <c r="W2237" s="474">
        <f>(G2237-T2237)</f>
        <v>190000</v>
      </c>
      <c r="X2237" s="71"/>
      <c r="Y2237" s="71"/>
    </row>
    <row r="2238" spans="1:25" ht="30" hidden="1" customHeight="1" x14ac:dyDescent="0.25">
      <c r="A2238" s="82">
        <v>190724</v>
      </c>
      <c r="B2238" s="664" t="s">
        <v>546</v>
      </c>
      <c r="C2238" s="71" t="s">
        <v>114</v>
      </c>
      <c r="D2238" s="71">
        <v>50</v>
      </c>
      <c r="E2238" s="102">
        <v>18000</v>
      </c>
      <c r="F2238" s="102">
        <f t="shared" si="1191"/>
        <v>990000.00000000012</v>
      </c>
      <c r="G2238" s="102">
        <f t="shared" si="1192"/>
        <v>900000</v>
      </c>
      <c r="H2238" s="690" t="s">
        <v>1431</v>
      </c>
      <c r="I2238" s="71" t="s">
        <v>1431</v>
      </c>
      <c r="J2238" s="53">
        <f t="shared" si="1206"/>
        <v>399650</v>
      </c>
      <c r="K2238" s="63">
        <f t="shared" si="1203"/>
        <v>0.44405555555555548</v>
      </c>
      <c r="L2238" s="871" t="s">
        <v>2005</v>
      </c>
      <c r="M2238" s="468"/>
      <c r="N2238" s="664">
        <f t="shared" si="1207"/>
        <v>190724</v>
      </c>
      <c r="O2238" s="71" t="s">
        <v>1431</v>
      </c>
      <c r="P2238" s="103" t="str">
        <f t="shared" si="1208"/>
        <v>스트리퍼</v>
      </c>
      <c r="Q2238" s="71">
        <f t="shared" si="1208"/>
        <v>50</v>
      </c>
      <c r="R2238" s="102">
        <v>10007</v>
      </c>
      <c r="S2238" s="102">
        <f t="shared" si="1200"/>
        <v>550385</v>
      </c>
      <c r="T2238" s="102">
        <f t="shared" si="1201"/>
        <v>500350</v>
      </c>
      <c r="U2238" s="71"/>
      <c r="V2238" s="71"/>
      <c r="W2238" s="474"/>
      <c r="X2238" s="71"/>
      <c r="Y2238" s="71"/>
    </row>
    <row r="2239" spans="1:25" ht="30" hidden="1" customHeight="1" x14ac:dyDescent="0.25">
      <c r="A2239" s="82">
        <v>190724</v>
      </c>
      <c r="B2239" s="664" t="s">
        <v>809</v>
      </c>
      <c r="C2239" s="71" t="s">
        <v>1081</v>
      </c>
      <c r="D2239" s="71">
        <v>5</v>
      </c>
      <c r="E2239" s="102">
        <v>156000</v>
      </c>
      <c r="F2239" s="102">
        <f t="shared" si="1191"/>
        <v>858000.00000000012</v>
      </c>
      <c r="G2239" s="102">
        <f t="shared" si="1192"/>
        <v>780000</v>
      </c>
      <c r="H2239" s="690" t="s">
        <v>173</v>
      </c>
      <c r="I2239" s="71" t="s">
        <v>2231</v>
      </c>
      <c r="J2239" s="53">
        <f t="shared" si="1206"/>
        <v>180000</v>
      </c>
      <c r="K2239" s="63">
        <f t="shared" si="1203"/>
        <v>0.23076923076923073</v>
      </c>
      <c r="L2239" s="871" t="s">
        <v>1921</v>
      </c>
      <c r="M2239" s="468"/>
      <c r="N2239" s="664">
        <f t="shared" si="1207"/>
        <v>190724</v>
      </c>
      <c r="O2239" s="71" t="s">
        <v>147</v>
      </c>
      <c r="P2239" s="103" t="str">
        <f>C2239</f>
        <v>파우더</v>
      </c>
      <c r="Q2239" s="71">
        <f>D2239</f>
        <v>5</v>
      </c>
      <c r="R2239" s="102">
        <v>120000</v>
      </c>
      <c r="S2239" s="102">
        <f t="shared" si="1200"/>
        <v>660000</v>
      </c>
      <c r="T2239" s="102">
        <f t="shared" si="1201"/>
        <v>600000</v>
      </c>
      <c r="U2239" s="71" t="str">
        <f>IF(J2239=W2239,"O", "X")</f>
        <v>O</v>
      </c>
      <c r="V2239" s="71"/>
      <c r="W2239" s="474">
        <f>(G2239-T2239)</f>
        <v>180000</v>
      </c>
      <c r="X2239" s="71"/>
      <c r="Y2239" s="71"/>
    </row>
    <row r="2240" spans="1:25" ht="30" hidden="1" customHeight="1" x14ac:dyDescent="0.25">
      <c r="A2240" s="82">
        <v>190725</v>
      </c>
      <c r="B2240" s="664" t="s">
        <v>546</v>
      </c>
      <c r="C2240" s="71" t="s">
        <v>2007</v>
      </c>
      <c r="D2240" s="71">
        <v>1</v>
      </c>
      <c r="E2240" s="102">
        <v>2950000</v>
      </c>
      <c r="F2240" s="102">
        <f t="shared" si="1191"/>
        <v>3245000.0000000005</v>
      </c>
      <c r="G2240" s="102">
        <f t="shared" si="1192"/>
        <v>2950000</v>
      </c>
      <c r="H2240" s="690" t="s">
        <v>985</v>
      </c>
      <c r="I2240" s="71" t="s">
        <v>985</v>
      </c>
      <c r="J2240" s="53">
        <f t="shared" si="1206"/>
        <v>2950000</v>
      </c>
      <c r="K2240" s="63">
        <f t="shared" si="1203"/>
        <v>0.99999999999999989</v>
      </c>
      <c r="L2240" s="871" t="s">
        <v>2005</v>
      </c>
      <c r="M2240" s="468"/>
      <c r="N2240" s="664">
        <f t="shared" si="1207"/>
        <v>190725</v>
      </c>
      <c r="O2240" s="71"/>
      <c r="P2240" s="103" t="str">
        <f>C2240</f>
        <v>M600 서비스 비용- 알레스</v>
      </c>
      <c r="Q2240" s="71">
        <f t="shared" si="1208"/>
        <v>1</v>
      </c>
      <c r="R2240" s="102"/>
      <c r="S2240" s="102">
        <f t="shared" si="1200"/>
        <v>0</v>
      </c>
      <c r="T2240" s="102">
        <f t="shared" si="1201"/>
        <v>0</v>
      </c>
      <c r="U2240" s="71"/>
      <c r="V2240" s="71"/>
      <c r="W2240" s="474"/>
      <c r="X2240" s="71"/>
      <c r="Y2240" s="71"/>
    </row>
    <row r="2241" spans="1:25" ht="30" hidden="1" customHeight="1" x14ac:dyDescent="0.25">
      <c r="A2241" s="82">
        <v>190725</v>
      </c>
      <c r="B2241" s="664" t="s">
        <v>1286</v>
      </c>
      <c r="C2241" s="71" t="s">
        <v>114</v>
      </c>
      <c r="D2241" s="71">
        <v>50</v>
      </c>
      <c r="E2241" s="102">
        <v>14000</v>
      </c>
      <c r="F2241" s="102">
        <f t="shared" si="1191"/>
        <v>770000.00000000012</v>
      </c>
      <c r="G2241" s="102">
        <f t="shared" si="1192"/>
        <v>700000</v>
      </c>
      <c r="H2241" s="690" t="s">
        <v>1431</v>
      </c>
      <c r="I2241" s="71" t="s">
        <v>1431</v>
      </c>
      <c r="J2241" s="53">
        <f t="shared" si="1206"/>
        <v>199650</v>
      </c>
      <c r="K2241" s="63">
        <f t="shared" si="1203"/>
        <v>0.28521428571428564</v>
      </c>
      <c r="L2241" s="871" t="s">
        <v>2005</v>
      </c>
      <c r="M2241" s="468"/>
      <c r="N2241" s="664">
        <f t="shared" si="1207"/>
        <v>190725</v>
      </c>
      <c r="O2241" s="71" t="s">
        <v>1431</v>
      </c>
      <c r="P2241" s="103" t="str">
        <f t="shared" ref="P2241:Q2247" si="1209">C2241</f>
        <v>스트리퍼</v>
      </c>
      <c r="Q2241" s="71">
        <f t="shared" si="1209"/>
        <v>50</v>
      </c>
      <c r="R2241" s="102">
        <v>10007</v>
      </c>
      <c r="S2241" s="102">
        <f t="shared" si="1200"/>
        <v>550385</v>
      </c>
      <c r="T2241" s="102">
        <f t="shared" si="1201"/>
        <v>500350</v>
      </c>
      <c r="U2241" s="71"/>
      <c r="V2241" s="71"/>
      <c r="W2241" s="474"/>
      <c r="X2241" s="71"/>
      <c r="Y2241" s="71"/>
    </row>
    <row r="2242" spans="1:25" s="209" customFormat="1" ht="30" customHeight="1" x14ac:dyDescent="0.25">
      <c r="A2242" s="82">
        <v>190725</v>
      </c>
      <c r="B2242" s="664" t="s">
        <v>565</v>
      </c>
      <c r="C2242" s="71" t="s">
        <v>583</v>
      </c>
      <c r="D2242" s="71">
        <v>24</v>
      </c>
      <c r="E2242" s="102">
        <v>89000</v>
      </c>
      <c r="F2242" s="102">
        <f t="shared" si="1191"/>
        <v>2349600</v>
      </c>
      <c r="G2242" s="102">
        <f t="shared" si="1192"/>
        <v>2136000</v>
      </c>
      <c r="H2242" s="690" t="s">
        <v>173</v>
      </c>
      <c r="I2242" s="71" t="s">
        <v>108</v>
      </c>
      <c r="J2242" s="53">
        <f>(G2242-(VLOOKUP(C2242,Price!B:D,3,FALSE)*D2242))</f>
        <v>1080000</v>
      </c>
      <c r="K2242" s="63">
        <f t="shared" si="1203"/>
        <v>0.5056179775280899</v>
      </c>
      <c r="L2242" s="871" t="s">
        <v>2005</v>
      </c>
      <c r="M2242" s="468"/>
      <c r="N2242" s="664">
        <f t="shared" si="1207"/>
        <v>190725</v>
      </c>
      <c r="O2242" s="71" t="s">
        <v>599</v>
      </c>
      <c r="P2242" s="103" t="str">
        <f t="shared" si="1209"/>
        <v>M600 윤전 세정포</v>
      </c>
      <c r="Q2242" s="71">
        <f t="shared" si="1209"/>
        <v>24</v>
      </c>
      <c r="R2242" s="102">
        <v>44000</v>
      </c>
      <c r="S2242" s="102">
        <f t="shared" ref="S2242:S2248" si="1210">(R2242*D2242)*1.1</f>
        <v>1161600</v>
      </c>
      <c r="T2242" s="102">
        <f t="shared" ref="T2242:T2248" si="1211">(R2242*Q2242)</f>
        <v>1056000</v>
      </c>
      <c r="U2242" s="71" t="str">
        <f>IF(J2242=W2242,"O", "X")</f>
        <v>O</v>
      </c>
      <c r="V2242" s="71"/>
      <c r="W2242" s="474">
        <f>(G2242-T2242)</f>
        <v>1080000</v>
      </c>
      <c r="X2242" s="71"/>
      <c r="Y2242" s="71"/>
    </row>
    <row r="2243" spans="1:25" ht="30" customHeight="1" x14ac:dyDescent="0.25">
      <c r="A2243" s="82">
        <v>190725</v>
      </c>
      <c r="B2243" s="664" t="s">
        <v>565</v>
      </c>
      <c r="C2243" s="71" t="s">
        <v>692</v>
      </c>
      <c r="D2243" s="71">
        <v>10</v>
      </c>
      <c r="E2243" s="102">
        <v>218000</v>
      </c>
      <c r="F2243" s="102">
        <f t="shared" si="1191"/>
        <v>2398000</v>
      </c>
      <c r="G2243" s="102">
        <f t="shared" si="1192"/>
        <v>2180000</v>
      </c>
      <c r="H2243" s="690" t="s">
        <v>173</v>
      </c>
      <c r="I2243" s="71" t="s">
        <v>109</v>
      </c>
      <c r="J2243" s="53">
        <f>(G2243-(VLOOKUP(C2243,Price!B:D,3,FALSE)*D2243))</f>
        <v>580000</v>
      </c>
      <c r="K2243" s="63">
        <f t="shared" si="1203"/>
        <v>0.26605504587155965</v>
      </c>
      <c r="L2243" s="871" t="s">
        <v>2005</v>
      </c>
      <c r="M2243" s="468"/>
      <c r="N2243" s="664">
        <f t="shared" si="1207"/>
        <v>190725</v>
      </c>
      <c r="O2243" s="71" t="s">
        <v>150</v>
      </c>
      <c r="P2243" s="103" t="str">
        <f t="shared" si="1209"/>
        <v>윤전 블랑켓</v>
      </c>
      <c r="Q2243" s="71">
        <f t="shared" si="1209"/>
        <v>10</v>
      </c>
      <c r="R2243" s="102">
        <v>160000</v>
      </c>
      <c r="S2243" s="102">
        <f t="shared" si="1210"/>
        <v>1760000.0000000002</v>
      </c>
      <c r="T2243" s="102">
        <f t="shared" si="1211"/>
        <v>1600000</v>
      </c>
      <c r="U2243" s="71" t="str">
        <f>IF(J2243=W2243,"O", "X")</f>
        <v>O</v>
      </c>
      <c r="V2243" s="71" t="s">
        <v>784</v>
      </c>
      <c r="W2243" s="474">
        <f>(G2243-T2243)</f>
        <v>580000</v>
      </c>
      <c r="X2243" s="71"/>
      <c r="Y2243" s="71"/>
    </row>
    <row r="2244" spans="1:25" ht="30" customHeight="1" x14ac:dyDescent="0.25">
      <c r="A2244" s="82">
        <v>190725</v>
      </c>
      <c r="B2244" s="664" t="s">
        <v>565</v>
      </c>
      <c r="C2244" s="71" t="s">
        <v>123</v>
      </c>
      <c r="D2244" s="71">
        <v>4</v>
      </c>
      <c r="E2244" s="102">
        <v>35000</v>
      </c>
      <c r="F2244" s="102">
        <f t="shared" si="1191"/>
        <v>154000</v>
      </c>
      <c r="G2244" s="102">
        <f t="shared" si="1192"/>
        <v>140000</v>
      </c>
      <c r="H2244" s="690" t="s">
        <v>173</v>
      </c>
      <c r="I2244" s="71" t="s">
        <v>1432</v>
      </c>
      <c r="J2244" s="53">
        <f t="shared" ref="J2244:J2255" si="1212">G2244-T2244</f>
        <v>50156</v>
      </c>
      <c r="K2244" s="63">
        <f t="shared" si="1203"/>
        <v>0.35825714285714283</v>
      </c>
      <c r="L2244" s="871" t="s">
        <v>2005</v>
      </c>
      <c r="M2244" s="468"/>
      <c r="N2244" s="664">
        <f t="shared" si="1207"/>
        <v>190725</v>
      </c>
      <c r="O2244" s="71" t="s">
        <v>1432</v>
      </c>
      <c r="P2244" s="103" t="str">
        <f t="shared" si="1209"/>
        <v>필터백</v>
      </c>
      <c r="Q2244" s="71">
        <f t="shared" si="1209"/>
        <v>4</v>
      </c>
      <c r="R2244" s="102">
        <v>22461</v>
      </c>
      <c r="S2244" s="102">
        <f t="shared" si="1210"/>
        <v>98828.400000000009</v>
      </c>
      <c r="T2244" s="102">
        <f t="shared" si="1211"/>
        <v>89844</v>
      </c>
      <c r="U2244" s="71"/>
      <c r="V2244" s="71"/>
      <c r="W2244" s="474"/>
      <c r="X2244" s="71"/>
      <c r="Y2244" s="71"/>
    </row>
    <row r="2245" spans="1:25" ht="30" customHeight="1" x14ac:dyDescent="0.25">
      <c r="A2245" s="82">
        <v>190725</v>
      </c>
      <c r="B2245" s="664" t="s">
        <v>565</v>
      </c>
      <c r="C2245" s="71" t="s">
        <v>129</v>
      </c>
      <c r="D2245" s="71">
        <v>7</v>
      </c>
      <c r="E2245" s="102">
        <v>272000</v>
      </c>
      <c r="F2245" s="102">
        <f t="shared" si="1191"/>
        <v>2094400.0000000002</v>
      </c>
      <c r="G2245" s="102">
        <f t="shared" si="1192"/>
        <v>1904000</v>
      </c>
      <c r="H2245" s="690" t="s">
        <v>173</v>
      </c>
      <c r="I2245" s="71" t="s">
        <v>108</v>
      </c>
      <c r="J2245" s="53">
        <f t="shared" si="1212"/>
        <v>448000</v>
      </c>
      <c r="K2245" s="63">
        <f t="shared" si="1203"/>
        <v>0.23529411764705879</v>
      </c>
      <c r="L2245" s="871" t="s">
        <v>2005</v>
      </c>
      <c r="M2245" s="468"/>
      <c r="N2245" s="664">
        <f t="shared" si="1207"/>
        <v>190725</v>
      </c>
      <c r="O2245" s="71" t="s">
        <v>149</v>
      </c>
      <c r="P2245" s="103" t="s">
        <v>220</v>
      </c>
      <c r="Q2245" s="71">
        <f>D2245</f>
        <v>7</v>
      </c>
      <c r="R2245" s="102">
        <v>208000</v>
      </c>
      <c r="S2245" s="102">
        <f t="shared" si="1210"/>
        <v>1601600.0000000002</v>
      </c>
      <c r="T2245" s="102">
        <f t="shared" si="1211"/>
        <v>1456000</v>
      </c>
      <c r="U2245" s="71" t="s">
        <v>859</v>
      </c>
      <c r="V2245" s="71"/>
      <c r="W2245" s="474">
        <v>192000</v>
      </c>
      <c r="X2245" s="71"/>
      <c r="Y2245" s="71"/>
    </row>
    <row r="2246" spans="1:25" ht="30" customHeight="1" x14ac:dyDescent="0.25">
      <c r="A2246" s="82">
        <v>190725</v>
      </c>
      <c r="B2246" s="664" t="s">
        <v>565</v>
      </c>
      <c r="C2246" s="71" t="s">
        <v>2010</v>
      </c>
      <c r="D2246" s="71">
        <v>6</v>
      </c>
      <c r="E2246" s="102">
        <v>6000</v>
      </c>
      <c r="F2246" s="102">
        <f t="shared" si="1191"/>
        <v>39600</v>
      </c>
      <c r="G2246" s="102">
        <f t="shared" si="1192"/>
        <v>36000</v>
      </c>
      <c r="H2246" s="690" t="s">
        <v>173</v>
      </c>
      <c r="I2246" s="71" t="s">
        <v>2231</v>
      </c>
      <c r="J2246" s="53">
        <f t="shared" si="1212"/>
        <v>7200</v>
      </c>
      <c r="K2246" s="63">
        <f t="shared" si="1203"/>
        <v>0.2</v>
      </c>
      <c r="L2246" s="871" t="s">
        <v>2005</v>
      </c>
      <c r="M2246" s="468"/>
      <c r="N2246" s="664">
        <f t="shared" si="1207"/>
        <v>190725</v>
      </c>
      <c r="O2246" s="71" t="s">
        <v>150</v>
      </c>
      <c r="P2246" s="103" t="str">
        <f t="shared" si="1209"/>
        <v>접지부 형광등</v>
      </c>
      <c r="Q2246" s="71">
        <f t="shared" si="1209"/>
        <v>6</v>
      </c>
      <c r="R2246" s="102">
        <f>6000*0.8</f>
        <v>4800</v>
      </c>
      <c r="S2246" s="102">
        <f t="shared" si="1210"/>
        <v>31680.000000000004</v>
      </c>
      <c r="T2246" s="102">
        <f t="shared" si="1211"/>
        <v>28800</v>
      </c>
      <c r="U2246" s="71"/>
      <c r="V2246" s="71"/>
      <c r="W2246" s="474"/>
      <c r="X2246" s="71"/>
      <c r="Y2246" s="71"/>
    </row>
    <row r="2247" spans="1:25" ht="30" customHeight="1" x14ac:dyDescent="0.25">
      <c r="A2247" s="82">
        <v>190725</v>
      </c>
      <c r="B2247" s="664" t="s">
        <v>565</v>
      </c>
      <c r="C2247" s="71" t="s">
        <v>2011</v>
      </c>
      <c r="D2247" s="71">
        <v>1</v>
      </c>
      <c r="E2247" s="102">
        <v>403000</v>
      </c>
      <c r="F2247" s="102">
        <f t="shared" si="1191"/>
        <v>443300.00000000006</v>
      </c>
      <c r="G2247" s="102">
        <f t="shared" si="1192"/>
        <v>403000</v>
      </c>
      <c r="H2247" s="690" t="s">
        <v>173</v>
      </c>
      <c r="I2247" s="71" t="s">
        <v>2231</v>
      </c>
      <c r="J2247" s="53">
        <f t="shared" si="1212"/>
        <v>80600</v>
      </c>
      <c r="K2247" s="63">
        <f t="shared" si="1203"/>
        <v>0.19999999999999998</v>
      </c>
      <c r="L2247" s="871" t="s">
        <v>2005</v>
      </c>
      <c r="M2247" s="468"/>
      <c r="N2247" s="664">
        <f t="shared" si="1207"/>
        <v>190725</v>
      </c>
      <c r="O2247" s="71" t="s">
        <v>150</v>
      </c>
      <c r="P2247" s="103" t="str">
        <f t="shared" si="1209"/>
        <v>판넬 필터(set)</v>
      </c>
      <c r="Q2247" s="71">
        <f t="shared" si="1209"/>
        <v>1</v>
      </c>
      <c r="R2247" s="102">
        <f>(91000+140000+172000)*0.8</f>
        <v>322400</v>
      </c>
      <c r="S2247" s="102">
        <f t="shared" si="1210"/>
        <v>354640</v>
      </c>
      <c r="T2247" s="102">
        <f t="shared" si="1211"/>
        <v>322400</v>
      </c>
      <c r="U2247" s="71"/>
      <c r="V2247" s="71"/>
      <c r="W2247" s="474"/>
      <c r="X2247" s="71"/>
      <c r="Y2247" s="71"/>
    </row>
    <row r="2248" spans="1:25" ht="30" hidden="1" customHeight="1" x14ac:dyDescent="0.25">
      <c r="A2248" s="82">
        <v>190725</v>
      </c>
      <c r="B2248" s="664" t="s">
        <v>1051</v>
      </c>
      <c r="C2248" s="71" t="s">
        <v>1294</v>
      </c>
      <c r="D2248" s="71">
        <v>5400</v>
      </c>
      <c r="E2248" s="102">
        <v>6120</v>
      </c>
      <c r="F2248" s="102">
        <f t="shared" si="1191"/>
        <v>36352800</v>
      </c>
      <c r="G2248" s="102">
        <f t="shared" si="1192"/>
        <v>33048000</v>
      </c>
      <c r="H2248" s="690" t="s">
        <v>142</v>
      </c>
      <c r="I2248" s="71" t="s">
        <v>2273</v>
      </c>
      <c r="J2248" s="53">
        <f t="shared" si="1212"/>
        <v>11448000</v>
      </c>
      <c r="K2248" s="63">
        <f t="shared" ref="K2248:K2266" si="1213">(J2248/(F2248/11*10))</f>
        <v>0.34640522875816993</v>
      </c>
      <c r="L2248" s="871" t="s">
        <v>2005</v>
      </c>
      <c r="M2248" s="468"/>
      <c r="N2248" s="664">
        <f t="shared" ref="N2248:N2262" si="1214">A2248</f>
        <v>190725</v>
      </c>
      <c r="O2248" s="71" t="s">
        <v>145</v>
      </c>
      <c r="P2248" s="103" t="str">
        <f>(C2248)</f>
        <v>ENGAGE 1030*790</v>
      </c>
      <c r="Q2248" s="71">
        <f t="shared" ref="Q2248:Q2270" si="1215">D2248</f>
        <v>5400</v>
      </c>
      <c r="R2248" s="102">
        <v>4000</v>
      </c>
      <c r="S2248" s="102">
        <f t="shared" si="1210"/>
        <v>23760000.000000004</v>
      </c>
      <c r="T2248" s="102">
        <f t="shared" si="1211"/>
        <v>21600000</v>
      </c>
      <c r="U2248" s="71" t="str">
        <f>IF(J2248=W2248,"O", "X")</f>
        <v>O</v>
      </c>
      <c r="V2248" s="71"/>
      <c r="W2248" s="474">
        <f t="shared" ref="W2248:W2269" si="1216">(G2248-T2248)</f>
        <v>11448000</v>
      </c>
      <c r="X2248" s="71"/>
      <c r="Y2248" s="71"/>
    </row>
    <row r="2249" spans="1:25" ht="30" hidden="1" customHeight="1" x14ac:dyDescent="0.25">
      <c r="A2249" s="82">
        <v>190725</v>
      </c>
      <c r="B2249" s="664" t="s">
        <v>1051</v>
      </c>
      <c r="C2249" s="71" t="s">
        <v>1384</v>
      </c>
      <c r="D2249" s="71">
        <v>4800</v>
      </c>
      <c r="E2249" s="102">
        <v>3850</v>
      </c>
      <c r="F2249" s="102">
        <f t="shared" ref="F2249:F2266" si="1217">(E2249*D2249)*1.1</f>
        <v>20328000</v>
      </c>
      <c r="G2249" s="102">
        <f t="shared" ref="G2249:G2266" si="1218">(E2249*D2249)</f>
        <v>18480000</v>
      </c>
      <c r="H2249" s="690" t="s">
        <v>142</v>
      </c>
      <c r="I2249" s="71" t="s">
        <v>2273</v>
      </c>
      <c r="J2249" s="53">
        <f t="shared" si="1212"/>
        <v>6384000</v>
      </c>
      <c r="K2249" s="63">
        <f t="shared" si="1213"/>
        <v>0.34545454545454546</v>
      </c>
      <c r="L2249" s="871" t="s">
        <v>2005</v>
      </c>
      <c r="M2249" s="468"/>
      <c r="N2249" s="664">
        <f t="shared" si="1214"/>
        <v>190725</v>
      </c>
      <c r="O2249" s="71" t="s">
        <v>145</v>
      </c>
      <c r="P2249" s="103" t="str">
        <f>C2249</f>
        <v>ENGAGE 900X571 - 27RO</v>
      </c>
      <c r="Q2249" s="71">
        <f t="shared" si="1215"/>
        <v>4800</v>
      </c>
      <c r="R2249" s="102">
        <v>2520</v>
      </c>
      <c r="S2249" s="102">
        <f>R2249*Q2249*1.1</f>
        <v>13305600.000000002</v>
      </c>
      <c r="T2249" s="102">
        <f>R2249*Q2249</f>
        <v>12096000</v>
      </c>
      <c r="U2249" s="71" t="str">
        <f>IF(J2249=W2249,"O", "X")</f>
        <v>O</v>
      </c>
      <c r="V2249" s="71"/>
      <c r="W2249" s="474">
        <f t="shared" si="1216"/>
        <v>6384000</v>
      </c>
      <c r="X2249" s="71"/>
      <c r="Y2249" s="71"/>
    </row>
    <row r="2250" spans="1:25" ht="30" hidden="1" customHeight="1" x14ac:dyDescent="0.25">
      <c r="A2250" s="82">
        <v>190725</v>
      </c>
      <c r="B2250" s="664" t="s">
        <v>1051</v>
      </c>
      <c r="C2250" s="71" t="s">
        <v>951</v>
      </c>
      <c r="D2250" s="71">
        <v>500</v>
      </c>
      <c r="E2250" s="102">
        <v>3670</v>
      </c>
      <c r="F2250" s="102">
        <f t="shared" si="1217"/>
        <v>2018500.0000000002</v>
      </c>
      <c r="G2250" s="102">
        <f t="shared" si="1218"/>
        <v>1835000</v>
      </c>
      <c r="H2250" s="690" t="s">
        <v>142</v>
      </c>
      <c r="I2250" s="71" t="s">
        <v>2273</v>
      </c>
      <c r="J2250" s="53">
        <f t="shared" si="1212"/>
        <v>640000</v>
      </c>
      <c r="K2250" s="63">
        <f t="shared" si="1213"/>
        <v>0.34877384196185279</v>
      </c>
      <c r="L2250" s="871" t="s">
        <v>2005</v>
      </c>
      <c r="M2250" s="468"/>
      <c r="N2250" s="664">
        <f t="shared" si="1214"/>
        <v>190725</v>
      </c>
      <c r="O2250" s="71" t="s">
        <v>145</v>
      </c>
      <c r="P2250" s="103" t="str">
        <f>(C2250)</f>
        <v>ENGAGE 30WEB(883*552)</v>
      </c>
      <c r="Q2250" s="71">
        <f t="shared" si="1215"/>
        <v>500</v>
      </c>
      <c r="R2250" s="102">
        <v>2390</v>
      </c>
      <c r="S2250" s="102">
        <f>(R2250*D2250)*1.1</f>
        <v>1314500</v>
      </c>
      <c r="T2250" s="102">
        <f>(R2250*Q2250)</f>
        <v>1195000</v>
      </c>
      <c r="U2250" s="71" t="str">
        <f>IF(J2250=W2250,"O", "X")</f>
        <v>O</v>
      </c>
      <c r="V2250" s="71"/>
      <c r="W2250" s="474">
        <f t="shared" si="1216"/>
        <v>640000</v>
      </c>
      <c r="X2250" s="71"/>
      <c r="Y2250" s="71"/>
    </row>
    <row r="2251" spans="1:25" ht="30" hidden="1" customHeight="1" x14ac:dyDescent="0.25">
      <c r="A2251" s="82">
        <v>190725</v>
      </c>
      <c r="B2251" s="664" t="s">
        <v>1051</v>
      </c>
      <c r="C2251" s="71" t="s">
        <v>1383</v>
      </c>
      <c r="D2251" s="71">
        <v>900</v>
      </c>
      <c r="E2251" s="102">
        <v>6430</v>
      </c>
      <c r="F2251" s="102">
        <f t="shared" si="1217"/>
        <v>6365700.0000000009</v>
      </c>
      <c r="G2251" s="102">
        <f t="shared" si="1218"/>
        <v>5787000</v>
      </c>
      <c r="H2251" s="690" t="s">
        <v>142</v>
      </c>
      <c r="I2251" s="71" t="s">
        <v>2273</v>
      </c>
      <c r="J2251" s="53">
        <f t="shared" si="1212"/>
        <v>1998000</v>
      </c>
      <c r="K2251" s="63">
        <f t="shared" si="1213"/>
        <v>0.34525660964230165</v>
      </c>
      <c r="L2251" s="871" t="s">
        <v>2005</v>
      </c>
      <c r="M2251" s="468"/>
      <c r="N2251" s="664">
        <f t="shared" si="1214"/>
        <v>190725</v>
      </c>
      <c r="O2251" s="71" t="s">
        <v>145</v>
      </c>
      <c r="P2251" s="103" t="str">
        <f>C2251</f>
        <v>ENGAGE 1055*811</v>
      </c>
      <c r="Q2251" s="71">
        <f t="shared" si="1215"/>
        <v>900</v>
      </c>
      <c r="R2251" s="102">
        <v>4210</v>
      </c>
      <c r="S2251" s="102">
        <f>R2251*Q2251*1.1</f>
        <v>4167900.0000000005</v>
      </c>
      <c r="T2251" s="102">
        <f>R2251*Q2251</f>
        <v>3789000</v>
      </c>
      <c r="U2251" s="71"/>
      <c r="V2251" s="71"/>
      <c r="W2251" s="474">
        <f t="shared" si="1216"/>
        <v>1998000</v>
      </c>
      <c r="X2251" s="71"/>
      <c r="Y2251" s="71"/>
    </row>
    <row r="2252" spans="1:25" ht="30" hidden="1" customHeight="1" x14ac:dyDescent="0.25">
      <c r="A2252" s="82">
        <v>190725</v>
      </c>
      <c r="B2252" s="664" t="s">
        <v>1051</v>
      </c>
      <c r="C2252" s="71" t="s">
        <v>1650</v>
      </c>
      <c r="D2252" s="71"/>
      <c r="E2252" s="102">
        <v>4440</v>
      </c>
      <c r="F2252" s="102">
        <f t="shared" si="1217"/>
        <v>0</v>
      </c>
      <c r="G2252" s="102">
        <f t="shared" si="1218"/>
        <v>0</v>
      </c>
      <c r="H2252" s="690" t="s">
        <v>142</v>
      </c>
      <c r="I2252" s="71" t="s">
        <v>2273</v>
      </c>
      <c r="J2252" s="53">
        <f t="shared" si="1212"/>
        <v>0</v>
      </c>
      <c r="K2252" s="63" t="e">
        <f t="shared" si="1213"/>
        <v>#DIV/0!</v>
      </c>
      <c r="L2252" s="871" t="s">
        <v>2005</v>
      </c>
      <c r="M2252" s="468"/>
      <c r="N2252" s="664">
        <f t="shared" si="1214"/>
        <v>190725</v>
      </c>
      <c r="O2252" s="71" t="s">
        <v>145</v>
      </c>
      <c r="P2252" s="103" t="s">
        <v>1385</v>
      </c>
      <c r="Q2252" s="71">
        <f t="shared" si="1215"/>
        <v>0</v>
      </c>
      <c r="R2252" s="102">
        <v>3000</v>
      </c>
      <c r="S2252" s="102">
        <f>R2252*Q2252*1.1</f>
        <v>0</v>
      </c>
      <c r="T2252" s="102">
        <f>R2252*Q2252</f>
        <v>0</v>
      </c>
      <c r="U2252" s="71" t="str">
        <f t="shared" ref="U2252:U2270" si="1219">IF(J2252=W2252,"O", "X")</f>
        <v>O</v>
      </c>
      <c r="V2252" s="71"/>
      <c r="W2252" s="474">
        <f t="shared" si="1216"/>
        <v>0</v>
      </c>
      <c r="X2252" s="71"/>
      <c r="Y2252" s="71"/>
    </row>
    <row r="2253" spans="1:25" ht="30" hidden="1" customHeight="1" x14ac:dyDescent="0.25">
      <c r="A2253" s="82">
        <v>190725</v>
      </c>
      <c r="B2253" s="664" t="s">
        <v>1051</v>
      </c>
      <c r="C2253" s="67" t="s">
        <v>1386</v>
      </c>
      <c r="D2253" s="71">
        <v>25</v>
      </c>
      <c r="E2253" s="102">
        <v>56500</v>
      </c>
      <c r="F2253" s="102">
        <f t="shared" si="1217"/>
        <v>1553750.0000000002</v>
      </c>
      <c r="G2253" s="102">
        <f t="shared" si="1218"/>
        <v>1412500</v>
      </c>
      <c r="H2253" s="690" t="s">
        <v>142</v>
      </c>
      <c r="I2253" s="71" t="s">
        <v>2273</v>
      </c>
      <c r="J2253" s="53">
        <f t="shared" si="1212"/>
        <v>537500</v>
      </c>
      <c r="K2253" s="63">
        <f t="shared" si="1213"/>
        <v>0.38053097345132736</v>
      </c>
      <c r="L2253" s="871" t="s">
        <v>2005</v>
      </c>
      <c r="M2253" s="468"/>
      <c r="N2253" s="664">
        <f t="shared" si="1214"/>
        <v>190725</v>
      </c>
      <c r="O2253" s="71" t="s">
        <v>145</v>
      </c>
      <c r="P2253" s="103" t="str">
        <f>C2253</f>
        <v>THR200(20L)보충액</v>
      </c>
      <c r="Q2253" s="71">
        <f t="shared" si="1215"/>
        <v>25</v>
      </c>
      <c r="R2253" s="102">
        <v>35000</v>
      </c>
      <c r="S2253" s="102">
        <f>R2253*Q2253*1.1</f>
        <v>962500.00000000012</v>
      </c>
      <c r="T2253" s="102">
        <f>R2253*Q2253</f>
        <v>875000</v>
      </c>
      <c r="U2253" s="71" t="str">
        <f t="shared" si="1219"/>
        <v>O</v>
      </c>
      <c r="V2253" s="71"/>
      <c r="W2253" s="474">
        <f t="shared" si="1216"/>
        <v>537500</v>
      </c>
      <c r="X2253" s="71"/>
      <c r="Y2253" s="71"/>
    </row>
    <row r="2254" spans="1:25" ht="30" hidden="1" customHeight="1" x14ac:dyDescent="0.25">
      <c r="A2254" s="82">
        <v>190725</v>
      </c>
      <c r="B2254" s="664" t="s">
        <v>1051</v>
      </c>
      <c r="C2254" s="71" t="s">
        <v>1387</v>
      </c>
      <c r="D2254" s="71">
        <v>8</v>
      </c>
      <c r="E2254" s="102">
        <v>56500</v>
      </c>
      <c r="F2254" s="102">
        <f t="shared" si="1217"/>
        <v>497200.00000000006</v>
      </c>
      <c r="G2254" s="102">
        <f t="shared" si="1218"/>
        <v>452000</v>
      </c>
      <c r="H2254" s="690" t="s">
        <v>142</v>
      </c>
      <c r="I2254" s="71" t="s">
        <v>2273</v>
      </c>
      <c r="J2254" s="53">
        <f t="shared" si="1212"/>
        <v>172000</v>
      </c>
      <c r="K2254" s="63">
        <f t="shared" si="1213"/>
        <v>0.38053097345132736</v>
      </c>
      <c r="L2254" s="871" t="s">
        <v>2005</v>
      </c>
      <c r="M2254" s="468"/>
      <c r="N2254" s="664">
        <f t="shared" si="1214"/>
        <v>190725</v>
      </c>
      <c r="O2254" s="71" t="s">
        <v>145</v>
      </c>
      <c r="P2254" s="103" t="str">
        <f>(C2254)</f>
        <v>THD200(20L)현상액</v>
      </c>
      <c r="Q2254" s="71">
        <f t="shared" si="1215"/>
        <v>8</v>
      </c>
      <c r="R2254" s="102">
        <v>35000</v>
      </c>
      <c r="S2254" s="102">
        <f>(R2254*D2254)*1.1</f>
        <v>308000</v>
      </c>
      <c r="T2254" s="102">
        <f>(R2254*Q2254)</f>
        <v>280000</v>
      </c>
      <c r="U2254" s="71" t="str">
        <f t="shared" si="1219"/>
        <v>O</v>
      </c>
      <c r="V2254" s="71"/>
      <c r="W2254" s="474">
        <f t="shared" si="1216"/>
        <v>172000</v>
      </c>
      <c r="X2254" s="71"/>
      <c r="Y2254" s="71"/>
    </row>
    <row r="2255" spans="1:25" ht="30" hidden="1" customHeight="1" x14ac:dyDescent="0.25">
      <c r="A2255" s="82">
        <v>190725</v>
      </c>
      <c r="B2255" s="664" t="s">
        <v>1061</v>
      </c>
      <c r="C2255" s="71" t="s">
        <v>616</v>
      </c>
      <c r="D2255" s="71">
        <v>200</v>
      </c>
      <c r="E2255" s="102">
        <v>6600</v>
      </c>
      <c r="F2255" s="102">
        <f t="shared" si="1217"/>
        <v>1452000.0000000002</v>
      </c>
      <c r="G2255" s="102">
        <f t="shared" si="1218"/>
        <v>1320000</v>
      </c>
      <c r="H2255" s="690" t="s">
        <v>142</v>
      </c>
      <c r="I2255" s="71" t="s">
        <v>144</v>
      </c>
      <c r="J2255" s="53">
        <f t="shared" si="1212"/>
        <v>140000</v>
      </c>
      <c r="K2255" s="63">
        <f t="shared" si="1213"/>
        <v>0.10606060606060604</v>
      </c>
      <c r="L2255" s="871" t="s">
        <v>2005</v>
      </c>
      <c r="M2255" s="468"/>
      <c r="N2255" s="664">
        <f t="shared" si="1214"/>
        <v>190725</v>
      </c>
      <c r="O2255" s="71" t="s">
        <v>147</v>
      </c>
      <c r="P2255" s="103" t="str">
        <f t="shared" ref="P2255:P2270" si="1220">C2255</f>
        <v>프리미어(먹)</v>
      </c>
      <c r="Q2255" s="71">
        <f t="shared" si="1215"/>
        <v>200</v>
      </c>
      <c r="R2255" s="102">
        <v>5900</v>
      </c>
      <c r="S2255" s="102">
        <f>R2255*Q2255*1.1</f>
        <v>1298000</v>
      </c>
      <c r="T2255" s="102">
        <f>R2255*Q2255</f>
        <v>1180000</v>
      </c>
      <c r="U2255" s="71" t="str">
        <f t="shared" si="1219"/>
        <v>O</v>
      </c>
      <c r="V2255" s="71"/>
      <c r="W2255" s="474">
        <f t="shared" si="1216"/>
        <v>140000</v>
      </c>
      <c r="X2255" s="71"/>
      <c r="Y2255" s="71"/>
    </row>
    <row r="2256" spans="1:25" ht="30" hidden="1" customHeight="1" x14ac:dyDescent="0.25">
      <c r="A2256" s="82">
        <v>190725</v>
      </c>
      <c r="B2256" s="664" t="s">
        <v>1052</v>
      </c>
      <c r="C2256" s="71" t="s">
        <v>585</v>
      </c>
      <c r="D2256" s="71">
        <v>0</v>
      </c>
      <c r="E2256" s="102">
        <v>7500</v>
      </c>
      <c r="F2256" s="102">
        <f t="shared" si="1217"/>
        <v>0</v>
      </c>
      <c r="G2256" s="102">
        <f t="shared" si="1218"/>
        <v>0</v>
      </c>
      <c r="H2256" s="690" t="s">
        <v>142</v>
      </c>
      <c r="I2256" s="71" t="s">
        <v>144</v>
      </c>
      <c r="J2256" s="53">
        <f>(G2256-(VLOOKUP(C2256,Price!B:D,3,FALSE)*D2256))</f>
        <v>0</v>
      </c>
      <c r="K2256" s="63" t="e">
        <f t="shared" si="1213"/>
        <v>#DIV/0!</v>
      </c>
      <c r="L2256" s="871" t="s">
        <v>2005</v>
      </c>
      <c r="M2256" s="468"/>
      <c r="N2256" s="664">
        <f t="shared" si="1214"/>
        <v>190725</v>
      </c>
      <c r="O2256" s="71" t="s">
        <v>147</v>
      </c>
      <c r="P2256" s="103" t="str">
        <f t="shared" si="1220"/>
        <v>프리미어(적)</v>
      </c>
      <c r="Q2256" s="71">
        <f t="shared" si="1215"/>
        <v>0</v>
      </c>
      <c r="R2256" s="102">
        <v>6770</v>
      </c>
      <c r="S2256" s="102">
        <f>R2256*Q2256*1.1</f>
        <v>0</v>
      </c>
      <c r="T2256" s="102">
        <f>R2256*Q2256</f>
        <v>0</v>
      </c>
      <c r="U2256" s="71" t="str">
        <f t="shared" si="1219"/>
        <v>O</v>
      </c>
      <c r="V2256" s="71"/>
      <c r="W2256" s="474">
        <f t="shared" si="1216"/>
        <v>0</v>
      </c>
      <c r="X2256" s="71"/>
      <c r="Y2256" s="71"/>
    </row>
    <row r="2257" spans="1:25" ht="30" hidden="1" customHeight="1" x14ac:dyDescent="0.25">
      <c r="A2257" s="82">
        <v>190725</v>
      </c>
      <c r="B2257" s="664" t="s">
        <v>1061</v>
      </c>
      <c r="C2257" s="71" t="s">
        <v>586</v>
      </c>
      <c r="D2257" s="71">
        <v>600</v>
      </c>
      <c r="E2257" s="102">
        <v>6750</v>
      </c>
      <c r="F2257" s="102">
        <f t="shared" si="1217"/>
        <v>4455000</v>
      </c>
      <c r="G2257" s="102">
        <f t="shared" si="1218"/>
        <v>4050000</v>
      </c>
      <c r="H2257" s="690" t="s">
        <v>142</v>
      </c>
      <c r="I2257" s="71" t="s">
        <v>144</v>
      </c>
      <c r="J2257" s="53">
        <f t="shared" ref="J2257:J2267" si="1221">G2257-T2257</f>
        <v>342000</v>
      </c>
      <c r="K2257" s="63">
        <f t="shared" si="1213"/>
        <v>8.4444444444444447E-2</v>
      </c>
      <c r="L2257" s="871" t="s">
        <v>2005</v>
      </c>
      <c r="M2257" s="468"/>
      <c r="N2257" s="664">
        <f t="shared" si="1214"/>
        <v>190725</v>
      </c>
      <c r="O2257" s="71" t="s">
        <v>147</v>
      </c>
      <c r="P2257" s="103" t="str">
        <f t="shared" si="1220"/>
        <v>프리미어(황)</v>
      </c>
      <c r="Q2257" s="71">
        <f t="shared" si="1215"/>
        <v>600</v>
      </c>
      <c r="R2257" s="102">
        <v>6180</v>
      </c>
      <c r="S2257" s="102">
        <f>(R2257*D2257)*1.1</f>
        <v>4078800.0000000005</v>
      </c>
      <c r="T2257" s="102">
        <f>(R2257*Q2257)</f>
        <v>3708000</v>
      </c>
      <c r="U2257" s="71" t="str">
        <f t="shared" si="1219"/>
        <v>O</v>
      </c>
      <c r="V2257" s="71"/>
      <c r="W2257" s="474">
        <f t="shared" si="1216"/>
        <v>342000</v>
      </c>
      <c r="X2257" s="71"/>
      <c r="Y2257" s="71"/>
    </row>
    <row r="2258" spans="1:25" ht="30" hidden="1" customHeight="1" x14ac:dyDescent="0.25">
      <c r="A2258" s="82">
        <v>190725</v>
      </c>
      <c r="B2258" s="664" t="s">
        <v>1061</v>
      </c>
      <c r="C2258" s="71" t="s">
        <v>587</v>
      </c>
      <c r="D2258" s="71">
        <v>200</v>
      </c>
      <c r="E2258" s="102">
        <v>8000</v>
      </c>
      <c r="F2258" s="102">
        <f t="shared" si="1217"/>
        <v>1760000.0000000002</v>
      </c>
      <c r="G2258" s="102">
        <f t="shared" si="1218"/>
        <v>1600000</v>
      </c>
      <c r="H2258" s="690" t="s">
        <v>142</v>
      </c>
      <c r="I2258" s="71" t="s">
        <v>144</v>
      </c>
      <c r="J2258" s="53">
        <f t="shared" si="1221"/>
        <v>218000</v>
      </c>
      <c r="K2258" s="63">
        <f t="shared" si="1213"/>
        <v>0.13624999999999998</v>
      </c>
      <c r="L2258" s="871" t="s">
        <v>2005</v>
      </c>
      <c r="M2258" s="468"/>
      <c r="N2258" s="664">
        <f t="shared" si="1214"/>
        <v>190725</v>
      </c>
      <c r="O2258" s="71" t="s">
        <v>147</v>
      </c>
      <c r="P2258" s="103" t="str">
        <f t="shared" si="1220"/>
        <v>프리미어(청)</v>
      </c>
      <c r="Q2258" s="71">
        <f t="shared" si="1215"/>
        <v>200</v>
      </c>
      <c r="R2258" s="102">
        <v>6910</v>
      </c>
      <c r="S2258" s="102">
        <f>(R2258*D2258)*1.1</f>
        <v>1520200.0000000002</v>
      </c>
      <c r="T2258" s="102">
        <f>(R2258*Q2258)</f>
        <v>1382000</v>
      </c>
      <c r="U2258" s="71" t="str">
        <f t="shared" si="1219"/>
        <v>O</v>
      </c>
      <c r="V2258" s="71"/>
      <c r="W2258" s="474">
        <f t="shared" si="1216"/>
        <v>218000</v>
      </c>
      <c r="X2258" s="71"/>
      <c r="Y2258" s="71"/>
    </row>
    <row r="2259" spans="1:25" ht="30" hidden="1" customHeight="1" x14ac:dyDescent="0.25">
      <c r="A2259" s="82">
        <v>190725</v>
      </c>
      <c r="B2259" s="664" t="s">
        <v>1052</v>
      </c>
      <c r="C2259" s="71" t="s">
        <v>1115</v>
      </c>
      <c r="D2259" s="71">
        <v>300</v>
      </c>
      <c r="E2259" s="102">
        <v>6200</v>
      </c>
      <c r="F2259" s="102">
        <f t="shared" si="1217"/>
        <v>2046000.0000000002</v>
      </c>
      <c r="G2259" s="102">
        <f t="shared" si="1218"/>
        <v>1860000</v>
      </c>
      <c r="H2259" s="690" t="s">
        <v>142</v>
      </c>
      <c r="I2259" s="71" t="s">
        <v>144</v>
      </c>
      <c r="J2259" s="53">
        <f t="shared" si="1221"/>
        <v>30000</v>
      </c>
      <c r="K2259" s="63">
        <f t="shared" si="1213"/>
        <v>1.6129032258064516E-2</v>
      </c>
      <c r="L2259" s="871" t="s">
        <v>2005</v>
      </c>
      <c r="M2259" s="468"/>
      <c r="N2259" s="664">
        <f t="shared" si="1214"/>
        <v>190725</v>
      </c>
      <c r="O2259" s="71" t="s">
        <v>147</v>
      </c>
      <c r="P2259" s="103" t="str">
        <f t="shared" si="1220"/>
        <v>한특 잉크(적)</v>
      </c>
      <c r="Q2259" s="71">
        <f t="shared" si="1215"/>
        <v>300</v>
      </c>
      <c r="R2259" s="102">
        <v>6100</v>
      </c>
      <c r="S2259" s="102">
        <f t="shared" ref="S2259:S2268" si="1222">R2259*Q2259*1.1</f>
        <v>2013000.0000000002</v>
      </c>
      <c r="T2259" s="102">
        <f t="shared" ref="T2259:T2268" si="1223">R2259*Q2259</f>
        <v>1830000</v>
      </c>
      <c r="U2259" s="71" t="str">
        <f t="shared" si="1219"/>
        <v>O</v>
      </c>
      <c r="V2259" s="71"/>
      <c r="W2259" s="474">
        <f t="shared" si="1216"/>
        <v>30000</v>
      </c>
      <c r="X2259" s="71"/>
      <c r="Y2259" s="71"/>
    </row>
    <row r="2260" spans="1:25" ht="30" hidden="1" customHeight="1" x14ac:dyDescent="0.25">
      <c r="A2260" s="82">
        <v>190725</v>
      </c>
      <c r="B2260" s="664" t="s">
        <v>1052</v>
      </c>
      <c r="C2260" s="71" t="s">
        <v>1116</v>
      </c>
      <c r="D2260" s="71">
        <v>300</v>
      </c>
      <c r="E2260" s="102">
        <v>6000</v>
      </c>
      <c r="F2260" s="102">
        <f t="shared" si="1217"/>
        <v>1980000.0000000002</v>
      </c>
      <c r="G2260" s="102">
        <f t="shared" si="1218"/>
        <v>1800000</v>
      </c>
      <c r="H2260" s="690" t="s">
        <v>142</v>
      </c>
      <c r="I2260" s="71" t="s">
        <v>144</v>
      </c>
      <c r="J2260" s="53">
        <f t="shared" si="1221"/>
        <v>30000</v>
      </c>
      <c r="K2260" s="63">
        <f t="shared" si="1213"/>
        <v>1.6666666666666663E-2</v>
      </c>
      <c r="L2260" s="871" t="s">
        <v>2005</v>
      </c>
      <c r="M2260" s="468"/>
      <c r="N2260" s="664">
        <f t="shared" si="1214"/>
        <v>190725</v>
      </c>
      <c r="O2260" s="71" t="s">
        <v>147</v>
      </c>
      <c r="P2260" s="103" t="str">
        <f t="shared" si="1220"/>
        <v>한특 잉크(황)</v>
      </c>
      <c r="Q2260" s="71">
        <f t="shared" si="1215"/>
        <v>300</v>
      </c>
      <c r="R2260" s="102">
        <v>5900</v>
      </c>
      <c r="S2260" s="102">
        <f t="shared" si="1222"/>
        <v>1947000.0000000002</v>
      </c>
      <c r="T2260" s="102">
        <f t="shared" si="1223"/>
        <v>1770000</v>
      </c>
      <c r="U2260" s="71" t="str">
        <f t="shared" si="1219"/>
        <v>O</v>
      </c>
      <c r="V2260" s="71"/>
      <c r="W2260" s="474">
        <f t="shared" si="1216"/>
        <v>30000</v>
      </c>
      <c r="X2260" s="71"/>
      <c r="Y2260" s="71"/>
    </row>
    <row r="2261" spans="1:25" ht="30" hidden="1" customHeight="1" x14ac:dyDescent="0.25">
      <c r="A2261" s="82">
        <v>190725</v>
      </c>
      <c r="B2261" s="664" t="s">
        <v>1052</v>
      </c>
      <c r="C2261" s="71" t="s">
        <v>1117</v>
      </c>
      <c r="D2261" s="71">
        <v>250</v>
      </c>
      <c r="E2261" s="102">
        <v>6500</v>
      </c>
      <c r="F2261" s="102">
        <f t="shared" si="1217"/>
        <v>1787500.0000000002</v>
      </c>
      <c r="G2261" s="102">
        <f t="shared" si="1218"/>
        <v>1625000</v>
      </c>
      <c r="H2261" s="690" t="s">
        <v>142</v>
      </c>
      <c r="I2261" s="71" t="s">
        <v>144</v>
      </c>
      <c r="J2261" s="53">
        <f t="shared" si="1221"/>
        <v>25000</v>
      </c>
      <c r="K2261" s="63">
        <f t="shared" si="1213"/>
        <v>1.5384615384615382E-2</v>
      </c>
      <c r="L2261" s="871" t="s">
        <v>2005</v>
      </c>
      <c r="M2261" s="468"/>
      <c r="N2261" s="664">
        <f t="shared" si="1214"/>
        <v>190725</v>
      </c>
      <c r="O2261" s="71" t="s">
        <v>147</v>
      </c>
      <c r="P2261" s="103" t="str">
        <f t="shared" si="1220"/>
        <v>한특 잉크(청)</v>
      </c>
      <c r="Q2261" s="71">
        <f t="shared" si="1215"/>
        <v>250</v>
      </c>
      <c r="R2261" s="102">
        <v>6400</v>
      </c>
      <c r="S2261" s="102">
        <f t="shared" si="1222"/>
        <v>1760000.0000000002</v>
      </c>
      <c r="T2261" s="102">
        <f t="shared" si="1223"/>
        <v>1600000</v>
      </c>
      <c r="U2261" s="71" t="str">
        <f t="shared" si="1219"/>
        <v>O</v>
      </c>
      <c r="V2261" s="71"/>
      <c r="W2261" s="474">
        <f t="shared" si="1216"/>
        <v>25000</v>
      </c>
      <c r="X2261" s="71"/>
      <c r="Y2261" s="71"/>
    </row>
    <row r="2262" spans="1:25" ht="30" hidden="1" customHeight="1" x14ac:dyDescent="0.25">
      <c r="A2262" s="82">
        <v>190725</v>
      </c>
      <c r="B2262" s="664" t="s">
        <v>1052</v>
      </c>
      <c r="C2262" s="71" t="s">
        <v>1118</v>
      </c>
      <c r="D2262" s="71">
        <v>250</v>
      </c>
      <c r="E2262" s="102">
        <v>5600</v>
      </c>
      <c r="F2262" s="102">
        <f t="shared" si="1217"/>
        <v>1540000.0000000002</v>
      </c>
      <c r="G2262" s="102">
        <f t="shared" si="1218"/>
        <v>1400000</v>
      </c>
      <c r="H2262" s="690" t="s">
        <v>142</v>
      </c>
      <c r="I2262" s="71" t="s">
        <v>144</v>
      </c>
      <c r="J2262" s="53">
        <f t="shared" si="1221"/>
        <v>25000</v>
      </c>
      <c r="K2262" s="63">
        <f t="shared" si="1213"/>
        <v>1.7857142857142853E-2</v>
      </c>
      <c r="L2262" s="871" t="s">
        <v>2005</v>
      </c>
      <c r="M2262" s="468"/>
      <c r="N2262" s="664">
        <f t="shared" si="1214"/>
        <v>190725</v>
      </c>
      <c r="O2262" s="71" t="s">
        <v>147</v>
      </c>
      <c r="P2262" s="103" t="str">
        <f t="shared" si="1220"/>
        <v>한특 잉크(먹)</v>
      </c>
      <c r="Q2262" s="71">
        <f t="shared" si="1215"/>
        <v>250</v>
      </c>
      <c r="R2262" s="102">
        <v>5500</v>
      </c>
      <c r="S2262" s="102">
        <f t="shared" si="1222"/>
        <v>1512500.0000000002</v>
      </c>
      <c r="T2262" s="102">
        <f t="shared" si="1223"/>
        <v>1375000</v>
      </c>
      <c r="U2262" s="71" t="str">
        <f t="shared" si="1219"/>
        <v>O</v>
      </c>
      <c r="V2262" s="71"/>
      <c r="W2262" s="474">
        <f t="shared" si="1216"/>
        <v>25000</v>
      </c>
      <c r="X2262" s="71"/>
      <c r="Y2262" s="71"/>
    </row>
    <row r="2263" spans="1:25" ht="30" hidden="1" customHeight="1" x14ac:dyDescent="0.25">
      <c r="A2263" s="82">
        <v>190725</v>
      </c>
      <c r="B2263" s="664" t="s">
        <v>1052</v>
      </c>
      <c r="C2263" s="71" t="s">
        <v>1843</v>
      </c>
      <c r="D2263" s="71">
        <v>0</v>
      </c>
      <c r="E2263" s="102">
        <v>8200</v>
      </c>
      <c r="F2263" s="102">
        <f t="shared" si="1217"/>
        <v>0</v>
      </c>
      <c r="G2263" s="102">
        <f t="shared" si="1218"/>
        <v>0</v>
      </c>
      <c r="H2263" s="690" t="s">
        <v>142</v>
      </c>
      <c r="I2263" s="71" t="s">
        <v>144</v>
      </c>
      <c r="J2263" s="53">
        <f t="shared" si="1221"/>
        <v>0</v>
      </c>
      <c r="K2263" s="63" t="e">
        <f t="shared" si="1213"/>
        <v>#DIV/0!</v>
      </c>
      <c r="L2263" s="871" t="s">
        <v>2005</v>
      </c>
      <c r="M2263" s="468"/>
      <c r="N2263" s="664">
        <f t="shared" ref="N2263:N2273" si="1224">A2263</f>
        <v>190725</v>
      </c>
      <c r="O2263" s="71" t="s">
        <v>147</v>
      </c>
      <c r="P2263" s="103" t="str">
        <f t="shared" si="1220"/>
        <v>아라니아 분홍(1) 190c</v>
      </c>
      <c r="Q2263" s="71">
        <f t="shared" si="1215"/>
        <v>0</v>
      </c>
      <c r="R2263" s="102">
        <v>7850</v>
      </c>
      <c r="S2263" s="102">
        <f t="shared" si="1222"/>
        <v>0</v>
      </c>
      <c r="T2263" s="102">
        <f t="shared" si="1223"/>
        <v>0</v>
      </c>
      <c r="U2263" s="71" t="str">
        <f t="shared" si="1219"/>
        <v>O</v>
      </c>
      <c r="V2263" s="71"/>
      <c r="W2263" s="474">
        <f t="shared" si="1216"/>
        <v>0</v>
      </c>
      <c r="X2263" s="71"/>
      <c r="Y2263" s="71"/>
    </row>
    <row r="2264" spans="1:25" ht="30" hidden="1" customHeight="1" x14ac:dyDescent="0.25">
      <c r="A2264" s="82">
        <v>190725</v>
      </c>
      <c r="B2264" s="664" t="s">
        <v>1052</v>
      </c>
      <c r="C2264" s="71" t="s">
        <v>1840</v>
      </c>
      <c r="D2264" s="71">
        <v>0</v>
      </c>
      <c r="E2264" s="102">
        <v>8000</v>
      </c>
      <c r="F2264" s="102">
        <f t="shared" si="1217"/>
        <v>0</v>
      </c>
      <c r="G2264" s="102">
        <f t="shared" si="1218"/>
        <v>0</v>
      </c>
      <c r="H2264" s="690" t="s">
        <v>142</v>
      </c>
      <c r="I2264" s="71" t="s">
        <v>144</v>
      </c>
      <c r="J2264" s="53">
        <f t="shared" si="1221"/>
        <v>0</v>
      </c>
      <c r="K2264" s="63" t="e">
        <f t="shared" si="1213"/>
        <v>#DIV/0!</v>
      </c>
      <c r="L2264" s="871" t="s">
        <v>2005</v>
      </c>
      <c r="M2264" s="468"/>
      <c r="N2264" s="664">
        <f t="shared" si="1224"/>
        <v>190725</v>
      </c>
      <c r="O2264" s="71" t="s">
        <v>147</v>
      </c>
      <c r="P2264" s="103" t="str">
        <f t="shared" si="1220"/>
        <v>아라니아 연청 304c</v>
      </c>
      <c r="Q2264" s="71">
        <f t="shared" si="1215"/>
        <v>0</v>
      </c>
      <c r="R2264" s="102">
        <v>7600</v>
      </c>
      <c r="S2264" s="102">
        <f t="shared" si="1222"/>
        <v>0</v>
      </c>
      <c r="T2264" s="102">
        <f t="shared" si="1223"/>
        <v>0</v>
      </c>
      <c r="U2264" s="71" t="str">
        <f t="shared" si="1219"/>
        <v>O</v>
      </c>
      <c r="V2264" s="71"/>
      <c r="W2264" s="474">
        <f t="shared" si="1216"/>
        <v>0</v>
      </c>
      <c r="X2264" s="71"/>
      <c r="Y2264" s="71"/>
    </row>
    <row r="2265" spans="1:25" ht="30" hidden="1" customHeight="1" x14ac:dyDescent="0.25">
      <c r="A2265" s="82">
        <v>190725</v>
      </c>
      <c r="B2265" s="664" t="s">
        <v>1052</v>
      </c>
      <c r="C2265" s="71" t="s">
        <v>1841</v>
      </c>
      <c r="D2265" s="71"/>
      <c r="E2265" s="102">
        <v>7700</v>
      </c>
      <c r="F2265" s="102">
        <f t="shared" si="1217"/>
        <v>0</v>
      </c>
      <c r="G2265" s="102">
        <f t="shared" si="1218"/>
        <v>0</v>
      </c>
      <c r="H2265" s="690" t="s">
        <v>142</v>
      </c>
      <c r="I2265" s="71" t="s">
        <v>144</v>
      </c>
      <c r="J2265" s="53">
        <f t="shared" si="1221"/>
        <v>0</v>
      </c>
      <c r="K2265" s="63" t="e">
        <f t="shared" si="1213"/>
        <v>#DIV/0!</v>
      </c>
      <c r="L2265" s="871" t="s">
        <v>2005</v>
      </c>
      <c r="M2265" s="468"/>
      <c r="N2265" s="664">
        <f t="shared" si="1224"/>
        <v>190725</v>
      </c>
      <c r="O2265" s="71" t="s">
        <v>147</v>
      </c>
      <c r="P2265" s="103" t="str">
        <f t="shared" si="1220"/>
        <v>아라니아 분홍(2) 1905c</v>
      </c>
      <c r="Q2265" s="71">
        <f t="shared" si="1215"/>
        <v>0</v>
      </c>
      <c r="R2265" s="102">
        <v>7300</v>
      </c>
      <c r="S2265" s="102">
        <f t="shared" si="1222"/>
        <v>0</v>
      </c>
      <c r="T2265" s="102">
        <f t="shared" si="1223"/>
        <v>0</v>
      </c>
      <c r="U2265" s="71" t="str">
        <f t="shared" si="1219"/>
        <v>O</v>
      </c>
      <c r="V2265" s="71"/>
      <c r="W2265" s="474">
        <f t="shared" si="1216"/>
        <v>0</v>
      </c>
      <c r="X2265" s="71"/>
      <c r="Y2265" s="71"/>
    </row>
    <row r="2266" spans="1:25" ht="30" hidden="1" customHeight="1" x14ac:dyDescent="0.25">
      <c r="A2266" s="82">
        <v>190725</v>
      </c>
      <c r="B2266" s="664" t="s">
        <v>1052</v>
      </c>
      <c r="C2266" s="71" t="s">
        <v>1842</v>
      </c>
      <c r="D2266" s="71">
        <v>0</v>
      </c>
      <c r="E2266" s="102">
        <v>8600</v>
      </c>
      <c r="F2266" s="102">
        <f t="shared" si="1217"/>
        <v>0</v>
      </c>
      <c r="G2266" s="102">
        <f t="shared" si="1218"/>
        <v>0</v>
      </c>
      <c r="H2266" s="690" t="s">
        <v>142</v>
      </c>
      <c r="I2266" s="71" t="s">
        <v>144</v>
      </c>
      <c r="J2266" s="53">
        <f t="shared" si="1221"/>
        <v>0</v>
      </c>
      <c r="K2266" s="63" t="e">
        <f t="shared" si="1213"/>
        <v>#DIV/0!</v>
      </c>
      <c r="L2266" s="871" t="s">
        <v>2005</v>
      </c>
      <c r="M2266" s="468"/>
      <c r="N2266" s="664">
        <f t="shared" si="1224"/>
        <v>190725</v>
      </c>
      <c r="O2266" s="71" t="s">
        <v>147</v>
      </c>
      <c r="P2266" s="103" t="str">
        <f t="shared" si="1220"/>
        <v>아라니아 분홍(3) 1775c</v>
      </c>
      <c r="Q2266" s="71">
        <f t="shared" si="1215"/>
        <v>0</v>
      </c>
      <c r="R2266" s="102">
        <v>8100</v>
      </c>
      <c r="S2266" s="102">
        <f t="shared" si="1222"/>
        <v>0</v>
      </c>
      <c r="T2266" s="102">
        <f t="shared" si="1223"/>
        <v>0</v>
      </c>
      <c r="U2266" s="71" t="str">
        <f t="shared" si="1219"/>
        <v>O</v>
      </c>
      <c r="V2266" s="71"/>
      <c r="W2266" s="474">
        <f t="shared" si="1216"/>
        <v>0</v>
      </c>
      <c r="X2266" s="71"/>
      <c r="Y2266" s="71"/>
    </row>
    <row r="2267" spans="1:25" ht="30" hidden="1" customHeight="1" x14ac:dyDescent="0.25">
      <c r="A2267" s="82">
        <v>190725</v>
      </c>
      <c r="B2267" s="664" t="s">
        <v>1052</v>
      </c>
      <c r="C2267" s="71" t="s">
        <v>2015</v>
      </c>
      <c r="D2267" s="71">
        <v>20</v>
      </c>
      <c r="E2267" s="102">
        <v>8200</v>
      </c>
      <c r="F2267" s="102">
        <f>(E2267*D2267)*1.1</f>
        <v>180400.00000000003</v>
      </c>
      <c r="G2267" s="102">
        <f>(E2267*D2267)</f>
        <v>164000</v>
      </c>
      <c r="H2267" s="690" t="s">
        <v>142</v>
      </c>
      <c r="I2267" s="71" t="s">
        <v>144</v>
      </c>
      <c r="J2267" s="53">
        <f t="shared" si="1221"/>
        <v>0</v>
      </c>
      <c r="K2267" s="63">
        <f>(J2267/(F2267/11*10))</f>
        <v>0</v>
      </c>
      <c r="L2267" s="871" t="s">
        <v>2005</v>
      </c>
      <c r="M2267" s="468"/>
      <c r="N2267" s="664">
        <f t="shared" si="1224"/>
        <v>190725</v>
      </c>
      <c r="O2267" s="71" t="s">
        <v>147</v>
      </c>
      <c r="P2267" s="103" t="str">
        <f t="shared" si="1220"/>
        <v>아라니아 BTS 보라</v>
      </c>
      <c r="Q2267" s="71">
        <f t="shared" si="1215"/>
        <v>20</v>
      </c>
      <c r="R2267" s="102">
        <v>8200</v>
      </c>
      <c r="S2267" s="102">
        <f t="shared" si="1222"/>
        <v>180400.00000000003</v>
      </c>
      <c r="T2267" s="102">
        <f t="shared" si="1223"/>
        <v>164000</v>
      </c>
      <c r="U2267" s="71" t="str">
        <f t="shared" si="1219"/>
        <v>O</v>
      </c>
      <c r="V2267" s="71"/>
      <c r="W2267" s="474">
        <f t="shared" si="1216"/>
        <v>0</v>
      </c>
      <c r="X2267" s="71"/>
      <c r="Y2267" s="71"/>
    </row>
    <row r="2268" spans="1:25" ht="30" hidden="1" customHeight="1" x14ac:dyDescent="0.25">
      <c r="A2268" s="82">
        <v>190726</v>
      </c>
      <c r="B2268" s="664" t="s">
        <v>549</v>
      </c>
      <c r="C2268" s="71" t="s">
        <v>119</v>
      </c>
      <c r="D2268" s="71">
        <v>20</v>
      </c>
      <c r="E2268" s="102">
        <v>115000</v>
      </c>
      <c r="F2268" s="102">
        <f>(E2268*D2268)*1.1</f>
        <v>2530000</v>
      </c>
      <c r="G2268" s="102">
        <f>(E2268*D2268)</f>
        <v>2300000</v>
      </c>
      <c r="H2268" s="690" t="s">
        <v>173</v>
      </c>
      <c r="I2268" s="71" t="s">
        <v>109</v>
      </c>
      <c r="J2268" s="53">
        <f>(G2268-(VLOOKUP(C2268,Price!B:D,3,FALSE)*D2268))</f>
        <v>526000</v>
      </c>
      <c r="K2268" s="63">
        <f>(J2268/(F2268/11*10))</f>
        <v>0.22869565217391305</v>
      </c>
      <c r="L2268" s="871" t="s">
        <v>2005</v>
      </c>
      <c r="M2268" s="468"/>
      <c r="N2268" s="664">
        <f t="shared" si="1224"/>
        <v>190726</v>
      </c>
      <c r="O2268" s="71" t="s">
        <v>150</v>
      </c>
      <c r="P2268" s="103" t="str">
        <f t="shared" si="1220"/>
        <v>미쯔비시 Blanket(1035*910)</v>
      </c>
      <c r="Q2268" s="71">
        <f t="shared" si="1215"/>
        <v>20</v>
      </c>
      <c r="R2268" s="102">
        <v>88700</v>
      </c>
      <c r="S2268" s="102">
        <f t="shared" si="1222"/>
        <v>1951400.0000000002</v>
      </c>
      <c r="T2268" s="102">
        <f t="shared" si="1223"/>
        <v>1774000</v>
      </c>
      <c r="U2268" s="71" t="str">
        <f t="shared" si="1219"/>
        <v>O</v>
      </c>
      <c r="V2268" s="71"/>
      <c r="W2268" s="474">
        <f t="shared" si="1216"/>
        <v>526000</v>
      </c>
      <c r="X2268" s="71"/>
      <c r="Y2268" s="71"/>
    </row>
    <row r="2269" spans="1:25" s="209" customFormat="1" ht="30" hidden="1" customHeight="1" x14ac:dyDescent="0.2">
      <c r="A2269" s="82">
        <v>190729</v>
      </c>
      <c r="B2269" s="664" t="s">
        <v>445</v>
      </c>
      <c r="C2269" s="71" t="s">
        <v>107</v>
      </c>
      <c r="D2269" s="71">
        <v>10</v>
      </c>
      <c r="E2269" s="102">
        <v>108000</v>
      </c>
      <c r="F2269" s="163">
        <f>(E2269*D2269)*1.1</f>
        <v>1188000</v>
      </c>
      <c r="G2269" s="163">
        <f>(E2269*D2269)</f>
        <v>1080000</v>
      </c>
      <c r="H2269" s="165" t="s">
        <v>172</v>
      </c>
      <c r="I2269" s="71" t="s">
        <v>109</v>
      </c>
      <c r="J2269" s="53">
        <f>(G2269-(VLOOKUP(C2269,Price!B:D,3,FALSE)*D2269))</f>
        <v>275000</v>
      </c>
      <c r="K2269" s="63">
        <f>(J2269/(F2269/11*10))</f>
        <v>0.25462962962962965</v>
      </c>
      <c r="L2269" s="871" t="s">
        <v>2005</v>
      </c>
      <c r="M2269" s="468"/>
      <c r="N2269" s="664">
        <f t="shared" si="1224"/>
        <v>190729</v>
      </c>
      <c r="O2269" s="71" t="s">
        <v>147</v>
      </c>
      <c r="P2269" s="103" t="str">
        <f t="shared" si="1220"/>
        <v>Blanket(1050*840)</v>
      </c>
      <c r="Q2269" s="71">
        <f t="shared" si="1215"/>
        <v>10</v>
      </c>
      <c r="R2269" s="102">
        <v>80500</v>
      </c>
      <c r="S2269" s="102">
        <f>(R2269*D2269)*1.1</f>
        <v>885500.00000000012</v>
      </c>
      <c r="T2269" s="102">
        <f>(R2269*Q2269)</f>
        <v>805000</v>
      </c>
      <c r="U2269" s="71" t="str">
        <f t="shared" si="1219"/>
        <v>O</v>
      </c>
      <c r="V2269" s="71"/>
      <c r="W2269" s="474">
        <f t="shared" si="1216"/>
        <v>275000</v>
      </c>
      <c r="X2269" s="71"/>
      <c r="Y2269" s="71"/>
    </row>
    <row r="2270" spans="1:25" ht="30" customHeight="1" x14ac:dyDescent="0.25">
      <c r="A2270" s="82">
        <v>190729</v>
      </c>
      <c r="B2270" s="664" t="s">
        <v>422</v>
      </c>
      <c r="C2270" s="71" t="s">
        <v>2009</v>
      </c>
      <c r="D2270" s="71">
        <v>1</v>
      </c>
      <c r="E2270" s="102">
        <v>450000</v>
      </c>
      <c r="F2270" s="102">
        <f>(E2270*D2270)*1.1</f>
        <v>495000.00000000006</v>
      </c>
      <c r="G2270" s="102">
        <f>(E2270*D2270)</f>
        <v>450000</v>
      </c>
      <c r="H2270" s="690" t="s">
        <v>985</v>
      </c>
      <c r="I2270" s="71" t="s">
        <v>985</v>
      </c>
      <c r="J2270" s="53">
        <f>G2270-T2270</f>
        <v>450000</v>
      </c>
      <c r="K2270" s="63">
        <f>(J2270/(F2270/11*10))</f>
        <v>0.99999999999999989</v>
      </c>
      <c r="L2270" s="871" t="s">
        <v>2005</v>
      </c>
      <c r="M2270" s="468"/>
      <c r="N2270" s="664">
        <f t="shared" si="1224"/>
        <v>190729</v>
      </c>
      <c r="O2270" s="71"/>
      <c r="P2270" s="103" t="str">
        <f t="shared" si="1220"/>
        <v>M600 서비스 비용</v>
      </c>
      <c r="Q2270" s="71">
        <f t="shared" si="1215"/>
        <v>1</v>
      </c>
      <c r="R2270" s="102"/>
      <c r="S2270" s="102">
        <f>R2270*Q2270*1.1</f>
        <v>0</v>
      </c>
      <c r="T2270" s="102">
        <f>R2270*Q2270</f>
        <v>0</v>
      </c>
      <c r="U2270" s="71" t="str">
        <f t="shared" si="1219"/>
        <v>X</v>
      </c>
      <c r="V2270" s="71"/>
      <c r="W2270" s="474"/>
      <c r="X2270" s="71"/>
      <c r="Y2270" s="71"/>
    </row>
    <row r="2271" spans="1:25" s="978" customFormat="1" ht="45" hidden="1" customHeight="1" x14ac:dyDescent="0.25">
      <c r="A2271" s="982" t="s">
        <v>2013</v>
      </c>
      <c r="B2271" s="976" t="s">
        <v>544</v>
      </c>
      <c r="C2271" s="453"/>
      <c r="D2271" s="453"/>
      <c r="E2271" s="454"/>
      <c r="F2271" s="454"/>
      <c r="G2271" s="454"/>
      <c r="H2271" s="455"/>
      <c r="I2271" s="453"/>
      <c r="J2271" s="417"/>
      <c r="K2271" s="418"/>
      <c r="L2271" s="983" t="s">
        <v>2014</v>
      </c>
      <c r="M2271" s="643"/>
      <c r="N2271" s="724" t="str">
        <f t="shared" si="1224"/>
        <v>2019,8</v>
      </c>
      <c r="O2271" s="453" t="s">
        <v>154</v>
      </c>
      <c r="P2271" s="728"/>
      <c r="Q2271" s="419"/>
      <c r="R2271" s="420"/>
      <c r="S2271" s="417"/>
      <c r="T2271" s="417"/>
      <c r="U2271" s="421"/>
      <c r="V2271" s="421"/>
      <c r="W2271" s="479">
        <f>(G2271-T2271)</f>
        <v>0</v>
      </c>
      <c r="X2271" s="421"/>
      <c r="Y2271" s="421"/>
    </row>
    <row r="2272" spans="1:25" ht="30" hidden="1" customHeight="1" x14ac:dyDescent="0.25">
      <c r="A2272" s="82">
        <v>190709</v>
      </c>
      <c r="B2272" s="664" t="s">
        <v>591</v>
      </c>
      <c r="C2272" s="71" t="s">
        <v>2001</v>
      </c>
      <c r="D2272" s="71">
        <v>1</v>
      </c>
      <c r="E2272" s="102">
        <v>20400000</v>
      </c>
      <c r="F2272" s="102">
        <f t="shared" ref="F2272:F2294" si="1225">(E2272*D2272)*1.1</f>
        <v>22440000</v>
      </c>
      <c r="G2272" s="102">
        <f t="shared" ref="G2272:G2294" si="1226">(E2272*D2272)</f>
        <v>20400000</v>
      </c>
      <c r="H2272" s="690" t="s">
        <v>173</v>
      </c>
      <c r="I2272" s="71" t="s">
        <v>143</v>
      </c>
      <c r="J2272" s="53">
        <f t="shared" ref="J2272:J2277" si="1227">G2272-T2272</f>
        <v>2900000</v>
      </c>
      <c r="K2272" s="63">
        <f t="shared" ref="K2272:K2277" si="1228">(J2272/(F2272/11*10))</f>
        <v>0.14215686274509803</v>
      </c>
      <c r="L2272" s="871" t="s">
        <v>2014</v>
      </c>
      <c r="M2272" s="468"/>
      <c r="N2272" s="664">
        <f t="shared" si="1224"/>
        <v>190709</v>
      </c>
      <c r="O2272" s="71" t="s">
        <v>612</v>
      </c>
      <c r="P2272" s="103" t="str">
        <f>C2272</f>
        <v>XL106 롤라 5유니트</v>
      </c>
      <c r="Q2272" s="71">
        <v>1</v>
      </c>
      <c r="R2272" s="102">
        <v>17500000</v>
      </c>
      <c r="S2272" s="102">
        <f>R2272*Q2272*1.1</f>
        <v>19250000</v>
      </c>
      <c r="T2272" s="102">
        <f>R2272*Q2272</f>
        <v>17500000</v>
      </c>
      <c r="U2272" s="71" t="s">
        <v>859</v>
      </c>
      <c r="V2272" s="71"/>
      <c r="W2272" s="474"/>
      <c r="X2272" s="71"/>
      <c r="Y2272" s="71"/>
    </row>
    <row r="2273" spans="1:25" s="209" customFormat="1" ht="30" customHeight="1" x14ac:dyDescent="0.2">
      <c r="A2273" s="82">
        <v>190709</v>
      </c>
      <c r="B2273" s="664" t="s">
        <v>422</v>
      </c>
      <c r="C2273" s="71" t="s">
        <v>130</v>
      </c>
      <c r="D2273" s="71">
        <v>10</v>
      </c>
      <c r="E2273" s="102">
        <v>125000</v>
      </c>
      <c r="F2273" s="163">
        <f t="shared" si="1225"/>
        <v>1375000</v>
      </c>
      <c r="G2273" s="163">
        <f t="shared" si="1226"/>
        <v>1250000</v>
      </c>
      <c r="H2273" s="165" t="s">
        <v>172</v>
      </c>
      <c r="I2273" s="71" t="s">
        <v>109</v>
      </c>
      <c r="J2273" s="53">
        <f t="shared" si="1227"/>
        <v>260000</v>
      </c>
      <c r="K2273" s="63">
        <f t="shared" si="1228"/>
        <v>0.20799999999999999</v>
      </c>
      <c r="L2273" s="871" t="s">
        <v>2014</v>
      </c>
      <c r="M2273" s="468" t="s">
        <v>2050</v>
      </c>
      <c r="N2273" s="664">
        <f t="shared" si="1224"/>
        <v>190709</v>
      </c>
      <c r="O2273" s="71" t="s">
        <v>150</v>
      </c>
      <c r="P2273" s="103" t="s">
        <v>230</v>
      </c>
      <c r="Q2273" s="71">
        <f>D2273</f>
        <v>10</v>
      </c>
      <c r="R2273" s="102">
        <v>99000</v>
      </c>
      <c r="S2273" s="102">
        <f>(R2273*D2273)*1.1</f>
        <v>1089000</v>
      </c>
      <c r="T2273" s="102">
        <f>(R2273*Q2273)</f>
        <v>990000</v>
      </c>
      <c r="U2273" s="71" t="s">
        <v>859</v>
      </c>
      <c r="V2273" s="71"/>
      <c r="W2273" s="474">
        <v>520000</v>
      </c>
      <c r="X2273" s="71"/>
      <c r="Y2273" s="71"/>
    </row>
    <row r="2274" spans="1:25" ht="30" hidden="1" customHeight="1" x14ac:dyDescent="0.25">
      <c r="A2274" s="82">
        <v>190712</v>
      </c>
      <c r="B2274" s="664" t="s">
        <v>764</v>
      </c>
      <c r="C2274" s="71" t="s">
        <v>123</v>
      </c>
      <c r="D2274" s="71">
        <v>25</v>
      </c>
      <c r="E2274" s="102">
        <v>35000</v>
      </c>
      <c r="F2274" s="102">
        <f t="shared" si="1225"/>
        <v>962500.00000000012</v>
      </c>
      <c r="G2274" s="102">
        <f t="shared" si="1226"/>
        <v>875000</v>
      </c>
      <c r="H2274" s="690" t="s">
        <v>1432</v>
      </c>
      <c r="I2274" s="71" t="s">
        <v>1432</v>
      </c>
      <c r="J2274" s="53">
        <f t="shared" si="1227"/>
        <v>313475</v>
      </c>
      <c r="K2274" s="63">
        <f t="shared" si="1228"/>
        <v>0.35825714285714283</v>
      </c>
      <c r="L2274" s="871" t="s">
        <v>2014</v>
      </c>
      <c r="M2274" s="468"/>
      <c r="N2274" s="664">
        <f>A2274</f>
        <v>190712</v>
      </c>
      <c r="O2274" s="71" t="s">
        <v>1432</v>
      </c>
      <c r="P2274" s="103" t="str">
        <f>C2274</f>
        <v>필터백</v>
      </c>
      <c r="Q2274" s="71">
        <f t="shared" ref="Q2274:Q2337" si="1229">D2274</f>
        <v>25</v>
      </c>
      <c r="R2274" s="102">
        <v>22461</v>
      </c>
      <c r="S2274" s="102">
        <f>R2274*Q2274*1.1</f>
        <v>617677.5</v>
      </c>
      <c r="T2274" s="102">
        <f>R2274*Q2274</f>
        <v>561525</v>
      </c>
      <c r="U2274" s="71" t="str">
        <f>IF(J2274=W2274,"O", "X")</f>
        <v>O</v>
      </c>
      <c r="V2274" s="71"/>
      <c r="W2274" s="474">
        <f>(G2274-T2274)</f>
        <v>313475</v>
      </c>
      <c r="X2274" s="71"/>
      <c r="Y2274" s="71"/>
    </row>
    <row r="2275" spans="1:25" ht="30" hidden="1" customHeight="1" x14ac:dyDescent="0.25">
      <c r="A2275" s="82">
        <v>190723</v>
      </c>
      <c r="B2275" s="664" t="s">
        <v>591</v>
      </c>
      <c r="C2275" s="71" t="s">
        <v>2002</v>
      </c>
      <c r="D2275" s="71">
        <v>1</v>
      </c>
      <c r="E2275" s="102">
        <v>12620000</v>
      </c>
      <c r="F2275" s="102">
        <f t="shared" si="1225"/>
        <v>13882000.000000002</v>
      </c>
      <c r="G2275" s="102">
        <f t="shared" si="1226"/>
        <v>12620000</v>
      </c>
      <c r="H2275" s="690" t="s">
        <v>173</v>
      </c>
      <c r="I2275" s="71" t="s">
        <v>143</v>
      </c>
      <c r="J2275" s="53">
        <f t="shared" si="1227"/>
        <v>2120000</v>
      </c>
      <c r="K2275" s="63">
        <f t="shared" si="1228"/>
        <v>0.16798732171156891</v>
      </c>
      <c r="L2275" s="871" t="s">
        <v>2014</v>
      </c>
      <c r="M2275" s="468"/>
      <c r="N2275" s="664">
        <f>A2275</f>
        <v>190723</v>
      </c>
      <c r="O2275" s="71" t="s">
        <v>612</v>
      </c>
      <c r="P2275" s="103" t="str">
        <f>C2275</f>
        <v>CD102 롤라 4유니트</v>
      </c>
      <c r="Q2275" s="71">
        <f t="shared" si="1229"/>
        <v>1</v>
      </c>
      <c r="R2275" s="102">
        <f>21000000/2</f>
        <v>10500000</v>
      </c>
      <c r="S2275" s="102">
        <f>R2275*Q2275*1.1</f>
        <v>11550000.000000002</v>
      </c>
      <c r="T2275" s="102">
        <f>R2275*Q2275</f>
        <v>10500000</v>
      </c>
      <c r="U2275" s="71" t="str">
        <f>IF(J2275=W2275,"O", "X")</f>
        <v>X</v>
      </c>
      <c r="V2275" s="71"/>
      <c r="W2275" s="474"/>
      <c r="X2275" s="71"/>
      <c r="Y2275" s="71"/>
    </row>
    <row r="2276" spans="1:25" ht="30" hidden="1" customHeight="1" x14ac:dyDescent="0.25">
      <c r="A2276" s="82">
        <v>190723</v>
      </c>
      <c r="B2276" s="664" t="s">
        <v>591</v>
      </c>
      <c r="C2276" s="71" t="s">
        <v>2003</v>
      </c>
      <c r="D2276" s="71">
        <v>1</v>
      </c>
      <c r="E2276" s="102">
        <v>12620000</v>
      </c>
      <c r="F2276" s="102">
        <f t="shared" si="1225"/>
        <v>13882000.000000002</v>
      </c>
      <c r="G2276" s="102">
        <f t="shared" si="1226"/>
        <v>12620000</v>
      </c>
      <c r="H2276" s="690" t="s">
        <v>173</v>
      </c>
      <c r="I2276" s="71" t="s">
        <v>143</v>
      </c>
      <c r="J2276" s="53">
        <f t="shared" si="1227"/>
        <v>2120000</v>
      </c>
      <c r="K2276" s="63">
        <f t="shared" si="1228"/>
        <v>0.16798732171156891</v>
      </c>
      <c r="L2276" s="871" t="s">
        <v>2014</v>
      </c>
      <c r="M2276" s="468"/>
      <c r="N2276" s="664">
        <f>A2276</f>
        <v>190723</v>
      </c>
      <c r="O2276" s="71" t="s">
        <v>612</v>
      </c>
      <c r="P2276" s="103" t="str">
        <f>C2276</f>
        <v>SM102 롤라 4유니트</v>
      </c>
      <c r="Q2276" s="71">
        <f t="shared" si="1229"/>
        <v>1</v>
      </c>
      <c r="R2276" s="102">
        <f>21000000/2</f>
        <v>10500000</v>
      </c>
      <c r="S2276" s="102">
        <f>R2276*Q2276*1.1</f>
        <v>11550000.000000002</v>
      </c>
      <c r="T2276" s="102">
        <f>R2276*Q2276</f>
        <v>10500000</v>
      </c>
      <c r="U2276" s="71" t="s">
        <v>859</v>
      </c>
      <c r="V2276" s="71"/>
      <c r="W2276" s="474"/>
      <c r="X2276" s="71"/>
      <c r="Y2276" s="71"/>
    </row>
    <row r="2277" spans="1:25" ht="30" hidden="1" customHeight="1" x14ac:dyDescent="0.25">
      <c r="A2277" s="82">
        <v>190725</v>
      </c>
      <c r="B2277" s="664" t="s">
        <v>546</v>
      </c>
      <c r="C2277" s="71" t="s">
        <v>2008</v>
      </c>
      <c r="D2277" s="71">
        <v>1</v>
      </c>
      <c r="E2277" s="102">
        <v>11467790</v>
      </c>
      <c r="F2277" s="102">
        <f t="shared" si="1225"/>
        <v>12614569.000000002</v>
      </c>
      <c r="G2277" s="102">
        <f t="shared" si="1226"/>
        <v>11467790</v>
      </c>
      <c r="H2277" s="690" t="s">
        <v>985</v>
      </c>
      <c r="I2277" s="71" t="s">
        <v>985</v>
      </c>
      <c r="J2277" s="53">
        <f t="shared" si="1227"/>
        <v>-3508210</v>
      </c>
      <c r="K2277" s="63">
        <f t="shared" si="1228"/>
        <v>-0.3059185771626442</v>
      </c>
      <c r="L2277" s="871" t="s">
        <v>2014</v>
      </c>
      <c r="M2277" s="468">
        <v>14976000</v>
      </c>
      <c r="N2277" s="664">
        <f>A2277</f>
        <v>190725</v>
      </c>
      <c r="O2277" s="71" t="s">
        <v>1431</v>
      </c>
      <c r="P2277" s="103" t="str">
        <f>C2277</f>
        <v>M600 서비스 비용 - Tan</v>
      </c>
      <c r="Q2277" s="71">
        <f t="shared" si="1229"/>
        <v>1</v>
      </c>
      <c r="R2277" s="102">
        <v>14976000</v>
      </c>
      <c r="S2277" s="102">
        <f>R2277*Q2277*1.1</f>
        <v>16473600.000000002</v>
      </c>
      <c r="T2277" s="102">
        <f>R2277*Q2277</f>
        <v>14976000</v>
      </c>
      <c r="U2277" s="71" t="str">
        <f>IF(J2277=W2277,"O", "X")</f>
        <v>X</v>
      </c>
      <c r="V2277" s="71"/>
      <c r="W2277" s="474"/>
      <c r="X2277" s="71"/>
      <c r="Y2277" s="71"/>
    </row>
    <row r="2278" spans="1:25" s="209" customFormat="1" ht="30" hidden="1" customHeight="1" x14ac:dyDescent="0.2">
      <c r="A2278" s="82">
        <v>190730</v>
      </c>
      <c r="B2278" s="664" t="s">
        <v>1286</v>
      </c>
      <c r="C2278" s="71" t="s">
        <v>231</v>
      </c>
      <c r="D2278" s="71">
        <v>10</v>
      </c>
      <c r="E2278" s="102">
        <v>120000</v>
      </c>
      <c r="F2278" s="163">
        <f t="shared" si="1225"/>
        <v>1320000</v>
      </c>
      <c r="G2278" s="102">
        <f t="shared" si="1226"/>
        <v>1200000</v>
      </c>
      <c r="H2278" s="165" t="s">
        <v>172</v>
      </c>
      <c r="I2278" s="71" t="s">
        <v>109</v>
      </c>
      <c r="J2278" s="53">
        <f>(G2278-(VLOOKUP(C2278,Price!B:D,3,FALSE)*D2278))</f>
        <v>80000</v>
      </c>
      <c r="K2278" s="63">
        <f t="shared" ref="K2278:K2294" si="1230">(J2278/(F2278/11*10))</f>
        <v>6.6666666666666666E-2</v>
      </c>
      <c r="L2278" s="871" t="s">
        <v>2025</v>
      </c>
      <c r="M2278" s="468"/>
      <c r="N2278" s="664">
        <f t="shared" ref="N2278:N2297" si="1231">A2278</f>
        <v>190730</v>
      </c>
      <c r="O2278" s="71" t="s">
        <v>151</v>
      </c>
      <c r="P2278" s="103" t="str">
        <f>(C2278)</f>
        <v>Blanket(990*725)</v>
      </c>
      <c r="Q2278" s="71">
        <f t="shared" si="1229"/>
        <v>10</v>
      </c>
      <c r="R2278" s="102">
        <v>112000</v>
      </c>
      <c r="S2278" s="102">
        <f>(R2278*D2278)*1.1</f>
        <v>1232000</v>
      </c>
      <c r="T2278" s="102">
        <f>(R2278*Q2278)</f>
        <v>1120000</v>
      </c>
      <c r="U2278" s="71" t="str">
        <f>IF(J2278=W2278,"O", "X")</f>
        <v>O</v>
      </c>
      <c r="V2278" s="71"/>
      <c r="W2278" s="474">
        <f t="shared" ref="W2278:W2284" si="1232">(G2278-T2278)</f>
        <v>80000</v>
      </c>
      <c r="X2278" s="71"/>
      <c r="Y2278" s="71"/>
    </row>
    <row r="2279" spans="1:25" ht="30" hidden="1" customHeight="1" x14ac:dyDescent="0.25">
      <c r="A2279" s="82">
        <v>190730</v>
      </c>
      <c r="B2279" s="664" t="s">
        <v>1286</v>
      </c>
      <c r="C2279" s="760" t="s">
        <v>218</v>
      </c>
      <c r="D2279" s="71">
        <v>5</v>
      </c>
      <c r="E2279" s="102">
        <v>192500</v>
      </c>
      <c r="F2279" s="102">
        <f t="shared" si="1225"/>
        <v>1058750</v>
      </c>
      <c r="G2279" s="102">
        <f t="shared" si="1226"/>
        <v>962500</v>
      </c>
      <c r="H2279" s="690" t="s">
        <v>173</v>
      </c>
      <c r="I2279" s="71" t="s">
        <v>120</v>
      </c>
      <c r="J2279" s="53">
        <f>(G2279-(VLOOKUP(C2279,Price!B:D,3,FALSE)*D2279))</f>
        <v>400000</v>
      </c>
      <c r="K2279" s="63">
        <f t="shared" si="1230"/>
        <v>0.41558441558441561</v>
      </c>
      <c r="L2279" s="871" t="s">
        <v>2025</v>
      </c>
      <c r="M2279" s="468"/>
      <c r="N2279" s="664">
        <f t="shared" si="1231"/>
        <v>190730</v>
      </c>
      <c r="O2279" s="71" t="s">
        <v>150</v>
      </c>
      <c r="P2279" s="103" t="str">
        <f>C2279</f>
        <v>Fount Web 551AF</v>
      </c>
      <c r="Q2279" s="71">
        <f t="shared" si="1229"/>
        <v>5</v>
      </c>
      <c r="R2279" s="102">
        <v>112500</v>
      </c>
      <c r="S2279" s="102">
        <f>R2279*Q2279*1.1</f>
        <v>618750</v>
      </c>
      <c r="T2279" s="102">
        <f>R2279*Q2279</f>
        <v>562500</v>
      </c>
      <c r="U2279" s="71" t="s">
        <v>859</v>
      </c>
      <c r="V2279" s="71"/>
      <c r="W2279" s="474">
        <f t="shared" si="1232"/>
        <v>400000</v>
      </c>
      <c r="X2279" s="71"/>
      <c r="Y2279" s="71"/>
    </row>
    <row r="2280" spans="1:25" s="209" customFormat="1" ht="30" hidden="1" customHeight="1" x14ac:dyDescent="0.25">
      <c r="A2280" s="82">
        <v>190730</v>
      </c>
      <c r="B2280" s="664" t="s">
        <v>1286</v>
      </c>
      <c r="C2280" s="71" t="s">
        <v>277</v>
      </c>
      <c r="D2280" s="71">
        <v>5</v>
      </c>
      <c r="E2280" s="102">
        <v>172000</v>
      </c>
      <c r="F2280" s="102">
        <f t="shared" si="1225"/>
        <v>946000.00000000012</v>
      </c>
      <c r="G2280" s="102">
        <f t="shared" si="1226"/>
        <v>860000</v>
      </c>
      <c r="H2280" s="690" t="s">
        <v>173</v>
      </c>
      <c r="I2280" s="71" t="s">
        <v>108</v>
      </c>
      <c r="J2280" s="53">
        <f>(G2280-(VLOOKUP(C2280,Price!B:D,3,FALSE)*D2280))</f>
        <v>285000</v>
      </c>
      <c r="K2280" s="63">
        <f t="shared" si="1230"/>
        <v>0.33139534883720928</v>
      </c>
      <c r="L2280" s="871" t="s">
        <v>2025</v>
      </c>
      <c r="M2280" s="468"/>
      <c r="N2280" s="664">
        <f t="shared" si="1231"/>
        <v>190730</v>
      </c>
      <c r="O2280" s="71" t="s">
        <v>150</v>
      </c>
      <c r="P2280" s="103" t="str">
        <f>(C2280)</f>
        <v>윤전용 세척제(Web 504)</v>
      </c>
      <c r="Q2280" s="71">
        <f t="shared" si="1229"/>
        <v>5</v>
      </c>
      <c r="R2280" s="102">
        <v>115000</v>
      </c>
      <c r="S2280" s="102">
        <f>(R2280*D2280)*1.1</f>
        <v>632500</v>
      </c>
      <c r="T2280" s="102">
        <f>(R2280*Q2280)</f>
        <v>575000</v>
      </c>
      <c r="U2280" s="71" t="str">
        <f>IF(J2280=W2280,"O", "X")</f>
        <v>O</v>
      </c>
      <c r="V2280" s="71"/>
      <c r="W2280" s="474">
        <f t="shared" si="1232"/>
        <v>285000</v>
      </c>
      <c r="X2280" s="71"/>
      <c r="Y2280" s="71"/>
    </row>
    <row r="2281" spans="1:25" ht="30" hidden="1" customHeight="1" x14ac:dyDescent="0.25">
      <c r="A2281" s="82">
        <v>190731</v>
      </c>
      <c r="B2281" s="664" t="s">
        <v>442</v>
      </c>
      <c r="C2281" s="71" t="s">
        <v>133</v>
      </c>
      <c r="D2281" s="71">
        <v>2</v>
      </c>
      <c r="E2281" s="102">
        <v>327000</v>
      </c>
      <c r="F2281" s="102">
        <f t="shared" si="1225"/>
        <v>719400</v>
      </c>
      <c r="G2281" s="102">
        <f t="shared" si="1226"/>
        <v>654000</v>
      </c>
      <c r="H2281" s="690" t="s">
        <v>173</v>
      </c>
      <c r="I2281" s="71" t="s">
        <v>141</v>
      </c>
      <c r="J2281" s="53">
        <f>(G2281-(VLOOKUP(C2281,Price!B:D,3,FALSE)*D2281))</f>
        <v>115800</v>
      </c>
      <c r="K2281" s="63">
        <f t="shared" si="1230"/>
        <v>0.17706422018348625</v>
      </c>
      <c r="L2281" s="871" t="s">
        <v>2025</v>
      </c>
      <c r="M2281" s="468"/>
      <c r="N2281" s="664">
        <f t="shared" si="1231"/>
        <v>190731</v>
      </c>
      <c r="O2281" s="71" t="s">
        <v>145</v>
      </c>
      <c r="P2281" s="103" t="str">
        <f t="shared" ref="P2281:P2287" si="1233">C2281</f>
        <v>Agfa Film(24inch)</v>
      </c>
      <c r="Q2281" s="71">
        <f t="shared" si="1229"/>
        <v>2</v>
      </c>
      <c r="R2281" s="102">
        <v>269100</v>
      </c>
      <c r="S2281" s="102">
        <f t="shared" ref="S2281:S2287" si="1234">R2281*Q2281*1.1</f>
        <v>592020</v>
      </c>
      <c r="T2281" s="102">
        <f t="shared" ref="T2281:T2287" si="1235">R2281*Q2281</f>
        <v>538200</v>
      </c>
      <c r="U2281" s="71" t="str">
        <f>IF(J2281=W2281,"O", "X")</f>
        <v>O</v>
      </c>
      <c r="V2281" s="71"/>
      <c r="W2281" s="474">
        <f t="shared" si="1232"/>
        <v>115800</v>
      </c>
      <c r="X2281" s="71"/>
      <c r="Y2281" s="71"/>
    </row>
    <row r="2282" spans="1:25" ht="30" hidden="1" customHeight="1" x14ac:dyDescent="0.25">
      <c r="A2282" s="82">
        <v>190731</v>
      </c>
      <c r="B2282" s="664" t="s">
        <v>442</v>
      </c>
      <c r="C2282" s="71" t="s">
        <v>134</v>
      </c>
      <c r="D2282" s="71">
        <v>2</v>
      </c>
      <c r="E2282" s="102">
        <v>401000</v>
      </c>
      <c r="F2282" s="102">
        <f t="shared" si="1225"/>
        <v>882200.00000000012</v>
      </c>
      <c r="G2282" s="102">
        <f t="shared" si="1226"/>
        <v>802000</v>
      </c>
      <c r="H2282" s="690" t="s">
        <v>173</v>
      </c>
      <c r="I2282" s="71" t="s">
        <v>141</v>
      </c>
      <c r="J2282" s="53">
        <f>(G2282-(VLOOKUP(C2282,Price!B:D,3,FALSE)*D2282))</f>
        <v>174080</v>
      </c>
      <c r="K2282" s="63">
        <f t="shared" si="1230"/>
        <v>0.21705735660847877</v>
      </c>
      <c r="L2282" s="871" t="s">
        <v>2025</v>
      </c>
      <c r="M2282" s="468"/>
      <c r="N2282" s="664">
        <f t="shared" si="1231"/>
        <v>190731</v>
      </c>
      <c r="O2282" s="71" t="s">
        <v>145</v>
      </c>
      <c r="P2282" s="103" t="str">
        <f t="shared" si="1233"/>
        <v>Agfa Film(28inch)</v>
      </c>
      <c r="Q2282" s="71">
        <f t="shared" si="1229"/>
        <v>2</v>
      </c>
      <c r="R2282" s="102">
        <f>VLOOKUP(P2282,Price!B:D,3,FALSE)</f>
        <v>313960</v>
      </c>
      <c r="S2282" s="102">
        <f t="shared" si="1234"/>
        <v>690712</v>
      </c>
      <c r="T2282" s="102">
        <f t="shared" si="1235"/>
        <v>627920</v>
      </c>
      <c r="U2282" s="71" t="s">
        <v>859</v>
      </c>
      <c r="V2282" s="71"/>
      <c r="W2282" s="474">
        <f t="shared" si="1232"/>
        <v>174080</v>
      </c>
      <c r="X2282" s="71"/>
      <c r="Y2282" s="71"/>
    </row>
    <row r="2283" spans="1:25" ht="30" hidden="1" customHeight="1" x14ac:dyDescent="0.25">
      <c r="A2283" s="82">
        <v>190731</v>
      </c>
      <c r="B2283" s="664" t="s">
        <v>442</v>
      </c>
      <c r="C2283" s="71" t="s">
        <v>135</v>
      </c>
      <c r="D2283" s="71">
        <v>2</v>
      </c>
      <c r="E2283" s="102">
        <v>448000</v>
      </c>
      <c r="F2283" s="102">
        <f t="shared" si="1225"/>
        <v>985600.00000000012</v>
      </c>
      <c r="G2283" s="102">
        <f t="shared" si="1226"/>
        <v>896000</v>
      </c>
      <c r="H2283" s="690" t="s">
        <v>173</v>
      </c>
      <c r="I2283" s="71" t="s">
        <v>141</v>
      </c>
      <c r="J2283" s="53">
        <f>(G2283-(VLOOKUP(C2283,Price!B:D,3,FALSE)*D2283))</f>
        <v>155980</v>
      </c>
      <c r="K2283" s="63">
        <f t="shared" si="1230"/>
        <v>0.1740848214285714</v>
      </c>
      <c r="L2283" s="871" t="s">
        <v>2025</v>
      </c>
      <c r="M2283" s="468"/>
      <c r="N2283" s="664">
        <f t="shared" si="1231"/>
        <v>190731</v>
      </c>
      <c r="O2283" s="71" t="s">
        <v>145</v>
      </c>
      <c r="P2283" s="103" t="str">
        <f t="shared" si="1233"/>
        <v>Agfa Film(32inch)</v>
      </c>
      <c r="Q2283" s="71">
        <f t="shared" si="1229"/>
        <v>2</v>
      </c>
      <c r="R2283" s="102">
        <f>VLOOKUP(P2283,Price!B:D,3,FALSE)</f>
        <v>370010</v>
      </c>
      <c r="S2283" s="102">
        <f t="shared" si="1234"/>
        <v>814022.00000000012</v>
      </c>
      <c r="T2283" s="102">
        <f t="shared" si="1235"/>
        <v>740020</v>
      </c>
      <c r="U2283" s="71" t="str">
        <f>IF(J2283=W2283,"O", "X")</f>
        <v>O</v>
      </c>
      <c r="V2283" s="71"/>
      <c r="W2283" s="474">
        <f t="shared" si="1232"/>
        <v>155980</v>
      </c>
      <c r="X2283" s="71"/>
      <c r="Y2283" s="71"/>
    </row>
    <row r="2284" spans="1:25" ht="30" hidden="1" customHeight="1" x14ac:dyDescent="0.2">
      <c r="A2284" s="82">
        <v>190731</v>
      </c>
      <c r="B2284" s="664" t="s">
        <v>442</v>
      </c>
      <c r="C2284" s="71" t="s">
        <v>650</v>
      </c>
      <c r="D2284" s="71">
        <v>1</v>
      </c>
      <c r="E2284" s="102">
        <v>93000</v>
      </c>
      <c r="F2284" s="163">
        <f t="shared" si="1225"/>
        <v>102300.00000000001</v>
      </c>
      <c r="G2284" s="163">
        <f t="shared" si="1226"/>
        <v>93000</v>
      </c>
      <c r="H2284" s="165" t="s">
        <v>172</v>
      </c>
      <c r="I2284" s="71" t="s">
        <v>141</v>
      </c>
      <c r="J2284" s="53">
        <f>(G2284-(VLOOKUP(C2284,Price!B:D,3,FALSE)*D2284))</f>
        <v>33000</v>
      </c>
      <c r="K2284" s="63">
        <f t="shared" si="1230"/>
        <v>0.35483870967741932</v>
      </c>
      <c r="L2284" s="871" t="s">
        <v>2025</v>
      </c>
      <c r="M2284" s="468"/>
      <c r="N2284" s="664">
        <f t="shared" si="1231"/>
        <v>190731</v>
      </c>
      <c r="O2284" s="71" t="s">
        <v>145</v>
      </c>
      <c r="P2284" s="103" t="str">
        <f t="shared" si="1233"/>
        <v>Agfa 정착액 G333C(20L)</v>
      </c>
      <c r="Q2284" s="71">
        <f t="shared" si="1229"/>
        <v>1</v>
      </c>
      <c r="R2284" s="102">
        <f>VLOOKUP(P2284,Price!B:D,3,FALSE)</f>
        <v>60000</v>
      </c>
      <c r="S2284" s="102">
        <f t="shared" si="1234"/>
        <v>66000</v>
      </c>
      <c r="T2284" s="102">
        <f t="shared" si="1235"/>
        <v>60000</v>
      </c>
      <c r="U2284" s="71" t="str">
        <f>IF(J2284=W2284,"O", "X")</f>
        <v>O</v>
      </c>
      <c r="V2284" s="71"/>
      <c r="W2284" s="474">
        <f t="shared" si="1232"/>
        <v>33000</v>
      </c>
      <c r="X2284" s="71"/>
      <c r="Y2284" s="71"/>
    </row>
    <row r="2285" spans="1:25" ht="30" hidden="1" customHeight="1" x14ac:dyDescent="0.25">
      <c r="A2285" s="82">
        <v>190801</v>
      </c>
      <c r="B2285" s="664" t="s">
        <v>1178</v>
      </c>
      <c r="C2285" s="71" t="s">
        <v>1489</v>
      </c>
      <c r="D2285" s="71">
        <v>650</v>
      </c>
      <c r="E2285" s="102">
        <v>4510</v>
      </c>
      <c r="F2285" s="102">
        <f>(E2285*D2285)*1.1</f>
        <v>3224650.0000000005</v>
      </c>
      <c r="G2285" s="102">
        <f>(E2285*D2285)</f>
        <v>2931500</v>
      </c>
      <c r="H2285" s="690" t="s">
        <v>142</v>
      </c>
      <c r="I2285" s="71" t="s">
        <v>2273</v>
      </c>
      <c r="J2285" s="53">
        <f>G2285-T2285</f>
        <v>812500</v>
      </c>
      <c r="K2285" s="63">
        <f>(J2285/(F2285/11*10))</f>
        <v>0.27716186252771613</v>
      </c>
      <c r="L2285" s="871" t="s">
        <v>2025</v>
      </c>
      <c r="M2285" s="468"/>
      <c r="N2285" s="664">
        <f>A2285</f>
        <v>190801</v>
      </c>
      <c r="O2285" s="71" t="s">
        <v>145</v>
      </c>
      <c r="P2285" s="103" t="str">
        <f>(C2285)</f>
        <v>Engage 850*780</v>
      </c>
      <c r="Q2285" s="71">
        <f t="shared" si="1229"/>
        <v>650</v>
      </c>
      <c r="R2285" s="102">
        <v>3260</v>
      </c>
      <c r="S2285" s="102">
        <f t="shared" si="1234"/>
        <v>2330900</v>
      </c>
      <c r="T2285" s="102">
        <f t="shared" si="1235"/>
        <v>2119000</v>
      </c>
      <c r="U2285" s="71" t="s">
        <v>859</v>
      </c>
      <c r="V2285" s="71"/>
      <c r="W2285" s="474"/>
      <c r="X2285" s="71"/>
      <c r="Y2285" s="71"/>
    </row>
    <row r="2286" spans="1:25" ht="30" hidden="1" customHeight="1" x14ac:dyDescent="0.25">
      <c r="A2286" s="82">
        <v>190805</v>
      </c>
      <c r="B2286" s="664" t="s">
        <v>446</v>
      </c>
      <c r="C2286" s="71" t="s">
        <v>1144</v>
      </c>
      <c r="D2286" s="71">
        <v>8</v>
      </c>
      <c r="E2286" s="102">
        <v>110000</v>
      </c>
      <c r="F2286" s="102">
        <f t="shared" si="1225"/>
        <v>968000.00000000012</v>
      </c>
      <c r="G2286" s="102">
        <f t="shared" si="1226"/>
        <v>880000</v>
      </c>
      <c r="H2286" s="690" t="s">
        <v>173</v>
      </c>
      <c r="I2286" s="71" t="s">
        <v>2231</v>
      </c>
      <c r="J2286" s="53">
        <f>G2286-T2286</f>
        <v>152000</v>
      </c>
      <c r="K2286" s="63">
        <f>(J2286/(F2286/11*10))</f>
        <v>0.1727272727272727</v>
      </c>
      <c r="L2286" s="871" t="s">
        <v>2025</v>
      </c>
      <c r="M2286" s="468"/>
      <c r="N2286" s="664">
        <f>A2286</f>
        <v>190805</v>
      </c>
      <c r="O2286" s="71" t="s">
        <v>150</v>
      </c>
      <c r="P2286" s="103" t="str">
        <f t="shared" si="1233"/>
        <v>실리콘 에멀전</v>
      </c>
      <c r="Q2286" s="71">
        <f t="shared" si="1229"/>
        <v>8</v>
      </c>
      <c r="R2286" s="102">
        <v>91000</v>
      </c>
      <c r="S2286" s="102">
        <f t="shared" si="1234"/>
        <v>800800.00000000012</v>
      </c>
      <c r="T2286" s="102">
        <f t="shared" si="1235"/>
        <v>728000</v>
      </c>
      <c r="U2286" s="71" t="str">
        <f t="shared" ref="U2286:U2300" si="1236">IF(J2286=W2286,"O", "X")</f>
        <v>O</v>
      </c>
      <c r="V2286" s="71"/>
      <c r="W2286" s="474">
        <f>(G2286-T2286)</f>
        <v>152000</v>
      </c>
      <c r="X2286" s="71"/>
      <c r="Y2286" s="71"/>
    </row>
    <row r="2287" spans="1:25" ht="30" hidden="1" customHeight="1" x14ac:dyDescent="0.25">
      <c r="A2287" s="82">
        <v>190805</v>
      </c>
      <c r="B2287" s="664" t="s">
        <v>2021</v>
      </c>
      <c r="C2287" s="71" t="s">
        <v>123</v>
      </c>
      <c r="D2287" s="71">
        <v>10</v>
      </c>
      <c r="E2287" s="102">
        <v>38000</v>
      </c>
      <c r="F2287" s="102">
        <f t="shared" si="1225"/>
        <v>418000.00000000006</v>
      </c>
      <c r="G2287" s="102">
        <f t="shared" si="1226"/>
        <v>380000</v>
      </c>
      <c r="H2287" s="690" t="s">
        <v>1432</v>
      </c>
      <c r="I2287" s="71" t="s">
        <v>1432</v>
      </c>
      <c r="J2287" s="53">
        <f>G2287-T2287</f>
        <v>155390</v>
      </c>
      <c r="K2287" s="63">
        <f>(J2287/(F2287/11*10))</f>
        <v>0.40892105263157891</v>
      </c>
      <c r="L2287" s="871" t="s">
        <v>2025</v>
      </c>
      <c r="M2287" s="468"/>
      <c r="N2287" s="664">
        <f t="shared" si="1231"/>
        <v>190805</v>
      </c>
      <c r="O2287" s="71" t="s">
        <v>1432</v>
      </c>
      <c r="P2287" s="103" t="str">
        <f t="shared" si="1233"/>
        <v>필터백</v>
      </c>
      <c r="Q2287" s="71">
        <f t="shared" si="1229"/>
        <v>10</v>
      </c>
      <c r="R2287" s="102">
        <v>22461</v>
      </c>
      <c r="S2287" s="102">
        <f t="shared" si="1234"/>
        <v>247071.00000000003</v>
      </c>
      <c r="T2287" s="102">
        <f t="shared" si="1235"/>
        <v>224610</v>
      </c>
      <c r="U2287" s="71" t="str">
        <f t="shared" si="1236"/>
        <v>X</v>
      </c>
      <c r="V2287" s="71"/>
      <c r="W2287" s="474"/>
      <c r="X2287" s="71"/>
      <c r="Y2287" s="71"/>
    </row>
    <row r="2288" spans="1:25" s="209" customFormat="1" ht="30" hidden="1" customHeight="1" x14ac:dyDescent="0.25">
      <c r="A2288" s="82">
        <v>190806</v>
      </c>
      <c r="B2288" s="664" t="s">
        <v>567</v>
      </c>
      <c r="C2288" s="71" t="s">
        <v>236</v>
      </c>
      <c r="D2288" s="71">
        <v>10</v>
      </c>
      <c r="E2288" s="102">
        <v>65000</v>
      </c>
      <c r="F2288" s="102">
        <f>(E2288*D2288)*1.1</f>
        <v>715000</v>
      </c>
      <c r="G2288" s="102">
        <f>(E2288*D2288)</f>
        <v>650000</v>
      </c>
      <c r="H2288" s="690" t="s">
        <v>173</v>
      </c>
      <c r="I2288" s="71" t="s">
        <v>2231</v>
      </c>
      <c r="J2288" s="53">
        <f>(G2288-(VLOOKUP(C2288,Price!B:D,3,FALSE)*D2288))</f>
        <v>150000</v>
      </c>
      <c r="K2288" s="63">
        <f>(J2288/(F2288/11*10))</f>
        <v>0.23076923076923078</v>
      </c>
      <c r="L2288" s="871" t="s">
        <v>2025</v>
      </c>
      <c r="M2288" s="468"/>
      <c r="N2288" s="664">
        <f>A2288</f>
        <v>190806</v>
      </c>
      <c r="O2288" s="71" t="s">
        <v>153</v>
      </c>
      <c r="P2288" s="103" t="str">
        <f>(C2288)</f>
        <v>아스테이지(국전)</v>
      </c>
      <c r="Q2288" s="71">
        <f t="shared" si="1229"/>
        <v>10</v>
      </c>
      <c r="R2288" s="102">
        <v>50000</v>
      </c>
      <c r="S2288" s="102">
        <f>(R2288*D2288)*1.1</f>
        <v>550000</v>
      </c>
      <c r="T2288" s="102">
        <f>(R2288*Q2288)</f>
        <v>500000</v>
      </c>
      <c r="U2288" s="71" t="str">
        <f t="shared" si="1236"/>
        <v>O</v>
      </c>
      <c r="V2288" s="71"/>
      <c r="W2288" s="474">
        <f>(G2288-T2288)</f>
        <v>150000</v>
      </c>
      <c r="X2288" s="71"/>
      <c r="Y2288" s="71"/>
    </row>
    <row r="2289" spans="1:25" ht="30" hidden="1" customHeight="1" x14ac:dyDescent="0.25">
      <c r="A2289" s="82">
        <v>190806</v>
      </c>
      <c r="B2289" s="664" t="s">
        <v>983</v>
      </c>
      <c r="C2289" s="71" t="s">
        <v>1009</v>
      </c>
      <c r="D2289" s="71">
        <v>520</v>
      </c>
      <c r="E2289" s="102">
        <v>3900</v>
      </c>
      <c r="F2289" s="102">
        <f t="shared" si="1225"/>
        <v>2230800</v>
      </c>
      <c r="G2289" s="102">
        <f t="shared" si="1226"/>
        <v>2028000</v>
      </c>
      <c r="H2289" s="690" t="s">
        <v>173</v>
      </c>
      <c r="I2289" s="71" t="s">
        <v>2230</v>
      </c>
      <c r="J2289" s="53">
        <f t="shared" ref="J2289:J2301" si="1237">G2289-T2289</f>
        <v>312000</v>
      </c>
      <c r="K2289" s="63">
        <f t="shared" si="1230"/>
        <v>0.15384615384615385</v>
      </c>
      <c r="L2289" s="871" t="s">
        <v>2025</v>
      </c>
      <c r="M2289" s="468"/>
      <c r="N2289" s="664">
        <f t="shared" si="1231"/>
        <v>190806</v>
      </c>
      <c r="O2289" s="71" t="s">
        <v>147</v>
      </c>
      <c r="P2289" s="103" t="str">
        <f t="shared" ref="P2289:P2299" si="1238">C2289</f>
        <v>CTP판(1030*790mm)</v>
      </c>
      <c r="Q2289" s="71">
        <f t="shared" si="1229"/>
        <v>520</v>
      </c>
      <c r="R2289" s="102">
        <v>3300</v>
      </c>
      <c r="S2289" s="102">
        <f t="shared" ref="S2289:S2303" si="1239">R2289*Q2289*1.1</f>
        <v>1887600.0000000002</v>
      </c>
      <c r="T2289" s="102">
        <f t="shared" ref="T2289:T2303" si="1240">R2289*Q2289</f>
        <v>1716000</v>
      </c>
      <c r="U2289" s="71" t="str">
        <f t="shared" si="1236"/>
        <v>O</v>
      </c>
      <c r="V2289" s="71"/>
      <c r="W2289" s="474">
        <f>(G2289-T2289)</f>
        <v>312000</v>
      </c>
      <c r="X2289" s="71"/>
      <c r="Y2289" s="71"/>
    </row>
    <row r="2290" spans="1:25" ht="30" hidden="1" customHeight="1" x14ac:dyDescent="0.25">
      <c r="A2290" s="82">
        <v>190806</v>
      </c>
      <c r="B2290" s="664" t="s">
        <v>983</v>
      </c>
      <c r="C2290" s="71" t="s">
        <v>984</v>
      </c>
      <c r="D2290" s="71">
        <v>9</v>
      </c>
      <c r="E2290" s="102">
        <v>45000</v>
      </c>
      <c r="F2290" s="102">
        <f t="shared" si="1225"/>
        <v>445500.00000000006</v>
      </c>
      <c r="G2290" s="102">
        <f t="shared" si="1226"/>
        <v>405000</v>
      </c>
      <c r="H2290" s="690" t="s">
        <v>173</v>
      </c>
      <c r="I2290" s="71" t="s">
        <v>2230</v>
      </c>
      <c r="J2290" s="53">
        <f t="shared" si="1237"/>
        <v>90000</v>
      </c>
      <c r="K2290" s="63">
        <f t="shared" si="1230"/>
        <v>0.22222222222222218</v>
      </c>
      <c r="L2290" s="871" t="s">
        <v>2025</v>
      </c>
      <c r="M2290" s="468"/>
      <c r="N2290" s="664">
        <f t="shared" si="1231"/>
        <v>190806</v>
      </c>
      <c r="O2290" s="71" t="s">
        <v>147</v>
      </c>
      <c r="P2290" s="103" t="str">
        <f t="shared" si="1238"/>
        <v>CTP 현상액</v>
      </c>
      <c r="Q2290" s="71">
        <f t="shared" si="1229"/>
        <v>9</v>
      </c>
      <c r="R2290" s="102">
        <v>35000</v>
      </c>
      <c r="S2290" s="102">
        <f t="shared" si="1239"/>
        <v>346500</v>
      </c>
      <c r="T2290" s="102">
        <f t="shared" si="1240"/>
        <v>315000</v>
      </c>
      <c r="U2290" s="71" t="str">
        <f t="shared" si="1236"/>
        <v>O</v>
      </c>
      <c r="V2290" s="71"/>
      <c r="W2290" s="474">
        <f>(G2290-T2290)</f>
        <v>90000</v>
      </c>
      <c r="X2290" s="71"/>
      <c r="Y2290" s="71"/>
    </row>
    <row r="2291" spans="1:25" ht="30" hidden="1" customHeight="1" x14ac:dyDescent="0.25">
      <c r="A2291" s="82">
        <v>190806</v>
      </c>
      <c r="B2291" s="664" t="s">
        <v>1178</v>
      </c>
      <c r="C2291" s="71" t="s">
        <v>2041</v>
      </c>
      <c r="D2291" s="71">
        <v>1</v>
      </c>
      <c r="E2291" s="102">
        <v>850000</v>
      </c>
      <c r="F2291" s="102">
        <f t="shared" si="1225"/>
        <v>935000.00000000012</v>
      </c>
      <c r="G2291" s="102">
        <f t="shared" si="1226"/>
        <v>850000</v>
      </c>
      <c r="H2291" s="690" t="s">
        <v>1431</v>
      </c>
      <c r="I2291" s="71" t="s">
        <v>1431</v>
      </c>
      <c r="J2291" s="53">
        <f t="shared" si="1237"/>
        <v>447600</v>
      </c>
      <c r="K2291" s="63">
        <f>(J2291/(F2291/11*10))</f>
        <v>0.52658823529411758</v>
      </c>
      <c r="L2291" s="871" t="s">
        <v>2025</v>
      </c>
      <c r="M2291" s="468"/>
      <c r="N2291" s="664">
        <f>A2291</f>
        <v>190806</v>
      </c>
      <c r="O2291" s="71" t="s">
        <v>1431</v>
      </c>
      <c r="P2291" s="103" t="str">
        <f t="shared" si="1238"/>
        <v>Plasteel(플렉소 챔버 블레이드)</v>
      </c>
      <c r="Q2291" s="71">
        <f t="shared" si="1229"/>
        <v>1</v>
      </c>
      <c r="R2291" s="102">
        <f>252*1200+100000</f>
        <v>402400</v>
      </c>
      <c r="S2291" s="102">
        <f t="shared" si="1239"/>
        <v>442640.00000000006</v>
      </c>
      <c r="T2291" s="102">
        <f t="shared" si="1240"/>
        <v>402400</v>
      </c>
      <c r="U2291" s="71" t="str">
        <f t="shared" si="1236"/>
        <v>X</v>
      </c>
      <c r="V2291" s="71"/>
      <c r="W2291" s="474"/>
      <c r="X2291" s="71"/>
      <c r="Y2291" s="71"/>
    </row>
    <row r="2292" spans="1:25" ht="30" hidden="1" customHeight="1" x14ac:dyDescent="0.25">
      <c r="A2292" s="82">
        <v>190806</v>
      </c>
      <c r="B2292" s="664" t="s">
        <v>1178</v>
      </c>
      <c r="C2292" s="71" t="s">
        <v>2042</v>
      </c>
      <c r="D2292" s="71">
        <v>1</v>
      </c>
      <c r="E2292" s="102">
        <v>850000</v>
      </c>
      <c r="F2292" s="102">
        <f t="shared" si="1225"/>
        <v>935000.00000000012</v>
      </c>
      <c r="G2292" s="102">
        <f t="shared" si="1226"/>
        <v>850000</v>
      </c>
      <c r="H2292" s="690" t="s">
        <v>1431</v>
      </c>
      <c r="I2292" s="71" t="s">
        <v>1431</v>
      </c>
      <c r="J2292" s="53">
        <f t="shared" si="1237"/>
        <v>447600</v>
      </c>
      <c r="K2292" s="63">
        <f>(J2292/(F2292/11*10))</f>
        <v>0.52658823529411758</v>
      </c>
      <c r="L2292" s="871" t="s">
        <v>2025</v>
      </c>
      <c r="M2292" s="468"/>
      <c r="N2292" s="664">
        <f>A2292</f>
        <v>190806</v>
      </c>
      <c r="O2292" s="71" t="s">
        <v>1431</v>
      </c>
      <c r="P2292" s="103" t="str">
        <f t="shared" si="1238"/>
        <v>Durapoint</v>
      </c>
      <c r="Q2292" s="71">
        <f t="shared" si="1229"/>
        <v>1</v>
      </c>
      <c r="R2292" s="102">
        <f>252*1200+100000</f>
        <v>402400</v>
      </c>
      <c r="S2292" s="102">
        <f t="shared" si="1239"/>
        <v>442640.00000000006</v>
      </c>
      <c r="T2292" s="102">
        <f t="shared" si="1240"/>
        <v>402400</v>
      </c>
      <c r="U2292" s="71" t="str">
        <f t="shared" si="1236"/>
        <v>X</v>
      </c>
      <c r="V2292" s="71"/>
      <c r="W2292" s="474"/>
      <c r="X2292" s="71"/>
      <c r="Y2292" s="71"/>
    </row>
    <row r="2293" spans="1:25" ht="30" hidden="1" customHeight="1" x14ac:dyDescent="0.25">
      <c r="A2293" s="82">
        <v>190806</v>
      </c>
      <c r="B2293" s="664" t="s">
        <v>1178</v>
      </c>
      <c r="C2293" s="71" t="s">
        <v>2043</v>
      </c>
      <c r="D2293" s="71">
        <v>200</v>
      </c>
      <c r="E2293" s="102">
        <v>20000</v>
      </c>
      <c r="F2293" s="102">
        <f t="shared" si="1225"/>
        <v>4400000</v>
      </c>
      <c r="G2293" s="102">
        <f t="shared" si="1226"/>
        <v>4000000</v>
      </c>
      <c r="H2293" s="690" t="s">
        <v>1431</v>
      </c>
      <c r="I2293" s="71" t="s">
        <v>1431</v>
      </c>
      <c r="J2293" s="53">
        <f t="shared" si="1237"/>
        <v>2724800</v>
      </c>
      <c r="K2293" s="63">
        <f>(J2293/(F2293/11*10))</f>
        <v>0.68120000000000003</v>
      </c>
      <c r="L2293" s="871" t="s">
        <v>2025</v>
      </c>
      <c r="M2293" s="468"/>
      <c r="N2293" s="664">
        <f>A2293</f>
        <v>190806</v>
      </c>
      <c r="O2293" s="71" t="s">
        <v>1431</v>
      </c>
      <c r="P2293" s="103" t="str">
        <f t="shared" si="1238"/>
        <v>Cust-1442-09(습식 엔드 씰)</v>
      </c>
      <c r="Q2293" s="71">
        <f t="shared" si="1229"/>
        <v>200</v>
      </c>
      <c r="R2293" s="102">
        <f>4.48*1200+200000/200</f>
        <v>6376.0000000000009</v>
      </c>
      <c r="S2293" s="102">
        <f t="shared" si="1239"/>
        <v>1402720.0000000005</v>
      </c>
      <c r="T2293" s="102">
        <f t="shared" si="1240"/>
        <v>1275200.0000000002</v>
      </c>
      <c r="U2293" s="71" t="str">
        <f t="shared" si="1236"/>
        <v>X</v>
      </c>
      <c r="V2293" s="71"/>
      <c r="W2293" s="474"/>
      <c r="X2293" s="71"/>
      <c r="Y2293" s="71"/>
    </row>
    <row r="2294" spans="1:25" s="209" customFormat="1" ht="30" hidden="1" customHeight="1" x14ac:dyDescent="0.25">
      <c r="A2294" s="82">
        <v>190808</v>
      </c>
      <c r="B2294" s="664" t="s">
        <v>764</v>
      </c>
      <c r="C2294" s="71" t="s">
        <v>236</v>
      </c>
      <c r="D2294" s="71">
        <v>5</v>
      </c>
      <c r="E2294" s="102">
        <v>100000</v>
      </c>
      <c r="F2294" s="102">
        <f t="shared" si="1225"/>
        <v>550000</v>
      </c>
      <c r="G2294" s="102">
        <f t="shared" si="1226"/>
        <v>500000</v>
      </c>
      <c r="H2294" s="690" t="s">
        <v>173</v>
      </c>
      <c r="I2294" s="71" t="s">
        <v>2231</v>
      </c>
      <c r="J2294" s="53">
        <f t="shared" si="1237"/>
        <v>250000</v>
      </c>
      <c r="K2294" s="63">
        <f t="shared" si="1230"/>
        <v>0.5</v>
      </c>
      <c r="L2294" s="871" t="s">
        <v>2025</v>
      </c>
      <c r="M2294" s="468"/>
      <c r="N2294" s="664">
        <f>A2294</f>
        <v>190808</v>
      </c>
      <c r="O2294" s="71" t="s">
        <v>153</v>
      </c>
      <c r="P2294" s="103" t="str">
        <f t="shared" si="1238"/>
        <v>아스테이지(국전)</v>
      </c>
      <c r="Q2294" s="71">
        <f t="shared" si="1229"/>
        <v>5</v>
      </c>
      <c r="R2294" s="102">
        <f>VLOOKUP(P2294,Price!B:D,3,FALSE)</f>
        <v>50000</v>
      </c>
      <c r="S2294" s="102">
        <f t="shared" si="1239"/>
        <v>275000</v>
      </c>
      <c r="T2294" s="102">
        <f t="shared" si="1240"/>
        <v>250000</v>
      </c>
      <c r="U2294" s="71" t="str">
        <f t="shared" si="1236"/>
        <v>O</v>
      </c>
      <c r="V2294" s="71"/>
      <c r="W2294" s="474">
        <f>(G2294-T2294)</f>
        <v>250000</v>
      </c>
      <c r="X2294" s="71"/>
      <c r="Y2294" s="71"/>
    </row>
    <row r="2295" spans="1:25" ht="30" hidden="1" customHeight="1" x14ac:dyDescent="0.25">
      <c r="A2295" s="82">
        <v>190808</v>
      </c>
      <c r="B2295" s="664" t="s">
        <v>446</v>
      </c>
      <c r="C2295" s="71" t="s">
        <v>1144</v>
      </c>
      <c r="D2295" s="71">
        <v>8</v>
      </c>
      <c r="E2295" s="102">
        <v>110000</v>
      </c>
      <c r="F2295" s="102">
        <f>(E2295*D2295)*1.1</f>
        <v>968000.00000000012</v>
      </c>
      <c r="G2295" s="102">
        <f>(E2295*D2295)</f>
        <v>880000</v>
      </c>
      <c r="H2295" s="690" t="s">
        <v>173</v>
      </c>
      <c r="I2295" s="71" t="s">
        <v>2231</v>
      </c>
      <c r="J2295" s="53">
        <f t="shared" si="1237"/>
        <v>152000</v>
      </c>
      <c r="K2295" s="63">
        <f t="shared" ref="K2295:K2301" si="1241">(J2295/(F2295/11*10))</f>
        <v>0.1727272727272727</v>
      </c>
      <c r="L2295" s="871" t="s">
        <v>2025</v>
      </c>
      <c r="M2295" s="468"/>
      <c r="N2295" s="664">
        <f t="shared" si="1231"/>
        <v>190808</v>
      </c>
      <c r="O2295" s="71" t="s">
        <v>150</v>
      </c>
      <c r="P2295" s="103" t="str">
        <f t="shared" si="1238"/>
        <v>실리콘 에멀전</v>
      </c>
      <c r="Q2295" s="71">
        <f t="shared" si="1229"/>
        <v>8</v>
      </c>
      <c r="R2295" s="102">
        <v>91000</v>
      </c>
      <c r="S2295" s="102">
        <f t="shared" si="1239"/>
        <v>800800.00000000012</v>
      </c>
      <c r="T2295" s="102">
        <f t="shared" si="1240"/>
        <v>728000</v>
      </c>
      <c r="U2295" s="71" t="str">
        <f t="shared" si="1236"/>
        <v>O</v>
      </c>
      <c r="V2295" s="71"/>
      <c r="W2295" s="474">
        <f>(G2295-T2295)</f>
        <v>152000</v>
      </c>
      <c r="X2295" s="71"/>
      <c r="Y2295" s="71"/>
    </row>
    <row r="2296" spans="1:25" ht="30" hidden="1" customHeight="1" x14ac:dyDescent="0.25">
      <c r="A2296" s="82">
        <v>190809</v>
      </c>
      <c r="B2296" s="664" t="s">
        <v>545</v>
      </c>
      <c r="C2296" s="71" t="s">
        <v>805</v>
      </c>
      <c r="D2296" s="71">
        <v>2</v>
      </c>
      <c r="E2296" s="102">
        <v>180000</v>
      </c>
      <c r="F2296" s="102">
        <v>396000.00000000006</v>
      </c>
      <c r="G2296" s="102">
        <v>360000</v>
      </c>
      <c r="H2296" s="690" t="s">
        <v>173</v>
      </c>
      <c r="I2296" s="71" t="s">
        <v>120</v>
      </c>
      <c r="J2296" s="53">
        <f t="shared" si="1237"/>
        <v>80000</v>
      </c>
      <c r="K2296" s="63">
        <f t="shared" si="1241"/>
        <v>0.22222222222222218</v>
      </c>
      <c r="L2296" s="871" t="s">
        <v>2025</v>
      </c>
      <c r="M2296" s="468"/>
      <c r="N2296" s="664">
        <f t="shared" si="1231"/>
        <v>190809</v>
      </c>
      <c r="O2296" s="71" t="s">
        <v>150</v>
      </c>
      <c r="P2296" s="103" t="s">
        <v>166</v>
      </c>
      <c r="Q2296" s="71">
        <f t="shared" si="1229"/>
        <v>2</v>
      </c>
      <c r="R2296" s="102">
        <v>140000</v>
      </c>
      <c r="S2296" s="102">
        <f t="shared" si="1239"/>
        <v>308000</v>
      </c>
      <c r="T2296" s="102">
        <f t="shared" si="1240"/>
        <v>280000</v>
      </c>
      <c r="U2296" s="71" t="str">
        <f t="shared" si="1236"/>
        <v>X</v>
      </c>
      <c r="V2296" s="71"/>
      <c r="W2296" s="474"/>
      <c r="X2296" s="71"/>
      <c r="Y2296" s="71"/>
    </row>
    <row r="2297" spans="1:25" ht="30" hidden="1" customHeight="1" x14ac:dyDescent="0.25">
      <c r="A2297" s="82">
        <v>190809</v>
      </c>
      <c r="B2297" s="663" t="s">
        <v>545</v>
      </c>
      <c r="C2297" s="73" t="s">
        <v>825</v>
      </c>
      <c r="D2297" s="73">
        <v>2</v>
      </c>
      <c r="E2297" s="147">
        <v>110000</v>
      </c>
      <c r="F2297" s="147">
        <v>242000.00000000003</v>
      </c>
      <c r="G2297" s="147">
        <v>220000</v>
      </c>
      <c r="H2297" s="689" t="s">
        <v>173</v>
      </c>
      <c r="I2297" s="71" t="s">
        <v>2231</v>
      </c>
      <c r="J2297" s="53">
        <f t="shared" si="1237"/>
        <v>30000</v>
      </c>
      <c r="K2297" s="63">
        <f t="shared" si="1241"/>
        <v>0.13636363636363635</v>
      </c>
      <c r="L2297" s="871" t="s">
        <v>2025</v>
      </c>
      <c r="M2297" s="584"/>
      <c r="N2297" s="664">
        <f t="shared" si="1231"/>
        <v>190809</v>
      </c>
      <c r="O2297" s="73" t="s">
        <v>150</v>
      </c>
      <c r="P2297" s="132" t="s">
        <v>1802</v>
      </c>
      <c r="Q2297" s="71">
        <f t="shared" si="1229"/>
        <v>2</v>
      </c>
      <c r="R2297" s="147">
        <v>95000</v>
      </c>
      <c r="S2297" s="102">
        <f t="shared" si="1239"/>
        <v>209000.00000000003</v>
      </c>
      <c r="T2297" s="102">
        <f t="shared" si="1240"/>
        <v>190000</v>
      </c>
      <c r="U2297" s="71" t="str">
        <f t="shared" si="1236"/>
        <v>O</v>
      </c>
      <c r="V2297" s="73"/>
      <c r="W2297" s="473">
        <v>30000</v>
      </c>
      <c r="X2297" s="73"/>
      <c r="Y2297" s="73"/>
    </row>
    <row r="2298" spans="1:25" ht="30" customHeight="1" x14ac:dyDescent="0.25">
      <c r="A2298" s="82">
        <v>190809</v>
      </c>
      <c r="B2298" s="664" t="s">
        <v>565</v>
      </c>
      <c r="C2298" s="71" t="s">
        <v>1793</v>
      </c>
      <c r="D2298" s="71">
        <v>1</v>
      </c>
      <c r="E2298" s="102">
        <v>4000000</v>
      </c>
      <c r="F2298" s="102">
        <f>(E2298*D2298)*1.1</f>
        <v>4400000</v>
      </c>
      <c r="G2298" s="102">
        <f>(E2298*D2298)</f>
        <v>4000000</v>
      </c>
      <c r="H2298" s="690" t="s">
        <v>1431</v>
      </c>
      <c r="I2298" s="71" t="s">
        <v>1431</v>
      </c>
      <c r="J2298" s="53">
        <f t="shared" si="1237"/>
        <v>1541392</v>
      </c>
      <c r="K2298" s="63">
        <f t="shared" si="1241"/>
        <v>0.38534800000000002</v>
      </c>
      <c r="L2298" s="871" t="s">
        <v>2025</v>
      </c>
      <c r="M2298" s="468" t="s">
        <v>2051</v>
      </c>
      <c r="N2298" s="664">
        <f>A2298</f>
        <v>190809</v>
      </c>
      <c r="O2298" s="71" t="s">
        <v>1431</v>
      </c>
      <c r="P2298" s="103" t="str">
        <f t="shared" si="1238"/>
        <v>파워 서플라이</v>
      </c>
      <c r="Q2298" s="71">
        <f t="shared" si="1229"/>
        <v>1</v>
      </c>
      <c r="R2298" s="102">
        <v>2458608</v>
      </c>
      <c r="S2298" s="102">
        <f t="shared" si="1239"/>
        <v>2704468.8000000003</v>
      </c>
      <c r="T2298" s="102">
        <f t="shared" si="1240"/>
        <v>2458608</v>
      </c>
      <c r="U2298" s="71" t="str">
        <f t="shared" si="1236"/>
        <v>X</v>
      </c>
      <c r="V2298" s="71"/>
      <c r="W2298" s="474"/>
      <c r="X2298" s="71"/>
      <c r="Y2298" s="71"/>
    </row>
    <row r="2299" spans="1:25" ht="30" hidden="1" customHeight="1" x14ac:dyDescent="0.25">
      <c r="A2299" s="82">
        <v>190809</v>
      </c>
      <c r="B2299" s="664" t="s">
        <v>567</v>
      </c>
      <c r="C2299" s="71" t="s">
        <v>1652</v>
      </c>
      <c r="D2299" s="71">
        <v>5</v>
      </c>
      <c r="E2299" s="102">
        <v>55000</v>
      </c>
      <c r="F2299" s="102">
        <f>(E2299*D2299)*1.1</f>
        <v>302500</v>
      </c>
      <c r="G2299" s="102">
        <f>(E2299*D2299)</f>
        <v>275000</v>
      </c>
      <c r="H2299" s="690" t="s">
        <v>173</v>
      </c>
      <c r="I2299" s="71" t="s">
        <v>2231</v>
      </c>
      <c r="J2299" s="53">
        <f t="shared" si="1237"/>
        <v>75000</v>
      </c>
      <c r="K2299" s="63">
        <f t="shared" si="1241"/>
        <v>0.27272727272727271</v>
      </c>
      <c r="L2299" s="871" t="s">
        <v>2025</v>
      </c>
      <c r="M2299" s="468"/>
      <c r="N2299" s="664">
        <f>A2299</f>
        <v>190809</v>
      </c>
      <c r="O2299" s="71" t="s">
        <v>153</v>
      </c>
      <c r="P2299" s="103" t="str">
        <f t="shared" si="1238"/>
        <v>아스테이지(CD74용)</v>
      </c>
      <c r="Q2299" s="71">
        <f t="shared" si="1229"/>
        <v>5</v>
      </c>
      <c r="R2299" s="102">
        <v>40000</v>
      </c>
      <c r="S2299" s="102">
        <f t="shared" si="1239"/>
        <v>220000.00000000003</v>
      </c>
      <c r="T2299" s="102">
        <f t="shared" si="1240"/>
        <v>200000</v>
      </c>
      <c r="U2299" s="71" t="str">
        <f t="shared" si="1236"/>
        <v>X</v>
      </c>
      <c r="V2299" s="71"/>
      <c r="W2299" s="474"/>
      <c r="X2299" s="71"/>
      <c r="Y2299" s="71"/>
    </row>
    <row r="2300" spans="1:25" ht="30" hidden="1" customHeight="1" x14ac:dyDescent="0.2">
      <c r="A2300" s="82">
        <v>190812</v>
      </c>
      <c r="B2300" s="664" t="s">
        <v>690</v>
      </c>
      <c r="C2300" s="67" t="s">
        <v>197</v>
      </c>
      <c r="D2300" s="71">
        <v>4</v>
      </c>
      <c r="E2300" s="102">
        <v>49000</v>
      </c>
      <c r="F2300" s="163">
        <f>(E2300*D2300)*1.1</f>
        <v>215600.00000000003</v>
      </c>
      <c r="G2300" s="163">
        <f>(E2300*D2300)</f>
        <v>196000</v>
      </c>
      <c r="H2300" s="690" t="s">
        <v>173</v>
      </c>
      <c r="I2300" s="71" t="s">
        <v>2230</v>
      </c>
      <c r="J2300" s="53">
        <f t="shared" si="1237"/>
        <v>56000</v>
      </c>
      <c r="K2300" s="63">
        <f t="shared" si="1241"/>
        <v>0.2857142857142857</v>
      </c>
      <c r="L2300" s="871" t="s">
        <v>2025</v>
      </c>
      <c r="M2300" s="468" t="s">
        <v>1394</v>
      </c>
      <c r="N2300" s="664">
        <v>190718</v>
      </c>
      <c r="O2300" s="71" t="s">
        <v>145</v>
      </c>
      <c r="P2300" s="103" t="s">
        <v>2022</v>
      </c>
      <c r="Q2300" s="71">
        <f t="shared" si="1229"/>
        <v>4</v>
      </c>
      <c r="R2300" s="102">
        <v>35000</v>
      </c>
      <c r="S2300" s="102">
        <f t="shared" si="1239"/>
        <v>154000</v>
      </c>
      <c r="T2300" s="102">
        <f t="shared" si="1240"/>
        <v>140000</v>
      </c>
      <c r="U2300" s="71" t="str">
        <f t="shared" si="1236"/>
        <v>X</v>
      </c>
      <c r="V2300" s="71"/>
      <c r="W2300" s="474"/>
      <c r="X2300" s="71"/>
      <c r="Y2300" s="71"/>
    </row>
    <row r="2301" spans="1:25" ht="30" hidden="1" customHeight="1" x14ac:dyDescent="0.2">
      <c r="A2301" s="82">
        <v>190812</v>
      </c>
      <c r="B2301" s="664" t="s">
        <v>690</v>
      </c>
      <c r="C2301" s="71" t="s">
        <v>1186</v>
      </c>
      <c r="D2301" s="71">
        <v>500</v>
      </c>
      <c r="E2301" s="102">
        <v>3600</v>
      </c>
      <c r="F2301" s="163">
        <f>(E2301*D2301)*1.1</f>
        <v>1980000.0000000002</v>
      </c>
      <c r="G2301" s="102">
        <v>1800000</v>
      </c>
      <c r="H2301" s="690" t="s">
        <v>173</v>
      </c>
      <c r="I2301" s="71" t="s">
        <v>2230</v>
      </c>
      <c r="J2301" s="53">
        <f t="shared" si="1237"/>
        <v>-200000</v>
      </c>
      <c r="K2301" s="63">
        <f t="shared" si="1241"/>
        <v>-0.11111111111111109</v>
      </c>
      <c r="L2301" s="871" t="s">
        <v>2025</v>
      </c>
      <c r="M2301" s="468" t="s">
        <v>1393</v>
      </c>
      <c r="N2301" s="664">
        <v>190718</v>
      </c>
      <c r="O2301" s="71" t="s">
        <v>145</v>
      </c>
      <c r="P2301" s="103" t="s">
        <v>2023</v>
      </c>
      <c r="Q2301" s="71">
        <f t="shared" si="1229"/>
        <v>500</v>
      </c>
      <c r="R2301" s="102">
        <v>4000</v>
      </c>
      <c r="S2301" s="102">
        <f t="shared" si="1239"/>
        <v>2200000</v>
      </c>
      <c r="T2301" s="102">
        <f t="shared" si="1240"/>
        <v>2000000</v>
      </c>
      <c r="U2301" s="71" t="s">
        <v>859</v>
      </c>
      <c r="V2301" s="71"/>
      <c r="W2301" s="474">
        <v>-200000</v>
      </c>
      <c r="X2301" s="71"/>
      <c r="Y2301" s="71"/>
    </row>
    <row r="2302" spans="1:25" s="209" customFormat="1" ht="30" customHeight="1" x14ac:dyDescent="0.2">
      <c r="A2302" s="82">
        <v>190812</v>
      </c>
      <c r="B2302" s="664" t="s">
        <v>422</v>
      </c>
      <c r="C2302" s="71" t="s">
        <v>130</v>
      </c>
      <c r="D2302" s="71">
        <v>20</v>
      </c>
      <c r="E2302" s="102">
        <v>125000</v>
      </c>
      <c r="F2302" s="163">
        <f t="shared" ref="F2302:F2307" si="1242">(E2302*D2302)*1.1</f>
        <v>2750000</v>
      </c>
      <c r="G2302" s="102">
        <f t="shared" ref="G2302:G2307" si="1243">(E2302*D2302)</f>
        <v>2500000</v>
      </c>
      <c r="H2302" s="165" t="s">
        <v>172</v>
      </c>
      <c r="I2302" s="71" t="s">
        <v>109</v>
      </c>
      <c r="J2302" s="53">
        <f>(G2302-(VLOOKUP(C2302,Price!B:D,3,FALSE)*D2302))</f>
        <v>520000</v>
      </c>
      <c r="K2302" s="63">
        <f t="shared" ref="K2302:K2307" si="1244">(J2302/(F2302/11*10))</f>
        <v>0.20799999999999999</v>
      </c>
      <c r="L2302" s="871" t="s">
        <v>2025</v>
      </c>
      <c r="M2302" s="468" t="s">
        <v>2050</v>
      </c>
      <c r="N2302" s="664">
        <f>A2302</f>
        <v>190812</v>
      </c>
      <c r="O2302" s="71" t="s">
        <v>150</v>
      </c>
      <c r="P2302" s="103" t="str">
        <f>(C2302)</f>
        <v>XL106 Blanket(1077*885)</v>
      </c>
      <c r="Q2302" s="71">
        <f t="shared" si="1229"/>
        <v>20</v>
      </c>
      <c r="R2302" s="102">
        <v>99000</v>
      </c>
      <c r="S2302" s="102">
        <f t="shared" si="1239"/>
        <v>2178000</v>
      </c>
      <c r="T2302" s="102">
        <f t="shared" si="1240"/>
        <v>1980000</v>
      </c>
      <c r="U2302" s="71" t="str">
        <f t="shared" ref="U2302:U2333" si="1245">IF(J2302=W2302,"O", "X")</f>
        <v>O</v>
      </c>
      <c r="V2302" s="71"/>
      <c r="W2302" s="474">
        <f>(G2302-T2302)</f>
        <v>520000</v>
      </c>
      <c r="X2302" s="71"/>
      <c r="Y2302" s="71"/>
    </row>
    <row r="2303" spans="1:25" ht="30" customHeight="1" x14ac:dyDescent="0.25">
      <c r="A2303" s="82">
        <v>190812</v>
      </c>
      <c r="B2303" s="664" t="s">
        <v>422</v>
      </c>
      <c r="C2303" s="71" t="s">
        <v>129</v>
      </c>
      <c r="D2303" s="71">
        <v>7</v>
      </c>
      <c r="E2303" s="102">
        <v>272000</v>
      </c>
      <c r="F2303" s="102">
        <f t="shared" si="1242"/>
        <v>2094400.0000000002</v>
      </c>
      <c r="G2303" s="102">
        <f t="shared" si="1243"/>
        <v>1904000</v>
      </c>
      <c r="H2303" s="690" t="s">
        <v>173</v>
      </c>
      <c r="I2303" s="71" t="s">
        <v>108</v>
      </c>
      <c r="J2303" s="53">
        <f>(G2303-(VLOOKUP(C2303,Price!B:D,3,FALSE)*D2303))</f>
        <v>448000</v>
      </c>
      <c r="K2303" s="63">
        <f t="shared" si="1244"/>
        <v>0.23529411764705879</v>
      </c>
      <c r="L2303" s="871" t="s">
        <v>2025</v>
      </c>
      <c r="M2303" s="468" t="s">
        <v>2050</v>
      </c>
      <c r="N2303" s="664">
        <f t="shared" ref="N2303:N2330" si="1246">A2303</f>
        <v>190812</v>
      </c>
      <c r="O2303" s="71" t="s">
        <v>149</v>
      </c>
      <c r="P2303" s="103" t="str">
        <f>C2303</f>
        <v>세정포-XL106</v>
      </c>
      <c r="Q2303" s="71">
        <f t="shared" si="1229"/>
        <v>7</v>
      </c>
      <c r="R2303" s="102">
        <v>208000</v>
      </c>
      <c r="S2303" s="102">
        <f t="shared" si="1239"/>
        <v>1601600.0000000002</v>
      </c>
      <c r="T2303" s="102">
        <f t="shared" si="1240"/>
        <v>1456000</v>
      </c>
      <c r="U2303" s="71" t="str">
        <f t="shared" si="1245"/>
        <v>O</v>
      </c>
      <c r="V2303" s="71"/>
      <c r="W2303" s="474">
        <f>(G2303-T2303)</f>
        <v>448000</v>
      </c>
      <c r="X2303" s="71"/>
      <c r="Y2303" s="71"/>
    </row>
    <row r="2304" spans="1:25" ht="30" customHeight="1" x14ac:dyDescent="0.25">
      <c r="A2304" s="82">
        <v>190813</v>
      </c>
      <c r="B2304" s="664" t="s">
        <v>565</v>
      </c>
      <c r="C2304" s="71" t="s">
        <v>692</v>
      </c>
      <c r="D2304" s="71">
        <v>6</v>
      </c>
      <c r="E2304" s="102">
        <v>218000</v>
      </c>
      <c r="F2304" s="102">
        <f t="shared" si="1242"/>
        <v>1438800</v>
      </c>
      <c r="G2304" s="102">
        <f t="shared" si="1243"/>
        <v>1308000</v>
      </c>
      <c r="H2304" s="690" t="s">
        <v>173</v>
      </c>
      <c r="I2304" s="71" t="s">
        <v>109</v>
      </c>
      <c r="J2304" s="53">
        <f>(G2304-(VLOOKUP(C2304,Price!B:D,3,FALSE)*D2304))</f>
        <v>348000</v>
      </c>
      <c r="K2304" s="63">
        <f t="shared" si="1244"/>
        <v>0.26605504587155965</v>
      </c>
      <c r="L2304" s="871" t="s">
        <v>2025</v>
      </c>
      <c r="M2304" s="468" t="s">
        <v>2052</v>
      </c>
      <c r="N2304" s="664">
        <f t="shared" si="1246"/>
        <v>190813</v>
      </c>
      <c r="O2304" s="71" t="s">
        <v>150</v>
      </c>
      <c r="P2304" s="103" t="str">
        <f>C2304</f>
        <v>윤전 블랑켓</v>
      </c>
      <c r="Q2304" s="71">
        <f t="shared" si="1229"/>
        <v>6</v>
      </c>
      <c r="R2304" s="102">
        <v>160000</v>
      </c>
      <c r="S2304" s="102">
        <f>(R2304*D2304)*1.1</f>
        <v>1056000</v>
      </c>
      <c r="T2304" s="102">
        <f>(R2304*Q2304)</f>
        <v>960000</v>
      </c>
      <c r="U2304" s="71" t="str">
        <f t="shared" si="1245"/>
        <v>O</v>
      </c>
      <c r="V2304" s="71" t="s">
        <v>784</v>
      </c>
      <c r="W2304" s="474">
        <f>(G2304-T2304)</f>
        <v>348000</v>
      </c>
      <c r="X2304" s="71"/>
      <c r="Y2304" s="71"/>
    </row>
    <row r="2305" spans="1:25" ht="30" customHeight="1" x14ac:dyDescent="0.25">
      <c r="A2305" s="82">
        <v>190813</v>
      </c>
      <c r="B2305" s="664" t="s">
        <v>422</v>
      </c>
      <c r="C2305" s="760" t="s">
        <v>218</v>
      </c>
      <c r="D2305" s="71">
        <v>5</v>
      </c>
      <c r="E2305" s="102">
        <v>235000</v>
      </c>
      <c r="F2305" s="102">
        <f t="shared" si="1242"/>
        <v>1292500</v>
      </c>
      <c r="G2305" s="102">
        <f t="shared" si="1243"/>
        <v>1175000</v>
      </c>
      <c r="H2305" s="690" t="s">
        <v>173</v>
      </c>
      <c r="I2305" s="71" t="s">
        <v>120</v>
      </c>
      <c r="J2305" s="53">
        <f>(G2305-(VLOOKUP(C2305,Price!B:D,3,FALSE)*D2305))</f>
        <v>612500</v>
      </c>
      <c r="K2305" s="63">
        <f t="shared" si="1244"/>
        <v>0.52127659574468088</v>
      </c>
      <c r="L2305" s="871" t="s">
        <v>2025</v>
      </c>
      <c r="M2305" s="468" t="s">
        <v>2053</v>
      </c>
      <c r="N2305" s="664">
        <f t="shared" si="1246"/>
        <v>190813</v>
      </c>
      <c r="O2305" s="71" t="s">
        <v>150</v>
      </c>
      <c r="P2305" s="103" t="str">
        <f>C2305</f>
        <v>Fount Web 551AF</v>
      </c>
      <c r="Q2305" s="71">
        <f t="shared" si="1229"/>
        <v>5</v>
      </c>
      <c r="R2305" s="102">
        <v>112500</v>
      </c>
      <c r="S2305" s="102">
        <f>R2305*Q2305*1.1</f>
        <v>618750</v>
      </c>
      <c r="T2305" s="102">
        <f>R2305*Q2305</f>
        <v>562500</v>
      </c>
      <c r="U2305" s="71" t="str">
        <f t="shared" si="1245"/>
        <v>O</v>
      </c>
      <c r="V2305" s="71"/>
      <c r="W2305" s="474">
        <f>(G2305-T2305)</f>
        <v>612500</v>
      </c>
      <c r="X2305" s="71"/>
      <c r="Y2305" s="71"/>
    </row>
    <row r="2306" spans="1:25" ht="30" hidden="1" customHeight="1" x14ac:dyDescent="0.25">
      <c r="A2306" s="82">
        <v>190813</v>
      </c>
      <c r="B2306" s="664" t="s">
        <v>1155</v>
      </c>
      <c r="C2306" s="71" t="s">
        <v>123</v>
      </c>
      <c r="D2306" s="71">
        <v>10</v>
      </c>
      <c r="E2306" s="102">
        <v>30000</v>
      </c>
      <c r="F2306" s="102">
        <f t="shared" si="1242"/>
        <v>330000</v>
      </c>
      <c r="G2306" s="102">
        <f t="shared" si="1243"/>
        <v>300000</v>
      </c>
      <c r="H2306" s="690" t="s">
        <v>1432</v>
      </c>
      <c r="I2306" s="71" t="s">
        <v>1432</v>
      </c>
      <c r="J2306" s="53">
        <f t="shared" ref="J2306:J2313" si="1247">G2306-T2306</f>
        <v>75390</v>
      </c>
      <c r="K2306" s="63">
        <f t="shared" si="1244"/>
        <v>0.25130000000000002</v>
      </c>
      <c r="L2306" s="871" t="s">
        <v>2025</v>
      </c>
      <c r="M2306" s="468"/>
      <c r="N2306" s="664">
        <f t="shared" si="1246"/>
        <v>190813</v>
      </c>
      <c r="O2306" s="71" t="s">
        <v>1432</v>
      </c>
      <c r="P2306" s="103" t="str">
        <f>C2306</f>
        <v>필터백</v>
      </c>
      <c r="Q2306" s="71">
        <f t="shared" si="1229"/>
        <v>10</v>
      </c>
      <c r="R2306" s="102">
        <v>22461</v>
      </c>
      <c r="S2306" s="102">
        <f>R2306*Q2306*1.1</f>
        <v>247071.00000000003</v>
      </c>
      <c r="T2306" s="102">
        <f>R2306*Q2306</f>
        <v>224610</v>
      </c>
      <c r="U2306" s="71" t="str">
        <f t="shared" si="1245"/>
        <v>X</v>
      </c>
      <c r="V2306" s="71"/>
      <c r="W2306" s="474"/>
      <c r="X2306" s="71"/>
      <c r="Y2306" s="71"/>
    </row>
    <row r="2307" spans="1:25" ht="30" hidden="1" customHeight="1" x14ac:dyDescent="0.25">
      <c r="A2307" s="82">
        <v>190813</v>
      </c>
      <c r="B2307" s="664" t="s">
        <v>550</v>
      </c>
      <c r="C2307" s="71" t="s">
        <v>2012</v>
      </c>
      <c r="D2307" s="71">
        <v>1</v>
      </c>
      <c r="E2307" s="102">
        <v>850000</v>
      </c>
      <c r="F2307" s="102">
        <f t="shared" si="1242"/>
        <v>935000.00000000012</v>
      </c>
      <c r="G2307" s="102">
        <f t="shared" si="1243"/>
        <v>850000</v>
      </c>
      <c r="H2307" s="1010" t="s">
        <v>39</v>
      </c>
      <c r="I2307" s="71" t="s">
        <v>1432</v>
      </c>
      <c r="J2307" s="53">
        <f t="shared" si="1247"/>
        <v>444099.40210630727</v>
      </c>
      <c r="K2307" s="63">
        <f t="shared" si="1244"/>
        <v>0.52246988483094969</v>
      </c>
      <c r="L2307" s="871" t="s">
        <v>2025</v>
      </c>
      <c r="M2307" s="468"/>
      <c r="N2307" s="664">
        <f t="shared" si="1246"/>
        <v>190813</v>
      </c>
      <c r="O2307" s="991" t="s">
        <v>39</v>
      </c>
      <c r="P2307" s="103" t="str">
        <f>C2307</f>
        <v>beta.f 필터 set</v>
      </c>
      <c r="Q2307" s="71">
        <f t="shared" si="1229"/>
        <v>1</v>
      </c>
      <c r="R2307" s="102">
        <f>Import!G636</f>
        <v>405900.59789369273</v>
      </c>
      <c r="S2307" s="102">
        <f>R2307*Q2307*1.1</f>
        <v>446490.65768306202</v>
      </c>
      <c r="T2307" s="102">
        <f>R2307*Q2307</f>
        <v>405900.59789369273</v>
      </c>
      <c r="U2307" s="71" t="str">
        <f t="shared" si="1245"/>
        <v>O</v>
      </c>
      <c r="V2307" s="71"/>
      <c r="W2307" s="482">
        <f>(G2307-T2307)</f>
        <v>444099.40210630727</v>
      </c>
      <c r="X2307" s="71"/>
      <c r="Y2307" s="71"/>
    </row>
    <row r="2308" spans="1:25" ht="30" hidden="1" customHeight="1" x14ac:dyDescent="0.25">
      <c r="A2308" s="82">
        <v>190814</v>
      </c>
      <c r="B2308" s="664" t="s">
        <v>411</v>
      </c>
      <c r="C2308" s="71" t="s">
        <v>2024</v>
      </c>
      <c r="D2308" s="71">
        <v>2</v>
      </c>
      <c r="E2308" s="102">
        <v>1150000</v>
      </c>
      <c r="F2308" s="102">
        <f t="shared" ref="F2308:F2321" si="1248">(E2308*D2308)*1.1</f>
        <v>2530000</v>
      </c>
      <c r="G2308" s="102">
        <f t="shared" ref="G2308:G2321" si="1249">(E2308*D2308)</f>
        <v>2300000</v>
      </c>
      <c r="H2308" s="690" t="s">
        <v>94</v>
      </c>
      <c r="I2308" s="71" t="s">
        <v>1432</v>
      </c>
      <c r="J2308" s="53">
        <f t="shared" si="1247"/>
        <v>2300000</v>
      </c>
      <c r="K2308" s="63">
        <f>(J2308/(F2308/11*10))</f>
        <v>1</v>
      </c>
      <c r="L2308" s="871" t="s">
        <v>2025</v>
      </c>
      <c r="M2308" s="468"/>
      <c r="N2308" s="664">
        <f t="shared" si="1246"/>
        <v>190814</v>
      </c>
      <c r="O2308" s="71" t="s">
        <v>94</v>
      </c>
      <c r="P2308" s="103" t="str">
        <f t="shared" ref="P2308:P2330" si="1250">C2308</f>
        <v>High Pressure connection Valve block</v>
      </c>
      <c r="Q2308" s="71">
        <f t="shared" si="1229"/>
        <v>2</v>
      </c>
      <c r="R2308" s="102"/>
      <c r="S2308" s="102">
        <f>(R2308*D2308)*1.1</f>
        <v>0</v>
      </c>
      <c r="T2308" s="102">
        <f>(R2308*Q2308)</f>
        <v>0</v>
      </c>
      <c r="U2308" s="71" t="str">
        <f t="shared" si="1245"/>
        <v>X</v>
      </c>
      <c r="V2308" s="71"/>
      <c r="W2308" s="474"/>
      <c r="X2308" s="71"/>
      <c r="Y2308" s="71"/>
    </row>
    <row r="2309" spans="1:25" ht="30" hidden="1" customHeight="1" x14ac:dyDescent="0.25">
      <c r="A2309" s="82">
        <v>190814</v>
      </c>
      <c r="B2309" s="664" t="s">
        <v>411</v>
      </c>
      <c r="C2309" s="71" t="s">
        <v>2026</v>
      </c>
      <c r="D2309" s="71">
        <v>2</v>
      </c>
      <c r="E2309" s="102">
        <v>190000</v>
      </c>
      <c r="F2309" s="102">
        <f t="shared" si="1248"/>
        <v>418000.00000000006</v>
      </c>
      <c r="G2309" s="102">
        <f t="shared" si="1249"/>
        <v>380000</v>
      </c>
      <c r="H2309" s="690" t="s">
        <v>94</v>
      </c>
      <c r="I2309" s="71" t="s">
        <v>1432</v>
      </c>
      <c r="J2309" s="53">
        <f t="shared" si="1247"/>
        <v>140000</v>
      </c>
      <c r="K2309" s="63">
        <f>(J2309/(F2309/11*10))</f>
        <v>0.36842105263157887</v>
      </c>
      <c r="L2309" s="871" t="s">
        <v>2025</v>
      </c>
      <c r="M2309" s="468"/>
      <c r="N2309" s="664">
        <f t="shared" si="1246"/>
        <v>190814</v>
      </c>
      <c r="O2309" s="71" t="s">
        <v>94</v>
      </c>
      <c r="P2309" s="103" t="str">
        <f t="shared" si="1250"/>
        <v>Plug-in coupling complete 1/4</v>
      </c>
      <c r="Q2309" s="71">
        <f t="shared" si="1229"/>
        <v>2</v>
      </c>
      <c r="R2309" s="102">
        <v>120000</v>
      </c>
      <c r="S2309" s="102">
        <f>R2309*Q2309*1.1</f>
        <v>264000</v>
      </c>
      <c r="T2309" s="102">
        <f>R2309*Q2309</f>
        <v>240000</v>
      </c>
      <c r="U2309" s="71" t="str">
        <f t="shared" si="1245"/>
        <v>X</v>
      </c>
      <c r="V2309" s="71"/>
      <c r="W2309" s="474"/>
      <c r="X2309" s="71"/>
      <c r="Y2309" s="71"/>
    </row>
    <row r="2310" spans="1:25" ht="30" hidden="1" customHeight="1" x14ac:dyDescent="0.25">
      <c r="A2310" s="82">
        <v>190814</v>
      </c>
      <c r="B2310" s="664" t="s">
        <v>411</v>
      </c>
      <c r="C2310" s="71" t="s">
        <v>2027</v>
      </c>
      <c r="D2310" s="71">
        <v>2</v>
      </c>
      <c r="E2310" s="102">
        <v>110000</v>
      </c>
      <c r="F2310" s="102">
        <f t="shared" si="1248"/>
        <v>242000.00000000003</v>
      </c>
      <c r="G2310" s="102">
        <f t="shared" si="1249"/>
        <v>220000</v>
      </c>
      <c r="H2310" s="690" t="s">
        <v>94</v>
      </c>
      <c r="I2310" s="71" t="s">
        <v>1432</v>
      </c>
      <c r="J2310" s="53">
        <f t="shared" si="1247"/>
        <v>60000</v>
      </c>
      <c r="K2310" s="63">
        <f>(J2310/(F2310/11*10))</f>
        <v>0.27272727272727271</v>
      </c>
      <c r="L2310" s="871" t="s">
        <v>2025</v>
      </c>
      <c r="M2310" s="468"/>
      <c r="N2310" s="664">
        <f t="shared" si="1246"/>
        <v>190814</v>
      </c>
      <c r="O2310" s="71" t="s">
        <v>94</v>
      </c>
      <c r="P2310" s="103" t="str">
        <f t="shared" si="1250"/>
        <v>High Pressure hose 1/4</v>
      </c>
      <c r="Q2310" s="71">
        <f t="shared" si="1229"/>
        <v>2</v>
      </c>
      <c r="R2310" s="102">
        <v>80000</v>
      </c>
      <c r="S2310" s="102">
        <f>(R2310*D2310)*1.1</f>
        <v>176000</v>
      </c>
      <c r="T2310" s="102">
        <f>(R2310*Q2310)</f>
        <v>160000</v>
      </c>
      <c r="U2310" s="71" t="str">
        <f t="shared" si="1245"/>
        <v>X</v>
      </c>
      <c r="V2310" s="71"/>
      <c r="W2310" s="474"/>
      <c r="X2310" s="71"/>
      <c r="Y2310" s="71"/>
    </row>
    <row r="2311" spans="1:25" ht="30" hidden="1" customHeight="1" x14ac:dyDescent="0.25">
      <c r="A2311" s="82">
        <v>190816</v>
      </c>
      <c r="B2311" s="664" t="s">
        <v>446</v>
      </c>
      <c r="C2311" s="71" t="s">
        <v>2028</v>
      </c>
      <c r="D2311" s="71">
        <v>8</v>
      </c>
      <c r="E2311" s="102">
        <v>110000</v>
      </c>
      <c r="F2311" s="102">
        <f t="shared" si="1248"/>
        <v>968000.00000000012</v>
      </c>
      <c r="G2311" s="102">
        <f t="shared" si="1249"/>
        <v>880000</v>
      </c>
      <c r="H2311" s="690" t="s">
        <v>2029</v>
      </c>
      <c r="I2311" s="71" t="s">
        <v>2231</v>
      </c>
      <c r="J2311" s="53">
        <f t="shared" si="1247"/>
        <v>152000</v>
      </c>
      <c r="K2311" s="63">
        <f t="shared" ref="K2311:K2318" si="1251">(J2311/(F2311/11*10))</f>
        <v>0.1727272727272727</v>
      </c>
      <c r="L2311" s="871" t="s">
        <v>2025</v>
      </c>
      <c r="M2311" s="468"/>
      <c r="N2311" s="664">
        <f t="shared" si="1246"/>
        <v>190816</v>
      </c>
      <c r="O2311" s="71" t="s">
        <v>2030</v>
      </c>
      <c r="P2311" s="103" t="str">
        <f t="shared" si="1250"/>
        <v>실리콘 에멀전</v>
      </c>
      <c r="Q2311" s="71">
        <f t="shared" si="1229"/>
        <v>8</v>
      </c>
      <c r="R2311" s="102">
        <v>91000</v>
      </c>
      <c r="S2311" s="102">
        <f t="shared" ref="S2311:S2317" si="1252">R2311*Q2311*1.1</f>
        <v>800800.00000000012</v>
      </c>
      <c r="T2311" s="102">
        <f t="shared" ref="T2311:T2317" si="1253">R2311*Q2311</f>
        <v>728000</v>
      </c>
      <c r="U2311" s="71" t="str">
        <f t="shared" si="1245"/>
        <v>O</v>
      </c>
      <c r="V2311" s="71"/>
      <c r="W2311" s="474">
        <f>(G2311-T2311)</f>
        <v>152000</v>
      </c>
      <c r="X2311" s="71"/>
      <c r="Y2311" s="71"/>
    </row>
    <row r="2312" spans="1:25" ht="30" hidden="1" customHeight="1" x14ac:dyDescent="0.25">
      <c r="A2312" s="82">
        <v>190815</v>
      </c>
      <c r="B2312" s="664" t="s">
        <v>575</v>
      </c>
      <c r="C2312" s="71" t="s">
        <v>1423</v>
      </c>
      <c r="D2312" s="71">
        <v>1</v>
      </c>
      <c r="E2312" s="102">
        <v>1250000</v>
      </c>
      <c r="F2312" s="102">
        <f>(E2312*D2312)*1.1</f>
        <v>1375000</v>
      </c>
      <c r="G2312" s="102">
        <f>(E2312*D2312)</f>
        <v>1250000</v>
      </c>
      <c r="H2312" s="690" t="s">
        <v>985</v>
      </c>
      <c r="I2312" s="71" t="s">
        <v>985</v>
      </c>
      <c r="J2312" s="53">
        <f t="shared" si="1247"/>
        <v>1250000</v>
      </c>
      <c r="K2312" s="63">
        <f t="shared" si="1251"/>
        <v>1</v>
      </c>
      <c r="L2312" s="871" t="s">
        <v>2025</v>
      </c>
      <c r="M2312" s="468"/>
      <c r="N2312" s="664">
        <f t="shared" si="1246"/>
        <v>190815</v>
      </c>
      <c r="O2312" s="71"/>
      <c r="P2312" s="103" t="str">
        <f t="shared" si="1250"/>
        <v>M600 서비스 계약(3회차)</v>
      </c>
      <c r="Q2312" s="71">
        <f t="shared" si="1229"/>
        <v>1</v>
      </c>
      <c r="R2312" s="102"/>
      <c r="S2312" s="102">
        <f t="shared" si="1252"/>
        <v>0</v>
      </c>
      <c r="T2312" s="102">
        <f t="shared" si="1253"/>
        <v>0</v>
      </c>
      <c r="U2312" s="71" t="str">
        <f t="shared" si="1245"/>
        <v>X</v>
      </c>
      <c r="V2312" s="71"/>
      <c r="W2312" s="474"/>
      <c r="X2312" s="71"/>
      <c r="Y2312" s="71"/>
    </row>
    <row r="2313" spans="1:25" ht="30" hidden="1" customHeight="1" x14ac:dyDescent="0.25">
      <c r="A2313" s="82">
        <v>190816</v>
      </c>
      <c r="B2313" s="664" t="s">
        <v>411</v>
      </c>
      <c r="C2313" s="71" t="s">
        <v>2031</v>
      </c>
      <c r="D2313" s="71">
        <v>15</v>
      </c>
      <c r="E2313" s="102">
        <v>35000</v>
      </c>
      <c r="F2313" s="102">
        <f t="shared" si="1248"/>
        <v>577500</v>
      </c>
      <c r="G2313" s="102">
        <f t="shared" si="1249"/>
        <v>525000</v>
      </c>
      <c r="H2313" s="690" t="s">
        <v>94</v>
      </c>
      <c r="I2313" s="71" t="s">
        <v>1432</v>
      </c>
      <c r="J2313" s="53">
        <f t="shared" si="1247"/>
        <v>188085</v>
      </c>
      <c r="K2313" s="63">
        <f t="shared" si="1251"/>
        <v>0.35825714285714283</v>
      </c>
      <c r="L2313" s="871" t="s">
        <v>2025</v>
      </c>
      <c r="M2313" s="468"/>
      <c r="N2313" s="664">
        <f t="shared" si="1246"/>
        <v>190816</v>
      </c>
      <c r="O2313" s="71" t="s">
        <v>94</v>
      </c>
      <c r="P2313" s="103" t="str">
        <f t="shared" si="1250"/>
        <v>필터백</v>
      </c>
      <c r="Q2313" s="71">
        <f t="shared" si="1229"/>
        <v>15</v>
      </c>
      <c r="R2313" s="102">
        <v>22461</v>
      </c>
      <c r="S2313" s="102">
        <f t="shared" si="1252"/>
        <v>370606.50000000006</v>
      </c>
      <c r="T2313" s="102">
        <f t="shared" si="1253"/>
        <v>336915</v>
      </c>
      <c r="U2313" s="71" t="str">
        <f t="shared" si="1245"/>
        <v>O</v>
      </c>
      <c r="V2313" s="71"/>
      <c r="W2313" s="474">
        <f t="shared" ref="W2313:W2319" si="1254">(G2313-T2313)</f>
        <v>188085</v>
      </c>
      <c r="X2313" s="71"/>
      <c r="Y2313" s="71"/>
    </row>
    <row r="2314" spans="1:25" ht="30" hidden="1" customHeight="1" x14ac:dyDescent="0.25">
      <c r="A2314" s="82">
        <v>190816</v>
      </c>
      <c r="B2314" s="664" t="s">
        <v>442</v>
      </c>
      <c r="C2314" s="71" t="s">
        <v>206</v>
      </c>
      <c r="D2314" s="71">
        <v>2</v>
      </c>
      <c r="E2314" s="102">
        <v>327000</v>
      </c>
      <c r="F2314" s="102">
        <f t="shared" si="1248"/>
        <v>719400</v>
      </c>
      <c r="G2314" s="102">
        <f t="shared" si="1249"/>
        <v>654000</v>
      </c>
      <c r="H2314" s="690" t="s">
        <v>2029</v>
      </c>
      <c r="I2314" s="71" t="s">
        <v>195</v>
      </c>
      <c r="J2314" s="53">
        <f>(G2314-(VLOOKUP(C2314,[5]Price!B$1:D$65536,3,FALSE)*D2314))</f>
        <v>115800</v>
      </c>
      <c r="K2314" s="63">
        <f t="shared" si="1251"/>
        <v>0.17706422018348625</v>
      </c>
      <c r="L2314" s="871" t="s">
        <v>2025</v>
      </c>
      <c r="M2314" s="468"/>
      <c r="N2314" s="664">
        <f t="shared" si="1246"/>
        <v>190816</v>
      </c>
      <c r="O2314" s="71" t="s">
        <v>194</v>
      </c>
      <c r="P2314" s="103" t="str">
        <f t="shared" si="1250"/>
        <v>Agfa Film(24inch)</v>
      </c>
      <c r="Q2314" s="71">
        <f t="shared" si="1229"/>
        <v>2</v>
      </c>
      <c r="R2314" s="102">
        <v>269100</v>
      </c>
      <c r="S2314" s="102">
        <f t="shared" si="1252"/>
        <v>592020</v>
      </c>
      <c r="T2314" s="102">
        <f t="shared" si="1253"/>
        <v>538200</v>
      </c>
      <c r="U2314" s="71" t="str">
        <f t="shared" si="1245"/>
        <v>O</v>
      </c>
      <c r="V2314" s="71"/>
      <c r="W2314" s="474">
        <f t="shared" si="1254"/>
        <v>115800</v>
      </c>
      <c r="X2314" s="71"/>
      <c r="Y2314" s="71"/>
    </row>
    <row r="2315" spans="1:25" ht="30" hidden="1" customHeight="1" x14ac:dyDescent="0.25">
      <c r="A2315" s="82">
        <v>190816</v>
      </c>
      <c r="B2315" s="664" t="s">
        <v>442</v>
      </c>
      <c r="C2315" s="71" t="s">
        <v>207</v>
      </c>
      <c r="D2315" s="71">
        <v>2</v>
      </c>
      <c r="E2315" s="102">
        <v>401000</v>
      </c>
      <c r="F2315" s="102">
        <f t="shared" si="1248"/>
        <v>882200.00000000012</v>
      </c>
      <c r="G2315" s="102">
        <f t="shared" si="1249"/>
        <v>802000</v>
      </c>
      <c r="H2315" s="690" t="s">
        <v>2029</v>
      </c>
      <c r="I2315" s="71" t="s">
        <v>195</v>
      </c>
      <c r="J2315" s="53">
        <f>(G2315-(VLOOKUP(C2315,[5]Price!B$1:D$65536,3,FALSE)*D2315))</f>
        <v>174080</v>
      </c>
      <c r="K2315" s="63">
        <f t="shared" si="1251"/>
        <v>0.21705735660847877</v>
      </c>
      <c r="L2315" s="871" t="s">
        <v>2025</v>
      </c>
      <c r="M2315" s="468"/>
      <c r="N2315" s="664">
        <f t="shared" si="1246"/>
        <v>190816</v>
      </c>
      <c r="O2315" s="71" t="s">
        <v>194</v>
      </c>
      <c r="P2315" s="103" t="str">
        <f t="shared" si="1250"/>
        <v>Agfa Film(28inch)</v>
      </c>
      <c r="Q2315" s="71">
        <f t="shared" si="1229"/>
        <v>2</v>
      </c>
      <c r="R2315" s="102">
        <f>VLOOKUP(P2315,[5]Price!B$1:D$65536,3,FALSE)</f>
        <v>313960</v>
      </c>
      <c r="S2315" s="102">
        <f t="shared" si="1252"/>
        <v>690712</v>
      </c>
      <c r="T2315" s="102">
        <f t="shared" si="1253"/>
        <v>627920</v>
      </c>
      <c r="U2315" s="71" t="str">
        <f t="shared" si="1245"/>
        <v>O</v>
      </c>
      <c r="V2315" s="71"/>
      <c r="W2315" s="474">
        <f t="shared" si="1254"/>
        <v>174080</v>
      </c>
      <c r="X2315" s="71"/>
      <c r="Y2315" s="71"/>
    </row>
    <row r="2316" spans="1:25" ht="30" hidden="1" customHeight="1" x14ac:dyDescent="0.25">
      <c r="A2316" s="82">
        <v>190816</v>
      </c>
      <c r="B2316" s="664" t="s">
        <v>442</v>
      </c>
      <c r="C2316" s="71" t="s">
        <v>208</v>
      </c>
      <c r="D2316" s="71">
        <v>2</v>
      </c>
      <c r="E2316" s="102">
        <v>448000</v>
      </c>
      <c r="F2316" s="102">
        <f t="shared" si="1248"/>
        <v>985600.00000000012</v>
      </c>
      <c r="G2316" s="102">
        <f t="shared" si="1249"/>
        <v>896000</v>
      </c>
      <c r="H2316" s="690" t="s">
        <v>2029</v>
      </c>
      <c r="I2316" s="71" t="s">
        <v>195</v>
      </c>
      <c r="J2316" s="53">
        <f>(G2316-(VLOOKUP(C2316,[5]Price!B$1:D$65536,3,FALSE)*D2316))</f>
        <v>155980</v>
      </c>
      <c r="K2316" s="63">
        <f t="shared" si="1251"/>
        <v>0.1740848214285714</v>
      </c>
      <c r="L2316" s="871" t="s">
        <v>2025</v>
      </c>
      <c r="M2316" s="468"/>
      <c r="N2316" s="664">
        <f t="shared" si="1246"/>
        <v>190816</v>
      </c>
      <c r="O2316" s="71" t="s">
        <v>194</v>
      </c>
      <c r="P2316" s="103" t="str">
        <f t="shared" si="1250"/>
        <v>Agfa Film(32inch)</v>
      </c>
      <c r="Q2316" s="71">
        <f t="shared" si="1229"/>
        <v>2</v>
      </c>
      <c r="R2316" s="102">
        <f>VLOOKUP(P2316,[5]Price!B$1:D$65536,3,FALSE)</f>
        <v>370010</v>
      </c>
      <c r="S2316" s="102">
        <f t="shared" si="1252"/>
        <v>814022.00000000012</v>
      </c>
      <c r="T2316" s="102">
        <f t="shared" si="1253"/>
        <v>740020</v>
      </c>
      <c r="U2316" s="71" t="str">
        <f t="shared" si="1245"/>
        <v>O</v>
      </c>
      <c r="V2316" s="71"/>
      <c r="W2316" s="474">
        <f t="shared" si="1254"/>
        <v>155980</v>
      </c>
      <c r="X2316" s="71"/>
      <c r="Y2316" s="71"/>
    </row>
    <row r="2317" spans="1:25" ht="30" hidden="1" customHeight="1" x14ac:dyDescent="0.25">
      <c r="A2317" s="82">
        <v>190819</v>
      </c>
      <c r="B2317" s="664" t="s">
        <v>446</v>
      </c>
      <c r="C2317" s="71" t="s">
        <v>2028</v>
      </c>
      <c r="D2317" s="71">
        <v>8</v>
      </c>
      <c r="E2317" s="102">
        <v>110000</v>
      </c>
      <c r="F2317" s="102">
        <f>(E2317*D2317)*1.1</f>
        <v>968000.00000000012</v>
      </c>
      <c r="G2317" s="102">
        <f>(E2317*D2317)</f>
        <v>880000</v>
      </c>
      <c r="H2317" s="690" t="s">
        <v>2029</v>
      </c>
      <c r="I2317" s="71" t="s">
        <v>2231</v>
      </c>
      <c r="J2317" s="53">
        <f>G2317-T2317</f>
        <v>152000</v>
      </c>
      <c r="K2317" s="63">
        <f>(J2317/(F2317/11*10))</f>
        <v>0.1727272727272727</v>
      </c>
      <c r="L2317" s="871" t="s">
        <v>2025</v>
      </c>
      <c r="M2317" s="468"/>
      <c r="N2317" s="664">
        <f t="shared" si="1246"/>
        <v>190819</v>
      </c>
      <c r="O2317" s="71" t="s">
        <v>2030</v>
      </c>
      <c r="P2317" s="103" t="str">
        <f>C2317</f>
        <v>실리콘 에멀전</v>
      </c>
      <c r="Q2317" s="71">
        <f t="shared" si="1229"/>
        <v>8</v>
      </c>
      <c r="R2317" s="102">
        <v>91000</v>
      </c>
      <c r="S2317" s="102">
        <f t="shared" si="1252"/>
        <v>800800.00000000012</v>
      </c>
      <c r="T2317" s="102">
        <f t="shared" si="1253"/>
        <v>728000</v>
      </c>
      <c r="U2317" s="71" t="str">
        <f t="shared" si="1245"/>
        <v>O</v>
      </c>
      <c r="V2317" s="71"/>
      <c r="W2317" s="474">
        <f t="shared" si="1254"/>
        <v>152000</v>
      </c>
      <c r="X2317" s="71"/>
      <c r="Y2317" s="71"/>
    </row>
    <row r="2318" spans="1:25" s="209" customFormat="1" ht="30" customHeight="1" x14ac:dyDescent="0.2">
      <c r="A2318" s="82">
        <v>190820</v>
      </c>
      <c r="B2318" s="664" t="s">
        <v>422</v>
      </c>
      <c r="C2318" s="71" t="s">
        <v>215</v>
      </c>
      <c r="D2318" s="71">
        <v>10</v>
      </c>
      <c r="E2318" s="102">
        <v>68000</v>
      </c>
      <c r="F2318" s="102">
        <f t="shared" si="1248"/>
        <v>748000.00000000012</v>
      </c>
      <c r="G2318" s="102">
        <f t="shared" si="1249"/>
        <v>680000</v>
      </c>
      <c r="H2318" s="165" t="s">
        <v>172</v>
      </c>
      <c r="I2318" s="71" t="s">
        <v>184</v>
      </c>
      <c r="J2318" s="53">
        <f>(G2318-(VLOOKUP(C2318,[5]Price!B$1:D$65536,3,FALSE)*D2318))</f>
        <v>170000</v>
      </c>
      <c r="K2318" s="63">
        <f t="shared" si="1251"/>
        <v>0.24999999999999994</v>
      </c>
      <c r="L2318" s="871" t="s">
        <v>2025</v>
      </c>
      <c r="M2318" s="468" t="s">
        <v>2050</v>
      </c>
      <c r="N2318" s="664">
        <f>A2318</f>
        <v>190820</v>
      </c>
      <c r="O2318" s="71" t="s">
        <v>2030</v>
      </c>
      <c r="P2318" s="103" t="str">
        <f t="shared" si="1250"/>
        <v>매엽용 세척제(Wash 562)</v>
      </c>
      <c r="Q2318" s="71">
        <f t="shared" si="1229"/>
        <v>10</v>
      </c>
      <c r="R2318" s="102">
        <v>51000</v>
      </c>
      <c r="S2318" s="102">
        <f t="shared" ref="S2318:S2324" si="1255">(R2318*D2318)*1.1</f>
        <v>561000</v>
      </c>
      <c r="T2318" s="102">
        <f t="shared" ref="T2318:T2324" si="1256">(R2318*Q2318)</f>
        <v>510000</v>
      </c>
      <c r="U2318" s="71" t="str">
        <f t="shared" si="1245"/>
        <v>O</v>
      </c>
      <c r="V2318" s="71"/>
      <c r="W2318" s="474">
        <f t="shared" si="1254"/>
        <v>170000</v>
      </c>
      <c r="X2318" s="71"/>
      <c r="Y2318" s="71"/>
    </row>
    <row r="2319" spans="1:25" ht="30" customHeight="1" x14ac:dyDescent="0.25">
      <c r="A2319" s="82">
        <v>190820</v>
      </c>
      <c r="B2319" s="664" t="s">
        <v>422</v>
      </c>
      <c r="C2319" s="71" t="s">
        <v>2032</v>
      </c>
      <c r="D2319" s="71">
        <v>100</v>
      </c>
      <c r="E2319" s="102">
        <v>400</v>
      </c>
      <c r="F2319" s="102">
        <f t="shared" si="1248"/>
        <v>44000</v>
      </c>
      <c r="G2319" s="102">
        <f t="shared" si="1249"/>
        <v>40000</v>
      </c>
      <c r="H2319" s="690" t="s">
        <v>2029</v>
      </c>
      <c r="I2319" s="71" t="s">
        <v>2231</v>
      </c>
      <c r="J2319" s="53">
        <f>G2319-T2319</f>
        <v>8000</v>
      </c>
      <c r="K2319" s="63">
        <f>(J2319/(F2319/11*10))</f>
        <v>0.2</v>
      </c>
      <c r="L2319" s="871" t="s">
        <v>2025</v>
      </c>
      <c r="M2319" s="468" t="s">
        <v>2054</v>
      </c>
      <c r="N2319" s="664">
        <f t="shared" si="1246"/>
        <v>190820</v>
      </c>
      <c r="O2319" s="71" t="s">
        <v>2030</v>
      </c>
      <c r="P2319" s="103" t="str">
        <f t="shared" si="1250"/>
        <v>적색 고무서커</v>
      </c>
      <c r="Q2319" s="71">
        <f t="shared" si="1229"/>
        <v>100</v>
      </c>
      <c r="R2319" s="102">
        <f>400*0.8</f>
        <v>320</v>
      </c>
      <c r="S2319" s="102">
        <f t="shared" si="1255"/>
        <v>35200</v>
      </c>
      <c r="T2319" s="102">
        <f t="shared" si="1256"/>
        <v>32000</v>
      </c>
      <c r="U2319" s="71" t="str">
        <f t="shared" si="1245"/>
        <v>O</v>
      </c>
      <c r="V2319" s="71"/>
      <c r="W2319" s="474">
        <f t="shared" si="1254"/>
        <v>8000</v>
      </c>
      <c r="X2319" s="71"/>
      <c r="Y2319" s="71"/>
    </row>
    <row r="2320" spans="1:25" ht="30" customHeight="1" x14ac:dyDescent="0.25">
      <c r="A2320" s="82">
        <v>190820</v>
      </c>
      <c r="B2320" s="664" t="s">
        <v>422</v>
      </c>
      <c r="C2320" s="71" t="s">
        <v>2033</v>
      </c>
      <c r="D2320" s="71">
        <v>4</v>
      </c>
      <c r="E2320" s="102">
        <v>26000</v>
      </c>
      <c r="F2320" s="102">
        <f t="shared" si="1248"/>
        <v>114400.00000000001</v>
      </c>
      <c r="G2320" s="102">
        <f t="shared" si="1249"/>
        <v>104000</v>
      </c>
      <c r="H2320" s="690" t="s">
        <v>2029</v>
      </c>
      <c r="I2320" s="71" t="s">
        <v>2231</v>
      </c>
      <c r="J2320" s="53">
        <f>G2320-T2320</f>
        <v>20800</v>
      </c>
      <c r="K2320" s="63">
        <f>(J2320/(F2320/11*10))</f>
        <v>0.19999999999999998</v>
      </c>
      <c r="L2320" s="871" t="s">
        <v>2025</v>
      </c>
      <c r="M2320" s="468" t="s">
        <v>2054</v>
      </c>
      <c r="N2320" s="664">
        <f t="shared" si="1246"/>
        <v>190820</v>
      </c>
      <c r="O2320" s="71" t="s">
        <v>2030</v>
      </c>
      <c r="P2320" s="103" t="str">
        <f t="shared" si="1250"/>
        <v>서커통(리프팅사커노즐)</v>
      </c>
      <c r="Q2320" s="71">
        <f t="shared" si="1229"/>
        <v>4</v>
      </c>
      <c r="R2320" s="102">
        <f>26000*0.8</f>
        <v>20800</v>
      </c>
      <c r="S2320" s="102">
        <f t="shared" si="1255"/>
        <v>91520.000000000015</v>
      </c>
      <c r="T2320" s="102">
        <f t="shared" si="1256"/>
        <v>83200</v>
      </c>
      <c r="U2320" s="71" t="str">
        <f t="shared" si="1245"/>
        <v>X</v>
      </c>
      <c r="V2320" s="71"/>
      <c r="W2320" s="474"/>
      <c r="X2320" s="71"/>
      <c r="Y2320" s="71"/>
    </row>
    <row r="2321" spans="1:25" ht="30" customHeight="1" x14ac:dyDescent="0.25">
      <c r="A2321" s="82">
        <v>190820</v>
      </c>
      <c r="B2321" s="664" t="s">
        <v>422</v>
      </c>
      <c r="C2321" s="71" t="s">
        <v>2031</v>
      </c>
      <c r="D2321" s="71">
        <v>4</v>
      </c>
      <c r="E2321" s="102">
        <v>35000</v>
      </c>
      <c r="F2321" s="102">
        <f t="shared" si="1248"/>
        <v>154000</v>
      </c>
      <c r="G2321" s="102">
        <f t="shared" si="1249"/>
        <v>140000</v>
      </c>
      <c r="H2321" s="690" t="s">
        <v>94</v>
      </c>
      <c r="I2321" s="71" t="s">
        <v>1432</v>
      </c>
      <c r="J2321" s="53">
        <f>G2321-T2321</f>
        <v>50156</v>
      </c>
      <c r="K2321" s="63">
        <f>(J2321/(F2321/11*10))</f>
        <v>0.35825714285714283</v>
      </c>
      <c r="L2321" s="871" t="s">
        <v>2025</v>
      </c>
      <c r="M2321" s="468" t="s">
        <v>2054</v>
      </c>
      <c r="N2321" s="664">
        <f t="shared" si="1246"/>
        <v>190820</v>
      </c>
      <c r="O2321" s="71" t="s">
        <v>94</v>
      </c>
      <c r="P2321" s="103" t="str">
        <f t="shared" si="1250"/>
        <v>필터백</v>
      </c>
      <c r="Q2321" s="71">
        <f t="shared" si="1229"/>
        <v>4</v>
      </c>
      <c r="R2321" s="102">
        <v>22461</v>
      </c>
      <c r="S2321" s="102">
        <f t="shared" si="1255"/>
        <v>98828.400000000009</v>
      </c>
      <c r="T2321" s="102">
        <f t="shared" si="1256"/>
        <v>89844</v>
      </c>
      <c r="U2321" s="71" t="str">
        <f t="shared" si="1245"/>
        <v>X</v>
      </c>
      <c r="V2321" s="71"/>
      <c r="W2321" s="474"/>
      <c r="X2321" s="71"/>
      <c r="Y2321" s="71"/>
    </row>
    <row r="2322" spans="1:25" ht="30" customHeight="1" x14ac:dyDescent="0.25">
      <c r="A2322" s="82">
        <v>190820</v>
      </c>
      <c r="B2322" s="664" t="s">
        <v>422</v>
      </c>
      <c r="C2322" s="71" t="s">
        <v>2049</v>
      </c>
      <c r="D2322" s="71">
        <v>2</v>
      </c>
      <c r="E2322" s="102">
        <f>25000+36000+25000</f>
        <v>86000</v>
      </c>
      <c r="F2322" s="102">
        <f>(E2322*D2322)*1.1</f>
        <v>189200.00000000003</v>
      </c>
      <c r="G2322" s="102">
        <f>(E2322*D2322)</f>
        <v>172000</v>
      </c>
      <c r="H2322" s="690" t="s">
        <v>173</v>
      </c>
      <c r="I2322" s="71" t="s">
        <v>2231</v>
      </c>
      <c r="J2322" s="53">
        <f>G2322-T2322</f>
        <v>34400</v>
      </c>
      <c r="K2322" s="63">
        <f>(J2322/(F2322/11*10))</f>
        <v>0.19999999999999996</v>
      </c>
      <c r="L2322" s="871" t="s">
        <v>2025</v>
      </c>
      <c r="M2322" s="468" t="s">
        <v>2054</v>
      </c>
      <c r="N2322" s="664">
        <f>A2322</f>
        <v>190820</v>
      </c>
      <c r="O2322" s="71" t="s">
        <v>2030</v>
      </c>
      <c r="P2322" s="103" t="str">
        <f>C2322</f>
        <v>강판(set)</v>
      </c>
      <c r="Q2322" s="71">
        <f t="shared" si="1229"/>
        <v>2</v>
      </c>
      <c r="R2322" s="102">
        <f>(25000+25000+36000)*0.8</f>
        <v>68800</v>
      </c>
      <c r="S2322" s="102">
        <f t="shared" si="1255"/>
        <v>151360</v>
      </c>
      <c r="T2322" s="102">
        <f t="shared" si="1256"/>
        <v>137600</v>
      </c>
      <c r="U2322" s="71" t="str">
        <f t="shared" si="1245"/>
        <v>X</v>
      </c>
      <c r="V2322" s="71"/>
      <c r="W2322" s="474"/>
      <c r="X2322" s="71"/>
      <c r="Y2322" s="71"/>
    </row>
    <row r="2323" spans="1:25" ht="30" hidden="1" customHeight="1" x14ac:dyDescent="0.25">
      <c r="A2323" s="82">
        <v>190820</v>
      </c>
      <c r="B2323" s="664" t="s">
        <v>446</v>
      </c>
      <c r="C2323" s="71" t="s">
        <v>2034</v>
      </c>
      <c r="D2323" s="71"/>
      <c r="E2323" s="102"/>
      <c r="F2323" s="102"/>
      <c r="G2323" s="102"/>
      <c r="H2323" s="690" t="s">
        <v>1431</v>
      </c>
      <c r="I2323" s="71" t="s">
        <v>1431</v>
      </c>
      <c r="J2323" s="53"/>
      <c r="K2323" s="63"/>
      <c r="L2323" s="871" t="s">
        <v>2025</v>
      </c>
      <c r="M2323" s="468" t="s">
        <v>2048</v>
      </c>
      <c r="N2323" s="664">
        <f t="shared" si="1246"/>
        <v>190820</v>
      </c>
      <c r="O2323" s="71" t="s">
        <v>1786</v>
      </c>
      <c r="P2323" s="103" t="str">
        <f t="shared" si="1250"/>
        <v>접착테이프</v>
      </c>
      <c r="Q2323" s="71">
        <f t="shared" si="1229"/>
        <v>0</v>
      </c>
      <c r="R2323" s="102"/>
      <c r="S2323" s="102">
        <f t="shared" si="1255"/>
        <v>0</v>
      </c>
      <c r="T2323" s="102">
        <f t="shared" si="1256"/>
        <v>0</v>
      </c>
      <c r="U2323" s="71" t="str">
        <f t="shared" si="1245"/>
        <v>O</v>
      </c>
      <c r="V2323" s="71"/>
      <c r="W2323" s="474"/>
      <c r="X2323" s="71"/>
      <c r="Y2323" s="71"/>
    </row>
    <row r="2324" spans="1:25" ht="30" hidden="1" customHeight="1" x14ac:dyDescent="0.25">
      <c r="A2324" s="82">
        <v>190820</v>
      </c>
      <c r="B2324" s="664" t="s">
        <v>1220</v>
      </c>
      <c r="C2324" s="71" t="s">
        <v>2056</v>
      </c>
      <c r="D2324" s="71">
        <v>20</v>
      </c>
      <c r="E2324" s="102">
        <v>79000</v>
      </c>
      <c r="F2324" s="102">
        <f t="shared" ref="F2324:F2331" si="1257">(E2324*D2324)*1.1</f>
        <v>1738000.0000000002</v>
      </c>
      <c r="G2324" s="102">
        <f t="shared" ref="G2324:G2331" si="1258">(E2324*D2324)</f>
        <v>1580000</v>
      </c>
      <c r="H2324" s="690" t="s">
        <v>1431</v>
      </c>
      <c r="I2324" s="71" t="s">
        <v>1431</v>
      </c>
      <c r="J2324" s="53">
        <f>G2324-T2324</f>
        <v>140000</v>
      </c>
      <c r="K2324" s="63">
        <f>(J2324/(F2324/11*10))</f>
        <v>8.8607594936708847E-2</v>
      </c>
      <c r="L2324" s="871" t="s">
        <v>2025</v>
      </c>
      <c r="M2324" s="468"/>
      <c r="N2324" s="664">
        <f>A2324</f>
        <v>190820</v>
      </c>
      <c r="O2324" s="71" t="s">
        <v>1431</v>
      </c>
      <c r="P2324" s="103" t="str">
        <f t="shared" si="1250"/>
        <v>접착테이프</v>
      </c>
      <c r="Q2324" s="71">
        <f t="shared" si="1229"/>
        <v>20</v>
      </c>
      <c r="R2324" s="102">
        <v>72000</v>
      </c>
      <c r="S2324" s="102">
        <f t="shared" si="1255"/>
        <v>1584000.0000000002</v>
      </c>
      <c r="T2324" s="102">
        <f t="shared" si="1256"/>
        <v>1440000</v>
      </c>
      <c r="U2324" s="71" t="str">
        <f t="shared" si="1245"/>
        <v>X</v>
      </c>
      <c r="V2324" s="71"/>
      <c r="W2324" s="474"/>
      <c r="X2324" s="71"/>
      <c r="Y2324" s="71"/>
    </row>
    <row r="2325" spans="1:25" ht="30" hidden="1" customHeight="1" x14ac:dyDescent="0.25">
      <c r="A2325" s="82">
        <v>190820</v>
      </c>
      <c r="B2325" s="664" t="s">
        <v>546</v>
      </c>
      <c r="C2325" s="71" t="s">
        <v>1790</v>
      </c>
      <c r="D2325" s="71">
        <v>1</v>
      </c>
      <c r="E2325" s="102">
        <v>300000</v>
      </c>
      <c r="F2325" s="102">
        <f t="shared" si="1257"/>
        <v>330000</v>
      </c>
      <c r="G2325" s="102">
        <f t="shared" si="1258"/>
        <v>300000</v>
      </c>
      <c r="H2325" s="690" t="s">
        <v>985</v>
      </c>
      <c r="I2325" s="71" t="s">
        <v>985</v>
      </c>
      <c r="J2325" s="53">
        <f>G2325-T2325</f>
        <v>300000</v>
      </c>
      <c r="K2325" s="63">
        <f>(J2325/(F2325/11*10))</f>
        <v>1</v>
      </c>
      <c r="L2325" s="871" t="s">
        <v>2025</v>
      </c>
      <c r="M2325" s="468"/>
      <c r="N2325" s="664">
        <f t="shared" si="1246"/>
        <v>190820</v>
      </c>
      <c r="O2325" s="71"/>
      <c r="P2325" s="103" t="str">
        <f t="shared" si="1250"/>
        <v>알레스 서비스 비용</v>
      </c>
      <c r="Q2325" s="71">
        <f t="shared" si="1229"/>
        <v>1</v>
      </c>
      <c r="R2325" s="102"/>
      <c r="S2325" s="102">
        <f>R2325*Q2325*1.1</f>
        <v>0</v>
      </c>
      <c r="T2325" s="102">
        <f>R2325*Q2325</f>
        <v>0</v>
      </c>
      <c r="U2325" s="71" t="str">
        <f t="shared" si="1245"/>
        <v>X</v>
      </c>
      <c r="V2325" s="71"/>
      <c r="W2325" s="474"/>
      <c r="X2325" s="71"/>
      <c r="Y2325" s="71"/>
    </row>
    <row r="2326" spans="1:25" s="209" customFormat="1" ht="30" hidden="1" customHeight="1" x14ac:dyDescent="0.25">
      <c r="A2326" s="82">
        <v>190820</v>
      </c>
      <c r="B2326" s="664" t="s">
        <v>445</v>
      </c>
      <c r="C2326" s="71" t="s">
        <v>277</v>
      </c>
      <c r="D2326" s="71">
        <v>5</v>
      </c>
      <c r="E2326" s="102">
        <v>172000</v>
      </c>
      <c r="F2326" s="102">
        <f t="shared" si="1257"/>
        <v>946000.00000000012</v>
      </c>
      <c r="G2326" s="102">
        <f t="shared" si="1258"/>
        <v>860000</v>
      </c>
      <c r="H2326" s="690" t="s">
        <v>173</v>
      </c>
      <c r="I2326" s="71" t="s">
        <v>108</v>
      </c>
      <c r="J2326" s="53">
        <f>(G2326-(VLOOKUP(C2326,Price!B:D,3,FALSE)*D2326))</f>
        <v>285000</v>
      </c>
      <c r="K2326" s="63">
        <f t="shared" ref="K2326:K2331" si="1259">(J2326/(F2326/11*10))</f>
        <v>0.33139534883720928</v>
      </c>
      <c r="L2326" s="871" t="s">
        <v>2025</v>
      </c>
      <c r="M2326" s="468"/>
      <c r="N2326" s="664">
        <f t="shared" si="1246"/>
        <v>190820</v>
      </c>
      <c r="O2326" s="71" t="s">
        <v>150</v>
      </c>
      <c r="P2326" s="103" t="str">
        <f>C2326</f>
        <v>윤전용 세척제(Web 504)</v>
      </c>
      <c r="Q2326" s="71">
        <f t="shared" si="1229"/>
        <v>5</v>
      </c>
      <c r="R2326" s="102">
        <v>115000</v>
      </c>
      <c r="S2326" s="102">
        <f>(R2326*D2326)*1.1</f>
        <v>632500</v>
      </c>
      <c r="T2326" s="102">
        <f>(R2326*Q2326)</f>
        <v>575000</v>
      </c>
      <c r="U2326" s="71" t="str">
        <f t="shared" si="1245"/>
        <v>O</v>
      </c>
      <c r="V2326" s="71"/>
      <c r="W2326" s="474">
        <f>(G2326-T2326)</f>
        <v>285000</v>
      </c>
      <c r="X2326" s="71"/>
      <c r="Y2326" s="71"/>
    </row>
    <row r="2327" spans="1:25" s="209" customFormat="1" ht="30" hidden="1" customHeight="1" x14ac:dyDescent="0.25">
      <c r="A2327" s="82">
        <v>190821</v>
      </c>
      <c r="B2327" s="664" t="s">
        <v>2055</v>
      </c>
      <c r="C2327" s="71" t="s">
        <v>123</v>
      </c>
      <c r="D2327" s="71">
        <v>10</v>
      </c>
      <c r="E2327" s="102">
        <v>38000</v>
      </c>
      <c r="F2327" s="102">
        <f t="shared" si="1257"/>
        <v>418000.00000000006</v>
      </c>
      <c r="G2327" s="102">
        <f t="shared" si="1258"/>
        <v>380000</v>
      </c>
      <c r="H2327" s="690" t="s">
        <v>1432</v>
      </c>
      <c r="I2327" s="71" t="s">
        <v>1432</v>
      </c>
      <c r="J2327" s="53">
        <f>G2327-T2327</f>
        <v>155390</v>
      </c>
      <c r="K2327" s="63">
        <f t="shared" si="1259"/>
        <v>0.40892105263157891</v>
      </c>
      <c r="L2327" s="871" t="s">
        <v>2025</v>
      </c>
      <c r="M2327" s="468"/>
      <c r="N2327" s="664">
        <f t="shared" si="1246"/>
        <v>190821</v>
      </c>
      <c r="O2327" s="71" t="s">
        <v>1432</v>
      </c>
      <c r="P2327" s="103" t="str">
        <f>C2327</f>
        <v>필터백</v>
      </c>
      <c r="Q2327" s="71">
        <f t="shared" si="1229"/>
        <v>10</v>
      </c>
      <c r="R2327" s="102">
        <v>22461</v>
      </c>
      <c r="S2327" s="102">
        <f>(R2327*D2327)*1.1</f>
        <v>247071.00000000003</v>
      </c>
      <c r="T2327" s="102">
        <f>(R2327*Q2327)</f>
        <v>224610</v>
      </c>
      <c r="U2327" s="71" t="str">
        <f t="shared" si="1245"/>
        <v>X</v>
      </c>
      <c r="V2327" s="71"/>
      <c r="W2327" s="474"/>
      <c r="X2327" s="71"/>
      <c r="Y2327" s="71"/>
    </row>
    <row r="2328" spans="1:25" s="209" customFormat="1" ht="30" hidden="1" customHeight="1" x14ac:dyDescent="0.25">
      <c r="A2328" s="82">
        <v>190821</v>
      </c>
      <c r="B2328" s="664" t="s">
        <v>764</v>
      </c>
      <c r="C2328" s="71" t="s">
        <v>236</v>
      </c>
      <c r="D2328" s="71">
        <v>10</v>
      </c>
      <c r="E2328" s="102">
        <v>100000</v>
      </c>
      <c r="F2328" s="102">
        <f t="shared" si="1257"/>
        <v>1100000</v>
      </c>
      <c r="G2328" s="102">
        <f t="shared" si="1258"/>
        <v>1000000</v>
      </c>
      <c r="H2328" s="690" t="s">
        <v>173</v>
      </c>
      <c r="I2328" s="71" t="s">
        <v>2231</v>
      </c>
      <c r="J2328" s="53">
        <f>G2328-T2328</f>
        <v>500000</v>
      </c>
      <c r="K2328" s="63">
        <f t="shared" si="1259"/>
        <v>0.5</v>
      </c>
      <c r="L2328" s="871" t="s">
        <v>2025</v>
      </c>
      <c r="M2328" s="468"/>
      <c r="N2328" s="664">
        <f t="shared" si="1246"/>
        <v>190821</v>
      </c>
      <c r="O2328" s="71" t="s">
        <v>153</v>
      </c>
      <c r="P2328" s="103" t="str">
        <f t="shared" si="1250"/>
        <v>아스테이지(국전)</v>
      </c>
      <c r="Q2328" s="71">
        <f t="shared" si="1229"/>
        <v>10</v>
      </c>
      <c r="R2328" s="102">
        <f>VLOOKUP(P2328,Price!B:D,3,FALSE)</f>
        <v>50000</v>
      </c>
      <c r="S2328" s="102">
        <f>R2328*Q2328*1.1</f>
        <v>550000</v>
      </c>
      <c r="T2328" s="102">
        <f>R2328*Q2328</f>
        <v>500000</v>
      </c>
      <c r="U2328" s="71" t="str">
        <f t="shared" si="1245"/>
        <v>O</v>
      </c>
      <c r="V2328" s="71"/>
      <c r="W2328" s="474">
        <f t="shared" ref="W2328:W2351" si="1260">(G2328-T2328)</f>
        <v>500000</v>
      </c>
      <c r="X2328" s="71"/>
      <c r="Y2328" s="71"/>
    </row>
    <row r="2329" spans="1:25" ht="30" hidden="1" customHeight="1" x14ac:dyDescent="0.25">
      <c r="A2329" s="82">
        <v>190821</v>
      </c>
      <c r="B2329" s="664" t="s">
        <v>545</v>
      </c>
      <c r="C2329" s="71" t="s">
        <v>952</v>
      </c>
      <c r="D2329" s="71">
        <v>1</v>
      </c>
      <c r="E2329" s="102">
        <v>630000</v>
      </c>
      <c r="F2329" s="102">
        <f t="shared" si="1257"/>
        <v>693000</v>
      </c>
      <c r="G2329" s="102">
        <f t="shared" si="1258"/>
        <v>630000</v>
      </c>
      <c r="H2329" s="690" t="s">
        <v>173</v>
      </c>
      <c r="I2329" s="71" t="s">
        <v>108</v>
      </c>
      <c r="J2329" s="53">
        <f>(G2329-(VLOOKUP(C2329,Price!B:D,3,FALSE)*D2329))</f>
        <v>180000</v>
      </c>
      <c r="K2329" s="63">
        <f t="shared" si="1259"/>
        <v>0.2857142857142857</v>
      </c>
      <c r="L2329" s="871" t="s">
        <v>2025</v>
      </c>
      <c r="M2329" s="468"/>
      <c r="N2329" s="664">
        <f>A2329</f>
        <v>190821</v>
      </c>
      <c r="O2329" s="71" t="s">
        <v>599</v>
      </c>
      <c r="P2329" s="103" t="str">
        <f t="shared" si="1250"/>
        <v>점보롤 세정포</v>
      </c>
      <c r="Q2329" s="71">
        <f t="shared" si="1229"/>
        <v>1</v>
      </c>
      <c r="R2329" s="102">
        <v>440000</v>
      </c>
      <c r="S2329" s="102">
        <f>R2329*Q2329*1.1</f>
        <v>484000.00000000006</v>
      </c>
      <c r="T2329" s="102">
        <f>R2329*Q2329</f>
        <v>440000</v>
      </c>
      <c r="U2329" s="71" t="str">
        <f t="shared" si="1245"/>
        <v>X</v>
      </c>
      <c r="V2329" s="71" t="s">
        <v>1228</v>
      </c>
      <c r="W2329" s="474">
        <f t="shared" si="1260"/>
        <v>190000</v>
      </c>
      <c r="X2329" s="71"/>
      <c r="Y2329" s="71"/>
    </row>
    <row r="2330" spans="1:25" ht="30" hidden="1" customHeight="1" x14ac:dyDescent="0.25">
      <c r="A2330" s="82">
        <v>190822</v>
      </c>
      <c r="B2330" s="664" t="s">
        <v>442</v>
      </c>
      <c r="C2330" s="71" t="s">
        <v>651</v>
      </c>
      <c r="D2330" s="71">
        <v>6</v>
      </c>
      <c r="E2330" s="102">
        <v>41000</v>
      </c>
      <c r="F2330" s="102">
        <f t="shared" si="1257"/>
        <v>270600</v>
      </c>
      <c r="G2330" s="102">
        <f t="shared" si="1258"/>
        <v>246000</v>
      </c>
      <c r="H2330" s="690" t="s">
        <v>2029</v>
      </c>
      <c r="I2330" s="71" t="s">
        <v>195</v>
      </c>
      <c r="J2330" s="53">
        <f>(G2330-(VLOOKUP(C2330,[5]Price!B$1:D$65536,3,FALSE)*D2330))</f>
        <v>96000</v>
      </c>
      <c r="K2330" s="63">
        <f t="shared" si="1259"/>
        <v>0.3902439024390244</v>
      </c>
      <c r="L2330" s="871" t="s">
        <v>2025</v>
      </c>
      <c r="M2330" s="468"/>
      <c r="N2330" s="664">
        <f t="shared" si="1246"/>
        <v>190822</v>
      </c>
      <c r="O2330" s="71" t="s">
        <v>194</v>
      </c>
      <c r="P2330" s="103" t="str">
        <f t="shared" si="1250"/>
        <v>Agfa 현상액 G101C(10L)</v>
      </c>
      <c r="Q2330" s="71">
        <f t="shared" si="1229"/>
        <v>6</v>
      </c>
      <c r="R2330" s="102">
        <f>VLOOKUP(P2330,[5]Price!B$1:D$65536,3,FALSE)</f>
        <v>25000</v>
      </c>
      <c r="S2330" s="102">
        <f>R2330*Q2330*1.1</f>
        <v>165000</v>
      </c>
      <c r="T2330" s="102">
        <f>R2330*Q2330</f>
        <v>150000</v>
      </c>
      <c r="U2330" s="71" t="str">
        <f t="shared" si="1245"/>
        <v>O</v>
      </c>
      <c r="V2330" s="71"/>
      <c r="W2330" s="474">
        <f t="shared" si="1260"/>
        <v>96000</v>
      </c>
      <c r="X2330" s="71"/>
      <c r="Y2330" s="71"/>
    </row>
    <row r="2331" spans="1:25" ht="30" hidden="1" customHeight="1" x14ac:dyDescent="0.25">
      <c r="A2331" s="82">
        <v>190823</v>
      </c>
      <c r="B2331" s="664" t="s">
        <v>446</v>
      </c>
      <c r="C2331" s="71" t="s">
        <v>2028</v>
      </c>
      <c r="D2331" s="71">
        <v>8</v>
      </c>
      <c r="E2331" s="102">
        <v>110000</v>
      </c>
      <c r="F2331" s="102">
        <f t="shared" si="1257"/>
        <v>968000.00000000012</v>
      </c>
      <c r="G2331" s="102">
        <f t="shared" si="1258"/>
        <v>880000</v>
      </c>
      <c r="H2331" s="690" t="s">
        <v>2029</v>
      </c>
      <c r="I2331" s="71" t="s">
        <v>2231</v>
      </c>
      <c r="J2331" s="53">
        <f t="shared" ref="J2331:J2339" si="1261">G2331-T2331</f>
        <v>152000</v>
      </c>
      <c r="K2331" s="63">
        <f t="shared" si="1259"/>
        <v>0.1727272727272727</v>
      </c>
      <c r="L2331" s="871" t="s">
        <v>2025</v>
      </c>
      <c r="M2331" s="468"/>
      <c r="N2331" s="664">
        <f>A2331</f>
        <v>190823</v>
      </c>
      <c r="O2331" s="71" t="s">
        <v>2030</v>
      </c>
      <c r="P2331" s="103" t="str">
        <f>C2331</f>
        <v>실리콘 에멀전</v>
      </c>
      <c r="Q2331" s="71">
        <f t="shared" si="1229"/>
        <v>8</v>
      </c>
      <c r="R2331" s="102">
        <v>91000</v>
      </c>
      <c r="S2331" s="102">
        <f>R2331*Q2331*1.1</f>
        <v>800800.00000000012</v>
      </c>
      <c r="T2331" s="102">
        <f>R2331*Q2331</f>
        <v>728000</v>
      </c>
      <c r="U2331" s="71" t="str">
        <f t="shared" si="1245"/>
        <v>O</v>
      </c>
      <c r="V2331" s="71"/>
      <c r="W2331" s="474">
        <f t="shared" si="1260"/>
        <v>152000</v>
      </c>
      <c r="X2331" s="71"/>
      <c r="Y2331" s="71"/>
    </row>
    <row r="2332" spans="1:25" ht="30" hidden="1" customHeight="1" x14ac:dyDescent="0.25">
      <c r="A2332" s="82">
        <v>190825</v>
      </c>
      <c r="B2332" s="664" t="s">
        <v>1051</v>
      </c>
      <c r="C2332" s="71" t="s">
        <v>1294</v>
      </c>
      <c r="D2332" s="71">
        <v>3000</v>
      </c>
      <c r="E2332" s="102">
        <v>6120</v>
      </c>
      <c r="F2332" s="102">
        <f t="shared" ref="F2332:F2350" si="1262">(E2332*D2332)*1.1</f>
        <v>20196000</v>
      </c>
      <c r="G2332" s="102">
        <f t="shared" ref="G2332:G2350" si="1263">(E2332*D2332)</f>
        <v>18360000</v>
      </c>
      <c r="H2332" s="690" t="s">
        <v>142</v>
      </c>
      <c r="I2332" s="71" t="s">
        <v>2273</v>
      </c>
      <c r="J2332" s="53">
        <f t="shared" si="1261"/>
        <v>6360000</v>
      </c>
      <c r="K2332" s="63">
        <f t="shared" ref="K2332:K2350" si="1264">(J2332/(F2332/11*10))</f>
        <v>0.34640522875816993</v>
      </c>
      <c r="L2332" s="871" t="s">
        <v>2025</v>
      </c>
      <c r="M2332" s="468"/>
      <c r="N2332" s="664">
        <f t="shared" ref="N2332:N2340" si="1265">A2332</f>
        <v>190825</v>
      </c>
      <c r="O2332" s="71" t="s">
        <v>145</v>
      </c>
      <c r="P2332" s="103" t="str">
        <f>(C2332)</f>
        <v>ENGAGE 1030*790</v>
      </c>
      <c r="Q2332" s="71">
        <f t="shared" si="1229"/>
        <v>3000</v>
      </c>
      <c r="R2332" s="102">
        <v>4000</v>
      </c>
      <c r="S2332" s="102">
        <f>(R2332*D2332)*1.1</f>
        <v>13200000.000000002</v>
      </c>
      <c r="T2332" s="102">
        <f>(R2332*Q2332)</f>
        <v>12000000</v>
      </c>
      <c r="U2332" s="71" t="str">
        <f t="shared" si="1245"/>
        <v>O</v>
      </c>
      <c r="V2332" s="71"/>
      <c r="W2332" s="474">
        <f t="shared" si="1260"/>
        <v>6360000</v>
      </c>
      <c r="X2332" s="71"/>
      <c r="Y2332" s="71"/>
    </row>
    <row r="2333" spans="1:25" ht="30" hidden="1" customHeight="1" x14ac:dyDescent="0.25">
      <c r="A2333" s="82">
        <v>190825</v>
      </c>
      <c r="B2333" s="664" t="s">
        <v>1051</v>
      </c>
      <c r="C2333" s="71" t="s">
        <v>1384</v>
      </c>
      <c r="D2333" s="71">
        <v>6000</v>
      </c>
      <c r="E2333" s="102">
        <v>3850</v>
      </c>
      <c r="F2333" s="102">
        <f t="shared" si="1262"/>
        <v>25410000.000000004</v>
      </c>
      <c r="G2333" s="102">
        <f t="shared" si="1263"/>
        <v>23100000</v>
      </c>
      <c r="H2333" s="690" t="s">
        <v>142</v>
      </c>
      <c r="I2333" s="71" t="s">
        <v>2273</v>
      </c>
      <c r="J2333" s="53">
        <f t="shared" si="1261"/>
        <v>7980000</v>
      </c>
      <c r="K2333" s="63">
        <f t="shared" si="1264"/>
        <v>0.3454545454545454</v>
      </c>
      <c r="L2333" s="871" t="s">
        <v>2025</v>
      </c>
      <c r="M2333" s="468"/>
      <c r="N2333" s="664">
        <f t="shared" si="1265"/>
        <v>190825</v>
      </c>
      <c r="O2333" s="71" t="s">
        <v>145</v>
      </c>
      <c r="P2333" s="103" t="str">
        <f>C2333</f>
        <v>ENGAGE 900X571 - 27RO</v>
      </c>
      <c r="Q2333" s="71">
        <f t="shared" si="1229"/>
        <v>6000</v>
      </c>
      <c r="R2333" s="102">
        <v>2520</v>
      </c>
      <c r="S2333" s="102">
        <f>R2333*Q2333*1.1</f>
        <v>16632000.000000002</v>
      </c>
      <c r="T2333" s="102">
        <f>R2333*Q2333</f>
        <v>15120000</v>
      </c>
      <c r="U2333" s="71" t="str">
        <f t="shared" si="1245"/>
        <v>O</v>
      </c>
      <c r="V2333" s="71"/>
      <c r="W2333" s="474">
        <f t="shared" si="1260"/>
        <v>7980000</v>
      </c>
      <c r="X2333" s="71"/>
      <c r="Y2333" s="71"/>
    </row>
    <row r="2334" spans="1:25" ht="30" hidden="1" customHeight="1" x14ac:dyDescent="0.25">
      <c r="A2334" s="82">
        <v>190825</v>
      </c>
      <c r="B2334" s="664" t="s">
        <v>1051</v>
      </c>
      <c r="C2334" s="71" t="s">
        <v>951</v>
      </c>
      <c r="D2334" s="71">
        <v>300</v>
      </c>
      <c r="E2334" s="102">
        <v>3670</v>
      </c>
      <c r="F2334" s="102">
        <f t="shared" si="1262"/>
        <v>1211100</v>
      </c>
      <c r="G2334" s="102">
        <f t="shared" si="1263"/>
        <v>1101000</v>
      </c>
      <c r="H2334" s="690" t="s">
        <v>142</v>
      </c>
      <c r="I2334" s="71" t="s">
        <v>2273</v>
      </c>
      <c r="J2334" s="53">
        <f t="shared" si="1261"/>
        <v>384000</v>
      </c>
      <c r="K2334" s="63">
        <f t="shared" si="1264"/>
        <v>0.34877384196185285</v>
      </c>
      <c r="L2334" s="871" t="s">
        <v>2025</v>
      </c>
      <c r="M2334" s="468"/>
      <c r="N2334" s="664">
        <f t="shared" si="1265"/>
        <v>190825</v>
      </c>
      <c r="O2334" s="71" t="s">
        <v>145</v>
      </c>
      <c r="P2334" s="103" t="str">
        <f>(C2334)</f>
        <v>ENGAGE 30WEB(883*552)</v>
      </c>
      <c r="Q2334" s="71">
        <f t="shared" si="1229"/>
        <v>300</v>
      </c>
      <c r="R2334" s="102">
        <v>2390</v>
      </c>
      <c r="S2334" s="102">
        <f>(R2334*D2334)*1.1</f>
        <v>788700.00000000012</v>
      </c>
      <c r="T2334" s="102">
        <f>(R2334*Q2334)</f>
        <v>717000</v>
      </c>
      <c r="U2334" s="71" t="str">
        <f t="shared" ref="U2334:U2361" si="1266">IF(J2334=W2334,"O", "X")</f>
        <v>O</v>
      </c>
      <c r="V2334" s="71"/>
      <c r="W2334" s="474">
        <f t="shared" si="1260"/>
        <v>384000</v>
      </c>
      <c r="X2334" s="71"/>
      <c r="Y2334" s="71"/>
    </row>
    <row r="2335" spans="1:25" ht="30" hidden="1" customHeight="1" x14ac:dyDescent="0.25">
      <c r="A2335" s="82">
        <v>190825</v>
      </c>
      <c r="B2335" s="664" t="s">
        <v>1051</v>
      </c>
      <c r="C2335" s="71" t="s">
        <v>1383</v>
      </c>
      <c r="D2335" s="71">
        <v>1000</v>
      </c>
      <c r="E2335" s="102">
        <v>6430</v>
      </c>
      <c r="F2335" s="102">
        <f t="shared" si="1262"/>
        <v>7073000.0000000009</v>
      </c>
      <c r="G2335" s="102">
        <f t="shared" si="1263"/>
        <v>6430000</v>
      </c>
      <c r="H2335" s="690" t="s">
        <v>142</v>
      </c>
      <c r="I2335" s="71" t="s">
        <v>2273</v>
      </c>
      <c r="J2335" s="53">
        <f t="shared" si="1261"/>
        <v>2220000</v>
      </c>
      <c r="K2335" s="63">
        <f t="shared" si="1264"/>
        <v>0.34525660964230165</v>
      </c>
      <c r="L2335" s="871" t="s">
        <v>2025</v>
      </c>
      <c r="M2335" s="468"/>
      <c r="N2335" s="664">
        <f t="shared" si="1265"/>
        <v>190825</v>
      </c>
      <c r="O2335" s="71" t="s">
        <v>145</v>
      </c>
      <c r="P2335" s="103" t="str">
        <f>C2335</f>
        <v>ENGAGE 1055*811</v>
      </c>
      <c r="Q2335" s="71">
        <f t="shared" si="1229"/>
        <v>1000</v>
      </c>
      <c r="R2335" s="102">
        <v>4210</v>
      </c>
      <c r="S2335" s="102">
        <f>R2335*Q2335*1.1</f>
        <v>4631000</v>
      </c>
      <c r="T2335" s="102">
        <f>R2335*Q2335</f>
        <v>4210000</v>
      </c>
      <c r="U2335" s="71" t="str">
        <f t="shared" si="1266"/>
        <v>O</v>
      </c>
      <c r="V2335" s="71"/>
      <c r="W2335" s="474">
        <f t="shared" si="1260"/>
        <v>2220000</v>
      </c>
      <c r="X2335" s="71"/>
      <c r="Y2335" s="71"/>
    </row>
    <row r="2336" spans="1:25" ht="30" hidden="1" customHeight="1" x14ac:dyDescent="0.25">
      <c r="A2336" s="82">
        <v>190825</v>
      </c>
      <c r="B2336" s="664" t="s">
        <v>1051</v>
      </c>
      <c r="C2336" s="71" t="s">
        <v>1650</v>
      </c>
      <c r="D2336" s="71">
        <v>500</v>
      </c>
      <c r="E2336" s="102">
        <v>4600</v>
      </c>
      <c r="F2336" s="102">
        <f t="shared" si="1262"/>
        <v>2530000</v>
      </c>
      <c r="G2336" s="102">
        <f t="shared" si="1263"/>
        <v>2300000</v>
      </c>
      <c r="H2336" s="690" t="s">
        <v>142</v>
      </c>
      <c r="I2336" s="71" t="s">
        <v>2273</v>
      </c>
      <c r="J2336" s="53">
        <f t="shared" si="1261"/>
        <v>800000</v>
      </c>
      <c r="K2336" s="63">
        <f t="shared" si="1264"/>
        <v>0.34782608695652173</v>
      </c>
      <c r="L2336" s="871" t="s">
        <v>2025</v>
      </c>
      <c r="M2336" s="468"/>
      <c r="N2336" s="664">
        <f t="shared" si="1265"/>
        <v>190825</v>
      </c>
      <c r="O2336" s="71" t="s">
        <v>145</v>
      </c>
      <c r="P2336" s="103" t="s">
        <v>1385</v>
      </c>
      <c r="Q2336" s="71">
        <f t="shared" si="1229"/>
        <v>500</v>
      </c>
      <c r="R2336" s="102">
        <v>3000</v>
      </c>
      <c r="S2336" s="102">
        <f>R2336*Q2336*1.1</f>
        <v>1650000.0000000002</v>
      </c>
      <c r="T2336" s="102">
        <f>R2336*Q2336</f>
        <v>1500000</v>
      </c>
      <c r="U2336" s="71" t="str">
        <f t="shared" si="1266"/>
        <v>O</v>
      </c>
      <c r="V2336" s="71"/>
      <c r="W2336" s="474">
        <f t="shared" si="1260"/>
        <v>800000</v>
      </c>
      <c r="X2336" s="71"/>
      <c r="Y2336" s="71"/>
    </row>
    <row r="2337" spans="1:25" ht="30" hidden="1" customHeight="1" x14ac:dyDescent="0.25">
      <c r="A2337" s="82">
        <v>190825</v>
      </c>
      <c r="B2337" s="664" t="s">
        <v>1051</v>
      </c>
      <c r="C2337" s="67" t="s">
        <v>1386</v>
      </c>
      <c r="D2337" s="71">
        <v>25</v>
      </c>
      <c r="E2337" s="102">
        <v>56500</v>
      </c>
      <c r="F2337" s="102">
        <f t="shared" si="1262"/>
        <v>1553750.0000000002</v>
      </c>
      <c r="G2337" s="102">
        <f t="shared" si="1263"/>
        <v>1412500</v>
      </c>
      <c r="H2337" s="690" t="s">
        <v>142</v>
      </c>
      <c r="I2337" s="71" t="s">
        <v>2273</v>
      </c>
      <c r="J2337" s="53">
        <f t="shared" si="1261"/>
        <v>537500</v>
      </c>
      <c r="K2337" s="63">
        <f t="shared" si="1264"/>
        <v>0.38053097345132736</v>
      </c>
      <c r="L2337" s="871" t="s">
        <v>2025</v>
      </c>
      <c r="M2337" s="468"/>
      <c r="N2337" s="664">
        <f t="shared" si="1265"/>
        <v>190825</v>
      </c>
      <c r="O2337" s="71" t="s">
        <v>145</v>
      </c>
      <c r="P2337" s="103" t="str">
        <f>C2337</f>
        <v>THR200(20L)보충액</v>
      </c>
      <c r="Q2337" s="71">
        <f t="shared" si="1229"/>
        <v>25</v>
      </c>
      <c r="R2337" s="102">
        <v>35000</v>
      </c>
      <c r="S2337" s="102">
        <f>R2337*Q2337*1.1</f>
        <v>962500.00000000012</v>
      </c>
      <c r="T2337" s="102">
        <f>R2337*Q2337</f>
        <v>875000</v>
      </c>
      <c r="U2337" s="71" t="str">
        <f t="shared" si="1266"/>
        <v>O</v>
      </c>
      <c r="V2337" s="71"/>
      <c r="W2337" s="474">
        <f t="shared" si="1260"/>
        <v>537500</v>
      </c>
      <c r="X2337" s="71"/>
      <c r="Y2337" s="71"/>
    </row>
    <row r="2338" spans="1:25" ht="30" hidden="1" customHeight="1" x14ac:dyDescent="0.25">
      <c r="A2338" s="82">
        <v>190825</v>
      </c>
      <c r="B2338" s="664" t="s">
        <v>1051</v>
      </c>
      <c r="C2338" s="71" t="s">
        <v>1387</v>
      </c>
      <c r="D2338" s="71">
        <v>5</v>
      </c>
      <c r="E2338" s="102">
        <v>56500</v>
      </c>
      <c r="F2338" s="102">
        <f t="shared" si="1262"/>
        <v>310750</v>
      </c>
      <c r="G2338" s="102">
        <f t="shared" si="1263"/>
        <v>282500</v>
      </c>
      <c r="H2338" s="690" t="s">
        <v>142</v>
      </c>
      <c r="I2338" s="71" t="s">
        <v>2273</v>
      </c>
      <c r="J2338" s="53">
        <f t="shared" si="1261"/>
        <v>107500</v>
      </c>
      <c r="K2338" s="63">
        <f t="shared" si="1264"/>
        <v>0.38053097345132741</v>
      </c>
      <c r="L2338" s="871" t="s">
        <v>2025</v>
      </c>
      <c r="M2338" s="468"/>
      <c r="N2338" s="664">
        <f t="shared" si="1265"/>
        <v>190825</v>
      </c>
      <c r="O2338" s="71" t="s">
        <v>145</v>
      </c>
      <c r="P2338" s="103" t="str">
        <f>(C2338)</f>
        <v>THD200(20L)현상액</v>
      </c>
      <c r="Q2338" s="71">
        <f t="shared" ref="Q2338:Q2360" si="1267">D2338</f>
        <v>5</v>
      </c>
      <c r="R2338" s="102">
        <v>35000</v>
      </c>
      <c r="S2338" s="102">
        <f>(R2338*D2338)*1.1</f>
        <v>192500.00000000003</v>
      </c>
      <c r="T2338" s="102">
        <f>(R2338*Q2338)</f>
        <v>175000</v>
      </c>
      <c r="U2338" s="71" t="str">
        <f t="shared" si="1266"/>
        <v>O</v>
      </c>
      <c r="V2338" s="71"/>
      <c r="W2338" s="474">
        <f t="shared" si="1260"/>
        <v>107500</v>
      </c>
      <c r="X2338" s="71"/>
      <c r="Y2338" s="71"/>
    </row>
    <row r="2339" spans="1:25" ht="30" hidden="1" customHeight="1" x14ac:dyDescent="0.25">
      <c r="A2339" s="82">
        <v>190825</v>
      </c>
      <c r="B2339" s="664" t="s">
        <v>1061</v>
      </c>
      <c r="C2339" s="71" t="s">
        <v>616</v>
      </c>
      <c r="D2339" s="71">
        <v>200</v>
      </c>
      <c r="E2339" s="102">
        <v>6600</v>
      </c>
      <c r="F2339" s="102">
        <f t="shared" si="1262"/>
        <v>1452000.0000000002</v>
      </c>
      <c r="G2339" s="102">
        <f t="shared" si="1263"/>
        <v>1320000</v>
      </c>
      <c r="H2339" s="690" t="s">
        <v>142</v>
      </c>
      <c r="I2339" s="71" t="s">
        <v>144</v>
      </c>
      <c r="J2339" s="53">
        <f t="shared" si="1261"/>
        <v>140000</v>
      </c>
      <c r="K2339" s="63">
        <f t="shared" si="1264"/>
        <v>0.10606060606060604</v>
      </c>
      <c r="L2339" s="871" t="s">
        <v>2025</v>
      </c>
      <c r="M2339" s="468"/>
      <c r="N2339" s="664">
        <f t="shared" si="1265"/>
        <v>190825</v>
      </c>
      <c r="O2339" s="71" t="s">
        <v>147</v>
      </c>
      <c r="P2339" s="103" t="str">
        <f t="shared" ref="P2339:P2351" si="1268">C2339</f>
        <v>프리미어(먹)</v>
      </c>
      <c r="Q2339" s="71">
        <f t="shared" si="1267"/>
        <v>200</v>
      </c>
      <c r="R2339" s="102">
        <v>5900</v>
      </c>
      <c r="S2339" s="102">
        <f>R2339*Q2339*1.1</f>
        <v>1298000</v>
      </c>
      <c r="T2339" s="102">
        <f>R2339*Q2339</f>
        <v>1180000</v>
      </c>
      <c r="U2339" s="71" t="str">
        <f t="shared" si="1266"/>
        <v>O</v>
      </c>
      <c r="V2339" s="71"/>
      <c r="W2339" s="474">
        <f t="shared" si="1260"/>
        <v>140000</v>
      </c>
      <c r="X2339" s="71"/>
      <c r="Y2339" s="71"/>
    </row>
    <row r="2340" spans="1:25" ht="30" hidden="1" customHeight="1" x14ac:dyDescent="0.25">
      <c r="A2340" s="82">
        <v>190825</v>
      </c>
      <c r="B2340" s="664" t="s">
        <v>1052</v>
      </c>
      <c r="C2340" s="71" t="s">
        <v>585</v>
      </c>
      <c r="D2340" s="71">
        <v>400</v>
      </c>
      <c r="E2340" s="102">
        <v>7500</v>
      </c>
      <c r="F2340" s="102">
        <f t="shared" si="1262"/>
        <v>3300000.0000000005</v>
      </c>
      <c r="G2340" s="102">
        <f t="shared" si="1263"/>
        <v>3000000</v>
      </c>
      <c r="H2340" s="690" t="s">
        <v>142</v>
      </c>
      <c r="I2340" s="71" t="s">
        <v>144</v>
      </c>
      <c r="J2340" s="53">
        <f>(G2340-(VLOOKUP(C2340,Price!B:D,3,FALSE)*D2340))</f>
        <v>292000</v>
      </c>
      <c r="K2340" s="63">
        <f t="shared" si="1264"/>
        <v>9.7333333333333313E-2</v>
      </c>
      <c r="L2340" s="871" t="s">
        <v>2025</v>
      </c>
      <c r="M2340" s="468"/>
      <c r="N2340" s="664">
        <f t="shared" si="1265"/>
        <v>190825</v>
      </c>
      <c r="O2340" s="71" t="s">
        <v>147</v>
      </c>
      <c r="P2340" s="103" t="str">
        <f t="shared" si="1268"/>
        <v>프리미어(적)</v>
      </c>
      <c r="Q2340" s="71">
        <f t="shared" si="1267"/>
        <v>400</v>
      </c>
      <c r="R2340" s="102">
        <v>6770</v>
      </c>
      <c r="S2340" s="102">
        <f>R2340*Q2340*1.1</f>
        <v>2978800.0000000005</v>
      </c>
      <c r="T2340" s="102">
        <f>R2340*Q2340</f>
        <v>2708000</v>
      </c>
      <c r="U2340" s="71" t="str">
        <f t="shared" si="1266"/>
        <v>O</v>
      </c>
      <c r="V2340" s="71"/>
      <c r="W2340" s="474">
        <f t="shared" si="1260"/>
        <v>292000</v>
      </c>
      <c r="X2340" s="71"/>
      <c r="Y2340" s="71"/>
    </row>
    <row r="2341" spans="1:25" ht="30" hidden="1" customHeight="1" x14ac:dyDescent="0.25">
      <c r="A2341" s="82">
        <v>190825</v>
      </c>
      <c r="B2341" s="664" t="s">
        <v>1061</v>
      </c>
      <c r="C2341" s="71" t="s">
        <v>586</v>
      </c>
      <c r="D2341" s="71">
        <v>400</v>
      </c>
      <c r="E2341" s="102">
        <v>6750</v>
      </c>
      <c r="F2341" s="102">
        <f t="shared" si="1262"/>
        <v>2970000.0000000005</v>
      </c>
      <c r="G2341" s="102">
        <f t="shared" si="1263"/>
        <v>2700000</v>
      </c>
      <c r="H2341" s="690" t="s">
        <v>142</v>
      </c>
      <c r="I2341" s="71" t="s">
        <v>144</v>
      </c>
      <c r="J2341" s="53">
        <f t="shared" ref="J2341:J2361" si="1269">G2341-T2341</f>
        <v>228000</v>
      </c>
      <c r="K2341" s="63">
        <f t="shared" si="1264"/>
        <v>8.4444444444444433E-2</v>
      </c>
      <c r="L2341" s="871" t="s">
        <v>2025</v>
      </c>
      <c r="M2341" s="468"/>
      <c r="N2341" s="664">
        <v>180713</v>
      </c>
      <c r="O2341" s="71" t="s">
        <v>147</v>
      </c>
      <c r="P2341" s="103" t="str">
        <f t="shared" si="1268"/>
        <v>프리미어(황)</v>
      </c>
      <c r="Q2341" s="71">
        <f t="shared" si="1267"/>
        <v>400</v>
      </c>
      <c r="R2341" s="102">
        <v>6180</v>
      </c>
      <c r="S2341" s="102">
        <f>(R2341*D2341)*1.1</f>
        <v>2719200</v>
      </c>
      <c r="T2341" s="102">
        <f>(R2341*Q2341)</f>
        <v>2472000</v>
      </c>
      <c r="U2341" s="71" t="str">
        <f t="shared" si="1266"/>
        <v>O</v>
      </c>
      <c r="V2341" s="71"/>
      <c r="W2341" s="474">
        <f t="shared" si="1260"/>
        <v>228000</v>
      </c>
      <c r="X2341" s="71"/>
      <c r="Y2341" s="71"/>
    </row>
    <row r="2342" spans="1:25" ht="30" hidden="1" customHeight="1" x14ac:dyDescent="0.25">
      <c r="A2342" s="82">
        <v>190825</v>
      </c>
      <c r="B2342" s="664" t="s">
        <v>1061</v>
      </c>
      <c r="C2342" s="71" t="s">
        <v>587</v>
      </c>
      <c r="D2342" s="71">
        <v>400</v>
      </c>
      <c r="E2342" s="102">
        <v>8000</v>
      </c>
      <c r="F2342" s="102">
        <f t="shared" si="1262"/>
        <v>3520000.0000000005</v>
      </c>
      <c r="G2342" s="102">
        <f t="shared" si="1263"/>
        <v>3200000</v>
      </c>
      <c r="H2342" s="690" t="s">
        <v>142</v>
      </c>
      <c r="I2342" s="71" t="s">
        <v>144</v>
      </c>
      <c r="J2342" s="53">
        <f t="shared" si="1269"/>
        <v>436000</v>
      </c>
      <c r="K2342" s="63">
        <f t="shared" si="1264"/>
        <v>0.13624999999999998</v>
      </c>
      <c r="L2342" s="871" t="s">
        <v>2025</v>
      </c>
      <c r="M2342" s="468"/>
      <c r="N2342" s="664">
        <v>180713</v>
      </c>
      <c r="O2342" s="71" t="s">
        <v>147</v>
      </c>
      <c r="P2342" s="103" t="str">
        <f t="shared" si="1268"/>
        <v>프리미어(청)</v>
      </c>
      <c r="Q2342" s="71">
        <f t="shared" si="1267"/>
        <v>400</v>
      </c>
      <c r="R2342" s="102">
        <v>6910</v>
      </c>
      <c r="S2342" s="102">
        <f t="shared" ref="S2342:S2361" si="1270">R2342*Q2342*1.1</f>
        <v>3040400.0000000005</v>
      </c>
      <c r="T2342" s="102">
        <f t="shared" ref="T2342:T2361" si="1271">R2342*Q2342</f>
        <v>2764000</v>
      </c>
      <c r="U2342" s="71" t="str">
        <f t="shared" si="1266"/>
        <v>O</v>
      </c>
      <c r="V2342" s="71"/>
      <c r="W2342" s="474">
        <f t="shared" si="1260"/>
        <v>436000</v>
      </c>
      <c r="X2342" s="71"/>
      <c r="Y2342" s="71"/>
    </row>
    <row r="2343" spans="1:25" ht="30" hidden="1" customHeight="1" x14ac:dyDescent="0.25">
      <c r="A2343" s="82">
        <v>190825</v>
      </c>
      <c r="B2343" s="664" t="s">
        <v>1052</v>
      </c>
      <c r="C2343" s="71" t="s">
        <v>1115</v>
      </c>
      <c r="D2343" s="71">
        <v>150</v>
      </c>
      <c r="E2343" s="102">
        <v>6200</v>
      </c>
      <c r="F2343" s="102">
        <f t="shared" si="1262"/>
        <v>1023000.0000000001</v>
      </c>
      <c r="G2343" s="102">
        <f t="shared" si="1263"/>
        <v>930000</v>
      </c>
      <c r="H2343" s="690" t="s">
        <v>142</v>
      </c>
      <c r="I2343" s="71" t="s">
        <v>144</v>
      </c>
      <c r="J2343" s="53">
        <f t="shared" si="1269"/>
        <v>15000</v>
      </c>
      <c r="K2343" s="63">
        <f t="shared" si="1264"/>
        <v>1.6129032258064516E-2</v>
      </c>
      <c r="L2343" s="871" t="s">
        <v>2025</v>
      </c>
      <c r="M2343" s="468"/>
      <c r="N2343" s="664">
        <f t="shared" ref="N2343:N2359" si="1272">A2343</f>
        <v>190825</v>
      </c>
      <c r="O2343" s="71" t="s">
        <v>147</v>
      </c>
      <c r="P2343" s="103" t="str">
        <f t="shared" si="1268"/>
        <v>한특 잉크(적)</v>
      </c>
      <c r="Q2343" s="71">
        <f t="shared" si="1267"/>
        <v>150</v>
      </c>
      <c r="R2343" s="102">
        <v>6100</v>
      </c>
      <c r="S2343" s="102">
        <f t="shared" si="1270"/>
        <v>1006500.0000000001</v>
      </c>
      <c r="T2343" s="102">
        <f t="shared" si="1271"/>
        <v>915000</v>
      </c>
      <c r="U2343" s="71" t="str">
        <f t="shared" si="1266"/>
        <v>O</v>
      </c>
      <c r="V2343" s="71"/>
      <c r="W2343" s="474">
        <f t="shared" si="1260"/>
        <v>15000</v>
      </c>
      <c r="X2343" s="71"/>
      <c r="Y2343" s="71"/>
    </row>
    <row r="2344" spans="1:25" ht="30" hidden="1" customHeight="1" x14ac:dyDescent="0.25">
      <c r="A2344" s="82">
        <v>190825</v>
      </c>
      <c r="B2344" s="664" t="s">
        <v>1052</v>
      </c>
      <c r="C2344" s="71" t="s">
        <v>1116</v>
      </c>
      <c r="D2344" s="71">
        <v>200</v>
      </c>
      <c r="E2344" s="102">
        <v>6000</v>
      </c>
      <c r="F2344" s="102">
        <f t="shared" si="1262"/>
        <v>1320000</v>
      </c>
      <c r="G2344" s="102">
        <f t="shared" si="1263"/>
        <v>1200000</v>
      </c>
      <c r="H2344" s="690" t="s">
        <v>142</v>
      </c>
      <c r="I2344" s="71" t="s">
        <v>144</v>
      </c>
      <c r="J2344" s="53">
        <f t="shared" si="1269"/>
        <v>20000</v>
      </c>
      <c r="K2344" s="63">
        <f t="shared" si="1264"/>
        <v>1.6666666666666666E-2</v>
      </c>
      <c r="L2344" s="871" t="s">
        <v>2025</v>
      </c>
      <c r="M2344" s="468"/>
      <c r="N2344" s="664">
        <f t="shared" si="1272"/>
        <v>190825</v>
      </c>
      <c r="O2344" s="71" t="s">
        <v>147</v>
      </c>
      <c r="P2344" s="103" t="str">
        <f t="shared" si="1268"/>
        <v>한특 잉크(황)</v>
      </c>
      <c r="Q2344" s="71">
        <f t="shared" si="1267"/>
        <v>200</v>
      </c>
      <c r="R2344" s="102">
        <v>5900</v>
      </c>
      <c r="S2344" s="102">
        <f t="shared" si="1270"/>
        <v>1298000</v>
      </c>
      <c r="T2344" s="102">
        <f t="shared" si="1271"/>
        <v>1180000</v>
      </c>
      <c r="U2344" s="71" t="str">
        <f t="shared" si="1266"/>
        <v>O</v>
      </c>
      <c r="V2344" s="71"/>
      <c r="W2344" s="474">
        <f t="shared" si="1260"/>
        <v>20000</v>
      </c>
      <c r="X2344" s="71"/>
      <c r="Y2344" s="71"/>
    </row>
    <row r="2345" spans="1:25" ht="30" hidden="1" customHeight="1" x14ac:dyDescent="0.25">
      <c r="A2345" s="82">
        <v>190825</v>
      </c>
      <c r="B2345" s="664" t="s">
        <v>1052</v>
      </c>
      <c r="C2345" s="71" t="s">
        <v>1117</v>
      </c>
      <c r="D2345" s="71">
        <v>150</v>
      </c>
      <c r="E2345" s="102">
        <v>6500</v>
      </c>
      <c r="F2345" s="102">
        <f t="shared" si="1262"/>
        <v>1072500</v>
      </c>
      <c r="G2345" s="102">
        <f t="shared" si="1263"/>
        <v>975000</v>
      </c>
      <c r="H2345" s="690" t="s">
        <v>142</v>
      </c>
      <c r="I2345" s="71" t="s">
        <v>144</v>
      </c>
      <c r="J2345" s="53">
        <f t="shared" si="1269"/>
        <v>15000</v>
      </c>
      <c r="K2345" s="63">
        <f t="shared" si="1264"/>
        <v>1.5384615384615385E-2</v>
      </c>
      <c r="L2345" s="871" t="s">
        <v>2025</v>
      </c>
      <c r="M2345" s="468"/>
      <c r="N2345" s="664">
        <f t="shared" si="1272"/>
        <v>190825</v>
      </c>
      <c r="O2345" s="71" t="s">
        <v>147</v>
      </c>
      <c r="P2345" s="103" t="str">
        <f t="shared" si="1268"/>
        <v>한특 잉크(청)</v>
      </c>
      <c r="Q2345" s="71">
        <f t="shared" si="1267"/>
        <v>150</v>
      </c>
      <c r="R2345" s="102">
        <v>6400</v>
      </c>
      <c r="S2345" s="102">
        <f t="shared" si="1270"/>
        <v>1056000</v>
      </c>
      <c r="T2345" s="102">
        <f t="shared" si="1271"/>
        <v>960000</v>
      </c>
      <c r="U2345" s="71" t="str">
        <f t="shared" si="1266"/>
        <v>O</v>
      </c>
      <c r="V2345" s="71"/>
      <c r="W2345" s="474">
        <f t="shared" si="1260"/>
        <v>15000</v>
      </c>
      <c r="X2345" s="71"/>
      <c r="Y2345" s="71"/>
    </row>
    <row r="2346" spans="1:25" ht="30" hidden="1" customHeight="1" x14ac:dyDescent="0.25">
      <c r="A2346" s="82">
        <v>190825</v>
      </c>
      <c r="B2346" s="664" t="s">
        <v>1052</v>
      </c>
      <c r="C2346" s="71" t="s">
        <v>1118</v>
      </c>
      <c r="D2346" s="71">
        <v>150</v>
      </c>
      <c r="E2346" s="102">
        <v>5600</v>
      </c>
      <c r="F2346" s="102">
        <f t="shared" si="1262"/>
        <v>924000.00000000012</v>
      </c>
      <c r="G2346" s="102">
        <f t="shared" si="1263"/>
        <v>840000</v>
      </c>
      <c r="H2346" s="690" t="s">
        <v>142</v>
      </c>
      <c r="I2346" s="71" t="s">
        <v>144</v>
      </c>
      <c r="J2346" s="53">
        <f t="shared" si="1269"/>
        <v>15000</v>
      </c>
      <c r="K2346" s="63">
        <f t="shared" si="1264"/>
        <v>1.7857142857142856E-2</v>
      </c>
      <c r="L2346" s="871" t="s">
        <v>2025</v>
      </c>
      <c r="M2346" s="468"/>
      <c r="N2346" s="664">
        <f t="shared" si="1272"/>
        <v>190825</v>
      </c>
      <c r="O2346" s="71" t="s">
        <v>147</v>
      </c>
      <c r="P2346" s="103" t="str">
        <f t="shared" si="1268"/>
        <v>한특 잉크(먹)</v>
      </c>
      <c r="Q2346" s="71">
        <f t="shared" si="1267"/>
        <v>150</v>
      </c>
      <c r="R2346" s="102">
        <v>5500</v>
      </c>
      <c r="S2346" s="102">
        <f t="shared" si="1270"/>
        <v>907500.00000000012</v>
      </c>
      <c r="T2346" s="102">
        <f t="shared" si="1271"/>
        <v>825000</v>
      </c>
      <c r="U2346" s="71" t="str">
        <f t="shared" si="1266"/>
        <v>O</v>
      </c>
      <c r="V2346" s="71"/>
      <c r="W2346" s="474">
        <f t="shared" si="1260"/>
        <v>15000</v>
      </c>
      <c r="X2346" s="71"/>
      <c r="Y2346" s="71"/>
    </row>
    <row r="2347" spans="1:25" ht="30" hidden="1" customHeight="1" x14ac:dyDescent="0.25">
      <c r="A2347" s="82">
        <v>190825</v>
      </c>
      <c r="B2347" s="664" t="s">
        <v>1052</v>
      </c>
      <c r="C2347" s="71" t="s">
        <v>1843</v>
      </c>
      <c r="D2347" s="71">
        <v>0</v>
      </c>
      <c r="E2347" s="102">
        <v>8200</v>
      </c>
      <c r="F2347" s="102">
        <f t="shared" si="1262"/>
        <v>0</v>
      </c>
      <c r="G2347" s="102">
        <f t="shared" si="1263"/>
        <v>0</v>
      </c>
      <c r="H2347" s="690" t="s">
        <v>142</v>
      </c>
      <c r="I2347" s="71" t="s">
        <v>144</v>
      </c>
      <c r="J2347" s="53">
        <f t="shared" si="1269"/>
        <v>0</v>
      </c>
      <c r="K2347" s="63" t="e">
        <f t="shared" si="1264"/>
        <v>#DIV/0!</v>
      </c>
      <c r="L2347" s="871" t="s">
        <v>2025</v>
      </c>
      <c r="M2347" s="468"/>
      <c r="N2347" s="664">
        <f t="shared" si="1272"/>
        <v>190825</v>
      </c>
      <c r="O2347" s="71" t="s">
        <v>147</v>
      </c>
      <c r="P2347" s="103" t="str">
        <f t="shared" si="1268"/>
        <v>아라니아 분홍(1) 190c</v>
      </c>
      <c r="Q2347" s="71">
        <f t="shared" si="1267"/>
        <v>0</v>
      </c>
      <c r="R2347" s="102">
        <v>7850</v>
      </c>
      <c r="S2347" s="102">
        <f t="shared" si="1270"/>
        <v>0</v>
      </c>
      <c r="T2347" s="102">
        <f t="shared" si="1271"/>
        <v>0</v>
      </c>
      <c r="U2347" s="71" t="str">
        <f t="shared" si="1266"/>
        <v>O</v>
      </c>
      <c r="V2347" s="71"/>
      <c r="W2347" s="474">
        <f t="shared" si="1260"/>
        <v>0</v>
      </c>
      <c r="X2347" s="71"/>
      <c r="Y2347" s="71"/>
    </row>
    <row r="2348" spans="1:25" ht="30" hidden="1" customHeight="1" x14ac:dyDescent="0.25">
      <c r="A2348" s="82">
        <v>190825</v>
      </c>
      <c r="B2348" s="664" t="s">
        <v>1052</v>
      </c>
      <c r="C2348" s="71" t="s">
        <v>1840</v>
      </c>
      <c r="D2348" s="71">
        <v>0</v>
      </c>
      <c r="E2348" s="102">
        <v>8000</v>
      </c>
      <c r="F2348" s="102">
        <f t="shared" si="1262"/>
        <v>0</v>
      </c>
      <c r="G2348" s="102">
        <f t="shared" si="1263"/>
        <v>0</v>
      </c>
      <c r="H2348" s="690" t="s">
        <v>142</v>
      </c>
      <c r="I2348" s="71" t="s">
        <v>144</v>
      </c>
      <c r="J2348" s="53">
        <f t="shared" si="1269"/>
        <v>0</v>
      </c>
      <c r="K2348" s="63" t="e">
        <f t="shared" si="1264"/>
        <v>#DIV/0!</v>
      </c>
      <c r="L2348" s="871" t="s">
        <v>2025</v>
      </c>
      <c r="M2348" s="468"/>
      <c r="N2348" s="664">
        <f t="shared" si="1272"/>
        <v>190825</v>
      </c>
      <c r="O2348" s="71" t="s">
        <v>147</v>
      </c>
      <c r="P2348" s="103" t="str">
        <f t="shared" si="1268"/>
        <v>아라니아 연청 304c</v>
      </c>
      <c r="Q2348" s="71">
        <f t="shared" si="1267"/>
        <v>0</v>
      </c>
      <c r="R2348" s="102">
        <v>7600</v>
      </c>
      <c r="S2348" s="102">
        <f t="shared" si="1270"/>
        <v>0</v>
      </c>
      <c r="T2348" s="102">
        <f t="shared" si="1271"/>
        <v>0</v>
      </c>
      <c r="U2348" s="71" t="str">
        <f t="shared" si="1266"/>
        <v>O</v>
      </c>
      <c r="V2348" s="71"/>
      <c r="W2348" s="474">
        <f t="shared" si="1260"/>
        <v>0</v>
      </c>
      <c r="X2348" s="71"/>
      <c r="Y2348" s="71"/>
    </row>
    <row r="2349" spans="1:25" ht="30" hidden="1" customHeight="1" x14ac:dyDescent="0.25">
      <c r="A2349" s="82">
        <v>190825</v>
      </c>
      <c r="B2349" s="664" t="s">
        <v>1052</v>
      </c>
      <c r="C2349" s="71" t="s">
        <v>1841</v>
      </c>
      <c r="D2349" s="71">
        <v>0</v>
      </c>
      <c r="E2349" s="102">
        <v>7700</v>
      </c>
      <c r="F2349" s="102">
        <f t="shared" si="1262"/>
        <v>0</v>
      </c>
      <c r="G2349" s="102">
        <f t="shared" si="1263"/>
        <v>0</v>
      </c>
      <c r="H2349" s="690" t="s">
        <v>142</v>
      </c>
      <c r="I2349" s="71" t="s">
        <v>144</v>
      </c>
      <c r="J2349" s="53">
        <f t="shared" si="1269"/>
        <v>0</v>
      </c>
      <c r="K2349" s="63" t="e">
        <f t="shared" si="1264"/>
        <v>#DIV/0!</v>
      </c>
      <c r="L2349" s="871" t="s">
        <v>2025</v>
      </c>
      <c r="M2349" s="468"/>
      <c r="N2349" s="664">
        <f t="shared" si="1272"/>
        <v>190825</v>
      </c>
      <c r="O2349" s="71" t="s">
        <v>147</v>
      </c>
      <c r="P2349" s="103" t="str">
        <f t="shared" si="1268"/>
        <v>아라니아 분홍(2) 1905c</v>
      </c>
      <c r="Q2349" s="71">
        <f t="shared" si="1267"/>
        <v>0</v>
      </c>
      <c r="R2349" s="102">
        <v>7300</v>
      </c>
      <c r="S2349" s="102">
        <f t="shared" si="1270"/>
        <v>0</v>
      </c>
      <c r="T2349" s="102">
        <f t="shared" si="1271"/>
        <v>0</v>
      </c>
      <c r="U2349" s="71" t="str">
        <f t="shared" si="1266"/>
        <v>O</v>
      </c>
      <c r="V2349" s="71"/>
      <c r="W2349" s="474">
        <f t="shared" si="1260"/>
        <v>0</v>
      </c>
      <c r="X2349" s="71"/>
      <c r="Y2349" s="71"/>
    </row>
    <row r="2350" spans="1:25" ht="30" hidden="1" customHeight="1" x14ac:dyDescent="0.25">
      <c r="A2350" s="82">
        <v>190825</v>
      </c>
      <c r="B2350" s="664" t="s">
        <v>1052</v>
      </c>
      <c r="C2350" s="71" t="s">
        <v>1842</v>
      </c>
      <c r="D2350" s="71">
        <v>0</v>
      </c>
      <c r="E2350" s="102">
        <v>8600</v>
      </c>
      <c r="F2350" s="102">
        <f t="shared" si="1262"/>
        <v>0</v>
      </c>
      <c r="G2350" s="102">
        <f t="shared" si="1263"/>
        <v>0</v>
      </c>
      <c r="H2350" s="690" t="s">
        <v>142</v>
      </c>
      <c r="I2350" s="71" t="s">
        <v>144</v>
      </c>
      <c r="J2350" s="53">
        <f t="shared" si="1269"/>
        <v>0</v>
      </c>
      <c r="K2350" s="63" t="e">
        <f t="shared" si="1264"/>
        <v>#DIV/0!</v>
      </c>
      <c r="L2350" s="871" t="s">
        <v>2025</v>
      </c>
      <c r="M2350" s="468"/>
      <c r="N2350" s="664">
        <f t="shared" si="1272"/>
        <v>190825</v>
      </c>
      <c r="O2350" s="71" t="s">
        <v>147</v>
      </c>
      <c r="P2350" s="103" t="str">
        <f t="shared" si="1268"/>
        <v>아라니아 분홍(3) 1775c</v>
      </c>
      <c r="Q2350" s="71">
        <f t="shared" si="1267"/>
        <v>0</v>
      </c>
      <c r="R2350" s="102">
        <v>8100</v>
      </c>
      <c r="S2350" s="102">
        <f t="shared" si="1270"/>
        <v>0</v>
      </c>
      <c r="T2350" s="102">
        <f t="shared" si="1271"/>
        <v>0</v>
      </c>
      <c r="U2350" s="71" t="str">
        <f t="shared" si="1266"/>
        <v>O</v>
      </c>
      <c r="V2350" s="71"/>
      <c r="W2350" s="474">
        <f t="shared" si="1260"/>
        <v>0</v>
      </c>
      <c r="X2350" s="71"/>
      <c r="Y2350" s="71"/>
    </row>
    <row r="2351" spans="1:25" ht="30" hidden="1" customHeight="1" x14ac:dyDescent="0.25">
      <c r="A2351" s="82">
        <v>190825</v>
      </c>
      <c r="B2351" s="664" t="s">
        <v>1052</v>
      </c>
      <c r="C2351" s="71" t="s">
        <v>2015</v>
      </c>
      <c r="D2351" s="71">
        <v>0</v>
      </c>
      <c r="E2351" s="102">
        <v>8200</v>
      </c>
      <c r="F2351" s="102">
        <f t="shared" ref="F2351:F2358" si="1273">(E2351*D2351)*1.1</f>
        <v>0</v>
      </c>
      <c r="G2351" s="102">
        <f t="shared" ref="G2351:G2358" si="1274">(E2351*D2351)</f>
        <v>0</v>
      </c>
      <c r="H2351" s="690" t="s">
        <v>142</v>
      </c>
      <c r="I2351" s="71" t="s">
        <v>144</v>
      </c>
      <c r="J2351" s="53">
        <f t="shared" si="1269"/>
        <v>0</v>
      </c>
      <c r="K2351" s="63" t="e">
        <f t="shared" ref="K2351:K2361" si="1275">(J2351/(F2351/11*10))</f>
        <v>#DIV/0!</v>
      </c>
      <c r="L2351" s="871" t="s">
        <v>2025</v>
      </c>
      <c r="M2351" s="468"/>
      <c r="N2351" s="664">
        <f t="shared" si="1272"/>
        <v>190825</v>
      </c>
      <c r="O2351" s="71" t="s">
        <v>147</v>
      </c>
      <c r="P2351" s="103" t="str">
        <f t="shared" si="1268"/>
        <v>아라니아 BTS 보라</v>
      </c>
      <c r="Q2351" s="71">
        <f t="shared" si="1267"/>
        <v>0</v>
      </c>
      <c r="R2351" s="102">
        <v>8200</v>
      </c>
      <c r="S2351" s="102">
        <f t="shared" si="1270"/>
        <v>0</v>
      </c>
      <c r="T2351" s="102">
        <f t="shared" si="1271"/>
        <v>0</v>
      </c>
      <c r="U2351" s="71" t="str">
        <f t="shared" si="1266"/>
        <v>O</v>
      </c>
      <c r="V2351" s="71"/>
      <c r="W2351" s="474">
        <f t="shared" si="1260"/>
        <v>0</v>
      </c>
      <c r="X2351" s="71"/>
      <c r="Y2351" s="71"/>
    </row>
    <row r="2352" spans="1:25" ht="30" hidden="1" customHeight="1" x14ac:dyDescent="0.25">
      <c r="A2352" s="82">
        <v>190827</v>
      </c>
      <c r="B2352" s="664" t="s">
        <v>1178</v>
      </c>
      <c r="C2352" s="71" t="s">
        <v>1928</v>
      </c>
      <c r="D2352" s="71">
        <v>22</v>
      </c>
      <c r="E2352" s="102">
        <v>35000</v>
      </c>
      <c r="F2352" s="102">
        <f t="shared" si="1273"/>
        <v>847000.00000000012</v>
      </c>
      <c r="G2352" s="102">
        <f t="shared" si="1274"/>
        <v>770000</v>
      </c>
      <c r="H2352" s="690" t="s">
        <v>1431</v>
      </c>
      <c r="I2352" s="71" t="s">
        <v>1431</v>
      </c>
      <c r="J2352" s="53">
        <f t="shared" si="1269"/>
        <v>166998.75050583656</v>
      </c>
      <c r="K2352" s="63">
        <f t="shared" si="1275"/>
        <v>0.21688149416342409</v>
      </c>
      <c r="L2352" s="871" t="s">
        <v>2025</v>
      </c>
      <c r="M2352" s="468"/>
      <c r="N2352" s="664">
        <f t="shared" si="1272"/>
        <v>190827</v>
      </c>
      <c r="O2352" s="71" t="s">
        <v>1431</v>
      </c>
      <c r="P2352" s="103" t="str">
        <f>(C2352)</f>
        <v>잉크집 롤러 와이퍼</v>
      </c>
      <c r="Q2352" s="71">
        <f t="shared" si="1267"/>
        <v>22</v>
      </c>
      <c r="R2352" s="102">
        <f>Import!G201</f>
        <v>27409.147704280156</v>
      </c>
      <c r="S2352" s="102">
        <f t="shared" si="1270"/>
        <v>663301.37444357981</v>
      </c>
      <c r="T2352" s="102">
        <f t="shared" si="1271"/>
        <v>603001.24949416344</v>
      </c>
      <c r="U2352" s="71" t="str">
        <f t="shared" si="1266"/>
        <v>X</v>
      </c>
      <c r="V2352" s="71"/>
      <c r="W2352" s="474"/>
      <c r="X2352" s="71"/>
      <c r="Y2352" s="71"/>
    </row>
    <row r="2353" spans="1:25" ht="30" hidden="1" customHeight="1" x14ac:dyDescent="0.25">
      <c r="A2353" s="82">
        <v>190827</v>
      </c>
      <c r="B2353" s="664" t="s">
        <v>575</v>
      </c>
      <c r="C2353" s="71" t="s">
        <v>2044</v>
      </c>
      <c r="D2353" s="71">
        <v>1</v>
      </c>
      <c r="E2353" s="102">
        <v>5500000</v>
      </c>
      <c r="F2353" s="102">
        <f t="shared" si="1273"/>
        <v>6050000.0000000009</v>
      </c>
      <c r="G2353" s="102">
        <f t="shared" si="1274"/>
        <v>5500000</v>
      </c>
      <c r="H2353" s="690" t="s">
        <v>1431</v>
      </c>
      <c r="I2353" s="71" t="s">
        <v>1431</v>
      </c>
      <c r="J2353" s="53">
        <f t="shared" si="1269"/>
        <v>507777.758193749</v>
      </c>
      <c r="K2353" s="63">
        <f t="shared" si="1275"/>
        <v>9.2323228762499807E-2</v>
      </c>
      <c r="L2353" s="871" t="s">
        <v>2025</v>
      </c>
      <c r="M2353" s="468"/>
      <c r="N2353" s="664">
        <f t="shared" si="1272"/>
        <v>190827</v>
      </c>
      <c r="O2353" s="71" t="s">
        <v>1431</v>
      </c>
      <c r="P2353" s="103" t="str">
        <f>(C2353)</f>
        <v>엔코더</v>
      </c>
      <c r="Q2353" s="71">
        <f t="shared" si="1267"/>
        <v>1</v>
      </c>
      <c r="R2353" s="102">
        <f>Import!G179</f>
        <v>4992222.241806251</v>
      </c>
      <c r="S2353" s="102">
        <f t="shared" si="1270"/>
        <v>5491444.4659868767</v>
      </c>
      <c r="T2353" s="102">
        <f t="shared" si="1271"/>
        <v>4992222.241806251</v>
      </c>
      <c r="U2353" s="71" t="str">
        <f t="shared" si="1266"/>
        <v>X</v>
      </c>
      <c r="V2353" s="71"/>
      <c r="W2353" s="474"/>
      <c r="X2353" s="71"/>
      <c r="Y2353" s="71"/>
    </row>
    <row r="2354" spans="1:25" ht="30" hidden="1" customHeight="1" x14ac:dyDescent="0.25">
      <c r="A2354" s="82">
        <v>190827</v>
      </c>
      <c r="B2354" s="664" t="s">
        <v>575</v>
      </c>
      <c r="C2354" s="71" t="s">
        <v>2045</v>
      </c>
      <c r="D2354" s="71">
        <v>1</v>
      </c>
      <c r="E2354" s="102">
        <v>500000</v>
      </c>
      <c r="F2354" s="102">
        <f t="shared" si="1273"/>
        <v>550000</v>
      </c>
      <c r="G2354" s="102">
        <f t="shared" si="1274"/>
        <v>500000</v>
      </c>
      <c r="H2354" s="690" t="s">
        <v>1431</v>
      </c>
      <c r="I2354" s="71" t="s">
        <v>1431</v>
      </c>
      <c r="J2354" s="53">
        <f t="shared" si="1269"/>
        <v>-261262.60990066733</v>
      </c>
      <c r="K2354" s="63">
        <f t="shared" si="1275"/>
        <v>-0.52252521980133471</v>
      </c>
      <c r="L2354" s="871" t="s">
        <v>2025</v>
      </c>
      <c r="M2354" s="468"/>
      <c r="N2354" s="664">
        <f t="shared" si="1272"/>
        <v>190827</v>
      </c>
      <c r="O2354" s="71" t="s">
        <v>1431</v>
      </c>
      <c r="P2354" s="103" t="str">
        <f>(C2354)</f>
        <v>엔코더 케이블</v>
      </c>
      <c r="Q2354" s="71">
        <f t="shared" si="1267"/>
        <v>1</v>
      </c>
      <c r="R2354" s="102">
        <f>Import!G180</f>
        <v>761262.60990066733</v>
      </c>
      <c r="S2354" s="102">
        <f t="shared" si="1270"/>
        <v>837388.87089073414</v>
      </c>
      <c r="T2354" s="102">
        <f t="shared" si="1271"/>
        <v>761262.60990066733</v>
      </c>
      <c r="U2354" s="71" t="str">
        <f t="shared" si="1266"/>
        <v>X</v>
      </c>
      <c r="V2354" s="71"/>
      <c r="W2354" s="474"/>
      <c r="X2354" s="71"/>
      <c r="Y2354" s="71"/>
    </row>
    <row r="2355" spans="1:25" ht="30" hidden="1" customHeight="1" x14ac:dyDescent="0.25">
      <c r="A2355" s="82">
        <v>190827</v>
      </c>
      <c r="B2355" s="664" t="s">
        <v>567</v>
      </c>
      <c r="C2355" s="71" t="s">
        <v>1652</v>
      </c>
      <c r="D2355" s="71">
        <v>5</v>
      </c>
      <c r="E2355" s="102">
        <v>55000</v>
      </c>
      <c r="F2355" s="102">
        <f t="shared" si="1273"/>
        <v>302500</v>
      </c>
      <c r="G2355" s="102">
        <f t="shared" si="1274"/>
        <v>275000</v>
      </c>
      <c r="H2355" s="690" t="s">
        <v>173</v>
      </c>
      <c r="I2355" s="71" t="s">
        <v>2231</v>
      </c>
      <c r="J2355" s="53">
        <f t="shared" si="1269"/>
        <v>75000</v>
      </c>
      <c r="K2355" s="63">
        <f t="shared" si="1275"/>
        <v>0.27272727272727271</v>
      </c>
      <c r="L2355" s="871" t="s">
        <v>2025</v>
      </c>
      <c r="M2355" s="468"/>
      <c r="N2355" s="664">
        <f t="shared" si="1272"/>
        <v>190827</v>
      </c>
      <c r="O2355" s="71" t="s">
        <v>153</v>
      </c>
      <c r="P2355" s="103" t="str">
        <f>C2355</f>
        <v>아스테이지(CD74용)</v>
      </c>
      <c r="Q2355" s="71">
        <f t="shared" si="1267"/>
        <v>5</v>
      </c>
      <c r="R2355" s="102">
        <v>40000</v>
      </c>
      <c r="S2355" s="102">
        <f t="shared" si="1270"/>
        <v>220000.00000000003</v>
      </c>
      <c r="T2355" s="102">
        <f t="shared" si="1271"/>
        <v>200000</v>
      </c>
      <c r="U2355" s="71" t="str">
        <f t="shared" si="1266"/>
        <v>X</v>
      </c>
      <c r="V2355" s="71"/>
      <c r="W2355" s="474"/>
      <c r="X2355" s="71"/>
      <c r="Y2355" s="71"/>
    </row>
    <row r="2356" spans="1:25" ht="30" hidden="1" customHeight="1" x14ac:dyDescent="0.25">
      <c r="A2356" s="82">
        <v>190828</v>
      </c>
      <c r="B2356" s="664" t="s">
        <v>1859</v>
      </c>
      <c r="C2356" s="71" t="s">
        <v>1607</v>
      </c>
      <c r="D2356" s="71">
        <v>1170</v>
      </c>
      <c r="E2356" s="102">
        <v>1000</v>
      </c>
      <c r="F2356" s="102">
        <f t="shared" si="1273"/>
        <v>1287000</v>
      </c>
      <c r="G2356" s="102">
        <f t="shared" si="1274"/>
        <v>1170000</v>
      </c>
      <c r="H2356" s="690" t="s">
        <v>173</v>
      </c>
      <c r="I2356" s="71" t="s">
        <v>2230</v>
      </c>
      <c r="J2356" s="53">
        <f t="shared" si="1269"/>
        <v>1170000</v>
      </c>
      <c r="K2356" s="63">
        <f t="shared" si="1275"/>
        <v>1</v>
      </c>
      <c r="L2356" s="871" t="s">
        <v>2025</v>
      </c>
      <c r="M2356" s="468"/>
      <c r="N2356" s="664">
        <f t="shared" si="1272"/>
        <v>190828</v>
      </c>
      <c r="O2356" s="71"/>
      <c r="P2356" s="103" t="str">
        <f>(C2356)</f>
        <v>폐판수거(세흥인쇄)</v>
      </c>
      <c r="Q2356" s="71">
        <f t="shared" si="1267"/>
        <v>1170</v>
      </c>
      <c r="R2356" s="102">
        <v>0</v>
      </c>
      <c r="S2356" s="102">
        <f t="shared" si="1270"/>
        <v>0</v>
      </c>
      <c r="T2356" s="102">
        <f t="shared" si="1271"/>
        <v>0</v>
      </c>
      <c r="U2356" s="71" t="str">
        <f t="shared" si="1266"/>
        <v>X</v>
      </c>
      <c r="V2356" s="71"/>
      <c r="W2356" s="474"/>
      <c r="X2356" s="71"/>
      <c r="Y2356" s="71"/>
    </row>
    <row r="2357" spans="1:25" ht="30" hidden="1" customHeight="1" x14ac:dyDescent="0.25">
      <c r="A2357" s="82">
        <v>190828</v>
      </c>
      <c r="B2357" s="664" t="s">
        <v>640</v>
      </c>
      <c r="C2357" s="71" t="s">
        <v>1144</v>
      </c>
      <c r="D2357" s="71">
        <v>5</v>
      </c>
      <c r="E2357" s="102">
        <v>110000</v>
      </c>
      <c r="F2357" s="102">
        <f t="shared" si="1273"/>
        <v>605000</v>
      </c>
      <c r="G2357" s="102">
        <f t="shared" si="1274"/>
        <v>550000</v>
      </c>
      <c r="H2357" s="690" t="s">
        <v>173</v>
      </c>
      <c r="I2357" s="71" t="s">
        <v>2231</v>
      </c>
      <c r="J2357" s="53">
        <f t="shared" si="1269"/>
        <v>95000</v>
      </c>
      <c r="K2357" s="63">
        <f t="shared" si="1275"/>
        <v>0.17272727272727273</v>
      </c>
      <c r="L2357" s="871" t="s">
        <v>2025</v>
      </c>
      <c r="M2357" s="468"/>
      <c r="N2357" s="664">
        <f t="shared" si="1272"/>
        <v>190828</v>
      </c>
      <c r="O2357" s="71" t="s">
        <v>150</v>
      </c>
      <c r="P2357" s="103" t="str">
        <f>C2357</f>
        <v>실리콘 에멀전</v>
      </c>
      <c r="Q2357" s="71">
        <f t="shared" si="1267"/>
        <v>5</v>
      </c>
      <c r="R2357" s="102">
        <v>91000</v>
      </c>
      <c r="S2357" s="102">
        <f t="shared" si="1270"/>
        <v>500500.00000000006</v>
      </c>
      <c r="T2357" s="102">
        <f t="shared" si="1271"/>
        <v>455000</v>
      </c>
      <c r="U2357" s="71" t="str">
        <f t="shared" si="1266"/>
        <v>O</v>
      </c>
      <c r="V2357" s="71"/>
      <c r="W2357" s="474">
        <f>(G2357-T2357)</f>
        <v>95000</v>
      </c>
      <c r="X2357" s="71"/>
      <c r="Y2357" s="71"/>
    </row>
    <row r="2358" spans="1:25" ht="30" hidden="1" customHeight="1" x14ac:dyDescent="0.25">
      <c r="A2358" s="82">
        <v>190830</v>
      </c>
      <c r="B2358" s="664" t="s">
        <v>746</v>
      </c>
      <c r="C2358" s="71" t="s">
        <v>123</v>
      </c>
      <c r="D2358" s="71">
        <v>6</v>
      </c>
      <c r="E2358" s="102">
        <v>30000</v>
      </c>
      <c r="F2358" s="102">
        <f t="shared" si="1273"/>
        <v>198000.00000000003</v>
      </c>
      <c r="G2358" s="102">
        <f t="shared" si="1274"/>
        <v>180000</v>
      </c>
      <c r="H2358" s="690" t="s">
        <v>1432</v>
      </c>
      <c r="I2358" s="71" t="s">
        <v>1432</v>
      </c>
      <c r="J2358" s="53">
        <f t="shared" si="1269"/>
        <v>45234</v>
      </c>
      <c r="K2358" s="63">
        <f t="shared" si="1275"/>
        <v>0.25129999999999997</v>
      </c>
      <c r="L2358" s="871" t="s">
        <v>2025</v>
      </c>
      <c r="M2358" s="468"/>
      <c r="N2358" s="664">
        <f t="shared" si="1272"/>
        <v>190830</v>
      </c>
      <c r="O2358" s="71" t="s">
        <v>1432</v>
      </c>
      <c r="P2358" s="103" t="str">
        <f>(C2358)</f>
        <v>필터백</v>
      </c>
      <c r="Q2358" s="71">
        <f t="shared" si="1267"/>
        <v>6</v>
      </c>
      <c r="R2358" s="102">
        <v>22461</v>
      </c>
      <c r="S2358" s="102">
        <f t="shared" si="1270"/>
        <v>148242.6</v>
      </c>
      <c r="T2358" s="102">
        <f t="shared" si="1271"/>
        <v>134766</v>
      </c>
      <c r="U2358" s="71" t="str">
        <f t="shared" si="1266"/>
        <v>X</v>
      </c>
      <c r="V2358" s="71"/>
      <c r="W2358" s="474"/>
      <c r="X2358" s="71"/>
      <c r="Y2358" s="71"/>
    </row>
    <row r="2359" spans="1:25" ht="30" hidden="1" customHeight="1" x14ac:dyDescent="0.25">
      <c r="A2359" s="82">
        <v>190830</v>
      </c>
      <c r="B2359" s="664" t="s">
        <v>545</v>
      </c>
      <c r="C2359" s="71" t="s">
        <v>805</v>
      </c>
      <c r="D2359" s="71">
        <v>2</v>
      </c>
      <c r="E2359" s="102">
        <v>180000</v>
      </c>
      <c r="F2359" s="102">
        <v>396000.00000000006</v>
      </c>
      <c r="G2359" s="102">
        <v>360000</v>
      </c>
      <c r="H2359" s="690" t="s">
        <v>173</v>
      </c>
      <c r="I2359" s="71" t="s">
        <v>120</v>
      </c>
      <c r="J2359" s="53">
        <f t="shared" si="1269"/>
        <v>80000</v>
      </c>
      <c r="K2359" s="63">
        <f t="shared" si="1275"/>
        <v>0.22222222222222218</v>
      </c>
      <c r="L2359" s="871" t="s">
        <v>2025</v>
      </c>
      <c r="M2359" s="468"/>
      <c r="N2359" s="664">
        <f t="shared" si="1272"/>
        <v>190830</v>
      </c>
      <c r="O2359" s="71" t="s">
        <v>150</v>
      </c>
      <c r="P2359" s="103" t="s">
        <v>166</v>
      </c>
      <c r="Q2359" s="71">
        <f t="shared" si="1267"/>
        <v>2</v>
      </c>
      <c r="R2359" s="102">
        <v>140000</v>
      </c>
      <c r="S2359" s="102">
        <f t="shared" si="1270"/>
        <v>308000</v>
      </c>
      <c r="T2359" s="102">
        <f t="shared" si="1271"/>
        <v>280000</v>
      </c>
      <c r="U2359" s="71" t="str">
        <f t="shared" si="1266"/>
        <v>X</v>
      </c>
      <c r="V2359" s="71"/>
      <c r="W2359" s="474"/>
      <c r="X2359" s="71"/>
      <c r="Y2359" s="71"/>
    </row>
    <row r="2360" spans="1:25" ht="30" hidden="1" customHeight="1" x14ac:dyDescent="0.25">
      <c r="A2360" s="82">
        <v>190830</v>
      </c>
      <c r="B2360" s="664" t="s">
        <v>545</v>
      </c>
      <c r="C2360" s="71" t="s">
        <v>227</v>
      </c>
      <c r="D2360" s="71">
        <v>10</v>
      </c>
      <c r="E2360" s="102">
        <v>110000</v>
      </c>
      <c r="F2360" s="102">
        <f>(E2360*D2360)*1.1</f>
        <v>1210000</v>
      </c>
      <c r="G2360" s="102">
        <f>(E2360*D2360)</f>
        <v>1100000</v>
      </c>
      <c r="H2360" s="690" t="s">
        <v>173</v>
      </c>
      <c r="I2360" s="71" t="s">
        <v>109</v>
      </c>
      <c r="J2360" s="53">
        <f t="shared" si="1269"/>
        <v>271000</v>
      </c>
      <c r="K2360" s="63">
        <f t="shared" si="1275"/>
        <v>0.24636363636363637</v>
      </c>
      <c r="L2360" s="871" t="s">
        <v>2025</v>
      </c>
      <c r="M2360" s="468"/>
      <c r="N2360" s="664">
        <f>A2360</f>
        <v>190830</v>
      </c>
      <c r="O2360" s="71" t="s">
        <v>147</v>
      </c>
      <c r="P2360" s="103" t="str">
        <f>C2360</f>
        <v>Blanket(1060*860)</v>
      </c>
      <c r="Q2360" s="71">
        <f t="shared" si="1267"/>
        <v>10</v>
      </c>
      <c r="R2360" s="102">
        <v>82900</v>
      </c>
      <c r="S2360" s="102">
        <f t="shared" si="1270"/>
        <v>911900.00000000012</v>
      </c>
      <c r="T2360" s="102">
        <f t="shared" si="1271"/>
        <v>829000</v>
      </c>
      <c r="U2360" s="71" t="str">
        <f t="shared" si="1266"/>
        <v>O</v>
      </c>
      <c r="V2360" s="71"/>
      <c r="W2360" s="474">
        <f>(G2360-T2360)</f>
        <v>271000</v>
      </c>
      <c r="X2360" s="71"/>
      <c r="Y2360" s="71"/>
    </row>
    <row r="2361" spans="1:25" ht="30" customHeight="1" x14ac:dyDescent="0.25">
      <c r="A2361" s="82">
        <v>190830</v>
      </c>
      <c r="B2361" s="664" t="s">
        <v>565</v>
      </c>
      <c r="C2361" s="71" t="s">
        <v>2057</v>
      </c>
      <c r="D2361" s="71">
        <v>1</v>
      </c>
      <c r="E2361" s="102">
        <v>950000</v>
      </c>
      <c r="F2361" s="102">
        <f>(E2361*D2361)*1.1</f>
        <v>1045000.0000000001</v>
      </c>
      <c r="G2361" s="102">
        <f>(E2361*D2361)</f>
        <v>950000</v>
      </c>
      <c r="H2361" s="690" t="s">
        <v>1431</v>
      </c>
      <c r="I2361" s="71" t="s">
        <v>1431</v>
      </c>
      <c r="J2361" s="53">
        <f t="shared" si="1269"/>
        <v>150000</v>
      </c>
      <c r="K2361" s="63">
        <f t="shared" si="1275"/>
        <v>0.15789473684210525</v>
      </c>
      <c r="L2361" s="871" t="s">
        <v>2025</v>
      </c>
      <c r="M2361" s="468"/>
      <c r="N2361" s="664">
        <f>A2361</f>
        <v>190830</v>
      </c>
      <c r="O2361" s="71" t="s">
        <v>2058</v>
      </c>
      <c r="P2361" s="103" t="str">
        <f>C2361</f>
        <v>습수중간탱크 개조</v>
      </c>
      <c r="Q2361" s="71">
        <f>D2361</f>
        <v>1</v>
      </c>
      <c r="R2361" s="102">
        <v>800000</v>
      </c>
      <c r="S2361" s="102">
        <f t="shared" si="1270"/>
        <v>880000.00000000012</v>
      </c>
      <c r="T2361" s="102">
        <f t="shared" si="1271"/>
        <v>800000</v>
      </c>
      <c r="U2361" s="71" t="str">
        <f t="shared" si="1266"/>
        <v>X</v>
      </c>
      <c r="V2361" s="71"/>
      <c r="W2361" s="474"/>
      <c r="X2361" s="71"/>
      <c r="Y2361" s="71"/>
    </row>
    <row r="2362" spans="1:25" s="978" customFormat="1" ht="45" hidden="1" customHeight="1" x14ac:dyDescent="0.25">
      <c r="A2362" s="982" t="s">
        <v>2046</v>
      </c>
      <c r="B2362" s="976" t="s">
        <v>544</v>
      </c>
      <c r="C2362" s="453"/>
      <c r="D2362" s="453"/>
      <c r="E2362" s="454"/>
      <c r="F2362" s="454"/>
      <c r="G2362" s="454"/>
      <c r="H2362" s="455"/>
      <c r="I2362" s="453"/>
      <c r="J2362" s="417"/>
      <c r="K2362" s="418"/>
      <c r="L2362" s="983" t="s">
        <v>2047</v>
      </c>
      <c r="M2362" s="643"/>
      <c r="N2362" s="724" t="str">
        <f>A2362</f>
        <v>2019,9</v>
      </c>
      <c r="O2362" s="453" t="s">
        <v>154</v>
      </c>
      <c r="P2362" s="728"/>
      <c r="Q2362" s="419"/>
      <c r="R2362" s="420"/>
      <c r="S2362" s="417"/>
      <c r="T2362" s="417"/>
      <c r="U2362" s="421"/>
      <c r="V2362" s="421"/>
      <c r="W2362" s="479">
        <f>(G2362-T2362)</f>
        <v>0</v>
      </c>
      <c r="X2362" s="421"/>
      <c r="Y2362" s="421"/>
    </row>
    <row r="2363" spans="1:25" ht="30" hidden="1" customHeight="1" x14ac:dyDescent="0.25">
      <c r="A2363" s="82">
        <v>180827</v>
      </c>
      <c r="B2363" s="664" t="s">
        <v>748</v>
      </c>
      <c r="C2363" s="71" t="s">
        <v>114</v>
      </c>
      <c r="D2363" s="71">
        <v>50</v>
      </c>
      <c r="E2363" s="102">
        <v>18000</v>
      </c>
      <c r="F2363" s="102">
        <f>(E2363*D2363)*1.1</f>
        <v>990000.00000000012</v>
      </c>
      <c r="G2363" s="102">
        <f>(E2363*D2363)</f>
        <v>900000</v>
      </c>
      <c r="H2363" s="690" t="s">
        <v>1431</v>
      </c>
      <c r="I2363" s="71" t="s">
        <v>1431</v>
      </c>
      <c r="J2363" s="53">
        <f>G2363-T2363</f>
        <v>450000</v>
      </c>
      <c r="K2363" s="63">
        <f>(J2363/(F2363/11*10))</f>
        <v>0.49999999999999994</v>
      </c>
      <c r="L2363" s="871" t="s">
        <v>2047</v>
      </c>
      <c r="M2363" s="468"/>
      <c r="N2363" s="664"/>
      <c r="O2363" s="71" t="s">
        <v>1786</v>
      </c>
      <c r="P2363" s="103" t="str">
        <f t="shared" ref="P2363:Q2367" si="1276">C2363</f>
        <v>스트리퍼</v>
      </c>
      <c r="Q2363" s="71">
        <f t="shared" si="1276"/>
        <v>50</v>
      </c>
      <c r="R2363" s="102">
        <v>9000</v>
      </c>
      <c r="S2363" s="102">
        <f t="shared" ref="S2363:S2371" si="1277">R2363*Q2363*1.1</f>
        <v>495000.00000000006</v>
      </c>
      <c r="T2363" s="102">
        <f t="shared" ref="T2363:T2371" si="1278">R2363*Q2363</f>
        <v>450000</v>
      </c>
      <c r="U2363" s="71"/>
      <c r="V2363" s="71"/>
      <c r="W2363" s="474"/>
      <c r="X2363" s="71"/>
      <c r="Y2363" s="71"/>
    </row>
    <row r="2364" spans="1:25" ht="30" hidden="1" customHeight="1" x14ac:dyDescent="0.25">
      <c r="A2364" s="82">
        <v>190828</v>
      </c>
      <c r="B2364" s="664" t="s">
        <v>442</v>
      </c>
      <c r="C2364" s="71" t="s">
        <v>773</v>
      </c>
      <c r="D2364" s="71">
        <v>6</v>
      </c>
      <c r="E2364" s="102">
        <v>192000</v>
      </c>
      <c r="F2364" s="102">
        <f>(E2364*D2364)*1.1</f>
        <v>1267200</v>
      </c>
      <c r="G2364" s="102">
        <f>(E2364*D2364)</f>
        <v>1152000</v>
      </c>
      <c r="H2364" s="690" t="s">
        <v>173</v>
      </c>
      <c r="I2364" s="71" t="s">
        <v>109</v>
      </c>
      <c r="J2364" s="53">
        <f>G2364-T2364</f>
        <v>144000</v>
      </c>
      <c r="K2364" s="63">
        <f>(J2364/(F2364/11*10))</f>
        <v>0.125</v>
      </c>
      <c r="L2364" s="871" t="s">
        <v>2047</v>
      </c>
      <c r="M2364" s="468"/>
      <c r="N2364" s="664">
        <f t="shared" ref="N2364:N2375" si="1279">A2364</f>
        <v>190828</v>
      </c>
      <c r="O2364" s="71" t="s">
        <v>151</v>
      </c>
      <c r="P2364" s="103" t="str">
        <f t="shared" si="1276"/>
        <v>로랜드 전지 블랑켓(1460*1165)bar</v>
      </c>
      <c r="Q2364" s="71">
        <f t="shared" si="1276"/>
        <v>6</v>
      </c>
      <c r="R2364" s="102">
        <v>168000</v>
      </c>
      <c r="S2364" s="102">
        <f t="shared" si="1277"/>
        <v>1108800</v>
      </c>
      <c r="T2364" s="102">
        <f t="shared" si="1278"/>
        <v>1008000</v>
      </c>
      <c r="U2364" s="71" t="s">
        <v>859</v>
      </c>
      <c r="V2364" s="71"/>
      <c r="W2364" s="474">
        <v>120000</v>
      </c>
      <c r="X2364" s="71"/>
      <c r="Y2364" s="71"/>
    </row>
    <row r="2365" spans="1:25" ht="30" hidden="1" customHeight="1" x14ac:dyDescent="0.25">
      <c r="A2365" s="82">
        <v>190828</v>
      </c>
      <c r="B2365" s="664" t="s">
        <v>575</v>
      </c>
      <c r="C2365" s="71" t="s">
        <v>2086</v>
      </c>
      <c r="D2365" s="71">
        <v>1</v>
      </c>
      <c r="E2365" s="102">
        <v>1000000</v>
      </c>
      <c r="F2365" s="102">
        <f>(E2365*D2365)*1.1</f>
        <v>1100000</v>
      </c>
      <c r="G2365" s="102">
        <f>(E2365*D2365)</f>
        <v>1000000</v>
      </c>
      <c r="H2365" s="690" t="s">
        <v>142</v>
      </c>
      <c r="I2365" s="71" t="s">
        <v>142</v>
      </c>
      <c r="J2365" s="53">
        <f>G2365-T2365</f>
        <v>174323.75</v>
      </c>
      <c r="K2365" s="63">
        <f>(J2365/(F2365/11*10))</f>
        <v>0.17432375</v>
      </c>
      <c r="L2365" s="871" t="s">
        <v>2069</v>
      </c>
      <c r="M2365" s="468"/>
      <c r="N2365" s="664">
        <f t="shared" si="1279"/>
        <v>190828</v>
      </c>
      <c r="O2365" s="71" t="s">
        <v>1409</v>
      </c>
      <c r="P2365" s="103" t="str">
        <f t="shared" si="1276"/>
        <v>Onevision 서비스 비용(1회차)</v>
      </c>
      <c r="Q2365" s="71">
        <f t="shared" si="1276"/>
        <v>1</v>
      </c>
      <c r="R2365" s="102">
        <f>3302705/4</f>
        <v>825676.25</v>
      </c>
      <c r="S2365" s="102">
        <f t="shared" si="1277"/>
        <v>908243.87500000012</v>
      </c>
      <c r="T2365" s="102">
        <f t="shared" si="1278"/>
        <v>825676.25</v>
      </c>
      <c r="U2365" s="71" t="s">
        <v>859</v>
      </c>
      <c r="V2365" s="71"/>
      <c r="W2365" s="474">
        <v>130000</v>
      </c>
      <c r="X2365" s="71"/>
      <c r="Y2365" s="71"/>
    </row>
    <row r="2366" spans="1:25" ht="30" hidden="1" customHeight="1" x14ac:dyDescent="0.25">
      <c r="A2366" s="82">
        <v>190828</v>
      </c>
      <c r="B2366" s="664" t="s">
        <v>2076</v>
      </c>
      <c r="C2366" s="71" t="s">
        <v>2082</v>
      </c>
      <c r="D2366" s="71">
        <v>1</v>
      </c>
      <c r="E2366" s="102">
        <v>2500000</v>
      </c>
      <c r="F2366" s="102">
        <f>(E2366*D2366)*1.1</f>
        <v>2750000</v>
      </c>
      <c r="G2366" s="102">
        <f>(E2366*D2366)</f>
        <v>2500000</v>
      </c>
      <c r="H2366" s="690" t="s">
        <v>985</v>
      </c>
      <c r="I2366" s="71" t="s">
        <v>985</v>
      </c>
      <c r="J2366" s="53">
        <f>G2366-T2366</f>
        <v>2500000</v>
      </c>
      <c r="K2366" s="63">
        <f>(J2366/(F2366/11*10))</f>
        <v>1</v>
      </c>
      <c r="L2366" s="871" t="s">
        <v>2047</v>
      </c>
      <c r="M2366" s="468"/>
      <c r="N2366" s="664">
        <f t="shared" si="1279"/>
        <v>190828</v>
      </c>
      <c r="O2366" s="71"/>
      <c r="P2366" s="103" t="str">
        <f t="shared" si="1276"/>
        <v>Polyman 수리 건 - 알레스 서비스 비용</v>
      </c>
      <c r="Q2366" s="71">
        <f t="shared" si="1276"/>
        <v>1</v>
      </c>
      <c r="R2366" s="102"/>
      <c r="S2366" s="102">
        <f t="shared" si="1277"/>
        <v>0</v>
      </c>
      <c r="T2366" s="102">
        <f t="shared" si="1278"/>
        <v>0</v>
      </c>
      <c r="U2366" s="71"/>
      <c r="V2366" s="71"/>
      <c r="W2366" s="474"/>
      <c r="X2366" s="71"/>
      <c r="Y2366" s="71"/>
    </row>
    <row r="2367" spans="1:25" ht="30" hidden="1" customHeight="1" x14ac:dyDescent="0.25">
      <c r="A2367" s="82">
        <v>190902</v>
      </c>
      <c r="B2367" s="664" t="s">
        <v>446</v>
      </c>
      <c r="C2367" s="71" t="s">
        <v>2028</v>
      </c>
      <c r="D2367" s="71">
        <v>8</v>
      </c>
      <c r="E2367" s="102">
        <v>110000</v>
      </c>
      <c r="F2367" s="102">
        <f t="shared" ref="F2367:F2409" si="1280">(E2367*D2367)*1.1</f>
        <v>968000.00000000012</v>
      </c>
      <c r="G2367" s="102">
        <f t="shared" ref="G2367:G2409" si="1281">(E2367*D2367)</f>
        <v>880000</v>
      </c>
      <c r="H2367" s="690" t="s">
        <v>2029</v>
      </c>
      <c r="I2367" s="71" t="s">
        <v>2231</v>
      </c>
      <c r="J2367" s="53">
        <f>G2367-T2367</f>
        <v>152000</v>
      </c>
      <c r="K2367" s="63">
        <f t="shared" ref="K2367:K2431" si="1282">(J2367/(F2367/11*10))</f>
        <v>0.1727272727272727</v>
      </c>
      <c r="L2367" s="871" t="s">
        <v>2069</v>
      </c>
      <c r="M2367" s="468"/>
      <c r="N2367" s="664">
        <f t="shared" si="1279"/>
        <v>190902</v>
      </c>
      <c r="O2367" s="71" t="s">
        <v>2030</v>
      </c>
      <c r="P2367" s="103" t="str">
        <f t="shared" si="1276"/>
        <v>실리콘 에멀전</v>
      </c>
      <c r="Q2367" s="71">
        <f t="shared" si="1276"/>
        <v>8</v>
      </c>
      <c r="R2367" s="102">
        <v>91000</v>
      </c>
      <c r="S2367" s="102">
        <f t="shared" si="1277"/>
        <v>800800.00000000012</v>
      </c>
      <c r="T2367" s="102">
        <f t="shared" si="1278"/>
        <v>728000</v>
      </c>
      <c r="U2367" s="71" t="str">
        <f>IF(J2367=W2367,"O", "X")</f>
        <v>O</v>
      </c>
      <c r="V2367" s="71"/>
      <c r="W2367" s="474">
        <f>(G2367-T2367)</f>
        <v>152000</v>
      </c>
      <c r="X2367" s="71"/>
      <c r="Y2367" s="71"/>
    </row>
    <row r="2368" spans="1:25" ht="30" customHeight="1" x14ac:dyDescent="0.25">
      <c r="A2368" s="82">
        <v>190902</v>
      </c>
      <c r="B2368" s="664" t="s">
        <v>422</v>
      </c>
      <c r="C2368" s="71" t="s">
        <v>129</v>
      </c>
      <c r="D2368" s="71">
        <v>7</v>
      </c>
      <c r="E2368" s="102">
        <v>272000</v>
      </c>
      <c r="F2368" s="102">
        <f t="shared" si="1280"/>
        <v>2094400.0000000002</v>
      </c>
      <c r="G2368" s="102">
        <f t="shared" si="1281"/>
        <v>1904000</v>
      </c>
      <c r="H2368" s="690" t="s">
        <v>173</v>
      </c>
      <c r="I2368" s="71" t="s">
        <v>108</v>
      </c>
      <c r="J2368" s="53">
        <f>(G2368-(VLOOKUP(C2368,Price!B:D,3,FALSE)*D2368))</f>
        <v>448000</v>
      </c>
      <c r="K2368" s="63">
        <f t="shared" si="1282"/>
        <v>0.23529411764705879</v>
      </c>
      <c r="L2368" s="871" t="s">
        <v>2069</v>
      </c>
      <c r="M2368" s="468" t="s">
        <v>2050</v>
      </c>
      <c r="N2368" s="664">
        <f t="shared" si="1279"/>
        <v>190902</v>
      </c>
      <c r="O2368" s="71" t="s">
        <v>149</v>
      </c>
      <c r="P2368" s="103" t="str">
        <f>C2368</f>
        <v>세정포-XL106</v>
      </c>
      <c r="Q2368" s="71">
        <f>D2368</f>
        <v>7</v>
      </c>
      <c r="R2368" s="102">
        <v>208000</v>
      </c>
      <c r="S2368" s="102">
        <f t="shared" si="1277"/>
        <v>1601600.0000000002</v>
      </c>
      <c r="T2368" s="102">
        <f t="shared" si="1278"/>
        <v>1456000</v>
      </c>
      <c r="U2368" s="71" t="str">
        <f>IF(J2368=W2368,"O", "X")</f>
        <v>O</v>
      </c>
      <c r="V2368" s="71"/>
      <c r="W2368" s="474">
        <f>(G2368-T2368)</f>
        <v>448000</v>
      </c>
      <c r="X2368" s="71"/>
      <c r="Y2368" s="71"/>
    </row>
    <row r="2369" spans="1:25" s="209" customFormat="1" ht="30" customHeight="1" x14ac:dyDescent="0.2">
      <c r="A2369" s="82">
        <v>190902</v>
      </c>
      <c r="B2369" s="664" t="s">
        <v>422</v>
      </c>
      <c r="C2369" s="71" t="s">
        <v>130</v>
      </c>
      <c r="D2369" s="71">
        <v>20</v>
      </c>
      <c r="E2369" s="102">
        <v>125000</v>
      </c>
      <c r="F2369" s="163">
        <f t="shared" si="1280"/>
        <v>2750000</v>
      </c>
      <c r="G2369" s="102">
        <f t="shared" si="1281"/>
        <v>2500000</v>
      </c>
      <c r="H2369" s="165" t="s">
        <v>172</v>
      </c>
      <c r="I2369" s="71" t="s">
        <v>109</v>
      </c>
      <c r="J2369" s="53">
        <f>(G2369-(VLOOKUP(C2369,Price!B:D,3,FALSE)*D2369))</f>
        <v>520000</v>
      </c>
      <c r="K2369" s="63">
        <f t="shared" si="1282"/>
        <v>0.20799999999999999</v>
      </c>
      <c r="L2369" s="871" t="s">
        <v>2069</v>
      </c>
      <c r="M2369" s="468" t="s">
        <v>2050</v>
      </c>
      <c r="N2369" s="664">
        <f t="shared" si="1279"/>
        <v>190902</v>
      </c>
      <c r="O2369" s="71" t="s">
        <v>150</v>
      </c>
      <c r="P2369" s="103" t="str">
        <f>(C2369)</f>
        <v>XL106 Blanket(1077*885)</v>
      </c>
      <c r="Q2369" s="71">
        <f t="shared" ref="Q2369:Q2380" si="1283">D2369</f>
        <v>20</v>
      </c>
      <c r="R2369" s="102">
        <v>99000</v>
      </c>
      <c r="S2369" s="102">
        <f t="shared" si="1277"/>
        <v>2178000</v>
      </c>
      <c r="T2369" s="102">
        <f t="shared" si="1278"/>
        <v>1980000</v>
      </c>
      <c r="U2369" s="71" t="str">
        <f>IF(J2369=W2369,"O", "X")</f>
        <v>O</v>
      </c>
      <c r="V2369" s="71"/>
      <c r="W2369" s="474">
        <f>(G2369-T2369)</f>
        <v>520000</v>
      </c>
      <c r="X2369" s="71"/>
      <c r="Y2369" s="71"/>
    </row>
    <row r="2370" spans="1:25" s="209" customFormat="1" ht="30" hidden="1" customHeight="1" x14ac:dyDescent="0.25">
      <c r="A2370" s="82">
        <v>190902</v>
      </c>
      <c r="B2370" s="664" t="s">
        <v>442</v>
      </c>
      <c r="C2370" s="71" t="s">
        <v>138</v>
      </c>
      <c r="D2370" s="71">
        <v>23</v>
      </c>
      <c r="E2370" s="102">
        <v>69000</v>
      </c>
      <c r="F2370" s="102">
        <f t="shared" si="1280"/>
        <v>1745700.0000000002</v>
      </c>
      <c r="G2370" s="102">
        <f t="shared" si="1281"/>
        <v>1587000</v>
      </c>
      <c r="H2370" s="690" t="s">
        <v>173</v>
      </c>
      <c r="I2370" s="71" t="s">
        <v>108</v>
      </c>
      <c r="J2370" s="53">
        <f>G2370-T2370</f>
        <v>414000</v>
      </c>
      <c r="K2370" s="63">
        <f t="shared" si="1282"/>
        <v>0.26086956521739124</v>
      </c>
      <c r="L2370" s="871" t="s">
        <v>2069</v>
      </c>
      <c r="M2370" s="468" t="s">
        <v>1854</v>
      </c>
      <c r="N2370" s="664">
        <f t="shared" si="1279"/>
        <v>190902</v>
      </c>
      <c r="O2370" s="71" t="s">
        <v>150</v>
      </c>
      <c r="P2370" s="103" t="s">
        <v>1914</v>
      </c>
      <c r="Q2370" s="71">
        <f t="shared" si="1283"/>
        <v>23</v>
      </c>
      <c r="R2370" s="102">
        <v>51000</v>
      </c>
      <c r="S2370" s="102">
        <f t="shared" si="1277"/>
        <v>1290300</v>
      </c>
      <c r="T2370" s="102">
        <f t="shared" si="1278"/>
        <v>1173000</v>
      </c>
      <c r="U2370" s="71" t="s">
        <v>1915</v>
      </c>
      <c r="V2370" s="71"/>
      <c r="W2370" s="474">
        <v>396000</v>
      </c>
      <c r="X2370" s="71"/>
      <c r="Y2370" s="71"/>
    </row>
    <row r="2371" spans="1:25" ht="30" hidden="1" customHeight="1" x14ac:dyDescent="0.25">
      <c r="A2371" s="82">
        <v>190902</v>
      </c>
      <c r="B2371" s="664" t="s">
        <v>690</v>
      </c>
      <c r="C2371" s="71" t="s">
        <v>217</v>
      </c>
      <c r="D2371" s="71">
        <v>1</v>
      </c>
      <c r="E2371" s="102">
        <v>145000</v>
      </c>
      <c r="F2371" s="102">
        <f t="shared" si="1280"/>
        <v>159500</v>
      </c>
      <c r="G2371" s="102">
        <f t="shared" si="1281"/>
        <v>145000</v>
      </c>
      <c r="H2371" s="690" t="s">
        <v>173</v>
      </c>
      <c r="I2371" s="71" t="s">
        <v>108</v>
      </c>
      <c r="J2371" s="53">
        <f>G2371-T2371</f>
        <v>65000</v>
      </c>
      <c r="K2371" s="63">
        <f t="shared" si="1282"/>
        <v>0.44827586206896552</v>
      </c>
      <c r="L2371" s="871" t="s">
        <v>2069</v>
      </c>
      <c r="M2371" s="468"/>
      <c r="N2371" s="664">
        <f t="shared" si="1279"/>
        <v>190902</v>
      </c>
      <c r="O2371" s="71" t="s">
        <v>150</v>
      </c>
      <c r="P2371" s="103" t="s">
        <v>1916</v>
      </c>
      <c r="Q2371" s="71">
        <f t="shared" si="1283"/>
        <v>1</v>
      </c>
      <c r="R2371" s="102">
        <v>80000</v>
      </c>
      <c r="S2371" s="102">
        <f t="shared" si="1277"/>
        <v>88000</v>
      </c>
      <c r="T2371" s="102">
        <f t="shared" si="1278"/>
        <v>80000</v>
      </c>
      <c r="U2371" s="71" t="s">
        <v>859</v>
      </c>
      <c r="V2371" s="71"/>
      <c r="W2371" s="474">
        <v>130000</v>
      </c>
      <c r="X2371" s="71"/>
      <c r="Y2371" s="71"/>
    </row>
    <row r="2372" spans="1:25" s="209" customFormat="1" ht="30" hidden="1" customHeight="1" x14ac:dyDescent="0.25">
      <c r="A2372" s="82">
        <v>190903</v>
      </c>
      <c r="B2372" s="664" t="s">
        <v>1286</v>
      </c>
      <c r="C2372" s="71" t="s">
        <v>277</v>
      </c>
      <c r="D2372" s="71">
        <v>6</v>
      </c>
      <c r="E2372" s="102">
        <v>172000</v>
      </c>
      <c r="F2372" s="102">
        <f t="shared" si="1280"/>
        <v>1135200</v>
      </c>
      <c r="G2372" s="102">
        <f t="shared" si="1281"/>
        <v>1032000</v>
      </c>
      <c r="H2372" s="690" t="s">
        <v>173</v>
      </c>
      <c r="I2372" s="71" t="s">
        <v>108</v>
      </c>
      <c r="J2372" s="53">
        <f>(G2372-(VLOOKUP(C2372,Price!B:D,3,FALSE)*D2372))</f>
        <v>342000</v>
      </c>
      <c r="K2372" s="63">
        <f>(J2372/(F2372/11*10))</f>
        <v>0.33139534883720928</v>
      </c>
      <c r="L2372" s="871" t="s">
        <v>2069</v>
      </c>
      <c r="M2372" s="468"/>
      <c r="N2372" s="664">
        <f t="shared" si="1279"/>
        <v>190903</v>
      </c>
      <c r="O2372" s="71" t="s">
        <v>150</v>
      </c>
      <c r="P2372" s="103" t="str">
        <f>(C2372)</f>
        <v>윤전용 세척제(Web 504)</v>
      </c>
      <c r="Q2372" s="71">
        <f t="shared" si="1283"/>
        <v>6</v>
      </c>
      <c r="R2372" s="102">
        <v>115000</v>
      </c>
      <c r="S2372" s="102">
        <f>(R2372*D2372)*1.1</f>
        <v>759000.00000000012</v>
      </c>
      <c r="T2372" s="102">
        <f>(R2372*Q2372)</f>
        <v>690000</v>
      </c>
      <c r="U2372" s="71" t="str">
        <f>IF(J2372=W2372,"O", "X")</f>
        <v>O</v>
      </c>
      <c r="V2372" s="71"/>
      <c r="W2372" s="474">
        <f>(G2372-T2372)</f>
        <v>342000</v>
      </c>
      <c r="X2372" s="71"/>
      <c r="Y2372" s="71"/>
    </row>
    <row r="2373" spans="1:25" s="209" customFormat="1" ht="30" hidden="1" customHeight="1" x14ac:dyDescent="0.25">
      <c r="A2373" s="82">
        <v>190903</v>
      </c>
      <c r="B2373" s="664" t="s">
        <v>1286</v>
      </c>
      <c r="C2373" s="71" t="s">
        <v>1144</v>
      </c>
      <c r="D2373" s="71">
        <v>5</v>
      </c>
      <c r="E2373" s="102">
        <v>110000</v>
      </c>
      <c r="F2373" s="102">
        <f t="shared" si="1280"/>
        <v>605000</v>
      </c>
      <c r="G2373" s="102">
        <f t="shared" si="1281"/>
        <v>550000</v>
      </c>
      <c r="H2373" s="690" t="s">
        <v>173</v>
      </c>
      <c r="I2373" s="71" t="s">
        <v>2231</v>
      </c>
      <c r="J2373" s="53">
        <f>G2373-T2373</f>
        <v>95000</v>
      </c>
      <c r="K2373" s="63">
        <f>(J2373/(F2373/11*10))</f>
        <v>0.17272727272727273</v>
      </c>
      <c r="L2373" s="871" t="s">
        <v>2069</v>
      </c>
      <c r="M2373" s="468"/>
      <c r="N2373" s="664">
        <f t="shared" si="1279"/>
        <v>190903</v>
      </c>
      <c r="O2373" s="71" t="s">
        <v>150</v>
      </c>
      <c r="P2373" s="103" t="str">
        <f>C2373</f>
        <v>실리콘 에멀전</v>
      </c>
      <c r="Q2373" s="71">
        <f t="shared" si="1283"/>
        <v>5</v>
      </c>
      <c r="R2373" s="102">
        <v>91000</v>
      </c>
      <c r="S2373" s="102">
        <f t="shared" ref="S2373:S2400" si="1284">R2373*Q2373*1.1</f>
        <v>500500.00000000006</v>
      </c>
      <c r="T2373" s="102">
        <f t="shared" ref="T2373:T2400" si="1285">R2373*Q2373</f>
        <v>455000</v>
      </c>
      <c r="U2373" s="71" t="str">
        <f>IF(J2373=W2373,"O", "X")</f>
        <v>O</v>
      </c>
      <c r="V2373" s="71"/>
      <c r="W2373" s="474">
        <f>(G2373-T2373)</f>
        <v>95000</v>
      </c>
      <c r="X2373" s="71"/>
      <c r="Y2373" s="71"/>
    </row>
    <row r="2374" spans="1:25" ht="30" customHeight="1" x14ac:dyDescent="0.25">
      <c r="A2374" s="82">
        <v>190903</v>
      </c>
      <c r="B2374" s="664" t="s">
        <v>422</v>
      </c>
      <c r="C2374" s="760" t="s">
        <v>218</v>
      </c>
      <c r="D2374" s="71">
        <v>3</v>
      </c>
      <c r="E2374" s="102">
        <v>235000</v>
      </c>
      <c r="F2374" s="102">
        <f t="shared" si="1280"/>
        <v>775500.00000000012</v>
      </c>
      <c r="G2374" s="102">
        <f t="shared" si="1281"/>
        <v>705000</v>
      </c>
      <c r="H2374" s="690" t="s">
        <v>173</v>
      </c>
      <c r="I2374" s="71" t="s">
        <v>120</v>
      </c>
      <c r="J2374" s="53">
        <f>(G2374-(VLOOKUP(C2374,Price!B:D,3,FALSE)*D2374))</f>
        <v>367500</v>
      </c>
      <c r="K2374" s="63">
        <f>(J2374/(F2374/11*10))</f>
        <v>0.52127659574468077</v>
      </c>
      <c r="L2374" s="871" t="s">
        <v>2069</v>
      </c>
      <c r="M2374" s="468" t="s">
        <v>2053</v>
      </c>
      <c r="N2374" s="664">
        <f t="shared" si="1279"/>
        <v>190903</v>
      </c>
      <c r="O2374" s="71" t="s">
        <v>150</v>
      </c>
      <c r="P2374" s="103" t="str">
        <f>C2374</f>
        <v>Fount Web 551AF</v>
      </c>
      <c r="Q2374" s="71">
        <f t="shared" si="1283"/>
        <v>3</v>
      </c>
      <c r="R2374" s="102">
        <v>112500</v>
      </c>
      <c r="S2374" s="102">
        <f t="shared" si="1284"/>
        <v>371250.00000000006</v>
      </c>
      <c r="T2374" s="102">
        <f t="shared" si="1285"/>
        <v>337500</v>
      </c>
      <c r="U2374" s="71" t="str">
        <f>IF(J2374=W2374,"O", "X")</f>
        <v>O</v>
      </c>
      <c r="V2374" s="71"/>
      <c r="W2374" s="474">
        <f>(G2374-T2374)</f>
        <v>367500</v>
      </c>
      <c r="X2374" s="71"/>
      <c r="Y2374" s="71"/>
    </row>
    <row r="2375" spans="1:25" ht="30" hidden="1" customHeight="1" x14ac:dyDescent="0.25">
      <c r="A2375" s="82">
        <v>190905</v>
      </c>
      <c r="B2375" s="664" t="s">
        <v>446</v>
      </c>
      <c r="C2375" s="71" t="s">
        <v>2028</v>
      </c>
      <c r="D2375" s="71">
        <v>8</v>
      </c>
      <c r="E2375" s="102">
        <v>110000</v>
      </c>
      <c r="F2375" s="102">
        <f t="shared" si="1280"/>
        <v>968000.00000000012</v>
      </c>
      <c r="G2375" s="102">
        <f t="shared" si="1281"/>
        <v>880000</v>
      </c>
      <c r="H2375" s="690" t="s">
        <v>2029</v>
      </c>
      <c r="I2375" s="71" t="s">
        <v>2231</v>
      </c>
      <c r="J2375" s="53">
        <f>G2375-T2375</f>
        <v>152000</v>
      </c>
      <c r="K2375" s="63">
        <f t="shared" si="1282"/>
        <v>0.1727272727272727</v>
      </c>
      <c r="L2375" s="871" t="s">
        <v>2069</v>
      </c>
      <c r="M2375" s="468"/>
      <c r="N2375" s="664">
        <f t="shared" si="1279"/>
        <v>190905</v>
      </c>
      <c r="O2375" s="71" t="s">
        <v>2030</v>
      </c>
      <c r="P2375" s="103" t="str">
        <f>C2375</f>
        <v>실리콘 에멀전</v>
      </c>
      <c r="Q2375" s="71">
        <f t="shared" si="1283"/>
        <v>8</v>
      </c>
      <c r="R2375" s="102">
        <v>91000</v>
      </c>
      <c r="S2375" s="102">
        <f t="shared" si="1284"/>
        <v>800800.00000000012</v>
      </c>
      <c r="T2375" s="102">
        <f t="shared" si="1285"/>
        <v>728000</v>
      </c>
      <c r="U2375" s="71" t="str">
        <f>IF(J2375=W2375,"O", "X")</f>
        <v>O</v>
      </c>
      <c r="V2375" s="71"/>
      <c r="W2375" s="474">
        <f>(G2375-T2375)</f>
        <v>152000</v>
      </c>
      <c r="X2375" s="71"/>
      <c r="Y2375" s="71"/>
    </row>
    <row r="2376" spans="1:25" ht="30" hidden="1" customHeight="1" x14ac:dyDescent="0.2">
      <c r="A2376" s="82">
        <v>190906</v>
      </c>
      <c r="B2376" s="664" t="s">
        <v>690</v>
      </c>
      <c r="C2376" s="71" t="s">
        <v>1186</v>
      </c>
      <c r="D2376" s="71">
        <v>500</v>
      </c>
      <c r="E2376" s="102">
        <v>3600</v>
      </c>
      <c r="F2376" s="163">
        <f t="shared" ref="F2376:F2382" si="1286">(E2376*D2376)*1.1</f>
        <v>1980000.0000000002</v>
      </c>
      <c r="G2376" s="102">
        <v>1800000</v>
      </c>
      <c r="H2376" s="690" t="s">
        <v>173</v>
      </c>
      <c r="I2376" s="71" t="s">
        <v>2230</v>
      </c>
      <c r="J2376" s="53">
        <f>G2376-T2376</f>
        <v>-200000</v>
      </c>
      <c r="K2376" s="63">
        <f t="shared" ref="K2376:K2382" si="1287">(J2376/(F2376/11*10))</f>
        <v>-0.11111111111111109</v>
      </c>
      <c r="L2376" s="871" t="s">
        <v>2069</v>
      </c>
      <c r="M2376" s="468" t="s">
        <v>1393</v>
      </c>
      <c r="N2376" s="664">
        <v>190718</v>
      </c>
      <c r="O2376" s="71" t="s">
        <v>145</v>
      </c>
      <c r="P2376" s="103" t="s">
        <v>2023</v>
      </c>
      <c r="Q2376" s="71">
        <f t="shared" si="1283"/>
        <v>500</v>
      </c>
      <c r="R2376" s="102">
        <v>4000</v>
      </c>
      <c r="S2376" s="102">
        <f t="shared" si="1284"/>
        <v>2200000</v>
      </c>
      <c r="T2376" s="102">
        <f t="shared" si="1285"/>
        <v>2000000</v>
      </c>
      <c r="U2376" s="71" t="s">
        <v>859</v>
      </c>
      <c r="V2376" s="71"/>
      <c r="W2376" s="474">
        <v>-200000</v>
      </c>
      <c r="X2376" s="71"/>
      <c r="Y2376" s="71"/>
    </row>
    <row r="2377" spans="1:25" ht="30" hidden="1" customHeight="1" x14ac:dyDescent="0.2">
      <c r="A2377" s="82">
        <v>190906</v>
      </c>
      <c r="B2377" s="664" t="s">
        <v>690</v>
      </c>
      <c r="C2377" s="67" t="s">
        <v>197</v>
      </c>
      <c r="D2377" s="71">
        <v>4</v>
      </c>
      <c r="E2377" s="102">
        <v>49000</v>
      </c>
      <c r="F2377" s="163">
        <f t="shared" si="1286"/>
        <v>215600.00000000003</v>
      </c>
      <c r="G2377" s="163">
        <f t="shared" ref="G2377:G2382" si="1288">(E2377*D2377)</f>
        <v>196000</v>
      </c>
      <c r="H2377" s="690" t="s">
        <v>173</v>
      </c>
      <c r="I2377" s="71" t="s">
        <v>2230</v>
      </c>
      <c r="J2377" s="53">
        <f>G2377-T2377</f>
        <v>56000</v>
      </c>
      <c r="K2377" s="63">
        <f t="shared" si="1287"/>
        <v>0.2857142857142857</v>
      </c>
      <c r="L2377" s="871" t="s">
        <v>2069</v>
      </c>
      <c r="M2377" s="468" t="s">
        <v>1394</v>
      </c>
      <c r="N2377" s="664">
        <v>190718</v>
      </c>
      <c r="O2377" s="71" t="s">
        <v>145</v>
      </c>
      <c r="P2377" s="103" t="s">
        <v>2022</v>
      </c>
      <c r="Q2377" s="71">
        <f t="shared" si="1283"/>
        <v>4</v>
      </c>
      <c r="R2377" s="102">
        <v>35000</v>
      </c>
      <c r="S2377" s="102">
        <f t="shared" si="1284"/>
        <v>154000</v>
      </c>
      <c r="T2377" s="102">
        <f t="shared" si="1285"/>
        <v>140000</v>
      </c>
      <c r="U2377" s="71" t="str">
        <f t="shared" ref="U2377:U2390" si="1289">IF(J2377=W2377,"O", "X")</f>
        <v>X</v>
      </c>
      <c r="V2377" s="71"/>
      <c r="W2377" s="474"/>
      <c r="X2377" s="71"/>
      <c r="Y2377" s="71"/>
    </row>
    <row r="2378" spans="1:25" ht="30" hidden="1" customHeight="1" x14ac:dyDescent="0.25">
      <c r="A2378" s="82">
        <v>190906</v>
      </c>
      <c r="B2378" s="664" t="s">
        <v>690</v>
      </c>
      <c r="C2378" s="71" t="s">
        <v>752</v>
      </c>
      <c r="D2378" s="71">
        <v>1</v>
      </c>
      <c r="E2378" s="102">
        <v>80000</v>
      </c>
      <c r="F2378" s="102">
        <f t="shared" si="1286"/>
        <v>88000</v>
      </c>
      <c r="G2378" s="102">
        <f t="shared" si="1288"/>
        <v>80000</v>
      </c>
      <c r="H2378" s="690" t="s">
        <v>173</v>
      </c>
      <c r="I2378" s="71" t="s">
        <v>2230</v>
      </c>
      <c r="J2378" s="53">
        <f>(G2378-(VLOOKUP(C2378,Price!B:D,3,FALSE)*D2378))</f>
        <v>15000</v>
      </c>
      <c r="K2378" s="63">
        <f t="shared" si="1287"/>
        <v>0.1875</v>
      </c>
      <c r="L2378" s="871" t="s">
        <v>2069</v>
      </c>
      <c r="M2378" s="468"/>
      <c r="N2378" s="664">
        <f t="shared" ref="N2378:N2390" si="1290">A2378</f>
        <v>190906</v>
      </c>
      <c r="O2378" s="71" t="s">
        <v>145</v>
      </c>
      <c r="P2378" s="103" t="str">
        <f t="shared" ref="P2378:Q2383" si="1291">C2378</f>
        <v>RC795(20L)</v>
      </c>
      <c r="Q2378" s="71">
        <f t="shared" si="1283"/>
        <v>1</v>
      </c>
      <c r="R2378" s="102">
        <v>65000</v>
      </c>
      <c r="S2378" s="102">
        <f t="shared" si="1284"/>
        <v>71500</v>
      </c>
      <c r="T2378" s="102">
        <f t="shared" si="1285"/>
        <v>65000</v>
      </c>
      <c r="U2378" s="71" t="str">
        <f t="shared" si="1289"/>
        <v>O</v>
      </c>
      <c r="V2378" s="71"/>
      <c r="W2378" s="474">
        <f>(G2378-T2378)</f>
        <v>15000</v>
      </c>
      <c r="X2378" s="71"/>
      <c r="Y2378" s="71"/>
    </row>
    <row r="2379" spans="1:25" ht="30" hidden="1" customHeight="1" x14ac:dyDescent="0.25">
      <c r="A2379" s="82">
        <v>190906</v>
      </c>
      <c r="B2379" s="664" t="s">
        <v>442</v>
      </c>
      <c r="C2379" s="71" t="s">
        <v>206</v>
      </c>
      <c r="D2379" s="71">
        <v>2</v>
      </c>
      <c r="E2379" s="102">
        <v>327000</v>
      </c>
      <c r="F2379" s="102">
        <f t="shared" si="1286"/>
        <v>719400</v>
      </c>
      <c r="G2379" s="102">
        <f t="shared" si="1288"/>
        <v>654000</v>
      </c>
      <c r="H2379" s="690" t="s">
        <v>2029</v>
      </c>
      <c r="I2379" s="71" t="s">
        <v>195</v>
      </c>
      <c r="J2379" s="53">
        <f>(G2379-(VLOOKUP(C2379,[5]Price!B$1:D$65536,3,FALSE)*D2379))</f>
        <v>115800</v>
      </c>
      <c r="K2379" s="63">
        <f t="shared" si="1287"/>
        <v>0.17706422018348625</v>
      </c>
      <c r="L2379" s="871" t="s">
        <v>2069</v>
      </c>
      <c r="M2379" s="468"/>
      <c r="N2379" s="664">
        <f t="shared" si="1290"/>
        <v>190906</v>
      </c>
      <c r="O2379" s="71" t="s">
        <v>194</v>
      </c>
      <c r="P2379" s="103" t="str">
        <f t="shared" si="1291"/>
        <v>Agfa Film(24inch)</v>
      </c>
      <c r="Q2379" s="71">
        <f t="shared" si="1291"/>
        <v>2</v>
      </c>
      <c r="R2379" s="102">
        <v>269100</v>
      </c>
      <c r="S2379" s="102">
        <f t="shared" si="1284"/>
        <v>592020</v>
      </c>
      <c r="T2379" s="102">
        <f t="shared" si="1285"/>
        <v>538200</v>
      </c>
      <c r="U2379" s="71" t="str">
        <f t="shared" si="1289"/>
        <v>O</v>
      </c>
      <c r="V2379" s="71"/>
      <c r="W2379" s="474">
        <f>(G2379-T2379)</f>
        <v>115800</v>
      </c>
      <c r="X2379" s="71"/>
      <c r="Y2379" s="71"/>
    </row>
    <row r="2380" spans="1:25" ht="30" hidden="1" customHeight="1" x14ac:dyDescent="0.25">
      <c r="A2380" s="82">
        <v>190906</v>
      </c>
      <c r="B2380" s="664" t="s">
        <v>442</v>
      </c>
      <c r="C2380" s="71" t="s">
        <v>207</v>
      </c>
      <c r="D2380" s="71">
        <v>2</v>
      </c>
      <c r="E2380" s="102">
        <v>401000</v>
      </c>
      <c r="F2380" s="102">
        <f t="shared" si="1286"/>
        <v>882200.00000000012</v>
      </c>
      <c r="G2380" s="102">
        <f t="shared" si="1288"/>
        <v>802000</v>
      </c>
      <c r="H2380" s="690" t="s">
        <v>2029</v>
      </c>
      <c r="I2380" s="71" t="s">
        <v>195</v>
      </c>
      <c r="J2380" s="53">
        <f>(G2380-(VLOOKUP(C2380,[5]Price!B$1:D$65536,3,FALSE)*D2380))</f>
        <v>174080</v>
      </c>
      <c r="K2380" s="63">
        <f t="shared" si="1287"/>
        <v>0.21705735660847877</v>
      </c>
      <c r="L2380" s="871" t="s">
        <v>2069</v>
      </c>
      <c r="M2380" s="468"/>
      <c r="N2380" s="664">
        <f t="shared" si="1290"/>
        <v>190906</v>
      </c>
      <c r="O2380" s="71" t="s">
        <v>194</v>
      </c>
      <c r="P2380" s="103" t="str">
        <f t="shared" si="1291"/>
        <v>Agfa Film(28inch)</v>
      </c>
      <c r="Q2380" s="71">
        <f t="shared" si="1283"/>
        <v>2</v>
      </c>
      <c r="R2380" s="102">
        <f>VLOOKUP(P2380,[5]Price!B$1:D$65536,3,FALSE)</f>
        <v>313960</v>
      </c>
      <c r="S2380" s="102">
        <f t="shared" si="1284"/>
        <v>690712</v>
      </c>
      <c r="T2380" s="102">
        <f t="shared" si="1285"/>
        <v>627920</v>
      </c>
      <c r="U2380" s="71" t="str">
        <f t="shared" si="1289"/>
        <v>O</v>
      </c>
      <c r="V2380" s="71"/>
      <c r="W2380" s="474">
        <f>(G2380-T2380)</f>
        <v>174080</v>
      </c>
      <c r="X2380" s="71"/>
      <c r="Y2380" s="71"/>
    </row>
    <row r="2381" spans="1:25" ht="30" hidden="1" customHeight="1" x14ac:dyDescent="0.25">
      <c r="A2381" s="82">
        <v>190906</v>
      </c>
      <c r="B2381" s="664" t="s">
        <v>442</v>
      </c>
      <c r="C2381" s="71" t="s">
        <v>208</v>
      </c>
      <c r="D2381" s="71">
        <v>2</v>
      </c>
      <c r="E2381" s="102">
        <v>448000</v>
      </c>
      <c r="F2381" s="102">
        <f t="shared" si="1286"/>
        <v>985600.00000000012</v>
      </c>
      <c r="G2381" s="102">
        <f t="shared" si="1288"/>
        <v>896000</v>
      </c>
      <c r="H2381" s="690" t="s">
        <v>2029</v>
      </c>
      <c r="I2381" s="71" t="s">
        <v>195</v>
      </c>
      <c r="J2381" s="53">
        <f>(G2381-(VLOOKUP(C2381,[5]Price!B$1:D$65536,3,FALSE)*D2381))</f>
        <v>155980</v>
      </c>
      <c r="K2381" s="63">
        <f t="shared" si="1287"/>
        <v>0.1740848214285714</v>
      </c>
      <c r="L2381" s="871" t="s">
        <v>2069</v>
      </c>
      <c r="M2381" s="468"/>
      <c r="N2381" s="664">
        <f t="shared" si="1290"/>
        <v>190906</v>
      </c>
      <c r="O2381" s="71" t="s">
        <v>194</v>
      </c>
      <c r="P2381" s="103" t="str">
        <f t="shared" si="1291"/>
        <v>Agfa Film(32inch)</v>
      </c>
      <c r="Q2381" s="71">
        <f t="shared" si="1291"/>
        <v>2</v>
      </c>
      <c r="R2381" s="102">
        <f>VLOOKUP(P2381,[5]Price!B$1:D$65536,3,FALSE)</f>
        <v>370010</v>
      </c>
      <c r="S2381" s="102">
        <f t="shared" si="1284"/>
        <v>814022.00000000012</v>
      </c>
      <c r="T2381" s="102">
        <f t="shared" si="1285"/>
        <v>740020</v>
      </c>
      <c r="U2381" s="71" t="str">
        <f t="shared" si="1289"/>
        <v>O</v>
      </c>
      <c r="V2381" s="71"/>
      <c r="W2381" s="474">
        <f>(G2381-T2381)</f>
        <v>155980</v>
      </c>
      <c r="X2381" s="71"/>
      <c r="Y2381" s="71"/>
    </row>
    <row r="2382" spans="1:25" ht="30" hidden="1" customHeight="1" x14ac:dyDescent="0.2">
      <c r="A2382" s="82">
        <v>190906</v>
      </c>
      <c r="B2382" s="664" t="s">
        <v>442</v>
      </c>
      <c r="C2382" s="71" t="s">
        <v>650</v>
      </c>
      <c r="D2382" s="71">
        <v>1</v>
      </c>
      <c r="E2382" s="102">
        <v>93000</v>
      </c>
      <c r="F2382" s="163">
        <f t="shared" si="1286"/>
        <v>102300.00000000001</v>
      </c>
      <c r="G2382" s="163">
        <f t="shared" si="1288"/>
        <v>93000</v>
      </c>
      <c r="H2382" s="165" t="s">
        <v>172</v>
      </c>
      <c r="I2382" s="71" t="s">
        <v>141</v>
      </c>
      <c r="J2382" s="53">
        <f>(G2382-(VLOOKUP(C2382,Price!B:D,3,FALSE)*D2382))</f>
        <v>33000</v>
      </c>
      <c r="K2382" s="63">
        <f t="shared" si="1287"/>
        <v>0.35483870967741932</v>
      </c>
      <c r="L2382" s="871" t="s">
        <v>2069</v>
      </c>
      <c r="M2382" s="468"/>
      <c r="N2382" s="664">
        <f t="shared" si="1290"/>
        <v>190906</v>
      </c>
      <c r="O2382" s="71" t="s">
        <v>145</v>
      </c>
      <c r="P2382" s="103" t="str">
        <f t="shared" si="1291"/>
        <v>Agfa 정착액 G333C(20L)</v>
      </c>
      <c r="Q2382" s="71">
        <f t="shared" si="1291"/>
        <v>1</v>
      </c>
      <c r="R2382" s="102">
        <f>VLOOKUP(P2382,Price!B:D,3,FALSE)</f>
        <v>60000</v>
      </c>
      <c r="S2382" s="102">
        <f t="shared" si="1284"/>
        <v>66000</v>
      </c>
      <c r="T2382" s="102">
        <f t="shared" si="1285"/>
        <v>60000</v>
      </c>
      <c r="U2382" s="71" t="str">
        <f t="shared" si="1289"/>
        <v>O</v>
      </c>
      <c r="V2382" s="71"/>
      <c r="W2382" s="474">
        <f>(G2382-T2382)</f>
        <v>33000</v>
      </c>
      <c r="X2382" s="71"/>
      <c r="Y2382" s="71"/>
    </row>
    <row r="2383" spans="1:25" ht="30" hidden="1" customHeight="1" x14ac:dyDescent="0.25">
      <c r="A2383" s="82">
        <v>190906</v>
      </c>
      <c r="B2383" s="664" t="s">
        <v>1286</v>
      </c>
      <c r="C2383" s="71" t="s">
        <v>1019</v>
      </c>
      <c r="D2383" s="71">
        <v>2</v>
      </c>
      <c r="E2383" s="102">
        <v>350000</v>
      </c>
      <c r="F2383" s="102">
        <f t="shared" si="1280"/>
        <v>770000.00000000012</v>
      </c>
      <c r="G2383" s="102">
        <f t="shared" si="1281"/>
        <v>700000</v>
      </c>
      <c r="H2383" s="690" t="s">
        <v>1431</v>
      </c>
      <c r="I2383" s="71" t="s">
        <v>1431</v>
      </c>
      <c r="J2383" s="53">
        <f t="shared" ref="J2383:J2397" si="1292">G2383-T2383</f>
        <v>179216.11327259295</v>
      </c>
      <c r="K2383" s="63">
        <f t="shared" ref="K2383:K2388" si="1293">(J2383/(F2383/11*10))</f>
        <v>0.256023018960847</v>
      </c>
      <c r="L2383" s="871" t="s">
        <v>2069</v>
      </c>
      <c r="M2383" s="468"/>
      <c r="N2383" s="664">
        <f t="shared" si="1290"/>
        <v>190906</v>
      </c>
      <c r="O2383" s="71" t="s">
        <v>1431</v>
      </c>
      <c r="P2383" s="103" t="str">
        <f t="shared" si="1291"/>
        <v>다이아프램</v>
      </c>
      <c r="Q2383" s="71">
        <f t="shared" ref="Q2383:Q2392" si="1294">D2383</f>
        <v>2</v>
      </c>
      <c r="R2383" s="102">
        <f>Import!G203</f>
        <v>260391.94336370353</v>
      </c>
      <c r="S2383" s="102">
        <f t="shared" si="1284"/>
        <v>572862.27540014777</v>
      </c>
      <c r="T2383" s="102">
        <f t="shared" si="1285"/>
        <v>520783.88672740705</v>
      </c>
      <c r="U2383" s="71" t="str">
        <f t="shared" si="1289"/>
        <v>X</v>
      </c>
      <c r="V2383" s="71"/>
      <c r="W2383" s="474"/>
      <c r="X2383" s="71"/>
      <c r="Y2383" s="71"/>
    </row>
    <row r="2384" spans="1:25" ht="30" hidden="1" customHeight="1" x14ac:dyDescent="0.25">
      <c r="A2384" s="82">
        <v>190906</v>
      </c>
      <c r="B2384" s="664" t="s">
        <v>1178</v>
      </c>
      <c r="C2384" s="71" t="s">
        <v>984</v>
      </c>
      <c r="D2384" s="71">
        <v>15</v>
      </c>
      <c r="E2384" s="102">
        <v>58000</v>
      </c>
      <c r="F2384" s="102">
        <f t="shared" si="1280"/>
        <v>957000.00000000012</v>
      </c>
      <c r="G2384" s="102">
        <f t="shared" si="1281"/>
        <v>870000</v>
      </c>
      <c r="H2384" s="690" t="s">
        <v>142</v>
      </c>
      <c r="I2384" s="71" t="s">
        <v>2273</v>
      </c>
      <c r="J2384" s="53">
        <f t="shared" si="1292"/>
        <v>345000</v>
      </c>
      <c r="K2384" s="63">
        <f t="shared" si="1293"/>
        <v>0.39655172413793099</v>
      </c>
      <c r="L2384" s="871" t="s">
        <v>2047</v>
      </c>
      <c r="M2384" s="468"/>
      <c r="N2384" s="664">
        <f t="shared" si="1290"/>
        <v>190906</v>
      </c>
      <c r="O2384" s="71" t="s">
        <v>145</v>
      </c>
      <c r="P2384" s="103" t="str">
        <f t="shared" ref="P2384:P2390" si="1295">C2384</f>
        <v>CTP 현상액</v>
      </c>
      <c r="Q2384" s="71">
        <f t="shared" si="1294"/>
        <v>15</v>
      </c>
      <c r="R2384" s="102">
        <v>35000</v>
      </c>
      <c r="S2384" s="102">
        <f t="shared" si="1284"/>
        <v>577500</v>
      </c>
      <c r="T2384" s="102">
        <f t="shared" si="1285"/>
        <v>525000</v>
      </c>
      <c r="U2384" s="71" t="str">
        <f t="shared" si="1289"/>
        <v>X</v>
      </c>
      <c r="V2384" s="71"/>
      <c r="W2384" s="474"/>
      <c r="X2384" s="71"/>
      <c r="Y2384" s="71"/>
    </row>
    <row r="2385" spans="1:25" ht="30" hidden="1" customHeight="1" x14ac:dyDescent="0.25">
      <c r="A2385" s="82">
        <v>190906</v>
      </c>
      <c r="B2385" s="664" t="s">
        <v>1178</v>
      </c>
      <c r="C2385" s="71" t="s">
        <v>2075</v>
      </c>
      <c r="D2385" s="71">
        <v>1</v>
      </c>
      <c r="E2385" s="102">
        <v>85000</v>
      </c>
      <c r="F2385" s="102">
        <f t="shared" si="1280"/>
        <v>93500.000000000015</v>
      </c>
      <c r="G2385" s="102">
        <f t="shared" si="1281"/>
        <v>85000</v>
      </c>
      <c r="H2385" s="690" t="s">
        <v>142</v>
      </c>
      <c r="I2385" s="71" t="s">
        <v>2273</v>
      </c>
      <c r="J2385" s="53">
        <f t="shared" si="1292"/>
        <v>20000</v>
      </c>
      <c r="K2385" s="63">
        <f t="shared" si="1293"/>
        <v>0.23529411764705879</v>
      </c>
      <c r="L2385" s="871" t="s">
        <v>2047</v>
      </c>
      <c r="M2385" s="468"/>
      <c r="N2385" s="664">
        <f t="shared" si="1290"/>
        <v>190906</v>
      </c>
      <c r="O2385" s="71" t="s">
        <v>145</v>
      </c>
      <c r="P2385" s="103" t="str">
        <f t="shared" si="1295"/>
        <v>CTP 고무액</v>
      </c>
      <c r="Q2385" s="71">
        <f t="shared" si="1294"/>
        <v>1</v>
      </c>
      <c r="R2385" s="102">
        <v>65000</v>
      </c>
      <c r="S2385" s="102">
        <f t="shared" si="1284"/>
        <v>71500</v>
      </c>
      <c r="T2385" s="102">
        <f t="shared" si="1285"/>
        <v>65000</v>
      </c>
      <c r="U2385" s="71" t="str">
        <f t="shared" si="1289"/>
        <v>X</v>
      </c>
      <c r="V2385" s="71"/>
      <c r="W2385" s="474"/>
      <c r="X2385" s="71"/>
      <c r="Y2385" s="71"/>
    </row>
    <row r="2386" spans="1:25" ht="30" hidden="1" customHeight="1" x14ac:dyDescent="0.25">
      <c r="A2386" s="82">
        <v>190907</v>
      </c>
      <c r="B2386" s="664" t="s">
        <v>545</v>
      </c>
      <c r="C2386" s="71" t="s">
        <v>1441</v>
      </c>
      <c r="D2386" s="71">
        <v>2</v>
      </c>
      <c r="E2386" s="102">
        <v>210000</v>
      </c>
      <c r="F2386" s="102">
        <f t="shared" si="1280"/>
        <v>462000.00000000006</v>
      </c>
      <c r="G2386" s="102">
        <f t="shared" si="1281"/>
        <v>420000</v>
      </c>
      <c r="H2386" s="690" t="s">
        <v>173</v>
      </c>
      <c r="I2386" s="71" t="s">
        <v>2231</v>
      </c>
      <c r="J2386" s="53">
        <f t="shared" si="1292"/>
        <v>90000</v>
      </c>
      <c r="K2386" s="63">
        <f t="shared" si="1293"/>
        <v>0.21428571428571425</v>
      </c>
      <c r="L2386" s="871" t="s">
        <v>2069</v>
      </c>
      <c r="M2386" s="468"/>
      <c r="N2386" s="664">
        <f t="shared" si="1290"/>
        <v>190907</v>
      </c>
      <c r="O2386" s="71" t="s">
        <v>1555</v>
      </c>
      <c r="P2386" s="103" t="str">
        <f t="shared" si="1295"/>
        <v xml:space="preserve"> OKS340 체인구리스</v>
      </c>
      <c r="Q2386" s="71">
        <f t="shared" si="1294"/>
        <v>2</v>
      </c>
      <c r="R2386" s="102">
        <v>165000</v>
      </c>
      <c r="S2386" s="102">
        <f t="shared" si="1284"/>
        <v>363000.00000000006</v>
      </c>
      <c r="T2386" s="102">
        <f t="shared" si="1285"/>
        <v>330000</v>
      </c>
      <c r="U2386" s="71" t="str">
        <f t="shared" si="1289"/>
        <v>X</v>
      </c>
      <c r="V2386" s="71"/>
      <c r="W2386" s="474"/>
      <c r="X2386" s="71"/>
      <c r="Y2386" s="71"/>
    </row>
    <row r="2387" spans="1:25" ht="30" hidden="1" customHeight="1" x14ac:dyDescent="0.25">
      <c r="A2387" s="82">
        <v>190907</v>
      </c>
      <c r="B2387" s="663" t="s">
        <v>545</v>
      </c>
      <c r="C2387" s="73" t="s">
        <v>825</v>
      </c>
      <c r="D2387" s="73">
        <v>2</v>
      </c>
      <c r="E2387" s="147">
        <v>110000</v>
      </c>
      <c r="F2387" s="147">
        <v>242000.00000000003</v>
      </c>
      <c r="G2387" s="147">
        <v>220000</v>
      </c>
      <c r="H2387" s="689" t="s">
        <v>173</v>
      </c>
      <c r="I2387" s="71" t="s">
        <v>2231</v>
      </c>
      <c r="J2387" s="53">
        <f t="shared" si="1292"/>
        <v>30000</v>
      </c>
      <c r="K2387" s="63">
        <f t="shared" si="1293"/>
        <v>0.13636363636363635</v>
      </c>
      <c r="L2387" s="871" t="s">
        <v>2069</v>
      </c>
      <c r="M2387" s="584"/>
      <c r="N2387" s="664">
        <f t="shared" si="1290"/>
        <v>190907</v>
      </c>
      <c r="O2387" s="73" t="s">
        <v>150</v>
      </c>
      <c r="P2387" s="103" t="str">
        <f t="shared" si="1295"/>
        <v>독일제 정품 잉크호일 아스테이지</v>
      </c>
      <c r="Q2387" s="71">
        <f t="shared" si="1294"/>
        <v>2</v>
      </c>
      <c r="R2387" s="147">
        <v>95000</v>
      </c>
      <c r="S2387" s="102">
        <f t="shared" si="1284"/>
        <v>209000.00000000003</v>
      </c>
      <c r="T2387" s="102">
        <f t="shared" si="1285"/>
        <v>190000</v>
      </c>
      <c r="U2387" s="71" t="str">
        <f t="shared" si="1289"/>
        <v>O</v>
      </c>
      <c r="V2387" s="73"/>
      <c r="W2387" s="473">
        <v>30000</v>
      </c>
      <c r="X2387" s="73"/>
      <c r="Y2387" s="73"/>
    </row>
    <row r="2388" spans="1:25" ht="30" hidden="1" customHeight="1" x14ac:dyDescent="0.25">
      <c r="A2388" s="82">
        <v>190909</v>
      </c>
      <c r="B2388" s="664" t="s">
        <v>627</v>
      </c>
      <c r="C2388" s="71" t="s">
        <v>2071</v>
      </c>
      <c r="D2388" s="71">
        <v>1</v>
      </c>
      <c r="E2388" s="102">
        <v>650000</v>
      </c>
      <c r="F2388" s="102">
        <f t="shared" si="1280"/>
        <v>715000</v>
      </c>
      <c r="G2388" s="102">
        <f t="shared" si="1281"/>
        <v>650000</v>
      </c>
      <c r="H2388" s="690" t="s">
        <v>985</v>
      </c>
      <c r="I2388" s="71" t="s">
        <v>985</v>
      </c>
      <c r="J2388" s="53">
        <f t="shared" si="1292"/>
        <v>650000</v>
      </c>
      <c r="K2388" s="63">
        <f t="shared" si="1293"/>
        <v>1</v>
      </c>
      <c r="L2388" s="871" t="s">
        <v>2069</v>
      </c>
      <c r="M2388" s="468"/>
      <c r="N2388" s="664">
        <f t="shared" si="1290"/>
        <v>190909</v>
      </c>
      <c r="O2388" s="71"/>
      <c r="P2388" s="103" t="str">
        <f t="shared" si="1295"/>
        <v>서비스 비용(폴더 접지 칼 토션바 교체)</v>
      </c>
      <c r="Q2388" s="71">
        <f t="shared" si="1294"/>
        <v>1</v>
      </c>
      <c r="R2388" s="102"/>
      <c r="S2388" s="102">
        <f t="shared" si="1284"/>
        <v>0</v>
      </c>
      <c r="T2388" s="102">
        <f t="shared" si="1285"/>
        <v>0</v>
      </c>
      <c r="U2388" s="71" t="str">
        <f t="shared" si="1289"/>
        <v>X</v>
      </c>
      <c r="V2388" s="71"/>
      <c r="W2388" s="474"/>
      <c r="X2388" s="71"/>
      <c r="Y2388" s="71"/>
    </row>
    <row r="2389" spans="1:25" ht="30" hidden="1" customHeight="1" x14ac:dyDescent="0.25">
      <c r="A2389" s="82">
        <v>190915</v>
      </c>
      <c r="B2389" s="664" t="s">
        <v>546</v>
      </c>
      <c r="C2389" s="71" t="s">
        <v>1148</v>
      </c>
      <c r="D2389" s="71">
        <v>8</v>
      </c>
      <c r="E2389" s="102">
        <v>250000</v>
      </c>
      <c r="F2389" s="102">
        <f t="shared" si="1280"/>
        <v>2200000</v>
      </c>
      <c r="G2389" s="102">
        <f t="shared" si="1281"/>
        <v>2000000</v>
      </c>
      <c r="H2389" s="690" t="s">
        <v>1431</v>
      </c>
      <c r="I2389" s="71" t="s">
        <v>1431</v>
      </c>
      <c r="J2389" s="53">
        <f t="shared" si="1292"/>
        <v>713567.77345481399</v>
      </c>
      <c r="K2389" s="63">
        <f t="shared" ref="K2389:K2397" si="1296">(J2389/(F2389/11*10))</f>
        <v>0.35678388672740702</v>
      </c>
      <c r="L2389" s="871" t="s">
        <v>2069</v>
      </c>
      <c r="M2389" s="468"/>
      <c r="N2389" s="664">
        <f t="shared" si="1290"/>
        <v>190915</v>
      </c>
      <c r="O2389" s="71" t="s">
        <v>1431</v>
      </c>
      <c r="P2389" s="103" t="str">
        <f t="shared" si="1295"/>
        <v>브레이크 라이닝</v>
      </c>
      <c r="Q2389" s="71">
        <f t="shared" si="1294"/>
        <v>8</v>
      </c>
      <c r="R2389" s="102">
        <f>Import!G202</f>
        <v>160804.02831814825</v>
      </c>
      <c r="S2389" s="102">
        <f t="shared" si="1284"/>
        <v>1415075.4491997047</v>
      </c>
      <c r="T2389" s="102">
        <f t="shared" si="1285"/>
        <v>1286432.226545186</v>
      </c>
      <c r="U2389" s="71" t="str">
        <f t="shared" si="1289"/>
        <v>X</v>
      </c>
      <c r="V2389" s="71"/>
      <c r="W2389" s="474"/>
      <c r="X2389" s="71"/>
      <c r="Y2389" s="71"/>
    </row>
    <row r="2390" spans="1:25" ht="30" hidden="1" customHeight="1" x14ac:dyDescent="0.25">
      <c r="A2390" s="82">
        <v>190909</v>
      </c>
      <c r="B2390" s="664" t="s">
        <v>764</v>
      </c>
      <c r="C2390" s="71" t="s">
        <v>123</v>
      </c>
      <c r="D2390" s="71">
        <v>25</v>
      </c>
      <c r="E2390" s="102">
        <v>35000</v>
      </c>
      <c r="F2390" s="102">
        <f t="shared" si="1280"/>
        <v>962500.00000000012</v>
      </c>
      <c r="G2390" s="102">
        <f t="shared" si="1281"/>
        <v>875000</v>
      </c>
      <c r="H2390" s="690" t="s">
        <v>1432</v>
      </c>
      <c r="I2390" s="71" t="s">
        <v>1432</v>
      </c>
      <c r="J2390" s="53">
        <f t="shared" si="1292"/>
        <v>313475</v>
      </c>
      <c r="K2390" s="63">
        <f t="shared" si="1296"/>
        <v>0.35825714285714283</v>
      </c>
      <c r="L2390" s="871" t="s">
        <v>2069</v>
      </c>
      <c r="M2390" s="468"/>
      <c r="N2390" s="664">
        <f t="shared" si="1290"/>
        <v>190909</v>
      </c>
      <c r="O2390" s="71" t="s">
        <v>1432</v>
      </c>
      <c r="P2390" s="103" t="str">
        <f t="shared" si="1295"/>
        <v>필터백</v>
      </c>
      <c r="Q2390" s="71">
        <f t="shared" si="1294"/>
        <v>25</v>
      </c>
      <c r="R2390" s="102">
        <v>22461</v>
      </c>
      <c r="S2390" s="102">
        <f t="shared" si="1284"/>
        <v>617677.5</v>
      </c>
      <c r="T2390" s="102">
        <f t="shared" si="1285"/>
        <v>561525</v>
      </c>
      <c r="U2390" s="71" t="str">
        <f t="shared" si="1289"/>
        <v>O</v>
      </c>
      <c r="V2390" s="71"/>
      <c r="W2390" s="474">
        <f>(G2390-T2390)</f>
        <v>313475</v>
      </c>
      <c r="X2390" s="71"/>
      <c r="Y2390" s="71"/>
    </row>
    <row r="2391" spans="1:25" s="209" customFormat="1" ht="30" hidden="1" customHeight="1" x14ac:dyDescent="0.2">
      <c r="A2391" s="82">
        <v>190916</v>
      </c>
      <c r="B2391" s="664" t="s">
        <v>445</v>
      </c>
      <c r="C2391" s="71" t="s">
        <v>107</v>
      </c>
      <c r="D2391" s="71">
        <v>10</v>
      </c>
      <c r="E2391" s="102">
        <v>108000</v>
      </c>
      <c r="F2391" s="102">
        <f t="shared" si="1280"/>
        <v>1188000</v>
      </c>
      <c r="G2391" s="102">
        <f t="shared" si="1281"/>
        <v>1080000</v>
      </c>
      <c r="H2391" s="165" t="s">
        <v>172</v>
      </c>
      <c r="I2391" s="71" t="s">
        <v>109</v>
      </c>
      <c r="J2391" s="53">
        <f t="shared" si="1292"/>
        <v>275000</v>
      </c>
      <c r="K2391" s="63">
        <f t="shared" si="1296"/>
        <v>0.25462962962962965</v>
      </c>
      <c r="L2391" s="871" t="s">
        <v>2069</v>
      </c>
      <c r="M2391" s="468"/>
      <c r="N2391" s="664">
        <f>A2391</f>
        <v>190916</v>
      </c>
      <c r="O2391" s="71" t="s">
        <v>147</v>
      </c>
      <c r="P2391" s="103" t="s">
        <v>2070</v>
      </c>
      <c r="Q2391" s="71">
        <f t="shared" si="1294"/>
        <v>10</v>
      </c>
      <c r="R2391" s="102">
        <v>80500</v>
      </c>
      <c r="S2391" s="102">
        <f t="shared" si="1284"/>
        <v>885500.00000000012</v>
      </c>
      <c r="T2391" s="102">
        <f t="shared" si="1285"/>
        <v>805000</v>
      </c>
      <c r="U2391" s="71" t="s">
        <v>859</v>
      </c>
      <c r="V2391" s="71"/>
      <c r="W2391" s="474">
        <v>275000</v>
      </c>
      <c r="X2391" s="71"/>
      <c r="Y2391" s="71"/>
    </row>
    <row r="2392" spans="1:25" s="209" customFormat="1" ht="30" hidden="1" customHeight="1" x14ac:dyDescent="0.2">
      <c r="A2392" s="82">
        <v>190916</v>
      </c>
      <c r="B2392" s="664" t="s">
        <v>445</v>
      </c>
      <c r="C2392" s="71" t="s">
        <v>231</v>
      </c>
      <c r="D2392" s="71">
        <v>10</v>
      </c>
      <c r="E2392" s="102">
        <v>120000</v>
      </c>
      <c r="F2392" s="102">
        <f t="shared" si="1280"/>
        <v>1320000</v>
      </c>
      <c r="G2392" s="102">
        <f t="shared" si="1281"/>
        <v>1200000</v>
      </c>
      <c r="H2392" s="165" t="s">
        <v>172</v>
      </c>
      <c r="I2392" s="71" t="s">
        <v>109</v>
      </c>
      <c r="J2392" s="53">
        <f t="shared" si="1292"/>
        <v>80000</v>
      </c>
      <c r="K2392" s="63">
        <f t="shared" si="1296"/>
        <v>6.6666666666666666E-2</v>
      </c>
      <c r="L2392" s="871" t="s">
        <v>2069</v>
      </c>
      <c r="M2392" s="468"/>
      <c r="N2392" s="664">
        <f>A2392</f>
        <v>190916</v>
      </c>
      <c r="O2392" s="71" t="s">
        <v>151</v>
      </c>
      <c r="P2392" s="103" t="s">
        <v>136</v>
      </c>
      <c r="Q2392" s="71">
        <f t="shared" si="1294"/>
        <v>10</v>
      </c>
      <c r="R2392" s="102">
        <v>112000</v>
      </c>
      <c r="S2392" s="102">
        <f t="shared" si="1284"/>
        <v>1232000</v>
      </c>
      <c r="T2392" s="102">
        <f t="shared" si="1285"/>
        <v>1120000</v>
      </c>
      <c r="U2392" s="71" t="s">
        <v>859</v>
      </c>
      <c r="V2392" s="71"/>
      <c r="W2392" s="474">
        <v>80000</v>
      </c>
      <c r="X2392" s="71"/>
      <c r="Y2392" s="71"/>
    </row>
    <row r="2393" spans="1:25" s="209" customFormat="1" ht="30" hidden="1" customHeight="1" x14ac:dyDescent="0.2">
      <c r="A2393" s="82">
        <v>190916</v>
      </c>
      <c r="B2393" s="664" t="s">
        <v>445</v>
      </c>
      <c r="C2393" s="71" t="s">
        <v>138</v>
      </c>
      <c r="D2393" s="71">
        <v>5</v>
      </c>
      <c r="E2393" s="102">
        <v>59500</v>
      </c>
      <c r="F2393" s="102">
        <f t="shared" si="1280"/>
        <v>327250</v>
      </c>
      <c r="G2393" s="102">
        <f t="shared" si="1281"/>
        <v>297500</v>
      </c>
      <c r="H2393" s="165" t="s">
        <v>172</v>
      </c>
      <c r="I2393" s="71" t="s">
        <v>108</v>
      </c>
      <c r="J2393" s="53">
        <f t="shared" si="1292"/>
        <v>42500</v>
      </c>
      <c r="K2393" s="63">
        <f t="shared" si="1296"/>
        <v>0.14285714285714285</v>
      </c>
      <c r="L2393" s="871" t="s">
        <v>2069</v>
      </c>
      <c r="M2393" s="468"/>
      <c r="N2393" s="664">
        <f t="shared" ref="N2393:N2409" si="1297">A2393</f>
        <v>190916</v>
      </c>
      <c r="O2393" s="71" t="s">
        <v>150</v>
      </c>
      <c r="P2393" s="103" t="s">
        <v>1914</v>
      </c>
      <c r="Q2393" s="71">
        <f t="shared" ref="Q2393:Q2455" si="1298">D2393</f>
        <v>5</v>
      </c>
      <c r="R2393" s="102">
        <v>51000</v>
      </c>
      <c r="S2393" s="102">
        <f t="shared" si="1284"/>
        <v>280500</v>
      </c>
      <c r="T2393" s="102">
        <f t="shared" si="1285"/>
        <v>255000</v>
      </c>
      <c r="U2393" s="71" t="s">
        <v>859</v>
      </c>
      <c r="V2393" s="71"/>
      <c r="W2393" s="474">
        <v>85000</v>
      </c>
      <c r="X2393" s="71"/>
      <c r="Y2393" s="71"/>
    </row>
    <row r="2394" spans="1:25" s="209" customFormat="1" ht="30" hidden="1" customHeight="1" x14ac:dyDescent="0.25">
      <c r="A2394" s="82">
        <v>190916</v>
      </c>
      <c r="B2394" s="664" t="s">
        <v>445</v>
      </c>
      <c r="C2394" s="71" t="s">
        <v>277</v>
      </c>
      <c r="D2394" s="71">
        <v>5</v>
      </c>
      <c r="E2394" s="102">
        <v>172000</v>
      </c>
      <c r="F2394" s="102">
        <f t="shared" si="1280"/>
        <v>946000.00000000012</v>
      </c>
      <c r="G2394" s="102">
        <f t="shared" si="1281"/>
        <v>860000</v>
      </c>
      <c r="H2394" s="690" t="s">
        <v>173</v>
      </c>
      <c r="I2394" s="71" t="s">
        <v>108</v>
      </c>
      <c r="J2394" s="53">
        <f t="shared" si="1292"/>
        <v>285000</v>
      </c>
      <c r="K2394" s="63">
        <f t="shared" si="1296"/>
        <v>0.33139534883720928</v>
      </c>
      <c r="L2394" s="871" t="s">
        <v>2069</v>
      </c>
      <c r="M2394" s="468"/>
      <c r="N2394" s="664">
        <f t="shared" si="1297"/>
        <v>190916</v>
      </c>
      <c r="O2394" s="71" t="s">
        <v>150</v>
      </c>
      <c r="P2394" s="103" t="s">
        <v>277</v>
      </c>
      <c r="Q2394" s="71">
        <f t="shared" si="1298"/>
        <v>5</v>
      </c>
      <c r="R2394" s="102">
        <v>115000</v>
      </c>
      <c r="S2394" s="102">
        <f t="shared" si="1284"/>
        <v>632500</v>
      </c>
      <c r="T2394" s="102">
        <f t="shared" si="1285"/>
        <v>575000</v>
      </c>
      <c r="U2394" s="71" t="s">
        <v>859</v>
      </c>
      <c r="V2394" s="71"/>
      <c r="W2394" s="474">
        <v>285000</v>
      </c>
      <c r="X2394" s="71"/>
      <c r="Y2394" s="71"/>
    </row>
    <row r="2395" spans="1:25" ht="30" hidden="1" customHeight="1" x14ac:dyDescent="0.25">
      <c r="A2395" s="82">
        <v>190917</v>
      </c>
      <c r="B2395" s="664" t="s">
        <v>446</v>
      </c>
      <c r="C2395" s="71" t="s">
        <v>2028</v>
      </c>
      <c r="D2395" s="71">
        <v>8</v>
      </c>
      <c r="E2395" s="102">
        <v>110000</v>
      </c>
      <c r="F2395" s="102">
        <f t="shared" si="1280"/>
        <v>968000.00000000012</v>
      </c>
      <c r="G2395" s="102">
        <f t="shared" si="1281"/>
        <v>880000</v>
      </c>
      <c r="H2395" s="690" t="s">
        <v>2029</v>
      </c>
      <c r="I2395" s="71" t="s">
        <v>2231</v>
      </c>
      <c r="J2395" s="53">
        <f t="shared" si="1292"/>
        <v>152000</v>
      </c>
      <c r="K2395" s="63">
        <f t="shared" si="1296"/>
        <v>0.1727272727272727</v>
      </c>
      <c r="L2395" s="871" t="s">
        <v>2069</v>
      </c>
      <c r="M2395" s="468"/>
      <c r="N2395" s="664">
        <f t="shared" si="1297"/>
        <v>190917</v>
      </c>
      <c r="O2395" s="71" t="s">
        <v>2030</v>
      </c>
      <c r="P2395" s="103" t="str">
        <f>C2395</f>
        <v>실리콘 에멀전</v>
      </c>
      <c r="Q2395" s="71">
        <f t="shared" si="1298"/>
        <v>8</v>
      </c>
      <c r="R2395" s="102">
        <v>91000</v>
      </c>
      <c r="S2395" s="102">
        <f t="shared" si="1284"/>
        <v>800800.00000000012</v>
      </c>
      <c r="T2395" s="102">
        <f t="shared" si="1285"/>
        <v>728000</v>
      </c>
      <c r="U2395" s="71" t="str">
        <f>IF(J2395=W2395,"O", "X")</f>
        <v>O</v>
      </c>
      <c r="V2395" s="71"/>
      <c r="W2395" s="474">
        <f>(G2395-T2395)</f>
        <v>152000</v>
      </c>
      <c r="X2395" s="71"/>
      <c r="Y2395" s="71"/>
    </row>
    <row r="2396" spans="1:25" ht="30" hidden="1" customHeight="1" x14ac:dyDescent="0.25">
      <c r="A2396" s="82">
        <v>190917</v>
      </c>
      <c r="B2396" s="664" t="s">
        <v>1127</v>
      </c>
      <c r="C2396" s="71" t="s">
        <v>123</v>
      </c>
      <c r="D2396" s="71">
        <v>5</v>
      </c>
      <c r="E2396" s="102">
        <v>40000</v>
      </c>
      <c r="F2396" s="102">
        <f t="shared" si="1280"/>
        <v>220000.00000000003</v>
      </c>
      <c r="G2396" s="102">
        <f t="shared" si="1281"/>
        <v>200000</v>
      </c>
      <c r="H2396" s="1010" t="s">
        <v>1431</v>
      </c>
      <c r="I2396" s="71" t="s">
        <v>1431</v>
      </c>
      <c r="J2396" s="53">
        <f t="shared" si="1292"/>
        <v>87695</v>
      </c>
      <c r="K2396" s="63">
        <f t="shared" si="1296"/>
        <v>0.43847499999999995</v>
      </c>
      <c r="L2396" s="871" t="s">
        <v>2069</v>
      </c>
      <c r="M2396" s="468"/>
      <c r="N2396" s="664">
        <f t="shared" si="1297"/>
        <v>190917</v>
      </c>
      <c r="O2396" s="991" t="s">
        <v>39</v>
      </c>
      <c r="P2396" s="103" t="s">
        <v>123</v>
      </c>
      <c r="Q2396" s="71">
        <f t="shared" si="1298"/>
        <v>5</v>
      </c>
      <c r="R2396" s="102">
        <f>VLOOKUP(P2396,Price!B:D,3,FALSE)</f>
        <v>22461</v>
      </c>
      <c r="S2396" s="102">
        <f t="shared" si="1284"/>
        <v>123535.50000000001</v>
      </c>
      <c r="T2396" s="102">
        <f t="shared" si="1285"/>
        <v>112305</v>
      </c>
      <c r="U2396" s="71" t="str">
        <f>IF(J2396=W2396,"O", "X")</f>
        <v>X</v>
      </c>
      <c r="V2396" s="71"/>
      <c r="W2396" s="474"/>
      <c r="X2396" s="71"/>
      <c r="Y2396" s="71"/>
    </row>
    <row r="2397" spans="1:25" ht="30" hidden="1" customHeight="1" x14ac:dyDescent="0.25">
      <c r="A2397" s="82">
        <v>190917</v>
      </c>
      <c r="B2397" s="664" t="s">
        <v>983</v>
      </c>
      <c r="C2397" s="71" t="s">
        <v>984</v>
      </c>
      <c r="D2397" s="71">
        <v>2</v>
      </c>
      <c r="E2397" s="102">
        <v>45000</v>
      </c>
      <c r="F2397" s="102">
        <f t="shared" si="1280"/>
        <v>99000.000000000015</v>
      </c>
      <c r="G2397" s="102">
        <f t="shared" si="1281"/>
        <v>90000</v>
      </c>
      <c r="H2397" s="690" t="s">
        <v>173</v>
      </c>
      <c r="I2397" s="71" t="s">
        <v>2230</v>
      </c>
      <c r="J2397" s="53">
        <f t="shared" si="1292"/>
        <v>20000</v>
      </c>
      <c r="K2397" s="63">
        <f t="shared" si="1296"/>
        <v>0.22222222222222218</v>
      </c>
      <c r="L2397" s="871" t="s">
        <v>2069</v>
      </c>
      <c r="M2397" s="468"/>
      <c r="N2397" s="664">
        <f>A2397</f>
        <v>190917</v>
      </c>
      <c r="O2397" s="71" t="s">
        <v>147</v>
      </c>
      <c r="P2397" s="103" t="str">
        <f>C2397</f>
        <v>CTP 현상액</v>
      </c>
      <c r="Q2397" s="71">
        <f t="shared" si="1298"/>
        <v>2</v>
      </c>
      <c r="R2397" s="102">
        <v>35000</v>
      </c>
      <c r="S2397" s="102">
        <f t="shared" si="1284"/>
        <v>77000</v>
      </c>
      <c r="T2397" s="102">
        <f t="shared" si="1285"/>
        <v>70000</v>
      </c>
      <c r="U2397" s="71" t="str">
        <f>IF(J2397=W2397,"O", "X")</f>
        <v>O</v>
      </c>
      <c r="V2397" s="71"/>
      <c r="W2397" s="474">
        <f t="shared" ref="W2397:W2403" si="1299">(G2397-T2397)</f>
        <v>20000</v>
      </c>
      <c r="X2397" s="71"/>
      <c r="Y2397" s="71"/>
    </row>
    <row r="2398" spans="1:25" ht="30" customHeight="1" x14ac:dyDescent="0.25">
      <c r="A2398" s="82">
        <v>190918</v>
      </c>
      <c r="B2398" s="664" t="s">
        <v>422</v>
      </c>
      <c r="C2398" s="71" t="s">
        <v>129</v>
      </c>
      <c r="D2398" s="71">
        <v>7</v>
      </c>
      <c r="E2398" s="102">
        <v>272000</v>
      </c>
      <c r="F2398" s="102">
        <f t="shared" si="1280"/>
        <v>2094400.0000000002</v>
      </c>
      <c r="G2398" s="102">
        <f t="shared" si="1281"/>
        <v>1904000</v>
      </c>
      <c r="H2398" s="690" t="s">
        <v>173</v>
      </c>
      <c r="I2398" s="71" t="s">
        <v>108</v>
      </c>
      <c r="J2398" s="53">
        <f>(G2398-(VLOOKUP(C2398,Price!B:D,3,FALSE)*D2398))</f>
        <v>448000</v>
      </c>
      <c r="K2398" s="63">
        <f t="shared" si="1282"/>
        <v>0.23529411764705879</v>
      </c>
      <c r="L2398" s="871" t="s">
        <v>2069</v>
      </c>
      <c r="M2398" s="468" t="s">
        <v>2050</v>
      </c>
      <c r="N2398" s="664">
        <f t="shared" si="1297"/>
        <v>190918</v>
      </c>
      <c r="O2398" s="71" t="s">
        <v>149</v>
      </c>
      <c r="P2398" s="103" t="str">
        <f>C2398</f>
        <v>세정포-XL106</v>
      </c>
      <c r="Q2398" s="71">
        <f t="shared" si="1298"/>
        <v>7</v>
      </c>
      <c r="R2398" s="102">
        <v>208000</v>
      </c>
      <c r="S2398" s="102">
        <f t="shared" si="1284"/>
        <v>1601600.0000000002</v>
      </c>
      <c r="T2398" s="102">
        <f t="shared" si="1285"/>
        <v>1456000</v>
      </c>
      <c r="U2398" s="71" t="str">
        <f>IF(J2398=W2398,"O", "X")</f>
        <v>O</v>
      </c>
      <c r="V2398" s="71"/>
      <c r="W2398" s="474">
        <f t="shared" si="1299"/>
        <v>448000</v>
      </c>
      <c r="X2398" s="71"/>
      <c r="Y2398" s="71"/>
    </row>
    <row r="2399" spans="1:25" ht="30" customHeight="1" x14ac:dyDescent="0.25">
      <c r="A2399" s="82">
        <v>190918</v>
      </c>
      <c r="B2399" s="664" t="s">
        <v>422</v>
      </c>
      <c r="C2399" s="71" t="s">
        <v>584</v>
      </c>
      <c r="D2399" s="71">
        <v>3</v>
      </c>
      <c r="E2399" s="102">
        <v>270000</v>
      </c>
      <c r="F2399" s="102">
        <f t="shared" si="1280"/>
        <v>891000.00000000012</v>
      </c>
      <c r="G2399" s="102">
        <f t="shared" si="1281"/>
        <v>810000</v>
      </c>
      <c r="H2399" s="690" t="s">
        <v>173</v>
      </c>
      <c r="I2399" s="71" t="s">
        <v>2231</v>
      </c>
      <c r="J2399" s="53">
        <f>(G2399-(VLOOKUP(C2399,Price!B:D,3,FALSE)*D2399))</f>
        <v>162000</v>
      </c>
      <c r="K2399" s="63">
        <f t="shared" si="1282"/>
        <v>0.19999999999999998</v>
      </c>
      <c r="L2399" s="871" t="s">
        <v>2069</v>
      </c>
      <c r="M2399" s="468"/>
      <c r="N2399" s="664">
        <f t="shared" si="1297"/>
        <v>190918</v>
      </c>
      <c r="O2399" s="71" t="s">
        <v>150</v>
      </c>
      <c r="P2399" s="103" t="str">
        <f>C2399</f>
        <v>데리바리 석션벨트</v>
      </c>
      <c r="Q2399" s="71">
        <f t="shared" si="1298"/>
        <v>3</v>
      </c>
      <c r="R2399" s="102">
        <v>216000</v>
      </c>
      <c r="S2399" s="102">
        <f t="shared" si="1284"/>
        <v>712800</v>
      </c>
      <c r="T2399" s="102">
        <f t="shared" si="1285"/>
        <v>648000</v>
      </c>
      <c r="U2399" s="71" t="str">
        <f>IF(J2399=W2399,"O", "X")</f>
        <v>O</v>
      </c>
      <c r="V2399" s="71"/>
      <c r="W2399" s="474">
        <f t="shared" si="1299"/>
        <v>162000</v>
      </c>
      <c r="X2399" s="71"/>
      <c r="Y2399" s="71"/>
    </row>
    <row r="2400" spans="1:25" ht="30" hidden="1" customHeight="1" x14ac:dyDescent="0.25">
      <c r="A2400" s="82">
        <v>190918</v>
      </c>
      <c r="B2400" s="664" t="s">
        <v>1286</v>
      </c>
      <c r="C2400" s="760" t="s">
        <v>218</v>
      </c>
      <c r="D2400" s="71">
        <v>5</v>
      </c>
      <c r="E2400" s="102">
        <v>192500</v>
      </c>
      <c r="F2400" s="102">
        <f t="shared" si="1280"/>
        <v>1058750</v>
      </c>
      <c r="G2400" s="102">
        <f t="shared" si="1281"/>
        <v>962500</v>
      </c>
      <c r="H2400" s="690" t="s">
        <v>173</v>
      </c>
      <c r="I2400" s="71" t="s">
        <v>120</v>
      </c>
      <c r="J2400" s="53">
        <f>(G2400-(VLOOKUP(C2400,Price!B:D,3,FALSE)*D2400))</f>
        <v>400000</v>
      </c>
      <c r="K2400" s="63">
        <f t="shared" si="1282"/>
        <v>0.41558441558441561</v>
      </c>
      <c r="L2400" s="871" t="s">
        <v>2069</v>
      </c>
      <c r="M2400" s="468"/>
      <c r="N2400" s="664">
        <f t="shared" si="1297"/>
        <v>190918</v>
      </c>
      <c r="O2400" s="71" t="s">
        <v>150</v>
      </c>
      <c r="P2400" s="103" t="str">
        <f>C2400</f>
        <v>Fount Web 551AF</v>
      </c>
      <c r="Q2400" s="71">
        <f t="shared" si="1298"/>
        <v>5</v>
      </c>
      <c r="R2400" s="102">
        <v>112500</v>
      </c>
      <c r="S2400" s="102">
        <f t="shared" si="1284"/>
        <v>618750</v>
      </c>
      <c r="T2400" s="102">
        <f t="shared" si="1285"/>
        <v>562500</v>
      </c>
      <c r="U2400" s="71" t="s">
        <v>859</v>
      </c>
      <c r="V2400" s="71"/>
      <c r="W2400" s="474">
        <f t="shared" si="1299"/>
        <v>400000</v>
      </c>
      <c r="X2400" s="71"/>
      <c r="Y2400" s="71"/>
    </row>
    <row r="2401" spans="1:25" s="209" customFormat="1" ht="30" hidden="1" customHeight="1" x14ac:dyDescent="0.2">
      <c r="A2401" s="82">
        <v>190918</v>
      </c>
      <c r="B2401" s="664" t="s">
        <v>1286</v>
      </c>
      <c r="C2401" s="71" t="s">
        <v>231</v>
      </c>
      <c r="D2401" s="71">
        <v>10</v>
      </c>
      <c r="E2401" s="102">
        <v>120000</v>
      </c>
      <c r="F2401" s="163">
        <f t="shared" si="1280"/>
        <v>1320000</v>
      </c>
      <c r="G2401" s="102">
        <f t="shared" si="1281"/>
        <v>1200000</v>
      </c>
      <c r="H2401" s="165" t="s">
        <v>172</v>
      </c>
      <c r="I2401" s="71" t="s">
        <v>109</v>
      </c>
      <c r="J2401" s="53">
        <f>(G2401-(VLOOKUP(C2401,Price!B:D,3,FALSE)*D2401))</f>
        <v>80000</v>
      </c>
      <c r="K2401" s="63">
        <f t="shared" si="1282"/>
        <v>6.6666666666666666E-2</v>
      </c>
      <c r="L2401" s="871" t="s">
        <v>2069</v>
      </c>
      <c r="M2401" s="468"/>
      <c r="N2401" s="664">
        <f t="shared" si="1297"/>
        <v>190918</v>
      </c>
      <c r="O2401" s="71" t="s">
        <v>151</v>
      </c>
      <c r="P2401" s="103" t="str">
        <f>(C2401)</f>
        <v>Blanket(990*725)</v>
      </c>
      <c r="Q2401" s="71">
        <f t="shared" si="1298"/>
        <v>10</v>
      </c>
      <c r="R2401" s="102">
        <v>112000</v>
      </c>
      <c r="S2401" s="102">
        <f>(R2401*D2401)*1.1</f>
        <v>1232000</v>
      </c>
      <c r="T2401" s="102">
        <f>(R2401*Q2401)</f>
        <v>1120000</v>
      </c>
      <c r="U2401" s="71" t="str">
        <f t="shared" ref="U2401:U2409" si="1300">IF(J2401=W2401,"O", "X")</f>
        <v>O</v>
      </c>
      <c r="V2401" s="71"/>
      <c r="W2401" s="474">
        <f t="shared" si="1299"/>
        <v>80000</v>
      </c>
      <c r="X2401" s="71"/>
      <c r="Y2401" s="71"/>
    </row>
    <row r="2402" spans="1:25" s="209" customFormat="1" ht="30" hidden="1" customHeight="1" x14ac:dyDescent="0.25">
      <c r="A2402" s="82">
        <v>190918</v>
      </c>
      <c r="B2402" s="664" t="s">
        <v>764</v>
      </c>
      <c r="C2402" s="71" t="s">
        <v>236</v>
      </c>
      <c r="D2402" s="71">
        <v>10</v>
      </c>
      <c r="E2402" s="102">
        <v>100000</v>
      </c>
      <c r="F2402" s="102">
        <f t="shared" si="1280"/>
        <v>1100000</v>
      </c>
      <c r="G2402" s="102">
        <f t="shared" si="1281"/>
        <v>1000000</v>
      </c>
      <c r="H2402" s="690" t="s">
        <v>173</v>
      </c>
      <c r="I2402" s="71" t="s">
        <v>2231</v>
      </c>
      <c r="J2402" s="53">
        <f>G2402-T2402</f>
        <v>500000</v>
      </c>
      <c r="K2402" s="63">
        <f t="shared" si="1282"/>
        <v>0.5</v>
      </c>
      <c r="L2402" s="871" t="s">
        <v>2069</v>
      </c>
      <c r="M2402" s="468"/>
      <c r="N2402" s="664">
        <f t="shared" si="1297"/>
        <v>190918</v>
      </c>
      <c r="O2402" s="71" t="s">
        <v>153</v>
      </c>
      <c r="P2402" s="103" t="str">
        <f t="shared" ref="P2402:P2409" si="1301">C2402</f>
        <v>아스테이지(국전)</v>
      </c>
      <c r="Q2402" s="71">
        <f t="shared" si="1298"/>
        <v>10</v>
      </c>
      <c r="R2402" s="102">
        <f>VLOOKUP(P2402,Price!B:D,3,FALSE)</f>
        <v>50000</v>
      </c>
      <c r="S2402" s="102">
        <f t="shared" ref="S2402:S2411" si="1302">R2402*Q2402*1.1</f>
        <v>550000</v>
      </c>
      <c r="T2402" s="102">
        <f t="shared" ref="T2402:T2411" si="1303">R2402*Q2402</f>
        <v>500000</v>
      </c>
      <c r="U2402" s="71" t="str">
        <f t="shared" si="1300"/>
        <v>O</v>
      </c>
      <c r="V2402" s="71"/>
      <c r="W2402" s="474">
        <f t="shared" si="1299"/>
        <v>500000</v>
      </c>
      <c r="X2402" s="71"/>
      <c r="Y2402" s="71"/>
    </row>
    <row r="2403" spans="1:25" ht="30" hidden="1" customHeight="1" x14ac:dyDescent="0.25">
      <c r="A2403" s="82">
        <v>190919</v>
      </c>
      <c r="B2403" s="664" t="s">
        <v>545</v>
      </c>
      <c r="C2403" s="71" t="s">
        <v>952</v>
      </c>
      <c r="D2403" s="71">
        <v>1</v>
      </c>
      <c r="E2403" s="102">
        <v>630000</v>
      </c>
      <c r="F2403" s="102">
        <f>(E2403*D2403)*1.1</f>
        <v>693000</v>
      </c>
      <c r="G2403" s="102">
        <f>(E2403*D2403)</f>
        <v>630000</v>
      </c>
      <c r="H2403" s="690" t="s">
        <v>173</v>
      </c>
      <c r="I2403" s="71" t="s">
        <v>108</v>
      </c>
      <c r="J2403" s="53">
        <f>(G2403-(VLOOKUP(C2403,Price!B:D,3,FALSE)*D2403))</f>
        <v>180000</v>
      </c>
      <c r="K2403" s="63">
        <f t="shared" si="1282"/>
        <v>0.2857142857142857</v>
      </c>
      <c r="L2403" s="871" t="s">
        <v>2069</v>
      </c>
      <c r="M2403" s="468"/>
      <c r="N2403" s="664">
        <f t="shared" si="1297"/>
        <v>190919</v>
      </c>
      <c r="O2403" s="71" t="s">
        <v>599</v>
      </c>
      <c r="P2403" s="103" t="str">
        <f t="shared" si="1301"/>
        <v>점보롤 세정포</v>
      </c>
      <c r="Q2403" s="71">
        <f t="shared" si="1298"/>
        <v>1</v>
      </c>
      <c r="R2403" s="102">
        <v>440000</v>
      </c>
      <c r="S2403" s="102">
        <f t="shared" si="1302"/>
        <v>484000.00000000006</v>
      </c>
      <c r="T2403" s="102">
        <f t="shared" si="1303"/>
        <v>440000</v>
      </c>
      <c r="U2403" s="71" t="str">
        <f t="shared" si="1300"/>
        <v>X</v>
      </c>
      <c r="V2403" s="71" t="s">
        <v>1228</v>
      </c>
      <c r="W2403" s="474">
        <f t="shared" si="1299"/>
        <v>190000</v>
      </c>
      <c r="X2403" s="71"/>
      <c r="Y2403" s="71"/>
    </row>
    <row r="2404" spans="1:25" s="209" customFormat="1" ht="30" hidden="1" customHeight="1" x14ac:dyDescent="0.25">
      <c r="A2404" s="82">
        <v>190919</v>
      </c>
      <c r="B2404" s="664" t="s">
        <v>545</v>
      </c>
      <c r="C2404" s="71" t="s">
        <v>217</v>
      </c>
      <c r="D2404" s="71">
        <v>2</v>
      </c>
      <c r="E2404" s="102">
        <v>130000</v>
      </c>
      <c r="F2404" s="102">
        <f>(E2404*D2404)*1.1</f>
        <v>286000</v>
      </c>
      <c r="G2404" s="102">
        <f>(E2404*D2404)</f>
        <v>260000</v>
      </c>
      <c r="H2404" s="690" t="s">
        <v>173</v>
      </c>
      <c r="I2404" s="71" t="s">
        <v>108</v>
      </c>
      <c r="J2404" s="53">
        <f t="shared" ref="J2404:J2419" si="1304">G2404-T2404</f>
        <v>100000</v>
      </c>
      <c r="K2404" s="63">
        <f>(J2404/(F2404/11*10))</f>
        <v>0.38461538461538464</v>
      </c>
      <c r="L2404" s="871" t="s">
        <v>2069</v>
      </c>
      <c r="M2404" s="468"/>
      <c r="N2404" s="664">
        <f t="shared" si="1297"/>
        <v>190919</v>
      </c>
      <c r="O2404" s="71" t="s">
        <v>150</v>
      </c>
      <c r="P2404" s="103" t="str">
        <f t="shared" si="1301"/>
        <v>Fount 511</v>
      </c>
      <c r="Q2404" s="71">
        <f t="shared" si="1298"/>
        <v>2</v>
      </c>
      <c r="R2404" s="102">
        <v>80000</v>
      </c>
      <c r="S2404" s="102">
        <f t="shared" si="1302"/>
        <v>176000</v>
      </c>
      <c r="T2404" s="102">
        <f t="shared" si="1303"/>
        <v>160000</v>
      </c>
      <c r="U2404" s="71" t="str">
        <f t="shared" si="1300"/>
        <v>X</v>
      </c>
      <c r="V2404" s="71"/>
      <c r="W2404" s="474"/>
      <c r="X2404" s="71"/>
      <c r="Y2404" s="71"/>
    </row>
    <row r="2405" spans="1:25" ht="30" hidden="1" customHeight="1" x14ac:dyDescent="0.25">
      <c r="A2405" s="82">
        <v>190919</v>
      </c>
      <c r="B2405" s="664" t="s">
        <v>809</v>
      </c>
      <c r="C2405" s="71" t="s">
        <v>1081</v>
      </c>
      <c r="D2405" s="71">
        <v>5</v>
      </c>
      <c r="E2405" s="102">
        <v>156000</v>
      </c>
      <c r="F2405" s="102">
        <f t="shared" si="1280"/>
        <v>858000.00000000012</v>
      </c>
      <c r="G2405" s="102">
        <f t="shared" si="1281"/>
        <v>780000</v>
      </c>
      <c r="H2405" s="690" t="s">
        <v>173</v>
      </c>
      <c r="I2405" s="71" t="s">
        <v>2231</v>
      </c>
      <c r="J2405" s="53">
        <f t="shared" si="1304"/>
        <v>180000</v>
      </c>
      <c r="K2405" s="63">
        <f t="shared" si="1282"/>
        <v>0.23076923076923073</v>
      </c>
      <c r="L2405" s="871" t="s">
        <v>2069</v>
      </c>
      <c r="M2405" s="468"/>
      <c r="N2405" s="664">
        <f t="shared" si="1297"/>
        <v>190919</v>
      </c>
      <c r="O2405" s="71" t="s">
        <v>147</v>
      </c>
      <c r="P2405" s="103" t="str">
        <f t="shared" si="1301"/>
        <v>파우더</v>
      </c>
      <c r="Q2405" s="71">
        <f t="shared" si="1298"/>
        <v>5</v>
      </c>
      <c r="R2405" s="102">
        <v>120000</v>
      </c>
      <c r="S2405" s="102">
        <f t="shared" si="1302"/>
        <v>660000</v>
      </c>
      <c r="T2405" s="102">
        <f t="shared" si="1303"/>
        <v>600000</v>
      </c>
      <c r="U2405" s="71" t="str">
        <f t="shared" si="1300"/>
        <v>O</v>
      </c>
      <c r="V2405" s="71"/>
      <c r="W2405" s="474">
        <f>(G2405-T2405)</f>
        <v>180000</v>
      </c>
      <c r="X2405" s="71"/>
      <c r="Y2405" s="71"/>
    </row>
    <row r="2406" spans="1:25" ht="30" hidden="1" customHeight="1" x14ac:dyDescent="0.25">
      <c r="A2406" s="82">
        <v>190923</v>
      </c>
      <c r="B2406" s="664" t="s">
        <v>446</v>
      </c>
      <c r="C2406" s="71" t="s">
        <v>2028</v>
      </c>
      <c r="D2406" s="71">
        <v>8</v>
      </c>
      <c r="E2406" s="102">
        <v>110000</v>
      </c>
      <c r="F2406" s="102">
        <f t="shared" si="1280"/>
        <v>968000.00000000012</v>
      </c>
      <c r="G2406" s="102">
        <f t="shared" si="1281"/>
        <v>880000</v>
      </c>
      <c r="H2406" s="690" t="s">
        <v>2029</v>
      </c>
      <c r="I2406" s="71" t="s">
        <v>2231</v>
      </c>
      <c r="J2406" s="53">
        <f t="shared" si="1304"/>
        <v>152000</v>
      </c>
      <c r="K2406" s="63">
        <f t="shared" si="1282"/>
        <v>0.1727272727272727</v>
      </c>
      <c r="L2406" s="871" t="s">
        <v>2069</v>
      </c>
      <c r="M2406" s="468"/>
      <c r="N2406" s="664">
        <f t="shared" si="1297"/>
        <v>190923</v>
      </c>
      <c r="O2406" s="71" t="s">
        <v>2030</v>
      </c>
      <c r="P2406" s="103" t="str">
        <f t="shared" si="1301"/>
        <v>실리콘 에멀전</v>
      </c>
      <c r="Q2406" s="71">
        <f t="shared" si="1298"/>
        <v>8</v>
      </c>
      <c r="R2406" s="102">
        <v>91000</v>
      </c>
      <c r="S2406" s="102">
        <f t="shared" si="1302"/>
        <v>800800.00000000012</v>
      </c>
      <c r="T2406" s="102">
        <f t="shared" si="1303"/>
        <v>728000</v>
      </c>
      <c r="U2406" s="71" t="str">
        <f t="shared" si="1300"/>
        <v>O</v>
      </c>
      <c r="V2406" s="71"/>
      <c r="W2406" s="474">
        <f>(G2406-T2406)</f>
        <v>152000</v>
      </c>
      <c r="X2406" s="71"/>
      <c r="Y2406" s="71"/>
    </row>
    <row r="2407" spans="1:25" ht="30" hidden="1" customHeight="1" x14ac:dyDescent="0.25">
      <c r="A2407" s="82">
        <v>190923</v>
      </c>
      <c r="B2407" s="664" t="s">
        <v>575</v>
      </c>
      <c r="C2407" s="71" t="s">
        <v>1367</v>
      </c>
      <c r="D2407" s="71">
        <v>8</v>
      </c>
      <c r="E2407" s="102">
        <v>218000</v>
      </c>
      <c r="F2407" s="102">
        <f t="shared" si="1280"/>
        <v>1918400.0000000002</v>
      </c>
      <c r="G2407" s="102">
        <f t="shared" si="1281"/>
        <v>1744000</v>
      </c>
      <c r="H2407" s="690" t="s">
        <v>173</v>
      </c>
      <c r="I2407" s="71" t="s">
        <v>109</v>
      </c>
      <c r="J2407" s="53">
        <f t="shared" si="1304"/>
        <v>781920</v>
      </c>
      <c r="K2407" s="63">
        <f t="shared" si="1282"/>
        <v>0.44834862385321095</v>
      </c>
      <c r="L2407" s="871" t="s">
        <v>2047</v>
      </c>
      <c r="M2407" s="468"/>
      <c r="N2407" s="664">
        <f t="shared" si="1297"/>
        <v>190923</v>
      </c>
      <c r="O2407" s="71" t="s">
        <v>1443</v>
      </c>
      <c r="P2407" s="103" t="str">
        <f t="shared" si="1301"/>
        <v>M600 윤전 블랑켓 995*742</v>
      </c>
      <c r="Q2407" s="71">
        <f t="shared" si="1298"/>
        <v>8</v>
      </c>
      <c r="R2407" s="102">
        <v>120260</v>
      </c>
      <c r="S2407" s="102">
        <f t="shared" si="1302"/>
        <v>1058288</v>
      </c>
      <c r="T2407" s="102">
        <f t="shared" si="1303"/>
        <v>962080</v>
      </c>
      <c r="U2407" s="71" t="str">
        <f t="shared" si="1300"/>
        <v>X</v>
      </c>
      <c r="V2407" s="71"/>
      <c r="W2407" s="474"/>
      <c r="X2407" s="71"/>
      <c r="Y2407" s="71"/>
    </row>
    <row r="2408" spans="1:25" ht="30" hidden="1" customHeight="1" x14ac:dyDescent="0.25">
      <c r="A2408" s="82">
        <v>190923</v>
      </c>
      <c r="B2408" s="664" t="s">
        <v>1286</v>
      </c>
      <c r="C2408" s="71" t="s">
        <v>1790</v>
      </c>
      <c r="D2408" s="71">
        <v>1</v>
      </c>
      <c r="E2408" s="102">
        <v>350000</v>
      </c>
      <c r="F2408" s="102">
        <f t="shared" si="1280"/>
        <v>385000.00000000006</v>
      </c>
      <c r="G2408" s="102">
        <f t="shared" si="1281"/>
        <v>350000</v>
      </c>
      <c r="H2408" s="690" t="s">
        <v>985</v>
      </c>
      <c r="I2408" s="71" t="s">
        <v>985</v>
      </c>
      <c r="J2408" s="53">
        <f t="shared" si="1304"/>
        <v>350000</v>
      </c>
      <c r="K2408" s="63">
        <f t="shared" si="1282"/>
        <v>0.99999999999999989</v>
      </c>
      <c r="L2408" s="871" t="s">
        <v>2047</v>
      </c>
      <c r="M2408" s="468"/>
      <c r="N2408" s="664">
        <f t="shared" si="1297"/>
        <v>190923</v>
      </c>
      <c r="O2408" s="71"/>
      <c r="P2408" s="103" t="str">
        <f t="shared" si="1301"/>
        <v>알레스 서비스 비용</v>
      </c>
      <c r="Q2408" s="71">
        <f t="shared" si="1298"/>
        <v>1</v>
      </c>
      <c r="R2408" s="102"/>
      <c r="S2408" s="102">
        <f t="shared" si="1302"/>
        <v>0</v>
      </c>
      <c r="T2408" s="102">
        <f t="shared" si="1303"/>
        <v>0</v>
      </c>
      <c r="U2408" s="71" t="str">
        <f t="shared" si="1300"/>
        <v>X</v>
      </c>
      <c r="V2408" s="71"/>
      <c r="W2408" s="474"/>
      <c r="X2408" s="71"/>
      <c r="Y2408" s="71"/>
    </row>
    <row r="2409" spans="1:25" ht="30" hidden="1" customHeight="1" x14ac:dyDescent="0.25">
      <c r="A2409" s="82">
        <v>190925</v>
      </c>
      <c r="B2409" s="664" t="s">
        <v>446</v>
      </c>
      <c r="C2409" s="71" t="s">
        <v>2028</v>
      </c>
      <c r="D2409" s="71">
        <v>8</v>
      </c>
      <c r="E2409" s="102">
        <v>110000</v>
      </c>
      <c r="F2409" s="102">
        <f t="shared" si="1280"/>
        <v>968000.00000000012</v>
      </c>
      <c r="G2409" s="102">
        <f t="shared" si="1281"/>
        <v>880000</v>
      </c>
      <c r="H2409" s="690" t="s">
        <v>2029</v>
      </c>
      <c r="I2409" s="71" t="s">
        <v>2231</v>
      </c>
      <c r="J2409" s="53">
        <f t="shared" si="1304"/>
        <v>152000</v>
      </c>
      <c r="K2409" s="63">
        <f t="shared" si="1282"/>
        <v>0.1727272727272727</v>
      </c>
      <c r="L2409" s="871" t="s">
        <v>2069</v>
      </c>
      <c r="M2409" s="468"/>
      <c r="N2409" s="664">
        <f t="shared" si="1297"/>
        <v>190925</v>
      </c>
      <c r="O2409" s="71" t="s">
        <v>2030</v>
      </c>
      <c r="P2409" s="103" t="str">
        <f t="shared" si="1301"/>
        <v>실리콘 에멀전</v>
      </c>
      <c r="Q2409" s="71">
        <f t="shared" si="1298"/>
        <v>8</v>
      </c>
      <c r="R2409" s="102">
        <v>91000</v>
      </c>
      <c r="S2409" s="102">
        <f t="shared" si="1302"/>
        <v>800800.00000000012</v>
      </c>
      <c r="T2409" s="102">
        <f t="shared" si="1303"/>
        <v>728000</v>
      </c>
      <c r="U2409" s="71" t="str">
        <f t="shared" si="1300"/>
        <v>O</v>
      </c>
      <c r="V2409" s="71"/>
      <c r="W2409" s="474">
        <f>(G2409-T2409)</f>
        <v>152000</v>
      </c>
      <c r="X2409" s="71"/>
      <c r="Y2409" s="71"/>
    </row>
    <row r="2410" spans="1:25" ht="30" hidden="1" customHeight="1" x14ac:dyDescent="0.2">
      <c r="A2410" s="82">
        <v>190925</v>
      </c>
      <c r="B2410" s="664" t="s">
        <v>690</v>
      </c>
      <c r="C2410" s="71" t="s">
        <v>1186</v>
      </c>
      <c r="D2410" s="71">
        <v>500</v>
      </c>
      <c r="E2410" s="102">
        <v>3600</v>
      </c>
      <c r="F2410" s="163">
        <f>(E2410*D2410)*1.1</f>
        <v>1980000.0000000002</v>
      </c>
      <c r="G2410" s="102">
        <v>1800000</v>
      </c>
      <c r="H2410" s="690" t="s">
        <v>173</v>
      </c>
      <c r="I2410" s="71" t="s">
        <v>2230</v>
      </c>
      <c r="J2410" s="53">
        <f t="shared" si="1304"/>
        <v>-200000</v>
      </c>
      <c r="K2410" s="63">
        <f t="shared" si="1282"/>
        <v>-0.11111111111111109</v>
      </c>
      <c r="L2410" s="871" t="s">
        <v>2069</v>
      </c>
      <c r="M2410" s="468" t="s">
        <v>1393</v>
      </c>
      <c r="N2410" s="664">
        <v>190718</v>
      </c>
      <c r="O2410" s="71" t="s">
        <v>145</v>
      </c>
      <c r="P2410" s="103" t="s">
        <v>2023</v>
      </c>
      <c r="Q2410" s="71">
        <f t="shared" si="1298"/>
        <v>500</v>
      </c>
      <c r="R2410" s="102">
        <v>4000</v>
      </c>
      <c r="S2410" s="102">
        <f t="shared" si="1302"/>
        <v>2200000</v>
      </c>
      <c r="T2410" s="102">
        <f t="shared" si="1303"/>
        <v>2000000</v>
      </c>
      <c r="U2410" s="71" t="s">
        <v>859</v>
      </c>
      <c r="V2410" s="71"/>
      <c r="W2410" s="474">
        <v>-200000</v>
      </c>
      <c r="X2410" s="71"/>
      <c r="Y2410" s="71"/>
    </row>
    <row r="2411" spans="1:25" ht="30" hidden="1" customHeight="1" x14ac:dyDescent="0.2">
      <c r="A2411" s="82">
        <v>190925</v>
      </c>
      <c r="B2411" s="664" t="s">
        <v>690</v>
      </c>
      <c r="C2411" s="67" t="s">
        <v>197</v>
      </c>
      <c r="D2411" s="71">
        <v>3</v>
      </c>
      <c r="E2411" s="102">
        <v>49000</v>
      </c>
      <c r="F2411" s="163">
        <f>(E2411*D2411)*1.1</f>
        <v>161700</v>
      </c>
      <c r="G2411" s="163">
        <f>(E2411*D2411)</f>
        <v>147000</v>
      </c>
      <c r="H2411" s="690" t="s">
        <v>173</v>
      </c>
      <c r="I2411" s="71" t="s">
        <v>2230</v>
      </c>
      <c r="J2411" s="53">
        <f t="shared" si="1304"/>
        <v>42000</v>
      </c>
      <c r="K2411" s="63">
        <f t="shared" si="1282"/>
        <v>0.2857142857142857</v>
      </c>
      <c r="L2411" s="871" t="s">
        <v>2069</v>
      </c>
      <c r="M2411" s="468" t="s">
        <v>1394</v>
      </c>
      <c r="N2411" s="664">
        <v>190718</v>
      </c>
      <c r="O2411" s="71" t="s">
        <v>145</v>
      </c>
      <c r="P2411" s="103" t="s">
        <v>2022</v>
      </c>
      <c r="Q2411" s="71">
        <f t="shared" si="1298"/>
        <v>3</v>
      </c>
      <c r="R2411" s="102">
        <v>35000</v>
      </c>
      <c r="S2411" s="102">
        <f t="shared" si="1302"/>
        <v>115500.00000000001</v>
      </c>
      <c r="T2411" s="102">
        <f t="shared" si="1303"/>
        <v>105000</v>
      </c>
      <c r="U2411" s="71" t="str">
        <f t="shared" ref="U2411:U2439" si="1305">IF(J2411=W2411,"O", "X")</f>
        <v>X</v>
      </c>
      <c r="V2411" s="71"/>
      <c r="W2411" s="474"/>
      <c r="X2411" s="71"/>
      <c r="Y2411" s="71"/>
    </row>
    <row r="2412" spans="1:25" ht="30" hidden="1" customHeight="1" x14ac:dyDescent="0.25">
      <c r="A2412" s="82">
        <v>190925</v>
      </c>
      <c r="B2412" s="664" t="s">
        <v>1051</v>
      </c>
      <c r="C2412" s="71" t="s">
        <v>1294</v>
      </c>
      <c r="D2412" s="71">
        <v>4400</v>
      </c>
      <c r="E2412" s="102">
        <v>6290</v>
      </c>
      <c r="F2412" s="102">
        <f t="shared" ref="F2412:F2430" si="1306">(E2412*D2412)*1.1</f>
        <v>30443600.000000004</v>
      </c>
      <c r="G2412" s="102">
        <f t="shared" ref="G2412:G2431" si="1307">(E2412*D2412)</f>
        <v>27676000</v>
      </c>
      <c r="H2412" s="690" t="s">
        <v>142</v>
      </c>
      <c r="I2412" s="71" t="s">
        <v>2273</v>
      </c>
      <c r="J2412" s="53">
        <f t="shared" si="1304"/>
        <v>10076000</v>
      </c>
      <c r="K2412" s="63">
        <f t="shared" si="1282"/>
        <v>0.36406995230524636</v>
      </c>
      <c r="L2412" s="871" t="s">
        <v>2069</v>
      </c>
      <c r="M2412" s="468"/>
      <c r="N2412" s="664">
        <f t="shared" ref="N2412:N2420" si="1308">A2412</f>
        <v>190925</v>
      </c>
      <c r="O2412" s="71" t="s">
        <v>145</v>
      </c>
      <c r="P2412" s="103" t="str">
        <f>(C2412)</f>
        <v>ENGAGE 1030*790</v>
      </c>
      <c r="Q2412" s="71">
        <f t="shared" si="1298"/>
        <v>4400</v>
      </c>
      <c r="R2412" s="102">
        <v>4000</v>
      </c>
      <c r="S2412" s="102">
        <f>(R2412*D2412)*1.1</f>
        <v>19360000</v>
      </c>
      <c r="T2412" s="102">
        <f>(R2412*Q2412)</f>
        <v>17600000</v>
      </c>
      <c r="U2412" s="71" t="str">
        <f t="shared" si="1305"/>
        <v>O</v>
      </c>
      <c r="V2412" s="71"/>
      <c r="W2412" s="474">
        <f t="shared" ref="W2412:W2432" si="1309">(G2412-T2412)</f>
        <v>10076000</v>
      </c>
      <c r="X2412" s="71"/>
      <c r="Y2412" s="71"/>
    </row>
    <row r="2413" spans="1:25" ht="30" hidden="1" customHeight="1" x14ac:dyDescent="0.25">
      <c r="A2413" s="82">
        <v>190925</v>
      </c>
      <c r="B2413" s="664" t="s">
        <v>1051</v>
      </c>
      <c r="C2413" s="71" t="s">
        <v>1384</v>
      </c>
      <c r="D2413" s="71">
        <v>3200</v>
      </c>
      <c r="E2413" s="102">
        <v>3960</v>
      </c>
      <c r="F2413" s="102">
        <f t="shared" si="1306"/>
        <v>13939200.000000002</v>
      </c>
      <c r="G2413" s="102">
        <f t="shared" si="1307"/>
        <v>12672000</v>
      </c>
      <c r="H2413" s="690" t="s">
        <v>142</v>
      </c>
      <c r="I2413" s="71" t="s">
        <v>2273</v>
      </c>
      <c r="J2413" s="53">
        <f t="shared" si="1304"/>
        <v>4608000</v>
      </c>
      <c r="K2413" s="63">
        <f t="shared" si="1282"/>
        <v>0.36363636363636359</v>
      </c>
      <c r="L2413" s="871" t="s">
        <v>2069</v>
      </c>
      <c r="M2413" s="468"/>
      <c r="N2413" s="664">
        <f t="shared" si="1308"/>
        <v>190925</v>
      </c>
      <c r="O2413" s="71" t="s">
        <v>145</v>
      </c>
      <c r="P2413" s="103" t="str">
        <f>C2413</f>
        <v>ENGAGE 900X571 - 27RO</v>
      </c>
      <c r="Q2413" s="71">
        <f t="shared" si="1298"/>
        <v>3200</v>
      </c>
      <c r="R2413" s="102">
        <v>2520</v>
      </c>
      <c r="S2413" s="102">
        <f>R2413*Q2413*1.1</f>
        <v>8870400</v>
      </c>
      <c r="T2413" s="102">
        <f>R2413*Q2413</f>
        <v>8064000</v>
      </c>
      <c r="U2413" s="71" t="str">
        <f t="shared" si="1305"/>
        <v>O</v>
      </c>
      <c r="V2413" s="71"/>
      <c r="W2413" s="474">
        <f t="shared" si="1309"/>
        <v>4608000</v>
      </c>
      <c r="X2413" s="71"/>
      <c r="Y2413" s="71"/>
    </row>
    <row r="2414" spans="1:25" ht="30" hidden="1" customHeight="1" x14ac:dyDescent="0.25">
      <c r="A2414" s="82">
        <v>190925</v>
      </c>
      <c r="B2414" s="664" t="s">
        <v>1051</v>
      </c>
      <c r="C2414" s="71" t="s">
        <v>951</v>
      </c>
      <c r="D2414" s="71">
        <v>500</v>
      </c>
      <c r="E2414" s="102">
        <v>3770</v>
      </c>
      <c r="F2414" s="102">
        <f t="shared" si="1306"/>
        <v>2073500.0000000002</v>
      </c>
      <c r="G2414" s="102">
        <f t="shared" si="1307"/>
        <v>1885000</v>
      </c>
      <c r="H2414" s="690" t="s">
        <v>142</v>
      </c>
      <c r="I2414" s="71" t="s">
        <v>2273</v>
      </c>
      <c r="J2414" s="53">
        <f t="shared" si="1304"/>
        <v>690000</v>
      </c>
      <c r="K2414" s="63">
        <f t="shared" si="1282"/>
        <v>0.36604774535809015</v>
      </c>
      <c r="L2414" s="871" t="s">
        <v>2069</v>
      </c>
      <c r="M2414" s="468"/>
      <c r="N2414" s="664">
        <f t="shared" si="1308"/>
        <v>190925</v>
      </c>
      <c r="O2414" s="71" t="s">
        <v>145</v>
      </c>
      <c r="P2414" s="103" t="str">
        <f>(C2414)</f>
        <v>ENGAGE 30WEB(883*552)</v>
      </c>
      <c r="Q2414" s="71">
        <f t="shared" si="1298"/>
        <v>500</v>
      </c>
      <c r="R2414" s="102">
        <v>2390</v>
      </c>
      <c r="S2414" s="102">
        <f>(R2414*D2414)*1.1</f>
        <v>1314500</v>
      </c>
      <c r="T2414" s="102">
        <f>(R2414*Q2414)</f>
        <v>1195000</v>
      </c>
      <c r="U2414" s="71" t="str">
        <f t="shared" si="1305"/>
        <v>O</v>
      </c>
      <c r="V2414" s="71"/>
      <c r="W2414" s="474">
        <f t="shared" si="1309"/>
        <v>690000</v>
      </c>
      <c r="X2414" s="71"/>
      <c r="Y2414" s="71"/>
    </row>
    <row r="2415" spans="1:25" ht="30" hidden="1" customHeight="1" x14ac:dyDescent="0.25">
      <c r="A2415" s="82">
        <v>190925</v>
      </c>
      <c r="B2415" s="664" t="s">
        <v>1051</v>
      </c>
      <c r="C2415" s="71" t="s">
        <v>1383</v>
      </c>
      <c r="D2415" s="71">
        <v>1100</v>
      </c>
      <c r="E2415" s="102">
        <v>6600</v>
      </c>
      <c r="F2415" s="102">
        <f t="shared" si="1306"/>
        <v>7986000.0000000009</v>
      </c>
      <c r="G2415" s="102">
        <f t="shared" si="1307"/>
        <v>7260000</v>
      </c>
      <c r="H2415" s="690" t="s">
        <v>142</v>
      </c>
      <c r="I2415" s="71" t="s">
        <v>2273</v>
      </c>
      <c r="J2415" s="53">
        <f t="shared" si="1304"/>
        <v>2629000</v>
      </c>
      <c r="K2415" s="63">
        <f t="shared" si="1282"/>
        <v>0.36212121212121207</v>
      </c>
      <c r="L2415" s="871" t="s">
        <v>2069</v>
      </c>
      <c r="M2415" s="468"/>
      <c r="N2415" s="664">
        <f t="shared" si="1308"/>
        <v>190925</v>
      </c>
      <c r="O2415" s="71" t="s">
        <v>145</v>
      </c>
      <c r="P2415" s="103" t="str">
        <f>C2415</f>
        <v>ENGAGE 1055*811</v>
      </c>
      <c r="Q2415" s="71">
        <f t="shared" si="1298"/>
        <v>1100</v>
      </c>
      <c r="R2415" s="102">
        <v>4210</v>
      </c>
      <c r="S2415" s="102">
        <f>R2415*Q2415*1.1</f>
        <v>5094100</v>
      </c>
      <c r="T2415" s="102">
        <f>R2415*Q2415</f>
        <v>4631000</v>
      </c>
      <c r="U2415" s="71" t="str">
        <f t="shared" si="1305"/>
        <v>O</v>
      </c>
      <c r="V2415" s="71"/>
      <c r="W2415" s="474">
        <f t="shared" si="1309"/>
        <v>2629000</v>
      </c>
      <c r="X2415" s="71"/>
      <c r="Y2415" s="71"/>
    </row>
    <row r="2416" spans="1:25" ht="30" hidden="1" customHeight="1" x14ac:dyDescent="0.25">
      <c r="A2416" s="82">
        <v>190925</v>
      </c>
      <c r="B2416" s="664" t="s">
        <v>1051</v>
      </c>
      <c r="C2416" s="71" t="s">
        <v>1650</v>
      </c>
      <c r="D2416" s="71">
        <v>1300</v>
      </c>
      <c r="E2416" s="102">
        <v>4720</v>
      </c>
      <c r="F2416" s="102">
        <f t="shared" si="1306"/>
        <v>6749600.0000000009</v>
      </c>
      <c r="G2416" s="102">
        <f t="shared" si="1307"/>
        <v>6136000</v>
      </c>
      <c r="H2416" s="690" t="s">
        <v>142</v>
      </c>
      <c r="I2416" s="71" t="s">
        <v>2273</v>
      </c>
      <c r="J2416" s="53">
        <f t="shared" si="1304"/>
        <v>2236000</v>
      </c>
      <c r="K2416" s="63">
        <f t="shared" si="1282"/>
        <v>0.36440677966101687</v>
      </c>
      <c r="L2416" s="871" t="s">
        <v>2069</v>
      </c>
      <c r="M2416" s="468"/>
      <c r="N2416" s="664">
        <f t="shared" si="1308"/>
        <v>190925</v>
      </c>
      <c r="O2416" s="71" t="s">
        <v>145</v>
      </c>
      <c r="P2416" s="103" t="s">
        <v>1385</v>
      </c>
      <c r="Q2416" s="71">
        <f t="shared" si="1298"/>
        <v>1300</v>
      </c>
      <c r="R2416" s="102">
        <v>3000</v>
      </c>
      <c r="S2416" s="102">
        <f>R2416*Q2416*1.1</f>
        <v>4290000</v>
      </c>
      <c r="T2416" s="102">
        <f>R2416*Q2416</f>
        <v>3900000</v>
      </c>
      <c r="U2416" s="71" t="str">
        <f t="shared" si="1305"/>
        <v>O</v>
      </c>
      <c r="V2416" s="71"/>
      <c r="W2416" s="474">
        <f t="shared" si="1309"/>
        <v>2236000</v>
      </c>
      <c r="X2416" s="71"/>
      <c r="Y2416" s="71"/>
    </row>
    <row r="2417" spans="1:25" ht="30" hidden="1" customHeight="1" x14ac:dyDescent="0.25">
      <c r="A2417" s="82">
        <v>190925</v>
      </c>
      <c r="B2417" s="664" t="s">
        <v>1051</v>
      </c>
      <c r="C2417" s="67" t="s">
        <v>1386</v>
      </c>
      <c r="D2417" s="71">
        <v>25</v>
      </c>
      <c r="E2417" s="102">
        <v>58000</v>
      </c>
      <c r="F2417" s="102">
        <f t="shared" si="1306"/>
        <v>1595000.0000000002</v>
      </c>
      <c r="G2417" s="102">
        <f t="shared" si="1307"/>
        <v>1450000</v>
      </c>
      <c r="H2417" s="690" t="s">
        <v>142</v>
      </c>
      <c r="I2417" s="71" t="s">
        <v>2273</v>
      </c>
      <c r="J2417" s="53">
        <f t="shared" si="1304"/>
        <v>575000</v>
      </c>
      <c r="K2417" s="63">
        <f t="shared" si="1282"/>
        <v>0.39655172413793099</v>
      </c>
      <c r="L2417" s="871" t="s">
        <v>2069</v>
      </c>
      <c r="M2417" s="468"/>
      <c r="N2417" s="664">
        <f t="shared" si="1308"/>
        <v>190925</v>
      </c>
      <c r="O2417" s="71" t="s">
        <v>145</v>
      </c>
      <c r="P2417" s="103" t="str">
        <f>C2417</f>
        <v>THR200(20L)보충액</v>
      </c>
      <c r="Q2417" s="71">
        <f t="shared" si="1298"/>
        <v>25</v>
      </c>
      <c r="R2417" s="102">
        <v>35000</v>
      </c>
      <c r="S2417" s="102">
        <f>R2417*Q2417*1.1</f>
        <v>962500.00000000012</v>
      </c>
      <c r="T2417" s="102">
        <f>R2417*Q2417</f>
        <v>875000</v>
      </c>
      <c r="U2417" s="71" t="str">
        <f t="shared" si="1305"/>
        <v>O</v>
      </c>
      <c r="V2417" s="71"/>
      <c r="W2417" s="474">
        <f t="shared" si="1309"/>
        <v>575000</v>
      </c>
      <c r="X2417" s="71"/>
      <c r="Y2417" s="71"/>
    </row>
    <row r="2418" spans="1:25" ht="30" hidden="1" customHeight="1" x14ac:dyDescent="0.25">
      <c r="A2418" s="82">
        <v>190925</v>
      </c>
      <c r="B2418" s="664" t="s">
        <v>1051</v>
      </c>
      <c r="C2418" s="71" t="s">
        <v>1387</v>
      </c>
      <c r="D2418" s="71">
        <v>5</v>
      </c>
      <c r="E2418" s="102">
        <v>58000</v>
      </c>
      <c r="F2418" s="102">
        <f t="shared" si="1306"/>
        <v>319000</v>
      </c>
      <c r="G2418" s="102">
        <f t="shared" si="1307"/>
        <v>290000</v>
      </c>
      <c r="H2418" s="690" t="s">
        <v>142</v>
      </c>
      <c r="I2418" s="71" t="s">
        <v>2273</v>
      </c>
      <c r="J2418" s="53">
        <f t="shared" si="1304"/>
        <v>115000</v>
      </c>
      <c r="K2418" s="63">
        <f t="shared" si="1282"/>
        <v>0.39655172413793105</v>
      </c>
      <c r="L2418" s="871" t="s">
        <v>2069</v>
      </c>
      <c r="M2418" s="468"/>
      <c r="N2418" s="664">
        <f t="shared" si="1308"/>
        <v>190925</v>
      </c>
      <c r="O2418" s="71" t="s">
        <v>145</v>
      </c>
      <c r="P2418" s="103" t="str">
        <f>(C2418)</f>
        <v>THD200(20L)현상액</v>
      </c>
      <c r="Q2418" s="71">
        <f t="shared" si="1298"/>
        <v>5</v>
      </c>
      <c r="R2418" s="102">
        <v>35000</v>
      </c>
      <c r="S2418" s="102">
        <f>(R2418*D2418)*1.1</f>
        <v>192500.00000000003</v>
      </c>
      <c r="T2418" s="102">
        <f>(R2418*Q2418)</f>
        <v>175000</v>
      </c>
      <c r="U2418" s="71" t="str">
        <f t="shared" si="1305"/>
        <v>O</v>
      </c>
      <c r="V2418" s="71"/>
      <c r="W2418" s="474">
        <f t="shared" si="1309"/>
        <v>115000</v>
      </c>
      <c r="X2418" s="71"/>
      <c r="Y2418" s="71"/>
    </row>
    <row r="2419" spans="1:25" ht="30" hidden="1" customHeight="1" x14ac:dyDescent="0.25">
      <c r="A2419" s="82">
        <v>190925</v>
      </c>
      <c r="B2419" s="664" t="s">
        <v>1061</v>
      </c>
      <c r="C2419" s="71" t="s">
        <v>616</v>
      </c>
      <c r="D2419" s="71">
        <v>200</v>
      </c>
      <c r="E2419" s="102">
        <v>6600</v>
      </c>
      <c r="F2419" s="102">
        <f t="shared" si="1306"/>
        <v>1452000.0000000002</v>
      </c>
      <c r="G2419" s="102">
        <f t="shared" si="1307"/>
        <v>1320000</v>
      </c>
      <c r="H2419" s="690" t="s">
        <v>142</v>
      </c>
      <c r="I2419" s="71" t="s">
        <v>144</v>
      </c>
      <c r="J2419" s="53">
        <f t="shared" si="1304"/>
        <v>140000</v>
      </c>
      <c r="K2419" s="63">
        <f t="shared" si="1282"/>
        <v>0.10606060606060604</v>
      </c>
      <c r="L2419" s="871" t="s">
        <v>2069</v>
      </c>
      <c r="M2419" s="468"/>
      <c r="N2419" s="664">
        <f t="shared" si="1308"/>
        <v>190925</v>
      </c>
      <c r="O2419" s="71" t="s">
        <v>147</v>
      </c>
      <c r="P2419" s="103" t="str">
        <f t="shared" ref="P2419:P2431" si="1310">C2419</f>
        <v>프리미어(먹)</v>
      </c>
      <c r="Q2419" s="71">
        <f t="shared" si="1298"/>
        <v>200</v>
      </c>
      <c r="R2419" s="102">
        <v>5900</v>
      </c>
      <c r="S2419" s="102">
        <f>R2419*Q2419*1.1</f>
        <v>1298000</v>
      </c>
      <c r="T2419" s="102">
        <f>R2419*Q2419</f>
        <v>1180000</v>
      </c>
      <c r="U2419" s="71" t="str">
        <f t="shared" si="1305"/>
        <v>O</v>
      </c>
      <c r="V2419" s="71"/>
      <c r="W2419" s="474">
        <f t="shared" si="1309"/>
        <v>140000</v>
      </c>
      <c r="X2419" s="71"/>
      <c r="Y2419" s="71"/>
    </row>
    <row r="2420" spans="1:25" ht="30" hidden="1" customHeight="1" x14ac:dyDescent="0.25">
      <c r="A2420" s="82">
        <v>190925</v>
      </c>
      <c r="B2420" s="664" t="s">
        <v>1052</v>
      </c>
      <c r="C2420" s="71" t="s">
        <v>585</v>
      </c>
      <c r="D2420" s="71">
        <v>200</v>
      </c>
      <c r="E2420" s="102">
        <v>7500</v>
      </c>
      <c r="F2420" s="102">
        <f t="shared" si="1306"/>
        <v>1650000.0000000002</v>
      </c>
      <c r="G2420" s="102">
        <f t="shared" si="1307"/>
        <v>1500000</v>
      </c>
      <c r="H2420" s="690" t="s">
        <v>142</v>
      </c>
      <c r="I2420" s="71" t="s">
        <v>144</v>
      </c>
      <c r="J2420" s="53">
        <f>(G2420-(VLOOKUP(C2420,Price!B:D,3,FALSE)*D2420))</f>
        <v>146000</v>
      </c>
      <c r="K2420" s="63">
        <f t="shared" si="1282"/>
        <v>9.7333333333333313E-2</v>
      </c>
      <c r="L2420" s="871" t="s">
        <v>2069</v>
      </c>
      <c r="M2420" s="468"/>
      <c r="N2420" s="664">
        <f t="shared" si="1308"/>
        <v>190925</v>
      </c>
      <c r="O2420" s="71" t="s">
        <v>147</v>
      </c>
      <c r="P2420" s="103" t="str">
        <f t="shared" si="1310"/>
        <v>프리미어(적)</v>
      </c>
      <c r="Q2420" s="71">
        <f t="shared" si="1298"/>
        <v>200</v>
      </c>
      <c r="R2420" s="102">
        <v>6770</v>
      </c>
      <c r="S2420" s="102">
        <f>R2420*Q2420*1.1</f>
        <v>1489400.0000000002</v>
      </c>
      <c r="T2420" s="102">
        <f>R2420*Q2420</f>
        <v>1354000</v>
      </c>
      <c r="U2420" s="71" t="str">
        <f t="shared" si="1305"/>
        <v>O</v>
      </c>
      <c r="V2420" s="71"/>
      <c r="W2420" s="474">
        <f t="shared" si="1309"/>
        <v>146000</v>
      </c>
      <c r="X2420" s="71"/>
      <c r="Y2420" s="71"/>
    </row>
    <row r="2421" spans="1:25" ht="30" hidden="1" customHeight="1" x14ac:dyDescent="0.25">
      <c r="A2421" s="82">
        <v>190925</v>
      </c>
      <c r="B2421" s="664" t="s">
        <v>1061</v>
      </c>
      <c r="C2421" s="71" t="s">
        <v>586</v>
      </c>
      <c r="D2421" s="71">
        <v>600</v>
      </c>
      <c r="E2421" s="102">
        <v>6750</v>
      </c>
      <c r="F2421" s="102">
        <f t="shared" si="1306"/>
        <v>4455000</v>
      </c>
      <c r="G2421" s="102">
        <f t="shared" si="1307"/>
        <v>4050000</v>
      </c>
      <c r="H2421" s="690" t="s">
        <v>142</v>
      </c>
      <c r="I2421" s="71" t="s">
        <v>144</v>
      </c>
      <c r="J2421" s="53">
        <f t="shared" ref="J2421:J2431" si="1311">G2421-T2421</f>
        <v>342000</v>
      </c>
      <c r="K2421" s="63">
        <f t="shared" si="1282"/>
        <v>8.4444444444444447E-2</v>
      </c>
      <c r="L2421" s="871" t="s">
        <v>2069</v>
      </c>
      <c r="M2421" s="468"/>
      <c r="N2421" s="664">
        <v>180713</v>
      </c>
      <c r="O2421" s="71" t="s">
        <v>147</v>
      </c>
      <c r="P2421" s="103" t="str">
        <f t="shared" si="1310"/>
        <v>프리미어(황)</v>
      </c>
      <c r="Q2421" s="71">
        <f t="shared" si="1298"/>
        <v>600</v>
      </c>
      <c r="R2421" s="102">
        <v>6180</v>
      </c>
      <c r="S2421" s="102">
        <f>(R2421*D2421)*1.1</f>
        <v>4078800.0000000005</v>
      </c>
      <c r="T2421" s="102">
        <f>(R2421*Q2421)</f>
        <v>3708000</v>
      </c>
      <c r="U2421" s="71" t="str">
        <f t="shared" si="1305"/>
        <v>O</v>
      </c>
      <c r="V2421" s="71"/>
      <c r="W2421" s="474">
        <f t="shared" si="1309"/>
        <v>342000</v>
      </c>
      <c r="X2421" s="71"/>
      <c r="Y2421" s="71"/>
    </row>
    <row r="2422" spans="1:25" ht="30" hidden="1" customHeight="1" x14ac:dyDescent="0.25">
      <c r="A2422" s="82">
        <v>190925</v>
      </c>
      <c r="B2422" s="664" t="s">
        <v>1061</v>
      </c>
      <c r="C2422" s="71" t="s">
        <v>587</v>
      </c>
      <c r="D2422" s="71">
        <v>200</v>
      </c>
      <c r="E2422" s="102">
        <v>8000</v>
      </c>
      <c r="F2422" s="102">
        <f t="shared" si="1306"/>
        <v>1760000.0000000002</v>
      </c>
      <c r="G2422" s="102">
        <f t="shared" si="1307"/>
        <v>1600000</v>
      </c>
      <c r="H2422" s="690" t="s">
        <v>142</v>
      </c>
      <c r="I2422" s="71" t="s">
        <v>144</v>
      </c>
      <c r="J2422" s="53">
        <f t="shared" si="1311"/>
        <v>218000</v>
      </c>
      <c r="K2422" s="63">
        <f t="shared" si="1282"/>
        <v>0.13624999999999998</v>
      </c>
      <c r="L2422" s="871" t="s">
        <v>2069</v>
      </c>
      <c r="M2422" s="468"/>
      <c r="N2422" s="664">
        <v>180713</v>
      </c>
      <c r="O2422" s="71" t="s">
        <v>147</v>
      </c>
      <c r="P2422" s="103" t="str">
        <f t="shared" si="1310"/>
        <v>프리미어(청)</v>
      </c>
      <c r="Q2422" s="71">
        <f t="shared" si="1298"/>
        <v>200</v>
      </c>
      <c r="R2422" s="102">
        <v>6910</v>
      </c>
      <c r="S2422" s="102">
        <f t="shared" ref="S2422:S2431" si="1312">R2422*Q2422*1.1</f>
        <v>1520200.0000000002</v>
      </c>
      <c r="T2422" s="102">
        <f t="shared" ref="T2422:T2431" si="1313">R2422*Q2422</f>
        <v>1382000</v>
      </c>
      <c r="U2422" s="71" t="str">
        <f t="shared" si="1305"/>
        <v>O</v>
      </c>
      <c r="V2422" s="71"/>
      <c r="W2422" s="474">
        <f t="shared" si="1309"/>
        <v>218000</v>
      </c>
      <c r="X2422" s="71"/>
      <c r="Y2422" s="71"/>
    </row>
    <row r="2423" spans="1:25" ht="30" hidden="1" customHeight="1" x14ac:dyDescent="0.25">
      <c r="A2423" s="82">
        <v>190925</v>
      </c>
      <c r="B2423" s="664" t="s">
        <v>1052</v>
      </c>
      <c r="C2423" s="71" t="s">
        <v>1115</v>
      </c>
      <c r="D2423" s="71">
        <v>200</v>
      </c>
      <c r="E2423" s="102">
        <v>6200</v>
      </c>
      <c r="F2423" s="102">
        <f t="shared" si="1306"/>
        <v>1364000</v>
      </c>
      <c r="G2423" s="102">
        <f t="shared" si="1307"/>
        <v>1240000</v>
      </c>
      <c r="H2423" s="690" t="s">
        <v>142</v>
      </c>
      <c r="I2423" s="71" t="s">
        <v>144</v>
      </c>
      <c r="J2423" s="53">
        <f t="shared" si="1311"/>
        <v>20000</v>
      </c>
      <c r="K2423" s="63">
        <f t="shared" si="1282"/>
        <v>1.6129032258064516E-2</v>
      </c>
      <c r="L2423" s="871" t="s">
        <v>2069</v>
      </c>
      <c r="M2423" s="468"/>
      <c r="N2423" s="664">
        <f t="shared" ref="N2423:N2435" si="1314">A2423</f>
        <v>190925</v>
      </c>
      <c r="O2423" s="71" t="s">
        <v>147</v>
      </c>
      <c r="P2423" s="103" t="str">
        <f t="shared" si="1310"/>
        <v>한특 잉크(적)</v>
      </c>
      <c r="Q2423" s="71">
        <f t="shared" si="1298"/>
        <v>200</v>
      </c>
      <c r="R2423" s="102">
        <v>6100</v>
      </c>
      <c r="S2423" s="102">
        <f t="shared" si="1312"/>
        <v>1342000</v>
      </c>
      <c r="T2423" s="102">
        <f t="shared" si="1313"/>
        <v>1220000</v>
      </c>
      <c r="U2423" s="71" t="str">
        <f t="shared" si="1305"/>
        <v>O</v>
      </c>
      <c r="V2423" s="71"/>
      <c r="W2423" s="474">
        <f t="shared" si="1309"/>
        <v>20000</v>
      </c>
      <c r="X2423" s="71"/>
      <c r="Y2423" s="71"/>
    </row>
    <row r="2424" spans="1:25" ht="30" hidden="1" customHeight="1" x14ac:dyDescent="0.25">
      <c r="A2424" s="82">
        <v>190925</v>
      </c>
      <c r="B2424" s="664" t="s">
        <v>1052</v>
      </c>
      <c r="C2424" s="71" t="s">
        <v>1116</v>
      </c>
      <c r="D2424" s="71">
        <v>200</v>
      </c>
      <c r="E2424" s="102">
        <v>6000</v>
      </c>
      <c r="F2424" s="102">
        <f t="shared" si="1306"/>
        <v>1320000</v>
      </c>
      <c r="G2424" s="102">
        <f t="shared" si="1307"/>
        <v>1200000</v>
      </c>
      <c r="H2424" s="690" t="s">
        <v>142</v>
      </c>
      <c r="I2424" s="71" t="s">
        <v>144</v>
      </c>
      <c r="J2424" s="53">
        <f t="shared" si="1311"/>
        <v>20000</v>
      </c>
      <c r="K2424" s="63">
        <f t="shared" si="1282"/>
        <v>1.6666666666666666E-2</v>
      </c>
      <c r="L2424" s="871" t="s">
        <v>2069</v>
      </c>
      <c r="M2424" s="468"/>
      <c r="N2424" s="664">
        <f t="shared" si="1314"/>
        <v>190925</v>
      </c>
      <c r="O2424" s="71" t="s">
        <v>147</v>
      </c>
      <c r="P2424" s="103" t="str">
        <f t="shared" si="1310"/>
        <v>한특 잉크(황)</v>
      </c>
      <c r="Q2424" s="71">
        <f t="shared" si="1298"/>
        <v>200</v>
      </c>
      <c r="R2424" s="102">
        <v>5900</v>
      </c>
      <c r="S2424" s="102">
        <f t="shared" si="1312"/>
        <v>1298000</v>
      </c>
      <c r="T2424" s="102">
        <f t="shared" si="1313"/>
        <v>1180000</v>
      </c>
      <c r="U2424" s="71" t="str">
        <f t="shared" si="1305"/>
        <v>O</v>
      </c>
      <c r="V2424" s="71"/>
      <c r="W2424" s="474">
        <f t="shared" si="1309"/>
        <v>20000</v>
      </c>
      <c r="X2424" s="71"/>
      <c r="Y2424" s="71"/>
    </row>
    <row r="2425" spans="1:25" ht="30" hidden="1" customHeight="1" x14ac:dyDescent="0.25">
      <c r="A2425" s="82">
        <v>190925</v>
      </c>
      <c r="B2425" s="664" t="s">
        <v>1052</v>
      </c>
      <c r="C2425" s="71" t="s">
        <v>1117</v>
      </c>
      <c r="D2425" s="71">
        <v>200</v>
      </c>
      <c r="E2425" s="102">
        <v>6500</v>
      </c>
      <c r="F2425" s="102">
        <f t="shared" si="1306"/>
        <v>1430000</v>
      </c>
      <c r="G2425" s="102">
        <f t="shared" si="1307"/>
        <v>1300000</v>
      </c>
      <c r="H2425" s="690" t="s">
        <v>142</v>
      </c>
      <c r="I2425" s="71" t="s">
        <v>144</v>
      </c>
      <c r="J2425" s="53">
        <f t="shared" si="1311"/>
        <v>20000</v>
      </c>
      <c r="K2425" s="63">
        <f t="shared" si="1282"/>
        <v>1.5384615384615385E-2</v>
      </c>
      <c r="L2425" s="871" t="s">
        <v>2069</v>
      </c>
      <c r="M2425" s="468"/>
      <c r="N2425" s="664">
        <f t="shared" si="1314"/>
        <v>190925</v>
      </c>
      <c r="O2425" s="71" t="s">
        <v>147</v>
      </c>
      <c r="P2425" s="103" t="str">
        <f t="shared" si="1310"/>
        <v>한특 잉크(청)</v>
      </c>
      <c r="Q2425" s="71">
        <f t="shared" si="1298"/>
        <v>200</v>
      </c>
      <c r="R2425" s="102">
        <v>6400</v>
      </c>
      <c r="S2425" s="102">
        <f t="shared" si="1312"/>
        <v>1408000</v>
      </c>
      <c r="T2425" s="102">
        <f t="shared" si="1313"/>
        <v>1280000</v>
      </c>
      <c r="U2425" s="71" t="str">
        <f t="shared" si="1305"/>
        <v>O</v>
      </c>
      <c r="V2425" s="71"/>
      <c r="W2425" s="474">
        <f t="shared" si="1309"/>
        <v>20000</v>
      </c>
      <c r="X2425" s="71"/>
      <c r="Y2425" s="71"/>
    </row>
    <row r="2426" spans="1:25" ht="30" hidden="1" customHeight="1" x14ac:dyDescent="0.25">
      <c r="A2426" s="82">
        <v>190925</v>
      </c>
      <c r="B2426" s="664" t="s">
        <v>1052</v>
      </c>
      <c r="C2426" s="71" t="s">
        <v>1118</v>
      </c>
      <c r="D2426" s="71">
        <v>50</v>
      </c>
      <c r="E2426" s="102">
        <v>5600</v>
      </c>
      <c r="F2426" s="102">
        <f t="shared" si="1306"/>
        <v>308000</v>
      </c>
      <c r="G2426" s="102">
        <f t="shared" si="1307"/>
        <v>280000</v>
      </c>
      <c r="H2426" s="690" t="s">
        <v>142</v>
      </c>
      <c r="I2426" s="71" t="s">
        <v>144</v>
      </c>
      <c r="J2426" s="53">
        <f t="shared" si="1311"/>
        <v>5000</v>
      </c>
      <c r="K2426" s="63">
        <f t="shared" si="1282"/>
        <v>1.7857142857142856E-2</v>
      </c>
      <c r="L2426" s="871" t="s">
        <v>2069</v>
      </c>
      <c r="M2426" s="468"/>
      <c r="N2426" s="664">
        <f t="shared" si="1314"/>
        <v>190925</v>
      </c>
      <c r="O2426" s="71" t="s">
        <v>147</v>
      </c>
      <c r="P2426" s="103" t="str">
        <f t="shared" si="1310"/>
        <v>한특 잉크(먹)</v>
      </c>
      <c r="Q2426" s="71">
        <f t="shared" si="1298"/>
        <v>50</v>
      </c>
      <c r="R2426" s="102">
        <v>5500</v>
      </c>
      <c r="S2426" s="102">
        <f t="shared" si="1312"/>
        <v>302500</v>
      </c>
      <c r="T2426" s="102">
        <f t="shared" si="1313"/>
        <v>275000</v>
      </c>
      <c r="U2426" s="71" t="str">
        <f t="shared" si="1305"/>
        <v>O</v>
      </c>
      <c r="V2426" s="71"/>
      <c r="W2426" s="474">
        <f t="shared" si="1309"/>
        <v>5000</v>
      </c>
      <c r="X2426" s="71"/>
      <c r="Y2426" s="71"/>
    </row>
    <row r="2427" spans="1:25" ht="30" hidden="1" customHeight="1" x14ac:dyDescent="0.25">
      <c r="A2427" s="82">
        <v>190925</v>
      </c>
      <c r="B2427" s="664" t="s">
        <v>1052</v>
      </c>
      <c r="C2427" s="71" t="s">
        <v>1843</v>
      </c>
      <c r="D2427" s="71">
        <v>51</v>
      </c>
      <c r="E2427" s="102">
        <v>8200</v>
      </c>
      <c r="F2427" s="102">
        <f t="shared" si="1306"/>
        <v>460020.00000000006</v>
      </c>
      <c r="G2427" s="102">
        <f t="shared" si="1307"/>
        <v>418200</v>
      </c>
      <c r="H2427" s="690" t="s">
        <v>142</v>
      </c>
      <c r="I2427" s="71" t="s">
        <v>144</v>
      </c>
      <c r="J2427" s="53">
        <f t="shared" si="1311"/>
        <v>17850</v>
      </c>
      <c r="K2427" s="63">
        <f t="shared" si="1282"/>
        <v>4.2682926829268289E-2</v>
      </c>
      <c r="L2427" s="871" t="s">
        <v>2069</v>
      </c>
      <c r="M2427" s="468"/>
      <c r="N2427" s="664">
        <f t="shared" si="1314"/>
        <v>190925</v>
      </c>
      <c r="O2427" s="71" t="s">
        <v>147</v>
      </c>
      <c r="P2427" s="103" t="str">
        <f t="shared" si="1310"/>
        <v>아라니아 분홍(1) 190c</v>
      </c>
      <c r="Q2427" s="71">
        <f t="shared" si="1298"/>
        <v>51</v>
      </c>
      <c r="R2427" s="102">
        <v>7850</v>
      </c>
      <c r="S2427" s="102">
        <f t="shared" si="1312"/>
        <v>440385.00000000006</v>
      </c>
      <c r="T2427" s="102">
        <f t="shared" si="1313"/>
        <v>400350</v>
      </c>
      <c r="U2427" s="71" t="str">
        <f t="shared" si="1305"/>
        <v>O</v>
      </c>
      <c r="V2427" s="71"/>
      <c r="W2427" s="474">
        <f t="shared" si="1309"/>
        <v>17850</v>
      </c>
      <c r="X2427" s="71"/>
      <c r="Y2427" s="71"/>
    </row>
    <row r="2428" spans="1:25" ht="30" hidden="1" customHeight="1" x14ac:dyDescent="0.25">
      <c r="A2428" s="82">
        <v>190925</v>
      </c>
      <c r="B2428" s="664" t="s">
        <v>1052</v>
      </c>
      <c r="C2428" s="71" t="s">
        <v>1840</v>
      </c>
      <c r="D2428" s="71">
        <v>50</v>
      </c>
      <c r="E2428" s="102">
        <v>8000</v>
      </c>
      <c r="F2428" s="102">
        <f t="shared" si="1306"/>
        <v>440000.00000000006</v>
      </c>
      <c r="G2428" s="102">
        <f t="shared" si="1307"/>
        <v>400000</v>
      </c>
      <c r="H2428" s="690" t="s">
        <v>142</v>
      </c>
      <c r="I2428" s="71" t="s">
        <v>144</v>
      </c>
      <c r="J2428" s="53">
        <f t="shared" si="1311"/>
        <v>20000</v>
      </c>
      <c r="K2428" s="63">
        <f t="shared" si="1282"/>
        <v>4.9999999999999996E-2</v>
      </c>
      <c r="L2428" s="871" t="s">
        <v>2069</v>
      </c>
      <c r="M2428" s="468"/>
      <c r="N2428" s="664">
        <f t="shared" si="1314"/>
        <v>190925</v>
      </c>
      <c r="O2428" s="71" t="s">
        <v>147</v>
      </c>
      <c r="P2428" s="103" t="str">
        <f t="shared" si="1310"/>
        <v>아라니아 연청 304c</v>
      </c>
      <c r="Q2428" s="71">
        <f t="shared" si="1298"/>
        <v>50</v>
      </c>
      <c r="R2428" s="102">
        <v>7600</v>
      </c>
      <c r="S2428" s="102">
        <f t="shared" si="1312"/>
        <v>418000.00000000006</v>
      </c>
      <c r="T2428" s="102">
        <f t="shared" si="1313"/>
        <v>380000</v>
      </c>
      <c r="U2428" s="71" t="str">
        <f t="shared" si="1305"/>
        <v>O</v>
      </c>
      <c r="V2428" s="71"/>
      <c r="W2428" s="474">
        <f t="shared" si="1309"/>
        <v>20000</v>
      </c>
      <c r="X2428" s="71"/>
      <c r="Y2428" s="71"/>
    </row>
    <row r="2429" spans="1:25" ht="30" hidden="1" customHeight="1" x14ac:dyDescent="0.25">
      <c r="A2429" s="82">
        <v>190925</v>
      </c>
      <c r="B2429" s="664" t="s">
        <v>1052</v>
      </c>
      <c r="C2429" s="71" t="s">
        <v>1841</v>
      </c>
      <c r="D2429" s="71">
        <v>52</v>
      </c>
      <c r="E2429" s="102">
        <v>7700</v>
      </c>
      <c r="F2429" s="102">
        <f t="shared" si="1306"/>
        <v>440440.00000000006</v>
      </c>
      <c r="G2429" s="102">
        <f t="shared" si="1307"/>
        <v>400400</v>
      </c>
      <c r="H2429" s="690" t="s">
        <v>142</v>
      </c>
      <c r="I2429" s="71" t="s">
        <v>144</v>
      </c>
      <c r="J2429" s="53">
        <f t="shared" si="1311"/>
        <v>20800</v>
      </c>
      <c r="K2429" s="63">
        <f t="shared" si="1282"/>
        <v>5.1948051948051938E-2</v>
      </c>
      <c r="L2429" s="871" t="s">
        <v>2069</v>
      </c>
      <c r="M2429" s="468"/>
      <c r="N2429" s="664">
        <f t="shared" si="1314"/>
        <v>190925</v>
      </c>
      <c r="O2429" s="71" t="s">
        <v>147</v>
      </c>
      <c r="P2429" s="103" t="str">
        <f t="shared" si="1310"/>
        <v>아라니아 분홍(2) 1905c</v>
      </c>
      <c r="Q2429" s="71">
        <f t="shared" si="1298"/>
        <v>52</v>
      </c>
      <c r="R2429" s="102">
        <v>7300</v>
      </c>
      <c r="S2429" s="102">
        <f t="shared" si="1312"/>
        <v>417560.00000000006</v>
      </c>
      <c r="T2429" s="102">
        <f t="shared" si="1313"/>
        <v>379600</v>
      </c>
      <c r="U2429" s="71" t="str">
        <f t="shared" si="1305"/>
        <v>O</v>
      </c>
      <c r="V2429" s="71"/>
      <c r="W2429" s="474">
        <f t="shared" si="1309"/>
        <v>20800</v>
      </c>
      <c r="X2429" s="71"/>
      <c r="Y2429" s="71"/>
    </row>
    <row r="2430" spans="1:25" ht="30" hidden="1" customHeight="1" x14ac:dyDescent="0.25">
      <c r="A2430" s="82">
        <v>190925</v>
      </c>
      <c r="B2430" s="664" t="s">
        <v>1052</v>
      </c>
      <c r="C2430" s="71" t="s">
        <v>1842</v>
      </c>
      <c r="D2430" s="71">
        <v>50</v>
      </c>
      <c r="E2430" s="102">
        <v>8600</v>
      </c>
      <c r="F2430" s="102">
        <f t="shared" si="1306"/>
        <v>473000.00000000006</v>
      </c>
      <c r="G2430" s="102">
        <f t="shared" si="1307"/>
        <v>430000</v>
      </c>
      <c r="H2430" s="690" t="s">
        <v>142</v>
      </c>
      <c r="I2430" s="71" t="s">
        <v>144</v>
      </c>
      <c r="J2430" s="53">
        <f t="shared" si="1311"/>
        <v>25000</v>
      </c>
      <c r="K2430" s="63">
        <f t="shared" si="1282"/>
        <v>5.8139534883720922E-2</v>
      </c>
      <c r="L2430" s="871" t="s">
        <v>2069</v>
      </c>
      <c r="M2430" s="468"/>
      <c r="N2430" s="664">
        <f t="shared" si="1314"/>
        <v>190925</v>
      </c>
      <c r="O2430" s="71" t="s">
        <v>147</v>
      </c>
      <c r="P2430" s="103" t="str">
        <f t="shared" si="1310"/>
        <v>아라니아 분홍(3) 1775c</v>
      </c>
      <c r="Q2430" s="71">
        <f t="shared" si="1298"/>
        <v>50</v>
      </c>
      <c r="R2430" s="102">
        <v>8100</v>
      </c>
      <c r="S2430" s="102">
        <f t="shared" si="1312"/>
        <v>445500.00000000006</v>
      </c>
      <c r="T2430" s="102">
        <f t="shared" si="1313"/>
        <v>405000</v>
      </c>
      <c r="U2430" s="71" t="str">
        <f t="shared" si="1305"/>
        <v>O</v>
      </c>
      <c r="V2430" s="71"/>
      <c r="W2430" s="474">
        <f t="shared" si="1309"/>
        <v>25000</v>
      </c>
      <c r="X2430" s="71"/>
      <c r="Y2430" s="71"/>
    </row>
    <row r="2431" spans="1:25" ht="30" hidden="1" customHeight="1" x14ac:dyDescent="0.25">
      <c r="A2431" s="82">
        <v>190925</v>
      </c>
      <c r="B2431" s="664" t="s">
        <v>1052</v>
      </c>
      <c r="C2431" s="71" t="s">
        <v>2015</v>
      </c>
      <c r="D2431" s="71"/>
      <c r="E2431" s="102">
        <v>8200</v>
      </c>
      <c r="F2431" s="102">
        <f t="shared" ref="F2431:F2439" si="1315">(E2431*D2431)*1.1</f>
        <v>0</v>
      </c>
      <c r="G2431" s="102">
        <f t="shared" si="1307"/>
        <v>0</v>
      </c>
      <c r="H2431" s="690" t="s">
        <v>142</v>
      </c>
      <c r="I2431" s="71" t="s">
        <v>144</v>
      </c>
      <c r="J2431" s="53">
        <f t="shared" si="1311"/>
        <v>0</v>
      </c>
      <c r="K2431" s="63" t="e">
        <f t="shared" si="1282"/>
        <v>#DIV/0!</v>
      </c>
      <c r="L2431" s="871" t="s">
        <v>2069</v>
      </c>
      <c r="M2431" s="468"/>
      <c r="N2431" s="664">
        <f t="shared" si="1314"/>
        <v>190925</v>
      </c>
      <c r="O2431" s="71" t="s">
        <v>147</v>
      </c>
      <c r="P2431" s="103" t="str">
        <f t="shared" si="1310"/>
        <v>아라니아 BTS 보라</v>
      </c>
      <c r="Q2431" s="71">
        <f t="shared" si="1298"/>
        <v>0</v>
      </c>
      <c r="R2431" s="102">
        <v>8200</v>
      </c>
      <c r="S2431" s="102">
        <f t="shared" si="1312"/>
        <v>0</v>
      </c>
      <c r="T2431" s="102">
        <f t="shared" si="1313"/>
        <v>0</v>
      </c>
      <c r="U2431" s="71" t="str">
        <f t="shared" si="1305"/>
        <v>O</v>
      </c>
      <c r="V2431" s="71"/>
      <c r="W2431" s="474">
        <f t="shared" si="1309"/>
        <v>0</v>
      </c>
      <c r="X2431" s="71"/>
      <c r="Y2431" s="71"/>
    </row>
    <row r="2432" spans="1:25" s="209" customFormat="1" ht="30" hidden="1" customHeight="1" x14ac:dyDescent="0.25">
      <c r="A2432" s="82">
        <v>190926</v>
      </c>
      <c r="B2432" s="664" t="s">
        <v>567</v>
      </c>
      <c r="C2432" s="71" t="s">
        <v>236</v>
      </c>
      <c r="D2432" s="71">
        <v>10</v>
      </c>
      <c r="E2432" s="102">
        <v>65000</v>
      </c>
      <c r="F2432" s="102">
        <f t="shared" si="1315"/>
        <v>715000</v>
      </c>
      <c r="G2432" s="102">
        <f t="shared" ref="G2432:G2439" si="1316">(E2432*D2432)</f>
        <v>650000</v>
      </c>
      <c r="H2432" s="690" t="s">
        <v>173</v>
      </c>
      <c r="I2432" s="71" t="s">
        <v>2231</v>
      </c>
      <c r="J2432" s="53">
        <f>(G2432-(VLOOKUP(C2432,Price!B:D,3,FALSE)*D2432))</f>
        <v>150000</v>
      </c>
      <c r="K2432" s="63">
        <f t="shared" ref="K2432:K2439" si="1317">(J2432/(F2432/11*10))</f>
        <v>0.23076923076923078</v>
      </c>
      <c r="L2432" s="871" t="s">
        <v>2069</v>
      </c>
      <c r="M2432" s="468"/>
      <c r="N2432" s="664">
        <f t="shared" si="1314"/>
        <v>190926</v>
      </c>
      <c r="O2432" s="71" t="s">
        <v>153</v>
      </c>
      <c r="P2432" s="103" t="str">
        <f>(C2432)</f>
        <v>아스테이지(국전)</v>
      </c>
      <c r="Q2432" s="71">
        <f t="shared" si="1298"/>
        <v>10</v>
      </c>
      <c r="R2432" s="102">
        <v>50000</v>
      </c>
      <c r="S2432" s="102">
        <f>(R2432*D2432)*1.1</f>
        <v>550000</v>
      </c>
      <c r="T2432" s="102">
        <f>(R2432*Q2432)</f>
        <v>500000</v>
      </c>
      <c r="U2432" s="71" t="str">
        <f t="shared" si="1305"/>
        <v>O</v>
      </c>
      <c r="V2432" s="71"/>
      <c r="W2432" s="474">
        <f t="shared" si="1309"/>
        <v>150000</v>
      </c>
      <c r="X2432" s="71"/>
      <c r="Y2432" s="71"/>
    </row>
    <row r="2433" spans="1:25" ht="30" hidden="1" customHeight="1" x14ac:dyDescent="0.25">
      <c r="A2433" s="82">
        <v>190926</v>
      </c>
      <c r="B2433" s="664" t="s">
        <v>1178</v>
      </c>
      <c r="C2433" s="71" t="s">
        <v>2083</v>
      </c>
      <c r="D2433" s="71">
        <v>2</v>
      </c>
      <c r="E2433" s="102">
        <v>170000</v>
      </c>
      <c r="F2433" s="102">
        <f t="shared" si="1315"/>
        <v>374000.00000000006</v>
      </c>
      <c r="G2433" s="102">
        <f t="shared" si="1316"/>
        <v>340000</v>
      </c>
      <c r="H2433" s="690" t="s">
        <v>1431</v>
      </c>
      <c r="I2433" s="71" t="s">
        <v>1431</v>
      </c>
      <c r="J2433" s="53">
        <f>G2433-T2433</f>
        <v>155093</v>
      </c>
      <c r="K2433" s="63">
        <f t="shared" si="1317"/>
        <v>0.45615588235294108</v>
      </c>
      <c r="L2433" s="871" t="s">
        <v>2069</v>
      </c>
      <c r="M2433" s="468"/>
      <c r="N2433" s="664">
        <f t="shared" si="1314"/>
        <v>190926</v>
      </c>
      <c r="O2433" s="71" t="s">
        <v>2093</v>
      </c>
      <c r="P2433" s="103" t="str">
        <f>(C2433)</f>
        <v>근접 스위치</v>
      </c>
      <c r="Q2433" s="71">
        <f t="shared" si="1298"/>
        <v>2</v>
      </c>
      <c r="R2433" s="102">
        <f>35*1200+100907/2</f>
        <v>92453.5</v>
      </c>
      <c r="S2433" s="102">
        <f>(R2433*D2433)*1.1</f>
        <v>203397.7</v>
      </c>
      <c r="T2433" s="102">
        <f>(R2433*Q2433)</f>
        <v>184907</v>
      </c>
      <c r="U2433" s="71" t="str">
        <f t="shared" si="1305"/>
        <v>X</v>
      </c>
      <c r="V2433" s="71"/>
      <c r="W2433" s="474"/>
      <c r="X2433" s="71"/>
      <c r="Y2433" s="71"/>
    </row>
    <row r="2434" spans="1:25" ht="30" hidden="1" customHeight="1" x14ac:dyDescent="0.25">
      <c r="A2434" s="82">
        <v>190926</v>
      </c>
      <c r="B2434" s="664" t="s">
        <v>1178</v>
      </c>
      <c r="C2434" s="71" t="s">
        <v>1402</v>
      </c>
      <c r="D2434" s="71">
        <v>3</v>
      </c>
      <c r="E2434" s="102">
        <v>550000</v>
      </c>
      <c r="F2434" s="102">
        <f t="shared" si="1315"/>
        <v>1815000.0000000002</v>
      </c>
      <c r="G2434" s="102">
        <f t="shared" si="1316"/>
        <v>1650000</v>
      </c>
      <c r="H2434" s="690" t="s">
        <v>1431</v>
      </c>
      <c r="I2434" s="71" t="s">
        <v>1431</v>
      </c>
      <c r="J2434" s="53">
        <f>G2434-T2434</f>
        <v>669211.10000000009</v>
      </c>
      <c r="K2434" s="63">
        <f t="shared" si="1317"/>
        <v>0.40558248484848486</v>
      </c>
      <c r="L2434" s="871" t="s">
        <v>2069</v>
      </c>
      <c r="M2434" s="468"/>
      <c r="N2434" s="664">
        <f t="shared" si="1314"/>
        <v>190926</v>
      </c>
      <c r="O2434" s="71" t="s">
        <v>1431</v>
      </c>
      <c r="P2434" s="103" t="str">
        <f>(C2434)</f>
        <v>잉크 롤러 세척칼</v>
      </c>
      <c r="Q2434" s="71">
        <f t="shared" si="1298"/>
        <v>3</v>
      </c>
      <c r="R2434" s="102">
        <f>Import!G204</f>
        <v>326929.6333333333</v>
      </c>
      <c r="S2434" s="102">
        <f>(R2434*D2434)*1.1</f>
        <v>1078867.79</v>
      </c>
      <c r="T2434" s="102">
        <f>(R2434*Q2434)</f>
        <v>980788.89999999991</v>
      </c>
      <c r="U2434" s="71" t="str">
        <f t="shared" si="1305"/>
        <v>X</v>
      </c>
      <c r="V2434" s="71"/>
      <c r="W2434" s="474"/>
      <c r="X2434" s="71"/>
      <c r="Y2434" s="71"/>
    </row>
    <row r="2435" spans="1:25" ht="30" hidden="1" customHeight="1" x14ac:dyDescent="0.25">
      <c r="A2435" s="82">
        <v>190926</v>
      </c>
      <c r="B2435" s="664" t="s">
        <v>1178</v>
      </c>
      <c r="C2435" s="71" t="s">
        <v>2084</v>
      </c>
      <c r="D2435" s="71">
        <v>2</v>
      </c>
      <c r="E2435" s="102">
        <v>85000</v>
      </c>
      <c r="F2435" s="102">
        <f t="shared" si="1315"/>
        <v>187000.00000000003</v>
      </c>
      <c r="G2435" s="102">
        <f t="shared" si="1316"/>
        <v>170000</v>
      </c>
      <c r="H2435" s="690" t="s">
        <v>1431</v>
      </c>
      <c r="I2435" s="71" t="s">
        <v>1431</v>
      </c>
      <c r="J2435" s="53">
        <f>G2435-T2435</f>
        <v>96500</v>
      </c>
      <c r="K2435" s="63">
        <f t="shared" si="1317"/>
        <v>0.56764705882352928</v>
      </c>
      <c r="L2435" s="871" t="s">
        <v>2069</v>
      </c>
      <c r="M2435" s="468" t="s">
        <v>2085</v>
      </c>
      <c r="N2435" s="664">
        <f t="shared" si="1314"/>
        <v>190926</v>
      </c>
      <c r="O2435" s="71" t="s">
        <v>2091</v>
      </c>
      <c r="P2435" s="103" t="str">
        <f>(C2435)</f>
        <v>릴레이</v>
      </c>
      <c r="Q2435" s="71">
        <f t="shared" si="1298"/>
        <v>2</v>
      </c>
      <c r="R2435" s="102">
        <f>73500/2</f>
        <v>36750</v>
      </c>
      <c r="S2435" s="102">
        <f>(R2435*D2435)*1.1</f>
        <v>80850</v>
      </c>
      <c r="T2435" s="102">
        <f>(R2435*Q2435)</f>
        <v>73500</v>
      </c>
      <c r="U2435" s="71" t="str">
        <f t="shared" si="1305"/>
        <v>X</v>
      </c>
      <c r="V2435" s="71"/>
      <c r="W2435" s="474"/>
      <c r="X2435" s="71"/>
      <c r="Y2435" s="71"/>
    </row>
    <row r="2436" spans="1:25" ht="30" hidden="1" customHeight="1" x14ac:dyDescent="0.2">
      <c r="A2436" s="82">
        <v>190927</v>
      </c>
      <c r="B2436" s="664" t="s">
        <v>548</v>
      </c>
      <c r="C2436" s="71" t="s">
        <v>107</v>
      </c>
      <c r="D2436" s="71">
        <v>10</v>
      </c>
      <c r="E2436" s="102">
        <v>100000</v>
      </c>
      <c r="F2436" s="163">
        <f t="shared" si="1315"/>
        <v>1100000</v>
      </c>
      <c r="G2436" s="102">
        <f t="shared" si="1316"/>
        <v>1000000</v>
      </c>
      <c r="H2436" s="165" t="s">
        <v>172</v>
      </c>
      <c r="I2436" s="71" t="s">
        <v>109</v>
      </c>
      <c r="J2436" s="53">
        <f>(G2436-(VLOOKUP(C2436,Price!B:D,3,FALSE)*D2436))</f>
        <v>195000</v>
      </c>
      <c r="K2436" s="63">
        <f t="shared" si="1317"/>
        <v>0.19500000000000001</v>
      </c>
      <c r="L2436" s="871" t="s">
        <v>2047</v>
      </c>
      <c r="M2436" s="468"/>
      <c r="N2436" s="664">
        <f t="shared" ref="N2436:N2447" si="1318">A2436</f>
        <v>190927</v>
      </c>
      <c r="O2436" s="71" t="s">
        <v>147</v>
      </c>
      <c r="P2436" s="103" t="str">
        <f>C2436</f>
        <v>Blanket(1050*840)</v>
      </c>
      <c r="Q2436" s="71">
        <f t="shared" si="1298"/>
        <v>10</v>
      </c>
      <c r="R2436" s="102">
        <v>80500</v>
      </c>
      <c r="S2436" s="102">
        <f>R2436*Q2436*1.1</f>
        <v>885500.00000000012</v>
      </c>
      <c r="T2436" s="102">
        <f>R2436*Q2436</f>
        <v>805000</v>
      </c>
      <c r="U2436" s="71" t="str">
        <f t="shared" si="1305"/>
        <v>O</v>
      </c>
      <c r="V2436" s="71"/>
      <c r="W2436" s="474">
        <f>(G2436-T2436)</f>
        <v>195000</v>
      </c>
      <c r="X2436" s="71"/>
      <c r="Y2436" s="71"/>
    </row>
    <row r="2437" spans="1:25" s="209" customFormat="1" ht="30" customHeight="1" x14ac:dyDescent="0.2">
      <c r="A2437" s="82">
        <v>190927</v>
      </c>
      <c r="B2437" s="664" t="s">
        <v>422</v>
      </c>
      <c r="C2437" s="71" t="s">
        <v>215</v>
      </c>
      <c r="D2437" s="71">
        <v>10</v>
      </c>
      <c r="E2437" s="102">
        <v>68000</v>
      </c>
      <c r="F2437" s="102">
        <f t="shared" si="1315"/>
        <v>748000.00000000012</v>
      </c>
      <c r="G2437" s="102">
        <f t="shared" si="1316"/>
        <v>680000</v>
      </c>
      <c r="H2437" s="165" t="s">
        <v>172</v>
      </c>
      <c r="I2437" s="71" t="s">
        <v>184</v>
      </c>
      <c r="J2437" s="53">
        <f>(G2437-(VLOOKUP(C2437,[5]Price!B$1:D$65536,3,FALSE)*D2437))</f>
        <v>170000</v>
      </c>
      <c r="K2437" s="63">
        <f t="shared" si="1317"/>
        <v>0.24999999999999994</v>
      </c>
      <c r="L2437" s="871" t="s">
        <v>2069</v>
      </c>
      <c r="M2437" s="468" t="s">
        <v>2050</v>
      </c>
      <c r="N2437" s="664">
        <f t="shared" si="1318"/>
        <v>190927</v>
      </c>
      <c r="O2437" s="71" t="s">
        <v>2030</v>
      </c>
      <c r="P2437" s="103" t="str">
        <f>C2437</f>
        <v>매엽용 세척제(Wash 562)</v>
      </c>
      <c r="Q2437" s="71">
        <f t="shared" si="1298"/>
        <v>10</v>
      </c>
      <c r="R2437" s="102">
        <v>51000</v>
      </c>
      <c r="S2437" s="102">
        <f>(R2437*D2437)*1.1</f>
        <v>561000</v>
      </c>
      <c r="T2437" s="102">
        <f>(R2437*Q2437)</f>
        <v>510000</v>
      </c>
      <c r="U2437" s="71" t="str">
        <f t="shared" si="1305"/>
        <v>O</v>
      </c>
      <c r="V2437" s="71"/>
      <c r="W2437" s="474">
        <f>(G2437-T2437)</f>
        <v>170000</v>
      </c>
      <c r="X2437" s="71"/>
      <c r="Y2437" s="71"/>
    </row>
    <row r="2438" spans="1:25" ht="30" customHeight="1" x14ac:dyDescent="0.25">
      <c r="A2438" s="82">
        <v>190927</v>
      </c>
      <c r="B2438" s="664" t="s">
        <v>422</v>
      </c>
      <c r="C2438" s="71" t="s">
        <v>129</v>
      </c>
      <c r="D2438" s="71">
        <v>5</v>
      </c>
      <c r="E2438" s="102">
        <v>272000</v>
      </c>
      <c r="F2438" s="102">
        <f t="shared" si="1315"/>
        <v>1496000.0000000002</v>
      </c>
      <c r="G2438" s="102">
        <f t="shared" si="1316"/>
        <v>1360000</v>
      </c>
      <c r="H2438" s="690" t="s">
        <v>173</v>
      </c>
      <c r="I2438" s="71" t="s">
        <v>108</v>
      </c>
      <c r="J2438" s="53">
        <f>(G2438-(VLOOKUP(C2438,Price!B:D,3,FALSE)*D2438))</f>
        <v>320000</v>
      </c>
      <c r="K2438" s="63">
        <f t="shared" si="1317"/>
        <v>0.23529411764705879</v>
      </c>
      <c r="L2438" s="871" t="s">
        <v>2069</v>
      </c>
      <c r="M2438" s="468" t="s">
        <v>2050</v>
      </c>
      <c r="N2438" s="664">
        <f t="shared" si="1318"/>
        <v>190927</v>
      </c>
      <c r="O2438" s="71" t="s">
        <v>149</v>
      </c>
      <c r="P2438" s="103" t="str">
        <f>C2438</f>
        <v>세정포-XL106</v>
      </c>
      <c r="Q2438" s="71">
        <f t="shared" si="1298"/>
        <v>5</v>
      </c>
      <c r="R2438" s="102">
        <v>208000</v>
      </c>
      <c r="S2438" s="102">
        <f>R2438*Q2438*1.1</f>
        <v>1144000</v>
      </c>
      <c r="T2438" s="102">
        <f>R2438*Q2438</f>
        <v>1040000</v>
      </c>
      <c r="U2438" s="71" t="str">
        <f t="shared" si="1305"/>
        <v>O</v>
      </c>
      <c r="V2438" s="71"/>
      <c r="W2438" s="474">
        <f>(G2438-T2438)</f>
        <v>320000</v>
      </c>
      <c r="X2438" s="71"/>
      <c r="Y2438" s="71"/>
    </row>
    <row r="2439" spans="1:25" ht="30" customHeight="1" x14ac:dyDescent="0.25">
      <c r="A2439" s="82">
        <v>190930</v>
      </c>
      <c r="B2439" s="664" t="s">
        <v>565</v>
      </c>
      <c r="C2439" s="71" t="s">
        <v>2081</v>
      </c>
      <c r="D2439" s="71">
        <v>88</v>
      </c>
      <c r="E2439" s="102">
        <v>69000</v>
      </c>
      <c r="F2439" s="102">
        <f t="shared" si="1315"/>
        <v>6679200.0000000009</v>
      </c>
      <c r="G2439" s="102">
        <f t="shared" si="1316"/>
        <v>6072000</v>
      </c>
      <c r="H2439" s="690" t="s">
        <v>173</v>
      </c>
      <c r="I2439" s="71" t="s">
        <v>108</v>
      </c>
      <c r="J2439" s="53">
        <f>G2439-T2439</f>
        <v>1584000</v>
      </c>
      <c r="K2439" s="63">
        <f t="shared" si="1317"/>
        <v>0.26086956521739124</v>
      </c>
      <c r="L2439" s="871" t="s">
        <v>2047</v>
      </c>
      <c r="M2439" s="468"/>
      <c r="N2439" s="664">
        <f t="shared" si="1318"/>
        <v>190930</v>
      </c>
      <c r="O2439" s="71" t="s">
        <v>599</v>
      </c>
      <c r="P2439" s="103" t="str">
        <f>C2439</f>
        <v>GOSS 신문윤전 습식세정포</v>
      </c>
      <c r="Q2439" s="71">
        <f t="shared" si="1298"/>
        <v>88</v>
      </c>
      <c r="R2439" s="102">
        <v>51000</v>
      </c>
      <c r="S2439" s="102">
        <f>R2439*Q2439*1.1</f>
        <v>4936800</v>
      </c>
      <c r="T2439" s="102">
        <f>R2439*Q2439</f>
        <v>4488000</v>
      </c>
      <c r="U2439" s="71" t="str">
        <f t="shared" si="1305"/>
        <v>X</v>
      </c>
      <c r="V2439" s="71"/>
      <c r="W2439" s="474"/>
      <c r="X2439" s="71"/>
      <c r="Y2439" s="71"/>
    </row>
    <row r="2440" spans="1:25" s="978" customFormat="1" ht="45" hidden="1" customHeight="1" x14ac:dyDescent="0.25">
      <c r="A2440" s="982" t="s">
        <v>2079</v>
      </c>
      <c r="B2440" s="976" t="s">
        <v>544</v>
      </c>
      <c r="C2440" s="453"/>
      <c r="D2440" s="453"/>
      <c r="E2440" s="454"/>
      <c r="F2440" s="454"/>
      <c r="G2440" s="454"/>
      <c r="H2440" s="455"/>
      <c r="I2440" s="453"/>
      <c r="J2440" s="417"/>
      <c r="K2440" s="418"/>
      <c r="L2440" s="983" t="s">
        <v>2080</v>
      </c>
      <c r="M2440" s="643"/>
      <c r="N2440" s="724" t="str">
        <f t="shared" si="1318"/>
        <v>2019,10</v>
      </c>
      <c r="O2440" s="453" t="s">
        <v>154</v>
      </c>
      <c r="P2440" s="728"/>
      <c r="Q2440" s="420"/>
      <c r="R2440" s="420"/>
      <c r="S2440" s="417"/>
      <c r="T2440" s="417"/>
      <c r="U2440" s="421"/>
      <c r="V2440" s="421"/>
      <c r="W2440" s="479">
        <f>(G2440-T2440)</f>
        <v>0</v>
      </c>
      <c r="X2440" s="421"/>
      <c r="Y2440" s="421"/>
    </row>
    <row r="2441" spans="1:25" ht="30" hidden="1" customHeight="1" x14ac:dyDescent="0.25">
      <c r="A2441" s="82">
        <v>190828</v>
      </c>
      <c r="B2441" s="664" t="s">
        <v>2076</v>
      </c>
      <c r="C2441" s="71" t="s">
        <v>2077</v>
      </c>
      <c r="D2441" s="71">
        <v>1</v>
      </c>
      <c r="E2441" s="102">
        <v>20900000</v>
      </c>
      <c r="F2441" s="102">
        <f t="shared" ref="F2441:F2447" si="1319">(E2441*D2441)*1.1</f>
        <v>22990000</v>
      </c>
      <c r="G2441" s="102">
        <f t="shared" ref="G2441:G2447" si="1320">(E2441*D2441)</f>
        <v>20900000</v>
      </c>
      <c r="H2441" s="690" t="s">
        <v>985</v>
      </c>
      <c r="I2441" s="71" t="s">
        <v>985</v>
      </c>
      <c r="J2441" s="53">
        <f t="shared" ref="J2441:J2449" si="1321">G2441-T2441</f>
        <v>2333000</v>
      </c>
      <c r="K2441" s="63">
        <f>(J2441/(F2441/11*10))</f>
        <v>0.1116267942583732</v>
      </c>
      <c r="L2441" s="871" t="s">
        <v>2080</v>
      </c>
      <c r="M2441" s="468" t="s">
        <v>2115</v>
      </c>
      <c r="N2441" s="664">
        <f t="shared" si="1318"/>
        <v>190828</v>
      </c>
      <c r="O2441" s="71" t="s">
        <v>1431</v>
      </c>
      <c r="P2441" s="103" t="str">
        <f>C2441</f>
        <v>Polyman 수리 건 - 본사 엔지니어</v>
      </c>
      <c r="Q2441" s="71">
        <f t="shared" si="1298"/>
        <v>1</v>
      </c>
      <c r="R2441" s="102">
        <f>17415000+1152000</f>
        <v>18567000</v>
      </c>
      <c r="S2441" s="102">
        <f t="shared" ref="S2441:S2446" si="1322">R2441*Q2441*1.1</f>
        <v>20423700</v>
      </c>
      <c r="T2441" s="102">
        <f t="shared" ref="T2441:T2446" si="1323">R2441*Q2441</f>
        <v>18567000</v>
      </c>
      <c r="U2441" s="71"/>
      <c r="V2441" s="71"/>
      <c r="W2441" s="474"/>
      <c r="X2441" s="71"/>
      <c r="Y2441" s="71"/>
    </row>
    <row r="2442" spans="1:25" ht="30" hidden="1" customHeight="1" x14ac:dyDescent="0.25">
      <c r="A2442" s="82">
        <v>190930</v>
      </c>
      <c r="B2442" s="664" t="s">
        <v>983</v>
      </c>
      <c r="C2442" s="71" t="s">
        <v>1009</v>
      </c>
      <c r="D2442" s="71">
        <v>120</v>
      </c>
      <c r="E2442" s="102">
        <v>3900</v>
      </c>
      <c r="F2442" s="102">
        <f t="shared" si="1319"/>
        <v>514800.00000000006</v>
      </c>
      <c r="G2442" s="102">
        <f t="shared" si="1320"/>
        <v>468000</v>
      </c>
      <c r="H2442" s="690" t="s">
        <v>173</v>
      </c>
      <c r="I2442" s="71" t="s">
        <v>2230</v>
      </c>
      <c r="J2442" s="53">
        <f t="shared" si="1321"/>
        <v>72000</v>
      </c>
      <c r="K2442" s="63">
        <f>(J2442/(F2442/11*10))</f>
        <v>0.15384615384615383</v>
      </c>
      <c r="L2442" s="871" t="s">
        <v>2080</v>
      </c>
      <c r="M2442" s="468"/>
      <c r="N2442" s="664">
        <f t="shared" si="1318"/>
        <v>190930</v>
      </c>
      <c r="O2442" s="71" t="s">
        <v>147</v>
      </c>
      <c r="P2442" s="103" t="str">
        <f>C2442</f>
        <v>CTP판(1030*790mm)</v>
      </c>
      <c r="Q2442" s="71">
        <f t="shared" si="1298"/>
        <v>120</v>
      </c>
      <c r="R2442" s="102">
        <v>3300</v>
      </c>
      <c r="S2442" s="102">
        <f t="shared" si="1322"/>
        <v>435600.00000000006</v>
      </c>
      <c r="T2442" s="102">
        <f t="shared" si="1323"/>
        <v>396000</v>
      </c>
      <c r="U2442" s="71" t="str">
        <f>IF(J2442=W2442,"O", "X")</f>
        <v>O</v>
      </c>
      <c r="V2442" s="71"/>
      <c r="W2442" s="474">
        <f>(G2442-T2442)</f>
        <v>72000</v>
      </c>
      <c r="X2442" s="71"/>
      <c r="Y2442" s="71"/>
    </row>
    <row r="2443" spans="1:25" ht="30" hidden="1" customHeight="1" x14ac:dyDescent="0.25">
      <c r="A2443" s="82">
        <v>190930</v>
      </c>
      <c r="B2443" s="664" t="s">
        <v>983</v>
      </c>
      <c r="C2443" s="71" t="s">
        <v>984</v>
      </c>
      <c r="D2443" s="71">
        <v>2</v>
      </c>
      <c r="E2443" s="102">
        <v>45000</v>
      </c>
      <c r="F2443" s="102">
        <f t="shared" si="1319"/>
        <v>99000.000000000015</v>
      </c>
      <c r="G2443" s="102">
        <f t="shared" si="1320"/>
        <v>90000</v>
      </c>
      <c r="H2443" s="690" t="s">
        <v>173</v>
      </c>
      <c r="I2443" s="71" t="s">
        <v>2230</v>
      </c>
      <c r="J2443" s="53">
        <f t="shared" si="1321"/>
        <v>20000</v>
      </c>
      <c r="K2443" s="63">
        <f>(J2443/(F2443/11*10))</f>
        <v>0.22222222222222218</v>
      </c>
      <c r="L2443" s="871" t="s">
        <v>2080</v>
      </c>
      <c r="M2443" s="468"/>
      <c r="N2443" s="664">
        <f t="shared" si="1318"/>
        <v>190930</v>
      </c>
      <c r="O2443" s="71" t="s">
        <v>147</v>
      </c>
      <c r="P2443" s="103" t="str">
        <f>C2443</f>
        <v>CTP 현상액</v>
      </c>
      <c r="Q2443" s="71">
        <f t="shared" si="1298"/>
        <v>2</v>
      </c>
      <c r="R2443" s="102">
        <v>35000</v>
      </c>
      <c r="S2443" s="102">
        <f t="shared" si="1322"/>
        <v>77000</v>
      </c>
      <c r="T2443" s="102">
        <f t="shared" si="1323"/>
        <v>70000</v>
      </c>
      <c r="U2443" s="71" t="str">
        <f>IF(J2443=W2443,"O", "X")</f>
        <v>O</v>
      </c>
      <c r="V2443" s="71"/>
      <c r="W2443" s="474">
        <f>(G2443-T2443)</f>
        <v>20000</v>
      </c>
      <c r="X2443" s="71"/>
      <c r="Y2443" s="71"/>
    </row>
    <row r="2444" spans="1:25" ht="27.6" hidden="1" customHeight="1" x14ac:dyDescent="0.25">
      <c r="A2444" s="82">
        <v>191001</v>
      </c>
      <c r="B2444" s="664" t="s">
        <v>567</v>
      </c>
      <c r="C2444" s="71" t="s">
        <v>1652</v>
      </c>
      <c r="D2444" s="71">
        <v>5</v>
      </c>
      <c r="E2444" s="102">
        <v>45000</v>
      </c>
      <c r="F2444" s="102">
        <f t="shared" si="1319"/>
        <v>247500.00000000003</v>
      </c>
      <c r="G2444" s="102">
        <f t="shared" si="1320"/>
        <v>225000</v>
      </c>
      <c r="H2444" s="690" t="s">
        <v>173</v>
      </c>
      <c r="I2444" s="71" t="s">
        <v>2231</v>
      </c>
      <c r="J2444" s="53">
        <f t="shared" si="1321"/>
        <v>25000</v>
      </c>
      <c r="K2444" s="63">
        <f>(J2444/(F2444/11*10))</f>
        <v>0.11111111111111109</v>
      </c>
      <c r="L2444" s="871" t="s">
        <v>2089</v>
      </c>
      <c r="M2444" s="468"/>
      <c r="N2444" s="664">
        <f t="shared" si="1318"/>
        <v>191001</v>
      </c>
      <c r="O2444" s="71" t="s">
        <v>153</v>
      </c>
      <c r="P2444" s="103" t="str">
        <f>C2444</f>
        <v>아스테이지(CD74용)</v>
      </c>
      <c r="Q2444" s="71">
        <f t="shared" si="1298"/>
        <v>5</v>
      </c>
      <c r="R2444" s="102">
        <v>40000</v>
      </c>
      <c r="S2444" s="102">
        <f t="shared" si="1322"/>
        <v>220000.00000000003</v>
      </c>
      <c r="T2444" s="102">
        <f t="shared" si="1323"/>
        <v>200000</v>
      </c>
      <c r="U2444" s="71" t="str">
        <f>IF(J2444=W2444,"O", "X")</f>
        <v>X</v>
      </c>
      <c r="V2444" s="71"/>
      <c r="W2444" s="474"/>
      <c r="X2444" s="71"/>
      <c r="Y2444" s="71"/>
    </row>
    <row r="2445" spans="1:25" ht="30" hidden="1" customHeight="1" x14ac:dyDescent="0.25">
      <c r="A2445" s="82">
        <v>191002</v>
      </c>
      <c r="B2445" s="664" t="s">
        <v>446</v>
      </c>
      <c r="C2445" s="71" t="s">
        <v>2028</v>
      </c>
      <c r="D2445" s="71">
        <v>8</v>
      </c>
      <c r="E2445" s="102">
        <v>110000</v>
      </c>
      <c r="F2445" s="102">
        <f t="shared" si="1319"/>
        <v>968000.00000000012</v>
      </c>
      <c r="G2445" s="102">
        <f t="shared" si="1320"/>
        <v>880000</v>
      </c>
      <c r="H2445" s="690" t="s">
        <v>2029</v>
      </c>
      <c r="I2445" s="71" t="s">
        <v>2231</v>
      </c>
      <c r="J2445" s="53">
        <f t="shared" si="1321"/>
        <v>152000</v>
      </c>
      <c r="K2445" s="63">
        <f>(J2445/(F2445/11*10))</f>
        <v>0.1727272727272727</v>
      </c>
      <c r="L2445" s="871" t="s">
        <v>2089</v>
      </c>
      <c r="M2445" s="468"/>
      <c r="N2445" s="664">
        <f t="shared" si="1318"/>
        <v>191002</v>
      </c>
      <c r="O2445" s="71" t="s">
        <v>2030</v>
      </c>
      <c r="P2445" s="103" t="str">
        <f>C2445</f>
        <v>실리콘 에멀전</v>
      </c>
      <c r="Q2445" s="71">
        <f t="shared" si="1298"/>
        <v>8</v>
      </c>
      <c r="R2445" s="102">
        <v>91000</v>
      </c>
      <c r="S2445" s="102">
        <f t="shared" si="1322"/>
        <v>800800.00000000012</v>
      </c>
      <c r="T2445" s="102">
        <f t="shared" si="1323"/>
        <v>728000</v>
      </c>
      <c r="U2445" s="71" t="str">
        <f>IF(J2445=W2445,"O", "X")</f>
        <v>O</v>
      </c>
      <c r="V2445" s="71"/>
      <c r="W2445" s="474">
        <f>(G2445-T2445)</f>
        <v>152000</v>
      </c>
      <c r="X2445" s="71"/>
      <c r="Y2445" s="71"/>
    </row>
    <row r="2446" spans="1:25" s="209" customFormat="1" ht="30" hidden="1" customHeight="1" x14ac:dyDescent="0.2">
      <c r="A2446" s="82">
        <v>191002</v>
      </c>
      <c r="B2446" s="664" t="s">
        <v>445</v>
      </c>
      <c r="C2446" s="71" t="s">
        <v>138</v>
      </c>
      <c r="D2446" s="71">
        <v>10</v>
      </c>
      <c r="E2446" s="102">
        <v>59500</v>
      </c>
      <c r="F2446" s="102">
        <f t="shared" si="1319"/>
        <v>654500</v>
      </c>
      <c r="G2446" s="102">
        <f t="shared" si="1320"/>
        <v>595000</v>
      </c>
      <c r="H2446" s="165" t="s">
        <v>172</v>
      </c>
      <c r="I2446" s="71" t="s">
        <v>108</v>
      </c>
      <c r="J2446" s="53">
        <f t="shared" si="1321"/>
        <v>85000</v>
      </c>
      <c r="K2446" s="63">
        <v>0.14285714285714285</v>
      </c>
      <c r="L2446" s="871" t="s">
        <v>2089</v>
      </c>
      <c r="M2446" s="468"/>
      <c r="N2446" s="664">
        <f t="shared" si="1318"/>
        <v>191002</v>
      </c>
      <c r="O2446" s="71" t="s">
        <v>150</v>
      </c>
      <c r="P2446" s="103" t="s">
        <v>1914</v>
      </c>
      <c r="Q2446" s="71">
        <f t="shared" si="1298"/>
        <v>10</v>
      </c>
      <c r="R2446" s="102">
        <v>51000</v>
      </c>
      <c r="S2446" s="102">
        <f t="shared" si="1322"/>
        <v>561000</v>
      </c>
      <c r="T2446" s="102">
        <f t="shared" si="1323"/>
        <v>510000</v>
      </c>
      <c r="U2446" s="71" t="s">
        <v>859</v>
      </c>
      <c r="V2446" s="71"/>
      <c r="W2446" s="474">
        <v>85000</v>
      </c>
      <c r="X2446" s="71"/>
      <c r="Y2446" s="71"/>
    </row>
    <row r="2447" spans="1:25" ht="30" hidden="1" customHeight="1" x14ac:dyDescent="0.2">
      <c r="A2447" s="82">
        <v>191002</v>
      </c>
      <c r="B2447" s="664" t="s">
        <v>575</v>
      </c>
      <c r="C2447" s="71" t="s">
        <v>1388</v>
      </c>
      <c r="D2447" s="71">
        <v>3</v>
      </c>
      <c r="E2447" s="102">
        <v>185000</v>
      </c>
      <c r="F2447" s="163">
        <f t="shared" si="1319"/>
        <v>610500</v>
      </c>
      <c r="G2447" s="102">
        <f t="shared" si="1320"/>
        <v>555000</v>
      </c>
      <c r="H2447" s="690" t="s">
        <v>2029</v>
      </c>
      <c r="I2447" s="71" t="s">
        <v>108</v>
      </c>
      <c r="J2447" s="53">
        <f t="shared" si="1321"/>
        <v>232638</v>
      </c>
      <c r="K2447" s="63">
        <f>(J2447/(F2447/11*10))</f>
        <v>0.41916756756756757</v>
      </c>
      <c r="L2447" s="871" t="s">
        <v>2080</v>
      </c>
      <c r="M2447" s="468"/>
      <c r="N2447" s="664">
        <f t="shared" si="1318"/>
        <v>191002</v>
      </c>
      <c r="O2447" s="71" t="s">
        <v>1443</v>
      </c>
      <c r="P2447" s="103" t="str">
        <f>C2447</f>
        <v>Flint 무알콜 윤전약물(Superaster)</v>
      </c>
      <c r="Q2447" s="71">
        <f t="shared" si="1298"/>
        <v>3</v>
      </c>
      <c r="R2447" s="102">
        <f>53454+54000</f>
        <v>107454</v>
      </c>
      <c r="S2447" s="102">
        <f>(R2447*D2447)*1.1+117230*1.1</f>
        <v>483551.2</v>
      </c>
      <c r="T2447" s="102">
        <f>(R2447*Q2447)</f>
        <v>322362</v>
      </c>
      <c r="U2447" s="71" t="str">
        <f>IF(J2447=W2447,"O", "X")</f>
        <v>O</v>
      </c>
      <c r="V2447" s="71"/>
      <c r="W2447" s="474">
        <f>(G2447-T2447)</f>
        <v>232638</v>
      </c>
      <c r="X2447" s="71"/>
      <c r="Y2447" s="71"/>
    </row>
    <row r="2448" spans="1:25" s="209" customFormat="1" ht="30" hidden="1" customHeight="1" x14ac:dyDescent="0.2">
      <c r="A2448" s="82">
        <v>191007</v>
      </c>
      <c r="B2448" s="664" t="s">
        <v>564</v>
      </c>
      <c r="C2448" s="71" t="s">
        <v>805</v>
      </c>
      <c r="D2448" s="71">
        <v>2</v>
      </c>
      <c r="E2448" s="102">
        <v>270000</v>
      </c>
      <c r="F2448" s="163">
        <v>594000</v>
      </c>
      <c r="G2448" s="163">
        <v>540000</v>
      </c>
      <c r="H2448" s="165" t="s">
        <v>173</v>
      </c>
      <c r="I2448" s="71" t="s">
        <v>120</v>
      </c>
      <c r="J2448" s="53">
        <f t="shared" si="1321"/>
        <v>260000</v>
      </c>
      <c r="K2448" s="63">
        <v>0.48148148148148145</v>
      </c>
      <c r="L2448" s="871" t="s">
        <v>2089</v>
      </c>
      <c r="M2448" s="468"/>
      <c r="N2448" s="664">
        <v>181108</v>
      </c>
      <c r="O2448" s="71" t="s">
        <v>150</v>
      </c>
      <c r="P2448" s="103" t="s">
        <v>166</v>
      </c>
      <c r="Q2448" s="71">
        <f t="shared" si="1298"/>
        <v>2</v>
      </c>
      <c r="R2448" s="102">
        <v>140000</v>
      </c>
      <c r="S2448" s="102">
        <f>R2448*Q2448*1.1</f>
        <v>308000</v>
      </c>
      <c r="T2448" s="102">
        <f>R2448*Q2448</f>
        <v>280000</v>
      </c>
      <c r="U2448" s="71" t="s">
        <v>859</v>
      </c>
      <c r="V2448" s="71"/>
      <c r="W2448" s="474">
        <v>260000</v>
      </c>
      <c r="X2448" s="71"/>
      <c r="Y2448" s="71"/>
    </row>
    <row r="2449" spans="1:25" ht="30" hidden="1" customHeight="1" x14ac:dyDescent="0.25">
      <c r="A2449" s="82">
        <v>191007</v>
      </c>
      <c r="B2449" s="664" t="s">
        <v>564</v>
      </c>
      <c r="C2449" s="71" t="s">
        <v>1608</v>
      </c>
      <c r="D2449" s="71">
        <v>4</v>
      </c>
      <c r="E2449" s="102">
        <v>165000</v>
      </c>
      <c r="F2449" s="102">
        <v>726000.00000000012</v>
      </c>
      <c r="G2449" s="102">
        <v>660000</v>
      </c>
      <c r="H2449" s="690" t="s">
        <v>173</v>
      </c>
      <c r="I2449" s="71" t="s">
        <v>109</v>
      </c>
      <c r="J2449" s="53">
        <f t="shared" si="1321"/>
        <v>120000</v>
      </c>
      <c r="K2449" s="63">
        <v>0.1818181818181818</v>
      </c>
      <c r="L2449" s="871" t="s">
        <v>2089</v>
      </c>
      <c r="M2449" s="468"/>
      <c r="N2449" s="664">
        <v>190104</v>
      </c>
      <c r="O2449" s="71" t="s">
        <v>151</v>
      </c>
      <c r="P2449" s="103" t="s">
        <v>2088</v>
      </c>
      <c r="Q2449" s="71">
        <f t="shared" si="1298"/>
        <v>4</v>
      </c>
      <c r="R2449" s="102">
        <v>135000</v>
      </c>
      <c r="S2449" s="102">
        <f>R2449*Q2449*1.1</f>
        <v>594000</v>
      </c>
      <c r="T2449" s="102">
        <f>R2449*Q2449</f>
        <v>540000</v>
      </c>
      <c r="U2449" s="71"/>
      <c r="V2449" s="71"/>
      <c r="W2449" s="474"/>
      <c r="X2449" s="71"/>
      <c r="Y2449" s="71"/>
    </row>
    <row r="2450" spans="1:25" ht="30" hidden="1" customHeight="1" x14ac:dyDescent="0.25">
      <c r="A2450" s="82">
        <v>191004</v>
      </c>
      <c r="B2450" s="664" t="s">
        <v>1286</v>
      </c>
      <c r="C2450" s="760" t="s">
        <v>218</v>
      </c>
      <c r="D2450" s="71">
        <v>5</v>
      </c>
      <c r="E2450" s="102">
        <v>192500</v>
      </c>
      <c r="F2450" s="102">
        <f t="shared" ref="F2450:F2457" si="1324">(E2450*D2450)*1.1</f>
        <v>1058750</v>
      </c>
      <c r="G2450" s="102">
        <f t="shared" ref="G2450:G2457" si="1325">(E2450*D2450)</f>
        <v>962500</v>
      </c>
      <c r="H2450" s="690" t="s">
        <v>173</v>
      </c>
      <c r="I2450" s="71" t="s">
        <v>120</v>
      </c>
      <c r="J2450" s="53">
        <f>(G2450-(VLOOKUP(C2450,Price!B:D,3,FALSE)*D2450))</f>
        <v>400000</v>
      </c>
      <c r="K2450" s="63">
        <f t="shared" ref="K2450:K2457" si="1326">(J2450/(F2450/11*10))</f>
        <v>0.41558441558441561</v>
      </c>
      <c r="L2450" s="871" t="s">
        <v>2089</v>
      </c>
      <c r="M2450" s="468"/>
      <c r="N2450" s="664">
        <f t="shared" ref="N2450:N2457" si="1327">A2450</f>
        <v>191004</v>
      </c>
      <c r="O2450" s="71" t="s">
        <v>150</v>
      </c>
      <c r="P2450" s="103" t="str">
        <f>C2450</f>
        <v>Fount Web 551AF</v>
      </c>
      <c r="Q2450" s="71">
        <f t="shared" si="1298"/>
        <v>5</v>
      </c>
      <c r="R2450" s="102">
        <v>112500</v>
      </c>
      <c r="S2450" s="102">
        <f>R2450*Q2450*1.1</f>
        <v>618750</v>
      </c>
      <c r="T2450" s="102">
        <f>R2450*Q2450</f>
        <v>562500</v>
      </c>
      <c r="U2450" s="71" t="s">
        <v>859</v>
      </c>
      <c r="V2450" s="71"/>
      <c r="W2450" s="474">
        <f t="shared" ref="W2450:W2457" si="1328">(G2450-T2450)</f>
        <v>400000</v>
      </c>
      <c r="X2450" s="71"/>
      <c r="Y2450" s="71"/>
    </row>
    <row r="2451" spans="1:25" s="209" customFormat="1" ht="30" hidden="1" customHeight="1" x14ac:dyDescent="0.25">
      <c r="A2451" s="82">
        <v>191004</v>
      </c>
      <c r="B2451" s="664" t="s">
        <v>1286</v>
      </c>
      <c r="C2451" s="71" t="s">
        <v>277</v>
      </c>
      <c r="D2451" s="71">
        <v>5</v>
      </c>
      <c r="E2451" s="102">
        <v>172000</v>
      </c>
      <c r="F2451" s="102">
        <f t="shared" si="1324"/>
        <v>946000.00000000012</v>
      </c>
      <c r="G2451" s="102">
        <f t="shared" si="1325"/>
        <v>860000</v>
      </c>
      <c r="H2451" s="690" t="s">
        <v>173</v>
      </c>
      <c r="I2451" s="71" t="s">
        <v>108</v>
      </c>
      <c r="J2451" s="53">
        <f>(G2451-(VLOOKUP(C2451,Price!B:D,3,FALSE)*D2451))</f>
        <v>285000</v>
      </c>
      <c r="K2451" s="63">
        <f t="shared" si="1326"/>
        <v>0.33139534883720928</v>
      </c>
      <c r="L2451" s="871" t="s">
        <v>2089</v>
      </c>
      <c r="M2451" s="468"/>
      <c r="N2451" s="664">
        <f t="shared" si="1327"/>
        <v>191004</v>
      </c>
      <c r="O2451" s="71" t="s">
        <v>150</v>
      </c>
      <c r="P2451" s="103" t="str">
        <f>(C2451)</f>
        <v>윤전용 세척제(Web 504)</v>
      </c>
      <c r="Q2451" s="71">
        <f t="shared" si="1298"/>
        <v>5</v>
      </c>
      <c r="R2451" s="102">
        <v>115000</v>
      </c>
      <c r="S2451" s="102">
        <f>(R2451*D2451)*1.1</f>
        <v>632500</v>
      </c>
      <c r="T2451" s="102">
        <f>(R2451*Q2451)</f>
        <v>575000</v>
      </c>
      <c r="U2451" s="71" t="str">
        <f t="shared" ref="U2451:U2457" si="1329">IF(J2451=W2451,"O", "X")</f>
        <v>O</v>
      </c>
      <c r="V2451" s="71"/>
      <c r="W2451" s="474">
        <f t="shared" si="1328"/>
        <v>285000</v>
      </c>
      <c r="X2451" s="71"/>
      <c r="Y2451" s="71"/>
    </row>
    <row r="2452" spans="1:25" s="209" customFormat="1" ht="30" hidden="1" customHeight="1" x14ac:dyDescent="0.25">
      <c r="A2452" s="82">
        <v>191004</v>
      </c>
      <c r="B2452" s="664" t="s">
        <v>1286</v>
      </c>
      <c r="C2452" s="71" t="s">
        <v>1144</v>
      </c>
      <c r="D2452" s="71">
        <v>5</v>
      </c>
      <c r="E2452" s="102">
        <v>110000</v>
      </c>
      <c r="F2452" s="102">
        <f t="shared" si="1324"/>
        <v>605000</v>
      </c>
      <c r="G2452" s="102">
        <f t="shared" si="1325"/>
        <v>550000</v>
      </c>
      <c r="H2452" s="690" t="s">
        <v>173</v>
      </c>
      <c r="I2452" s="71" t="s">
        <v>2231</v>
      </c>
      <c r="J2452" s="53">
        <f>G2452-T2452</f>
        <v>95000</v>
      </c>
      <c r="K2452" s="63">
        <f t="shared" si="1326"/>
        <v>0.17272727272727273</v>
      </c>
      <c r="L2452" s="871" t="s">
        <v>2089</v>
      </c>
      <c r="M2452" s="468"/>
      <c r="N2452" s="664">
        <f t="shared" si="1327"/>
        <v>191004</v>
      </c>
      <c r="O2452" s="71" t="s">
        <v>150</v>
      </c>
      <c r="P2452" s="103" t="str">
        <f t="shared" ref="P2452:Q2468" si="1330">C2452</f>
        <v>실리콘 에멀전</v>
      </c>
      <c r="Q2452" s="71">
        <f t="shared" si="1298"/>
        <v>5</v>
      </c>
      <c r="R2452" s="102">
        <v>91000</v>
      </c>
      <c r="S2452" s="102">
        <f t="shared" ref="S2452:S2477" si="1331">R2452*Q2452*1.1</f>
        <v>500500.00000000006</v>
      </c>
      <c r="T2452" s="102">
        <f t="shared" ref="T2452:T2477" si="1332">R2452*Q2452</f>
        <v>455000</v>
      </c>
      <c r="U2452" s="71" t="str">
        <f t="shared" si="1329"/>
        <v>O</v>
      </c>
      <c r="V2452" s="71"/>
      <c r="W2452" s="474">
        <f t="shared" si="1328"/>
        <v>95000</v>
      </c>
      <c r="X2452" s="71"/>
      <c r="Y2452" s="71"/>
    </row>
    <row r="2453" spans="1:25" ht="30" customHeight="1" x14ac:dyDescent="0.25">
      <c r="A2453" s="82">
        <v>191007</v>
      </c>
      <c r="B2453" s="664" t="s">
        <v>422</v>
      </c>
      <c r="C2453" s="760" t="s">
        <v>218</v>
      </c>
      <c r="D2453" s="71">
        <v>5</v>
      </c>
      <c r="E2453" s="102">
        <v>235000</v>
      </c>
      <c r="F2453" s="102">
        <f t="shared" si="1324"/>
        <v>1292500</v>
      </c>
      <c r="G2453" s="102">
        <f t="shared" si="1325"/>
        <v>1175000</v>
      </c>
      <c r="H2453" s="690" t="s">
        <v>173</v>
      </c>
      <c r="I2453" s="71" t="s">
        <v>120</v>
      </c>
      <c r="J2453" s="53">
        <f>(G2453-(VLOOKUP(C2453,Price!B:D,3,FALSE)*D2453))</f>
        <v>612500</v>
      </c>
      <c r="K2453" s="63">
        <f t="shared" si="1326"/>
        <v>0.52127659574468088</v>
      </c>
      <c r="L2453" s="871" t="s">
        <v>2089</v>
      </c>
      <c r="M2453" s="468" t="s">
        <v>2053</v>
      </c>
      <c r="N2453" s="664">
        <f t="shared" si="1327"/>
        <v>191007</v>
      </c>
      <c r="O2453" s="71" t="s">
        <v>150</v>
      </c>
      <c r="P2453" s="103" t="str">
        <f t="shared" si="1330"/>
        <v>Fount Web 551AF</v>
      </c>
      <c r="Q2453" s="71">
        <f t="shared" si="1298"/>
        <v>5</v>
      </c>
      <c r="R2453" s="102">
        <v>112500</v>
      </c>
      <c r="S2453" s="102">
        <f t="shared" si="1331"/>
        <v>618750</v>
      </c>
      <c r="T2453" s="102">
        <f t="shared" si="1332"/>
        <v>562500</v>
      </c>
      <c r="U2453" s="71" t="str">
        <f t="shared" si="1329"/>
        <v>O</v>
      </c>
      <c r="V2453" s="71"/>
      <c r="W2453" s="474">
        <f t="shared" si="1328"/>
        <v>612500</v>
      </c>
      <c r="X2453" s="71"/>
      <c r="Y2453" s="71"/>
    </row>
    <row r="2454" spans="1:25" ht="30" hidden="1" customHeight="1" x14ac:dyDescent="0.25">
      <c r="A2454" s="82">
        <v>191008</v>
      </c>
      <c r="B2454" s="664" t="s">
        <v>442</v>
      </c>
      <c r="C2454" s="71" t="s">
        <v>206</v>
      </c>
      <c r="D2454" s="71">
        <v>2</v>
      </c>
      <c r="E2454" s="102">
        <v>327000</v>
      </c>
      <c r="F2454" s="102">
        <f t="shared" si="1324"/>
        <v>719400</v>
      </c>
      <c r="G2454" s="102">
        <f t="shared" si="1325"/>
        <v>654000</v>
      </c>
      <c r="H2454" s="690" t="s">
        <v>2029</v>
      </c>
      <c r="I2454" s="71" t="s">
        <v>195</v>
      </c>
      <c r="J2454" s="53">
        <f>(G2454-(VLOOKUP(C2454,[5]Price!B$1:D$65536,3,FALSE)*D2454))</f>
        <v>115800</v>
      </c>
      <c r="K2454" s="63">
        <f t="shared" si="1326"/>
        <v>0.17706422018348625</v>
      </c>
      <c r="L2454" s="871" t="s">
        <v>2089</v>
      </c>
      <c r="M2454" s="468"/>
      <c r="N2454" s="664">
        <f t="shared" si="1327"/>
        <v>191008</v>
      </c>
      <c r="O2454" s="71" t="s">
        <v>194</v>
      </c>
      <c r="P2454" s="103" t="str">
        <f t="shared" si="1330"/>
        <v>Agfa Film(24inch)</v>
      </c>
      <c r="Q2454" s="71">
        <f t="shared" si="1298"/>
        <v>2</v>
      </c>
      <c r="R2454" s="102">
        <v>269100</v>
      </c>
      <c r="S2454" s="102">
        <f t="shared" si="1331"/>
        <v>592020</v>
      </c>
      <c r="T2454" s="102">
        <f t="shared" si="1332"/>
        <v>538200</v>
      </c>
      <c r="U2454" s="71" t="str">
        <f t="shared" si="1329"/>
        <v>O</v>
      </c>
      <c r="V2454" s="71"/>
      <c r="W2454" s="474">
        <f t="shared" si="1328"/>
        <v>115800</v>
      </c>
      <c r="X2454" s="71"/>
      <c r="Y2454" s="71"/>
    </row>
    <row r="2455" spans="1:25" ht="30" hidden="1" customHeight="1" x14ac:dyDescent="0.25">
      <c r="A2455" s="82">
        <v>191008</v>
      </c>
      <c r="B2455" s="664" t="s">
        <v>442</v>
      </c>
      <c r="C2455" s="71" t="s">
        <v>207</v>
      </c>
      <c r="D2455" s="71">
        <v>2</v>
      </c>
      <c r="E2455" s="102">
        <v>401000</v>
      </c>
      <c r="F2455" s="102">
        <f t="shared" si="1324"/>
        <v>882200.00000000012</v>
      </c>
      <c r="G2455" s="102">
        <f t="shared" si="1325"/>
        <v>802000</v>
      </c>
      <c r="H2455" s="690" t="s">
        <v>2029</v>
      </c>
      <c r="I2455" s="71" t="s">
        <v>195</v>
      </c>
      <c r="J2455" s="53">
        <f>(G2455-(VLOOKUP(C2455,[5]Price!B$1:D$65536,3,FALSE)*D2455))</f>
        <v>174080</v>
      </c>
      <c r="K2455" s="63">
        <f t="shared" si="1326"/>
        <v>0.21705735660847877</v>
      </c>
      <c r="L2455" s="871" t="s">
        <v>2089</v>
      </c>
      <c r="M2455" s="468"/>
      <c r="N2455" s="664">
        <f t="shared" si="1327"/>
        <v>191008</v>
      </c>
      <c r="O2455" s="71" t="s">
        <v>194</v>
      </c>
      <c r="P2455" s="103" t="str">
        <f t="shared" si="1330"/>
        <v>Agfa Film(28inch)</v>
      </c>
      <c r="Q2455" s="71">
        <f t="shared" si="1298"/>
        <v>2</v>
      </c>
      <c r="R2455" s="102">
        <f>VLOOKUP(P2455,[5]Price!B$1:D$65536,3,FALSE)</f>
        <v>313960</v>
      </c>
      <c r="S2455" s="102">
        <f t="shared" si="1331"/>
        <v>690712</v>
      </c>
      <c r="T2455" s="102">
        <f t="shared" si="1332"/>
        <v>627920</v>
      </c>
      <c r="U2455" s="71" t="str">
        <f t="shared" si="1329"/>
        <v>O</v>
      </c>
      <c r="V2455" s="71"/>
      <c r="W2455" s="474">
        <f t="shared" si="1328"/>
        <v>174080</v>
      </c>
      <c r="X2455" s="71"/>
      <c r="Y2455" s="71"/>
    </row>
    <row r="2456" spans="1:25" ht="30" hidden="1" customHeight="1" x14ac:dyDescent="0.25">
      <c r="A2456" s="82">
        <v>191008</v>
      </c>
      <c r="B2456" s="664" t="s">
        <v>442</v>
      </c>
      <c r="C2456" s="71" t="s">
        <v>208</v>
      </c>
      <c r="D2456" s="71">
        <v>2</v>
      </c>
      <c r="E2456" s="102">
        <v>448000</v>
      </c>
      <c r="F2456" s="102">
        <f t="shared" si="1324"/>
        <v>985600.00000000012</v>
      </c>
      <c r="G2456" s="102">
        <f t="shared" si="1325"/>
        <v>896000</v>
      </c>
      <c r="H2456" s="690" t="s">
        <v>2029</v>
      </c>
      <c r="I2456" s="71" t="s">
        <v>195</v>
      </c>
      <c r="J2456" s="53">
        <f>(G2456-(VLOOKUP(C2456,[5]Price!B$1:D$65536,3,FALSE)*D2456))</f>
        <v>155980</v>
      </c>
      <c r="K2456" s="63">
        <f t="shared" si="1326"/>
        <v>0.1740848214285714</v>
      </c>
      <c r="L2456" s="871" t="s">
        <v>2089</v>
      </c>
      <c r="M2456" s="468"/>
      <c r="N2456" s="664">
        <f t="shared" si="1327"/>
        <v>191008</v>
      </c>
      <c r="O2456" s="71" t="s">
        <v>194</v>
      </c>
      <c r="P2456" s="103" t="str">
        <f t="shared" si="1330"/>
        <v>Agfa Film(32inch)</v>
      </c>
      <c r="Q2456" s="71">
        <f t="shared" si="1330"/>
        <v>2</v>
      </c>
      <c r="R2456" s="102">
        <f>VLOOKUP(P2456,[5]Price!B$1:D$65536,3,FALSE)</f>
        <v>370010</v>
      </c>
      <c r="S2456" s="102">
        <f t="shared" si="1331"/>
        <v>814022.00000000012</v>
      </c>
      <c r="T2456" s="102">
        <f t="shared" si="1332"/>
        <v>740020</v>
      </c>
      <c r="U2456" s="71" t="str">
        <f t="shared" si="1329"/>
        <v>O</v>
      </c>
      <c r="V2456" s="71"/>
      <c r="W2456" s="474">
        <f t="shared" si="1328"/>
        <v>155980</v>
      </c>
      <c r="X2456" s="71"/>
      <c r="Y2456" s="71"/>
    </row>
    <row r="2457" spans="1:25" ht="30" hidden="1" customHeight="1" x14ac:dyDescent="0.2">
      <c r="A2457" s="82">
        <v>191008</v>
      </c>
      <c r="B2457" s="664" t="s">
        <v>442</v>
      </c>
      <c r="C2457" s="71" t="s">
        <v>650</v>
      </c>
      <c r="D2457" s="71">
        <v>1</v>
      </c>
      <c r="E2457" s="102">
        <v>93000</v>
      </c>
      <c r="F2457" s="163">
        <f t="shared" si="1324"/>
        <v>102300.00000000001</v>
      </c>
      <c r="G2457" s="163">
        <f t="shared" si="1325"/>
        <v>93000</v>
      </c>
      <c r="H2457" s="165" t="s">
        <v>172</v>
      </c>
      <c r="I2457" s="71" t="s">
        <v>141</v>
      </c>
      <c r="J2457" s="53">
        <f>(G2457-(VLOOKUP(C2457,Price!B:D,3,FALSE)*D2457))</f>
        <v>33000</v>
      </c>
      <c r="K2457" s="63">
        <f t="shared" si="1326"/>
        <v>0.35483870967741932</v>
      </c>
      <c r="L2457" s="871" t="s">
        <v>2089</v>
      </c>
      <c r="M2457" s="468"/>
      <c r="N2457" s="664">
        <f t="shared" si="1327"/>
        <v>191008</v>
      </c>
      <c r="O2457" s="71" t="s">
        <v>145</v>
      </c>
      <c r="P2457" s="103" t="str">
        <f t="shared" si="1330"/>
        <v>Agfa 정착액 G333C(20L)</v>
      </c>
      <c r="Q2457" s="71">
        <f t="shared" si="1330"/>
        <v>1</v>
      </c>
      <c r="R2457" s="102">
        <f>VLOOKUP(P2457,Price!B:D,3,FALSE)</f>
        <v>60000</v>
      </c>
      <c r="S2457" s="102">
        <f t="shared" si="1331"/>
        <v>66000</v>
      </c>
      <c r="T2457" s="102">
        <f t="shared" si="1332"/>
        <v>60000</v>
      </c>
      <c r="U2457" s="71" t="str">
        <f t="shared" si="1329"/>
        <v>O</v>
      </c>
      <c r="V2457" s="71"/>
      <c r="W2457" s="474">
        <f t="shared" si="1328"/>
        <v>33000</v>
      </c>
      <c r="X2457" s="71"/>
      <c r="Y2457" s="71"/>
    </row>
    <row r="2458" spans="1:25" ht="30" hidden="1" customHeight="1" x14ac:dyDescent="0.25">
      <c r="A2458" s="82">
        <v>191009</v>
      </c>
      <c r="B2458" s="664" t="s">
        <v>764</v>
      </c>
      <c r="C2458" s="71" t="s">
        <v>123</v>
      </c>
      <c r="D2458" s="71">
        <v>25</v>
      </c>
      <c r="E2458" s="102">
        <v>35000</v>
      </c>
      <c r="F2458" s="102">
        <v>962500.00000000012</v>
      </c>
      <c r="G2458" s="102">
        <v>875000</v>
      </c>
      <c r="H2458" s="690" t="s">
        <v>1432</v>
      </c>
      <c r="I2458" s="71" t="s">
        <v>1432</v>
      </c>
      <c r="J2458" s="53">
        <f t="shared" ref="J2458:J2467" si="1333">G2458-T2458</f>
        <v>313475</v>
      </c>
      <c r="K2458" s="63">
        <v>0.35825714285714283</v>
      </c>
      <c r="L2458" s="871" t="s">
        <v>2089</v>
      </c>
      <c r="M2458" s="468"/>
      <c r="N2458" s="664">
        <v>190909</v>
      </c>
      <c r="O2458" s="71" t="s">
        <v>1432</v>
      </c>
      <c r="P2458" s="103" t="s">
        <v>122</v>
      </c>
      <c r="Q2458" s="71">
        <f t="shared" si="1330"/>
        <v>25</v>
      </c>
      <c r="R2458" s="102">
        <v>22461</v>
      </c>
      <c r="S2458" s="102">
        <f t="shared" si="1331"/>
        <v>617677.5</v>
      </c>
      <c r="T2458" s="102">
        <f t="shared" si="1332"/>
        <v>561525</v>
      </c>
      <c r="U2458" s="71" t="s">
        <v>859</v>
      </c>
      <c r="V2458" s="71"/>
      <c r="W2458" s="474">
        <v>313475</v>
      </c>
      <c r="X2458" s="71"/>
      <c r="Y2458" s="71"/>
    </row>
    <row r="2459" spans="1:25" s="209" customFormat="1" ht="30" hidden="1" customHeight="1" x14ac:dyDescent="0.25">
      <c r="A2459" s="82">
        <v>191009</v>
      </c>
      <c r="B2459" s="664" t="s">
        <v>764</v>
      </c>
      <c r="C2459" s="71" t="s">
        <v>236</v>
      </c>
      <c r="D2459" s="71">
        <v>10</v>
      </c>
      <c r="E2459" s="102">
        <v>100000</v>
      </c>
      <c r="F2459" s="102">
        <v>1100000</v>
      </c>
      <c r="G2459" s="102">
        <v>1000000</v>
      </c>
      <c r="H2459" s="690" t="s">
        <v>173</v>
      </c>
      <c r="I2459" s="71" t="s">
        <v>2231</v>
      </c>
      <c r="J2459" s="53">
        <f t="shared" si="1333"/>
        <v>500000</v>
      </c>
      <c r="K2459" s="63">
        <v>0.5</v>
      </c>
      <c r="L2459" s="871" t="s">
        <v>2089</v>
      </c>
      <c r="M2459" s="468"/>
      <c r="N2459" s="664">
        <v>190918</v>
      </c>
      <c r="O2459" s="71" t="s">
        <v>153</v>
      </c>
      <c r="P2459" s="103" t="s">
        <v>2087</v>
      </c>
      <c r="Q2459" s="71">
        <f t="shared" si="1330"/>
        <v>10</v>
      </c>
      <c r="R2459" s="102">
        <v>50000</v>
      </c>
      <c r="S2459" s="102">
        <f t="shared" si="1331"/>
        <v>550000</v>
      </c>
      <c r="T2459" s="102">
        <f t="shared" si="1332"/>
        <v>500000</v>
      </c>
      <c r="U2459" s="71" t="s">
        <v>859</v>
      </c>
      <c r="V2459" s="71"/>
      <c r="W2459" s="474">
        <v>500000</v>
      </c>
      <c r="X2459" s="71"/>
      <c r="Y2459" s="71"/>
    </row>
    <row r="2460" spans="1:25" ht="30" hidden="1" customHeight="1" x14ac:dyDescent="0.25">
      <c r="A2460" s="82">
        <v>191010</v>
      </c>
      <c r="B2460" s="664" t="s">
        <v>690</v>
      </c>
      <c r="C2460" s="71" t="s">
        <v>825</v>
      </c>
      <c r="D2460" s="71">
        <v>2</v>
      </c>
      <c r="E2460" s="102">
        <v>150000</v>
      </c>
      <c r="F2460" s="102">
        <v>330000</v>
      </c>
      <c r="G2460" s="102">
        <v>300000</v>
      </c>
      <c r="H2460" s="690" t="s">
        <v>173</v>
      </c>
      <c r="I2460" s="71" t="s">
        <v>2231</v>
      </c>
      <c r="J2460" s="53">
        <f t="shared" si="1333"/>
        <v>110000</v>
      </c>
      <c r="K2460" s="63">
        <v>0.36666666666666664</v>
      </c>
      <c r="L2460" s="871" t="s">
        <v>2089</v>
      </c>
      <c r="M2460" s="468"/>
      <c r="N2460" s="664">
        <f t="shared" ref="N2460:N2484" si="1334">A2460</f>
        <v>191010</v>
      </c>
      <c r="O2460" s="71" t="s">
        <v>150</v>
      </c>
      <c r="P2460" s="103" t="s">
        <v>1802</v>
      </c>
      <c r="Q2460" s="71">
        <f t="shared" si="1330"/>
        <v>2</v>
      </c>
      <c r="R2460" s="102">
        <v>95000</v>
      </c>
      <c r="S2460" s="102">
        <f t="shared" si="1331"/>
        <v>209000.00000000003</v>
      </c>
      <c r="T2460" s="102">
        <f t="shared" si="1332"/>
        <v>190000</v>
      </c>
      <c r="U2460" s="71" t="s">
        <v>859</v>
      </c>
      <c r="V2460" s="71"/>
      <c r="W2460" s="474">
        <v>110000</v>
      </c>
      <c r="X2460" s="71"/>
      <c r="Y2460" s="71"/>
    </row>
    <row r="2461" spans="1:25" s="209" customFormat="1" ht="30" hidden="1" customHeight="1" x14ac:dyDescent="0.25">
      <c r="A2461" s="82">
        <v>191010</v>
      </c>
      <c r="B2461" s="664" t="s">
        <v>442</v>
      </c>
      <c r="C2461" s="71" t="s">
        <v>138</v>
      </c>
      <c r="D2461" s="71">
        <v>24</v>
      </c>
      <c r="E2461" s="102">
        <v>69000</v>
      </c>
      <c r="F2461" s="102">
        <f t="shared" ref="F2461:F2484" si="1335">(E2461*D2461)*1.1</f>
        <v>1821600.0000000002</v>
      </c>
      <c r="G2461" s="102">
        <f t="shared" ref="G2461:G2484" si="1336">(E2461*D2461)</f>
        <v>1656000</v>
      </c>
      <c r="H2461" s="690" t="s">
        <v>173</v>
      </c>
      <c r="I2461" s="71" t="s">
        <v>108</v>
      </c>
      <c r="J2461" s="53">
        <f t="shared" si="1333"/>
        <v>432000</v>
      </c>
      <c r="K2461" s="63">
        <f>(J2461/(F2461/11*10))</f>
        <v>0.26086956521739124</v>
      </c>
      <c r="L2461" s="871" t="s">
        <v>2089</v>
      </c>
      <c r="M2461" s="468" t="s">
        <v>1854</v>
      </c>
      <c r="N2461" s="664">
        <f t="shared" si="1334"/>
        <v>191010</v>
      </c>
      <c r="O2461" s="71" t="s">
        <v>150</v>
      </c>
      <c r="P2461" s="103" t="s">
        <v>1914</v>
      </c>
      <c r="Q2461" s="71">
        <f t="shared" si="1330"/>
        <v>24</v>
      </c>
      <c r="R2461" s="102">
        <v>51000</v>
      </c>
      <c r="S2461" s="102">
        <f t="shared" si="1331"/>
        <v>1346400</v>
      </c>
      <c r="T2461" s="102">
        <f t="shared" si="1332"/>
        <v>1224000</v>
      </c>
      <c r="U2461" s="71" t="s">
        <v>1915</v>
      </c>
      <c r="V2461" s="71"/>
      <c r="W2461" s="474">
        <v>396000</v>
      </c>
      <c r="X2461" s="71"/>
      <c r="Y2461" s="71"/>
    </row>
    <row r="2462" spans="1:25" s="209" customFormat="1" ht="30" hidden="1" customHeight="1" x14ac:dyDescent="0.2">
      <c r="A2462" s="82">
        <v>191010</v>
      </c>
      <c r="B2462" s="664" t="s">
        <v>445</v>
      </c>
      <c r="C2462" s="71" t="s">
        <v>138</v>
      </c>
      <c r="D2462" s="71">
        <v>5</v>
      </c>
      <c r="E2462" s="102">
        <v>59500</v>
      </c>
      <c r="F2462" s="102">
        <f t="shared" si="1335"/>
        <v>327250</v>
      </c>
      <c r="G2462" s="102">
        <f t="shared" si="1336"/>
        <v>297500</v>
      </c>
      <c r="H2462" s="165" t="s">
        <v>172</v>
      </c>
      <c r="I2462" s="71" t="s">
        <v>108</v>
      </c>
      <c r="J2462" s="53">
        <f t="shared" si="1333"/>
        <v>42500</v>
      </c>
      <c r="K2462" s="63">
        <v>0.14285714285714285</v>
      </c>
      <c r="L2462" s="871" t="s">
        <v>2089</v>
      </c>
      <c r="M2462" s="468"/>
      <c r="N2462" s="664">
        <f t="shared" si="1334"/>
        <v>191010</v>
      </c>
      <c r="O2462" s="71" t="s">
        <v>150</v>
      </c>
      <c r="P2462" s="103" t="s">
        <v>1914</v>
      </c>
      <c r="Q2462" s="71">
        <f t="shared" si="1330"/>
        <v>5</v>
      </c>
      <c r="R2462" s="102">
        <v>51000</v>
      </c>
      <c r="S2462" s="102">
        <f t="shared" si="1331"/>
        <v>280500</v>
      </c>
      <c r="T2462" s="102">
        <f t="shared" si="1332"/>
        <v>255000</v>
      </c>
      <c r="U2462" s="71" t="s">
        <v>859</v>
      </c>
      <c r="V2462" s="71"/>
      <c r="W2462" s="474">
        <v>85000</v>
      </c>
      <c r="X2462" s="71"/>
      <c r="Y2462" s="71"/>
    </row>
    <row r="2463" spans="1:25" s="209" customFormat="1" ht="30" hidden="1" customHeight="1" x14ac:dyDescent="0.25">
      <c r="A2463" s="82">
        <v>191010</v>
      </c>
      <c r="B2463" s="664" t="s">
        <v>445</v>
      </c>
      <c r="C2463" s="71" t="s">
        <v>277</v>
      </c>
      <c r="D2463" s="71">
        <v>5</v>
      </c>
      <c r="E2463" s="102">
        <v>172000</v>
      </c>
      <c r="F2463" s="102">
        <f t="shared" si="1335"/>
        <v>946000.00000000012</v>
      </c>
      <c r="G2463" s="102">
        <f t="shared" si="1336"/>
        <v>860000</v>
      </c>
      <c r="H2463" s="690" t="s">
        <v>173</v>
      </c>
      <c r="I2463" s="71" t="s">
        <v>108</v>
      </c>
      <c r="J2463" s="53">
        <f t="shared" si="1333"/>
        <v>285000</v>
      </c>
      <c r="K2463" s="63">
        <v>0.33139534883720928</v>
      </c>
      <c r="L2463" s="871" t="s">
        <v>2089</v>
      </c>
      <c r="M2463" s="468"/>
      <c r="N2463" s="664">
        <f t="shared" si="1334"/>
        <v>191010</v>
      </c>
      <c r="O2463" s="71" t="s">
        <v>150</v>
      </c>
      <c r="P2463" s="103" t="s">
        <v>277</v>
      </c>
      <c r="Q2463" s="71">
        <f t="shared" si="1330"/>
        <v>5</v>
      </c>
      <c r="R2463" s="102">
        <v>115000</v>
      </c>
      <c r="S2463" s="102">
        <f t="shared" si="1331"/>
        <v>632500</v>
      </c>
      <c r="T2463" s="102">
        <f t="shared" si="1332"/>
        <v>575000</v>
      </c>
      <c r="U2463" s="71" t="s">
        <v>859</v>
      </c>
      <c r="V2463" s="71"/>
      <c r="W2463" s="474">
        <v>285000</v>
      </c>
      <c r="X2463" s="71"/>
      <c r="Y2463" s="71"/>
    </row>
    <row r="2464" spans="1:25" ht="30" hidden="1" customHeight="1" x14ac:dyDescent="0.25">
      <c r="A2464" s="82">
        <v>191011</v>
      </c>
      <c r="B2464" s="664" t="s">
        <v>545</v>
      </c>
      <c r="C2464" s="71" t="s">
        <v>227</v>
      </c>
      <c r="D2464" s="71">
        <v>10</v>
      </c>
      <c r="E2464" s="102">
        <v>110000</v>
      </c>
      <c r="F2464" s="102">
        <f t="shared" si="1335"/>
        <v>1210000</v>
      </c>
      <c r="G2464" s="102">
        <f t="shared" si="1336"/>
        <v>1100000</v>
      </c>
      <c r="H2464" s="690" t="s">
        <v>173</v>
      </c>
      <c r="I2464" s="71" t="s">
        <v>109</v>
      </c>
      <c r="J2464" s="53">
        <f t="shared" si="1333"/>
        <v>271000</v>
      </c>
      <c r="K2464" s="63">
        <f>(J2464/(F2464/11*10))</f>
        <v>0.24636363636363637</v>
      </c>
      <c r="L2464" s="871" t="s">
        <v>2089</v>
      </c>
      <c r="M2464" s="468"/>
      <c r="N2464" s="664">
        <f t="shared" si="1334"/>
        <v>191011</v>
      </c>
      <c r="O2464" s="71" t="s">
        <v>147</v>
      </c>
      <c r="P2464" s="103" t="str">
        <f>C2464</f>
        <v>Blanket(1060*860)</v>
      </c>
      <c r="Q2464" s="71">
        <f t="shared" si="1330"/>
        <v>10</v>
      </c>
      <c r="R2464" s="102">
        <v>82900</v>
      </c>
      <c r="S2464" s="102">
        <f t="shared" si="1331"/>
        <v>911900.00000000012</v>
      </c>
      <c r="T2464" s="102">
        <f t="shared" si="1332"/>
        <v>829000</v>
      </c>
      <c r="U2464" s="71" t="str">
        <f>IF(J2464=W2464,"O", "X")</f>
        <v>O</v>
      </c>
      <c r="V2464" s="71"/>
      <c r="W2464" s="474">
        <f>(G2464-T2464)</f>
        <v>271000</v>
      </c>
      <c r="X2464" s="71"/>
      <c r="Y2464" s="71"/>
    </row>
    <row r="2465" spans="1:25" ht="30" hidden="1" customHeight="1" x14ac:dyDescent="0.25">
      <c r="A2465" s="82">
        <v>191011</v>
      </c>
      <c r="B2465" s="664" t="s">
        <v>1014</v>
      </c>
      <c r="C2465" s="71" t="s">
        <v>2012</v>
      </c>
      <c r="D2465" s="71">
        <v>3</v>
      </c>
      <c r="E2465" s="102">
        <v>1100000</v>
      </c>
      <c r="F2465" s="102">
        <f t="shared" si="1335"/>
        <v>3630000.0000000005</v>
      </c>
      <c r="G2465" s="102">
        <f t="shared" si="1336"/>
        <v>3300000</v>
      </c>
      <c r="H2465" s="690" t="s">
        <v>1432</v>
      </c>
      <c r="I2465" s="71" t="s">
        <v>1432</v>
      </c>
      <c r="J2465" s="53">
        <f t="shared" si="1333"/>
        <v>2082297</v>
      </c>
      <c r="K2465" s="63">
        <f>(J2465/(F2465/11*10))</f>
        <v>0.63099909090909079</v>
      </c>
      <c r="L2465" s="871" t="s">
        <v>2089</v>
      </c>
      <c r="M2465" s="468"/>
      <c r="N2465" s="664">
        <f t="shared" si="1334"/>
        <v>191011</v>
      </c>
      <c r="O2465" s="71" t="s">
        <v>1432</v>
      </c>
      <c r="P2465" s="103" t="str">
        <f>C2465</f>
        <v>beta.f 필터 set</v>
      </c>
      <c r="Q2465" s="71">
        <f t="shared" si="1330"/>
        <v>3</v>
      </c>
      <c r="R2465" s="102">
        <v>405901</v>
      </c>
      <c r="S2465" s="102">
        <f t="shared" si="1331"/>
        <v>1339473.3</v>
      </c>
      <c r="T2465" s="102">
        <f t="shared" si="1332"/>
        <v>1217703</v>
      </c>
      <c r="U2465" s="71"/>
      <c r="V2465" s="71"/>
      <c r="W2465" s="474"/>
      <c r="X2465" s="71"/>
      <c r="Y2465" s="71"/>
    </row>
    <row r="2466" spans="1:25" ht="30" hidden="1" customHeight="1" x14ac:dyDescent="0.25">
      <c r="A2466" s="82">
        <v>191015</v>
      </c>
      <c r="B2466" s="664" t="s">
        <v>631</v>
      </c>
      <c r="C2466" s="67" t="s">
        <v>201</v>
      </c>
      <c r="D2466" s="71">
        <v>10</v>
      </c>
      <c r="E2466" s="102">
        <v>75000</v>
      </c>
      <c r="F2466" s="102">
        <f t="shared" si="1335"/>
        <v>825000.00000000012</v>
      </c>
      <c r="G2466" s="102">
        <f t="shared" si="1336"/>
        <v>750000</v>
      </c>
      <c r="H2466" s="690" t="s">
        <v>173</v>
      </c>
      <c r="I2466" s="71" t="s">
        <v>109</v>
      </c>
      <c r="J2466" s="53">
        <f t="shared" si="1333"/>
        <v>200000</v>
      </c>
      <c r="K2466" s="63">
        <f>(J2466/(F2466/11*10))</f>
        <v>0.26666666666666661</v>
      </c>
      <c r="L2466" s="871" t="s">
        <v>2080</v>
      </c>
      <c r="M2466" s="468" t="s">
        <v>2117</v>
      </c>
      <c r="N2466" s="664">
        <f t="shared" si="1334"/>
        <v>191015</v>
      </c>
      <c r="O2466" s="71" t="s">
        <v>149</v>
      </c>
      <c r="P2466" s="103" t="str">
        <f>C2466</f>
        <v>Bar블랑켓 730*710</v>
      </c>
      <c r="Q2466" s="71">
        <f t="shared" si="1330"/>
        <v>10</v>
      </c>
      <c r="R2466" s="102">
        <v>55000</v>
      </c>
      <c r="S2466" s="102">
        <f t="shared" si="1331"/>
        <v>605000</v>
      </c>
      <c r="T2466" s="102">
        <f t="shared" si="1332"/>
        <v>550000</v>
      </c>
      <c r="U2466" s="71" t="str">
        <f>IF(J2466=W2466,"O", "X")</f>
        <v>O</v>
      </c>
      <c r="V2466" s="71"/>
      <c r="W2466" s="474">
        <f>(G2466-T2466)</f>
        <v>200000</v>
      </c>
      <c r="X2466" s="71"/>
      <c r="Y2466" s="71"/>
    </row>
    <row r="2467" spans="1:25" ht="30" hidden="1" customHeight="1" x14ac:dyDescent="0.25">
      <c r="A2467" s="82">
        <v>191016</v>
      </c>
      <c r="B2467" s="664" t="s">
        <v>2100</v>
      </c>
      <c r="C2467" s="71" t="s">
        <v>2101</v>
      </c>
      <c r="D2467" s="71">
        <v>1</v>
      </c>
      <c r="E2467" s="102">
        <v>7700000</v>
      </c>
      <c r="F2467" s="102">
        <f t="shared" si="1335"/>
        <v>8470000</v>
      </c>
      <c r="G2467" s="102">
        <f t="shared" si="1336"/>
        <v>7700000</v>
      </c>
      <c r="H2467" s="690" t="s">
        <v>1432</v>
      </c>
      <c r="I2467" s="71" t="s">
        <v>1432</v>
      </c>
      <c r="J2467" s="53">
        <f t="shared" si="1333"/>
        <v>3161840.0856571002</v>
      </c>
      <c r="K2467" s="63">
        <f>(J2467/(F2467/11*10))</f>
        <v>0.41062858255287016</v>
      </c>
      <c r="L2467" s="871" t="s">
        <v>2089</v>
      </c>
      <c r="M2467" s="468"/>
      <c r="N2467" s="664">
        <f t="shared" si="1334"/>
        <v>191016</v>
      </c>
      <c r="O2467" s="71" t="s">
        <v>1432</v>
      </c>
      <c r="P2467" s="103" t="str">
        <f>C2467</f>
        <v>알콜공급장치 및 도져</v>
      </c>
      <c r="Q2467" s="71">
        <f t="shared" si="1330"/>
        <v>1</v>
      </c>
      <c r="R2467" s="102">
        <f>Import!G637+Import!G656</f>
        <v>4538159.9143428998</v>
      </c>
      <c r="S2467" s="102">
        <f t="shared" si="1331"/>
        <v>4991975.9057771899</v>
      </c>
      <c r="T2467" s="102">
        <f t="shared" si="1332"/>
        <v>4538159.9143428998</v>
      </c>
      <c r="U2467" s="71"/>
      <c r="V2467" s="71"/>
      <c r="W2467" s="474"/>
      <c r="X2467" s="71"/>
      <c r="Y2467" s="71"/>
    </row>
    <row r="2468" spans="1:25" s="209" customFormat="1" ht="30" customHeight="1" x14ac:dyDescent="0.2">
      <c r="A2468" s="82">
        <v>191016</v>
      </c>
      <c r="B2468" s="664" t="s">
        <v>422</v>
      </c>
      <c r="C2468" s="71" t="s">
        <v>130</v>
      </c>
      <c r="D2468" s="71">
        <v>10</v>
      </c>
      <c r="E2468" s="102">
        <v>125000</v>
      </c>
      <c r="F2468" s="163">
        <f t="shared" si="1335"/>
        <v>1375000</v>
      </c>
      <c r="G2468" s="102">
        <f t="shared" si="1336"/>
        <v>1250000</v>
      </c>
      <c r="H2468" s="165" t="s">
        <v>172</v>
      </c>
      <c r="I2468" s="71" t="s">
        <v>109</v>
      </c>
      <c r="J2468" s="53">
        <f>(G2468-(VLOOKUP(C2468,Price!B:D,3,FALSE)*D2468))</f>
        <v>260000</v>
      </c>
      <c r="K2468" s="63">
        <f t="shared" ref="K2468:K2481" si="1337">(J2468/(F2468/11*10))</f>
        <v>0.20799999999999999</v>
      </c>
      <c r="L2468" s="871" t="s">
        <v>2089</v>
      </c>
      <c r="M2468" s="468" t="s">
        <v>2050</v>
      </c>
      <c r="N2468" s="664">
        <f t="shared" si="1334"/>
        <v>191016</v>
      </c>
      <c r="O2468" s="71" t="s">
        <v>150</v>
      </c>
      <c r="P2468" s="103" t="str">
        <f>(C2468)</f>
        <v>XL106 Blanket(1077*885)</v>
      </c>
      <c r="Q2468" s="71">
        <f t="shared" si="1330"/>
        <v>10</v>
      </c>
      <c r="R2468" s="102">
        <v>99000</v>
      </c>
      <c r="S2468" s="102">
        <f t="shared" si="1331"/>
        <v>1089000</v>
      </c>
      <c r="T2468" s="102">
        <f t="shared" si="1332"/>
        <v>990000</v>
      </c>
      <c r="U2468" s="71" t="str">
        <f>IF(J2468=W2468,"O", "X")</f>
        <v>O</v>
      </c>
      <c r="V2468" s="71"/>
      <c r="W2468" s="474">
        <f>(G2468-T2468)</f>
        <v>260000</v>
      </c>
      <c r="X2468" s="71"/>
      <c r="Y2468" s="71"/>
    </row>
    <row r="2469" spans="1:25" ht="30" customHeight="1" x14ac:dyDescent="0.25">
      <c r="A2469" s="82">
        <v>191016</v>
      </c>
      <c r="B2469" s="664" t="s">
        <v>422</v>
      </c>
      <c r="C2469" s="71" t="s">
        <v>129</v>
      </c>
      <c r="D2469" s="71">
        <v>7</v>
      </c>
      <c r="E2469" s="102">
        <v>272000</v>
      </c>
      <c r="F2469" s="102">
        <f t="shared" si="1335"/>
        <v>2094400.0000000002</v>
      </c>
      <c r="G2469" s="102">
        <f t="shared" si="1336"/>
        <v>1904000</v>
      </c>
      <c r="H2469" s="690" t="s">
        <v>173</v>
      </c>
      <c r="I2469" s="71" t="s">
        <v>108</v>
      </c>
      <c r="J2469" s="53">
        <f>(G2469-(VLOOKUP(C2469,Price!B:D,3,FALSE)*D2469))</f>
        <v>448000</v>
      </c>
      <c r="K2469" s="63">
        <f t="shared" si="1337"/>
        <v>0.23529411764705879</v>
      </c>
      <c r="L2469" s="871" t="s">
        <v>2089</v>
      </c>
      <c r="M2469" s="468" t="s">
        <v>2050</v>
      </c>
      <c r="N2469" s="664">
        <f>A2469</f>
        <v>191016</v>
      </c>
      <c r="O2469" s="71" t="s">
        <v>149</v>
      </c>
      <c r="P2469" s="103" t="str">
        <f t="shared" ref="P2469:Q2472" si="1338">C2469</f>
        <v>세정포-XL106</v>
      </c>
      <c r="Q2469" s="71">
        <f t="shared" si="1338"/>
        <v>7</v>
      </c>
      <c r="R2469" s="102">
        <v>208000</v>
      </c>
      <c r="S2469" s="102">
        <f t="shared" si="1331"/>
        <v>1601600.0000000002</v>
      </c>
      <c r="T2469" s="102">
        <f t="shared" si="1332"/>
        <v>1456000</v>
      </c>
      <c r="U2469" s="71" t="str">
        <f>IF(J2469=W2469,"O", "X")</f>
        <v>O</v>
      </c>
      <c r="V2469" s="71"/>
      <c r="W2469" s="474">
        <f>(G2469-T2469)</f>
        <v>448000</v>
      </c>
      <c r="X2469" s="71"/>
      <c r="Y2469" s="71"/>
    </row>
    <row r="2470" spans="1:25" ht="30" customHeight="1" x14ac:dyDescent="0.25">
      <c r="A2470" s="82">
        <v>191016</v>
      </c>
      <c r="B2470" s="664" t="s">
        <v>422</v>
      </c>
      <c r="C2470" s="71" t="s">
        <v>584</v>
      </c>
      <c r="D2470" s="71">
        <v>3</v>
      </c>
      <c r="E2470" s="102">
        <v>270000</v>
      </c>
      <c r="F2470" s="102">
        <f t="shared" si="1335"/>
        <v>891000.00000000012</v>
      </c>
      <c r="G2470" s="102">
        <f t="shared" si="1336"/>
        <v>810000</v>
      </c>
      <c r="H2470" s="690" t="s">
        <v>173</v>
      </c>
      <c r="I2470" s="71" t="s">
        <v>2231</v>
      </c>
      <c r="J2470" s="53">
        <f>(G2470-(VLOOKUP(C2470,Price!B:D,3,FALSE)*D2470))</f>
        <v>162000</v>
      </c>
      <c r="K2470" s="63">
        <f t="shared" si="1337"/>
        <v>0.19999999999999998</v>
      </c>
      <c r="L2470" s="871" t="s">
        <v>2089</v>
      </c>
      <c r="M2470" s="468"/>
      <c r="N2470" s="664">
        <f>A2470</f>
        <v>191016</v>
      </c>
      <c r="O2470" s="71" t="s">
        <v>150</v>
      </c>
      <c r="P2470" s="103" t="str">
        <f t="shared" si="1338"/>
        <v>데리바리 석션벨트</v>
      </c>
      <c r="Q2470" s="71">
        <f t="shared" si="1338"/>
        <v>3</v>
      </c>
      <c r="R2470" s="102">
        <v>216000</v>
      </c>
      <c r="S2470" s="102">
        <f t="shared" si="1331"/>
        <v>712800</v>
      </c>
      <c r="T2470" s="102">
        <f t="shared" si="1332"/>
        <v>648000</v>
      </c>
      <c r="U2470" s="71" t="str">
        <f>IF(J2470=W2470,"O", "X")</f>
        <v>O</v>
      </c>
      <c r="V2470" s="71"/>
      <c r="W2470" s="474">
        <f>(G2470-T2470)</f>
        <v>162000</v>
      </c>
      <c r="X2470" s="71"/>
      <c r="Y2470" s="71"/>
    </row>
    <row r="2471" spans="1:25" ht="30" hidden="1" customHeight="1" x14ac:dyDescent="0.25">
      <c r="A2471" s="82">
        <v>191017</v>
      </c>
      <c r="B2471" s="664" t="s">
        <v>1286</v>
      </c>
      <c r="C2471" s="71" t="s">
        <v>2104</v>
      </c>
      <c r="D2471" s="71">
        <v>1</v>
      </c>
      <c r="E2471" s="102">
        <v>540000</v>
      </c>
      <c r="F2471" s="102">
        <f t="shared" si="1335"/>
        <v>594000</v>
      </c>
      <c r="G2471" s="102">
        <f t="shared" si="1336"/>
        <v>540000</v>
      </c>
      <c r="H2471" s="690" t="s">
        <v>173</v>
      </c>
      <c r="I2471" s="71" t="s">
        <v>2231</v>
      </c>
      <c r="J2471" s="53">
        <f>G2471-T2471</f>
        <v>328000</v>
      </c>
      <c r="K2471" s="63">
        <f t="shared" si="1337"/>
        <v>0.6074074074074074</v>
      </c>
      <c r="L2471" s="871" t="s">
        <v>2089</v>
      </c>
      <c r="M2471" s="468"/>
      <c r="N2471" s="664">
        <f>A2471</f>
        <v>191017</v>
      </c>
      <c r="O2471" s="71" t="s">
        <v>1431</v>
      </c>
      <c r="P2471" s="103" t="str">
        <f t="shared" si="1338"/>
        <v>윤전용 아스테이지</v>
      </c>
      <c r="Q2471" s="71">
        <f t="shared" si="1338"/>
        <v>1</v>
      </c>
      <c r="R2471" s="102">
        <v>212000</v>
      </c>
      <c r="S2471" s="102">
        <f t="shared" si="1331"/>
        <v>233200.00000000003</v>
      </c>
      <c r="T2471" s="102">
        <f t="shared" si="1332"/>
        <v>212000</v>
      </c>
      <c r="U2471" s="71" t="str">
        <f>IF(J2471=W2471,"O", "X")</f>
        <v>X</v>
      </c>
      <c r="V2471" s="71"/>
      <c r="W2471" s="474"/>
      <c r="X2471" s="71"/>
      <c r="Y2471" s="71"/>
    </row>
    <row r="2472" spans="1:25" ht="30" hidden="1" customHeight="1" x14ac:dyDescent="0.25">
      <c r="A2472" s="82">
        <v>191018</v>
      </c>
      <c r="B2472" s="664" t="s">
        <v>446</v>
      </c>
      <c r="C2472" s="71" t="s">
        <v>2028</v>
      </c>
      <c r="D2472" s="71">
        <v>8</v>
      </c>
      <c r="E2472" s="102">
        <v>110000</v>
      </c>
      <c r="F2472" s="102">
        <f>(E2472*D2472)*1.1</f>
        <v>968000.00000000012</v>
      </c>
      <c r="G2472" s="102">
        <f>(E2472*D2472)</f>
        <v>880000</v>
      </c>
      <c r="H2472" s="690" t="s">
        <v>2029</v>
      </c>
      <c r="I2472" s="71" t="s">
        <v>2231</v>
      </c>
      <c r="J2472" s="53">
        <f>G2472-T2472</f>
        <v>152000</v>
      </c>
      <c r="K2472" s="63">
        <f>(J2472/(F2472/11*10))</f>
        <v>0.1727272727272727</v>
      </c>
      <c r="L2472" s="871" t="s">
        <v>2089</v>
      </c>
      <c r="M2472" s="468"/>
      <c r="N2472" s="664">
        <f>A2472</f>
        <v>191018</v>
      </c>
      <c r="O2472" s="71" t="s">
        <v>2030</v>
      </c>
      <c r="P2472" s="103" t="str">
        <f t="shared" si="1338"/>
        <v>실리콘 에멀전</v>
      </c>
      <c r="Q2472" s="71">
        <f t="shared" si="1338"/>
        <v>8</v>
      </c>
      <c r="R2472" s="102">
        <v>91000</v>
      </c>
      <c r="S2472" s="102">
        <f t="shared" si="1331"/>
        <v>800800.00000000012</v>
      </c>
      <c r="T2472" s="102">
        <f t="shared" si="1332"/>
        <v>728000</v>
      </c>
      <c r="U2472" s="71" t="str">
        <f>IF(J2472=W2472,"O", "X")</f>
        <v>O</v>
      </c>
      <c r="V2472" s="71"/>
      <c r="W2472" s="474">
        <f>(G2472-T2472)</f>
        <v>152000</v>
      </c>
      <c r="X2472" s="71"/>
      <c r="Y2472" s="71"/>
    </row>
    <row r="2473" spans="1:25" ht="30" hidden="1" customHeight="1" x14ac:dyDescent="0.2">
      <c r="A2473" s="82">
        <v>191018</v>
      </c>
      <c r="B2473" s="664" t="s">
        <v>690</v>
      </c>
      <c r="C2473" s="71" t="s">
        <v>1186</v>
      </c>
      <c r="D2473" s="71">
        <v>500</v>
      </c>
      <c r="E2473" s="102">
        <v>3600</v>
      </c>
      <c r="F2473" s="163">
        <f>(E2473*D2473)*1.1</f>
        <v>1980000.0000000002</v>
      </c>
      <c r="G2473" s="102">
        <v>1800000</v>
      </c>
      <c r="H2473" s="690" t="s">
        <v>173</v>
      </c>
      <c r="I2473" s="71" t="s">
        <v>2230</v>
      </c>
      <c r="J2473" s="53">
        <f>G2473-T2473</f>
        <v>-200000</v>
      </c>
      <c r="K2473" s="63">
        <f>(J2473/(F2473/11*10))</f>
        <v>-0.11111111111111109</v>
      </c>
      <c r="L2473" s="871" t="s">
        <v>2089</v>
      </c>
      <c r="M2473" s="468" t="s">
        <v>1393</v>
      </c>
      <c r="N2473" s="664">
        <v>190718</v>
      </c>
      <c r="O2473" s="71" t="s">
        <v>145</v>
      </c>
      <c r="P2473" s="103" t="s">
        <v>2023</v>
      </c>
      <c r="Q2473" s="71">
        <f t="shared" ref="Q2473:Q2479" si="1339">D2473</f>
        <v>500</v>
      </c>
      <c r="R2473" s="102">
        <v>4000</v>
      </c>
      <c r="S2473" s="102">
        <f t="shared" si="1331"/>
        <v>2200000</v>
      </c>
      <c r="T2473" s="102">
        <f t="shared" si="1332"/>
        <v>2000000</v>
      </c>
      <c r="U2473" s="71" t="s">
        <v>859</v>
      </c>
      <c r="V2473" s="71"/>
      <c r="W2473" s="474">
        <v>-200000</v>
      </c>
      <c r="X2473" s="71"/>
      <c r="Y2473" s="71"/>
    </row>
    <row r="2474" spans="1:25" ht="30" hidden="1" customHeight="1" x14ac:dyDescent="0.2">
      <c r="A2474" s="82">
        <v>191018</v>
      </c>
      <c r="B2474" s="664" t="s">
        <v>690</v>
      </c>
      <c r="C2474" s="67" t="s">
        <v>197</v>
      </c>
      <c r="D2474" s="71">
        <v>1</v>
      </c>
      <c r="E2474" s="102">
        <v>49000</v>
      </c>
      <c r="F2474" s="163">
        <f>(E2474*D2474)*1.1</f>
        <v>53900.000000000007</v>
      </c>
      <c r="G2474" s="163">
        <f>(E2474*D2474)</f>
        <v>49000</v>
      </c>
      <c r="H2474" s="690" t="s">
        <v>173</v>
      </c>
      <c r="I2474" s="71" t="s">
        <v>2230</v>
      </c>
      <c r="J2474" s="53">
        <f>G2474-T2474</f>
        <v>14000</v>
      </c>
      <c r="K2474" s="63">
        <f>(J2474/(F2474/11*10))</f>
        <v>0.2857142857142857</v>
      </c>
      <c r="L2474" s="871" t="s">
        <v>2089</v>
      </c>
      <c r="M2474" s="468" t="s">
        <v>1394</v>
      </c>
      <c r="N2474" s="664">
        <v>190718</v>
      </c>
      <c r="O2474" s="71" t="s">
        <v>145</v>
      </c>
      <c r="P2474" s="103" t="s">
        <v>2022</v>
      </c>
      <c r="Q2474" s="71">
        <f t="shared" si="1339"/>
        <v>1</v>
      </c>
      <c r="R2474" s="102">
        <v>35000</v>
      </c>
      <c r="S2474" s="102">
        <f t="shared" si="1331"/>
        <v>38500</v>
      </c>
      <c r="T2474" s="102">
        <f t="shared" si="1332"/>
        <v>35000</v>
      </c>
      <c r="U2474" s="71" t="str">
        <f>IF(J2474=W2474,"O", "X")</f>
        <v>X</v>
      </c>
      <c r="V2474" s="71"/>
      <c r="W2474" s="474"/>
      <c r="X2474" s="71"/>
      <c r="Y2474" s="71"/>
    </row>
    <row r="2475" spans="1:25" ht="30" hidden="1" customHeight="1" x14ac:dyDescent="0.25">
      <c r="A2475" s="82">
        <v>191018</v>
      </c>
      <c r="B2475" s="664" t="s">
        <v>690</v>
      </c>
      <c r="C2475" s="71" t="s">
        <v>750</v>
      </c>
      <c r="D2475" s="71">
        <v>4</v>
      </c>
      <c r="E2475" s="102">
        <v>49000</v>
      </c>
      <c r="F2475" s="102">
        <f>(E2475*D2475)*1.1</f>
        <v>215600.00000000003</v>
      </c>
      <c r="G2475" s="102">
        <f>(E2475*D2475)</f>
        <v>196000</v>
      </c>
      <c r="H2475" s="690" t="s">
        <v>173</v>
      </c>
      <c r="I2475" s="71" t="s">
        <v>2230</v>
      </c>
      <c r="J2475" s="53">
        <f>(G2475-(VLOOKUP(C2475,Price!B:D,3,FALSE)*D2475))</f>
        <v>56000</v>
      </c>
      <c r="K2475" s="63">
        <f>(J2475/(F2475/11*10))</f>
        <v>0.2857142857142857</v>
      </c>
      <c r="L2475" s="871" t="s">
        <v>2089</v>
      </c>
      <c r="M2475" s="468" t="s">
        <v>1394</v>
      </c>
      <c r="N2475" s="664">
        <f>A2475</f>
        <v>191018</v>
      </c>
      <c r="O2475" s="71" t="s">
        <v>145</v>
      </c>
      <c r="P2475" s="103" t="str">
        <f t="shared" ref="P2475:P2480" si="1340">C2475</f>
        <v>THD200(20L)</v>
      </c>
      <c r="Q2475" s="71">
        <f t="shared" si="1339"/>
        <v>4</v>
      </c>
      <c r="R2475" s="102">
        <v>35000</v>
      </c>
      <c r="S2475" s="102">
        <f t="shared" si="1331"/>
        <v>154000</v>
      </c>
      <c r="T2475" s="102">
        <f t="shared" si="1332"/>
        <v>140000</v>
      </c>
      <c r="U2475" s="71" t="str">
        <f>IF(J2475=W2475,"O", "X")</f>
        <v>O</v>
      </c>
      <c r="V2475" s="71"/>
      <c r="W2475" s="474">
        <f>(G2475-T2475)</f>
        <v>56000</v>
      </c>
      <c r="X2475" s="71"/>
      <c r="Y2475" s="71"/>
    </row>
    <row r="2476" spans="1:25" ht="30" hidden="1" customHeight="1" x14ac:dyDescent="0.25">
      <c r="A2476" s="82">
        <v>191018</v>
      </c>
      <c r="B2476" s="664" t="s">
        <v>819</v>
      </c>
      <c r="C2476" s="71" t="s">
        <v>123</v>
      </c>
      <c r="D2476" s="71">
        <v>30</v>
      </c>
      <c r="E2476" s="102">
        <v>40000</v>
      </c>
      <c r="F2476" s="102">
        <f>(E2476*D2476)*1.1</f>
        <v>1320000</v>
      </c>
      <c r="G2476" s="102">
        <f>(E2476*D2476)</f>
        <v>1200000</v>
      </c>
      <c r="H2476" s="1010" t="s">
        <v>39</v>
      </c>
      <c r="I2476" s="71" t="s">
        <v>1432</v>
      </c>
      <c r="J2476" s="53">
        <f>G2476-T2476</f>
        <v>526170</v>
      </c>
      <c r="K2476" s="63">
        <f>(J2476/(F2476/11*10))</f>
        <v>0.438475</v>
      </c>
      <c r="L2476" s="871" t="s">
        <v>2089</v>
      </c>
      <c r="M2476" s="468"/>
      <c r="N2476" s="664">
        <f>A2476</f>
        <v>191018</v>
      </c>
      <c r="O2476" s="991" t="s">
        <v>39</v>
      </c>
      <c r="P2476" s="103" t="str">
        <f t="shared" si="1340"/>
        <v>필터백</v>
      </c>
      <c r="Q2476" s="71">
        <f t="shared" si="1339"/>
        <v>30</v>
      </c>
      <c r="R2476" s="102">
        <f>VLOOKUP(P2476,Price!B:D,3,FALSE)</f>
        <v>22461</v>
      </c>
      <c r="S2476" s="102">
        <f t="shared" si="1331"/>
        <v>741213.00000000012</v>
      </c>
      <c r="T2476" s="102">
        <f t="shared" si="1332"/>
        <v>673830</v>
      </c>
      <c r="U2476" s="71" t="str">
        <f>IF(J2476=W2476,"O", "X")</f>
        <v>O</v>
      </c>
      <c r="V2476" s="71"/>
      <c r="W2476" s="474">
        <f>(G2476-T2476)</f>
        <v>526170</v>
      </c>
      <c r="X2476" s="71"/>
      <c r="Y2476" s="71"/>
    </row>
    <row r="2477" spans="1:25" ht="30" hidden="1" customHeight="1" x14ac:dyDescent="0.25">
      <c r="A2477" s="82">
        <v>191019</v>
      </c>
      <c r="B2477" s="664" t="s">
        <v>640</v>
      </c>
      <c r="C2477" s="71" t="s">
        <v>2102</v>
      </c>
      <c r="D2477" s="71">
        <v>1</v>
      </c>
      <c r="E2477" s="102">
        <v>4500000</v>
      </c>
      <c r="F2477" s="102">
        <f t="shared" si="1335"/>
        <v>4950000</v>
      </c>
      <c r="G2477" s="102">
        <f t="shared" si="1336"/>
        <v>4500000</v>
      </c>
      <c r="H2477" s="690" t="s">
        <v>985</v>
      </c>
      <c r="I2477" s="71" t="s">
        <v>985</v>
      </c>
      <c r="J2477" s="53">
        <f>G2477-T2477</f>
        <v>2250000</v>
      </c>
      <c r="K2477" s="63">
        <f t="shared" si="1337"/>
        <v>0.5</v>
      </c>
      <c r="L2477" s="871" t="s">
        <v>2089</v>
      </c>
      <c r="M2477" s="468"/>
      <c r="N2477" s="664">
        <f>A2477</f>
        <v>191019</v>
      </c>
      <c r="O2477" s="71" t="s">
        <v>2030</v>
      </c>
      <c r="P2477" s="103" t="str">
        <f t="shared" si="1340"/>
        <v>판걸이 튜브 교체 서비스</v>
      </c>
      <c r="Q2477" s="71">
        <f t="shared" si="1339"/>
        <v>1</v>
      </c>
      <c r="R2477" s="102">
        <v>2250000</v>
      </c>
      <c r="S2477" s="102">
        <f t="shared" si="1331"/>
        <v>2475000</v>
      </c>
      <c r="T2477" s="102">
        <f t="shared" si="1332"/>
        <v>2250000</v>
      </c>
      <c r="U2477" s="71"/>
      <c r="V2477" s="71"/>
      <c r="W2477" s="474"/>
      <c r="X2477" s="71"/>
      <c r="Y2477" s="71"/>
    </row>
    <row r="2478" spans="1:25" ht="30" hidden="1" customHeight="1" x14ac:dyDescent="0.2">
      <c r="A2478" s="82">
        <v>191021</v>
      </c>
      <c r="B2478" s="664" t="s">
        <v>575</v>
      </c>
      <c r="C2478" s="71" t="s">
        <v>1388</v>
      </c>
      <c r="D2478" s="71">
        <v>3</v>
      </c>
      <c r="E2478" s="102">
        <v>185000</v>
      </c>
      <c r="F2478" s="163">
        <f t="shared" si="1335"/>
        <v>610500</v>
      </c>
      <c r="G2478" s="102">
        <f t="shared" si="1336"/>
        <v>555000</v>
      </c>
      <c r="H2478" s="690" t="s">
        <v>2029</v>
      </c>
      <c r="I2478" s="71" t="s">
        <v>108</v>
      </c>
      <c r="J2478" s="53">
        <f>G2478-T2478</f>
        <v>32091</v>
      </c>
      <c r="K2478" s="63">
        <f t="shared" si="1337"/>
        <v>5.7821621621621619E-2</v>
      </c>
      <c r="L2478" s="871" t="s">
        <v>2080</v>
      </c>
      <c r="M2478" s="468"/>
      <c r="N2478" s="664">
        <f t="shared" si="1334"/>
        <v>191021</v>
      </c>
      <c r="O2478" s="71" t="s">
        <v>1443</v>
      </c>
      <c r="P2478" s="103" t="str">
        <f t="shared" si="1340"/>
        <v>Flint 무알콜 윤전약물(Superaster)</v>
      </c>
      <c r="Q2478" s="71">
        <f t="shared" si="1339"/>
        <v>3</v>
      </c>
      <c r="R2478" s="102">
        <f>120303+54000</f>
        <v>174303</v>
      </c>
      <c r="S2478" s="102">
        <f>(R2478*D2478)*1.1+117230*1.1</f>
        <v>704152.9</v>
      </c>
      <c r="T2478" s="102">
        <f>(R2478*Q2478)</f>
        <v>522909</v>
      </c>
      <c r="U2478" s="71" t="str">
        <f>IF(J2478=W2478,"O", "X")</f>
        <v>O</v>
      </c>
      <c r="V2478" s="71"/>
      <c r="W2478" s="474">
        <f>(G2478-T2478)</f>
        <v>32091</v>
      </c>
      <c r="X2478" s="71"/>
      <c r="Y2478" s="71"/>
    </row>
    <row r="2479" spans="1:25" ht="30" hidden="1" customHeight="1" x14ac:dyDescent="0.25">
      <c r="A2479" s="82">
        <v>191022</v>
      </c>
      <c r="B2479" s="664" t="s">
        <v>446</v>
      </c>
      <c r="C2479" s="71" t="s">
        <v>2028</v>
      </c>
      <c r="D2479" s="71">
        <v>6</v>
      </c>
      <c r="E2479" s="102">
        <v>110000</v>
      </c>
      <c r="F2479" s="102">
        <f t="shared" si="1335"/>
        <v>726000.00000000012</v>
      </c>
      <c r="G2479" s="102">
        <f t="shared" si="1336"/>
        <v>660000</v>
      </c>
      <c r="H2479" s="690" t="s">
        <v>2029</v>
      </c>
      <c r="I2479" s="71" t="s">
        <v>2231</v>
      </c>
      <c r="J2479" s="53">
        <f>G2479-T2479</f>
        <v>114000</v>
      </c>
      <c r="K2479" s="63">
        <f t="shared" si="1337"/>
        <v>0.1727272727272727</v>
      </c>
      <c r="L2479" s="871" t="s">
        <v>2089</v>
      </c>
      <c r="M2479" s="468"/>
      <c r="N2479" s="664">
        <f t="shared" si="1334"/>
        <v>191022</v>
      </c>
      <c r="O2479" s="71" t="s">
        <v>2030</v>
      </c>
      <c r="P2479" s="103" t="str">
        <f t="shared" si="1340"/>
        <v>실리콘 에멀전</v>
      </c>
      <c r="Q2479" s="71">
        <f t="shared" si="1339"/>
        <v>6</v>
      </c>
      <c r="R2479" s="102">
        <v>91000</v>
      </c>
      <c r="S2479" s="102">
        <f>R2479*Q2479*1.1</f>
        <v>600600</v>
      </c>
      <c r="T2479" s="102">
        <f>R2479*Q2479</f>
        <v>546000</v>
      </c>
      <c r="U2479" s="71" t="str">
        <f>IF(J2479=W2479,"O", "X")</f>
        <v>O</v>
      </c>
      <c r="V2479" s="71"/>
      <c r="W2479" s="474">
        <f>(G2479-T2479)</f>
        <v>114000</v>
      </c>
      <c r="X2479" s="71"/>
      <c r="Y2479" s="71"/>
    </row>
    <row r="2480" spans="1:25" ht="30" hidden="1" customHeight="1" x14ac:dyDescent="0.25">
      <c r="A2480" s="82">
        <v>191022</v>
      </c>
      <c r="B2480" s="664" t="s">
        <v>1178</v>
      </c>
      <c r="C2480" s="71" t="s">
        <v>2116</v>
      </c>
      <c r="D2480" s="71">
        <v>20</v>
      </c>
      <c r="E2480" s="102">
        <v>18000</v>
      </c>
      <c r="F2480" s="102">
        <f>(E2480*D2480)*1.1</f>
        <v>396000.00000000006</v>
      </c>
      <c r="G2480" s="102">
        <f>(E2480*D2480)</f>
        <v>360000</v>
      </c>
      <c r="H2480" s="690" t="s">
        <v>1431</v>
      </c>
      <c r="I2480" s="71" t="s">
        <v>1431</v>
      </c>
      <c r="J2480" s="53">
        <f>G2480-T2480</f>
        <v>60000</v>
      </c>
      <c r="K2480" s="63">
        <f>(J2480/(F2480/11*10))</f>
        <v>0.16666666666666663</v>
      </c>
      <c r="L2480" s="871" t="s">
        <v>2089</v>
      </c>
      <c r="M2480" s="468"/>
      <c r="N2480" s="664">
        <f>A2480</f>
        <v>191022</v>
      </c>
      <c r="O2480" s="71" t="s">
        <v>1130</v>
      </c>
      <c r="P2480" s="103" t="str">
        <f t="shared" si="1340"/>
        <v>베어링</v>
      </c>
      <c r="Q2480" s="71">
        <v>20</v>
      </c>
      <c r="R2480" s="102">
        <v>15000</v>
      </c>
      <c r="S2480" s="102">
        <f>R2480*Q2480*1.1</f>
        <v>330000</v>
      </c>
      <c r="T2480" s="102">
        <f>R2480*Q2480</f>
        <v>300000</v>
      </c>
      <c r="U2480" s="71"/>
      <c r="V2480" s="71"/>
      <c r="W2480" s="474"/>
      <c r="X2480" s="71"/>
      <c r="Y2480" s="71"/>
    </row>
    <row r="2481" spans="1:25" s="209" customFormat="1" ht="30" hidden="1" customHeight="1" x14ac:dyDescent="0.25">
      <c r="A2481" s="82">
        <v>191024</v>
      </c>
      <c r="B2481" s="664" t="s">
        <v>1286</v>
      </c>
      <c r="C2481" s="71" t="s">
        <v>277</v>
      </c>
      <c r="D2481" s="71">
        <v>6</v>
      </c>
      <c r="E2481" s="102">
        <v>172000</v>
      </c>
      <c r="F2481" s="102">
        <f t="shared" si="1335"/>
        <v>1135200</v>
      </c>
      <c r="G2481" s="102">
        <f t="shared" si="1336"/>
        <v>1032000</v>
      </c>
      <c r="H2481" s="690" t="s">
        <v>173</v>
      </c>
      <c r="I2481" s="71" t="s">
        <v>108</v>
      </c>
      <c r="J2481" s="53">
        <f>(G2481-(VLOOKUP(C2481,Price!B:D,3,FALSE)*D2481))</f>
        <v>342000</v>
      </c>
      <c r="K2481" s="63">
        <f t="shared" si="1337"/>
        <v>0.33139534883720928</v>
      </c>
      <c r="L2481" s="871" t="s">
        <v>2089</v>
      </c>
      <c r="M2481" s="468"/>
      <c r="N2481" s="664">
        <f t="shared" si="1334"/>
        <v>191024</v>
      </c>
      <c r="O2481" s="71" t="s">
        <v>150</v>
      </c>
      <c r="P2481" s="103" t="str">
        <f>(C2481)</f>
        <v>윤전용 세척제(Web 504)</v>
      </c>
      <c r="Q2481" s="71">
        <f t="shared" ref="Q2481:Q2487" si="1341">D2481</f>
        <v>6</v>
      </c>
      <c r="R2481" s="102">
        <v>115000</v>
      </c>
      <c r="S2481" s="102">
        <f>(R2481*D2481)*1.1</f>
        <v>759000.00000000012</v>
      </c>
      <c r="T2481" s="102">
        <f>(R2481*Q2481)</f>
        <v>690000</v>
      </c>
      <c r="U2481" s="71" t="str">
        <f>IF(J2481=W2481,"O", "X")</f>
        <v>O</v>
      </c>
      <c r="V2481" s="71"/>
      <c r="W2481" s="474">
        <f>(G2481-T2481)</f>
        <v>342000</v>
      </c>
      <c r="X2481" s="71"/>
      <c r="Y2481" s="71"/>
    </row>
    <row r="2482" spans="1:25" s="209" customFormat="1" ht="30" hidden="1" customHeight="1" x14ac:dyDescent="0.2">
      <c r="A2482" s="82">
        <v>191024</v>
      </c>
      <c r="B2482" s="664" t="s">
        <v>445</v>
      </c>
      <c r="C2482" s="71" t="s">
        <v>138</v>
      </c>
      <c r="D2482" s="71">
        <v>10</v>
      </c>
      <c r="E2482" s="102">
        <v>59500</v>
      </c>
      <c r="F2482" s="102">
        <f t="shared" si="1335"/>
        <v>654500</v>
      </c>
      <c r="G2482" s="102">
        <f t="shared" si="1336"/>
        <v>595000</v>
      </c>
      <c r="H2482" s="165" t="s">
        <v>172</v>
      </c>
      <c r="I2482" s="71" t="s">
        <v>108</v>
      </c>
      <c r="J2482" s="53">
        <f>G2482-T2482</f>
        <v>85000</v>
      </c>
      <c r="K2482" s="63">
        <v>0.14285714285714285</v>
      </c>
      <c r="L2482" s="871" t="s">
        <v>2089</v>
      </c>
      <c r="M2482" s="468"/>
      <c r="N2482" s="664">
        <f t="shared" si="1334"/>
        <v>191024</v>
      </c>
      <c r="O2482" s="71" t="s">
        <v>150</v>
      </c>
      <c r="P2482" s="103" t="s">
        <v>1914</v>
      </c>
      <c r="Q2482" s="71">
        <f t="shared" si="1341"/>
        <v>10</v>
      </c>
      <c r="R2482" s="102">
        <v>51000</v>
      </c>
      <c r="S2482" s="102">
        <f>R2482*Q2482*1.1</f>
        <v>561000</v>
      </c>
      <c r="T2482" s="102">
        <f>R2482*Q2482</f>
        <v>510000</v>
      </c>
      <c r="U2482" s="71" t="s">
        <v>859</v>
      </c>
      <c r="V2482" s="71"/>
      <c r="W2482" s="474">
        <v>85000</v>
      </c>
      <c r="X2482" s="71"/>
      <c r="Y2482" s="71"/>
    </row>
    <row r="2483" spans="1:25" s="209" customFormat="1" ht="30" hidden="1" customHeight="1" x14ac:dyDescent="0.2">
      <c r="A2483" s="82">
        <v>191024</v>
      </c>
      <c r="B2483" s="664" t="s">
        <v>2118</v>
      </c>
      <c r="C2483" s="71" t="s">
        <v>123</v>
      </c>
      <c r="D2483" s="71">
        <v>5</v>
      </c>
      <c r="E2483" s="102">
        <v>35000</v>
      </c>
      <c r="F2483" s="102">
        <f t="shared" si="1335"/>
        <v>192500.00000000003</v>
      </c>
      <c r="G2483" s="102">
        <f t="shared" si="1336"/>
        <v>175000</v>
      </c>
      <c r="H2483" s="165" t="s">
        <v>1432</v>
      </c>
      <c r="I2483" s="71" t="s">
        <v>1432</v>
      </c>
      <c r="J2483" s="53">
        <f>G2483-T2483</f>
        <v>175000</v>
      </c>
      <c r="K2483" s="63">
        <v>0.14285714285714285</v>
      </c>
      <c r="L2483" s="871" t="s">
        <v>2089</v>
      </c>
      <c r="M2483" s="468"/>
      <c r="N2483" s="664">
        <f t="shared" si="1334"/>
        <v>191024</v>
      </c>
      <c r="O2483" s="991" t="s">
        <v>39</v>
      </c>
      <c r="P2483" s="103" t="str">
        <f>C2483</f>
        <v>필터백</v>
      </c>
      <c r="Q2483" s="71">
        <f t="shared" si="1341"/>
        <v>5</v>
      </c>
      <c r="R2483" s="102">
        <f>VLOOKUP(P2483,Price!B:D,3,FALSE)</f>
        <v>22461</v>
      </c>
      <c r="S2483" s="102">
        <f>R2483*Q2483*1.1</f>
        <v>123535.50000000001</v>
      </c>
      <c r="T2483" s="102"/>
      <c r="U2483" s="71"/>
      <c r="V2483" s="71"/>
      <c r="W2483" s="474"/>
      <c r="X2483" s="71"/>
      <c r="Y2483" s="71"/>
    </row>
    <row r="2484" spans="1:25" s="209" customFormat="1" ht="30" customHeight="1" x14ac:dyDescent="0.2">
      <c r="A2484" s="82">
        <v>191025</v>
      </c>
      <c r="B2484" s="664" t="s">
        <v>422</v>
      </c>
      <c r="C2484" s="71" t="s">
        <v>215</v>
      </c>
      <c r="D2484" s="71">
        <v>10</v>
      </c>
      <c r="E2484" s="102">
        <v>68000</v>
      </c>
      <c r="F2484" s="102">
        <f t="shared" si="1335"/>
        <v>748000.00000000012</v>
      </c>
      <c r="G2484" s="102">
        <f t="shared" si="1336"/>
        <v>680000</v>
      </c>
      <c r="H2484" s="165" t="s">
        <v>172</v>
      </c>
      <c r="I2484" s="71" t="s">
        <v>184</v>
      </c>
      <c r="J2484" s="53">
        <f>(G2484-(VLOOKUP(C2484,[5]Price!B$1:D$65536,3,FALSE)*D2484))</f>
        <v>170000</v>
      </c>
      <c r="K2484" s="63">
        <f>(J2484/(F2484/11*10))</f>
        <v>0.24999999999999994</v>
      </c>
      <c r="L2484" s="871" t="s">
        <v>2089</v>
      </c>
      <c r="M2484" s="468" t="s">
        <v>2050</v>
      </c>
      <c r="N2484" s="664">
        <f t="shared" si="1334"/>
        <v>191025</v>
      </c>
      <c r="O2484" s="71" t="s">
        <v>2030</v>
      </c>
      <c r="P2484" s="103" t="str">
        <f>C2484</f>
        <v>매엽용 세척제(Wash 562)</v>
      </c>
      <c r="Q2484" s="71">
        <f t="shared" si="1341"/>
        <v>10</v>
      </c>
      <c r="R2484" s="102">
        <v>51000</v>
      </c>
      <c r="S2484" s="102">
        <f>(R2484*D2484)*1.1</f>
        <v>561000</v>
      </c>
      <c r="T2484" s="102">
        <f>(R2484*Q2484)</f>
        <v>510000</v>
      </c>
      <c r="U2484" s="71" t="str">
        <f>IF(J2484=W2484,"O", "X")</f>
        <v>O</v>
      </c>
      <c r="V2484" s="71"/>
      <c r="W2484" s="474">
        <f>(G2484-T2484)</f>
        <v>170000</v>
      </c>
      <c r="X2484" s="71"/>
      <c r="Y2484" s="71"/>
    </row>
    <row r="2485" spans="1:25" s="209" customFormat="1" ht="30" customHeight="1" x14ac:dyDescent="0.2">
      <c r="A2485" s="82">
        <v>191025</v>
      </c>
      <c r="B2485" s="664" t="s">
        <v>422</v>
      </c>
      <c r="C2485" s="71" t="s">
        <v>130</v>
      </c>
      <c r="D2485" s="71">
        <v>10</v>
      </c>
      <c r="E2485" s="102">
        <v>125000</v>
      </c>
      <c r="F2485" s="163">
        <f t="shared" ref="F2485:F2511" si="1342">(E2485*D2485)*1.1</f>
        <v>1375000</v>
      </c>
      <c r="G2485" s="102">
        <f t="shared" ref="G2485:G2511" si="1343">(E2485*D2485)</f>
        <v>1250000</v>
      </c>
      <c r="H2485" s="165" t="s">
        <v>172</v>
      </c>
      <c r="I2485" s="71" t="s">
        <v>109</v>
      </c>
      <c r="J2485" s="53">
        <f>(G2485-(VLOOKUP(C2485,Price!B:D,3,FALSE)*D2485))</f>
        <v>260000</v>
      </c>
      <c r="K2485" s="63">
        <f>(J2485/(F2485/11*10))</f>
        <v>0.20799999999999999</v>
      </c>
      <c r="L2485" s="871" t="s">
        <v>2089</v>
      </c>
      <c r="M2485" s="468" t="s">
        <v>2050</v>
      </c>
      <c r="N2485" s="664">
        <f>A2485</f>
        <v>191025</v>
      </c>
      <c r="O2485" s="71" t="s">
        <v>150</v>
      </c>
      <c r="P2485" s="103" t="str">
        <f>(C2485)</f>
        <v>XL106 Blanket(1077*885)</v>
      </c>
      <c r="Q2485" s="71">
        <f t="shared" si="1341"/>
        <v>10</v>
      </c>
      <c r="R2485" s="102">
        <v>99000</v>
      </c>
      <c r="S2485" s="102">
        <f>R2485*Q2485*1.1</f>
        <v>1089000</v>
      </c>
      <c r="T2485" s="102">
        <f>R2485*Q2485</f>
        <v>990000</v>
      </c>
      <c r="U2485" s="71" t="str">
        <f>IF(J2485=W2485,"O", "X")</f>
        <v>O</v>
      </c>
      <c r="V2485" s="71"/>
      <c r="W2485" s="474">
        <f>(G2485-T2485)</f>
        <v>260000</v>
      </c>
      <c r="X2485" s="71"/>
      <c r="Y2485" s="71"/>
    </row>
    <row r="2486" spans="1:25" ht="30" customHeight="1" x14ac:dyDescent="0.25">
      <c r="A2486" s="82">
        <v>191025</v>
      </c>
      <c r="B2486" s="664" t="s">
        <v>422</v>
      </c>
      <c r="C2486" s="71" t="s">
        <v>129</v>
      </c>
      <c r="D2486" s="71">
        <v>6</v>
      </c>
      <c r="E2486" s="102">
        <v>272000</v>
      </c>
      <c r="F2486" s="102">
        <f t="shared" si="1342"/>
        <v>1795200.0000000002</v>
      </c>
      <c r="G2486" s="102">
        <f t="shared" si="1343"/>
        <v>1632000</v>
      </c>
      <c r="H2486" s="690" t="s">
        <v>173</v>
      </c>
      <c r="I2486" s="71" t="s">
        <v>108</v>
      </c>
      <c r="J2486" s="53">
        <f>(G2486-(VLOOKUP(C2486,Price!B:D,3,FALSE)*D2486))</f>
        <v>384000</v>
      </c>
      <c r="K2486" s="63">
        <f>(J2486/(F2486/11*10))</f>
        <v>0.23529411764705879</v>
      </c>
      <c r="L2486" s="871" t="s">
        <v>2089</v>
      </c>
      <c r="M2486" s="468" t="s">
        <v>2050</v>
      </c>
      <c r="N2486" s="664">
        <f>A2486</f>
        <v>191025</v>
      </c>
      <c r="O2486" s="71" t="s">
        <v>149</v>
      </c>
      <c r="P2486" s="103" t="str">
        <f>C2486</f>
        <v>세정포-XL106</v>
      </c>
      <c r="Q2486" s="71">
        <f t="shared" si="1341"/>
        <v>6</v>
      </c>
      <c r="R2486" s="102">
        <v>208000</v>
      </c>
      <c r="S2486" s="102">
        <f>R2486*Q2486*1.1</f>
        <v>1372800</v>
      </c>
      <c r="T2486" s="102">
        <f>R2486*Q2486</f>
        <v>1248000</v>
      </c>
      <c r="U2486" s="71" t="str">
        <f>IF(J2486=W2486,"O", "X")</f>
        <v>O</v>
      </c>
      <c r="V2486" s="71"/>
      <c r="W2486" s="474">
        <f>(G2486-T2486)</f>
        <v>384000</v>
      </c>
      <c r="X2486" s="71"/>
      <c r="Y2486" s="71"/>
    </row>
    <row r="2487" spans="1:25" ht="30" customHeight="1" x14ac:dyDescent="0.25">
      <c r="A2487" s="82">
        <v>191025</v>
      </c>
      <c r="B2487" s="664" t="s">
        <v>422</v>
      </c>
      <c r="C2487" s="71" t="s">
        <v>2109</v>
      </c>
      <c r="D2487" s="71">
        <v>2</v>
      </c>
      <c r="E2487" s="102">
        <v>3950000</v>
      </c>
      <c r="F2487" s="102">
        <f t="shared" si="1342"/>
        <v>8690000</v>
      </c>
      <c r="G2487" s="102">
        <f t="shared" si="1343"/>
        <v>7900000</v>
      </c>
      <c r="H2487" s="690" t="s">
        <v>142</v>
      </c>
      <c r="I2487" s="71" t="s">
        <v>142</v>
      </c>
      <c r="J2487" s="53">
        <f t="shared" ref="J2487:J2495" si="1344">G2487-T2487</f>
        <v>3940000</v>
      </c>
      <c r="K2487" s="63">
        <f>(J2487/(F2487/11*10))</f>
        <v>0.49873417721518987</v>
      </c>
      <c r="L2487" s="871" t="s">
        <v>2089</v>
      </c>
      <c r="M2487" s="468"/>
      <c r="N2487" s="664">
        <f>A2487</f>
        <v>191025</v>
      </c>
      <c r="O2487" s="71" t="s">
        <v>1431</v>
      </c>
      <c r="P2487" s="103" t="str">
        <f>C2487</f>
        <v>CB DRIVE UNIT LH(Obsoluted Part)</v>
      </c>
      <c r="Q2487" s="71">
        <f t="shared" si="1341"/>
        <v>2</v>
      </c>
      <c r="R2487" s="102">
        <v>1980000</v>
      </c>
      <c r="S2487" s="102">
        <f>R2487*Q2487*1.1</f>
        <v>4356000</v>
      </c>
      <c r="T2487" s="102">
        <f>R2487*Q2487</f>
        <v>3960000</v>
      </c>
      <c r="U2487" s="71"/>
      <c r="V2487" s="71"/>
      <c r="W2487" s="474"/>
      <c r="X2487" s="71"/>
      <c r="Y2487" s="71"/>
    </row>
    <row r="2488" spans="1:25" ht="30" hidden="1" customHeight="1" x14ac:dyDescent="0.25">
      <c r="A2488" s="82">
        <v>191025</v>
      </c>
      <c r="B2488" s="664" t="s">
        <v>1051</v>
      </c>
      <c r="C2488" s="71" t="s">
        <v>1294</v>
      </c>
      <c r="D2488" s="71">
        <v>3500</v>
      </c>
      <c r="E2488" s="102">
        <v>6230</v>
      </c>
      <c r="F2488" s="102">
        <f t="shared" si="1342"/>
        <v>23985500.000000004</v>
      </c>
      <c r="G2488" s="102">
        <f t="shared" si="1343"/>
        <v>21805000</v>
      </c>
      <c r="H2488" s="690" t="s">
        <v>142</v>
      </c>
      <c r="I2488" s="71" t="s">
        <v>2273</v>
      </c>
      <c r="J2488" s="53">
        <f t="shared" si="1344"/>
        <v>7175000</v>
      </c>
      <c r="K2488" s="63">
        <f t="shared" ref="K2488:K2507" si="1345">(J2488/(F2488/11*10))</f>
        <v>0.32905296950240764</v>
      </c>
      <c r="L2488" s="871" t="s">
        <v>2089</v>
      </c>
      <c r="M2488" s="468"/>
      <c r="N2488" s="664">
        <f t="shared" ref="N2488:N2496" si="1346">A2488</f>
        <v>191025</v>
      </c>
      <c r="O2488" s="71" t="s">
        <v>145</v>
      </c>
      <c r="P2488" s="103" t="str">
        <f>(C2488)</f>
        <v>ENGAGE 1030*790</v>
      </c>
      <c r="Q2488" s="71">
        <f t="shared" ref="Q2488:Q2507" si="1347">D2488</f>
        <v>3500</v>
      </c>
      <c r="R2488" s="102">
        <v>4180</v>
      </c>
      <c r="S2488" s="102">
        <f>(R2488*D2488)*1.1</f>
        <v>16093000.000000002</v>
      </c>
      <c r="T2488" s="102">
        <f>(R2488*Q2488)</f>
        <v>14630000</v>
      </c>
      <c r="U2488" s="71" t="str">
        <f t="shared" ref="U2488:U2510" si="1348">IF(J2488=W2488,"O", "X")</f>
        <v>O</v>
      </c>
      <c r="V2488" s="71"/>
      <c r="W2488" s="474">
        <f t="shared" ref="W2488:W2510" si="1349">(G2488-T2488)</f>
        <v>7175000</v>
      </c>
      <c r="X2488" s="71"/>
      <c r="Y2488" s="71"/>
    </row>
    <row r="2489" spans="1:25" ht="30" hidden="1" customHeight="1" x14ac:dyDescent="0.25">
      <c r="A2489" s="82">
        <v>191025</v>
      </c>
      <c r="B2489" s="664" t="s">
        <v>1051</v>
      </c>
      <c r="C2489" s="71" t="s">
        <v>1384</v>
      </c>
      <c r="D2489" s="71">
        <v>3100</v>
      </c>
      <c r="E2489" s="102">
        <v>3920</v>
      </c>
      <c r="F2489" s="102">
        <f t="shared" si="1342"/>
        <v>13367200.000000002</v>
      </c>
      <c r="G2489" s="102">
        <f t="shared" si="1343"/>
        <v>12152000</v>
      </c>
      <c r="H2489" s="690" t="s">
        <v>142</v>
      </c>
      <c r="I2489" s="71" t="s">
        <v>2273</v>
      </c>
      <c r="J2489" s="53">
        <f t="shared" si="1344"/>
        <v>3968000</v>
      </c>
      <c r="K2489" s="63">
        <f t="shared" si="1345"/>
        <v>0.32653061224489793</v>
      </c>
      <c r="L2489" s="871" t="s">
        <v>2089</v>
      </c>
      <c r="M2489" s="468"/>
      <c r="N2489" s="664">
        <f t="shared" si="1346"/>
        <v>191025</v>
      </c>
      <c r="O2489" s="71" t="s">
        <v>145</v>
      </c>
      <c r="P2489" s="103" t="str">
        <f>C2489</f>
        <v>ENGAGE 900X571 - 27RO</v>
      </c>
      <c r="Q2489" s="71">
        <f t="shared" si="1347"/>
        <v>3100</v>
      </c>
      <c r="R2489" s="102">
        <v>2640</v>
      </c>
      <c r="S2489" s="102">
        <f>R2489*Q2489*1.1</f>
        <v>9002400</v>
      </c>
      <c r="T2489" s="102">
        <f>R2489*Q2489</f>
        <v>8184000</v>
      </c>
      <c r="U2489" s="71" t="str">
        <f t="shared" si="1348"/>
        <v>O</v>
      </c>
      <c r="V2489" s="71"/>
      <c r="W2489" s="474">
        <f t="shared" si="1349"/>
        <v>3968000</v>
      </c>
      <c r="X2489" s="71"/>
      <c r="Y2489" s="71"/>
    </row>
    <row r="2490" spans="1:25" ht="30" hidden="1" customHeight="1" x14ac:dyDescent="0.25">
      <c r="A2490" s="82">
        <v>191025</v>
      </c>
      <c r="B2490" s="664" t="s">
        <v>1051</v>
      </c>
      <c r="C2490" s="71" t="s">
        <v>951</v>
      </c>
      <c r="D2490" s="71">
        <v>500</v>
      </c>
      <c r="E2490" s="102">
        <v>3740</v>
      </c>
      <c r="F2490" s="102">
        <f t="shared" si="1342"/>
        <v>2057000.0000000002</v>
      </c>
      <c r="G2490" s="102">
        <f t="shared" si="1343"/>
        <v>1870000</v>
      </c>
      <c r="H2490" s="690" t="s">
        <v>142</v>
      </c>
      <c r="I2490" s="71" t="s">
        <v>2273</v>
      </c>
      <c r="J2490" s="53">
        <f t="shared" si="1344"/>
        <v>620000</v>
      </c>
      <c r="K2490" s="63">
        <f t="shared" si="1345"/>
        <v>0.33155080213903737</v>
      </c>
      <c r="L2490" s="871" t="s">
        <v>2089</v>
      </c>
      <c r="M2490" s="468"/>
      <c r="N2490" s="664">
        <f t="shared" si="1346"/>
        <v>191025</v>
      </c>
      <c r="O2490" s="71" t="s">
        <v>145</v>
      </c>
      <c r="P2490" s="103" t="str">
        <f>(C2490)</f>
        <v>ENGAGE 30WEB(883*552)</v>
      </c>
      <c r="Q2490" s="71">
        <f t="shared" si="1347"/>
        <v>500</v>
      </c>
      <c r="R2490" s="102">
        <v>2500</v>
      </c>
      <c r="S2490" s="102">
        <f>(R2490*D2490)*1.1</f>
        <v>1375000</v>
      </c>
      <c r="T2490" s="102">
        <f>(R2490*Q2490)</f>
        <v>1250000</v>
      </c>
      <c r="U2490" s="71" t="str">
        <f t="shared" si="1348"/>
        <v>O</v>
      </c>
      <c r="V2490" s="71"/>
      <c r="W2490" s="474">
        <f t="shared" si="1349"/>
        <v>620000</v>
      </c>
      <c r="X2490" s="71"/>
      <c r="Y2490" s="71"/>
    </row>
    <row r="2491" spans="1:25" ht="30" hidden="1" customHeight="1" x14ac:dyDescent="0.25">
      <c r="A2491" s="82">
        <v>191025</v>
      </c>
      <c r="B2491" s="664" t="s">
        <v>1051</v>
      </c>
      <c r="C2491" s="71" t="s">
        <v>1383</v>
      </c>
      <c r="D2491" s="71">
        <v>1400</v>
      </c>
      <c r="E2491" s="102">
        <v>6540</v>
      </c>
      <c r="F2491" s="102">
        <f t="shared" si="1342"/>
        <v>10071600</v>
      </c>
      <c r="G2491" s="102">
        <f t="shared" si="1343"/>
        <v>9156000</v>
      </c>
      <c r="H2491" s="690" t="s">
        <v>142</v>
      </c>
      <c r="I2491" s="71" t="s">
        <v>2273</v>
      </c>
      <c r="J2491" s="53">
        <f t="shared" si="1344"/>
        <v>2996000</v>
      </c>
      <c r="K2491" s="63">
        <f t="shared" si="1345"/>
        <v>0.327217125382263</v>
      </c>
      <c r="L2491" s="871" t="s">
        <v>2089</v>
      </c>
      <c r="M2491" s="468"/>
      <c r="N2491" s="664">
        <f t="shared" si="1346"/>
        <v>191025</v>
      </c>
      <c r="O2491" s="71" t="s">
        <v>145</v>
      </c>
      <c r="P2491" s="103" t="str">
        <f>C2491</f>
        <v>ENGAGE 1055*811</v>
      </c>
      <c r="Q2491" s="71">
        <f t="shared" si="1347"/>
        <v>1400</v>
      </c>
      <c r="R2491" s="102">
        <v>4400</v>
      </c>
      <c r="S2491" s="102">
        <f>R2491*Q2491*1.1</f>
        <v>6776000.0000000009</v>
      </c>
      <c r="T2491" s="102">
        <f>R2491*Q2491</f>
        <v>6160000</v>
      </c>
      <c r="U2491" s="71" t="str">
        <f t="shared" si="1348"/>
        <v>O</v>
      </c>
      <c r="V2491" s="71"/>
      <c r="W2491" s="474">
        <f t="shared" si="1349"/>
        <v>2996000</v>
      </c>
      <c r="X2491" s="71"/>
      <c r="Y2491" s="71"/>
    </row>
    <row r="2492" spans="1:25" ht="30" hidden="1" customHeight="1" x14ac:dyDescent="0.25">
      <c r="A2492" s="82">
        <v>191025</v>
      </c>
      <c r="B2492" s="664" t="s">
        <v>1051</v>
      </c>
      <c r="C2492" s="71" t="s">
        <v>1650</v>
      </c>
      <c r="D2492" s="71">
        <v>1000</v>
      </c>
      <c r="E2492" s="102">
        <v>4680</v>
      </c>
      <c r="F2492" s="102">
        <f t="shared" si="1342"/>
        <v>5148000</v>
      </c>
      <c r="G2492" s="102">
        <f t="shared" si="1343"/>
        <v>4680000</v>
      </c>
      <c r="H2492" s="690" t="s">
        <v>142</v>
      </c>
      <c r="I2492" s="71" t="s">
        <v>2273</v>
      </c>
      <c r="J2492" s="53">
        <f t="shared" si="1344"/>
        <v>1550000</v>
      </c>
      <c r="K2492" s="63">
        <f t="shared" si="1345"/>
        <v>0.33119658119658119</v>
      </c>
      <c r="L2492" s="871" t="s">
        <v>2089</v>
      </c>
      <c r="M2492" s="468"/>
      <c r="N2492" s="664">
        <f t="shared" si="1346"/>
        <v>191025</v>
      </c>
      <c r="O2492" s="71" t="s">
        <v>145</v>
      </c>
      <c r="P2492" s="103" t="str">
        <f>C2492</f>
        <v>ENGAGE 968*631</v>
      </c>
      <c r="Q2492" s="71">
        <f t="shared" si="1347"/>
        <v>1000</v>
      </c>
      <c r="R2492" s="102">
        <v>3130</v>
      </c>
      <c r="S2492" s="102">
        <f>R2492*Q2492*1.1</f>
        <v>3443000.0000000005</v>
      </c>
      <c r="T2492" s="102">
        <f>R2492*Q2492</f>
        <v>3130000</v>
      </c>
      <c r="U2492" s="71" t="str">
        <f t="shared" si="1348"/>
        <v>O</v>
      </c>
      <c r="V2492" s="71"/>
      <c r="W2492" s="474">
        <f t="shared" si="1349"/>
        <v>1550000</v>
      </c>
      <c r="X2492" s="71"/>
      <c r="Y2492" s="71"/>
    </row>
    <row r="2493" spans="1:25" ht="30" hidden="1" customHeight="1" x14ac:dyDescent="0.25">
      <c r="A2493" s="82">
        <v>191025</v>
      </c>
      <c r="B2493" s="664" t="s">
        <v>1051</v>
      </c>
      <c r="C2493" s="67" t="s">
        <v>1386</v>
      </c>
      <c r="D2493" s="71">
        <v>20</v>
      </c>
      <c r="E2493" s="102">
        <v>57500</v>
      </c>
      <c r="F2493" s="102">
        <f t="shared" si="1342"/>
        <v>1265000</v>
      </c>
      <c r="G2493" s="102">
        <f t="shared" si="1343"/>
        <v>1150000</v>
      </c>
      <c r="H2493" s="690" t="s">
        <v>142</v>
      </c>
      <c r="I2493" s="71" t="s">
        <v>2273</v>
      </c>
      <c r="J2493" s="53">
        <f t="shared" si="1344"/>
        <v>450000</v>
      </c>
      <c r="K2493" s="63">
        <f t="shared" si="1345"/>
        <v>0.39130434782608697</v>
      </c>
      <c r="L2493" s="871" t="s">
        <v>2089</v>
      </c>
      <c r="M2493" s="468"/>
      <c r="N2493" s="664">
        <f t="shared" si="1346"/>
        <v>191025</v>
      </c>
      <c r="O2493" s="71" t="s">
        <v>145</v>
      </c>
      <c r="P2493" s="103" t="str">
        <f>C2493</f>
        <v>THR200(20L)보충액</v>
      </c>
      <c r="Q2493" s="71">
        <f t="shared" si="1347"/>
        <v>20</v>
      </c>
      <c r="R2493" s="102">
        <v>35000</v>
      </c>
      <c r="S2493" s="102">
        <f>R2493*Q2493*1.1</f>
        <v>770000.00000000012</v>
      </c>
      <c r="T2493" s="102">
        <f>R2493*Q2493</f>
        <v>700000</v>
      </c>
      <c r="U2493" s="71" t="str">
        <f t="shared" si="1348"/>
        <v>O</v>
      </c>
      <c r="V2493" s="71"/>
      <c r="W2493" s="474">
        <f t="shared" si="1349"/>
        <v>450000</v>
      </c>
      <c r="X2493" s="71"/>
      <c r="Y2493" s="71"/>
    </row>
    <row r="2494" spans="1:25" ht="30" hidden="1" customHeight="1" x14ac:dyDescent="0.25">
      <c r="A2494" s="82">
        <v>191025</v>
      </c>
      <c r="B2494" s="664" t="s">
        <v>1051</v>
      </c>
      <c r="C2494" s="71" t="s">
        <v>1387</v>
      </c>
      <c r="D2494" s="71">
        <v>5</v>
      </c>
      <c r="E2494" s="102">
        <v>57500</v>
      </c>
      <c r="F2494" s="102">
        <f t="shared" si="1342"/>
        <v>316250</v>
      </c>
      <c r="G2494" s="102">
        <f t="shared" si="1343"/>
        <v>287500</v>
      </c>
      <c r="H2494" s="690" t="s">
        <v>142</v>
      </c>
      <c r="I2494" s="71" t="s">
        <v>2273</v>
      </c>
      <c r="J2494" s="53">
        <f t="shared" si="1344"/>
        <v>112500</v>
      </c>
      <c r="K2494" s="63">
        <f t="shared" si="1345"/>
        <v>0.39130434782608697</v>
      </c>
      <c r="L2494" s="871" t="s">
        <v>2089</v>
      </c>
      <c r="M2494" s="468"/>
      <c r="N2494" s="664">
        <f t="shared" si="1346"/>
        <v>191025</v>
      </c>
      <c r="O2494" s="71" t="s">
        <v>145</v>
      </c>
      <c r="P2494" s="103" t="str">
        <f>(C2494)</f>
        <v>THD200(20L)현상액</v>
      </c>
      <c r="Q2494" s="71">
        <f t="shared" si="1347"/>
        <v>5</v>
      </c>
      <c r="R2494" s="102">
        <v>35000</v>
      </c>
      <c r="S2494" s="102">
        <f>(R2494*D2494)*1.1</f>
        <v>192500.00000000003</v>
      </c>
      <c r="T2494" s="102">
        <f>(R2494*Q2494)</f>
        <v>175000</v>
      </c>
      <c r="U2494" s="71" t="str">
        <f t="shared" si="1348"/>
        <v>O</v>
      </c>
      <c r="V2494" s="71"/>
      <c r="W2494" s="474">
        <f t="shared" si="1349"/>
        <v>112500</v>
      </c>
      <c r="X2494" s="71"/>
      <c r="Y2494" s="71"/>
    </row>
    <row r="2495" spans="1:25" ht="30" hidden="1" customHeight="1" x14ac:dyDescent="0.25">
      <c r="A2495" s="82">
        <v>191025</v>
      </c>
      <c r="B2495" s="664" t="s">
        <v>1061</v>
      </c>
      <c r="C2495" s="71" t="s">
        <v>616</v>
      </c>
      <c r="D2495" s="71">
        <v>400</v>
      </c>
      <c r="E2495" s="102">
        <v>6600</v>
      </c>
      <c r="F2495" s="102">
        <f t="shared" si="1342"/>
        <v>2904000.0000000005</v>
      </c>
      <c r="G2495" s="102">
        <f t="shared" si="1343"/>
        <v>2640000</v>
      </c>
      <c r="H2495" s="690" t="s">
        <v>142</v>
      </c>
      <c r="I2495" s="71" t="s">
        <v>144</v>
      </c>
      <c r="J2495" s="53">
        <f t="shared" si="1344"/>
        <v>280000</v>
      </c>
      <c r="K2495" s="63">
        <f t="shared" si="1345"/>
        <v>0.10606060606060604</v>
      </c>
      <c r="L2495" s="871" t="s">
        <v>2089</v>
      </c>
      <c r="M2495" s="468"/>
      <c r="N2495" s="664">
        <f t="shared" si="1346"/>
        <v>191025</v>
      </c>
      <c r="O2495" s="71" t="s">
        <v>147</v>
      </c>
      <c r="P2495" s="103" t="str">
        <f t="shared" ref="P2495:P2507" si="1350">C2495</f>
        <v>프리미어(먹)</v>
      </c>
      <c r="Q2495" s="71">
        <f t="shared" si="1347"/>
        <v>400</v>
      </c>
      <c r="R2495" s="102">
        <v>5900</v>
      </c>
      <c r="S2495" s="102">
        <f>R2495*Q2495*1.1</f>
        <v>2596000</v>
      </c>
      <c r="T2495" s="102">
        <f>R2495*Q2495</f>
        <v>2360000</v>
      </c>
      <c r="U2495" s="71" t="str">
        <f t="shared" si="1348"/>
        <v>O</v>
      </c>
      <c r="V2495" s="71"/>
      <c r="W2495" s="474">
        <f t="shared" si="1349"/>
        <v>280000</v>
      </c>
      <c r="X2495" s="71"/>
      <c r="Y2495" s="71"/>
    </row>
    <row r="2496" spans="1:25" ht="30" hidden="1" customHeight="1" x14ac:dyDescent="0.25">
      <c r="A2496" s="82">
        <v>191025</v>
      </c>
      <c r="B2496" s="664" t="s">
        <v>1052</v>
      </c>
      <c r="C2496" s="71" t="s">
        <v>585</v>
      </c>
      <c r="D2496" s="71">
        <v>200</v>
      </c>
      <c r="E2496" s="102">
        <v>7500</v>
      </c>
      <c r="F2496" s="102">
        <f t="shared" si="1342"/>
        <v>1650000.0000000002</v>
      </c>
      <c r="G2496" s="102">
        <f t="shared" si="1343"/>
        <v>1500000</v>
      </c>
      <c r="H2496" s="690" t="s">
        <v>142</v>
      </c>
      <c r="I2496" s="71" t="s">
        <v>144</v>
      </c>
      <c r="J2496" s="53">
        <f>(G2496-(VLOOKUP(C2496,Price!B:D,3,FALSE)*D2496))</f>
        <v>146000</v>
      </c>
      <c r="K2496" s="63">
        <f t="shared" si="1345"/>
        <v>9.7333333333333313E-2</v>
      </c>
      <c r="L2496" s="871" t="s">
        <v>2089</v>
      </c>
      <c r="M2496" s="468"/>
      <c r="N2496" s="664">
        <f t="shared" si="1346"/>
        <v>191025</v>
      </c>
      <c r="O2496" s="71" t="s">
        <v>147</v>
      </c>
      <c r="P2496" s="103" t="str">
        <f t="shared" si="1350"/>
        <v>프리미어(적)</v>
      </c>
      <c r="Q2496" s="71">
        <f t="shared" si="1347"/>
        <v>200</v>
      </c>
      <c r="R2496" s="102">
        <v>6770</v>
      </c>
      <c r="S2496" s="102">
        <f>R2496*Q2496*1.1</f>
        <v>1489400.0000000002</v>
      </c>
      <c r="T2496" s="102">
        <f>R2496*Q2496</f>
        <v>1354000</v>
      </c>
      <c r="U2496" s="71" t="str">
        <f t="shared" si="1348"/>
        <v>O</v>
      </c>
      <c r="V2496" s="71"/>
      <c r="W2496" s="474">
        <f t="shared" si="1349"/>
        <v>146000</v>
      </c>
      <c r="X2496" s="71"/>
      <c r="Y2496" s="71"/>
    </row>
    <row r="2497" spans="1:25" ht="30" hidden="1" customHeight="1" x14ac:dyDescent="0.25">
      <c r="A2497" s="82">
        <v>191025</v>
      </c>
      <c r="B2497" s="664" t="s">
        <v>1061</v>
      </c>
      <c r="C2497" s="71" t="s">
        <v>586</v>
      </c>
      <c r="D2497" s="71">
        <v>400</v>
      </c>
      <c r="E2497" s="102">
        <v>6750</v>
      </c>
      <c r="F2497" s="102">
        <f t="shared" si="1342"/>
        <v>2970000.0000000005</v>
      </c>
      <c r="G2497" s="102">
        <f t="shared" si="1343"/>
        <v>2700000</v>
      </c>
      <c r="H2497" s="690" t="s">
        <v>142</v>
      </c>
      <c r="I2497" s="71" t="s">
        <v>144</v>
      </c>
      <c r="J2497" s="53">
        <f t="shared" ref="J2497:J2507" si="1351">G2497-T2497</f>
        <v>228000</v>
      </c>
      <c r="K2497" s="63">
        <f t="shared" si="1345"/>
        <v>8.4444444444444433E-2</v>
      </c>
      <c r="L2497" s="871" t="s">
        <v>2089</v>
      </c>
      <c r="M2497" s="468"/>
      <c r="N2497" s="664">
        <v>180713</v>
      </c>
      <c r="O2497" s="71" t="s">
        <v>147</v>
      </c>
      <c r="P2497" s="103" t="str">
        <f t="shared" si="1350"/>
        <v>프리미어(황)</v>
      </c>
      <c r="Q2497" s="71">
        <f t="shared" si="1347"/>
        <v>400</v>
      </c>
      <c r="R2497" s="102">
        <v>6180</v>
      </c>
      <c r="S2497" s="102">
        <f>(R2497*D2497)*1.1</f>
        <v>2719200</v>
      </c>
      <c r="T2497" s="102">
        <f>(R2497*Q2497)</f>
        <v>2472000</v>
      </c>
      <c r="U2497" s="71" t="str">
        <f t="shared" si="1348"/>
        <v>O</v>
      </c>
      <c r="V2497" s="71"/>
      <c r="W2497" s="474">
        <f t="shared" si="1349"/>
        <v>228000</v>
      </c>
      <c r="X2497" s="71"/>
      <c r="Y2497" s="71"/>
    </row>
    <row r="2498" spans="1:25" ht="30" hidden="1" customHeight="1" x14ac:dyDescent="0.25">
      <c r="A2498" s="82">
        <v>191025</v>
      </c>
      <c r="B2498" s="664" t="s">
        <v>1061</v>
      </c>
      <c r="C2498" s="71" t="s">
        <v>587</v>
      </c>
      <c r="D2498" s="71">
        <v>400</v>
      </c>
      <c r="E2498" s="102">
        <v>8000</v>
      </c>
      <c r="F2498" s="102">
        <f t="shared" si="1342"/>
        <v>3520000.0000000005</v>
      </c>
      <c r="G2498" s="102">
        <f t="shared" si="1343"/>
        <v>3200000</v>
      </c>
      <c r="H2498" s="690" t="s">
        <v>142</v>
      </c>
      <c r="I2498" s="71" t="s">
        <v>144</v>
      </c>
      <c r="J2498" s="53">
        <f t="shared" si="1351"/>
        <v>436000</v>
      </c>
      <c r="K2498" s="63">
        <f t="shared" si="1345"/>
        <v>0.13624999999999998</v>
      </c>
      <c r="L2498" s="871" t="s">
        <v>2089</v>
      </c>
      <c r="M2498" s="468"/>
      <c r="N2498" s="664">
        <v>180713</v>
      </c>
      <c r="O2498" s="71" t="s">
        <v>147</v>
      </c>
      <c r="P2498" s="103" t="str">
        <f t="shared" si="1350"/>
        <v>프리미어(청)</v>
      </c>
      <c r="Q2498" s="71">
        <f t="shared" si="1347"/>
        <v>400</v>
      </c>
      <c r="R2498" s="102">
        <v>6910</v>
      </c>
      <c r="S2498" s="102">
        <f t="shared" ref="S2498:S2507" si="1352">R2498*Q2498*1.1</f>
        <v>3040400.0000000005</v>
      </c>
      <c r="T2498" s="102">
        <f t="shared" ref="T2498:T2507" si="1353">R2498*Q2498</f>
        <v>2764000</v>
      </c>
      <c r="U2498" s="71" t="str">
        <f t="shared" si="1348"/>
        <v>O</v>
      </c>
      <c r="V2498" s="71"/>
      <c r="W2498" s="474">
        <f t="shared" si="1349"/>
        <v>436000</v>
      </c>
      <c r="X2498" s="71"/>
      <c r="Y2498" s="71"/>
    </row>
    <row r="2499" spans="1:25" ht="30" hidden="1" customHeight="1" x14ac:dyDescent="0.25">
      <c r="A2499" s="82">
        <v>191025</v>
      </c>
      <c r="B2499" s="664" t="s">
        <v>1052</v>
      </c>
      <c r="C2499" s="71" t="s">
        <v>1115</v>
      </c>
      <c r="D2499" s="71">
        <v>240</v>
      </c>
      <c r="E2499" s="102">
        <v>6200</v>
      </c>
      <c r="F2499" s="102">
        <f t="shared" si="1342"/>
        <v>1636800.0000000002</v>
      </c>
      <c r="G2499" s="102">
        <f t="shared" si="1343"/>
        <v>1488000</v>
      </c>
      <c r="H2499" s="690" t="s">
        <v>142</v>
      </c>
      <c r="I2499" s="71" t="s">
        <v>144</v>
      </c>
      <c r="J2499" s="53">
        <f t="shared" si="1351"/>
        <v>24000</v>
      </c>
      <c r="K2499" s="63">
        <f t="shared" si="1345"/>
        <v>1.6129032258064512E-2</v>
      </c>
      <c r="L2499" s="871" t="s">
        <v>2089</v>
      </c>
      <c r="M2499" s="468"/>
      <c r="N2499" s="664">
        <f t="shared" ref="N2499:N2507" si="1354">A2499</f>
        <v>191025</v>
      </c>
      <c r="O2499" s="71" t="s">
        <v>147</v>
      </c>
      <c r="P2499" s="103" t="str">
        <f t="shared" si="1350"/>
        <v>한특 잉크(적)</v>
      </c>
      <c r="Q2499" s="71">
        <f t="shared" si="1347"/>
        <v>240</v>
      </c>
      <c r="R2499" s="102">
        <v>6100</v>
      </c>
      <c r="S2499" s="102">
        <f t="shared" si="1352"/>
        <v>1610400.0000000002</v>
      </c>
      <c r="T2499" s="102">
        <f t="shared" si="1353"/>
        <v>1464000</v>
      </c>
      <c r="U2499" s="71" t="str">
        <f t="shared" si="1348"/>
        <v>O</v>
      </c>
      <c r="V2499" s="71"/>
      <c r="W2499" s="474">
        <f t="shared" si="1349"/>
        <v>24000</v>
      </c>
      <c r="X2499" s="71"/>
      <c r="Y2499" s="71"/>
    </row>
    <row r="2500" spans="1:25" ht="30" hidden="1" customHeight="1" x14ac:dyDescent="0.25">
      <c r="A2500" s="82">
        <v>191025</v>
      </c>
      <c r="B2500" s="664" t="s">
        <v>1052</v>
      </c>
      <c r="C2500" s="71" t="s">
        <v>1116</v>
      </c>
      <c r="D2500" s="71">
        <v>290</v>
      </c>
      <c r="E2500" s="102">
        <v>6000</v>
      </c>
      <c r="F2500" s="102">
        <f t="shared" si="1342"/>
        <v>1914000.0000000002</v>
      </c>
      <c r="G2500" s="102">
        <f t="shared" si="1343"/>
        <v>1740000</v>
      </c>
      <c r="H2500" s="690" t="s">
        <v>142</v>
      </c>
      <c r="I2500" s="71" t="s">
        <v>144</v>
      </c>
      <c r="J2500" s="53">
        <f t="shared" si="1351"/>
        <v>29000</v>
      </c>
      <c r="K2500" s="63">
        <f t="shared" si="1345"/>
        <v>1.6666666666666663E-2</v>
      </c>
      <c r="L2500" s="871" t="s">
        <v>2089</v>
      </c>
      <c r="M2500" s="468"/>
      <c r="N2500" s="664">
        <f t="shared" si="1354"/>
        <v>191025</v>
      </c>
      <c r="O2500" s="71" t="s">
        <v>147</v>
      </c>
      <c r="P2500" s="103" t="str">
        <f t="shared" si="1350"/>
        <v>한특 잉크(황)</v>
      </c>
      <c r="Q2500" s="71">
        <f t="shared" si="1347"/>
        <v>290</v>
      </c>
      <c r="R2500" s="102">
        <v>5900</v>
      </c>
      <c r="S2500" s="102">
        <f t="shared" si="1352"/>
        <v>1882100.0000000002</v>
      </c>
      <c r="T2500" s="102">
        <f t="shared" si="1353"/>
        <v>1711000</v>
      </c>
      <c r="U2500" s="71" t="str">
        <f t="shared" si="1348"/>
        <v>O</v>
      </c>
      <c r="V2500" s="71"/>
      <c r="W2500" s="474">
        <f t="shared" si="1349"/>
        <v>29000</v>
      </c>
      <c r="X2500" s="71"/>
      <c r="Y2500" s="71"/>
    </row>
    <row r="2501" spans="1:25" ht="30" hidden="1" customHeight="1" x14ac:dyDescent="0.25">
      <c r="A2501" s="82">
        <v>191025</v>
      </c>
      <c r="B2501" s="664" t="s">
        <v>1052</v>
      </c>
      <c r="C2501" s="71" t="s">
        <v>1117</v>
      </c>
      <c r="D2501" s="71">
        <v>150</v>
      </c>
      <c r="E2501" s="102">
        <v>6500</v>
      </c>
      <c r="F2501" s="102">
        <f t="shared" si="1342"/>
        <v>1072500</v>
      </c>
      <c r="G2501" s="102">
        <f t="shared" si="1343"/>
        <v>975000</v>
      </c>
      <c r="H2501" s="690" t="s">
        <v>142</v>
      </c>
      <c r="I2501" s="71" t="s">
        <v>144</v>
      </c>
      <c r="J2501" s="53">
        <f t="shared" si="1351"/>
        <v>15000</v>
      </c>
      <c r="K2501" s="63">
        <f t="shared" si="1345"/>
        <v>1.5384615384615385E-2</v>
      </c>
      <c r="L2501" s="871" t="s">
        <v>2089</v>
      </c>
      <c r="M2501" s="468"/>
      <c r="N2501" s="664">
        <f t="shared" si="1354"/>
        <v>191025</v>
      </c>
      <c r="O2501" s="71" t="s">
        <v>147</v>
      </c>
      <c r="P2501" s="103" t="str">
        <f t="shared" si="1350"/>
        <v>한특 잉크(청)</v>
      </c>
      <c r="Q2501" s="71">
        <f t="shared" si="1347"/>
        <v>150</v>
      </c>
      <c r="R2501" s="102">
        <v>6400</v>
      </c>
      <c r="S2501" s="102">
        <f t="shared" si="1352"/>
        <v>1056000</v>
      </c>
      <c r="T2501" s="102">
        <f t="shared" si="1353"/>
        <v>960000</v>
      </c>
      <c r="U2501" s="71" t="str">
        <f t="shared" si="1348"/>
        <v>O</v>
      </c>
      <c r="V2501" s="71"/>
      <c r="W2501" s="474">
        <f t="shared" si="1349"/>
        <v>15000</v>
      </c>
      <c r="X2501" s="71"/>
      <c r="Y2501" s="71"/>
    </row>
    <row r="2502" spans="1:25" ht="30" hidden="1" customHeight="1" x14ac:dyDescent="0.25">
      <c r="A2502" s="82">
        <v>191025</v>
      </c>
      <c r="B2502" s="664" t="s">
        <v>1052</v>
      </c>
      <c r="C2502" s="71" t="s">
        <v>1118</v>
      </c>
      <c r="D2502" s="71">
        <v>190</v>
      </c>
      <c r="E2502" s="102">
        <v>5600</v>
      </c>
      <c r="F2502" s="102">
        <f t="shared" si="1342"/>
        <v>1170400</v>
      </c>
      <c r="G2502" s="102">
        <f t="shared" si="1343"/>
        <v>1064000</v>
      </c>
      <c r="H2502" s="690" t="s">
        <v>142</v>
      </c>
      <c r="I2502" s="71" t="s">
        <v>144</v>
      </c>
      <c r="J2502" s="53">
        <f t="shared" si="1351"/>
        <v>19000</v>
      </c>
      <c r="K2502" s="63">
        <f t="shared" si="1345"/>
        <v>1.7857142857142856E-2</v>
      </c>
      <c r="L2502" s="871" t="s">
        <v>2089</v>
      </c>
      <c r="M2502" s="468"/>
      <c r="N2502" s="664">
        <f t="shared" si="1354"/>
        <v>191025</v>
      </c>
      <c r="O2502" s="71" t="s">
        <v>147</v>
      </c>
      <c r="P2502" s="103" t="str">
        <f t="shared" si="1350"/>
        <v>한특 잉크(먹)</v>
      </c>
      <c r="Q2502" s="71">
        <f t="shared" si="1347"/>
        <v>190</v>
      </c>
      <c r="R2502" s="102">
        <v>5500</v>
      </c>
      <c r="S2502" s="102">
        <f t="shared" si="1352"/>
        <v>1149500</v>
      </c>
      <c r="T2502" s="102">
        <f t="shared" si="1353"/>
        <v>1045000</v>
      </c>
      <c r="U2502" s="71" t="str">
        <f t="shared" si="1348"/>
        <v>O</v>
      </c>
      <c r="V2502" s="71"/>
      <c r="W2502" s="474">
        <f t="shared" si="1349"/>
        <v>19000</v>
      </c>
      <c r="X2502" s="71"/>
      <c r="Y2502" s="71"/>
    </row>
    <row r="2503" spans="1:25" ht="30" hidden="1" customHeight="1" x14ac:dyDescent="0.25">
      <c r="A2503" s="82">
        <v>191025</v>
      </c>
      <c r="B2503" s="664" t="s">
        <v>1052</v>
      </c>
      <c r="C2503" s="71" t="s">
        <v>1843</v>
      </c>
      <c r="D2503" s="71"/>
      <c r="E2503" s="102">
        <v>8200</v>
      </c>
      <c r="F2503" s="102">
        <f t="shared" si="1342"/>
        <v>0</v>
      </c>
      <c r="G2503" s="102">
        <f t="shared" si="1343"/>
        <v>0</v>
      </c>
      <c r="H2503" s="690" t="s">
        <v>142</v>
      </c>
      <c r="I2503" s="71" t="s">
        <v>144</v>
      </c>
      <c r="J2503" s="53">
        <f t="shared" si="1351"/>
        <v>0</v>
      </c>
      <c r="K2503" s="63" t="e">
        <f t="shared" si="1345"/>
        <v>#DIV/0!</v>
      </c>
      <c r="L2503" s="871" t="s">
        <v>2089</v>
      </c>
      <c r="M2503" s="468"/>
      <c r="N2503" s="664">
        <f t="shared" si="1354"/>
        <v>191025</v>
      </c>
      <c r="O2503" s="71" t="s">
        <v>147</v>
      </c>
      <c r="P2503" s="103" t="str">
        <f t="shared" si="1350"/>
        <v>아라니아 분홍(1) 190c</v>
      </c>
      <c r="Q2503" s="71">
        <f t="shared" si="1347"/>
        <v>0</v>
      </c>
      <c r="R2503" s="102">
        <v>7850</v>
      </c>
      <c r="S2503" s="102">
        <f t="shared" si="1352"/>
        <v>0</v>
      </c>
      <c r="T2503" s="102">
        <f t="shared" si="1353"/>
        <v>0</v>
      </c>
      <c r="U2503" s="71" t="str">
        <f t="shared" si="1348"/>
        <v>O</v>
      </c>
      <c r="V2503" s="71"/>
      <c r="W2503" s="474">
        <f t="shared" si="1349"/>
        <v>0</v>
      </c>
      <c r="X2503" s="71"/>
      <c r="Y2503" s="71"/>
    </row>
    <row r="2504" spans="1:25" ht="30" hidden="1" customHeight="1" x14ac:dyDescent="0.25">
      <c r="A2504" s="82">
        <v>191025</v>
      </c>
      <c r="B2504" s="664" t="s">
        <v>1052</v>
      </c>
      <c r="C2504" s="71" t="s">
        <v>1840</v>
      </c>
      <c r="D2504" s="71"/>
      <c r="E2504" s="102">
        <v>8000</v>
      </c>
      <c r="F2504" s="102">
        <f t="shared" si="1342"/>
        <v>0</v>
      </c>
      <c r="G2504" s="102">
        <f t="shared" si="1343"/>
        <v>0</v>
      </c>
      <c r="H2504" s="690" t="s">
        <v>142</v>
      </c>
      <c r="I2504" s="71" t="s">
        <v>144</v>
      </c>
      <c r="J2504" s="53">
        <f t="shared" si="1351"/>
        <v>0</v>
      </c>
      <c r="K2504" s="63" t="e">
        <f t="shared" si="1345"/>
        <v>#DIV/0!</v>
      </c>
      <c r="L2504" s="871" t="s">
        <v>2089</v>
      </c>
      <c r="M2504" s="468"/>
      <c r="N2504" s="664">
        <f t="shared" si="1354"/>
        <v>191025</v>
      </c>
      <c r="O2504" s="71" t="s">
        <v>147</v>
      </c>
      <c r="P2504" s="103" t="str">
        <f t="shared" si="1350"/>
        <v>아라니아 연청 304c</v>
      </c>
      <c r="Q2504" s="71">
        <f t="shared" si="1347"/>
        <v>0</v>
      </c>
      <c r="R2504" s="102">
        <v>7600</v>
      </c>
      <c r="S2504" s="102">
        <f t="shared" si="1352"/>
        <v>0</v>
      </c>
      <c r="T2504" s="102">
        <f t="shared" si="1353"/>
        <v>0</v>
      </c>
      <c r="U2504" s="71" t="str">
        <f t="shared" si="1348"/>
        <v>O</v>
      </c>
      <c r="V2504" s="71"/>
      <c r="W2504" s="474">
        <f t="shared" si="1349"/>
        <v>0</v>
      </c>
      <c r="X2504" s="71"/>
      <c r="Y2504" s="71"/>
    </row>
    <row r="2505" spans="1:25" ht="30" hidden="1" customHeight="1" x14ac:dyDescent="0.25">
      <c r="A2505" s="82">
        <v>191025</v>
      </c>
      <c r="B2505" s="664" t="s">
        <v>1052</v>
      </c>
      <c r="C2505" s="71" t="s">
        <v>1841</v>
      </c>
      <c r="D2505" s="71"/>
      <c r="E2505" s="102">
        <v>7700</v>
      </c>
      <c r="F2505" s="102">
        <f t="shared" si="1342"/>
        <v>0</v>
      </c>
      <c r="G2505" s="102">
        <f t="shared" si="1343"/>
        <v>0</v>
      </c>
      <c r="H2505" s="690" t="s">
        <v>142</v>
      </c>
      <c r="I2505" s="71" t="s">
        <v>144</v>
      </c>
      <c r="J2505" s="53">
        <f t="shared" si="1351"/>
        <v>0</v>
      </c>
      <c r="K2505" s="63" t="e">
        <f t="shared" si="1345"/>
        <v>#DIV/0!</v>
      </c>
      <c r="L2505" s="871" t="s">
        <v>2089</v>
      </c>
      <c r="M2505" s="468"/>
      <c r="N2505" s="664">
        <f t="shared" si="1354"/>
        <v>191025</v>
      </c>
      <c r="O2505" s="71" t="s">
        <v>147</v>
      </c>
      <c r="P2505" s="103" t="str">
        <f t="shared" si="1350"/>
        <v>아라니아 분홍(2) 1905c</v>
      </c>
      <c r="Q2505" s="71">
        <f t="shared" si="1347"/>
        <v>0</v>
      </c>
      <c r="R2505" s="102">
        <v>7300</v>
      </c>
      <c r="S2505" s="102">
        <f t="shared" si="1352"/>
        <v>0</v>
      </c>
      <c r="T2505" s="102">
        <f t="shared" si="1353"/>
        <v>0</v>
      </c>
      <c r="U2505" s="71" t="str">
        <f t="shared" si="1348"/>
        <v>O</v>
      </c>
      <c r="V2505" s="71"/>
      <c r="W2505" s="474">
        <f t="shared" si="1349"/>
        <v>0</v>
      </c>
      <c r="X2505" s="71"/>
      <c r="Y2505" s="71"/>
    </row>
    <row r="2506" spans="1:25" ht="30" hidden="1" customHeight="1" x14ac:dyDescent="0.25">
      <c r="A2506" s="82">
        <v>191025</v>
      </c>
      <c r="B2506" s="664" t="s">
        <v>1052</v>
      </c>
      <c r="C2506" s="71" t="s">
        <v>1842</v>
      </c>
      <c r="D2506" s="71"/>
      <c r="E2506" s="102">
        <v>8600</v>
      </c>
      <c r="F2506" s="102">
        <f t="shared" si="1342"/>
        <v>0</v>
      </c>
      <c r="G2506" s="102">
        <f t="shared" si="1343"/>
        <v>0</v>
      </c>
      <c r="H2506" s="690" t="s">
        <v>142</v>
      </c>
      <c r="I2506" s="71" t="s">
        <v>144</v>
      </c>
      <c r="J2506" s="53">
        <f t="shared" si="1351"/>
        <v>0</v>
      </c>
      <c r="K2506" s="63" t="e">
        <f t="shared" si="1345"/>
        <v>#DIV/0!</v>
      </c>
      <c r="L2506" s="871" t="s">
        <v>2089</v>
      </c>
      <c r="M2506" s="468"/>
      <c r="N2506" s="664">
        <f t="shared" si="1354"/>
        <v>191025</v>
      </c>
      <c r="O2506" s="71" t="s">
        <v>147</v>
      </c>
      <c r="P2506" s="103" t="str">
        <f t="shared" si="1350"/>
        <v>아라니아 분홍(3) 1775c</v>
      </c>
      <c r="Q2506" s="71">
        <f t="shared" si="1347"/>
        <v>0</v>
      </c>
      <c r="R2506" s="102">
        <v>8100</v>
      </c>
      <c r="S2506" s="102">
        <f t="shared" si="1352"/>
        <v>0</v>
      </c>
      <c r="T2506" s="102">
        <f t="shared" si="1353"/>
        <v>0</v>
      </c>
      <c r="U2506" s="71" t="str">
        <f t="shared" si="1348"/>
        <v>O</v>
      </c>
      <c r="V2506" s="71"/>
      <c r="W2506" s="474">
        <f t="shared" si="1349"/>
        <v>0</v>
      </c>
      <c r="X2506" s="71"/>
      <c r="Y2506" s="71"/>
    </row>
    <row r="2507" spans="1:25" ht="30" hidden="1" customHeight="1" x14ac:dyDescent="0.25">
      <c r="A2507" s="82">
        <v>191025</v>
      </c>
      <c r="B2507" s="664" t="s">
        <v>1052</v>
      </c>
      <c r="C2507" s="71" t="s">
        <v>2015</v>
      </c>
      <c r="D2507" s="71"/>
      <c r="E2507" s="102">
        <v>8200</v>
      </c>
      <c r="F2507" s="102">
        <f t="shared" si="1342"/>
        <v>0</v>
      </c>
      <c r="G2507" s="102">
        <f t="shared" si="1343"/>
        <v>0</v>
      </c>
      <c r="H2507" s="690" t="s">
        <v>142</v>
      </c>
      <c r="I2507" s="71" t="s">
        <v>144</v>
      </c>
      <c r="J2507" s="53">
        <f t="shared" si="1351"/>
        <v>0</v>
      </c>
      <c r="K2507" s="63" t="e">
        <f t="shared" si="1345"/>
        <v>#DIV/0!</v>
      </c>
      <c r="L2507" s="871" t="s">
        <v>2089</v>
      </c>
      <c r="M2507" s="468"/>
      <c r="N2507" s="664">
        <f t="shared" si="1354"/>
        <v>191025</v>
      </c>
      <c r="O2507" s="71" t="s">
        <v>147</v>
      </c>
      <c r="P2507" s="103" t="str">
        <f t="shared" si="1350"/>
        <v>아라니아 BTS 보라</v>
      </c>
      <c r="Q2507" s="71">
        <f t="shared" si="1347"/>
        <v>0</v>
      </c>
      <c r="R2507" s="102">
        <v>8200</v>
      </c>
      <c r="S2507" s="102">
        <f t="shared" si="1352"/>
        <v>0</v>
      </c>
      <c r="T2507" s="102">
        <f t="shared" si="1353"/>
        <v>0</v>
      </c>
      <c r="U2507" s="71" t="str">
        <f t="shared" si="1348"/>
        <v>O</v>
      </c>
      <c r="V2507" s="71"/>
      <c r="W2507" s="474">
        <f t="shared" si="1349"/>
        <v>0</v>
      </c>
      <c r="X2507" s="71"/>
      <c r="Y2507" s="71"/>
    </row>
    <row r="2508" spans="1:25" ht="30" customHeight="1" x14ac:dyDescent="0.25">
      <c r="A2508" s="82">
        <v>191028</v>
      </c>
      <c r="B2508" s="664" t="s">
        <v>565</v>
      </c>
      <c r="C2508" s="71" t="s">
        <v>692</v>
      </c>
      <c r="D2508" s="71">
        <v>10</v>
      </c>
      <c r="E2508" s="102">
        <v>218000</v>
      </c>
      <c r="F2508" s="102">
        <f t="shared" si="1342"/>
        <v>2398000</v>
      </c>
      <c r="G2508" s="102">
        <f t="shared" si="1343"/>
        <v>2180000</v>
      </c>
      <c r="H2508" s="690" t="s">
        <v>173</v>
      </c>
      <c r="I2508" s="71" t="s">
        <v>109</v>
      </c>
      <c r="J2508" s="53">
        <f>(G2508-(VLOOKUP(C2508,Price!B:D,3,FALSE)*D2508))</f>
        <v>580000</v>
      </c>
      <c r="K2508" s="63">
        <f t="shared" ref="K2508:K2514" si="1355">(J2508/(F2508/11*10))</f>
        <v>0.26605504587155965</v>
      </c>
      <c r="L2508" s="871" t="s">
        <v>2089</v>
      </c>
      <c r="M2508" s="468" t="s">
        <v>2052</v>
      </c>
      <c r="N2508" s="664">
        <f>A2508</f>
        <v>191028</v>
      </c>
      <c r="O2508" s="71" t="s">
        <v>150</v>
      </c>
      <c r="P2508" s="103" t="str">
        <f t="shared" ref="P2508:Q2511" si="1356">C2508</f>
        <v>윤전 블랑켓</v>
      </c>
      <c r="Q2508" s="71">
        <f t="shared" si="1356"/>
        <v>10</v>
      </c>
      <c r="R2508" s="102">
        <v>160000</v>
      </c>
      <c r="S2508" s="102">
        <f>(R2508*D2508)*1.1</f>
        <v>1760000.0000000002</v>
      </c>
      <c r="T2508" s="102">
        <f>(R2508*Q2508)</f>
        <v>1600000</v>
      </c>
      <c r="U2508" s="71" t="str">
        <f t="shared" si="1348"/>
        <v>O</v>
      </c>
      <c r="V2508" s="71" t="s">
        <v>784</v>
      </c>
      <c r="W2508" s="474">
        <f t="shared" si="1349"/>
        <v>580000</v>
      </c>
      <c r="X2508" s="71"/>
      <c r="Y2508" s="71"/>
    </row>
    <row r="2509" spans="1:25" ht="30" customHeight="1" x14ac:dyDescent="0.25">
      <c r="A2509" s="82">
        <v>191028</v>
      </c>
      <c r="B2509" s="664" t="s">
        <v>422</v>
      </c>
      <c r="C2509" s="760" t="s">
        <v>218</v>
      </c>
      <c r="D2509" s="71">
        <v>3</v>
      </c>
      <c r="E2509" s="102">
        <v>235000</v>
      </c>
      <c r="F2509" s="102">
        <f t="shared" si="1342"/>
        <v>775500.00000000012</v>
      </c>
      <c r="G2509" s="102">
        <f t="shared" si="1343"/>
        <v>705000</v>
      </c>
      <c r="H2509" s="690" t="s">
        <v>173</v>
      </c>
      <c r="I2509" s="71" t="s">
        <v>120</v>
      </c>
      <c r="J2509" s="53">
        <f>(G2509-(VLOOKUP(C2509,Price!B:D,3,FALSE)*D2509))</f>
        <v>367500</v>
      </c>
      <c r="K2509" s="63">
        <f t="shared" si="1355"/>
        <v>0.52127659574468077</v>
      </c>
      <c r="L2509" s="871" t="s">
        <v>2089</v>
      </c>
      <c r="M2509" s="468" t="s">
        <v>2053</v>
      </c>
      <c r="N2509" s="664">
        <f>A2509</f>
        <v>191028</v>
      </c>
      <c r="O2509" s="71" t="s">
        <v>150</v>
      </c>
      <c r="P2509" s="103" t="str">
        <f t="shared" si="1356"/>
        <v>Fount Web 551AF</v>
      </c>
      <c r="Q2509" s="71">
        <f t="shared" si="1356"/>
        <v>3</v>
      </c>
      <c r="R2509" s="102">
        <v>112500</v>
      </c>
      <c r="S2509" s="102">
        <f>R2509*Q2509*1.1</f>
        <v>371250.00000000006</v>
      </c>
      <c r="T2509" s="102">
        <f>R2509*Q2509</f>
        <v>337500</v>
      </c>
      <c r="U2509" s="71" t="str">
        <f t="shared" si="1348"/>
        <v>O</v>
      </c>
      <c r="V2509" s="71"/>
      <c r="W2509" s="474">
        <f t="shared" si="1349"/>
        <v>367500</v>
      </c>
      <c r="X2509" s="71"/>
      <c r="Y2509" s="71"/>
    </row>
    <row r="2510" spans="1:25" s="209" customFormat="1" ht="30" customHeight="1" x14ac:dyDescent="0.25">
      <c r="A2510" s="82">
        <v>191028</v>
      </c>
      <c r="B2510" s="664" t="s">
        <v>565</v>
      </c>
      <c r="C2510" s="71" t="s">
        <v>583</v>
      </c>
      <c r="D2510" s="71">
        <v>24</v>
      </c>
      <c r="E2510" s="102">
        <v>89000</v>
      </c>
      <c r="F2510" s="102">
        <f t="shared" si="1342"/>
        <v>2349600</v>
      </c>
      <c r="G2510" s="102">
        <f t="shared" si="1343"/>
        <v>2136000</v>
      </c>
      <c r="H2510" s="690" t="s">
        <v>173</v>
      </c>
      <c r="I2510" s="71" t="s">
        <v>108</v>
      </c>
      <c r="J2510" s="53">
        <f>(G2510-(VLOOKUP(C2510,Price!B:D,3,FALSE)*D2510))</f>
        <v>1080000</v>
      </c>
      <c r="K2510" s="63">
        <f t="shared" si="1355"/>
        <v>0.5056179775280899</v>
      </c>
      <c r="L2510" s="871" t="s">
        <v>2089</v>
      </c>
      <c r="M2510" s="468" t="s">
        <v>2053</v>
      </c>
      <c r="N2510" s="664">
        <f>A2510</f>
        <v>191028</v>
      </c>
      <c r="O2510" s="71" t="s">
        <v>599</v>
      </c>
      <c r="P2510" s="103" t="str">
        <f t="shared" si="1356"/>
        <v>M600 윤전 세정포</v>
      </c>
      <c r="Q2510" s="71">
        <f t="shared" si="1356"/>
        <v>24</v>
      </c>
      <c r="R2510" s="102">
        <v>44000</v>
      </c>
      <c r="S2510" s="102">
        <f>(R2510*D2510)*1.1</f>
        <v>1161600</v>
      </c>
      <c r="T2510" s="102">
        <f>(R2510*Q2510)</f>
        <v>1056000</v>
      </c>
      <c r="U2510" s="71" t="str">
        <f t="shared" si="1348"/>
        <v>O</v>
      </c>
      <c r="V2510" s="71"/>
      <c r="W2510" s="474">
        <f t="shared" si="1349"/>
        <v>1080000</v>
      </c>
      <c r="X2510" s="71"/>
      <c r="Y2510" s="71"/>
    </row>
    <row r="2511" spans="1:25" ht="30" hidden="1" customHeight="1" x14ac:dyDescent="0.2">
      <c r="A2511" s="82">
        <v>191030</v>
      </c>
      <c r="B2511" s="664" t="s">
        <v>2103</v>
      </c>
      <c r="C2511" s="71" t="s">
        <v>1607</v>
      </c>
      <c r="D2511" s="71">
        <v>1271</v>
      </c>
      <c r="E2511" s="102">
        <v>1000</v>
      </c>
      <c r="F2511" s="102">
        <f t="shared" si="1342"/>
        <v>1398100</v>
      </c>
      <c r="G2511" s="102">
        <f t="shared" si="1343"/>
        <v>1271000</v>
      </c>
      <c r="H2511" s="165" t="s">
        <v>172</v>
      </c>
      <c r="I2511" s="71" t="s">
        <v>2230</v>
      </c>
      <c r="J2511" s="53">
        <f>G2511-T2511</f>
        <v>1271000</v>
      </c>
      <c r="K2511" s="63">
        <f t="shared" si="1355"/>
        <v>1</v>
      </c>
      <c r="L2511" s="871" t="s">
        <v>2089</v>
      </c>
      <c r="M2511" s="468"/>
      <c r="N2511" s="664">
        <f>A2511</f>
        <v>191030</v>
      </c>
      <c r="O2511" s="71"/>
      <c r="P2511" s="103" t="str">
        <f t="shared" si="1356"/>
        <v>폐판수거(세흥인쇄)</v>
      </c>
      <c r="Q2511" s="71">
        <f t="shared" si="1356"/>
        <v>1271</v>
      </c>
      <c r="R2511" s="102"/>
      <c r="S2511" s="102"/>
      <c r="T2511" s="102"/>
      <c r="U2511" s="71"/>
      <c r="V2511" s="71"/>
      <c r="W2511" s="474"/>
      <c r="X2511" s="71"/>
      <c r="Y2511" s="71"/>
    </row>
    <row r="2512" spans="1:25" ht="30" hidden="1" customHeight="1" x14ac:dyDescent="0.25">
      <c r="A2512" s="82">
        <v>191030</v>
      </c>
      <c r="B2512" s="664" t="s">
        <v>575</v>
      </c>
      <c r="C2512" s="71" t="s">
        <v>1424</v>
      </c>
      <c r="D2512" s="71">
        <v>1</v>
      </c>
      <c r="E2512" s="102">
        <v>1250000</v>
      </c>
      <c r="F2512" s="102">
        <f>(E2512*D2512)*1.1</f>
        <v>1375000</v>
      </c>
      <c r="G2512" s="102">
        <f>(E2512*D2512)</f>
        <v>1250000</v>
      </c>
      <c r="H2512" s="690" t="s">
        <v>985</v>
      </c>
      <c r="I2512" s="71" t="s">
        <v>985</v>
      </c>
      <c r="J2512" s="53">
        <f>G2512-T2512</f>
        <v>550000</v>
      </c>
      <c r="K2512" s="63">
        <f t="shared" si="1355"/>
        <v>0.44</v>
      </c>
      <c r="L2512" s="871" t="s">
        <v>2089</v>
      </c>
      <c r="M2512" s="468" t="s">
        <v>2123</v>
      </c>
      <c r="N2512" s="664">
        <f t="shared" ref="N2512:N2528" si="1357">A2512</f>
        <v>191030</v>
      </c>
      <c r="O2512" s="71" t="s">
        <v>2122</v>
      </c>
      <c r="P2512" s="103" t="str">
        <f>C2512</f>
        <v>M600 서비스 계약(4회차)</v>
      </c>
      <c r="Q2512" s="71">
        <f>D2512</f>
        <v>1</v>
      </c>
      <c r="R2512" s="102">
        <v>700000</v>
      </c>
      <c r="S2512" s="102">
        <f>R2512*Q2512*1.1</f>
        <v>770000.00000000012</v>
      </c>
      <c r="T2512" s="102">
        <f>R2512*Q2512</f>
        <v>700000</v>
      </c>
      <c r="U2512" s="71" t="str">
        <f>IF(J2512=W2512,"O", "X")</f>
        <v>X</v>
      </c>
      <c r="V2512" s="71"/>
      <c r="W2512" s="474"/>
      <c r="X2512" s="71"/>
      <c r="Y2512" s="71"/>
    </row>
    <row r="2513" spans="1:25" ht="30" hidden="1" customHeight="1" x14ac:dyDescent="0.25">
      <c r="A2513" s="82">
        <v>191030</v>
      </c>
      <c r="B2513" s="664" t="s">
        <v>546</v>
      </c>
      <c r="C2513" s="71" t="s">
        <v>114</v>
      </c>
      <c r="D2513" s="71">
        <v>50</v>
      </c>
      <c r="E2513" s="102">
        <v>18000</v>
      </c>
      <c r="F2513" s="102">
        <f>(E2513*D2513)*1.1</f>
        <v>990000.00000000012</v>
      </c>
      <c r="G2513" s="102">
        <f>(E2513*D2513)</f>
        <v>900000</v>
      </c>
      <c r="H2513" s="690" t="s">
        <v>1431</v>
      </c>
      <c r="I2513" s="71" t="s">
        <v>1431</v>
      </c>
      <c r="J2513" s="53">
        <f>G2513-T2513</f>
        <v>450000</v>
      </c>
      <c r="K2513" s="63">
        <f t="shared" si="1355"/>
        <v>0.49999999999999994</v>
      </c>
      <c r="L2513" s="871" t="s">
        <v>2089</v>
      </c>
      <c r="M2513" s="468"/>
      <c r="N2513" s="664">
        <f t="shared" si="1357"/>
        <v>191030</v>
      </c>
      <c r="O2513" s="71" t="s">
        <v>1431</v>
      </c>
      <c r="P2513" s="103" t="str">
        <f>C2513</f>
        <v>스트리퍼</v>
      </c>
      <c r="Q2513" s="71">
        <f>D2513</f>
        <v>50</v>
      </c>
      <c r="R2513" s="102">
        <v>9000</v>
      </c>
      <c r="S2513" s="102">
        <f>R2513*Q2513*1.1</f>
        <v>495000.00000000006</v>
      </c>
      <c r="T2513" s="102">
        <f>R2513*Q2513</f>
        <v>450000</v>
      </c>
      <c r="U2513" s="71"/>
      <c r="V2513" s="71"/>
      <c r="W2513" s="474"/>
      <c r="X2513" s="71"/>
      <c r="Y2513" s="71"/>
    </row>
    <row r="2514" spans="1:25" ht="30" hidden="1" customHeight="1" x14ac:dyDescent="0.25">
      <c r="A2514" s="82">
        <v>191031</v>
      </c>
      <c r="B2514" s="664" t="s">
        <v>446</v>
      </c>
      <c r="C2514" s="71" t="s">
        <v>2028</v>
      </c>
      <c r="D2514" s="71">
        <v>2</v>
      </c>
      <c r="E2514" s="102">
        <v>110000</v>
      </c>
      <c r="F2514" s="102">
        <f>(E2514*D2514)*1.1</f>
        <v>242000.00000000003</v>
      </c>
      <c r="G2514" s="102">
        <f>(E2514*D2514)</f>
        <v>220000</v>
      </c>
      <c r="H2514" s="690" t="s">
        <v>2029</v>
      </c>
      <c r="I2514" s="71" t="s">
        <v>2231</v>
      </c>
      <c r="J2514" s="53">
        <f>G2514-T2514</f>
        <v>175000</v>
      </c>
      <c r="K2514" s="63">
        <f t="shared" si="1355"/>
        <v>0.7954545454545453</v>
      </c>
      <c r="L2514" s="871" t="s">
        <v>2089</v>
      </c>
      <c r="M2514" s="468" t="s">
        <v>2106</v>
      </c>
      <c r="N2514" s="664">
        <f t="shared" si="1357"/>
        <v>191031</v>
      </c>
      <c r="O2514" s="71" t="s">
        <v>2030</v>
      </c>
      <c r="P2514" s="103" t="str">
        <f>C2514</f>
        <v>실리콘 에멀전</v>
      </c>
      <c r="Q2514" s="71">
        <v>1</v>
      </c>
      <c r="R2514" s="102">
        <v>45000</v>
      </c>
      <c r="S2514" s="102">
        <f>R2514*Q2514*1.1</f>
        <v>49500.000000000007</v>
      </c>
      <c r="T2514" s="102">
        <f>R2514*Q2514</f>
        <v>45000</v>
      </c>
      <c r="U2514" s="71" t="str">
        <f>IF(J2514=W2514,"O", "X")</f>
        <v>O</v>
      </c>
      <c r="V2514" s="71"/>
      <c r="W2514" s="474">
        <f>(G2514-T2514)</f>
        <v>175000</v>
      </c>
      <c r="X2514" s="71"/>
      <c r="Y2514" s="71"/>
    </row>
    <row r="2515" spans="1:25" s="978" customFormat="1" ht="45" hidden="1" customHeight="1" x14ac:dyDescent="0.25">
      <c r="A2515" s="982" t="s">
        <v>2105</v>
      </c>
      <c r="B2515" s="976" t="s">
        <v>544</v>
      </c>
      <c r="C2515" s="453"/>
      <c r="D2515" s="453"/>
      <c r="E2515" s="454"/>
      <c r="F2515" s="454"/>
      <c r="G2515" s="454"/>
      <c r="H2515" s="455"/>
      <c r="I2515" s="453"/>
      <c r="J2515" s="417"/>
      <c r="K2515" s="418"/>
      <c r="L2515" s="983" t="s">
        <v>2107</v>
      </c>
      <c r="M2515" s="643"/>
      <c r="N2515" s="724" t="str">
        <f t="shared" si="1357"/>
        <v>2019,11</v>
      </c>
      <c r="O2515" s="453" t="s">
        <v>154</v>
      </c>
      <c r="P2515" s="728"/>
      <c r="Q2515" s="420"/>
      <c r="R2515" s="420"/>
      <c r="S2515" s="417"/>
      <c r="T2515" s="417"/>
      <c r="U2515" s="421"/>
      <c r="V2515" s="421"/>
      <c r="W2515" s="479">
        <f>(G2515-T2515)</f>
        <v>0</v>
      </c>
      <c r="X2515" s="421"/>
      <c r="Y2515" s="421"/>
    </row>
    <row r="2516" spans="1:25" ht="30" hidden="1" customHeight="1" x14ac:dyDescent="0.25">
      <c r="A2516" s="82">
        <v>191028</v>
      </c>
      <c r="B2516" s="664" t="s">
        <v>575</v>
      </c>
      <c r="C2516" s="71" t="s">
        <v>1367</v>
      </c>
      <c r="D2516" s="71">
        <v>8</v>
      </c>
      <c r="E2516" s="102">
        <v>218000</v>
      </c>
      <c r="F2516" s="102">
        <f t="shared" ref="F2516:F2521" si="1358">(E2516*D2516)*1.1</f>
        <v>1918400.0000000002</v>
      </c>
      <c r="G2516" s="102">
        <f t="shared" ref="G2516:G2521" si="1359">(E2516*D2516)</f>
        <v>1744000</v>
      </c>
      <c r="H2516" s="690" t="s">
        <v>173</v>
      </c>
      <c r="I2516" s="71" t="s">
        <v>109</v>
      </c>
      <c r="J2516" s="53">
        <f>G2516-T2516</f>
        <v>781920</v>
      </c>
      <c r="K2516" s="63">
        <f t="shared" ref="K2516:K2577" si="1360">(J2516/(F2516/11*10))</f>
        <v>0.44834862385321095</v>
      </c>
      <c r="L2516" s="871" t="s">
        <v>2107</v>
      </c>
      <c r="M2516" s="468"/>
      <c r="N2516" s="664">
        <f t="shared" si="1357"/>
        <v>191028</v>
      </c>
      <c r="O2516" s="71" t="s">
        <v>1443</v>
      </c>
      <c r="P2516" s="103" t="str">
        <f t="shared" ref="P2516:Q2521" si="1361">C2516</f>
        <v>M600 윤전 블랑켓 995*742</v>
      </c>
      <c r="Q2516" s="71">
        <f t="shared" si="1361"/>
        <v>8</v>
      </c>
      <c r="R2516" s="102">
        <v>120260</v>
      </c>
      <c r="S2516" s="102">
        <f>R2516*Q2516*1.1</f>
        <v>1058288</v>
      </c>
      <c r="T2516" s="102">
        <f>R2516*Q2516</f>
        <v>962080</v>
      </c>
      <c r="U2516" s="71" t="str">
        <f t="shared" ref="U2516:U2521" si="1362">IF(J2516=W2516,"O", "X")</f>
        <v>X</v>
      </c>
      <c r="V2516" s="71"/>
      <c r="W2516" s="474"/>
      <c r="X2516" s="71"/>
      <c r="Y2516" s="71"/>
    </row>
    <row r="2517" spans="1:25" ht="30" hidden="1" customHeight="1" x14ac:dyDescent="0.2">
      <c r="A2517" s="82">
        <v>191028</v>
      </c>
      <c r="B2517" s="664" t="s">
        <v>575</v>
      </c>
      <c r="C2517" s="71" t="s">
        <v>1388</v>
      </c>
      <c r="D2517" s="71">
        <v>3</v>
      </c>
      <c r="E2517" s="102">
        <v>185000</v>
      </c>
      <c r="F2517" s="163">
        <f t="shared" si="1358"/>
        <v>610500</v>
      </c>
      <c r="G2517" s="102">
        <f t="shared" si="1359"/>
        <v>555000</v>
      </c>
      <c r="H2517" s="690" t="s">
        <v>2029</v>
      </c>
      <c r="I2517" s="71" t="s">
        <v>108</v>
      </c>
      <c r="J2517" s="53">
        <f>G2517-T2517</f>
        <v>32091</v>
      </c>
      <c r="K2517" s="63">
        <f t="shared" si="1360"/>
        <v>5.7821621621621619E-2</v>
      </c>
      <c r="L2517" s="871" t="s">
        <v>2107</v>
      </c>
      <c r="M2517" s="468"/>
      <c r="N2517" s="664">
        <f t="shared" si="1357"/>
        <v>191028</v>
      </c>
      <c r="O2517" s="71" t="s">
        <v>1443</v>
      </c>
      <c r="P2517" s="103" t="str">
        <f t="shared" si="1361"/>
        <v>Flint 무알콜 윤전약물(Superaster)</v>
      </c>
      <c r="Q2517" s="71">
        <f t="shared" si="1361"/>
        <v>3</v>
      </c>
      <c r="R2517" s="102">
        <f>120303+54000</f>
        <v>174303</v>
      </c>
      <c r="S2517" s="102">
        <f>(R2517*D2517)*1.1+117230*1.1</f>
        <v>704152.9</v>
      </c>
      <c r="T2517" s="102">
        <f>(R2517*Q2517)</f>
        <v>522909</v>
      </c>
      <c r="U2517" s="71" t="str">
        <f t="shared" si="1362"/>
        <v>O</v>
      </c>
      <c r="V2517" s="71"/>
      <c r="W2517" s="474">
        <f>(G2517-T2517)</f>
        <v>32091</v>
      </c>
      <c r="X2517" s="71"/>
      <c r="Y2517" s="71"/>
    </row>
    <row r="2518" spans="1:25" ht="30" hidden="1" customHeight="1" x14ac:dyDescent="0.25">
      <c r="A2518" s="82">
        <v>191028</v>
      </c>
      <c r="B2518" s="664" t="s">
        <v>442</v>
      </c>
      <c r="C2518" s="71" t="s">
        <v>206</v>
      </c>
      <c r="D2518" s="71">
        <v>2</v>
      </c>
      <c r="E2518" s="102">
        <v>327000</v>
      </c>
      <c r="F2518" s="102">
        <f t="shared" si="1358"/>
        <v>719400</v>
      </c>
      <c r="G2518" s="102">
        <f t="shared" si="1359"/>
        <v>654000</v>
      </c>
      <c r="H2518" s="690" t="s">
        <v>2029</v>
      </c>
      <c r="I2518" s="71" t="s">
        <v>195</v>
      </c>
      <c r="J2518" s="53">
        <f>(G2518-(VLOOKUP(C2518,[5]Price!B$1:D$65536,3,FALSE)*D2518))</f>
        <v>115800</v>
      </c>
      <c r="K2518" s="63">
        <f t="shared" si="1360"/>
        <v>0.17706422018348625</v>
      </c>
      <c r="L2518" s="871" t="s">
        <v>2121</v>
      </c>
      <c r="M2518" s="468"/>
      <c r="N2518" s="664">
        <f t="shared" si="1357"/>
        <v>191028</v>
      </c>
      <c r="O2518" s="71" t="s">
        <v>194</v>
      </c>
      <c r="P2518" s="103" t="str">
        <f t="shared" si="1361"/>
        <v>Agfa Film(24inch)</v>
      </c>
      <c r="Q2518" s="71">
        <f t="shared" si="1361"/>
        <v>2</v>
      </c>
      <c r="R2518" s="102">
        <v>269100</v>
      </c>
      <c r="S2518" s="102">
        <f t="shared" ref="S2518:S2524" si="1363">R2518*Q2518*1.1</f>
        <v>592020</v>
      </c>
      <c r="T2518" s="102">
        <f t="shared" ref="T2518:T2524" si="1364">R2518*Q2518</f>
        <v>538200</v>
      </c>
      <c r="U2518" s="71" t="str">
        <f t="shared" si="1362"/>
        <v>O</v>
      </c>
      <c r="V2518" s="71"/>
      <c r="W2518" s="474">
        <f>(G2518-T2518)</f>
        <v>115800</v>
      </c>
      <c r="X2518" s="71"/>
      <c r="Y2518" s="71"/>
    </row>
    <row r="2519" spans="1:25" ht="30" hidden="1" customHeight="1" x14ac:dyDescent="0.25">
      <c r="A2519" s="82">
        <v>191028</v>
      </c>
      <c r="B2519" s="664" t="s">
        <v>442</v>
      </c>
      <c r="C2519" s="71" t="s">
        <v>207</v>
      </c>
      <c r="D2519" s="71">
        <v>2</v>
      </c>
      <c r="E2519" s="102">
        <v>401000</v>
      </c>
      <c r="F2519" s="102">
        <f t="shared" si="1358"/>
        <v>882200.00000000012</v>
      </c>
      <c r="G2519" s="102">
        <f t="shared" si="1359"/>
        <v>802000</v>
      </c>
      <c r="H2519" s="690" t="s">
        <v>2029</v>
      </c>
      <c r="I2519" s="71" t="s">
        <v>195</v>
      </c>
      <c r="J2519" s="53">
        <f>(G2519-(VLOOKUP(C2519,[5]Price!B$1:D$65536,3,FALSE)*D2519))</f>
        <v>174080</v>
      </c>
      <c r="K2519" s="63">
        <f t="shared" si="1360"/>
        <v>0.21705735660847877</v>
      </c>
      <c r="L2519" s="871" t="s">
        <v>2121</v>
      </c>
      <c r="M2519" s="468"/>
      <c r="N2519" s="664">
        <f t="shared" si="1357"/>
        <v>191028</v>
      </c>
      <c r="O2519" s="71" t="s">
        <v>194</v>
      </c>
      <c r="P2519" s="103" t="str">
        <f t="shared" si="1361"/>
        <v>Agfa Film(28inch)</v>
      </c>
      <c r="Q2519" s="71">
        <f t="shared" si="1361"/>
        <v>2</v>
      </c>
      <c r="R2519" s="102">
        <f>VLOOKUP(P2519,[5]Price!B$1:D$65536,3,FALSE)</f>
        <v>313960</v>
      </c>
      <c r="S2519" s="102">
        <f t="shared" si="1363"/>
        <v>690712</v>
      </c>
      <c r="T2519" s="102">
        <f t="shared" si="1364"/>
        <v>627920</v>
      </c>
      <c r="U2519" s="71" t="str">
        <f t="shared" si="1362"/>
        <v>O</v>
      </c>
      <c r="V2519" s="71"/>
      <c r="W2519" s="474">
        <f>(G2519-T2519)</f>
        <v>174080</v>
      </c>
      <c r="X2519" s="71"/>
      <c r="Y2519" s="71"/>
    </row>
    <row r="2520" spans="1:25" ht="30" hidden="1" customHeight="1" x14ac:dyDescent="0.25">
      <c r="A2520" s="82">
        <v>191028</v>
      </c>
      <c r="B2520" s="664" t="s">
        <v>442</v>
      </c>
      <c r="C2520" s="71" t="s">
        <v>208</v>
      </c>
      <c r="D2520" s="71">
        <v>2</v>
      </c>
      <c r="E2520" s="102">
        <v>448000</v>
      </c>
      <c r="F2520" s="102">
        <f t="shared" si="1358"/>
        <v>985600.00000000012</v>
      </c>
      <c r="G2520" s="102">
        <f t="shared" si="1359"/>
        <v>896000</v>
      </c>
      <c r="H2520" s="690" t="s">
        <v>2029</v>
      </c>
      <c r="I2520" s="71" t="s">
        <v>195</v>
      </c>
      <c r="J2520" s="53">
        <f>(G2520-(VLOOKUP(C2520,[5]Price!B$1:D$65536,3,FALSE)*D2520))</f>
        <v>155980</v>
      </c>
      <c r="K2520" s="63">
        <f t="shared" si="1360"/>
        <v>0.1740848214285714</v>
      </c>
      <c r="L2520" s="871" t="s">
        <v>2121</v>
      </c>
      <c r="M2520" s="468"/>
      <c r="N2520" s="664">
        <f t="shared" si="1357"/>
        <v>191028</v>
      </c>
      <c r="O2520" s="71" t="s">
        <v>194</v>
      </c>
      <c r="P2520" s="103" t="str">
        <f t="shared" si="1361"/>
        <v>Agfa Film(32inch)</v>
      </c>
      <c r="Q2520" s="71">
        <f t="shared" si="1361"/>
        <v>2</v>
      </c>
      <c r="R2520" s="102">
        <f>VLOOKUP(P2520,[5]Price!B$1:D$65536,3,FALSE)</f>
        <v>370010</v>
      </c>
      <c r="S2520" s="102">
        <f t="shared" si="1363"/>
        <v>814022.00000000012</v>
      </c>
      <c r="T2520" s="102">
        <f t="shared" si="1364"/>
        <v>740020</v>
      </c>
      <c r="U2520" s="71" t="str">
        <f t="shared" si="1362"/>
        <v>O</v>
      </c>
      <c r="V2520" s="71"/>
      <c r="W2520" s="474">
        <f>(G2520-T2520)</f>
        <v>155980</v>
      </c>
      <c r="X2520" s="71"/>
      <c r="Y2520" s="71"/>
    </row>
    <row r="2521" spans="1:25" ht="30" hidden="1" customHeight="1" x14ac:dyDescent="0.25">
      <c r="A2521" s="82">
        <v>191028</v>
      </c>
      <c r="B2521" s="664" t="s">
        <v>442</v>
      </c>
      <c r="C2521" s="71" t="s">
        <v>651</v>
      </c>
      <c r="D2521" s="71">
        <v>6</v>
      </c>
      <c r="E2521" s="102">
        <v>41000</v>
      </c>
      <c r="F2521" s="102">
        <f t="shared" si="1358"/>
        <v>270600</v>
      </c>
      <c r="G2521" s="102">
        <f t="shared" si="1359"/>
        <v>246000</v>
      </c>
      <c r="H2521" s="690" t="s">
        <v>2029</v>
      </c>
      <c r="I2521" s="71" t="s">
        <v>195</v>
      </c>
      <c r="J2521" s="53">
        <f>(G2521-(VLOOKUP(C2521,[5]Price!B$1:D$65536,3,FALSE)*D2521))</f>
        <v>96000</v>
      </c>
      <c r="K2521" s="63">
        <f t="shared" si="1360"/>
        <v>0.3902439024390244</v>
      </c>
      <c r="L2521" s="871" t="s">
        <v>2121</v>
      </c>
      <c r="M2521" s="468"/>
      <c r="N2521" s="664">
        <f t="shared" si="1357"/>
        <v>191028</v>
      </c>
      <c r="O2521" s="71" t="s">
        <v>194</v>
      </c>
      <c r="P2521" s="103" t="str">
        <f t="shared" si="1361"/>
        <v>Agfa 현상액 G101C(10L)</v>
      </c>
      <c r="Q2521" s="71">
        <f t="shared" si="1361"/>
        <v>6</v>
      </c>
      <c r="R2521" s="102">
        <f>VLOOKUP(P2521,[5]Price!B$1:D$65536,3,FALSE)</f>
        <v>25000</v>
      </c>
      <c r="S2521" s="102">
        <f t="shared" si="1363"/>
        <v>165000</v>
      </c>
      <c r="T2521" s="102">
        <f t="shared" si="1364"/>
        <v>150000</v>
      </c>
      <c r="U2521" s="71" t="str">
        <f t="shared" si="1362"/>
        <v>O</v>
      </c>
      <c r="V2521" s="71"/>
      <c r="W2521" s="474">
        <f>(G2521-T2521)</f>
        <v>96000</v>
      </c>
      <c r="X2521" s="71"/>
      <c r="Y2521" s="71"/>
    </row>
    <row r="2522" spans="1:25" ht="30" hidden="1" customHeight="1" x14ac:dyDescent="0.25">
      <c r="A2522" s="82">
        <v>191031</v>
      </c>
      <c r="B2522" s="664" t="s">
        <v>748</v>
      </c>
      <c r="C2522" s="71" t="s">
        <v>2108</v>
      </c>
      <c r="D2522" s="71">
        <v>5</v>
      </c>
      <c r="E2522" s="102">
        <v>78000</v>
      </c>
      <c r="F2522" s="102">
        <f t="shared" ref="F2522:F2528" si="1365">(E2522*D2522)*1.1</f>
        <v>429000.00000000006</v>
      </c>
      <c r="G2522" s="102">
        <f t="shared" ref="G2522:G2528" si="1366">(E2522*D2522)</f>
        <v>390000</v>
      </c>
      <c r="H2522" s="690" t="s">
        <v>1431</v>
      </c>
      <c r="I2522" s="71" t="s">
        <v>1431</v>
      </c>
      <c r="J2522" s="53">
        <f>G2522-T2522</f>
        <v>161400</v>
      </c>
      <c r="K2522" s="63">
        <f t="shared" si="1360"/>
        <v>0.41384615384615381</v>
      </c>
      <c r="L2522" s="871" t="s">
        <v>2107</v>
      </c>
      <c r="M2522" s="468"/>
      <c r="N2522" s="664">
        <f t="shared" si="1357"/>
        <v>191031</v>
      </c>
      <c r="O2522" s="71" t="s">
        <v>1431</v>
      </c>
      <c r="P2522" s="103" t="str">
        <f>C2522</f>
        <v>스프링 블레이드(소)</v>
      </c>
      <c r="Q2522" s="71">
        <f t="shared" ref="Q2522:Q2528" si="1367">D2522</f>
        <v>5</v>
      </c>
      <c r="R2522" s="102">
        <v>45720</v>
      </c>
      <c r="S2522" s="102">
        <f t="shared" si="1363"/>
        <v>251460.00000000003</v>
      </c>
      <c r="T2522" s="102">
        <f t="shared" si="1364"/>
        <v>228600</v>
      </c>
      <c r="U2522" s="71"/>
      <c r="V2522" s="71"/>
      <c r="W2522" s="474"/>
      <c r="X2522" s="71"/>
      <c r="Y2522" s="71"/>
    </row>
    <row r="2523" spans="1:25" ht="30" hidden="1" customHeight="1" x14ac:dyDescent="0.25">
      <c r="A2523" s="82">
        <v>191101</v>
      </c>
      <c r="B2523" s="664" t="s">
        <v>446</v>
      </c>
      <c r="C2523" s="71" t="s">
        <v>2028</v>
      </c>
      <c r="D2523" s="71">
        <v>8</v>
      </c>
      <c r="E2523" s="102">
        <v>110000</v>
      </c>
      <c r="F2523" s="102">
        <f t="shared" si="1365"/>
        <v>968000.00000000012</v>
      </c>
      <c r="G2523" s="102">
        <f t="shared" si="1366"/>
        <v>880000</v>
      </c>
      <c r="H2523" s="690" t="s">
        <v>2029</v>
      </c>
      <c r="I2523" s="71" t="s">
        <v>2231</v>
      </c>
      <c r="J2523" s="53">
        <f>G2523-T2523</f>
        <v>152000</v>
      </c>
      <c r="K2523" s="63">
        <f t="shared" si="1360"/>
        <v>0.1727272727272727</v>
      </c>
      <c r="L2523" s="871" t="s">
        <v>2107</v>
      </c>
      <c r="M2523" s="468"/>
      <c r="N2523" s="664">
        <f t="shared" si="1357"/>
        <v>191101</v>
      </c>
      <c r="O2523" s="71" t="s">
        <v>2030</v>
      </c>
      <c r="P2523" s="103" t="str">
        <f>C2523</f>
        <v>실리콘 에멀전</v>
      </c>
      <c r="Q2523" s="71">
        <f t="shared" si="1367"/>
        <v>8</v>
      </c>
      <c r="R2523" s="102">
        <v>91000</v>
      </c>
      <c r="S2523" s="102">
        <f t="shared" si="1363"/>
        <v>800800.00000000012</v>
      </c>
      <c r="T2523" s="102">
        <f t="shared" si="1364"/>
        <v>728000</v>
      </c>
      <c r="U2523" s="71" t="str">
        <f>IF(J2523=W2523,"O", "X")</f>
        <v>O</v>
      </c>
      <c r="V2523" s="71"/>
      <c r="W2523" s="474">
        <f t="shared" ref="W2523:W2530" si="1368">(G2523-T2523)</f>
        <v>152000</v>
      </c>
      <c r="X2523" s="71"/>
      <c r="Y2523" s="71"/>
    </row>
    <row r="2524" spans="1:25" ht="30" hidden="1" customHeight="1" x14ac:dyDescent="0.25">
      <c r="A2524" s="82">
        <v>191101</v>
      </c>
      <c r="B2524" s="664" t="s">
        <v>1286</v>
      </c>
      <c r="C2524" s="760" t="s">
        <v>218</v>
      </c>
      <c r="D2524" s="71">
        <v>10</v>
      </c>
      <c r="E2524" s="102">
        <v>192500</v>
      </c>
      <c r="F2524" s="102">
        <f t="shared" si="1365"/>
        <v>2117500</v>
      </c>
      <c r="G2524" s="102">
        <f t="shared" si="1366"/>
        <v>1925000</v>
      </c>
      <c r="H2524" s="690" t="s">
        <v>173</v>
      </c>
      <c r="I2524" s="71" t="s">
        <v>120</v>
      </c>
      <c r="J2524" s="53">
        <f>(G2524-(VLOOKUP(C2524,Price!B:D,3,FALSE)*D2524))</f>
        <v>800000</v>
      </c>
      <c r="K2524" s="63">
        <f t="shared" si="1360"/>
        <v>0.41558441558441561</v>
      </c>
      <c r="L2524" s="871" t="s">
        <v>2107</v>
      </c>
      <c r="M2524" s="468"/>
      <c r="N2524" s="664">
        <f t="shared" si="1357"/>
        <v>191101</v>
      </c>
      <c r="O2524" s="71" t="s">
        <v>150</v>
      </c>
      <c r="P2524" s="103" t="str">
        <f>C2524</f>
        <v>Fount Web 551AF</v>
      </c>
      <c r="Q2524" s="71">
        <f t="shared" si="1367"/>
        <v>10</v>
      </c>
      <c r="R2524" s="102">
        <v>112500</v>
      </c>
      <c r="S2524" s="102">
        <f t="shared" si="1363"/>
        <v>1237500</v>
      </c>
      <c r="T2524" s="102">
        <f t="shared" si="1364"/>
        <v>1125000</v>
      </c>
      <c r="U2524" s="71" t="s">
        <v>859</v>
      </c>
      <c r="V2524" s="71"/>
      <c r="W2524" s="474">
        <f t="shared" si="1368"/>
        <v>800000</v>
      </c>
      <c r="X2524" s="71"/>
      <c r="Y2524" s="71"/>
    </row>
    <row r="2525" spans="1:25" s="209" customFormat="1" ht="30" hidden="1" customHeight="1" x14ac:dyDescent="0.25">
      <c r="A2525" s="82">
        <v>191101</v>
      </c>
      <c r="B2525" s="664" t="s">
        <v>1286</v>
      </c>
      <c r="C2525" s="71" t="s">
        <v>277</v>
      </c>
      <c r="D2525" s="71">
        <v>5</v>
      </c>
      <c r="E2525" s="102">
        <v>172000</v>
      </c>
      <c r="F2525" s="102">
        <f t="shared" si="1365"/>
        <v>946000.00000000012</v>
      </c>
      <c r="G2525" s="102">
        <f t="shared" si="1366"/>
        <v>860000</v>
      </c>
      <c r="H2525" s="690" t="s">
        <v>173</v>
      </c>
      <c r="I2525" s="71" t="s">
        <v>108</v>
      </c>
      <c r="J2525" s="53">
        <f>(G2525-(VLOOKUP(C2525,Price!B:D,3,FALSE)*D2525))</f>
        <v>285000</v>
      </c>
      <c r="K2525" s="63">
        <f t="shared" si="1360"/>
        <v>0.33139534883720928</v>
      </c>
      <c r="L2525" s="871" t="s">
        <v>2107</v>
      </c>
      <c r="M2525" s="468"/>
      <c r="N2525" s="664">
        <f t="shared" si="1357"/>
        <v>191101</v>
      </c>
      <c r="O2525" s="71" t="s">
        <v>150</v>
      </c>
      <c r="P2525" s="103" t="str">
        <f>(C2525)</f>
        <v>윤전용 세척제(Web 504)</v>
      </c>
      <c r="Q2525" s="71">
        <f t="shared" si="1367"/>
        <v>5</v>
      </c>
      <c r="R2525" s="102">
        <v>115000</v>
      </c>
      <c r="S2525" s="102">
        <f>(R2525*D2525)*1.1</f>
        <v>632500</v>
      </c>
      <c r="T2525" s="102">
        <f>(R2525*Q2525)</f>
        <v>575000</v>
      </c>
      <c r="U2525" s="71" t="str">
        <f t="shared" ref="U2525:U2530" si="1369">IF(J2525=W2525,"O", "X")</f>
        <v>O</v>
      </c>
      <c r="V2525" s="71"/>
      <c r="W2525" s="474">
        <f t="shared" si="1368"/>
        <v>285000</v>
      </c>
      <c r="X2525" s="71"/>
      <c r="Y2525" s="71"/>
    </row>
    <row r="2526" spans="1:25" s="209" customFormat="1" ht="30" hidden="1" customHeight="1" x14ac:dyDescent="0.25">
      <c r="A2526" s="82">
        <v>191101</v>
      </c>
      <c r="B2526" s="664" t="s">
        <v>1286</v>
      </c>
      <c r="C2526" s="71" t="s">
        <v>1144</v>
      </c>
      <c r="D2526" s="71">
        <v>10</v>
      </c>
      <c r="E2526" s="102">
        <v>110000</v>
      </c>
      <c r="F2526" s="102">
        <f t="shared" si="1365"/>
        <v>1210000</v>
      </c>
      <c r="G2526" s="102">
        <f t="shared" si="1366"/>
        <v>1100000</v>
      </c>
      <c r="H2526" s="690" t="s">
        <v>173</v>
      </c>
      <c r="I2526" s="71" t="s">
        <v>2231</v>
      </c>
      <c r="J2526" s="53">
        <f t="shared" ref="J2526:J2535" si="1370">G2526-T2526</f>
        <v>190000</v>
      </c>
      <c r="K2526" s="63">
        <f t="shared" si="1360"/>
        <v>0.17272727272727273</v>
      </c>
      <c r="L2526" s="871" t="s">
        <v>2107</v>
      </c>
      <c r="M2526" s="468"/>
      <c r="N2526" s="664">
        <f t="shared" si="1357"/>
        <v>191101</v>
      </c>
      <c r="O2526" s="71" t="s">
        <v>150</v>
      </c>
      <c r="P2526" s="103" t="str">
        <f t="shared" ref="P2526:P2589" si="1371">C2526</f>
        <v>실리콘 에멀전</v>
      </c>
      <c r="Q2526" s="71">
        <f t="shared" si="1367"/>
        <v>10</v>
      </c>
      <c r="R2526" s="102">
        <v>91000</v>
      </c>
      <c r="S2526" s="102">
        <f t="shared" ref="S2526:S2536" si="1372">R2526*Q2526*1.1</f>
        <v>1001000.0000000001</v>
      </c>
      <c r="T2526" s="102">
        <f t="shared" ref="T2526:T2536" si="1373">R2526*Q2526</f>
        <v>910000</v>
      </c>
      <c r="U2526" s="71" t="str">
        <f t="shared" si="1369"/>
        <v>O</v>
      </c>
      <c r="V2526" s="71"/>
      <c r="W2526" s="474">
        <f t="shared" si="1368"/>
        <v>190000</v>
      </c>
      <c r="X2526" s="71"/>
      <c r="Y2526" s="71"/>
    </row>
    <row r="2527" spans="1:25" ht="30" hidden="1" customHeight="1" x14ac:dyDescent="0.25">
      <c r="A2527" s="82">
        <v>191101</v>
      </c>
      <c r="B2527" s="664" t="s">
        <v>640</v>
      </c>
      <c r="C2527" s="71" t="s">
        <v>1144</v>
      </c>
      <c r="D2527" s="71">
        <v>8</v>
      </c>
      <c r="E2527" s="102">
        <v>110000</v>
      </c>
      <c r="F2527" s="102">
        <f t="shared" si="1365"/>
        <v>968000.00000000012</v>
      </c>
      <c r="G2527" s="102">
        <f t="shared" si="1366"/>
        <v>880000</v>
      </c>
      <c r="H2527" s="690" t="s">
        <v>173</v>
      </c>
      <c r="I2527" s="71" t="s">
        <v>2231</v>
      </c>
      <c r="J2527" s="53">
        <f t="shared" si="1370"/>
        <v>152000</v>
      </c>
      <c r="K2527" s="63">
        <f t="shared" si="1360"/>
        <v>0.1727272727272727</v>
      </c>
      <c r="L2527" s="871" t="s">
        <v>2121</v>
      </c>
      <c r="M2527" s="468"/>
      <c r="N2527" s="664">
        <f t="shared" si="1357"/>
        <v>191101</v>
      </c>
      <c r="O2527" s="71" t="s">
        <v>150</v>
      </c>
      <c r="P2527" s="103" t="str">
        <f t="shared" si="1371"/>
        <v>실리콘 에멀전</v>
      </c>
      <c r="Q2527" s="71">
        <f t="shared" si="1367"/>
        <v>8</v>
      </c>
      <c r="R2527" s="102">
        <v>91000</v>
      </c>
      <c r="S2527" s="102">
        <f t="shared" si="1372"/>
        <v>800800.00000000012</v>
      </c>
      <c r="T2527" s="102">
        <f t="shared" si="1373"/>
        <v>728000</v>
      </c>
      <c r="U2527" s="71" t="str">
        <f t="shared" si="1369"/>
        <v>O</v>
      </c>
      <c r="V2527" s="71"/>
      <c r="W2527" s="474">
        <f t="shared" si="1368"/>
        <v>152000</v>
      </c>
      <c r="X2527" s="71"/>
      <c r="Y2527" s="71"/>
    </row>
    <row r="2528" spans="1:25" ht="30" hidden="1" customHeight="1" x14ac:dyDescent="0.25">
      <c r="A2528" s="82">
        <v>191104</v>
      </c>
      <c r="B2528" s="664" t="s">
        <v>809</v>
      </c>
      <c r="C2528" s="71" t="s">
        <v>1081</v>
      </c>
      <c r="D2528" s="71">
        <v>10</v>
      </c>
      <c r="E2528" s="102">
        <v>156000</v>
      </c>
      <c r="F2528" s="102">
        <f t="shared" si="1365"/>
        <v>1716000.0000000002</v>
      </c>
      <c r="G2528" s="102">
        <f t="shared" si="1366"/>
        <v>1560000</v>
      </c>
      <c r="H2528" s="690" t="s">
        <v>173</v>
      </c>
      <c r="I2528" s="71" t="s">
        <v>2231</v>
      </c>
      <c r="J2528" s="53">
        <f t="shared" si="1370"/>
        <v>360000</v>
      </c>
      <c r="K2528" s="63">
        <f t="shared" si="1360"/>
        <v>0.23076923076923073</v>
      </c>
      <c r="L2528" s="871" t="s">
        <v>2107</v>
      </c>
      <c r="M2528" s="468"/>
      <c r="N2528" s="664">
        <f t="shared" si="1357"/>
        <v>191104</v>
      </c>
      <c r="O2528" s="71" t="s">
        <v>147</v>
      </c>
      <c r="P2528" s="103" t="str">
        <f t="shared" si="1371"/>
        <v>파우더</v>
      </c>
      <c r="Q2528" s="71">
        <f t="shared" si="1367"/>
        <v>10</v>
      </c>
      <c r="R2528" s="102">
        <v>120000</v>
      </c>
      <c r="S2528" s="102">
        <f t="shared" si="1372"/>
        <v>1320000</v>
      </c>
      <c r="T2528" s="102">
        <f t="shared" si="1373"/>
        <v>1200000</v>
      </c>
      <c r="U2528" s="71" t="str">
        <f t="shared" si="1369"/>
        <v>O</v>
      </c>
      <c r="V2528" s="71"/>
      <c r="W2528" s="474">
        <f t="shared" si="1368"/>
        <v>360000</v>
      </c>
      <c r="X2528" s="71"/>
      <c r="Y2528" s="71"/>
    </row>
    <row r="2529" spans="1:25" ht="30" hidden="1" customHeight="1" x14ac:dyDescent="0.25">
      <c r="A2529" s="82">
        <v>191104</v>
      </c>
      <c r="B2529" s="664" t="s">
        <v>446</v>
      </c>
      <c r="C2529" s="71" t="s">
        <v>2028</v>
      </c>
      <c r="D2529" s="71">
        <v>8</v>
      </c>
      <c r="E2529" s="102">
        <v>110000</v>
      </c>
      <c r="F2529" s="102">
        <f t="shared" ref="F2529:F2538" si="1374">(E2529*D2529)*1.1</f>
        <v>968000.00000000012</v>
      </c>
      <c r="G2529" s="102">
        <f t="shared" ref="G2529:G2537" si="1375">(E2529*D2529)</f>
        <v>880000</v>
      </c>
      <c r="H2529" s="690" t="s">
        <v>2029</v>
      </c>
      <c r="I2529" s="71" t="s">
        <v>2231</v>
      </c>
      <c r="J2529" s="53">
        <f t="shared" si="1370"/>
        <v>152000</v>
      </c>
      <c r="K2529" s="63">
        <f t="shared" si="1360"/>
        <v>0.1727272727272727</v>
      </c>
      <c r="L2529" s="871" t="s">
        <v>2121</v>
      </c>
      <c r="M2529" s="468"/>
      <c r="N2529" s="664">
        <f t="shared" ref="N2529:N2592" si="1376">A2529</f>
        <v>191104</v>
      </c>
      <c r="O2529" s="71" t="s">
        <v>2030</v>
      </c>
      <c r="P2529" s="103" t="str">
        <f t="shared" si="1371"/>
        <v>실리콘 에멀전</v>
      </c>
      <c r="Q2529" s="71">
        <f t="shared" ref="Q2529:Q2592" si="1377">D2529</f>
        <v>8</v>
      </c>
      <c r="R2529" s="102">
        <v>91000</v>
      </c>
      <c r="S2529" s="102">
        <f t="shared" si="1372"/>
        <v>800800.00000000012</v>
      </c>
      <c r="T2529" s="102">
        <f t="shared" si="1373"/>
        <v>728000</v>
      </c>
      <c r="U2529" s="71" t="str">
        <f t="shared" si="1369"/>
        <v>O</v>
      </c>
      <c r="V2529" s="71"/>
      <c r="W2529" s="474">
        <f t="shared" si="1368"/>
        <v>152000</v>
      </c>
      <c r="X2529" s="71"/>
      <c r="Y2529" s="71"/>
    </row>
    <row r="2530" spans="1:25" ht="30" hidden="1" customHeight="1" x14ac:dyDescent="0.25">
      <c r="A2530" s="82">
        <v>191105</v>
      </c>
      <c r="B2530" s="664" t="s">
        <v>446</v>
      </c>
      <c r="C2530" s="71" t="s">
        <v>2028</v>
      </c>
      <c r="D2530" s="71">
        <v>8</v>
      </c>
      <c r="E2530" s="102">
        <v>110000</v>
      </c>
      <c r="F2530" s="102">
        <f t="shared" si="1374"/>
        <v>968000.00000000012</v>
      </c>
      <c r="G2530" s="102">
        <f t="shared" si="1375"/>
        <v>880000</v>
      </c>
      <c r="H2530" s="690" t="s">
        <v>2029</v>
      </c>
      <c r="I2530" s="71" t="s">
        <v>2231</v>
      </c>
      <c r="J2530" s="53">
        <f t="shared" si="1370"/>
        <v>152000</v>
      </c>
      <c r="K2530" s="63">
        <f t="shared" si="1360"/>
        <v>0.1727272727272727</v>
      </c>
      <c r="L2530" s="871" t="s">
        <v>2121</v>
      </c>
      <c r="M2530" s="468"/>
      <c r="N2530" s="664">
        <f t="shared" si="1376"/>
        <v>191105</v>
      </c>
      <c r="O2530" s="71" t="s">
        <v>2030</v>
      </c>
      <c r="P2530" s="103" t="str">
        <f t="shared" ref="P2530:P2536" si="1378">C2530</f>
        <v>실리콘 에멀전</v>
      </c>
      <c r="Q2530" s="71">
        <f t="shared" si="1377"/>
        <v>8</v>
      </c>
      <c r="R2530" s="102">
        <v>91000</v>
      </c>
      <c r="S2530" s="102">
        <f t="shared" si="1372"/>
        <v>800800.00000000012</v>
      </c>
      <c r="T2530" s="102">
        <f t="shared" si="1373"/>
        <v>728000</v>
      </c>
      <c r="U2530" s="71" t="str">
        <f t="shared" si="1369"/>
        <v>O</v>
      </c>
      <c r="V2530" s="71"/>
      <c r="W2530" s="474">
        <f t="shared" si="1368"/>
        <v>152000</v>
      </c>
      <c r="X2530" s="71"/>
      <c r="Y2530" s="71"/>
    </row>
    <row r="2531" spans="1:25" s="209" customFormat="1" ht="30" hidden="1" customHeight="1" x14ac:dyDescent="0.2">
      <c r="A2531" s="82">
        <v>191105</v>
      </c>
      <c r="B2531" s="664" t="s">
        <v>445</v>
      </c>
      <c r="C2531" s="71" t="s">
        <v>138</v>
      </c>
      <c r="D2531" s="71">
        <v>10</v>
      </c>
      <c r="E2531" s="102">
        <v>59500</v>
      </c>
      <c r="F2531" s="102">
        <f t="shared" si="1374"/>
        <v>654500</v>
      </c>
      <c r="G2531" s="102">
        <f t="shared" si="1375"/>
        <v>595000</v>
      </c>
      <c r="H2531" s="165" t="s">
        <v>172</v>
      </c>
      <c r="I2531" s="71" t="s">
        <v>108</v>
      </c>
      <c r="J2531" s="53">
        <f t="shared" si="1370"/>
        <v>85000</v>
      </c>
      <c r="K2531" s="63">
        <f t="shared" si="1360"/>
        <v>0.14285714285714285</v>
      </c>
      <c r="L2531" s="871" t="s">
        <v>2121</v>
      </c>
      <c r="M2531" s="468"/>
      <c r="N2531" s="664">
        <f t="shared" si="1376"/>
        <v>191105</v>
      </c>
      <c r="O2531" s="71" t="s">
        <v>150</v>
      </c>
      <c r="P2531" s="103" t="str">
        <f t="shared" si="1378"/>
        <v>매엽용 세척제(Wash 562)</v>
      </c>
      <c r="Q2531" s="71">
        <f t="shared" si="1377"/>
        <v>10</v>
      </c>
      <c r="R2531" s="102">
        <v>51000</v>
      </c>
      <c r="S2531" s="102">
        <f t="shared" si="1372"/>
        <v>561000</v>
      </c>
      <c r="T2531" s="102">
        <f t="shared" si="1373"/>
        <v>510000</v>
      </c>
      <c r="U2531" s="71" t="s">
        <v>859</v>
      </c>
      <c r="V2531" s="71"/>
      <c r="W2531" s="474">
        <v>85000</v>
      </c>
      <c r="X2531" s="71"/>
      <c r="Y2531" s="71"/>
    </row>
    <row r="2532" spans="1:25" s="209" customFormat="1" ht="30" hidden="1" customHeight="1" x14ac:dyDescent="0.25">
      <c r="A2532" s="82">
        <v>191105</v>
      </c>
      <c r="B2532" s="664" t="s">
        <v>445</v>
      </c>
      <c r="C2532" s="71" t="s">
        <v>277</v>
      </c>
      <c r="D2532" s="71">
        <v>5</v>
      </c>
      <c r="E2532" s="102">
        <v>172000</v>
      </c>
      <c r="F2532" s="102">
        <f t="shared" si="1374"/>
        <v>946000.00000000012</v>
      </c>
      <c r="G2532" s="102">
        <f t="shared" si="1375"/>
        <v>860000</v>
      </c>
      <c r="H2532" s="690" t="s">
        <v>173</v>
      </c>
      <c r="I2532" s="71" t="s">
        <v>108</v>
      </c>
      <c r="J2532" s="53">
        <f t="shared" si="1370"/>
        <v>285000</v>
      </c>
      <c r="K2532" s="63">
        <f t="shared" si="1360"/>
        <v>0.33139534883720928</v>
      </c>
      <c r="L2532" s="871" t="s">
        <v>2121</v>
      </c>
      <c r="M2532" s="468"/>
      <c r="N2532" s="664">
        <f t="shared" si="1376"/>
        <v>191105</v>
      </c>
      <c r="O2532" s="71" t="s">
        <v>150</v>
      </c>
      <c r="P2532" s="103" t="str">
        <f t="shared" si="1378"/>
        <v>윤전용 세척제(Web 504)</v>
      </c>
      <c r="Q2532" s="71">
        <f t="shared" si="1377"/>
        <v>5</v>
      </c>
      <c r="R2532" s="102">
        <v>115000</v>
      </c>
      <c r="S2532" s="102">
        <f t="shared" si="1372"/>
        <v>632500</v>
      </c>
      <c r="T2532" s="102">
        <f t="shared" si="1373"/>
        <v>575000</v>
      </c>
      <c r="U2532" s="71" t="s">
        <v>859</v>
      </c>
      <c r="V2532" s="71"/>
      <c r="W2532" s="474">
        <v>285000</v>
      </c>
      <c r="X2532" s="71"/>
      <c r="Y2532" s="71"/>
    </row>
    <row r="2533" spans="1:25" s="209" customFormat="1" ht="30" hidden="1" customHeight="1" x14ac:dyDescent="0.2">
      <c r="A2533" s="82">
        <v>191105</v>
      </c>
      <c r="B2533" s="664" t="s">
        <v>445</v>
      </c>
      <c r="C2533" s="71" t="s">
        <v>107</v>
      </c>
      <c r="D2533" s="71">
        <v>10</v>
      </c>
      <c r="E2533" s="102">
        <v>108000</v>
      </c>
      <c r="F2533" s="102">
        <f t="shared" si="1374"/>
        <v>1188000</v>
      </c>
      <c r="G2533" s="102">
        <f t="shared" si="1375"/>
        <v>1080000</v>
      </c>
      <c r="H2533" s="165" t="s">
        <v>172</v>
      </c>
      <c r="I2533" s="71" t="s">
        <v>109</v>
      </c>
      <c r="J2533" s="53">
        <f t="shared" si="1370"/>
        <v>275000</v>
      </c>
      <c r="K2533" s="63">
        <f t="shared" si="1360"/>
        <v>0.25462962962962965</v>
      </c>
      <c r="L2533" s="871" t="s">
        <v>2121</v>
      </c>
      <c r="M2533" s="468"/>
      <c r="N2533" s="664">
        <f t="shared" si="1376"/>
        <v>191105</v>
      </c>
      <c r="O2533" s="71" t="s">
        <v>147</v>
      </c>
      <c r="P2533" s="103" t="str">
        <f t="shared" si="1378"/>
        <v>Blanket(1050*840)</v>
      </c>
      <c r="Q2533" s="71">
        <f t="shared" si="1377"/>
        <v>10</v>
      </c>
      <c r="R2533" s="102">
        <v>80500</v>
      </c>
      <c r="S2533" s="102">
        <f t="shared" si="1372"/>
        <v>885500.00000000012</v>
      </c>
      <c r="T2533" s="102">
        <f t="shared" si="1373"/>
        <v>805000</v>
      </c>
      <c r="U2533" s="71" t="s">
        <v>859</v>
      </c>
      <c r="V2533" s="71"/>
      <c r="W2533" s="474">
        <v>275000</v>
      </c>
      <c r="X2533" s="71"/>
      <c r="Y2533" s="71"/>
    </row>
    <row r="2534" spans="1:25" s="209" customFormat="1" ht="30" hidden="1" customHeight="1" x14ac:dyDescent="0.2">
      <c r="A2534" s="82">
        <v>191105</v>
      </c>
      <c r="B2534" s="664" t="s">
        <v>569</v>
      </c>
      <c r="C2534" s="71" t="s">
        <v>123</v>
      </c>
      <c r="D2534" s="71">
        <v>20</v>
      </c>
      <c r="E2534" s="102">
        <v>40000</v>
      </c>
      <c r="F2534" s="102">
        <f t="shared" si="1374"/>
        <v>880000.00000000012</v>
      </c>
      <c r="G2534" s="102">
        <f t="shared" si="1375"/>
        <v>800000</v>
      </c>
      <c r="H2534" s="165" t="s">
        <v>1432</v>
      </c>
      <c r="I2534" s="71" t="s">
        <v>1432</v>
      </c>
      <c r="J2534" s="53">
        <f t="shared" si="1370"/>
        <v>310920</v>
      </c>
      <c r="K2534" s="63">
        <f t="shared" si="1360"/>
        <v>0.38864999999999994</v>
      </c>
      <c r="L2534" s="871" t="s">
        <v>2121</v>
      </c>
      <c r="M2534" s="468"/>
      <c r="N2534" s="664">
        <f t="shared" si="1376"/>
        <v>191105</v>
      </c>
      <c r="O2534" s="71" t="s">
        <v>1432</v>
      </c>
      <c r="P2534" s="103" t="str">
        <f t="shared" si="1378"/>
        <v>필터백</v>
      </c>
      <c r="Q2534" s="71">
        <f t="shared" si="1377"/>
        <v>20</v>
      </c>
      <c r="R2534" s="102">
        <v>24454</v>
      </c>
      <c r="S2534" s="102">
        <f t="shared" si="1372"/>
        <v>537988</v>
      </c>
      <c r="T2534" s="102">
        <f t="shared" si="1373"/>
        <v>489080</v>
      </c>
      <c r="U2534" s="71"/>
      <c r="V2534" s="71"/>
      <c r="W2534" s="474"/>
      <c r="X2534" s="71"/>
      <c r="Y2534" s="71"/>
    </row>
    <row r="2535" spans="1:25" ht="30" hidden="1" customHeight="1" x14ac:dyDescent="0.25">
      <c r="A2535" s="82">
        <v>191106</v>
      </c>
      <c r="B2535" s="664" t="s">
        <v>575</v>
      </c>
      <c r="C2535" s="71" t="s">
        <v>1367</v>
      </c>
      <c r="D2535" s="71">
        <v>8</v>
      </c>
      <c r="E2535" s="102">
        <v>218000</v>
      </c>
      <c r="F2535" s="102">
        <f t="shared" si="1374"/>
        <v>1918400.0000000002</v>
      </c>
      <c r="G2535" s="102">
        <f t="shared" si="1375"/>
        <v>1744000</v>
      </c>
      <c r="H2535" s="690" t="s">
        <v>173</v>
      </c>
      <c r="I2535" s="71" t="s">
        <v>109</v>
      </c>
      <c r="J2535" s="53">
        <f t="shared" si="1370"/>
        <v>781920</v>
      </c>
      <c r="K2535" s="63">
        <f t="shared" si="1360"/>
        <v>0.44834862385321095</v>
      </c>
      <c r="L2535" s="871" t="s">
        <v>2121</v>
      </c>
      <c r="M2535" s="468"/>
      <c r="N2535" s="664">
        <f t="shared" si="1376"/>
        <v>191106</v>
      </c>
      <c r="O2535" s="71" t="s">
        <v>1443</v>
      </c>
      <c r="P2535" s="103" t="str">
        <f t="shared" si="1378"/>
        <v>M600 윤전 블랑켓 995*742</v>
      </c>
      <c r="Q2535" s="71">
        <f t="shared" si="1377"/>
        <v>8</v>
      </c>
      <c r="R2535" s="102">
        <v>120260</v>
      </c>
      <c r="S2535" s="102">
        <f t="shared" si="1372"/>
        <v>1058288</v>
      </c>
      <c r="T2535" s="102">
        <f t="shared" si="1373"/>
        <v>962080</v>
      </c>
      <c r="U2535" s="71" t="str">
        <f>IF(J2535=W2535,"O", "X")</f>
        <v>X</v>
      </c>
      <c r="V2535" s="71"/>
      <c r="W2535" s="474"/>
      <c r="X2535" s="71"/>
      <c r="Y2535" s="71"/>
    </row>
    <row r="2536" spans="1:25" ht="30" hidden="1" customHeight="1" x14ac:dyDescent="0.25">
      <c r="A2536" s="82">
        <v>191106</v>
      </c>
      <c r="B2536" s="664" t="s">
        <v>545</v>
      </c>
      <c r="C2536" s="71" t="s">
        <v>952</v>
      </c>
      <c r="D2536" s="71">
        <v>1</v>
      </c>
      <c r="E2536" s="102">
        <v>630000</v>
      </c>
      <c r="F2536" s="102">
        <f>(E2536*D2536)*1.1</f>
        <v>693000</v>
      </c>
      <c r="G2536" s="102">
        <f>(E2536*D2536)</f>
        <v>630000</v>
      </c>
      <c r="H2536" s="690" t="s">
        <v>173</v>
      </c>
      <c r="I2536" s="71" t="s">
        <v>108</v>
      </c>
      <c r="J2536" s="53">
        <f>(G2536-(VLOOKUP(C2536,Price!B:D,3,FALSE)*D2536))</f>
        <v>180000</v>
      </c>
      <c r="K2536" s="63">
        <f t="shared" si="1360"/>
        <v>0.2857142857142857</v>
      </c>
      <c r="L2536" s="871" t="s">
        <v>2121</v>
      </c>
      <c r="M2536" s="468"/>
      <c r="N2536" s="664">
        <f t="shared" si="1376"/>
        <v>191106</v>
      </c>
      <c r="O2536" s="71" t="s">
        <v>599</v>
      </c>
      <c r="P2536" s="103" t="str">
        <f t="shared" si="1378"/>
        <v>점보롤 세정포</v>
      </c>
      <c r="Q2536" s="71">
        <f t="shared" si="1377"/>
        <v>1</v>
      </c>
      <c r="R2536" s="102">
        <v>440000</v>
      </c>
      <c r="S2536" s="102">
        <f t="shared" si="1372"/>
        <v>484000.00000000006</v>
      </c>
      <c r="T2536" s="102">
        <f t="shared" si="1373"/>
        <v>440000</v>
      </c>
      <c r="U2536" s="71" t="str">
        <f>IF(J2536=W2536,"O", "X")</f>
        <v>X</v>
      </c>
      <c r="V2536" s="71" t="s">
        <v>1228</v>
      </c>
      <c r="W2536" s="474">
        <f>(G2536-T2536)</f>
        <v>190000</v>
      </c>
      <c r="X2536" s="71"/>
      <c r="Y2536" s="71"/>
    </row>
    <row r="2537" spans="1:25" ht="30" hidden="1" customHeight="1" x14ac:dyDescent="0.25">
      <c r="A2537" s="82">
        <v>191107</v>
      </c>
      <c r="B2537" s="664" t="s">
        <v>673</v>
      </c>
      <c r="C2537" s="71" t="s">
        <v>236</v>
      </c>
      <c r="D2537" s="71">
        <v>2</v>
      </c>
      <c r="E2537" s="102">
        <v>110000</v>
      </c>
      <c r="F2537" s="102">
        <f t="shared" si="1374"/>
        <v>242000.00000000003</v>
      </c>
      <c r="G2537" s="102">
        <f t="shared" si="1375"/>
        <v>220000</v>
      </c>
      <c r="H2537" s="690" t="s">
        <v>173</v>
      </c>
      <c r="I2537" s="71" t="s">
        <v>2231</v>
      </c>
      <c r="J2537" s="53">
        <f>(G2537-(VLOOKUP(C2537,Price!B:D,3,FALSE)*D2537))</f>
        <v>120000</v>
      </c>
      <c r="K2537" s="63">
        <f t="shared" si="1360"/>
        <v>0.54545454545454541</v>
      </c>
      <c r="L2537" s="871" t="s">
        <v>2121</v>
      </c>
      <c r="M2537" s="468"/>
      <c r="N2537" s="664">
        <f t="shared" si="1376"/>
        <v>191107</v>
      </c>
      <c r="O2537" s="71" t="s">
        <v>153</v>
      </c>
      <c r="P2537" s="103" t="str">
        <f t="shared" si="1371"/>
        <v>아스테이지(국전)</v>
      </c>
      <c r="Q2537" s="71">
        <f t="shared" si="1377"/>
        <v>2</v>
      </c>
      <c r="R2537" s="102">
        <v>50000</v>
      </c>
      <c r="S2537" s="102">
        <f>(R2537*D2537)*1.1</f>
        <v>110000.00000000001</v>
      </c>
      <c r="T2537" s="102">
        <f>(R2537*Q2537)</f>
        <v>100000</v>
      </c>
      <c r="U2537" s="71" t="str">
        <f>IF(J2537=W2537,"O", "X")</f>
        <v>O</v>
      </c>
      <c r="V2537" s="71"/>
      <c r="W2537" s="474">
        <f>(G2537-T2537)</f>
        <v>120000</v>
      </c>
      <c r="X2537" s="71"/>
      <c r="Y2537" s="71"/>
    </row>
    <row r="2538" spans="1:25" ht="30" hidden="1" customHeight="1" x14ac:dyDescent="0.25">
      <c r="A2538" s="82">
        <v>191107</v>
      </c>
      <c r="B2538" s="664" t="s">
        <v>764</v>
      </c>
      <c r="C2538" s="71" t="s">
        <v>123</v>
      </c>
      <c r="D2538" s="71">
        <v>25</v>
      </c>
      <c r="E2538" s="102">
        <v>35000</v>
      </c>
      <c r="F2538" s="102">
        <f t="shared" si="1374"/>
        <v>962500.00000000012</v>
      </c>
      <c r="G2538" s="102">
        <v>875000</v>
      </c>
      <c r="H2538" s="690" t="s">
        <v>1432</v>
      </c>
      <c r="I2538" s="71" t="s">
        <v>1432</v>
      </c>
      <c r="J2538" s="53">
        <f t="shared" ref="J2538:J2546" si="1379">G2538-T2538</f>
        <v>263650</v>
      </c>
      <c r="K2538" s="63">
        <f t="shared" si="1360"/>
        <v>0.3013142857142857</v>
      </c>
      <c r="L2538" s="871" t="s">
        <v>2121</v>
      </c>
      <c r="M2538" s="468"/>
      <c r="N2538" s="664">
        <f t="shared" si="1376"/>
        <v>191107</v>
      </c>
      <c r="O2538" s="71" t="s">
        <v>1432</v>
      </c>
      <c r="P2538" s="103" t="str">
        <f>C2538</f>
        <v>필터백</v>
      </c>
      <c r="Q2538" s="71">
        <f t="shared" si="1377"/>
        <v>25</v>
      </c>
      <c r="R2538" s="102">
        <v>24454</v>
      </c>
      <c r="S2538" s="102">
        <f>R2538*Q2538*1.1</f>
        <v>672485</v>
      </c>
      <c r="T2538" s="102">
        <f>R2538*Q2538</f>
        <v>611350</v>
      </c>
      <c r="U2538" s="71" t="s">
        <v>859</v>
      </c>
      <c r="V2538" s="71"/>
      <c r="W2538" s="474">
        <v>313475</v>
      </c>
      <c r="X2538" s="71"/>
      <c r="Y2538" s="71"/>
    </row>
    <row r="2539" spans="1:25" s="209" customFormat="1" ht="30" hidden="1" customHeight="1" x14ac:dyDescent="0.25">
      <c r="A2539" s="82">
        <v>191107</v>
      </c>
      <c r="B2539" s="664" t="s">
        <v>567</v>
      </c>
      <c r="C2539" s="71" t="s">
        <v>236</v>
      </c>
      <c r="D2539" s="71">
        <v>10</v>
      </c>
      <c r="E2539" s="102">
        <v>65000</v>
      </c>
      <c r="F2539" s="102">
        <f>(E2539*D2539)*1.1</f>
        <v>715000</v>
      </c>
      <c r="G2539" s="102">
        <v>650000</v>
      </c>
      <c r="H2539" s="690" t="s">
        <v>173</v>
      </c>
      <c r="I2539" s="71" t="s">
        <v>2231</v>
      </c>
      <c r="J2539" s="53">
        <f t="shared" si="1379"/>
        <v>150000</v>
      </c>
      <c r="K2539" s="63">
        <f t="shared" si="1360"/>
        <v>0.23076923076923078</v>
      </c>
      <c r="L2539" s="871" t="s">
        <v>2107</v>
      </c>
      <c r="M2539" s="468"/>
      <c r="N2539" s="664">
        <f t="shared" si="1376"/>
        <v>191107</v>
      </c>
      <c r="O2539" s="71" t="s">
        <v>153</v>
      </c>
      <c r="P2539" s="103" t="str">
        <f t="shared" si="1371"/>
        <v>아스테이지(국전)</v>
      </c>
      <c r="Q2539" s="71">
        <f t="shared" si="1377"/>
        <v>10</v>
      </c>
      <c r="R2539" s="102">
        <v>50000</v>
      </c>
      <c r="S2539" s="102">
        <v>550000</v>
      </c>
      <c r="T2539" s="102">
        <v>500000</v>
      </c>
      <c r="U2539" s="71" t="s">
        <v>859</v>
      </c>
      <c r="V2539" s="71"/>
      <c r="W2539" s="474">
        <v>150000</v>
      </c>
      <c r="X2539" s="71"/>
      <c r="Y2539" s="71"/>
    </row>
    <row r="2540" spans="1:25" ht="27.6" hidden="1" customHeight="1" x14ac:dyDescent="0.25">
      <c r="A2540" s="82">
        <v>191107</v>
      </c>
      <c r="B2540" s="664" t="s">
        <v>567</v>
      </c>
      <c r="C2540" s="71" t="s">
        <v>1652</v>
      </c>
      <c r="D2540" s="71">
        <v>5</v>
      </c>
      <c r="E2540" s="102">
        <v>45000</v>
      </c>
      <c r="F2540" s="102">
        <f>(E2540*D2540)*1.1</f>
        <v>247500.00000000003</v>
      </c>
      <c r="G2540" s="102">
        <v>225000</v>
      </c>
      <c r="H2540" s="690" t="s">
        <v>173</v>
      </c>
      <c r="I2540" s="71" t="s">
        <v>2231</v>
      </c>
      <c r="J2540" s="53">
        <f t="shared" si="1379"/>
        <v>25000</v>
      </c>
      <c r="K2540" s="63">
        <f t="shared" si="1360"/>
        <v>0.11111111111111109</v>
      </c>
      <c r="L2540" s="871" t="s">
        <v>2107</v>
      </c>
      <c r="M2540" s="468"/>
      <c r="N2540" s="664">
        <f t="shared" si="1376"/>
        <v>191107</v>
      </c>
      <c r="O2540" s="71" t="s">
        <v>153</v>
      </c>
      <c r="P2540" s="103" t="str">
        <f t="shared" si="1371"/>
        <v>아스테이지(CD74용)</v>
      </c>
      <c r="Q2540" s="71">
        <f t="shared" si="1377"/>
        <v>5</v>
      </c>
      <c r="R2540" s="102">
        <v>40000</v>
      </c>
      <c r="S2540" s="102">
        <v>220000.00000000003</v>
      </c>
      <c r="T2540" s="102">
        <v>200000</v>
      </c>
      <c r="U2540" s="71" t="s">
        <v>1915</v>
      </c>
      <c r="V2540" s="71"/>
      <c r="W2540" s="474"/>
      <c r="X2540" s="71"/>
      <c r="Y2540" s="71"/>
    </row>
    <row r="2541" spans="1:25" ht="30" hidden="1" customHeight="1" x14ac:dyDescent="0.25">
      <c r="A2541" s="82">
        <v>191108</v>
      </c>
      <c r="B2541" s="664" t="s">
        <v>575</v>
      </c>
      <c r="C2541" s="71" t="s">
        <v>2119</v>
      </c>
      <c r="D2541" s="71">
        <v>2</v>
      </c>
      <c r="E2541" s="102">
        <v>75000</v>
      </c>
      <c r="F2541" s="102">
        <f t="shared" ref="F2541:F2553" si="1380">(E2541*D2541)*1.1</f>
        <v>165000</v>
      </c>
      <c r="G2541" s="102">
        <f t="shared" ref="G2541:G2553" si="1381">(E2541*D2541)</f>
        <v>150000</v>
      </c>
      <c r="H2541" s="690" t="s">
        <v>1431</v>
      </c>
      <c r="I2541" s="71" t="s">
        <v>1431</v>
      </c>
      <c r="J2541" s="53">
        <f t="shared" si="1379"/>
        <v>110000</v>
      </c>
      <c r="K2541" s="63">
        <f t="shared" si="1360"/>
        <v>0.73333333333333328</v>
      </c>
      <c r="L2541" s="871" t="s">
        <v>2121</v>
      </c>
      <c r="M2541" s="468"/>
      <c r="N2541" s="664">
        <f t="shared" si="1376"/>
        <v>191108</v>
      </c>
      <c r="O2541" s="71" t="s">
        <v>2122</v>
      </c>
      <c r="P2541" s="103" t="str">
        <f t="shared" si="1371"/>
        <v>콘덴서</v>
      </c>
      <c r="Q2541" s="71">
        <f t="shared" si="1377"/>
        <v>2</v>
      </c>
      <c r="R2541" s="102">
        <v>20000</v>
      </c>
      <c r="S2541" s="102">
        <f>R2541*Q2541*1.1</f>
        <v>44000</v>
      </c>
      <c r="T2541" s="102">
        <f>R2541*Q2541</f>
        <v>40000</v>
      </c>
      <c r="U2541" s="71"/>
      <c r="V2541" s="71"/>
      <c r="W2541" s="474"/>
      <c r="X2541" s="71"/>
      <c r="Y2541" s="71"/>
    </row>
    <row r="2542" spans="1:25" ht="30" hidden="1" customHeight="1" x14ac:dyDescent="0.25">
      <c r="A2542" s="82">
        <v>191108</v>
      </c>
      <c r="B2542" s="664" t="s">
        <v>575</v>
      </c>
      <c r="C2542" s="71" t="s">
        <v>2120</v>
      </c>
      <c r="D2542" s="71">
        <v>1</v>
      </c>
      <c r="E2542" s="102">
        <v>300000</v>
      </c>
      <c r="F2542" s="102">
        <f t="shared" si="1380"/>
        <v>330000</v>
      </c>
      <c r="G2542" s="102">
        <f t="shared" si="1381"/>
        <v>300000</v>
      </c>
      <c r="H2542" s="690" t="s">
        <v>1431</v>
      </c>
      <c r="I2542" s="71" t="s">
        <v>1431</v>
      </c>
      <c r="J2542" s="53">
        <f t="shared" si="1379"/>
        <v>260000</v>
      </c>
      <c r="K2542" s="63">
        <f t="shared" si="1360"/>
        <v>0.8666666666666667</v>
      </c>
      <c r="L2542" s="871" t="s">
        <v>2121</v>
      </c>
      <c r="M2542" s="468"/>
      <c r="N2542" s="664">
        <f t="shared" si="1376"/>
        <v>191108</v>
      </c>
      <c r="O2542" s="71" t="s">
        <v>2122</v>
      </c>
      <c r="P2542" s="103" t="str">
        <f t="shared" si="1371"/>
        <v>온도센서</v>
      </c>
      <c r="Q2542" s="71">
        <f t="shared" si="1377"/>
        <v>1</v>
      </c>
      <c r="R2542" s="102">
        <v>40000</v>
      </c>
      <c r="S2542" s="102">
        <f>R2542*Q2542*1.1</f>
        <v>44000</v>
      </c>
      <c r="T2542" s="102">
        <f>R2542*Q2542</f>
        <v>40000</v>
      </c>
      <c r="U2542" s="71"/>
      <c r="V2542" s="71"/>
      <c r="W2542" s="474"/>
      <c r="X2542" s="71"/>
      <c r="Y2542" s="71"/>
    </row>
    <row r="2543" spans="1:25" ht="30" hidden="1" customHeight="1" x14ac:dyDescent="0.2">
      <c r="A2543" s="82">
        <v>191108</v>
      </c>
      <c r="B2543" s="664" t="s">
        <v>575</v>
      </c>
      <c r="C2543" s="71" t="s">
        <v>1388</v>
      </c>
      <c r="D2543" s="71">
        <v>3</v>
      </c>
      <c r="E2543" s="102">
        <v>185000</v>
      </c>
      <c r="F2543" s="163">
        <f t="shared" si="1380"/>
        <v>610500</v>
      </c>
      <c r="G2543" s="102">
        <f t="shared" si="1381"/>
        <v>555000</v>
      </c>
      <c r="H2543" s="690" t="s">
        <v>2029</v>
      </c>
      <c r="I2543" s="71" t="s">
        <v>108</v>
      </c>
      <c r="J2543" s="53">
        <f t="shared" si="1379"/>
        <v>32091</v>
      </c>
      <c r="K2543" s="63">
        <f t="shared" si="1360"/>
        <v>5.7821621621621619E-2</v>
      </c>
      <c r="L2543" s="871" t="s">
        <v>2121</v>
      </c>
      <c r="M2543" s="468"/>
      <c r="N2543" s="664">
        <f t="shared" si="1376"/>
        <v>191108</v>
      </c>
      <c r="O2543" s="71" t="s">
        <v>1443</v>
      </c>
      <c r="P2543" s="103" t="str">
        <f t="shared" si="1371"/>
        <v>Flint 무알콜 윤전약물(Superaster)</v>
      </c>
      <c r="Q2543" s="71">
        <f t="shared" si="1377"/>
        <v>3</v>
      </c>
      <c r="R2543" s="102">
        <f>120303+54000</f>
        <v>174303</v>
      </c>
      <c r="S2543" s="102">
        <f>(R2543*D2543)*1.1+117230*1.1</f>
        <v>704152.9</v>
      </c>
      <c r="T2543" s="102">
        <f>(R2543*Q2543)</f>
        <v>522909</v>
      </c>
      <c r="U2543" s="71" t="str">
        <f>IF(J2543=W2543,"O", "X")</f>
        <v>O</v>
      </c>
      <c r="V2543" s="71"/>
      <c r="W2543" s="474">
        <f>(G2543-T2543)</f>
        <v>32091</v>
      </c>
      <c r="X2543" s="71"/>
      <c r="Y2543" s="71"/>
    </row>
    <row r="2544" spans="1:25" ht="30" hidden="1" customHeight="1" x14ac:dyDescent="0.25">
      <c r="A2544" s="82">
        <v>191109</v>
      </c>
      <c r="B2544" s="664" t="s">
        <v>545</v>
      </c>
      <c r="C2544" s="71" t="s">
        <v>227</v>
      </c>
      <c r="D2544" s="71">
        <v>10</v>
      </c>
      <c r="E2544" s="102">
        <v>110000</v>
      </c>
      <c r="F2544" s="102">
        <f t="shared" si="1380"/>
        <v>1210000</v>
      </c>
      <c r="G2544" s="102">
        <f t="shared" si="1381"/>
        <v>1100000</v>
      </c>
      <c r="H2544" s="690" t="s">
        <v>173</v>
      </c>
      <c r="I2544" s="71" t="s">
        <v>109</v>
      </c>
      <c r="J2544" s="53">
        <f t="shared" si="1379"/>
        <v>271000</v>
      </c>
      <c r="K2544" s="63">
        <f t="shared" si="1360"/>
        <v>0.24636363636363637</v>
      </c>
      <c r="L2544" s="871" t="s">
        <v>2121</v>
      </c>
      <c r="M2544" s="468"/>
      <c r="N2544" s="664">
        <f t="shared" si="1376"/>
        <v>191109</v>
      </c>
      <c r="O2544" s="71" t="s">
        <v>147</v>
      </c>
      <c r="P2544" s="103" t="str">
        <f t="shared" si="1371"/>
        <v>Blanket(1060*860)</v>
      </c>
      <c r="Q2544" s="71">
        <f t="shared" si="1377"/>
        <v>10</v>
      </c>
      <c r="R2544" s="102">
        <v>82900</v>
      </c>
      <c r="S2544" s="102">
        <f t="shared" ref="S2544:S2559" si="1382">R2544*Q2544*1.1</f>
        <v>911900.00000000012</v>
      </c>
      <c r="T2544" s="102">
        <f t="shared" ref="T2544:T2559" si="1383">R2544*Q2544</f>
        <v>829000</v>
      </c>
      <c r="U2544" s="71" t="str">
        <f>IF(J2544=W2544,"O", "X")</f>
        <v>O</v>
      </c>
      <c r="V2544" s="71"/>
      <c r="W2544" s="474">
        <f>(G2544-T2544)</f>
        <v>271000</v>
      </c>
      <c r="X2544" s="71"/>
      <c r="Y2544" s="71"/>
    </row>
    <row r="2545" spans="1:25" ht="30" hidden="1" customHeight="1" x14ac:dyDescent="0.25">
      <c r="A2545" s="82">
        <v>191111</v>
      </c>
      <c r="B2545" s="664" t="s">
        <v>446</v>
      </c>
      <c r="C2545" s="71" t="s">
        <v>2028</v>
      </c>
      <c r="D2545" s="71">
        <v>8</v>
      </c>
      <c r="E2545" s="102">
        <v>110000</v>
      </c>
      <c r="F2545" s="102">
        <f t="shared" si="1380"/>
        <v>968000.00000000012</v>
      </c>
      <c r="G2545" s="102">
        <f t="shared" si="1381"/>
        <v>880000</v>
      </c>
      <c r="H2545" s="690" t="s">
        <v>2029</v>
      </c>
      <c r="I2545" s="71" t="s">
        <v>2231</v>
      </c>
      <c r="J2545" s="53">
        <f t="shared" si="1379"/>
        <v>152000</v>
      </c>
      <c r="K2545" s="63">
        <f t="shared" si="1360"/>
        <v>0.1727272727272727</v>
      </c>
      <c r="L2545" s="871" t="s">
        <v>2121</v>
      </c>
      <c r="M2545" s="468"/>
      <c r="N2545" s="664">
        <f t="shared" si="1376"/>
        <v>191111</v>
      </c>
      <c r="O2545" s="71" t="s">
        <v>2030</v>
      </c>
      <c r="P2545" s="103" t="str">
        <f t="shared" si="1371"/>
        <v>실리콘 에멀전</v>
      </c>
      <c r="Q2545" s="71">
        <f t="shared" si="1377"/>
        <v>8</v>
      </c>
      <c r="R2545" s="102">
        <v>91000</v>
      </c>
      <c r="S2545" s="102">
        <f t="shared" si="1382"/>
        <v>800800.00000000012</v>
      </c>
      <c r="T2545" s="102">
        <f t="shared" si="1383"/>
        <v>728000</v>
      </c>
      <c r="U2545" s="71" t="str">
        <f>IF(J2545=W2545,"O", "X")</f>
        <v>O</v>
      </c>
      <c r="V2545" s="71"/>
      <c r="W2545" s="474">
        <f>(G2545-T2545)</f>
        <v>152000</v>
      </c>
      <c r="X2545" s="71"/>
      <c r="Y2545" s="71"/>
    </row>
    <row r="2546" spans="1:25" ht="30" hidden="1" customHeight="1" x14ac:dyDescent="0.25">
      <c r="A2546" s="82">
        <v>191111</v>
      </c>
      <c r="B2546" s="664" t="s">
        <v>545</v>
      </c>
      <c r="C2546" s="71" t="s">
        <v>1747</v>
      </c>
      <c r="D2546" s="71">
        <v>2</v>
      </c>
      <c r="E2546" s="102">
        <v>610000</v>
      </c>
      <c r="F2546" s="102">
        <f t="shared" si="1380"/>
        <v>1342000</v>
      </c>
      <c r="G2546" s="102">
        <f t="shared" si="1381"/>
        <v>1220000</v>
      </c>
      <c r="H2546" s="690" t="s">
        <v>173</v>
      </c>
      <c r="I2546" s="71" t="s">
        <v>2184</v>
      </c>
      <c r="J2546" s="53">
        <f t="shared" si="1379"/>
        <v>530008</v>
      </c>
      <c r="K2546" s="63">
        <f>(J2546/(F2546/11*10))</f>
        <v>0.43443278688524589</v>
      </c>
      <c r="L2546" s="871" t="s">
        <v>2121</v>
      </c>
      <c r="M2546" s="468"/>
      <c r="N2546" s="664">
        <f t="shared" si="1376"/>
        <v>191111</v>
      </c>
      <c r="O2546" s="71" t="s">
        <v>1458</v>
      </c>
      <c r="P2546" s="103" t="str">
        <f t="shared" si="1371"/>
        <v>UV 램프 - KBA(1145mm)</v>
      </c>
      <c r="Q2546" s="71">
        <f t="shared" si="1377"/>
        <v>2</v>
      </c>
      <c r="R2546" s="102">
        <v>344996</v>
      </c>
      <c r="S2546" s="102">
        <f t="shared" si="1382"/>
        <v>758991.20000000007</v>
      </c>
      <c r="T2546" s="102">
        <f t="shared" si="1383"/>
        <v>689992</v>
      </c>
      <c r="U2546" s="71" t="str">
        <f>IF(J2546=W2546,"O", "X")</f>
        <v>X</v>
      </c>
      <c r="V2546" s="71"/>
      <c r="W2546" s="474"/>
      <c r="X2546" s="71"/>
      <c r="Y2546" s="71"/>
    </row>
    <row r="2547" spans="1:25" ht="30" customHeight="1" x14ac:dyDescent="0.25">
      <c r="A2547" s="82">
        <v>191112</v>
      </c>
      <c r="B2547" s="664" t="s">
        <v>422</v>
      </c>
      <c r="C2547" s="760" t="s">
        <v>218</v>
      </c>
      <c r="D2547" s="71">
        <v>4</v>
      </c>
      <c r="E2547" s="102">
        <v>235000</v>
      </c>
      <c r="F2547" s="102">
        <f t="shared" si="1380"/>
        <v>1034000.0000000001</v>
      </c>
      <c r="G2547" s="102">
        <f t="shared" si="1381"/>
        <v>940000</v>
      </c>
      <c r="H2547" s="690" t="s">
        <v>173</v>
      </c>
      <c r="I2547" s="71" t="s">
        <v>120</v>
      </c>
      <c r="J2547" s="53">
        <f>(G2547-(VLOOKUP(C2547,Price!B:D,3,FALSE)*D2547))</f>
        <v>490000</v>
      </c>
      <c r="K2547" s="63">
        <f t="shared" si="1360"/>
        <v>0.52127659574468077</v>
      </c>
      <c r="L2547" s="871" t="s">
        <v>2121</v>
      </c>
      <c r="M2547" s="468" t="s">
        <v>2053</v>
      </c>
      <c r="N2547" s="664">
        <f t="shared" si="1376"/>
        <v>191112</v>
      </c>
      <c r="O2547" s="71" t="s">
        <v>150</v>
      </c>
      <c r="P2547" s="103" t="str">
        <f t="shared" si="1371"/>
        <v>Fount Web 551AF</v>
      </c>
      <c r="Q2547" s="71">
        <f t="shared" si="1377"/>
        <v>4</v>
      </c>
      <c r="R2547" s="102">
        <v>112500</v>
      </c>
      <c r="S2547" s="102">
        <f t="shared" si="1382"/>
        <v>495000.00000000006</v>
      </c>
      <c r="T2547" s="102">
        <f t="shared" si="1383"/>
        <v>450000</v>
      </c>
      <c r="U2547" s="71" t="str">
        <f>IF(J2547=W2547,"O", "X")</f>
        <v>O</v>
      </c>
      <c r="V2547" s="71"/>
      <c r="W2547" s="474">
        <f>(G2547-T2547)</f>
        <v>490000</v>
      </c>
      <c r="X2547" s="71"/>
      <c r="Y2547" s="71"/>
    </row>
    <row r="2548" spans="1:25" ht="30" customHeight="1" x14ac:dyDescent="0.25">
      <c r="A2548" s="82">
        <v>191112</v>
      </c>
      <c r="B2548" s="664" t="s">
        <v>565</v>
      </c>
      <c r="C2548" s="760" t="s">
        <v>2151</v>
      </c>
      <c r="D2548" s="71">
        <v>1</v>
      </c>
      <c r="E2548" s="102">
        <v>1200000</v>
      </c>
      <c r="F2548" s="102">
        <f t="shared" si="1380"/>
        <v>1320000</v>
      </c>
      <c r="G2548" s="102">
        <f t="shared" si="1381"/>
        <v>1200000</v>
      </c>
      <c r="H2548" s="690" t="s">
        <v>1431</v>
      </c>
      <c r="I2548" s="71" t="s">
        <v>1431</v>
      </c>
      <c r="J2548" s="53">
        <f>G2548-T2548</f>
        <v>443480</v>
      </c>
      <c r="K2548" s="63">
        <f>(J2548/(F2548/11*10))</f>
        <v>0.36956666666666665</v>
      </c>
      <c r="L2548" s="871" t="s">
        <v>2121</v>
      </c>
      <c r="M2548" s="468" t="s">
        <v>2193</v>
      </c>
      <c r="N2548" s="664">
        <f t="shared" si="1376"/>
        <v>191112</v>
      </c>
      <c r="O2548" s="71" t="s">
        <v>1431</v>
      </c>
      <c r="P2548" s="103" t="str">
        <f t="shared" si="1371"/>
        <v>압력 트랜스미터</v>
      </c>
      <c r="Q2548" s="71">
        <f t="shared" si="1377"/>
        <v>1</v>
      </c>
      <c r="R2548" s="102">
        <v>756520</v>
      </c>
      <c r="S2548" s="102">
        <f t="shared" si="1382"/>
        <v>832172.00000000012</v>
      </c>
      <c r="T2548" s="102">
        <f t="shared" si="1383"/>
        <v>756520</v>
      </c>
      <c r="U2548" s="71"/>
      <c r="V2548" s="71"/>
      <c r="W2548" s="474">
        <f>(G2548-T2548)</f>
        <v>443480</v>
      </c>
      <c r="X2548" s="71"/>
      <c r="Y2548" s="71"/>
    </row>
    <row r="2549" spans="1:25" ht="30" hidden="1" customHeight="1" x14ac:dyDescent="0.25">
      <c r="A2549" s="82">
        <v>191112</v>
      </c>
      <c r="B2549" s="664" t="s">
        <v>746</v>
      </c>
      <c r="C2549" s="760" t="s">
        <v>123</v>
      </c>
      <c r="D2549" s="71">
        <v>10</v>
      </c>
      <c r="E2549" s="102">
        <v>30000</v>
      </c>
      <c r="F2549" s="102">
        <f t="shared" si="1380"/>
        <v>330000</v>
      </c>
      <c r="G2549" s="102">
        <f t="shared" si="1381"/>
        <v>300000</v>
      </c>
      <c r="H2549" s="690" t="s">
        <v>1432</v>
      </c>
      <c r="I2549" s="71" t="s">
        <v>1432</v>
      </c>
      <c r="J2549" s="53">
        <f>G2549-T2549</f>
        <v>55460</v>
      </c>
      <c r="K2549" s="63">
        <f>(J2549/(F2549/11*10))</f>
        <v>0.18486666666666668</v>
      </c>
      <c r="L2549" s="871" t="s">
        <v>2121</v>
      </c>
      <c r="M2549" s="468"/>
      <c r="N2549" s="664">
        <f t="shared" si="1376"/>
        <v>191112</v>
      </c>
      <c r="O2549" s="71" t="s">
        <v>1432</v>
      </c>
      <c r="P2549" s="103" t="str">
        <f t="shared" si="1371"/>
        <v>필터백</v>
      </c>
      <c r="Q2549" s="71">
        <f t="shared" si="1377"/>
        <v>10</v>
      </c>
      <c r="R2549" s="102">
        <v>24454</v>
      </c>
      <c r="S2549" s="102">
        <f t="shared" si="1382"/>
        <v>268994</v>
      </c>
      <c r="T2549" s="102">
        <f t="shared" si="1383"/>
        <v>244540</v>
      </c>
      <c r="U2549" s="71"/>
      <c r="V2549" s="71"/>
      <c r="W2549" s="474"/>
      <c r="X2549" s="71"/>
      <c r="Y2549" s="71"/>
    </row>
    <row r="2550" spans="1:25" s="209" customFormat="1" ht="30" hidden="1" customHeight="1" x14ac:dyDescent="0.2">
      <c r="A2550" s="82">
        <v>191112</v>
      </c>
      <c r="B2550" s="664" t="s">
        <v>445</v>
      </c>
      <c r="C2550" s="71" t="s">
        <v>231</v>
      </c>
      <c r="D2550" s="71">
        <v>10</v>
      </c>
      <c r="E2550" s="102">
        <v>120000</v>
      </c>
      <c r="F2550" s="102">
        <f t="shared" si="1380"/>
        <v>1320000</v>
      </c>
      <c r="G2550" s="102">
        <f t="shared" si="1381"/>
        <v>1200000</v>
      </c>
      <c r="H2550" s="165" t="s">
        <v>172</v>
      </c>
      <c r="I2550" s="71" t="s">
        <v>109</v>
      </c>
      <c r="J2550" s="53">
        <f>G2550-T2550</f>
        <v>80000</v>
      </c>
      <c r="K2550" s="63">
        <f t="shared" si="1360"/>
        <v>6.6666666666666666E-2</v>
      </c>
      <c r="L2550" s="871" t="s">
        <v>2121</v>
      </c>
      <c r="M2550" s="468"/>
      <c r="N2550" s="664">
        <f t="shared" si="1376"/>
        <v>191112</v>
      </c>
      <c r="O2550" s="71" t="s">
        <v>151</v>
      </c>
      <c r="P2550" s="103" t="str">
        <f t="shared" si="1371"/>
        <v>Blanket(990*725)</v>
      </c>
      <c r="Q2550" s="71">
        <f t="shared" si="1377"/>
        <v>10</v>
      </c>
      <c r="R2550" s="102">
        <v>112000</v>
      </c>
      <c r="S2550" s="102">
        <f t="shared" si="1382"/>
        <v>1232000</v>
      </c>
      <c r="T2550" s="102">
        <f t="shared" si="1383"/>
        <v>1120000</v>
      </c>
      <c r="U2550" s="71" t="s">
        <v>859</v>
      </c>
      <c r="V2550" s="71"/>
      <c r="W2550" s="474">
        <v>80000</v>
      </c>
      <c r="X2550" s="71"/>
      <c r="Y2550" s="71"/>
    </row>
    <row r="2551" spans="1:25" ht="30" hidden="1" customHeight="1" x14ac:dyDescent="0.25">
      <c r="A2551" s="82">
        <v>191114</v>
      </c>
      <c r="B2551" s="664" t="s">
        <v>442</v>
      </c>
      <c r="C2551" s="71" t="s">
        <v>206</v>
      </c>
      <c r="D2551" s="71">
        <v>2</v>
      </c>
      <c r="E2551" s="102">
        <v>327000</v>
      </c>
      <c r="F2551" s="102">
        <f t="shared" si="1380"/>
        <v>719400</v>
      </c>
      <c r="G2551" s="102">
        <f t="shared" si="1381"/>
        <v>654000</v>
      </c>
      <c r="H2551" s="690" t="s">
        <v>2029</v>
      </c>
      <c r="I2551" s="71" t="s">
        <v>195</v>
      </c>
      <c r="J2551" s="53">
        <f>(G2551-(VLOOKUP(C2551,[5]Price!B$1:D$65536,3,FALSE)*D2551))</f>
        <v>115800</v>
      </c>
      <c r="K2551" s="63">
        <f t="shared" si="1360"/>
        <v>0.17706422018348625</v>
      </c>
      <c r="L2551" s="871" t="s">
        <v>2121</v>
      </c>
      <c r="M2551" s="468"/>
      <c r="N2551" s="664">
        <f t="shared" si="1376"/>
        <v>191114</v>
      </c>
      <c r="O2551" s="71" t="s">
        <v>194</v>
      </c>
      <c r="P2551" s="103" t="str">
        <f t="shared" si="1371"/>
        <v>Agfa Film(24inch)</v>
      </c>
      <c r="Q2551" s="71">
        <f t="shared" si="1377"/>
        <v>2</v>
      </c>
      <c r="R2551" s="102">
        <v>269100</v>
      </c>
      <c r="S2551" s="102">
        <f t="shared" si="1382"/>
        <v>592020</v>
      </c>
      <c r="T2551" s="102">
        <f t="shared" si="1383"/>
        <v>538200</v>
      </c>
      <c r="U2551" s="71" t="str">
        <f>IF(J2551=W2551,"O", "X")</f>
        <v>O</v>
      </c>
      <c r="V2551" s="71"/>
      <c r="W2551" s="474">
        <f>(G2551-T2551)</f>
        <v>115800</v>
      </c>
      <c r="X2551" s="71"/>
      <c r="Y2551" s="71"/>
    </row>
    <row r="2552" spans="1:25" ht="30" hidden="1" customHeight="1" x14ac:dyDescent="0.25">
      <c r="A2552" s="82">
        <v>191114</v>
      </c>
      <c r="B2552" s="664" t="s">
        <v>442</v>
      </c>
      <c r="C2552" s="71" t="s">
        <v>207</v>
      </c>
      <c r="D2552" s="71">
        <v>2</v>
      </c>
      <c r="E2552" s="102">
        <v>401000</v>
      </c>
      <c r="F2552" s="102">
        <f t="shared" si="1380"/>
        <v>882200.00000000012</v>
      </c>
      <c r="G2552" s="102">
        <f t="shared" si="1381"/>
        <v>802000</v>
      </c>
      <c r="H2552" s="690" t="s">
        <v>2029</v>
      </c>
      <c r="I2552" s="71" t="s">
        <v>195</v>
      </c>
      <c r="J2552" s="53">
        <f>(G2552-(VLOOKUP(C2552,[5]Price!B$1:D$65536,3,FALSE)*D2552))</f>
        <v>174080</v>
      </c>
      <c r="K2552" s="63">
        <f t="shared" si="1360"/>
        <v>0.21705735660847877</v>
      </c>
      <c r="L2552" s="871" t="s">
        <v>2121</v>
      </c>
      <c r="M2552" s="468"/>
      <c r="N2552" s="664">
        <f t="shared" si="1376"/>
        <v>191114</v>
      </c>
      <c r="O2552" s="71" t="s">
        <v>194</v>
      </c>
      <c r="P2552" s="103" t="str">
        <f t="shared" si="1371"/>
        <v>Agfa Film(28inch)</v>
      </c>
      <c r="Q2552" s="71">
        <f t="shared" si="1377"/>
        <v>2</v>
      </c>
      <c r="R2552" s="102">
        <f>VLOOKUP(P2552,[5]Price!B$1:D$65536,3,FALSE)</f>
        <v>313960</v>
      </c>
      <c r="S2552" s="102">
        <f t="shared" si="1382"/>
        <v>690712</v>
      </c>
      <c r="T2552" s="102">
        <f t="shared" si="1383"/>
        <v>627920</v>
      </c>
      <c r="U2552" s="71" t="str">
        <f>IF(J2552=W2552,"O", "X")</f>
        <v>O</v>
      </c>
      <c r="V2552" s="71"/>
      <c r="W2552" s="474">
        <f>(G2552-T2552)</f>
        <v>174080</v>
      </c>
      <c r="X2552" s="71"/>
      <c r="Y2552" s="71"/>
    </row>
    <row r="2553" spans="1:25" ht="30" hidden="1" customHeight="1" x14ac:dyDescent="0.25">
      <c r="A2553" s="82">
        <v>191114</v>
      </c>
      <c r="B2553" s="664" t="s">
        <v>442</v>
      </c>
      <c r="C2553" s="71" t="s">
        <v>208</v>
      </c>
      <c r="D2553" s="71">
        <v>2</v>
      </c>
      <c r="E2553" s="102">
        <v>448000</v>
      </c>
      <c r="F2553" s="102">
        <f t="shared" si="1380"/>
        <v>985600.00000000012</v>
      </c>
      <c r="G2553" s="102">
        <f t="shared" si="1381"/>
        <v>896000</v>
      </c>
      <c r="H2553" s="690" t="s">
        <v>2029</v>
      </c>
      <c r="I2553" s="71" t="s">
        <v>195</v>
      </c>
      <c r="J2553" s="53">
        <f>(G2553-(VLOOKUP(C2553,[5]Price!B$1:D$65536,3,FALSE)*D2553))</f>
        <v>155980</v>
      </c>
      <c r="K2553" s="63">
        <f t="shared" si="1360"/>
        <v>0.1740848214285714</v>
      </c>
      <c r="L2553" s="871" t="s">
        <v>2121</v>
      </c>
      <c r="M2553" s="468"/>
      <c r="N2553" s="664">
        <f t="shared" si="1376"/>
        <v>191114</v>
      </c>
      <c r="O2553" s="71" t="s">
        <v>194</v>
      </c>
      <c r="P2553" s="103" t="str">
        <f t="shared" si="1371"/>
        <v>Agfa Film(32inch)</v>
      </c>
      <c r="Q2553" s="71">
        <f t="shared" si="1377"/>
        <v>2</v>
      </c>
      <c r="R2553" s="102">
        <f>VLOOKUP(P2553,[5]Price!B$1:D$65536,3,FALSE)</f>
        <v>370010</v>
      </c>
      <c r="S2553" s="102">
        <f t="shared" si="1382"/>
        <v>814022.00000000012</v>
      </c>
      <c r="T2553" s="102">
        <f t="shared" si="1383"/>
        <v>740020</v>
      </c>
      <c r="U2553" s="71" t="str">
        <f>IF(J2553=W2553,"O", "X")</f>
        <v>O</v>
      </c>
      <c r="V2553" s="71"/>
      <c r="W2553" s="474">
        <f>(G2553-T2553)</f>
        <v>155980</v>
      </c>
      <c r="X2553" s="71"/>
      <c r="Y2553" s="71"/>
    </row>
    <row r="2554" spans="1:25" ht="30" hidden="1" customHeight="1" x14ac:dyDescent="0.25">
      <c r="A2554" s="82">
        <v>191114</v>
      </c>
      <c r="B2554" s="664" t="s">
        <v>690</v>
      </c>
      <c r="C2554" s="71" t="s">
        <v>1186</v>
      </c>
      <c r="D2554" s="71">
        <v>500</v>
      </c>
      <c r="E2554" s="102">
        <v>3600</v>
      </c>
      <c r="F2554" s="1128">
        <f t="shared" ref="F2554:F2574" si="1384">(E2554*D2554)*1.1</f>
        <v>1980000.0000000002</v>
      </c>
      <c r="G2554" s="102">
        <v>1800000</v>
      </c>
      <c r="H2554" s="690" t="s">
        <v>173</v>
      </c>
      <c r="I2554" s="71" t="s">
        <v>2230</v>
      </c>
      <c r="J2554" s="53">
        <f>G2554-T2554</f>
        <v>-200000</v>
      </c>
      <c r="K2554" s="63">
        <f t="shared" si="1360"/>
        <v>-0.11111111111111109</v>
      </c>
      <c r="L2554" s="871" t="s">
        <v>2121</v>
      </c>
      <c r="M2554" s="468" t="s">
        <v>1393</v>
      </c>
      <c r="N2554" s="664">
        <f t="shared" si="1376"/>
        <v>191114</v>
      </c>
      <c r="O2554" s="71" t="s">
        <v>145</v>
      </c>
      <c r="P2554" s="103" t="str">
        <f t="shared" si="1371"/>
        <v>CTP 판(1030*790mm)</v>
      </c>
      <c r="Q2554" s="71">
        <f t="shared" si="1377"/>
        <v>500</v>
      </c>
      <c r="R2554" s="102">
        <v>4000</v>
      </c>
      <c r="S2554" s="102">
        <f t="shared" si="1382"/>
        <v>2200000</v>
      </c>
      <c r="T2554" s="102">
        <f t="shared" si="1383"/>
        <v>2000000</v>
      </c>
      <c r="U2554" s="71" t="s">
        <v>859</v>
      </c>
      <c r="V2554" s="71"/>
      <c r="W2554" s="474">
        <v>-200000</v>
      </c>
      <c r="X2554" s="71"/>
      <c r="Y2554" s="71"/>
    </row>
    <row r="2555" spans="1:25" ht="30" hidden="1" customHeight="1" x14ac:dyDescent="0.25">
      <c r="A2555" s="82">
        <v>191114</v>
      </c>
      <c r="B2555" s="664" t="s">
        <v>690</v>
      </c>
      <c r="C2555" s="71" t="s">
        <v>197</v>
      </c>
      <c r="D2555" s="71">
        <v>1</v>
      </c>
      <c r="E2555" s="102">
        <v>49000</v>
      </c>
      <c r="F2555" s="1128">
        <f t="shared" si="1384"/>
        <v>53900.000000000007</v>
      </c>
      <c r="G2555" s="1128">
        <f t="shared" ref="G2555:G2573" si="1385">(E2555*D2555)</f>
        <v>49000</v>
      </c>
      <c r="H2555" s="690" t="s">
        <v>173</v>
      </c>
      <c r="I2555" s="71" t="s">
        <v>2230</v>
      </c>
      <c r="J2555" s="53">
        <f>G2555-T2555</f>
        <v>14000</v>
      </c>
      <c r="K2555" s="63">
        <f t="shared" si="1360"/>
        <v>0.2857142857142857</v>
      </c>
      <c r="L2555" s="871" t="s">
        <v>2121</v>
      </c>
      <c r="M2555" s="468" t="s">
        <v>1394</v>
      </c>
      <c r="N2555" s="664">
        <f t="shared" si="1376"/>
        <v>191114</v>
      </c>
      <c r="O2555" s="71" t="s">
        <v>145</v>
      </c>
      <c r="P2555" s="103" t="str">
        <f t="shared" si="1371"/>
        <v>THR200(20L)</v>
      </c>
      <c r="Q2555" s="71">
        <f t="shared" si="1377"/>
        <v>1</v>
      </c>
      <c r="R2555" s="102">
        <v>35000</v>
      </c>
      <c r="S2555" s="102">
        <f t="shared" si="1382"/>
        <v>38500</v>
      </c>
      <c r="T2555" s="102">
        <f t="shared" si="1383"/>
        <v>35000</v>
      </c>
      <c r="U2555" s="71" t="str">
        <f>IF(J2555=W2555,"O", "X")</f>
        <v>X</v>
      </c>
      <c r="V2555" s="71"/>
      <c r="W2555" s="474"/>
      <c r="X2555" s="71"/>
      <c r="Y2555" s="71"/>
    </row>
    <row r="2556" spans="1:25" ht="30" hidden="1" customHeight="1" x14ac:dyDescent="0.25">
      <c r="A2556" s="82">
        <v>191114</v>
      </c>
      <c r="B2556" s="664" t="s">
        <v>690</v>
      </c>
      <c r="C2556" s="71" t="s">
        <v>750</v>
      </c>
      <c r="D2556" s="71">
        <v>4</v>
      </c>
      <c r="E2556" s="102">
        <v>49000</v>
      </c>
      <c r="F2556" s="102">
        <f t="shared" si="1384"/>
        <v>215600.00000000003</v>
      </c>
      <c r="G2556" s="102">
        <f t="shared" si="1385"/>
        <v>196000</v>
      </c>
      <c r="H2556" s="690" t="s">
        <v>173</v>
      </c>
      <c r="I2556" s="71" t="s">
        <v>2230</v>
      </c>
      <c r="J2556" s="53">
        <f>(G2556-(VLOOKUP(C2556,Price!B:D,3,FALSE)*D2556))</f>
        <v>56000</v>
      </c>
      <c r="K2556" s="63">
        <f t="shared" si="1360"/>
        <v>0.2857142857142857</v>
      </c>
      <c r="L2556" s="871" t="s">
        <v>2121</v>
      </c>
      <c r="M2556" s="468" t="s">
        <v>1394</v>
      </c>
      <c r="N2556" s="664">
        <f t="shared" si="1376"/>
        <v>191114</v>
      </c>
      <c r="O2556" s="71" t="s">
        <v>145</v>
      </c>
      <c r="P2556" s="103" t="str">
        <f t="shared" si="1371"/>
        <v>THD200(20L)</v>
      </c>
      <c r="Q2556" s="71">
        <f t="shared" si="1377"/>
        <v>4</v>
      </c>
      <c r="R2556" s="102">
        <v>35000</v>
      </c>
      <c r="S2556" s="102">
        <f t="shared" si="1382"/>
        <v>154000</v>
      </c>
      <c r="T2556" s="102">
        <f t="shared" si="1383"/>
        <v>140000</v>
      </c>
      <c r="U2556" s="71" t="str">
        <f>IF(J2556=W2556,"O", "X")</f>
        <v>O</v>
      </c>
      <c r="V2556" s="71"/>
      <c r="W2556" s="474">
        <f>(G2556-T2556)</f>
        <v>56000</v>
      </c>
      <c r="X2556" s="71"/>
      <c r="Y2556" s="71"/>
    </row>
    <row r="2557" spans="1:25" ht="30" hidden="1" customHeight="1" x14ac:dyDescent="0.25">
      <c r="A2557" s="82">
        <v>191114</v>
      </c>
      <c r="B2557" s="664" t="s">
        <v>939</v>
      </c>
      <c r="C2557" s="71" t="s">
        <v>123</v>
      </c>
      <c r="D2557" s="71">
        <v>5</v>
      </c>
      <c r="E2557" s="102">
        <v>30000</v>
      </c>
      <c r="F2557" s="102">
        <f t="shared" si="1384"/>
        <v>165000</v>
      </c>
      <c r="G2557" s="102">
        <f t="shared" si="1385"/>
        <v>150000</v>
      </c>
      <c r="H2557" s="690" t="s">
        <v>1432</v>
      </c>
      <c r="I2557" s="71" t="s">
        <v>1432</v>
      </c>
      <c r="J2557" s="53">
        <f>G2557-T2557</f>
        <v>27730</v>
      </c>
      <c r="K2557" s="63">
        <f>(J2557/(F2557/11*10))</f>
        <v>0.18486666666666668</v>
      </c>
      <c r="L2557" s="871" t="s">
        <v>2121</v>
      </c>
      <c r="M2557" s="468"/>
      <c r="N2557" s="664">
        <f t="shared" si="1376"/>
        <v>191114</v>
      </c>
      <c r="O2557" s="71" t="s">
        <v>1432</v>
      </c>
      <c r="P2557" s="103" t="str">
        <f t="shared" si="1371"/>
        <v>필터백</v>
      </c>
      <c r="Q2557" s="71">
        <f t="shared" si="1377"/>
        <v>5</v>
      </c>
      <c r="R2557" s="102">
        <v>24454</v>
      </c>
      <c r="S2557" s="102">
        <f t="shared" si="1382"/>
        <v>134497</v>
      </c>
      <c r="T2557" s="102">
        <f t="shared" si="1383"/>
        <v>122270</v>
      </c>
      <c r="U2557" s="71"/>
      <c r="V2557" s="71"/>
      <c r="W2557" s="474"/>
      <c r="X2557" s="71"/>
      <c r="Y2557" s="71"/>
    </row>
    <row r="2558" spans="1:25" s="209" customFormat="1" ht="30" hidden="1" customHeight="1" x14ac:dyDescent="0.25">
      <c r="A2558" s="82">
        <v>191115</v>
      </c>
      <c r="B2558" s="664" t="s">
        <v>442</v>
      </c>
      <c r="C2558" s="71" t="s">
        <v>138</v>
      </c>
      <c r="D2558" s="71">
        <v>22</v>
      </c>
      <c r="E2558" s="102">
        <v>69000</v>
      </c>
      <c r="F2558" s="102">
        <f t="shared" si="1384"/>
        <v>1669800.0000000002</v>
      </c>
      <c r="G2558" s="102">
        <f t="shared" si="1385"/>
        <v>1518000</v>
      </c>
      <c r="H2558" s="690" t="s">
        <v>173</v>
      </c>
      <c r="I2558" s="71" t="s">
        <v>108</v>
      </c>
      <c r="J2558" s="53">
        <f>G2558-T2558-96800</f>
        <v>299200</v>
      </c>
      <c r="K2558" s="63">
        <f t="shared" si="1360"/>
        <v>0.1971014492753623</v>
      </c>
      <c r="L2558" s="871" t="s">
        <v>2121</v>
      </c>
      <c r="M2558" s="468" t="s">
        <v>1854</v>
      </c>
      <c r="N2558" s="664">
        <f t="shared" si="1376"/>
        <v>191115</v>
      </c>
      <c r="O2558" s="71" t="s">
        <v>150</v>
      </c>
      <c r="P2558" s="103" t="str">
        <f t="shared" si="1371"/>
        <v>매엽용 세척제(Wash 562)</v>
      </c>
      <c r="Q2558" s="71">
        <f t="shared" si="1377"/>
        <v>22</v>
      </c>
      <c r="R2558" s="102">
        <v>51000</v>
      </c>
      <c r="S2558" s="102">
        <f t="shared" si="1382"/>
        <v>1234200</v>
      </c>
      <c r="T2558" s="102">
        <f t="shared" si="1383"/>
        <v>1122000</v>
      </c>
      <c r="U2558" s="71" t="s">
        <v>1915</v>
      </c>
      <c r="V2558" s="71"/>
      <c r="W2558" s="474">
        <v>396000</v>
      </c>
      <c r="X2558" s="71"/>
      <c r="Y2558" s="71"/>
    </row>
    <row r="2559" spans="1:25" ht="30" hidden="1" customHeight="1" x14ac:dyDescent="0.25">
      <c r="A2559" s="82">
        <v>191115</v>
      </c>
      <c r="B2559" s="664" t="s">
        <v>690</v>
      </c>
      <c r="C2559" s="71" t="s">
        <v>217</v>
      </c>
      <c r="D2559" s="71">
        <v>2</v>
      </c>
      <c r="E2559" s="102">
        <v>145000</v>
      </c>
      <c r="F2559" s="102">
        <f t="shared" si="1384"/>
        <v>319000</v>
      </c>
      <c r="G2559" s="102">
        <f t="shared" si="1385"/>
        <v>290000</v>
      </c>
      <c r="H2559" s="690" t="s">
        <v>173</v>
      </c>
      <c r="I2559" s="71" t="s">
        <v>108</v>
      </c>
      <c r="J2559" s="53">
        <f>G2559-T2559</f>
        <v>130000</v>
      </c>
      <c r="K2559" s="63">
        <f t="shared" si="1360"/>
        <v>0.44827586206896552</v>
      </c>
      <c r="L2559" s="871" t="s">
        <v>2121</v>
      </c>
      <c r="M2559" s="468"/>
      <c r="N2559" s="664">
        <f t="shared" si="1376"/>
        <v>191115</v>
      </c>
      <c r="O2559" s="71" t="s">
        <v>150</v>
      </c>
      <c r="P2559" s="103" t="str">
        <f t="shared" si="1371"/>
        <v>Fount 511</v>
      </c>
      <c r="Q2559" s="71">
        <f t="shared" si="1377"/>
        <v>2</v>
      </c>
      <c r="R2559" s="102">
        <v>80000</v>
      </c>
      <c r="S2559" s="102">
        <f t="shared" si="1382"/>
        <v>176000</v>
      </c>
      <c r="T2559" s="102">
        <f t="shared" si="1383"/>
        <v>160000</v>
      </c>
      <c r="U2559" s="71" t="s">
        <v>859</v>
      </c>
      <c r="V2559" s="71"/>
      <c r="W2559" s="474">
        <v>130000</v>
      </c>
      <c r="X2559" s="71"/>
      <c r="Y2559" s="71"/>
    </row>
    <row r="2560" spans="1:25" s="209" customFormat="1" ht="30" hidden="1" customHeight="1" x14ac:dyDescent="0.25">
      <c r="A2560" s="82">
        <v>191115</v>
      </c>
      <c r="B2560" s="664" t="s">
        <v>442</v>
      </c>
      <c r="C2560" s="71" t="s">
        <v>107</v>
      </c>
      <c r="D2560" s="71">
        <v>6</v>
      </c>
      <c r="E2560" s="102">
        <v>110000</v>
      </c>
      <c r="F2560" s="102">
        <f t="shared" si="1384"/>
        <v>726000.00000000012</v>
      </c>
      <c r="G2560" s="102">
        <f t="shared" si="1385"/>
        <v>660000</v>
      </c>
      <c r="H2560" s="690" t="s">
        <v>173</v>
      </c>
      <c r="I2560" s="71" t="s">
        <v>109</v>
      </c>
      <c r="J2560" s="53">
        <f>G2560-S2560</f>
        <v>128700</v>
      </c>
      <c r="K2560" s="63">
        <f t="shared" si="1360"/>
        <v>0.19499999999999998</v>
      </c>
      <c r="L2560" s="871" t="s">
        <v>2121</v>
      </c>
      <c r="M2560" s="468"/>
      <c r="N2560" s="664">
        <f t="shared" si="1376"/>
        <v>191115</v>
      </c>
      <c r="O2560" s="71" t="s">
        <v>147</v>
      </c>
      <c r="P2560" s="103" t="str">
        <f t="shared" si="1371"/>
        <v>Blanket(1050*840)</v>
      </c>
      <c r="Q2560" s="71">
        <f t="shared" si="1377"/>
        <v>6</v>
      </c>
      <c r="R2560" s="102">
        <v>80500</v>
      </c>
      <c r="S2560" s="102">
        <f>(R2560*D2560)*1.1</f>
        <v>531300</v>
      </c>
      <c r="T2560" s="102">
        <f>(R2560*Q2560)</f>
        <v>483000</v>
      </c>
      <c r="U2560" s="71" t="str">
        <f>IF(J2560=W2560,"O", "X")</f>
        <v>X</v>
      </c>
      <c r="V2560" s="71"/>
      <c r="W2560" s="474">
        <f>(G2560-T2560)</f>
        <v>177000</v>
      </c>
      <c r="X2560" s="71"/>
      <c r="Y2560" s="71"/>
    </row>
    <row r="2561" spans="1:25" ht="30" hidden="1" customHeight="1" x14ac:dyDescent="0.25">
      <c r="A2561" s="82">
        <v>191115</v>
      </c>
      <c r="B2561" s="664" t="s">
        <v>446</v>
      </c>
      <c r="C2561" s="71" t="s">
        <v>2028</v>
      </c>
      <c r="D2561" s="71">
        <v>8</v>
      </c>
      <c r="E2561" s="102">
        <v>110000</v>
      </c>
      <c r="F2561" s="102">
        <f t="shared" si="1384"/>
        <v>968000.00000000012</v>
      </c>
      <c r="G2561" s="102">
        <f t="shared" si="1385"/>
        <v>880000</v>
      </c>
      <c r="H2561" s="690" t="s">
        <v>2029</v>
      </c>
      <c r="I2561" s="71" t="s">
        <v>2231</v>
      </c>
      <c r="J2561" s="53">
        <f t="shared" ref="J2561:J2566" si="1386">G2561-T2561</f>
        <v>152000</v>
      </c>
      <c r="K2561" s="63">
        <f t="shared" si="1360"/>
        <v>0.1727272727272727</v>
      </c>
      <c r="L2561" s="871" t="s">
        <v>2121</v>
      </c>
      <c r="M2561" s="468"/>
      <c r="N2561" s="664">
        <f t="shared" si="1376"/>
        <v>191115</v>
      </c>
      <c r="O2561" s="71" t="s">
        <v>2030</v>
      </c>
      <c r="P2561" s="103" t="str">
        <f t="shared" si="1371"/>
        <v>실리콘 에멀전</v>
      </c>
      <c r="Q2561" s="71">
        <f t="shared" si="1377"/>
        <v>8</v>
      </c>
      <c r="R2561" s="102">
        <v>91000</v>
      </c>
      <c r="S2561" s="102">
        <f>R2561*Q2561*1.1</f>
        <v>800800.00000000012</v>
      </c>
      <c r="T2561" s="102">
        <f>R2561*Q2561</f>
        <v>728000</v>
      </c>
      <c r="U2561" s="71" t="str">
        <f>IF(J2561=W2561,"O", "X")</f>
        <v>O</v>
      </c>
      <c r="V2561" s="71"/>
      <c r="W2561" s="474">
        <f>(G2561-T2561)</f>
        <v>152000</v>
      </c>
      <c r="X2561" s="71"/>
      <c r="Y2561" s="71"/>
    </row>
    <row r="2562" spans="1:25" ht="30" hidden="1" customHeight="1" x14ac:dyDescent="0.25">
      <c r="A2562" s="82">
        <v>191118</v>
      </c>
      <c r="B2562" s="664" t="s">
        <v>446</v>
      </c>
      <c r="C2562" s="71" t="s">
        <v>2028</v>
      </c>
      <c r="D2562" s="71">
        <v>8</v>
      </c>
      <c r="E2562" s="102">
        <v>110000</v>
      </c>
      <c r="F2562" s="102">
        <f t="shared" si="1384"/>
        <v>968000.00000000012</v>
      </c>
      <c r="G2562" s="102">
        <f t="shared" si="1385"/>
        <v>880000</v>
      </c>
      <c r="H2562" s="690" t="s">
        <v>2029</v>
      </c>
      <c r="I2562" s="71" t="s">
        <v>2231</v>
      </c>
      <c r="J2562" s="53">
        <f t="shared" si="1386"/>
        <v>152000</v>
      </c>
      <c r="K2562" s="63">
        <f t="shared" si="1360"/>
        <v>0.1727272727272727</v>
      </c>
      <c r="L2562" s="871" t="s">
        <v>2121</v>
      </c>
      <c r="M2562" s="468"/>
      <c r="N2562" s="664">
        <f t="shared" si="1376"/>
        <v>191118</v>
      </c>
      <c r="O2562" s="71" t="s">
        <v>2030</v>
      </c>
      <c r="P2562" s="103" t="str">
        <f t="shared" si="1371"/>
        <v>실리콘 에멀전</v>
      </c>
      <c r="Q2562" s="71">
        <f t="shared" si="1377"/>
        <v>8</v>
      </c>
      <c r="R2562" s="102">
        <v>91000</v>
      </c>
      <c r="S2562" s="102">
        <f>R2562*Q2562*1.1</f>
        <v>800800.00000000012</v>
      </c>
      <c r="T2562" s="102">
        <f>R2562*Q2562</f>
        <v>728000</v>
      </c>
      <c r="U2562" s="71" t="str">
        <f>IF(J2562=W2562,"O", "X")</f>
        <v>O</v>
      </c>
      <c r="V2562" s="71"/>
      <c r="W2562" s="474">
        <f>(G2562-T2562)</f>
        <v>152000</v>
      </c>
      <c r="X2562" s="71"/>
      <c r="Y2562" s="71"/>
    </row>
    <row r="2563" spans="1:25" ht="30" hidden="1" customHeight="1" x14ac:dyDescent="0.25">
      <c r="A2563" s="82">
        <v>191118</v>
      </c>
      <c r="B2563" s="664" t="s">
        <v>748</v>
      </c>
      <c r="C2563" s="71" t="s">
        <v>2144</v>
      </c>
      <c r="D2563" s="71">
        <v>2</v>
      </c>
      <c r="E2563" s="102">
        <v>400000</v>
      </c>
      <c r="F2563" s="102">
        <f t="shared" si="1384"/>
        <v>880000.00000000012</v>
      </c>
      <c r="G2563" s="102">
        <f t="shared" si="1385"/>
        <v>800000</v>
      </c>
      <c r="H2563" s="690" t="s">
        <v>1431</v>
      </c>
      <c r="I2563" s="71" t="s">
        <v>1431</v>
      </c>
      <c r="J2563" s="53">
        <f t="shared" si="1386"/>
        <v>300000</v>
      </c>
      <c r="K2563" s="63">
        <f>(J2563/(F2563/11*10))</f>
        <v>0.37499999999999994</v>
      </c>
      <c r="L2563" s="871" t="s">
        <v>2121</v>
      </c>
      <c r="M2563" s="468" t="s">
        <v>2183</v>
      </c>
      <c r="N2563" s="664">
        <f t="shared" si="1376"/>
        <v>191118</v>
      </c>
      <c r="O2563" s="71" t="s">
        <v>2182</v>
      </c>
      <c r="P2563" s="103" t="str">
        <f t="shared" si="1371"/>
        <v>에어실린더</v>
      </c>
      <c r="Q2563" s="71">
        <f t="shared" si="1377"/>
        <v>2</v>
      </c>
      <c r="R2563" s="102">
        <v>250000</v>
      </c>
      <c r="S2563" s="102">
        <f>R2563*Q2563*1.1</f>
        <v>550000</v>
      </c>
      <c r="T2563" s="102">
        <f>R2563*Q2563</f>
        <v>500000</v>
      </c>
      <c r="U2563" s="71"/>
      <c r="V2563" s="71"/>
      <c r="W2563" s="474"/>
      <c r="X2563" s="71"/>
      <c r="Y2563" s="71"/>
    </row>
    <row r="2564" spans="1:25" ht="30" hidden="1" customHeight="1" x14ac:dyDescent="0.25">
      <c r="A2564" s="82">
        <v>191118</v>
      </c>
      <c r="B2564" s="664" t="s">
        <v>748</v>
      </c>
      <c r="C2564" s="71" t="s">
        <v>114</v>
      </c>
      <c r="D2564" s="71">
        <v>50</v>
      </c>
      <c r="E2564" s="102">
        <v>18000</v>
      </c>
      <c r="F2564" s="102">
        <f t="shared" si="1384"/>
        <v>990000.00000000012</v>
      </c>
      <c r="G2564" s="102">
        <f t="shared" si="1385"/>
        <v>900000</v>
      </c>
      <c r="H2564" s="690" t="s">
        <v>1431</v>
      </c>
      <c r="I2564" s="71" t="s">
        <v>1431</v>
      </c>
      <c r="J2564" s="53">
        <f t="shared" si="1386"/>
        <v>450000</v>
      </c>
      <c r="K2564" s="63">
        <f t="shared" si="1360"/>
        <v>0.49999999999999994</v>
      </c>
      <c r="L2564" s="871" t="s">
        <v>2121</v>
      </c>
      <c r="M2564" s="468"/>
      <c r="N2564" s="664">
        <f t="shared" si="1376"/>
        <v>191118</v>
      </c>
      <c r="O2564" s="71" t="s">
        <v>1431</v>
      </c>
      <c r="P2564" s="103" t="str">
        <f t="shared" si="1371"/>
        <v>스트리퍼</v>
      </c>
      <c r="Q2564" s="71">
        <f t="shared" si="1377"/>
        <v>50</v>
      </c>
      <c r="R2564" s="102">
        <v>9000</v>
      </c>
      <c r="S2564" s="102">
        <f>(R2564*D2564)*1.1</f>
        <v>495000.00000000006</v>
      </c>
      <c r="T2564" s="102">
        <f>(R2564*Q2564)</f>
        <v>450000</v>
      </c>
      <c r="U2564" s="71"/>
      <c r="V2564" s="71"/>
      <c r="W2564" s="474"/>
      <c r="X2564" s="71"/>
      <c r="Y2564" s="71"/>
    </row>
    <row r="2565" spans="1:25" ht="30" hidden="1" customHeight="1" x14ac:dyDescent="0.25">
      <c r="A2565" s="82">
        <v>191118</v>
      </c>
      <c r="B2565" s="664" t="s">
        <v>748</v>
      </c>
      <c r="C2565" s="71" t="s">
        <v>2108</v>
      </c>
      <c r="D2565" s="71">
        <v>5</v>
      </c>
      <c r="E2565" s="102">
        <v>78000</v>
      </c>
      <c r="F2565" s="102">
        <f t="shared" si="1384"/>
        <v>429000.00000000006</v>
      </c>
      <c r="G2565" s="102">
        <f t="shared" si="1385"/>
        <v>390000</v>
      </c>
      <c r="H2565" s="690" t="s">
        <v>1431</v>
      </c>
      <c r="I2565" s="71" t="s">
        <v>1431</v>
      </c>
      <c r="J2565" s="53">
        <f t="shared" si="1386"/>
        <v>161400</v>
      </c>
      <c r="K2565" s="63">
        <f>(J2565/(F2565/11*10))</f>
        <v>0.41384615384615381</v>
      </c>
      <c r="L2565" s="871" t="s">
        <v>2121</v>
      </c>
      <c r="M2565" s="468"/>
      <c r="N2565" s="664">
        <f t="shared" si="1376"/>
        <v>191118</v>
      </c>
      <c r="O2565" s="71" t="s">
        <v>1431</v>
      </c>
      <c r="P2565" s="103" t="str">
        <f t="shared" si="1371"/>
        <v>스프링 블레이드(소)</v>
      </c>
      <c r="Q2565" s="71">
        <f t="shared" si="1377"/>
        <v>5</v>
      </c>
      <c r="R2565" s="102">
        <v>45720</v>
      </c>
      <c r="S2565" s="102">
        <f>(R2565*D2565)*1.1</f>
        <v>251460.00000000003</v>
      </c>
      <c r="T2565" s="102">
        <f>(R2565*Q2565)</f>
        <v>228600</v>
      </c>
      <c r="U2565" s="71"/>
      <c r="V2565" s="71"/>
      <c r="W2565" s="474"/>
      <c r="X2565" s="71"/>
      <c r="Y2565" s="71"/>
    </row>
    <row r="2566" spans="1:25" ht="30" hidden="1" customHeight="1" x14ac:dyDescent="0.25">
      <c r="A2566" s="82">
        <v>191118</v>
      </c>
      <c r="B2566" s="664" t="s">
        <v>748</v>
      </c>
      <c r="C2566" s="71" t="s">
        <v>2145</v>
      </c>
      <c r="D2566" s="71">
        <v>5</v>
      </c>
      <c r="E2566" s="102">
        <v>78000</v>
      </c>
      <c r="F2566" s="102">
        <f t="shared" si="1384"/>
        <v>429000.00000000006</v>
      </c>
      <c r="G2566" s="102">
        <f t="shared" si="1385"/>
        <v>390000</v>
      </c>
      <c r="H2566" s="690" t="s">
        <v>1431</v>
      </c>
      <c r="I2566" s="71" t="s">
        <v>1431</v>
      </c>
      <c r="J2566" s="53">
        <f t="shared" si="1386"/>
        <v>161400</v>
      </c>
      <c r="K2566" s="63">
        <f>(J2566/(F2566/11*10))</f>
        <v>0.41384615384615381</v>
      </c>
      <c r="L2566" s="871" t="s">
        <v>2121</v>
      </c>
      <c r="M2566" s="468"/>
      <c r="N2566" s="664">
        <f t="shared" si="1376"/>
        <v>191118</v>
      </c>
      <c r="O2566" s="71" t="s">
        <v>1431</v>
      </c>
      <c r="P2566" s="103" t="str">
        <f t="shared" si="1371"/>
        <v>스프링 블레이드(대)</v>
      </c>
      <c r="Q2566" s="71">
        <f t="shared" si="1377"/>
        <v>5</v>
      </c>
      <c r="R2566" s="102">
        <v>45720</v>
      </c>
      <c r="S2566" s="102">
        <f>(R2566*D2566)*1.1</f>
        <v>251460.00000000003</v>
      </c>
      <c r="T2566" s="102">
        <f>(R2566*Q2566)</f>
        <v>228600</v>
      </c>
      <c r="U2566" s="71"/>
      <c r="V2566" s="71"/>
      <c r="W2566" s="474"/>
      <c r="X2566" s="71"/>
      <c r="Y2566" s="71"/>
    </row>
    <row r="2567" spans="1:25" s="209" customFormat="1" ht="30" hidden="1" customHeight="1" x14ac:dyDescent="0.2">
      <c r="A2567" s="82">
        <v>191118</v>
      </c>
      <c r="B2567" s="664" t="s">
        <v>1286</v>
      </c>
      <c r="C2567" s="71" t="s">
        <v>231</v>
      </c>
      <c r="D2567" s="71">
        <v>10</v>
      </c>
      <c r="E2567" s="102">
        <v>120000</v>
      </c>
      <c r="F2567" s="163">
        <f t="shared" si="1384"/>
        <v>1320000</v>
      </c>
      <c r="G2567" s="102">
        <f t="shared" si="1385"/>
        <v>1200000</v>
      </c>
      <c r="H2567" s="165" t="s">
        <v>172</v>
      </c>
      <c r="I2567" s="71" t="s">
        <v>109</v>
      </c>
      <c r="J2567" s="53">
        <f>(G2567-(VLOOKUP(C2567,Price!B:D,3,FALSE)*D2567))</f>
        <v>80000</v>
      </c>
      <c r="K2567" s="63">
        <f t="shared" si="1360"/>
        <v>6.6666666666666666E-2</v>
      </c>
      <c r="L2567" s="871" t="s">
        <v>2121</v>
      </c>
      <c r="M2567" s="468"/>
      <c r="N2567" s="664">
        <f t="shared" si="1376"/>
        <v>191118</v>
      </c>
      <c r="O2567" s="71" t="s">
        <v>151</v>
      </c>
      <c r="P2567" s="103" t="str">
        <f t="shared" si="1371"/>
        <v>Blanket(990*725)</v>
      </c>
      <c r="Q2567" s="71">
        <f t="shared" si="1377"/>
        <v>10</v>
      </c>
      <c r="R2567" s="102">
        <v>112000</v>
      </c>
      <c r="S2567" s="102">
        <f>(R2567*D2567)*1.1</f>
        <v>1232000</v>
      </c>
      <c r="T2567" s="102">
        <f>(R2567*Q2567)</f>
        <v>1120000</v>
      </c>
      <c r="U2567" s="71" t="str">
        <f>IF(J2567=W2567,"O", "X")</f>
        <v>O</v>
      </c>
      <c r="V2567" s="71"/>
      <c r="W2567" s="474">
        <f>(G2567-T2567)</f>
        <v>80000</v>
      </c>
      <c r="X2567" s="71"/>
      <c r="Y2567" s="71"/>
    </row>
    <row r="2568" spans="1:25" ht="30" hidden="1" customHeight="1" x14ac:dyDescent="0.25">
      <c r="A2568" s="82">
        <v>191119</v>
      </c>
      <c r="B2568" s="664" t="s">
        <v>549</v>
      </c>
      <c r="C2568" s="71" t="s">
        <v>119</v>
      </c>
      <c r="D2568" s="71">
        <v>15</v>
      </c>
      <c r="E2568" s="102">
        <v>115000</v>
      </c>
      <c r="F2568" s="102">
        <f t="shared" si="1384"/>
        <v>1897500.0000000002</v>
      </c>
      <c r="G2568" s="102">
        <f t="shared" si="1385"/>
        <v>1725000</v>
      </c>
      <c r="H2568" s="690" t="s">
        <v>173</v>
      </c>
      <c r="I2568" s="71" t="s">
        <v>109</v>
      </c>
      <c r="J2568" s="53">
        <f>(G2568-(VLOOKUP(C2568,Price!B:D,3,FALSE)*D2568))</f>
        <v>394500</v>
      </c>
      <c r="K2568" s="63">
        <f t="shared" si="1360"/>
        <v>0.22869565217391302</v>
      </c>
      <c r="L2568" s="871" t="s">
        <v>2121</v>
      </c>
      <c r="M2568" s="468"/>
      <c r="N2568" s="664">
        <f t="shared" si="1376"/>
        <v>191119</v>
      </c>
      <c r="O2568" s="71" t="s">
        <v>150</v>
      </c>
      <c r="P2568" s="103" t="str">
        <f t="shared" si="1371"/>
        <v>미쯔비시 Blanket(1035*910)</v>
      </c>
      <c r="Q2568" s="71">
        <f t="shared" si="1377"/>
        <v>15</v>
      </c>
      <c r="R2568" s="102">
        <v>88700</v>
      </c>
      <c r="S2568" s="102">
        <f t="shared" ref="S2568:S2576" si="1387">R2568*Q2568*1.1</f>
        <v>1463550.0000000002</v>
      </c>
      <c r="T2568" s="102">
        <f t="shared" ref="T2568:T2576" si="1388">R2568*Q2568</f>
        <v>1330500</v>
      </c>
      <c r="U2568" s="71" t="str">
        <f>IF(J2568=W2568,"O", "X")</f>
        <v>O</v>
      </c>
      <c r="V2568" s="71"/>
      <c r="W2568" s="474">
        <f>(G2568-T2568)</f>
        <v>394500</v>
      </c>
      <c r="X2568" s="71"/>
      <c r="Y2568" s="71"/>
    </row>
    <row r="2569" spans="1:25" ht="30" hidden="1" customHeight="1" x14ac:dyDescent="0.25">
      <c r="A2569" s="82">
        <v>191120</v>
      </c>
      <c r="B2569" s="664" t="s">
        <v>446</v>
      </c>
      <c r="C2569" s="71" t="s">
        <v>2028</v>
      </c>
      <c r="D2569" s="71">
        <v>10</v>
      </c>
      <c r="E2569" s="102">
        <v>110000</v>
      </c>
      <c r="F2569" s="102">
        <f t="shared" si="1384"/>
        <v>1210000</v>
      </c>
      <c r="G2569" s="102">
        <f t="shared" si="1385"/>
        <v>1100000</v>
      </c>
      <c r="H2569" s="690" t="s">
        <v>2029</v>
      </c>
      <c r="I2569" s="71" t="s">
        <v>2231</v>
      </c>
      <c r="J2569" s="53">
        <f t="shared" ref="J2569:J2574" si="1389">G2569-T2569</f>
        <v>190000</v>
      </c>
      <c r="K2569" s="63">
        <f t="shared" si="1360"/>
        <v>0.17272727272727273</v>
      </c>
      <c r="L2569" s="871" t="s">
        <v>2121</v>
      </c>
      <c r="M2569" s="468"/>
      <c r="N2569" s="664">
        <f t="shared" si="1376"/>
        <v>191120</v>
      </c>
      <c r="O2569" s="71" t="s">
        <v>2030</v>
      </c>
      <c r="P2569" s="103" t="str">
        <f t="shared" si="1371"/>
        <v>실리콘 에멀전</v>
      </c>
      <c r="Q2569" s="71">
        <f t="shared" si="1377"/>
        <v>10</v>
      </c>
      <c r="R2569" s="102">
        <v>91000</v>
      </c>
      <c r="S2569" s="102">
        <f t="shared" si="1387"/>
        <v>1001000.0000000001</v>
      </c>
      <c r="T2569" s="102">
        <f t="shared" si="1388"/>
        <v>910000</v>
      </c>
      <c r="U2569" s="71" t="str">
        <f>IF(J2569=W2569,"O", "X")</f>
        <v>O</v>
      </c>
      <c r="V2569" s="71"/>
      <c r="W2569" s="474">
        <f>(G2569-T2569)</f>
        <v>190000</v>
      </c>
      <c r="X2569" s="71"/>
      <c r="Y2569" s="71"/>
    </row>
    <row r="2570" spans="1:25" ht="30" hidden="1" customHeight="1" x14ac:dyDescent="0.25">
      <c r="A2570" s="82">
        <v>191120</v>
      </c>
      <c r="B2570" s="664" t="s">
        <v>442</v>
      </c>
      <c r="C2570" s="71" t="s">
        <v>773</v>
      </c>
      <c r="D2570" s="71">
        <v>6</v>
      </c>
      <c r="E2570" s="102">
        <v>192000</v>
      </c>
      <c r="F2570" s="102">
        <f t="shared" si="1384"/>
        <v>1267200</v>
      </c>
      <c r="G2570" s="102">
        <f t="shared" si="1385"/>
        <v>1152000</v>
      </c>
      <c r="H2570" s="690" t="s">
        <v>173</v>
      </c>
      <c r="I2570" s="71" t="s">
        <v>109</v>
      </c>
      <c r="J2570" s="53">
        <f t="shared" si="1389"/>
        <v>144000</v>
      </c>
      <c r="K2570" s="63">
        <f t="shared" si="1360"/>
        <v>0.125</v>
      </c>
      <c r="L2570" s="871" t="s">
        <v>2121</v>
      </c>
      <c r="M2570" s="468"/>
      <c r="N2570" s="664">
        <f t="shared" si="1376"/>
        <v>191120</v>
      </c>
      <c r="O2570" s="71" t="s">
        <v>151</v>
      </c>
      <c r="P2570" s="103" t="str">
        <f t="shared" si="1371"/>
        <v>로랜드 전지 블랑켓(1460*1165)bar</v>
      </c>
      <c r="Q2570" s="71">
        <f t="shared" si="1377"/>
        <v>6</v>
      </c>
      <c r="R2570" s="102">
        <v>168000</v>
      </c>
      <c r="S2570" s="102">
        <f t="shared" si="1387"/>
        <v>1108800</v>
      </c>
      <c r="T2570" s="102">
        <f t="shared" si="1388"/>
        <v>1008000</v>
      </c>
      <c r="U2570" s="71" t="s">
        <v>859</v>
      </c>
      <c r="V2570" s="71"/>
      <c r="W2570" s="474">
        <v>120000</v>
      </c>
      <c r="X2570" s="71"/>
      <c r="Y2570" s="71"/>
    </row>
    <row r="2571" spans="1:25" ht="30" hidden="1" customHeight="1" x14ac:dyDescent="0.25">
      <c r="A2571" s="82">
        <v>191120</v>
      </c>
      <c r="B2571" s="664" t="s">
        <v>546</v>
      </c>
      <c r="C2571" s="71" t="s">
        <v>2135</v>
      </c>
      <c r="D2571" s="71">
        <v>2</v>
      </c>
      <c r="E2571" s="102">
        <v>8900000</v>
      </c>
      <c r="F2571" s="102">
        <f t="shared" si="1384"/>
        <v>19580000</v>
      </c>
      <c r="G2571" s="102">
        <f t="shared" si="1385"/>
        <v>17800000</v>
      </c>
      <c r="H2571" s="690" t="s">
        <v>1431</v>
      </c>
      <c r="I2571" s="71" t="s">
        <v>1431</v>
      </c>
      <c r="J2571" s="53">
        <f t="shared" si="1389"/>
        <v>8800000</v>
      </c>
      <c r="K2571" s="63">
        <f>(J2571/(F2571/11*10))</f>
        <v>0.4943820224719101</v>
      </c>
      <c r="L2571" s="871" t="s">
        <v>2121</v>
      </c>
      <c r="M2571" s="468"/>
      <c r="N2571" s="664">
        <f t="shared" si="1376"/>
        <v>191120</v>
      </c>
      <c r="O2571" s="71" t="s">
        <v>1220</v>
      </c>
      <c r="P2571" s="103" t="str">
        <f t="shared" si="1371"/>
        <v>판걸이 튜브</v>
      </c>
      <c r="Q2571" s="71">
        <f t="shared" si="1377"/>
        <v>2</v>
      </c>
      <c r="R2571" s="102">
        <v>4500000</v>
      </c>
      <c r="S2571" s="102">
        <f t="shared" si="1387"/>
        <v>9900000</v>
      </c>
      <c r="T2571" s="102">
        <f t="shared" si="1388"/>
        <v>9000000</v>
      </c>
      <c r="U2571" s="71" t="s">
        <v>859</v>
      </c>
      <c r="V2571" s="71"/>
      <c r="W2571" s="474"/>
      <c r="X2571" s="71"/>
      <c r="Y2571" s="71"/>
    </row>
    <row r="2572" spans="1:25" ht="30" hidden="1" customHeight="1" x14ac:dyDescent="0.25">
      <c r="A2572" s="82">
        <v>191122</v>
      </c>
      <c r="B2572" s="664" t="s">
        <v>690</v>
      </c>
      <c r="C2572" s="71" t="s">
        <v>2136</v>
      </c>
      <c r="D2572" s="71">
        <v>5</v>
      </c>
      <c r="E2572" s="102">
        <v>30000</v>
      </c>
      <c r="F2572" s="102">
        <f t="shared" si="1384"/>
        <v>165000</v>
      </c>
      <c r="G2572" s="102">
        <f t="shared" si="1385"/>
        <v>150000</v>
      </c>
      <c r="H2572" s="690" t="s">
        <v>1432</v>
      </c>
      <c r="I2572" s="71" t="s">
        <v>1432</v>
      </c>
      <c r="J2572" s="53">
        <f t="shared" si="1389"/>
        <v>35000</v>
      </c>
      <c r="K2572" s="63">
        <f>(J2572/(F2572/11*10))</f>
        <v>0.23333333333333334</v>
      </c>
      <c r="L2572" s="871" t="s">
        <v>2121</v>
      </c>
      <c r="M2572" s="468"/>
      <c r="N2572" s="664">
        <f t="shared" si="1376"/>
        <v>191122</v>
      </c>
      <c r="O2572" s="71" t="s">
        <v>1432</v>
      </c>
      <c r="P2572" s="103" t="str">
        <f t="shared" si="1371"/>
        <v>주머니 필터백(소형)</v>
      </c>
      <c r="Q2572" s="71">
        <f t="shared" si="1377"/>
        <v>5</v>
      </c>
      <c r="R2572" s="102">
        <v>23000</v>
      </c>
      <c r="S2572" s="102">
        <f t="shared" si="1387"/>
        <v>126500.00000000001</v>
      </c>
      <c r="T2572" s="102">
        <f t="shared" si="1388"/>
        <v>115000</v>
      </c>
      <c r="U2572" s="71"/>
      <c r="V2572" s="71"/>
      <c r="W2572" s="474"/>
      <c r="X2572" s="71"/>
      <c r="Y2572" s="71"/>
    </row>
    <row r="2573" spans="1:25" ht="30" hidden="1" customHeight="1" x14ac:dyDescent="0.25">
      <c r="A2573" s="82">
        <v>191122</v>
      </c>
      <c r="B2573" s="664" t="s">
        <v>690</v>
      </c>
      <c r="C2573" s="71" t="s">
        <v>123</v>
      </c>
      <c r="D2573" s="71">
        <v>10</v>
      </c>
      <c r="E2573" s="102">
        <v>30000</v>
      </c>
      <c r="F2573" s="102">
        <f t="shared" si="1384"/>
        <v>330000</v>
      </c>
      <c r="G2573" s="102">
        <f t="shared" si="1385"/>
        <v>300000</v>
      </c>
      <c r="H2573" s="690" t="s">
        <v>1432</v>
      </c>
      <c r="I2573" s="71" t="s">
        <v>1432</v>
      </c>
      <c r="J2573" s="53">
        <f t="shared" si="1389"/>
        <v>55460</v>
      </c>
      <c r="K2573" s="63">
        <f>(J2573/(F2573/11*10))</f>
        <v>0.18486666666666668</v>
      </c>
      <c r="L2573" s="871" t="s">
        <v>2121</v>
      </c>
      <c r="M2573" s="468"/>
      <c r="N2573" s="664">
        <f t="shared" si="1376"/>
        <v>191122</v>
      </c>
      <c r="O2573" s="71" t="s">
        <v>1432</v>
      </c>
      <c r="P2573" s="103" t="str">
        <f t="shared" si="1371"/>
        <v>필터백</v>
      </c>
      <c r="Q2573" s="71">
        <f t="shared" si="1377"/>
        <v>10</v>
      </c>
      <c r="R2573" s="102">
        <v>24454</v>
      </c>
      <c r="S2573" s="102">
        <f t="shared" si="1387"/>
        <v>268994</v>
      </c>
      <c r="T2573" s="102">
        <f t="shared" si="1388"/>
        <v>244540</v>
      </c>
      <c r="U2573" s="71"/>
      <c r="V2573" s="71"/>
      <c r="W2573" s="474"/>
      <c r="X2573" s="71"/>
      <c r="Y2573" s="71"/>
    </row>
    <row r="2574" spans="1:25" s="209" customFormat="1" ht="30" hidden="1" customHeight="1" x14ac:dyDescent="0.25">
      <c r="A2574" s="82">
        <v>191122</v>
      </c>
      <c r="B2574" s="664" t="s">
        <v>764</v>
      </c>
      <c r="C2574" s="71" t="s">
        <v>236</v>
      </c>
      <c r="D2574" s="71">
        <v>10</v>
      </c>
      <c r="E2574" s="102">
        <v>100000</v>
      </c>
      <c r="F2574" s="102">
        <f t="shared" si="1384"/>
        <v>1100000</v>
      </c>
      <c r="G2574" s="102">
        <v>1000000</v>
      </c>
      <c r="H2574" s="690" t="s">
        <v>173</v>
      </c>
      <c r="I2574" s="71" t="s">
        <v>2231</v>
      </c>
      <c r="J2574" s="53">
        <f t="shared" si="1389"/>
        <v>500000</v>
      </c>
      <c r="K2574" s="63">
        <f t="shared" si="1360"/>
        <v>0.5</v>
      </c>
      <c r="L2574" s="871" t="s">
        <v>2121</v>
      </c>
      <c r="M2574" s="468"/>
      <c r="N2574" s="664">
        <f t="shared" si="1376"/>
        <v>191122</v>
      </c>
      <c r="O2574" s="71" t="s">
        <v>153</v>
      </c>
      <c r="P2574" s="103" t="str">
        <f t="shared" si="1371"/>
        <v>아스테이지(국전)</v>
      </c>
      <c r="Q2574" s="71">
        <f t="shared" si="1377"/>
        <v>10</v>
      </c>
      <c r="R2574" s="102">
        <v>50000</v>
      </c>
      <c r="S2574" s="102">
        <f t="shared" si="1387"/>
        <v>550000</v>
      </c>
      <c r="T2574" s="102">
        <f t="shared" si="1388"/>
        <v>500000</v>
      </c>
      <c r="U2574" s="71" t="s">
        <v>859</v>
      </c>
      <c r="V2574" s="71"/>
      <c r="W2574" s="474">
        <v>500000</v>
      </c>
      <c r="X2574" s="71"/>
      <c r="Y2574" s="71"/>
    </row>
    <row r="2575" spans="1:25" s="209" customFormat="1" ht="30" customHeight="1" x14ac:dyDescent="0.2">
      <c r="A2575" s="82">
        <v>191122</v>
      </c>
      <c r="B2575" s="664" t="s">
        <v>422</v>
      </c>
      <c r="C2575" s="71" t="s">
        <v>130</v>
      </c>
      <c r="D2575" s="71">
        <v>10</v>
      </c>
      <c r="E2575" s="102">
        <v>125000</v>
      </c>
      <c r="F2575" s="163">
        <f t="shared" ref="F2575:F2584" si="1390">(E2575*D2575)*1.1</f>
        <v>1375000</v>
      </c>
      <c r="G2575" s="102">
        <f t="shared" ref="G2575:G2584" si="1391">(E2575*D2575)</f>
        <v>1250000</v>
      </c>
      <c r="H2575" s="165" t="s">
        <v>172</v>
      </c>
      <c r="I2575" s="71" t="s">
        <v>109</v>
      </c>
      <c r="J2575" s="53">
        <f>(G2575-(VLOOKUP(C2575,Price!B:D,3,FALSE)*D2575))</f>
        <v>260000</v>
      </c>
      <c r="K2575" s="63">
        <f t="shared" si="1360"/>
        <v>0.20799999999999999</v>
      </c>
      <c r="L2575" s="871" t="s">
        <v>2121</v>
      </c>
      <c r="M2575" s="468" t="s">
        <v>2050</v>
      </c>
      <c r="N2575" s="664">
        <f t="shared" si="1376"/>
        <v>191122</v>
      </c>
      <c r="O2575" s="71" t="s">
        <v>150</v>
      </c>
      <c r="P2575" s="103" t="str">
        <f t="shared" si="1371"/>
        <v>XL106 Blanket(1077*885)</v>
      </c>
      <c r="Q2575" s="71">
        <f t="shared" si="1377"/>
        <v>10</v>
      </c>
      <c r="R2575" s="102">
        <v>99000</v>
      </c>
      <c r="S2575" s="102">
        <f t="shared" si="1387"/>
        <v>1089000</v>
      </c>
      <c r="T2575" s="102">
        <f t="shared" si="1388"/>
        <v>990000</v>
      </c>
      <c r="U2575" s="71" t="str">
        <f>IF(J2575=W2575,"O", "X")</f>
        <v>O</v>
      </c>
      <c r="V2575" s="71"/>
      <c r="W2575" s="474">
        <f>(G2575-T2575)</f>
        <v>260000</v>
      </c>
      <c r="X2575" s="71"/>
      <c r="Y2575" s="71"/>
    </row>
    <row r="2576" spans="1:25" ht="30" customHeight="1" x14ac:dyDescent="0.25">
      <c r="A2576" s="82">
        <v>191122</v>
      </c>
      <c r="B2576" s="664" t="s">
        <v>422</v>
      </c>
      <c r="C2576" s="71" t="s">
        <v>129</v>
      </c>
      <c r="D2576" s="71">
        <v>7</v>
      </c>
      <c r="E2576" s="102">
        <v>272000</v>
      </c>
      <c r="F2576" s="102">
        <f t="shared" si="1390"/>
        <v>2094400.0000000002</v>
      </c>
      <c r="G2576" s="102">
        <f t="shared" si="1391"/>
        <v>1904000</v>
      </c>
      <c r="H2576" s="690" t="s">
        <v>173</v>
      </c>
      <c r="I2576" s="71" t="s">
        <v>108</v>
      </c>
      <c r="J2576" s="53">
        <f>(G2576-(VLOOKUP(C2576,Price!B:D,3,FALSE)*D2576))</f>
        <v>448000</v>
      </c>
      <c r="K2576" s="63">
        <f t="shared" si="1360"/>
        <v>0.23529411764705879</v>
      </c>
      <c r="L2576" s="871" t="s">
        <v>2121</v>
      </c>
      <c r="M2576" s="468" t="s">
        <v>2050</v>
      </c>
      <c r="N2576" s="664">
        <f t="shared" si="1376"/>
        <v>191122</v>
      </c>
      <c r="O2576" s="71" t="s">
        <v>149</v>
      </c>
      <c r="P2576" s="103" t="str">
        <f t="shared" si="1371"/>
        <v>세정포-XL106</v>
      </c>
      <c r="Q2576" s="71">
        <f t="shared" si="1377"/>
        <v>7</v>
      </c>
      <c r="R2576" s="102">
        <v>208000</v>
      </c>
      <c r="S2576" s="102">
        <f t="shared" si="1387"/>
        <v>1601600.0000000002</v>
      </c>
      <c r="T2576" s="102">
        <f t="shared" si="1388"/>
        <v>1456000</v>
      </c>
      <c r="U2576" s="71" t="str">
        <f>IF(J2576=W2576,"O", "X")</f>
        <v>O</v>
      </c>
      <c r="V2576" s="71"/>
      <c r="W2576" s="474">
        <f>(G2576-T2576)</f>
        <v>448000</v>
      </c>
      <c r="X2576" s="71"/>
      <c r="Y2576" s="71"/>
    </row>
    <row r="2577" spans="1:25" ht="30" customHeight="1" x14ac:dyDescent="0.25">
      <c r="A2577" s="82">
        <v>191122</v>
      </c>
      <c r="B2577" s="664" t="s">
        <v>422</v>
      </c>
      <c r="C2577" s="71" t="s">
        <v>2031</v>
      </c>
      <c r="D2577" s="71">
        <v>3</v>
      </c>
      <c r="E2577" s="102">
        <v>35000</v>
      </c>
      <c r="F2577" s="102">
        <f t="shared" si="1390"/>
        <v>115500.00000000001</v>
      </c>
      <c r="G2577" s="102">
        <f t="shared" si="1391"/>
        <v>105000</v>
      </c>
      <c r="H2577" s="690" t="s">
        <v>94</v>
      </c>
      <c r="I2577" s="71" t="s">
        <v>1432</v>
      </c>
      <c r="J2577" s="53">
        <f>G2577-T2577</f>
        <v>37617</v>
      </c>
      <c r="K2577" s="63">
        <f t="shared" si="1360"/>
        <v>0.35825714285714283</v>
      </c>
      <c r="L2577" s="871" t="s">
        <v>2121</v>
      </c>
      <c r="M2577" s="468" t="s">
        <v>2054</v>
      </c>
      <c r="N2577" s="664">
        <f t="shared" si="1376"/>
        <v>191122</v>
      </c>
      <c r="O2577" s="71" t="s">
        <v>94</v>
      </c>
      <c r="P2577" s="103" t="str">
        <f t="shared" si="1371"/>
        <v>필터백</v>
      </c>
      <c r="Q2577" s="71">
        <f t="shared" si="1377"/>
        <v>3</v>
      </c>
      <c r="R2577" s="102">
        <v>22461</v>
      </c>
      <c r="S2577" s="102">
        <f>(R2577*D2577)*1.1</f>
        <v>74121.3</v>
      </c>
      <c r="T2577" s="102">
        <f>(R2577*Q2577)</f>
        <v>67383</v>
      </c>
      <c r="U2577" s="71" t="str">
        <f>IF(J2577=W2577,"O", "X")</f>
        <v>X</v>
      </c>
      <c r="V2577" s="71"/>
      <c r="W2577" s="474"/>
      <c r="X2577" s="71"/>
      <c r="Y2577" s="71"/>
    </row>
    <row r="2578" spans="1:25" ht="30" customHeight="1" x14ac:dyDescent="0.25">
      <c r="A2578" s="82">
        <v>191122</v>
      </c>
      <c r="B2578" s="664" t="s">
        <v>565</v>
      </c>
      <c r="C2578" s="71" t="s">
        <v>2137</v>
      </c>
      <c r="D2578" s="71">
        <v>5</v>
      </c>
      <c r="E2578" s="102">
        <v>110000</v>
      </c>
      <c r="F2578" s="102">
        <f t="shared" si="1390"/>
        <v>605000</v>
      </c>
      <c r="G2578" s="102">
        <f t="shared" si="1391"/>
        <v>550000</v>
      </c>
      <c r="H2578" s="690" t="s">
        <v>173</v>
      </c>
      <c r="I2578" s="71" t="s">
        <v>2231</v>
      </c>
      <c r="J2578" s="53">
        <f>G2578-T2578</f>
        <v>75000</v>
      </c>
      <c r="K2578" s="63">
        <f>(J2578/(F2578/11*10))</f>
        <v>0.13636363636363635</v>
      </c>
      <c r="L2578" s="871" t="s">
        <v>2121</v>
      </c>
      <c r="M2578" s="468"/>
      <c r="N2578" s="664">
        <f t="shared" si="1376"/>
        <v>191122</v>
      </c>
      <c r="O2578" s="71" t="s">
        <v>2030</v>
      </c>
      <c r="P2578" s="103" t="str">
        <f t="shared" si="1371"/>
        <v>잉크집 아스테이지</v>
      </c>
      <c r="Q2578" s="71">
        <f t="shared" si="1377"/>
        <v>5</v>
      </c>
      <c r="R2578" s="102">
        <v>95000</v>
      </c>
      <c r="S2578" s="102">
        <f>(R2578*D2578)*1.1</f>
        <v>522500.00000000006</v>
      </c>
      <c r="T2578" s="102">
        <f>(R2578*Q2578)</f>
        <v>475000</v>
      </c>
      <c r="U2578" s="71"/>
      <c r="V2578" s="71"/>
      <c r="W2578" s="474"/>
      <c r="X2578" s="71"/>
      <c r="Y2578" s="71"/>
    </row>
    <row r="2579" spans="1:25" ht="30" customHeight="1" x14ac:dyDescent="0.25">
      <c r="A2579" s="82">
        <v>191122</v>
      </c>
      <c r="B2579" s="664" t="s">
        <v>565</v>
      </c>
      <c r="C2579" s="71" t="s">
        <v>2138</v>
      </c>
      <c r="D2579" s="71">
        <v>300</v>
      </c>
      <c r="E2579" s="102">
        <v>400</v>
      </c>
      <c r="F2579" s="102">
        <f t="shared" si="1390"/>
        <v>132000</v>
      </c>
      <c r="G2579" s="102">
        <f t="shared" si="1391"/>
        <v>120000</v>
      </c>
      <c r="H2579" s="690" t="s">
        <v>173</v>
      </c>
      <c r="I2579" s="71" t="s">
        <v>2231</v>
      </c>
      <c r="J2579" s="53">
        <f>G2579-T2579</f>
        <v>24000</v>
      </c>
      <c r="K2579" s="63">
        <f>(J2579/(F2579/11*10))</f>
        <v>0.2</v>
      </c>
      <c r="L2579" s="871" t="s">
        <v>2121</v>
      </c>
      <c r="M2579" s="468"/>
      <c r="N2579" s="664">
        <f t="shared" si="1376"/>
        <v>191122</v>
      </c>
      <c r="O2579" s="71" t="s">
        <v>2030</v>
      </c>
      <c r="P2579" s="103" t="str">
        <f t="shared" si="1371"/>
        <v>고무사카(빨간색)</v>
      </c>
      <c r="Q2579" s="71">
        <f t="shared" si="1377"/>
        <v>300</v>
      </c>
      <c r="R2579" s="102">
        <v>320</v>
      </c>
      <c r="S2579" s="102">
        <f>(R2579*D2579)*1.1</f>
        <v>105600.00000000001</v>
      </c>
      <c r="T2579" s="102">
        <f>(R2579*Q2579)</f>
        <v>96000</v>
      </c>
      <c r="U2579" s="71"/>
      <c r="V2579" s="71"/>
      <c r="W2579" s="474"/>
      <c r="X2579" s="71"/>
      <c r="Y2579" s="71"/>
    </row>
    <row r="2580" spans="1:25" ht="30" customHeight="1" x14ac:dyDescent="0.25">
      <c r="A2580" s="82">
        <v>191122</v>
      </c>
      <c r="B2580" s="664" t="s">
        <v>565</v>
      </c>
      <c r="C2580" s="71" t="s">
        <v>2139</v>
      </c>
      <c r="D2580" s="71">
        <v>50</v>
      </c>
      <c r="E2580" s="102">
        <v>4500</v>
      </c>
      <c r="F2580" s="102">
        <f t="shared" si="1390"/>
        <v>247500.00000000003</v>
      </c>
      <c r="G2580" s="102">
        <f t="shared" si="1391"/>
        <v>225000</v>
      </c>
      <c r="H2580" s="690" t="s">
        <v>173</v>
      </c>
      <c r="I2580" s="71" t="s">
        <v>2231</v>
      </c>
      <c r="J2580" s="53">
        <f>G2580-T2580</f>
        <v>45000</v>
      </c>
      <c r="K2580" s="63">
        <f>(J2580/(F2580/11*10))</f>
        <v>0.19999999999999998</v>
      </c>
      <c r="L2580" s="871" t="s">
        <v>2121</v>
      </c>
      <c r="M2580" s="468"/>
      <c r="N2580" s="664">
        <f t="shared" si="1376"/>
        <v>191122</v>
      </c>
      <c r="O2580" s="71" t="s">
        <v>2030</v>
      </c>
      <c r="P2580" s="103" t="str">
        <f t="shared" si="1371"/>
        <v>고무사카(돼지코)</v>
      </c>
      <c r="Q2580" s="71">
        <f t="shared" si="1377"/>
        <v>50</v>
      </c>
      <c r="R2580" s="102">
        <v>3600</v>
      </c>
      <c r="S2580" s="102">
        <f>(R2580*D2580)*1.1</f>
        <v>198000.00000000003</v>
      </c>
      <c r="T2580" s="102">
        <f>(R2580*Q2580)</f>
        <v>180000</v>
      </c>
      <c r="U2580" s="71"/>
      <c r="V2580" s="71"/>
      <c r="W2580" s="474"/>
      <c r="X2580" s="71"/>
      <c r="Y2580" s="71"/>
    </row>
    <row r="2581" spans="1:25" ht="30" hidden="1" customHeight="1" x14ac:dyDescent="0.25">
      <c r="A2581" s="82">
        <v>191123</v>
      </c>
      <c r="B2581" s="664" t="s">
        <v>545</v>
      </c>
      <c r="C2581" s="71" t="s">
        <v>952</v>
      </c>
      <c r="D2581" s="71">
        <v>1</v>
      </c>
      <c r="E2581" s="102">
        <v>630000</v>
      </c>
      <c r="F2581" s="102">
        <f>(E2581*D2581)*1.1</f>
        <v>693000</v>
      </c>
      <c r="G2581" s="102">
        <f>(E2581*D2581)</f>
        <v>630000</v>
      </c>
      <c r="H2581" s="690" t="s">
        <v>173</v>
      </c>
      <c r="I2581" s="71" t="s">
        <v>108</v>
      </c>
      <c r="J2581" s="53">
        <f>(G2581-(VLOOKUP(C2581,Price!B:D,3,FALSE)*D2581))</f>
        <v>180000</v>
      </c>
      <c r="K2581" s="63">
        <f t="shared" ref="K2581:K2627" si="1392">(J2581/(F2581/11*10))</f>
        <v>0.2857142857142857</v>
      </c>
      <c r="L2581" s="871" t="s">
        <v>2121</v>
      </c>
      <c r="M2581" s="468"/>
      <c r="N2581" s="664">
        <f t="shared" si="1376"/>
        <v>191123</v>
      </c>
      <c r="O2581" s="71" t="s">
        <v>599</v>
      </c>
      <c r="P2581" s="103" t="str">
        <f t="shared" si="1371"/>
        <v>점보롤 세정포</v>
      </c>
      <c r="Q2581" s="71">
        <f t="shared" si="1377"/>
        <v>1</v>
      </c>
      <c r="R2581" s="102">
        <v>440000</v>
      </c>
      <c r="S2581" s="102">
        <f>R2581*Q2581*1.1</f>
        <v>484000.00000000006</v>
      </c>
      <c r="T2581" s="102">
        <f>R2581*Q2581</f>
        <v>440000</v>
      </c>
      <c r="U2581" s="71" t="str">
        <f>IF(J2581=W2581,"O", "X")</f>
        <v>X</v>
      </c>
      <c r="V2581" s="71" t="s">
        <v>1228</v>
      </c>
      <c r="W2581" s="474">
        <f>(G2581-T2581)</f>
        <v>190000</v>
      </c>
      <c r="X2581" s="71"/>
      <c r="Y2581" s="71"/>
    </row>
    <row r="2582" spans="1:25" ht="30" hidden="1" customHeight="1" x14ac:dyDescent="0.2">
      <c r="A2582" s="82">
        <v>191125</v>
      </c>
      <c r="B2582" s="664" t="s">
        <v>1220</v>
      </c>
      <c r="C2582" s="71" t="s">
        <v>123</v>
      </c>
      <c r="D2582" s="71">
        <v>5</v>
      </c>
      <c r="E2582" s="102">
        <v>35000</v>
      </c>
      <c r="F2582" s="163">
        <f t="shared" si="1390"/>
        <v>192500.00000000003</v>
      </c>
      <c r="G2582" s="163">
        <f t="shared" si="1391"/>
        <v>175000</v>
      </c>
      <c r="H2582" s="690" t="s">
        <v>1432</v>
      </c>
      <c r="I2582" s="71" t="s">
        <v>1432</v>
      </c>
      <c r="J2582" s="53">
        <f>G2582-T2582</f>
        <v>52730</v>
      </c>
      <c r="K2582" s="63">
        <f t="shared" si="1392"/>
        <v>0.30131428571428565</v>
      </c>
      <c r="L2582" s="871" t="s">
        <v>2121</v>
      </c>
      <c r="M2582" s="468"/>
      <c r="N2582" s="664">
        <f t="shared" si="1376"/>
        <v>191125</v>
      </c>
      <c r="O2582" s="71" t="s">
        <v>1432</v>
      </c>
      <c r="P2582" s="103" t="str">
        <f t="shared" si="1371"/>
        <v>필터백</v>
      </c>
      <c r="Q2582" s="71">
        <f t="shared" si="1377"/>
        <v>5</v>
      </c>
      <c r="R2582" s="102">
        <v>24454</v>
      </c>
      <c r="S2582" s="102">
        <f>(R2582*D2582)*1.1</f>
        <v>134497</v>
      </c>
      <c r="T2582" s="102">
        <f>(R2582*Q2582)</f>
        <v>122270</v>
      </c>
      <c r="U2582" s="71"/>
      <c r="V2582" s="71"/>
      <c r="W2582" s="474"/>
      <c r="X2582" s="71"/>
      <c r="Y2582" s="71"/>
    </row>
    <row r="2583" spans="1:25" ht="30" hidden="1" customHeight="1" x14ac:dyDescent="0.25">
      <c r="A2583" s="82">
        <v>191125</v>
      </c>
      <c r="B2583" s="664" t="s">
        <v>1220</v>
      </c>
      <c r="C2583" s="71" t="s">
        <v>2133</v>
      </c>
      <c r="D2583" s="71">
        <v>1</v>
      </c>
      <c r="E2583" s="102">
        <v>1200000</v>
      </c>
      <c r="F2583" s="102">
        <f t="shared" si="1390"/>
        <v>1320000</v>
      </c>
      <c r="G2583" s="102">
        <f t="shared" si="1391"/>
        <v>1200000</v>
      </c>
      <c r="H2583" s="690" t="s">
        <v>1431</v>
      </c>
      <c r="I2583" s="71" t="s">
        <v>1431</v>
      </c>
      <c r="J2583" s="53">
        <f>G2583-T2583</f>
        <v>300000</v>
      </c>
      <c r="K2583" s="63">
        <f>(J2583/(F2583/11*10))</f>
        <v>0.25</v>
      </c>
      <c r="L2583" s="871" t="s">
        <v>2121</v>
      </c>
      <c r="M2583" s="468"/>
      <c r="N2583" s="664">
        <f t="shared" si="1376"/>
        <v>191125</v>
      </c>
      <c r="O2583" s="71" t="s">
        <v>1431</v>
      </c>
      <c r="P2583" s="103" t="str">
        <f t="shared" si="1371"/>
        <v>기어</v>
      </c>
      <c r="Q2583" s="71">
        <f t="shared" si="1377"/>
        <v>1</v>
      </c>
      <c r="R2583" s="102">
        <v>900000</v>
      </c>
      <c r="S2583" s="102">
        <f>(R2583*D2583)*1.1</f>
        <v>990000.00000000012</v>
      </c>
      <c r="T2583" s="102">
        <f>(R2583*Q2583)</f>
        <v>900000</v>
      </c>
      <c r="U2583" s="71"/>
      <c r="V2583" s="71"/>
      <c r="W2583" s="474"/>
      <c r="X2583" s="71"/>
      <c r="Y2583" s="71"/>
    </row>
    <row r="2584" spans="1:25" ht="30" hidden="1" customHeight="1" x14ac:dyDescent="0.25">
      <c r="A2584" s="82">
        <v>191125</v>
      </c>
      <c r="B2584" s="664" t="s">
        <v>1220</v>
      </c>
      <c r="C2584" s="71" t="s">
        <v>2143</v>
      </c>
      <c r="D2584" s="71">
        <v>1</v>
      </c>
      <c r="E2584" s="102">
        <v>1250000</v>
      </c>
      <c r="F2584" s="102">
        <f t="shared" si="1390"/>
        <v>1375000</v>
      </c>
      <c r="G2584" s="102">
        <f t="shared" si="1391"/>
        <v>1250000</v>
      </c>
      <c r="H2584" s="690" t="s">
        <v>1431</v>
      </c>
      <c r="I2584" s="71" t="s">
        <v>1431</v>
      </c>
      <c r="J2584" s="53">
        <f>G2584-T2584</f>
        <v>250000</v>
      </c>
      <c r="K2584" s="63">
        <f>(J2584/(F2584/11*10))</f>
        <v>0.2</v>
      </c>
      <c r="L2584" s="871" t="s">
        <v>2121</v>
      </c>
      <c r="M2584" s="468"/>
      <c r="N2584" s="664">
        <f t="shared" si="1376"/>
        <v>191125</v>
      </c>
      <c r="O2584" s="71" t="s">
        <v>1431</v>
      </c>
      <c r="P2584" s="103" t="str">
        <f t="shared" si="1371"/>
        <v>인터버스 모듈</v>
      </c>
      <c r="Q2584" s="71">
        <f t="shared" si="1377"/>
        <v>1</v>
      </c>
      <c r="R2584" s="102">
        <v>1000000</v>
      </c>
      <c r="S2584" s="102">
        <f>(R2584*D2584)*1.1</f>
        <v>1100000</v>
      </c>
      <c r="T2584" s="102">
        <f>(R2584*Q2584)</f>
        <v>1000000</v>
      </c>
      <c r="U2584" s="71"/>
      <c r="V2584" s="71"/>
      <c r="W2584" s="474"/>
      <c r="X2584" s="71"/>
      <c r="Y2584" s="71"/>
    </row>
    <row r="2585" spans="1:25" ht="30" hidden="1" customHeight="1" x14ac:dyDescent="0.25">
      <c r="A2585" s="82">
        <v>191126</v>
      </c>
      <c r="B2585" s="664" t="s">
        <v>1286</v>
      </c>
      <c r="C2585" s="760" t="s">
        <v>218</v>
      </c>
      <c r="D2585" s="71">
        <v>5</v>
      </c>
      <c r="E2585" s="102">
        <v>192500</v>
      </c>
      <c r="F2585" s="102">
        <f t="shared" ref="F2585:F2611" si="1393">(E2585*D2585)*1.1</f>
        <v>1058750</v>
      </c>
      <c r="G2585" s="102">
        <f t="shared" ref="G2585:G2611" si="1394">(E2585*D2585)</f>
        <v>962500</v>
      </c>
      <c r="H2585" s="690" t="s">
        <v>173</v>
      </c>
      <c r="I2585" s="71" t="s">
        <v>120</v>
      </c>
      <c r="J2585" s="53">
        <f>(G2585-(VLOOKUP(C2585,Price!B:D,3,FALSE)*D2585))</f>
        <v>400000</v>
      </c>
      <c r="K2585" s="63">
        <f t="shared" si="1392"/>
        <v>0.41558441558441561</v>
      </c>
      <c r="L2585" s="871" t="s">
        <v>2121</v>
      </c>
      <c r="M2585" s="468"/>
      <c r="N2585" s="664">
        <f t="shared" si="1376"/>
        <v>191126</v>
      </c>
      <c r="O2585" s="71" t="s">
        <v>150</v>
      </c>
      <c r="P2585" s="103" t="str">
        <f t="shared" si="1371"/>
        <v>Fount Web 551AF</v>
      </c>
      <c r="Q2585" s="71">
        <f t="shared" si="1377"/>
        <v>5</v>
      </c>
      <c r="R2585" s="102">
        <v>112500</v>
      </c>
      <c r="S2585" s="102">
        <f>R2585*Q2585*1.1</f>
        <v>618750</v>
      </c>
      <c r="T2585" s="102">
        <f>R2585*Q2585</f>
        <v>562500</v>
      </c>
      <c r="U2585" s="71" t="s">
        <v>859</v>
      </c>
      <c r="V2585" s="71"/>
      <c r="W2585" s="474">
        <f>(G2585-T2585)</f>
        <v>400000</v>
      </c>
      <c r="X2585" s="71"/>
      <c r="Y2585" s="71"/>
    </row>
    <row r="2586" spans="1:25" s="209" customFormat="1" ht="30" hidden="1" customHeight="1" x14ac:dyDescent="0.25">
      <c r="A2586" s="82">
        <v>191126</v>
      </c>
      <c r="B2586" s="664" t="s">
        <v>1286</v>
      </c>
      <c r="C2586" s="71" t="s">
        <v>277</v>
      </c>
      <c r="D2586" s="71">
        <v>4</v>
      </c>
      <c r="E2586" s="102">
        <v>172000</v>
      </c>
      <c r="F2586" s="102">
        <f t="shared" si="1393"/>
        <v>756800.00000000012</v>
      </c>
      <c r="G2586" s="102">
        <f t="shared" si="1394"/>
        <v>688000</v>
      </c>
      <c r="H2586" s="690" t="s">
        <v>173</v>
      </c>
      <c r="I2586" s="71" t="s">
        <v>108</v>
      </c>
      <c r="J2586" s="53">
        <f>(G2586-(VLOOKUP(C2586,Price!B:D,3,FALSE)*D2586))</f>
        <v>228000</v>
      </c>
      <c r="K2586" s="63">
        <f t="shared" si="1392"/>
        <v>0.33139534883720922</v>
      </c>
      <c r="L2586" s="871" t="s">
        <v>2121</v>
      </c>
      <c r="M2586" s="468"/>
      <c r="N2586" s="664">
        <f t="shared" si="1376"/>
        <v>191126</v>
      </c>
      <c r="O2586" s="71" t="s">
        <v>150</v>
      </c>
      <c r="P2586" s="103" t="str">
        <f t="shared" si="1371"/>
        <v>윤전용 세척제(Web 504)</v>
      </c>
      <c r="Q2586" s="71">
        <f t="shared" si="1377"/>
        <v>4</v>
      </c>
      <c r="R2586" s="102">
        <v>115000</v>
      </c>
      <c r="S2586" s="102">
        <f>(R2586*D2586)*1.1</f>
        <v>506000.00000000006</v>
      </c>
      <c r="T2586" s="102">
        <f>(R2586*Q2586)</f>
        <v>460000</v>
      </c>
      <c r="U2586" s="71" t="str">
        <f>IF(J2586=W2586,"O", "X")</f>
        <v>O</v>
      </c>
      <c r="V2586" s="71"/>
      <c r="W2586" s="474">
        <f>(G2586-T2586)</f>
        <v>228000</v>
      </c>
      <c r="X2586" s="71"/>
      <c r="Y2586" s="71"/>
    </row>
    <row r="2587" spans="1:25" s="209" customFormat="1" ht="30" hidden="1" customHeight="1" x14ac:dyDescent="0.2">
      <c r="A2587" s="82">
        <v>191126</v>
      </c>
      <c r="B2587" s="664" t="s">
        <v>2155</v>
      </c>
      <c r="C2587" s="71" t="s">
        <v>138</v>
      </c>
      <c r="D2587" s="71">
        <v>5</v>
      </c>
      <c r="E2587" s="102">
        <v>59500</v>
      </c>
      <c r="F2587" s="102">
        <f t="shared" si="1393"/>
        <v>327250</v>
      </c>
      <c r="G2587" s="102">
        <f t="shared" si="1394"/>
        <v>297500</v>
      </c>
      <c r="H2587" s="165" t="s">
        <v>172</v>
      </c>
      <c r="I2587" s="71" t="s">
        <v>108</v>
      </c>
      <c r="J2587" s="53">
        <f t="shared" ref="J2587:J2609" si="1395">G2587-T2587</f>
        <v>42500</v>
      </c>
      <c r="K2587" s="63">
        <f t="shared" si="1392"/>
        <v>0.14285714285714285</v>
      </c>
      <c r="L2587" s="871" t="s">
        <v>2121</v>
      </c>
      <c r="M2587" s="468"/>
      <c r="N2587" s="664">
        <f t="shared" si="1376"/>
        <v>191126</v>
      </c>
      <c r="O2587" s="71" t="s">
        <v>150</v>
      </c>
      <c r="P2587" s="103" t="str">
        <f t="shared" si="1371"/>
        <v>매엽용 세척제(Wash 562)</v>
      </c>
      <c r="Q2587" s="71">
        <f t="shared" si="1377"/>
        <v>5</v>
      </c>
      <c r="R2587" s="102">
        <v>51000</v>
      </c>
      <c r="S2587" s="102">
        <f>R2587*Q2587*1.1</f>
        <v>280500</v>
      </c>
      <c r="T2587" s="102">
        <f>R2587*Q2587</f>
        <v>255000</v>
      </c>
      <c r="U2587" s="71" t="s">
        <v>859</v>
      </c>
      <c r="V2587" s="71"/>
      <c r="W2587" s="474">
        <v>85000</v>
      </c>
      <c r="X2587" s="71"/>
      <c r="Y2587" s="71"/>
    </row>
    <row r="2588" spans="1:25" ht="30" hidden="1" customHeight="1" x14ac:dyDescent="0.25">
      <c r="A2588" s="82">
        <v>191126</v>
      </c>
      <c r="B2588" s="664" t="s">
        <v>1051</v>
      </c>
      <c r="C2588" s="71" t="s">
        <v>1294</v>
      </c>
      <c r="D2588" s="71">
        <v>3500</v>
      </c>
      <c r="E2588" s="102">
        <v>6180</v>
      </c>
      <c r="F2588" s="102">
        <f t="shared" si="1393"/>
        <v>23793000.000000004</v>
      </c>
      <c r="G2588" s="102">
        <f t="shared" si="1394"/>
        <v>21630000</v>
      </c>
      <c r="H2588" s="690" t="s">
        <v>142</v>
      </c>
      <c r="I2588" s="71" t="s">
        <v>2273</v>
      </c>
      <c r="J2588" s="53">
        <f t="shared" si="1395"/>
        <v>7630000</v>
      </c>
      <c r="K2588" s="63">
        <f t="shared" si="1392"/>
        <v>0.35275080906148859</v>
      </c>
      <c r="L2588" s="871" t="s">
        <v>2121</v>
      </c>
      <c r="M2588" s="468"/>
      <c r="N2588" s="664">
        <f t="shared" si="1376"/>
        <v>191126</v>
      </c>
      <c r="O2588" s="71" t="s">
        <v>145</v>
      </c>
      <c r="P2588" s="103" t="str">
        <f t="shared" si="1371"/>
        <v>ENGAGE 1030*790</v>
      </c>
      <c r="Q2588" s="71">
        <f t="shared" si="1377"/>
        <v>3500</v>
      </c>
      <c r="R2588" s="102">
        <v>4000</v>
      </c>
      <c r="S2588" s="102">
        <f>(R2588*D2588)*1.1</f>
        <v>15400000.000000002</v>
      </c>
      <c r="T2588" s="102">
        <f>(R2588*Q2588)</f>
        <v>14000000</v>
      </c>
      <c r="U2588" s="71" t="str">
        <f t="shared" ref="U2588:U2608" si="1396">IF(J2588=W2588,"O", "X")</f>
        <v>O</v>
      </c>
      <c r="V2588" s="71"/>
      <c r="W2588" s="474">
        <f t="shared" ref="W2588:W2608" si="1397">(G2588-T2588)</f>
        <v>7630000</v>
      </c>
      <c r="X2588" s="71"/>
      <c r="Y2588" s="71"/>
    </row>
    <row r="2589" spans="1:25" ht="30" hidden="1" customHeight="1" x14ac:dyDescent="0.25">
      <c r="A2589" s="82">
        <v>191126</v>
      </c>
      <c r="B2589" s="664" t="s">
        <v>1051</v>
      </c>
      <c r="C2589" s="71" t="s">
        <v>1384</v>
      </c>
      <c r="D2589" s="71">
        <v>1300</v>
      </c>
      <c r="E2589" s="102">
        <v>3890</v>
      </c>
      <c r="F2589" s="102">
        <f t="shared" si="1393"/>
        <v>5562700</v>
      </c>
      <c r="G2589" s="102">
        <f t="shared" si="1394"/>
        <v>5057000</v>
      </c>
      <c r="H2589" s="690" t="s">
        <v>142</v>
      </c>
      <c r="I2589" s="71" t="s">
        <v>2273</v>
      </c>
      <c r="J2589" s="53">
        <f t="shared" si="1395"/>
        <v>1781000</v>
      </c>
      <c r="K2589" s="63">
        <f t="shared" si="1392"/>
        <v>0.35218508997429304</v>
      </c>
      <c r="L2589" s="871" t="s">
        <v>2121</v>
      </c>
      <c r="M2589" s="468"/>
      <c r="N2589" s="664">
        <f t="shared" si="1376"/>
        <v>191126</v>
      </c>
      <c r="O2589" s="71" t="s">
        <v>145</v>
      </c>
      <c r="P2589" s="103" t="str">
        <f t="shared" si="1371"/>
        <v>ENGAGE 900X571 - 27RO</v>
      </c>
      <c r="Q2589" s="71">
        <f t="shared" si="1377"/>
        <v>1300</v>
      </c>
      <c r="R2589" s="102">
        <v>2520</v>
      </c>
      <c r="S2589" s="102">
        <f>R2589*Q2589*1.1</f>
        <v>3603600.0000000005</v>
      </c>
      <c r="T2589" s="102">
        <f>R2589*Q2589</f>
        <v>3276000</v>
      </c>
      <c r="U2589" s="71" t="str">
        <f t="shared" si="1396"/>
        <v>O</v>
      </c>
      <c r="V2589" s="71"/>
      <c r="W2589" s="474">
        <f t="shared" si="1397"/>
        <v>1781000</v>
      </c>
      <c r="X2589" s="71"/>
      <c r="Y2589" s="71"/>
    </row>
    <row r="2590" spans="1:25" ht="30" hidden="1" customHeight="1" x14ac:dyDescent="0.25">
      <c r="A2590" s="82">
        <v>191126</v>
      </c>
      <c r="B2590" s="664" t="s">
        <v>1051</v>
      </c>
      <c r="C2590" s="71" t="s">
        <v>951</v>
      </c>
      <c r="D2590" s="71">
        <v>4000</v>
      </c>
      <c r="E2590" s="102">
        <v>3710</v>
      </c>
      <c r="F2590" s="102">
        <f t="shared" si="1393"/>
        <v>16324000.000000002</v>
      </c>
      <c r="G2590" s="102">
        <f t="shared" si="1394"/>
        <v>14840000</v>
      </c>
      <c r="H2590" s="690" t="s">
        <v>142</v>
      </c>
      <c r="I2590" s="71" t="s">
        <v>2273</v>
      </c>
      <c r="J2590" s="53">
        <f t="shared" si="1395"/>
        <v>5280000</v>
      </c>
      <c r="K2590" s="63">
        <f t="shared" si="1392"/>
        <v>0.35579514824797837</v>
      </c>
      <c r="L2590" s="871" t="s">
        <v>2121</v>
      </c>
      <c r="M2590" s="468"/>
      <c r="N2590" s="664">
        <f t="shared" si="1376"/>
        <v>191126</v>
      </c>
      <c r="O2590" s="71" t="s">
        <v>145</v>
      </c>
      <c r="P2590" s="103" t="str">
        <f t="shared" ref="P2590:Q2627" si="1398">C2590</f>
        <v>ENGAGE 30WEB(883*552)</v>
      </c>
      <c r="Q2590" s="71">
        <f t="shared" si="1377"/>
        <v>4000</v>
      </c>
      <c r="R2590" s="102">
        <v>2390</v>
      </c>
      <c r="S2590" s="102">
        <f>(R2590*D2590)*1.1</f>
        <v>10516000</v>
      </c>
      <c r="T2590" s="102">
        <f>(R2590*Q2590)</f>
        <v>9560000</v>
      </c>
      <c r="U2590" s="71" t="str">
        <f t="shared" si="1396"/>
        <v>O</v>
      </c>
      <c r="V2590" s="71"/>
      <c r="W2590" s="474">
        <f t="shared" si="1397"/>
        <v>5280000</v>
      </c>
      <c r="X2590" s="71"/>
      <c r="Y2590" s="71"/>
    </row>
    <row r="2591" spans="1:25" ht="30" hidden="1" customHeight="1" x14ac:dyDescent="0.25">
      <c r="A2591" s="82">
        <v>191126</v>
      </c>
      <c r="B2591" s="664" t="s">
        <v>1051</v>
      </c>
      <c r="C2591" s="71" t="s">
        <v>1383</v>
      </c>
      <c r="D2591" s="71">
        <v>2400</v>
      </c>
      <c r="E2591" s="102">
        <v>6490</v>
      </c>
      <c r="F2591" s="102">
        <f t="shared" si="1393"/>
        <v>17133600</v>
      </c>
      <c r="G2591" s="102">
        <f t="shared" si="1394"/>
        <v>15576000</v>
      </c>
      <c r="H2591" s="690" t="s">
        <v>142</v>
      </c>
      <c r="I2591" s="71" t="s">
        <v>2273</v>
      </c>
      <c r="J2591" s="53">
        <f t="shared" si="1395"/>
        <v>5472000</v>
      </c>
      <c r="K2591" s="63">
        <f t="shared" si="1392"/>
        <v>0.35130970724191063</v>
      </c>
      <c r="L2591" s="871" t="s">
        <v>2121</v>
      </c>
      <c r="M2591" s="468"/>
      <c r="N2591" s="664">
        <f t="shared" si="1376"/>
        <v>191126</v>
      </c>
      <c r="O2591" s="71" t="s">
        <v>145</v>
      </c>
      <c r="P2591" s="103" t="str">
        <f t="shared" si="1398"/>
        <v>ENGAGE 1055*811</v>
      </c>
      <c r="Q2591" s="71">
        <f t="shared" si="1377"/>
        <v>2400</v>
      </c>
      <c r="R2591" s="102">
        <v>4210</v>
      </c>
      <c r="S2591" s="102">
        <f>R2591*Q2591*1.1</f>
        <v>11114400</v>
      </c>
      <c r="T2591" s="102">
        <f>R2591*Q2591</f>
        <v>10104000</v>
      </c>
      <c r="U2591" s="71" t="str">
        <f t="shared" si="1396"/>
        <v>O</v>
      </c>
      <c r="V2591" s="71"/>
      <c r="W2591" s="474">
        <f t="shared" si="1397"/>
        <v>5472000</v>
      </c>
      <c r="X2591" s="71"/>
      <c r="Y2591" s="71"/>
    </row>
    <row r="2592" spans="1:25" ht="30" hidden="1" customHeight="1" x14ac:dyDescent="0.25">
      <c r="A2592" s="82">
        <v>191126</v>
      </c>
      <c r="B2592" s="664" t="s">
        <v>1051</v>
      </c>
      <c r="C2592" s="71" t="s">
        <v>1650</v>
      </c>
      <c r="D2592" s="71">
        <v>2000</v>
      </c>
      <c r="E2592" s="102">
        <v>4640</v>
      </c>
      <c r="F2592" s="102">
        <f t="shared" si="1393"/>
        <v>10208000</v>
      </c>
      <c r="G2592" s="102">
        <f t="shared" si="1394"/>
        <v>9280000</v>
      </c>
      <c r="H2592" s="690" t="s">
        <v>142</v>
      </c>
      <c r="I2592" s="71" t="s">
        <v>2273</v>
      </c>
      <c r="J2592" s="53">
        <f t="shared" si="1395"/>
        <v>3280000</v>
      </c>
      <c r="K2592" s="63">
        <f t="shared" si="1392"/>
        <v>0.35344827586206895</v>
      </c>
      <c r="L2592" s="871" t="s">
        <v>2121</v>
      </c>
      <c r="M2592" s="468"/>
      <c r="N2592" s="664">
        <f t="shared" si="1376"/>
        <v>191126</v>
      </c>
      <c r="O2592" s="71" t="s">
        <v>145</v>
      </c>
      <c r="P2592" s="103" t="str">
        <f t="shared" si="1398"/>
        <v>ENGAGE 968*631</v>
      </c>
      <c r="Q2592" s="71">
        <f t="shared" si="1377"/>
        <v>2000</v>
      </c>
      <c r="R2592" s="102">
        <v>3000</v>
      </c>
      <c r="S2592" s="102">
        <f>R2592*Q2592*1.1</f>
        <v>6600000.0000000009</v>
      </c>
      <c r="T2592" s="102">
        <f>R2592*Q2592</f>
        <v>6000000</v>
      </c>
      <c r="U2592" s="71" t="str">
        <f t="shared" si="1396"/>
        <v>O</v>
      </c>
      <c r="V2592" s="71"/>
      <c r="W2592" s="474">
        <f t="shared" si="1397"/>
        <v>3280000</v>
      </c>
      <c r="X2592" s="71"/>
      <c r="Y2592" s="71"/>
    </row>
    <row r="2593" spans="1:25" ht="30" hidden="1" customHeight="1" x14ac:dyDescent="0.25">
      <c r="A2593" s="82">
        <v>191126</v>
      </c>
      <c r="B2593" s="664" t="s">
        <v>1051</v>
      </c>
      <c r="C2593" s="67" t="s">
        <v>1386</v>
      </c>
      <c r="D2593" s="71">
        <v>30</v>
      </c>
      <c r="E2593" s="102">
        <v>57000</v>
      </c>
      <c r="F2593" s="102">
        <f t="shared" si="1393"/>
        <v>1881000.0000000002</v>
      </c>
      <c r="G2593" s="102">
        <f t="shared" si="1394"/>
        <v>1710000</v>
      </c>
      <c r="H2593" s="690" t="s">
        <v>142</v>
      </c>
      <c r="I2593" s="71" t="s">
        <v>2273</v>
      </c>
      <c r="J2593" s="53">
        <f t="shared" si="1395"/>
        <v>660000</v>
      </c>
      <c r="K2593" s="63">
        <f t="shared" si="1392"/>
        <v>0.38596491228070168</v>
      </c>
      <c r="L2593" s="871" t="s">
        <v>2121</v>
      </c>
      <c r="M2593" s="468"/>
      <c r="N2593" s="664">
        <f t="shared" ref="N2593:N2627" si="1399">A2593</f>
        <v>191126</v>
      </c>
      <c r="O2593" s="71" t="s">
        <v>145</v>
      </c>
      <c r="P2593" s="103" t="str">
        <f t="shared" si="1398"/>
        <v>THR200(20L)보충액</v>
      </c>
      <c r="Q2593" s="71">
        <f t="shared" si="1398"/>
        <v>30</v>
      </c>
      <c r="R2593" s="102">
        <v>35000</v>
      </c>
      <c r="S2593" s="102">
        <f>R2593*Q2593*1.1</f>
        <v>1155000</v>
      </c>
      <c r="T2593" s="102">
        <f>R2593*Q2593</f>
        <v>1050000</v>
      </c>
      <c r="U2593" s="71" t="str">
        <f t="shared" si="1396"/>
        <v>O</v>
      </c>
      <c r="V2593" s="71"/>
      <c r="W2593" s="474">
        <f t="shared" si="1397"/>
        <v>660000</v>
      </c>
      <c r="X2593" s="71"/>
      <c r="Y2593" s="71"/>
    </row>
    <row r="2594" spans="1:25" ht="30" hidden="1" customHeight="1" x14ac:dyDescent="0.25">
      <c r="A2594" s="82">
        <v>191126</v>
      </c>
      <c r="B2594" s="664" t="s">
        <v>1051</v>
      </c>
      <c r="C2594" s="71" t="s">
        <v>1387</v>
      </c>
      <c r="D2594" s="71">
        <v>5</v>
      </c>
      <c r="E2594" s="102">
        <v>57000</v>
      </c>
      <c r="F2594" s="102">
        <f t="shared" si="1393"/>
        <v>313500</v>
      </c>
      <c r="G2594" s="102">
        <f t="shared" si="1394"/>
        <v>285000</v>
      </c>
      <c r="H2594" s="690" t="s">
        <v>142</v>
      </c>
      <c r="I2594" s="71" t="s">
        <v>2273</v>
      </c>
      <c r="J2594" s="53">
        <f t="shared" si="1395"/>
        <v>110000</v>
      </c>
      <c r="K2594" s="63">
        <f t="shared" si="1392"/>
        <v>0.38596491228070173</v>
      </c>
      <c r="L2594" s="871" t="s">
        <v>2121</v>
      </c>
      <c r="M2594" s="468"/>
      <c r="N2594" s="664">
        <f t="shared" si="1399"/>
        <v>191126</v>
      </c>
      <c r="O2594" s="71" t="s">
        <v>145</v>
      </c>
      <c r="P2594" s="103" t="str">
        <f t="shared" si="1398"/>
        <v>THD200(20L)현상액</v>
      </c>
      <c r="Q2594" s="71">
        <f t="shared" si="1398"/>
        <v>5</v>
      </c>
      <c r="R2594" s="102">
        <v>35000</v>
      </c>
      <c r="S2594" s="102">
        <f>(R2594*D2594)*1.1</f>
        <v>192500.00000000003</v>
      </c>
      <c r="T2594" s="102">
        <f>(R2594*Q2594)</f>
        <v>175000</v>
      </c>
      <c r="U2594" s="71" t="str">
        <f t="shared" si="1396"/>
        <v>O</v>
      </c>
      <c r="V2594" s="71"/>
      <c r="W2594" s="474">
        <f t="shared" si="1397"/>
        <v>110000</v>
      </c>
      <c r="X2594" s="71"/>
      <c r="Y2594" s="71"/>
    </row>
    <row r="2595" spans="1:25" ht="30" hidden="1" customHeight="1" x14ac:dyDescent="0.25">
      <c r="A2595" s="82">
        <v>191126</v>
      </c>
      <c r="B2595" s="664" t="s">
        <v>1061</v>
      </c>
      <c r="C2595" s="71" t="s">
        <v>616</v>
      </c>
      <c r="D2595" s="71">
        <v>400</v>
      </c>
      <c r="E2595" s="102">
        <v>5600</v>
      </c>
      <c r="F2595" s="102">
        <f t="shared" si="1393"/>
        <v>2464000</v>
      </c>
      <c r="G2595" s="102">
        <f t="shared" si="1394"/>
        <v>2240000</v>
      </c>
      <c r="H2595" s="690" t="s">
        <v>142</v>
      </c>
      <c r="I2595" s="71" t="s">
        <v>144</v>
      </c>
      <c r="J2595" s="53">
        <f t="shared" si="1395"/>
        <v>204000</v>
      </c>
      <c r="K2595" s="63">
        <f t="shared" si="1392"/>
        <v>9.1071428571428567E-2</v>
      </c>
      <c r="L2595" s="871" t="s">
        <v>2121</v>
      </c>
      <c r="M2595" s="468"/>
      <c r="N2595" s="664">
        <f t="shared" si="1399"/>
        <v>191126</v>
      </c>
      <c r="O2595" s="71" t="s">
        <v>147</v>
      </c>
      <c r="P2595" s="103" t="str">
        <f t="shared" si="1398"/>
        <v>프리미어(먹)</v>
      </c>
      <c r="Q2595" s="71">
        <f t="shared" si="1398"/>
        <v>400</v>
      </c>
      <c r="R2595" s="102">
        <v>5090</v>
      </c>
      <c r="S2595" s="102">
        <f>R2595*Q2595*1.1</f>
        <v>2239600</v>
      </c>
      <c r="T2595" s="102">
        <f>R2595*Q2595</f>
        <v>2036000</v>
      </c>
      <c r="U2595" s="71" t="str">
        <f t="shared" si="1396"/>
        <v>O</v>
      </c>
      <c r="V2595" s="71"/>
      <c r="W2595" s="474">
        <f t="shared" si="1397"/>
        <v>204000</v>
      </c>
      <c r="X2595" s="71"/>
      <c r="Y2595" s="71"/>
    </row>
    <row r="2596" spans="1:25" ht="30" hidden="1" customHeight="1" x14ac:dyDescent="0.25">
      <c r="A2596" s="82">
        <v>191126</v>
      </c>
      <c r="B2596" s="664" t="s">
        <v>1052</v>
      </c>
      <c r="C2596" s="71" t="s">
        <v>585</v>
      </c>
      <c r="D2596" s="71">
        <v>400</v>
      </c>
      <c r="E2596" s="102">
        <v>6000</v>
      </c>
      <c r="F2596" s="102">
        <f t="shared" si="1393"/>
        <v>2640000</v>
      </c>
      <c r="G2596" s="102">
        <f t="shared" si="1394"/>
        <v>2400000</v>
      </c>
      <c r="H2596" s="690" t="s">
        <v>142</v>
      </c>
      <c r="I2596" s="71" t="s">
        <v>144</v>
      </c>
      <c r="J2596" s="53">
        <f t="shared" si="1395"/>
        <v>200000</v>
      </c>
      <c r="K2596" s="63">
        <f t="shared" si="1392"/>
        <v>8.3333333333333329E-2</v>
      </c>
      <c r="L2596" s="871" t="s">
        <v>2121</v>
      </c>
      <c r="M2596" s="468"/>
      <c r="N2596" s="664">
        <f t="shared" si="1399"/>
        <v>191126</v>
      </c>
      <c r="O2596" s="71" t="s">
        <v>147</v>
      </c>
      <c r="P2596" s="103" t="str">
        <f t="shared" si="1398"/>
        <v>프리미어(적)</v>
      </c>
      <c r="Q2596" s="71">
        <f t="shared" si="1398"/>
        <v>400</v>
      </c>
      <c r="R2596" s="102">
        <v>5500</v>
      </c>
      <c r="S2596" s="102">
        <f>R2596*Q2596*1.1</f>
        <v>2420000</v>
      </c>
      <c r="T2596" s="102">
        <f>R2596*Q2596</f>
        <v>2200000</v>
      </c>
      <c r="U2596" s="71" t="str">
        <f t="shared" si="1396"/>
        <v>O</v>
      </c>
      <c r="V2596" s="71"/>
      <c r="W2596" s="474">
        <f t="shared" si="1397"/>
        <v>200000</v>
      </c>
      <c r="X2596" s="71"/>
      <c r="Y2596" s="71"/>
    </row>
    <row r="2597" spans="1:25" ht="30" hidden="1" customHeight="1" x14ac:dyDescent="0.25">
      <c r="A2597" s="82">
        <v>191126</v>
      </c>
      <c r="B2597" s="664" t="s">
        <v>1061</v>
      </c>
      <c r="C2597" s="71" t="s">
        <v>586</v>
      </c>
      <c r="D2597" s="71">
        <v>600</v>
      </c>
      <c r="E2597" s="102">
        <v>5750</v>
      </c>
      <c r="F2597" s="102">
        <f t="shared" si="1393"/>
        <v>3795000.0000000005</v>
      </c>
      <c r="G2597" s="102">
        <f t="shared" si="1394"/>
        <v>3450000</v>
      </c>
      <c r="H2597" s="690" t="s">
        <v>142</v>
      </c>
      <c r="I2597" s="71" t="s">
        <v>144</v>
      </c>
      <c r="J2597" s="53">
        <f t="shared" si="1395"/>
        <v>318000</v>
      </c>
      <c r="K2597" s="63">
        <f t="shared" si="1392"/>
        <v>9.2173913043478245E-2</v>
      </c>
      <c r="L2597" s="871" t="s">
        <v>2121</v>
      </c>
      <c r="M2597" s="468"/>
      <c r="N2597" s="664">
        <f t="shared" si="1399"/>
        <v>191126</v>
      </c>
      <c r="O2597" s="71" t="s">
        <v>147</v>
      </c>
      <c r="P2597" s="103" t="str">
        <f t="shared" si="1398"/>
        <v>프리미어(황)</v>
      </c>
      <c r="Q2597" s="71">
        <f t="shared" si="1398"/>
        <v>600</v>
      </c>
      <c r="R2597" s="102">
        <v>5220</v>
      </c>
      <c r="S2597" s="102">
        <f>(R2597*D2597)*1.1</f>
        <v>3445200.0000000005</v>
      </c>
      <c r="T2597" s="102">
        <f>(R2597*Q2597)</f>
        <v>3132000</v>
      </c>
      <c r="U2597" s="71" t="str">
        <f t="shared" si="1396"/>
        <v>O</v>
      </c>
      <c r="V2597" s="71"/>
      <c r="W2597" s="474">
        <f t="shared" si="1397"/>
        <v>318000</v>
      </c>
      <c r="X2597" s="71"/>
      <c r="Y2597" s="71"/>
    </row>
    <row r="2598" spans="1:25" ht="30" hidden="1" customHeight="1" x14ac:dyDescent="0.25">
      <c r="A2598" s="82">
        <v>191126</v>
      </c>
      <c r="B2598" s="664" t="s">
        <v>1061</v>
      </c>
      <c r="C2598" s="71" t="s">
        <v>587</v>
      </c>
      <c r="D2598" s="71">
        <v>400</v>
      </c>
      <c r="E2598" s="102">
        <v>7000</v>
      </c>
      <c r="F2598" s="102">
        <f t="shared" si="1393"/>
        <v>3080000.0000000005</v>
      </c>
      <c r="G2598" s="102">
        <f t="shared" si="1394"/>
        <v>2800000</v>
      </c>
      <c r="H2598" s="690" t="s">
        <v>142</v>
      </c>
      <c r="I2598" s="71" t="s">
        <v>144</v>
      </c>
      <c r="J2598" s="53">
        <f t="shared" si="1395"/>
        <v>256000</v>
      </c>
      <c r="K2598" s="63">
        <f t="shared" si="1392"/>
        <v>9.1428571428571415E-2</v>
      </c>
      <c r="L2598" s="871" t="s">
        <v>2121</v>
      </c>
      <c r="M2598" s="468"/>
      <c r="N2598" s="664">
        <f t="shared" si="1399"/>
        <v>191126</v>
      </c>
      <c r="O2598" s="71" t="s">
        <v>147</v>
      </c>
      <c r="P2598" s="103" t="str">
        <f t="shared" si="1398"/>
        <v>프리미어(청)</v>
      </c>
      <c r="Q2598" s="71">
        <f t="shared" si="1398"/>
        <v>400</v>
      </c>
      <c r="R2598" s="102">
        <v>6360</v>
      </c>
      <c r="S2598" s="102">
        <f t="shared" ref="S2598:S2610" si="1400">R2598*Q2598*1.1</f>
        <v>2798400</v>
      </c>
      <c r="T2598" s="102">
        <f t="shared" ref="T2598:T2610" si="1401">R2598*Q2598</f>
        <v>2544000</v>
      </c>
      <c r="U2598" s="71" t="str">
        <f t="shared" si="1396"/>
        <v>O</v>
      </c>
      <c r="V2598" s="71"/>
      <c r="W2598" s="474">
        <f t="shared" si="1397"/>
        <v>256000</v>
      </c>
      <c r="X2598" s="71"/>
      <c r="Y2598" s="71"/>
    </row>
    <row r="2599" spans="1:25" ht="30" hidden="1" customHeight="1" x14ac:dyDescent="0.25">
      <c r="A2599" s="82">
        <v>191126</v>
      </c>
      <c r="B2599" s="664" t="s">
        <v>1052</v>
      </c>
      <c r="C2599" s="71" t="s">
        <v>1115</v>
      </c>
      <c r="D2599" s="71">
        <v>50</v>
      </c>
      <c r="E2599" s="102">
        <v>6200</v>
      </c>
      <c r="F2599" s="102">
        <f t="shared" si="1393"/>
        <v>341000</v>
      </c>
      <c r="G2599" s="102">
        <f t="shared" si="1394"/>
        <v>310000</v>
      </c>
      <c r="H2599" s="690" t="s">
        <v>142</v>
      </c>
      <c r="I2599" s="71" t="s">
        <v>144</v>
      </c>
      <c r="J2599" s="53">
        <f t="shared" si="1395"/>
        <v>5000</v>
      </c>
      <c r="K2599" s="63">
        <f t="shared" si="1392"/>
        <v>1.6129032258064516E-2</v>
      </c>
      <c r="L2599" s="871" t="s">
        <v>2121</v>
      </c>
      <c r="M2599" s="468"/>
      <c r="N2599" s="664">
        <f t="shared" si="1399"/>
        <v>191126</v>
      </c>
      <c r="O2599" s="71" t="s">
        <v>147</v>
      </c>
      <c r="P2599" s="103" t="str">
        <f t="shared" si="1398"/>
        <v>한특 잉크(적)</v>
      </c>
      <c r="Q2599" s="71">
        <f t="shared" si="1398"/>
        <v>50</v>
      </c>
      <c r="R2599" s="102">
        <v>6100</v>
      </c>
      <c r="S2599" s="102">
        <f t="shared" si="1400"/>
        <v>335500</v>
      </c>
      <c r="T2599" s="102">
        <f t="shared" si="1401"/>
        <v>305000</v>
      </c>
      <c r="U2599" s="71" t="str">
        <f t="shared" si="1396"/>
        <v>O</v>
      </c>
      <c r="V2599" s="71"/>
      <c r="W2599" s="474">
        <f t="shared" si="1397"/>
        <v>5000</v>
      </c>
      <c r="X2599" s="71"/>
      <c r="Y2599" s="71"/>
    </row>
    <row r="2600" spans="1:25" ht="30" hidden="1" customHeight="1" x14ac:dyDescent="0.25">
      <c r="A2600" s="82">
        <v>191126</v>
      </c>
      <c r="B2600" s="664" t="s">
        <v>1052</v>
      </c>
      <c r="C2600" s="71" t="s">
        <v>1116</v>
      </c>
      <c r="D2600" s="71">
        <v>50</v>
      </c>
      <c r="E2600" s="102">
        <v>6000</v>
      </c>
      <c r="F2600" s="102">
        <f t="shared" si="1393"/>
        <v>330000</v>
      </c>
      <c r="G2600" s="102">
        <f t="shared" si="1394"/>
        <v>300000</v>
      </c>
      <c r="H2600" s="690" t="s">
        <v>142</v>
      </c>
      <c r="I2600" s="71" t="s">
        <v>144</v>
      </c>
      <c r="J2600" s="53">
        <f t="shared" si="1395"/>
        <v>5000</v>
      </c>
      <c r="K2600" s="63">
        <f t="shared" si="1392"/>
        <v>1.6666666666666666E-2</v>
      </c>
      <c r="L2600" s="871" t="s">
        <v>2121</v>
      </c>
      <c r="M2600" s="468"/>
      <c r="N2600" s="664">
        <f t="shared" si="1399"/>
        <v>191126</v>
      </c>
      <c r="O2600" s="71" t="s">
        <v>147</v>
      </c>
      <c r="P2600" s="103" t="str">
        <f t="shared" si="1398"/>
        <v>한특 잉크(황)</v>
      </c>
      <c r="Q2600" s="71">
        <f t="shared" si="1398"/>
        <v>50</v>
      </c>
      <c r="R2600" s="102">
        <v>5900</v>
      </c>
      <c r="S2600" s="102">
        <f t="shared" si="1400"/>
        <v>324500</v>
      </c>
      <c r="T2600" s="102">
        <f t="shared" si="1401"/>
        <v>295000</v>
      </c>
      <c r="U2600" s="71" t="str">
        <f t="shared" si="1396"/>
        <v>O</v>
      </c>
      <c r="V2600" s="71"/>
      <c r="W2600" s="474">
        <f t="shared" si="1397"/>
        <v>5000</v>
      </c>
      <c r="X2600" s="71"/>
      <c r="Y2600" s="71"/>
    </row>
    <row r="2601" spans="1:25" ht="30" hidden="1" customHeight="1" x14ac:dyDescent="0.25">
      <c r="A2601" s="82">
        <v>191126</v>
      </c>
      <c r="B2601" s="664" t="s">
        <v>1052</v>
      </c>
      <c r="C2601" s="71" t="s">
        <v>1117</v>
      </c>
      <c r="D2601" s="71">
        <v>0</v>
      </c>
      <c r="E2601" s="102">
        <v>6500</v>
      </c>
      <c r="F2601" s="102">
        <f t="shared" si="1393"/>
        <v>0</v>
      </c>
      <c r="G2601" s="102">
        <f t="shared" si="1394"/>
        <v>0</v>
      </c>
      <c r="H2601" s="690" t="s">
        <v>142</v>
      </c>
      <c r="I2601" s="71" t="s">
        <v>144</v>
      </c>
      <c r="J2601" s="53">
        <f t="shared" si="1395"/>
        <v>0</v>
      </c>
      <c r="K2601" s="63" t="e">
        <f t="shared" si="1392"/>
        <v>#DIV/0!</v>
      </c>
      <c r="L2601" s="871" t="s">
        <v>2121</v>
      </c>
      <c r="M2601" s="468"/>
      <c r="N2601" s="664">
        <f t="shared" si="1399"/>
        <v>191126</v>
      </c>
      <c r="O2601" s="71" t="s">
        <v>147</v>
      </c>
      <c r="P2601" s="103" t="str">
        <f t="shared" si="1398"/>
        <v>한특 잉크(청)</v>
      </c>
      <c r="Q2601" s="71">
        <f t="shared" si="1398"/>
        <v>0</v>
      </c>
      <c r="R2601" s="102">
        <v>6400</v>
      </c>
      <c r="S2601" s="102">
        <f t="shared" si="1400"/>
        <v>0</v>
      </c>
      <c r="T2601" s="102">
        <f t="shared" si="1401"/>
        <v>0</v>
      </c>
      <c r="U2601" s="71" t="str">
        <f t="shared" si="1396"/>
        <v>O</v>
      </c>
      <c r="V2601" s="71"/>
      <c r="W2601" s="474">
        <f t="shared" si="1397"/>
        <v>0</v>
      </c>
      <c r="X2601" s="71"/>
      <c r="Y2601" s="71"/>
    </row>
    <row r="2602" spans="1:25" ht="30" hidden="1" customHeight="1" x14ac:dyDescent="0.25">
      <c r="A2602" s="82">
        <v>191126</v>
      </c>
      <c r="B2602" s="664" t="s">
        <v>1052</v>
      </c>
      <c r="C2602" s="71" t="s">
        <v>1118</v>
      </c>
      <c r="D2602" s="71">
        <v>50</v>
      </c>
      <c r="E2602" s="102">
        <v>5600</v>
      </c>
      <c r="F2602" s="102">
        <f t="shared" si="1393"/>
        <v>308000</v>
      </c>
      <c r="G2602" s="102">
        <f t="shared" si="1394"/>
        <v>280000</v>
      </c>
      <c r="H2602" s="690" t="s">
        <v>142</v>
      </c>
      <c r="I2602" s="71" t="s">
        <v>144</v>
      </c>
      <c r="J2602" s="53">
        <f t="shared" si="1395"/>
        <v>5000</v>
      </c>
      <c r="K2602" s="63">
        <f t="shared" si="1392"/>
        <v>1.7857142857142856E-2</v>
      </c>
      <c r="L2602" s="871" t="s">
        <v>2121</v>
      </c>
      <c r="M2602" s="468"/>
      <c r="N2602" s="664">
        <f t="shared" si="1399"/>
        <v>191126</v>
      </c>
      <c r="O2602" s="71" t="s">
        <v>147</v>
      </c>
      <c r="P2602" s="103" t="str">
        <f t="shared" si="1398"/>
        <v>한특 잉크(먹)</v>
      </c>
      <c r="Q2602" s="71">
        <f t="shared" si="1398"/>
        <v>50</v>
      </c>
      <c r="R2602" s="102">
        <v>5500</v>
      </c>
      <c r="S2602" s="102">
        <f t="shared" si="1400"/>
        <v>302500</v>
      </c>
      <c r="T2602" s="102">
        <f t="shared" si="1401"/>
        <v>275000</v>
      </c>
      <c r="U2602" s="71" t="str">
        <f t="shared" si="1396"/>
        <v>O</v>
      </c>
      <c r="V2602" s="71"/>
      <c r="W2602" s="474">
        <f t="shared" si="1397"/>
        <v>5000</v>
      </c>
      <c r="X2602" s="71"/>
      <c r="Y2602" s="71"/>
    </row>
    <row r="2603" spans="1:25" ht="30" hidden="1" customHeight="1" x14ac:dyDescent="0.25">
      <c r="A2603" s="82">
        <v>191126</v>
      </c>
      <c r="B2603" s="664" t="s">
        <v>1052</v>
      </c>
      <c r="C2603" s="71" t="s">
        <v>1843</v>
      </c>
      <c r="D2603" s="71"/>
      <c r="E2603" s="102">
        <v>8200</v>
      </c>
      <c r="F2603" s="102">
        <f t="shared" si="1393"/>
        <v>0</v>
      </c>
      <c r="G2603" s="102">
        <f t="shared" si="1394"/>
        <v>0</v>
      </c>
      <c r="H2603" s="690" t="s">
        <v>142</v>
      </c>
      <c r="I2603" s="71" t="s">
        <v>144</v>
      </c>
      <c r="J2603" s="53">
        <f t="shared" si="1395"/>
        <v>0</v>
      </c>
      <c r="K2603" s="63" t="e">
        <f t="shared" si="1392"/>
        <v>#DIV/0!</v>
      </c>
      <c r="L2603" s="871" t="s">
        <v>2121</v>
      </c>
      <c r="M2603" s="468"/>
      <c r="N2603" s="664">
        <f t="shared" si="1399"/>
        <v>191126</v>
      </c>
      <c r="O2603" s="71" t="s">
        <v>147</v>
      </c>
      <c r="P2603" s="103" t="str">
        <f t="shared" si="1398"/>
        <v>아라니아 분홍(1) 190c</v>
      </c>
      <c r="Q2603" s="71">
        <f t="shared" si="1398"/>
        <v>0</v>
      </c>
      <c r="R2603" s="102">
        <v>7850</v>
      </c>
      <c r="S2603" s="102">
        <f t="shared" si="1400"/>
        <v>0</v>
      </c>
      <c r="T2603" s="102">
        <f t="shared" si="1401"/>
        <v>0</v>
      </c>
      <c r="U2603" s="71" t="str">
        <f t="shared" si="1396"/>
        <v>O</v>
      </c>
      <c r="V2603" s="71"/>
      <c r="W2603" s="474">
        <f t="shared" si="1397"/>
        <v>0</v>
      </c>
      <c r="X2603" s="71"/>
      <c r="Y2603" s="71"/>
    </row>
    <row r="2604" spans="1:25" ht="30" hidden="1" customHeight="1" x14ac:dyDescent="0.25">
      <c r="A2604" s="82">
        <v>191126</v>
      </c>
      <c r="B2604" s="664" t="s">
        <v>1052</v>
      </c>
      <c r="C2604" s="71" t="s">
        <v>1840</v>
      </c>
      <c r="D2604" s="71"/>
      <c r="E2604" s="102">
        <v>8000</v>
      </c>
      <c r="F2604" s="102">
        <f t="shared" si="1393"/>
        <v>0</v>
      </c>
      <c r="G2604" s="102">
        <f t="shared" si="1394"/>
        <v>0</v>
      </c>
      <c r="H2604" s="690" t="s">
        <v>142</v>
      </c>
      <c r="I2604" s="71" t="s">
        <v>144</v>
      </c>
      <c r="J2604" s="53">
        <f t="shared" si="1395"/>
        <v>0</v>
      </c>
      <c r="K2604" s="63" t="e">
        <f t="shared" si="1392"/>
        <v>#DIV/0!</v>
      </c>
      <c r="L2604" s="871" t="s">
        <v>2121</v>
      </c>
      <c r="M2604" s="468"/>
      <c r="N2604" s="664">
        <f t="shared" si="1399"/>
        <v>191126</v>
      </c>
      <c r="O2604" s="71" t="s">
        <v>147</v>
      </c>
      <c r="P2604" s="103" t="str">
        <f t="shared" si="1398"/>
        <v>아라니아 연청 304c</v>
      </c>
      <c r="Q2604" s="71">
        <f t="shared" si="1398"/>
        <v>0</v>
      </c>
      <c r="R2604" s="102">
        <v>7600</v>
      </c>
      <c r="S2604" s="102">
        <f t="shared" si="1400"/>
        <v>0</v>
      </c>
      <c r="T2604" s="102">
        <f t="shared" si="1401"/>
        <v>0</v>
      </c>
      <c r="U2604" s="71" t="str">
        <f t="shared" si="1396"/>
        <v>O</v>
      </c>
      <c r="V2604" s="71"/>
      <c r="W2604" s="474">
        <f t="shared" si="1397"/>
        <v>0</v>
      </c>
      <c r="X2604" s="71"/>
      <c r="Y2604" s="71"/>
    </row>
    <row r="2605" spans="1:25" ht="30" hidden="1" customHeight="1" x14ac:dyDescent="0.25">
      <c r="A2605" s="82">
        <v>191126</v>
      </c>
      <c r="B2605" s="664" t="s">
        <v>1052</v>
      </c>
      <c r="C2605" s="71" t="s">
        <v>1841</v>
      </c>
      <c r="D2605" s="71"/>
      <c r="E2605" s="102">
        <v>7700</v>
      </c>
      <c r="F2605" s="102">
        <f t="shared" si="1393"/>
        <v>0</v>
      </c>
      <c r="G2605" s="102">
        <f t="shared" si="1394"/>
        <v>0</v>
      </c>
      <c r="H2605" s="690" t="s">
        <v>142</v>
      </c>
      <c r="I2605" s="71" t="s">
        <v>144</v>
      </c>
      <c r="J2605" s="53">
        <f t="shared" si="1395"/>
        <v>0</v>
      </c>
      <c r="K2605" s="63" t="e">
        <f t="shared" si="1392"/>
        <v>#DIV/0!</v>
      </c>
      <c r="L2605" s="871" t="s">
        <v>2121</v>
      </c>
      <c r="M2605" s="468"/>
      <c r="N2605" s="664">
        <f t="shared" si="1399"/>
        <v>191126</v>
      </c>
      <c r="O2605" s="71" t="s">
        <v>147</v>
      </c>
      <c r="P2605" s="103" t="str">
        <f t="shared" si="1398"/>
        <v>아라니아 분홍(2) 1905c</v>
      </c>
      <c r="Q2605" s="71">
        <f t="shared" si="1398"/>
        <v>0</v>
      </c>
      <c r="R2605" s="102">
        <v>7300</v>
      </c>
      <c r="S2605" s="102">
        <f t="shared" si="1400"/>
        <v>0</v>
      </c>
      <c r="T2605" s="102">
        <f t="shared" si="1401"/>
        <v>0</v>
      </c>
      <c r="U2605" s="71" t="str">
        <f t="shared" si="1396"/>
        <v>O</v>
      </c>
      <c r="V2605" s="71"/>
      <c r="W2605" s="474">
        <f t="shared" si="1397"/>
        <v>0</v>
      </c>
      <c r="X2605" s="71"/>
      <c r="Y2605" s="71"/>
    </row>
    <row r="2606" spans="1:25" ht="30" hidden="1" customHeight="1" x14ac:dyDescent="0.25">
      <c r="A2606" s="82">
        <v>191126</v>
      </c>
      <c r="B2606" s="664" t="s">
        <v>1052</v>
      </c>
      <c r="C2606" s="71" t="s">
        <v>1842</v>
      </c>
      <c r="D2606" s="71"/>
      <c r="E2606" s="102">
        <v>8600</v>
      </c>
      <c r="F2606" s="102">
        <f t="shared" si="1393"/>
        <v>0</v>
      </c>
      <c r="G2606" s="102">
        <f t="shared" si="1394"/>
        <v>0</v>
      </c>
      <c r="H2606" s="690" t="s">
        <v>142</v>
      </c>
      <c r="I2606" s="71" t="s">
        <v>144</v>
      </c>
      <c r="J2606" s="53">
        <f t="shared" si="1395"/>
        <v>0</v>
      </c>
      <c r="K2606" s="63" t="e">
        <f t="shared" si="1392"/>
        <v>#DIV/0!</v>
      </c>
      <c r="L2606" s="871" t="s">
        <v>2121</v>
      </c>
      <c r="M2606" s="468"/>
      <c r="N2606" s="664">
        <f t="shared" si="1399"/>
        <v>191126</v>
      </c>
      <c r="O2606" s="71" t="s">
        <v>147</v>
      </c>
      <c r="P2606" s="103" t="str">
        <f t="shared" si="1398"/>
        <v>아라니아 분홍(3) 1775c</v>
      </c>
      <c r="Q2606" s="71">
        <f t="shared" si="1398"/>
        <v>0</v>
      </c>
      <c r="R2606" s="102">
        <v>8100</v>
      </c>
      <c r="S2606" s="102">
        <f t="shared" si="1400"/>
        <v>0</v>
      </c>
      <c r="T2606" s="102">
        <f t="shared" si="1401"/>
        <v>0</v>
      </c>
      <c r="U2606" s="71" t="str">
        <f t="shared" si="1396"/>
        <v>O</v>
      </c>
      <c r="V2606" s="71"/>
      <c r="W2606" s="474">
        <f t="shared" si="1397"/>
        <v>0</v>
      </c>
      <c r="X2606" s="71"/>
      <c r="Y2606" s="71"/>
    </row>
    <row r="2607" spans="1:25" ht="30" hidden="1" customHeight="1" x14ac:dyDescent="0.25">
      <c r="A2607" s="82">
        <v>191126</v>
      </c>
      <c r="B2607" s="664" t="s">
        <v>1052</v>
      </c>
      <c r="C2607" s="71" t="s">
        <v>2015</v>
      </c>
      <c r="D2607" s="71"/>
      <c r="E2607" s="102">
        <v>8200</v>
      </c>
      <c r="F2607" s="102">
        <f t="shared" si="1393"/>
        <v>0</v>
      </c>
      <c r="G2607" s="102">
        <f t="shared" si="1394"/>
        <v>0</v>
      </c>
      <c r="H2607" s="690" t="s">
        <v>142</v>
      </c>
      <c r="I2607" s="71" t="s">
        <v>144</v>
      </c>
      <c r="J2607" s="53">
        <f t="shared" si="1395"/>
        <v>0</v>
      </c>
      <c r="K2607" s="63" t="e">
        <f t="shared" si="1392"/>
        <v>#DIV/0!</v>
      </c>
      <c r="L2607" s="871" t="s">
        <v>2121</v>
      </c>
      <c r="M2607" s="468"/>
      <c r="N2607" s="664">
        <f t="shared" si="1399"/>
        <v>191126</v>
      </c>
      <c r="O2607" s="71" t="s">
        <v>147</v>
      </c>
      <c r="P2607" s="103" t="str">
        <f t="shared" si="1398"/>
        <v>아라니아 BTS 보라</v>
      </c>
      <c r="Q2607" s="71">
        <f t="shared" si="1398"/>
        <v>0</v>
      </c>
      <c r="R2607" s="102">
        <v>8200</v>
      </c>
      <c r="S2607" s="102">
        <f t="shared" si="1400"/>
        <v>0</v>
      </c>
      <c r="T2607" s="102">
        <f t="shared" si="1401"/>
        <v>0</v>
      </c>
      <c r="U2607" s="71" t="str">
        <f t="shared" si="1396"/>
        <v>O</v>
      </c>
      <c r="V2607" s="71"/>
      <c r="W2607" s="474">
        <f t="shared" si="1397"/>
        <v>0</v>
      </c>
      <c r="X2607" s="71"/>
      <c r="Y2607" s="71"/>
    </row>
    <row r="2608" spans="1:25" ht="26.25" hidden="1" customHeight="1" x14ac:dyDescent="0.25">
      <c r="A2608" s="82">
        <v>191127</v>
      </c>
      <c r="B2608" s="664" t="s">
        <v>545</v>
      </c>
      <c r="C2608" s="71" t="s">
        <v>123</v>
      </c>
      <c r="D2608" s="71">
        <v>20</v>
      </c>
      <c r="E2608" s="102">
        <v>42000</v>
      </c>
      <c r="F2608" s="102">
        <f t="shared" si="1393"/>
        <v>924000.00000000012</v>
      </c>
      <c r="G2608" s="102">
        <f t="shared" si="1394"/>
        <v>840000</v>
      </c>
      <c r="H2608" s="690" t="s">
        <v>1432</v>
      </c>
      <c r="I2608" s="71" t="s">
        <v>1432</v>
      </c>
      <c r="J2608" s="53">
        <f t="shared" si="1395"/>
        <v>350920</v>
      </c>
      <c r="K2608" s="63">
        <f t="shared" si="1392"/>
        <v>0.41776190476190472</v>
      </c>
      <c r="L2608" s="871" t="s">
        <v>2121</v>
      </c>
      <c r="M2608" s="468"/>
      <c r="N2608" s="664">
        <f t="shared" si="1399"/>
        <v>191127</v>
      </c>
      <c r="O2608" s="71" t="s">
        <v>1432</v>
      </c>
      <c r="P2608" s="103" t="str">
        <f t="shared" si="1398"/>
        <v>필터백</v>
      </c>
      <c r="Q2608" s="71">
        <f t="shared" si="1398"/>
        <v>20</v>
      </c>
      <c r="R2608" s="102">
        <v>24454</v>
      </c>
      <c r="S2608" s="102">
        <f t="shared" si="1400"/>
        <v>537988</v>
      </c>
      <c r="T2608" s="102">
        <f t="shared" si="1401"/>
        <v>489080</v>
      </c>
      <c r="U2608" s="71" t="str">
        <f t="shared" si="1396"/>
        <v>O</v>
      </c>
      <c r="V2608" s="71"/>
      <c r="W2608" s="474">
        <f t="shared" si="1397"/>
        <v>350920</v>
      </c>
      <c r="X2608" s="71"/>
      <c r="Y2608" s="71"/>
    </row>
    <row r="2609" spans="1:25" ht="30" hidden="1" customHeight="1" x14ac:dyDescent="0.25">
      <c r="A2609" s="82">
        <v>191127</v>
      </c>
      <c r="B2609" s="664" t="s">
        <v>567</v>
      </c>
      <c r="C2609" s="71" t="s">
        <v>2154</v>
      </c>
      <c r="D2609" s="71">
        <v>1</v>
      </c>
      <c r="E2609" s="102">
        <v>750000</v>
      </c>
      <c r="F2609" s="102">
        <f t="shared" si="1393"/>
        <v>825000.00000000012</v>
      </c>
      <c r="G2609" s="102">
        <f t="shared" si="1394"/>
        <v>750000</v>
      </c>
      <c r="H2609" s="690" t="s">
        <v>173</v>
      </c>
      <c r="I2609" s="71" t="s">
        <v>2184</v>
      </c>
      <c r="J2609" s="53">
        <f t="shared" si="1395"/>
        <v>500880</v>
      </c>
      <c r="K2609" s="63">
        <f>(J2609/(F2609/11*10))</f>
        <v>0.66783999999999988</v>
      </c>
      <c r="L2609" s="871" t="s">
        <v>2142</v>
      </c>
      <c r="M2609" s="468"/>
      <c r="N2609" s="664">
        <f t="shared" si="1399"/>
        <v>191127</v>
      </c>
      <c r="O2609" s="71" t="s">
        <v>2179</v>
      </c>
      <c r="P2609" s="103" t="str">
        <f t="shared" si="1398"/>
        <v>Uv 램프 - 하이델베르그 국전용</v>
      </c>
      <c r="Q2609" s="71">
        <f t="shared" si="1398"/>
        <v>1</v>
      </c>
      <c r="R2609" s="102">
        <f>138.4*1800</f>
        <v>249120</v>
      </c>
      <c r="S2609" s="102">
        <f t="shared" si="1400"/>
        <v>274032</v>
      </c>
      <c r="T2609" s="102">
        <f t="shared" si="1401"/>
        <v>249120</v>
      </c>
      <c r="U2609" s="71"/>
      <c r="V2609" s="71"/>
      <c r="W2609" s="474"/>
      <c r="X2609" s="71"/>
      <c r="Y2609" s="71"/>
    </row>
    <row r="2610" spans="1:25" ht="30" customHeight="1" x14ac:dyDescent="0.25">
      <c r="A2610" s="82">
        <v>191128</v>
      </c>
      <c r="B2610" s="664" t="s">
        <v>565</v>
      </c>
      <c r="C2610" s="760" t="s">
        <v>218</v>
      </c>
      <c r="D2610" s="71">
        <v>4</v>
      </c>
      <c r="E2610" s="102">
        <v>235000</v>
      </c>
      <c r="F2610" s="102">
        <f t="shared" si="1393"/>
        <v>1034000.0000000001</v>
      </c>
      <c r="G2610" s="102">
        <f t="shared" si="1394"/>
        <v>940000</v>
      </c>
      <c r="H2610" s="690" t="s">
        <v>173</v>
      </c>
      <c r="I2610" s="71" t="s">
        <v>120</v>
      </c>
      <c r="J2610" s="53">
        <f>(G2610-(VLOOKUP(C2610,Price!B:D,3,FALSE)*D2610))</f>
        <v>490000</v>
      </c>
      <c r="K2610" s="63">
        <f t="shared" si="1392"/>
        <v>0.52127659574468077</v>
      </c>
      <c r="L2610" s="871" t="s">
        <v>2121</v>
      </c>
      <c r="M2610" s="468" t="s">
        <v>2053</v>
      </c>
      <c r="N2610" s="664">
        <f t="shared" si="1399"/>
        <v>191128</v>
      </c>
      <c r="O2610" s="71" t="s">
        <v>150</v>
      </c>
      <c r="P2610" s="103" t="str">
        <f t="shared" si="1398"/>
        <v>Fount Web 551AF</v>
      </c>
      <c r="Q2610" s="71">
        <f t="shared" si="1398"/>
        <v>4</v>
      </c>
      <c r="R2610" s="102">
        <v>112500</v>
      </c>
      <c r="S2610" s="102">
        <f t="shared" si="1400"/>
        <v>495000.00000000006</v>
      </c>
      <c r="T2610" s="102">
        <f t="shared" si="1401"/>
        <v>450000</v>
      </c>
      <c r="U2610" s="71" t="str">
        <f t="shared" ref="U2610:U2617" si="1402">IF(J2610=W2610,"O", "X")</f>
        <v>O</v>
      </c>
      <c r="V2610" s="71"/>
      <c r="W2610" s="474">
        <f t="shared" ref="W2610:W2617" si="1403">(G2610-T2610)</f>
        <v>490000</v>
      </c>
      <c r="X2610" s="71"/>
      <c r="Y2610" s="71"/>
    </row>
    <row r="2611" spans="1:25" ht="30" customHeight="1" x14ac:dyDescent="0.25">
      <c r="A2611" s="82">
        <v>191128</v>
      </c>
      <c r="B2611" s="664" t="s">
        <v>565</v>
      </c>
      <c r="C2611" s="71" t="s">
        <v>692</v>
      </c>
      <c r="D2611" s="71">
        <v>10</v>
      </c>
      <c r="E2611" s="102">
        <v>218000</v>
      </c>
      <c r="F2611" s="102">
        <f t="shared" si="1393"/>
        <v>2398000</v>
      </c>
      <c r="G2611" s="102">
        <f t="shared" si="1394"/>
        <v>2180000</v>
      </c>
      <c r="H2611" s="690" t="s">
        <v>173</v>
      </c>
      <c r="I2611" s="71" t="s">
        <v>109</v>
      </c>
      <c r="J2611" s="53">
        <f>(G2611-(VLOOKUP(C2611,Price!B:D,3,FALSE)*D2611))</f>
        <v>580000</v>
      </c>
      <c r="K2611" s="63">
        <f t="shared" si="1392"/>
        <v>0.26605504587155965</v>
      </c>
      <c r="L2611" s="871" t="s">
        <v>2121</v>
      </c>
      <c r="M2611" s="468" t="s">
        <v>2052</v>
      </c>
      <c r="N2611" s="664">
        <f t="shared" si="1399"/>
        <v>191128</v>
      </c>
      <c r="O2611" s="71" t="s">
        <v>150</v>
      </c>
      <c r="P2611" s="103" t="str">
        <f t="shared" si="1398"/>
        <v>윤전 블랑켓</v>
      </c>
      <c r="Q2611" s="71">
        <f t="shared" si="1398"/>
        <v>10</v>
      </c>
      <c r="R2611" s="102">
        <v>160000</v>
      </c>
      <c r="S2611" s="102">
        <f>(R2611*D2611)*1.1</f>
        <v>1760000.0000000002</v>
      </c>
      <c r="T2611" s="102">
        <f>(R2611*Q2611)</f>
        <v>1600000</v>
      </c>
      <c r="U2611" s="71" t="str">
        <f t="shared" si="1402"/>
        <v>O</v>
      </c>
      <c r="V2611" s="71" t="s">
        <v>784</v>
      </c>
      <c r="W2611" s="474">
        <f t="shared" si="1403"/>
        <v>580000</v>
      </c>
      <c r="X2611" s="71"/>
      <c r="Y2611" s="71"/>
    </row>
    <row r="2612" spans="1:25" ht="30" hidden="1" customHeight="1" x14ac:dyDescent="0.25">
      <c r="A2612" s="82">
        <v>191129</v>
      </c>
      <c r="B2612" s="664" t="s">
        <v>545</v>
      </c>
      <c r="C2612" s="71" t="s">
        <v>1010</v>
      </c>
      <c r="D2612" s="71">
        <v>1</v>
      </c>
      <c r="E2612" s="102">
        <v>135000</v>
      </c>
      <c r="F2612" s="102">
        <f t="shared" ref="F2612:F2627" si="1404">(E2612*D2612)*1.1</f>
        <v>148500</v>
      </c>
      <c r="G2612" s="102">
        <f t="shared" ref="G2612:G2627" si="1405">(E2612*D2612)</f>
        <v>135000</v>
      </c>
      <c r="H2612" s="690" t="s">
        <v>173</v>
      </c>
      <c r="I2612" s="71" t="s">
        <v>108</v>
      </c>
      <c r="J2612" s="53">
        <f>(G2612-(VLOOKUP(C2612,Price!B:D,3,FALSE)*D2612))</f>
        <v>25000</v>
      </c>
      <c r="K2612" s="63">
        <f t="shared" si="1392"/>
        <v>0.18518518518518517</v>
      </c>
      <c r="L2612" s="871" t="s">
        <v>2107</v>
      </c>
      <c r="M2612" s="468"/>
      <c r="N2612" s="664">
        <f t="shared" si="1399"/>
        <v>191129</v>
      </c>
      <c r="O2612" s="71" t="s">
        <v>148</v>
      </c>
      <c r="P2612" s="103" t="str">
        <f t="shared" si="1398"/>
        <v>Offset UV wash</v>
      </c>
      <c r="Q2612" s="71">
        <f t="shared" si="1398"/>
        <v>1</v>
      </c>
      <c r="R2612" s="102">
        <v>110000</v>
      </c>
      <c r="S2612" s="102">
        <f>R2612*Q2612*1.1</f>
        <v>121000.00000000001</v>
      </c>
      <c r="T2612" s="102">
        <f>R2612*Q2612</f>
        <v>110000</v>
      </c>
      <c r="U2612" s="71" t="str">
        <f t="shared" si="1402"/>
        <v>O</v>
      </c>
      <c r="V2612" s="71"/>
      <c r="W2612" s="474">
        <f t="shared" si="1403"/>
        <v>25000</v>
      </c>
      <c r="X2612" s="71"/>
      <c r="Y2612" s="71"/>
    </row>
    <row r="2613" spans="1:25" s="209" customFormat="1" ht="30" customHeight="1" x14ac:dyDescent="0.2">
      <c r="A2613" s="82">
        <v>191129</v>
      </c>
      <c r="B2613" s="664" t="s">
        <v>422</v>
      </c>
      <c r="C2613" s="71" t="s">
        <v>130</v>
      </c>
      <c r="D2613" s="71">
        <v>20</v>
      </c>
      <c r="E2613" s="102">
        <v>125000</v>
      </c>
      <c r="F2613" s="163">
        <f t="shared" si="1404"/>
        <v>2750000</v>
      </c>
      <c r="G2613" s="102">
        <f t="shared" si="1405"/>
        <v>2500000</v>
      </c>
      <c r="H2613" s="165" t="s">
        <v>172</v>
      </c>
      <c r="I2613" s="71" t="s">
        <v>109</v>
      </c>
      <c r="J2613" s="53">
        <f>(G2613-(VLOOKUP(C2613,Price!B:D,3,FALSE)*D2613))</f>
        <v>520000</v>
      </c>
      <c r="K2613" s="63">
        <f t="shared" si="1392"/>
        <v>0.20799999999999999</v>
      </c>
      <c r="L2613" s="871" t="s">
        <v>2121</v>
      </c>
      <c r="M2613" s="468" t="s">
        <v>2050</v>
      </c>
      <c r="N2613" s="664">
        <f t="shared" si="1399"/>
        <v>191129</v>
      </c>
      <c r="O2613" s="71" t="s">
        <v>150</v>
      </c>
      <c r="P2613" s="103" t="str">
        <f t="shared" si="1398"/>
        <v>XL106 Blanket(1077*885)</v>
      </c>
      <c r="Q2613" s="71">
        <f t="shared" si="1398"/>
        <v>20</v>
      </c>
      <c r="R2613" s="102">
        <v>99000</v>
      </c>
      <c r="S2613" s="102">
        <f>R2613*Q2613*1.1</f>
        <v>2178000</v>
      </c>
      <c r="T2613" s="102">
        <f>R2613*Q2613</f>
        <v>1980000</v>
      </c>
      <c r="U2613" s="71" t="str">
        <f t="shared" si="1402"/>
        <v>O</v>
      </c>
      <c r="V2613" s="71"/>
      <c r="W2613" s="474">
        <f t="shared" si="1403"/>
        <v>520000</v>
      </c>
      <c r="X2613" s="71"/>
      <c r="Y2613" s="71"/>
    </row>
    <row r="2614" spans="1:25" s="209" customFormat="1" ht="30" customHeight="1" x14ac:dyDescent="0.2">
      <c r="A2614" s="82">
        <v>191129</v>
      </c>
      <c r="B2614" s="664" t="s">
        <v>422</v>
      </c>
      <c r="C2614" s="71" t="s">
        <v>215</v>
      </c>
      <c r="D2614" s="71">
        <v>10</v>
      </c>
      <c r="E2614" s="102">
        <v>68000</v>
      </c>
      <c r="F2614" s="102">
        <f t="shared" si="1404"/>
        <v>748000.00000000012</v>
      </c>
      <c r="G2614" s="102">
        <f t="shared" si="1405"/>
        <v>680000</v>
      </c>
      <c r="H2614" s="165" t="s">
        <v>172</v>
      </c>
      <c r="I2614" s="71" t="s">
        <v>184</v>
      </c>
      <c r="J2614" s="53">
        <f>(G2614-(VLOOKUP(C2614,[5]Price!B$1:D$65536,3,FALSE)*D2614))</f>
        <v>170000</v>
      </c>
      <c r="K2614" s="63">
        <f t="shared" si="1392"/>
        <v>0.24999999999999994</v>
      </c>
      <c r="L2614" s="871" t="s">
        <v>2121</v>
      </c>
      <c r="M2614" s="468" t="s">
        <v>2050</v>
      </c>
      <c r="N2614" s="664">
        <f t="shared" si="1399"/>
        <v>191129</v>
      </c>
      <c r="O2614" s="71" t="s">
        <v>2030</v>
      </c>
      <c r="P2614" s="103" t="str">
        <f t="shared" si="1398"/>
        <v>매엽용 세척제(Wash 562)</v>
      </c>
      <c r="Q2614" s="71">
        <f t="shared" si="1398"/>
        <v>10</v>
      </c>
      <c r="R2614" s="102">
        <v>51000</v>
      </c>
      <c r="S2614" s="102">
        <f>(R2614*D2614)*1.1</f>
        <v>561000</v>
      </c>
      <c r="T2614" s="102">
        <f>(R2614*Q2614)</f>
        <v>510000</v>
      </c>
      <c r="U2614" s="71" t="str">
        <f t="shared" si="1402"/>
        <v>O</v>
      </c>
      <c r="V2614" s="71"/>
      <c r="W2614" s="474">
        <f t="shared" si="1403"/>
        <v>170000</v>
      </c>
      <c r="X2614" s="71"/>
      <c r="Y2614" s="71"/>
    </row>
    <row r="2615" spans="1:25" ht="30" customHeight="1" x14ac:dyDescent="0.25">
      <c r="A2615" s="82">
        <v>191129</v>
      </c>
      <c r="B2615" s="664" t="s">
        <v>422</v>
      </c>
      <c r="C2615" s="71" t="s">
        <v>584</v>
      </c>
      <c r="D2615" s="71">
        <v>2</v>
      </c>
      <c r="E2615" s="102">
        <v>270000</v>
      </c>
      <c r="F2615" s="102">
        <f t="shared" si="1404"/>
        <v>594000</v>
      </c>
      <c r="G2615" s="102">
        <f t="shared" si="1405"/>
        <v>540000</v>
      </c>
      <c r="H2615" s="690" t="s">
        <v>173</v>
      </c>
      <c r="I2615" s="71" t="s">
        <v>2231</v>
      </c>
      <c r="J2615" s="53">
        <f>(G2615-(VLOOKUP(C2615,Price!B:D,3,FALSE)*D2615))</f>
        <v>108000</v>
      </c>
      <c r="K2615" s="63">
        <f t="shared" si="1392"/>
        <v>0.2</v>
      </c>
      <c r="L2615" s="871" t="s">
        <v>2121</v>
      </c>
      <c r="M2615" s="468"/>
      <c r="N2615" s="664">
        <f t="shared" si="1399"/>
        <v>191129</v>
      </c>
      <c r="O2615" s="71" t="s">
        <v>150</v>
      </c>
      <c r="P2615" s="103" t="str">
        <f t="shared" si="1398"/>
        <v>데리바리 석션벨트</v>
      </c>
      <c r="Q2615" s="71">
        <f t="shared" si="1398"/>
        <v>2</v>
      </c>
      <c r="R2615" s="102">
        <v>216000</v>
      </c>
      <c r="S2615" s="102">
        <f>R2615*Q2615*1.1</f>
        <v>475200.00000000006</v>
      </c>
      <c r="T2615" s="102">
        <f>R2615*Q2615</f>
        <v>432000</v>
      </c>
      <c r="U2615" s="71" t="str">
        <f t="shared" si="1402"/>
        <v>O</v>
      </c>
      <c r="V2615" s="71"/>
      <c r="W2615" s="474">
        <f t="shared" si="1403"/>
        <v>108000</v>
      </c>
      <c r="X2615" s="71"/>
      <c r="Y2615" s="71"/>
    </row>
    <row r="2616" spans="1:25" ht="30" customHeight="1" x14ac:dyDescent="0.25">
      <c r="A2616" s="82">
        <v>191129</v>
      </c>
      <c r="B2616" s="664" t="s">
        <v>422</v>
      </c>
      <c r="C2616" s="71" t="s">
        <v>129</v>
      </c>
      <c r="D2616" s="71">
        <v>7</v>
      </c>
      <c r="E2616" s="102">
        <v>272000</v>
      </c>
      <c r="F2616" s="102">
        <f t="shared" si="1404"/>
        <v>2094400.0000000002</v>
      </c>
      <c r="G2616" s="102">
        <f t="shared" si="1405"/>
        <v>1904000</v>
      </c>
      <c r="H2616" s="690" t="s">
        <v>173</v>
      </c>
      <c r="I2616" s="71" t="s">
        <v>108</v>
      </c>
      <c r="J2616" s="53">
        <f>(G2616-(VLOOKUP(C2616,Price!B:D,3,FALSE)*D2616))</f>
        <v>448000</v>
      </c>
      <c r="K2616" s="63">
        <f t="shared" si="1392"/>
        <v>0.23529411764705879</v>
      </c>
      <c r="L2616" s="871" t="s">
        <v>2121</v>
      </c>
      <c r="M2616" s="468" t="s">
        <v>2050</v>
      </c>
      <c r="N2616" s="664">
        <f t="shared" si="1399"/>
        <v>191129</v>
      </c>
      <c r="O2616" s="71" t="s">
        <v>149</v>
      </c>
      <c r="P2616" s="103" t="str">
        <f t="shared" si="1398"/>
        <v>세정포-XL106</v>
      </c>
      <c r="Q2616" s="71">
        <f t="shared" si="1398"/>
        <v>7</v>
      </c>
      <c r="R2616" s="102">
        <v>208000</v>
      </c>
      <c r="S2616" s="102">
        <f>R2616*Q2616*1.1</f>
        <v>1601600.0000000002</v>
      </c>
      <c r="T2616" s="102">
        <f>R2616*Q2616</f>
        <v>1456000</v>
      </c>
      <c r="U2616" s="71" t="str">
        <f t="shared" si="1402"/>
        <v>O</v>
      </c>
      <c r="V2616" s="71"/>
      <c r="W2616" s="474">
        <f t="shared" si="1403"/>
        <v>448000</v>
      </c>
      <c r="X2616" s="71"/>
      <c r="Y2616" s="71"/>
    </row>
    <row r="2617" spans="1:25" ht="30" customHeight="1" x14ac:dyDescent="0.25">
      <c r="A2617" s="80">
        <v>191129</v>
      </c>
      <c r="B2617" s="664" t="s">
        <v>422</v>
      </c>
      <c r="C2617" s="73" t="s">
        <v>707</v>
      </c>
      <c r="D2617" s="73">
        <v>2</v>
      </c>
      <c r="E2617" s="147">
        <v>264000</v>
      </c>
      <c r="F2617" s="102">
        <f t="shared" si="1404"/>
        <v>580800</v>
      </c>
      <c r="G2617" s="102">
        <f t="shared" si="1405"/>
        <v>528000</v>
      </c>
      <c r="H2617" s="689" t="s">
        <v>173</v>
      </c>
      <c r="I2617" s="71" t="s">
        <v>2231</v>
      </c>
      <c r="J2617" s="53">
        <f>(G2617-(VLOOKUP(C2617,Price!B:D,3,FALSE)*D2617))</f>
        <v>168000</v>
      </c>
      <c r="K2617" s="63">
        <f t="shared" si="1392"/>
        <v>0.31818181818181818</v>
      </c>
      <c r="L2617" s="871" t="s">
        <v>2121</v>
      </c>
      <c r="M2617" s="584"/>
      <c r="N2617" s="664">
        <f t="shared" si="1399"/>
        <v>191129</v>
      </c>
      <c r="O2617" s="73" t="s">
        <v>150</v>
      </c>
      <c r="P2617" s="103" t="str">
        <f t="shared" si="1398"/>
        <v>롤러 오일</v>
      </c>
      <c r="Q2617" s="71">
        <f t="shared" si="1398"/>
        <v>2</v>
      </c>
      <c r="R2617" s="147">
        <f>15000*12</f>
        <v>180000</v>
      </c>
      <c r="S2617" s="147">
        <f t="shared" ref="S2617:S2627" si="1406">(R2617*D2617)*1.1</f>
        <v>396000.00000000006</v>
      </c>
      <c r="T2617" s="147">
        <f t="shared" ref="T2617:T2627" si="1407">(R2617*Q2617)</f>
        <v>360000</v>
      </c>
      <c r="U2617" s="73" t="str">
        <f t="shared" si="1402"/>
        <v>O</v>
      </c>
      <c r="V2617" s="73"/>
      <c r="W2617" s="482">
        <f t="shared" si="1403"/>
        <v>168000</v>
      </c>
      <c r="X2617" s="73"/>
      <c r="Y2617" s="73"/>
    </row>
    <row r="2618" spans="1:25" ht="30" hidden="1" customHeight="1" x14ac:dyDescent="0.25">
      <c r="A2618" s="82">
        <v>191129</v>
      </c>
      <c r="B2618" s="664" t="s">
        <v>2354</v>
      </c>
      <c r="C2618" s="71" t="s">
        <v>1800</v>
      </c>
      <c r="D2618" s="71">
        <v>10</v>
      </c>
      <c r="E2618" s="102">
        <v>80000</v>
      </c>
      <c r="F2618" s="102">
        <f t="shared" si="1404"/>
        <v>880000.00000000012</v>
      </c>
      <c r="G2618" s="102">
        <f t="shared" si="1405"/>
        <v>800000</v>
      </c>
      <c r="H2618" s="690" t="s">
        <v>142</v>
      </c>
      <c r="I2618" s="71" t="s">
        <v>2273</v>
      </c>
      <c r="J2618" s="53">
        <f t="shared" ref="J2618:J2627" si="1408">G2618-T2618</f>
        <v>200000</v>
      </c>
      <c r="K2618" s="63">
        <f>(J2618/(F2618/11*10))</f>
        <v>0.24999999999999997</v>
      </c>
      <c r="L2618" s="871" t="s">
        <v>2121</v>
      </c>
      <c r="M2618" s="468" t="s">
        <v>2193</v>
      </c>
      <c r="N2618" s="664">
        <f t="shared" si="1399"/>
        <v>191129</v>
      </c>
      <c r="O2618" s="71" t="s">
        <v>194</v>
      </c>
      <c r="P2618" s="103" t="str">
        <f t="shared" si="1398"/>
        <v>CTP 베어링</v>
      </c>
      <c r="Q2618" s="71">
        <f t="shared" si="1398"/>
        <v>10</v>
      </c>
      <c r="R2618" s="102">
        <v>60000</v>
      </c>
      <c r="S2618" s="147">
        <f t="shared" si="1406"/>
        <v>660000</v>
      </c>
      <c r="T2618" s="147">
        <f t="shared" si="1407"/>
        <v>600000</v>
      </c>
      <c r="U2618" s="71"/>
      <c r="V2618" s="71"/>
      <c r="W2618" s="474"/>
      <c r="X2618" s="71"/>
      <c r="Y2618" s="71"/>
    </row>
    <row r="2619" spans="1:25" ht="30" customHeight="1" x14ac:dyDescent="0.25">
      <c r="A2619" s="80">
        <v>191129</v>
      </c>
      <c r="B2619" s="664" t="s">
        <v>565</v>
      </c>
      <c r="C2619" s="71" t="s">
        <v>2146</v>
      </c>
      <c r="D2619" s="71">
        <v>1</v>
      </c>
      <c r="E2619" s="102">
        <v>450000</v>
      </c>
      <c r="F2619" s="102">
        <f t="shared" si="1404"/>
        <v>495000.00000000006</v>
      </c>
      <c r="G2619" s="102">
        <f t="shared" si="1405"/>
        <v>450000</v>
      </c>
      <c r="H2619" s="690" t="s">
        <v>142</v>
      </c>
      <c r="I2619" s="71" t="s">
        <v>2273</v>
      </c>
      <c r="J2619" s="53">
        <f t="shared" si="1408"/>
        <v>90000</v>
      </c>
      <c r="K2619" s="63">
        <f>(J2619/(F2619/11*10))</f>
        <v>0.19999999999999998</v>
      </c>
      <c r="L2619" s="871" t="s">
        <v>2121</v>
      </c>
      <c r="M2619" s="468"/>
      <c r="N2619" s="664">
        <f t="shared" si="1399"/>
        <v>191129</v>
      </c>
      <c r="O2619" s="71" t="s">
        <v>194</v>
      </c>
      <c r="P2619" s="103" t="str">
        <f t="shared" si="1398"/>
        <v>DRIVE MOTOR</v>
      </c>
      <c r="Q2619" s="71">
        <f t="shared" si="1398"/>
        <v>1</v>
      </c>
      <c r="R2619" s="102">
        <v>360000</v>
      </c>
      <c r="S2619" s="147">
        <f t="shared" si="1406"/>
        <v>396000.00000000006</v>
      </c>
      <c r="T2619" s="147">
        <f t="shared" si="1407"/>
        <v>360000</v>
      </c>
      <c r="U2619" s="71"/>
      <c r="V2619" s="71"/>
      <c r="W2619" s="474"/>
      <c r="X2619" s="71"/>
      <c r="Y2619" s="71"/>
    </row>
    <row r="2620" spans="1:25" ht="30" customHeight="1" x14ac:dyDescent="0.25">
      <c r="A2620" s="82">
        <v>191129</v>
      </c>
      <c r="B2620" s="664" t="s">
        <v>565</v>
      </c>
      <c r="C2620" s="71" t="s">
        <v>2147</v>
      </c>
      <c r="D2620" s="71">
        <v>1</v>
      </c>
      <c r="E2620" s="102">
        <v>220000</v>
      </c>
      <c r="F2620" s="102">
        <f t="shared" si="1404"/>
        <v>242000.00000000003</v>
      </c>
      <c r="G2620" s="102">
        <f t="shared" si="1405"/>
        <v>220000</v>
      </c>
      <c r="H2620" s="690" t="s">
        <v>142</v>
      </c>
      <c r="I2620" s="71" t="s">
        <v>2273</v>
      </c>
      <c r="J2620" s="53">
        <f t="shared" si="1408"/>
        <v>40000</v>
      </c>
      <c r="K2620" s="63">
        <f>(J2620/(F2620/11*10))</f>
        <v>0.1818181818181818</v>
      </c>
      <c r="L2620" s="871" t="s">
        <v>2121</v>
      </c>
      <c r="M2620" s="468"/>
      <c r="N2620" s="664">
        <f t="shared" si="1399"/>
        <v>191129</v>
      </c>
      <c r="O2620" s="71" t="s">
        <v>194</v>
      </c>
      <c r="P2620" s="103" t="str">
        <f t="shared" si="1398"/>
        <v>ENCODER ROH</v>
      </c>
      <c r="Q2620" s="71">
        <f t="shared" si="1398"/>
        <v>1</v>
      </c>
      <c r="R2620" s="102">
        <v>180000</v>
      </c>
      <c r="S2620" s="147">
        <f t="shared" si="1406"/>
        <v>198000.00000000003</v>
      </c>
      <c r="T2620" s="147">
        <f t="shared" si="1407"/>
        <v>180000</v>
      </c>
      <c r="U2620" s="71"/>
      <c r="V2620" s="71"/>
      <c r="W2620" s="474"/>
      <c r="X2620" s="71"/>
      <c r="Y2620" s="71"/>
    </row>
    <row r="2621" spans="1:25" ht="30" hidden="1" customHeight="1" x14ac:dyDescent="0.25">
      <c r="A2621" s="80">
        <v>191129</v>
      </c>
      <c r="B2621" s="664" t="s">
        <v>2354</v>
      </c>
      <c r="C2621" s="71" t="s">
        <v>2148</v>
      </c>
      <c r="D2621" s="71">
        <v>6</v>
      </c>
      <c r="E2621" s="102">
        <v>120000</v>
      </c>
      <c r="F2621" s="102">
        <f t="shared" si="1404"/>
        <v>792000.00000000012</v>
      </c>
      <c r="G2621" s="102">
        <f t="shared" si="1405"/>
        <v>720000</v>
      </c>
      <c r="H2621" s="690" t="s">
        <v>142</v>
      </c>
      <c r="I2621" s="71" t="s">
        <v>2273</v>
      </c>
      <c r="J2621" s="53">
        <f t="shared" si="1408"/>
        <v>0</v>
      </c>
      <c r="K2621" s="63">
        <f>(J2621/(F2621/11*10))</f>
        <v>0</v>
      </c>
      <c r="L2621" s="871" t="s">
        <v>2121</v>
      </c>
      <c r="M2621" s="468"/>
      <c r="N2621" s="664">
        <f t="shared" si="1399"/>
        <v>191129</v>
      </c>
      <c r="O2621" s="71" t="s">
        <v>194</v>
      </c>
      <c r="P2621" s="103" t="str">
        <f t="shared" si="1398"/>
        <v>11월 서비스비용(6시간)</v>
      </c>
      <c r="Q2621" s="71">
        <f t="shared" si="1398"/>
        <v>6</v>
      </c>
      <c r="R2621" s="102">
        <v>120000</v>
      </c>
      <c r="S2621" s="102">
        <f t="shared" si="1406"/>
        <v>792000.00000000012</v>
      </c>
      <c r="T2621" s="102">
        <f t="shared" si="1407"/>
        <v>720000</v>
      </c>
      <c r="U2621" s="71"/>
      <c r="V2621" s="71"/>
      <c r="W2621" s="474"/>
      <c r="X2621" s="71"/>
      <c r="Y2621" s="71"/>
    </row>
    <row r="2622" spans="1:25" ht="30" customHeight="1" x14ac:dyDescent="0.25">
      <c r="A2622" s="82">
        <v>191129</v>
      </c>
      <c r="B2622" s="664" t="s">
        <v>422</v>
      </c>
      <c r="C2622" s="71" t="s">
        <v>2149</v>
      </c>
      <c r="D2622" s="71">
        <v>4</v>
      </c>
      <c r="E2622" s="102">
        <v>395000</v>
      </c>
      <c r="F2622" s="102">
        <f t="shared" si="1404"/>
        <v>1738000.0000000002</v>
      </c>
      <c r="G2622" s="102">
        <f t="shared" si="1405"/>
        <v>1580000</v>
      </c>
      <c r="H2622" s="690" t="s">
        <v>142</v>
      </c>
      <c r="I2622" s="71" t="s">
        <v>142</v>
      </c>
      <c r="J2622" s="53">
        <f t="shared" si="1408"/>
        <v>260000</v>
      </c>
      <c r="K2622" s="63">
        <f t="shared" si="1392"/>
        <v>0.16455696202531644</v>
      </c>
      <c r="L2622" s="871" t="s">
        <v>2121</v>
      </c>
      <c r="M2622" s="468"/>
      <c r="N2622" s="664">
        <f t="shared" si="1399"/>
        <v>191129</v>
      </c>
      <c r="O2622" s="71" t="s">
        <v>599</v>
      </c>
      <c r="P2622" s="103" t="str">
        <f t="shared" si="1398"/>
        <v>Air Cylinder(윤전 세정장치)</v>
      </c>
      <c r="Q2622" s="71">
        <f t="shared" si="1398"/>
        <v>4</v>
      </c>
      <c r="R2622" s="102">
        <v>330000</v>
      </c>
      <c r="S2622" s="102">
        <f t="shared" si="1406"/>
        <v>1452000.0000000002</v>
      </c>
      <c r="T2622" s="102">
        <f t="shared" si="1407"/>
        <v>1320000</v>
      </c>
      <c r="U2622" s="71"/>
      <c r="V2622" s="71"/>
      <c r="W2622" s="474"/>
      <c r="X2622" s="71"/>
      <c r="Y2622" s="71"/>
    </row>
    <row r="2623" spans="1:25" ht="30" customHeight="1" x14ac:dyDescent="0.25">
      <c r="A2623" s="80">
        <v>191129</v>
      </c>
      <c r="B2623" s="664" t="s">
        <v>422</v>
      </c>
      <c r="C2623" s="71" t="s">
        <v>2150</v>
      </c>
      <c r="D2623" s="71">
        <v>2</v>
      </c>
      <c r="E2623" s="102">
        <v>550000</v>
      </c>
      <c r="F2623" s="102">
        <f t="shared" si="1404"/>
        <v>1210000</v>
      </c>
      <c r="G2623" s="102">
        <f t="shared" si="1405"/>
        <v>1100000</v>
      </c>
      <c r="H2623" s="690" t="s">
        <v>142</v>
      </c>
      <c r="I2623" s="71" t="s">
        <v>142</v>
      </c>
      <c r="J2623" s="53">
        <f t="shared" si="1408"/>
        <v>160000</v>
      </c>
      <c r="K2623" s="63">
        <f t="shared" si="1392"/>
        <v>0.14545454545454545</v>
      </c>
      <c r="L2623" s="871" t="s">
        <v>2121</v>
      </c>
      <c r="M2623" s="468"/>
      <c r="N2623" s="664">
        <f t="shared" si="1399"/>
        <v>191129</v>
      </c>
      <c r="O2623" s="71" t="s">
        <v>599</v>
      </c>
      <c r="P2623" s="103" t="str">
        <f t="shared" si="1398"/>
        <v>Bacuup Pad(NBR) (Goss 신문윤전 세정장치)</v>
      </c>
      <c r="Q2623" s="71">
        <f t="shared" si="1398"/>
        <v>2</v>
      </c>
      <c r="R2623" s="102">
        <v>470000</v>
      </c>
      <c r="S2623" s="102">
        <f t="shared" si="1406"/>
        <v>1034000.0000000001</v>
      </c>
      <c r="T2623" s="102">
        <f t="shared" si="1407"/>
        <v>940000</v>
      </c>
      <c r="U2623" s="71"/>
      <c r="V2623" s="71"/>
      <c r="W2623" s="474"/>
      <c r="X2623" s="71"/>
      <c r="Y2623" s="71"/>
    </row>
    <row r="2624" spans="1:25" ht="30" hidden="1" customHeight="1" x14ac:dyDescent="0.25">
      <c r="A2624" s="82">
        <v>191130</v>
      </c>
      <c r="B2624" s="664" t="s">
        <v>546</v>
      </c>
      <c r="C2624" s="71" t="s">
        <v>2152</v>
      </c>
      <c r="D2624" s="71">
        <v>1</v>
      </c>
      <c r="E2624" s="102">
        <v>2950000</v>
      </c>
      <c r="F2624" s="102">
        <f t="shared" si="1404"/>
        <v>3245000.0000000005</v>
      </c>
      <c r="G2624" s="102">
        <f t="shared" si="1405"/>
        <v>2950000</v>
      </c>
      <c r="H2624" s="690" t="s">
        <v>985</v>
      </c>
      <c r="I2624" s="71" t="s">
        <v>985</v>
      </c>
      <c r="J2624" s="53">
        <f t="shared" si="1408"/>
        <v>1457000</v>
      </c>
      <c r="K2624" s="63">
        <f t="shared" si="1392"/>
        <v>0.49389830508474569</v>
      </c>
      <c r="L2624" s="871" t="s">
        <v>2121</v>
      </c>
      <c r="M2624" s="468"/>
      <c r="N2624" s="664">
        <f t="shared" si="1399"/>
        <v>191130</v>
      </c>
      <c r="O2624" s="71" t="s">
        <v>150</v>
      </c>
      <c r="P2624" s="103" t="str">
        <f t="shared" si="1398"/>
        <v>판걸이 튜브 교체 서비스 비용</v>
      </c>
      <c r="Q2624" s="71">
        <f t="shared" si="1398"/>
        <v>1</v>
      </c>
      <c r="R2624" s="102">
        <v>1493000</v>
      </c>
      <c r="S2624" s="102">
        <f t="shared" si="1406"/>
        <v>1642300.0000000002</v>
      </c>
      <c r="T2624" s="102">
        <f t="shared" si="1407"/>
        <v>1493000</v>
      </c>
      <c r="U2624" s="71"/>
      <c r="V2624" s="71"/>
      <c r="W2624" s="474"/>
      <c r="X2624" s="71"/>
      <c r="Y2624" s="71"/>
    </row>
    <row r="2625" spans="1:25" ht="30" hidden="1" customHeight="1" x14ac:dyDescent="0.25">
      <c r="A2625" s="82">
        <v>191130</v>
      </c>
      <c r="B2625" s="664" t="s">
        <v>575</v>
      </c>
      <c r="C2625" s="71" t="s">
        <v>2153</v>
      </c>
      <c r="D2625" s="71">
        <v>1</v>
      </c>
      <c r="E2625" s="102">
        <v>5000000</v>
      </c>
      <c r="F2625" s="102">
        <f t="shared" si="1404"/>
        <v>5500000</v>
      </c>
      <c r="G2625" s="102">
        <f t="shared" si="1405"/>
        <v>5000000</v>
      </c>
      <c r="H2625" s="690" t="s">
        <v>1431</v>
      </c>
      <c r="I2625" s="71" t="s">
        <v>1431</v>
      </c>
      <c r="J2625" s="53">
        <f t="shared" si="1408"/>
        <v>0</v>
      </c>
      <c r="K2625" s="63">
        <f>(J2625/(F2625/11*10))</f>
        <v>0</v>
      </c>
      <c r="L2625" s="871" t="s">
        <v>2121</v>
      </c>
      <c r="M2625" s="468"/>
      <c r="N2625" s="664">
        <f t="shared" si="1399"/>
        <v>191130</v>
      </c>
      <c r="O2625" s="71" t="s">
        <v>1617</v>
      </c>
      <c r="P2625" s="103" t="str">
        <f t="shared" si="1398"/>
        <v>멀티캠 VPB 기판</v>
      </c>
      <c r="Q2625" s="71">
        <f t="shared" si="1398"/>
        <v>1</v>
      </c>
      <c r="R2625" s="102">
        <v>5000000</v>
      </c>
      <c r="S2625" s="102">
        <f t="shared" si="1406"/>
        <v>5500000</v>
      </c>
      <c r="T2625" s="102">
        <f t="shared" si="1407"/>
        <v>5000000</v>
      </c>
      <c r="U2625" s="71"/>
      <c r="V2625" s="71"/>
      <c r="W2625" s="474"/>
      <c r="X2625" s="71"/>
      <c r="Y2625" s="71"/>
    </row>
    <row r="2626" spans="1:25" ht="30" hidden="1" customHeight="1" x14ac:dyDescent="0.25">
      <c r="A2626" s="82">
        <v>191130</v>
      </c>
      <c r="B2626" s="664" t="s">
        <v>550</v>
      </c>
      <c r="C2626" s="71" t="s">
        <v>1012</v>
      </c>
      <c r="D2626" s="71">
        <v>5</v>
      </c>
      <c r="E2626" s="102">
        <v>503000</v>
      </c>
      <c r="F2626" s="102">
        <f t="shared" si="1404"/>
        <v>2766500</v>
      </c>
      <c r="G2626" s="102">
        <f t="shared" si="1405"/>
        <v>2515000</v>
      </c>
      <c r="H2626" s="690" t="s">
        <v>1431</v>
      </c>
      <c r="I2626" s="71" t="s">
        <v>1431</v>
      </c>
      <c r="J2626" s="53">
        <f t="shared" si="1408"/>
        <v>515000</v>
      </c>
      <c r="K2626" s="63">
        <f t="shared" si="1392"/>
        <v>0.2047713717693837</v>
      </c>
      <c r="L2626" s="871" t="s">
        <v>2121</v>
      </c>
      <c r="M2626" s="468"/>
      <c r="N2626" s="664">
        <f t="shared" si="1399"/>
        <v>191130</v>
      </c>
      <c r="O2626" s="71" t="s">
        <v>150</v>
      </c>
      <c r="P2626" s="103" t="str">
        <f t="shared" si="1398"/>
        <v>잉크키 모터</v>
      </c>
      <c r="Q2626" s="71">
        <f t="shared" si="1398"/>
        <v>5</v>
      </c>
      <c r="R2626" s="102">
        <v>400000</v>
      </c>
      <c r="S2626" s="102">
        <f t="shared" si="1406"/>
        <v>2200000</v>
      </c>
      <c r="T2626" s="102">
        <f t="shared" si="1407"/>
        <v>2000000</v>
      </c>
      <c r="U2626" s="71"/>
      <c r="V2626" s="71"/>
      <c r="W2626" s="474"/>
      <c r="X2626" s="71"/>
      <c r="Y2626" s="71"/>
    </row>
    <row r="2627" spans="1:25" ht="30" hidden="1" customHeight="1" x14ac:dyDescent="0.25">
      <c r="A2627" s="82">
        <v>191130</v>
      </c>
      <c r="B2627" s="664" t="s">
        <v>550</v>
      </c>
      <c r="C2627" s="71" t="s">
        <v>1121</v>
      </c>
      <c r="D2627" s="71">
        <v>5</v>
      </c>
      <c r="E2627" s="102">
        <v>128000</v>
      </c>
      <c r="F2627" s="102">
        <f t="shared" si="1404"/>
        <v>704000</v>
      </c>
      <c r="G2627" s="102">
        <f t="shared" si="1405"/>
        <v>640000</v>
      </c>
      <c r="H2627" s="690" t="s">
        <v>1431</v>
      </c>
      <c r="I2627" s="71" t="s">
        <v>1431</v>
      </c>
      <c r="J2627" s="53">
        <f t="shared" si="1408"/>
        <v>140000</v>
      </c>
      <c r="K2627" s="63">
        <f t="shared" si="1392"/>
        <v>0.21875</v>
      </c>
      <c r="L2627" s="871" t="s">
        <v>2121</v>
      </c>
      <c r="M2627" s="468"/>
      <c r="N2627" s="664">
        <f t="shared" si="1399"/>
        <v>191130</v>
      </c>
      <c r="O2627" s="71" t="s">
        <v>150</v>
      </c>
      <c r="P2627" s="103" t="str">
        <f t="shared" si="1398"/>
        <v>포텐시오미터</v>
      </c>
      <c r="Q2627" s="71">
        <f t="shared" si="1398"/>
        <v>5</v>
      </c>
      <c r="R2627" s="102">
        <v>100000</v>
      </c>
      <c r="S2627" s="102">
        <f t="shared" si="1406"/>
        <v>550000</v>
      </c>
      <c r="T2627" s="102">
        <f t="shared" si="1407"/>
        <v>500000</v>
      </c>
      <c r="U2627" s="71"/>
      <c r="V2627" s="71"/>
      <c r="W2627" s="474"/>
      <c r="X2627" s="71"/>
      <c r="Y2627" s="71"/>
    </row>
    <row r="2628" spans="1:25" s="978" customFormat="1" ht="45" hidden="1" customHeight="1" x14ac:dyDescent="0.25">
      <c r="A2628" s="982" t="s">
        <v>2141</v>
      </c>
      <c r="B2628" s="976" t="s">
        <v>544</v>
      </c>
      <c r="C2628" s="453"/>
      <c r="D2628" s="453"/>
      <c r="E2628" s="454"/>
      <c r="F2628" s="454"/>
      <c r="G2628" s="454"/>
      <c r="H2628" s="455"/>
      <c r="I2628" s="453"/>
      <c r="J2628" s="417"/>
      <c r="K2628" s="418"/>
      <c r="L2628" s="983" t="s">
        <v>2142</v>
      </c>
      <c r="M2628" s="643"/>
      <c r="N2628" s="724" t="str">
        <f>A2628</f>
        <v>2019,12</v>
      </c>
      <c r="O2628" s="453" t="s">
        <v>154</v>
      </c>
      <c r="P2628" s="728"/>
      <c r="Q2628" s="420"/>
      <c r="R2628" s="420"/>
      <c r="S2628" s="417"/>
      <c r="T2628" s="417"/>
      <c r="U2628" s="421"/>
      <c r="V2628" s="421"/>
      <c r="W2628" s="479">
        <f>(G2628-T2628)</f>
        <v>0</v>
      </c>
      <c r="X2628" s="421"/>
      <c r="Y2628" s="421"/>
    </row>
    <row r="2629" spans="1:25" s="209" customFormat="1" ht="30" customHeight="1" x14ac:dyDescent="0.2">
      <c r="A2629" s="82">
        <v>191025</v>
      </c>
      <c r="B2629" s="664" t="s">
        <v>422</v>
      </c>
      <c r="C2629" s="71" t="s">
        <v>130</v>
      </c>
      <c r="D2629" s="71">
        <v>10</v>
      </c>
      <c r="E2629" s="102">
        <v>125000</v>
      </c>
      <c r="F2629" s="163">
        <f>(E2629*D2629)*1.1</f>
        <v>1375000</v>
      </c>
      <c r="G2629" s="102">
        <f>(E2629*D2629)</f>
        <v>1250000</v>
      </c>
      <c r="H2629" s="165" t="s">
        <v>172</v>
      </c>
      <c r="I2629" s="71" t="s">
        <v>109</v>
      </c>
      <c r="J2629" s="53">
        <f>(G2629-(VLOOKUP(C2629,Price!B:D,3,FALSE)*D2629))</f>
        <v>260000</v>
      </c>
      <c r="K2629" s="63">
        <f>(J2629/(F2629/11*10))</f>
        <v>0.20799999999999999</v>
      </c>
      <c r="L2629" s="871" t="s">
        <v>2142</v>
      </c>
      <c r="M2629" s="468" t="s">
        <v>2222</v>
      </c>
      <c r="N2629" s="664">
        <f>A2629</f>
        <v>191025</v>
      </c>
      <c r="O2629" s="71" t="s">
        <v>150</v>
      </c>
      <c r="P2629" s="103" t="str">
        <f>(C2629)</f>
        <v>XL106 Blanket(1077*885)</v>
      </c>
      <c r="Q2629" s="71">
        <f>D2629</f>
        <v>10</v>
      </c>
      <c r="R2629" s="102">
        <v>99000</v>
      </c>
      <c r="S2629" s="102">
        <f t="shared" ref="S2629:S2660" si="1409">R2629*Q2629*1.1</f>
        <v>1089000</v>
      </c>
      <c r="T2629" s="102">
        <f t="shared" ref="T2629:T2660" si="1410">R2629*Q2629</f>
        <v>990000</v>
      </c>
      <c r="U2629" s="71" t="str">
        <f>IF(J2629=W2629,"O", "X")</f>
        <v>O</v>
      </c>
      <c r="V2629" s="71"/>
      <c r="W2629" s="474">
        <f>(G2629-T2629)</f>
        <v>260000</v>
      </c>
      <c r="X2629" s="71"/>
      <c r="Y2629" s="71"/>
    </row>
    <row r="2630" spans="1:25" ht="30" hidden="1" customHeight="1" x14ac:dyDescent="0.25">
      <c r="A2630" s="82">
        <v>191119</v>
      </c>
      <c r="B2630" s="664" t="s">
        <v>591</v>
      </c>
      <c r="C2630" s="71" t="s">
        <v>2140</v>
      </c>
      <c r="D2630" s="71">
        <v>1</v>
      </c>
      <c r="E2630" s="102">
        <v>5030000</v>
      </c>
      <c r="F2630" s="102">
        <f t="shared" ref="F2630:F2641" si="1411">(E2630*D2630)*1.1</f>
        <v>5533000</v>
      </c>
      <c r="G2630" s="102">
        <f t="shared" ref="G2630:G2640" si="1412">(E2630*D2630)</f>
        <v>5030000</v>
      </c>
      <c r="H2630" s="690" t="s">
        <v>173</v>
      </c>
      <c r="I2630" s="71" t="s">
        <v>143</v>
      </c>
      <c r="J2630" s="53">
        <f>G2630-T2630</f>
        <v>1310000</v>
      </c>
      <c r="K2630" s="63">
        <f>(J2630/(F2630/11*10))</f>
        <v>0.26043737574552683</v>
      </c>
      <c r="L2630" s="871" t="s">
        <v>2142</v>
      </c>
      <c r="M2630" s="468"/>
      <c r="N2630" s="664">
        <f t="shared" ref="N2630:N2693" si="1413">A2630</f>
        <v>191119</v>
      </c>
      <c r="O2630" s="71" t="s">
        <v>612</v>
      </c>
      <c r="P2630" s="103" t="str">
        <f>(C2630)</f>
        <v>윤전 롤러 Set</v>
      </c>
      <c r="Q2630" s="71">
        <f t="shared" ref="P2630:Q2645" si="1414">D2630</f>
        <v>1</v>
      </c>
      <c r="R2630" s="102">
        <v>3720000</v>
      </c>
      <c r="S2630" s="102">
        <f t="shared" si="1409"/>
        <v>4092000.0000000005</v>
      </c>
      <c r="T2630" s="102">
        <f t="shared" si="1410"/>
        <v>3720000</v>
      </c>
      <c r="U2630" s="71"/>
      <c r="V2630" s="71"/>
      <c r="W2630" s="474"/>
      <c r="X2630" s="71"/>
      <c r="Y2630" s="71"/>
    </row>
    <row r="2631" spans="1:25" ht="30" hidden="1" customHeight="1" x14ac:dyDescent="0.2">
      <c r="A2631" s="82">
        <v>191120</v>
      </c>
      <c r="B2631" s="664" t="s">
        <v>575</v>
      </c>
      <c r="C2631" s="71" t="s">
        <v>2134</v>
      </c>
      <c r="D2631" s="71">
        <v>3</v>
      </c>
      <c r="E2631" s="102">
        <v>440000</v>
      </c>
      <c r="F2631" s="163">
        <f t="shared" si="1411"/>
        <v>1452000.0000000002</v>
      </c>
      <c r="G2631" s="163">
        <f t="shared" si="1412"/>
        <v>1320000</v>
      </c>
      <c r="H2631" s="690" t="s">
        <v>1432</v>
      </c>
      <c r="I2631" s="71" t="s">
        <v>1432</v>
      </c>
      <c r="J2631" s="53">
        <f>G2631-T2631</f>
        <v>195000</v>
      </c>
      <c r="K2631" s="63">
        <f>(J2631/(F2631/11*10))</f>
        <v>0.14772727272727271</v>
      </c>
      <c r="L2631" s="871" t="s">
        <v>2142</v>
      </c>
      <c r="M2631" s="468"/>
      <c r="N2631" s="664">
        <f t="shared" si="1413"/>
        <v>191120</v>
      </c>
      <c r="O2631" s="71" t="s">
        <v>1432</v>
      </c>
      <c r="P2631" s="103" t="str">
        <f t="shared" si="1414"/>
        <v>매엽용 습수정화장치 필터 세트 alpha.f</v>
      </c>
      <c r="Q2631" s="71">
        <f t="shared" si="1414"/>
        <v>3</v>
      </c>
      <c r="R2631" s="102">
        <v>375000</v>
      </c>
      <c r="S2631" s="102">
        <f t="shared" si="1409"/>
        <v>1237500</v>
      </c>
      <c r="T2631" s="102">
        <f t="shared" si="1410"/>
        <v>1125000</v>
      </c>
      <c r="U2631" s="71"/>
      <c r="V2631" s="71"/>
      <c r="W2631" s="474"/>
      <c r="X2631" s="71"/>
      <c r="Y2631" s="71"/>
    </row>
    <row r="2632" spans="1:25" ht="30" hidden="1" customHeight="1" x14ac:dyDescent="0.25">
      <c r="A2632" s="82">
        <v>191128</v>
      </c>
      <c r="B2632" s="664" t="s">
        <v>575</v>
      </c>
      <c r="C2632" s="71" t="s">
        <v>1367</v>
      </c>
      <c r="D2632" s="71">
        <v>8</v>
      </c>
      <c r="E2632" s="102">
        <v>218000</v>
      </c>
      <c r="F2632" s="102">
        <f t="shared" si="1411"/>
        <v>1918400.0000000002</v>
      </c>
      <c r="G2632" s="102">
        <f t="shared" si="1412"/>
        <v>1744000</v>
      </c>
      <c r="H2632" s="690" t="s">
        <v>173</v>
      </c>
      <c r="I2632" s="71" t="s">
        <v>109</v>
      </c>
      <c r="J2632" s="53">
        <f>G2632-T2632</f>
        <v>781920</v>
      </c>
      <c r="K2632" s="63">
        <f t="shared" ref="K2632:K2638" si="1415">(J2632/(F2632/11*10))</f>
        <v>0.44834862385321095</v>
      </c>
      <c r="L2632" s="871" t="s">
        <v>2185</v>
      </c>
      <c r="M2632" s="468"/>
      <c r="N2632" s="664">
        <f t="shared" si="1413"/>
        <v>191128</v>
      </c>
      <c r="O2632" s="71" t="s">
        <v>1443</v>
      </c>
      <c r="P2632" s="103" t="str">
        <f t="shared" si="1414"/>
        <v>M600 윤전 블랑켓 995*742</v>
      </c>
      <c r="Q2632" s="71">
        <f t="shared" si="1414"/>
        <v>8</v>
      </c>
      <c r="R2632" s="102">
        <v>120260</v>
      </c>
      <c r="S2632" s="102">
        <f t="shared" si="1409"/>
        <v>1058288</v>
      </c>
      <c r="T2632" s="102">
        <f t="shared" si="1410"/>
        <v>962080</v>
      </c>
      <c r="U2632" s="71" t="str">
        <f t="shared" ref="U2632:U2637" si="1416">IF(J2632=W2632,"O", "X")</f>
        <v>X</v>
      </c>
      <c r="V2632" s="71"/>
      <c r="W2632" s="474"/>
      <c r="X2632" s="71"/>
      <c r="Y2632" s="71"/>
    </row>
    <row r="2633" spans="1:25" ht="30" hidden="1" customHeight="1" x14ac:dyDescent="0.2">
      <c r="A2633" s="82">
        <v>191128</v>
      </c>
      <c r="B2633" s="664" t="s">
        <v>575</v>
      </c>
      <c r="C2633" s="71" t="s">
        <v>1388</v>
      </c>
      <c r="D2633" s="71">
        <v>3</v>
      </c>
      <c r="E2633" s="102">
        <v>185000</v>
      </c>
      <c r="F2633" s="163">
        <f t="shared" si="1411"/>
        <v>610500</v>
      </c>
      <c r="G2633" s="102">
        <f t="shared" si="1412"/>
        <v>555000</v>
      </c>
      <c r="H2633" s="690" t="s">
        <v>2029</v>
      </c>
      <c r="I2633" s="71" t="s">
        <v>108</v>
      </c>
      <c r="J2633" s="53">
        <f>G2633-T2633</f>
        <v>32091</v>
      </c>
      <c r="K2633" s="63">
        <f t="shared" si="1415"/>
        <v>5.7821621621621619E-2</v>
      </c>
      <c r="L2633" s="871" t="s">
        <v>2185</v>
      </c>
      <c r="M2633" s="468"/>
      <c r="N2633" s="664">
        <f t="shared" si="1413"/>
        <v>191128</v>
      </c>
      <c r="O2633" s="71" t="s">
        <v>1443</v>
      </c>
      <c r="P2633" s="103" t="str">
        <f t="shared" si="1414"/>
        <v>Flint 무알콜 윤전약물(Superaster)</v>
      </c>
      <c r="Q2633" s="71">
        <f t="shared" si="1414"/>
        <v>3</v>
      </c>
      <c r="R2633" s="102">
        <f>120303+54000</f>
        <v>174303</v>
      </c>
      <c r="S2633" s="102">
        <f t="shared" si="1409"/>
        <v>575199.9</v>
      </c>
      <c r="T2633" s="102">
        <f t="shared" si="1410"/>
        <v>522909</v>
      </c>
      <c r="U2633" s="71" t="str">
        <f t="shared" si="1416"/>
        <v>O</v>
      </c>
      <c r="V2633" s="71"/>
      <c r="W2633" s="474">
        <f>(G2633-T2633)</f>
        <v>32091</v>
      </c>
      <c r="X2633" s="71"/>
      <c r="Y2633" s="71"/>
    </row>
    <row r="2634" spans="1:25" ht="30" hidden="1" customHeight="1" x14ac:dyDescent="0.2">
      <c r="A2634" s="82">
        <v>191128</v>
      </c>
      <c r="B2634" s="664" t="s">
        <v>442</v>
      </c>
      <c r="C2634" s="71" t="s">
        <v>650</v>
      </c>
      <c r="D2634" s="71">
        <v>1</v>
      </c>
      <c r="E2634" s="102">
        <v>93000</v>
      </c>
      <c r="F2634" s="163">
        <f t="shared" si="1411"/>
        <v>102300.00000000001</v>
      </c>
      <c r="G2634" s="163">
        <f t="shared" si="1412"/>
        <v>93000</v>
      </c>
      <c r="H2634" s="165" t="s">
        <v>172</v>
      </c>
      <c r="I2634" s="71" t="s">
        <v>141</v>
      </c>
      <c r="J2634" s="53">
        <f>(G2634-(VLOOKUP(C2634,Price!B:D,3,FALSE)*D2634))</f>
        <v>33000</v>
      </c>
      <c r="K2634" s="63">
        <f t="shared" si="1415"/>
        <v>0.35483870967741932</v>
      </c>
      <c r="L2634" s="871" t="s">
        <v>2142</v>
      </c>
      <c r="M2634" s="468"/>
      <c r="N2634" s="664">
        <f t="shared" si="1413"/>
        <v>191128</v>
      </c>
      <c r="O2634" s="71" t="s">
        <v>145</v>
      </c>
      <c r="P2634" s="103" t="str">
        <f t="shared" si="1414"/>
        <v>Agfa 정착액 G333C(20L)</v>
      </c>
      <c r="Q2634" s="71">
        <f t="shared" si="1414"/>
        <v>1</v>
      </c>
      <c r="R2634" s="102">
        <f>VLOOKUP(P2634,Price!B:D,3,FALSE)</f>
        <v>60000</v>
      </c>
      <c r="S2634" s="102">
        <f t="shared" si="1409"/>
        <v>66000</v>
      </c>
      <c r="T2634" s="102">
        <f t="shared" si="1410"/>
        <v>60000</v>
      </c>
      <c r="U2634" s="71" t="str">
        <f t="shared" si="1416"/>
        <v>O</v>
      </c>
      <c r="V2634" s="71"/>
      <c r="W2634" s="474">
        <f>(G2634-T2634)</f>
        <v>33000</v>
      </c>
      <c r="X2634" s="71"/>
      <c r="Y2634" s="71"/>
    </row>
    <row r="2635" spans="1:25" ht="30" hidden="1" customHeight="1" x14ac:dyDescent="0.25">
      <c r="A2635" s="82">
        <v>191128</v>
      </c>
      <c r="B2635" s="664" t="s">
        <v>442</v>
      </c>
      <c r="C2635" s="71" t="s">
        <v>206</v>
      </c>
      <c r="D2635" s="71">
        <v>2</v>
      </c>
      <c r="E2635" s="102">
        <v>327000</v>
      </c>
      <c r="F2635" s="102">
        <f t="shared" si="1411"/>
        <v>719400</v>
      </c>
      <c r="G2635" s="102">
        <f t="shared" si="1412"/>
        <v>654000</v>
      </c>
      <c r="H2635" s="690" t="s">
        <v>2029</v>
      </c>
      <c r="I2635" s="71" t="s">
        <v>195</v>
      </c>
      <c r="J2635" s="53">
        <f>(G2635-(VLOOKUP(C2635,[5]Price!B$1:D$65536,3,FALSE)*D2635))</f>
        <v>115800</v>
      </c>
      <c r="K2635" s="63">
        <f t="shared" si="1415"/>
        <v>0.17706422018348625</v>
      </c>
      <c r="L2635" s="871" t="s">
        <v>2142</v>
      </c>
      <c r="M2635" s="468"/>
      <c r="N2635" s="664">
        <f t="shared" si="1413"/>
        <v>191128</v>
      </c>
      <c r="O2635" s="71" t="s">
        <v>194</v>
      </c>
      <c r="P2635" s="103" t="str">
        <f t="shared" si="1414"/>
        <v>Agfa Film(24inch)</v>
      </c>
      <c r="Q2635" s="71">
        <f t="shared" si="1414"/>
        <v>2</v>
      </c>
      <c r="R2635" s="102">
        <v>269100</v>
      </c>
      <c r="S2635" s="102">
        <f t="shared" si="1409"/>
        <v>592020</v>
      </c>
      <c r="T2635" s="102">
        <f t="shared" si="1410"/>
        <v>538200</v>
      </c>
      <c r="U2635" s="71" t="str">
        <f t="shared" si="1416"/>
        <v>O</v>
      </c>
      <c r="V2635" s="71"/>
      <c r="W2635" s="474">
        <f>(G2635-T2635)</f>
        <v>115800</v>
      </c>
      <c r="X2635" s="71"/>
      <c r="Y2635" s="71"/>
    </row>
    <row r="2636" spans="1:25" ht="30" hidden="1" customHeight="1" x14ac:dyDescent="0.25">
      <c r="A2636" s="82">
        <v>191128</v>
      </c>
      <c r="B2636" s="664" t="s">
        <v>442</v>
      </c>
      <c r="C2636" s="71" t="s">
        <v>207</v>
      </c>
      <c r="D2636" s="71">
        <v>2</v>
      </c>
      <c r="E2636" s="102">
        <v>401000</v>
      </c>
      <c r="F2636" s="102">
        <f t="shared" si="1411"/>
        <v>882200.00000000012</v>
      </c>
      <c r="G2636" s="102">
        <f t="shared" si="1412"/>
        <v>802000</v>
      </c>
      <c r="H2636" s="690" t="s">
        <v>2029</v>
      </c>
      <c r="I2636" s="71" t="s">
        <v>195</v>
      </c>
      <c r="J2636" s="53">
        <f>(G2636-(VLOOKUP(C2636,[5]Price!B$1:D$65536,3,FALSE)*D2636))</f>
        <v>174080</v>
      </c>
      <c r="K2636" s="63">
        <f t="shared" si="1415"/>
        <v>0.21705735660847877</v>
      </c>
      <c r="L2636" s="871" t="s">
        <v>2142</v>
      </c>
      <c r="M2636" s="468"/>
      <c r="N2636" s="664">
        <f t="shared" si="1413"/>
        <v>191128</v>
      </c>
      <c r="O2636" s="71" t="s">
        <v>194</v>
      </c>
      <c r="P2636" s="103" t="str">
        <f t="shared" si="1414"/>
        <v>Agfa Film(28inch)</v>
      </c>
      <c r="Q2636" s="71">
        <f t="shared" si="1414"/>
        <v>2</v>
      </c>
      <c r="R2636" s="102">
        <f>VLOOKUP(P2636,[5]Price!B$1:D$65536,3,FALSE)</f>
        <v>313960</v>
      </c>
      <c r="S2636" s="102">
        <f t="shared" si="1409"/>
        <v>690712</v>
      </c>
      <c r="T2636" s="102">
        <f t="shared" si="1410"/>
        <v>627920</v>
      </c>
      <c r="U2636" s="71" t="str">
        <f t="shared" si="1416"/>
        <v>O</v>
      </c>
      <c r="V2636" s="71"/>
      <c r="W2636" s="474">
        <f>(G2636-T2636)</f>
        <v>174080</v>
      </c>
      <c r="X2636" s="71"/>
      <c r="Y2636" s="71"/>
    </row>
    <row r="2637" spans="1:25" ht="30" hidden="1" customHeight="1" x14ac:dyDescent="0.25">
      <c r="A2637" s="82">
        <v>191128</v>
      </c>
      <c r="B2637" s="664" t="s">
        <v>442</v>
      </c>
      <c r="C2637" s="71" t="s">
        <v>208</v>
      </c>
      <c r="D2637" s="71">
        <v>2</v>
      </c>
      <c r="E2637" s="102">
        <v>448000</v>
      </c>
      <c r="F2637" s="102">
        <f t="shared" si="1411"/>
        <v>985600.00000000012</v>
      </c>
      <c r="G2637" s="102">
        <f t="shared" si="1412"/>
        <v>896000</v>
      </c>
      <c r="H2637" s="690" t="s">
        <v>2029</v>
      </c>
      <c r="I2637" s="71" t="s">
        <v>195</v>
      </c>
      <c r="J2637" s="53">
        <f>(G2637-(VLOOKUP(C2637,[5]Price!B$1:D$65536,3,FALSE)*D2637))</f>
        <v>155980</v>
      </c>
      <c r="K2637" s="63">
        <f t="shared" si="1415"/>
        <v>0.1740848214285714</v>
      </c>
      <c r="L2637" s="871" t="s">
        <v>2142</v>
      </c>
      <c r="M2637" s="468"/>
      <c r="N2637" s="664">
        <f t="shared" si="1413"/>
        <v>191128</v>
      </c>
      <c r="O2637" s="71" t="s">
        <v>194</v>
      </c>
      <c r="P2637" s="103" t="str">
        <f t="shared" si="1414"/>
        <v>Agfa Film(32inch)</v>
      </c>
      <c r="Q2637" s="71">
        <f t="shared" si="1414"/>
        <v>2</v>
      </c>
      <c r="R2637" s="102">
        <f>VLOOKUP(P2637,[5]Price!B$1:D$65536,3,FALSE)</f>
        <v>370010</v>
      </c>
      <c r="S2637" s="102">
        <f t="shared" si="1409"/>
        <v>814022.00000000012</v>
      </c>
      <c r="T2637" s="102">
        <f t="shared" si="1410"/>
        <v>740020</v>
      </c>
      <c r="U2637" s="71" t="str">
        <f t="shared" si="1416"/>
        <v>O</v>
      </c>
      <c r="V2637" s="71"/>
      <c r="W2637" s="474">
        <f>(G2637-T2637)</f>
        <v>155980</v>
      </c>
      <c r="X2637" s="71"/>
      <c r="Y2637" s="71"/>
    </row>
    <row r="2638" spans="1:25" ht="30" hidden="1" customHeight="1" x14ac:dyDescent="0.2">
      <c r="A2638" s="82">
        <v>191203</v>
      </c>
      <c r="B2638" s="664" t="s">
        <v>2197</v>
      </c>
      <c r="C2638" s="71" t="s">
        <v>2198</v>
      </c>
      <c r="D2638" s="71">
        <v>1</v>
      </c>
      <c r="E2638" s="102">
        <v>2100000</v>
      </c>
      <c r="F2638" s="163">
        <f t="shared" si="1411"/>
        <v>2310000</v>
      </c>
      <c r="G2638" s="163">
        <f t="shared" si="1412"/>
        <v>2100000</v>
      </c>
      <c r="H2638" s="690" t="s">
        <v>1432</v>
      </c>
      <c r="I2638" s="71" t="s">
        <v>1432</v>
      </c>
      <c r="J2638" s="60">
        <f>G2638-T2638</f>
        <v>673238</v>
      </c>
      <c r="K2638" s="427">
        <f t="shared" si="1415"/>
        <v>0.32058952380952382</v>
      </c>
      <c r="L2638" s="871" t="s">
        <v>2185</v>
      </c>
      <c r="M2638" s="468"/>
      <c r="N2638" s="664">
        <f t="shared" si="1413"/>
        <v>191203</v>
      </c>
      <c r="O2638" s="71" t="s">
        <v>1432</v>
      </c>
      <c r="P2638" s="103" t="str">
        <f>(C2638)</f>
        <v>Technotrans 도져</v>
      </c>
      <c r="Q2638" s="71">
        <f t="shared" si="1414"/>
        <v>1</v>
      </c>
      <c r="R2638" s="147">
        <v>1426762</v>
      </c>
      <c r="S2638" s="102">
        <f t="shared" si="1409"/>
        <v>1569438.2000000002</v>
      </c>
      <c r="T2638" s="102">
        <f t="shared" si="1410"/>
        <v>1426762</v>
      </c>
      <c r="U2638" s="71"/>
      <c r="V2638" s="71"/>
      <c r="W2638" s="474"/>
      <c r="X2638" s="71"/>
      <c r="Y2638" s="71"/>
    </row>
    <row r="2639" spans="1:25" s="209" customFormat="1" ht="30" hidden="1" customHeight="1" x14ac:dyDescent="0.25">
      <c r="A2639" s="82">
        <v>191203</v>
      </c>
      <c r="B2639" s="664" t="s">
        <v>567</v>
      </c>
      <c r="C2639" s="71" t="s">
        <v>236</v>
      </c>
      <c r="D2639" s="71">
        <v>10</v>
      </c>
      <c r="E2639" s="102">
        <v>65000</v>
      </c>
      <c r="F2639" s="102">
        <f t="shared" si="1411"/>
        <v>715000</v>
      </c>
      <c r="G2639" s="102">
        <f t="shared" si="1412"/>
        <v>650000</v>
      </c>
      <c r="H2639" s="690" t="s">
        <v>173</v>
      </c>
      <c r="I2639" s="71" t="s">
        <v>2231</v>
      </c>
      <c r="J2639" s="53">
        <f>(G2639-(VLOOKUP(C2639,Price!B:D,3,FALSE)*D2639))</f>
        <v>150000</v>
      </c>
      <c r="K2639" s="63">
        <f t="shared" ref="K2639:K2645" si="1417">(J2639/(F2639/11*10))</f>
        <v>0.23076923076923078</v>
      </c>
      <c r="L2639" s="871" t="s">
        <v>2185</v>
      </c>
      <c r="M2639" s="468"/>
      <c r="N2639" s="664">
        <f t="shared" si="1413"/>
        <v>191203</v>
      </c>
      <c r="O2639" s="71" t="s">
        <v>153</v>
      </c>
      <c r="P2639" s="103" t="str">
        <f t="shared" si="1414"/>
        <v>아스테이지(국전)</v>
      </c>
      <c r="Q2639" s="71">
        <f t="shared" si="1414"/>
        <v>10</v>
      </c>
      <c r="R2639" s="102">
        <v>50000</v>
      </c>
      <c r="S2639" s="102">
        <f t="shared" si="1409"/>
        <v>550000</v>
      </c>
      <c r="T2639" s="102">
        <f t="shared" si="1410"/>
        <v>500000</v>
      </c>
      <c r="U2639" s="71" t="str">
        <f>IF(J2639=W2639,"O", "X")</f>
        <v>O</v>
      </c>
      <c r="V2639" s="71"/>
      <c r="W2639" s="474">
        <f>(G2639-T2639)</f>
        <v>150000</v>
      </c>
      <c r="X2639" s="71"/>
      <c r="Y2639" s="71"/>
    </row>
    <row r="2640" spans="1:25" s="209" customFormat="1" ht="30" hidden="1" customHeight="1" x14ac:dyDescent="0.2">
      <c r="A2640" s="82">
        <v>191204</v>
      </c>
      <c r="B2640" s="664" t="s">
        <v>445</v>
      </c>
      <c r="C2640" s="71" t="s">
        <v>107</v>
      </c>
      <c r="D2640" s="71">
        <v>10</v>
      </c>
      <c r="E2640" s="102">
        <v>108000</v>
      </c>
      <c r="F2640" s="102">
        <f t="shared" si="1411"/>
        <v>1188000</v>
      </c>
      <c r="G2640" s="102">
        <f t="shared" si="1412"/>
        <v>1080000</v>
      </c>
      <c r="H2640" s="165" t="s">
        <v>172</v>
      </c>
      <c r="I2640" s="71" t="s">
        <v>109</v>
      </c>
      <c r="J2640" s="53">
        <f>G2640-T2640</f>
        <v>275000</v>
      </c>
      <c r="K2640" s="63">
        <f t="shared" si="1417"/>
        <v>0.25462962962962965</v>
      </c>
      <c r="L2640" s="871" t="s">
        <v>2185</v>
      </c>
      <c r="M2640" s="468"/>
      <c r="N2640" s="664">
        <f t="shared" si="1413"/>
        <v>191204</v>
      </c>
      <c r="O2640" s="71" t="s">
        <v>147</v>
      </c>
      <c r="P2640" s="103" t="str">
        <f t="shared" si="1414"/>
        <v>Blanket(1050*840)</v>
      </c>
      <c r="Q2640" s="71">
        <f t="shared" si="1414"/>
        <v>10</v>
      </c>
      <c r="R2640" s="102">
        <v>80500</v>
      </c>
      <c r="S2640" s="102">
        <f t="shared" si="1409"/>
        <v>885500.00000000012</v>
      </c>
      <c r="T2640" s="102">
        <f t="shared" si="1410"/>
        <v>805000</v>
      </c>
      <c r="U2640" s="71" t="s">
        <v>859</v>
      </c>
      <c r="V2640" s="71"/>
      <c r="W2640" s="474">
        <v>275000</v>
      </c>
      <c r="X2640" s="71"/>
      <c r="Y2640" s="71"/>
    </row>
    <row r="2641" spans="1:25" ht="30" hidden="1" customHeight="1" x14ac:dyDescent="0.25">
      <c r="A2641" s="82">
        <v>191204</v>
      </c>
      <c r="B2641" s="664" t="s">
        <v>764</v>
      </c>
      <c r="C2641" s="71" t="s">
        <v>123</v>
      </c>
      <c r="D2641" s="71">
        <v>25</v>
      </c>
      <c r="E2641" s="102">
        <v>35000</v>
      </c>
      <c r="F2641" s="102">
        <f t="shared" si="1411"/>
        <v>962500.00000000012</v>
      </c>
      <c r="G2641" s="102">
        <v>875000</v>
      </c>
      <c r="H2641" s="690" t="s">
        <v>1432</v>
      </c>
      <c r="I2641" s="71" t="s">
        <v>1432</v>
      </c>
      <c r="J2641" s="53">
        <f>G2641-T2641</f>
        <v>263650</v>
      </c>
      <c r="K2641" s="63">
        <f t="shared" si="1417"/>
        <v>0.3013142857142857</v>
      </c>
      <c r="L2641" s="871" t="s">
        <v>2185</v>
      </c>
      <c r="M2641" s="468"/>
      <c r="N2641" s="664">
        <f t="shared" si="1413"/>
        <v>191204</v>
      </c>
      <c r="O2641" s="71" t="s">
        <v>1432</v>
      </c>
      <c r="P2641" s="103" t="str">
        <f t="shared" si="1414"/>
        <v>필터백</v>
      </c>
      <c r="Q2641" s="71">
        <f t="shared" si="1414"/>
        <v>25</v>
      </c>
      <c r="R2641" s="102">
        <v>24454</v>
      </c>
      <c r="S2641" s="102">
        <f t="shared" si="1409"/>
        <v>672485</v>
      </c>
      <c r="T2641" s="102">
        <f t="shared" si="1410"/>
        <v>611350</v>
      </c>
      <c r="U2641" s="71" t="s">
        <v>859</v>
      </c>
      <c r="V2641" s="71"/>
      <c r="W2641" s="474">
        <v>313475</v>
      </c>
      <c r="X2641" s="71"/>
      <c r="Y2641" s="71"/>
    </row>
    <row r="2642" spans="1:25" ht="30" hidden="1" customHeight="1" x14ac:dyDescent="0.25">
      <c r="A2642" s="82">
        <v>191205</v>
      </c>
      <c r="B2642" s="664" t="s">
        <v>627</v>
      </c>
      <c r="C2642" s="71" t="s">
        <v>114</v>
      </c>
      <c r="D2642" s="71">
        <v>20</v>
      </c>
      <c r="E2642" s="102">
        <v>19000</v>
      </c>
      <c r="F2642" s="102">
        <f>(E2642*D2642)*1.1</f>
        <v>418000.00000000006</v>
      </c>
      <c r="G2642" s="102">
        <f>(E2642*D2642)</f>
        <v>380000</v>
      </c>
      <c r="H2642" s="690" t="s">
        <v>1431</v>
      </c>
      <c r="I2642" s="71" t="s">
        <v>1431</v>
      </c>
      <c r="J2642" s="53">
        <f>(G2642-(VLOOKUP(C2642,Price!B:D,3,FALSE)*D2642))</f>
        <v>200000</v>
      </c>
      <c r="K2642" s="63">
        <f>(J2642/(F2642/11*10))</f>
        <v>0.52631578947368418</v>
      </c>
      <c r="L2642" s="871" t="s">
        <v>2185</v>
      </c>
      <c r="M2642" s="468"/>
      <c r="N2642" s="664">
        <f t="shared" si="1413"/>
        <v>191205</v>
      </c>
      <c r="O2642" s="71" t="s">
        <v>1431</v>
      </c>
      <c r="P2642" s="103" t="str">
        <f t="shared" si="1414"/>
        <v>스트리퍼</v>
      </c>
      <c r="Q2642" s="71">
        <f t="shared" si="1414"/>
        <v>20</v>
      </c>
      <c r="R2642" s="102">
        <v>9000</v>
      </c>
      <c r="S2642" s="102">
        <f t="shared" si="1409"/>
        <v>198000.00000000003</v>
      </c>
      <c r="T2642" s="102">
        <f t="shared" si="1410"/>
        <v>180000</v>
      </c>
      <c r="U2642" s="71"/>
      <c r="V2642" s="71"/>
      <c r="W2642" s="474"/>
      <c r="X2642" s="71"/>
      <c r="Y2642" s="71"/>
    </row>
    <row r="2643" spans="1:25" ht="30" hidden="1" customHeight="1" x14ac:dyDescent="0.25">
      <c r="A2643" s="82">
        <v>191205</v>
      </c>
      <c r="B2643" s="664" t="s">
        <v>545</v>
      </c>
      <c r="C2643" s="71" t="s">
        <v>227</v>
      </c>
      <c r="D2643" s="71">
        <v>10</v>
      </c>
      <c r="E2643" s="102">
        <v>110000</v>
      </c>
      <c r="F2643" s="102">
        <f>(E2643*D2643)*1.1</f>
        <v>1210000</v>
      </c>
      <c r="G2643" s="102">
        <f>(E2643*D2643)</f>
        <v>1100000</v>
      </c>
      <c r="H2643" s="690" t="s">
        <v>173</v>
      </c>
      <c r="I2643" s="71" t="s">
        <v>109</v>
      </c>
      <c r="J2643" s="53">
        <f t="shared" ref="J2643:J2654" si="1418">G2643-T2643</f>
        <v>271000</v>
      </c>
      <c r="K2643" s="63">
        <f t="shared" si="1417"/>
        <v>0.24636363636363637</v>
      </c>
      <c r="L2643" s="871" t="s">
        <v>2185</v>
      </c>
      <c r="M2643" s="468"/>
      <c r="N2643" s="664">
        <f t="shared" si="1413"/>
        <v>191205</v>
      </c>
      <c r="O2643" s="71" t="s">
        <v>147</v>
      </c>
      <c r="P2643" s="103" t="str">
        <f t="shared" si="1414"/>
        <v>Blanket(1060*860)</v>
      </c>
      <c r="Q2643" s="71">
        <f t="shared" si="1414"/>
        <v>10</v>
      </c>
      <c r="R2643" s="102">
        <v>82900</v>
      </c>
      <c r="S2643" s="102">
        <f t="shared" si="1409"/>
        <v>911900.00000000012</v>
      </c>
      <c r="T2643" s="102">
        <f t="shared" si="1410"/>
        <v>829000</v>
      </c>
      <c r="U2643" s="71" t="str">
        <f>IF(J2643=W2643,"O", "X")</f>
        <v>O</v>
      </c>
      <c r="V2643" s="71"/>
      <c r="W2643" s="474">
        <f>(G2643-T2643)</f>
        <v>271000</v>
      </c>
      <c r="X2643" s="71"/>
      <c r="Y2643" s="71"/>
    </row>
    <row r="2644" spans="1:25" ht="30" hidden="1" customHeight="1" x14ac:dyDescent="0.25">
      <c r="A2644" s="82">
        <v>191205</v>
      </c>
      <c r="B2644" s="664" t="s">
        <v>545</v>
      </c>
      <c r="C2644" s="71" t="s">
        <v>1747</v>
      </c>
      <c r="D2644" s="71">
        <v>2</v>
      </c>
      <c r="E2644" s="102">
        <v>610000</v>
      </c>
      <c r="F2644" s="102">
        <f>(E2644*D2644)*1.1</f>
        <v>1342000</v>
      </c>
      <c r="G2644" s="102">
        <f>(E2644*D2644)</f>
        <v>1220000</v>
      </c>
      <c r="H2644" s="690" t="s">
        <v>173</v>
      </c>
      <c r="I2644" s="71" t="s">
        <v>2184</v>
      </c>
      <c r="J2644" s="53">
        <f t="shared" si="1418"/>
        <v>530008</v>
      </c>
      <c r="K2644" s="63">
        <f t="shared" si="1417"/>
        <v>0.43443278688524589</v>
      </c>
      <c r="L2644" s="871" t="s">
        <v>2185</v>
      </c>
      <c r="M2644" s="468"/>
      <c r="N2644" s="664">
        <f t="shared" si="1413"/>
        <v>191205</v>
      </c>
      <c r="O2644" s="71" t="s">
        <v>1458</v>
      </c>
      <c r="P2644" s="103" t="str">
        <f t="shared" si="1414"/>
        <v>UV 램프 - KBA(1145mm)</v>
      </c>
      <c r="Q2644" s="71">
        <f t="shared" si="1414"/>
        <v>2</v>
      </c>
      <c r="R2644" s="102">
        <v>344996</v>
      </c>
      <c r="S2644" s="102">
        <f t="shared" si="1409"/>
        <v>758991.20000000007</v>
      </c>
      <c r="T2644" s="102">
        <f t="shared" si="1410"/>
        <v>689992</v>
      </c>
      <c r="U2644" s="71" t="str">
        <f>IF(J2644=W2644,"O", "X")</f>
        <v>X</v>
      </c>
      <c r="V2644" s="71"/>
      <c r="W2644" s="474"/>
      <c r="X2644" s="71"/>
      <c r="Y2644" s="71"/>
    </row>
    <row r="2645" spans="1:25" ht="30" hidden="1" customHeight="1" x14ac:dyDescent="0.2">
      <c r="A2645" s="82">
        <v>191205</v>
      </c>
      <c r="B2645" s="664" t="s">
        <v>575</v>
      </c>
      <c r="C2645" s="71" t="s">
        <v>1388</v>
      </c>
      <c r="D2645" s="71">
        <v>3</v>
      </c>
      <c r="E2645" s="102">
        <v>185000</v>
      </c>
      <c r="F2645" s="163">
        <f>(E2645*D2645)*1.1</f>
        <v>610500</v>
      </c>
      <c r="G2645" s="102">
        <f>(E2645*D2645)</f>
        <v>555000</v>
      </c>
      <c r="H2645" s="690" t="s">
        <v>2029</v>
      </c>
      <c r="I2645" s="71" t="s">
        <v>108</v>
      </c>
      <c r="J2645" s="53">
        <f t="shared" si="1418"/>
        <v>32091</v>
      </c>
      <c r="K2645" s="63">
        <f t="shared" si="1417"/>
        <v>5.7821621621621619E-2</v>
      </c>
      <c r="L2645" s="871" t="s">
        <v>2185</v>
      </c>
      <c r="M2645" s="468"/>
      <c r="N2645" s="664">
        <f t="shared" si="1413"/>
        <v>191205</v>
      </c>
      <c r="O2645" s="71" t="s">
        <v>1443</v>
      </c>
      <c r="P2645" s="103" t="str">
        <f t="shared" si="1414"/>
        <v>Flint 무알콜 윤전약물(Superaster)</v>
      </c>
      <c r="Q2645" s="71">
        <f t="shared" si="1414"/>
        <v>3</v>
      </c>
      <c r="R2645" s="102">
        <f>120303+54000</f>
        <v>174303</v>
      </c>
      <c r="S2645" s="102">
        <f t="shared" si="1409"/>
        <v>575199.9</v>
      </c>
      <c r="T2645" s="102">
        <f t="shared" si="1410"/>
        <v>522909</v>
      </c>
      <c r="U2645" s="71" t="str">
        <f>IF(J2645=W2645,"O", "X")</f>
        <v>O</v>
      </c>
      <c r="V2645" s="71"/>
      <c r="W2645" s="474">
        <f>(G2645-T2645)</f>
        <v>32091</v>
      </c>
      <c r="X2645" s="71"/>
      <c r="Y2645" s="71"/>
    </row>
    <row r="2646" spans="1:25" ht="30" hidden="1" customHeight="1" x14ac:dyDescent="0.25">
      <c r="A2646" s="82">
        <v>191205</v>
      </c>
      <c r="B2646" s="664" t="s">
        <v>546</v>
      </c>
      <c r="C2646" s="71" t="s">
        <v>2196</v>
      </c>
      <c r="D2646" s="71">
        <v>1</v>
      </c>
      <c r="E2646" s="102">
        <v>2900000</v>
      </c>
      <c r="F2646" s="102">
        <f t="shared" ref="F2646:F2738" si="1419">(E2646*D2646)*1.1</f>
        <v>3190000.0000000005</v>
      </c>
      <c r="G2646" s="102">
        <f t="shared" ref="G2646:G2738" si="1420">(E2646*D2646)</f>
        <v>2900000</v>
      </c>
      <c r="H2646" s="690" t="s">
        <v>1431</v>
      </c>
      <c r="I2646" s="71" t="s">
        <v>1431</v>
      </c>
      <c r="J2646" s="53">
        <f t="shared" si="1418"/>
        <v>1800000</v>
      </c>
      <c r="K2646" s="63">
        <f>(J2646/(F2646/11*10))</f>
        <v>0.6206896551724137</v>
      </c>
      <c r="L2646" s="871" t="s">
        <v>2185</v>
      </c>
      <c r="M2646" s="468"/>
      <c r="N2646" s="664">
        <f t="shared" si="1413"/>
        <v>191205</v>
      </c>
      <c r="O2646" s="71" t="s">
        <v>1431</v>
      </c>
      <c r="P2646" s="103" t="str">
        <f>(C2646)</f>
        <v>GABNET 보드</v>
      </c>
      <c r="Q2646" s="71">
        <f t="shared" ref="Q2646:Q2709" si="1421">D2646</f>
        <v>1</v>
      </c>
      <c r="R2646" s="102">
        <v>1100000</v>
      </c>
      <c r="S2646" s="102">
        <f t="shared" si="1409"/>
        <v>1210000</v>
      </c>
      <c r="T2646" s="102">
        <f t="shared" si="1410"/>
        <v>1100000</v>
      </c>
      <c r="U2646" s="71"/>
      <c r="V2646" s="71"/>
      <c r="W2646" s="474"/>
      <c r="X2646" s="71"/>
      <c r="Y2646" s="71"/>
    </row>
    <row r="2647" spans="1:25" ht="30" hidden="1" customHeight="1" x14ac:dyDescent="0.2">
      <c r="A2647" s="82">
        <v>191206</v>
      </c>
      <c r="B2647" s="664" t="s">
        <v>690</v>
      </c>
      <c r="C2647" s="71" t="s">
        <v>1186</v>
      </c>
      <c r="D2647" s="71">
        <v>500</v>
      </c>
      <c r="E2647" s="102">
        <v>3600</v>
      </c>
      <c r="F2647" s="163">
        <f t="shared" si="1419"/>
        <v>1980000.0000000002</v>
      </c>
      <c r="G2647" s="102">
        <v>1800000</v>
      </c>
      <c r="H2647" s="690" t="s">
        <v>173</v>
      </c>
      <c r="I2647" s="71" t="s">
        <v>2230</v>
      </c>
      <c r="J2647" s="53">
        <f t="shared" si="1418"/>
        <v>-200000</v>
      </c>
      <c r="K2647" s="63">
        <f>(J2647/(F2647/11*10))</f>
        <v>-0.11111111111111109</v>
      </c>
      <c r="L2647" s="871" t="s">
        <v>2142</v>
      </c>
      <c r="M2647" s="468" t="s">
        <v>1393</v>
      </c>
      <c r="N2647" s="664">
        <f t="shared" si="1413"/>
        <v>191206</v>
      </c>
      <c r="O2647" s="71" t="s">
        <v>145</v>
      </c>
      <c r="P2647" s="103" t="str">
        <f t="shared" ref="P2647:P2709" si="1422">C2647</f>
        <v>CTP 판(1030*790mm)</v>
      </c>
      <c r="Q2647" s="71">
        <f t="shared" si="1421"/>
        <v>500</v>
      </c>
      <c r="R2647" s="102">
        <v>4000</v>
      </c>
      <c r="S2647" s="102">
        <f t="shared" si="1409"/>
        <v>2200000</v>
      </c>
      <c r="T2647" s="102">
        <f t="shared" si="1410"/>
        <v>2000000</v>
      </c>
      <c r="U2647" s="71" t="s">
        <v>859</v>
      </c>
      <c r="V2647" s="71"/>
      <c r="W2647" s="474">
        <v>-200000</v>
      </c>
      <c r="X2647" s="71"/>
      <c r="Y2647" s="71"/>
    </row>
    <row r="2648" spans="1:25" ht="30" hidden="1" customHeight="1" x14ac:dyDescent="0.2">
      <c r="A2648" s="82">
        <v>191206</v>
      </c>
      <c r="B2648" s="664" t="s">
        <v>690</v>
      </c>
      <c r="C2648" s="67" t="s">
        <v>197</v>
      </c>
      <c r="D2648" s="71">
        <v>3</v>
      </c>
      <c r="E2648" s="102">
        <v>49000</v>
      </c>
      <c r="F2648" s="163">
        <f t="shared" si="1419"/>
        <v>161700</v>
      </c>
      <c r="G2648" s="163">
        <f>(E2648*D2648)</f>
        <v>147000</v>
      </c>
      <c r="H2648" s="690" t="s">
        <v>173</v>
      </c>
      <c r="I2648" s="71" t="s">
        <v>2230</v>
      </c>
      <c r="J2648" s="53">
        <f t="shared" si="1418"/>
        <v>42000</v>
      </c>
      <c r="K2648" s="63">
        <f>(J2648/(F2648/11*10))</f>
        <v>0.2857142857142857</v>
      </c>
      <c r="L2648" s="871" t="s">
        <v>2142</v>
      </c>
      <c r="M2648" s="468" t="s">
        <v>1394</v>
      </c>
      <c r="N2648" s="664">
        <f t="shared" si="1413"/>
        <v>191206</v>
      </c>
      <c r="O2648" s="71" t="s">
        <v>145</v>
      </c>
      <c r="P2648" s="103" t="str">
        <f t="shared" si="1422"/>
        <v>THR200(20L)</v>
      </c>
      <c r="Q2648" s="71">
        <f t="shared" si="1421"/>
        <v>3</v>
      </c>
      <c r="R2648" s="102">
        <v>35000</v>
      </c>
      <c r="S2648" s="102">
        <f t="shared" si="1409"/>
        <v>115500.00000000001</v>
      </c>
      <c r="T2648" s="102">
        <f t="shared" si="1410"/>
        <v>105000</v>
      </c>
      <c r="U2648" s="71" t="str">
        <f>IF(J2648=W2648,"O", "X")</f>
        <v>X</v>
      </c>
      <c r="V2648" s="71"/>
      <c r="W2648" s="474"/>
      <c r="X2648" s="71"/>
      <c r="Y2648" s="71"/>
    </row>
    <row r="2649" spans="1:25" ht="30" customHeight="1" x14ac:dyDescent="0.2">
      <c r="A2649" s="82">
        <v>191206</v>
      </c>
      <c r="B2649" s="664" t="s">
        <v>422</v>
      </c>
      <c r="C2649" s="71" t="s">
        <v>910</v>
      </c>
      <c r="D2649" s="71">
        <v>2</v>
      </c>
      <c r="E2649" s="102">
        <v>280000</v>
      </c>
      <c r="F2649" s="163">
        <f t="shared" si="1419"/>
        <v>616000</v>
      </c>
      <c r="G2649" s="102">
        <f t="shared" si="1420"/>
        <v>560000</v>
      </c>
      <c r="H2649" s="690" t="s">
        <v>1431</v>
      </c>
      <c r="I2649" s="71" t="s">
        <v>1431</v>
      </c>
      <c r="J2649" s="53">
        <f t="shared" si="1418"/>
        <v>284292</v>
      </c>
      <c r="K2649" s="63">
        <f t="shared" ref="K2649:K2664" si="1423">(J2649/(F2649/11*10))</f>
        <v>0.50766428571428568</v>
      </c>
      <c r="L2649" s="871" t="s">
        <v>2185</v>
      </c>
      <c r="M2649" s="468"/>
      <c r="N2649" s="664">
        <f t="shared" si="1413"/>
        <v>191206</v>
      </c>
      <c r="O2649" s="71" t="s">
        <v>1431</v>
      </c>
      <c r="P2649" s="103" t="str">
        <f t="shared" si="1422"/>
        <v>솔레노이드 밸브</v>
      </c>
      <c r="Q2649" s="71">
        <f t="shared" si="1421"/>
        <v>2</v>
      </c>
      <c r="R2649" s="102">
        <v>137854</v>
      </c>
      <c r="S2649" s="102">
        <f t="shared" si="1409"/>
        <v>303278.80000000005</v>
      </c>
      <c r="T2649" s="102">
        <f t="shared" si="1410"/>
        <v>275708</v>
      </c>
      <c r="U2649" s="71"/>
      <c r="V2649" s="71"/>
      <c r="W2649" s="474"/>
      <c r="X2649" s="71"/>
      <c r="Y2649" s="71"/>
    </row>
    <row r="2650" spans="1:25" ht="30" hidden="1" customHeight="1" x14ac:dyDescent="0.25">
      <c r="A2650" s="82">
        <v>191209</v>
      </c>
      <c r="B2650" s="664" t="s">
        <v>1286</v>
      </c>
      <c r="C2650" s="71" t="s">
        <v>2188</v>
      </c>
      <c r="D2650" s="71">
        <v>1</v>
      </c>
      <c r="E2650" s="102">
        <v>140000</v>
      </c>
      <c r="F2650" s="102">
        <f t="shared" si="1419"/>
        <v>154000</v>
      </c>
      <c r="G2650" s="102">
        <f t="shared" si="1420"/>
        <v>140000</v>
      </c>
      <c r="H2650" s="690" t="s">
        <v>1431</v>
      </c>
      <c r="I2650" s="71" t="s">
        <v>1431</v>
      </c>
      <c r="J2650" s="53">
        <f t="shared" si="1418"/>
        <v>69367</v>
      </c>
      <c r="K2650" s="63">
        <f t="shared" si="1423"/>
        <v>0.49547857142857143</v>
      </c>
      <c r="L2650" s="871" t="s">
        <v>2185</v>
      </c>
      <c r="M2650" s="468"/>
      <c r="N2650" s="664">
        <f t="shared" si="1413"/>
        <v>191209</v>
      </c>
      <c r="O2650" s="71" t="s">
        <v>1431</v>
      </c>
      <c r="P2650" s="103" t="str">
        <f t="shared" si="1422"/>
        <v>타코 커플링</v>
      </c>
      <c r="Q2650" s="71">
        <f t="shared" si="1421"/>
        <v>1</v>
      </c>
      <c r="R2650" s="102">
        <v>70633</v>
      </c>
      <c r="S2650" s="102">
        <f t="shared" si="1409"/>
        <v>77696.3</v>
      </c>
      <c r="T2650" s="102">
        <f t="shared" si="1410"/>
        <v>70633</v>
      </c>
      <c r="U2650" s="71"/>
      <c r="V2650" s="71"/>
      <c r="W2650" s="474"/>
      <c r="X2650" s="71"/>
      <c r="Y2650" s="71"/>
    </row>
    <row r="2651" spans="1:25" ht="30" hidden="1" customHeight="1" x14ac:dyDescent="0.2">
      <c r="A2651" s="82">
        <v>191209</v>
      </c>
      <c r="B2651" s="664" t="s">
        <v>1286</v>
      </c>
      <c r="C2651" s="71" t="s">
        <v>2189</v>
      </c>
      <c r="D2651" s="71">
        <v>1</v>
      </c>
      <c r="E2651" s="102">
        <v>560000</v>
      </c>
      <c r="F2651" s="163">
        <f t="shared" si="1419"/>
        <v>616000</v>
      </c>
      <c r="G2651" s="102">
        <f t="shared" si="1420"/>
        <v>560000</v>
      </c>
      <c r="H2651" s="690" t="s">
        <v>1431</v>
      </c>
      <c r="I2651" s="71" t="s">
        <v>1431</v>
      </c>
      <c r="J2651" s="53">
        <f t="shared" si="1418"/>
        <v>314158</v>
      </c>
      <c r="K2651" s="63">
        <f t="shared" si="1423"/>
        <v>0.56099642857142862</v>
      </c>
      <c r="L2651" s="871" t="s">
        <v>2185</v>
      </c>
      <c r="M2651" s="468"/>
      <c r="N2651" s="664">
        <f t="shared" si="1413"/>
        <v>191209</v>
      </c>
      <c r="O2651" s="71" t="s">
        <v>1431</v>
      </c>
      <c r="P2651" s="103" t="str">
        <f t="shared" si="1422"/>
        <v>레귤레이터, 온도 입출력 아날로그</v>
      </c>
      <c r="Q2651" s="71">
        <f t="shared" si="1421"/>
        <v>1</v>
      </c>
      <c r="R2651" s="102">
        <v>245842</v>
      </c>
      <c r="S2651" s="102">
        <f t="shared" si="1409"/>
        <v>270426.2</v>
      </c>
      <c r="T2651" s="102">
        <f t="shared" si="1410"/>
        <v>245842</v>
      </c>
      <c r="U2651" s="71"/>
      <c r="V2651" s="71"/>
      <c r="W2651" s="474"/>
      <c r="X2651" s="71"/>
      <c r="Y2651" s="71"/>
    </row>
    <row r="2652" spans="1:25" ht="30" hidden="1" customHeight="1" x14ac:dyDescent="0.25">
      <c r="A2652" s="82">
        <v>191209</v>
      </c>
      <c r="B2652" s="664" t="s">
        <v>640</v>
      </c>
      <c r="C2652" s="71" t="s">
        <v>1698</v>
      </c>
      <c r="D2652" s="71">
        <v>2</v>
      </c>
      <c r="E2652" s="102">
        <v>750000</v>
      </c>
      <c r="F2652" s="102">
        <f t="shared" si="1419"/>
        <v>1650000.0000000002</v>
      </c>
      <c r="G2652" s="102">
        <f t="shared" si="1420"/>
        <v>1500000</v>
      </c>
      <c r="H2652" s="690" t="s">
        <v>1431</v>
      </c>
      <c r="I2652" s="71" t="s">
        <v>1431</v>
      </c>
      <c r="J2652" s="53">
        <f t="shared" si="1418"/>
        <v>446530</v>
      </c>
      <c r="K2652" s="63">
        <f t="shared" si="1423"/>
        <v>0.2976866666666666</v>
      </c>
      <c r="L2652" s="871" t="s">
        <v>2185</v>
      </c>
      <c r="M2652" s="468"/>
      <c r="N2652" s="664">
        <f t="shared" si="1413"/>
        <v>191209</v>
      </c>
      <c r="O2652" s="71" t="s">
        <v>1431</v>
      </c>
      <c r="P2652" s="103" t="str">
        <f t="shared" si="1422"/>
        <v>베어링 하우징</v>
      </c>
      <c r="Q2652" s="71">
        <f t="shared" si="1421"/>
        <v>2</v>
      </c>
      <c r="R2652" s="102">
        <v>526735</v>
      </c>
      <c r="S2652" s="102">
        <f t="shared" si="1409"/>
        <v>1158817</v>
      </c>
      <c r="T2652" s="102">
        <f t="shared" si="1410"/>
        <v>1053470</v>
      </c>
      <c r="U2652" s="71"/>
      <c r="V2652" s="71"/>
      <c r="W2652" s="474"/>
      <c r="X2652" s="71"/>
      <c r="Y2652" s="71"/>
    </row>
    <row r="2653" spans="1:25" ht="30" hidden="1" customHeight="1" x14ac:dyDescent="0.2">
      <c r="A2653" s="82">
        <v>191209</v>
      </c>
      <c r="B2653" s="664" t="s">
        <v>546</v>
      </c>
      <c r="C2653" s="71" t="s">
        <v>2190</v>
      </c>
      <c r="D2653" s="71">
        <v>1</v>
      </c>
      <c r="E2653" s="102">
        <v>650000</v>
      </c>
      <c r="F2653" s="163">
        <f t="shared" si="1419"/>
        <v>715000</v>
      </c>
      <c r="G2653" s="102">
        <f t="shared" si="1420"/>
        <v>650000</v>
      </c>
      <c r="H2653" s="690" t="s">
        <v>1431</v>
      </c>
      <c r="I2653" s="71" t="s">
        <v>1431</v>
      </c>
      <c r="J2653" s="53">
        <f t="shared" si="1418"/>
        <v>338674</v>
      </c>
      <c r="K2653" s="63">
        <f t="shared" si="1423"/>
        <v>0.52103692307692306</v>
      </c>
      <c r="L2653" s="871" t="s">
        <v>2185</v>
      </c>
      <c r="M2653" s="468"/>
      <c r="N2653" s="664">
        <f t="shared" si="1413"/>
        <v>191209</v>
      </c>
      <c r="O2653" s="71" t="s">
        <v>1431</v>
      </c>
      <c r="P2653" s="103" t="str">
        <f t="shared" si="1422"/>
        <v>커플링, 조인트 AA50</v>
      </c>
      <c r="Q2653" s="71">
        <f t="shared" si="1421"/>
        <v>1</v>
      </c>
      <c r="R2653" s="102">
        <v>311326</v>
      </c>
      <c r="S2653" s="102">
        <f t="shared" si="1409"/>
        <v>342458.60000000003</v>
      </c>
      <c r="T2653" s="102">
        <f t="shared" si="1410"/>
        <v>311326</v>
      </c>
      <c r="U2653" s="71"/>
      <c r="V2653" s="71"/>
      <c r="W2653" s="474"/>
      <c r="X2653" s="71"/>
      <c r="Y2653" s="71"/>
    </row>
    <row r="2654" spans="1:25" ht="30" hidden="1" customHeight="1" x14ac:dyDescent="0.25">
      <c r="A2654" s="82">
        <v>191209</v>
      </c>
      <c r="B2654" s="664" t="s">
        <v>546</v>
      </c>
      <c r="C2654" s="71" t="s">
        <v>920</v>
      </c>
      <c r="D2654" s="71">
        <v>5</v>
      </c>
      <c r="E2654" s="102">
        <v>260000</v>
      </c>
      <c r="F2654" s="102">
        <f t="shared" si="1419"/>
        <v>1430000</v>
      </c>
      <c r="G2654" s="102">
        <f t="shared" si="1420"/>
        <v>1300000</v>
      </c>
      <c r="H2654" s="690" t="s">
        <v>1431</v>
      </c>
      <c r="I2654" s="71" t="s">
        <v>1431</v>
      </c>
      <c r="J2654" s="53">
        <f t="shared" si="1418"/>
        <v>800000</v>
      </c>
      <c r="K2654" s="63">
        <f t="shared" si="1423"/>
        <v>0.61538461538461542</v>
      </c>
      <c r="L2654" s="871" t="s">
        <v>2185</v>
      </c>
      <c r="M2654" s="468"/>
      <c r="N2654" s="664">
        <f t="shared" si="1413"/>
        <v>191209</v>
      </c>
      <c r="O2654" s="71" t="s">
        <v>1431</v>
      </c>
      <c r="P2654" s="103" t="str">
        <f>(C2654)</f>
        <v>에어 실린더</v>
      </c>
      <c r="Q2654" s="71">
        <v>5</v>
      </c>
      <c r="R2654" s="102">
        <v>100000</v>
      </c>
      <c r="S2654" s="102">
        <f t="shared" si="1409"/>
        <v>550000</v>
      </c>
      <c r="T2654" s="102">
        <f t="shared" si="1410"/>
        <v>500000</v>
      </c>
      <c r="U2654" s="71"/>
      <c r="V2654" s="71"/>
      <c r="W2654" s="474"/>
      <c r="X2654" s="71"/>
      <c r="Y2654" s="71"/>
    </row>
    <row r="2655" spans="1:25" ht="30" hidden="1" customHeight="1" x14ac:dyDescent="0.2">
      <c r="A2655" s="82">
        <v>191210</v>
      </c>
      <c r="B2655" s="664" t="s">
        <v>1513</v>
      </c>
      <c r="C2655" s="71" t="s">
        <v>1514</v>
      </c>
      <c r="D2655" s="71">
        <v>5</v>
      </c>
      <c r="E2655" s="102">
        <v>650000</v>
      </c>
      <c r="F2655" s="163">
        <f t="shared" si="1419"/>
        <v>3575000.0000000005</v>
      </c>
      <c r="G2655" s="102">
        <f t="shared" si="1420"/>
        <v>3250000</v>
      </c>
      <c r="H2655" s="690" t="s">
        <v>173</v>
      </c>
      <c r="I2655" s="71" t="s">
        <v>2184</v>
      </c>
      <c r="J2655" s="53">
        <v>0</v>
      </c>
      <c r="K2655" s="63">
        <f t="shared" si="1423"/>
        <v>0</v>
      </c>
      <c r="L2655" s="871" t="s">
        <v>2185</v>
      </c>
      <c r="M2655" s="468" t="s">
        <v>2225</v>
      </c>
      <c r="N2655" s="664">
        <f t="shared" si="1413"/>
        <v>191210</v>
      </c>
      <c r="O2655" s="71" t="s">
        <v>1458</v>
      </c>
      <c r="P2655" s="103" t="str">
        <f t="shared" si="1422"/>
        <v>UV Lamp-BF572</v>
      </c>
      <c r="Q2655" s="71">
        <f t="shared" si="1421"/>
        <v>5</v>
      </c>
      <c r="R2655" s="102">
        <v>0</v>
      </c>
      <c r="S2655" s="102">
        <f t="shared" si="1409"/>
        <v>0</v>
      </c>
      <c r="T2655" s="102">
        <f t="shared" si="1410"/>
        <v>0</v>
      </c>
      <c r="U2655" s="71">
        <v>0</v>
      </c>
      <c r="V2655" s="71"/>
      <c r="W2655" s="474"/>
      <c r="X2655" s="71"/>
      <c r="Y2655" s="71"/>
    </row>
    <row r="2656" spans="1:25" ht="30" hidden="1" customHeight="1" x14ac:dyDescent="0.25">
      <c r="A2656" s="82">
        <v>191210</v>
      </c>
      <c r="B2656" s="664" t="s">
        <v>1513</v>
      </c>
      <c r="C2656" s="71" t="s">
        <v>2202</v>
      </c>
      <c r="D2656" s="71">
        <v>5</v>
      </c>
      <c r="E2656" s="102">
        <v>650000</v>
      </c>
      <c r="F2656" s="102">
        <f t="shared" si="1419"/>
        <v>3575000.0000000005</v>
      </c>
      <c r="G2656" s="102">
        <f t="shared" si="1420"/>
        <v>3250000</v>
      </c>
      <c r="H2656" s="690" t="s">
        <v>173</v>
      </c>
      <c r="I2656" s="71" t="s">
        <v>2184</v>
      </c>
      <c r="J2656" s="53">
        <v>0</v>
      </c>
      <c r="K2656" s="63">
        <f t="shared" si="1423"/>
        <v>0</v>
      </c>
      <c r="L2656" s="871" t="s">
        <v>2185</v>
      </c>
      <c r="M2656" s="468" t="s">
        <v>2225</v>
      </c>
      <c r="N2656" s="664">
        <f t="shared" si="1413"/>
        <v>191210</v>
      </c>
      <c r="O2656" s="71" t="s">
        <v>1458</v>
      </c>
      <c r="P2656" s="103" t="str">
        <f t="shared" si="1422"/>
        <v>UV Lamp-BF576</v>
      </c>
      <c r="Q2656" s="71">
        <f t="shared" si="1421"/>
        <v>5</v>
      </c>
      <c r="R2656" s="102">
        <v>0</v>
      </c>
      <c r="S2656" s="102">
        <f t="shared" si="1409"/>
        <v>0</v>
      </c>
      <c r="T2656" s="102">
        <f t="shared" si="1410"/>
        <v>0</v>
      </c>
      <c r="U2656" s="71"/>
      <c r="V2656" s="71"/>
      <c r="W2656" s="474"/>
      <c r="X2656" s="71"/>
      <c r="Y2656" s="71"/>
    </row>
    <row r="2657" spans="1:25" ht="30" hidden="1" customHeight="1" x14ac:dyDescent="0.2">
      <c r="A2657" s="82">
        <v>191210</v>
      </c>
      <c r="B2657" s="664" t="s">
        <v>550</v>
      </c>
      <c r="C2657" s="71" t="s">
        <v>2191</v>
      </c>
      <c r="D2657" s="71">
        <v>2</v>
      </c>
      <c r="E2657" s="102">
        <v>495000</v>
      </c>
      <c r="F2657" s="163">
        <f t="shared" si="1419"/>
        <v>1089000</v>
      </c>
      <c r="G2657" s="102">
        <f t="shared" si="1420"/>
        <v>990000</v>
      </c>
      <c r="H2657" s="690" t="s">
        <v>1431</v>
      </c>
      <c r="I2657" s="71" t="s">
        <v>1431</v>
      </c>
      <c r="J2657" s="53">
        <f t="shared" ref="J2657:J2666" si="1424">G2657-T2657</f>
        <v>324698</v>
      </c>
      <c r="K2657" s="63">
        <f t="shared" si="1423"/>
        <v>0.32797777777777776</v>
      </c>
      <c r="L2657" s="871" t="s">
        <v>2185</v>
      </c>
      <c r="M2657" s="468"/>
      <c r="N2657" s="664">
        <f t="shared" si="1413"/>
        <v>191210</v>
      </c>
      <c r="O2657" s="71" t="s">
        <v>1431</v>
      </c>
      <c r="P2657" s="103" t="str">
        <f t="shared" si="1422"/>
        <v>스파크 플러그</v>
      </c>
      <c r="Q2657" s="71">
        <f t="shared" si="1421"/>
        <v>2</v>
      </c>
      <c r="R2657" s="102">
        <v>332651</v>
      </c>
      <c r="S2657" s="102">
        <f t="shared" si="1409"/>
        <v>731832.20000000007</v>
      </c>
      <c r="T2657" s="102">
        <f t="shared" si="1410"/>
        <v>665302</v>
      </c>
      <c r="U2657" s="71"/>
      <c r="V2657" s="71"/>
      <c r="W2657" s="474"/>
      <c r="X2657" s="71"/>
      <c r="Y2657" s="71"/>
    </row>
    <row r="2658" spans="1:25" ht="30" hidden="1" customHeight="1" x14ac:dyDescent="0.25">
      <c r="A2658" s="82">
        <v>191210</v>
      </c>
      <c r="B2658" s="664" t="s">
        <v>550</v>
      </c>
      <c r="C2658" s="71" t="s">
        <v>2192</v>
      </c>
      <c r="D2658" s="71">
        <v>2</v>
      </c>
      <c r="E2658" s="102">
        <v>585000</v>
      </c>
      <c r="F2658" s="102">
        <f t="shared" si="1419"/>
        <v>1287000</v>
      </c>
      <c r="G2658" s="102">
        <f t="shared" si="1420"/>
        <v>1170000</v>
      </c>
      <c r="H2658" s="690" t="s">
        <v>1431</v>
      </c>
      <c r="I2658" s="71" t="s">
        <v>1431</v>
      </c>
      <c r="J2658" s="53">
        <f t="shared" si="1424"/>
        <v>338346</v>
      </c>
      <c r="K2658" s="63">
        <f t="shared" si="1423"/>
        <v>0.28918461538461537</v>
      </c>
      <c r="L2658" s="871" t="s">
        <v>2185</v>
      </c>
      <c r="M2658" s="468"/>
      <c r="N2658" s="664">
        <f t="shared" si="1413"/>
        <v>191210</v>
      </c>
      <c r="O2658" s="71" t="s">
        <v>1431</v>
      </c>
      <c r="P2658" s="103" t="str">
        <f t="shared" si="1422"/>
        <v>플레임 로드</v>
      </c>
      <c r="Q2658" s="71">
        <f t="shared" si="1421"/>
        <v>2</v>
      </c>
      <c r="R2658" s="102">
        <v>415827</v>
      </c>
      <c r="S2658" s="102">
        <f t="shared" si="1409"/>
        <v>914819.4</v>
      </c>
      <c r="T2658" s="102">
        <f t="shared" si="1410"/>
        <v>831654</v>
      </c>
      <c r="U2658" s="71"/>
      <c r="V2658" s="71"/>
      <c r="W2658" s="474"/>
      <c r="X2658" s="71"/>
      <c r="Y2658" s="71"/>
    </row>
    <row r="2659" spans="1:25" ht="30" hidden="1" customHeight="1" x14ac:dyDescent="0.2">
      <c r="A2659" s="82">
        <v>191210</v>
      </c>
      <c r="B2659" s="664" t="s">
        <v>550</v>
      </c>
      <c r="C2659" s="71" t="s">
        <v>891</v>
      </c>
      <c r="D2659" s="71">
        <v>2</v>
      </c>
      <c r="E2659" s="102">
        <v>360000</v>
      </c>
      <c r="F2659" s="163">
        <f t="shared" si="1419"/>
        <v>792000.00000000012</v>
      </c>
      <c r="G2659" s="102">
        <f t="shared" si="1420"/>
        <v>720000</v>
      </c>
      <c r="H2659" s="690" t="s">
        <v>1431</v>
      </c>
      <c r="I2659" s="71" t="s">
        <v>1431</v>
      </c>
      <c r="J2659" s="53">
        <f t="shared" si="1424"/>
        <v>322462</v>
      </c>
      <c r="K2659" s="63">
        <f t="shared" si="1423"/>
        <v>0.44786388888888884</v>
      </c>
      <c r="L2659" s="871" t="s">
        <v>2185</v>
      </c>
      <c r="M2659" s="468"/>
      <c r="N2659" s="664">
        <f t="shared" si="1413"/>
        <v>191210</v>
      </c>
      <c r="O2659" s="71" t="s">
        <v>1431</v>
      </c>
      <c r="P2659" s="103" t="str">
        <f t="shared" si="1422"/>
        <v>온도 센서</v>
      </c>
      <c r="Q2659" s="71">
        <f t="shared" si="1421"/>
        <v>2</v>
      </c>
      <c r="R2659" s="102">
        <v>198769</v>
      </c>
      <c r="S2659" s="102">
        <f t="shared" si="1409"/>
        <v>437291.80000000005</v>
      </c>
      <c r="T2659" s="102">
        <f t="shared" si="1410"/>
        <v>397538</v>
      </c>
      <c r="U2659" s="71"/>
      <c r="V2659" s="71"/>
      <c r="W2659" s="474"/>
      <c r="X2659" s="71"/>
      <c r="Y2659" s="71"/>
    </row>
    <row r="2660" spans="1:25" ht="30" hidden="1" customHeight="1" x14ac:dyDescent="0.25">
      <c r="A2660" s="82">
        <v>191210</v>
      </c>
      <c r="B2660" s="664" t="s">
        <v>550</v>
      </c>
      <c r="C2660" s="71" t="s">
        <v>891</v>
      </c>
      <c r="D2660" s="71">
        <v>1</v>
      </c>
      <c r="E2660" s="102">
        <v>405000</v>
      </c>
      <c r="F2660" s="102">
        <f t="shared" si="1419"/>
        <v>445500.00000000006</v>
      </c>
      <c r="G2660" s="102">
        <f t="shared" si="1420"/>
        <v>405000</v>
      </c>
      <c r="H2660" s="690" t="s">
        <v>1431</v>
      </c>
      <c r="I2660" s="71" t="s">
        <v>1431</v>
      </c>
      <c r="J2660" s="53">
        <f t="shared" si="1424"/>
        <v>142769</v>
      </c>
      <c r="K2660" s="63">
        <f t="shared" si="1423"/>
        <v>0.35251604938271602</v>
      </c>
      <c r="L2660" s="871" t="s">
        <v>2185</v>
      </c>
      <c r="M2660" s="468"/>
      <c r="N2660" s="664">
        <f t="shared" si="1413"/>
        <v>191210</v>
      </c>
      <c r="O2660" s="71" t="s">
        <v>1431</v>
      </c>
      <c r="P2660" s="103" t="str">
        <f t="shared" si="1422"/>
        <v>온도 센서</v>
      </c>
      <c r="Q2660" s="71">
        <f t="shared" si="1421"/>
        <v>1</v>
      </c>
      <c r="R2660" s="102">
        <v>262231</v>
      </c>
      <c r="S2660" s="102">
        <f t="shared" si="1409"/>
        <v>288454.10000000003</v>
      </c>
      <c r="T2660" s="102">
        <f t="shared" si="1410"/>
        <v>262231</v>
      </c>
      <c r="U2660" s="71"/>
      <c r="V2660" s="71"/>
      <c r="W2660" s="474"/>
      <c r="X2660" s="71"/>
      <c r="Y2660" s="71"/>
    </row>
    <row r="2661" spans="1:25" ht="30" hidden="1" customHeight="1" x14ac:dyDescent="0.2">
      <c r="A2661" s="82">
        <v>191210</v>
      </c>
      <c r="B2661" s="664" t="s">
        <v>550</v>
      </c>
      <c r="C2661" s="71" t="s">
        <v>2189</v>
      </c>
      <c r="D2661" s="71">
        <v>1</v>
      </c>
      <c r="E2661" s="102">
        <v>504000</v>
      </c>
      <c r="F2661" s="163">
        <f t="shared" si="1419"/>
        <v>554400</v>
      </c>
      <c r="G2661" s="102">
        <f t="shared" si="1420"/>
        <v>504000</v>
      </c>
      <c r="H2661" s="690" t="s">
        <v>1431</v>
      </c>
      <c r="I2661" s="71" t="s">
        <v>1431</v>
      </c>
      <c r="J2661" s="53">
        <f t="shared" si="1424"/>
        <v>258158</v>
      </c>
      <c r="K2661" s="63">
        <f t="shared" si="1423"/>
        <v>0.51221825396825393</v>
      </c>
      <c r="L2661" s="871" t="s">
        <v>2185</v>
      </c>
      <c r="M2661" s="468"/>
      <c r="N2661" s="664">
        <f t="shared" si="1413"/>
        <v>191210</v>
      </c>
      <c r="O2661" s="71" t="s">
        <v>1431</v>
      </c>
      <c r="P2661" s="103" t="str">
        <f t="shared" si="1422"/>
        <v>레귤레이터, 온도 입출력 아날로그</v>
      </c>
      <c r="Q2661" s="71">
        <f t="shared" si="1421"/>
        <v>1</v>
      </c>
      <c r="R2661" s="102">
        <v>245842</v>
      </c>
      <c r="S2661" s="102">
        <f t="shared" ref="S2661:S2692" si="1425">R2661*Q2661*1.1</f>
        <v>270426.2</v>
      </c>
      <c r="T2661" s="102">
        <f t="shared" ref="T2661:T2692" si="1426">R2661*Q2661</f>
        <v>245842</v>
      </c>
      <c r="U2661" s="71"/>
      <c r="V2661" s="71"/>
      <c r="W2661" s="474"/>
      <c r="X2661" s="71"/>
      <c r="Y2661" s="71"/>
    </row>
    <row r="2662" spans="1:25" ht="30" hidden="1" customHeight="1" x14ac:dyDescent="0.25">
      <c r="A2662" s="82">
        <v>191210</v>
      </c>
      <c r="B2662" s="664" t="s">
        <v>550</v>
      </c>
      <c r="C2662" s="71" t="s">
        <v>2188</v>
      </c>
      <c r="D2662" s="71">
        <v>1</v>
      </c>
      <c r="E2662" s="102">
        <v>126000</v>
      </c>
      <c r="F2662" s="102">
        <f t="shared" si="1419"/>
        <v>138600</v>
      </c>
      <c r="G2662" s="102">
        <f t="shared" si="1420"/>
        <v>126000</v>
      </c>
      <c r="H2662" s="690" t="s">
        <v>1431</v>
      </c>
      <c r="I2662" s="71" t="s">
        <v>1431</v>
      </c>
      <c r="J2662" s="53">
        <f t="shared" si="1424"/>
        <v>55337</v>
      </c>
      <c r="K2662" s="63">
        <f t="shared" si="1423"/>
        <v>0.43918253968253967</v>
      </c>
      <c r="L2662" s="871" t="s">
        <v>2185</v>
      </c>
      <c r="M2662" s="468"/>
      <c r="N2662" s="664">
        <f t="shared" si="1413"/>
        <v>191210</v>
      </c>
      <c r="O2662" s="71" t="s">
        <v>1431</v>
      </c>
      <c r="P2662" s="103" t="str">
        <f>(C2662)</f>
        <v>타코 커플링</v>
      </c>
      <c r="Q2662" s="71">
        <f t="shared" si="1421"/>
        <v>1</v>
      </c>
      <c r="R2662" s="102">
        <v>70663</v>
      </c>
      <c r="S2662" s="102">
        <f t="shared" si="1425"/>
        <v>77729.3</v>
      </c>
      <c r="T2662" s="102">
        <f t="shared" si="1426"/>
        <v>70663</v>
      </c>
      <c r="U2662" s="71"/>
      <c r="V2662" s="71"/>
      <c r="W2662" s="474"/>
      <c r="X2662" s="71"/>
      <c r="Y2662" s="71"/>
    </row>
    <row r="2663" spans="1:25" ht="30" hidden="1" customHeight="1" x14ac:dyDescent="0.2">
      <c r="A2663" s="82">
        <v>191210</v>
      </c>
      <c r="B2663" s="664" t="s">
        <v>1178</v>
      </c>
      <c r="C2663" s="71" t="s">
        <v>2201</v>
      </c>
      <c r="D2663" s="71">
        <v>2</v>
      </c>
      <c r="E2663" s="102">
        <v>850000</v>
      </c>
      <c r="F2663" s="163">
        <f t="shared" si="1419"/>
        <v>1870000.0000000002</v>
      </c>
      <c r="G2663" s="102">
        <f t="shared" si="1420"/>
        <v>1700000</v>
      </c>
      <c r="H2663" s="690" t="s">
        <v>1431</v>
      </c>
      <c r="I2663" s="71" t="s">
        <v>1431</v>
      </c>
      <c r="J2663" s="53">
        <f t="shared" si="1424"/>
        <v>824000</v>
      </c>
      <c r="K2663" s="63">
        <f t="shared" si="1423"/>
        <v>0.4847058823529411</v>
      </c>
      <c r="L2663" s="871" t="s">
        <v>2185</v>
      </c>
      <c r="M2663" s="468"/>
      <c r="N2663" s="664">
        <f t="shared" si="1413"/>
        <v>191210</v>
      </c>
      <c r="O2663" s="71" t="s">
        <v>2224</v>
      </c>
      <c r="P2663" s="103" t="str">
        <f t="shared" si="1422"/>
        <v>Plasteel 플렉소 나이프</v>
      </c>
      <c r="Q2663" s="71">
        <f t="shared" si="1421"/>
        <v>2</v>
      </c>
      <c r="R2663" s="102">
        <v>438000</v>
      </c>
      <c r="S2663" s="102">
        <f t="shared" si="1425"/>
        <v>963600.00000000012</v>
      </c>
      <c r="T2663" s="102">
        <f t="shared" si="1426"/>
        <v>876000</v>
      </c>
      <c r="U2663" s="71"/>
      <c r="V2663" s="71"/>
      <c r="W2663" s="474"/>
      <c r="X2663" s="71"/>
      <c r="Y2663" s="71"/>
    </row>
    <row r="2664" spans="1:25" ht="30" hidden="1" customHeight="1" x14ac:dyDescent="0.25">
      <c r="A2664" s="82">
        <v>191210</v>
      </c>
      <c r="B2664" s="664" t="s">
        <v>1178</v>
      </c>
      <c r="C2664" s="71" t="s">
        <v>2216</v>
      </c>
      <c r="D2664" s="71">
        <v>500</v>
      </c>
      <c r="E2664" s="102">
        <v>3350</v>
      </c>
      <c r="F2664" s="102">
        <f t="shared" si="1419"/>
        <v>1842500.0000000002</v>
      </c>
      <c r="G2664" s="102">
        <f t="shared" si="1420"/>
        <v>1675000</v>
      </c>
      <c r="H2664" s="690" t="s">
        <v>142</v>
      </c>
      <c r="I2664" s="71" t="s">
        <v>2273</v>
      </c>
      <c r="J2664" s="53">
        <f t="shared" si="1424"/>
        <v>463251.19823030615</v>
      </c>
      <c r="K2664" s="63">
        <f t="shared" si="1423"/>
        <v>0.27656787954048123</v>
      </c>
      <c r="L2664" s="871" t="s">
        <v>2185</v>
      </c>
      <c r="M2664" s="468"/>
      <c r="N2664" s="664">
        <f t="shared" si="1413"/>
        <v>191210</v>
      </c>
      <c r="O2664" s="71" t="s">
        <v>194</v>
      </c>
      <c r="P2664" s="103" t="str">
        <f t="shared" si="1422"/>
        <v>Engage 27 850*580mm Plate</v>
      </c>
      <c r="Q2664" s="71">
        <f t="shared" si="1421"/>
        <v>500</v>
      </c>
      <c r="R2664" s="102">
        <f>4000/1030/790*850*580</f>
        <v>2423.4976035393879</v>
      </c>
      <c r="S2664" s="102">
        <f t="shared" si="1425"/>
        <v>1332923.6819466634</v>
      </c>
      <c r="T2664" s="102">
        <f t="shared" si="1426"/>
        <v>1211748.8017696938</v>
      </c>
      <c r="U2664" s="71"/>
      <c r="V2664" s="71"/>
      <c r="W2664" s="474"/>
      <c r="X2664" s="71"/>
      <c r="Y2664" s="71"/>
    </row>
    <row r="2665" spans="1:25" s="209" customFormat="1" ht="30" hidden="1" customHeight="1" x14ac:dyDescent="0.25">
      <c r="A2665" s="82">
        <v>191211</v>
      </c>
      <c r="B2665" s="664" t="s">
        <v>764</v>
      </c>
      <c r="C2665" s="71" t="s">
        <v>236</v>
      </c>
      <c r="D2665" s="71">
        <v>10</v>
      </c>
      <c r="E2665" s="102">
        <v>100000</v>
      </c>
      <c r="F2665" s="102">
        <f t="shared" si="1419"/>
        <v>1100000</v>
      </c>
      <c r="G2665" s="102">
        <v>1000000</v>
      </c>
      <c r="H2665" s="690" t="s">
        <v>173</v>
      </c>
      <c r="I2665" s="71" t="s">
        <v>2231</v>
      </c>
      <c r="J2665" s="53">
        <f t="shared" si="1424"/>
        <v>500000</v>
      </c>
      <c r="K2665" s="63">
        <f t="shared" ref="K2665:K2670" si="1427">(J2665/(F2665/11*10))</f>
        <v>0.5</v>
      </c>
      <c r="L2665" s="871" t="s">
        <v>2185</v>
      </c>
      <c r="M2665" s="468"/>
      <c r="N2665" s="664">
        <f t="shared" si="1413"/>
        <v>191211</v>
      </c>
      <c r="O2665" s="71" t="s">
        <v>153</v>
      </c>
      <c r="P2665" s="103" t="str">
        <f t="shared" si="1422"/>
        <v>아스테이지(국전)</v>
      </c>
      <c r="Q2665" s="71">
        <f t="shared" si="1421"/>
        <v>10</v>
      </c>
      <c r="R2665" s="102">
        <v>50000</v>
      </c>
      <c r="S2665" s="102">
        <f t="shared" si="1425"/>
        <v>550000</v>
      </c>
      <c r="T2665" s="102">
        <f t="shared" si="1426"/>
        <v>500000</v>
      </c>
      <c r="U2665" s="71" t="s">
        <v>859</v>
      </c>
      <c r="V2665" s="71"/>
      <c r="W2665" s="474">
        <v>500000</v>
      </c>
      <c r="X2665" s="71"/>
      <c r="Y2665" s="71"/>
    </row>
    <row r="2666" spans="1:25" ht="30" hidden="1" customHeight="1" x14ac:dyDescent="0.2">
      <c r="A2666" s="82">
        <v>191211</v>
      </c>
      <c r="B2666" s="664" t="s">
        <v>545</v>
      </c>
      <c r="C2666" s="71" t="s">
        <v>1747</v>
      </c>
      <c r="D2666" s="71">
        <v>6</v>
      </c>
      <c r="E2666" s="102">
        <v>610000</v>
      </c>
      <c r="F2666" s="163">
        <f t="shared" si="1419"/>
        <v>4026000.0000000005</v>
      </c>
      <c r="G2666" s="102">
        <f t="shared" si="1420"/>
        <v>3660000</v>
      </c>
      <c r="H2666" s="690" t="s">
        <v>173</v>
      </c>
      <c r="I2666" s="71" t="s">
        <v>2184</v>
      </c>
      <c r="J2666" s="53">
        <f t="shared" si="1424"/>
        <v>1590024</v>
      </c>
      <c r="K2666" s="63">
        <f t="shared" si="1427"/>
        <v>0.43443278688524584</v>
      </c>
      <c r="L2666" s="871" t="s">
        <v>2185</v>
      </c>
      <c r="M2666" s="468"/>
      <c r="N2666" s="664">
        <f t="shared" si="1413"/>
        <v>191211</v>
      </c>
      <c r="O2666" s="71" t="s">
        <v>1458</v>
      </c>
      <c r="P2666" s="103" t="str">
        <f t="shared" si="1422"/>
        <v>UV 램프 - KBA(1145mm)</v>
      </c>
      <c r="Q2666" s="71">
        <f t="shared" si="1421"/>
        <v>6</v>
      </c>
      <c r="R2666" s="102">
        <v>344996</v>
      </c>
      <c r="S2666" s="102">
        <f t="shared" si="1425"/>
        <v>2276973.6</v>
      </c>
      <c r="T2666" s="102">
        <f t="shared" si="1426"/>
        <v>2069976</v>
      </c>
      <c r="U2666" s="71" t="str">
        <f>IF(J2666=W2666,"O", "X")</f>
        <v>X</v>
      </c>
      <c r="V2666" s="71"/>
      <c r="W2666" s="474"/>
      <c r="X2666" s="71"/>
      <c r="Y2666" s="71"/>
    </row>
    <row r="2667" spans="1:25" s="209" customFormat="1" ht="30" customHeight="1" x14ac:dyDescent="0.2">
      <c r="A2667" s="82">
        <v>191211</v>
      </c>
      <c r="B2667" s="664" t="s">
        <v>422</v>
      </c>
      <c r="C2667" s="71" t="s">
        <v>130</v>
      </c>
      <c r="D2667" s="71">
        <v>10</v>
      </c>
      <c r="E2667" s="102">
        <v>125000</v>
      </c>
      <c r="F2667" s="102">
        <f t="shared" si="1419"/>
        <v>1375000</v>
      </c>
      <c r="G2667" s="102">
        <f t="shared" si="1420"/>
        <v>1250000</v>
      </c>
      <c r="H2667" s="165" t="s">
        <v>172</v>
      </c>
      <c r="I2667" s="71" t="s">
        <v>109</v>
      </c>
      <c r="J2667" s="53">
        <f>(G2667-(VLOOKUP(C2667,Price!B:D,3,FALSE)*D2667))</f>
        <v>260000</v>
      </c>
      <c r="K2667" s="63">
        <f t="shared" si="1427"/>
        <v>0.20799999999999999</v>
      </c>
      <c r="L2667" s="871" t="s">
        <v>2185</v>
      </c>
      <c r="M2667" s="468" t="s">
        <v>2050</v>
      </c>
      <c r="N2667" s="664">
        <f t="shared" si="1413"/>
        <v>191211</v>
      </c>
      <c r="O2667" s="71" t="s">
        <v>150</v>
      </c>
      <c r="P2667" s="103" t="str">
        <f t="shared" si="1422"/>
        <v>XL106 Blanket(1077*885)</v>
      </c>
      <c r="Q2667" s="71">
        <f t="shared" si="1421"/>
        <v>10</v>
      </c>
      <c r="R2667" s="102">
        <v>99000</v>
      </c>
      <c r="S2667" s="102">
        <f t="shared" si="1425"/>
        <v>1089000</v>
      </c>
      <c r="T2667" s="102">
        <f t="shared" si="1426"/>
        <v>990000</v>
      </c>
      <c r="U2667" s="71" t="str">
        <f>IF(J2667=W2667,"O", "X")</f>
        <v>O</v>
      </c>
      <c r="V2667" s="71"/>
      <c r="W2667" s="474">
        <f>(G2667-T2667)</f>
        <v>260000</v>
      </c>
      <c r="X2667" s="71"/>
      <c r="Y2667" s="71"/>
    </row>
    <row r="2668" spans="1:25" ht="30" customHeight="1" x14ac:dyDescent="0.2">
      <c r="A2668" s="82">
        <v>191211</v>
      </c>
      <c r="B2668" s="664" t="s">
        <v>422</v>
      </c>
      <c r="C2668" s="71" t="s">
        <v>129</v>
      </c>
      <c r="D2668" s="71">
        <v>5</v>
      </c>
      <c r="E2668" s="102">
        <v>272000</v>
      </c>
      <c r="F2668" s="163">
        <f t="shared" si="1419"/>
        <v>1496000.0000000002</v>
      </c>
      <c r="G2668" s="102">
        <f t="shared" si="1420"/>
        <v>1360000</v>
      </c>
      <c r="H2668" s="690" t="s">
        <v>173</v>
      </c>
      <c r="I2668" s="71" t="s">
        <v>108</v>
      </c>
      <c r="J2668" s="53">
        <f>(G2668-(VLOOKUP(C2668,Price!B:D,3,FALSE)*D2668))</f>
        <v>320000</v>
      </c>
      <c r="K2668" s="63">
        <f t="shared" si="1427"/>
        <v>0.23529411764705879</v>
      </c>
      <c r="L2668" s="871" t="s">
        <v>2185</v>
      </c>
      <c r="M2668" s="468" t="s">
        <v>2050</v>
      </c>
      <c r="N2668" s="664">
        <f t="shared" si="1413"/>
        <v>191211</v>
      </c>
      <c r="O2668" s="71" t="s">
        <v>149</v>
      </c>
      <c r="P2668" s="103" t="str">
        <f t="shared" si="1422"/>
        <v>세정포-XL106</v>
      </c>
      <c r="Q2668" s="71">
        <f t="shared" si="1421"/>
        <v>5</v>
      </c>
      <c r="R2668" s="102">
        <v>208000</v>
      </c>
      <c r="S2668" s="102">
        <f t="shared" si="1425"/>
        <v>1144000</v>
      </c>
      <c r="T2668" s="102">
        <f t="shared" si="1426"/>
        <v>1040000</v>
      </c>
      <c r="U2668" s="71" t="str">
        <f>IF(J2668=W2668,"O", "X")</f>
        <v>O</v>
      </c>
      <c r="V2668" s="71"/>
      <c r="W2668" s="474">
        <f>(G2668-T2668)</f>
        <v>320000</v>
      </c>
      <c r="X2668" s="71"/>
      <c r="Y2668" s="71"/>
    </row>
    <row r="2669" spans="1:25" s="209" customFormat="1" ht="30" hidden="1" customHeight="1" x14ac:dyDescent="0.25">
      <c r="A2669" s="82">
        <v>191211</v>
      </c>
      <c r="B2669" s="664" t="s">
        <v>442</v>
      </c>
      <c r="C2669" s="71" t="s">
        <v>138</v>
      </c>
      <c r="D2669" s="71">
        <v>20</v>
      </c>
      <c r="E2669" s="102">
        <v>69000</v>
      </c>
      <c r="F2669" s="102">
        <f t="shared" si="1419"/>
        <v>1518000.0000000002</v>
      </c>
      <c r="G2669" s="102">
        <f t="shared" si="1420"/>
        <v>1380000</v>
      </c>
      <c r="H2669" s="690" t="s">
        <v>173</v>
      </c>
      <c r="I2669" s="71" t="s">
        <v>108</v>
      </c>
      <c r="J2669" s="53">
        <f>G2669-T2669-96800</f>
        <v>263200</v>
      </c>
      <c r="K2669" s="63">
        <f t="shared" si="1427"/>
        <v>0.19072463768115938</v>
      </c>
      <c r="L2669" s="871" t="s">
        <v>2185</v>
      </c>
      <c r="M2669" s="468" t="s">
        <v>1854</v>
      </c>
      <c r="N2669" s="664">
        <f t="shared" si="1413"/>
        <v>191211</v>
      </c>
      <c r="O2669" s="71" t="s">
        <v>150</v>
      </c>
      <c r="P2669" s="103" t="str">
        <f t="shared" si="1422"/>
        <v>매엽용 세척제(Wash 562)</v>
      </c>
      <c r="Q2669" s="71">
        <f t="shared" si="1421"/>
        <v>20</v>
      </c>
      <c r="R2669" s="102">
        <v>51000</v>
      </c>
      <c r="S2669" s="102">
        <f t="shared" si="1425"/>
        <v>1122000</v>
      </c>
      <c r="T2669" s="102">
        <f t="shared" si="1426"/>
        <v>1020000</v>
      </c>
      <c r="U2669" s="71" t="s">
        <v>1915</v>
      </c>
      <c r="V2669" s="71"/>
      <c r="W2669" s="474">
        <v>396000</v>
      </c>
      <c r="X2669" s="71"/>
      <c r="Y2669" s="71"/>
    </row>
    <row r="2670" spans="1:25" ht="30" hidden="1" customHeight="1" x14ac:dyDescent="0.2">
      <c r="A2670" s="82">
        <v>191211</v>
      </c>
      <c r="B2670" s="664" t="s">
        <v>690</v>
      </c>
      <c r="C2670" s="71" t="s">
        <v>217</v>
      </c>
      <c r="D2670" s="71">
        <v>3</v>
      </c>
      <c r="E2670" s="102">
        <v>145000</v>
      </c>
      <c r="F2670" s="163">
        <f t="shared" si="1419"/>
        <v>478500.00000000006</v>
      </c>
      <c r="G2670" s="102">
        <f t="shared" si="1420"/>
        <v>435000</v>
      </c>
      <c r="H2670" s="690" t="s">
        <v>173</v>
      </c>
      <c r="I2670" s="71" t="s">
        <v>108</v>
      </c>
      <c r="J2670" s="53">
        <f>G2670-T2670</f>
        <v>195000</v>
      </c>
      <c r="K2670" s="63">
        <f t="shared" si="1427"/>
        <v>0.44827586206896547</v>
      </c>
      <c r="L2670" s="871" t="s">
        <v>2185</v>
      </c>
      <c r="M2670" s="468"/>
      <c r="N2670" s="664">
        <f t="shared" si="1413"/>
        <v>191211</v>
      </c>
      <c r="O2670" s="71" t="s">
        <v>150</v>
      </c>
      <c r="P2670" s="103" t="str">
        <f>(C2670)</f>
        <v>Fount 511</v>
      </c>
      <c r="Q2670" s="71">
        <f t="shared" si="1421"/>
        <v>3</v>
      </c>
      <c r="R2670" s="102">
        <v>80000</v>
      </c>
      <c r="S2670" s="102">
        <f t="shared" si="1425"/>
        <v>264000</v>
      </c>
      <c r="T2670" s="102">
        <f t="shared" si="1426"/>
        <v>240000</v>
      </c>
      <c r="U2670" s="71" t="s">
        <v>859</v>
      </c>
      <c r="V2670" s="71"/>
      <c r="W2670" s="474">
        <v>130000</v>
      </c>
      <c r="X2670" s="71"/>
      <c r="Y2670" s="71"/>
    </row>
    <row r="2671" spans="1:25" ht="30" hidden="1" customHeight="1" x14ac:dyDescent="0.2">
      <c r="A2671" s="82">
        <v>191211</v>
      </c>
      <c r="B2671" s="664" t="s">
        <v>442</v>
      </c>
      <c r="C2671" s="71" t="s">
        <v>2217</v>
      </c>
      <c r="D2671" s="71">
        <v>1</v>
      </c>
      <c r="E2671" s="102">
        <v>460000</v>
      </c>
      <c r="F2671" s="163">
        <f t="shared" si="1419"/>
        <v>506000.00000000006</v>
      </c>
      <c r="G2671" s="102">
        <f t="shared" si="1420"/>
        <v>460000</v>
      </c>
      <c r="H2671" s="690" t="s">
        <v>173</v>
      </c>
      <c r="I2671" s="71" t="s">
        <v>2231</v>
      </c>
      <c r="J2671" s="53">
        <f>G2671-T2671</f>
        <v>110000</v>
      </c>
      <c r="K2671" s="63">
        <f>(J2671/(F2671/11*10))</f>
        <v>0.23913043478260868</v>
      </c>
      <c r="L2671" s="871" t="s">
        <v>2185</v>
      </c>
      <c r="M2671" s="468"/>
      <c r="N2671" s="664">
        <f t="shared" si="1413"/>
        <v>191211</v>
      </c>
      <c r="O2671" s="71" t="s">
        <v>242</v>
      </c>
      <c r="P2671" s="103" t="str">
        <f t="shared" si="1422"/>
        <v>필름출력기 서비스비용</v>
      </c>
      <c r="Q2671" s="71">
        <f t="shared" si="1421"/>
        <v>1</v>
      </c>
      <c r="R2671" s="102">
        <v>350000</v>
      </c>
      <c r="S2671" s="102">
        <f t="shared" si="1425"/>
        <v>385000.00000000006</v>
      </c>
      <c r="T2671" s="102">
        <f t="shared" si="1426"/>
        <v>350000</v>
      </c>
      <c r="U2671" s="71"/>
      <c r="V2671" s="71"/>
      <c r="W2671" s="474"/>
      <c r="X2671" s="71"/>
      <c r="Y2671" s="71"/>
    </row>
    <row r="2672" spans="1:25" ht="27.6" hidden="1" customHeight="1" x14ac:dyDescent="0.25">
      <c r="A2672" s="82">
        <v>191211</v>
      </c>
      <c r="B2672" s="664" t="s">
        <v>567</v>
      </c>
      <c r="C2672" s="71" t="s">
        <v>1652</v>
      </c>
      <c r="D2672" s="71">
        <v>5</v>
      </c>
      <c r="E2672" s="102">
        <v>45000</v>
      </c>
      <c r="F2672" s="102">
        <f t="shared" si="1419"/>
        <v>247500.00000000003</v>
      </c>
      <c r="G2672" s="102">
        <f t="shared" si="1420"/>
        <v>225000</v>
      </c>
      <c r="H2672" s="690" t="s">
        <v>173</v>
      </c>
      <c r="I2672" s="71" t="s">
        <v>2231</v>
      </c>
      <c r="J2672" s="53">
        <v>25000</v>
      </c>
      <c r="K2672" s="63">
        <v>0.11111111111111109</v>
      </c>
      <c r="L2672" s="871" t="s">
        <v>2185</v>
      </c>
      <c r="M2672" s="468"/>
      <c r="N2672" s="664">
        <f t="shared" si="1413"/>
        <v>191211</v>
      </c>
      <c r="O2672" s="71" t="s">
        <v>153</v>
      </c>
      <c r="P2672" s="103" t="str">
        <f t="shared" si="1422"/>
        <v>아스테이지(CD74용)</v>
      </c>
      <c r="Q2672" s="71">
        <f t="shared" si="1421"/>
        <v>5</v>
      </c>
      <c r="R2672" s="102">
        <v>40000</v>
      </c>
      <c r="S2672" s="102">
        <f t="shared" si="1425"/>
        <v>220000.00000000003</v>
      </c>
      <c r="T2672" s="102">
        <f t="shared" si="1426"/>
        <v>200000</v>
      </c>
      <c r="U2672" s="71" t="s">
        <v>1915</v>
      </c>
      <c r="V2672" s="71"/>
      <c r="W2672" s="474"/>
      <c r="X2672" s="71"/>
      <c r="Y2672" s="71"/>
    </row>
    <row r="2673" spans="1:25" ht="30" hidden="1" customHeight="1" x14ac:dyDescent="0.2">
      <c r="A2673" s="82">
        <v>191211</v>
      </c>
      <c r="B2673" s="664" t="s">
        <v>1286</v>
      </c>
      <c r="C2673" s="760" t="s">
        <v>218</v>
      </c>
      <c r="D2673" s="71">
        <v>8</v>
      </c>
      <c r="E2673" s="102">
        <v>192500</v>
      </c>
      <c r="F2673" s="163">
        <f t="shared" si="1419"/>
        <v>1694000.0000000002</v>
      </c>
      <c r="G2673" s="102">
        <f t="shared" si="1420"/>
        <v>1540000</v>
      </c>
      <c r="H2673" s="690" t="s">
        <v>173</v>
      </c>
      <c r="I2673" s="71" t="s">
        <v>120</v>
      </c>
      <c r="J2673" s="53">
        <f>(G2673-(VLOOKUP(C2673,Price!B:D,3,FALSE)*D2673))</f>
        <v>640000</v>
      </c>
      <c r="K2673" s="63">
        <f>(J2673/(F2673/11*10))</f>
        <v>0.4155844155844155</v>
      </c>
      <c r="L2673" s="871" t="s">
        <v>2185</v>
      </c>
      <c r="M2673" s="468"/>
      <c r="N2673" s="664">
        <f t="shared" si="1413"/>
        <v>191211</v>
      </c>
      <c r="O2673" s="71" t="s">
        <v>150</v>
      </c>
      <c r="P2673" s="103" t="str">
        <f t="shared" si="1422"/>
        <v>Fount Web 551AF</v>
      </c>
      <c r="Q2673" s="71">
        <f t="shared" si="1421"/>
        <v>8</v>
      </c>
      <c r="R2673" s="102">
        <v>112500</v>
      </c>
      <c r="S2673" s="102">
        <f t="shared" si="1425"/>
        <v>990000.00000000012</v>
      </c>
      <c r="T2673" s="102">
        <f t="shared" si="1426"/>
        <v>900000</v>
      </c>
      <c r="U2673" s="71" t="s">
        <v>859</v>
      </c>
      <c r="V2673" s="71"/>
      <c r="W2673" s="474">
        <f>(G2673-T2673)</f>
        <v>640000</v>
      </c>
      <c r="X2673" s="71"/>
      <c r="Y2673" s="71"/>
    </row>
    <row r="2674" spans="1:25" s="209" customFormat="1" ht="30" hidden="1" customHeight="1" x14ac:dyDescent="0.2">
      <c r="A2674" s="82">
        <v>191211</v>
      </c>
      <c r="B2674" s="664" t="s">
        <v>445</v>
      </c>
      <c r="C2674" s="71" t="s">
        <v>138</v>
      </c>
      <c r="D2674" s="71">
        <v>10</v>
      </c>
      <c r="E2674" s="102">
        <v>59500</v>
      </c>
      <c r="F2674" s="102">
        <f t="shared" si="1419"/>
        <v>654500</v>
      </c>
      <c r="G2674" s="102">
        <f t="shared" si="1420"/>
        <v>595000</v>
      </c>
      <c r="H2674" s="165" t="s">
        <v>172</v>
      </c>
      <c r="I2674" s="71" t="s">
        <v>108</v>
      </c>
      <c r="J2674" s="53">
        <f>G2674-T2674</f>
        <v>85000</v>
      </c>
      <c r="K2674" s="63">
        <f>(J2674/(F2674/11*10))</f>
        <v>0.14285714285714285</v>
      </c>
      <c r="L2674" s="871" t="s">
        <v>2185</v>
      </c>
      <c r="M2674" s="468"/>
      <c r="N2674" s="664">
        <f t="shared" si="1413"/>
        <v>191211</v>
      </c>
      <c r="O2674" s="71" t="s">
        <v>150</v>
      </c>
      <c r="P2674" s="103" t="str">
        <f t="shared" si="1422"/>
        <v>매엽용 세척제(Wash 562)</v>
      </c>
      <c r="Q2674" s="71">
        <f t="shared" si="1421"/>
        <v>10</v>
      </c>
      <c r="R2674" s="102">
        <v>51000</v>
      </c>
      <c r="S2674" s="102">
        <f t="shared" si="1425"/>
        <v>561000</v>
      </c>
      <c r="T2674" s="102">
        <f t="shared" si="1426"/>
        <v>510000</v>
      </c>
      <c r="U2674" s="71" t="s">
        <v>859</v>
      </c>
      <c r="V2674" s="71"/>
      <c r="W2674" s="474">
        <v>85000</v>
      </c>
      <c r="X2674" s="71"/>
      <c r="Y2674" s="71"/>
    </row>
    <row r="2675" spans="1:25" s="209" customFormat="1" ht="30" hidden="1" customHeight="1" x14ac:dyDescent="0.2">
      <c r="A2675" s="82">
        <v>191212</v>
      </c>
      <c r="B2675" s="664" t="s">
        <v>748</v>
      </c>
      <c r="C2675" s="71" t="s">
        <v>1918</v>
      </c>
      <c r="D2675" s="71">
        <v>20</v>
      </c>
      <c r="E2675" s="102">
        <v>25000</v>
      </c>
      <c r="F2675" s="163">
        <f t="shared" si="1419"/>
        <v>550000</v>
      </c>
      <c r="G2675" s="102">
        <f t="shared" si="1420"/>
        <v>500000</v>
      </c>
      <c r="H2675" s="165" t="s">
        <v>1431</v>
      </c>
      <c r="I2675" s="71" t="s">
        <v>1431</v>
      </c>
      <c r="J2675" s="53">
        <f>G2675-T2675</f>
        <v>243940</v>
      </c>
      <c r="K2675" s="63">
        <f>(J2675/(F2675/11*10))</f>
        <v>0.48787999999999998</v>
      </c>
      <c r="L2675" s="871" t="s">
        <v>2185</v>
      </c>
      <c r="M2675" s="468"/>
      <c r="N2675" s="664">
        <f t="shared" si="1413"/>
        <v>191212</v>
      </c>
      <c r="O2675" s="71" t="s">
        <v>1431</v>
      </c>
      <c r="P2675" s="103" t="str">
        <f t="shared" si="1422"/>
        <v>브러쉬</v>
      </c>
      <c r="Q2675" s="71">
        <f t="shared" si="1421"/>
        <v>20</v>
      </c>
      <c r="R2675" s="102">
        <v>12803</v>
      </c>
      <c r="S2675" s="102">
        <f t="shared" si="1425"/>
        <v>281666</v>
      </c>
      <c r="T2675" s="102">
        <f t="shared" si="1426"/>
        <v>256060</v>
      </c>
      <c r="U2675" s="71"/>
      <c r="V2675" s="71"/>
      <c r="W2675" s="474"/>
      <c r="X2675" s="71"/>
      <c r="Y2675" s="71"/>
    </row>
    <row r="2676" spans="1:25" ht="30" hidden="1" customHeight="1" x14ac:dyDescent="0.25">
      <c r="A2676" s="82">
        <v>191212</v>
      </c>
      <c r="B2676" s="664" t="s">
        <v>575</v>
      </c>
      <c r="C2676" s="71" t="s">
        <v>1367</v>
      </c>
      <c r="D2676" s="71">
        <v>8</v>
      </c>
      <c r="E2676" s="102">
        <v>218000</v>
      </c>
      <c r="F2676" s="102">
        <f t="shared" si="1419"/>
        <v>1918400.0000000002</v>
      </c>
      <c r="G2676" s="102">
        <f t="shared" si="1420"/>
        <v>1744000</v>
      </c>
      <c r="H2676" s="690" t="s">
        <v>173</v>
      </c>
      <c r="I2676" s="71" t="s">
        <v>109</v>
      </c>
      <c r="J2676" s="53">
        <f>G2676-T2676</f>
        <v>781920</v>
      </c>
      <c r="K2676" s="63">
        <f t="shared" ref="K2676:K2681" si="1428">(J2676/(F2676/11*10))</f>
        <v>0.44834862385321095</v>
      </c>
      <c r="L2676" s="871" t="s">
        <v>2185</v>
      </c>
      <c r="M2676" s="468"/>
      <c r="N2676" s="664">
        <f t="shared" si="1413"/>
        <v>191212</v>
      </c>
      <c r="O2676" s="71" t="s">
        <v>1443</v>
      </c>
      <c r="P2676" s="103" t="str">
        <f t="shared" si="1422"/>
        <v>M600 윤전 블랑켓 995*742</v>
      </c>
      <c r="Q2676" s="71">
        <f t="shared" si="1421"/>
        <v>8</v>
      </c>
      <c r="R2676" s="102">
        <v>120260</v>
      </c>
      <c r="S2676" s="102">
        <f t="shared" si="1425"/>
        <v>1058288</v>
      </c>
      <c r="T2676" s="102">
        <f t="shared" si="1426"/>
        <v>962080</v>
      </c>
      <c r="U2676" s="71" t="str">
        <f t="shared" ref="U2676:U2681" si="1429">IF(J2676=W2676,"O", "X")</f>
        <v>X</v>
      </c>
      <c r="V2676" s="71"/>
      <c r="W2676" s="474"/>
      <c r="X2676" s="71"/>
      <c r="Y2676" s="71"/>
    </row>
    <row r="2677" spans="1:25" ht="30" hidden="1" customHeight="1" x14ac:dyDescent="0.2">
      <c r="A2677" s="82">
        <v>191212</v>
      </c>
      <c r="B2677" s="664" t="s">
        <v>549</v>
      </c>
      <c r="C2677" s="71" t="s">
        <v>119</v>
      </c>
      <c r="D2677" s="71">
        <v>15</v>
      </c>
      <c r="E2677" s="102">
        <v>115000</v>
      </c>
      <c r="F2677" s="163">
        <f t="shared" si="1419"/>
        <v>1897500.0000000002</v>
      </c>
      <c r="G2677" s="102">
        <f t="shared" si="1420"/>
        <v>1725000</v>
      </c>
      <c r="H2677" s="690" t="s">
        <v>173</v>
      </c>
      <c r="I2677" s="71" t="s">
        <v>109</v>
      </c>
      <c r="J2677" s="53">
        <f>(G2677-(VLOOKUP(C2677,Price!B:D,3,FALSE)*D2677))</f>
        <v>394500</v>
      </c>
      <c r="K2677" s="63">
        <f t="shared" si="1428"/>
        <v>0.22869565217391302</v>
      </c>
      <c r="L2677" s="871" t="s">
        <v>2185</v>
      </c>
      <c r="M2677" s="468"/>
      <c r="N2677" s="664">
        <f t="shared" si="1413"/>
        <v>191212</v>
      </c>
      <c r="O2677" s="71" t="s">
        <v>150</v>
      </c>
      <c r="P2677" s="103" t="str">
        <f t="shared" si="1422"/>
        <v>미쯔비시 Blanket(1035*910)</v>
      </c>
      <c r="Q2677" s="71">
        <f t="shared" si="1421"/>
        <v>15</v>
      </c>
      <c r="R2677" s="102">
        <v>88700</v>
      </c>
      <c r="S2677" s="102">
        <f t="shared" si="1425"/>
        <v>1463550.0000000002</v>
      </c>
      <c r="T2677" s="102">
        <f t="shared" si="1426"/>
        <v>1330500</v>
      </c>
      <c r="U2677" s="71" t="str">
        <f t="shared" si="1429"/>
        <v>O</v>
      </c>
      <c r="V2677" s="71"/>
      <c r="W2677" s="474">
        <f>(G2677-T2677)</f>
        <v>394500</v>
      </c>
      <c r="X2677" s="71"/>
      <c r="Y2677" s="71"/>
    </row>
    <row r="2678" spans="1:25" ht="30" hidden="1" customHeight="1" x14ac:dyDescent="0.25">
      <c r="A2678" s="82">
        <v>191213</v>
      </c>
      <c r="B2678" s="664" t="s">
        <v>575</v>
      </c>
      <c r="C2678" s="71" t="s">
        <v>1388</v>
      </c>
      <c r="D2678" s="71">
        <v>3</v>
      </c>
      <c r="E2678" s="102">
        <v>185000</v>
      </c>
      <c r="F2678" s="102">
        <f t="shared" si="1419"/>
        <v>610500</v>
      </c>
      <c r="G2678" s="102">
        <f t="shared" si="1420"/>
        <v>555000</v>
      </c>
      <c r="H2678" s="690" t="s">
        <v>2029</v>
      </c>
      <c r="I2678" s="71" t="s">
        <v>108</v>
      </c>
      <c r="J2678" s="53">
        <f>G2678-T2678</f>
        <v>32091</v>
      </c>
      <c r="K2678" s="63">
        <f t="shared" si="1428"/>
        <v>5.7821621621621619E-2</v>
      </c>
      <c r="L2678" s="871" t="s">
        <v>2185</v>
      </c>
      <c r="M2678" s="468"/>
      <c r="N2678" s="664">
        <f t="shared" si="1413"/>
        <v>191213</v>
      </c>
      <c r="O2678" s="71" t="s">
        <v>1443</v>
      </c>
      <c r="P2678" s="103" t="str">
        <f>(C2678)</f>
        <v>Flint 무알콜 윤전약물(Superaster)</v>
      </c>
      <c r="Q2678" s="71">
        <f t="shared" si="1421"/>
        <v>3</v>
      </c>
      <c r="R2678" s="102">
        <f>120303+54000</f>
        <v>174303</v>
      </c>
      <c r="S2678" s="102">
        <f t="shared" si="1425"/>
        <v>575199.9</v>
      </c>
      <c r="T2678" s="102">
        <f t="shared" si="1426"/>
        <v>522909</v>
      </c>
      <c r="U2678" s="71" t="str">
        <f t="shared" si="1429"/>
        <v>O</v>
      </c>
      <c r="V2678" s="71"/>
      <c r="W2678" s="474">
        <f>(G2678-T2678)</f>
        <v>32091</v>
      </c>
      <c r="X2678" s="71"/>
      <c r="Y2678" s="71"/>
    </row>
    <row r="2679" spans="1:25" ht="30" hidden="1" customHeight="1" x14ac:dyDescent="0.25">
      <c r="A2679" s="82">
        <v>191213</v>
      </c>
      <c r="B2679" s="664" t="s">
        <v>631</v>
      </c>
      <c r="C2679" s="67" t="s">
        <v>201</v>
      </c>
      <c r="D2679" s="71">
        <v>10</v>
      </c>
      <c r="E2679" s="102">
        <v>75000</v>
      </c>
      <c r="F2679" s="102">
        <f t="shared" si="1419"/>
        <v>825000.00000000012</v>
      </c>
      <c r="G2679" s="102">
        <f t="shared" si="1420"/>
        <v>750000</v>
      </c>
      <c r="H2679" s="690" t="s">
        <v>173</v>
      </c>
      <c r="I2679" s="71" t="s">
        <v>109</v>
      </c>
      <c r="J2679" s="53">
        <f>G2679-T2679</f>
        <v>200000</v>
      </c>
      <c r="K2679" s="63">
        <f t="shared" si="1428"/>
        <v>0.26666666666666661</v>
      </c>
      <c r="L2679" s="871" t="s">
        <v>2142</v>
      </c>
      <c r="M2679" s="468"/>
      <c r="N2679" s="664">
        <f t="shared" si="1413"/>
        <v>191213</v>
      </c>
      <c r="O2679" s="71" t="s">
        <v>149</v>
      </c>
      <c r="P2679" s="103" t="str">
        <f t="shared" si="1422"/>
        <v>Bar블랑켓 730*710</v>
      </c>
      <c r="Q2679" s="71">
        <f t="shared" si="1421"/>
        <v>10</v>
      </c>
      <c r="R2679" s="102">
        <v>55000</v>
      </c>
      <c r="S2679" s="102">
        <f t="shared" si="1425"/>
        <v>605000</v>
      </c>
      <c r="T2679" s="102">
        <f t="shared" si="1426"/>
        <v>550000</v>
      </c>
      <c r="U2679" s="71" t="str">
        <f t="shared" si="1429"/>
        <v>O</v>
      </c>
      <c r="V2679" s="71"/>
      <c r="W2679" s="474">
        <f>(G2679-T2679)</f>
        <v>200000</v>
      </c>
      <c r="X2679" s="71"/>
      <c r="Y2679" s="71"/>
    </row>
    <row r="2680" spans="1:25" ht="30" customHeight="1" x14ac:dyDescent="0.2">
      <c r="A2680" s="82">
        <v>191213</v>
      </c>
      <c r="B2680" s="664" t="s">
        <v>2352</v>
      </c>
      <c r="C2680" s="760" t="s">
        <v>218</v>
      </c>
      <c r="D2680" s="71">
        <v>4</v>
      </c>
      <c r="E2680" s="102">
        <v>235000</v>
      </c>
      <c r="F2680" s="163">
        <f t="shared" si="1419"/>
        <v>1034000.0000000001</v>
      </c>
      <c r="G2680" s="102">
        <f t="shared" si="1420"/>
        <v>940000</v>
      </c>
      <c r="H2680" s="690" t="s">
        <v>173</v>
      </c>
      <c r="I2680" s="71" t="s">
        <v>120</v>
      </c>
      <c r="J2680" s="53">
        <f>(G2680-(VLOOKUP(C2680,Price!B:D,3,FALSE)*D2680))</f>
        <v>490000</v>
      </c>
      <c r="K2680" s="63">
        <f t="shared" si="1428"/>
        <v>0.52127659574468077</v>
      </c>
      <c r="L2680" s="871" t="s">
        <v>2185</v>
      </c>
      <c r="M2680" s="468" t="s">
        <v>2053</v>
      </c>
      <c r="N2680" s="664">
        <f t="shared" si="1413"/>
        <v>191213</v>
      </c>
      <c r="O2680" s="71" t="s">
        <v>150</v>
      </c>
      <c r="P2680" s="103" t="str">
        <f t="shared" si="1422"/>
        <v>Fount Web 551AF</v>
      </c>
      <c r="Q2680" s="71">
        <f t="shared" si="1421"/>
        <v>4</v>
      </c>
      <c r="R2680" s="102">
        <v>112500</v>
      </c>
      <c r="S2680" s="102">
        <f t="shared" si="1425"/>
        <v>495000.00000000006</v>
      </c>
      <c r="T2680" s="102">
        <f t="shared" si="1426"/>
        <v>450000</v>
      </c>
      <c r="U2680" s="71" t="str">
        <f t="shared" si="1429"/>
        <v>O</v>
      </c>
      <c r="V2680" s="71"/>
      <c r="W2680" s="474">
        <f>(G2680-T2680)</f>
        <v>490000</v>
      </c>
      <c r="X2680" s="71"/>
      <c r="Y2680" s="71"/>
    </row>
    <row r="2681" spans="1:25" s="209" customFormat="1" ht="30" customHeight="1" x14ac:dyDescent="0.25">
      <c r="A2681" s="82">
        <v>191213</v>
      </c>
      <c r="B2681" s="664" t="s">
        <v>2352</v>
      </c>
      <c r="C2681" s="71" t="s">
        <v>583</v>
      </c>
      <c r="D2681" s="71">
        <v>24</v>
      </c>
      <c r="E2681" s="102">
        <v>89000</v>
      </c>
      <c r="F2681" s="102">
        <f t="shared" si="1419"/>
        <v>2349600</v>
      </c>
      <c r="G2681" s="102">
        <f t="shared" si="1420"/>
        <v>2136000</v>
      </c>
      <c r="H2681" s="690" t="s">
        <v>173</v>
      </c>
      <c r="I2681" s="71" t="s">
        <v>108</v>
      </c>
      <c r="J2681" s="53">
        <f>(G2681-(VLOOKUP(C2681,Price!B:D,3,FALSE)*D2681))</f>
        <v>1080000</v>
      </c>
      <c r="K2681" s="63">
        <f t="shared" si="1428"/>
        <v>0.5056179775280899</v>
      </c>
      <c r="L2681" s="871" t="s">
        <v>2185</v>
      </c>
      <c r="M2681" s="468" t="s">
        <v>2053</v>
      </c>
      <c r="N2681" s="664">
        <f t="shared" si="1413"/>
        <v>191213</v>
      </c>
      <c r="O2681" s="71" t="s">
        <v>599</v>
      </c>
      <c r="P2681" s="103" t="str">
        <f t="shared" si="1422"/>
        <v>M600 윤전 세정포</v>
      </c>
      <c r="Q2681" s="71">
        <f t="shared" si="1421"/>
        <v>24</v>
      </c>
      <c r="R2681" s="102">
        <v>44000</v>
      </c>
      <c r="S2681" s="102">
        <f t="shared" si="1425"/>
        <v>1161600</v>
      </c>
      <c r="T2681" s="102">
        <f t="shared" si="1426"/>
        <v>1056000</v>
      </c>
      <c r="U2681" s="71" t="str">
        <f t="shared" si="1429"/>
        <v>O</v>
      </c>
      <c r="V2681" s="71"/>
      <c r="W2681" s="474">
        <f>(G2681-T2681)</f>
        <v>1080000</v>
      </c>
      <c r="X2681" s="71"/>
      <c r="Y2681" s="71"/>
    </row>
    <row r="2682" spans="1:25" ht="30" hidden="1" customHeight="1" x14ac:dyDescent="0.2">
      <c r="A2682" s="82">
        <v>191216</v>
      </c>
      <c r="B2682" s="664" t="s">
        <v>2186</v>
      </c>
      <c r="C2682" s="71" t="s">
        <v>2187</v>
      </c>
      <c r="D2682" s="71">
        <v>1</v>
      </c>
      <c r="E2682" s="102">
        <v>600000</v>
      </c>
      <c r="F2682" s="163">
        <f t="shared" si="1419"/>
        <v>660000</v>
      </c>
      <c r="G2682" s="102">
        <f t="shared" si="1420"/>
        <v>600000</v>
      </c>
      <c r="H2682" s="690" t="s">
        <v>985</v>
      </c>
      <c r="I2682" s="71" t="s">
        <v>985</v>
      </c>
      <c r="J2682" s="53">
        <f>G2682-T2682</f>
        <v>120000</v>
      </c>
      <c r="K2682" s="63">
        <f t="shared" ref="K2682:K2689" si="1430">(J2682/(F2682/11*10))</f>
        <v>0.2</v>
      </c>
      <c r="L2682" s="871" t="s">
        <v>2185</v>
      </c>
      <c r="M2682" s="468"/>
      <c r="N2682" s="664">
        <f t="shared" si="1413"/>
        <v>191216</v>
      </c>
      <c r="O2682" s="71" t="s">
        <v>1343</v>
      </c>
      <c r="P2682" s="103" t="str">
        <f t="shared" si="1422"/>
        <v>재능 판절곡기 서비스비용</v>
      </c>
      <c r="Q2682" s="71">
        <f t="shared" si="1421"/>
        <v>1</v>
      </c>
      <c r="R2682" s="102">
        <v>480000</v>
      </c>
      <c r="S2682" s="102">
        <f t="shared" si="1425"/>
        <v>528000</v>
      </c>
      <c r="T2682" s="102">
        <f t="shared" si="1426"/>
        <v>480000</v>
      </c>
      <c r="U2682" s="71"/>
      <c r="V2682" s="71"/>
      <c r="W2682" s="474"/>
      <c r="X2682" s="71"/>
      <c r="Y2682" s="71"/>
    </row>
    <row r="2683" spans="1:25" ht="30" hidden="1" customHeight="1" x14ac:dyDescent="0.25">
      <c r="A2683" s="82">
        <v>191216</v>
      </c>
      <c r="B2683" s="664" t="s">
        <v>1220</v>
      </c>
      <c r="C2683" s="71" t="s">
        <v>2199</v>
      </c>
      <c r="D2683" s="71">
        <v>12</v>
      </c>
      <c r="E2683" s="102">
        <v>126000</v>
      </c>
      <c r="F2683" s="102">
        <f t="shared" si="1419"/>
        <v>1663200.0000000002</v>
      </c>
      <c r="G2683" s="102">
        <f t="shared" si="1420"/>
        <v>1512000</v>
      </c>
      <c r="H2683" s="690" t="s">
        <v>1431</v>
      </c>
      <c r="I2683" s="71" t="s">
        <v>1431</v>
      </c>
      <c r="J2683" s="53">
        <f>G2683-T2683</f>
        <v>460392</v>
      </c>
      <c r="K2683" s="63">
        <f t="shared" si="1430"/>
        <v>0.30449206349206343</v>
      </c>
      <c r="L2683" s="871" t="s">
        <v>2185</v>
      </c>
      <c r="M2683" s="468"/>
      <c r="N2683" s="664">
        <f t="shared" si="1413"/>
        <v>191216</v>
      </c>
      <c r="O2683" s="71" t="s">
        <v>1431</v>
      </c>
      <c r="P2683" s="103" t="str">
        <f t="shared" si="1422"/>
        <v>Solenoid</v>
      </c>
      <c r="Q2683" s="71">
        <f t="shared" si="1421"/>
        <v>12</v>
      </c>
      <c r="R2683" s="102">
        <v>87634</v>
      </c>
      <c r="S2683" s="102">
        <f t="shared" si="1425"/>
        <v>1156768.8</v>
      </c>
      <c r="T2683" s="102">
        <f t="shared" si="1426"/>
        <v>1051608</v>
      </c>
      <c r="U2683" s="71"/>
      <c r="V2683" s="71"/>
      <c r="W2683" s="474"/>
      <c r="X2683" s="71"/>
      <c r="Y2683" s="71"/>
    </row>
    <row r="2684" spans="1:25" ht="30" hidden="1" customHeight="1" x14ac:dyDescent="0.2">
      <c r="A2684" s="82">
        <v>191216</v>
      </c>
      <c r="B2684" s="664" t="s">
        <v>1220</v>
      </c>
      <c r="C2684" s="71" t="s">
        <v>2200</v>
      </c>
      <c r="D2684" s="71">
        <v>4</v>
      </c>
      <c r="E2684" s="102">
        <v>54750</v>
      </c>
      <c r="F2684" s="163">
        <f t="shared" si="1419"/>
        <v>240900.00000000003</v>
      </c>
      <c r="G2684" s="102">
        <f t="shared" si="1420"/>
        <v>219000</v>
      </c>
      <c r="H2684" s="690" t="s">
        <v>1431</v>
      </c>
      <c r="I2684" s="71" t="s">
        <v>1431</v>
      </c>
      <c r="J2684" s="53">
        <f>G2684-T2684</f>
        <v>69868</v>
      </c>
      <c r="K2684" s="63">
        <f t="shared" si="1430"/>
        <v>0.31903196347031959</v>
      </c>
      <c r="L2684" s="871" t="s">
        <v>2185</v>
      </c>
      <c r="M2684" s="468"/>
      <c r="N2684" s="664">
        <f t="shared" si="1413"/>
        <v>191216</v>
      </c>
      <c r="O2684" s="71" t="s">
        <v>1431</v>
      </c>
      <c r="P2684" s="103" t="str">
        <f t="shared" si="1422"/>
        <v>Sheet Metal Plate</v>
      </c>
      <c r="Q2684" s="71">
        <f t="shared" si="1421"/>
        <v>4</v>
      </c>
      <c r="R2684" s="102">
        <v>37283</v>
      </c>
      <c r="S2684" s="102">
        <f t="shared" si="1425"/>
        <v>164045.20000000001</v>
      </c>
      <c r="T2684" s="102">
        <f t="shared" si="1426"/>
        <v>149132</v>
      </c>
      <c r="U2684" s="71"/>
      <c r="V2684" s="71"/>
      <c r="W2684" s="474"/>
      <c r="X2684" s="71"/>
      <c r="Y2684" s="71"/>
    </row>
    <row r="2685" spans="1:25" ht="30" hidden="1" customHeight="1" x14ac:dyDescent="0.2">
      <c r="A2685" s="82">
        <v>191216</v>
      </c>
      <c r="B2685" s="664" t="s">
        <v>545</v>
      </c>
      <c r="C2685" s="71" t="s">
        <v>952</v>
      </c>
      <c r="D2685" s="71">
        <v>1</v>
      </c>
      <c r="E2685" s="102">
        <v>630000</v>
      </c>
      <c r="F2685" s="163">
        <f t="shared" si="1419"/>
        <v>693000</v>
      </c>
      <c r="G2685" s="102">
        <f t="shared" si="1420"/>
        <v>630000</v>
      </c>
      <c r="H2685" s="690" t="s">
        <v>173</v>
      </c>
      <c r="I2685" s="71" t="s">
        <v>108</v>
      </c>
      <c r="J2685" s="53">
        <f>(G2685-(VLOOKUP(C2685,Price!B:D,3,FALSE)*D2685))</f>
        <v>180000</v>
      </c>
      <c r="K2685" s="63">
        <f t="shared" si="1430"/>
        <v>0.2857142857142857</v>
      </c>
      <c r="L2685" s="871" t="s">
        <v>2185</v>
      </c>
      <c r="M2685" s="468"/>
      <c r="N2685" s="664">
        <f t="shared" si="1413"/>
        <v>191216</v>
      </c>
      <c r="O2685" s="71" t="s">
        <v>599</v>
      </c>
      <c r="P2685" s="103" t="str">
        <f t="shared" si="1422"/>
        <v>점보롤 세정포</v>
      </c>
      <c r="Q2685" s="71">
        <f t="shared" si="1421"/>
        <v>1</v>
      </c>
      <c r="R2685" s="102">
        <v>440000</v>
      </c>
      <c r="S2685" s="102">
        <f t="shared" si="1425"/>
        <v>484000.00000000006</v>
      </c>
      <c r="T2685" s="102">
        <f t="shared" si="1426"/>
        <v>440000</v>
      </c>
      <c r="U2685" s="71" t="str">
        <f>IF(J2685=W2685,"O", "X")</f>
        <v>X</v>
      </c>
      <c r="V2685" s="71" t="s">
        <v>1228</v>
      </c>
      <c r="W2685" s="474">
        <f>(G2685-T2685)</f>
        <v>190000</v>
      </c>
      <c r="X2685" s="71"/>
      <c r="Y2685" s="71"/>
    </row>
    <row r="2686" spans="1:25" ht="1.5" hidden="1" customHeight="1" x14ac:dyDescent="0.25">
      <c r="A2686" s="82">
        <v>191217</v>
      </c>
      <c r="B2686" s="664" t="s">
        <v>545</v>
      </c>
      <c r="C2686" s="71" t="s">
        <v>952</v>
      </c>
      <c r="D2686" s="71">
        <v>1</v>
      </c>
      <c r="E2686" s="102">
        <v>630000</v>
      </c>
      <c r="F2686" s="102">
        <f t="shared" si="1419"/>
        <v>693000</v>
      </c>
      <c r="G2686" s="102">
        <f t="shared" si="1420"/>
        <v>630000</v>
      </c>
      <c r="H2686" s="690" t="s">
        <v>173</v>
      </c>
      <c r="I2686" s="71" t="s">
        <v>108</v>
      </c>
      <c r="J2686" s="53">
        <f>(G2686-(VLOOKUP(C2686,Price!B:D,3,FALSE)*D2686))</f>
        <v>180000</v>
      </c>
      <c r="K2686" s="63">
        <f t="shared" si="1430"/>
        <v>0.2857142857142857</v>
      </c>
      <c r="L2686" s="871" t="s">
        <v>2185</v>
      </c>
      <c r="M2686" s="468"/>
      <c r="N2686" s="664">
        <f t="shared" si="1413"/>
        <v>191217</v>
      </c>
      <c r="O2686" s="71" t="s">
        <v>599</v>
      </c>
      <c r="P2686" s="103" t="str">
        <f>(C2686)</f>
        <v>점보롤 세정포</v>
      </c>
      <c r="Q2686" s="71">
        <f t="shared" si="1421"/>
        <v>1</v>
      </c>
      <c r="R2686" s="102">
        <v>440000</v>
      </c>
      <c r="S2686" s="102">
        <f t="shared" si="1425"/>
        <v>484000.00000000006</v>
      </c>
      <c r="T2686" s="102">
        <f t="shared" si="1426"/>
        <v>440000</v>
      </c>
      <c r="U2686" s="71" t="str">
        <f>IF(J2686=W2686,"O", "X")</f>
        <v>X</v>
      </c>
      <c r="V2686" s="71" t="s">
        <v>1228</v>
      </c>
      <c r="W2686" s="474">
        <f>(G2686-T2686)</f>
        <v>190000</v>
      </c>
      <c r="X2686" s="71"/>
      <c r="Y2686" s="71"/>
    </row>
    <row r="2687" spans="1:25" s="209" customFormat="1" ht="30" hidden="1" customHeight="1" x14ac:dyDescent="0.2">
      <c r="A2687" s="82">
        <v>191217</v>
      </c>
      <c r="B2687" s="664" t="s">
        <v>445</v>
      </c>
      <c r="C2687" s="71" t="s">
        <v>231</v>
      </c>
      <c r="D2687" s="71">
        <v>10</v>
      </c>
      <c r="E2687" s="102">
        <v>120000</v>
      </c>
      <c r="F2687" s="163">
        <f t="shared" si="1419"/>
        <v>1320000</v>
      </c>
      <c r="G2687" s="102">
        <f t="shared" si="1420"/>
        <v>1200000</v>
      </c>
      <c r="H2687" s="165" t="s">
        <v>172</v>
      </c>
      <c r="I2687" s="71" t="s">
        <v>109</v>
      </c>
      <c r="J2687" s="53">
        <f>G2687-T2687</f>
        <v>80000</v>
      </c>
      <c r="K2687" s="63">
        <f t="shared" si="1430"/>
        <v>6.6666666666666666E-2</v>
      </c>
      <c r="L2687" s="871" t="s">
        <v>2185</v>
      </c>
      <c r="M2687" s="468"/>
      <c r="N2687" s="664">
        <f t="shared" si="1413"/>
        <v>191217</v>
      </c>
      <c r="O2687" s="71" t="s">
        <v>151</v>
      </c>
      <c r="P2687" s="103" t="str">
        <f t="shared" si="1422"/>
        <v>Blanket(990*725)</v>
      </c>
      <c r="Q2687" s="71">
        <f t="shared" si="1421"/>
        <v>10</v>
      </c>
      <c r="R2687" s="102">
        <v>112000</v>
      </c>
      <c r="S2687" s="102">
        <f t="shared" si="1425"/>
        <v>1232000</v>
      </c>
      <c r="T2687" s="102">
        <f t="shared" si="1426"/>
        <v>1120000</v>
      </c>
      <c r="U2687" s="71" t="s">
        <v>859</v>
      </c>
      <c r="V2687" s="71"/>
      <c r="W2687" s="474">
        <v>80000</v>
      </c>
      <c r="X2687" s="71"/>
      <c r="Y2687" s="71"/>
    </row>
    <row r="2688" spans="1:25" ht="30" hidden="1" customHeight="1" x14ac:dyDescent="0.25">
      <c r="A2688" s="82">
        <v>191217</v>
      </c>
      <c r="B2688" s="664" t="s">
        <v>1045</v>
      </c>
      <c r="C2688" s="71" t="s">
        <v>123</v>
      </c>
      <c r="D2688" s="71">
        <v>3</v>
      </c>
      <c r="E2688" s="102">
        <v>35000</v>
      </c>
      <c r="F2688" s="102">
        <f t="shared" si="1419"/>
        <v>115500.00000000001</v>
      </c>
      <c r="G2688" s="102">
        <f t="shared" si="1420"/>
        <v>105000</v>
      </c>
      <c r="H2688" s="1010" t="s">
        <v>39</v>
      </c>
      <c r="I2688" s="71" t="s">
        <v>1432</v>
      </c>
      <c r="J2688" s="53">
        <f>(G2688-(VLOOKUP(C2688,Import!C:G,4,FALSE)*D2688))</f>
        <v>105000</v>
      </c>
      <c r="K2688" s="63">
        <f t="shared" si="1430"/>
        <v>0.99999999999999989</v>
      </c>
      <c r="L2688" s="871" t="s">
        <v>2185</v>
      </c>
      <c r="M2688" s="468"/>
      <c r="N2688" s="664">
        <f t="shared" si="1413"/>
        <v>191217</v>
      </c>
      <c r="O2688" s="991" t="s">
        <v>39</v>
      </c>
      <c r="P2688" s="103" t="str">
        <f t="shared" si="1422"/>
        <v>필터백</v>
      </c>
      <c r="Q2688" s="71">
        <f t="shared" si="1421"/>
        <v>3</v>
      </c>
      <c r="R2688" s="102">
        <f>VLOOKUP(P2688,Price!B:D,3,FALSE)</f>
        <v>22461</v>
      </c>
      <c r="S2688" s="102">
        <f t="shared" si="1425"/>
        <v>74121.3</v>
      </c>
      <c r="T2688" s="102">
        <f t="shared" si="1426"/>
        <v>67383</v>
      </c>
      <c r="U2688" s="71" t="str">
        <f>IF(J2688=W2688,"O", "X")</f>
        <v>X</v>
      </c>
      <c r="V2688" s="71"/>
      <c r="W2688" s="474">
        <f>(G2688-T2688)</f>
        <v>37617</v>
      </c>
      <c r="X2688" s="71"/>
      <c r="Y2688" s="71"/>
    </row>
    <row r="2689" spans="1:25" ht="30" hidden="1" customHeight="1" x14ac:dyDescent="0.2">
      <c r="A2689" s="82">
        <v>191218</v>
      </c>
      <c r="B2689" s="664" t="s">
        <v>764</v>
      </c>
      <c r="C2689" s="71" t="s">
        <v>2203</v>
      </c>
      <c r="D2689" s="71">
        <v>10</v>
      </c>
      <c r="E2689" s="102">
        <v>69000</v>
      </c>
      <c r="F2689" s="163">
        <f t="shared" si="1419"/>
        <v>759000.00000000012</v>
      </c>
      <c r="G2689" s="102">
        <f t="shared" si="1420"/>
        <v>690000</v>
      </c>
      <c r="H2689" s="690" t="s">
        <v>1432</v>
      </c>
      <c r="I2689" s="71" t="s">
        <v>1432</v>
      </c>
      <c r="J2689" s="53">
        <f>G2689-T2689</f>
        <v>204000</v>
      </c>
      <c r="K2689" s="63">
        <f t="shared" si="1430"/>
        <v>0.29565217391304344</v>
      </c>
      <c r="L2689" s="871" t="s">
        <v>2185</v>
      </c>
      <c r="M2689" s="468"/>
      <c r="N2689" s="664">
        <f t="shared" si="1413"/>
        <v>191218</v>
      </c>
      <c r="O2689" s="71" t="s">
        <v>1432</v>
      </c>
      <c r="P2689" s="103" t="str">
        <f t="shared" si="1422"/>
        <v>가습장치 필터</v>
      </c>
      <c r="Q2689" s="71">
        <f t="shared" si="1421"/>
        <v>10</v>
      </c>
      <c r="R2689" s="102">
        <f>36*1350</f>
        <v>48600</v>
      </c>
      <c r="S2689" s="102">
        <f t="shared" si="1425"/>
        <v>534600</v>
      </c>
      <c r="T2689" s="102">
        <f t="shared" si="1426"/>
        <v>486000</v>
      </c>
      <c r="U2689" s="71"/>
      <c r="V2689" s="71"/>
      <c r="W2689" s="474"/>
      <c r="X2689" s="71"/>
      <c r="Y2689" s="71"/>
    </row>
    <row r="2690" spans="1:25" ht="30" hidden="1" customHeight="1" x14ac:dyDescent="0.2">
      <c r="A2690" s="82">
        <v>191219</v>
      </c>
      <c r="B2690" s="664" t="s">
        <v>442</v>
      </c>
      <c r="C2690" s="71" t="s">
        <v>650</v>
      </c>
      <c r="D2690" s="71">
        <v>1</v>
      </c>
      <c r="E2690" s="102">
        <v>93000</v>
      </c>
      <c r="F2690" s="163">
        <f t="shared" si="1419"/>
        <v>102300.00000000001</v>
      </c>
      <c r="G2690" s="163">
        <f t="shared" si="1420"/>
        <v>93000</v>
      </c>
      <c r="H2690" s="165" t="s">
        <v>172</v>
      </c>
      <c r="I2690" s="71" t="s">
        <v>141</v>
      </c>
      <c r="J2690" s="53">
        <f>(G2690-(VLOOKUP(C2690,Price!B:D,3,FALSE)*D2690))</f>
        <v>33000</v>
      </c>
      <c r="K2690" s="63">
        <f t="shared" ref="K2690:K2697" si="1431">(J2690/(F2690/11*10))</f>
        <v>0.35483870967741932</v>
      </c>
      <c r="L2690" s="871" t="s">
        <v>2142</v>
      </c>
      <c r="M2690" s="468"/>
      <c r="N2690" s="664">
        <f t="shared" si="1413"/>
        <v>191219</v>
      </c>
      <c r="O2690" s="71" t="s">
        <v>145</v>
      </c>
      <c r="P2690" s="103" t="str">
        <f t="shared" si="1422"/>
        <v>Agfa 정착액 G333C(20L)</v>
      </c>
      <c r="Q2690" s="71">
        <f t="shared" si="1421"/>
        <v>1</v>
      </c>
      <c r="R2690" s="102">
        <f>VLOOKUP(P2690,Price!B:D,3,FALSE)</f>
        <v>60000</v>
      </c>
      <c r="S2690" s="102">
        <f t="shared" si="1425"/>
        <v>66000</v>
      </c>
      <c r="T2690" s="102">
        <f t="shared" si="1426"/>
        <v>60000</v>
      </c>
      <c r="U2690" s="71" t="str">
        <f>IF(J2690=W2690,"O", "X")</f>
        <v>O</v>
      </c>
      <c r="V2690" s="71"/>
      <c r="W2690" s="474">
        <f>(G2690-T2690)</f>
        <v>33000</v>
      </c>
      <c r="X2690" s="71"/>
      <c r="Y2690" s="71"/>
    </row>
    <row r="2691" spans="1:25" ht="30" hidden="1" customHeight="1" x14ac:dyDescent="0.25">
      <c r="A2691" s="82">
        <v>191219</v>
      </c>
      <c r="B2691" s="664" t="s">
        <v>442</v>
      </c>
      <c r="C2691" s="71" t="s">
        <v>206</v>
      </c>
      <c r="D2691" s="71">
        <v>2</v>
      </c>
      <c r="E2691" s="102">
        <v>327000</v>
      </c>
      <c r="F2691" s="102">
        <f>(E2691*D2691)*1.1</f>
        <v>719400</v>
      </c>
      <c r="G2691" s="102">
        <f>(E2691*D2691)</f>
        <v>654000</v>
      </c>
      <c r="H2691" s="690" t="s">
        <v>2029</v>
      </c>
      <c r="I2691" s="71" t="s">
        <v>195</v>
      </c>
      <c r="J2691" s="53">
        <f>(G2691-(VLOOKUP(C2691,[5]Price!B$1:D$65536,3,FALSE)*D2691))</f>
        <v>115800</v>
      </c>
      <c r="K2691" s="63">
        <f t="shared" si="1431"/>
        <v>0.17706422018348625</v>
      </c>
      <c r="L2691" s="871" t="s">
        <v>2142</v>
      </c>
      <c r="M2691" s="468"/>
      <c r="N2691" s="664">
        <f t="shared" si="1413"/>
        <v>191219</v>
      </c>
      <c r="O2691" s="71" t="s">
        <v>194</v>
      </c>
      <c r="P2691" s="103" t="str">
        <f t="shared" si="1422"/>
        <v>Agfa Film(24inch)</v>
      </c>
      <c r="Q2691" s="71">
        <f t="shared" si="1421"/>
        <v>2</v>
      </c>
      <c r="R2691" s="102">
        <v>269100</v>
      </c>
      <c r="S2691" s="102">
        <f t="shared" si="1425"/>
        <v>592020</v>
      </c>
      <c r="T2691" s="102">
        <f t="shared" si="1426"/>
        <v>538200</v>
      </c>
      <c r="U2691" s="71" t="str">
        <f>IF(J2691=W2691,"O", "X")</f>
        <v>O</v>
      </c>
      <c r="V2691" s="71"/>
      <c r="W2691" s="474">
        <f>(G2691-T2691)</f>
        <v>115800</v>
      </c>
      <c r="X2691" s="71"/>
      <c r="Y2691" s="71"/>
    </row>
    <row r="2692" spans="1:25" ht="30" hidden="1" customHeight="1" x14ac:dyDescent="0.25">
      <c r="A2692" s="82">
        <v>191219</v>
      </c>
      <c r="B2692" s="664" t="s">
        <v>442</v>
      </c>
      <c r="C2692" s="71" t="s">
        <v>207</v>
      </c>
      <c r="D2692" s="71">
        <v>2</v>
      </c>
      <c r="E2692" s="102">
        <v>401000</v>
      </c>
      <c r="F2692" s="102">
        <f>(E2692*D2692)*1.1</f>
        <v>882200.00000000012</v>
      </c>
      <c r="G2692" s="102">
        <f>(E2692*D2692)</f>
        <v>802000</v>
      </c>
      <c r="H2692" s="690" t="s">
        <v>2029</v>
      </c>
      <c r="I2692" s="71" t="s">
        <v>195</v>
      </c>
      <c r="J2692" s="53">
        <f>(G2692-(VLOOKUP(C2692,[5]Price!B$1:D$65536,3,FALSE)*D2692))</f>
        <v>174080</v>
      </c>
      <c r="K2692" s="63">
        <f t="shared" si="1431"/>
        <v>0.21705735660847877</v>
      </c>
      <c r="L2692" s="871" t="s">
        <v>2142</v>
      </c>
      <c r="M2692" s="468"/>
      <c r="N2692" s="664">
        <f t="shared" si="1413"/>
        <v>191219</v>
      </c>
      <c r="O2692" s="71" t="s">
        <v>194</v>
      </c>
      <c r="P2692" s="103" t="str">
        <f t="shared" si="1422"/>
        <v>Agfa Film(28inch)</v>
      </c>
      <c r="Q2692" s="71">
        <f t="shared" si="1421"/>
        <v>2</v>
      </c>
      <c r="R2692" s="102">
        <f>VLOOKUP(P2692,[5]Price!B$1:D$65536,3,FALSE)</f>
        <v>313960</v>
      </c>
      <c r="S2692" s="102">
        <f t="shared" si="1425"/>
        <v>690712</v>
      </c>
      <c r="T2692" s="102">
        <f t="shared" si="1426"/>
        <v>627920</v>
      </c>
      <c r="U2692" s="71" t="str">
        <f>IF(J2692=W2692,"O", "X")</f>
        <v>O</v>
      </c>
      <c r="V2692" s="71"/>
      <c r="W2692" s="474">
        <f>(G2692-T2692)</f>
        <v>174080</v>
      </c>
      <c r="X2692" s="71"/>
      <c r="Y2692" s="71"/>
    </row>
    <row r="2693" spans="1:25" ht="30" hidden="1" customHeight="1" x14ac:dyDescent="0.25">
      <c r="A2693" s="82">
        <v>191219</v>
      </c>
      <c r="B2693" s="664" t="s">
        <v>442</v>
      </c>
      <c r="C2693" s="71" t="s">
        <v>208</v>
      </c>
      <c r="D2693" s="71">
        <v>2</v>
      </c>
      <c r="E2693" s="102">
        <v>448000</v>
      </c>
      <c r="F2693" s="102">
        <f>(E2693*D2693)*1.1</f>
        <v>985600.00000000012</v>
      </c>
      <c r="G2693" s="102">
        <f>(E2693*D2693)</f>
        <v>896000</v>
      </c>
      <c r="H2693" s="690" t="s">
        <v>2029</v>
      </c>
      <c r="I2693" s="71" t="s">
        <v>195</v>
      </c>
      <c r="J2693" s="53">
        <f>(G2693-(VLOOKUP(C2693,[5]Price!B$1:D$65536,3,FALSE)*D2693))</f>
        <v>155980</v>
      </c>
      <c r="K2693" s="63">
        <f t="shared" si="1431"/>
        <v>0.1740848214285714</v>
      </c>
      <c r="L2693" s="871" t="s">
        <v>2142</v>
      </c>
      <c r="M2693" s="468"/>
      <c r="N2693" s="664">
        <f t="shared" si="1413"/>
        <v>191219</v>
      </c>
      <c r="O2693" s="71" t="s">
        <v>194</v>
      </c>
      <c r="P2693" s="103" t="str">
        <f t="shared" si="1422"/>
        <v>Agfa Film(32inch)</v>
      </c>
      <c r="Q2693" s="71">
        <f t="shared" si="1421"/>
        <v>2</v>
      </c>
      <c r="R2693" s="102">
        <f>VLOOKUP(P2693,[5]Price!B$1:D$65536,3,FALSE)</f>
        <v>370010</v>
      </c>
      <c r="S2693" s="102">
        <f t="shared" ref="S2693:S2724" si="1432">R2693*Q2693*1.1</f>
        <v>814022.00000000012</v>
      </c>
      <c r="T2693" s="102">
        <f t="shared" ref="T2693:T2724" si="1433">R2693*Q2693</f>
        <v>740020</v>
      </c>
      <c r="U2693" s="71" t="str">
        <f>IF(J2693=W2693,"O", "X")</f>
        <v>O</v>
      </c>
      <c r="V2693" s="71"/>
      <c r="W2693" s="474">
        <f>(G2693-T2693)</f>
        <v>155980</v>
      </c>
      <c r="X2693" s="71"/>
      <c r="Y2693" s="71"/>
    </row>
    <row r="2694" spans="1:25" ht="30" hidden="1" customHeight="1" x14ac:dyDescent="0.25">
      <c r="A2694" s="82">
        <v>191219</v>
      </c>
      <c r="B2694" s="664" t="s">
        <v>546</v>
      </c>
      <c r="C2694" s="71" t="s">
        <v>114</v>
      </c>
      <c r="D2694" s="71">
        <v>40</v>
      </c>
      <c r="E2694" s="102">
        <v>18000</v>
      </c>
      <c r="F2694" s="102">
        <f t="shared" si="1419"/>
        <v>792000.00000000012</v>
      </c>
      <c r="G2694" s="102">
        <f t="shared" si="1420"/>
        <v>720000</v>
      </c>
      <c r="H2694" s="690" t="s">
        <v>1431</v>
      </c>
      <c r="I2694" s="71" t="s">
        <v>1431</v>
      </c>
      <c r="J2694" s="53">
        <f t="shared" ref="J2694:J2703" si="1434">G2694-T2694</f>
        <v>360000</v>
      </c>
      <c r="K2694" s="63">
        <f t="shared" si="1431"/>
        <v>0.49999999999999994</v>
      </c>
      <c r="L2694" s="871" t="s">
        <v>2185</v>
      </c>
      <c r="M2694" s="468"/>
      <c r="N2694" s="664">
        <f t="shared" ref="N2694:N2739" si="1435">A2694</f>
        <v>191219</v>
      </c>
      <c r="O2694" s="71" t="s">
        <v>1431</v>
      </c>
      <c r="P2694" s="103" t="str">
        <f>(C2694)</f>
        <v>스트리퍼</v>
      </c>
      <c r="Q2694" s="71">
        <f t="shared" si="1421"/>
        <v>40</v>
      </c>
      <c r="R2694" s="102">
        <v>9000</v>
      </c>
      <c r="S2694" s="102">
        <f t="shared" si="1432"/>
        <v>396000.00000000006</v>
      </c>
      <c r="T2694" s="102">
        <f t="shared" si="1433"/>
        <v>360000</v>
      </c>
      <c r="U2694" s="71"/>
      <c r="V2694" s="71"/>
      <c r="W2694" s="474"/>
      <c r="X2694" s="71"/>
      <c r="Y2694" s="71"/>
    </row>
    <row r="2695" spans="1:25" ht="30" hidden="1" customHeight="1" x14ac:dyDescent="0.2">
      <c r="A2695" s="82">
        <v>191219</v>
      </c>
      <c r="B2695" s="664" t="s">
        <v>546</v>
      </c>
      <c r="C2695" s="71" t="s">
        <v>114</v>
      </c>
      <c r="D2695" s="71">
        <v>10</v>
      </c>
      <c r="E2695" s="102">
        <v>18000</v>
      </c>
      <c r="F2695" s="163">
        <f t="shared" si="1419"/>
        <v>198000.00000000003</v>
      </c>
      <c r="G2695" s="102">
        <f t="shared" si="1420"/>
        <v>180000</v>
      </c>
      <c r="H2695" s="690" t="s">
        <v>1431</v>
      </c>
      <c r="I2695" s="71" t="s">
        <v>1431</v>
      </c>
      <c r="J2695" s="53">
        <f t="shared" si="1434"/>
        <v>90000</v>
      </c>
      <c r="K2695" s="63">
        <f t="shared" si="1431"/>
        <v>0.49999999999999994</v>
      </c>
      <c r="L2695" s="871" t="s">
        <v>2185</v>
      </c>
      <c r="M2695" s="468"/>
      <c r="N2695" s="664">
        <f t="shared" si="1435"/>
        <v>191219</v>
      </c>
      <c r="O2695" s="71" t="s">
        <v>1431</v>
      </c>
      <c r="P2695" s="103" t="str">
        <f t="shared" si="1422"/>
        <v>스트리퍼</v>
      </c>
      <c r="Q2695" s="71">
        <f t="shared" si="1421"/>
        <v>10</v>
      </c>
      <c r="R2695" s="102">
        <v>9000</v>
      </c>
      <c r="S2695" s="102">
        <f t="shared" si="1432"/>
        <v>99000.000000000015</v>
      </c>
      <c r="T2695" s="102">
        <f t="shared" si="1433"/>
        <v>90000</v>
      </c>
      <c r="U2695" s="71"/>
      <c r="V2695" s="71"/>
      <c r="W2695" s="474"/>
      <c r="X2695" s="71"/>
      <c r="Y2695" s="71"/>
    </row>
    <row r="2696" spans="1:25" ht="30" hidden="1" customHeight="1" x14ac:dyDescent="0.25">
      <c r="A2696" s="82">
        <v>191219</v>
      </c>
      <c r="B2696" s="664" t="s">
        <v>546</v>
      </c>
      <c r="C2696" s="71" t="s">
        <v>2215</v>
      </c>
      <c r="D2696" s="71">
        <v>1</v>
      </c>
      <c r="E2696" s="102">
        <v>2900000</v>
      </c>
      <c r="F2696" s="102">
        <f t="shared" si="1419"/>
        <v>3190000.0000000005</v>
      </c>
      <c r="G2696" s="102">
        <f t="shared" si="1420"/>
        <v>2900000</v>
      </c>
      <c r="H2696" s="690" t="s">
        <v>1431</v>
      </c>
      <c r="I2696" s="71" t="s">
        <v>1431</v>
      </c>
      <c r="J2696" s="53">
        <f t="shared" si="1434"/>
        <v>2900000</v>
      </c>
      <c r="K2696" s="63">
        <f t="shared" si="1431"/>
        <v>0.99999999999999989</v>
      </c>
      <c r="L2696" s="871" t="s">
        <v>2185</v>
      </c>
      <c r="M2696" s="468"/>
      <c r="N2696" s="664">
        <f t="shared" si="1435"/>
        <v>191219</v>
      </c>
      <c r="O2696" s="71" t="s">
        <v>1431</v>
      </c>
      <c r="P2696" s="103" t="str">
        <f t="shared" si="1422"/>
        <v>판걸이 튜브 교체 서비스비용</v>
      </c>
      <c r="Q2696" s="71">
        <f t="shared" si="1421"/>
        <v>1</v>
      </c>
      <c r="R2696" s="102">
        <v>0</v>
      </c>
      <c r="S2696" s="102">
        <f t="shared" si="1432"/>
        <v>0</v>
      </c>
      <c r="T2696" s="102">
        <f t="shared" si="1433"/>
        <v>0</v>
      </c>
      <c r="U2696" s="71"/>
      <c r="V2696" s="71"/>
      <c r="W2696" s="474"/>
      <c r="X2696" s="71"/>
      <c r="Y2696" s="71"/>
    </row>
    <row r="2697" spans="1:25" ht="30" customHeight="1" x14ac:dyDescent="0.2">
      <c r="A2697" s="82">
        <v>191219</v>
      </c>
      <c r="B2697" s="664" t="s">
        <v>2352</v>
      </c>
      <c r="C2697" s="71" t="s">
        <v>2009</v>
      </c>
      <c r="D2697" s="71">
        <v>1</v>
      </c>
      <c r="E2697" s="102">
        <v>300000</v>
      </c>
      <c r="F2697" s="163">
        <f t="shared" si="1419"/>
        <v>330000</v>
      </c>
      <c r="G2697" s="102">
        <f t="shared" si="1420"/>
        <v>300000</v>
      </c>
      <c r="H2697" s="690" t="s">
        <v>985</v>
      </c>
      <c r="I2697" s="71" t="s">
        <v>985</v>
      </c>
      <c r="J2697" s="53">
        <f t="shared" si="1434"/>
        <v>300000</v>
      </c>
      <c r="K2697" s="63">
        <f t="shared" si="1431"/>
        <v>1</v>
      </c>
      <c r="L2697" s="871" t="s">
        <v>2185</v>
      </c>
      <c r="M2697" s="468"/>
      <c r="N2697" s="664">
        <f t="shared" si="1435"/>
        <v>191219</v>
      </c>
      <c r="O2697" s="71" t="s">
        <v>1431</v>
      </c>
      <c r="P2697" s="103" t="str">
        <f t="shared" si="1422"/>
        <v>M600 서비스 비용</v>
      </c>
      <c r="Q2697" s="71">
        <f t="shared" si="1421"/>
        <v>1</v>
      </c>
      <c r="R2697" s="102">
        <v>0</v>
      </c>
      <c r="S2697" s="102">
        <f t="shared" si="1432"/>
        <v>0</v>
      </c>
      <c r="T2697" s="102">
        <f t="shared" si="1433"/>
        <v>0</v>
      </c>
      <c r="U2697" s="71"/>
      <c r="V2697" s="71"/>
      <c r="W2697" s="474"/>
      <c r="X2697" s="71"/>
      <c r="Y2697" s="71"/>
    </row>
    <row r="2698" spans="1:25" ht="30" hidden="1" customHeight="1" x14ac:dyDescent="0.25">
      <c r="A2698" s="82">
        <v>191220</v>
      </c>
      <c r="B2698" s="664" t="s">
        <v>809</v>
      </c>
      <c r="C2698" s="71" t="s">
        <v>1081</v>
      </c>
      <c r="D2698" s="71">
        <v>5</v>
      </c>
      <c r="E2698" s="102">
        <v>156000</v>
      </c>
      <c r="F2698" s="102">
        <f t="shared" si="1419"/>
        <v>858000.00000000012</v>
      </c>
      <c r="G2698" s="102">
        <f t="shared" si="1420"/>
        <v>780000</v>
      </c>
      <c r="H2698" s="690" t="s">
        <v>173</v>
      </c>
      <c r="I2698" s="71" t="s">
        <v>2231</v>
      </c>
      <c r="J2698" s="53">
        <f t="shared" si="1434"/>
        <v>180000</v>
      </c>
      <c r="K2698" s="63">
        <f t="shared" ref="K2698:K2708" si="1436">(J2698/(F2698/11*10))</f>
        <v>0.23076923076923073</v>
      </c>
      <c r="L2698" s="871" t="s">
        <v>2185</v>
      </c>
      <c r="M2698" s="468"/>
      <c r="N2698" s="664">
        <f t="shared" si="1435"/>
        <v>191220</v>
      </c>
      <c r="O2698" s="71" t="s">
        <v>147</v>
      </c>
      <c r="P2698" s="103" t="str">
        <f t="shared" si="1422"/>
        <v>파우더</v>
      </c>
      <c r="Q2698" s="71">
        <f t="shared" si="1421"/>
        <v>5</v>
      </c>
      <c r="R2698" s="102">
        <v>120000</v>
      </c>
      <c r="S2698" s="102">
        <f t="shared" si="1432"/>
        <v>660000</v>
      </c>
      <c r="T2698" s="102">
        <f t="shared" si="1433"/>
        <v>600000</v>
      </c>
      <c r="U2698" s="71" t="str">
        <f>IF(J2698=W2698,"O", "X")</f>
        <v>O</v>
      </c>
      <c r="V2698" s="71"/>
      <c r="W2698" s="474">
        <f>(G2698-T2698)</f>
        <v>180000</v>
      </c>
      <c r="X2698" s="71"/>
      <c r="Y2698" s="71"/>
    </row>
    <row r="2699" spans="1:25" ht="30" hidden="1" customHeight="1" x14ac:dyDescent="0.2">
      <c r="A2699" s="82">
        <v>191220</v>
      </c>
      <c r="B2699" s="664" t="s">
        <v>548</v>
      </c>
      <c r="C2699" s="71" t="s">
        <v>1754</v>
      </c>
      <c r="D2699" s="71">
        <v>2</v>
      </c>
      <c r="E2699" s="102">
        <v>144000</v>
      </c>
      <c r="F2699" s="163">
        <f t="shared" si="1419"/>
        <v>316800</v>
      </c>
      <c r="G2699" s="102">
        <f t="shared" si="1420"/>
        <v>288000</v>
      </c>
      <c r="H2699" s="690" t="s">
        <v>173</v>
      </c>
      <c r="I2699" s="71" t="s">
        <v>108</v>
      </c>
      <c r="J2699" s="53">
        <f t="shared" si="1434"/>
        <v>72000</v>
      </c>
      <c r="K2699" s="63">
        <f t="shared" si="1436"/>
        <v>0.25</v>
      </c>
      <c r="L2699" s="871" t="s">
        <v>2185</v>
      </c>
      <c r="M2699" s="468"/>
      <c r="N2699" s="664">
        <f t="shared" si="1435"/>
        <v>191220</v>
      </c>
      <c r="O2699" s="71" t="s">
        <v>149</v>
      </c>
      <c r="P2699" s="103" t="str">
        <f t="shared" si="1422"/>
        <v>판 클리너(12개)</v>
      </c>
      <c r="Q2699" s="71">
        <f t="shared" si="1421"/>
        <v>2</v>
      </c>
      <c r="R2699" s="102">
        <v>108000</v>
      </c>
      <c r="S2699" s="102">
        <f t="shared" si="1432"/>
        <v>237600.00000000003</v>
      </c>
      <c r="T2699" s="102">
        <f t="shared" si="1433"/>
        <v>216000</v>
      </c>
      <c r="U2699" s="71" t="str">
        <f>IF(J2699=W2699,"O", "X")</f>
        <v>X</v>
      </c>
      <c r="V2699" s="71"/>
      <c r="W2699" s="474"/>
      <c r="X2699" s="71"/>
      <c r="Y2699" s="71"/>
    </row>
    <row r="2700" spans="1:25" s="209" customFormat="1" ht="30" hidden="1" customHeight="1" x14ac:dyDescent="0.2">
      <c r="A2700" s="82">
        <v>191220</v>
      </c>
      <c r="B2700" s="664" t="s">
        <v>2155</v>
      </c>
      <c r="C2700" s="71" t="s">
        <v>138</v>
      </c>
      <c r="D2700" s="71">
        <v>4</v>
      </c>
      <c r="E2700" s="102">
        <v>47600</v>
      </c>
      <c r="F2700" s="102">
        <f t="shared" si="1419"/>
        <v>209440.00000000003</v>
      </c>
      <c r="G2700" s="102">
        <f t="shared" si="1420"/>
        <v>190400</v>
      </c>
      <c r="H2700" s="165" t="s">
        <v>172</v>
      </c>
      <c r="I2700" s="71" t="s">
        <v>108</v>
      </c>
      <c r="J2700" s="53">
        <f t="shared" si="1434"/>
        <v>0</v>
      </c>
      <c r="K2700" s="63">
        <f t="shared" si="1436"/>
        <v>0</v>
      </c>
      <c r="L2700" s="871" t="s">
        <v>2185</v>
      </c>
      <c r="M2700" s="468" t="s">
        <v>2214</v>
      </c>
      <c r="N2700" s="664">
        <f t="shared" si="1435"/>
        <v>191220</v>
      </c>
      <c r="O2700" s="71" t="s">
        <v>1443</v>
      </c>
      <c r="P2700" s="103" t="str">
        <f t="shared" si="1422"/>
        <v>매엽용 세척제(Wash 562)</v>
      </c>
      <c r="Q2700" s="71">
        <f t="shared" si="1421"/>
        <v>4</v>
      </c>
      <c r="R2700" s="102">
        <v>47600</v>
      </c>
      <c r="S2700" s="102">
        <f t="shared" si="1432"/>
        <v>209440.00000000003</v>
      </c>
      <c r="T2700" s="102">
        <f t="shared" si="1433"/>
        <v>190400</v>
      </c>
      <c r="U2700" s="71" t="s">
        <v>859</v>
      </c>
      <c r="V2700" s="71"/>
      <c r="W2700" s="474">
        <v>85000</v>
      </c>
      <c r="X2700" s="71"/>
      <c r="Y2700" s="71"/>
    </row>
    <row r="2701" spans="1:25" s="209" customFormat="1" ht="30" hidden="1" customHeight="1" x14ac:dyDescent="0.2">
      <c r="A2701" s="82">
        <v>191220</v>
      </c>
      <c r="B2701" s="664" t="s">
        <v>445</v>
      </c>
      <c r="C2701" s="71" t="s">
        <v>138</v>
      </c>
      <c r="D2701" s="71">
        <v>6</v>
      </c>
      <c r="E2701" s="102">
        <v>47600</v>
      </c>
      <c r="F2701" s="163">
        <f t="shared" si="1419"/>
        <v>314160</v>
      </c>
      <c r="G2701" s="102">
        <f t="shared" si="1420"/>
        <v>285600</v>
      </c>
      <c r="H2701" s="165" t="s">
        <v>172</v>
      </c>
      <c r="I2701" s="71" t="s">
        <v>108</v>
      </c>
      <c r="J2701" s="53">
        <f t="shared" si="1434"/>
        <v>0</v>
      </c>
      <c r="K2701" s="63">
        <f t="shared" si="1436"/>
        <v>0</v>
      </c>
      <c r="L2701" s="871" t="s">
        <v>2185</v>
      </c>
      <c r="M2701" s="468" t="s">
        <v>2214</v>
      </c>
      <c r="N2701" s="664">
        <f t="shared" si="1435"/>
        <v>191220</v>
      </c>
      <c r="O2701" s="71" t="s">
        <v>1443</v>
      </c>
      <c r="P2701" s="103" t="str">
        <f t="shared" si="1422"/>
        <v>매엽용 세척제(Wash 562)</v>
      </c>
      <c r="Q2701" s="71">
        <f t="shared" si="1421"/>
        <v>6</v>
      </c>
      <c r="R2701" s="102">
        <v>47600</v>
      </c>
      <c r="S2701" s="102">
        <f t="shared" si="1432"/>
        <v>314160</v>
      </c>
      <c r="T2701" s="102">
        <f t="shared" si="1433"/>
        <v>285600</v>
      </c>
      <c r="U2701" s="71" t="s">
        <v>859</v>
      </c>
      <c r="V2701" s="71"/>
      <c r="W2701" s="474">
        <v>85000</v>
      </c>
      <c r="X2701" s="71"/>
      <c r="Y2701" s="71"/>
    </row>
    <row r="2702" spans="1:25" ht="30" hidden="1" customHeight="1" x14ac:dyDescent="0.25">
      <c r="A2702" s="82">
        <v>191223</v>
      </c>
      <c r="B2702" s="664" t="s">
        <v>575</v>
      </c>
      <c r="C2702" s="71" t="s">
        <v>1367</v>
      </c>
      <c r="D2702" s="71">
        <v>8</v>
      </c>
      <c r="E2702" s="102">
        <v>218000</v>
      </c>
      <c r="F2702" s="102">
        <f t="shared" si="1419"/>
        <v>1918400.0000000002</v>
      </c>
      <c r="G2702" s="102">
        <f t="shared" si="1420"/>
        <v>1744000</v>
      </c>
      <c r="H2702" s="690" t="s">
        <v>173</v>
      </c>
      <c r="I2702" s="71" t="s">
        <v>109</v>
      </c>
      <c r="J2702" s="53">
        <f t="shared" si="1434"/>
        <v>781920</v>
      </c>
      <c r="K2702" s="63">
        <f t="shared" si="1436"/>
        <v>0.44834862385321095</v>
      </c>
      <c r="L2702" s="871" t="s">
        <v>2185</v>
      </c>
      <c r="M2702" s="468"/>
      <c r="N2702" s="664">
        <f t="shared" si="1435"/>
        <v>191223</v>
      </c>
      <c r="O2702" s="71" t="s">
        <v>1443</v>
      </c>
      <c r="P2702" s="103" t="str">
        <f>(C2702)</f>
        <v>M600 윤전 블랑켓 995*742</v>
      </c>
      <c r="Q2702" s="71">
        <f t="shared" si="1421"/>
        <v>8</v>
      </c>
      <c r="R2702" s="102">
        <v>120260</v>
      </c>
      <c r="S2702" s="102">
        <f t="shared" si="1432"/>
        <v>1058288</v>
      </c>
      <c r="T2702" s="102">
        <f t="shared" si="1433"/>
        <v>962080</v>
      </c>
      <c r="U2702" s="71" t="str">
        <f>IF(J2702=W2702,"O", "X")</f>
        <v>X</v>
      </c>
      <c r="V2702" s="71"/>
      <c r="W2702" s="474"/>
      <c r="X2702" s="71"/>
      <c r="Y2702" s="71"/>
    </row>
    <row r="2703" spans="1:25" ht="30" hidden="1" customHeight="1" x14ac:dyDescent="0.2">
      <c r="A2703" s="82">
        <v>191223</v>
      </c>
      <c r="B2703" s="664" t="s">
        <v>575</v>
      </c>
      <c r="C2703" s="71" t="s">
        <v>1388</v>
      </c>
      <c r="D2703" s="71">
        <v>2</v>
      </c>
      <c r="E2703" s="102">
        <v>185000</v>
      </c>
      <c r="F2703" s="163">
        <f t="shared" si="1419"/>
        <v>407000.00000000006</v>
      </c>
      <c r="G2703" s="102">
        <f t="shared" si="1420"/>
        <v>370000</v>
      </c>
      <c r="H2703" s="690" t="s">
        <v>2029</v>
      </c>
      <c r="I2703" s="71" t="s">
        <v>108</v>
      </c>
      <c r="J2703" s="53">
        <f t="shared" si="1434"/>
        <v>21394</v>
      </c>
      <c r="K2703" s="63">
        <f t="shared" si="1436"/>
        <v>5.7821621621621612E-2</v>
      </c>
      <c r="L2703" s="871" t="s">
        <v>2185</v>
      </c>
      <c r="M2703" s="468"/>
      <c r="N2703" s="664">
        <f t="shared" si="1435"/>
        <v>191223</v>
      </c>
      <c r="O2703" s="71" t="s">
        <v>1443</v>
      </c>
      <c r="P2703" s="103" t="str">
        <f t="shared" si="1422"/>
        <v>Flint 무알콜 윤전약물(Superaster)</v>
      </c>
      <c r="Q2703" s="71">
        <f t="shared" si="1421"/>
        <v>2</v>
      </c>
      <c r="R2703" s="102">
        <f>120303+54000</f>
        <v>174303</v>
      </c>
      <c r="S2703" s="102">
        <f t="shared" si="1432"/>
        <v>383466.60000000003</v>
      </c>
      <c r="T2703" s="102">
        <f t="shared" si="1433"/>
        <v>348606</v>
      </c>
      <c r="U2703" s="71" t="str">
        <f>IF(J2703=W2703,"O", "X")</f>
        <v>O</v>
      </c>
      <c r="V2703" s="71"/>
      <c r="W2703" s="474">
        <f>(G2703-T2703)</f>
        <v>21394</v>
      </c>
      <c r="X2703" s="71"/>
      <c r="Y2703" s="71"/>
    </row>
    <row r="2704" spans="1:25" ht="30" customHeight="1" x14ac:dyDescent="0.25">
      <c r="A2704" s="82">
        <v>191224</v>
      </c>
      <c r="B2704" s="664" t="s">
        <v>422</v>
      </c>
      <c r="C2704" s="71" t="s">
        <v>129</v>
      </c>
      <c r="D2704" s="71">
        <v>6</v>
      </c>
      <c r="E2704" s="102">
        <v>272000</v>
      </c>
      <c r="F2704" s="102">
        <f t="shared" si="1419"/>
        <v>1795200.0000000002</v>
      </c>
      <c r="G2704" s="102">
        <f t="shared" si="1420"/>
        <v>1632000</v>
      </c>
      <c r="H2704" s="690" t="s">
        <v>173</v>
      </c>
      <c r="I2704" s="71" t="s">
        <v>108</v>
      </c>
      <c r="J2704" s="53">
        <f>(G2704-(VLOOKUP(C2704,Price!B:D,3,FALSE)*D2704))</f>
        <v>384000</v>
      </c>
      <c r="K2704" s="63">
        <f t="shared" si="1436"/>
        <v>0.23529411764705879</v>
      </c>
      <c r="L2704" s="871" t="s">
        <v>2185</v>
      </c>
      <c r="M2704" s="468" t="s">
        <v>2050</v>
      </c>
      <c r="N2704" s="664">
        <f t="shared" si="1435"/>
        <v>191224</v>
      </c>
      <c r="O2704" s="71" t="s">
        <v>149</v>
      </c>
      <c r="P2704" s="103" t="str">
        <f t="shared" si="1422"/>
        <v>세정포-XL106</v>
      </c>
      <c r="Q2704" s="71">
        <f t="shared" si="1421"/>
        <v>6</v>
      </c>
      <c r="R2704" s="102">
        <v>208000</v>
      </c>
      <c r="S2704" s="102">
        <f t="shared" si="1432"/>
        <v>1372800</v>
      </c>
      <c r="T2704" s="102">
        <f t="shared" si="1433"/>
        <v>1248000</v>
      </c>
      <c r="U2704" s="71" t="str">
        <f>IF(J2704=W2704,"O", "X")</f>
        <v>O</v>
      </c>
      <c r="V2704" s="71"/>
      <c r="W2704" s="474">
        <f>(G2704-T2704)</f>
        <v>384000</v>
      </c>
      <c r="X2704" s="71"/>
      <c r="Y2704" s="71"/>
    </row>
    <row r="2705" spans="1:25" s="209" customFormat="1" ht="30" customHeight="1" x14ac:dyDescent="0.2">
      <c r="A2705" s="82">
        <v>191224</v>
      </c>
      <c r="B2705" s="664" t="s">
        <v>422</v>
      </c>
      <c r="C2705" s="71" t="s">
        <v>138</v>
      </c>
      <c r="D2705" s="71">
        <v>10</v>
      </c>
      <c r="E2705" s="102">
        <v>54400</v>
      </c>
      <c r="F2705" s="163">
        <f t="shared" si="1419"/>
        <v>598400</v>
      </c>
      <c r="G2705" s="102">
        <f t="shared" si="1420"/>
        <v>544000</v>
      </c>
      <c r="H2705" s="165" t="s">
        <v>172</v>
      </c>
      <c r="I2705" s="71" t="s">
        <v>184</v>
      </c>
      <c r="J2705" s="53">
        <f>G2705-T2705</f>
        <v>136000</v>
      </c>
      <c r="K2705" s="63">
        <f>(J2705/(F2705/11*10))</f>
        <v>0.25</v>
      </c>
      <c r="L2705" s="871" t="s">
        <v>2185</v>
      </c>
      <c r="M2705" s="468" t="s">
        <v>2214</v>
      </c>
      <c r="N2705" s="664">
        <f t="shared" si="1435"/>
        <v>191224</v>
      </c>
      <c r="O2705" s="71" t="s">
        <v>2030</v>
      </c>
      <c r="P2705" s="103" t="str">
        <f t="shared" si="1422"/>
        <v>매엽용 세척제(Wash 562)</v>
      </c>
      <c r="Q2705" s="71">
        <f t="shared" si="1421"/>
        <v>10</v>
      </c>
      <c r="R2705" s="102">
        <v>40800</v>
      </c>
      <c r="S2705" s="102">
        <f t="shared" si="1432"/>
        <v>448800.00000000006</v>
      </c>
      <c r="T2705" s="102">
        <f t="shared" si="1433"/>
        <v>408000</v>
      </c>
      <c r="U2705" s="71" t="str">
        <f>IF(J2705=W2705,"O", "X")</f>
        <v>O</v>
      </c>
      <c r="V2705" s="71"/>
      <c r="W2705" s="474">
        <f>(G2705-T2705)</f>
        <v>136000</v>
      </c>
      <c r="X2705" s="71"/>
      <c r="Y2705" s="71"/>
    </row>
    <row r="2706" spans="1:25" ht="30" customHeight="1" x14ac:dyDescent="0.25">
      <c r="A2706" s="82">
        <v>191224</v>
      </c>
      <c r="B2706" s="664" t="s">
        <v>422</v>
      </c>
      <c r="C2706" s="71" t="s">
        <v>2031</v>
      </c>
      <c r="D2706" s="71">
        <v>4</v>
      </c>
      <c r="E2706" s="102">
        <v>35000</v>
      </c>
      <c r="F2706" s="102">
        <f t="shared" si="1419"/>
        <v>154000</v>
      </c>
      <c r="G2706" s="102">
        <f t="shared" si="1420"/>
        <v>140000</v>
      </c>
      <c r="H2706" s="690" t="s">
        <v>94</v>
      </c>
      <c r="I2706" s="71" t="s">
        <v>1432</v>
      </c>
      <c r="J2706" s="53">
        <f>G2706-T2706</f>
        <v>50156</v>
      </c>
      <c r="K2706" s="63">
        <f t="shared" si="1436"/>
        <v>0.35825714285714283</v>
      </c>
      <c r="L2706" s="871" t="s">
        <v>2185</v>
      </c>
      <c r="M2706" s="468" t="s">
        <v>2054</v>
      </c>
      <c r="N2706" s="664">
        <f t="shared" si="1435"/>
        <v>191224</v>
      </c>
      <c r="O2706" s="71" t="s">
        <v>94</v>
      </c>
      <c r="P2706" s="103" t="str">
        <f t="shared" si="1422"/>
        <v>필터백</v>
      </c>
      <c r="Q2706" s="71">
        <f t="shared" si="1421"/>
        <v>4</v>
      </c>
      <c r="R2706" s="102">
        <v>22461</v>
      </c>
      <c r="S2706" s="102">
        <f t="shared" si="1432"/>
        <v>98828.400000000009</v>
      </c>
      <c r="T2706" s="102">
        <f t="shared" si="1433"/>
        <v>89844</v>
      </c>
      <c r="U2706" s="71" t="str">
        <f>IF(J2706=W2706,"O", "X")</f>
        <v>X</v>
      </c>
      <c r="V2706" s="71"/>
      <c r="W2706" s="474"/>
      <c r="X2706" s="71"/>
      <c r="Y2706" s="71"/>
    </row>
    <row r="2707" spans="1:25" ht="30" hidden="1" customHeight="1" x14ac:dyDescent="0.2">
      <c r="A2707" s="82">
        <v>191224</v>
      </c>
      <c r="B2707" s="664" t="s">
        <v>627</v>
      </c>
      <c r="C2707" s="71" t="s">
        <v>2208</v>
      </c>
      <c r="D2707" s="71">
        <v>1</v>
      </c>
      <c r="E2707" s="102">
        <v>2800000</v>
      </c>
      <c r="F2707" s="163">
        <f t="shared" si="1419"/>
        <v>3080000.0000000005</v>
      </c>
      <c r="G2707" s="102">
        <f t="shared" si="1420"/>
        <v>2800000</v>
      </c>
      <c r="H2707" s="690" t="s">
        <v>1431</v>
      </c>
      <c r="I2707" s="71" t="s">
        <v>1431</v>
      </c>
      <c r="J2707" s="53">
        <f>G2707-T2707</f>
        <v>1400000</v>
      </c>
      <c r="K2707" s="63">
        <f t="shared" si="1436"/>
        <v>0.49999999999999994</v>
      </c>
      <c r="L2707" s="871" t="s">
        <v>2185</v>
      </c>
      <c r="M2707" s="468"/>
      <c r="N2707" s="664">
        <f t="shared" si="1435"/>
        <v>191224</v>
      </c>
      <c r="O2707" s="71" t="s">
        <v>1431</v>
      </c>
      <c r="P2707" s="103" t="str">
        <f t="shared" si="1422"/>
        <v>타코 제네레이터, 터치 키 패드</v>
      </c>
      <c r="Q2707" s="71">
        <f t="shared" si="1421"/>
        <v>1</v>
      </c>
      <c r="R2707" s="102">
        <v>1400000</v>
      </c>
      <c r="S2707" s="102">
        <f t="shared" si="1432"/>
        <v>1540000.0000000002</v>
      </c>
      <c r="T2707" s="102">
        <f t="shared" si="1433"/>
        <v>1400000</v>
      </c>
      <c r="U2707" s="71"/>
      <c r="V2707" s="71"/>
      <c r="W2707" s="474"/>
      <c r="X2707" s="71"/>
      <c r="Y2707" s="71"/>
    </row>
    <row r="2708" spans="1:25" ht="30" hidden="1" customHeight="1" x14ac:dyDescent="0.25">
      <c r="A2708" s="82">
        <v>191224</v>
      </c>
      <c r="B2708" s="664" t="s">
        <v>627</v>
      </c>
      <c r="C2708" s="71" t="s">
        <v>2209</v>
      </c>
      <c r="D2708" s="71">
        <v>1</v>
      </c>
      <c r="E2708" s="102">
        <v>3500000</v>
      </c>
      <c r="F2708" s="102">
        <f t="shared" si="1419"/>
        <v>3850000.0000000005</v>
      </c>
      <c r="G2708" s="102">
        <f t="shared" si="1420"/>
        <v>3500000</v>
      </c>
      <c r="H2708" s="690" t="s">
        <v>1431</v>
      </c>
      <c r="I2708" s="71" t="s">
        <v>1431</v>
      </c>
      <c r="J2708" s="53">
        <f>G2708-T2708</f>
        <v>1749791</v>
      </c>
      <c r="K2708" s="63">
        <f t="shared" si="1436"/>
        <v>0.49994028571428567</v>
      </c>
      <c r="L2708" s="871" t="s">
        <v>2185</v>
      </c>
      <c r="M2708" s="468"/>
      <c r="N2708" s="664">
        <f t="shared" si="1435"/>
        <v>191224</v>
      </c>
      <c r="O2708" s="71" t="s">
        <v>1431</v>
      </c>
      <c r="P2708" s="103" t="str">
        <f t="shared" si="1422"/>
        <v>에어실린더 9개</v>
      </c>
      <c r="Q2708" s="71">
        <f t="shared" si="1421"/>
        <v>1</v>
      </c>
      <c r="R2708" s="102">
        <v>1750209</v>
      </c>
      <c r="S2708" s="102">
        <f t="shared" si="1432"/>
        <v>1925229.9000000001</v>
      </c>
      <c r="T2708" s="102">
        <f t="shared" si="1433"/>
        <v>1750209</v>
      </c>
      <c r="U2708" s="71"/>
      <c r="V2708" s="71"/>
      <c r="W2708" s="474"/>
      <c r="X2708" s="71"/>
      <c r="Y2708" s="71"/>
    </row>
    <row r="2709" spans="1:25" s="209" customFormat="1" ht="30" hidden="1" customHeight="1" x14ac:dyDescent="0.2">
      <c r="A2709" s="82">
        <v>191224</v>
      </c>
      <c r="B2709" s="664" t="s">
        <v>1286</v>
      </c>
      <c r="C2709" s="71" t="s">
        <v>231</v>
      </c>
      <c r="D2709" s="71">
        <v>10</v>
      </c>
      <c r="E2709" s="102">
        <v>120000</v>
      </c>
      <c r="F2709" s="163">
        <f t="shared" si="1419"/>
        <v>1320000</v>
      </c>
      <c r="G2709" s="102">
        <f t="shared" si="1420"/>
        <v>1200000</v>
      </c>
      <c r="H2709" s="165" t="s">
        <v>172</v>
      </c>
      <c r="I2709" s="71" t="s">
        <v>109</v>
      </c>
      <c r="J2709" s="53">
        <f>(G2709-(VLOOKUP(C2709,Price!B:D,3,FALSE)*D2709))</f>
        <v>80000</v>
      </c>
      <c r="K2709" s="63">
        <f t="shared" ref="K2709:K2716" si="1437">(J2709/(F2709/11*10))</f>
        <v>6.6666666666666666E-2</v>
      </c>
      <c r="L2709" s="871" t="s">
        <v>2185</v>
      </c>
      <c r="M2709" s="468"/>
      <c r="N2709" s="664">
        <f t="shared" si="1435"/>
        <v>191224</v>
      </c>
      <c r="O2709" s="71" t="s">
        <v>151</v>
      </c>
      <c r="P2709" s="103" t="str">
        <f t="shared" si="1422"/>
        <v>Blanket(990*725)</v>
      </c>
      <c r="Q2709" s="71">
        <f t="shared" si="1421"/>
        <v>10</v>
      </c>
      <c r="R2709" s="102">
        <v>112000</v>
      </c>
      <c r="S2709" s="102">
        <f t="shared" si="1432"/>
        <v>1232000</v>
      </c>
      <c r="T2709" s="102">
        <f t="shared" si="1433"/>
        <v>1120000</v>
      </c>
      <c r="U2709" s="71" t="str">
        <f>IF(J2709=W2709,"O", "X")</f>
        <v>O</v>
      </c>
      <c r="V2709" s="71"/>
      <c r="W2709" s="474">
        <f>(G2709-T2709)</f>
        <v>80000</v>
      </c>
      <c r="X2709" s="71"/>
      <c r="Y2709" s="71"/>
    </row>
    <row r="2710" spans="1:25" ht="30" hidden="1" customHeight="1" x14ac:dyDescent="0.25">
      <c r="A2710" s="82">
        <v>191224</v>
      </c>
      <c r="B2710" s="664" t="s">
        <v>442</v>
      </c>
      <c r="C2710" s="71" t="s">
        <v>651</v>
      </c>
      <c r="D2710" s="71">
        <v>10</v>
      </c>
      <c r="E2710" s="102">
        <v>41000</v>
      </c>
      <c r="F2710" s="102">
        <f t="shared" si="1419"/>
        <v>451000.00000000006</v>
      </c>
      <c r="G2710" s="102">
        <f t="shared" si="1420"/>
        <v>410000</v>
      </c>
      <c r="H2710" s="690" t="s">
        <v>2029</v>
      </c>
      <c r="I2710" s="71" t="s">
        <v>195</v>
      </c>
      <c r="J2710" s="53">
        <f>(G2710-(VLOOKUP(C2710,[5]Price!B$1:D$65536,3,FALSE)*D2710))</f>
        <v>160000</v>
      </c>
      <c r="K2710" s="63">
        <f t="shared" si="1437"/>
        <v>0.39024390243902435</v>
      </c>
      <c r="L2710" s="871" t="s">
        <v>2142</v>
      </c>
      <c r="M2710" s="468"/>
      <c r="N2710" s="664">
        <f t="shared" si="1435"/>
        <v>191224</v>
      </c>
      <c r="O2710" s="71" t="s">
        <v>194</v>
      </c>
      <c r="P2710" s="103" t="str">
        <f>(C2710)</f>
        <v>Agfa 현상액 G101C(10L)</v>
      </c>
      <c r="Q2710" s="71">
        <f t="shared" ref="Q2710:Q2739" si="1438">D2710</f>
        <v>10</v>
      </c>
      <c r="R2710" s="102">
        <f>VLOOKUP(P2710,[5]Price!B$1:D$65536,3,FALSE)</f>
        <v>25000</v>
      </c>
      <c r="S2710" s="102">
        <f t="shared" si="1432"/>
        <v>275000</v>
      </c>
      <c r="T2710" s="102">
        <f t="shared" si="1433"/>
        <v>250000</v>
      </c>
      <c r="U2710" s="71" t="str">
        <f>IF(J2710=W2710,"O", "X")</f>
        <v>O</v>
      </c>
      <c r="V2710" s="71"/>
      <c r="W2710" s="474">
        <f>(G2710-T2710)</f>
        <v>160000</v>
      </c>
      <c r="X2710" s="71"/>
      <c r="Y2710" s="71"/>
    </row>
    <row r="2711" spans="1:25" ht="30" hidden="1" customHeight="1" x14ac:dyDescent="0.25">
      <c r="A2711" s="82">
        <v>191224</v>
      </c>
      <c r="B2711" s="664" t="s">
        <v>856</v>
      </c>
      <c r="C2711" s="71" t="s">
        <v>2220</v>
      </c>
      <c r="D2711" s="71">
        <v>1</v>
      </c>
      <c r="E2711" s="102">
        <v>1210000</v>
      </c>
      <c r="F2711" s="102">
        <f t="shared" si="1419"/>
        <v>1331000</v>
      </c>
      <c r="G2711" s="102">
        <f t="shared" si="1420"/>
        <v>1210000</v>
      </c>
      <c r="H2711" s="690" t="s">
        <v>1432</v>
      </c>
      <c r="I2711" s="71" t="s">
        <v>1432</v>
      </c>
      <c r="J2711" s="53">
        <f>G2711-T2711</f>
        <v>910000</v>
      </c>
      <c r="K2711" s="63">
        <f t="shared" si="1437"/>
        <v>0.75206611570247939</v>
      </c>
      <c r="L2711" s="871" t="s">
        <v>2142</v>
      </c>
      <c r="M2711" s="468"/>
      <c r="N2711" s="664">
        <f t="shared" si="1435"/>
        <v>191224</v>
      </c>
      <c r="O2711" s="71" t="s">
        <v>1432</v>
      </c>
      <c r="P2711" s="103" t="str">
        <f t="shared" ref="P2711:P2739" si="1439">C2711</f>
        <v>도저 부품</v>
      </c>
      <c r="Q2711" s="71">
        <f t="shared" si="1438"/>
        <v>1</v>
      </c>
      <c r="R2711" s="102">
        <v>300000</v>
      </c>
      <c r="S2711" s="102">
        <f t="shared" si="1432"/>
        <v>330000</v>
      </c>
      <c r="T2711" s="102">
        <f t="shared" si="1433"/>
        <v>300000</v>
      </c>
      <c r="U2711" s="71"/>
      <c r="V2711" s="71"/>
      <c r="W2711" s="474"/>
      <c r="X2711" s="71"/>
      <c r="Y2711" s="71"/>
    </row>
    <row r="2712" spans="1:25" ht="30" hidden="1" customHeight="1" x14ac:dyDescent="0.25">
      <c r="A2712" s="82">
        <v>191226</v>
      </c>
      <c r="B2712" s="664" t="s">
        <v>550</v>
      </c>
      <c r="C2712" s="71" t="s">
        <v>2221</v>
      </c>
      <c r="D2712" s="71">
        <v>1</v>
      </c>
      <c r="E2712" s="102">
        <v>1800000</v>
      </c>
      <c r="F2712" s="102">
        <f>(E2712*D2712)*1.1</f>
        <v>1980000.0000000002</v>
      </c>
      <c r="G2712" s="102">
        <f>(E2712*D2712)</f>
        <v>1800000</v>
      </c>
      <c r="H2712" s="690" t="s">
        <v>1431</v>
      </c>
      <c r="I2712" s="71" t="s">
        <v>1431</v>
      </c>
      <c r="J2712" s="53">
        <f>G2712-T2712</f>
        <v>1300000</v>
      </c>
      <c r="K2712" s="63">
        <f t="shared" si="1437"/>
        <v>0.7222222222222221</v>
      </c>
      <c r="L2712" s="871" t="s">
        <v>2142</v>
      </c>
      <c r="M2712" s="468"/>
      <c r="N2712" s="664">
        <f t="shared" si="1435"/>
        <v>191226</v>
      </c>
      <c r="O2712" s="71" t="s">
        <v>1431</v>
      </c>
      <c r="P2712" s="103" t="str">
        <f t="shared" si="1439"/>
        <v>16채널 드라이브 보드</v>
      </c>
      <c r="Q2712" s="71">
        <f t="shared" si="1438"/>
        <v>1</v>
      </c>
      <c r="R2712" s="102">
        <v>500000</v>
      </c>
      <c r="S2712" s="102">
        <f t="shared" si="1432"/>
        <v>550000</v>
      </c>
      <c r="T2712" s="102">
        <f t="shared" si="1433"/>
        <v>500000</v>
      </c>
      <c r="U2712" s="71"/>
      <c r="V2712" s="71"/>
      <c r="W2712" s="474"/>
      <c r="X2712" s="71"/>
      <c r="Y2712" s="71"/>
    </row>
    <row r="2713" spans="1:25" ht="30" hidden="1" customHeight="1" x14ac:dyDescent="0.25">
      <c r="A2713" s="82">
        <v>191226</v>
      </c>
      <c r="B2713" s="664" t="s">
        <v>2103</v>
      </c>
      <c r="C2713" s="71" t="s">
        <v>1607</v>
      </c>
      <c r="D2713" s="71">
        <v>1288</v>
      </c>
      <c r="E2713" s="102">
        <v>1000</v>
      </c>
      <c r="F2713" s="102">
        <f>(E2713*D2713)*1.1</f>
        <v>1416800</v>
      </c>
      <c r="G2713" s="102">
        <f>(E2713*D2713)</f>
        <v>1288000</v>
      </c>
      <c r="H2713" s="690" t="s">
        <v>173</v>
      </c>
      <c r="I2713" s="71" t="s">
        <v>2230</v>
      </c>
      <c r="J2713" s="53">
        <f>G2713-T2713</f>
        <v>1288000</v>
      </c>
      <c r="K2713" s="63">
        <f t="shared" si="1437"/>
        <v>1</v>
      </c>
      <c r="L2713" s="871" t="s">
        <v>2142</v>
      </c>
      <c r="M2713" s="468"/>
      <c r="N2713" s="664">
        <f t="shared" si="1435"/>
        <v>191226</v>
      </c>
      <c r="O2713" s="71"/>
      <c r="P2713" s="103" t="str">
        <f t="shared" si="1439"/>
        <v>폐판수거(세흥인쇄)</v>
      </c>
      <c r="Q2713" s="71">
        <f t="shared" si="1438"/>
        <v>1288</v>
      </c>
      <c r="R2713" s="102">
        <v>0</v>
      </c>
      <c r="S2713" s="102">
        <f t="shared" si="1432"/>
        <v>0</v>
      </c>
      <c r="T2713" s="102">
        <f t="shared" si="1433"/>
        <v>0</v>
      </c>
      <c r="U2713" s="71"/>
      <c r="V2713" s="71"/>
      <c r="W2713" s="474"/>
      <c r="X2713" s="71"/>
      <c r="Y2713" s="71"/>
    </row>
    <row r="2714" spans="1:25" s="209" customFormat="1" ht="30" hidden="1" customHeight="1" x14ac:dyDescent="0.25">
      <c r="A2714" s="82">
        <v>191226</v>
      </c>
      <c r="B2714" s="664" t="s">
        <v>1286</v>
      </c>
      <c r="C2714" s="71" t="s">
        <v>277</v>
      </c>
      <c r="D2714" s="71">
        <v>5</v>
      </c>
      <c r="E2714" s="102">
        <v>172000</v>
      </c>
      <c r="F2714" s="102">
        <f t="shared" si="1419"/>
        <v>946000.00000000012</v>
      </c>
      <c r="G2714" s="102">
        <f t="shared" si="1420"/>
        <v>860000</v>
      </c>
      <c r="H2714" s="690" t="s">
        <v>173</v>
      </c>
      <c r="I2714" s="71" t="s">
        <v>108</v>
      </c>
      <c r="J2714" s="53">
        <f>(G2714-(VLOOKUP(C2714,Price!B:D,3,FALSE)*D2714))</f>
        <v>285000</v>
      </c>
      <c r="K2714" s="63">
        <f t="shared" si="1437"/>
        <v>0.33139534883720928</v>
      </c>
      <c r="L2714" s="871" t="s">
        <v>2185</v>
      </c>
      <c r="M2714" s="468"/>
      <c r="N2714" s="664">
        <f t="shared" si="1435"/>
        <v>191226</v>
      </c>
      <c r="O2714" s="71" t="s">
        <v>150</v>
      </c>
      <c r="P2714" s="103" t="str">
        <f t="shared" si="1439"/>
        <v>윤전용 세척제(Web 504)</v>
      </c>
      <c r="Q2714" s="71">
        <f t="shared" si="1438"/>
        <v>5</v>
      </c>
      <c r="R2714" s="102">
        <v>115000</v>
      </c>
      <c r="S2714" s="102">
        <f t="shared" si="1432"/>
        <v>632500</v>
      </c>
      <c r="T2714" s="102">
        <f t="shared" si="1433"/>
        <v>575000</v>
      </c>
      <c r="U2714" s="71" t="str">
        <f>IF(J2714=W2714,"O", "X")</f>
        <v>O</v>
      </c>
      <c r="V2714" s="71"/>
      <c r="W2714" s="474">
        <f>(G2714-T2714)</f>
        <v>285000</v>
      </c>
      <c r="X2714" s="71"/>
      <c r="Y2714" s="71"/>
    </row>
    <row r="2715" spans="1:25" s="209" customFormat="1" ht="30" hidden="1" customHeight="1" x14ac:dyDescent="0.2">
      <c r="A2715" s="82">
        <v>191226</v>
      </c>
      <c r="B2715" s="664" t="s">
        <v>445</v>
      </c>
      <c r="C2715" s="71" t="s">
        <v>137</v>
      </c>
      <c r="D2715" s="71">
        <v>7</v>
      </c>
      <c r="E2715" s="102">
        <v>172000</v>
      </c>
      <c r="F2715" s="163">
        <f t="shared" si="1419"/>
        <v>1324400</v>
      </c>
      <c r="G2715" s="102">
        <f t="shared" si="1420"/>
        <v>1204000</v>
      </c>
      <c r="H2715" s="690" t="s">
        <v>173</v>
      </c>
      <c r="I2715" s="71" t="s">
        <v>108</v>
      </c>
      <c r="J2715" s="53">
        <f t="shared" ref="J2715:J2739" si="1440">G2715-T2715</f>
        <v>399000</v>
      </c>
      <c r="K2715" s="63">
        <f t="shared" si="1437"/>
        <v>0.33139534883720928</v>
      </c>
      <c r="L2715" s="871" t="s">
        <v>2185</v>
      </c>
      <c r="M2715" s="468"/>
      <c r="N2715" s="664">
        <f t="shared" si="1435"/>
        <v>191226</v>
      </c>
      <c r="O2715" s="71" t="s">
        <v>150</v>
      </c>
      <c r="P2715" s="103" t="str">
        <f t="shared" si="1439"/>
        <v>윤전용 세척제(Web 504)</v>
      </c>
      <c r="Q2715" s="71">
        <f t="shared" si="1438"/>
        <v>7</v>
      </c>
      <c r="R2715" s="102">
        <v>115000</v>
      </c>
      <c r="S2715" s="102">
        <f t="shared" si="1432"/>
        <v>885500.00000000012</v>
      </c>
      <c r="T2715" s="102">
        <f t="shared" si="1433"/>
        <v>805000</v>
      </c>
      <c r="U2715" s="71" t="s">
        <v>859</v>
      </c>
      <c r="V2715" s="71"/>
      <c r="W2715" s="474">
        <v>285000</v>
      </c>
      <c r="X2715" s="71"/>
      <c r="Y2715" s="71"/>
    </row>
    <row r="2716" spans="1:25" s="209" customFormat="1" ht="30" hidden="1" customHeight="1" x14ac:dyDescent="0.2">
      <c r="A2716" s="82">
        <v>191227</v>
      </c>
      <c r="B2716" s="664" t="s">
        <v>445</v>
      </c>
      <c r="C2716" s="71" t="s">
        <v>138</v>
      </c>
      <c r="D2716" s="71">
        <v>6</v>
      </c>
      <c r="E2716" s="102">
        <v>47600</v>
      </c>
      <c r="F2716" s="102">
        <f t="shared" si="1419"/>
        <v>314160</v>
      </c>
      <c r="G2716" s="102">
        <f t="shared" si="1420"/>
        <v>285600</v>
      </c>
      <c r="H2716" s="165" t="s">
        <v>172</v>
      </c>
      <c r="I2716" s="71" t="s">
        <v>108</v>
      </c>
      <c r="J2716" s="53">
        <f t="shared" si="1440"/>
        <v>40800</v>
      </c>
      <c r="K2716" s="63">
        <f t="shared" si="1437"/>
        <v>0.14285714285714285</v>
      </c>
      <c r="L2716" s="871" t="s">
        <v>2185</v>
      </c>
      <c r="M2716" s="468" t="s">
        <v>2214</v>
      </c>
      <c r="N2716" s="664">
        <f t="shared" si="1435"/>
        <v>191227</v>
      </c>
      <c r="O2716" s="71" t="s">
        <v>150</v>
      </c>
      <c r="P2716" s="103" t="str">
        <f t="shared" si="1439"/>
        <v>매엽용 세척제(Wash 562)</v>
      </c>
      <c r="Q2716" s="71">
        <f t="shared" si="1438"/>
        <v>6</v>
      </c>
      <c r="R2716" s="102">
        <v>40800</v>
      </c>
      <c r="S2716" s="102">
        <f t="shared" si="1432"/>
        <v>269280</v>
      </c>
      <c r="T2716" s="102">
        <f t="shared" si="1433"/>
        <v>244800</v>
      </c>
      <c r="U2716" s="71" t="s">
        <v>859</v>
      </c>
      <c r="V2716" s="71"/>
      <c r="W2716" s="474">
        <v>85000</v>
      </c>
      <c r="X2716" s="71"/>
      <c r="Y2716" s="71"/>
    </row>
    <row r="2717" spans="1:25" ht="30" hidden="1" customHeight="1" x14ac:dyDescent="0.25">
      <c r="A2717" s="82">
        <v>191226</v>
      </c>
      <c r="B2717" s="664" t="s">
        <v>1051</v>
      </c>
      <c r="C2717" s="71" t="s">
        <v>1294</v>
      </c>
      <c r="D2717" s="71">
        <v>2100</v>
      </c>
      <c r="E2717" s="102">
        <v>6120</v>
      </c>
      <c r="F2717" s="102">
        <f t="shared" si="1419"/>
        <v>14137200.000000002</v>
      </c>
      <c r="G2717" s="102">
        <f t="shared" si="1420"/>
        <v>12852000</v>
      </c>
      <c r="H2717" s="690" t="s">
        <v>142</v>
      </c>
      <c r="I2717" s="71" t="s">
        <v>2273</v>
      </c>
      <c r="J2717" s="53">
        <f t="shared" si="1440"/>
        <v>4452000</v>
      </c>
      <c r="K2717" s="63">
        <f t="shared" ref="K2717:K2724" si="1441">(J2717/(F2717/11*10))</f>
        <v>0.34640522875816987</v>
      </c>
      <c r="L2717" s="871" t="s">
        <v>2185</v>
      </c>
      <c r="M2717" s="468"/>
      <c r="N2717" s="664">
        <f t="shared" si="1435"/>
        <v>191226</v>
      </c>
      <c r="O2717" s="71" t="s">
        <v>145</v>
      </c>
      <c r="P2717" s="103" t="str">
        <f t="shared" si="1439"/>
        <v>ENGAGE 1030*790</v>
      </c>
      <c r="Q2717" s="71">
        <f t="shared" si="1438"/>
        <v>2100</v>
      </c>
      <c r="R2717" s="102">
        <v>4000</v>
      </c>
      <c r="S2717" s="102">
        <f t="shared" si="1432"/>
        <v>9240000</v>
      </c>
      <c r="T2717" s="102">
        <f t="shared" si="1433"/>
        <v>8400000</v>
      </c>
      <c r="U2717" s="71" t="str">
        <f t="shared" ref="U2717:U2737" si="1442">IF(J2717=W2717,"O", "X")</f>
        <v>O</v>
      </c>
      <c r="V2717" s="71"/>
      <c r="W2717" s="474">
        <f t="shared" ref="W2717:W2737" si="1443">(G2717-T2717)</f>
        <v>4452000</v>
      </c>
      <c r="X2717" s="71"/>
      <c r="Y2717" s="71"/>
    </row>
    <row r="2718" spans="1:25" ht="30" hidden="1" customHeight="1" x14ac:dyDescent="0.25">
      <c r="A2718" s="82">
        <v>191226</v>
      </c>
      <c r="B2718" s="664" t="s">
        <v>1051</v>
      </c>
      <c r="C2718" s="71" t="s">
        <v>1384</v>
      </c>
      <c r="D2718" s="71">
        <v>1400</v>
      </c>
      <c r="E2718" s="102">
        <v>3850</v>
      </c>
      <c r="F2718" s="102">
        <f t="shared" si="1419"/>
        <v>5929000.0000000009</v>
      </c>
      <c r="G2718" s="102">
        <f t="shared" si="1420"/>
        <v>5390000</v>
      </c>
      <c r="H2718" s="690" t="s">
        <v>142</v>
      </c>
      <c r="I2718" s="71" t="s">
        <v>2273</v>
      </c>
      <c r="J2718" s="53">
        <f t="shared" si="1440"/>
        <v>1862000</v>
      </c>
      <c r="K2718" s="63">
        <f t="shared" si="1441"/>
        <v>0.3454545454545454</v>
      </c>
      <c r="L2718" s="871" t="s">
        <v>2185</v>
      </c>
      <c r="M2718" s="468"/>
      <c r="N2718" s="664">
        <f t="shared" si="1435"/>
        <v>191226</v>
      </c>
      <c r="O2718" s="71" t="s">
        <v>145</v>
      </c>
      <c r="P2718" s="103" t="str">
        <f>(C2718)</f>
        <v>ENGAGE 900X571 - 27RO</v>
      </c>
      <c r="Q2718" s="71">
        <f t="shared" si="1438"/>
        <v>1400</v>
      </c>
      <c r="R2718" s="102">
        <v>2520</v>
      </c>
      <c r="S2718" s="102">
        <f t="shared" si="1432"/>
        <v>3880800.0000000005</v>
      </c>
      <c r="T2718" s="102">
        <f t="shared" si="1433"/>
        <v>3528000</v>
      </c>
      <c r="U2718" s="71" t="str">
        <f t="shared" si="1442"/>
        <v>O</v>
      </c>
      <c r="V2718" s="71"/>
      <c r="W2718" s="474">
        <f t="shared" si="1443"/>
        <v>1862000</v>
      </c>
      <c r="X2718" s="71"/>
      <c r="Y2718" s="71"/>
    </row>
    <row r="2719" spans="1:25" ht="30" hidden="1" customHeight="1" x14ac:dyDescent="0.25">
      <c r="A2719" s="82">
        <v>191226</v>
      </c>
      <c r="B2719" s="664" t="s">
        <v>1051</v>
      </c>
      <c r="C2719" s="71" t="s">
        <v>951</v>
      </c>
      <c r="D2719" s="71">
        <v>3100</v>
      </c>
      <c r="E2719" s="102">
        <v>3670</v>
      </c>
      <c r="F2719" s="102">
        <f t="shared" si="1419"/>
        <v>12514700.000000002</v>
      </c>
      <c r="G2719" s="102">
        <f t="shared" si="1420"/>
        <v>11377000</v>
      </c>
      <c r="H2719" s="690" t="s">
        <v>142</v>
      </c>
      <c r="I2719" s="71" t="s">
        <v>2273</v>
      </c>
      <c r="J2719" s="53">
        <f t="shared" si="1440"/>
        <v>3968000</v>
      </c>
      <c r="K2719" s="63">
        <f t="shared" si="1441"/>
        <v>0.34877384196185279</v>
      </c>
      <c r="L2719" s="871" t="s">
        <v>2185</v>
      </c>
      <c r="M2719" s="468"/>
      <c r="N2719" s="664">
        <f t="shared" si="1435"/>
        <v>191226</v>
      </c>
      <c r="O2719" s="71" t="s">
        <v>145</v>
      </c>
      <c r="P2719" s="103" t="str">
        <f t="shared" si="1439"/>
        <v>ENGAGE 30WEB(883*552)</v>
      </c>
      <c r="Q2719" s="71">
        <f t="shared" si="1438"/>
        <v>3100</v>
      </c>
      <c r="R2719" s="102">
        <v>2390</v>
      </c>
      <c r="S2719" s="102">
        <f t="shared" si="1432"/>
        <v>8149900.0000000009</v>
      </c>
      <c r="T2719" s="102">
        <f t="shared" si="1433"/>
        <v>7409000</v>
      </c>
      <c r="U2719" s="71" t="str">
        <f t="shared" si="1442"/>
        <v>O</v>
      </c>
      <c r="V2719" s="71"/>
      <c r="W2719" s="474">
        <f t="shared" si="1443"/>
        <v>3968000</v>
      </c>
      <c r="X2719" s="71"/>
      <c r="Y2719" s="71"/>
    </row>
    <row r="2720" spans="1:25" ht="30" hidden="1" customHeight="1" x14ac:dyDescent="0.25">
      <c r="A2720" s="82">
        <v>191226</v>
      </c>
      <c r="B2720" s="664" t="s">
        <v>1051</v>
      </c>
      <c r="C2720" s="71" t="s">
        <v>2219</v>
      </c>
      <c r="D2720" s="71">
        <v>800</v>
      </c>
      <c r="E2720" s="102">
        <v>6200</v>
      </c>
      <c r="F2720" s="102">
        <f>(E2720*D2720)*1.1</f>
        <v>5456000</v>
      </c>
      <c r="G2720" s="102">
        <f>(E2720*D2720)</f>
        <v>4960000</v>
      </c>
      <c r="H2720" s="690" t="s">
        <v>142</v>
      </c>
      <c r="I2720" s="71" t="s">
        <v>2273</v>
      </c>
      <c r="J2720" s="53">
        <f t="shared" si="1440"/>
        <v>1589873.4177215192</v>
      </c>
      <c r="K2720" s="63">
        <f t="shared" si="1441"/>
        <v>0.32053899550837084</v>
      </c>
      <c r="L2720" s="871" t="s">
        <v>2185</v>
      </c>
      <c r="M2720" s="468"/>
      <c r="N2720" s="664">
        <f t="shared" si="1435"/>
        <v>191226</v>
      </c>
      <c r="O2720" s="71" t="s">
        <v>145</v>
      </c>
      <c r="P2720" s="103" t="str">
        <f t="shared" si="1439"/>
        <v>ENGAGE 1030*800</v>
      </c>
      <c r="Q2720" s="71">
        <f t="shared" si="1438"/>
        <v>800</v>
      </c>
      <c r="R2720" s="102">
        <f>4160/790*800</f>
        <v>4212.658227848101</v>
      </c>
      <c r="S2720" s="102">
        <f t="shared" si="1432"/>
        <v>3707139.2405063291</v>
      </c>
      <c r="T2720" s="102">
        <f t="shared" si="1433"/>
        <v>3370126.5822784808</v>
      </c>
      <c r="U2720" s="71" t="str">
        <f t="shared" si="1442"/>
        <v>O</v>
      </c>
      <c r="V2720" s="71"/>
      <c r="W2720" s="474">
        <f t="shared" si="1443"/>
        <v>1589873.4177215192</v>
      </c>
      <c r="X2720" s="71"/>
      <c r="Y2720" s="71"/>
    </row>
    <row r="2721" spans="1:25" ht="30" hidden="1" customHeight="1" x14ac:dyDescent="0.25">
      <c r="A2721" s="82">
        <v>191226</v>
      </c>
      <c r="B2721" s="664" t="s">
        <v>1051</v>
      </c>
      <c r="C2721" s="71" t="s">
        <v>1383</v>
      </c>
      <c r="D2721" s="71">
        <v>400</v>
      </c>
      <c r="E2721" s="102">
        <v>6430</v>
      </c>
      <c r="F2721" s="102">
        <f t="shared" si="1419"/>
        <v>2829200</v>
      </c>
      <c r="G2721" s="102">
        <f t="shared" si="1420"/>
        <v>2572000</v>
      </c>
      <c r="H2721" s="690" t="s">
        <v>142</v>
      </c>
      <c r="I2721" s="71" t="s">
        <v>2273</v>
      </c>
      <c r="J2721" s="53">
        <f t="shared" si="1440"/>
        <v>888000</v>
      </c>
      <c r="K2721" s="63">
        <f t="shared" si="1441"/>
        <v>0.3452566096423017</v>
      </c>
      <c r="L2721" s="871" t="s">
        <v>2185</v>
      </c>
      <c r="M2721" s="468"/>
      <c r="N2721" s="664">
        <f t="shared" si="1435"/>
        <v>191226</v>
      </c>
      <c r="O2721" s="71" t="s">
        <v>145</v>
      </c>
      <c r="P2721" s="103" t="str">
        <f t="shared" si="1439"/>
        <v>ENGAGE 1055*811</v>
      </c>
      <c r="Q2721" s="71">
        <f t="shared" si="1438"/>
        <v>400</v>
      </c>
      <c r="R2721" s="102">
        <v>4210</v>
      </c>
      <c r="S2721" s="102">
        <f t="shared" si="1432"/>
        <v>1852400.0000000002</v>
      </c>
      <c r="T2721" s="102">
        <f t="shared" si="1433"/>
        <v>1684000</v>
      </c>
      <c r="U2721" s="71" t="str">
        <f t="shared" si="1442"/>
        <v>O</v>
      </c>
      <c r="V2721" s="71"/>
      <c r="W2721" s="474">
        <f t="shared" si="1443"/>
        <v>888000</v>
      </c>
      <c r="X2721" s="71"/>
      <c r="Y2721" s="71"/>
    </row>
    <row r="2722" spans="1:25" ht="30" hidden="1" customHeight="1" x14ac:dyDescent="0.25">
      <c r="A2722" s="82">
        <v>191226</v>
      </c>
      <c r="B2722" s="664" t="s">
        <v>1051</v>
      </c>
      <c r="C2722" s="71" t="s">
        <v>1650</v>
      </c>
      <c r="D2722" s="71">
        <v>2500</v>
      </c>
      <c r="E2722" s="102">
        <v>4600</v>
      </c>
      <c r="F2722" s="102">
        <f t="shared" si="1419"/>
        <v>12650000.000000002</v>
      </c>
      <c r="G2722" s="102">
        <f t="shared" si="1420"/>
        <v>11500000</v>
      </c>
      <c r="H2722" s="690" t="s">
        <v>142</v>
      </c>
      <c r="I2722" s="71" t="s">
        <v>2273</v>
      </c>
      <c r="J2722" s="53">
        <f t="shared" si="1440"/>
        <v>4000000</v>
      </c>
      <c r="K2722" s="63">
        <f t="shared" si="1441"/>
        <v>0.34782608695652167</v>
      </c>
      <c r="L2722" s="871" t="s">
        <v>2185</v>
      </c>
      <c r="M2722" s="468"/>
      <c r="N2722" s="664">
        <f t="shared" si="1435"/>
        <v>191226</v>
      </c>
      <c r="O2722" s="71" t="s">
        <v>145</v>
      </c>
      <c r="P2722" s="103" t="str">
        <f t="shared" si="1439"/>
        <v>ENGAGE 968*631</v>
      </c>
      <c r="Q2722" s="71">
        <f t="shared" si="1438"/>
        <v>2500</v>
      </c>
      <c r="R2722" s="102">
        <v>3000</v>
      </c>
      <c r="S2722" s="102">
        <f t="shared" si="1432"/>
        <v>8250000.0000000009</v>
      </c>
      <c r="T2722" s="102">
        <f t="shared" si="1433"/>
        <v>7500000</v>
      </c>
      <c r="U2722" s="71" t="str">
        <f t="shared" si="1442"/>
        <v>O</v>
      </c>
      <c r="V2722" s="71"/>
      <c r="W2722" s="474">
        <f t="shared" si="1443"/>
        <v>4000000</v>
      </c>
      <c r="X2722" s="71"/>
      <c r="Y2722" s="71"/>
    </row>
    <row r="2723" spans="1:25" ht="30" hidden="1" customHeight="1" x14ac:dyDescent="0.25">
      <c r="A2723" s="82">
        <v>191226</v>
      </c>
      <c r="B2723" s="664" t="s">
        <v>1051</v>
      </c>
      <c r="C2723" s="67" t="s">
        <v>1386</v>
      </c>
      <c r="D2723" s="71">
        <v>30</v>
      </c>
      <c r="E2723" s="102">
        <v>56500</v>
      </c>
      <c r="F2723" s="102">
        <f t="shared" si="1419"/>
        <v>1864500.0000000002</v>
      </c>
      <c r="G2723" s="102">
        <f t="shared" si="1420"/>
        <v>1695000</v>
      </c>
      <c r="H2723" s="690" t="s">
        <v>142</v>
      </c>
      <c r="I2723" s="71" t="s">
        <v>2273</v>
      </c>
      <c r="J2723" s="53">
        <f t="shared" si="1440"/>
        <v>645000</v>
      </c>
      <c r="K2723" s="63">
        <f t="shared" si="1441"/>
        <v>0.38053097345132736</v>
      </c>
      <c r="L2723" s="871" t="s">
        <v>2185</v>
      </c>
      <c r="M2723" s="468"/>
      <c r="N2723" s="664">
        <f t="shared" si="1435"/>
        <v>191226</v>
      </c>
      <c r="O2723" s="71" t="s">
        <v>145</v>
      </c>
      <c r="P2723" s="103" t="str">
        <f t="shared" si="1439"/>
        <v>THR200(20L)보충액</v>
      </c>
      <c r="Q2723" s="71">
        <f t="shared" si="1438"/>
        <v>30</v>
      </c>
      <c r="R2723" s="102">
        <v>35000</v>
      </c>
      <c r="S2723" s="102">
        <f t="shared" si="1432"/>
        <v>1155000</v>
      </c>
      <c r="T2723" s="102">
        <f t="shared" si="1433"/>
        <v>1050000</v>
      </c>
      <c r="U2723" s="71" t="str">
        <f t="shared" si="1442"/>
        <v>O</v>
      </c>
      <c r="V2723" s="71"/>
      <c r="W2723" s="474">
        <f t="shared" si="1443"/>
        <v>645000</v>
      </c>
      <c r="X2723" s="71"/>
      <c r="Y2723" s="71"/>
    </row>
    <row r="2724" spans="1:25" ht="30" hidden="1" customHeight="1" x14ac:dyDescent="0.25">
      <c r="A2724" s="82">
        <v>191226</v>
      </c>
      <c r="B2724" s="664" t="s">
        <v>1051</v>
      </c>
      <c r="C2724" s="71" t="s">
        <v>1387</v>
      </c>
      <c r="D2724" s="71">
        <v>10</v>
      </c>
      <c r="E2724" s="102">
        <v>56500</v>
      </c>
      <c r="F2724" s="102">
        <f t="shared" si="1419"/>
        <v>621500</v>
      </c>
      <c r="G2724" s="102">
        <f t="shared" si="1420"/>
        <v>565000</v>
      </c>
      <c r="H2724" s="690" t="s">
        <v>142</v>
      </c>
      <c r="I2724" s="71" t="s">
        <v>2273</v>
      </c>
      <c r="J2724" s="53">
        <f t="shared" si="1440"/>
        <v>215000</v>
      </c>
      <c r="K2724" s="63">
        <f t="shared" si="1441"/>
        <v>0.38053097345132741</v>
      </c>
      <c r="L2724" s="871" t="s">
        <v>2185</v>
      </c>
      <c r="M2724" s="468"/>
      <c r="N2724" s="664">
        <f t="shared" si="1435"/>
        <v>191226</v>
      </c>
      <c r="O2724" s="71" t="s">
        <v>145</v>
      </c>
      <c r="P2724" s="103" t="str">
        <f t="shared" si="1439"/>
        <v>THD200(20L)현상액</v>
      </c>
      <c r="Q2724" s="71">
        <f t="shared" si="1438"/>
        <v>10</v>
      </c>
      <c r="R2724" s="102">
        <v>35000</v>
      </c>
      <c r="S2724" s="102">
        <f t="shared" si="1432"/>
        <v>385000.00000000006</v>
      </c>
      <c r="T2724" s="102">
        <f t="shared" si="1433"/>
        <v>350000</v>
      </c>
      <c r="U2724" s="71" t="str">
        <f t="shared" si="1442"/>
        <v>O</v>
      </c>
      <c r="V2724" s="71"/>
      <c r="W2724" s="474">
        <f t="shared" si="1443"/>
        <v>215000</v>
      </c>
      <c r="X2724" s="71"/>
      <c r="Y2724" s="71"/>
    </row>
    <row r="2725" spans="1:25" ht="30" hidden="1" customHeight="1" x14ac:dyDescent="0.25">
      <c r="A2725" s="82">
        <v>191226</v>
      </c>
      <c r="B2725" s="664" t="s">
        <v>1061</v>
      </c>
      <c r="C2725" s="71" t="s">
        <v>616</v>
      </c>
      <c r="D2725" s="71">
        <v>200</v>
      </c>
      <c r="E2725" s="102">
        <v>5600</v>
      </c>
      <c r="F2725" s="102">
        <f t="shared" si="1419"/>
        <v>1232000</v>
      </c>
      <c r="G2725" s="102">
        <f t="shared" si="1420"/>
        <v>1120000</v>
      </c>
      <c r="H2725" s="690" t="s">
        <v>142</v>
      </c>
      <c r="I2725" s="71" t="s">
        <v>144</v>
      </c>
      <c r="J2725" s="53">
        <f t="shared" si="1440"/>
        <v>102000</v>
      </c>
      <c r="K2725" s="63">
        <f t="shared" ref="K2725:K2739" si="1444">(J2725/(F2725/11*10))</f>
        <v>9.1071428571428567E-2</v>
      </c>
      <c r="L2725" s="871" t="s">
        <v>2185</v>
      </c>
      <c r="M2725" s="468"/>
      <c r="N2725" s="664">
        <f t="shared" si="1435"/>
        <v>191226</v>
      </c>
      <c r="O2725" s="71" t="s">
        <v>147</v>
      </c>
      <c r="P2725" s="103" t="str">
        <f t="shared" si="1439"/>
        <v>프리미어(먹)</v>
      </c>
      <c r="Q2725" s="71">
        <f t="shared" si="1438"/>
        <v>200</v>
      </c>
      <c r="R2725" s="102">
        <v>5090</v>
      </c>
      <c r="S2725" s="102">
        <f t="shared" ref="S2725:S2739" si="1445">R2725*Q2725*1.1</f>
        <v>1119800</v>
      </c>
      <c r="T2725" s="102">
        <f t="shared" ref="T2725:T2739" si="1446">R2725*Q2725</f>
        <v>1018000</v>
      </c>
      <c r="U2725" s="71" t="str">
        <f t="shared" si="1442"/>
        <v>O</v>
      </c>
      <c r="V2725" s="71"/>
      <c r="W2725" s="474">
        <f t="shared" si="1443"/>
        <v>102000</v>
      </c>
      <c r="X2725" s="71"/>
      <c r="Y2725" s="71"/>
    </row>
    <row r="2726" spans="1:25" ht="30" hidden="1" customHeight="1" x14ac:dyDescent="0.25">
      <c r="A2726" s="82">
        <v>191226</v>
      </c>
      <c r="B2726" s="664" t="s">
        <v>1052</v>
      </c>
      <c r="C2726" s="71" t="s">
        <v>585</v>
      </c>
      <c r="D2726" s="71">
        <v>200</v>
      </c>
      <c r="E2726" s="102">
        <v>6000</v>
      </c>
      <c r="F2726" s="102">
        <f t="shared" si="1419"/>
        <v>1320000</v>
      </c>
      <c r="G2726" s="102">
        <f t="shared" si="1420"/>
        <v>1200000</v>
      </c>
      <c r="H2726" s="690" t="s">
        <v>142</v>
      </c>
      <c r="I2726" s="71" t="s">
        <v>144</v>
      </c>
      <c r="J2726" s="53">
        <f t="shared" si="1440"/>
        <v>110000</v>
      </c>
      <c r="K2726" s="63">
        <f t="shared" si="1444"/>
        <v>9.166666666666666E-2</v>
      </c>
      <c r="L2726" s="871" t="s">
        <v>2185</v>
      </c>
      <c r="M2726" s="468"/>
      <c r="N2726" s="664">
        <f t="shared" si="1435"/>
        <v>191226</v>
      </c>
      <c r="O2726" s="71" t="s">
        <v>147</v>
      </c>
      <c r="P2726" s="103" t="str">
        <f>(C2726)</f>
        <v>프리미어(적)</v>
      </c>
      <c r="Q2726" s="71">
        <f t="shared" si="1438"/>
        <v>200</v>
      </c>
      <c r="R2726" s="102">
        <v>5450</v>
      </c>
      <c r="S2726" s="102">
        <f t="shared" si="1445"/>
        <v>1199000</v>
      </c>
      <c r="T2726" s="102">
        <f t="shared" si="1446"/>
        <v>1090000</v>
      </c>
      <c r="U2726" s="71" t="str">
        <f t="shared" si="1442"/>
        <v>O</v>
      </c>
      <c r="V2726" s="71"/>
      <c r="W2726" s="474">
        <f t="shared" si="1443"/>
        <v>110000</v>
      </c>
      <c r="X2726" s="71"/>
      <c r="Y2726" s="71"/>
    </row>
    <row r="2727" spans="1:25" ht="30" hidden="1" customHeight="1" x14ac:dyDescent="0.25">
      <c r="A2727" s="82">
        <v>191226</v>
      </c>
      <c r="B2727" s="664" t="s">
        <v>1061</v>
      </c>
      <c r="C2727" s="71" t="s">
        <v>586</v>
      </c>
      <c r="D2727" s="71">
        <v>600</v>
      </c>
      <c r="E2727" s="102">
        <v>5750</v>
      </c>
      <c r="F2727" s="102">
        <f t="shared" si="1419"/>
        <v>3795000.0000000005</v>
      </c>
      <c r="G2727" s="102">
        <f t="shared" si="1420"/>
        <v>3450000</v>
      </c>
      <c r="H2727" s="690" t="s">
        <v>142</v>
      </c>
      <c r="I2727" s="71" t="s">
        <v>144</v>
      </c>
      <c r="J2727" s="53">
        <f t="shared" si="1440"/>
        <v>318000</v>
      </c>
      <c r="K2727" s="63">
        <f t="shared" si="1444"/>
        <v>9.2173913043478245E-2</v>
      </c>
      <c r="L2727" s="871" t="s">
        <v>2185</v>
      </c>
      <c r="M2727" s="468"/>
      <c r="N2727" s="664">
        <f t="shared" si="1435"/>
        <v>191226</v>
      </c>
      <c r="O2727" s="71" t="s">
        <v>147</v>
      </c>
      <c r="P2727" s="103" t="str">
        <f t="shared" si="1439"/>
        <v>프리미어(황)</v>
      </c>
      <c r="Q2727" s="71">
        <f t="shared" si="1438"/>
        <v>600</v>
      </c>
      <c r="R2727" s="102">
        <v>5220</v>
      </c>
      <c r="S2727" s="102">
        <f t="shared" si="1445"/>
        <v>3445200.0000000005</v>
      </c>
      <c r="T2727" s="102">
        <f t="shared" si="1446"/>
        <v>3132000</v>
      </c>
      <c r="U2727" s="71" t="str">
        <f t="shared" si="1442"/>
        <v>O</v>
      </c>
      <c r="V2727" s="71"/>
      <c r="W2727" s="474">
        <f t="shared" si="1443"/>
        <v>318000</v>
      </c>
      <c r="X2727" s="71"/>
      <c r="Y2727" s="71"/>
    </row>
    <row r="2728" spans="1:25" ht="30" hidden="1" customHeight="1" x14ac:dyDescent="0.25">
      <c r="A2728" s="82">
        <v>191226</v>
      </c>
      <c r="B2728" s="664" t="s">
        <v>1061</v>
      </c>
      <c r="C2728" s="71" t="s">
        <v>587</v>
      </c>
      <c r="D2728" s="71">
        <v>400</v>
      </c>
      <c r="E2728" s="102">
        <v>7000</v>
      </c>
      <c r="F2728" s="102">
        <f t="shared" si="1419"/>
        <v>3080000.0000000005</v>
      </c>
      <c r="G2728" s="102">
        <f t="shared" si="1420"/>
        <v>2800000</v>
      </c>
      <c r="H2728" s="690" t="s">
        <v>142</v>
      </c>
      <c r="I2728" s="71" t="s">
        <v>144</v>
      </c>
      <c r="J2728" s="53">
        <f t="shared" si="1440"/>
        <v>256000</v>
      </c>
      <c r="K2728" s="63">
        <f t="shared" si="1444"/>
        <v>9.1428571428571415E-2</v>
      </c>
      <c r="L2728" s="871" t="s">
        <v>2185</v>
      </c>
      <c r="M2728" s="468"/>
      <c r="N2728" s="664">
        <f t="shared" si="1435"/>
        <v>191226</v>
      </c>
      <c r="O2728" s="71" t="s">
        <v>147</v>
      </c>
      <c r="P2728" s="103" t="str">
        <f t="shared" si="1439"/>
        <v>프리미어(청)</v>
      </c>
      <c r="Q2728" s="71">
        <f t="shared" si="1438"/>
        <v>400</v>
      </c>
      <c r="R2728" s="102">
        <v>6360</v>
      </c>
      <c r="S2728" s="102">
        <f t="shared" si="1445"/>
        <v>2798400</v>
      </c>
      <c r="T2728" s="102">
        <f t="shared" si="1446"/>
        <v>2544000</v>
      </c>
      <c r="U2728" s="71" t="str">
        <f t="shared" si="1442"/>
        <v>O</v>
      </c>
      <c r="V2728" s="71"/>
      <c r="W2728" s="474">
        <f t="shared" si="1443"/>
        <v>256000</v>
      </c>
      <c r="X2728" s="71"/>
      <c r="Y2728" s="71"/>
    </row>
    <row r="2729" spans="1:25" ht="30" hidden="1" customHeight="1" x14ac:dyDescent="0.25">
      <c r="A2729" s="82">
        <v>191226</v>
      </c>
      <c r="B2729" s="664" t="s">
        <v>1052</v>
      </c>
      <c r="C2729" s="71" t="s">
        <v>1115</v>
      </c>
      <c r="D2729" s="71">
        <v>200</v>
      </c>
      <c r="E2729" s="102">
        <v>6200</v>
      </c>
      <c r="F2729" s="102">
        <f t="shared" si="1419"/>
        <v>1364000</v>
      </c>
      <c r="G2729" s="102">
        <f t="shared" si="1420"/>
        <v>1240000</v>
      </c>
      <c r="H2729" s="690" t="s">
        <v>142</v>
      </c>
      <c r="I2729" s="71" t="s">
        <v>144</v>
      </c>
      <c r="J2729" s="53">
        <f t="shared" si="1440"/>
        <v>20000</v>
      </c>
      <c r="K2729" s="63">
        <f t="shared" si="1444"/>
        <v>1.6129032258064516E-2</v>
      </c>
      <c r="L2729" s="871" t="s">
        <v>2185</v>
      </c>
      <c r="M2729" s="468"/>
      <c r="N2729" s="664">
        <f t="shared" si="1435"/>
        <v>191226</v>
      </c>
      <c r="O2729" s="71" t="s">
        <v>147</v>
      </c>
      <c r="P2729" s="103" t="str">
        <f t="shared" si="1439"/>
        <v>한특 잉크(적)</v>
      </c>
      <c r="Q2729" s="71">
        <f t="shared" si="1438"/>
        <v>200</v>
      </c>
      <c r="R2729" s="102">
        <v>6100</v>
      </c>
      <c r="S2729" s="102">
        <f t="shared" si="1445"/>
        <v>1342000</v>
      </c>
      <c r="T2729" s="102">
        <f t="shared" si="1446"/>
        <v>1220000</v>
      </c>
      <c r="U2729" s="71" t="str">
        <f t="shared" si="1442"/>
        <v>O</v>
      </c>
      <c r="V2729" s="71"/>
      <c r="W2729" s="474">
        <f t="shared" si="1443"/>
        <v>20000</v>
      </c>
      <c r="X2729" s="71"/>
      <c r="Y2729" s="71"/>
    </row>
    <row r="2730" spans="1:25" ht="30" hidden="1" customHeight="1" x14ac:dyDescent="0.25">
      <c r="A2730" s="82">
        <v>191226</v>
      </c>
      <c r="B2730" s="664" t="s">
        <v>1052</v>
      </c>
      <c r="C2730" s="71" t="s">
        <v>1116</v>
      </c>
      <c r="D2730" s="71">
        <v>250</v>
      </c>
      <c r="E2730" s="102">
        <v>6000</v>
      </c>
      <c r="F2730" s="102">
        <f t="shared" si="1419"/>
        <v>1650000.0000000002</v>
      </c>
      <c r="G2730" s="102">
        <f t="shared" si="1420"/>
        <v>1500000</v>
      </c>
      <c r="H2730" s="690" t="s">
        <v>142</v>
      </c>
      <c r="I2730" s="71" t="s">
        <v>144</v>
      </c>
      <c r="J2730" s="53">
        <f t="shared" si="1440"/>
        <v>25000</v>
      </c>
      <c r="K2730" s="63">
        <f t="shared" si="1444"/>
        <v>1.6666666666666663E-2</v>
      </c>
      <c r="L2730" s="871" t="s">
        <v>2185</v>
      </c>
      <c r="M2730" s="468"/>
      <c r="N2730" s="664">
        <f t="shared" si="1435"/>
        <v>191226</v>
      </c>
      <c r="O2730" s="71" t="s">
        <v>147</v>
      </c>
      <c r="P2730" s="103" t="str">
        <f t="shared" si="1439"/>
        <v>한특 잉크(황)</v>
      </c>
      <c r="Q2730" s="71">
        <f t="shared" si="1438"/>
        <v>250</v>
      </c>
      <c r="R2730" s="102">
        <v>5900</v>
      </c>
      <c r="S2730" s="102">
        <f t="shared" si="1445"/>
        <v>1622500.0000000002</v>
      </c>
      <c r="T2730" s="102">
        <f t="shared" si="1446"/>
        <v>1475000</v>
      </c>
      <c r="U2730" s="71" t="str">
        <f t="shared" si="1442"/>
        <v>O</v>
      </c>
      <c r="V2730" s="71"/>
      <c r="W2730" s="474">
        <f t="shared" si="1443"/>
        <v>25000</v>
      </c>
      <c r="X2730" s="71"/>
      <c r="Y2730" s="71"/>
    </row>
    <row r="2731" spans="1:25" ht="30" hidden="1" customHeight="1" x14ac:dyDescent="0.25">
      <c r="A2731" s="82">
        <v>191226</v>
      </c>
      <c r="B2731" s="664" t="s">
        <v>1052</v>
      </c>
      <c r="C2731" s="71" t="s">
        <v>1117</v>
      </c>
      <c r="D2731" s="71">
        <v>250</v>
      </c>
      <c r="E2731" s="102">
        <v>6500</v>
      </c>
      <c r="F2731" s="102">
        <f t="shared" si="1419"/>
        <v>1787500.0000000002</v>
      </c>
      <c r="G2731" s="102">
        <f t="shared" si="1420"/>
        <v>1625000</v>
      </c>
      <c r="H2731" s="690" t="s">
        <v>142</v>
      </c>
      <c r="I2731" s="71" t="s">
        <v>144</v>
      </c>
      <c r="J2731" s="53">
        <f t="shared" si="1440"/>
        <v>25000</v>
      </c>
      <c r="K2731" s="63">
        <f t="shared" si="1444"/>
        <v>1.5384615384615382E-2</v>
      </c>
      <c r="L2731" s="871" t="s">
        <v>2185</v>
      </c>
      <c r="M2731" s="468"/>
      <c r="N2731" s="664">
        <f t="shared" si="1435"/>
        <v>191226</v>
      </c>
      <c r="O2731" s="71" t="s">
        <v>147</v>
      </c>
      <c r="P2731" s="103" t="str">
        <f t="shared" si="1439"/>
        <v>한특 잉크(청)</v>
      </c>
      <c r="Q2731" s="71">
        <f t="shared" si="1438"/>
        <v>250</v>
      </c>
      <c r="R2731" s="102">
        <v>6400</v>
      </c>
      <c r="S2731" s="102">
        <f t="shared" si="1445"/>
        <v>1760000.0000000002</v>
      </c>
      <c r="T2731" s="102">
        <f t="shared" si="1446"/>
        <v>1600000</v>
      </c>
      <c r="U2731" s="71" t="str">
        <f t="shared" si="1442"/>
        <v>O</v>
      </c>
      <c r="V2731" s="71"/>
      <c r="W2731" s="474">
        <f t="shared" si="1443"/>
        <v>25000</v>
      </c>
      <c r="X2731" s="71"/>
      <c r="Y2731" s="71"/>
    </row>
    <row r="2732" spans="1:25" ht="30" hidden="1" customHeight="1" x14ac:dyDescent="0.25">
      <c r="A2732" s="82">
        <v>191226</v>
      </c>
      <c r="B2732" s="664" t="s">
        <v>1052</v>
      </c>
      <c r="C2732" s="71" t="s">
        <v>1118</v>
      </c>
      <c r="D2732" s="71">
        <v>200</v>
      </c>
      <c r="E2732" s="102">
        <v>5600</v>
      </c>
      <c r="F2732" s="102">
        <f t="shared" si="1419"/>
        <v>1232000</v>
      </c>
      <c r="G2732" s="102">
        <f t="shared" si="1420"/>
        <v>1120000</v>
      </c>
      <c r="H2732" s="690" t="s">
        <v>142</v>
      </c>
      <c r="I2732" s="71" t="s">
        <v>144</v>
      </c>
      <c r="J2732" s="53">
        <f t="shared" si="1440"/>
        <v>20000</v>
      </c>
      <c r="K2732" s="63">
        <f t="shared" si="1444"/>
        <v>1.7857142857142856E-2</v>
      </c>
      <c r="L2732" s="871" t="s">
        <v>2185</v>
      </c>
      <c r="M2732" s="468"/>
      <c r="N2732" s="664">
        <f t="shared" si="1435"/>
        <v>191226</v>
      </c>
      <c r="O2732" s="71" t="s">
        <v>147</v>
      </c>
      <c r="P2732" s="103" t="str">
        <f t="shared" si="1439"/>
        <v>한특 잉크(먹)</v>
      </c>
      <c r="Q2732" s="71">
        <f t="shared" si="1438"/>
        <v>200</v>
      </c>
      <c r="R2732" s="102">
        <v>5500</v>
      </c>
      <c r="S2732" s="102">
        <f t="shared" si="1445"/>
        <v>1210000</v>
      </c>
      <c r="T2732" s="102">
        <f t="shared" si="1446"/>
        <v>1100000</v>
      </c>
      <c r="U2732" s="71" t="str">
        <f t="shared" si="1442"/>
        <v>O</v>
      </c>
      <c r="V2732" s="71"/>
      <c r="W2732" s="474">
        <f t="shared" si="1443"/>
        <v>20000</v>
      </c>
      <c r="X2732" s="71"/>
      <c r="Y2732" s="71"/>
    </row>
    <row r="2733" spans="1:25" ht="30" hidden="1" customHeight="1" x14ac:dyDescent="0.25">
      <c r="A2733" s="82">
        <v>191226</v>
      </c>
      <c r="B2733" s="664" t="s">
        <v>1052</v>
      </c>
      <c r="C2733" s="71" t="s">
        <v>1843</v>
      </c>
      <c r="D2733" s="71"/>
      <c r="E2733" s="102">
        <v>8200</v>
      </c>
      <c r="F2733" s="102">
        <f t="shared" si="1419"/>
        <v>0</v>
      </c>
      <c r="G2733" s="102">
        <f t="shared" si="1420"/>
        <v>0</v>
      </c>
      <c r="H2733" s="690" t="s">
        <v>142</v>
      </c>
      <c r="I2733" s="71" t="s">
        <v>144</v>
      </c>
      <c r="J2733" s="53">
        <f t="shared" si="1440"/>
        <v>0</v>
      </c>
      <c r="K2733" s="63" t="e">
        <f t="shared" si="1444"/>
        <v>#DIV/0!</v>
      </c>
      <c r="L2733" s="871" t="s">
        <v>2185</v>
      </c>
      <c r="M2733" s="468"/>
      <c r="N2733" s="664">
        <f t="shared" si="1435"/>
        <v>191226</v>
      </c>
      <c r="O2733" s="71" t="s">
        <v>147</v>
      </c>
      <c r="P2733" s="103" t="str">
        <f t="shared" si="1439"/>
        <v>아라니아 분홍(1) 190c</v>
      </c>
      <c r="Q2733" s="71">
        <f t="shared" si="1438"/>
        <v>0</v>
      </c>
      <c r="R2733" s="102">
        <v>7850</v>
      </c>
      <c r="S2733" s="102">
        <f t="shared" si="1445"/>
        <v>0</v>
      </c>
      <c r="T2733" s="102">
        <f t="shared" si="1446"/>
        <v>0</v>
      </c>
      <c r="U2733" s="71" t="str">
        <f t="shared" si="1442"/>
        <v>O</v>
      </c>
      <c r="V2733" s="71"/>
      <c r="W2733" s="474">
        <f t="shared" si="1443"/>
        <v>0</v>
      </c>
      <c r="X2733" s="71"/>
      <c r="Y2733" s="71"/>
    </row>
    <row r="2734" spans="1:25" ht="30" hidden="1" customHeight="1" x14ac:dyDescent="0.25">
      <c r="A2734" s="82">
        <v>191226</v>
      </c>
      <c r="B2734" s="664" t="s">
        <v>1052</v>
      </c>
      <c r="C2734" s="71" t="s">
        <v>1840</v>
      </c>
      <c r="D2734" s="71"/>
      <c r="E2734" s="102">
        <v>8000</v>
      </c>
      <c r="F2734" s="102">
        <f t="shared" si="1419"/>
        <v>0</v>
      </c>
      <c r="G2734" s="102">
        <f t="shared" si="1420"/>
        <v>0</v>
      </c>
      <c r="H2734" s="690" t="s">
        <v>142</v>
      </c>
      <c r="I2734" s="71" t="s">
        <v>144</v>
      </c>
      <c r="J2734" s="53">
        <f t="shared" si="1440"/>
        <v>0</v>
      </c>
      <c r="K2734" s="63" t="e">
        <f t="shared" si="1444"/>
        <v>#DIV/0!</v>
      </c>
      <c r="L2734" s="871" t="s">
        <v>2185</v>
      </c>
      <c r="M2734" s="468"/>
      <c r="N2734" s="664">
        <f t="shared" si="1435"/>
        <v>191226</v>
      </c>
      <c r="O2734" s="71" t="s">
        <v>147</v>
      </c>
      <c r="P2734" s="103" t="str">
        <f>(C2734)</f>
        <v>아라니아 연청 304c</v>
      </c>
      <c r="Q2734" s="71">
        <f t="shared" si="1438"/>
        <v>0</v>
      </c>
      <c r="R2734" s="102">
        <v>7600</v>
      </c>
      <c r="S2734" s="102">
        <f t="shared" si="1445"/>
        <v>0</v>
      </c>
      <c r="T2734" s="102">
        <f t="shared" si="1446"/>
        <v>0</v>
      </c>
      <c r="U2734" s="71" t="str">
        <f t="shared" si="1442"/>
        <v>O</v>
      </c>
      <c r="V2734" s="71"/>
      <c r="W2734" s="474">
        <f t="shared" si="1443"/>
        <v>0</v>
      </c>
      <c r="X2734" s="71"/>
      <c r="Y2734" s="71"/>
    </row>
    <row r="2735" spans="1:25" ht="30" hidden="1" customHeight="1" x14ac:dyDescent="0.25">
      <c r="A2735" s="82">
        <v>191226</v>
      </c>
      <c r="B2735" s="664" t="s">
        <v>1052</v>
      </c>
      <c r="C2735" s="71" t="s">
        <v>1841</v>
      </c>
      <c r="D2735" s="71"/>
      <c r="E2735" s="102">
        <v>7700</v>
      </c>
      <c r="F2735" s="102">
        <f t="shared" si="1419"/>
        <v>0</v>
      </c>
      <c r="G2735" s="102">
        <f t="shared" si="1420"/>
        <v>0</v>
      </c>
      <c r="H2735" s="690" t="s">
        <v>142</v>
      </c>
      <c r="I2735" s="71" t="s">
        <v>144</v>
      </c>
      <c r="J2735" s="53">
        <f t="shared" si="1440"/>
        <v>0</v>
      </c>
      <c r="K2735" s="63" t="e">
        <f t="shared" si="1444"/>
        <v>#DIV/0!</v>
      </c>
      <c r="L2735" s="871" t="s">
        <v>2185</v>
      </c>
      <c r="M2735" s="468"/>
      <c r="N2735" s="664">
        <f t="shared" si="1435"/>
        <v>191226</v>
      </c>
      <c r="O2735" s="71" t="s">
        <v>147</v>
      </c>
      <c r="P2735" s="103" t="str">
        <f t="shared" si="1439"/>
        <v>아라니아 분홍(2) 1905c</v>
      </c>
      <c r="Q2735" s="71">
        <f t="shared" si="1438"/>
        <v>0</v>
      </c>
      <c r="R2735" s="102">
        <v>7300</v>
      </c>
      <c r="S2735" s="102">
        <f t="shared" si="1445"/>
        <v>0</v>
      </c>
      <c r="T2735" s="102">
        <f t="shared" si="1446"/>
        <v>0</v>
      </c>
      <c r="U2735" s="71" t="str">
        <f t="shared" si="1442"/>
        <v>O</v>
      </c>
      <c r="V2735" s="71"/>
      <c r="W2735" s="474">
        <f t="shared" si="1443"/>
        <v>0</v>
      </c>
      <c r="X2735" s="71"/>
      <c r="Y2735" s="71"/>
    </row>
    <row r="2736" spans="1:25" ht="30" hidden="1" customHeight="1" x14ac:dyDescent="0.25">
      <c r="A2736" s="82">
        <v>191226</v>
      </c>
      <c r="B2736" s="664" t="s">
        <v>1052</v>
      </c>
      <c r="C2736" s="71" t="s">
        <v>1842</v>
      </c>
      <c r="D2736" s="71"/>
      <c r="E2736" s="102">
        <v>8600</v>
      </c>
      <c r="F2736" s="102">
        <f t="shared" si="1419"/>
        <v>0</v>
      </c>
      <c r="G2736" s="102">
        <f t="shared" si="1420"/>
        <v>0</v>
      </c>
      <c r="H2736" s="690" t="s">
        <v>142</v>
      </c>
      <c r="I2736" s="71" t="s">
        <v>144</v>
      </c>
      <c r="J2736" s="53">
        <f t="shared" si="1440"/>
        <v>0</v>
      </c>
      <c r="K2736" s="63" t="e">
        <f t="shared" si="1444"/>
        <v>#DIV/0!</v>
      </c>
      <c r="L2736" s="871" t="s">
        <v>2185</v>
      </c>
      <c r="M2736" s="468"/>
      <c r="N2736" s="664">
        <f t="shared" si="1435"/>
        <v>191226</v>
      </c>
      <c r="O2736" s="71" t="s">
        <v>147</v>
      </c>
      <c r="P2736" s="103" t="str">
        <f t="shared" si="1439"/>
        <v>아라니아 분홍(3) 1775c</v>
      </c>
      <c r="Q2736" s="71">
        <f t="shared" si="1438"/>
        <v>0</v>
      </c>
      <c r="R2736" s="102">
        <v>8100</v>
      </c>
      <c r="S2736" s="102">
        <f t="shared" si="1445"/>
        <v>0</v>
      </c>
      <c r="T2736" s="102">
        <f t="shared" si="1446"/>
        <v>0</v>
      </c>
      <c r="U2736" s="71" t="str">
        <f t="shared" si="1442"/>
        <v>O</v>
      </c>
      <c r="V2736" s="71"/>
      <c r="W2736" s="474">
        <f t="shared" si="1443"/>
        <v>0</v>
      </c>
      <c r="X2736" s="71"/>
      <c r="Y2736" s="71"/>
    </row>
    <row r="2737" spans="1:25" ht="30" hidden="1" customHeight="1" x14ac:dyDescent="0.25">
      <c r="A2737" s="82">
        <v>191226</v>
      </c>
      <c r="B2737" s="664" t="s">
        <v>1052</v>
      </c>
      <c r="C2737" s="71" t="s">
        <v>2015</v>
      </c>
      <c r="D2737" s="71"/>
      <c r="E2737" s="102">
        <v>8200</v>
      </c>
      <c r="F2737" s="102">
        <f t="shared" si="1419"/>
        <v>0</v>
      </c>
      <c r="G2737" s="102">
        <f t="shared" si="1420"/>
        <v>0</v>
      </c>
      <c r="H2737" s="690" t="s">
        <v>142</v>
      </c>
      <c r="I2737" s="71" t="s">
        <v>144</v>
      </c>
      <c r="J2737" s="53">
        <f t="shared" si="1440"/>
        <v>0</v>
      </c>
      <c r="K2737" s="63" t="e">
        <f t="shared" si="1444"/>
        <v>#DIV/0!</v>
      </c>
      <c r="L2737" s="871" t="s">
        <v>2185</v>
      </c>
      <c r="M2737" s="468"/>
      <c r="N2737" s="664">
        <f t="shared" si="1435"/>
        <v>191226</v>
      </c>
      <c r="O2737" s="71" t="s">
        <v>147</v>
      </c>
      <c r="P2737" s="103" t="str">
        <f t="shared" si="1439"/>
        <v>아라니아 BTS 보라</v>
      </c>
      <c r="Q2737" s="71">
        <f t="shared" si="1438"/>
        <v>0</v>
      </c>
      <c r="R2737" s="102">
        <v>8200</v>
      </c>
      <c r="S2737" s="102">
        <f t="shared" si="1445"/>
        <v>0</v>
      </c>
      <c r="T2737" s="102">
        <f t="shared" si="1446"/>
        <v>0</v>
      </c>
      <c r="U2737" s="71" t="str">
        <f t="shared" si="1442"/>
        <v>O</v>
      </c>
      <c r="V2737" s="71"/>
      <c r="W2737" s="474">
        <f t="shared" si="1443"/>
        <v>0</v>
      </c>
      <c r="X2737" s="71"/>
      <c r="Y2737" s="71"/>
    </row>
    <row r="2738" spans="1:25" ht="30" hidden="1" customHeight="1" x14ac:dyDescent="0.25">
      <c r="A2738" s="82">
        <v>191231</v>
      </c>
      <c r="B2738" s="664" t="s">
        <v>2210</v>
      </c>
      <c r="C2738" s="71" t="s">
        <v>2211</v>
      </c>
      <c r="D2738" s="71">
        <v>1</v>
      </c>
      <c r="E2738" s="102">
        <v>10700000</v>
      </c>
      <c r="F2738" s="102">
        <f t="shared" si="1419"/>
        <v>11770000.000000002</v>
      </c>
      <c r="G2738" s="102">
        <f t="shared" si="1420"/>
        <v>10700000</v>
      </c>
      <c r="H2738" s="690" t="s">
        <v>1432</v>
      </c>
      <c r="I2738" s="71" t="s">
        <v>1432</v>
      </c>
      <c r="J2738" s="53">
        <f t="shared" si="1440"/>
        <v>2366193</v>
      </c>
      <c r="K2738" s="63">
        <f t="shared" si="1444"/>
        <v>0.22113953271028033</v>
      </c>
      <c r="L2738" s="871" t="s">
        <v>2142</v>
      </c>
      <c r="M2738" s="468"/>
      <c r="N2738" s="664">
        <f t="shared" si="1435"/>
        <v>191231</v>
      </c>
      <c r="O2738" s="71" t="s">
        <v>1432</v>
      </c>
      <c r="P2738" s="103" t="str">
        <f t="shared" si="1439"/>
        <v>테크노트란스 알콜스마트</v>
      </c>
      <c r="Q2738" s="71">
        <f t="shared" si="1438"/>
        <v>1</v>
      </c>
      <c r="R2738" s="102">
        <v>8333807</v>
      </c>
      <c r="S2738" s="102">
        <f t="shared" si="1445"/>
        <v>9167187.7000000011</v>
      </c>
      <c r="T2738" s="102">
        <f t="shared" si="1446"/>
        <v>8333807</v>
      </c>
      <c r="U2738" s="71"/>
      <c r="V2738" s="71"/>
      <c r="W2738" s="474"/>
      <c r="X2738" s="71"/>
      <c r="Y2738" s="71"/>
    </row>
    <row r="2739" spans="1:25" ht="30" customHeight="1" x14ac:dyDescent="0.25">
      <c r="A2739" s="82">
        <v>191231</v>
      </c>
      <c r="B2739" s="664" t="s">
        <v>565</v>
      </c>
      <c r="C2739" s="71" t="s">
        <v>2218</v>
      </c>
      <c r="D2739" s="71">
        <v>2</v>
      </c>
      <c r="E2739" s="102">
        <v>9000000</v>
      </c>
      <c r="F2739" s="102">
        <f>(E2739*D2739)*1.1</f>
        <v>19800000</v>
      </c>
      <c r="G2739" s="102">
        <f>(E2739*D2739)</f>
        <v>18000000</v>
      </c>
      <c r="H2739" s="690" t="s">
        <v>142</v>
      </c>
      <c r="I2739" s="71" t="s">
        <v>142</v>
      </c>
      <c r="J2739" s="53">
        <f t="shared" si="1440"/>
        <v>1424046</v>
      </c>
      <c r="K2739" s="63">
        <f t="shared" si="1444"/>
        <v>7.9113666666666665E-2</v>
      </c>
      <c r="L2739" s="871" t="s">
        <v>2185</v>
      </c>
      <c r="M2739" s="468"/>
      <c r="N2739" s="664">
        <f t="shared" si="1435"/>
        <v>191231</v>
      </c>
      <c r="O2739" s="71" t="s">
        <v>2223</v>
      </c>
      <c r="P2739" s="103" t="str">
        <f t="shared" si="1439"/>
        <v>Pressio 신문 포장기</v>
      </c>
      <c r="Q2739" s="71">
        <f t="shared" si="1438"/>
        <v>2</v>
      </c>
      <c r="R2739" s="102">
        <f>(15057063+1518891)/2</f>
        <v>8287977</v>
      </c>
      <c r="S2739" s="102">
        <f t="shared" si="1445"/>
        <v>18233549.400000002</v>
      </c>
      <c r="T2739" s="102">
        <f t="shared" si="1446"/>
        <v>16575954</v>
      </c>
      <c r="U2739" s="71"/>
      <c r="V2739" s="71"/>
      <c r="W2739" s="474"/>
      <c r="X2739" s="71"/>
      <c r="Y2739" s="71"/>
    </row>
    <row r="2740" spans="1:25" s="978" customFormat="1" ht="45" hidden="1" customHeight="1" x14ac:dyDescent="0.25">
      <c r="A2740" s="982" t="s">
        <v>2212</v>
      </c>
      <c r="B2740" s="976" t="s">
        <v>544</v>
      </c>
      <c r="C2740" s="453"/>
      <c r="D2740" s="453"/>
      <c r="E2740" s="454"/>
      <c r="F2740" s="454"/>
      <c r="G2740" s="454"/>
      <c r="H2740" s="455"/>
      <c r="I2740" s="453"/>
      <c r="J2740" s="417"/>
      <c r="K2740" s="418"/>
      <c r="L2740" s="983" t="s">
        <v>2213</v>
      </c>
      <c r="M2740" s="643"/>
      <c r="N2740" s="724" t="str">
        <f t="shared" ref="N2740:N2803" si="1447">A2740</f>
        <v>2020,1</v>
      </c>
      <c r="O2740" s="453" t="s">
        <v>154</v>
      </c>
      <c r="P2740" s="728"/>
      <c r="Q2740" s="420"/>
      <c r="R2740" s="420"/>
      <c r="S2740" s="417"/>
      <c r="T2740" s="417"/>
      <c r="U2740" s="421"/>
      <c r="V2740" s="421"/>
      <c r="W2740" s="479">
        <f>(G2740-T2740)</f>
        <v>0</v>
      </c>
      <c r="X2740" s="421"/>
      <c r="Y2740" s="421"/>
    </row>
    <row r="2741" spans="1:25" ht="30" hidden="1" customHeight="1" x14ac:dyDescent="0.25">
      <c r="A2741" s="82">
        <v>191228</v>
      </c>
      <c r="B2741" s="664" t="s">
        <v>545</v>
      </c>
      <c r="C2741" s="71" t="s">
        <v>227</v>
      </c>
      <c r="D2741" s="71">
        <v>10</v>
      </c>
      <c r="E2741" s="102">
        <v>110000</v>
      </c>
      <c r="F2741" s="102">
        <f t="shared" ref="F2741:F2751" si="1448">(E2741*D2741)*1.1</f>
        <v>1210000</v>
      </c>
      <c r="G2741" s="102">
        <f t="shared" ref="G2741:G2798" si="1449">(E2741*D2741)</f>
        <v>1100000</v>
      </c>
      <c r="H2741" s="690" t="s">
        <v>173</v>
      </c>
      <c r="I2741" s="71" t="s">
        <v>109</v>
      </c>
      <c r="J2741" s="53">
        <f>G2741-T2741</f>
        <v>271000</v>
      </c>
      <c r="K2741" s="63">
        <f t="shared" ref="K2741:K2747" si="1450">(J2741/(F2741/11*10))</f>
        <v>0.24636363636363637</v>
      </c>
      <c r="L2741" s="871" t="s">
        <v>2213</v>
      </c>
      <c r="M2741" s="468"/>
      <c r="N2741" s="664">
        <f t="shared" si="1447"/>
        <v>191228</v>
      </c>
      <c r="O2741" s="71" t="s">
        <v>147</v>
      </c>
      <c r="P2741" s="103" t="str">
        <f>C2741</f>
        <v>Blanket(1060*860)</v>
      </c>
      <c r="Q2741" s="71">
        <f>D2741</f>
        <v>10</v>
      </c>
      <c r="R2741" s="102">
        <v>82900</v>
      </c>
      <c r="S2741" s="102">
        <f t="shared" ref="S2741:S2772" si="1451">R2741*Q2741*1.1</f>
        <v>911900.00000000012</v>
      </c>
      <c r="T2741" s="102">
        <f t="shared" ref="T2741:T2772" si="1452">R2741*Q2741</f>
        <v>829000</v>
      </c>
      <c r="U2741" s="71" t="str">
        <f>IF(J2741=W2741,"O", "X")</f>
        <v>O</v>
      </c>
      <c r="V2741" s="71"/>
      <c r="W2741" s="474">
        <f>(G2741-T2741)</f>
        <v>271000</v>
      </c>
      <c r="X2741" s="71"/>
      <c r="Y2741" s="71"/>
    </row>
    <row r="2742" spans="1:25" ht="30" hidden="1" customHeight="1" x14ac:dyDescent="0.25">
      <c r="A2742" s="82">
        <v>191228</v>
      </c>
      <c r="B2742" s="664" t="s">
        <v>690</v>
      </c>
      <c r="C2742" s="71" t="s">
        <v>1186</v>
      </c>
      <c r="D2742" s="71">
        <v>500</v>
      </c>
      <c r="E2742" s="102">
        <v>3600</v>
      </c>
      <c r="F2742" s="1128">
        <f t="shared" si="1448"/>
        <v>1980000.0000000002</v>
      </c>
      <c r="G2742" s="102">
        <f t="shared" si="1449"/>
        <v>1800000</v>
      </c>
      <c r="H2742" s="690" t="s">
        <v>173</v>
      </c>
      <c r="I2742" s="71" t="s">
        <v>2230</v>
      </c>
      <c r="J2742" s="53">
        <f>G2742-T2742</f>
        <v>-200000</v>
      </c>
      <c r="K2742" s="63">
        <f t="shared" si="1450"/>
        <v>-0.11111111111111109</v>
      </c>
      <c r="L2742" s="871" t="s">
        <v>2270</v>
      </c>
      <c r="M2742" s="468" t="s">
        <v>1393</v>
      </c>
      <c r="N2742" s="664">
        <f t="shared" si="1447"/>
        <v>191228</v>
      </c>
      <c r="O2742" s="71" t="s">
        <v>145</v>
      </c>
      <c r="P2742" s="103" t="str">
        <f t="shared" ref="P2742:Q2757" si="1453">C2742</f>
        <v>CTP 판(1030*790mm)</v>
      </c>
      <c r="Q2742" s="71">
        <f t="shared" si="1453"/>
        <v>500</v>
      </c>
      <c r="R2742" s="102">
        <v>4000</v>
      </c>
      <c r="S2742" s="102">
        <f t="shared" si="1451"/>
        <v>2200000</v>
      </c>
      <c r="T2742" s="102">
        <f t="shared" si="1452"/>
        <v>2000000</v>
      </c>
      <c r="U2742" s="71" t="s">
        <v>859</v>
      </c>
      <c r="V2742" s="71"/>
      <c r="W2742" s="474">
        <v>-200000</v>
      </c>
      <c r="X2742" s="71"/>
      <c r="Y2742" s="71"/>
    </row>
    <row r="2743" spans="1:25" ht="30" hidden="1" customHeight="1" x14ac:dyDescent="0.25">
      <c r="A2743" s="82">
        <v>191228</v>
      </c>
      <c r="B2743" s="664" t="s">
        <v>690</v>
      </c>
      <c r="C2743" s="71" t="s">
        <v>197</v>
      </c>
      <c r="D2743" s="71">
        <v>4</v>
      </c>
      <c r="E2743" s="102">
        <v>49000</v>
      </c>
      <c r="F2743" s="1128">
        <f t="shared" si="1448"/>
        <v>215600.00000000003</v>
      </c>
      <c r="G2743" s="102">
        <f t="shared" si="1449"/>
        <v>196000</v>
      </c>
      <c r="H2743" s="690" t="s">
        <v>173</v>
      </c>
      <c r="I2743" s="71" t="s">
        <v>2230</v>
      </c>
      <c r="J2743" s="53">
        <f>G2743-T2743</f>
        <v>56000</v>
      </c>
      <c r="K2743" s="63">
        <f t="shared" si="1450"/>
        <v>0.2857142857142857</v>
      </c>
      <c r="L2743" s="871" t="s">
        <v>2270</v>
      </c>
      <c r="M2743" s="468" t="s">
        <v>1394</v>
      </c>
      <c r="N2743" s="664">
        <f t="shared" si="1447"/>
        <v>191228</v>
      </c>
      <c r="O2743" s="71" t="s">
        <v>145</v>
      </c>
      <c r="P2743" s="103" t="str">
        <f t="shared" si="1453"/>
        <v>THR200(20L)</v>
      </c>
      <c r="Q2743" s="71">
        <f t="shared" si="1453"/>
        <v>4</v>
      </c>
      <c r="R2743" s="102">
        <v>35000</v>
      </c>
      <c r="S2743" s="102">
        <f t="shared" si="1451"/>
        <v>154000</v>
      </c>
      <c r="T2743" s="102">
        <f t="shared" si="1452"/>
        <v>140000</v>
      </c>
      <c r="U2743" s="71" t="str">
        <f>IF(J2743=W2743,"O", "X")</f>
        <v>X</v>
      </c>
      <c r="V2743" s="71"/>
      <c r="W2743" s="474"/>
      <c r="X2743" s="71"/>
      <c r="Y2743" s="71"/>
    </row>
    <row r="2744" spans="1:25" ht="30" hidden="1" customHeight="1" x14ac:dyDescent="0.25">
      <c r="A2744" s="82">
        <v>191228</v>
      </c>
      <c r="B2744" s="664" t="s">
        <v>690</v>
      </c>
      <c r="C2744" s="71" t="s">
        <v>752</v>
      </c>
      <c r="D2744" s="71">
        <v>1</v>
      </c>
      <c r="E2744" s="102">
        <v>80000</v>
      </c>
      <c r="F2744" s="102">
        <f t="shared" si="1448"/>
        <v>88000</v>
      </c>
      <c r="G2744" s="102">
        <f t="shared" si="1449"/>
        <v>80000</v>
      </c>
      <c r="H2744" s="690" t="s">
        <v>173</v>
      </c>
      <c r="I2744" s="71" t="s">
        <v>2230</v>
      </c>
      <c r="J2744" s="53">
        <f>(G2744-(VLOOKUP(C2744,Price!B:D,3,FALSE)*D2744))</f>
        <v>15000</v>
      </c>
      <c r="K2744" s="63">
        <f t="shared" si="1450"/>
        <v>0.1875</v>
      </c>
      <c r="L2744" s="871" t="s">
        <v>2213</v>
      </c>
      <c r="M2744" s="468"/>
      <c r="N2744" s="664">
        <f t="shared" si="1447"/>
        <v>191228</v>
      </c>
      <c r="O2744" s="71" t="s">
        <v>145</v>
      </c>
      <c r="P2744" s="103" t="str">
        <f t="shared" si="1453"/>
        <v>RC795(20L)</v>
      </c>
      <c r="Q2744" s="71">
        <f t="shared" si="1453"/>
        <v>1</v>
      </c>
      <c r="R2744" s="102">
        <v>65000</v>
      </c>
      <c r="S2744" s="102">
        <f t="shared" si="1451"/>
        <v>71500</v>
      </c>
      <c r="T2744" s="102">
        <f t="shared" si="1452"/>
        <v>65000</v>
      </c>
      <c r="U2744" s="71" t="str">
        <f>IF(J2744=W2744,"O", "X")</f>
        <v>O</v>
      </c>
      <c r="V2744" s="71"/>
      <c r="W2744" s="474">
        <f>(G2744-T2744)</f>
        <v>15000</v>
      </c>
      <c r="X2744" s="71"/>
      <c r="Y2744" s="71"/>
    </row>
    <row r="2745" spans="1:25" ht="30" hidden="1" customHeight="1" x14ac:dyDescent="0.25">
      <c r="A2745" s="82">
        <v>200104</v>
      </c>
      <c r="B2745" s="664" t="s">
        <v>545</v>
      </c>
      <c r="C2745" s="71" t="s">
        <v>1441</v>
      </c>
      <c r="D2745" s="71">
        <v>2</v>
      </c>
      <c r="E2745" s="102">
        <v>210000</v>
      </c>
      <c r="F2745" s="102">
        <f t="shared" si="1448"/>
        <v>462000.00000000006</v>
      </c>
      <c r="G2745" s="102">
        <f t="shared" si="1449"/>
        <v>420000</v>
      </c>
      <c r="H2745" s="690" t="s">
        <v>173</v>
      </c>
      <c r="I2745" s="71" t="s">
        <v>2231</v>
      </c>
      <c r="J2745" s="53">
        <f>G2745-T2745</f>
        <v>90000</v>
      </c>
      <c r="K2745" s="63">
        <f t="shared" si="1450"/>
        <v>0.21428571428571425</v>
      </c>
      <c r="L2745" s="871" t="s">
        <v>2213</v>
      </c>
      <c r="M2745" s="468"/>
      <c r="N2745" s="664">
        <f t="shared" si="1447"/>
        <v>200104</v>
      </c>
      <c r="O2745" s="71" t="s">
        <v>1555</v>
      </c>
      <c r="P2745" s="103" t="str">
        <f t="shared" si="1453"/>
        <v xml:space="preserve"> OKS340 체인구리스</v>
      </c>
      <c r="Q2745" s="71">
        <f t="shared" si="1453"/>
        <v>2</v>
      </c>
      <c r="R2745" s="102">
        <v>165000</v>
      </c>
      <c r="S2745" s="102">
        <f t="shared" si="1451"/>
        <v>363000.00000000006</v>
      </c>
      <c r="T2745" s="102">
        <f t="shared" si="1452"/>
        <v>330000</v>
      </c>
      <c r="U2745" s="71" t="str">
        <f>IF(J2745=W2745,"O", "X")</f>
        <v>X</v>
      </c>
      <c r="V2745" s="71"/>
      <c r="W2745" s="474"/>
      <c r="X2745" s="71"/>
      <c r="Y2745" s="71"/>
    </row>
    <row r="2746" spans="1:25" ht="30" hidden="1" customHeight="1" x14ac:dyDescent="0.25">
      <c r="A2746" s="82">
        <v>200107</v>
      </c>
      <c r="B2746" s="664" t="s">
        <v>545</v>
      </c>
      <c r="C2746" s="71" t="s">
        <v>952</v>
      </c>
      <c r="D2746" s="71">
        <v>1</v>
      </c>
      <c r="E2746" s="102">
        <v>630000</v>
      </c>
      <c r="F2746" s="102">
        <f t="shared" si="1448"/>
        <v>693000</v>
      </c>
      <c r="G2746" s="102">
        <f t="shared" si="1449"/>
        <v>630000</v>
      </c>
      <c r="H2746" s="690" t="s">
        <v>173</v>
      </c>
      <c r="I2746" s="71" t="s">
        <v>108</v>
      </c>
      <c r="J2746" s="53">
        <f>(G2746-(VLOOKUP(C2746,Price!B:D,3,FALSE)*D2746))</f>
        <v>180000</v>
      </c>
      <c r="K2746" s="63">
        <f t="shared" si="1450"/>
        <v>0.2857142857142857</v>
      </c>
      <c r="L2746" s="871" t="s">
        <v>2270</v>
      </c>
      <c r="M2746" s="468"/>
      <c r="N2746" s="664">
        <f t="shared" si="1447"/>
        <v>200107</v>
      </c>
      <c r="O2746" s="71" t="s">
        <v>599</v>
      </c>
      <c r="P2746" s="103" t="str">
        <f t="shared" si="1453"/>
        <v>점보롤 세정포</v>
      </c>
      <c r="Q2746" s="71">
        <f t="shared" si="1453"/>
        <v>1</v>
      </c>
      <c r="R2746" s="102">
        <v>440000</v>
      </c>
      <c r="S2746" s="102">
        <f t="shared" si="1451"/>
        <v>484000.00000000006</v>
      </c>
      <c r="T2746" s="102">
        <f t="shared" si="1452"/>
        <v>440000</v>
      </c>
      <c r="U2746" s="71" t="str">
        <f>IF(J2746=W2746,"O", "X")</f>
        <v>X</v>
      </c>
      <c r="V2746" s="71" t="s">
        <v>1228</v>
      </c>
      <c r="W2746" s="474">
        <f>(G2746-T2746)</f>
        <v>190000</v>
      </c>
      <c r="X2746" s="71"/>
      <c r="Y2746" s="71"/>
    </row>
    <row r="2747" spans="1:25" ht="30" hidden="1" customHeight="1" x14ac:dyDescent="0.25">
      <c r="A2747" s="82">
        <v>200107</v>
      </c>
      <c r="B2747" s="664" t="s">
        <v>2280</v>
      </c>
      <c r="C2747" s="71" t="s">
        <v>910</v>
      </c>
      <c r="D2747" s="71">
        <v>1</v>
      </c>
      <c r="E2747" s="102">
        <v>650000</v>
      </c>
      <c r="F2747" s="102">
        <f t="shared" si="1448"/>
        <v>715000</v>
      </c>
      <c r="G2747" s="102">
        <f t="shared" si="1449"/>
        <v>650000</v>
      </c>
      <c r="H2747" s="690" t="s">
        <v>1431</v>
      </c>
      <c r="I2747" s="71" t="s">
        <v>1431</v>
      </c>
      <c r="J2747" s="53">
        <f t="shared" ref="J2747:J2778" si="1454">G2747-T2747</f>
        <v>42415</v>
      </c>
      <c r="K2747" s="63">
        <f t="shared" si="1450"/>
        <v>6.5253846153846148E-2</v>
      </c>
      <c r="L2747" s="871" t="s">
        <v>2270</v>
      </c>
      <c r="M2747" s="468"/>
      <c r="N2747" s="664">
        <f t="shared" si="1447"/>
        <v>200107</v>
      </c>
      <c r="O2747" s="71" t="s">
        <v>1431</v>
      </c>
      <c r="P2747" s="103" t="str">
        <f t="shared" si="1453"/>
        <v>솔레노이드 밸브</v>
      </c>
      <c r="Q2747" s="71">
        <f t="shared" si="1453"/>
        <v>1</v>
      </c>
      <c r="R2747" s="102">
        <v>607585</v>
      </c>
      <c r="S2747" s="102">
        <f t="shared" si="1451"/>
        <v>668343.5</v>
      </c>
      <c r="T2747" s="102">
        <f t="shared" si="1452"/>
        <v>607585</v>
      </c>
      <c r="U2747" s="71"/>
      <c r="V2747" s="71"/>
      <c r="W2747" s="474"/>
      <c r="X2747" s="71"/>
      <c r="Y2747" s="71"/>
    </row>
    <row r="2748" spans="1:25" s="209" customFormat="1" ht="30" hidden="1" customHeight="1" x14ac:dyDescent="0.2">
      <c r="A2748" s="82">
        <v>200108</v>
      </c>
      <c r="B2748" s="664" t="s">
        <v>445</v>
      </c>
      <c r="C2748" s="71" t="s">
        <v>138</v>
      </c>
      <c r="D2748" s="71">
        <v>10</v>
      </c>
      <c r="E2748" s="102">
        <v>47600</v>
      </c>
      <c r="F2748" s="102">
        <f t="shared" si="1448"/>
        <v>523600.00000000006</v>
      </c>
      <c r="G2748" s="102">
        <f t="shared" si="1449"/>
        <v>476000</v>
      </c>
      <c r="H2748" s="165" t="s">
        <v>172</v>
      </c>
      <c r="I2748" s="71" t="s">
        <v>108</v>
      </c>
      <c r="J2748" s="53">
        <f t="shared" si="1454"/>
        <v>68000</v>
      </c>
      <c r="K2748" s="63">
        <f>(J2748/(F2748/11*10))</f>
        <v>0.14285714285714285</v>
      </c>
      <c r="L2748" s="871" t="s">
        <v>2270</v>
      </c>
      <c r="M2748" s="468" t="s">
        <v>2214</v>
      </c>
      <c r="N2748" s="664">
        <f t="shared" si="1447"/>
        <v>200108</v>
      </c>
      <c r="O2748" s="71" t="s">
        <v>150</v>
      </c>
      <c r="P2748" s="103" t="str">
        <f t="shared" si="1453"/>
        <v>매엽용 세척제(Wash 562)</v>
      </c>
      <c r="Q2748" s="71">
        <f t="shared" si="1453"/>
        <v>10</v>
      </c>
      <c r="R2748" s="102">
        <v>40800</v>
      </c>
      <c r="S2748" s="102">
        <f t="shared" si="1451"/>
        <v>448800.00000000006</v>
      </c>
      <c r="T2748" s="102">
        <f t="shared" si="1452"/>
        <v>408000</v>
      </c>
      <c r="U2748" s="71" t="s">
        <v>859</v>
      </c>
      <c r="V2748" s="71"/>
      <c r="W2748" s="474">
        <v>85000</v>
      </c>
      <c r="X2748" s="71"/>
      <c r="Y2748" s="71"/>
    </row>
    <row r="2749" spans="1:25" s="209" customFormat="1" ht="30" hidden="1" customHeight="1" x14ac:dyDescent="0.2">
      <c r="A2749" s="82">
        <v>200108</v>
      </c>
      <c r="B2749" s="664" t="s">
        <v>445</v>
      </c>
      <c r="C2749" s="71" t="s">
        <v>107</v>
      </c>
      <c r="D2749" s="71">
        <v>10</v>
      </c>
      <c r="E2749" s="102">
        <v>108000</v>
      </c>
      <c r="F2749" s="102">
        <f t="shared" si="1448"/>
        <v>1188000</v>
      </c>
      <c r="G2749" s="102">
        <f t="shared" si="1449"/>
        <v>1080000</v>
      </c>
      <c r="H2749" s="165" t="s">
        <v>172</v>
      </c>
      <c r="I2749" s="71" t="s">
        <v>109</v>
      </c>
      <c r="J2749" s="53">
        <f t="shared" si="1454"/>
        <v>275000</v>
      </c>
      <c r="K2749" s="63">
        <f>(J2749/(F2749/11*10))</f>
        <v>0.25462962962962965</v>
      </c>
      <c r="L2749" s="871" t="s">
        <v>2270</v>
      </c>
      <c r="M2749" s="468"/>
      <c r="N2749" s="664">
        <f t="shared" si="1447"/>
        <v>200108</v>
      </c>
      <c r="O2749" s="71" t="s">
        <v>147</v>
      </c>
      <c r="P2749" s="103" t="str">
        <f t="shared" si="1453"/>
        <v>Blanket(1050*840)</v>
      </c>
      <c r="Q2749" s="71">
        <f t="shared" si="1453"/>
        <v>10</v>
      </c>
      <c r="R2749" s="102">
        <v>80500</v>
      </c>
      <c r="S2749" s="102">
        <f t="shared" si="1451"/>
        <v>885500.00000000012</v>
      </c>
      <c r="T2749" s="102">
        <f t="shared" si="1452"/>
        <v>805000</v>
      </c>
      <c r="U2749" s="71" t="s">
        <v>859</v>
      </c>
      <c r="V2749" s="71"/>
      <c r="W2749" s="474">
        <v>275000</v>
      </c>
      <c r="X2749" s="71"/>
      <c r="Y2749" s="71"/>
    </row>
    <row r="2750" spans="1:25" ht="30" hidden="1" customHeight="1" x14ac:dyDescent="0.25">
      <c r="A2750" s="82">
        <v>200108</v>
      </c>
      <c r="B2750" s="664" t="s">
        <v>2353</v>
      </c>
      <c r="C2750" s="71" t="s">
        <v>129</v>
      </c>
      <c r="D2750" s="71">
        <v>7</v>
      </c>
      <c r="E2750" s="102">
        <v>272000</v>
      </c>
      <c r="F2750" s="102">
        <f t="shared" si="1448"/>
        <v>2094400.0000000002</v>
      </c>
      <c r="G2750" s="102">
        <f t="shared" si="1449"/>
        <v>1904000</v>
      </c>
      <c r="H2750" s="690" t="s">
        <v>142</v>
      </c>
      <c r="I2750" s="71" t="s">
        <v>142</v>
      </c>
      <c r="J2750" s="53">
        <f t="shared" si="1454"/>
        <v>448000</v>
      </c>
      <c r="K2750" s="63">
        <f>(J2750/(F2750/11*10))</f>
        <v>0.23529411764705879</v>
      </c>
      <c r="L2750" s="871" t="s">
        <v>2270</v>
      </c>
      <c r="M2750" s="468" t="s">
        <v>2050</v>
      </c>
      <c r="N2750" s="664">
        <f t="shared" si="1447"/>
        <v>200108</v>
      </c>
      <c r="O2750" s="71" t="s">
        <v>149</v>
      </c>
      <c r="P2750" s="103" t="str">
        <f t="shared" si="1453"/>
        <v>세정포-XL106</v>
      </c>
      <c r="Q2750" s="71">
        <f t="shared" si="1453"/>
        <v>7</v>
      </c>
      <c r="R2750" s="102">
        <v>208000</v>
      </c>
      <c r="S2750" s="102">
        <f t="shared" si="1451"/>
        <v>1601600.0000000002</v>
      </c>
      <c r="T2750" s="102">
        <f t="shared" si="1452"/>
        <v>1456000</v>
      </c>
      <c r="U2750" s="71" t="str">
        <f>IF(J2750=W2750,"O", "X")</f>
        <v>O</v>
      </c>
      <c r="V2750" s="71"/>
      <c r="W2750" s="474">
        <f>(G2750-T2750)</f>
        <v>448000</v>
      </c>
      <c r="X2750" s="71"/>
      <c r="Y2750" s="71"/>
    </row>
    <row r="2751" spans="1:25" ht="30" hidden="1" customHeight="1" x14ac:dyDescent="0.25">
      <c r="A2751" s="82">
        <v>200108</v>
      </c>
      <c r="B2751" s="664" t="s">
        <v>1286</v>
      </c>
      <c r="C2751" s="760" t="s">
        <v>218</v>
      </c>
      <c r="D2751" s="71">
        <v>8</v>
      </c>
      <c r="E2751" s="102">
        <v>192500</v>
      </c>
      <c r="F2751" s="102">
        <f t="shared" si="1448"/>
        <v>1694000.0000000002</v>
      </c>
      <c r="G2751" s="102">
        <f t="shared" si="1449"/>
        <v>1540000</v>
      </c>
      <c r="H2751" s="690" t="s">
        <v>173</v>
      </c>
      <c r="I2751" s="71" t="s">
        <v>120</v>
      </c>
      <c r="J2751" s="53">
        <f t="shared" si="1454"/>
        <v>640000</v>
      </c>
      <c r="K2751" s="63">
        <v>0.4155844155844155</v>
      </c>
      <c r="L2751" s="871" t="s">
        <v>2270</v>
      </c>
      <c r="M2751" s="468"/>
      <c r="N2751" s="664">
        <f t="shared" si="1447"/>
        <v>200108</v>
      </c>
      <c r="O2751" s="71" t="s">
        <v>150</v>
      </c>
      <c r="P2751" s="103" t="str">
        <f t="shared" si="1453"/>
        <v>Fount Web 551AF</v>
      </c>
      <c r="Q2751" s="71">
        <f t="shared" si="1453"/>
        <v>8</v>
      </c>
      <c r="R2751" s="102">
        <v>112500</v>
      </c>
      <c r="S2751" s="102">
        <f t="shared" si="1451"/>
        <v>990000.00000000012</v>
      </c>
      <c r="T2751" s="102">
        <f t="shared" si="1452"/>
        <v>900000</v>
      </c>
      <c r="U2751" s="71" t="s">
        <v>859</v>
      </c>
      <c r="V2751" s="71"/>
      <c r="W2751" s="474">
        <v>640000</v>
      </c>
      <c r="X2751" s="71"/>
      <c r="Y2751" s="71"/>
    </row>
    <row r="2752" spans="1:25" s="209" customFormat="1" ht="30" hidden="1" customHeight="1" x14ac:dyDescent="0.2">
      <c r="A2752" s="82">
        <v>200108</v>
      </c>
      <c r="B2752" s="664" t="s">
        <v>1286</v>
      </c>
      <c r="C2752" s="71" t="s">
        <v>231</v>
      </c>
      <c r="D2752" s="71">
        <v>5</v>
      </c>
      <c r="E2752" s="102">
        <v>120000</v>
      </c>
      <c r="F2752" s="102">
        <f>(E2752*D2752)*1.1</f>
        <v>660000</v>
      </c>
      <c r="G2752" s="102">
        <f t="shared" si="1449"/>
        <v>600000</v>
      </c>
      <c r="H2752" s="165" t="s">
        <v>172</v>
      </c>
      <c r="I2752" s="71" t="s">
        <v>109</v>
      </c>
      <c r="J2752" s="53">
        <f t="shared" si="1454"/>
        <v>40000</v>
      </c>
      <c r="K2752" s="63">
        <v>6.6666666666666666E-2</v>
      </c>
      <c r="L2752" s="871" t="s">
        <v>2270</v>
      </c>
      <c r="M2752" s="468"/>
      <c r="N2752" s="664">
        <f t="shared" si="1447"/>
        <v>200108</v>
      </c>
      <c r="O2752" s="71" t="s">
        <v>151</v>
      </c>
      <c r="P2752" s="103" t="str">
        <f t="shared" si="1453"/>
        <v>Blanket(990*725)</v>
      </c>
      <c r="Q2752" s="71">
        <f t="shared" si="1453"/>
        <v>5</v>
      </c>
      <c r="R2752" s="102">
        <v>112000</v>
      </c>
      <c r="S2752" s="102">
        <f t="shared" si="1451"/>
        <v>616000</v>
      </c>
      <c r="T2752" s="102">
        <f t="shared" si="1452"/>
        <v>560000</v>
      </c>
      <c r="U2752" s="71" t="s">
        <v>859</v>
      </c>
      <c r="V2752" s="71"/>
      <c r="W2752" s="474">
        <v>80000</v>
      </c>
      <c r="X2752" s="71"/>
      <c r="Y2752" s="71"/>
    </row>
    <row r="2753" spans="1:25" s="209" customFormat="1" ht="30" hidden="1" customHeight="1" x14ac:dyDescent="0.25">
      <c r="A2753" s="82">
        <v>200108</v>
      </c>
      <c r="B2753" s="664" t="s">
        <v>1286</v>
      </c>
      <c r="C2753" s="71" t="s">
        <v>277</v>
      </c>
      <c r="D2753" s="71">
        <v>5</v>
      </c>
      <c r="E2753" s="102">
        <v>172000</v>
      </c>
      <c r="F2753" s="102">
        <f>(E2753*D2753)*1.1</f>
        <v>946000.00000000012</v>
      </c>
      <c r="G2753" s="102">
        <f t="shared" si="1449"/>
        <v>860000</v>
      </c>
      <c r="H2753" s="690" t="s">
        <v>173</v>
      </c>
      <c r="I2753" s="71" t="s">
        <v>108</v>
      </c>
      <c r="J2753" s="53">
        <f t="shared" si="1454"/>
        <v>285000</v>
      </c>
      <c r="K2753" s="63">
        <v>0.33139534883720928</v>
      </c>
      <c r="L2753" s="871" t="s">
        <v>2270</v>
      </c>
      <c r="M2753" s="468"/>
      <c r="N2753" s="664">
        <f t="shared" si="1447"/>
        <v>200108</v>
      </c>
      <c r="O2753" s="71" t="s">
        <v>150</v>
      </c>
      <c r="P2753" s="103" t="str">
        <f t="shared" si="1453"/>
        <v>윤전용 세척제(Web 504)</v>
      </c>
      <c r="Q2753" s="71">
        <f t="shared" si="1453"/>
        <v>5</v>
      </c>
      <c r="R2753" s="102">
        <v>115000</v>
      </c>
      <c r="S2753" s="102">
        <f t="shared" si="1451"/>
        <v>632500</v>
      </c>
      <c r="T2753" s="102">
        <f t="shared" si="1452"/>
        <v>575000</v>
      </c>
      <c r="U2753" s="71" t="s">
        <v>859</v>
      </c>
      <c r="V2753" s="71"/>
      <c r="W2753" s="474">
        <v>285000</v>
      </c>
      <c r="X2753" s="71"/>
      <c r="Y2753" s="71"/>
    </row>
    <row r="2754" spans="1:25" s="209" customFormat="1" ht="30" hidden="1" customHeight="1" x14ac:dyDescent="0.25">
      <c r="A2754" s="82">
        <v>200108</v>
      </c>
      <c r="B2754" s="664" t="s">
        <v>1286</v>
      </c>
      <c r="C2754" s="71" t="s">
        <v>1144</v>
      </c>
      <c r="D2754" s="71">
        <v>5</v>
      </c>
      <c r="E2754" s="102">
        <v>110000</v>
      </c>
      <c r="F2754" s="102">
        <f t="shared" ref="F2754:F2765" si="1455">(E2754*D2754)*1.1</f>
        <v>605000</v>
      </c>
      <c r="G2754" s="102">
        <f t="shared" si="1449"/>
        <v>550000</v>
      </c>
      <c r="H2754" s="690" t="s">
        <v>173</v>
      </c>
      <c r="I2754" s="71" t="s">
        <v>2231</v>
      </c>
      <c r="J2754" s="53">
        <f t="shared" si="1454"/>
        <v>95000</v>
      </c>
      <c r="K2754" s="63">
        <f t="shared" ref="K2754:K2763" si="1456">(J2754/(F2754/11*10))</f>
        <v>0.17272727272727273</v>
      </c>
      <c r="L2754" s="871" t="s">
        <v>2270</v>
      </c>
      <c r="M2754" s="468"/>
      <c r="N2754" s="664">
        <f t="shared" si="1447"/>
        <v>200108</v>
      </c>
      <c r="O2754" s="71" t="s">
        <v>150</v>
      </c>
      <c r="P2754" s="103" t="str">
        <f t="shared" si="1453"/>
        <v>실리콘 에멀전</v>
      </c>
      <c r="Q2754" s="71">
        <f t="shared" si="1453"/>
        <v>5</v>
      </c>
      <c r="R2754" s="102">
        <v>91000</v>
      </c>
      <c r="S2754" s="102">
        <f t="shared" si="1451"/>
        <v>500500.00000000006</v>
      </c>
      <c r="T2754" s="102">
        <f t="shared" si="1452"/>
        <v>455000</v>
      </c>
      <c r="U2754" s="71" t="str">
        <f>IF(J2754=W2754,"O", "X")</f>
        <v>O</v>
      </c>
      <c r="V2754" s="71"/>
      <c r="W2754" s="474">
        <f>(G2754-T2754)</f>
        <v>95000</v>
      </c>
      <c r="X2754" s="71"/>
      <c r="Y2754" s="71"/>
    </row>
    <row r="2755" spans="1:25" s="209" customFormat="1" ht="30" hidden="1" customHeight="1" x14ac:dyDescent="0.25">
      <c r="A2755" s="82">
        <v>200108</v>
      </c>
      <c r="B2755" s="664" t="s">
        <v>764</v>
      </c>
      <c r="C2755" s="71" t="s">
        <v>236</v>
      </c>
      <c r="D2755" s="71">
        <v>10</v>
      </c>
      <c r="E2755" s="102">
        <v>100000</v>
      </c>
      <c r="F2755" s="102">
        <f t="shared" si="1455"/>
        <v>1100000</v>
      </c>
      <c r="G2755" s="102">
        <f t="shared" si="1449"/>
        <v>1000000</v>
      </c>
      <c r="H2755" s="690" t="s">
        <v>173</v>
      </c>
      <c r="I2755" s="71" t="s">
        <v>2231</v>
      </c>
      <c r="J2755" s="53">
        <f t="shared" si="1454"/>
        <v>500000</v>
      </c>
      <c r="K2755" s="63">
        <f t="shared" si="1456"/>
        <v>0.5</v>
      </c>
      <c r="L2755" s="871" t="s">
        <v>2270</v>
      </c>
      <c r="M2755" s="468"/>
      <c r="N2755" s="664">
        <f t="shared" si="1447"/>
        <v>200108</v>
      </c>
      <c r="O2755" s="71" t="s">
        <v>153</v>
      </c>
      <c r="P2755" s="103" t="str">
        <f t="shared" si="1453"/>
        <v>아스테이지(국전)</v>
      </c>
      <c r="Q2755" s="71">
        <f t="shared" si="1453"/>
        <v>10</v>
      </c>
      <c r="R2755" s="102">
        <v>50000</v>
      </c>
      <c r="S2755" s="102">
        <f t="shared" si="1451"/>
        <v>550000</v>
      </c>
      <c r="T2755" s="102">
        <f t="shared" si="1452"/>
        <v>500000</v>
      </c>
      <c r="U2755" s="71" t="s">
        <v>859</v>
      </c>
      <c r="V2755" s="71"/>
      <c r="W2755" s="474">
        <v>500000</v>
      </c>
      <c r="X2755" s="71"/>
      <c r="Y2755" s="71"/>
    </row>
    <row r="2756" spans="1:25" s="209" customFormat="1" ht="30" hidden="1" customHeight="1" x14ac:dyDescent="0.25">
      <c r="A2756" s="82">
        <v>200109</v>
      </c>
      <c r="B2756" s="664" t="s">
        <v>1014</v>
      </c>
      <c r="C2756" s="71" t="s">
        <v>123</v>
      </c>
      <c r="D2756" s="71">
        <v>10</v>
      </c>
      <c r="E2756" s="102">
        <v>45000</v>
      </c>
      <c r="F2756" s="102">
        <f t="shared" si="1455"/>
        <v>495000.00000000006</v>
      </c>
      <c r="G2756" s="102">
        <f t="shared" si="1449"/>
        <v>450000</v>
      </c>
      <c r="H2756" s="690" t="s">
        <v>1432</v>
      </c>
      <c r="I2756" s="71" t="s">
        <v>1432</v>
      </c>
      <c r="J2756" s="53">
        <f t="shared" si="1454"/>
        <v>226590</v>
      </c>
      <c r="K2756" s="63">
        <f t="shared" si="1456"/>
        <v>0.50353333333333328</v>
      </c>
      <c r="L2756" s="871" t="s">
        <v>2270</v>
      </c>
      <c r="M2756" s="468"/>
      <c r="N2756" s="664">
        <f t="shared" si="1447"/>
        <v>200109</v>
      </c>
      <c r="O2756" s="71" t="s">
        <v>94</v>
      </c>
      <c r="P2756" s="103" t="str">
        <f t="shared" si="1453"/>
        <v>필터백</v>
      </c>
      <c r="Q2756" s="71">
        <f t="shared" si="1453"/>
        <v>10</v>
      </c>
      <c r="R2756" s="102">
        <v>22341</v>
      </c>
      <c r="S2756" s="102">
        <f t="shared" si="1451"/>
        <v>245751.00000000003</v>
      </c>
      <c r="T2756" s="102">
        <f t="shared" si="1452"/>
        <v>223410</v>
      </c>
      <c r="U2756" s="71"/>
      <c r="V2756" s="71"/>
      <c r="W2756" s="474"/>
      <c r="X2756" s="71"/>
      <c r="Y2756" s="71"/>
    </row>
    <row r="2757" spans="1:25" ht="30" hidden="1" customHeight="1" x14ac:dyDescent="0.25">
      <c r="A2757" s="82">
        <v>200109</v>
      </c>
      <c r="B2757" s="664" t="s">
        <v>575</v>
      </c>
      <c r="C2757" s="71" t="s">
        <v>1367</v>
      </c>
      <c r="D2757" s="71">
        <v>8</v>
      </c>
      <c r="E2757" s="102">
        <v>218000</v>
      </c>
      <c r="F2757" s="102">
        <f t="shared" si="1455"/>
        <v>1918400.0000000002</v>
      </c>
      <c r="G2757" s="102">
        <f t="shared" si="1449"/>
        <v>1744000</v>
      </c>
      <c r="H2757" s="690" t="s">
        <v>173</v>
      </c>
      <c r="I2757" s="71" t="s">
        <v>109</v>
      </c>
      <c r="J2757" s="53">
        <f t="shared" si="1454"/>
        <v>781920</v>
      </c>
      <c r="K2757" s="63">
        <f t="shared" si="1456"/>
        <v>0.44834862385321095</v>
      </c>
      <c r="L2757" s="871" t="s">
        <v>2270</v>
      </c>
      <c r="M2757" s="468"/>
      <c r="N2757" s="664">
        <f t="shared" si="1447"/>
        <v>200109</v>
      </c>
      <c r="O2757" s="71" t="s">
        <v>1443</v>
      </c>
      <c r="P2757" s="103" t="str">
        <f t="shared" si="1453"/>
        <v>M600 윤전 블랑켓 995*742</v>
      </c>
      <c r="Q2757" s="71">
        <f t="shared" si="1453"/>
        <v>8</v>
      </c>
      <c r="R2757" s="102">
        <v>120260</v>
      </c>
      <c r="S2757" s="102">
        <f t="shared" si="1451"/>
        <v>1058288</v>
      </c>
      <c r="T2757" s="102">
        <f t="shared" si="1452"/>
        <v>962080</v>
      </c>
      <c r="U2757" s="71" t="str">
        <f>IF(J2757=W2757,"O", "X")</f>
        <v>X</v>
      </c>
      <c r="V2757" s="71"/>
      <c r="W2757" s="474"/>
      <c r="X2757" s="71"/>
      <c r="Y2757" s="71"/>
    </row>
    <row r="2758" spans="1:25" ht="30" customHeight="1" x14ac:dyDescent="0.25">
      <c r="A2758" s="82">
        <v>200110</v>
      </c>
      <c r="B2758" s="664" t="s">
        <v>565</v>
      </c>
      <c r="C2758" s="71" t="s">
        <v>2282</v>
      </c>
      <c r="D2758" s="71">
        <v>1</v>
      </c>
      <c r="E2758" s="102">
        <v>5690000</v>
      </c>
      <c r="F2758" s="102">
        <f t="shared" si="1455"/>
        <v>6259000.0000000009</v>
      </c>
      <c r="G2758" s="102">
        <f t="shared" si="1449"/>
        <v>5690000</v>
      </c>
      <c r="H2758" s="690" t="s">
        <v>142</v>
      </c>
      <c r="I2758" s="71" t="s">
        <v>142</v>
      </c>
      <c r="J2758" s="53">
        <f t="shared" si="1454"/>
        <v>1775918</v>
      </c>
      <c r="K2758" s="63">
        <f t="shared" si="1456"/>
        <v>0.31211212653778553</v>
      </c>
      <c r="L2758" s="871" t="s">
        <v>2270</v>
      </c>
      <c r="M2758" s="468"/>
      <c r="N2758" s="664">
        <f t="shared" si="1447"/>
        <v>200110</v>
      </c>
      <c r="O2758" s="71" t="s">
        <v>1431</v>
      </c>
      <c r="P2758" s="103" t="str">
        <f t="shared" ref="P2758:Q2817" si="1457">C2758</f>
        <v>CB DRIVE UNIT LH(New Part)</v>
      </c>
      <c r="Q2758" s="71">
        <f t="shared" si="1457"/>
        <v>1</v>
      </c>
      <c r="R2758" s="102">
        <v>3914082</v>
      </c>
      <c r="S2758" s="102">
        <f t="shared" si="1451"/>
        <v>4305490.2</v>
      </c>
      <c r="T2758" s="102">
        <f t="shared" si="1452"/>
        <v>3914082</v>
      </c>
      <c r="U2758" s="71"/>
      <c r="V2758" s="71"/>
      <c r="W2758" s="474"/>
      <c r="X2758" s="71"/>
      <c r="Y2758" s="71"/>
    </row>
    <row r="2759" spans="1:25" ht="30" customHeight="1" x14ac:dyDescent="0.25">
      <c r="A2759" s="82">
        <v>200110</v>
      </c>
      <c r="B2759" s="664" t="s">
        <v>565</v>
      </c>
      <c r="C2759" s="71" t="s">
        <v>2267</v>
      </c>
      <c r="D2759" s="71">
        <v>1</v>
      </c>
      <c r="E2759" s="102">
        <v>5830000</v>
      </c>
      <c r="F2759" s="102">
        <f t="shared" si="1455"/>
        <v>6413000.0000000009</v>
      </c>
      <c r="G2759" s="102">
        <f t="shared" si="1449"/>
        <v>5830000</v>
      </c>
      <c r="H2759" s="690" t="s">
        <v>142</v>
      </c>
      <c r="I2759" s="71" t="s">
        <v>142</v>
      </c>
      <c r="J2759" s="53">
        <f t="shared" si="1454"/>
        <v>1816285</v>
      </c>
      <c r="K2759" s="63">
        <f t="shared" si="1456"/>
        <v>0.31154116638078899</v>
      </c>
      <c r="L2759" s="871" t="s">
        <v>2270</v>
      </c>
      <c r="M2759" s="468"/>
      <c r="N2759" s="664">
        <f t="shared" si="1447"/>
        <v>200110</v>
      </c>
      <c r="O2759" s="71" t="s">
        <v>1431</v>
      </c>
      <c r="P2759" s="103" t="str">
        <f t="shared" si="1457"/>
        <v>CB DRIVE UNIT RH(New Part)</v>
      </c>
      <c r="Q2759" s="71">
        <f t="shared" si="1457"/>
        <v>1</v>
      </c>
      <c r="R2759" s="102">
        <v>4013715</v>
      </c>
      <c r="S2759" s="102">
        <f t="shared" si="1451"/>
        <v>4415086.5</v>
      </c>
      <c r="T2759" s="102">
        <f t="shared" si="1452"/>
        <v>4013715</v>
      </c>
      <c r="U2759" s="71"/>
      <c r="V2759" s="71"/>
      <c r="W2759" s="474"/>
      <c r="X2759" s="71"/>
      <c r="Y2759" s="71"/>
    </row>
    <row r="2760" spans="1:25" ht="30" hidden="1" customHeight="1" x14ac:dyDescent="0.25">
      <c r="A2760" s="82">
        <v>200111</v>
      </c>
      <c r="B2760" s="664" t="s">
        <v>442</v>
      </c>
      <c r="C2760" s="71" t="s">
        <v>206</v>
      </c>
      <c r="D2760" s="71">
        <v>2</v>
      </c>
      <c r="E2760" s="102">
        <v>327000</v>
      </c>
      <c r="F2760" s="102">
        <f t="shared" si="1455"/>
        <v>719400</v>
      </c>
      <c r="G2760" s="102">
        <f t="shared" si="1449"/>
        <v>654000</v>
      </c>
      <c r="H2760" s="690" t="s">
        <v>2029</v>
      </c>
      <c r="I2760" s="71" t="s">
        <v>195</v>
      </c>
      <c r="J2760" s="53">
        <f t="shared" si="1454"/>
        <v>115800</v>
      </c>
      <c r="K2760" s="63">
        <f t="shared" si="1456"/>
        <v>0.17706422018348625</v>
      </c>
      <c r="L2760" s="871" t="s">
        <v>2270</v>
      </c>
      <c r="M2760" s="468"/>
      <c r="N2760" s="664">
        <f t="shared" si="1447"/>
        <v>200111</v>
      </c>
      <c r="O2760" s="71" t="s">
        <v>194</v>
      </c>
      <c r="P2760" s="103" t="str">
        <f t="shared" si="1457"/>
        <v>Agfa Film(24inch)</v>
      </c>
      <c r="Q2760" s="71">
        <f t="shared" si="1457"/>
        <v>2</v>
      </c>
      <c r="R2760" s="102">
        <v>269100</v>
      </c>
      <c r="S2760" s="102">
        <f t="shared" si="1451"/>
        <v>592020</v>
      </c>
      <c r="T2760" s="102">
        <f t="shared" si="1452"/>
        <v>538200</v>
      </c>
      <c r="U2760" s="71" t="str">
        <f>IF(J2760=W2760,"O", "X")</f>
        <v>O</v>
      </c>
      <c r="V2760" s="71"/>
      <c r="W2760" s="474">
        <f>(G2760-T2760)</f>
        <v>115800</v>
      </c>
      <c r="X2760" s="71"/>
      <c r="Y2760" s="71"/>
    </row>
    <row r="2761" spans="1:25" ht="30" hidden="1" customHeight="1" x14ac:dyDescent="0.25">
      <c r="A2761" s="82">
        <v>200111</v>
      </c>
      <c r="B2761" s="664" t="s">
        <v>442</v>
      </c>
      <c r="C2761" s="71" t="s">
        <v>207</v>
      </c>
      <c r="D2761" s="71">
        <v>2</v>
      </c>
      <c r="E2761" s="102">
        <v>401000</v>
      </c>
      <c r="F2761" s="102">
        <f t="shared" si="1455"/>
        <v>882200.00000000012</v>
      </c>
      <c r="G2761" s="102">
        <f t="shared" si="1449"/>
        <v>802000</v>
      </c>
      <c r="H2761" s="690" t="s">
        <v>2029</v>
      </c>
      <c r="I2761" s="71" t="s">
        <v>195</v>
      </c>
      <c r="J2761" s="53">
        <f t="shared" si="1454"/>
        <v>174080</v>
      </c>
      <c r="K2761" s="63">
        <f t="shared" si="1456"/>
        <v>0.21705735660847877</v>
      </c>
      <c r="L2761" s="871" t="s">
        <v>2270</v>
      </c>
      <c r="M2761" s="468"/>
      <c r="N2761" s="664">
        <f t="shared" si="1447"/>
        <v>200111</v>
      </c>
      <c r="O2761" s="71" t="s">
        <v>194</v>
      </c>
      <c r="P2761" s="103" t="str">
        <f t="shared" si="1457"/>
        <v>Agfa Film(28inch)</v>
      </c>
      <c r="Q2761" s="71">
        <f t="shared" si="1457"/>
        <v>2</v>
      </c>
      <c r="R2761" s="102">
        <f>VLOOKUP(P2761,[5]Price!B$1:D$65536,3,FALSE)</f>
        <v>313960</v>
      </c>
      <c r="S2761" s="102">
        <f t="shared" si="1451"/>
        <v>690712</v>
      </c>
      <c r="T2761" s="102">
        <f t="shared" si="1452"/>
        <v>627920</v>
      </c>
      <c r="U2761" s="71" t="str">
        <f>IF(J2761=W2761,"O", "X")</f>
        <v>O</v>
      </c>
      <c r="V2761" s="71"/>
      <c r="W2761" s="474">
        <f>(G2761-T2761)</f>
        <v>174080</v>
      </c>
      <c r="X2761" s="71"/>
      <c r="Y2761" s="71"/>
    </row>
    <row r="2762" spans="1:25" ht="30" hidden="1" customHeight="1" x14ac:dyDescent="0.25">
      <c r="A2762" s="82">
        <v>200111</v>
      </c>
      <c r="B2762" s="664" t="s">
        <v>442</v>
      </c>
      <c r="C2762" s="71" t="s">
        <v>208</v>
      </c>
      <c r="D2762" s="71">
        <v>2</v>
      </c>
      <c r="E2762" s="102">
        <v>448000</v>
      </c>
      <c r="F2762" s="102">
        <f t="shared" si="1455"/>
        <v>985600.00000000012</v>
      </c>
      <c r="G2762" s="102">
        <f t="shared" si="1449"/>
        <v>896000</v>
      </c>
      <c r="H2762" s="690" t="s">
        <v>2029</v>
      </c>
      <c r="I2762" s="71" t="s">
        <v>195</v>
      </c>
      <c r="J2762" s="53">
        <f t="shared" si="1454"/>
        <v>155980</v>
      </c>
      <c r="K2762" s="63">
        <f t="shared" si="1456"/>
        <v>0.1740848214285714</v>
      </c>
      <c r="L2762" s="871" t="s">
        <v>2270</v>
      </c>
      <c r="M2762" s="468"/>
      <c r="N2762" s="664">
        <f t="shared" si="1447"/>
        <v>200111</v>
      </c>
      <c r="O2762" s="71" t="s">
        <v>194</v>
      </c>
      <c r="P2762" s="103" t="str">
        <f t="shared" si="1457"/>
        <v>Agfa Film(32inch)</v>
      </c>
      <c r="Q2762" s="71">
        <f t="shared" si="1457"/>
        <v>2</v>
      </c>
      <c r="R2762" s="102">
        <f>VLOOKUP(P2762,[5]Price!B$1:D$65536,3,FALSE)</f>
        <v>370010</v>
      </c>
      <c r="S2762" s="102">
        <f t="shared" si="1451"/>
        <v>814022.00000000012</v>
      </c>
      <c r="T2762" s="102">
        <f t="shared" si="1452"/>
        <v>740020</v>
      </c>
      <c r="U2762" s="71" t="str">
        <f>IF(J2762=W2762,"O", "X")</f>
        <v>O</v>
      </c>
      <c r="V2762" s="71"/>
      <c r="W2762" s="474">
        <f>(G2762-T2762)</f>
        <v>155980</v>
      </c>
      <c r="X2762" s="71"/>
      <c r="Y2762" s="71"/>
    </row>
    <row r="2763" spans="1:25" ht="30" hidden="1" customHeight="1" x14ac:dyDescent="0.25">
      <c r="A2763" s="82">
        <v>200113</v>
      </c>
      <c r="B2763" s="664" t="s">
        <v>546</v>
      </c>
      <c r="C2763" s="71" t="s">
        <v>2009</v>
      </c>
      <c r="D2763" s="71">
        <v>1</v>
      </c>
      <c r="E2763" s="102">
        <v>250000</v>
      </c>
      <c r="F2763" s="102">
        <f t="shared" si="1455"/>
        <v>275000</v>
      </c>
      <c r="G2763" s="102">
        <f t="shared" si="1449"/>
        <v>250000</v>
      </c>
      <c r="H2763" s="690" t="s">
        <v>985</v>
      </c>
      <c r="I2763" s="71" t="s">
        <v>985</v>
      </c>
      <c r="J2763" s="53">
        <f t="shared" si="1454"/>
        <v>250000</v>
      </c>
      <c r="K2763" s="63">
        <f t="shared" si="1456"/>
        <v>1</v>
      </c>
      <c r="L2763" s="871" t="s">
        <v>2270</v>
      </c>
      <c r="M2763" s="468"/>
      <c r="N2763" s="664">
        <f t="shared" si="1447"/>
        <v>200113</v>
      </c>
      <c r="O2763" s="71"/>
      <c r="P2763" s="103" t="str">
        <f t="shared" si="1457"/>
        <v>M600 서비스 비용</v>
      </c>
      <c r="Q2763" s="71">
        <f t="shared" si="1457"/>
        <v>1</v>
      </c>
      <c r="R2763" s="102"/>
      <c r="S2763" s="102">
        <f t="shared" si="1451"/>
        <v>0</v>
      </c>
      <c r="T2763" s="102">
        <f t="shared" si="1452"/>
        <v>0</v>
      </c>
      <c r="U2763" s="71"/>
      <c r="V2763" s="71"/>
      <c r="W2763" s="474"/>
      <c r="X2763" s="71"/>
      <c r="Y2763" s="71"/>
    </row>
    <row r="2764" spans="1:25" s="209" customFormat="1" ht="30" hidden="1" customHeight="1" x14ac:dyDescent="0.25">
      <c r="A2764" s="82">
        <v>200114</v>
      </c>
      <c r="B2764" s="664" t="s">
        <v>567</v>
      </c>
      <c r="C2764" s="71" t="s">
        <v>236</v>
      </c>
      <c r="D2764" s="71">
        <v>10</v>
      </c>
      <c r="E2764" s="102">
        <v>65000</v>
      </c>
      <c r="F2764" s="102">
        <f t="shared" si="1455"/>
        <v>715000</v>
      </c>
      <c r="G2764" s="102">
        <f t="shared" si="1449"/>
        <v>650000</v>
      </c>
      <c r="H2764" s="690" t="s">
        <v>173</v>
      </c>
      <c r="I2764" s="71" t="s">
        <v>2231</v>
      </c>
      <c r="J2764" s="53">
        <f t="shared" si="1454"/>
        <v>150000</v>
      </c>
      <c r="K2764" s="63">
        <v>0.23076923076923078</v>
      </c>
      <c r="L2764" s="871" t="s">
        <v>2270</v>
      </c>
      <c r="M2764" s="468"/>
      <c r="N2764" s="664">
        <f t="shared" si="1447"/>
        <v>200114</v>
      </c>
      <c r="O2764" s="71" t="s">
        <v>153</v>
      </c>
      <c r="P2764" s="103" t="str">
        <f t="shared" si="1457"/>
        <v>아스테이지(국전)</v>
      </c>
      <c r="Q2764" s="71">
        <f t="shared" si="1457"/>
        <v>10</v>
      </c>
      <c r="R2764" s="102">
        <v>50000</v>
      </c>
      <c r="S2764" s="102">
        <f t="shared" si="1451"/>
        <v>550000</v>
      </c>
      <c r="T2764" s="102">
        <f t="shared" si="1452"/>
        <v>500000</v>
      </c>
      <c r="U2764" s="71" t="s">
        <v>859</v>
      </c>
      <c r="V2764" s="71"/>
      <c r="W2764" s="474">
        <v>150000</v>
      </c>
      <c r="X2764" s="71"/>
      <c r="Y2764" s="71"/>
    </row>
    <row r="2765" spans="1:25" ht="27.6" hidden="1" customHeight="1" x14ac:dyDescent="0.25">
      <c r="A2765" s="82">
        <v>200114</v>
      </c>
      <c r="B2765" s="664" t="s">
        <v>567</v>
      </c>
      <c r="C2765" s="71" t="s">
        <v>1652</v>
      </c>
      <c r="D2765" s="71">
        <v>5</v>
      </c>
      <c r="E2765" s="102">
        <v>45000</v>
      </c>
      <c r="F2765" s="102">
        <f t="shared" si="1455"/>
        <v>247500.00000000003</v>
      </c>
      <c r="G2765" s="102">
        <f t="shared" si="1449"/>
        <v>225000</v>
      </c>
      <c r="H2765" s="690" t="s">
        <v>173</v>
      </c>
      <c r="I2765" s="71" t="s">
        <v>2231</v>
      </c>
      <c r="J2765" s="53">
        <f t="shared" si="1454"/>
        <v>25000</v>
      </c>
      <c r="K2765" s="63">
        <v>0.11111111111111109</v>
      </c>
      <c r="L2765" s="871" t="s">
        <v>2270</v>
      </c>
      <c r="M2765" s="468"/>
      <c r="N2765" s="664">
        <f t="shared" si="1447"/>
        <v>200114</v>
      </c>
      <c r="O2765" s="71" t="s">
        <v>153</v>
      </c>
      <c r="P2765" s="103" t="str">
        <f t="shared" si="1457"/>
        <v>아스테이지(CD74용)</v>
      </c>
      <c r="Q2765" s="71">
        <f t="shared" si="1457"/>
        <v>5</v>
      </c>
      <c r="R2765" s="102">
        <v>40000</v>
      </c>
      <c r="S2765" s="102">
        <f t="shared" si="1451"/>
        <v>220000.00000000003</v>
      </c>
      <c r="T2765" s="102">
        <f t="shared" si="1452"/>
        <v>200000</v>
      </c>
      <c r="U2765" s="71" t="s">
        <v>1915</v>
      </c>
      <c r="V2765" s="71"/>
      <c r="W2765" s="474"/>
      <c r="X2765" s="71"/>
      <c r="Y2765" s="71"/>
    </row>
    <row r="2766" spans="1:25" ht="30" hidden="1" customHeight="1" x14ac:dyDescent="0.25">
      <c r="A2766" s="82">
        <v>200115</v>
      </c>
      <c r="B2766" s="664" t="s">
        <v>748</v>
      </c>
      <c r="C2766" s="71" t="s">
        <v>2268</v>
      </c>
      <c r="D2766" s="71">
        <v>1</v>
      </c>
      <c r="E2766" s="102">
        <v>5200000</v>
      </c>
      <c r="F2766" s="102">
        <f>(E2766*D2766)*1.1</f>
        <v>5720000</v>
      </c>
      <c r="G2766" s="102">
        <f t="shared" si="1449"/>
        <v>5200000</v>
      </c>
      <c r="H2766" s="690" t="s">
        <v>1431</v>
      </c>
      <c r="I2766" s="71" t="s">
        <v>1431</v>
      </c>
      <c r="J2766" s="53">
        <f t="shared" si="1454"/>
        <v>813225</v>
      </c>
      <c r="K2766" s="63">
        <f>(J2766/(F2766/11*10))</f>
        <v>0.15638942307692308</v>
      </c>
      <c r="L2766" s="871" t="s">
        <v>2270</v>
      </c>
      <c r="M2766" s="468"/>
      <c r="N2766" s="664">
        <f t="shared" si="1447"/>
        <v>200115</v>
      </c>
      <c r="O2766" s="71" t="s">
        <v>1432</v>
      </c>
      <c r="P2766" s="103" t="str">
        <f t="shared" si="1457"/>
        <v>컴프레셔</v>
      </c>
      <c r="Q2766" s="71">
        <f t="shared" si="1457"/>
        <v>1</v>
      </c>
      <c r="R2766" s="102">
        <v>4386775</v>
      </c>
      <c r="S2766" s="102">
        <f t="shared" si="1451"/>
        <v>4825452.5</v>
      </c>
      <c r="T2766" s="102">
        <f t="shared" si="1452"/>
        <v>4386775</v>
      </c>
      <c r="U2766" s="71"/>
      <c r="V2766" s="71"/>
      <c r="W2766" s="474"/>
      <c r="X2766" s="71"/>
      <c r="Y2766" s="71"/>
    </row>
    <row r="2767" spans="1:25" ht="30" hidden="1" customHeight="1" x14ac:dyDescent="0.25">
      <c r="A2767" s="82">
        <v>200115</v>
      </c>
      <c r="B2767" s="664" t="s">
        <v>631</v>
      </c>
      <c r="C2767" s="71" t="s">
        <v>201</v>
      </c>
      <c r="D2767" s="71">
        <v>10</v>
      </c>
      <c r="E2767" s="102">
        <v>75000</v>
      </c>
      <c r="F2767" s="102">
        <f>(E2767*D2767)*1.1</f>
        <v>825000.00000000012</v>
      </c>
      <c r="G2767" s="102">
        <f t="shared" si="1449"/>
        <v>750000</v>
      </c>
      <c r="H2767" s="690" t="s">
        <v>173</v>
      </c>
      <c r="I2767" s="71" t="s">
        <v>109</v>
      </c>
      <c r="J2767" s="53">
        <f t="shared" si="1454"/>
        <v>200000</v>
      </c>
      <c r="K2767" s="63">
        <f>(J2767/(F2767/11*10))</f>
        <v>0.26666666666666661</v>
      </c>
      <c r="L2767" s="871" t="s">
        <v>2270</v>
      </c>
      <c r="M2767" s="468"/>
      <c r="N2767" s="664">
        <f t="shared" si="1447"/>
        <v>200115</v>
      </c>
      <c r="O2767" s="71" t="s">
        <v>149</v>
      </c>
      <c r="P2767" s="103" t="str">
        <f t="shared" si="1457"/>
        <v>Bar블랑켓 730*710</v>
      </c>
      <c r="Q2767" s="71">
        <f t="shared" si="1457"/>
        <v>10</v>
      </c>
      <c r="R2767" s="102">
        <v>55000</v>
      </c>
      <c r="S2767" s="102">
        <f t="shared" si="1451"/>
        <v>605000</v>
      </c>
      <c r="T2767" s="102">
        <f t="shared" si="1452"/>
        <v>550000</v>
      </c>
      <c r="U2767" s="71" t="str">
        <f>IF(J2767=W2767,"O", "X")</f>
        <v>O</v>
      </c>
      <c r="V2767" s="71"/>
      <c r="W2767" s="474">
        <f>(G2767-T2767)</f>
        <v>200000</v>
      </c>
      <c r="X2767" s="71"/>
      <c r="Y2767" s="71"/>
    </row>
    <row r="2768" spans="1:25" ht="30" hidden="1" customHeight="1" x14ac:dyDescent="0.25">
      <c r="A2768" s="82">
        <v>200116</v>
      </c>
      <c r="B2768" s="664" t="s">
        <v>748</v>
      </c>
      <c r="C2768" s="71" t="s">
        <v>884</v>
      </c>
      <c r="D2768" s="71">
        <v>10</v>
      </c>
      <c r="E2768" s="102">
        <v>70000</v>
      </c>
      <c r="F2768" s="102">
        <f>(E2768*D2768)*1.1</f>
        <v>770000.00000000012</v>
      </c>
      <c r="G2768" s="102">
        <f t="shared" si="1449"/>
        <v>700000</v>
      </c>
      <c r="H2768" s="690" t="s">
        <v>1431</v>
      </c>
      <c r="I2768" s="71" t="s">
        <v>1431</v>
      </c>
      <c r="J2768" s="53">
        <f t="shared" si="1454"/>
        <v>238530</v>
      </c>
      <c r="K2768" s="63">
        <f>(J2768/(F2768/11*10))</f>
        <v>0.34075714285714281</v>
      </c>
      <c r="L2768" s="871" t="s">
        <v>2270</v>
      </c>
      <c r="M2768" s="468"/>
      <c r="N2768" s="664">
        <f t="shared" si="1447"/>
        <v>200116</v>
      </c>
      <c r="O2768" s="71" t="s">
        <v>1431</v>
      </c>
      <c r="P2768" s="103" t="str">
        <f t="shared" si="1457"/>
        <v>재단목</v>
      </c>
      <c r="Q2768" s="71">
        <f t="shared" si="1457"/>
        <v>10</v>
      </c>
      <c r="R2768" s="102">
        <v>46147</v>
      </c>
      <c r="S2768" s="102">
        <f t="shared" si="1451"/>
        <v>507617.00000000006</v>
      </c>
      <c r="T2768" s="102">
        <f t="shared" si="1452"/>
        <v>461470</v>
      </c>
      <c r="U2768" s="71"/>
      <c r="V2768" s="71"/>
      <c r="W2768" s="474"/>
      <c r="X2768" s="71"/>
      <c r="Y2768" s="71"/>
    </row>
    <row r="2769" spans="1:25" ht="30" hidden="1" customHeight="1" x14ac:dyDescent="0.25">
      <c r="A2769" s="82">
        <v>200116</v>
      </c>
      <c r="B2769" s="664" t="s">
        <v>640</v>
      </c>
      <c r="C2769" s="71" t="s">
        <v>2269</v>
      </c>
      <c r="D2769" s="71">
        <v>50</v>
      </c>
      <c r="E2769" s="102">
        <v>14000</v>
      </c>
      <c r="F2769" s="102">
        <f>(E2769*D2769)*1.1</f>
        <v>770000.00000000012</v>
      </c>
      <c r="G2769" s="102">
        <f t="shared" si="1449"/>
        <v>700000</v>
      </c>
      <c r="H2769" s="690" t="s">
        <v>173</v>
      </c>
      <c r="I2769" s="71" t="s">
        <v>108</v>
      </c>
      <c r="J2769" s="53">
        <f t="shared" si="1454"/>
        <v>404700</v>
      </c>
      <c r="K2769" s="63">
        <f>(J2769/(F2769/11*10))</f>
        <v>0.57814285714285707</v>
      </c>
      <c r="L2769" s="871" t="s">
        <v>2270</v>
      </c>
      <c r="M2769" s="468"/>
      <c r="N2769" s="664">
        <f t="shared" si="1447"/>
        <v>200116</v>
      </c>
      <c r="O2769" s="71" t="s">
        <v>1431</v>
      </c>
      <c r="P2769" s="103" t="str">
        <f t="shared" si="1457"/>
        <v>스트리퍼(얇은)</v>
      </c>
      <c r="Q2769" s="71">
        <f t="shared" si="1457"/>
        <v>50</v>
      </c>
      <c r="R2769" s="102">
        <v>5906</v>
      </c>
      <c r="S2769" s="102">
        <f t="shared" si="1451"/>
        <v>324830</v>
      </c>
      <c r="T2769" s="102">
        <f t="shared" si="1452"/>
        <v>295300</v>
      </c>
      <c r="U2769" s="71"/>
      <c r="V2769" s="71"/>
      <c r="W2769" s="474"/>
      <c r="X2769" s="71"/>
      <c r="Y2769" s="71"/>
    </row>
    <row r="2770" spans="1:25" ht="30" hidden="1" customHeight="1" x14ac:dyDescent="0.25">
      <c r="A2770" s="82">
        <v>200116</v>
      </c>
      <c r="B2770" s="664" t="s">
        <v>2353</v>
      </c>
      <c r="C2770" s="71" t="s">
        <v>129</v>
      </c>
      <c r="D2770" s="71">
        <v>7</v>
      </c>
      <c r="E2770" s="102">
        <v>272000</v>
      </c>
      <c r="F2770" s="102">
        <f t="shared" ref="F2770:F2776" si="1458">(E2770*D2770)*1.1</f>
        <v>2094400.0000000002</v>
      </c>
      <c r="G2770" s="102">
        <f t="shared" si="1449"/>
        <v>1904000</v>
      </c>
      <c r="H2770" s="690" t="s">
        <v>142</v>
      </c>
      <c r="I2770" s="71" t="s">
        <v>142</v>
      </c>
      <c r="J2770" s="53">
        <f t="shared" si="1454"/>
        <v>448000</v>
      </c>
      <c r="K2770" s="63">
        <f t="shared" ref="K2770:K2775" si="1459">(J2770/(F2770/11*10))</f>
        <v>0.23529411764705879</v>
      </c>
      <c r="L2770" s="871" t="s">
        <v>2270</v>
      </c>
      <c r="M2770" s="468" t="s">
        <v>2050</v>
      </c>
      <c r="N2770" s="664">
        <f t="shared" si="1447"/>
        <v>200116</v>
      </c>
      <c r="O2770" s="71" t="s">
        <v>149</v>
      </c>
      <c r="P2770" s="103" t="str">
        <f t="shared" si="1457"/>
        <v>세정포-XL106</v>
      </c>
      <c r="Q2770" s="71">
        <f t="shared" si="1457"/>
        <v>7</v>
      </c>
      <c r="R2770" s="102">
        <v>208000</v>
      </c>
      <c r="S2770" s="102">
        <f t="shared" si="1451"/>
        <v>1601600.0000000002</v>
      </c>
      <c r="T2770" s="102">
        <f t="shared" si="1452"/>
        <v>1456000</v>
      </c>
      <c r="U2770" s="71" t="str">
        <f>IF(J2770=W2770,"O", "X")</f>
        <v>O</v>
      </c>
      <c r="V2770" s="71"/>
      <c r="W2770" s="474">
        <f>(G2770-T2770)</f>
        <v>448000</v>
      </c>
      <c r="X2770" s="71"/>
      <c r="Y2770" s="71"/>
    </row>
    <row r="2771" spans="1:25" ht="30" hidden="1" customHeight="1" x14ac:dyDescent="0.25">
      <c r="A2771" s="82">
        <v>200117</v>
      </c>
      <c r="B2771" s="664" t="s">
        <v>690</v>
      </c>
      <c r="C2771" s="71" t="s">
        <v>1186</v>
      </c>
      <c r="D2771" s="71">
        <v>500</v>
      </c>
      <c r="E2771" s="102">
        <v>3600</v>
      </c>
      <c r="F2771" s="1128">
        <f t="shared" si="1458"/>
        <v>1980000.0000000002</v>
      </c>
      <c r="G2771" s="102">
        <f t="shared" si="1449"/>
        <v>1800000</v>
      </c>
      <c r="H2771" s="690" t="s">
        <v>173</v>
      </c>
      <c r="I2771" s="71" t="s">
        <v>2230</v>
      </c>
      <c r="J2771" s="53">
        <f t="shared" si="1454"/>
        <v>-100000</v>
      </c>
      <c r="K2771" s="63">
        <f t="shared" si="1459"/>
        <v>-5.5555555555555546E-2</v>
      </c>
      <c r="L2771" s="871" t="s">
        <v>2270</v>
      </c>
      <c r="M2771" s="468" t="s">
        <v>1393</v>
      </c>
      <c r="N2771" s="664">
        <f t="shared" si="1447"/>
        <v>200117</v>
      </c>
      <c r="O2771" s="71" t="s">
        <v>145</v>
      </c>
      <c r="P2771" s="103" t="str">
        <f t="shared" si="1457"/>
        <v>CTP 판(1030*790mm)</v>
      </c>
      <c r="Q2771" s="71">
        <f t="shared" si="1457"/>
        <v>500</v>
      </c>
      <c r="R2771" s="102">
        <v>3800</v>
      </c>
      <c r="S2771" s="102">
        <f t="shared" si="1451"/>
        <v>2090000.0000000002</v>
      </c>
      <c r="T2771" s="102">
        <f t="shared" si="1452"/>
        <v>1900000</v>
      </c>
      <c r="U2771" s="71" t="s">
        <v>859</v>
      </c>
      <c r="V2771" s="71"/>
      <c r="W2771" s="474">
        <v>-200000</v>
      </c>
      <c r="X2771" s="71"/>
      <c r="Y2771" s="71"/>
    </row>
    <row r="2772" spans="1:25" ht="30" hidden="1" customHeight="1" x14ac:dyDescent="0.25">
      <c r="A2772" s="82">
        <v>200117</v>
      </c>
      <c r="B2772" s="664" t="s">
        <v>690</v>
      </c>
      <c r="C2772" s="71" t="s">
        <v>197</v>
      </c>
      <c r="D2772" s="71">
        <v>4</v>
      </c>
      <c r="E2772" s="102">
        <v>49000</v>
      </c>
      <c r="F2772" s="1128">
        <f t="shared" si="1458"/>
        <v>215600.00000000003</v>
      </c>
      <c r="G2772" s="102">
        <f t="shared" si="1449"/>
        <v>196000</v>
      </c>
      <c r="H2772" s="690" t="s">
        <v>173</v>
      </c>
      <c r="I2772" s="71" t="s">
        <v>2230</v>
      </c>
      <c r="J2772" s="53">
        <f t="shared" si="1454"/>
        <v>56000</v>
      </c>
      <c r="K2772" s="63">
        <f t="shared" si="1459"/>
        <v>0.2857142857142857</v>
      </c>
      <c r="L2772" s="871" t="s">
        <v>2270</v>
      </c>
      <c r="M2772" s="468" t="s">
        <v>1394</v>
      </c>
      <c r="N2772" s="664">
        <f t="shared" si="1447"/>
        <v>200117</v>
      </c>
      <c r="O2772" s="71" t="s">
        <v>145</v>
      </c>
      <c r="P2772" s="103" t="str">
        <f t="shared" si="1457"/>
        <v>THR200(20L)</v>
      </c>
      <c r="Q2772" s="71">
        <f t="shared" si="1457"/>
        <v>4</v>
      </c>
      <c r="R2772" s="102">
        <v>35000</v>
      </c>
      <c r="S2772" s="102">
        <f t="shared" si="1451"/>
        <v>154000</v>
      </c>
      <c r="T2772" s="102">
        <f t="shared" si="1452"/>
        <v>140000</v>
      </c>
      <c r="U2772" s="71" t="str">
        <f>IF(J2772=W2772,"O", "X")</f>
        <v>X</v>
      </c>
      <c r="V2772" s="71"/>
      <c r="W2772" s="474"/>
      <c r="X2772" s="71"/>
      <c r="Y2772" s="71"/>
    </row>
    <row r="2773" spans="1:25" ht="30" hidden="1" customHeight="1" x14ac:dyDescent="0.25">
      <c r="A2773" s="82">
        <v>200117</v>
      </c>
      <c r="B2773" s="664" t="s">
        <v>690</v>
      </c>
      <c r="C2773" s="71" t="s">
        <v>750</v>
      </c>
      <c r="D2773" s="71">
        <v>2</v>
      </c>
      <c r="E2773" s="102">
        <v>49000</v>
      </c>
      <c r="F2773" s="102">
        <f t="shared" si="1458"/>
        <v>107800.00000000001</v>
      </c>
      <c r="G2773" s="102">
        <f t="shared" si="1449"/>
        <v>98000</v>
      </c>
      <c r="H2773" s="690" t="s">
        <v>173</v>
      </c>
      <c r="I2773" s="71" t="s">
        <v>2230</v>
      </c>
      <c r="J2773" s="53">
        <f t="shared" si="1454"/>
        <v>28000</v>
      </c>
      <c r="K2773" s="63">
        <f t="shared" si="1459"/>
        <v>0.2857142857142857</v>
      </c>
      <c r="L2773" s="871" t="s">
        <v>2270</v>
      </c>
      <c r="M2773" s="468" t="s">
        <v>1394</v>
      </c>
      <c r="N2773" s="664">
        <f t="shared" si="1447"/>
        <v>200117</v>
      </c>
      <c r="O2773" s="71" t="s">
        <v>145</v>
      </c>
      <c r="P2773" s="103" t="str">
        <f t="shared" si="1457"/>
        <v>THD200(20L)</v>
      </c>
      <c r="Q2773" s="71">
        <f t="shared" si="1457"/>
        <v>2</v>
      </c>
      <c r="R2773" s="102">
        <v>35000</v>
      </c>
      <c r="S2773" s="102">
        <f t="shared" ref="S2773:S2804" si="1460">R2773*Q2773*1.1</f>
        <v>77000</v>
      </c>
      <c r="T2773" s="102">
        <f t="shared" ref="T2773:T2804" si="1461">R2773*Q2773</f>
        <v>70000</v>
      </c>
      <c r="U2773" s="71" t="str">
        <f>IF(J2773=W2773,"O", "X")</f>
        <v>O</v>
      </c>
      <c r="V2773" s="71"/>
      <c r="W2773" s="474">
        <f>(G2773-T2773)</f>
        <v>28000</v>
      </c>
      <c r="X2773" s="71"/>
      <c r="Y2773" s="71"/>
    </row>
    <row r="2774" spans="1:25" s="209" customFormat="1" ht="30" hidden="1" customHeight="1" x14ac:dyDescent="0.25">
      <c r="A2774" s="82">
        <v>200117</v>
      </c>
      <c r="B2774" s="664" t="s">
        <v>442</v>
      </c>
      <c r="C2774" s="71" t="s">
        <v>138</v>
      </c>
      <c r="D2774" s="71">
        <v>30</v>
      </c>
      <c r="E2774" s="102">
        <v>55200</v>
      </c>
      <c r="F2774" s="102">
        <f t="shared" si="1458"/>
        <v>1821600.0000000002</v>
      </c>
      <c r="G2774" s="102">
        <f t="shared" si="1449"/>
        <v>1656000</v>
      </c>
      <c r="H2774" s="690" t="s">
        <v>173</v>
      </c>
      <c r="I2774" s="71" t="s">
        <v>108</v>
      </c>
      <c r="J2774" s="53">
        <f t="shared" si="1454"/>
        <v>432000</v>
      </c>
      <c r="K2774" s="63">
        <f t="shared" si="1459"/>
        <v>0.26086956521739124</v>
      </c>
      <c r="L2774" s="871" t="s">
        <v>2270</v>
      </c>
      <c r="M2774" s="468" t="s">
        <v>2286</v>
      </c>
      <c r="N2774" s="664">
        <f t="shared" si="1447"/>
        <v>200117</v>
      </c>
      <c r="O2774" s="71" t="s">
        <v>150</v>
      </c>
      <c r="P2774" s="103" t="str">
        <f t="shared" si="1457"/>
        <v>매엽용 세척제(Wash 562)</v>
      </c>
      <c r="Q2774" s="71">
        <f t="shared" si="1457"/>
        <v>30</v>
      </c>
      <c r="R2774" s="102">
        <v>40800</v>
      </c>
      <c r="S2774" s="102">
        <f t="shared" si="1460"/>
        <v>1346400</v>
      </c>
      <c r="T2774" s="102">
        <f t="shared" si="1461"/>
        <v>1224000</v>
      </c>
      <c r="U2774" s="71" t="s">
        <v>1915</v>
      </c>
      <c r="V2774" s="71"/>
      <c r="W2774" s="474">
        <v>396000</v>
      </c>
      <c r="X2774" s="71"/>
      <c r="Y2774" s="71"/>
    </row>
    <row r="2775" spans="1:25" ht="30" hidden="1" customHeight="1" x14ac:dyDescent="0.25">
      <c r="A2775" s="82">
        <v>200117</v>
      </c>
      <c r="B2775" s="664" t="s">
        <v>690</v>
      </c>
      <c r="C2775" s="71" t="s">
        <v>217</v>
      </c>
      <c r="D2775" s="71">
        <v>2</v>
      </c>
      <c r="E2775" s="102">
        <v>145000</v>
      </c>
      <c r="F2775" s="102">
        <f t="shared" si="1458"/>
        <v>319000</v>
      </c>
      <c r="G2775" s="102">
        <f t="shared" si="1449"/>
        <v>290000</v>
      </c>
      <c r="H2775" s="690" t="s">
        <v>173</v>
      </c>
      <c r="I2775" s="71" t="s">
        <v>108</v>
      </c>
      <c r="J2775" s="53">
        <f t="shared" si="1454"/>
        <v>130000</v>
      </c>
      <c r="K2775" s="63">
        <f t="shared" si="1459"/>
        <v>0.44827586206896552</v>
      </c>
      <c r="L2775" s="871" t="s">
        <v>2270</v>
      </c>
      <c r="M2775" s="468"/>
      <c r="N2775" s="664">
        <f t="shared" si="1447"/>
        <v>200117</v>
      </c>
      <c r="O2775" s="71" t="s">
        <v>150</v>
      </c>
      <c r="P2775" s="103" t="str">
        <f t="shared" si="1457"/>
        <v>Fount 511</v>
      </c>
      <c r="Q2775" s="71">
        <f t="shared" si="1457"/>
        <v>2</v>
      </c>
      <c r="R2775" s="102">
        <v>80000</v>
      </c>
      <c r="S2775" s="102">
        <f t="shared" si="1460"/>
        <v>176000</v>
      </c>
      <c r="T2775" s="102">
        <f t="shared" si="1461"/>
        <v>160000</v>
      </c>
      <c r="U2775" s="71" t="s">
        <v>859</v>
      </c>
      <c r="V2775" s="71"/>
      <c r="W2775" s="474">
        <v>130000</v>
      </c>
      <c r="X2775" s="71"/>
      <c r="Y2775" s="71"/>
    </row>
    <row r="2776" spans="1:25" ht="30" hidden="1" customHeight="1" x14ac:dyDescent="0.25">
      <c r="A2776" s="82">
        <v>200117</v>
      </c>
      <c r="B2776" s="664" t="s">
        <v>690</v>
      </c>
      <c r="C2776" s="71" t="s">
        <v>825</v>
      </c>
      <c r="D2776" s="71">
        <v>2</v>
      </c>
      <c r="E2776" s="102">
        <v>150000</v>
      </c>
      <c r="F2776" s="102">
        <f t="shared" si="1458"/>
        <v>330000</v>
      </c>
      <c r="G2776" s="102">
        <f t="shared" si="1449"/>
        <v>300000</v>
      </c>
      <c r="H2776" s="690" t="s">
        <v>173</v>
      </c>
      <c r="I2776" s="71" t="s">
        <v>2231</v>
      </c>
      <c r="J2776" s="53">
        <f t="shared" si="1454"/>
        <v>80000</v>
      </c>
      <c r="K2776" s="63">
        <v>0.36666666666666664</v>
      </c>
      <c r="L2776" s="871" t="s">
        <v>2270</v>
      </c>
      <c r="M2776" s="468"/>
      <c r="N2776" s="664">
        <f t="shared" si="1447"/>
        <v>200117</v>
      </c>
      <c r="O2776" s="71" t="s">
        <v>150</v>
      </c>
      <c r="P2776" s="103" t="str">
        <f t="shared" si="1457"/>
        <v>독일제 정품 잉크호일 아스테이지</v>
      </c>
      <c r="Q2776" s="71">
        <f t="shared" si="1457"/>
        <v>2</v>
      </c>
      <c r="R2776" s="102">
        <v>110000</v>
      </c>
      <c r="S2776" s="102">
        <f t="shared" si="1460"/>
        <v>242000.00000000003</v>
      </c>
      <c r="T2776" s="102">
        <f t="shared" si="1461"/>
        <v>220000</v>
      </c>
      <c r="U2776" s="71" t="s">
        <v>859</v>
      </c>
      <c r="V2776" s="71"/>
      <c r="W2776" s="474">
        <v>110000</v>
      </c>
      <c r="X2776" s="71"/>
      <c r="Y2776" s="71"/>
    </row>
    <row r="2777" spans="1:25" ht="30" hidden="1" customHeight="1" x14ac:dyDescent="0.2">
      <c r="A2777" s="82">
        <v>200120</v>
      </c>
      <c r="B2777" s="664" t="s">
        <v>575</v>
      </c>
      <c r="C2777" s="71" t="s">
        <v>1388</v>
      </c>
      <c r="D2777" s="71">
        <v>3</v>
      </c>
      <c r="E2777" s="102">
        <v>185000</v>
      </c>
      <c r="F2777" s="163">
        <f t="shared" ref="F2777:F2786" si="1462">(E2777*D2777)*1.1</f>
        <v>610500</v>
      </c>
      <c r="G2777" s="102">
        <f t="shared" si="1449"/>
        <v>555000</v>
      </c>
      <c r="H2777" s="690" t="s">
        <v>2029</v>
      </c>
      <c r="I2777" s="71" t="s">
        <v>108</v>
      </c>
      <c r="J2777" s="53">
        <f t="shared" si="1454"/>
        <v>32091</v>
      </c>
      <c r="K2777" s="63">
        <f>(J2777/(F2777/11*10))</f>
        <v>5.7821621621621619E-2</v>
      </c>
      <c r="L2777" s="871" t="s">
        <v>2270</v>
      </c>
      <c r="M2777" s="468"/>
      <c r="N2777" s="664">
        <f t="shared" si="1447"/>
        <v>200120</v>
      </c>
      <c r="O2777" s="71" t="s">
        <v>1443</v>
      </c>
      <c r="P2777" s="103" t="str">
        <f t="shared" si="1457"/>
        <v>Flint 무알콜 윤전약물(Superaster)</v>
      </c>
      <c r="Q2777" s="71">
        <f t="shared" si="1457"/>
        <v>3</v>
      </c>
      <c r="R2777" s="102">
        <f>120303+54000</f>
        <v>174303</v>
      </c>
      <c r="S2777" s="102">
        <f t="shared" si="1460"/>
        <v>575199.9</v>
      </c>
      <c r="T2777" s="102">
        <f t="shared" si="1461"/>
        <v>522909</v>
      </c>
      <c r="U2777" s="71" t="str">
        <f>IF(J2777=W2777,"O", "X")</f>
        <v>O</v>
      </c>
      <c r="V2777" s="71"/>
      <c r="W2777" s="474">
        <f>(G2777-T2777)</f>
        <v>32091</v>
      </c>
      <c r="X2777" s="71"/>
      <c r="Y2777" s="71"/>
    </row>
    <row r="2778" spans="1:25" ht="30" hidden="1" customHeight="1" x14ac:dyDescent="0.25">
      <c r="A2778" s="82">
        <v>200120</v>
      </c>
      <c r="B2778" s="664" t="s">
        <v>2353</v>
      </c>
      <c r="C2778" s="71" t="s">
        <v>2271</v>
      </c>
      <c r="D2778" s="71">
        <v>2</v>
      </c>
      <c r="E2778" s="102">
        <v>403000</v>
      </c>
      <c r="F2778" s="102">
        <f t="shared" si="1462"/>
        <v>886600.00000000012</v>
      </c>
      <c r="G2778" s="102">
        <f t="shared" si="1449"/>
        <v>806000</v>
      </c>
      <c r="H2778" s="690" t="s">
        <v>142</v>
      </c>
      <c r="I2778" s="71" t="s">
        <v>142</v>
      </c>
      <c r="J2778" s="53">
        <f t="shared" si="1454"/>
        <v>246400</v>
      </c>
      <c r="K2778" s="63">
        <f>(J2778/(F2778/11*10))</f>
        <v>0.30570719602977664</v>
      </c>
      <c r="L2778" s="871" t="s">
        <v>2270</v>
      </c>
      <c r="M2778" s="468"/>
      <c r="N2778" s="664">
        <f t="shared" si="1447"/>
        <v>200120</v>
      </c>
      <c r="O2778" s="71" t="s">
        <v>150</v>
      </c>
      <c r="P2778" s="103" t="str">
        <f t="shared" si="1457"/>
        <v>판넬 필터 set</v>
      </c>
      <c r="Q2778" s="71">
        <f t="shared" si="1457"/>
        <v>2</v>
      </c>
      <c r="R2778" s="102">
        <v>279800</v>
      </c>
      <c r="S2778" s="102">
        <f t="shared" si="1460"/>
        <v>615560</v>
      </c>
      <c r="T2778" s="102">
        <f t="shared" si="1461"/>
        <v>559600</v>
      </c>
      <c r="U2778" s="71"/>
      <c r="V2778" s="71"/>
      <c r="W2778" s="474"/>
      <c r="X2778" s="71"/>
      <c r="Y2778" s="71"/>
    </row>
    <row r="2779" spans="1:25" s="209" customFormat="1" ht="30" hidden="1" customHeight="1" x14ac:dyDescent="0.25">
      <c r="A2779" s="82">
        <v>200121</v>
      </c>
      <c r="B2779" s="664" t="s">
        <v>2155</v>
      </c>
      <c r="C2779" s="71" t="s">
        <v>138</v>
      </c>
      <c r="D2779" s="71">
        <v>5</v>
      </c>
      <c r="E2779" s="102">
        <v>47600</v>
      </c>
      <c r="F2779" s="102">
        <f t="shared" si="1462"/>
        <v>261800.00000000003</v>
      </c>
      <c r="G2779" s="102">
        <f t="shared" si="1449"/>
        <v>238000</v>
      </c>
      <c r="H2779" s="1129" t="s">
        <v>172</v>
      </c>
      <c r="I2779" s="71" t="s">
        <v>108</v>
      </c>
      <c r="J2779" s="53">
        <f t="shared" ref="J2779:J2810" si="1463">G2779-T2779</f>
        <v>34000</v>
      </c>
      <c r="K2779" s="63">
        <f t="shared" ref="K2779:K2785" si="1464">(J2779/(F2779/11*10))</f>
        <v>0.14285714285714285</v>
      </c>
      <c r="L2779" s="871" t="s">
        <v>2270</v>
      </c>
      <c r="M2779" s="468" t="s">
        <v>2214</v>
      </c>
      <c r="N2779" s="664">
        <f t="shared" si="1447"/>
        <v>200121</v>
      </c>
      <c r="O2779" s="71" t="s">
        <v>150</v>
      </c>
      <c r="P2779" s="103" t="str">
        <f t="shared" si="1457"/>
        <v>매엽용 세척제(Wash 562)</v>
      </c>
      <c r="Q2779" s="71">
        <f t="shared" si="1457"/>
        <v>5</v>
      </c>
      <c r="R2779" s="102">
        <v>40800</v>
      </c>
      <c r="S2779" s="102">
        <f t="shared" si="1460"/>
        <v>224400.00000000003</v>
      </c>
      <c r="T2779" s="102">
        <f t="shared" si="1461"/>
        <v>204000</v>
      </c>
      <c r="U2779" s="71" t="s">
        <v>859</v>
      </c>
      <c r="V2779" s="71"/>
      <c r="W2779" s="474">
        <v>85000</v>
      </c>
      <c r="X2779" s="71"/>
      <c r="Y2779" s="71"/>
    </row>
    <row r="2780" spans="1:25" ht="30" hidden="1" customHeight="1" x14ac:dyDescent="0.25">
      <c r="A2780" s="82">
        <v>200121</v>
      </c>
      <c r="B2780" s="664" t="s">
        <v>545</v>
      </c>
      <c r="C2780" s="71" t="s">
        <v>227</v>
      </c>
      <c r="D2780" s="71">
        <v>10</v>
      </c>
      <c r="E2780" s="102">
        <v>110000</v>
      </c>
      <c r="F2780" s="102">
        <f t="shared" si="1462"/>
        <v>1210000</v>
      </c>
      <c r="G2780" s="102">
        <f t="shared" si="1449"/>
        <v>1100000</v>
      </c>
      <c r="H2780" s="690" t="s">
        <v>173</v>
      </c>
      <c r="I2780" s="71" t="s">
        <v>109</v>
      </c>
      <c r="J2780" s="53">
        <f t="shared" si="1463"/>
        <v>271000</v>
      </c>
      <c r="K2780" s="63">
        <f t="shared" si="1464"/>
        <v>0.24636363636363637</v>
      </c>
      <c r="L2780" s="871" t="s">
        <v>2270</v>
      </c>
      <c r="M2780" s="468"/>
      <c r="N2780" s="664">
        <f t="shared" si="1447"/>
        <v>200121</v>
      </c>
      <c r="O2780" s="71" t="s">
        <v>147</v>
      </c>
      <c r="P2780" s="103" t="str">
        <f t="shared" si="1457"/>
        <v>Blanket(1060*860)</v>
      </c>
      <c r="Q2780" s="71">
        <f t="shared" si="1457"/>
        <v>10</v>
      </c>
      <c r="R2780" s="102">
        <v>82900</v>
      </c>
      <c r="S2780" s="102">
        <f t="shared" si="1460"/>
        <v>911900.00000000012</v>
      </c>
      <c r="T2780" s="102">
        <f t="shared" si="1461"/>
        <v>829000</v>
      </c>
      <c r="U2780" s="71" t="str">
        <f>IF(J2780=W2780,"O", "X")</f>
        <v>O</v>
      </c>
      <c r="V2780" s="71"/>
      <c r="W2780" s="474">
        <f>(G2780-T2780)</f>
        <v>271000</v>
      </c>
      <c r="X2780" s="71"/>
      <c r="Y2780" s="71"/>
    </row>
    <row r="2781" spans="1:25" ht="30" customHeight="1" x14ac:dyDescent="0.25">
      <c r="A2781" s="82">
        <v>200128</v>
      </c>
      <c r="B2781" s="664" t="s">
        <v>565</v>
      </c>
      <c r="C2781" s="71" t="s">
        <v>2081</v>
      </c>
      <c r="D2781" s="71">
        <v>148</v>
      </c>
      <c r="E2781" s="102">
        <v>69000</v>
      </c>
      <c r="F2781" s="102">
        <f t="shared" si="1462"/>
        <v>11233200</v>
      </c>
      <c r="G2781" s="102">
        <f t="shared" si="1449"/>
        <v>10212000</v>
      </c>
      <c r="H2781" s="690" t="s">
        <v>173</v>
      </c>
      <c r="I2781" s="71" t="s">
        <v>108</v>
      </c>
      <c r="J2781" s="53">
        <f t="shared" si="1463"/>
        <v>2664000</v>
      </c>
      <c r="K2781" s="63">
        <f t="shared" si="1464"/>
        <v>0.2608695652173913</v>
      </c>
      <c r="L2781" s="871" t="s">
        <v>2270</v>
      </c>
      <c r="M2781" s="468"/>
      <c r="N2781" s="664">
        <f t="shared" si="1447"/>
        <v>200128</v>
      </c>
      <c r="O2781" s="71" t="s">
        <v>599</v>
      </c>
      <c r="P2781" s="103" t="str">
        <f t="shared" si="1457"/>
        <v>GOSS 신문윤전 습식세정포</v>
      </c>
      <c r="Q2781" s="71">
        <f t="shared" si="1457"/>
        <v>148</v>
      </c>
      <c r="R2781" s="102">
        <v>51000</v>
      </c>
      <c r="S2781" s="102">
        <f t="shared" si="1460"/>
        <v>8302800.0000000009</v>
      </c>
      <c r="T2781" s="102">
        <f t="shared" si="1461"/>
        <v>7548000</v>
      </c>
      <c r="U2781" s="71" t="str">
        <f>IF(J2781=W2781,"O", "X")</f>
        <v>X</v>
      </c>
      <c r="V2781" s="71"/>
      <c r="W2781" s="474"/>
      <c r="X2781" s="71"/>
      <c r="Y2781" s="71"/>
    </row>
    <row r="2782" spans="1:25" ht="30" hidden="1" customHeight="1" x14ac:dyDescent="0.25">
      <c r="A2782" s="82">
        <v>200129</v>
      </c>
      <c r="B2782" s="664" t="s">
        <v>2353</v>
      </c>
      <c r="C2782" s="71" t="s">
        <v>584</v>
      </c>
      <c r="D2782" s="71">
        <v>3</v>
      </c>
      <c r="E2782" s="102">
        <v>270000</v>
      </c>
      <c r="F2782" s="102">
        <f t="shared" si="1462"/>
        <v>891000.00000000012</v>
      </c>
      <c r="G2782" s="102">
        <f t="shared" si="1449"/>
        <v>810000</v>
      </c>
      <c r="H2782" s="690" t="s">
        <v>142</v>
      </c>
      <c r="I2782" s="71" t="s">
        <v>142</v>
      </c>
      <c r="J2782" s="53">
        <f t="shared" si="1463"/>
        <v>162000</v>
      </c>
      <c r="K2782" s="63">
        <f t="shared" si="1464"/>
        <v>0.19999999999999998</v>
      </c>
      <c r="L2782" s="871" t="s">
        <v>2213</v>
      </c>
      <c r="M2782" s="468"/>
      <c r="N2782" s="664">
        <f t="shared" si="1447"/>
        <v>200129</v>
      </c>
      <c r="O2782" s="71" t="s">
        <v>150</v>
      </c>
      <c r="P2782" s="103" t="str">
        <f t="shared" si="1457"/>
        <v>데리바리 석션벨트</v>
      </c>
      <c r="Q2782" s="71">
        <f t="shared" si="1457"/>
        <v>3</v>
      </c>
      <c r="R2782" s="102">
        <v>216000</v>
      </c>
      <c r="S2782" s="102">
        <f t="shared" si="1460"/>
        <v>712800</v>
      </c>
      <c r="T2782" s="102">
        <f t="shared" si="1461"/>
        <v>648000</v>
      </c>
      <c r="U2782" s="71" t="str">
        <f>IF(J2782=W2782,"O", "X")</f>
        <v>O</v>
      </c>
      <c r="V2782" s="71"/>
      <c r="W2782" s="474">
        <f>(G2782-T2782)</f>
        <v>162000</v>
      </c>
      <c r="X2782" s="71"/>
      <c r="Y2782" s="71"/>
    </row>
    <row r="2783" spans="1:25" ht="30" hidden="1" customHeight="1" x14ac:dyDescent="0.25">
      <c r="A2783" s="82">
        <v>200129</v>
      </c>
      <c r="B2783" s="664" t="s">
        <v>2353</v>
      </c>
      <c r="C2783" s="71" t="s">
        <v>129</v>
      </c>
      <c r="D2783" s="71">
        <v>5</v>
      </c>
      <c r="E2783" s="102">
        <v>272000</v>
      </c>
      <c r="F2783" s="102">
        <f t="shared" si="1462"/>
        <v>1496000.0000000002</v>
      </c>
      <c r="G2783" s="102">
        <f t="shared" si="1449"/>
        <v>1360000</v>
      </c>
      <c r="H2783" s="690" t="s">
        <v>142</v>
      </c>
      <c r="I2783" s="71" t="s">
        <v>142</v>
      </c>
      <c r="J2783" s="53">
        <f t="shared" si="1463"/>
        <v>320000</v>
      </c>
      <c r="K2783" s="63">
        <f t="shared" si="1464"/>
        <v>0.23529411764705879</v>
      </c>
      <c r="L2783" s="871" t="s">
        <v>2213</v>
      </c>
      <c r="M2783" s="468" t="s">
        <v>2050</v>
      </c>
      <c r="N2783" s="664">
        <f t="shared" si="1447"/>
        <v>200129</v>
      </c>
      <c r="O2783" s="71" t="s">
        <v>149</v>
      </c>
      <c r="P2783" s="103" t="str">
        <f t="shared" si="1457"/>
        <v>세정포-XL106</v>
      </c>
      <c r="Q2783" s="71">
        <f t="shared" si="1457"/>
        <v>5</v>
      </c>
      <c r="R2783" s="102">
        <v>208000</v>
      </c>
      <c r="S2783" s="102">
        <f t="shared" si="1460"/>
        <v>1144000</v>
      </c>
      <c r="T2783" s="102">
        <f t="shared" si="1461"/>
        <v>1040000</v>
      </c>
      <c r="U2783" s="71" t="str">
        <f>IF(J2783=W2783,"O", "X")</f>
        <v>O</v>
      </c>
      <c r="V2783" s="71"/>
      <c r="W2783" s="474">
        <f>(G2783-T2783)</f>
        <v>320000</v>
      </c>
      <c r="X2783" s="71"/>
      <c r="Y2783" s="71"/>
    </row>
    <row r="2784" spans="1:25" s="209" customFormat="1" ht="30" hidden="1" customHeight="1" x14ac:dyDescent="0.2">
      <c r="A2784" s="82">
        <v>200129</v>
      </c>
      <c r="B2784" s="664" t="s">
        <v>2353</v>
      </c>
      <c r="C2784" s="71" t="s">
        <v>138</v>
      </c>
      <c r="D2784" s="71">
        <v>10</v>
      </c>
      <c r="E2784" s="102">
        <v>54400</v>
      </c>
      <c r="F2784" s="163">
        <f t="shared" si="1462"/>
        <v>598400</v>
      </c>
      <c r="G2784" s="102">
        <f t="shared" si="1449"/>
        <v>544000</v>
      </c>
      <c r="H2784" s="165" t="s">
        <v>142</v>
      </c>
      <c r="I2784" s="71" t="s">
        <v>142</v>
      </c>
      <c r="J2784" s="53">
        <f t="shared" si="1463"/>
        <v>136000</v>
      </c>
      <c r="K2784" s="63">
        <f t="shared" si="1464"/>
        <v>0.25</v>
      </c>
      <c r="L2784" s="871" t="s">
        <v>2213</v>
      </c>
      <c r="M2784" s="468" t="s">
        <v>2214</v>
      </c>
      <c r="N2784" s="664">
        <f t="shared" si="1447"/>
        <v>200129</v>
      </c>
      <c r="O2784" s="71" t="s">
        <v>2030</v>
      </c>
      <c r="P2784" s="103" t="str">
        <f t="shared" si="1457"/>
        <v>매엽용 세척제(Wash 562)</v>
      </c>
      <c r="Q2784" s="71">
        <f t="shared" si="1457"/>
        <v>10</v>
      </c>
      <c r="R2784" s="102">
        <v>40800</v>
      </c>
      <c r="S2784" s="102">
        <f t="shared" si="1460"/>
        <v>448800.00000000006</v>
      </c>
      <c r="T2784" s="102">
        <f t="shared" si="1461"/>
        <v>408000</v>
      </c>
      <c r="U2784" s="71" t="str">
        <f>IF(J2784=W2784,"O", "X")</f>
        <v>O</v>
      </c>
      <c r="V2784" s="71"/>
      <c r="W2784" s="474">
        <f>(G2784-T2784)</f>
        <v>136000</v>
      </c>
      <c r="X2784" s="71"/>
      <c r="Y2784" s="71"/>
    </row>
    <row r="2785" spans="1:25" s="209" customFormat="1" ht="30" hidden="1" customHeight="1" x14ac:dyDescent="0.2">
      <c r="A2785" s="82">
        <v>200129</v>
      </c>
      <c r="B2785" s="664" t="s">
        <v>2276</v>
      </c>
      <c r="C2785" s="71" t="s">
        <v>2277</v>
      </c>
      <c r="D2785" s="71">
        <v>1</v>
      </c>
      <c r="E2785" s="102">
        <v>1950000</v>
      </c>
      <c r="F2785" s="163">
        <f t="shared" si="1462"/>
        <v>2145000</v>
      </c>
      <c r="G2785" s="102">
        <f t="shared" si="1449"/>
        <v>1950000</v>
      </c>
      <c r="H2785" s="165" t="s">
        <v>94</v>
      </c>
      <c r="I2785" s="71" t="s">
        <v>1432</v>
      </c>
      <c r="J2785" s="53">
        <f t="shared" si="1463"/>
        <v>-143091</v>
      </c>
      <c r="K2785" s="63">
        <f t="shared" si="1464"/>
        <v>-7.3380000000000001E-2</v>
      </c>
      <c r="L2785" s="871" t="s">
        <v>2213</v>
      </c>
      <c r="M2785" s="468" t="s">
        <v>2285</v>
      </c>
      <c r="N2785" s="664">
        <f t="shared" si="1447"/>
        <v>200129</v>
      </c>
      <c r="O2785" s="71" t="s">
        <v>1432</v>
      </c>
      <c r="P2785" s="103" t="str">
        <f t="shared" si="1457"/>
        <v>도져</v>
      </c>
      <c r="Q2785" s="71">
        <f t="shared" si="1457"/>
        <v>1</v>
      </c>
      <c r="R2785" s="102">
        <f>1343091+750000</f>
        <v>2093091</v>
      </c>
      <c r="S2785" s="102">
        <f t="shared" si="1460"/>
        <v>2302400.1</v>
      </c>
      <c r="T2785" s="102">
        <f t="shared" si="1461"/>
        <v>2093091</v>
      </c>
      <c r="U2785" s="71"/>
      <c r="V2785" s="71"/>
      <c r="W2785" s="474"/>
      <c r="X2785" s="71"/>
      <c r="Y2785" s="71"/>
    </row>
    <row r="2786" spans="1:25" ht="30" customHeight="1" x14ac:dyDescent="0.25">
      <c r="A2786" s="82">
        <v>200130</v>
      </c>
      <c r="B2786" s="664" t="s">
        <v>2352</v>
      </c>
      <c r="C2786" s="760" t="s">
        <v>218</v>
      </c>
      <c r="D2786" s="71">
        <v>5</v>
      </c>
      <c r="E2786" s="102">
        <v>235000</v>
      </c>
      <c r="F2786" s="102">
        <f t="shared" si="1462"/>
        <v>1292500</v>
      </c>
      <c r="G2786" s="102">
        <f t="shared" si="1449"/>
        <v>1175000</v>
      </c>
      <c r="H2786" s="690" t="s">
        <v>142</v>
      </c>
      <c r="I2786" s="71" t="s">
        <v>142</v>
      </c>
      <c r="J2786" s="53">
        <f t="shared" si="1463"/>
        <v>612500</v>
      </c>
      <c r="K2786" s="63">
        <f>(J2786/(F2786/11*10))</f>
        <v>0.52127659574468088</v>
      </c>
      <c r="L2786" s="871" t="s">
        <v>2213</v>
      </c>
      <c r="M2786" s="468" t="s">
        <v>2053</v>
      </c>
      <c r="N2786" s="664">
        <f t="shared" si="1447"/>
        <v>200130</v>
      </c>
      <c r="O2786" s="71" t="s">
        <v>150</v>
      </c>
      <c r="P2786" s="103" t="str">
        <f t="shared" si="1457"/>
        <v>Fount Web 551AF</v>
      </c>
      <c r="Q2786" s="71">
        <f t="shared" si="1457"/>
        <v>5</v>
      </c>
      <c r="R2786" s="102">
        <v>112500</v>
      </c>
      <c r="S2786" s="102">
        <f t="shared" si="1460"/>
        <v>618750</v>
      </c>
      <c r="T2786" s="102">
        <f t="shared" si="1461"/>
        <v>562500</v>
      </c>
      <c r="U2786" s="71" t="str">
        <f>IF(J2786=W2786,"O", "X")</f>
        <v>O</v>
      </c>
      <c r="V2786" s="71"/>
      <c r="W2786" s="474">
        <f>(G2786-T2786)</f>
        <v>612500</v>
      </c>
      <c r="X2786" s="71"/>
      <c r="Y2786" s="71"/>
    </row>
    <row r="2787" spans="1:25" s="209" customFormat="1" ht="30" hidden="1" customHeight="1" x14ac:dyDescent="0.25">
      <c r="A2787" s="82">
        <v>200130</v>
      </c>
      <c r="B2787" s="664" t="s">
        <v>2155</v>
      </c>
      <c r="C2787" s="71" t="s">
        <v>138</v>
      </c>
      <c r="D2787" s="71">
        <v>5</v>
      </c>
      <c r="E2787" s="102">
        <v>47600</v>
      </c>
      <c r="F2787" s="102">
        <f t="shared" ref="F2787:F2795" si="1465">(E2787*D2787)*1.1</f>
        <v>261800.00000000003</v>
      </c>
      <c r="G2787" s="102">
        <f t="shared" si="1449"/>
        <v>238000</v>
      </c>
      <c r="H2787" s="1129" t="s">
        <v>172</v>
      </c>
      <c r="I2787" s="71" t="s">
        <v>108</v>
      </c>
      <c r="J2787" s="53">
        <f t="shared" si="1463"/>
        <v>34000</v>
      </c>
      <c r="K2787" s="63">
        <f>(J2787/(F2787/11*10))</f>
        <v>0.14285714285714285</v>
      </c>
      <c r="L2787" s="871" t="s">
        <v>2270</v>
      </c>
      <c r="M2787" s="468" t="s">
        <v>2214</v>
      </c>
      <c r="N2787" s="664">
        <f t="shared" si="1447"/>
        <v>200130</v>
      </c>
      <c r="O2787" s="71" t="s">
        <v>150</v>
      </c>
      <c r="P2787" s="103" t="str">
        <f t="shared" si="1457"/>
        <v>매엽용 세척제(Wash 562)</v>
      </c>
      <c r="Q2787" s="71">
        <f t="shared" si="1457"/>
        <v>5</v>
      </c>
      <c r="R2787" s="102">
        <v>40800</v>
      </c>
      <c r="S2787" s="102">
        <f t="shared" si="1460"/>
        <v>224400.00000000003</v>
      </c>
      <c r="T2787" s="102">
        <f t="shared" si="1461"/>
        <v>204000</v>
      </c>
      <c r="U2787" s="71" t="s">
        <v>859</v>
      </c>
      <c r="V2787" s="71"/>
      <c r="W2787" s="474">
        <v>85000</v>
      </c>
      <c r="X2787" s="71"/>
      <c r="Y2787" s="71"/>
    </row>
    <row r="2788" spans="1:25" s="209" customFormat="1" ht="30" hidden="1" customHeight="1" x14ac:dyDescent="0.25">
      <c r="A2788" s="82">
        <v>200131</v>
      </c>
      <c r="B2788" s="664" t="s">
        <v>1286</v>
      </c>
      <c r="C2788" s="71" t="s">
        <v>277</v>
      </c>
      <c r="D2788" s="71">
        <v>5</v>
      </c>
      <c r="E2788" s="102">
        <v>172000</v>
      </c>
      <c r="F2788" s="102">
        <f t="shared" si="1465"/>
        <v>946000.00000000012</v>
      </c>
      <c r="G2788" s="102">
        <f t="shared" si="1449"/>
        <v>860000</v>
      </c>
      <c r="H2788" s="690" t="s">
        <v>173</v>
      </c>
      <c r="I2788" s="71" t="s">
        <v>108</v>
      </c>
      <c r="J2788" s="53">
        <f t="shared" si="1463"/>
        <v>285000</v>
      </c>
      <c r="K2788" s="63">
        <v>0.33139534883720928</v>
      </c>
      <c r="L2788" s="871" t="s">
        <v>2270</v>
      </c>
      <c r="M2788" s="468"/>
      <c r="N2788" s="664">
        <f t="shared" si="1447"/>
        <v>200131</v>
      </c>
      <c r="O2788" s="71" t="s">
        <v>150</v>
      </c>
      <c r="P2788" s="103" t="str">
        <f t="shared" si="1457"/>
        <v>윤전용 세척제(Web 504)</v>
      </c>
      <c r="Q2788" s="71">
        <f t="shared" si="1457"/>
        <v>5</v>
      </c>
      <c r="R2788" s="102">
        <v>115000</v>
      </c>
      <c r="S2788" s="102">
        <f t="shared" si="1460"/>
        <v>632500</v>
      </c>
      <c r="T2788" s="102">
        <f t="shared" si="1461"/>
        <v>575000</v>
      </c>
      <c r="U2788" s="71" t="s">
        <v>859</v>
      </c>
      <c r="V2788" s="71"/>
      <c r="W2788" s="474">
        <v>285000</v>
      </c>
      <c r="X2788" s="71"/>
      <c r="Y2788" s="71"/>
    </row>
    <row r="2789" spans="1:25" s="209" customFormat="1" ht="30" hidden="1" customHeight="1" x14ac:dyDescent="0.25">
      <c r="A2789" s="82">
        <v>200131</v>
      </c>
      <c r="B2789" s="664" t="s">
        <v>1286</v>
      </c>
      <c r="C2789" s="71" t="s">
        <v>1144</v>
      </c>
      <c r="D2789" s="71">
        <v>3</v>
      </c>
      <c r="E2789" s="102">
        <v>110000</v>
      </c>
      <c r="F2789" s="102">
        <f t="shared" si="1465"/>
        <v>363000.00000000006</v>
      </c>
      <c r="G2789" s="102">
        <f t="shared" si="1449"/>
        <v>330000</v>
      </c>
      <c r="H2789" s="690" t="s">
        <v>173</v>
      </c>
      <c r="I2789" s="71" t="s">
        <v>2231</v>
      </c>
      <c r="J2789" s="53">
        <f t="shared" si="1463"/>
        <v>57000</v>
      </c>
      <c r="K2789" s="63">
        <f>(J2789/(F2789/11*10))</f>
        <v>0.1727272727272727</v>
      </c>
      <c r="L2789" s="871" t="s">
        <v>2270</v>
      </c>
      <c r="M2789" s="468"/>
      <c r="N2789" s="664">
        <f t="shared" si="1447"/>
        <v>200131</v>
      </c>
      <c r="O2789" s="71" t="s">
        <v>150</v>
      </c>
      <c r="P2789" s="103" t="str">
        <f t="shared" si="1457"/>
        <v>실리콘 에멀전</v>
      </c>
      <c r="Q2789" s="71">
        <f t="shared" si="1457"/>
        <v>3</v>
      </c>
      <c r="R2789" s="102">
        <v>91000</v>
      </c>
      <c r="S2789" s="102">
        <f t="shared" si="1460"/>
        <v>300300</v>
      </c>
      <c r="T2789" s="102">
        <f t="shared" si="1461"/>
        <v>273000</v>
      </c>
      <c r="U2789" s="71" t="str">
        <f>IF(J2789=W2789,"O", "X")</f>
        <v>O</v>
      </c>
      <c r="V2789" s="71"/>
      <c r="W2789" s="474">
        <f>(G2789-T2789)</f>
        <v>57000</v>
      </c>
      <c r="X2789" s="71"/>
      <c r="Y2789" s="71"/>
    </row>
    <row r="2790" spans="1:25" ht="30" hidden="1" customHeight="1" x14ac:dyDescent="0.25">
      <c r="A2790" s="82">
        <v>200131</v>
      </c>
      <c r="B2790" s="664" t="s">
        <v>1286</v>
      </c>
      <c r="C2790" s="760" t="s">
        <v>218</v>
      </c>
      <c r="D2790" s="71">
        <v>5</v>
      </c>
      <c r="E2790" s="102">
        <v>192500</v>
      </c>
      <c r="F2790" s="102">
        <f t="shared" si="1465"/>
        <v>1058750</v>
      </c>
      <c r="G2790" s="102">
        <f t="shared" si="1449"/>
        <v>962500</v>
      </c>
      <c r="H2790" s="690" t="s">
        <v>173</v>
      </c>
      <c r="I2790" s="71" t="s">
        <v>120</v>
      </c>
      <c r="J2790" s="53">
        <f t="shared" si="1463"/>
        <v>400000</v>
      </c>
      <c r="K2790" s="63">
        <v>0.4155844155844155</v>
      </c>
      <c r="L2790" s="871" t="s">
        <v>2270</v>
      </c>
      <c r="M2790" s="468"/>
      <c r="N2790" s="664">
        <f t="shared" si="1447"/>
        <v>200131</v>
      </c>
      <c r="O2790" s="71" t="s">
        <v>150</v>
      </c>
      <c r="P2790" s="103" t="str">
        <f t="shared" si="1457"/>
        <v>Fount Web 551AF</v>
      </c>
      <c r="Q2790" s="71">
        <f t="shared" si="1457"/>
        <v>5</v>
      </c>
      <c r="R2790" s="102">
        <v>112500</v>
      </c>
      <c r="S2790" s="102">
        <f t="shared" si="1460"/>
        <v>618750</v>
      </c>
      <c r="T2790" s="102">
        <f t="shared" si="1461"/>
        <v>562500</v>
      </c>
      <c r="U2790" s="71" t="s">
        <v>859</v>
      </c>
      <c r="V2790" s="71"/>
      <c r="W2790" s="474">
        <v>640000</v>
      </c>
      <c r="X2790" s="71"/>
      <c r="Y2790" s="71"/>
    </row>
    <row r="2791" spans="1:25" ht="30" customHeight="1" x14ac:dyDescent="0.25">
      <c r="A2791" s="82">
        <v>200131</v>
      </c>
      <c r="B2791" s="664" t="s">
        <v>2352</v>
      </c>
      <c r="C2791" s="760" t="s">
        <v>2281</v>
      </c>
      <c r="D2791" s="71">
        <v>1</v>
      </c>
      <c r="E2791" s="102">
        <v>2207651</v>
      </c>
      <c r="F2791" s="102">
        <f t="shared" si="1465"/>
        <v>2428416.1</v>
      </c>
      <c r="G2791" s="102">
        <f t="shared" si="1449"/>
        <v>2207651</v>
      </c>
      <c r="H2791" s="690" t="s">
        <v>985</v>
      </c>
      <c r="I2791" s="71" t="s">
        <v>985</v>
      </c>
      <c r="J2791" s="53">
        <f t="shared" si="1463"/>
        <v>300000</v>
      </c>
      <c r="K2791" s="63">
        <f>(J2791/(F2791/11*10))</f>
        <v>0.13589104437250271</v>
      </c>
      <c r="L2791" s="871" t="s">
        <v>2270</v>
      </c>
      <c r="M2791" s="468"/>
      <c r="N2791" s="664">
        <f t="shared" si="1447"/>
        <v>200131</v>
      </c>
      <c r="O2791" s="71" t="s">
        <v>1431</v>
      </c>
      <c r="P2791" s="103" t="str">
        <f t="shared" si="1457"/>
        <v>Mark 드라이어 서비스비용</v>
      </c>
      <c r="Q2791" s="71">
        <f t="shared" si="1457"/>
        <v>1</v>
      </c>
      <c r="R2791" s="102">
        <f>2207651-300000</f>
        <v>1907651</v>
      </c>
      <c r="S2791" s="102">
        <f t="shared" si="1460"/>
        <v>2098416.1</v>
      </c>
      <c r="T2791" s="102">
        <f t="shared" si="1461"/>
        <v>1907651</v>
      </c>
      <c r="U2791" s="71"/>
      <c r="V2791" s="71"/>
      <c r="W2791" s="474"/>
      <c r="X2791" s="71"/>
      <c r="Y2791" s="71"/>
    </row>
    <row r="2792" spans="1:25" ht="30" hidden="1" customHeight="1" x14ac:dyDescent="0.25">
      <c r="A2792" s="82">
        <v>200131</v>
      </c>
      <c r="B2792" s="664" t="s">
        <v>1051</v>
      </c>
      <c r="C2792" s="71" t="s">
        <v>1294</v>
      </c>
      <c r="D2792" s="71">
        <v>1700</v>
      </c>
      <c r="E2792" s="102">
        <v>6120</v>
      </c>
      <c r="F2792" s="102">
        <f t="shared" si="1465"/>
        <v>11444400</v>
      </c>
      <c r="G2792" s="102">
        <f t="shared" si="1449"/>
        <v>10404000</v>
      </c>
      <c r="H2792" s="690" t="s">
        <v>142</v>
      </c>
      <c r="I2792" s="71" t="s">
        <v>2273</v>
      </c>
      <c r="J2792" s="53">
        <f t="shared" si="1463"/>
        <v>3604000</v>
      </c>
      <c r="K2792" s="63">
        <f t="shared" ref="K2792:K2817" si="1466">(J2792/(F2792/11*10))</f>
        <v>0.34640522875816993</v>
      </c>
      <c r="L2792" s="871" t="s">
        <v>2270</v>
      </c>
      <c r="M2792" s="468"/>
      <c r="N2792" s="664">
        <f t="shared" si="1447"/>
        <v>200131</v>
      </c>
      <c r="O2792" s="71" t="s">
        <v>145</v>
      </c>
      <c r="P2792" s="103" t="str">
        <f t="shared" si="1457"/>
        <v>ENGAGE 1030*790</v>
      </c>
      <c r="Q2792" s="71">
        <f t="shared" si="1457"/>
        <v>1700</v>
      </c>
      <c r="R2792" s="102">
        <v>4000</v>
      </c>
      <c r="S2792" s="102">
        <f t="shared" si="1460"/>
        <v>7480000.0000000009</v>
      </c>
      <c r="T2792" s="102">
        <f t="shared" si="1461"/>
        <v>6800000</v>
      </c>
      <c r="U2792" s="71" t="str">
        <f t="shared" ref="U2792:U2812" si="1467">IF(J2792=W2792,"O", "X")</f>
        <v>O</v>
      </c>
      <c r="V2792" s="71"/>
      <c r="W2792" s="474">
        <f t="shared" ref="W2792:W2812" si="1468">(G2792-T2792)</f>
        <v>3604000</v>
      </c>
      <c r="X2792" s="71"/>
      <c r="Y2792" s="71"/>
    </row>
    <row r="2793" spans="1:25" ht="30" hidden="1" customHeight="1" x14ac:dyDescent="0.25">
      <c r="A2793" s="82">
        <v>200131</v>
      </c>
      <c r="B2793" s="664" t="s">
        <v>1051</v>
      </c>
      <c r="C2793" s="71" t="s">
        <v>1384</v>
      </c>
      <c r="D2793" s="71">
        <v>2900</v>
      </c>
      <c r="E2793" s="102">
        <v>3850</v>
      </c>
      <c r="F2793" s="102">
        <f t="shared" si="1465"/>
        <v>12281500.000000002</v>
      </c>
      <c r="G2793" s="102">
        <f t="shared" si="1449"/>
        <v>11165000</v>
      </c>
      <c r="H2793" s="690" t="s">
        <v>142</v>
      </c>
      <c r="I2793" s="71" t="s">
        <v>2273</v>
      </c>
      <c r="J2793" s="53">
        <f t="shared" si="1463"/>
        <v>3838909.3031829912</v>
      </c>
      <c r="K2793" s="63">
        <f t="shared" si="1466"/>
        <v>0.3438342412165688</v>
      </c>
      <c r="L2793" s="871" t="s">
        <v>2270</v>
      </c>
      <c r="M2793" s="468"/>
      <c r="N2793" s="664">
        <f t="shared" si="1447"/>
        <v>200131</v>
      </c>
      <c r="O2793" s="71" t="s">
        <v>145</v>
      </c>
      <c r="P2793" s="103" t="str">
        <f t="shared" si="1457"/>
        <v>ENGAGE 900X571 - 27RO</v>
      </c>
      <c r="Q2793" s="71">
        <f t="shared" si="1457"/>
        <v>2900</v>
      </c>
      <c r="R2793" s="102">
        <f>R2792/1030/790*900*571</f>
        <v>2526.2381713162099</v>
      </c>
      <c r="S2793" s="102">
        <f t="shared" si="1460"/>
        <v>8058699.76649871</v>
      </c>
      <c r="T2793" s="102">
        <f t="shared" si="1461"/>
        <v>7326090.6968170088</v>
      </c>
      <c r="U2793" s="71" t="str">
        <f t="shared" si="1467"/>
        <v>O</v>
      </c>
      <c r="V2793" s="71"/>
      <c r="W2793" s="474">
        <f t="shared" si="1468"/>
        <v>3838909.3031829912</v>
      </c>
      <c r="X2793" s="71"/>
      <c r="Y2793" s="71"/>
    </row>
    <row r="2794" spans="1:25" ht="30" hidden="1" customHeight="1" x14ac:dyDescent="0.25">
      <c r="A2794" s="82">
        <v>200131</v>
      </c>
      <c r="B2794" s="664" t="s">
        <v>1051</v>
      </c>
      <c r="C2794" s="71" t="s">
        <v>951</v>
      </c>
      <c r="D2794" s="71">
        <v>2700</v>
      </c>
      <c r="E2794" s="102">
        <v>3670</v>
      </c>
      <c r="F2794" s="102">
        <f t="shared" si="1465"/>
        <v>10899900</v>
      </c>
      <c r="G2794" s="102">
        <f t="shared" si="1449"/>
        <v>9909000</v>
      </c>
      <c r="H2794" s="690" t="s">
        <v>142</v>
      </c>
      <c r="I2794" s="71" t="s">
        <v>2273</v>
      </c>
      <c r="J2794" s="53">
        <f t="shared" si="1463"/>
        <v>3439671.2547621978</v>
      </c>
      <c r="K2794" s="63">
        <f t="shared" si="1466"/>
        <v>0.34712597181977978</v>
      </c>
      <c r="L2794" s="871" t="s">
        <v>2270</v>
      </c>
      <c r="M2794" s="468"/>
      <c r="N2794" s="664">
        <f t="shared" si="1447"/>
        <v>200131</v>
      </c>
      <c r="O2794" s="71" t="s">
        <v>145</v>
      </c>
      <c r="P2794" s="103" t="str">
        <f t="shared" si="1457"/>
        <v>ENGAGE 30WEB(883*552)</v>
      </c>
      <c r="Q2794" s="71">
        <f t="shared" si="1457"/>
        <v>2700</v>
      </c>
      <c r="R2794" s="102">
        <f>R2792/1030/790*883*552</f>
        <v>2396.0476834214082</v>
      </c>
      <c r="S2794" s="102">
        <f t="shared" si="1460"/>
        <v>7116261.6197615834</v>
      </c>
      <c r="T2794" s="102">
        <f t="shared" si="1461"/>
        <v>6469328.7452378022</v>
      </c>
      <c r="U2794" s="71" t="str">
        <f t="shared" si="1467"/>
        <v>O</v>
      </c>
      <c r="V2794" s="71"/>
      <c r="W2794" s="474">
        <f t="shared" si="1468"/>
        <v>3439671.2547621978</v>
      </c>
      <c r="X2794" s="71"/>
      <c r="Y2794" s="71"/>
    </row>
    <row r="2795" spans="1:25" ht="30" hidden="1" customHeight="1" x14ac:dyDescent="0.25">
      <c r="A2795" s="82">
        <v>200131</v>
      </c>
      <c r="B2795" s="664" t="s">
        <v>1051</v>
      </c>
      <c r="C2795" s="71" t="s">
        <v>2219</v>
      </c>
      <c r="D2795" s="71">
        <v>2000</v>
      </c>
      <c r="E2795" s="102">
        <v>6200</v>
      </c>
      <c r="F2795" s="102">
        <f t="shared" si="1465"/>
        <v>13640000.000000002</v>
      </c>
      <c r="G2795" s="102">
        <f t="shared" si="1449"/>
        <v>12400000</v>
      </c>
      <c r="H2795" s="690" t="s">
        <v>142</v>
      </c>
      <c r="I2795" s="71" t="s">
        <v>2273</v>
      </c>
      <c r="J2795" s="53">
        <f t="shared" si="1463"/>
        <v>4298734.1772151897</v>
      </c>
      <c r="K2795" s="63">
        <f t="shared" si="1466"/>
        <v>0.34667211106574103</v>
      </c>
      <c r="L2795" s="871" t="s">
        <v>2270</v>
      </c>
      <c r="M2795" s="468"/>
      <c r="N2795" s="664">
        <f t="shared" si="1447"/>
        <v>200131</v>
      </c>
      <c r="O2795" s="71" t="s">
        <v>145</v>
      </c>
      <c r="P2795" s="103" t="str">
        <f t="shared" si="1457"/>
        <v>ENGAGE 1030*800</v>
      </c>
      <c r="Q2795" s="71">
        <f t="shared" si="1457"/>
        <v>2000</v>
      </c>
      <c r="R2795" s="102">
        <f>R2792/1030/790*1030*800</f>
        <v>4050.6329113924053</v>
      </c>
      <c r="S2795" s="102">
        <f t="shared" si="1460"/>
        <v>8911392.405063292</v>
      </c>
      <c r="T2795" s="102">
        <f t="shared" si="1461"/>
        <v>8101265.8227848103</v>
      </c>
      <c r="U2795" s="71" t="str">
        <f t="shared" si="1467"/>
        <v>O</v>
      </c>
      <c r="V2795" s="71"/>
      <c r="W2795" s="474">
        <f t="shared" si="1468"/>
        <v>4298734.1772151897</v>
      </c>
      <c r="X2795" s="71"/>
      <c r="Y2795" s="71"/>
    </row>
    <row r="2796" spans="1:25" ht="30" hidden="1" customHeight="1" x14ac:dyDescent="0.25">
      <c r="A2796" s="82">
        <v>200131</v>
      </c>
      <c r="B2796" s="664" t="s">
        <v>1051</v>
      </c>
      <c r="C2796" s="71" t="s">
        <v>1383</v>
      </c>
      <c r="D2796" s="71">
        <v>1500</v>
      </c>
      <c r="E2796" s="102">
        <v>6430</v>
      </c>
      <c r="F2796" s="102">
        <f t="shared" ref="F2796:F2817" si="1469">(E2796*D2796)*1.1</f>
        <v>10609500</v>
      </c>
      <c r="G2796" s="102">
        <f t="shared" si="1449"/>
        <v>9645000</v>
      </c>
      <c r="H2796" s="690" t="s">
        <v>142</v>
      </c>
      <c r="I2796" s="71" t="s">
        <v>2273</v>
      </c>
      <c r="J2796" s="53">
        <f t="shared" si="1463"/>
        <v>3336004.0555487275</v>
      </c>
      <c r="K2796" s="63">
        <f t="shared" si="1466"/>
        <v>0.34587911410562233</v>
      </c>
      <c r="L2796" s="871" t="s">
        <v>2270</v>
      </c>
      <c r="M2796" s="468"/>
      <c r="N2796" s="664">
        <f t="shared" si="1447"/>
        <v>200131</v>
      </c>
      <c r="O2796" s="71" t="s">
        <v>145</v>
      </c>
      <c r="P2796" s="103" t="str">
        <f t="shared" si="1457"/>
        <v>ENGAGE 1055*811</v>
      </c>
      <c r="Q2796" s="71">
        <f t="shared" si="1457"/>
        <v>1500</v>
      </c>
      <c r="R2796" s="102">
        <f>R2792/1030/790*1055*811</f>
        <v>4205.9972963008486</v>
      </c>
      <c r="S2796" s="102">
        <f t="shared" si="1460"/>
        <v>6939895.5388964005</v>
      </c>
      <c r="T2796" s="102">
        <f t="shared" si="1461"/>
        <v>6308995.9444512725</v>
      </c>
      <c r="U2796" s="71" t="str">
        <f t="shared" si="1467"/>
        <v>O</v>
      </c>
      <c r="V2796" s="71"/>
      <c r="W2796" s="474">
        <f t="shared" si="1468"/>
        <v>3336004.0555487275</v>
      </c>
      <c r="X2796" s="71"/>
      <c r="Y2796" s="71"/>
    </row>
    <row r="2797" spans="1:25" ht="30" hidden="1" customHeight="1" x14ac:dyDescent="0.25">
      <c r="A2797" s="82">
        <v>200131</v>
      </c>
      <c r="B2797" s="664" t="s">
        <v>1051</v>
      </c>
      <c r="C2797" s="71" t="s">
        <v>1650</v>
      </c>
      <c r="D2797" s="71">
        <v>1600</v>
      </c>
      <c r="E2797" s="102">
        <v>4600</v>
      </c>
      <c r="F2797" s="102">
        <f t="shared" si="1469"/>
        <v>8096000.0000000009</v>
      </c>
      <c r="G2797" s="102">
        <f t="shared" si="1449"/>
        <v>7360000</v>
      </c>
      <c r="H2797" s="690" t="s">
        <v>142</v>
      </c>
      <c r="I2797" s="71" t="s">
        <v>2273</v>
      </c>
      <c r="J2797" s="53">
        <f t="shared" si="1463"/>
        <v>2555807.7915693736</v>
      </c>
      <c r="K2797" s="63">
        <f t="shared" si="1466"/>
        <v>0.34725649341975179</v>
      </c>
      <c r="L2797" s="871" t="s">
        <v>2270</v>
      </c>
      <c r="M2797" s="468"/>
      <c r="N2797" s="664">
        <f t="shared" si="1447"/>
        <v>200131</v>
      </c>
      <c r="O2797" s="71" t="s">
        <v>145</v>
      </c>
      <c r="P2797" s="103" t="str">
        <f t="shared" si="1457"/>
        <v>ENGAGE 968*631</v>
      </c>
      <c r="Q2797" s="71">
        <f t="shared" si="1457"/>
        <v>1600</v>
      </c>
      <c r="R2797" s="102">
        <f>R2792/1030/790*968*631</f>
        <v>3002.6201302691416</v>
      </c>
      <c r="S2797" s="102">
        <f t="shared" si="1460"/>
        <v>5284611.4292736892</v>
      </c>
      <c r="T2797" s="102">
        <f t="shared" si="1461"/>
        <v>4804192.2084306264</v>
      </c>
      <c r="U2797" s="71" t="str">
        <f t="shared" si="1467"/>
        <v>O</v>
      </c>
      <c r="V2797" s="71"/>
      <c r="W2797" s="474">
        <f t="shared" si="1468"/>
        <v>2555807.7915693736</v>
      </c>
      <c r="X2797" s="71"/>
      <c r="Y2797" s="71"/>
    </row>
    <row r="2798" spans="1:25" ht="30" hidden="1" customHeight="1" x14ac:dyDescent="0.25">
      <c r="A2798" s="82">
        <v>200131</v>
      </c>
      <c r="B2798" s="664" t="s">
        <v>1051</v>
      </c>
      <c r="C2798" s="67" t="s">
        <v>1386</v>
      </c>
      <c r="D2798" s="71">
        <v>60</v>
      </c>
      <c r="E2798" s="102">
        <v>56500</v>
      </c>
      <c r="F2798" s="102">
        <f t="shared" si="1469"/>
        <v>3729000.0000000005</v>
      </c>
      <c r="G2798" s="102">
        <f t="shared" si="1449"/>
        <v>3390000</v>
      </c>
      <c r="H2798" s="690" t="s">
        <v>142</v>
      </c>
      <c r="I2798" s="71" t="s">
        <v>2273</v>
      </c>
      <c r="J2798" s="53">
        <f t="shared" si="1463"/>
        <v>1290000</v>
      </c>
      <c r="K2798" s="63">
        <f t="shared" si="1466"/>
        <v>0.38053097345132736</v>
      </c>
      <c r="L2798" s="871" t="s">
        <v>2270</v>
      </c>
      <c r="M2798" s="468"/>
      <c r="N2798" s="664">
        <f t="shared" si="1447"/>
        <v>200131</v>
      </c>
      <c r="O2798" s="71" t="s">
        <v>145</v>
      </c>
      <c r="P2798" s="103" t="str">
        <f t="shared" si="1457"/>
        <v>THR200(20L)보충액</v>
      </c>
      <c r="Q2798" s="71">
        <f t="shared" si="1457"/>
        <v>60</v>
      </c>
      <c r="R2798" s="102">
        <v>35000</v>
      </c>
      <c r="S2798" s="102">
        <f t="shared" si="1460"/>
        <v>2310000</v>
      </c>
      <c r="T2798" s="102">
        <f t="shared" si="1461"/>
        <v>2100000</v>
      </c>
      <c r="U2798" s="71" t="str">
        <f t="shared" si="1467"/>
        <v>O</v>
      </c>
      <c r="V2798" s="71"/>
      <c r="W2798" s="474">
        <f t="shared" si="1468"/>
        <v>1290000</v>
      </c>
      <c r="X2798" s="71"/>
      <c r="Y2798" s="71"/>
    </row>
    <row r="2799" spans="1:25" ht="30" hidden="1" customHeight="1" x14ac:dyDescent="0.25">
      <c r="A2799" s="82">
        <v>200131</v>
      </c>
      <c r="B2799" s="664" t="s">
        <v>1051</v>
      </c>
      <c r="C2799" s="71" t="s">
        <v>1387</v>
      </c>
      <c r="D2799" s="71">
        <v>5</v>
      </c>
      <c r="E2799" s="102">
        <v>56500</v>
      </c>
      <c r="F2799" s="102">
        <f t="shared" si="1469"/>
        <v>310750</v>
      </c>
      <c r="G2799" s="102">
        <f t="shared" ref="G2799:G2817" si="1470">(E2799*D2799)</f>
        <v>282500</v>
      </c>
      <c r="H2799" s="690" t="s">
        <v>142</v>
      </c>
      <c r="I2799" s="71" t="s">
        <v>2273</v>
      </c>
      <c r="J2799" s="53">
        <f t="shared" si="1463"/>
        <v>107500</v>
      </c>
      <c r="K2799" s="63">
        <f t="shared" si="1466"/>
        <v>0.38053097345132741</v>
      </c>
      <c r="L2799" s="871" t="s">
        <v>2270</v>
      </c>
      <c r="M2799" s="468"/>
      <c r="N2799" s="664">
        <f t="shared" si="1447"/>
        <v>200131</v>
      </c>
      <c r="O2799" s="71" t="s">
        <v>145</v>
      </c>
      <c r="P2799" s="103" t="str">
        <f t="shared" si="1457"/>
        <v>THD200(20L)현상액</v>
      </c>
      <c r="Q2799" s="71">
        <f t="shared" si="1457"/>
        <v>5</v>
      </c>
      <c r="R2799" s="102">
        <v>35000</v>
      </c>
      <c r="S2799" s="102">
        <f t="shared" si="1460"/>
        <v>192500.00000000003</v>
      </c>
      <c r="T2799" s="102">
        <f t="shared" si="1461"/>
        <v>175000</v>
      </c>
      <c r="U2799" s="71" t="str">
        <f t="shared" si="1467"/>
        <v>O</v>
      </c>
      <c r="V2799" s="71"/>
      <c r="W2799" s="474">
        <f t="shared" si="1468"/>
        <v>107500</v>
      </c>
      <c r="X2799" s="71"/>
      <c r="Y2799" s="71"/>
    </row>
    <row r="2800" spans="1:25" ht="30" hidden="1" customHeight="1" x14ac:dyDescent="0.25">
      <c r="A2800" s="82">
        <v>200131</v>
      </c>
      <c r="B2800" s="664" t="s">
        <v>1061</v>
      </c>
      <c r="C2800" s="71" t="s">
        <v>616</v>
      </c>
      <c r="D2800" s="71">
        <v>200</v>
      </c>
      <c r="E2800" s="102">
        <v>5600</v>
      </c>
      <c r="F2800" s="102">
        <f t="shared" si="1469"/>
        <v>1232000</v>
      </c>
      <c r="G2800" s="102">
        <f t="shared" si="1470"/>
        <v>1120000</v>
      </c>
      <c r="H2800" s="690" t="s">
        <v>142</v>
      </c>
      <c r="I2800" s="71" t="s">
        <v>144</v>
      </c>
      <c r="J2800" s="53">
        <f t="shared" si="1463"/>
        <v>102000</v>
      </c>
      <c r="K2800" s="63">
        <f t="shared" si="1466"/>
        <v>9.1071428571428567E-2</v>
      </c>
      <c r="L2800" s="871" t="s">
        <v>2270</v>
      </c>
      <c r="M2800" s="468"/>
      <c r="N2800" s="664">
        <f t="shared" si="1447"/>
        <v>200131</v>
      </c>
      <c r="O2800" s="71" t="s">
        <v>147</v>
      </c>
      <c r="P2800" s="103" t="str">
        <f t="shared" si="1457"/>
        <v>프리미어(먹)</v>
      </c>
      <c r="Q2800" s="71">
        <f t="shared" si="1457"/>
        <v>200</v>
      </c>
      <c r="R2800" s="102">
        <v>5090</v>
      </c>
      <c r="S2800" s="102">
        <f t="shared" si="1460"/>
        <v>1119800</v>
      </c>
      <c r="T2800" s="102">
        <f t="shared" si="1461"/>
        <v>1018000</v>
      </c>
      <c r="U2800" s="71" t="str">
        <f t="shared" si="1467"/>
        <v>O</v>
      </c>
      <c r="V2800" s="71"/>
      <c r="W2800" s="474">
        <f t="shared" si="1468"/>
        <v>102000</v>
      </c>
      <c r="X2800" s="71"/>
      <c r="Y2800" s="71"/>
    </row>
    <row r="2801" spans="1:25" ht="30" hidden="1" customHeight="1" x14ac:dyDescent="0.25">
      <c r="A2801" s="82">
        <v>200131</v>
      </c>
      <c r="B2801" s="664" t="s">
        <v>1052</v>
      </c>
      <c r="C2801" s="71" t="s">
        <v>585</v>
      </c>
      <c r="D2801" s="71">
        <v>200</v>
      </c>
      <c r="E2801" s="102">
        <v>6000</v>
      </c>
      <c r="F2801" s="102">
        <f t="shared" si="1469"/>
        <v>1320000</v>
      </c>
      <c r="G2801" s="102">
        <f t="shared" si="1470"/>
        <v>1200000</v>
      </c>
      <c r="H2801" s="690" t="s">
        <v>142</v>
      </c>
      <c r="I2801" s="71" t="s">
        <v>144</v>
      </c>
      <c r="J2801" s="53">
        <f t="shared" si="1463"/>
        <v>110000</v>
      </c>
      <c r="K2801" s="63">
        <f t="shared" si="1466"/>
        <v>9.166666666666666E-2</v>
      </c>
      <c r="L2801" s="871" t="s">
        <v>2270</v>
      </c>
      <c r="M2801" s="468"/>
      <c r="N2801" s="664">
        <f t="shared" si="1447"/>
        <v>200131</v>
      </c>
      <c r="O2801" s="71" t="s">
        <v>147</v>
      </c>
      <c r="P2801" s="103" t="str">
        <f t="shared" si="1457"/>
        <v>프리미어(적)</v>
      </c>
      <c r="Q2801" s="71">
        <f t="shared" si="1457"/>
        <v>200</v>
      </c>
      <c r="R2801" s="102">
        <v>5450</v>
      </c>
      <c r="S2801" s="102">
        <f t="shared" si="1460"/>
        <v>1199000</v>
      </c>
      <c r="T2801" s="102">
        <f t="shared" si="1461"/>
        <v>1090000</v>
      </c>
      <c r="U2801" s="71" t="str">
        <f t="shared" si="1467"/>
        <v>O</v>
      </c>
      <c r="V2801" s="71"/>
      <c r="W2801" s="474">
        <f t="shared" si="1468"/>
        <v>110000</v>
      </c>
      <c r="X2801" s="71"/>
      <c r="Y2801" s="71"/>
    </row>
    <row r="2802" spans="1:25" ht="30" hidden="1" customHeight="1" x14ac:dyDescent="0.25">
      <c r="A2802" s="82">
        <v>200131</v>
      </c>
      <c r="B2802" s="664" t="s">
        <v>1061</v>
      </c>
      <c r="C2802" s="71" t="s">
        <v>586</v>
      </c>
      <c r="D2802" s="71">
        <v>400</v>
      </c>
      <c r="E2802" s="102">
        <v>5750</v>
      </c>
      <c r="F2802" s="102">
        <f t="shared" si="1469"/>
        <v>2530000</v>
      </c>
      <c r="G2802" s="102">
        <f t="shared" si="1470"/>
        <v>2300000</v>
      </c>
      <c r="H2802" s="690" t="s">
        <v>142</v>
      </c>
      <c r="I2802" s="71" t="s">
        <v>144</v>
      </c>
      <c r="J2802" s="53">
        <f t="shared" si="1463"/>
        <v>212000</v>
      </c>
      <c r="K2802" s="63">
        <f t="shared" si="1466"/>
        <v>9.2173913043478259E-2</v>
      </c>
      <c r="L2802" s="871" t="s">
        <v>2270</v>
      </c>
      <c r="M2802" s="468"/>
      <c r="N2802" s="664">
        <f t="shared" si="1447"/>
        <v>200131</v>
      </c>
      <c r="O2802" s="71" t="s">
        <v>147</v>
      </c>
      <c r="P2802" s="103" t="str">
        <f t="shared" si="1457"/>
        <v>프리미어(황)</v>
      </c>
      <c r="Q2802" s="71">
        <f t="shared" si="1457"/>
        <v>400</v>
      </c>
      <c r="R2802" s="102">
        <v>5220</v>
      </c>
      <c r="S2802" s="102">
        <f t="shared" si="1460"/>
        <v>2296800</v>
      </c>
      <c r="T2802" s="102">
        <f t="shared" si="1461"/>
        <v>2088000</v>
      </c>
      <c r="U2802" s="71" t="str">
        <f t="shared" si="1467"/>
        <v>O</v>
      </c>
      <c r="V2802" s="71"/>
      <c r="W2802" s="474">
        <f t="shared" si="1468"/>
        <v>212000</v>
      </c>
      <c r="X2802" s="71"/>
      <c r="Y2802" s="71"/>
    </row>
    <row r="2803" spans="1:25" ht="30" hidden="1" customHeight="1" x14ac:dyDescent="0.25">
      <c r="A2803" s="82">
        <v>200131</v>
      </c>
      <c r="B2803" s="664" t="s">
        <v>1061</v>
      </c>
      <c r="C2803" s="71" t="s">
        <v>587</v>
      </c>
      <c r="D2803" s="71">
        <v>400</v>
      </c>
      <c r="E2803" s="102">
        <v>7000</v>
      </c>
      <c r="F2803" s="102">
        <f t="shared" si="1469"/>
        <v>3080000.0000000005</v>
      </c>
      <c r="G2803" s="102">
        <f t="shared" si="1470"/>
        <v>2800000</v>
      </c>
      <c r="H2803" s="690" t="s">
        <v>142</v>
      </c>
      <c r="I2803" s="71" t="s">
        <v>144</v>
      </c>
      <c r="J2803" s="53">
        <f t="shared" si="1463"/>
        <v>256000</v>
      </c>
      <c r="K2803" s="63">
        <f t="shared" si="1466"/>
        <v>9.1428571428571415E-2</v>
      </c>
      <c r="L2803" s="871" t="s">
        <v>2270</v>
      </c>
      <c r="M2803" s="468"/>
      <c r="N2803" s="664">
        <f t="shared" si="1447"/>
        <v>200131</v>
      </c>
      <c r="O2803" s="71" t="s">
        <v>147</v>
      </c>
      <c r="P2803" s="103" t="str">
        <f t="shared" si="1457"/>
        <v>프리미어(청)</v>
      </c>
      <c r="Q2803" s="71">
        <f t="shared" si="1457"/>
        <v>400</v>
      </c>
      <c r="R2803" s="102">
        <v>6360</v>
      </c>
      <c r="S2803" s="102">
        <f t="shared" si="1460"/>
        <v>2798400</v>
      </c>
      <c r="T2803" s="102">
        <f t="shared" si="1461"/>
        <v>2544000</v>
      </c>
      <c r="U2803" s="71" t="str">
        <f t="shared" si="1467"/>
        <v>O</v>
      </c>
      <c r="V2803" s="71"/>
      <c r="W2803" s="474">
        <f t="shared" si="1468"/>
        <v>256000</v>
      </c>
      <c r="X2803" s="71"/>
      <c r="Y2803" s="71"/>
    </row>
    <row r="2804" spans="1:25" ht="30" hidden="1" customHeight="1" x14ac:dyDescent="0.25">
      <c r="A2804" s="82">
        <v>200131</v>
      </c>
      <c r="B2804" s="664" t="s">
        <v>1052</v>
      </c>
      <c r="C2804" s="71" t="s">
        <v>1115</v>
      </c>
      <c r="D2804" s="71">
        <v>350</v>
      </c>
      <c r="E2804" s="102">
        <v>6200</v>
      </c>
      <c r="F2804" s="102">
        <f t="shared" si="1469"/>
        <v>2387000</v>
      </c>
      <c r="G2804" s="102">
        <f t="shared" si="1470"/>
        <v>2170000</v>
      </c>
      <c r="H2804" s="690" t="s">
        <v>142</v>
      </c>
      <c r="I2804" s="71" t="s">
        <v>144</v>
      </c>
      <c r="J2804" s="53">
        <f t="shared" si="1463"/>
        <v>35000</v>
      </c>
      <c r="K2804" s="63">
        <f t="shared" si="1466"/>
        <v>1.6129032258064516E-2</v>
      </c>
      <c r="L2804" s="871" t="s">
        <v>2270</v>
      </c>
      <c r="M2804" s="468"/>
      <c r="N2804" s="664">
        <f t="shared" ref="N2804:N2817" si="1471">A2804</f>
        <v>200131</v>
      </c>
      <c r="O2804" s="71" t="s">
        <v>147</v>
      </c>
      <c r="P2804" s="103" t="str">
        <f t="shared" si="1457"/>
        <v>한특 잉크(적)</v>
      </c>
      <c r="Q2804" s="71">
        <f t="shared" si="1457"/>
        <v>350</v>
      </c>
      <c r="R2804" s="102">
        <v>6100</v>
      </c>
      <c r="S2804" s="102">
        <f t="shared" si="1460"/>
        <v>2348500</v>
      </c>
      <c r="T2804" s="102">
        <f t="shared" si="1461"/>
        <v>2135000</v>
      </c>
      <c r="U2804" s="71" t="str">
        <f t="shared" si="1467"/>
        <v>O</v>
      </c>
      <c r="V2804" s="71"/>
      <c r="W2804" s="474">
        <f t="shared" si="1468"/>
        <v>35000</v>
      </c>
      <c r="X2804" s="71"/>
      <c r="Y2804" s="71"/>
    </row>
    <row r="2805" spans="1:25" ht="30" hidden="1" customHeight="1" x14ac:dyDescent="0.25">
      <c r="A2805" s="82">
        <v>200131</v>
      </c>
      <c r="B2805" s="664" t="s">
        <v>1052</v>
      </c>
      <c r="C2805" s="71" t="s">
        <v>1116</v>
      </c>
      <c r="D2805" s="71">
        <v>500</v>
      </c>
      <c r="E2805" s="102">
        <v>6000</v>
      </c>
      <c r="F2805" s="102">
        <f t="shared" si="1469"/>
        <v>3300000.0000000005</v>
      </c>
      <c r="G2805" s="102">
        <f t="shared" si="1470"/>
        <v>3000000</v>
      </c>
      <c r="H2805" s="690" t="s">
        <v>142</v>
      </c>
      <c r="I2805" s="71" t="s">
        <v>144</v>
      </c>
      <c r="J2805" s="53">
        <f t="shared" si="1463"/>
        <v>50000</v>
      </c>
      <c r="K2805" s="63">
        <f t="shared" si="1466"/>
        <v>1.6666666666666663E-2</v>
      </c>
      <c r="L2805" s="871" t="s">
        <v>2270</v>
      </c>
      <c r="M2805" s="468"/>
      <c r="N2805" s="664">
        <f t="shared" si="1471"/>
        <v>200131</v>
      </c>
      <c r="O2805" s="71" t="s">
        <v>147</v>
      </c>
      <c r="P2805" s="103" t="str">
        <f t="shared" si="1457"/>
        <v>한특 잉크(황)</v>
      </c>
      <c r="Q2805" s="71">
        <f t="shared" si="1457"/>
        <v>500</v>
      </c>
      <c r="R2805" s="102">
        <v>5900</v>
      </c>
      <c r="S2805" s="102">
        <f t="shared" ref="S2805:S2817" si="1472">R2805*Q2805*1.1</f>
        <v>3245000.0000000005</v>
      </c>
      <c r="T2805" s="102">
        <f t="shared" ref="T2805:T2817" si="1473">R2805*Q2805</f>
        <v>2950000</v>
      </c>
      <c r="U2805" s="71" t="str">
        <f t="shared" si="1467"/>
        <v>O</v>
      </c>
      <c r="V2805" s="71"/>
      <c r="W2805" s="474">
        <f t="shared" si="1468"/>
        <v>50000</v>
      </c>
      <c r="X2805" s="71"/>
      <c r="Y2805" s="71"/>
    </row>
    <row r="2806" spans="1:25" ht="30" hidden="1" customHeight="1" x14ac:dyDescent="0.25">
      <c r="A2806" s="82">
        <v>200131</v>
      </c>
      <c r="B2806" s="664" t="s">
        <v>1052</v>
      </c>
      <c r="C2806" s="71" t="s">
        <v>1117</v>
      </c>
      <c r="D2806" s="71">
        <v>400</v>
      </c>
      <c r="E2806" s="102">
        <v>6500</v>
      </c>
      <c r="F2806" s="102">
        <f t="shared" si="1469"/>
        <v>2860000</v>
      </c>
      <c r="G2806" s="102">
        <f t="shared" si="1470"/>
        <v>2600000</v>
      </c>
      <c r="H2806" s="690" t="s">
        <v>142</v>
      </c>
      <c r="I2806" s="71" t="s">
        <v>144</v>
      </c>
      <c r="J2806" s="53">
        <f t="shared" si="1463"/>
        <v>40000</v>
      </c>
      <c r="K2806" s="63">
        <f t="shared" si="1466"/>
        <v>1.5384615384615385E-2</v>
      </c>
      <c r="L2806" s="871" t="s">
        <v>2270</v>
      </c>
      <c r="M2806" s="468"/>
      <c r="N2806" s="664">
        <f t="shared" si="1471"/>
        <v>200131</v>
      </c>
      <c r="O2806" s="71" t="s">
        <v>147</v>
      </c>
      <c r="P2806" s="103" t="str">
        <f t="shared" si="1457"/>
        <v>한특 잉크(청)</v>
      </c>
      <c r="Q2806" s="71">
        <f t="shared" si="1457"/>
        <v>400</v>
      </c>
      <c r="R2806" s="102">
        <v>6400</v>
      </c>
      <c r="S2806" s="102">
        <f t="shared" si="1472"/>
        <v>2816000</v>
      </c>
      <c r="T2806" s="102">
        <f t="shared" si="1473"/>
        <v>2560000</v>
      </c>
      <c r="U2806" s="71" t="str">
        <f t="shared" si="1467"/>
        <v>O</v>
      </c>
      <c r="V2806" s="71"/>
      <c r="W2806" s="474">
        <f t="shared" si="1468"/>
        <v>40000</v>
      </c>
      <c r="X2806" s="71"/>
      <c r="Y2806" s="71"/>
    </row>
    <row r="2807" spans="1:25" ht="30" hidden="1" customHeight="1" x14ac:dyDescent="0.25">
      <c r="A2807" s="82">
        <v>200131</v>
      </c>
      <c r="B2807" s="664" t="s">
        <v>1052</v>
      </c>
      <c r="C2807" s="71" t="s">
        <v>1118</v>
      </c>
      <c r="D2807" s="71">
        <v>200</v>
      </c>
      <c r="E2807" s="102">
        <v>5600</v>
      </c>
      <c r="F2807" s="102">
        <f t="shared" si="1469"/>
        <v>1232000</v>
      </c>
      <c r="G2807" s="102">
        <f t="shared" si="1470"/>
        <v>1120000</v>
      </c>
      <c r="H2807" s="690" t="s">
        <v>142</v>
      </c>
      <c r="I2807" s="71" t="s">
        <v>144</v>
      </c>
      <c r="J2807" s="53">
        <f t="shared" si="1463"/>
        <v>20000</v>
      </c>
      <c r="K2807" s="63">
        <f t="shared" si="1466"/>
        <v>1.7857142857142856E-2</v>
      </c>
      <c r="L2807" s="871" t="s">
        <v>2270</v>
      </c>
      <c r="M2807" s="468"/>
      <c r="N2807" s="664">
        <f t="shared" si="1471"/>
        <v>200131</v>
      </c>
      <c r="O2807" s="71" t="s">
        <v>147</v>
      </c>
      <c r="P2807" s="103" t="str">
        <f t="shared" si="1457"/>
        <v>한특 잉크(먹)</v>
      </c>
      <c r="Q2807" s="71">
        <f t="shared" si="1457"/>
        <v>200</v>
      </c>
      <c r="R2807" s="102">
        <v>5500</v>
      </c>
      <c r="S2807" s="102">
        <f t="shared" si="1472"/>
        <v>1210000</v>
      </c>
      <c r="T2807" s="102">
        <f t="shared" si="1473"/>
        <v>1100000</v>
      </c>
      <c r="U2807" s="71" t="str">
        <f t="shared" si="1467"/>
        <v>O</v>
      </c>
      <c r="V2807" s="71"/>
      <c r="W2807" s="474">
        <f t="shared" si="1468"/>
        <v>20000</v>
      </c>
      <c r="X2807" s="71"/>
      <c r="Y2807" s="71"/>
    </row>
    <row r="2808" spans="1:25" ht="30" hidden="1" customHeight="1" x14ac:dyDescent="0.25">
      <c r="A2808" s="82">
        <v>200131</v>
      </c>
      <c r="B2808" s="664" t="s">
        <v>1052</v>
      </c>
      <c r="C2808" s="71" t="s">
        <v>1843</v>
      </c>
      <c r="D2808" s="71"/>
      <c r="E2808" s="102">
        <v>8200</v>
      </c>
      <c r="F2808" s="102">
        <f t="shared" si="1469"/>
        <v>0</v>
      </c>
      <c r="G2808" s="102">
        <f t="shared" si="1470"/>
        <v>0</v>
      </c>
      <c r="H2808" s="690" t="s">
        <v>142</v>
      </c>
      <c r="I2808" s="71" t="s">
        <v>144</v>
      </c>
      <c r="J2808" s="53">
        <f t="shared" si="1463"/>
        <v>0</v>
      </c>
      <c r="K2808" s="63" t="e">
        <f t="shared" si="1466"/>
        <v>#DIV/0!</v>
      </c>
      <c r="L2808" s="871" t="s">
        <v>2270</v>
      </c>
      <c r="M2808" s="468"/>
      <c r="N2808" s="664">
        <f t="shared" si="1471"/>
        <v>200131</v>
      </c>
      <c r="O2808" s="71" t="s">
        <v>147</v>
      </c>
      <c r="P2808" s="103" t="str">
        <f t="shared" si="1457"/>
        <v>아라니아 분홍(1) 190c</v>
      </c>
      <c r="Q2808" s="71">
        <f t="shared" si="1457"/>
        <v>0</v>
      </c>
      <c r="R2808" s="102">
        <v>7850</v>
      </c>
      <c r="S2808" s="102">
        <f t="shared" si="1472"/>
        <v>0</v>
      </c>
      <c r="T2808" s="102">
        <f t="shared" si="1473"/>
        <v>0</v>
      </c>
      <c r="U2808" s="71" t="str">
        <f t="shared" si="1467"/>
        <v>O</v>
      </c>
      <c r="V2808" s="71"/>
      <c r="W2808" s="474">
        <f t="shared" si="1468"/>
        <v>0</v>
      </c>
      <c r="X2808" s="71"/>
      <c r="Y2808" s="71"/>
    </row>
    <row r="2809" spans="1:25" ht="30" hidden="1" customHeight="1" x14ac:dyDescent="0.25">
      <c r="A2809" s="82">
        <v>200131</v>
      </c>
      <c r="B2809" s="664" t="s">
        <v>1052</v>
      </c>
      <c r="C2809" s="71" t="s">
        <v>1840</v>
      </c>
      <c r="D2809" s="71"/>
      <c r="E2809" s="102">
        <v>8000</v>
      </c>
      <c r="F2809" s="102">
        <f t="shared" si="1469"/>
        <v>0</v>
      </c>
      <c r="G2809" s="102">
        <f t="shared" si="1470"/>
        <v>0</v>
      </c>
      <c r="H2809" s="690" t="s">
        <v>142</v>
      </c>
      <c r="I2809" s="71" t="s">
        <v>144</v>
      </c>
      <c r="J2809" s="53">
        <f t="shared" si="1463"/>
        <v>0</v>
      </c>
      <c r="K2809" s="63" t="e">
        <f t="shared" si="1466"/>
        <v>#DIV/0!</v>
      </c>
      <c r="L2809" s="871" t="s">
        <v>2270</v>
      </c>
      <c r="M2809" s="468"/>
      <c r="N2809" s="664">
        <f t="shared" si="1471"/>
        <v>200131</v>
      </c>
      <c r="O2809" s="71" t="s">
        <v>147</v>
      </c>
      <c r="P2809" s="103" t="str">
        <f t="shared" si="1457"/>
        <v>아라니아 연청 304c</v>
      </c>
      <c r="Q2809" s="71">
        <f t="shared" si="1457"/>
        <v>0</v>
      </c>
      <c r="R2809" s="102">
        <v>7600</v>
      </c>
      <c r="S2809" s="102">
        <f t="shared" si="1472"/>
        <v>0</v>
      </c>
      <c r="T2809" s="102">
        <f t="shared" si="1473"/>
        <v>0</v>
      </c>
      <c r="U2809" s="71" t="str">
        <f t="shared" si="1467"/>
        <v>O</v>
      </c>
      <c r="V2809" s="71"/>
      <c r="W2809" s="474">
        <f t="shared" si="1468"/>
        <v>0</v>
      </c>
      <c r="X2809" s="71"/>
      <c r="Y2809" s="71"/>
    </row>
    <row r="2810" spans="1:25" ht="30" hidden="1" customHeight="1" x14ac:dyDescent="0.25">
      <c r="A2810" s="82">
        <v>200131</v>
      </c>
      <c r="B2810" s="664" t="s">
        <v>1052</v>
      </c>
      <c r="C2810" s="71" t="s">
        <v>1841</v>
      </c>
      <c r="D2810" s="71"/>
      <c r="E2810" s="102">
        <v>7700</v>
      </c>
      <c r="F2810" s="102">
        <f t="shared" si="1469"/>
        <v>0</v>
      </c>
      <c r="G2810" s="102">
        <f t="shared" si="1470"/>
        <v>0</v>
      </c>
      <c r="H2810" s="690" t="s">
        <v>142</v>
      </c>
      <c r="I2810" s="71" t="s">
        <v>144</v>
      </c>
      <c r="J2810" s="53">
        <f t="shared" si="1463"/>
        <v>0</v>
      </c>
      <c r="K2810" s="63" t="e">
        <f t="shared" si="1466"/>
        <v>#DIV/0!</v>
      </c>
      <c r="L2810" s="871" t="s">
        <v>2270</v>
      </c>
      <c r="M2810" s="468"/>
      <c r="N2810" s="664">
        <f t="shared" si="1471"/>
        <v>200131</v>
      </c>
      <c r="O2810" s="71" t="s">
        <v>147</v>
      </c>
      <c r="P2810" s="103" t="str">
        <f t="shared" si="1457"/>
        <v>아라니아 분홍(2) 1905c</v>
      </c>
      <c r="Q2810" s="71">
        <f t="shared" si="1457"/>
        <v>0</v>
      </c>
      <c r="R2810" s="102">
        <v>7300</v>
      </c>
      <c r="S2810" s="102">
        <f t="shared" si="1472"/>
        <v>0</v>
      </c>
      <c r="T2810" s="102">
        <f t="shared" si="1473"/>
        <v>0</v>
      </c>
      <c r="U2810" s="71" t="str">
        <f t="shared" si="1467"/>
        <v>O</v>
      </c>
      <c r="V2810" s="71"/>
      <c r="W2810" s="474">
        <f t="shared" si="1468"/>
        <v>0</v>
      </c>
      <c r="X2810" s="71"/>
      <c r="Y2810" s="71"/>
    </row>
    <row r="2811" spans="1:25" ht="30" hidden="1" customHeight="1" x14ac:dyDescent="0.25">
      <c r="A2811" s="82">
        <v>200131</v>
      </c>
      <c r="B2811" s="664" t="s">
        <v>1052</v>
      </c>
      <c r="C2811" s="71" t="s">
        <v>1842</v>
      </c>
      <c r="D2811" s="71"/>
      <c r="E2811" s="102">
        <v>8600</v>
      </c>
      <c r="F2811" s="102">
        <f t="shared" si="1469"/>
        <v>0</v>
      </c>
      <c r="G2811" s="102">
        <f t="shared" si="1470"/>
        <v>0</v>
      </c>
      <c r="H2811" s="690" t="s">
        <v>142</v>
      </c>
      <c r="I2811" s="71" t="s">
        <v>144</v>
      </c>
      <c r="J2811" s="53">
        <f t="shared" ref="J2811:J2817" si="1474">G2811-T2811</f>
        <v>0</v>
      </c>
      <c r="K2811" s="63" t="e">
        <f t="shared" si="1466"/>
        <v>#DIV/0!</v>
      </c>
      <c r="L2811" s="871" t="s">
        <v>2270</v>
      </c>
      <c r="M2811" s="468"/>
      <c r="N2811" s="664">
        <f t="shared" si="1471"/>
        <v>200131</v>
      </c>
      <c r="O2811" s="71" t="s">
        <v>147</v>
      </c>
      <c r="P2811" s="103" t="str">
        <f t="shared" si="1457"/>
        <v>아라니아 분홍(3) 1775c</v>
      </c>
      <c r="Q2811" s="71">
        <f t="shared" si="1457"/>
        <v>0</v>
      </c>
      <c r="R2811" s="102">
        <v>8100</v>
      </c>
      <c r="S2811" s="102">
        <f t="shared" si="1472"/>
        <v>0</v>
      </c>
      <c r="T2811" s="102">
        <f t="shared" si="1473"/>
        <v>0</v>
      </c>
      <c r="U2811" s="71" t="str">
        <f t="shared" si="1467"/>
        <v>O</v>
      </c>
      <c r="V2811" s="71"/>
      <c r="W2811" s="474">
        <f t="shared" si="1468"/>
        <v>0</v>
      </c>
      <c r="X2811" s="71"/>
      <c r="Y2811" s="71"/>
    </row>
    <row r="2812" spans="1:25" ht="30" hidden="1" customHeight="1" x14ac:dyDescent="0.25">
      <c r="A2812" s="82">
        <v>200131</v>
      </c>
      <c r="B2812" s="664" t="s">
        <v>1052</v>
      </c>
      <c r="C2812" s="71" t="s">
        <v>2015</v>
      </c>
      <c r="D2812" s="71"/>
      <c r="E2812" s="102">
        <v>8200</v>
      </c>
      <c r="F2812" s="102">
        <f t="shared" si="1469"/>
        <v>0</v>
      </c>
      <c r="G2812" s="102">
        <f t="shared" si="1470"/>
        <v>0</v>
      </c>
      <c r="H2812" s="690" t="s">
        <v>142</v>
      </c>
      <c r="I2812" s="71" t="s">
        <v>144</v>
      </c>
      <c r="J2812" s="53">
        <f t="shared" si="1474"/>
        <v>0</v>
      </c>
      <c r="K2812" s="63" t="e">
        <f t="shared" si="1466"/>
        <v>#DIV/0!</v>
      </c>
      <c r="L2812" s="871" t="s">
        <v>2270</v>
      </c>
      <c r="M2812" s="468"/>
      <c r="N2812" s="664">
        <f t="shared" si="1471"/>
        <v>200131</v>
      </c>
      <c r="O2812" s="71" t="s">
        <v>147</v>
      </c>
      <c r="P2812" s="103" t="str">
        <f t="shared" si="1457"/>
        <v>아라니아 BTS 보라</v>
      </c>
      <c r="Q2812" s="71">
        <f t="shared" si="1457"/>
        <v>0</v>
      </c>
      <c r="R2812" s="102">
        <v>8200</v>
      </c>
      <c r="S2812" s="102">
        <f t="shared" si="1472"/>
        <v>0</v>
      </c>
      <c r="T2812" s="102">
        <f t="shared" si="1473"/>
        <v>0</v>
      </c>
      <c r="U2812" s="71" t="str">
        <f t="shared" si="1467"/>
        <v>O</v>
      </c>
      <c r="V2812" s="71"/>
      <c r="W2812" s="474">
        <f t="shared" si="1468"/>
        <v>0</v>
      </c>
      <c r="X2812" s="71"/>
      <c r="Y2812" s="71"/>
    </row>
    <row r="2813" spans="1:25" ht="30" hidden="1" customHeight="1" x14ac:dyDescent="0.2">
      <c r="A2813" s="82">
        <v>200131</v>
      </c>
      <c r="B2813" s="664" t="s">
        <v>1513</v>
      </c>
      <c r="C2813" s="71" t="s">
        <v>1514</v>
      </c>
      <c r="D2813" s="71">
        <v>-5</v>
      </c>
      <c r="E2813" s="102">
        <v>650000</v>
      </c>
      <c r="F2813" s="163">
        <f t="shared" si="1469"/>
        <v>-3575000.0000000005</v>
      </c>
      <c r="G2813" s="102">
        <f t="shared" si="1470"/>
        <v>-3250000</v>
      </c>
      <c r="H2813" s="690" t="s">
        <v>173</v>
      </c>
      <c r="I2813" s="71" t="s">
        <v>2184</v>
      </c>
      <c r="J2813" s="53">
        <f t="shared" si="1474"/>
        <v>0</v>
      </c>
      <c r="K2813" s="63">
        <f t="shared" si="1466"/>
        <v>0</v>
      </c>
      <c r="L2813" s="871" t="s">
        <v>2270</v>
      </c>
      <c r="M2813" s="468" t="s">
        <v>2225</v>
      </c>
      <c r="N2813" s="664">
        <f t="shared" si="1471"/>
        <v>200131</v>
      </c>
      <c r="O2813" s="71" t="s">
        <v>1458</v>
      </c>
      <c r="P2813" s="103" t="str">
        <f t="shared" si="1457"/>
        <v>UV Lamp-BF572</v>
      </c>
      <c r="Q2813" s="71">
        <f t="shared" si="1457"/>
        <v>-5</v>
      </c>
      <c r="R2813" s="102">
        <v>650000</v>
      </c>
      <c r="S2813" s="102">
        <f t="shared" si="1472"/>
        <v>-3575000.0000000005</v>
      </c>
      <c r="T2813" s="102">
        <f t="shared" si="1473"/>
        <v>-3250000</v>
      </c>
      <c r="U2813" s="71">
        <v>0</v>
      </c>
      <c r="V2813" s="71"/>
      <c r="W2813" s="474"/>
      <c r="X2813" s="71"/>
      <c r="Y2813" s="71"/>
    </row>
    <row r="2814" spans="1:25" ht="30" hidden="1" customHeight="1" x14ac:dyDescent="0.25">
      <c r="A2814" s="82">
        <v>200131</v>
      </c>
      <c r="B2814" s="664" t="s">
        <v>1513</v>
      </c>
      <c r="C2814" s="71" t="s">
        <v>2202</v>
      </c>
      <c r="D2814" s="71">
        <v>-5</v>
      </c>
      <c r="E2814" s="102">
        <v>650000</v>
      </c>
      <c r="F2814" s="102">
        <f t="shared" si="1469"/>
        <v>-3575000.0000000005</v>
      </c>
      <c r="G2814" s="102">
        <f t="shared" si="1470"/>
        <v>-3250000</v>
      </c>
      <c r="H2814" s="690" t="s">
        <v>173</v>
      </c>
      <c r="I2814" s="71" t="s">
        <v>2184</v>
      </c>
      <c r="J2814" s="53">
        <f t="shared" si="1474"/>
        <v>0</v>
      </c>
      <c r="K2814" s="63">
        <f t="shared" si="1466"/>
        <v>0</v>
      </c>
      <c r="L2814" s="871" t="s">
        <v>2270</v>
      </c>
      <c r="M2814" s="468" t="s">
        <v>2225</v>
      </c>
      <c r="N2814" s="664">
        <f t="shared" si="1471"/>
        <v>200131</v>
      </c>
      <c r="O2814" s="71" t="s">
        <v>1458</v>
      </c>
      <c r="P2814" s="103" t="str">
        <f t="shared" si="1457"/>
        <v>UV Lamp-BF576</v>
      </c>
      <c r="Q2814" s="71">
        <f t="shared" si="1457"/>
        <v>-5</v>
      </c>
      <c r="R2814" s="102">
        <v>650000</v>
      </c>
      <c r="S2814" s="102">
        <f t="shared" si="1472"/>
        <v>-3575000.0000000005</v>
      </c>
      <c r="T2814" s="102">
        <f t="shared" si="1473"/>
        <v>-3250000</v>
      </c>
      <c r="U2814" s="71"/>
      <c r="V2814" s="71"/>
      <c r="W2814" s="474"/>
      <c r="X2814" s="71"/>
      <c r="Y2814" s="71"/>
    </row>
    <row r="2815" spans="1:25" ht="30" hidden="1" customHeight="1" x14ac:dyDescent="0.25">
      <c r="A2815" s="82">
        <v>200131</v>
      </c>
      <c r="B2815" s="664" t="s">
        <v>550</v>
      </c>
      <c r="C2815" s="71" t="s">
        <v>2283</v>
      </c>
      <c r="D2815" s="71">
        <v>1</v>
      </c>
      <c r="E2815" s="102">
        <v>7568237</v>
      </c>
      <c r="F2815" s="102">
        <f t="shared" si="1469"/>
        <v>8325060.7000000011</v>
      </c>
      <c r="G2815" s="102">
        <f t="shared" si="1470"/>
        <v>7568237</v>
      </c>
      <c r="H2815" s="690" t="s">
        <v>985</v>
      </c>
      <c r="I2815" s="71" t="s">
        <v>985</v>
      </c>
      <c r="J2815" s="53">
        <f t="shared" si="1474"/>
        <v>300000</v>
      </c>
      <c r="K2815" s="63">
        <f t="shared" si="1466"/>
        <v>3.9639350617587686E-2</v>
      </c>
      <c r="L2815" s="871" t="s">
        <v>2270</v>
      </c>
      <c r="M2815" s="468"/>
      <c r="N2815" s="664">
        <f t="shared" si="1471"/>
        <v>200131</v>
      </c>
      <c r="O2815" s="71" t="s">
        <v>1431</v>
      </c>
      <c r="P2815" s="103" t="str">
        <f t="shared" si="1457"/>
        <v>M600 드라이어, 스플라이서 서비스비용</v>
      </c>
      <c r="Q2815" s="71">
        <f t="shared" si="1457"/>
        <v>1</v>
      </c>
      <c r="R2815" s="102">
        <f>4561392+2706845</f>
        <v>7268237</v>
      </c>
      <c r="S2815" s="102">
        <f t="shared" si="1472"/>
        <v>7995060.7000000002</v>
      </c>
      <c r="T2815" s="102">
        <f t="shared" si="1473"/>
        <v>7268237</v>
      </c>
      <c r="U2815" s="71"/>
      <c r="V2815" s="71"/>
      <c r="W2815" s="474"/>
      <c r="X2815" s="71"/>
      <c r="Y2815" s="71"/>
    </row>
    <row r="2816" spans="1:25" ht="30" hidden="1" customHeight="1" x14ac:dyDescent="0.25">
      <c r="A2816" s="82">
        <v>200131</v>
      </c>
      <c r="B2816" s="664" t="s">
        <v>575</v>
      </c>
      <c r="C2816" s="71" t="s">
        <v>2284</v>
      </c>
      <c r="D2816" s="71">
        <v>1</v>
      </c>
      <c r="E2816" s="102">
        <v>1000000</v>
      </c>
      <c r="F2816" s="102">
        <f t="shared" si="1469"/>
        <v>1100000</v>
      </c>
      <c r="G2816" s="102">
        <f t="shared" si="1470"/>
        <v>1000000</v>
      </c>
      <c r="H2816" s="690" t="s">
        <v>142</v>
      </c>
      <c r="I2816" s="71" t="s">
        <v>142</v>
      </c>
      <c r="J2816" s="53">
        <f t="shared" si="1474"/>
        <v>174323.75</v>
      </c>
      <c r="K2816" s="63">
        <f t="shared" si="1466"/>
        <v>0.17432375</v>
      </c>
      <c r="L2816" s="871" t="s">
        <v>2270</v>
      </c>
      <c r="M2816" s="468"/>
      <c r="N2816" s="664">
        <f t="shared" si="1471"/>
        <v>200131</v>
      </c>
      <c r="O2816" s="71" t="s">
        <v>1409</v>
      </c>
      <c r="P2816" s="103" t="str">
        <f t="shared" si="1457"/>
        <v>Onevision 서비스 비용(2회차)</v>
      </c>
      <c r="Q2816" s="71">
        <f t="shared" si="1457"/>
        <v>1</v>
      </c>
      <c r="R2816" s="102">
        <f>3302705/4</f>
        <v>825676.25</v>
      </c>
      <c r="S2816" s="102">
        <f t="shared" si="1472"/>
        <v>908243.87500000012</v>
      </c>
      <c r="T2816" s="102">
        <f t="shared" si="1473"/>
        <v>825676.25</v>
      </c>
      <c r="U2816" s="71"/>
      <c r="V2816" s="71"/>
      <c r="W2816" s="474"/>
      <c r="X2816" s="71"/>
      <c r="Y2816" s="71"/>
    </row>
    <row r="2817" spans="1:25" ht="30" hidden="1" customHeight="1" x14ac:dyDescent="0.25">
      <c r="A2817" s="82">
        <v>200131</v>
      </c>
      <c r="B2817" s="664" t="s">
        <v>2278</v>
      </c>
      <c r="C2817" s="71" t="s">
        <v>2279</v>
      </c>
      <c r="D2817" s="71">
        <v>4</v>
      </c>
      <c r="E2817" s="102">
        <v>570000</v>
      </c>
      <c r="F2817" s="102">
        <f t="shared" si="1469"/>
        <v>2508000</v>
      </c>
      <c r="G2817" s="102">
        <f t="shared" si="1470"/>
        <v>2280000</v>
      </c>
      <c r="H2817" s="690" t="s">
        <v>142</v>
      </c>
      <c r="I2817" s="71" t="s">
        <v>142</v>
      </c>
      <c r="J2817" s="53">
        <f t="shared" si="1474"/>
        <v>1070912</v>
      </c>
      <c r="K2817" s="63">
        <f t="shared" si="1466"/>
        <v>0.46969824561403511</v>
      </c>
      <c r="L2817" s="871" t="s">
        <v>2270</v>
      </c>
      <c r="M2817" s="468"/>
      <c r="N2817" s="664">
        <f t="shared" si="1471"/>
        <v>200131</v>
      </c>
      <c r="O2817" s="71" t="s">
        <v>1431</v>
      </c>
      <c r="P2817" s="103" t="str">
        <f t="shared" si="1457"/>
        <v>캠 팔로워</v>
      </c>
      <c r="Q2817" s="71">
        <f t="shared" si="1457"/>
        <v>4</v>
      </c>
      <c r="R2817" s="102">
        <v>302272</v>
      </c>
      <c r="S2817" s="102">
        <f t="shared" si="1472"/>
        <v>1329996.8</v>
      </c>
      <c r="T2817" s="102">
        <f t="shared" si="1473"/>
        <v>1209088</v>
      </c>
      <c r="U2817" s="71"/>
      <c r="V2817" s="71"/>
      <c r="W2817" s="474"/>
      <c r="X2817" s="71"/>
      <c r="Y2817" s="71"/>
    </row>
    <row r="2818" spans="1:25" s="978" customFormat="1" ht="45" hidden="1" customHeight="1" x14ac:dyDescent="0.25">
      <c r="A2818" s="982" t="s">
        <v>2274</v>
      </c>
      <c r="B2818" s="976" t="s">
        <v>544</v>
      </c>
      <c r="C2818" s="453"/>
      <c r="D2818" s="453"/>
      <c r="E2818" s="454"/>
      <c r="F2818" s="454"/>
      <c r="G2818" s="454"/>
      <c r="H2818" s="455"/>
      <c r="I2818" s="453"/>
      <c r="J2818" s="417"/>
      <c r="K2818" s="418"/>
      <c r="L2818" s="983" t="s">
        <v>2275</v>
      </c>
      <c r="M2818" s="643"/>
      <c r="N2818" s="724" t="str">
        <f>A2818</f>
        <v>2020,2</v>
      </c>
      <c r="O2818" s="453" t="s">
        <v>154</v>
      </c>
      <c r="P2818" s="728"/>
      <c r="Q2818" s="420"/>
      <c r="R2818" s="420"/>
      <c r="S2818" s="417"/>
      <c r="T2818" s="417"/>
      <c r="U2818" s="421"/>
      <c r="V2818" s="421"/>
      <c r="W2818" s="479">
        <f>(G2818-T2818)</f>
        <v>0</v>
      </c>
      <c r="X2818" s="421"/>
      <c r="Y2818" s="421"/>
    </row>
    <row r="2819" spans="1:25" ht="30" hidden="1" customHeight="1" x14ac:dyDescent="0.25">
      <c r="A2819" s="82">
        <v>191225</v>
      </c>
      <c r="B2819" s="664" t="s">
        <v>575</v>
      </c>
      <c r="C2819" s="71" t="s">
        <v>2204</v>
      </c>
      <c r="D2819" s="71">
        <v>1</v>
      </c>
      <c r="E2819" s="102">
        <v>6500000</v>
      </c>
      <c r="F2819" s="102">
        <f>(E2819*D2819)*1.1</f>
        <v>7150000.0000000009</v>
      </c>
      <c r="G2819" s="102">
        <f>(E2819*D2819)</f>
        <v>6500000</v>
      </c>
      <c r="H2819" s="690" t="s">
        <v>1431</v>
      </c>
      <c r="I2819" s="71" t="s">
        <v>1431</v>
      </c>
      <c r="J2819" s="53">
        <f>G2819-T2819-1650000-100000</f>
        <v>520000</v>
      </c>
      <c r="K2819" s="63">
        <f t="shared" ref="K2819:K2827" si="1475">(J2819/(F2819/11*10))</f>
        <v>7.9999999999999988E-2</v>
      </c>
      <c r="L2819" s="871" t="s">
        <v>2275</v>
      </c>
      <c r="M2819" s="468" t="s">
        <v>2316</v>
      </c>
      <c r="N2819" s="664">
        <f t="shared" ref="N2819:N2882" si="1476">A2819</f>
        <v>191225</v>
      </c>
      <c r="O2819" s="71" t="s">
        <v>1431</v>
      </c>
      <c r="P2819" s="103" t="str">
        <f>(C2819)</f>
        <v>판걸이 튜브(상부)</v>
      </c>
      <c r="Q2819" s="71">
        <f>D2819</f>
        <v>1</v>
      </c>
      <c r="R2819" s="102">
        <f>3930000+300000</f>
        <v>4230000</v>
      </c>
      <c r="S2819" s="102">
        <f t="shared" ref="S2819:S2850" si="1477">R2819*Q2819*1.1</f>
        <v>4653000</v>
      </c>
      <c r="T2819" s="102">
        <f t="shared" ref="T2819:T2850" si="1478">R2819*Q2819</f>
        <v>4230000</v>
      </c>
      <c r="U2819" s="71"/>
      <c r="V2819" s="71"/>
      <c r="W2819" s="474"/>
      <c r="X2819" s="71"/>
      <c r="Y2819" s="71"/>
    </row>
    <row r="2820" spans="1:25" ht="30" hidden="1" customHeight="1" x14ac:dyDescent="0.2">
      <c r="A2820" s="82">
        <v>191225</v>
      </c>
      <c r="B2820" s="664" t="s">
        <v>575</v>
      </c>
      <c r="C2820" s="71" t="s">
        <v>2205</v>
      </c>
      <c r="D2820" s="71">
        <v>1</v>
      </c>
      <c r="E2820" s="102">
        <v>6500000</v>
      </c>
      <c r="F2820" s="163">
        <f>(E2820*D2820)*1.1</f>
        <v>7150000.0000000009</v>
      </c>
      <c r="G2820" s="102">
        <f>(E2820*D2820)</f>
        <v>6500000</v>
      </c>
      <c r="H2820" s="690" t="s">
        <v>1431</v>
      </c>
      <c r="I2820" s="71" t="s">
        <v>1431</v>
      </c>
      <c r="J2820" s="53">
        <f>G2820-T2820-1650000</f>
        <v>435000</v>
      </c>
      <c r="K2820" s="63">
        <f t="shared" si="1475"/>
        <v>6.6923076923076918E-2</v>
      </c>
      <c r="L2820" s="871" t="s">
        <v>2275</v>
      </c>
      <c r="M2820" s="468" t="s">
        <v>2337</v>
      </c>
      <c r="N2820" s="664">
        <f t="shared" si="1476"/>
        <v>191225</v>
      </c>
      <c r="O2820" s="71" t="s">
        <v>1431</v>
      </c>
      <c r="P2820" s="103" t="str">
        <f t="shared" ref="P2820:P2883" si="1479">(C2820)</f>
        <v>판걸이 튜브(하부)</v>
      </c>
      <c r="Q2820" s="71">
        <f t="shared" ref="Q2820:Q2883" si="1480">D2820</f>
        <v>1</v>
      </c>
      <c r="R2820" s="102">
        <f>4000000+415000</f>
        <v>4415000</v>
      </c>
      <c r="S2820" s="102">
        <f t="shared" si="1477"/>
        <v>4856500</v>
      </c>
      <c r="T2820" s="102">
        <f t="shared" si="1478"/>
        <v>4415000</v>
      </c>
      <c r="U2820" s="71"/>
      <c r="V2820" s="71"/>
      <c r="W2820" s="474"/>
      <c r="X2820" s="71"/>
      <c r="Y2820" s="71"/>
    </row>
    <row r="2821" spans="1:25" ht="30" hidden="1" customHeight="1" x14ac:dyDescent="0.2">
      <c r="A2821" s="82">
        <v>191225</v>
      </c>
      <c r="B2821" s="664" t="s">
        <v>575</v>
      </c>
      <c r="C2821" s="71" t="s">
        <v>2310</v>
      </c>
      <c r="D2821" s="71">
        <v>4</v>
      </c>
      <c r="E2821" s="102">
        <v>30000</v>
      </c>
      <c r="F2821" s="163">
        <f t="shared" ref="F2821:F2872" si="1481">(E2821*D2821)*1.1</f>
        <v>132000</v>
      </c>
      <c r="G2821" s="102">
        <f t="shared" ref="G2821:G2872" si="1482">(E2821*D2821)</f>
        <v>120000</v>
      </c>
      <c r="H2821" s="690" t="s">
        <v>1431</v>
      </c>
      <c r="I2821" s="71" t="s">
        <v>1431</v>
      </c>
      <c r="J2821" s="53">
        <f>G2821-T2821</f>
        <v>60000</v>
      </c>
      <c r="K2821" s="63">
        <f t="shared" si="1475"/>
        <v>0.5</v>
      </c>
      <c r="L2821" s="871" t="s">
        <v>2305</v>
      </c>
      <c r="M2821" s="468" t="s">
        <v>2331</v>
      </c>
      <c r="N2821" s="664">
        <f t="shared" si="1476"/>
        <v>191225</v>
      </c>
      <c r="O2821" s="71" t="s">
        <v>1431</v>
      </c>
      <c r="P2821" s="103" t="str">
        <f t="shared" si="1479"/>
        <v>스프링 링</v>
      </c>
      <c r="Q2821" s="71">
        <f t="shared" si="1480"/>
        <v>4</v>
      </c>
      <c r="R2821" s="102">
        <v>15000</v>
      </c>
      <c r="S2821" s="102">
        <f t="shared" si="1477"/>
        <v>66000</v>
      </c>
      <c r="T2821" s="102">
        <f t="shared" si="1478"/>
        <v>60000</v>
      </c>
      <c r="U2821" s="71"/>
      <c r="V2821" s="71"/>
      <c r="W2821" s="474"/>
      <c r="X2821" s="71"/>
      <c r="Y2821" s="71"/>
    </row>
    <row r="2822" spans="1:25" ht="30" hidden="1" customHeight="1" x14ac:dyDescent="0.2">
      <c r="A2822" s="82">
        <v>191225</v>
      </c>
      <c r="B2822" s="664" t="s">
        <v>575</v>
      </c>
      <c r="C2822" s="71" t="s">
        <v>2311</v>
      </c>
      <c r="D2822" s="71">
        <v>2</v>
      </c>
      <c r="E2822" s="102">
        <v>4200000</v>
      </c>
      <c r="F2822" s="163">
        <f t="shared" si="1481"/>
        <v>9240000</v>
      </c>
      <c r="G2822" s="102">
        <f t="shared" si="1482"/>
        <v>8400000</v>
      </c>
      <c r="H2822" s="690" t="s">
        <v>1431</v>
      </c>
      <c r="I2822" s="71" t="s">
        <v>1431</v>
      </c>
      <c r="J2822" s="53">
        <f>G2822-T2822-3000000</f>
        <v>800000</v>
      </c>
      <c r="K2822" s="63">
        <f t="shared" si="1475"/>
        <v>9.5238095238095233E-2</v>
      </c>
      <c r="L2822" s="871" t="s">
        <v>2305</v>
      </c>
      <c r="M2822" s="468" t="s">
        <v>2338</v>
      </c>
      <c r="N2822" s="664">
        <f t="shared" si="1476"/>
        <v>191225</v>
      </c>
      <c r="O2822" s="71" t="s">
        <v>1431</v>
      </c>
      <c r="P2822" s="103" t="str">
        <f t="shared" si="1479"/>
        <v>텐션 바, 미니갭 용</v>
      </c>
      <c r="Q2822" s="71">
        <f t="shared" si="1480"/>
        <v>2</v>
      </c>
      <c r="R2822" s="102">
        <f>2300000</f>
        <v>2300000</v>
      </c>
      <c r="S2822" s="102">
        <f t="shared" si="1477"/>
        <v>5060000</v>
      </c>
      <c r="T2822" s="102">
        <f t="shared" si="1478"/>
        <v>4600000</v>
      </c>
      <c r="U2822" s="71"/>
      <c r="V2822" s="71"/>
      <c r="W2822" s="474"/>
      <c r="X2822" s="71"/>
      <c r="Y2822" s="71"/>
    </row>
    <row r="2823" spans="1:25" ht="30" hidden="1" customHeight="1" x14ac:dyDescent="0.2">
      <c r="A2823" s="82">
        <v>191225</v>
      </c>
      <c r="B2823" s="664" t="s">
        <v>575</v>
      </c>
      <c r="C2823" s="71" t="s">
        <v>2312</v>
      </c>
      <c r="D2823" s="71">
        <v>12</v>
      </c>
      <c r="E2823" s="102">
        <v>15000</v>
      </c>
      <c r="F2823" s="163">
        <f t="shared" si="1481"/>
        <v>198000.00000000003</v>
      </c>
      <c r="G2823" s="102">
        <f t="shared" si="1482"/>
        <v>180000</v>
      </c>
      <c r="H2823" s="690" t="s">
        <v>1431</v>
      </c>
      <c r="I2823" s="71" t="s">
        <v>1431</v>
      </c>
      <c r="J2823" s="53">
        <f t="shared" ref="J2823:J2830" si="1483">G2823-T2823</f>
        <v>60000</v>
      </c>
      <c r="K2823" s="63">
        <f t="shared" si="1475"/>
        <v>0.33333333333333326</v>
      </c>
      <c r="L2823" s="871" t="s">
        <v>2305</v>
      </c>
      <c r="M2823" s="468"/>
      <c r="N2823" s="664">
        <f t="shared" si="1476"/>
        <v>191225</v>
      </c>
      <c r="O2823" s="71" t="s">
        <v>1431</v>
      </c>
      <c r="P2823" s="103" t="str">
        <f t="shared" si="1479"/>
        <v>니들 INA</v>
      </c>
      <c r="Q2823" s="71">
        <f t="shared" si="1480"/>
        <v>12</v>
      </c>
      <c r="R2823" s="102">
        <v>10000</v>
      </c>
      <c r="S2823" s="102">
        <f t="shared" si="1477"/>
        <v>132000</v>
      </c>
      <c r="T2823" s="102">
        <f t="shared" si="1478"/>
        <v>120000</v>
      </c>
      <c r="U2823" s="71"/>
      <c r="V2823" s="71"/>
      <c r="W2823" s="474"/>
      <c r="X2823" s="71"/>
      <c r="Y2823" s="71"/>
    </row>
    <row r="2824" spans="1:25" ht="30" hidden="1" customHeight="1" x14ac:dyDescent="0.2">
      <c r="A2824" s="82">
        <v>191225</v>
      </c>
      <c r="B2824" s="664" t="s">
        <v>575</v>
      </c>
      <c r="C2824" s="71" t="s">
        <v>2313</v>
      </c>
      <c r="D2824" s="71">
        <v>2</v>
      </c>
      <c r="E2824" s="102">
        <v>2600000</v>
      </c>
      <c r="F2824" s="163">
        <f t="shared" si="1481"/>
        <v>5720000</v>
      </c>
      <c r="G2824" s="102">
        <f t="shared" si="1482"/>
        <v>5200000</v>
      </c>
      <c r="H2824" s="690" t="s">
        <v>1431</v>
      </c>
      <c r="I2824" s="71" t="s">
        <v>1431</v>
      </c>
      <c r="J2824" s="53">
        <f t="shared" si="1483"/>
        <v>1900000</v>
      </c>
      <c r="K2824" s="63">
        <f t="shared" si="1475"/>
        <v>0.36538461538461536</v>
      </c>
      <c r="L2824" s="871" t="s">
        <v>2305</v>
      </c>
      <c r="M2824" s="468"/>
      <c r="N2824" s="664">
        <f t="shared" si="1476"/>
        <v>191225</v>
      </c>
      <c r="O2824" s="71" t="s">
        <v>1431</v>
      </c>
      <c r="P2824" s="103" t="str">
        <f t="shared" si="1479"/>
        <v>웜 기어</v>
      </c>
      <c r="Q2824" s="71">
        <f t="shared" si="1480"/>
        <v>2</v>
      </c>
      <c r="R2824" s="102">
        <v>1650000</v>
      </c>
      <c r="S2824" s="102">
        <f t="shared" si="1477"/>
        <v>3630000.0000000005</v>
      </c>
      <c r="T2824" s="102">
        <f t="shared" si="1478"/>
        <v>3300000</v>
      </c>
      <c r="U2824" s="71"/>
      <c r="V2824" s="71"/>
      <c r="W2824" s="474"/>
      <c r="X2824" s="71"/>
      <c r="Y2824" s="71"/>
    </row>
    <row r="2825" spans="1:25" ht="30" hidden="1" customHeight="1" x14ac:dyDescent="0.2">
      <c r="A2825" s="82">
        <v>200122</v>
      </c>
      <c r="B2825" s="664" t="s">
        <v>591</v>
      </c>
      <c r="C2825" s="71" t="s">
        <v>2323</v>
      </c>
      <c r="D2825" s="71">
        <v>1</v>
      </c>
      <c r="E2825" s="102">
        <f>3570000+3820000</f>
        <v>7390000</v>
      </c>
      <c r="F2825" s="163">
        <f t="shared" si="1481"/>
        <v>8129000.0000000009</v>
      </c>
      <c r="G2825" s="102">
        <f t="shared" si="1482"/>
        <v>7390000</v>
      </c>
      <c r="H2825" s="690" t="s">
        <v>173</v>
      </c>
      <c r="I2825" s="71" t="s">
        <v>143</v>
      </c>
      <c r="J2825" s="53">
        <f t="shared" si="1483"/>
        <v>1400000</v>
      </c>
      <c r="K2825" s="63">
        <f t="shared" si="1475"/>
        <v>0.18944519621109604</v>
      </c>
      <c r="L2825" s="871" t="s">
        <v>2305</v>
      </c>
      <c r="M2825" s="468"/>
      <c r="N2825" s="664">
        <f t="shared" si="1476"/>
        <v>200122</v>
      </c>
      <c r="O2825" s="71" t="s">
        <v>612</v>
      </c>
      <c r="P2825" s="103" t="str">
        <f t="shared" si="1479"/>
        <v>고모리 매엽롤러 상, 하부 set</v>
      </c>
      <c r="Q2825" s="71">
        <f t="shared" si="1480"/>
        <v>1</v>
      </c>
      <c r="R2825" s="102">
        <v>5990000</v>
      </c>
      <c r="S2825" s="102">
        <f t="shared" si="1477"/>
        <v>6589000.0000000009</v>
      </c>
      <c r="T2825" s="102">
        <f t="shared" si="1478"/>
        <v>5990000</v>
      </c>
      <c r="U2825" s="71"/>
      <c r="V2825" s="71"/>
      <c r="W2825" s="474"/>
      <c r="X2825" s="71"/>
      <c r="Y2825" s="71"/>
    </row>
    <row r="2826" spans="1:25" ht="30" hidden="1" customHeight="1" x14ac:dyDescent="0.2">
      <c r="A2826" s="82">
        <v>200129</v>
      </c>
      <c r="B2826" s="664" t="s">
        <v>591</v>
      </c>
      <c r="C2826" s="71" t="s">
        <v>2324</v>
      </c>
      <c r="D2826" s="71">
        <v>1</v>
      </c>
      <c r="E2826" s="102">
        <v>2660000</v>
      </c>
      <c r="F2826" s="163">
        <f t="shared" si="1481"/>
        <v>2926000.0000000005</v>
      </c>
      <c r="G2826" s="102">
        <f t="shared" si="1482"/>
        <v>2660000</v>
      </c>
      <c r="H2826" s="690" t="s">
        <v>2029</v>
      </c>
      <c r="I2826" s="71" t="s">
        <v>143</v>
      </c>
      <c r="J2826" s="53">
        <f t="shared" si="1483"/>
        <v>410000</v>
      </c>
      <c r="K2826" s="63">
        <f t="shared" si="1475"/>
        <v>0.15413533834586463</v>
      </c>
      <c r="L2826" s="871" t="s">
        <v>2305</v>
      </c>
      <c r="M2826" s="468"/>
      <c r="N2826" s="664">
        <f t="shared" si="1476"/>
        <v>200129</v>
      </c>
      <c r="O2826" s="71" t="s">
        <v>612</v>
      </c>
      <c r="P2826" s="103" t="str">
        <f t="shared" si="1479"/>
        <v>하이델 매엽롤러 set</v>
      </c>
      <c r="Q2826" s="71">
        <f t="shared" si="1480"/>
        <v>1</v>
      </c>
      <c r="R2826" s="102">
        <v>2250000</v>
      </c>
      <c r="S2826" s="102">
        <f t="shared" si="1477"/>
        <v>2475000</v>
      </c>
      <c r="T2826" s="102">
        <f t="shared" si="1478"/>
        <v>2250000</v>
      </c>
      <c r="U2826" s="71"/>
      <c r="V2826" s="71"/>
      <c r="W2826" s="474"/>
      <c r="X2826" s="71"/>
      <c r="Y2826" s="71"/>
    </row>
    <row r="2827" spans="1:25" ht="30" hidden="1" customHeight="1" x14ac:dyDescent="0.2">
      <c r="A2827" s="82">
        <v>200131</v>
      </c>
      <c r="B2827" s="664" t="s">
        <v>1286</v>
      </c>
      <c r="C2827" s="760" t="s">
        <v>2281</v>
      </c>
      <c r="D2827" s="71">
        <v>1</v>
      </c>
      <c r="E2827" s="102">
        <v>2400000</v>
      </c>
      <c r="F2827" s="163">
        <f t="shared" si="1481"/>
        <v>2640000</v>
      </c>
      <c r="G2827" s="102">
        <f t="shared" si="1482"/>
        <v>2400000</v>
      </c>
      <c r="H2827" s="690" t="s">
        <v>985</v>
      </c>
      <c r="I2827" s="71" t="s">
        <v>985</v>
      </c>
      <c r="J2827" s="53">
        <f t="shared" si="1483"/>
        <v>284000</v>
      </c>
      <c r="K2827" s="63">
        <f t="shared" si="1475"/>
        <v>0.11833333333333333</v>
      </c>
      <c r="L2827" s="871" t="s">
        <v>2305</v>
      </c>
      <c r="M2827" s="468"/>
      <c r="N2827" s="664">
        <f t="shared" si="1476"/>
        <v>200131</v>
      </c>
      <c r="O2827" s="71" t="s">
        <v>1431</v>
      </c>
      <c r="P2827" s="103" t="str">
        <f t="shared" si="1479"/>
        <v>Mark 드라이어 서비스비용</v>
      </c>
      <c r="Q2827" s="71">
        <f t="shared" si="1480"/>
        <v>1</v>
      </c>
      <c r="R2827" s="102">
        <f>2100000+16000</f>
        <v>2116000</v>
      </c>
      <c r="S2827" s="102">
        <f t="shared" si="1477"/>
        <v>2327600</v>
      </c>
      <c r="T2827" s="102">
        <f t="shared" si="1478"/>
        <v>2116000</v>
      </c>
      <c r="U2827" s="71"/>
      <c r="V2827" s="71"/>
      <c r="W2827" s="474"/>
      <c r="X2827" s="71"/>
      <c r="Y2827" s="71"/>
    </row>
    <row r="2828" spans="1:25" ht="30" hidden="1" customHeight="1" x14ac:dyDescent="0.2">
      <c r="A2828" s="82">
        <v>200131</v>
      </c>
      <c r="B2828" s="664" t="s">
        <v>575</v>
      </c>
      <c r="C2828" s="71" t="s">
        <v>1367</v>
      </c>
      <c r="D2828" s="71">
        <v>8</v>
      </c>
      <c r="E2828" s="102">
        <v>218000</v>
      </c>
      <c r="F2828" s="163">
        <f t="shared" si="1481"/>
        <v>1918400.0000000002</v>
      </c>
      <c r="G2828" s="102">
        <f t="shared" si="1482"/>
        <v>1744000</v>
      </c>
      <c r="H2828" s="690" t="s">
        <v>173</v>
      </c>
      <c r="I2828" s="71" t="s">
        <v>109</v>
      </c>
      <c r="J2828" s="53">
        <f t="shared" si="1483"/>
        <v>781920</v>
      </c>
      <c r="K2828" s="63">
        <f t="shared" ref="K2828:K2833" si="1484">(J2828/(F2828/11*10))</f>
        <v>0.44834862385321095</v>
      </c>
      <c r="L2828" s="871" t="s">
        <v>2305</v>
      </c>
      <c r="M2828" s="468"/>
      <c r="N2828" s="664">
        <f t="shared" si="1476"/>
        <v>200131</v>
      </c>
      <c r="O2828" s="71" t="s">
        <v>1443</v>
      </c>
      <c r="P2828" s="103" t="str">
        <f t="shared" si="1479"/>
        <v>M600 윤전 블랑켓 995*742</v>
      </c>
      <c r="Q2828" s="71">
        <f t="shared" si="1480"/>
        <v>8</v>
      </c>
      <c r="R2828" s="102">
        <v>120260</v>
      </c>
      <c r="S2828" s="102">
        <f t="shared" si="1477"/>
        <v>1058288</v>
      </c>
      <c r="T2828" s="102">
        <f t="shared" si="1478"/>
        <v>962080</v>
      </c>
      <c r="U2828" s="71" t="str">
        <f>IF(J2828=W2828,"O", "X")</f>
        <v>X</v>
      </c>
      <c r="V2828" s="71"/>
      <c r="W2828" s="474"/>
      <c r="X2828" s="71"/>
      <c r="Y2828" s="71"/>
    </row>
    <row r="2829" spans="1:25" ht="30" hidden="1" customHeight="1" x14ac:dyDescent="0.25">
      <c r="A2829" s="82">
        <v>200203</v>
      </c>
      <c r="B2829" s="664" t="s">
        <v>809</v>
      </c>
      <c r="C2829" s="71" t="s">
        <v>1081</v>
      </c>
      <c r="D2829" s="71">
        <v>10</v>
      </c>
      <c r="E2829" s="102">
        <v>156000</v>
      </c>
      <c r="F2829" s="102">
        <f t="shared" si="1481"/>
        <v>1716000.0000000002</v>
      </c>
      <c r="G2829" s="102">
        <f t="shared" si="1482"/>
        <v>1560000</v>
      </c>
      <c r="H2829" s="690" t="s">
        <v>173</v>
      </c>
      <c r="I2829" s="71" t="s">
        <v>2231</v>
      </c>
      <c r="J2829" s="53">
        <f t="shared" si="1483"/>
        <v>360000</v>
      </c>
      <c r="K2829" s="63">
        <f t="shared" si="1484"/>
        <v>0.23076923076923073</v>
      </c>
      <c r="L2829" s="871" t="s">
        <v>2275</v>
      </c>
      <c r="M2829" s="468"/>
      <c r="N2829" s="664">
        <f t="shared" si="1476"/>
        <v>200203</v>
      </c>
      <c r="O2829" s="71" t="s">
        <v>147</v>
      </c>
      <c r="P2829" s="103" t="str">
        <f t="shared" si="1479"/>
        <v>파우더</v>
      </c>
      <c r="Q2829" s="71">
        <f t="shared" si="1480"/>
        <v>10</v>
      </c>
      <c r="R2829" s="102">
        <v>120000</v>
      </c>
      <c r="S2829" s="102">
        <f t="shared" si="1477"/>
        <v>1320000</v>
      </c>
      <c r="T2829" s="102">
        <f t="shared" si="1478"/>
        <v>1200000</v>
      </c>
      <c r="U2829" s="71" t="str">
        <f>IF(J2829=W2829,"O", "X")</f>
        <v>O</v>
      </c>
      <c r="V2829" s="71"/>
      <c r="W2829" s="474">
        <f>(G2829-T2829)</f>
        <v>360000</v>
      </c>
      <c r="X2829" s="71"/>
      <c r="Y2829" s="71"/>
    </row>
    <row r="2830" spans="1:25" ht="27.6" hidden="1" customHeight="1" x14ac:dyDescent="0.2">
      <c r="A2830" s="82">
        <v>200204</v>
      </c>
      <c r="B2830" s="664" t="s">
        <v>567</v>
      </c>
      <c r="C2830" s="71" t="s">
        <v>1652</v>
      </c>
      <c r="D2830" s="71">
        <v>5</v>
      </c>
      <c r="E2830" s="102">
        <v>45000</v>
      </c>
      <c r="F2830" s="163">
        <f t="shared" si="1481"/>
        <v>247500.00000000003</v>
      </c>
      <c r="G2830" s="102">
        <f t="shared" si="1482"/>
        <v>225000</v>
      </c>
      <c r="H2830" s="690" t="s">
        <v>173</v>
      </c>
      <c r="I2830" s="71" t="s">
        <v>2231</v>
      </c>
      <c r="J2830" s="53">
        <f t="shared" si="1483"/>
        <v>25000</v>
      </c>
      <c r="K2830" s="63">
        <f t="shared" si="1484"/>
        <v>0.11111111111111109</v>
      </c>
      <c r="L2830" s="871" t="s">
        <v>2305</v>
      </c>
      <c r="M2830" s="468"/>
      <c r="N2830" s="664">
        <f t="shared" si="1476"/>
        <v>200204</v>
      </c>
      <c r="O2830" s="71" t="s">
        <v>153</v>
      </c>
      <c r="P2830" s="103" t="str">
        <f t="shared" si="1479"/>
        <v>아스테이지(CD74용)</v>
      </c>
      <c r="Q2830" s="71">
        <f t="shared" si="1480"/>
        <v>5</v>
      </c>
      <c r="R2830" s="102">
        <v>40000</v>
      </c>
      <c r="S2830" s="102">
        <f t="shared" si="1477"/>
        <v>220000.00000000003</v>
      </c>
      <c r="T2830" s="102">
        <f t="shared" si="1478"/>
        <v>200000</v>
      </c>
      <c r="U2830" s="71" t="s">
        <v>1915</v>
      </c>
      <c r="V2830" s="71"/>
      <c r="W2830" s="474"/>
      <c r="X2830" s="71"/>
      <c r="Y2830" s="71"/>
    </row>
    <row r="2831" spans="1:25" ht="30" hidden="1" customHeight="1" x14ac:dyDescent="0.2">
      <c r="A2831" s="82">
        <v>200204</v>
      </c>
      <c r="B2831" s="664" t="s">
        <v>567</v>
      </c>
      <c r="C2831" s="71" t="s">
        <v>123</v>
      </c>
      <c r="D2831" s="71">
        <v>10</v>
      </c>
      <c r="E2831" s="102">
        <v>40000</v>
      </c>
      <c r="F2831" s="163">
        <f t="shared" si="1481"/>
        <v>440000.00000000006</v>
      </c>
      <c r="G2831" s="102">
        <f t="shared" si="1482"/>
        <v>400000</v>
      </c>
      <c r="H2831" s="1010" t="s">
        <v>39</v>
      </c>
      <c r="I2831" s="71" t="s">
        <v>1432</v>
      </c>
      <c r="J2831" s="53">
        <f>(G2831-(VLOOKUP(C2831,Price!B:D,3,FALSE)*D2831))</f>
        <v>175390</v>
      </c>
      <c r="K2831" s="63">
        <f t="shared" si="1484"/>
        <v>0.43847499999999995</v>
      </c>
      <c r="L2831" s="871" t="s">
        <v>2305</v>
      </c>
      <c r="M2831" s="468"/>
      <c r="N2831" s="664">
        <f t="shared" si="1476"/>
        <v>200204</v>
      </c>
      <c r="O2831" s="991" t="s">
        <v>39</v>
      </c>
      <c r="P2831" s="103" t="str">
        <f t="shared" si="1479"/>
        <v>필터백</v>
      </c>
      <c r="Q2831" s="71">
        <f t="shared" si="1480"/>
        <v>10</v>
      </c>
      <c r="R2831" s="102">
        <v>22054</v>
      </c>
      <c r="S2831" s="102">
        <f t="shared" si="1477"/>
        <v>242594.00000000003</v>
      </c>
      <c r="T2831" s="102">
        <f t="shared" si="1478"/>
        <v>220540</v>
      </c>
      <c r="U2831" s="71" t="str">
        <f>IF(J2831=W2831,"O", "X")</f>
        <v>X</v>
      </c>
      <c r="V2831" s="71"/>
      <c r="W2831" s="474">
        <f>(G2831-T2831)</f>
        <v>179460</v>
      </c>
      <c r="X2831" s="71"/>
      <c r="Y2831" s="71"/>
    </row>
    <row r="2832" spans="1:25" ht="30" hidden="1" customHeight="1" x14ac:dyDescent="0.2">
      <c r="A2832" s="82">
        <v>200204</v>
      </c>
      <c r="B2832" s="664" t="s">
        <v>545</v>
      </c>
      <c r="C2832" s="71" t="s">
        <v>952</v>
      </c>
      <c r="D2832" s="71">
        <v>1</v>
      </c>
      <c r="E2832" s="102">
        <v>630000</v>
      </c>
      <c r="F2832" s="163">
        <f t="shared" si="1481"/>
        <v>693000</v>
      </c>
      <c r="G2832" s="102">
        <f t="shared" si="1482"/>
        <v>630000</v>
      </c>
      <c r="H2832" s="690" t="s">
        <v>173</v>
      </c>
      <c r="I2832" s="71" t="s">
        <v>108</v>
      </c>
      <c r="J2832" s="53">
        <f>(G2832-(VLOOKUP(C2832,Price!B:D,3,FALSE)*D2832))</f>
        <v>180000</v>
      </c>
      <c r="K2832" s="63">
        <f t="shared" si="1484"/>
        <v>0.2857142857142857</v>
      </c>
      <c r="L2832" s="871" t="s">
        <v>2305</v>
      </c>
      <c r="M2832" s="468"/>
      <c r="N2832" s="664">
        <f t="shared" si="1476"/>
        <v>200204</v>
      </c>
      <c r="O2832" s="71" t="s">
        <v>599</v>
      </c>
      <c r="P2832" s="103" t="str">
        <f t="shared" si="1479"/>
        <v>점보롤 세정포</v>
      </c>
      <c r="Q2832" s="71">
        <f t="shared" si="1480"/>
        <v>1</v>
      </c>
      <c r="R2832" s="102">
        <v>440000</v>
      </c>
      <c r="S2832" s="102">
        <f t="shared" si="1477"/>
        <v>484000.00000000006</v>
      </c>
      <c r="T2832" s="102">
        <f t="shared" si="1478"/>
        <v>440000</v>
      </c>
      <c r="U2832" s="71" t="str">
        <f>IF(J2832=W2832,"O", "X")</f>
        <v>X</v>
      </c>
      <c r="V2832" s="71" t="s">
        <v>1228</v>
      </c>
      <c r="W2832" s="474">
        <f>(G2832-T2832)</f>
        <v>190000</v>
      </c>
      <c r="X2832" s="71"/>
      <c r="Y2832" s="71"/>
    </row>
    <row r="2833" spans="1:25" ht="30" hidden="1" customHeight="1" x14ac:dyDescent="0.2">
      <c r="A2833" s="82">
        <v>200205</v>
      </c>
      <c r="B2833" s="664" t="s">
        <v>1220</v>
      </c>
      <c r="C2833" s="71" t="s">
        <v>2309</v>
      </c>
      <c r="D2833" s="71">
        <v>1</v>
      </c>
      <c r="E2833" s="102">
        <v>1473000</v>
      </c>
      <c r="F2833" s="163">
        <f t="shared" si="1481"/>
        <v>1620300.0000000002</v>
      </c>
      <c r="G2833" s="102">
        <f t="shared" si="1482"/>
        <v>1473000</v>
      </c>
      <c r="H2833" s="690" t="s">
        <v>1431</v>
      </c>
      <c r="I2833" s="71" t="s">
        <v>1431</v>
      </c>
      <c r="J2833" s="53">
        <f t="shared" ref="J2833:J2842" si="1485">G2833-T2833</f>
        <v>327000</v>
      </c>
      <c r="K2833" s="63">
        <f t="shared" si="1484"/>
        <v>0.22199592668024437</v>
      </c>
      <c r="L2833" s="871" t="s">
        <v>2305</v>
      </c>
      <c r="M2833" s="468"/>
      <c r="N2833" s="664">
        <f t="shared" si="1476"/>
        <v>200205</v>
      </c>
      <c r="O2833" s="71" t="s">
        <v>1431</v>
      </c>
      <c r="P2833" s="103" t="str">
        <f t="shared" si="1479"/>
        <v>flaked adhesive tape</v>
      </c>
      <c r="Q2833" s="71">
        <f t="shared" si="1480"/>
        <v>1</v>
      </c>
      <c r="R2833" s="102">
        <v>1146000</v>
      </c>
      <c r="S2833" s="102">
        <f t="shared" si="1477"/>
        <v>1260600</v>
      </c>
      <c r="T2833" s="102">
        <f t="shared" si="1478"/>
        <v>1146000</v>
      </c>
      <c r="U2833" s="71"/>
      <c r="V2833" s="71"/>
      <c r="W2833" s="474"/>
      <c r="X2833" s="71"/>
      <c r="Y2833" s="71"/>
    </row>
    <row r="2834" spans="1:25" ht="30" customHeight="1" x14ac:dyDescent="0.2">
      <c r="A2834" s="82">
        <v>200205</v>
      </c>
      <c r="B2834" s="664" t="s">
        <v>565</v>
      </c>
      <c r="C2834" s="71" t="s">
        <v>2267</v>
      </c>
      <c r="D2834" s="71">
        <v>2</v>
      </c>
      <c r="E2834" s="102">
        <v>5830000</v>
      </c>
      <c r="F2834" s="163">
        <f t="shared" si="1481"/>
        <v>12826000.000000002</v>
      </c>
      <c r="G2834" s="102">
        <f t="shared" si="1482"/>
        <v>11660000</v>
      </c>
      <c r="H2834" s="690" t="s">
        <v>142</v>
      </c>
      <c r="I2834" s="71" t="s">
        <v>142</v>
      </c>
      <c r="J2834" s="53">
        <f t="shared" si="1485"/>
        <v>3860000</v>
      </c>
      <c r="K2834" s="63">
        <f>(J2834/(F2834/11*10))</f>
        <v>0.33104631217838759</v>
      </c>
      <c r="L2834" s="871" t="s">
        <v>2305</v>
      </c>
      <c r="M2834" s="468"/>
      <c r="N2834" s="664">
        <f t="shared" si="1476"/>
        <v>200205</v>
      </c>
      <c r="O2834" s="71" t="s">
        <v>1431</v>
      </c>
      <c r="P2834" s="103" t="str">
        <f t="shared" si="1479"/>
        <v>CB DRIVE UNIT RH(New Part)</v>
      </c>
      <c r="Q2834" s="71">
        <f t="shared" si="1480"/>
        <v>2</v>
      </c>
      <c r="R2834" s="102">
        <v>3900000</v>
      </c>
      <c r="S2834" s="102">
        <f t="shared" si="1477"/>
        <v>8580000</v>
      </c>
      <c r="T2834" s="102">
        <f t="shared" si="1478"/>
        <v>7800000</v>
      </c>
      <c r="U2834" s="71"/>
      <c r="V2834" s="71"/>
      <c r="W2834" s="474"/>
      <c r="X2834" s="71"/>
      <c r="Y2834" s="71"/>
    </row>
    <row r="2835" spans="1:25" ht="30" hidden="1" customHeight="1" x14ac:dyDescent="0.2">
      <c r="A2835" s="82">
        <v>200206</v>
      </c>
      <c r="B2835" s="664" t="s">
        <v>640</v>
      </c>
      <c r="C2835" s="71" t="s">
        <v>1320</v>
      </c>
      <c r="D2835" s="71">
        <v>2</v>
      </c>
      <c r="E2835" s="102">
        <v>270000</v>
      </c>
      <c r="F2835" s="163">
        <f t="shared" si="1481"/>
        <v>594000</v>
      </c>
      <c r="G2835" s="102">
        <f t="shared" si="1482"/>
        <v>540000</v>
      </c>
      <c r="H2835" s="690" t="s">
        <v>1431</v>
      </c>
      <c r="I2835" s="71" t="s">
        <v>1431</v>
      </c>
      <c r="J2835" s="53">
        <f t="shared" si="1485"/>
        <v>140000</v>
      </c>
      <c r="K2835" s="63">
        <f>(J2835/(F2835/11*10))</f>
        <v>0.25925925925925924</v>
      </c>
      <c r="L2835" s="871" t="s">
        <v>2305</v>
      </c>
      <c r="M2835" s="468"/>
      <c r="N2835" s="664">
        <f t="shared" si="1476"/>
        <v>200206</v>
      </c>
      <c r="O2835" s="71" t="s">
        <v>1431</v>
      </c>
      <c r="P2835" s="103" t="str">
        <f t="shared" si="1479"/>
        <v xml:space="preserve">에어 실린더 </v>
      </c>
      <c r="Q2835" s="71">
        <f t="shared" si="1480"/>
        <v>2</v>
      </c>
      <c r="R2835" s="102">
        <v>200000</v>
      </c>
      <c r="S2835" s="102">
        <f t="shared" si="1477"/>
        <v>440000.00000000006</v>
      </c>
      <c r="T2835" s="102">
        <f t="shared" si="1478"/>
        <v>400000</v>
      </c>
      <c r="U2835" s="71"/>
      <c r="V2835" s="71"/>
      <c r="W2835" s="474"/>
      <c r="X2835" s="71"/>
      <c r="Y2835" s="71"/>
    </row>
    <row r="2836" spans="1:25" ht="30" hidden="1" customHeight="1" x14ac:dyDescent="0.2">
      <c r="A2836" s="82">
        <v>200206</v>
      </c>
      <c r="B2836" s="664" t="s">
        <v>2307</v>
      </c>
      <c r="C2836" s="71" t="s">
        <v>1320</v>
      </c>
      <c r="D2836" s="71">
        <v>1</v>
      </c>
      <c r="E2836" s="102">
        <v>270000</v>
      </c>
      <c r="F2836" s="163">
        <f t="shared" si="1481"/>
        <v>297000</v>
      </c>
      <c r="G2836" s="102">
        <f t="shared" si="1482"/>
        <v>270000</v>
      </c>
      <c r="H2836" s="690" t="s">
        <v>1431</v>
      </c>
      <c r="I2836" s="71" t="s">
        <v>1431</v>
      </c>
      <c r="J2836" s="53">
        <f t="shared" si="1485"/>
        <v>70000</v>
      </c>
      <c r="K2836" s="63">
        <f>(J2836/(F2836/11*10))</f>
        <v>0.25925925925925924</v>
      </c>
      <c r="L2836" s="871" t="s">
        <v>2305</v>
      </c>
      <c r="M2836" s="468"/>
      <c r="N2836" s="664">
        <f t="shared" si="1476"/>
        <v>200206</v>
      </c>
      <c r="O2836" s="71" t="s">
        <v>1431</v>
      </c>
      <c r="P2836" s="103" t="str">
        <f t="shared" si="1479"/>
        <v xml:space="preserve">에어 실린더 </v>
      </c>
      <c r="Q2836" s="71">
        <f t="shared" si="1480"/>
        <v>1</v>
      </c>
      <c r="R2836" s="102">
        <v>200000</v>
      </c>
      <c r="S2836" s="102">
        <f t="shared" si="1477"/>
        <v>220000.00000000003</v>
      </c>
      <c r="T2836" s="102">
        <f t="shared" si="1478"/>
        <v>200000</v>
      </c>
      <c r="U2836" s="71"/>
      <c r="V2836" s="71"/>
      <c r="W2836" s="474"/>
      <c r="X2836" s="71"/>
      <c r="Y2836" s="71"/>
    </row>
    <row r="2837" spans="1:25" ht="30" hidden="1" customHeight="1" x14ac:dyDescent="0.2">
      <c r="A2837" s="82">
        <v>200206</v>
      </c>
      <c r="B2837" s="664" t="s">
        <v>631</v>
      </c>
      <c r="C2837" s="71" t="s">
        <v>201</v>
      </c>
      <c r="D2837" s="71">
        <v>10</v>
      </c>
      <c r="E2837" s="102">
        <v>75000</v>
      </c>
      <c r="F2837" s="163">
        <f t="shared" si="1481"/>
        <v>825000.00000000012</v>
      </c>
      <c r="G2837" s="102">
        <f t="shared" si="1482"/>
        <v>750000</v>
      </c>
      <c r="H2837" s="690" t="s">
        <v>173</v>
      </c>
      <c r="I2837" s="71" t="s">
        <v>109</v>
      </c>
      <c r="J2837" s="53">
        <f t="shared" si="1485"/>
        <v>200000</v>
      </c>
      <c r="K2837" s="63">
        <f>(J2837/(F2837/11*10))</f>
        <v>0.26666666666666661</v>
      </c>
      <c r="L2837" s="871" t="s">
        <v>2305</v>
      </c>
      <c r="M2837" s="468"/>
      <c r="N2837" s="664">
        <f t="shared" si="1476"/>
        <v>200206</v>
      </c>
      <c r="O2837" s="71" t="s">
        <v>149</v>
      </c>
      <c r="P2837" s="103" t="str">
        <f t="shared" si="1479"/>
        <v>Bar블랑켓 730*710</v>
      </c>
      <c r="Q2837" s="71">
        <f t="shared" si="1480"/>
        <v>10</v>
      </c>
      <c r="R2837" s="102">
        <v>55000</v>
      </c>
      <c r="S2837" s="102">
        <f t="shared" si="1477"/>
        <v>605000</v>
      </c>
      <c r="T2837" s="102">
        <f t="shared" si="1478"/>
        <v>550000</v>
      </c>
      <c r="U2837" s="71" t="str">
        <f>IF(J2837=W2837,"O", "X")</f>
        <v>O</v>
      </c>
      <c r="V2837" s="71"/>
      <c r="W2837" s="474">
        <f>(G2837-T2837)</f>
        <v>200000</v>
      </c>
      <c r="X2837" s="71"/>
      <c r="Y2837" s="71"/>
    </row>
    <row r="2838" spans="1:25" ht="30" hidden="1" customHeight="1" x14ac:dyDescent="0.25">
      <c r="A2838" s="82">
        <v>200211</v>
      </c>
      <c r="B2838" s="664" t="s">
        <v>690</v>
      </c>
      <c r="C2838" s="71" t="s">
        <v>1186</v>
      </c>
      <c r="D2838" s="71">
        <v>500</v>
      </c>
      <c r="E2838" s="102">
        <v>3420</v>
      </c>
      <c r="F2838" s="1128">
        <f t="shared" si="1481"/>
        <v>1881000.0000000002</v>
      </c>
      <c r="G2838" s="102">
        <f t="shared" si="1482"/>
        <v>1710000</v>
      </c>
      <c r="H2838" s="690" t="s">
        <v>173</v>
      </c>
      <c r="I2838" s="71" t="s">
        <v>2230</v>
      </c>
      <c r="J2838" s="53">
        <f t="shared" si="1485"/>
        <v>-190000</v>
      </c>
      <c r="K2838" s="63">
        <f t="shared" ref="K2838:K2843" si="1486">(J2838/(F2838/11*10))</f>
        <v>-0.11111111111111109</v>
      </c>
      <c r="L2838" s="871" t="s">
        <v>2275</v>
      </c>
      <c r="M2838" s="468" t="s">
        <v>1393</v>
      </c>
      <c r="N2838" s="664">
        <f t="shared" si="1476"/>
        <v>200211</v>
      </c>
      <c r="O2838" s="71" t="s">
        <v>145</v>
      </c>
      <c r="P2838" s="103" t="str">
        <f t="shared" si="1479"/>
        <v>CTP 판(1030*790mm)</v>
      </c>
      <c r="Q2838" s="71">
        <f t="shared" si="1480"/>
        <v>500</v>
      </c>
      <c r="R2838" s="102">
        <v>3800</v>
      </c>
      <c r="S2838" s="102">
        <f t="shared" si="1477"/>
        <v>2090000.0000000002</v>
      </c>
      <c r="T2838" s="102">
        <f t="shared" si="1478"/>
        <v>1900000</v>
      </c>
      <c r="U2838" s="71" t="s">
        <v>859</v>
      </c>
      <c r="V2838" s="71"/>
      <c r="W2838" s="474">
        <v>-200000</v>
      </c>
      <c r="X2838" s="71"/>
      <c r="Y2838" s="71"/>
    </row>
    <row r="2839" spans="1:25" ht="30" hidden="1" customHeight="1" x14ac:dyDescent="0.25">
      <c r="A2839" s="82">
        <v>200211</v>
      </c>
      <c r="B2839" s="664" t="s">
        <v>690</v>
      </c>
      <c r="C2839" s="71" t="s">
        <v>197</v>
      </c>
      <c r="D2839" s="71">
        <v>4</v>
      </c>
      <c r="E2839" s="102">
        <v>46000</v>
      </c>
      <c r="F2839" s="1128">
        <f t="shared" si="1481"/>
        <v>202400.00000000003</v>
      </c>
      <c r="G2839" s="102">
        <f t="shared" si="1482"/>
        <v>184000</v>
      </c>
      <c r="H2839" s="690" t="s">
        <v>173</v>
      </c>
      <c r="I2839" s="71" t="s">
        <v>2230</v>
      </c>
      <c r="J2839" s="53">
        <f t="shared" si="1485"/>
        <v>44000</v>
      </c>
      <c r="K2839" s="63">
        <f t="shared" si="1486"/>
        <v>0.23913043478260865</v>
      </c>
      <c r="L2839" s="871" t="s">
        <v>2275</v>
      </c>
      <c r="M2839" s="468" t="s">
        <v>1394</v>
      </c>
      <c r="N2839" s="664">
        <f t="shared" si="1476"/>
        <v>200211</v>
      </c>
      <c r="O2839" s="71" t="s">
        <v>145</v>
      </c>
      <c r="P2839" s="103" t="str">
        <f t="shared" si="1479"/>
        <v>THR200(20L)</v>
      </c>
      <c r="Q2839" s="71">
        <f t="shared" si="1480"/>
        <v>4</v>
      </c>
      <c r="R2839" s="102">
        <v>35000</v>
      </c>
      <c r="S2839" s="102">
        <f t="shared" si="1477"/>
        <v>154000</v>
      </c>
      <c r="T2839" s="102">
        <f t="shared" si="1478"/>
        <v>140000</v>
      </c>
      <c r="U2839" s="71" t="str">
        <f>IF(J2839=W2839,"O", "X")</f>
        <v>X</v>
      </c>
      <c r="V2839" s="71"/>
      <c r="W2839" s="474"/>
      <c r="X2839" s="71"/>
      <c r="Y2839" s="71"/>
    </row>
    <row r="2840" spans="1:25" ht="30" hidden="1" customHeight="1" x14ac:dyDescent="0.25">
      <c r="A2840" s="82">
        <v>200211</v>
      </c>
      <c r="B2840" s="664" t="s">
        <v>442</v>
      </c>
      <c r="C2840" s="71" t="s">
        <v>206</v>
      </c>
      <c r="D2840" s="71">
        <v>2</v>
      </c>
      <c r="E2840" s="102">
        <v>327000</v>
      </c>
      <c r="F2840" s="102">
        <f t="shared" si="1481"/>
        <v>719400</v>
      </c>
      <c r="G2840" s="102">
        <f t="shared" si="1482"/>
        <v>654000</v>
      </c>
      <c r="H2840" s="690" t="s">
        <v>2029</v>
      </c>
      <c r="I2840" s="71" t="s">
        <v>195</v>
      </c>
      <c r="J2840" s="53">
        <f t="shared" si="1485"/>
        <v>115800</v>
      </c>
      <c r="K2840" s="63">
        <f t="shared" si="1486"/>
        <v>0.17706422018348625</v>
      </c>
      <c r="L2840" s="871" t="s">
        <v>2275</v>
      </c>
      <c r="M2840" s="468"/>
      <c r="N2840" s="664">
        <f t="shared" si="1476"/>
        <v>200211</v>
      </c>
      <c r="O2840" s="71" t="s">
        <v>194</v>
      </c>
      <c r="P2840" s="103" t="str">
        <f t="shared" si="1479"/>
        <v>Agfa Film(24inch)</v>
      </c>
      <c r="Q2840" s="71">
        <f t="shared" si="1480"/>
        <v>2</v>
      </c>
      <c r="R2840" s="102">
        <v>269100</v>
      </c>
      <c r="S2840" s="102">
        <f t="shared" si="1477"/>
        <v>592020</v>
      </c>
      <c r="T2840" s="102">
        <f t="shared" si="1478"/>
        <v>538200</v>
      </c>
      <c r="U2840" s="71" t="str">
        <f>IF(J2840=W2840,"O", "X")</f>
        <v>O</v>
      </c>
      <c r="V2840" s="71"/>
      <c r="W2840" s="474">
        <f>(G2840-T2840)</f>
        <v>115800</v>
      </c>
      <c r="X2840" s="71"/>
      <c r="Y2840" s="71"/>
    </row>
    <row r="2841" spans="1:25" ht="30" hidden="1" customHeight="1" x14ac:dyDescent="0.25">
      <c r="A2841" s="82">
        <v>200211</v>
      </c>
      <c r="B2841" s="664" t="s">
        <v>442</v>
      </c>
      <c r="C2841" s="71" t="s">
        <v>207</v>
      </c>
      <c r="D2841" s="71">
        <v>2</v>
      </c>
      <c r="E2841" s="102">
        <v>401000</v>
      </c>
      <c r="F2841" s="102">
        <f t="shared" si="1481"/>
        <v>882200.00000000012</v>
      </c>
      <c r="G2841" s="102">
        <f t="shared" si="1482"/>
        <v>802000</v>
      </c>
      <c r="H2841" s="690" t="s">
        <v>2029</v>
      </c>
      <c r="I2841" s="71" t="s">
        <v>195</v>
      </c>
      <c r="J2841" s="53">
        <f t="shared" si="1485"/>
        <v>174080</v>
      </c>
      <c r="K2841" s="63">
        <f t="shared" si="1486"/>
        <v>0.21705735660847877</v>
      </c>
      <c r="L2841" s="871" t="s">
        <v>2275</v>
      </c>
      <c r="M2841" s="468"/>
      <c r="N2841" s="664">
        <f t="shared" si="1476"/>
        <v>200211</v>
      </c>
      <c r="O2841" s="71" t="s">
        <v>194</v>
      </c>
      <c r="P2841" s="103" t="str">
        <f t="shared" si="1479"/>
        <v>Agfa Film(28inch)</v>
      </c>
      <c r="Q2841" s="71">
        <f t="shared" si="1480"/>
        <v>2</v>
      </c>
      <c r="R2841" s="102">
        <f>VLOOKUP(P2841,[5]Price!B$1:D$65536,3,FALSE)</f>
        <v>313960</v>
      </c>
      <c r="S2841" s="102">
        <f t="shared" si="1477"/>
        <v>690712</v>
      </c>
      <c r="T2841" s="102">
        <f t="shared" si="1478"/>
        <v>627920</v>
      </c>
      <c r="U2841" s="71" t="str">
        <f>IF(J2841=W2841,"O", "X")</f>
        <v>O</v>
      </c>
      <c r="V2841" s="71"/>
      <c r="W2841" s="474">
        <f>(G2841-T2841)</f>
        <v>174080</v>
      </c>
      <c r="X2841" s="71"/>
      <c r="Y2841" s="71"/>
    </row>
    <row r="2842" spans="1:25" ht="30" hidden="1" customHeight="1" x14ac:dyDescent="0.25">
      <c r="A2842" s="82">
        <v>200211</v>
      </c>
      <c r="B2842" s="664" t="s">
        <v>442</v>
      </c>
      <c r="C2842" s="71" t="s">
        <v>208</v>
      </c>
      <c r="D2842" s="71">
        <v>2</v>
      </c>
      <c r="E2842" s="102">
        <v>448000</v>
      </c>
      <c r="F2842" s="102">
        <f t="shared" si="1481"/>
        <v>985600.00000000012</v>
      </c>
      <c r="G2842" s="102">
        <f t="shared" si="1482"/>
        <v>896000</v>
      </c>
      <c r="H2842" s="690" t="s">
        <v>2029</v>
      </c>
      <c r="I2842" s="71" t="s">
        <v>195</v>
      </c>
      <c r="J2842" s="53">
        <f t="shared" si="1485"/>
        <v>155980</v>
      </c>
      <c r="K2842" s="63">
        <f t="shared" si="1486"/>
        <v>0.1740848214285714</v>
      </c>
      <c r="L2842" s="871" t="s">
        <v>2275</v>
      </c>
      <c r="M2842" s="468"/>
      <c r="N2842" s="664">
        <f t="shared" si="1476"/>
        <v>200211</v>
      </c>
      <c r="O2842" s="71" t="s">
        <v>194</v>
      </c>
      <c r="P2842" s="103" t="str">
        <f t="shared" si="1479"/>
        <v>Agfa Film(32inch)</v>
      </c>
      <c r="Q2842" s="71">
        <f t="shared" si="1480"/>
        <v>2</v>
      </c>
      <c r="R2842" s="102">
        <f>VLOOKUP(P2842,[5]Price!B$1:D$65536,3,FALSE)</f>
        <v>370010</v>
      </c>
      <c r="S2842" s="102">
        <f t="shared" si="1477"/>
        <v>814022.00000000012</v>
      </c>
      <c r="T2842" s="102">
        <f t="shared" si="1478"/>
        <v>740020</v>
      </c>
      <c r="U2842" s="71" t="str">
        <f>IF(J2842=W2842,"O", "X")</f>
        <v>O</v>
      </c>
      <c r="V2842" s="71"/>
      <c r="W2842" s="474">
        <f>(G2842-T2842)</f>
        <v>155980</v>
      </c>
      <c r="X2842" s="71"/>
      <c r="Y2842" s="71"/>
    </row>
    <row r="2843" spans="1:25" ht="30" hidden="1" customHeight="1" x14ac:dyDescent="0.2">
      <c r="A2843" s="82">
        <v>200211</v>
      </c>
      <c r="B2843" s="664" t="s">
        <v>442</v>
      </c>
      <c r="C2843" s="71" t="s">
        <v>650</v>
      </c>
      <c r="D2843" s="71">
        <v>1</v>
      </c>
      <c r="E2843" s="102">
        <v>93000</v>
      </c>
      <c r="F2843" s="163">
        <f t="shared" si="1481"/>
        <v>102300.00000000001</v>
      </c>
      <c r="G2843" s="163">
        <f t="shared" si="1482"/>
        <v>93000</v>
      </c>
      <c r="H2843" s="165" t="s">
        <v>172</v>
      </c>
      <c r="I2843" s="71" t="s">
        <v>141</v>
      </c>
      <c r="J2843" s="53">
        <f>(G2843-(VLOOKUP(C2843,Price!B:D,3,FALSE)*D2843))</f>
        <v>33000</v>
      </c>
      <c r="K2843" s="63">
        <f t="shared" si="1486"/>
        <v>0.35483870967741932</v>
      </c>
      <c r="L2843" s="871" t="s">
        <v>2275</v>
      </c>
      <c r="M2843" s="468"/>
      <c r="N2843" s="664">
        <f t="shared" si="1476"/>
        <v>200211</v>
      </c>
      <c r="O2843" s="71" t="s">
        <v>145</v>
      </c>
      <c r="P2843" s="103" t="str">
        <f t="shared" si="1479"/>
        <v>Agfa 정착액 G333C(20L)</v>
      </c>
      <c r="Q2843" s="71">
        <f t="shared" si="1480"/>
        <v>1</v>
      </c>
      <c r="R2843" s="102">
        <f>VLOOKUP(P2843,Price!B:D,3,FALSE)</f>
        <v>60000</v>
      </c>
      <c r="S2843" s="102">
        <f t="shared" si="1477"/>
        <v>66000</v>
      </c>
      <c r="T2843" s="102">
        <f t="shared" si="1478"/>
        <v>60000</v>
      </c>
      <c r="U2843" s="71" t="str">
        <f>IF(J2843=W2843,"O", "X")</f>
        <v>O</v>
      </c>
      <c r="V2843" s="71"/>
      <c r="W2843" s="474">
        <f>(G2843-T2843)</f>
        <v>33000</v>
      </c>
      <c r="X2843" s="71"/>
      <c r="Y2843" s="71"/>
    </row>
    <row r="2844" spans="1:25" s="209" customFormat="1" ht="30" hidden="1" customHeight="1" x14ac:dyDescent="0.2">
      <c r="A2844" s="82">
        <v>200211</v>
      </c>
      <c r="B2844" s="664" t="s">
        <v>764</v>
      </c>
      <c r="C2844" s="71" t="s">
        <v>236</v>
      </c>
      <c r="D2844" s="71">
        <v>10</v>
      </c>
      <c r="E2844" s="102">
        <v>100000</v>
      </c>
      <c r="F2844" s="163">
        <f t="shared" si="1481"/>
        <v>1100000</v>
      </c>
      <c r="G2844" s="102">
        <f t="shared" si="1482"/>
        <v>1000000</v>
      </c>
      <c r="H2844" s="690" t="s">
        <v>173</v>
      </c>
      <c r="I2844" s="71" t="s">
        <v>2231</v>
      </c>
      <c r="J2844" s="53">
        <f>G2844-T2844</f>
        <v>500000</v>
      </c>
      <c r="K2844" s="63">
        <f t="shared" ref="K2844:K2856" si="1487">(J2844/(F2844/11*10))</f>
        <v>0.5</v>
      </c>
      <c r="L2844" s="871" t="s">
        <v>2305</v>
      </c>
      <c r="M2844" s="468"/>
      <c r="N2844" s="664">
        <f t="shared" si="1476"/>
        <v>200211</v>
      </c>
      <c r="O2844" s="71" t="s">
        <v>153</v>
      </c>
      <c r="P2844" s="103" t="str">
        <f t="shared" si="1479"/>
        <v>아스테이지(국전)</v>
      </c>
      <c r="Q2844" s="71">
        <f t="shared" si="1480"/>
        <v>10</v>
      </c>
      <c r="R2844" s="102">
        <v>50000</v>
      </c>
      <c r="S2844" s="102">
        <f t="shared" si="1477"/>
        <v>550000</v>
      </c>
      <c r="T2844" s="102">
        <f t="shared" si="1478"/>
        <v>500000</v>
      </c>
      <c r="U2844" s="71" t="s">
        <v>859</v>
      </c>
      <c r="V2844" s="71"/>
      <c r="W2844" s="474">
        <v>500000</v>
      </c>
      <c r="X2844" s="71"/>
      <c r="Y2844" s="71"/>
    </row>
    <row r="2845" spans="1:25" ht="30" hidden="1" customHeight="1" x14ac:dyDescent="0.2">
      <c r="A2845" s="82">
        <v>200211</v>
      </c>
      <c r="B2845" s="664" t="s">
        <v>549</v>
      </c>
      <c r="C2845" s="71" t="s">
        <v>119</v>
      </c>
      <c r="D2845" s="71">
        <v>15</v>
      </c>
      <c r="E2845" s="102">
        <v>115000</v>
      </c>
      <c r="F2845" s="163">
        <f t="shared" si="1481"/>
        <v>1897500.0000000002</v>
      </c>
      <c r="G2845" s="102">
        <f t="shared" si="1482"/>
        <v>1725000</v>
      </c>
      <c r="H2845" s="690" t="s">
        <v>173</v>
      </c>
      <c r="I2845" s="71" t="s">
        <v>109</v>
      </c>
      <c r="J2845" s="53">
        <f>(G2845-(VLOOKUP(C2845,Price!B:D,3,FALSE)*D2845))</f>
        <v>394500</v>
      </c>
      <c r="K2845" s="63">
        <f t="shared" si="1487"/>
        <v>0.22869565217391302</v>
      </c>
      <c r="L2845" s="871" t="s">
        <v>2305</v>
      </c>
      <c r="M2845" s="468"/>
      <c r="N2845" s="664">
        <f t="shared" si="1476"/>
        <v>200211</v>
      </c>
      <c r="O2845" s="71" t="s">
        <v>150</v>
      </c>
      <c r="P2845" s="103" t="str">
        <f t="shared" si="1479"/>
        <v>미쯔비시 Blanket(1035*910)</v>
      </c>
      <c r="Q2845" s="71">
        <f t="shared" si="1480"/>
        <v>15</v>
      </c>
      <c r="R2845" s="102">
        <v>88700</v>
      </c>
      <c r="S2845" s="102">
        <f t="shared" si="1477"/>
        <v>1463550.0000000002</v>
      </c>
      <c r="T2845" s="102">
        <f t="shared" si="1478"/>
        <v>1330500</v>
      </c>
      <c r="U2845" s="71" t="str">
        <f>IF(J2845=W2845,"O", "X")</f>
        <v>O</v>
      </c>
      <c r="V2845" s="71"/>
      <c r="W2845" s="474">
        <f>(G2845-T2845)</f>
        <v>394500</v>
      </c>
      <c r="X2845" s="71"/>
      <c r="Y2845" s="71"/>
    </row>
    <row r="2846" spans="1:25" ht="30" hidden="1" customHeight="1" x14ac:dyDescent="0.2">
      <c r="A2846" s="82">
        <v>200211</v>
      </c>
      <c r="B2846" s="664" t="s">
        <v>1513</v>
      </c>
      <c r="C2846" s="71" t="s">
        <v>1514</v>
      </c>
      <c r="D2846" s="71">
        <v>1</v>
      </c>
      <c r="E2846" s="102">
        <v>650000</v>
      </c>
      <c r="F2846" s="163">
        <f t="shared" si="1481"/>
        <v>715000</v>
      </c>
      <c r="G2846" s="102">
        <f t="shared" si="1482"/>
        <v>650000</v>
      </c>
      <c r="H2846" s="690" t="s">
        <v>173</v>
      </c>
      <c r="I2846" s="71" t="s">
        <v>2184</v>
      </c>
      <c r="J2846" s="53">
        <f t="shared" ref="J2846:J2858" si="1488">G2846-T2846</f>
        <v>0</v>
      </c>
      <c r="K2846" s="63">
        <f t="shared" si="1487"/>
        <v>0</v>
      </c>
      <c r="L2846" s="871" t="s">
        <v>2305</v>
      </c>
      <c r="M2846" s="468" t="s">
        <v>2339</v>
      </c>
      <c r="N2846" s="664">
        <f t="shared" si="1476"/>
        <v>200211</v>
      </c>
      <c r="O2846" s="71" t="s">
        <v>1458</v>
      </c>
      <c r="P2846" s="103" t="str">
        <f t="shared" si="1479"/>
        <v>UV Lamp-BF572</v>
      </c>
      <c r="Q2846" s="71">
        <f t="shared" si="1480"/>
        <v>1</v>
      </c>
      <c r="R2846" s="102">
        <v>650000</v>
      </c>
      <c r="S2846" s="102">
        <f t="shared" si="1477"/>
        <v>715000</v>
      </c>
      <c r="T2846" s="102">
        <f t="shared" si="1478"/>
        <v>650000</v>
      </c>
      <c r="U2846" s="71">
        <v>0</v>
      </c>
      <c r="V2846" s="71"/>
      <c r="W2846" s="474"/>
      <c r="X2846" s="71"/>
      <c r="Y2846" s="71"/>
    </row>
    <row r="2847" spans="1:25" ht="30" hidden="1" customHeight="1" x14ac:dyDescent="0.2">
      <c r="A2847" s="82">
        <v>200211</v>
      </c>
      <c r="B2847" s="664" t="s">
        <v>1513</v>
      </c>
      <c r="C2847" s="71" t="s">
        <v>2202</v>
      </c>
      <c r="D2847" s="71">
        <v>1</v>
      </c>
      <c r="E2847" s="102">
        <v>650000</v>
      </c>
      <c r="F2847" s="163">
        <f t="shared" si="1481"/>
        <v>715000</v>
      </c>
      <c r="G2847" s="102">
        <f t="shared" si="1482"/>
        <v>650000</v>
      </c>
      <c r="H2847" s="690" t="s">
        <v>173</v>
      </c>
      <c r="I2847" s="71" t="s">
        <v>2184</v>
      </c>
      <c r="J2847" s="53">
        <f t="shared" si="1488"/>
        <v>0</v>
      </c>
      <c r="K2847" s="63">
        <f t="shared" si="1487"/>
        <v>0</v>
      </c>
      <c r="L2847" s="871" t="s">
        <v>2305</v>
      </c>
      <c r="M2847" s="468"/>
      <c r="N2847" s="664">
        <f t="shared" si="1476"/>
        <v>200211</v>
      </c>
      <c r="O2847" s="71" t="s">
        <v>1458</v>
      </c>
      <c r="P2847" s="103" t="str">
        <f t="shared" si="1479"/>
        <v>UV Lamp-BF576</v>
      </c>
      <c r="Q2847" s="71">
        <f t="shared" si="1480"/>
        <v>1</v>
      </c>
      <c r="R2847" s="102">
        <v>650000</v>
      </c>
      <c r="S2847" s="102">
        <f t="shared" si="1477"/>
        <v>715000</v>
      </c>
      <c r="T2847" s="102">
        <f t="shared" si="1478"/>
        <v>650000</v>
      </c>
      <c r="U2847" s="71"/>
      <c r="V2847" s="71"/>
      <c r="W2847" s="474"/>
      <c r="X2847" s="71"/>
      <c r="Y2847" s="71"/>
    </row>
    <row r="2848" spans="1:25" ht="30" hidden="1" customHeight="1" x14ac:dyDescent="0.2">
      <c r="A2848" s="82">
        <v>200211</v>
      </c>
      <c r="B2848" s="664" t="s">
        <v>1178</v>
      </c>
      <c r="C2848" s="71" t="s">
        <v>2308</v>
      </c>
      <c r="D2848" s="71">
        <v>500</v>
      </c>
      <c r="E2848" s="102">
        <v>3930</v>
      </c>
      <c r="F2848" s="163">
        <f t="shared" si="1481"/>
        <v>2161500</v>
      </c>
      <c r="G2848" s="102">
        <f t="shared" si="1482"/>
        <v>1965000</v>
      </c>
      <c r="H2848" s="690" t="s">
        <v>142</v>
      </c>
      <c r="I2848" s="71" t="s">
        <v>142</v>
      </c>
      <c r="J2848" s="53">
        <f t="shared" si="1488"/>
        <v>545000</v>
      </c>
      <c r="K2848" s="63">
        <f t="shared" si="1487"/>
        <v>0.27735368956743001</v>
      </c>
      <c r="L2848" s="871" t="s">
        <v>2305</v>
      </c>
      <c r="M2848" s="468"/>
      <c r="N2848" s="664">
        <f t="shared" si="1476"/>
        <v>200211</v>
      </c>
      <c r="O2848" s="71" t="s">
        <v>145</v>
      </c>
      <c r="P2848" s="103" t="str">
        <f t="shared" si="1479"/>
        <v>Engage 850*680</v>
      </c>
      <c r="Q2848" s="71">
        <f t="shared" si="1480"/>
        <v>500</v>
      </c>
      <c r="R2848" s="102">
        <v>2840</v>
      </c>
      <c r="S2848" s="102">
        <f t="shared" si="1477"/>
        <v>1562000.0000000002</v>
      </c>
      <c r="T2848" s="102">
        <f t="shared" si="1478"/>
        <v>1420000</v>
      </c>
      <c r="U2848" s="71"/>
      <c r="V2848" s="71"/>
      <c r="W2848" s="474"/>
      <c r="X2848" s="71"/>
      <c r="Y2848" s="71"/>
    </row>
    <row r="2849" spans="1:25" ht="30" hidden="1" customHeight="1" x14ac:dyDescent="0.2">
      <c r="A2849" s="82">
        <v>200211</v>
      </c>
      <c r="B2849" s="664" t="s">
        <v>1178</v>
      </c>
      <c r="C2849" s="71" t="s">
        <v>1852</v>
      </c>
      <c r="D2849" s="71">
        <v>15</v>
      </c>
      <c r="E2849" s="102">
        <v>58000</v>
      </c>
      <c r="F2849" s="163">
        <f t="shared" si="1481"/>
        <v>957000.00000000012</v>
      </c>
      <c r="G2849" s="102">
        <f t="shared" si="1482"/>
        <v>870000</v>
      </c>
      <c r="H2849" s="690" t="s">
        <v>142</v>
      </c>
      <c r="I2849" s="71" t="s">
        <v>142</v>
      </c>
      <c r="J2849" s="53">
        <f t="shared" si="1488"/>
        <v>345000</v>
      </c>
      <c r="K2849" s="63">
        <f t="shared" si="1487"/>
        <v>0.39655172413793099</v>
      </c>
      <c r="L2849" s="871" t="s">
        <v>2305</v>
      </c>
      <c r="M2849" s="468"/>
      <c r="N2849" s="664">
        <f t="shared" si="1476"/>
        <v>200211</v>
      </c>
      <c r="O2849" s="71" t="s">
        <v>145</v>
      </c>
      <c r="P2849" s="103" t="str">
        <f t="shared" si="1479"/>
        <v>CTP 보충액</v>
      </c>
      <c r="Q2849" s="71">
        <f t="shared" si="1480"/>
        <v>15</v>
      </c>
      <c r="R2849" s="102">
        <v>35000</v>
      </c>
      <c r="S2849" s="102">
        <f t="shared" si="1477"/>
        <v>577500</v>
      </c>
      <c r="T2849" s="102">
        <f t="shared" si="1478"/>
        <v>525000</v>
      </c>
      <c r="U2849" s="71"/>
      <c r="V2849" s="71"/>
      <c r="W2849" s="474"/>
      <c r="X2849" s="71"/>
      <c r="Y2849" s="71"/>
    </row>
    <row r="2850" spans="1:25" ht="30" customHeight="1" x14ac:dyDescent="0.2">
      <c r="A2850" s="82">
        <v>200213</v>
      </c>
      <c r="B2850" s="664" t="s">
        <v>2352</v>
      </c>
      <c r="C2850" s="71" t="s">
        <v>2321</v>
      </c>
      <c r="D2850" s="71">
        <v>1</v>
      </c>
      <c r="E2850" s="102">
        <v>800000</v>
      </c>
      <c r="F2850" s="163">
        <f t="shared" si="1481"/>
        <v>880000.00000000012</v>
      </c>
      <c r="G2850" s="102">
        <f t="shared" si="1482"/>
        <v>800000</v>
      </c>
      <c r="H2850" s="690" t="s">
        <v>1431</v>
      </c>
      <c r="I2850" s="71" t="s">
        <v>1431</v>
      </c>
      <c r="J2850" s="53">
        <f t="shared" si="1488"/>
        <v>356985</v>
      </c>
      <c r="K2850" s="63">
        <f t="shared" si="1487"/>
        <v>0.44623124999999991</v>
      </c>
      <c r="L2850" s="871" t="s">
        <v>2305</v>
      </c>
      <c r="M2850" s="468"/>
      <c r="N2850" s="664">
        <f t="shared" si="1476"/>
        <v>200213</v>
      </c>
      <c r="O2850" s="71" t="s">
        <v>1431</v>
      </c>
      <c r="P2850" s="103" t="str">
        <f t="shared" si="1479"/>
        <v>M600용 아스테이지(잉크집 호일)</v>
      </c>
      <c r="Q2850" s="71">
        <f t="shared" si="1480"/>
        <v>1</v>
      </c>
      <c r="R2850" s="102">
        <v>443015</v>
      </c>
      <c r="S2850" s="102">
        <f t="shared" si="1477"/>
        <v>487316.50000000006</v>
      </c>
      <c r="T2850" s="102">
        <f t="shared" si="1478"/>
        <v>443015</v>
      </c>
      <c r="U2850" s="71"/>
      <c r="V2850" s="71"/>
      <c r="W2850" s="474"/>
      <c r="X2850" s="71"/>
      <c r="Y2850" s="71"/>
    </row>
    <row r="2851" spans="1:25" ht="30" hidden="1" customHeight="1" x14ac:dyDescent="0.2">
      <c r="A2851" s="82">
        <v>200213</v>
      </c>
      <c r="B2851" s="664" t="s">
        <v>545</v>
      </c>
      <c r="C2851" s="71" t="s">
        <v>227</v>
      </c>
      <c r="D2851" s="71">
        <v>10</v>
      </c>
      <c r="E2851" s="102">
        <v>110000</v>
      </c>
      <c r="F2851" s="163">
        <f t="shared" si="1481"/>
        <v>1210000</v>
      </c>
      <c r="G2851" s="102">
        <f t="shared" si="1482"/>
        <v>1100000</v>
      </c>
      <c r="H2851" s="690" t="s">
        <v>173</v>
      </c>
      <c r="I2851" s="71" t="s">
        <v>109</v>
      </c>
      <c r="J2851" s="53">
        <f t="shared" si="1488"/>
        <v>271000</v>
      </c>
      <c r="K2851" s="63">
        <f t="shared" si="1487"/>
        <v>0.24636363636363637</v>
      </c>
      <c r="L2851" s="871" t="s">
        <v>2305</v>
      </c>
      <c r="M2851" s="468"/>
      <c r="N2851" s="664">
        <f t="shared" si="1476"/>
        <v>200213</v>
      </c>
      <c r="O2851" s="71" t="s">
        <v>147</v>
      </c>
      <c r="P2851" s="103" t="str">
        <f t="shared" si="1479"/>
        <v>Blanket(1060*860)</v>
      </c>
      <c r="Q2851" s="71">
        <f t="shared" si="1480"/>
        <v>10</v>
      </c>
      <c r="R2851" s="102">
        <v>82900</v>
      </c>
      <c r="S2851" s="102">
        <f t="shared" ref="S2851:S2882" si="1489">R2851*Q2851*1.1</f>
        <v>911900.00000000012</v>
      </c>
      <c r="T2851" s="102">
        <f t="shared" ref="T2851:T2882" si="1490">R2851*Q2851</f>
        <v>829000</v>
      </c>
      <c r="U2851" s="71" t="str">
        <f>IF(J2851=W2851,"O", "X")</f>
        <v>O</v>
      </c>
      <c r="V2851" s="71"/>
      <c r="W2851" s="474">
        <f>(G2851-T2851)</f>
        <v>271000</v>
      </c>
      <c r="X2851" s="71"/>
      <c r="Y2851" s="71"/>
    </row>
    <row r="2852" spans="1:25" ht="30" hidden="1" customHeight="1" x14ac:dyDescent="0.2">
      <c r="A2852" s="82">
        <v>200217</v>
      </c>
      <c r="B2852" s="664" t="s">
        <v>2155</v>
      </c>
      <c r="C2852" s="71" t="s">
        <v>2306</v>
      </c>
      <c r="D2852" s="71">
        <v>2</v>
      </c>
      <c r="E2852" s="102">
        <v>99000</v>
      </c>
      <c r="F2852" s="163">
        <f t="shared" si="1481"/>
        <v>217800.00000000003</v>
      </c>
      <c r="G2852" s="102">
        <f t="shared" si="1482"/>
        <v>198000</v>
      </c>
      <c r="H2852" s="690" t="s">
        <v>2029</v>
      </c>
      <c r="I2852" s="71" t="s">
        <v>2231</v>
      </c>
      <c r="J2852" s="53">
        <f t="shared" si="1488"/>
        <v>98000</v>
      </c>
      <c r="K2852" s="63">
        <f t="shared" si="1487"/>
        <v>0.49494949494949486</v>
      </c>
      <c r="L2852" s="871" t="s">
        <v>2305</v>
      </c>
      <c r="M2852" s="468"/>
      <c r="N2852" s="664">
        <f t="shared" si="1476"/>
        <v>200217</v>
      </c>
      <c r="O2852" s="71" t="s">
        <v>153</v>
      </c>
      <c r="P2852" s="103" t="str">
        <f t="shared" si="1479"/>
        <v>국전 매엽용 아스테이지</v>
      </c>
      <c r="Q2852" s="71">
        <f t="shared" si="1480"/>
        <v>2</v>
      </c>
      <c r="R2852" s="102">
        <v>50000</v>
      </c>
      <c r="S2852" s="102">
        <f t="shared" si="1489"/>
        <v>110000.00000000001</v>
      </c>
      <c r="T2852" s="102">
        <f t="shared" si="1490"/>
        <v>100000</v>
      </c>
      <c r="U2852" s="71" t="str">
        <f>IF(J2852=W2852,"O", "X")</f>
        <v>X</v>
      </c>
      <c r="V2852" s="71"/>
      <c r="W2852" s="474"/>
      <c r="X2852" s="71"/>
      <c r="Y2852" s="71"/>
    </row>
    <row r="2853" spans="1:25" ht="30" hidden="1" customHeight="1" x14ac:dyDescent="0.25">
      <c r="A2853" s="82">
        <v>200217</v>
      </c>
      <c r="B2853" s="664" t="s">
        <v>546</v>
      </c>
      <c r="C2853" s="71" t="s">
        <v>881</v>
      </c>
      <c r="D2853" s="71">
        <v>40</v>
      </c>
      <c r="E2853" s="102">
        <v>18000</v>
      </c>
      <c r="F2853" s="102">
        <f t="shared" si="1481"/>
        <v>792000.00000000012</v>
      </c>
      <c r="G2853" s="102">
        <f t="shared" si="1482"/>
        <v>720000</v>
      </c>
      <c r="H2853" s="690" t="s">
        <v>1431</v>
      </c>
      <c r="I2853" s="71" t="s">
        <v>1431</v>
      </c>
      <c r="J2853" s="53">
        <f t="shared" si="1488"/>
        <v>360000</v>
      </c>
      <c r="K2853" s="63">
        <f t="shared" si="1487"/>
        <v>0.49999999999999994</v>
      </c>
      <c r="L2853" s="871" t="s">
        <v>2305</v>
      </c>
      <c r="M2853" s="468"/>
      <c r="N2853" s="664">
        <f t="shared" si="1476"/>
        <v>200217</v>
      </c>
      <c r="O2853" s="71" t="s">
        <v>1431</v>
      </c>
      <c r="P2853" s="103" t="str">
        <f t="shared" si="1479"/>
        <v>스트리퍼(대)</v>
      </c>
      <c r="Q2853" s="71">
        <f t="shared" si="1480"/>
        <v>40</v>
      </c>
      <c r="R2853" s="102">
        <v>9000</v>
      </c>
      <c r="S2853" s="102">
        <f t="shared" si="1489"/>
        <v>396000.00000000006</v>
      </c>
      <c r="T2853" s="102">
        <f t="shared" si="1490"/>
        <v>360000</v>
      </c>
      <c r="U2853" s="71"/>
      <c r="V2853" s="71"/>
      <c r="W2853" s="474"/>
      <c r="X2853" s="71"/>
      <c r="Y2853" s="71"/>
    </row>
    <row r="2854" spans="1:25" ht="30" hidden="1" customHeight="1" x14ac:dyDescent="0.25">
      <c r="A2854" s="82">
        <v>200217</v>
      </c>
      <c r="B2854" s="664" t="s">
        <v>546</v>
      </c>
      <c r="C2854" s="71" t="s">
        <v>882</v>
      </c>
      <c r="D2854" s="71">
        <v>10</v>
      </c>
      <c r="E2854" s="102">
        <v>18000</v>
      </c>
      <c r="F2854" s="102">
        <f t="shared" si="1481"/>
        <v>198000.00000000003</v>
      </c>
      <c r="G2854" s="102">
        <f t="shared" si="1482"/>
        <v>180000</v>
      </c>
      <c r="H2854" s="690" t="s">
        <v>1431</v>
      </c>
      <c r="I2854" s="71" t="s">
        <v>1431</v>
      </c>
      <c r="J2854" s="53">
        <f t="shared" si="1488"/>
        <v>90000</v>
      </c>
      <c r="K2854" s="63">
        <f t="shared" si="1487"/>
        <v>0.49999999999999994</v>
      </c>
      <c r="L2854" s="871" t="s">
        <v>2305</v>
      </c>
      <c r="M2854" s="468"/>
      <c r="N2854" s="664">
        <f t="shared" si="1476"/>
        <v>200217</v>
      </c>
      <c r="O2854" s="71" t="s">
        <v>1431</v>
      </c>
      <c r="P2854" s="103" t="str">
        <f t="shared" si="1479"/>
        <v>스트리퍼(소)</v>
      </c>
      <c r="Q2854" s="71">
        <f t="shared" si="1480"/>
        <v>10</v>
      </c>
      <c r="R2854" s="102">
        <v>9000</v>
      </c>
      <c r="S2854" s="102">
        <f t="shared" si="1489"/>
        <v>99000.000000000015</v>
      </c>
      <c r="T2854" s="102">
        <f t="shared" si="1490"/>
        <v>90000</v>
      </c>
      <c r="U2854" s="71"/>
      <c r="V2854" s="71"/>
      <c r="W2854" s="474"/>
      <c r="X2854" s="71"/>
      <c r="Y2854" s="71"/>
    </row>
    <row r="2855" spans="1:25" ht="30" hidden="1" customHeight="1" x14ac:dyDescent="0.25">
      <c r="A2855" s="82">
        <v>200217</v>
      </c>
      <c r="B2855" s="664" t="s">
        <v>546</v>
      </c>
      <c r="C2855" s="71" t="s">
        <v>920</v>
      </c>
      <c r="D2855" s="71">
        <v>3</v>
      </c>
      <c r="E2855" s="102">
        <v>260000</v>
      </c>
      <c r="F2855" s="102">
        <f t="shared" si="1481"/>
        <v>858000.00000000012</v>
      </c>
      <c r="G2855" s="102">
        <f t="shared" si="1482"/>
        <v>780000</v>
      </c>
      <c r="H2855" s="690" t="s">
        <v>1431</v>
      </c>
      <c r="I2855" s="71" t="s">
        <v>1431</v>
      </c>
      <c r="J2855" s="53">
        <f t="shared" si="1488"/>
        <v>150000</v>
      </c>
      <c r="K2855" s="63">
        <f t="shared" si="1487"/>
        <v>0.19230769230769229</v>
      </c>
      <c r="L2855" s="871" t="s">
        <v>2305</v>
      </c>
      <c r="M2855" s="468"/>
      <c r="N2855" s="664">
        <f t="shared" si="1476"/>
        <v>200217</v>
      </c>
      <c r="O2855" s="71" t="s">
        <v>1431</v>
      </c>
      <c r="P2855" s="103" t="str">
        <f t="shared" si="1479"/>
        <v>에어 실린더</v>
      </c>
      <c r="Q2855" s="71">
        <f t="shared" si="1480"/>
        <v>3</v>
      </c>
      <c r="R2855" s="102">
        <v>210000</v>
      </c>
      <c r="S2855" s="102">
        <f t="shared" si="1489"/>
        <v>693000</v>
      </c>
      <c r="T2855" s="102">
        <f t="shared" si="1490"/>
        <v>630000</v>
      </c>
      <c r="U2855" s="71"/>
      <c r="V2855" s="71"/>
      <c r="W2855" s="474"/>
      <c r="X2855" s="71"/>
      <c r="Y2855" s="71"/>
    </row>
    <row r="2856" spans="1:25" ht="30" hidden="1" customHeight="1" x14ac:dyDescent="0.25">
      <c r="A2856" s="82">
        <v>200217</v>
      </c>
      <c r="B2856" s="664" t="s">
        <v>546</v>
      </c>
      <c r="C2856" s="71" t="s">
        <v>990</v>
      </c>
      <c r="D2856" s="71">
        <v>30</v>
      </c>
      <c r="E2856" s="102">
        <v>27000</v>
      </c>
      <c r="F2856" s="102">
        <f t="shared" si="1481"/>
        <v>891000.00000000012</v>
      </c>
      <c r="G2856" s="102">
        <f t="shared" si="1482"/>
        <v>810000</v>
      </c>
      <c r="H2856" s="690" t="s">
        <v>1431</v>
      </c>
      <c r="I2856" s="71" t="s">
        <v>1431</v>
      </c>
      <c r="J2856" s="53">
        <f t="shared" si="1488"/>
        <v>390000</v>
      </c>
      <c r="K2856" s="63">
        <f t="shared" si="1487"/>
        <v>0.4814814814814814</v>
      </c>
      <c r="L2856" s="871" t="s">
        <v>2305</v>
      </c>
      <c r="M2856" s="468"/>
      <c r="N2856" s="664">
        <f t="shared" si="1476"/>
        <v>200217</v>
      </c>
      <c r="O2856" s="71" t="s">
        <v>1431</v>
      </c>
      <c r="P2856" s="103" t="str">
        <f t="shared" si="1479"/>
        <v>브러쉬, 헤드 스톱</v>
      </c>
      <c r="Q2856" s="71">
        <f t="shared" si="1480"/>
        <v>30</v>
      </c>
      <c r="R2856" s="102">
        <v>14000</v>
      </c>
      <c r="S2856" s="102">
        <f t="shared" si="1489"/>
        <v>462000.00000000006</v>
      </c>
      <c r="T2856" s="102">
        <f t="shared" si="1490"/>
        <v>420000</v>
      </c>
      <c r="U2856" s="71"/>
      <c r="V2856" s="71"/>
      <c r="W2856" s="474"/>
      <c r="X2856" s="71"/>
      <c r="Y2856" s="71"/>
    </row>
    <row r="2857" spans="1:25" ht="30" hidden="1" customHeight="1" x14ac:dyDescent="0.2">
      <c r="A2857" s="82">
        <v>200218</v>
      </c>
      <c r="B2857" s="664" t="s">
        <v>2353</v>
      </c>
      <c r="C2857" s="71" t="s">
        <v>129</v>
      </c>
      <c r="D2857" s="71">
        <v>5</v>
      </c>
      <c r="E2857" s="102">
        <v>272000</v>
      </c>
      <c r="F2857" s="163">
        <f t="shared" si="1481"/>
        <v>1496000.0000000002</v>
      </c>
      <c r="G2857" s="102">
        <f t="shared" si="1482"/>
        <v>1360000</v>
      </c>
      <c r="H2857" s="690" t="s">
        <v>142</v>
      </c>
      <c r="I2857" s="71" t="s">
        <v>142</v>
      </c>
      <c r="J2857" s="53">
        <f t="shared" si="1488"/>
        <v>320000</v>
      </c>
      <c r="K2857" s="63">
        <f t="shared" ref="K2857:K2864" si="1491">(J2857/(F2857/11*10))</f>
        <v>0.23529411764705879</v>
      </c>
      <c r="L2857" s="871" t="s">
        <v>2305</v>
      </c>
      <c r="M2857" s="468" t="s">
        <v>2050</v>
      </c>
      <c r="N2857" s="664">
        <f t="shared" si="1476"/>
        <v>200218</v>
      </c>
      <c r="O2857" s="71" t="s">
        <v>149</v>
      </c>
      <c r="P2857" s="103" t="str">
        <f t="shared" si="1479"/>
        <v>세정포-XL106</v>
      </c>
      <c r="Q2857" s="71">
        <f t="shared" si="1480"/>
        <v>5</v>
      </c>
      <c r="R2857" s="102">
        <v>208000</v>
      </c>
      <c r="S2857" s="102">
        <f t="shared" si="1489"/>
        <v>1144000</v>
      </c>
      <c r="T2857" s="102">
        <f t="shared" si="1490"/>
        <v>1040000</v>
      </c>
      <c r="U2857" s="71" t="str">
        <f>IF(J2857=W2857,"O", "X")</f>
        <v>O</v>
      </c>
      <c r="V2857" s="71"/>
      <c r="W2857" s="474">
        <f>(G2857-T2857)</f>
        <v>320000</v>
      </c>
      <c r="X2857" s="71"/>
      <c r="Y2857" s="71"/>
    </row>
    <row r="2858" spans="1:25" s="209" customFormat="1" ht="30" hidden="1" customHeight="1" x14ac:dyDescent="0.2">
      <c r="A2858" s="82">
        <v>200218</v>
      </c>
      <c r="B2858" s="664" t="s">
        <v>2353</v>
      </c>
      <c r="C2858" s="71" t="s">
        <v>138</v>
      </c>
      <c r="D2858" s="71">
        <v>10</v>
      </c>
      <c r="E2858" s="102">
        <v>54400</v>
      </c>
      <c r="F2858" s="163">
        <f t="shared" si="1481"/>
        <v>598400</v>
      </c>
      <c r="G2858" s="102">
        <f t="shared" si="1482"/>
        <v>544000</v>
      </c>
      <c r="H2858" s="165" t="s">
        <v>142</v>
      </c>
      <c r="I2858" s="71" t="s">
        <v>142</v>
      </c>
      <c r="J2858" s="53">
        <f t="shared" si="1488"/>
        <v>136000</v>
      </c>
      <c r="K2858" s="63">
        <f t="shared" si="1491"/>
        <v>0.25</v>
      </c>
      <c r="L2858" s="871" t="s">
        <v>2305</v>
      </c>
      <c r="M2858" s="468" t="s">
        <v>2214</v>
      </c>
      <c r="N2858" s="664">
        <f t="shared" si="1476"/>
        <v>200218</v>
      </c>
      <c r="O2858" s="71" t="s">
        <v>2030</v>
      </c>
      <c r="P2858" s="103" t="str">
        <f t="shared" si="1479"/>
        <v>매엽용 세척제(Wash 562)</v>
      </c>
      <c r="Q2858" s="71">
        <f t="shared" si="1480"/>
        <v>10</v>
      </c>
      <c r="R2858" s="102">
        <v>40800</v>
      </c>
      <c r="S2858" s="102">
        <f t="shared" si="1489"/>
        <v>448800.00000000006</v>
      </c>
      <c r="T2858" s="102">
        <f t="shared" si="1490"/>
        <v>408000</v>
      </c>
      <c r="U2858" s="71" t="str">
        <f>IF(J2858=W2858,"O", "X")</f>
        <v>O</v>
      </c>
      <c r="V2858" s="71"/>
      <c r="W2858" s="474">
        <f>(G2858-T2858)</f>
        <v>136000</v>
      </c>
      <c r="X2858" s="71"/>
      <c r="Y2858" s="71"/>
    </row>
    <row r="2859" spans="1:25" s="209" customFormat="1" ht="30" hidden="1" customHeight="1" x14ac:dyDescent="0.2">
      <c r="A2859" s="82">
        <v>200218</v>
      </c>
      <c r="B2859" s="664" t="s">
        <v>2353</v>
      </c>
      <c r="C2859" s="71" t="s">
        <v>130</v>
      </c>
      <c r="D2859" s="71">
        <v>20</v>
      </c>
      <c r="E2859" s="102">
        <v>125000</v>
      </c>
      <c r="F2859" s="163">
        <f t="shared" si="1481"/>
        <v>2750000</v>
      </c>
      <c r="G2859" s="102">
        <f t="shared" si="1482"/>
        <v>2500000</v>
      </c>
      <c r="H2859" s="165" t="s">
        <v>142</v>
      </c>
      <c r="I2859" s="71" t="s">
        <v>142</v>
      </c>
      <c r="J2859" s="53">
        <f>(G2859-(VLOOKUP(C2859,Price!B:D,3,FALSE)*D2859))</f>
        <v>520000</v>
      </c>
      <c r="K2859" s="63">
        <f t="shared" si="1491"/>
        <v>0.20799999999999999</v>
      </c>
      <c r="L2859" s="871" t="s">
        <v>2305</v>
      </c>
      <c r="M2859" s="468" t="s">
        <v>2050</v>
      </c>
      <c r="N2859" s="664">
        <f t="shared" si="1476"/>
        <v>200218</v>
      </c>
      <c r="O2859" s="71" t="s">
        <v>150</v>
      </c>
      <c r="P2859" s="103" t="str">
        <f t="shared" si="1479"/>
        <v>XL106 Blanket(1077*885)</v>
      </c>
      <c r="Q2859" s="71">
        <f t="shared" si="1480"/>
        <v>20</v>
      </c>
      <c r="R2859" s="102">
        <v>99000</v>
      </c>
      <c r="S2859" s="102">
        <f t="shared" si="1489"/>
        <v>2178000</v>
      </c>
      <c r="T2859" s="102">
        <f t="shared" si="1490"/>
        <v>1980000</v>
      </c>
      <c r="U2859" s="71" t="str">
        <f>IF(J2859=W2859,"O", "X")</f>
        <v>O</v>
      </c>
      <c r="V2859" s="71"/>
      <c r="W2859" s="474">
        <f>(G2859-T2859)</f>
        <v>520000</v>
      </c>
      <c r="X2859" s="71"/>
      <c r="Y2859" s="71"/>
    </row>
    <row r="2860" spans="1:25" ht="30" hidden="1" customHeight="1" x14ac:dyDescent="0.2">
      <c r="A2860" s="82">
        <v>200218</v>
      </c>
      <c r="B2860" s="664" t="s">
        <v>575</v>
      </c>
      <c r="C2860" s="71" t="s">
        <v>1388</v>
      </c>
      <c r="D2860" s="71">
        <v>2</v>
      </c>
      <c r="E2860" s="102">
        <v>185000</v>
      </c>
      <c r="F2860" s="163">
        <f t="shared" si="1481"/>
        <v>407000.00000000006</v>
      </c>
      <c r="G2860" s="102">
        <f t="shared" si="1482"/>
        <v>370000</v>
      </c>
      <c r="H2860" s="690" t="s">
        <v>2029</v>
      </c>
      <c r="I2860" s="71" t="s">
        <v>108</v>
      </c>
      <c r="J2860" s="53">
        <f>G2860-T2860</f>
        <v>21394</v>
      </c>
      <c r="K2860" s="63">
        <f t="shared" si="1491"/>
        <v>5.7821621621621612E-2</v>
      </c>
      <c r="L2860" s="871" t="s">
        <v>2305</v>
      </c>
      <c r="M2860" s="468"/>
      <c r="N2860" s="664">
        <f t="shared" si="1476"/>
        <v>200218</v>
      </c>
      <c r="O2860" s="71" t="s">
        <v>1443</v>
      </c>
      <c r="P2860" s="103" t="str">
        <f t="shared" si="1479"/>
        <v>Flint 무알콜 윤전약물(Superaster)</v>
      </c>
      <c r="Q2860" s="71">
        <f t="shared" si="1480"/>
        <v>2</v>
      </c>
      <c r="R2860" s="102">
        <f>120303+54000</f>
        <v>174303</v>
      </c>
      <c r="S2860" s="102">
        <f t="shared" si="1489"/>
        <v>383466.60000000003</v>
      </c>
      <c r="T2860" s="102">
        <f t="shared" si="1490"/>
        <v>348606</v>
      </c>
      <c r="U2860" s="71" t="str">
        <f>IF(J2860=W2860,"O", "X")</f>
        <v>O</v>
      </c>
      <c r="V2860" s="71"/>
      <c r="W2860" s="474">
        <f>(G2860-T2860)</f>
        <v>21394</v>
      </c>
      <c r="X2860" s="71"/>
      <c r="Y2860" s="71"/>
    </row>
    <row r="2861" spans="1:25" ht="30" customHeight="1" x14ac:dyDescent="0.2">
      <c r="A2861" s="82">
        <v>200219</v>
      </c>
      <c r="B2861" s="664" t="s">
        <v>2352</v>
      </c>
      <c r="C2861" s="71" t="s">
        <v>692</v>
      </c>
      <c r="D2861" s="71">
        <v>10</v>
      </c>
      <c r="E2861" s="102">
        <v>218000</v>
      </c>
      <c r="F2861" s="163">
        <f t="shared" si="1481"/>
        <v>2398000</v>
      </c>
      <c r="G2861" s="102">
        <f t="shared" si="1482"/>
        <v>2180000</v>
      </c>
      <c r="H2861" s="165" t="s">
        <v>142</v>
      </c>
      <c r="I2861" s="71" t="s">
        <v>142</v>
      </c>
      <c r="J2861" s="53">
        <f>(G2861-(VLOOKUP(C2861,Price!B:D,3,FALSE)*D2861))</f>
        <v>580000</v>
      </c>
      <c r="K2861" s="63">
        <f t="shared" si="1491"/>
        <v>0.26605504587155965</v>
      </c>
      <c r="L2861" s="871" t="s">
        <v>2305</v>
      </c>
      <c r="M2861" s="468" t="s">
        <v>2052</v>
      </c>
      <c r="N2861" s="664">
        <f t="shared" si="1476"/>
        <v>200219</v>
      </c>
      <c r="O2861" s="71" t="s">
        <v>150</v>
      </c>
      <c r="P2861" s="103" t="str">
        <f t="shared" si="1479"/>
        <v>윤전 블랑켓</v>
      </c>
      <c r="Q2861" s="71">
        <f t="shared" si="1480"/>
        <v>10</v>
      </c>
      <c r="R2861" s="102">
        <v>160000</v>
      </c>
      <c r="S2861" s="102">
        <f t="shared" si="1489"/>
        <v>1760000.0000000002</v>
      </c>
      <c r="T2861" s="102">
        <f t="shared" si="1490"/>
        <v>1600000</v>
      </c>
      <c r="U2861" s="71" t="str">
        <f>IF(J2861=W2861,"O", "X")</f>
        <v>O</v>
      </c>
      <c r="V2861" s="71" t="s">
        <v>784</v>
      </c>
      <c r="W2861" s="474">
        <f>(G2861-T2861)</f>
        <v>580000</v>
      </c>
      <c r="X2861" s="71"/>
      <c r="Y2861" s="71"/>
    </row>
    <row r="2862" spans="1:25" s="209" customFormat="1" ht="30" hidden="1" customHeight="1" x14ac:dyDescent="0.25">
      <c r="A2862" s="82">
        <v>200219</v>
      </c>
      <c r="B2862" s="664" t="s">
        <v>2155</v>
      </c>
      <c r="C2862" s="71" t="s">
        <v>138</v>
      </c>
      <c r="D2862" s="71">
        <v>10</v>
      </c>
      <c r="E2862" s="102">
        <v>47600</v>
      </c>
      <c r="F2862" s="163">
        <f t="shared" si="1481"/>
        <v>523600.00000000006</v>
      </c>
      <c r="G2862" s="102">
        <f t="shared" si="1482"/>
        <v>476000</v>
      </c>
      <c r="H2862" s="1129" t="s">
        <v>172</v>
      </c>
      <c r="I2862" s="71" t="s">
        <v>108</v>
      </c>
      <c r="J2862" s="53">
        <f t="shared" ref="J2862:J2867" si="1492">G2862-T2862</f>
        <v>68000</v>
      </c>
      <c r="K2862" s="63">
        <f t="shared" si="1491"/>
        <v>0.14285714285714285</v>
      </c>
      <c r="L2862" s="871" t="s">
        <v>2305</v>
      </c>
      <c r="M2862" s="468" t="s">
        <v>2214</v>
      </c>
      <c r="N2862" s="664">
        <f t="shared" si="1476"/>
        <v>200219</v>
      </c>
      <c r="O2862" s="71" t="s">
        <v>150</v>
      </c>
      <c r="P2862" s="103" t="str">
        <f t="shared" si="1479"/>
        <v>매엽용 세척제(Wash 562)</v>
      </c>
      <c r="Q2862" s="71">
        <f t="shared" si="1480"/>
        <v>10</v>
      </c>
      <c r="R2862" s="102">
        <v>40800</v>
      </c>
      <c r="S2862" s="102">
        <f t="shared" si="1489"/>
        <v>448800.00000000006</v>
      </c>
      <c r="T2862" s="102">
        <f t="shared" si="1490"/>
        <v>408000</v>
      </c>
      <c r="U2862" s="71" t="s">
        <v>859</v>
      </c>
      <c r="V2862" s="71"/>
      <c r="W2862" s="474">
        <v>85000</v>
      </c>
      <c r="X2862" s="71"/>
      <c r="Y2862" s="71"/>
    </row>
    <row r="2863" spans="1:25" s="209" customFormat="1" ht="30" hidden="1" customHeight="1" x14ac:dyDescent="0.2">
      <c r="A2863" s="82">
        <v>200221</v>
      </c>
      <c r="B2863" s="664" t="s">
        <v>2353</v>
      </c>
      <c r="C2863" s="71" t="s">
        <v>130</v>
      </c>
      <c r="D2863" s="71">
        <v>8</v>
      </c>
      <c r="E2863" s="102">
        <v>125000</v>
      </c>
      <c r="F2863" s="163">
        <f>(E2863*D2863)*1.1</f>
        <v>1100000</v>
      </c>
      <c r="G2863" s="102">
        <f>(E2863*D2863)</f>
        <v>1000000</v>
      </c>
      <c r="H2863" s="165" t="s">
        <v>142</v>
      </c>
      <c r="I2863" s="71" t="s">
        <v>142</v>
      </c>
      <c r="J2863" s="53">
        <f t="shared" si="1492"/>
        <v>1000000</v>
      </c>
      <c r="K2863" s="63">
        <f t="shared" si="1491"/>
        <v>1</v>
      </c>
      <c r="L2863" s="871" t="s">
        <v>2305</v>
      </c>
      <c r="M2863" s="468" t="s">
        <v>2322</v>
      </c>
      <c r="N2863" s="664">
        <f t="shared" si="1476"/>
        <v>200221</v>
      </c>
      <c r="O2863" s="71"/>
      <c r="P2863" s="103" t="str">
        <f t="shared" si="1479"/>
        <v>XL106 Blanket(1077*885)</v>
      </c>
      <c r="Q2863" s="71">
        <f t="shared" si="1480"/>
        <v>8</v>
      </c>
      <c r="R2863" s="102"/>
      <c r="S2863" s="102">
        <f t="shared" si="1489"/>
        <v>0</v>
      </c>
      <c r="T2863" s="102">
        <f t="shared" si="1490"/>
        <v>0</v>
      </c>
      <c r="U2863" s="71" t="str">
        <f>IF(J2863=W2863,"O", "X")</f>
        <v>O</v>
      </c>
      <c r="V2863" s="71"/>
      <c r="W2863" s="474">
        <f>(G2863-T2863)</f>
        <v>1000000</v>
      </c>
      <c r="X2863" s="71"/>
      <c r="Y2863" s="71"/>
    </row>
    <row r="2864" spans="1:25" s="209" customFormat="1" ht="30" hidden="1" customHeight="1" x14ac:dyDescent="0.2">
      <c r="A2864" s="82">
        <v>200221</v>
      </c>
      <c r="B2864" s="664" t="s">
        <v>2261</v>
      </c>
      <c r="C2864" s="71" t="s">
        <v>107</v>
      </c>
      <c r="D2864" s="71">
        <v>10</v>
      </c>
      <c r="E2864" s="102">
        <v>108000</v>
      </c>
      <c r="F2864" s="163">
        <f t="shared" si="1481"/>
        <v>1188000</v>
      </c>
      <c r="G2864" s="102">
        <f t="shared" si="1482"/>
        <v>1080000</v>
      </c>
      <c r="H2864" s="165" t="s">
        <v>172</v>
      </c>
      <c r="I2864" s="71" t="s">
        <v>109</v>
      </c>
      <c r="J2864" s="53">
        <f t="shared" si="1492"/>
        <v>275000</v>
      </c>
      <c r="K2864" s="63">
        <f t="shared" si="1491"/>
        <v>0.25462962962962965</v>
      </c>
      <c r="L2864" s="871" t="s">
        <v>2305</v>
      </c>
      <c r="M2864" s="468"/>
      <c r="N2864" s="664">
        <f t="shared" si="1476"/>
        <v>200221</v>
      </c>
      <c r="O2864" s="71" t="s">
        <v>147</v>
      </c>
      <c r="P2864" s="103" t="str">
        <f t="shared" si="1479"/>
        <v>Blanket(1050*840)</v>
      </c>
      <c r="Q2864" s="71">
        <f t="shared" si="1480"/>
        <v>10</v>
      </c>
      <c r="R2864" s="102">
        <v>80500</v>
      </c>
      <c r="S2864" s="102">
        <f t="shared" si="1489"/>
        <v>885500.00000000012</v>
      </c>
      <c r="T2864" s="102">
        <f t="shared" si="1490"/>
        <v>805000</v>
      </c>
      <c r="U2864" s="71" t="s">
        <v>859</v>
      </c>
      <c r="V2864" s="71"/>
      <c r="W2864" s="474">
        <v>275000</v>
      </c>
      <c r="X2864" s="71"/>
      <c r="Y2864" s="71"/>
    </row>
    <row r="2865" spans="1:25" ht="27.6" hidden="1" customHeight="1" x14ac:dyDescent="0.2">
      <c r="A2865" s="82">
        <v>200222</v>
      </c>
      <c r="B2865" s="664" t="s">
        <v>567</v>
      </c>
      <c r="C2865" s="71" t="s">
        <v>1652</v>
      </c>
      <c r="D2865" s="71">
        <v>10</v>
      </c>
      <c r="E2865" s="102">
        <v>45000</v>
      </c>
      <c r="F2865" s="163">
        <f t="shared" si="1481"/>
        <v>495000.00000000006</v>
      </c>
      <c r="G2865" s="102">
        <f t="shared" si="1482"/>
        <v>450000</v>
      </c>
      <c r="H2865" s="690" t="s">
        <v>173</v>
      </c>
      <c r="I2865" s="71" t="s">
        <v>2231</v>
      </c>
      <c r="J2865" s="53">
        <f t="shared" si="1492"/>
        <v>50000</v>
      </c>
      <c r="K2865" s="63">
        <v>0.11111111111111109</v>
      </c>
      <c r="L2865" s="871" t="s">
        <v>2305</v>
      </c>
      <c r="M2865" s="468"/>
      <c r="N2865" s="664">
        <f t="shared" si="1476"/>
        <v>200222</v>
      </c>
      <c r="O2865" s="71" t="s">
        <v>153</v>
      </c>
      <c r="P2865" s="103" t="str">
        <f t="shared" si="1479"/>
        <v>아스테이지(CD74용)</v>
      </c>
      <c r="Q2865" s="71">
        <f t="shared" si="1480"/>
        <v>10</v>
      </c>
      <c r="R2865" s="102">
        <v>40000</v>
      </c>
      <c r="S2865" s="102">
        <f t="shared" si="1489"/>
        <v>440000.00000000006</v>
      </c>
      <c r="T2865" s="102">
        <f t="shared" si="1490"/>
        <v>400000</v>
      </c>
      <c r="U2865" s="71" t="s">
        <v>1915</v>
      </c>
      <c r="V2865" s="71"/>
      <c r="W2865" s="474"/>
      <c r="X2865" s="71"/>
      <c r="Y2865" s="71"/>
    </row>
    <row r="2866" spans="1:25" ht="30" customHeight="1" x14ac:dyDescent="0.2">
      <c r="A2866" s="82">
        <v>200224</v>
      </c>
      <c r="B2866" s="664" t="s">
        <v>565</v>
      </c>
      <c r="C2866" s="71" t="s">
        <v>2081</v>
      </c>
      <c r="D2866" s="71">
        <v>148</v>
      </c>
      <c r="E2866" s="102">
        <v>69000</v>
      </c>
      <c r="F2866" s="163">
        <f t="shared" si="1481"/>
        <v>11233200</v>
      </c>
      <c r="G2866" s="102">
        <f t="shared" si="1482"/>
        <v>10212000</v>
      </c>
      <c r="H2866" s="165" t="s">
        <v>173</v>
      </c>
      <c r="I2866" s="71" t="s">
        <v>108</v>
      </c>
      <c r="J2866" s="53">
        <f t="shared" si="1492"/>
        <v>2664000</v>
      </c>
      <c r="K2866" s="63">
        <f t="shared" ref="K2866:K2896" si="1493">(J2866/(F2866/11*10))</f>
        <v>0.2608695652173913</v>
      </c>
      <c r="L2866" s="871" t="s">
        <v>2305</v>
      </c>
      <c r="M2866" s="468"/>
      <c r="N2866" s="664">
        <f t="shared" si="1476"/>
        <v>200224</v>
      </c>
      <c r="O2866" s="71" t="s">
        <v>599</v>
      </c>
      <c r="P2866" s="103" t="str">
        <f t="shared" si="1479"/>
        <v>GOSS 신문윤전 습식세정포</v>
      </c>
      <c r="Q2866" s="71">
        <f t="shared" si="1480"/>
        <v>148</v>
      </c>
      <c r="R2866" s="102">
        <v>51000</v>
      </c>
      <c r="S2866" s="102">
        <f t="shared" si="1489"/>
        <v>8302800.0000000009</v>
      </c>
      <c r="T2866" s="102">
        <f t="shared" si="1490"/>
        <v>7548000</v>
      </c>
      <c r="U2866" s="71" t="str">
        <f>IF(J2866=W2866,"O", "X")</f>
        <v>X</v>
      </c>
      <c r="V2866" s="71"/>
      <c r="W2866" s="474"/>
      <c r="X2866" s="71"/>
      <c r="Y2866" s="71"/>
    </row>
    <row r="2867" spans="1:25" ht="30" hidden="1" customHeight="1" x14ac:dyDescent="0.2">
      <c r="A2867" s="82">
        <v>200225</v>
      </c>
      <c r="B2867" s="664" t="s">
        <v>545</v>
      </c>
      <c r="C2867" s="71" t="s">
        <v>227</v>
      </c>
      <c r="D2867" s="71">
        <v>10</v>
      </c>
      <c r="E2867" s="102">
        <v>110000</v>
      </c>
      <c r="F2867" s="163">
        <f t="shared" si="1481"/>
        <v>1210000</v>
      </c>
      <c r="G2867" s="102">
        <f t="shared" si="1482"/>
        <v>1100000</v>
      </c>
      <c r="H2867" s="690" t="s">
        <v>173</v>
      </c>
      <c r="I2867" s="71" t="s">
        <v>109</v>
      </c>
      <c r="J2867" s="53">
        <f t="shared" si="1492"/>
        <v>271000</v>
      </c>
      <c r="K2867" s="63">
        <f t="shared" si="1493"/>
        <v>0.24636363636363637</v>
      </c>
      <c r="L2867" s="871" t="s">
        <v>2305</v>
      </c>
      <c r="M2867" s="468"/>
      <c r="N2867" s="664">
        <f t="shared" si="1476"/>
        <v>200225</v>
      </c>
      <c r="O2867" s="71" t="s">
        <v>147</v>
      </c>
      <c r="P2867" s="103" t="str">
        <f t="shared" si="1479"/>
        <v>Blanket(1060*860)</v>
      </c>
      <c r="Q2867" s="71">
        <f t="shared" si="1480"/>
        <v>10</v>
      </c>
      <c r="R2867" s="102">
        <v>82900</v>
      </c>
      <c r="S2867" s="102">
        <f t="shared" si="1489"/>
        <v>911900.00000000012</v>
      </c>
      <c r="T2867" s="102">
        <f t="shared" si="1490"/>
        <v>829000</v>
      </c>
      <c r="U2867" s="71" t="str">
        <f>IF(J2867=W2867,"O", "X")</f>
        <v>O</v>
      </c>
      <c r="V2867" s="71"/>
      <c r="W2867" s="474">
        <f>(G2867-T2867)</f>
        <v>271000</v>
      </c>
      <c r="X2867" s="71"/>
      <c r="Y2867" s="71"/>
    </row>
    <row r="2868" spans="1:25" s="209" customFormat="1" ht="30" hidden="1" customHeight="1" x14ac:dyDescent="0.25">
      <c r="A2868" s="82">
        <v>200226</v>
      </c>
      <c r="B2868" s="664" t="s">
        <v>442</v>
      </c>
      <c r="C2868" s="71" t="s">
        <v>138</v>
      </c>
      <c r="D2868" s="71">
        <v>30</v>
      </c>
      <c r="E2868" s="102">
        <v>55200</v>
      </c>
      <c r="F2868" s="102">
        <f t="shared" si="1481"/>
        <v>1821600.0000000002</v>
      </c>
      <c r="G2868" s="102">
        <f t="shared" si="1482"/>
        <v>1656000</v>
      </c>
      <c r="H2868" s="690" t="s">
        <v>173</v>
      </c>
      <c r="I2868" s="71" t="s">
        <v>108</v>
      </c>
      <c r="J2868" s="53">
        <f>G2868-T2868-113740</f>
        <v>318260</v>
      </c>
      <c r="K2868" s="63">
        <f t="shared" si="1493"/>
        <v>0.19218599033816422</v>
      </c>
      <c r="L2868" s="871" t="s">
        <v>2275</v>
      </c>
      <c r="M2868" s="468" t="s">
        <v>2325</v>
      </c>
      <c r="N2868" s="664">
        <f t="shared" si="1476"/>
        <v>200226</v>
      </c>
      <c r="O2868" s="71" t="s">
        <v>150</v>
      </c>
      <c r="P2868" s="103" t="str">
        <f t="shared" si="1479"/>
        <v>매엽용 세척제(Wash 562)</v>
      </c>
      <c r="Q2868" s="71">
        <f t="shared" si="1480"/>
        <v>30</v>
      </c>
      <c r="R2868" s="102">
        <v>40800</v>
      </c>
      <c r="S2868" s="102">
        <f t="shared" si="1489"/>
        <v>1346400</v>
      </c>
      <c r="T2868" s="102">
        <f t="shared" si="1490"/>
        <v>1224000</v>
      </c>
      <c r="U2868" s="71" t="s">
        <v>1915</v>
      </c>
      <c r="V2868" s="71"/>
      <c r="W2868" s="474">
        <v>396000</v>
      </c>
      <c r="X2868" s="71"/>
      <c r="Y2868" s="71"/>
    </row>
    <row r="2869" spans="1:25" ht="30" hidden="1" customHeight="1" x14ac:dyDescent="0.25">
      <c r="A2869" s="82">
        <v>200226</v>
      </c>
      <c r="B2869" s="664" t="s">
        <v>690</v>
      </c>
      <c r="C2869" s="71" t="s">
        <v>217</v>
      </c>
      <c r="D2869" s="71">
        <v>2</v>
      </c>
      <c r="E2869" s="102">
        <v>137000</v>
      </c>
      <c r="F2869" s="102">
        <f t="shared" si="1481"/>
        <v>301400</v>
      </c>
      <c r="G2869" s="102">
        <f t="shared" si="1482"/>
        <v>274000</v>
      </c>
      <c r="H2869" s="690" t="s">
        <v>173</v>
      </c>
      <c r="I2869" s="71" t="s">
        <v>108</v>
      </c>
      <c r="J2869" s="53">
        <f>G2869-T2869</f>
        <v>114000</v>
      </c>
      <c r="K2869" s="63">
        <f t="shared" si="1493"/>
        <v>0.41605839416058393</v>
      </c>
      <c r="L2869" s="871" t="s">
        <v>2275</v>
      </c>
      <c r="M2869" s="468"/>
      <c r="N2869" s="664">
        <f t="shared" si="1476"/>
        <v>200226</v>
      </c>
      <c r="O2869" s="71" t="s">
        <v>150</v>
      </c>
      <c r="P2869" s="103" t="str">
        <f t="shared" si="1479"/>
        <v>Fount 511</v>
      </c>
      <c r="Q2869" s="71">
        <f t="shared" si="1480"/>
        <v>2</v>
      </c>
      <c r="R2869" s="102">
        <v>80000</v>
      </c>
      <c r="S2869" s="102">
        <f t="shared" si="1489"/>
        <v>176000</v>
      </c>
      <c r="T2869" s="102">
        <f t="shared" si="1490"/>
        <v>160000</v>
      </c>
      <c r="U2869" s="71" t="s">
        <v>859</v>
      </c>
      <c r="V2869" s="71"/>
      <c r="W2869" s="474">
        <v>130000</v>
      </c>
      <c r="X2869" s="71"/>
      <c r="Y2869" s="71"/>
    </row>
    <row r="2870" spans="1:25" s="209" customFormat="1" ht="30" hidden="1" customHeight="1" x14ac:dyDescent="0.25">
      <c r="A2870" s="82">
        <v>200227</v>
      </c>
      <c r="B2870" s="664" t="s">
        <v>2155</v>
      </c>
      <c r="C2870" s="71" t="s">
        <v>138</v>
      </c>
      <c r="D2870" s="71">
        <v>5</v>
      </c>
      <c r="E2870" s="102">
        <v>47600</v>
      </c>
      <c r="F2870" s="163">
        <f>(E2870*D2870)*1.1</f>
        <v>261800.00000000003</v>
      </c>
      <c r="G2870" s="102">
        <f>(E2870*D2870)</f>
        <v>238000</v>
      </c>
      <c r="H2870" s="1129" t="s">
        <v>172</v>
      </c>
      <c r="I2870" s="71" t="s">
        <v>108</v>
      </c>
      <c r="J2870" s="53">
        <f>G2870-T2870</f>
        <v>34000</v>
      </c>
      <c r="K2870" s="63">
        <f t="shared" si="1493"/>
        <v>0.14285714285714285</v>
      </c>
      <c r="L2870" s="871" t="s">
        <v>2305</v>
      </c>
      <c r="M2870" s="468" t="s">
        <v>2214</v>
      </c>
      <c r="N2870" s="664">
        <f t="shared" si="1476"/>
        <v>200227</v>
      </c>
      <c r="O2870" s="71" t="s">
        <v>150</v>
      </c>
      <c r="P2870" s="103" t="str">
        <f t="shared" si="1479"/>
        <v>매엽용 세척제(Wash 562)</v>
      </c>
      <c r="Q2870" s="71">
        <f t="shared" si="1480"/>
        <v>5</v>
      </c>
      <c r="R2870" s="102">
        <v>40800</v>
      </c>
      <c r="S2870" s="102">
        <f t="shared" si="1489"/>
        <v>224400.00000000003</v>
      </c>
      <c r="T2870" s="102">
        <f t="shared" si="1490"/>
        <v>204000</v>
      </c>
      <c r="U2870" s="71" t="s">
        <v>859</v>
      </c>
      <c r="V2870" s="71"/>
      <c r="W2870" s="474">
        <v>85000</v>
      </c>
      <c r="X2870" s="71"/>
      <c r="Y2870" s="71"/>
    </row>
    <row r="2871" spans="1:25" ht="30" hidden="1" customHeight="1" x14ac:dyDescent="0.2">
      <c r="A2871" s="82">
        <v>200227</v>
      </c>
      <c r="B2871" s="664" t="s">
        <v>545</v>
      </c>
      <c r="C2871" s="71" t="s">
        <v>952</v>
      </c>
      <c r="D2871" s="71">
        <v>1</v>
      </c>
      <c r="E2871" s="102">
        <v>630000</v>
      </c>
      <c r="F2871" s="163">
        <f>(E2871*D2871)*1.1</f>
        <v>693000</v>
      </c>
      <c r="G2871" s="102">
        <f>(E2871*D2871)</f>
        <v>630000</v>
      </c>
      <c r="H2871" s="690" t="s">
        <v>173</v>
      </c>
      <c r="I2871" s="71" t="s">
        <v>108</v>
      </c>
      <c r="J2871" s="53">
        <f>(G2871-(VLOOKUP(C2871,Price!B:D,3,FALSE)*D2871))</f>
        <v>180000</v>
      </c>
      <c r="K2871" s="63">
        <f>(J2871/(F2871/11*10))</f>
        <v>0.2857142857142857</v>
      </c>
      <c r="L2871" s="871" t="s">
        <v>2305</v>
      </c>
      <c r="M2871" s="468"/>
      <c r="N2871" s="664">
        <f t="shared" si="1476"/>
        <v>200227</v>
      </c>
      <c r="O2871" s="71" t="s">
        <v>599</v>
      </c>
      <c r="P2871" s="103" t="str">
        <f t="shared" si="1479"/>
        <v>점보롤 세정포</v>
      </c>
      <c r="Q2871" s="71">
        <f t="shared" si="1480"/>
        <v>1</v>
      </c>
      <c r="R2871" s="102">
        <v>440000</v>
      </c>
      <c r="S2871" s="102">
        <f t="shared" si="1489"/>
        <v>484000.00000000006</v>
      </c>
      <c r="T2871" s="102">
        <f t="shared" si="1490"/>
        <v>440000</v>
      </c>
      <c r="U2871" s="71" t="str">
        <f t="shared" ref="U2871:U2896" si="1494">IF(J2871=W2871,"O", "X")</f>
        <v>X</v>
      </c>
      <c r="V2871" s="71" t="s">
        <v>1228</v>
      </c>
      <c r="W2871" s="474">
        <f>(G2871-T2871)</f>
        <v>190000</v>
      </c>
      <c r="X2871" s="71"/>
      <c r="Y2871" s="71"/>
    </row>
    <row r="2872" spans="1:25" ht="30" hidden="1" customHeight="1" x14ac:dyDescent="0.25">
      <c r="A2872" s="82">
        <v>200228</v>
      </c>
      <c r="B2872" s="664" t="s">
        <v>2353</v>
      </c>
      <c r="C2872" s="71" t="s">
        <v>2031</v>
      </c>
      <c r="D2872" s="71">
        <v>3</v>
      </c>
      <c r="E2872" s="102">
        <v>35000</v>
      </c>
      <c r="F2872" s="102">
        <f t="shared" si="1481"/>
        <v>115500.00000000001</v>
      </c>
      <c r="G2872" s="102">
        <f t="shared" si="1482"/>
        <v>105000</v>
      </c>
      <c r="H2872" s="690" t="s">
        <v>142</v>
      </c>
      <c r="I2872" s="71" t="s">
        <v>142</v>
      </c>
      <c r="J2872" s="53">
        <f>G2872-T2872</f>
        <v>37617</v>
      </c>
      <c r="K2872" s="63">
        <f t="shared" si="1493"/>
        <v>0.35825714285714283</v>
      </c>
      <c r="L2872" s="871" t="s">
        <v>2305</v>
      </c>
      <c r="M2872" s="468" t="s">
        <v>2054</v>
      </c>
      <c r="N2872" s="664">
        <f t="shared" si="1476"/>
        <v>200228</v>
      </c>
      <c r="O2872" s="71" t="s">
        <v>94</v>
      </c>
      <c r="P2872" s="103" t="str">
        <f t="shared" si="1479"/>
        <v>필터백</v>
      </c>
      <c r="Q2872" s="71">
        <f t="shared" si="1480"/>
        <v>3</v>
      </c>
      <c r="R2872" s="102">
        <v>22461</v>
      </c>
      <c r="S2872" s="102">
        <f t="shared" si="1489"/>
        <v>74121.3</v>
      </c>
      <c r="T2872" s="102">
        <f t="shared" si="1490"/>
        <v>67383</v>
      </c>
      <c r="U2872" s="71" t="str">
        <f t="shared" si="1494"/>
        <v>X</v>
      </c>
      <c r="V2872" s="71"/>
      <c r="W2872" s="474"/>
      <c r="X2872" s="71"/>
      <c r="Y2872" s="71"/>
    </row>
    <row r="2873" spans="1:25" ht="30" hidden="1" customHeight="1" x14ac:dyDescent="0.2">
      <c r="A2873" s="82">
        <v>200228</v>
      </c>
      <c r="B2873" s="664" t="s">
        <v>2353</v>
      </c>
      <c r="C2873" s="71" t="s">
        <v>584</v>
      </c>
      <c r="D2873" s="71">
        <v>5</v>
      </c>
      <c r="E2873" s="102">
        <v>270000</v>
      </c>
      <c r="F2873" s="102">
        <f>(E2873*D2873)*1.1</f>
        <v>1485000.0000000002</v>
      </c>
      <c r="G2873" s="102">
        <f>(E2873*D2873)</f>
        <v>1350000</v>
      </c>
      <c r="H2873" s="165" t="s">
        <v>142</v>
      </c>
      <c r="I2873" s="71" t="s">
        <v>142</v>
      </c>
      <c r="J2873" s="53">
        <f>G2873-T2873</f>
        <v>270000</v>
      </c>
      <c r="K2873" s="63">
        <f t="shared" si="1493"/>
        <v>0.19999999999999996</v>
      </c>
      <c r="L2873" s="871" t="s">
        <v>2305</v>
      </c>
      <c r="M2873" s="468"/>
      <c r="N2873" s="664">
        <f t="shared" si="1476"/>
        <v>200228</v>
      </c>
      <c r="O2873" s="71" t="s">
        <v>150</v>
      </c>
      <c r="P2873" s="103" t="str">
        <f t="shared" si="1479"/>
        <v>데리바리 석션벨트</v>
      </c>
      <c r="Q2873" s="71">
        <f t="shared" si="1480"/>
        <v>5</v>
      </c>
      <c r="R2873" s="102">
        <v>216000</v>
      </c>
      <c r="S2873" s="102">
        <f t="shared" si="1489"/>
        <v>1188000</v>
      </c>
      <c r="T2873" s="102">
        <f t="shared" si="1490"/>
        <v>1080000</v>
      </c>
      <c r="U2873" s="71" t="str">
        <f t="shared" si="1494"/>
        <v>O</v>
      </c>
      <c r="V2873" s="71"/>
      <c r="W2873" s="474">
        <f t="shared" ref="W2873:W2897" si="1495">(G2873-T2873)</f>
        <v>270000</v>
      </c>
      <c r="X2873" s="71"/>
      <c r="Y2873" s="71"/>
    </row>
    <row r="2874" spans="1:25" ht="30" hidden="1" customHeight="1" x14ac:dyDescent="0.2">
      <c r="A2874" s="82">
        <v>200228</v>
      </c>
      <c r="B2874" s="664" t="s">
        <v>2353</v>
      </c>
      <c r="C2874" s="71" t="s">
        <v>129</v>
      </c>
      <c r="D2874" s="71">
        <v>5</v>
      </c>
      <c r="E2874" s="102">
        <v>272000</v>
      </c>
      <c r="F2874" s="163">
        <f>(E2874*D2874)*1.1</f>
        <v>1496000.0000000002</v>
      </c>
      <c r="G2874" s="102">
        <f>(E2874*D2874)</f>
        <v>1360000</v>
      </c>
      <c r="H2874" s="165" t="s">
        <v>142</v>
      </c>
      <c r="I2874" s="71" t="s">
        <v>142</v>
      </c>
      <c r="J2874" s="53">
        <f>G2874-T2874</f>
        <v>320000</v>
      </c>
      <c r="K2874" s="63">
        <f t="shared" si="1493"/>
        <v>0.23529411764705879</v>
      </c>
      <c r="L2874" s="871" t="s">
        <v>2305</v>
      </c>
      <c r="M2874" s="468" t="s">
        <v>2050</v>
      </c>
      <c r="N2874" s="664">
        <f t="shared" si="1476"/>
        <v>200228</v>
      </c>
      <c r="O2874" s="71" t="s">
        <v>149</v>
      </c>
      <c r="P2874" s="103" t="str">
        <f t="shared" si="1479"/>
        <v>세정포-XL106</v>
      </c>
      <c r="Q2874" s="71">
        <f t="shared" si="1480"/>
        <v>5</v>
      </c>
      <c r="R2874" s="102">
        <v>208000</v>
      </c>
      <c r="S2874" s="102">
        <f t="shared" si="1489"/>
        <v>1144000</v>
      </c>
      <c r="T2874" s="102">
        <f t="shared" si="1490"/>
        <v>1040000</v>
      </c>
      <c r="U2874" s="71" t="str">
        <f t="shared" si="1494"/>
        <v>O</v>
      </c>
      <c r="V2874" s="71"/>
      <c r="W2874" s="474">
        <f t="shared" si="1495"/>
        <v>320000</v>
      </c>
      <c r="X2874" s="71"/>
      <c r="Y2874" s="71"/>
    </row>
    <row r="2875" spans="1:25" s="209" customFormat="1" ht="30" hidden="1" customHeight="1" x14ac:dyDescent="0.2">
      <c r="A2875" s="82">
        <v>200228</v>
      </c>
      <c r="B2875" s="664" t="s">
        <v>2353</v>
      </c>
      <c r="C2875" s="71" t="s">
        <v>130</v>
      </c>
      <c r="D2875" s="71">
        <v>10</v>
      </c>
      <c r="E2875" s="102">
        <v>125000</v>
      </c>
      <c r="F2875" s="163">
        <f>(E2875*D2875)*1.1</f>
        <v>1375000</v>
      </c>
      <c r="G2875" s="102">
        <f>(E2875*D2875)</f>
        <v>1250000</v>
      </c>
      <c r="H2875" s="165" t="s">
        <v>142</v>
      </c>
      <c r="I2875" s="71" t="s">
        <v>142</v>
      </c>
      <c r="J2875" s="53">
        <f>(G2875-(VLOOKUP(C2875,Price!B:D,3,FALSE)*D2875))</f>
        <v>260000</v>
      </c>
      <c r="K2875" s="63">
        <f t="shared" si="1493"/>
        <v>0.20799999999999999</v>
      </c>
      <c r="L2875" s="871" t="s">
        <v>2305</v>
      </c>
      <c r="M2875" s="468" t="s">
        <v>2050</v>
      </c>
      <c r="N2875" s="664">
        <f t="shared" si="1476"/>
        <v>200228</v>
      </c>
      <c r="O2875" s="71" t="s">
        <v>150</v>
      </c>
      <c r="P2875" s="103" t="str">
        <f t="shared" si="1479"/>
        <v>XL106 Blanket(1077*885)</v>
      </c>
      <c r="Q2875" s="71">
        <f t="shared" si="1480"/>
        <v>10</v>
      </c>
      <c r="R2875" s="102">
        <v>99000</v>
      </c>
      <c r="S2875" s="102">
        <f t="shared" si="1489"/>
        <v>1089000</v>
      </c>
      <c r="T2875" s="102">
        <f t="shared" si="1490"/>
        <v>990000</v>
      </c>
      <c r="U2875" s="71" t="str">
        <f t="shared" si="1494"/>
        <v>O</v>
      </c>
      <c r="V2875" s="71"/>
      <c r="W2875" s="474">
        <f t="shared" si="1495"/>
        <v>260000</v>
      </c>
      <c r="X2875" s="71"/>
      <c r="Y2875" s="71"/>
    </row>
    <row r="2876" spans="1:25" ht="30" hidden="1" customHeight="1" x14ac:dyDescent="0.25">
      <c r="A2876" s="82">
        <v>200228</v>
      </c>
      <c r="B2876" s="664" t="s">
        <v>1051</v>
      </c>
      <c r="C2876" s="71" t="s">
        <v>1294</v>
      </c>
      <c r="D2876" s="71">
        <v>1400</v>
      </c>
      <c r="E2876" s="102">
        <v>6120</v>
      </c>
      <c r="F2876" s="102">
        <f t="shared" ref="F2876:F2896" si="1496">(E2876*D2876)*1.1</f>
        <v>9424800</v>
      </c>
      <c r="G2876" s="102">
        <f t="shared" ref="G2876:G2896" si="1497">(E2876*D2876)</f>
        <v>8568000</v>
      </c>
      <c r="H2876" s="690" t="s">
        <v>142</v>
      </c>
      <c r="I2876" s="71" t="s">
        <v>2273</v>
      </c>
      <c r="J2876" s="53">
        <f t="shared" ref="J2876:J2896" si="1498">G2876-T2876</f>
        <v>2716000</v>
      </c>
      <c r="K2876" s="63">
        <f t="shared" si="1493"/>
        <v>0.31699346405228757</v>
      </c>
      <c r="L2876" s="871" t="s">
        <v>2305</v>
      </c>
      <c r="M2876" s="468"/>
      <c r="N2876" s="664">
        <f t="shared" si="1476"/>
        <v>200228</v>
      </c>
      <c r="O2876" s="71" t="s">
        <v>145</v>
      </c>
      <c r="P2876" s="103" t="str">
        <f t="shared" si="1479"/>
        <v>ENGAGE 1030*790</v>
      </c>
      <c r="Q2876" s="71">
        <f t="shared" si="1480"/>
        <v>1400</v>
      </c>
      <c r="R2876" s="102">
        <v>4180</v>
      </c>
      <c r="S2876" s="102">
        <f t="shared" si="1489"/>
        <v>6437200.0000000009</v>
      </c>
      <c r="T2876" s="102">
        <f t="shared" si="1490"/>
        <v>5852000</v>
      </c>
      <c r="U2876" s="71" t="str">
        <f t="shared" si="1494"/>
        <v>O</v>
      </c>
      <c r="V2876" s="71"/>
      <c r="W2876" s="474">
        <f t="shared" si="1495"/>
        <v>2716000</v>
      </c>
      <c r="X2876" s="71"/>
      <c r="Y2876" s="71"/>
    </row>
    <row r="2877" spans="1:25" ht="30" hidden="1" customHeight="1" x14ac:dyDescent="0.25">
      <c r="A2877" s="82">
        <v>200228</v>
      </c>
      <c r="B2877" s="664" t="s">
        <v>1051</v>
      </c>
      <c r="C2877" s="71" t="s">
        <v>1384</v>
      </c>
      <c r="D2877" s="71">
        <v>2300</v>
      </c>
      <c r="E2877" s="102">
        <v>3850</v>
      </c>
      <c r="F2877" s="102">
        <f t="shared" si="1496"/>
        <v>9740500</v>
      </c>
      <c r="G2877" s="102">
        <f t="shared" si="1497"/>
        <v>8855000</v>
      </c>
      <c r="H2877" s="690" t="s">
        <v>142</v>
      </c>
      <c r="I2877" s="71" t="s">
        <v>2273</v>
      </c>
      <c r="J2877" s="53">
        <f t="shared" si="1498"/>
        <v>2783186.5552414889</v>
      </c>
      <c r="K2877" s="63">
        <f t="shared" si="1493"/>
        <v>0.31430678207131441</v>
      </c>
      <c r="L2877" s="871" t="s">
        <v>2305</v>
      </c>
      <c r="M2877" s="468"/>
      <c r="N2877" s="664">
        <f t="shared" si="1476"/>
        <v>200228</v>
      </c>
      <c r="O2877" s="71" t="s">
        <v>145</v>
      </c>
      <c r="P2877" s="103" t="str">
        <f t="shared" si="1479"/>
        <v>ENGAGE 900X571 - 27RO</v>
      </c>
      <c r="Q2877" s="71">
        <f t="shared" si="1480"/>
        <v>2300</v>
      </c>
      <c r="R2877" s="102">
        <f>R2876/1030/790*900*571</f>
        <v>2639.9188890254395</v>
      </c>
      <c r="S2877" s="102">
        <f t="shared" si="1489"/>
        <v>6678994.7892343625</v>
      </c>
      <c r="T2877" s="102">
        <f t="shared" si="1490"/>
        <v>6071813.4447585111</v>
      </c>
      <c r="U2877" s="71" t="str">
        <f t="shared" si="1494"/>
        <v>O</v>
      </c>
      <c r="V2877" s="71"/>
      <c r="W2877" s="474">
        <f t="shared" si="1495"/>
        <v>2783186.5552414889</v>
      </c>
      <c r="X2877" s="71"/>
      <c r="Y2877" s="71"/>
    </row>
    <row r="2878" spans="1:25" ht="30" hidden="1" customHeight="1" x14ac:dyDescent="0.25">
      <c r="A2878" s="82">
        <v>200228</v>
      </c>
      <c r="B2878" s="664" t="s">
        <v>1051</v>
      </c>
      <c r="C2878" s="71" t="s">
        <v>951</v>
      </c>
      <c r="D2878" s="71">
        <v>3200</v>
      </c>
      <c r="E2878" s="102">
        <v>3670</v>
      </c>
      <c r="F2878" s="102">
        <f t="shared" si="1496"/>
        <v>12918400.000000002</v>
      </c>
      <c r="G2878" s="102">
        <f t="shared" si="1497"/>
        <v>11744000</v>
      </c>
      <c r="H2878" s="690" t="s">
        <v>142</v>
      </c>
      <c r="I2878" s="71" t="s">
        <v>2273</v>
      </c>
      <c r="J2878" s="53">
        <f t="shared" si="1498"/>
        <v>3731616.546638811</v>
      </c>
      <c r="K2878" s="63">
        <f t="shared" si="1493"/>
        <v>0.31774664055166985</v>
      </c>
      <c r="L2878" s="871" t="s">
        <v>2305</v>
      </c>
      <c r="M2878" s="468"/>
      <c r="N2878" s="664">
        <f t="shared" si="1476"/>
        <v>200228</v>
      </c>
      <c r="O2878" s="71" t="s">
        <v>145</v>
      </c>
      <c r="P2878" s="103" t="str">
        <f t="shared" si="1479"/>
        <v>ENGAGE 30WEB(883*552)</v>
      </c>
      <c r="Q2878" s="71">
        <f t="shared" si="1480"/>
        <v>3200</v>
      </c>
      <c r="R2878" s="102">
        <f>R2876/1030/790*883*552</f>
        <v>2503.8698291753717</v>
      </c>
      <c r="S2878" s="102">
        <f t="shared" si="1489"/>
        <v>8813621.7986973077</v>
      </c>
      <c r="T2878" s="102">
        <f t="shared" si="1490"/>
        <v>8012383.453361189</v>
      </c>
      <c r="U2878" s="71" t="str">
        <f t="shared" si="1494"/>
        <v>O</v>
      </c>
      <c r="V2878" s="71"/>
      <c r="W2878" s="474">
        <f t="shared" si="1495"/>
        <v>3731616.546638811</v>
      </c>
      <c r="X2878" s="71"/>
      <c r="Y2878" s="71"/>
    </row>
    <row r="2879" spans="1:25" ht="30" hidden="1" customHeight="1" x14ac:dyDescent="0.25">
      <c r="A2879" s="82">
        <v>200228</v>
      </c>
      <c r="B2879" s="664" t="s">
        <v>1051</v>
      </c>
      <c r="C2879" s="71" t="s">
        <v>2219</v>
      </c>
      <c r="D2879" s="71">
        <v>3900</v>
      </c>
      <c r="E2879" s="102">
        <v>6200</v>
      </c>
      <c r="F2879" s="102">
        <f t="shared" si="1496"/>
        <v>26598000.000000004</v>
      </c>
      <c r="G2879" s="102">
        <f t="shared" si="1497"/>
        <v>24180000</v>
      </c>
      <c r="H2879" s="690" t="s">
        <v>142</v>
      </c>
      <c r="I2879" s="71" t="s">
        <v>2273</v>
      </c>
      <c r="J2879" s="53">
        <f t="shared" si="1498"/>
        <v>7671645.5696202517</v>
      </c>
      <c r="K2879" s="63">
        <f t="shared" si="1493"/>
        <v>0.31727235606369936</v>
      </c>
      <c r="L2879" s="871" t="s">
        <v>2305</v>
      </c>
      <c r="M2879" s="468"/>
      <c r="N2879" s="664">
        <f t="shared" si="1476"/>
        <v>200228</v>
      </c>
      <c r="O2879" s="71" t="s">
        <v>145</v>
      </c>
      <c r="P2879" s="103" t="str">
        <f t="shared" si="1479"/>
        <v>ENGAGE 1030*800</v>
      </c>
      <c r="Q2879" s="71">
        <f t="shared" si="1480"/>
        <v>3900</v>
      </c>
      <c r="R2879" s="102">
        <f>R2876/1030/790*1030*800</f>
        <v>4232.9113924050635</v>
      </c>
      <c r="S2879" s="102">
        <f t="shared" si="1489"/>
        <v>18159189.873417724</v>
      </c>
      <c r="T2879" s="102">
        <f t="shared" si="1490"/>
        <v>16508354.430379748</v>
      </c>
      <c r="U2879" s="71" t="str">
        <f t="shared" si="1494"/>
        <v>O</v>
      </c>
      <c r="V2879" s="71"/>
      <c r="W2879" s="474">
        <f t="shared" si="1495"/>
        <v>7671645.5696202517</v>
      </c>
      <c r="X2879" s="71"/>
      <c r="Y2879" s="71"/>
    </row>
    <row r="2880" spans="1:25" ht="30" hidden="1" customHeight="1" x14ac:dyDescent="0.25">
      <c r="A2880" s="82">
        <v>200228</v>
      </c>
      <c r="B2880" s="664" t="s">
        <v>1051</v>
      </c>
      <c r="C2880" s="71" t="s">
        <v>1383</v>
      </c>
      <c r="D2880" s="71">
        <v>1600</v>
      </c>
      <c r="E2880" s="102">
        <v>6430</v>
      </c>
      <c r="F2880" s="102">
        <f t="shared" si="1496"/>
        <v>11316800</v>
      </c>
      <c r="G2880" s="102">
        <f t="shared" si="1497"/>
        <v>10288000</v>
      </c>
      <c r="H2880" s="690" t="s">
        <v>142</v>
      </c>
      <c r="I2880" s="71" t="s">
        <v>2273</v>
      </c>
      <c r="J2880" s="53">
        <f t="shared" si="1498"/>
        <v>3255572.5205849828</v>
      </c>
      <c r="K2880" s="63">
        <f t="shared" si="1493"/>
        <v>0.31644367424037545</v>
      </c>
      <c r="L2880" s="871" t="s">
        <v>2305</v>
      </c>
      <c r="M2880" s="468"/>
      <c r="N2880" s="664">
        <f t="shared" si="1476"/>
        <v>200228</v>
      </c>
      <c r="O2880" s="71" t="s">
        <v>145</v>
      </c>
      <c r="P2880" s="103" t="str">
        <f t="shared" si="1479"/>
        <v>ENGAGE 1055*811</v>
      </c>
      <c r="Q2880" s="71">
        <f t="shared" si="1480"/>
        <v>1600</v>
      </c>
      <c r="R2880" s="102">
        <f>R2876/1030/790*1055*811</f>
        <v>4395.2671746343858</v>
      </c>
      <c r="S2880" s="102">
        <f t="shared" si="1489"/>
        <v>7735670.2273565196</v>
      </c>
      <c r="T2880" s="102">
        <f t="shared" si="1490"/>
        <v>7032427.4794150172</v>
      </c>
      <c r="U2880" s="71" t="str">
        <f t="shared" si="1494"/>
        <v>O</v>
      </c>
      <c r="V2880" s="71"/>
      <c r="W2880" s="474">
        <f t="shared" si="1495"/>
        <v>3255572.5205849828</v>
      </c>
      <c r="X2880" s="71"/>
      <c r="Y2880" s="71"/>
    </row>
    <row r="2881" spans="1:25" ht="30" hidden="1" customHeight="1" x14ac:dyDescent="0.25">
      <c r="A2881" s="82">
        <v>200228</v>
      </c>
      <c r="B2881" s="664" t="s">
        <v>1051</v>
      </c>
      <c r="C2881" s="71" t="s">
        <v>1650</v>
      </c>
      <c r="D2881" s="71">
        <v>800</v>
      </c>
      <c r="E2881" s="102">
        <v>4600</v>
      </c>
      <c r="F2881" s="102">
        <f t="shared" si="1496"/>
        <v>4048000.0000000005</v>
      </c>
      <c r="G2881" s="102">
        <f t="shared" si="1497"/>
        <v>3680000</v>
      </c>
      <c r="H2881" s="690" t="s">
        <v>142</v>
      </c>
      <c r="I2881" s="71" t="s">
        <v>2273</v>
      </c>
      <c r="J2881" s="53">
        <f t="shared" si="1498"/>
        <v>1169809.5710949982</v>
      </c>
      <c r="K2881" s="63">
        <f t="shared" si="1493"/>
        <v>0.31788303562364079</v>
      </c>
      <c r="L2881" s="871" t="s">
        <v>2305</v>
      </c>
      <c r="M2881" s="468"/>
      <c r="N2881" s="664">
        <f t="shared" si="1476"/>
        <v>200228</v>
      </c>
      <c r="O2881" s="71" t="s">
        <v>145</v>
      </c>
      <c r="P2881" s="103" t="str">
        <f t="shared" si="1479"/>
        <v>ENGAGE 968*631</v>
      </c>
      <c r="Q2881" s="71">
        <f t="shared" si="1480"/>
        <v>800</v>
      </c>
      <c r="R2881" s="102">
        <f>R2876/1030/790*968*631</f>
        <v>3137.7380361312526</v>
      </c>
      <c r="S2881" s="102">
        <f t="shared" si="1489"/>
        <v>2761209.4717955021</v>
      </c>
      <c r="T2881" s="102">
        <f t="shared" si="1490"/>
        <v>2510190.4289050018</v>
      </c>
      <c r="U2881" s="71" t="str">
        <f t="shared" si="1494"/>
        <v>O</v>
      </c>
      <c r="V2881" s="71"/>
      <c r="W2881" s="474">
        <f t="shared" si="1495"/>
        <v>1169809.5710949982</v>
      </c>
      <c r="X2881" s="71"/>
      <c r="Y2881" s="71"/>
    </row>
    <row r="2882" spans="1:25" ht="30" hidden="1" customHeight="1" x14ac:dyDescent="0.25">
      <c r="A2882" s="82">
        <v>200228</v>
      </c>
      <c r="B2882" s="664" t="s">
        <v>1051</v>
      </c>
      <c r="C2882" s="67" t="s">
        <v>1386</v>
      </c>
      <c r="D2882" s="71">
        <v>60</v>
      </c>
      <c r="E2882" s="102">
        <v>56500</v>
      </c>
      <c r="F2882" s="102">
        <f t="shared" si="1496"/>
        <v>3729000.0000000005</v>
      </c>
      <c r="G2882" s="102">
        <f t="shared" si="1497"/>
        <v>3390000</v>
      </c>
      <c r="H2882" s="690" t="s">
        <v>142</v>
      </c>
      <c r="I2882" s="71" t="s">
        <v>2273</v>
      </c>
      <c r="J2882" s="53">
        <f t="shared" si="1498"/>
        <v>1290000</v>
      </c>
      <c r="K2882" s="63">
        <f t="shared" si="1493"/>
        <v>0.38053097345132736</v>
      </c>
      <c r="L2882" s="871" t="s">
        <v>2305</v>
      </c>
      <c r="M2882" s="468"/>
      <c r="N2882" s="664">
        <f t="shared" si="1476"/>
        <v>200228</v>
      </c>
      <c r="O2882" s="71" t="s">
        <v>145</v>
      </c>
      <c r="P2882" s="103" t="str">
        <f t="shared" si="1479"/>
        <v>THR200(20L)보충액</v>
      </c>
      <c r="Q2882" s="71">
        <f t="shared" si="1480"/>
        <v>60</v>
      </c>
      <c r="R2882" s="102">
        <v>35000</v>
      </c>
      <c r="S2882" s="102">
        <f t="shared" si="1489"/>
        <v>2310000</v>
      </c>
      <c r="T2882" s="102">
        <f t="shared" si="1490"/>
        <v>2100000</v>
      </c>
      <c r="U2882" s="71" t="str">
        <f t="shared" si="1494"/>
        <v>O</v>
      </c>
      <c r="V2882" s="71"/>
      <c r="W2882" s="474">
        <f t="shared" si="1495"/>
        <v>1290000</v>
      </c>
      <c r="X2882" s="71"/>
      <c r="Y2882" s="71"/>
    </row>
    <row r="2883" spans="1:25" ht="30" hidden="1" customHeight="1" x14ac:dyDescent="0.25">
      <c r="A2883" s="82">
        <v>200228</v>
      </c>
      <c r="B2883" s="664" t="s">
        <v>1051</v>
      </c>
      <c r="C2883" s="71" t="s">
        <v>1387</v>
      </c>
      <c r="D2883" s="71">
        <v>10</v>
      </c>
      <c r="E2883" s="102">
        <v>56500</v>
      </c>
      <c r="F2883" s="102">
        <f t="shared" si="1496"/>
        <v>621500</v>
      </c>
      <c r="G2883" s="102">
        <f t="shared" si="1497"/>
        <v>565000</v>
      </c>
      <c r="H2883" s="690" t="s">
        <v>142</v>
      </c>
      <c r="I2883" s="71" t="s">
        <v>2273</v>
      </c>
      <c r="J2883" s="53">
        <f t="shared" si="1498"/>
        <v>215000</v>
      </c>
      <c r="K2883" s="63">
        <f t="shared" si="1493"/>
        <v>0.38053097345132741</v>
      </c>
      <c r="L2883" s="871" t="s">
        <v>2305</v>
      </c>
      <c r="M2883" s="468"/>
      <c r="N2883" s="664">
        <f t="shared" ref="N2883:N2896" si="1499">A2883</f>
        <v>200228</v>
      </c>
      <c r="O2883" s="71" t="s">
        <v>145</v>
      </c>
      <c r="P2883" s="103" t="str">
        <f t="shared" si="1479"/>
        <v>THD200(20L)현상액</v>
      </c>
      <c r="Q2883" s="71">
        <f t="shared" si="1480"/>
        <v>10</v>
      </c>
      <c r="R2883" s="102">
        <v>35000</v>
      </c>
      <c r="S2883" s="102">
        <f t="shared" ref="S2883:S2896" si="1500">R2883*Q2883*1.1</f>
        <v>385000.00000000006</v>
      </c>
      <c r="T2883" s="102">
        <f t="shared" ref="T2883:T2896" si="1501">R2883*Q2883</f>
        <v>350000</v>
      </c>
      <c r="U2883" s="71" t="str">
        <f t="shared" si="1494"/>
        <v>O</v>
      </c>
      <c r="V2883" s="71"/>
      <c r="W2883" s="474">
        <f t="shared" si="1495"/>
        <v>215000</v>
      </c>
      <c r="X2883" s="71"/>
      <c r="Y2883" s="71"/>
    </row>
    <row r="2884" spans="1:25" ht="30" hidden="1" customHeight="1" x14ac:dyDescent="0.25">
      <c r="A2884" s="82">
        <v>200228</v>
      </c>
      <c r="B2884" s="664" t="s">
        <v>1061</v>
      </c>
      <c r="C2884" s="71" t="s">
        <v>616</v>
      </c>
      <c r="D2884" s="71">
        <v>200</v>
      </c>
      <c r="E2884" s="102">
        <v>5600</v>
      </c>
      <c r="F2884" s="102">
        <f t="shared" si="1496"/>
        <v>1232000</v>
      </c>
      <c r="G2884" s="102">
        <f t="shared" si="1497"/>
        <v>1120000</v>
      </c>
      <c r="H2884" s="690" t="s">
        <v>142</v>
      </c>
      <c r="I2884" s="71" t="s">
        <v>144</v>
      </c>
      <c r="J2884" s="53">
        <f t="shared" si="1498"/>
        <v>102000</v>
      </c>
      <c r="K2884" s="63">
        <f t="shared" si="1493"/>
        <v>9.1071428571428567E-2</v>
      </c>
      <c r="L2884" s="871" t="s">
        <v>2305</v>
      </c>
      <c r="M2884" s="468"/>
      <c r="N2884" s="664">
        <f t="shared" si="1499"/>
        <v>200228</v>
      </c>
      <c r="O2884" s="71" t="s">
        <v>147</v>
      </c>
      <c r="P2884" s="103" t="str">
        <f t="shared" ref="P2884:P2896" si="1502">(C2884)</f>
        <v>프리미어(먹)</v>
      </c>
      <c r="Q2884" s="71">
        <f t="shared" ref="Q2884:Q2896" si="1503">D2884</f>
        <v>200</v>
      </c>
      <c r="R2884" s="102">
        <v>5090</v>
      </c>
      <c r="S2884" s="102">
        <f t="shared" si="1500"/>
        <v>1119800</v>
      </c>
      <c r="T2884" s="102">
        <f t="shared" si="1501"/>
        <v>1018000</v>
      </c>
      <c r="U2884" s="71" t="str">
        <f t="shared" si="1494"/>
        <v>O</v>
      </c>
      <c r="V2884" s="71"/>
      <c r="W2884" s="474">
        <f t="shared" si="1495"/>
        <v>102000</v>
      </c>
      <c r="X2884" s="71"/>
      <c r="Y2884" s="71"/>
    </row>
    <row r="2885" spans="1:25" ht="30" hidden="1" customHeight="1" x14ac:dyDescent="0.25">
      <c r="A2885" s="82">
        <v>200228</v>
      </c>
      <c r="B2885" s="664" t="s">
        <v>1052</v>
      </c>
      <c r="C2885" s="71" t="s">
        <v>585</v>
      </c>
      <c r="D2885" s="71">
        <v>400</v>
      </c>
      <c r="E2885" s="102">
        <v>6000</v>
      </c>
      <c r="F2885" s="102">
        <f t="shared" si="1496"/>
        <v>2640000</v>
      </c>
      <c r="G2885" s="102">
        <f t="shared" si="1497"/>
        <v>2400000</v>
      </c>
      <c r="H2885" s="690" t="s">
        <v>142</v>
      </c>
      <c r="I2885" s="71" t="s">
        <v>144</v>
      </c>
      <c r="J2885" s="53">
        <f t="shared" si="1498"/>
        <v>220000</v>
      </c>
      <c r="K2885" s="63">
        <f t="shared" si="1493"/>
        <v>9.166666666666666E-2</v>
      </c>
      <c r="L2885" s="871" t="s">
        <v>2305</v>
      </c>
      <c r="M2885" s="468"/>
      <c r="N2885" s="664">
        <f t="shared" si="1499"/>
        <v>200228</v>
      </c>
      <c r="O2885" s="71" t="s">
        <v>147</v>
      </c>
      <c r="P2885" s="103" t="str">
        <f t="shared" si="1502"/>
        <v>프리미어(적)</v>
      </c>
      <c r="Q2885" s="71">
        <f t="shared" si="1503"/>
        <v>400</v>
      </c>
      <c r="R2885" s="102">
        <v>5450</v>
      </c>
      <c r="S2885" s="102">
        <f t="shared" si="1500"/>
        <v>2398000</v>
      </c>
      <c r="T2885" s="102">
        <f t="shared" si="1501"/>
        <v>2180000</v>
      </c>
      <c r="U2885" s="71" t="str">
        <f t="shared" si="1494"/>
        <v>O</v>
      </c>
      <c r="V2885" s="71"/>
      <c r="W2885" s="474">
        <f t="shared" si="1495"/>
        <v>220000</v>
      </c>
      <c r="X2885" s="71"/>
      <c r="Y2885" s="71"/>
    </row>
    <row r="2886" spans="1:25" ht="30" hidden="1" customHeight="1" x14ac:dyDescent="0.25">
      <c r="A2886" s="82">
        <v>200228</v>
      </c>
      <c r="B2886" s="664" t="s">
        <v>1061</v>
      </c>
      <c r="C2886" s="71" t="s">
        <v>586</v>
      </c>
      <c r="D2886" s="71">
        <v>800</v>
      </c>
      <c r="E2886" s="102">
        <v>5750</v>
      </c>
      <c r="F2886" s="102">
        <f t="shared" si="1496"/>
        <v>5060000</v>
      </c>
      <c r="G2886" s="102">
        <f t="shared" si="1497"/>
        <v>4600000</v>
      </c>
      <c r="H2886" s="690" t="s">
        <v>142</v>
      </c>
      <c r="I2886" s="71" t="s">
        <v>144</v>
      </c>
      <c r="J2886" s="53">
        <f t="shared" si="1498"/>
        <v>424000</v>
      </c>
      <c r="K2886" s="63">
        <f t="shared" si="1493"/>
        <v>9.2173913043478259E-2</v>
      </c>
      <c r="L2886" s="871" t="s">
        <v>2305</v>
      </c>
      <c r="M2886" s="468"/>
      <c r="N2886" s="664">
        <f t="shared" si="1499"/>
        <v>200228</v>
      </c>
      <c r="O2886" s="71" t="s">
        <v>147</v>
      </c>
      <c r="P2886" s="103" t="str">
        <f t="shared" si="1502"/>
        <v>프리미어(황)</v>
      </c>
      <c r="Q2886" s="71">
        <f t="shared" si="1503"/>
        <v>800</v>
      </c>
      <c r="R2886" s="102">
        <v>5220</v>
      </c>
      <c r="S2886" s="102">
        <f t="shared" si="1500"/>
        <v>4593600</v>
      </c>
      <c r="T2886" s="102">
        <f t="shared" si="1501"/>
        <v>4176000</v>
      </c>
      <c r="U2886" s="71" t="str">
        <f t="shared" si="1494"/>
        <v>O</v>
      </c>
      <c r="V2886" s="71"/>
      <c r="W2886" s="474">
        <f t="shared" si="1495"/>
        <v>424000</v>
      </c>
      <c r="X2886" s="71"/>
      <c r="Y2886" s="71"/>
    </row>
    <row r="2887" spans="1:25" ht="30" hidden="1" customHeight="1" x14ac:dyDescent="0.25">
      <c r="A2887" s="82">
        <v>200228</v>
      </c>
      <c r="B2887" s="664" t="s">
        <v>1061</v>
      </c>
      <c r="C2887" s="71" t="s">
        <v>587</v>
      </c>
      <c r="D2887" s="71">
        <v>400</v>
      </c>
      <c r="E2887" s="102">
        <v>7000</v>
      </c>
      <c r="F2887" s="102">
        <f t="shared" si="1496"/>
        <v>3080000.0000000005</v>
      </c>
      <c r="G2887" s="102">
        <f t="shared" si="1497"/>
        <v>2800000</v>
      </c>
      <c r="H2887" s="690" t="s">
        <v>142</v>
      </c>
      <c r="I2887" s="71" t="s">
        <v>144</v>
      </c>
      <c r="J2887" s="53">
        <f t="shared" si="1498"/>
        <v>256000</v>
      </c>
      <c r="K2887" s="63">
        <f t="shared" si="1493"/>
        <v>9.1428571428571415E-2</v>
      </c>
      <c r="L2887" s="871" t="s">
        <v>2305</v>
      </c>
      <c r="M2887" s="468"/>
      <c r="N2887" s="664">
        <f t="shared" si="1499"/>
        <v>200228</v>
      </c>
      <c r="O2887" s="71" t="s">
        <v>147</v>
      </c>
      <c r="P2887" s="103" t="str">
        <f t="shared" si="1502"/>
        <v>프리미어(청)</v>
      </c>
      <c r="Q2887" s="71">
        <f t="shared" si="1503"/>
        <v>400</v>
      </c>
      <c r="R2887" s="102">
        <v>6360</v>
      </c>
      <c r="S2887" s="102">
        <f t="shared" si="1500"/>
        <v>2798400</v>
      </c>
      <c r="T2887" s="102">
        <f t="shared" si="1501"/>
        <v>2544000</v>
      </c>
      <c r="U2887" s="71" t="str">
        <f t="shared" si="1494"/>
        <v>O</v>
      </c>
      <c r="V2887" s="71"/>
      <c r="W2887" s="474">
        <f t="shared" si="1495"/>
        <v>256000</v>
      </c>
      <c r="X2887" s="71"/>
      <c r="Y2887" s="71"/>
    </row>
    <row r="2888" spans="1:25" ht="30" hidden="1" customHeight="1" x14ac:dyDescent="0.25">
      <c r="A2888" s="82">
        <v>200228</v>
      </c>
      <c r="B2888" s="664" t="s">
        <v>1052</v>
      </c>
      <c r="C2888" s="71" t="s">
        <v>1115</v>
      </c>
      <c r="D2888" s="71">
        <v>150</v>
      </c>
      <c r="E2888" s="102">
        <v>6200</v>
      </c>
      <c r="F2888" s="102">
        <f t="shared" si="1496"/>
        <v>1023000.0000000001</v>
      </c>
      <c r="G2888" s="102">
        <f t="shared" si="1497"/>
        <v>930000</v>
      </c>
      <c r="H2888" s="690" t="s">
        <v>142</v>
      </c>
      <c r="I2888" s="71" t="s">
        <v>144</v>
      </c>
      <c r="J2888" s="53">
        <f t="shared" si="1498"/>
        <v>15000</v>
      </c>
      <c r="K2888" s="63">
        <f t="shared" si="1493"/>
        <v>1.6129032258064516E-2</v>
      </c>
      <c r="L2888" s="871" t="s">
        <v>2305</v>
      </c>
      <c r="M2888" s="468"/>
      <c r="N2888" s="664">
        <f t="shared" si="1499"/>
        <v>200228</v>
      </c>
      <c r="O2888" s="71" t="s">
        <v>147</v>
      </c>
      <c r="P2888" s="103" t="str">
        <f t="shared" si="1502"/>
        <v>한특 잉크(적)</v>
      </c>
      <c r="Q2888" s="71">
        <f t="shared" si="1503"/>
        <v>150</v>
      </c>
      <c r="R2888" s="102">
        <v>6100</v>
      </c>
      <c r="S2888" s="102">
        <f t="shared" si="1500"/>
        <v>1006500.0000000001</v>
      </c>
      <c r="T2888" s="102">
        <f t="shared" si="1501"/>
        <v>915000</v>
      </c>
      <c r="U2888" s="71" t="str">
        <f t="shared" si="1494"/>
        <v>O</v>
      </c>
      <c r="V2888" s="71"/>
      <c r="W2888" s="474">
        <f t="shared" si="1495"/>
        <v>15000</v>
      </c>
      <c r="X2888" s="71"/>
      <c r="Y2888" s="71"/>
    </row>
    <row r="2889" spans="1:25" ht="30" hidden="1" customHeight="1" x14ac:dyDescent="0.25">
      <c r="A2889" s="82">
        <v>200228</v>
      </c>
      <c r="B2889" s="664" t="s">
        <v>1052</v>
      </c>
      <c r="C2889" s="71" t="s">
        <v>1116</v>
      </c>
      <c r="D2889" s="71">
        <v>50</v>
      </c>
      <c r="E2889" s="102">
        <v>6000</v>
      </c>
      <c r="F2889" s="102">
        <f t="shared" si="1496"/>
        <v>330000</v>
      </c>
      <c r="G2889" s="102">
        <f t="shared" si="1497"/>
        <v>300000</v>
      </c>
      <c r="H2889" s="690" t="s">
        <v>142</v>
      </c>
      <c r="I2889" s="71" t="s">
        <v>144</v>
      </c>
      <c r="J2889" s="53">
        <f t="shared" si="1498"/>
        <v>5000</v>
      </c>
      <c r="K2889" s="63">
        <f t="shared" si="1493"/>
        <v>1.6666666666666666E-2</v>
      </c>
      <c r="L2889" s="871" t="s">
        <v>2305</v>
      </c>
      <c r="M2889" s="468"/>
      <c r="N2889" s="664">
        <f t="shared" si="1499"/>
        <v>200228</v>
      </c>
      <c r="O2889" s="71" t="s">
        <v>147</v>
      </c>
      <c r="P2889" s="103" t="str">
        <f t="shared" si="1502"/>
        <v>한특 잉크(황)</v>
      </c>
      <c r="Q2889" s="71">
        <f t="shared" si="1503"/>
        <v>50</v>
      </c>
      <c r="R2889" s="102">
        <v>5900</v>
      </c>
      <c r="S2889" s="102">
        <f t="shared" si="1500"/>
        <v>324500</v>
      </c>
      <c r="T2889" s="102">
        <f t="shared" si="1501"/>
        <v>295000</v>
      </c>
      <c r="U2889" s="71" t="str">
        <f t="shared" si="1494"/>
        <v>O</v>
      </c>
      <c r="V2889" s="71"/>
      <c r="W2889" s="474">
        <f t="shared" si="1495"/>
        <v>5000</v>
      </c>
      <c r="X2889" s="71"/>
      <c r="Y2889" s="71"/>
    </row>
    <row r="2890" spans="1:25" ht="30" hidden="1" customHeight="1" x14ac:dyDescent="0.25">
      <c r="A2890" s="82">
        <v>200228</v>
      </c>
      <c r="B2890" s="664" t="s">
        <v>1052</v>
      </c>
      <c r="C2890" s="71" t="s">
        <v>1117</v>
      </c>
      <c r="D2890" s="71">
        <v>50</v>
      </c>
      <c r="E2890" s="102">
        <v>6500</v>
      </c>
      <c r="F2890" s="102">
        <f t="shared" si="1496"/>
        <v>357500</v>
      </c>
      <c r="G2890" s="102">
        <f t="shared" si="1497"/>
        <v>325000</v>
      </c>
      <c r="H2890" s="690" t="s">
        <v>142</v>
      </c>
      <c r="I2890" s="71" t="s">
        <v>144</v>
      </c>
      <c r="J2890" s="53">
        <f t="shared" si="1498"/>
        <v>5000</v>
      </c>
      <c r="K2890" s="63">
        <f t="shared" si="1493"/>
        <v>1.5384615384615385E-2</v>
      </c>
      <c r="L2890" s="871" t="s">
        <v>2305</v>
      </c>
      <c r="M2890" s="468"/>
      <c r="N2890" s="664">
        <f t="shared" si="1499"/>
        <v>200228</v>
      </c>
      <c r="O2890" s="71" t="s">
        <v>147</v>
      </c>
      <c r="P2890" s="103" t="str">
        <f t="shared" si="1502"/>
        <v>한특 잉크(청)</v>
      </c>
      <c r="Q2890" s="71">
        <f t="shared" si="1503"/>
        <v>50</v>
      </c>
      <c r="R2890" s="102">
        <v>6400</v>
      </c>
      <c r="S2890" s="102">
        <f t="shared" si="1500"/>
        <v>352000</v>
      </c>
      <c r="T2890" s="102">
        <f t="shared" si="1501"/>
        <v>320000</v>
      </c>
      <c r="U2890" s="71" t="str">
        <f t="shared" si="1494"/>
        <v>O</v>
      </c>
      <c r="V2890" s="71"/>
      <c r="W2890" s="474">
        <f t="shared" si="1495"/>
        <v>5000</v>
      </c>
      <c r="X2890" s="71"/>
      <c r="Y2890" s="71"/>
    </row>
    <row r="2891" spans="1:25" ht="30" hidden="1" customHeight="1" x14ac:dyDescent="0.25">
      <c r="A2891" s="82">
        <v>200228</v>
      </c>
      <c r="B2891" s="664" t="s">
        <v>1052</v>
      </c>
      <c r="C2891" s="71" t="s">
        <v>1118</v>
      </c>
      <c r="D2891" s="71">
        <v>50</v>
      </c>
      <c r="E2891" s="102">
        <v>5600</v>
      </c>
      <c r="F2891" s="102">
        <f t="shared" si="1496"/>
        <v>308000</v>
      </c>
      <c r="G2891" s="102">
        <f t="shared" si="1497"/>
        <v>280000</v>
      </c>
      <c r="H2891" s="690" t="s">
        <v>142</v>
      </c>
      <c r="I2891" s="71" t="s">
        <v>144</v>
      </c>
      <c r="J2891" s="53">
        <f t="shared" si="1498"/>
        <v>5000</v>
      </c>
      <c r="K2891" s="63">
        <f t="shared" si="1493"/>
        <v>1.7857142857142856E-2</v>
      </c>
      <c r="L2891" s="871" t="s">
        <v>2305</v>
      </c>
      <c r="M2891" s="468"/>
      <c r="N2891" s="664">
        <f t="shared" si="1499"/>
        <v>200228</v>
      </c>
      <c r="O2891" s="71" t="s">
        <v>147</v>
      </c>
      <c r="P2891" s="103" t="str">
        <f t="shared" si="1502"/>
        <v>한특 잉크(먹)</v>
      </c>
      <c r="Q2891" s="71">
        <f t="shared" si="1503"/>
        <v>50</v>
      </c>
      <c r="R2891" s="102">
        <v>5500</v>
      </c>
      <c r="S2891" s="102">
        <f t="shared" si="1500"/>
        <v>302500</v>
      </c>
      <c r="T2891" s="102">
        <f t="shared" si="1501"/>
        <v>275000</v>
      </c>
      <c r="U2891" s="71" t="str">
        <f t="shared" si="1494"/>
        <v>O</v>
      </c>
      <c r="V2891" s="71"/>
      <c r="W2891" s="474">
        <f t="shared" si="1495"/>
        <v>5000</v>
      </c>
      <c r="X2891" s="71"/>
      <c r="Y2891" s="71"/>
    </row>
    <row r="2892" spans="1:25" ht="30" hidden="1" customHeight="1" x14ac:dyDescent="0.25">
      <c r="A2892" s="82">
        <v>200228</v>
      </c>
      <c r="B2892" s="664" t="s">
        <v>1052</v>
      </c>
      <c r="C2892" s="71" t="s">
        <v>1843</v>
      </c>
      <c r="D2892" s="71"/>
      <c r="E2892" s="102">
        <v>8200</v>
      </c>
      <c r="F2892" s="102">
        <f t="shared" si="1496"/>
        <v>0</v>
      </c>
      <c r="G2892" s="102">
        <f t="shared" si="1497"/>
        <v>0</v>
      </c>
      <c r="H2892" s="690" t="s">
        <v>142</v>
      </c>
      <c r="I2892" s="71" t="s">
        <v>144</v>
      </c>
      <c r="J2892" s="53">
        <f t="shared" si="1498"/>
        <v>0</v>
      </c>
      <c r="K2892" s="63" t="e">
        <f t="shared" si="1493"/>
        <v>#DIV/0!</v>
      </c>
      <c r="L2892" s="871" t="s">
        <v>2305</v>
      </c>
      <c r="M2892" s="468"/>
      <c r="N2892" s="664">
        <f t="shared" si="1499"/>
        <v>200228</v>
      </c>
      <c r="O2892" s="71" t="s">
        <v>147</v>
      </c>
      <c r="P2892" s="103" t="str">
        <f t="shared" si="1502"/>
        <v>아라니아 분홍(1) 190c</v>
      </c>
      <c r="Q2892" s="71">
        <f t="shared" si="1503"/>
        <v>0</v>
      </c>
      <c r="R2892" s="102">
        <v>7850</v>
      </c>
      <c r="S2892" s="102">
        <f t="shared" si="1500"/>
        <v>0</v>
      </c>
      <c r="T2892" s="102">
        <f t="shared" si="1501"/>
        <v>0</v>
      </c>
      <c r="U2892" s="71" t="str">
        <f t="shared" si="1494"/>
        <v>O</v>
      </c>
      <c r="V2892" s="71"/>
      <c r="W2892" s="474">
        <f t="shared" si="1495"/>
        <v>0</v>
      </c>
      <c r="X2892" s="71"/>
      <c r="Y2892" s="71"/>
    </row>
    <row r="2893" spans="1:25" ht="30" hidden="1" customHeight="1" x14ac:dyDescent="0.25">
      <c r="A2893" s="82">
        <v>200228</v>
      </c>
      <c r="B2893" s="664" t="s">
        <v>1052</v>
      </c>
      <c r="C2893" s="71" t="s">
        <v>1840</v>
      </c>
      <c r="D2893" s="71"/>
      <c r="E2893" s="102">
        <v>8000</v>
      </c>
      <c r="F2893" s="102">
        <f t="shared" si="1496"/>
        <v>0</v>
      </c>
      <c r="G2893" s="102">
        <f t="shared" si="1497"/>
        <v>0</v>
      </c>
      <c r="H2893" s="690" t="s">
        <v>142</v>
      </c>
      <c r="I2893" s="71" t="s">
        <v>144</v>
      </c>
      <c r="J2893" s="53">
        <f t="shared" si="1498"/>
        <v>0</v>
      </c>
      <c r="K2893" s="63" t="e">
        <f t="shared" si="1493"/>
        <v>#DIV/0!</v>
      </c>
      <c r="L2893" s="871" t="s">
        <v>2305</v>
      </c>
      <c r="M2893" s="468"/>
      <c r="N2893" s="664">
        <f t="shared" si="1499"/>
        <v>200228</v>
      </c>
      <c r="O2893" s="71" t="s">
        <v>147</v>
      </c>
      <c r="P2893" s="103" t="str">
        <f t="shared" si="1502"/>
        <v>아라니아 연청 304c</v>
      </c>
      <c r="Q2893" s="71">
        <f t="shared" si="1503"/>
        <v>0</v>
      </c>
      <c r="R2893" s="102">
        <v>7600</v>
      </c>
      <c r="S2893" s="102">
        <f t="shared" si="1500"/>
        <v>0</v>
      </c>
      <c r="T2893" s="102">
        <f t="shared" si="1501"/>
        <v>0</v>
      </c>
      <c r="U2893" s="71" t="str">
        <f t="shared" si="1494"/>
        <v>O</v>
      </c>
      <c r="V2893" s="71"/>
      <c r="W2893" s="474">
        <f t="shared" si="1495"/>
        <v>0</v>
      </c>
      <c r="X2893" s="71"/>
      <c r="Y2893" s="71"/>
    </row>
    <row r="2894" spans="1:25" ht="30" hidden="1" customHeight="1" x14ac:dyDescent="0.25">
      <c r="A2894" s="82">
        <v>200228</v>
      </c>
      <c r="B2894" s="664" t="s">
        <v>1052</v>
      </c>
      <c r="C2894" s="71" t="s">
        <v>1841</v>
      </c>
      <c r="D2894" s="71"/>
      <c r="E2894" s="102">
        <v>7700</v>
      </c>
      <c r="F2894" s="102">
        <f t="shared" si="1496"/>
        <v>0</v>
      </c>
      <c r="G2894" s="102">
        <f t="shared" si="1497"/>
        <v>0</v>
      </c>
      <c r="H2894" s="690" t="s">
        <v>142</v>
      </c>
      <c r="I2894" s="71" t="s">
        <v>144</v>
      </c>
      <c r="J2894" s="53">
        <f t="shared" si="1498"/>
        <v>0</v>
      </c>
      <c r="K2894" s="63" t="e">
        <f t="shared" si="1493"/>
        <v>#DIV/0!</v>
      </c>
      <c r="L2894" s="871" t="s">
        <v>2305</v>
      </c>
      <c r="M2894" s="468"/>
      <c r="N2894" s="664">
        <f t="shared" si="1499"/>
        <v>200228</v>
      </c>
      <c r="O2894" s="71" t="s">
        <v>147</v>
      </c>
      <c r="P2894" s="103" t="str">
        <f t="shared" si="1502"/>
        <v>아라니아 분홍(2) 1905c</v>
      </c>
      <c r="Q2894" s="71">
        <f t="shared" si="1503"/>
        <v>0</v>
      </c>
      <c r="R2894" s="102">
        <v>7300</v>
      </c>
      <c r="S2894" s="102">
        <f t="shared" si="1500"/>
        <v>0</v>
      </c>
      <c r="T2894" s="102">
        <f t="shared" si="1501"/>
        <v>0</v>
      </c>
      <c r="U2894" s="71" t="str">
        <f t="shared" si="1494"/>
        <v>O</v>
      </c>
      <c r="V2894" s="71"/>
      <c r="W2894" s="474">
        <f t="shared" si="1495"/>
        <v>0</v>
      </c>
      <c r="X2894" s="71"/>
      <c r="Y2894" s="71"/>
    </row>
    <row r="2895" spans="1:25" ht="30" hidden="1" customHeight="1" x14ac:dyDescent="0.25">
      <c r="A2895" s="82">
        <v>200228</v>
      </c>
      <c r="B2895" s="664" t="s">
        <v>1052</v>
      </c>
      <c r="C2895" s="71" t="s">
        <v>1842</v>
      </c>
      <c r="D2895" s="71"/>
      <c r="E2895" s="102">
        <v>8600</v>
      </c>
      <c r="F2895" s="102">
        <f t="shared" si="1496"/>
        <v>0</v>
      </c>
      <c r="G2895" s="102">
        <f t="shared" si="1497"/>
        <v>0</v>
      </c>
      <c r="H2895" s="690" t="s">
        <v>142</v>
      </c>
      <c r="I2895" s="71" t="s">
        <v>144</v>
      </c>
      <c r="J2895" s="53">
        <f t="shared" si="1498"/>
        <v>0</v>
      </c>
      <c r="K2895" s="63" t="e">
        <f t="shared" si="1493"/>
        <v>#DIV/0!</v>
      </c>
      <c r="L2895" s="871" t="s">
        <v>2305</v>
      </c>
      <c r="M2895" s="468"/>
      <c r="N2895" s="664">
        <f t="shared" si="1499"/>
        <v>200228</v>
      </c>
      <c r="O2895" s="71" t="s">
        <v>147</v>
      </c>
      <c r="P2895" s="103" t="str">
        <f t="shared" si="1502"/>
        <v>아라니아 분홍(3) 1775c</v>
      </c>
      <c r="Q2895" s="71">
        <f t="shared" si="1503"/>
        <v>0</v>
      </c>
      <c r="R2895" s="102">
        <v>8100</v>
      </c>
      <c r="S2895" s="102">
        <f t="shared" si="1500"/>
        <v>0</v>
      </c>
      <c r="T2895" s="102">
        <f t="shared" si="1501"/>
        <v>0</v>
      </c>
      <c r="U2895" s="71" t="str">
        <f t="shared" si="1494"/>
        <v>O</v>
      </c>
      <c r="V2895" s="71"/>
      <c r="W2895" s="474">
        <f t="shared" si="1495"/>
        <v>0</v>
      </c>
      <c r="X2895" s="71"/>
      <c r="Y2895" s="71"/>
    </row>
    <row r="2896" spans="1:25" ht="30" hidden="1" customHeight="1" x14ac:dyDescent="0.25">
      <c r="A2896" s="82">
        <v>200228</v>
      </c>
      <c r="B2896" s="664" t="s">
        <v>1052</v>
      </c>
      <c r="C2896" s="71" t="s">
        <v>2015</v>
      </c>
      <c r="D2896" s="71"/>
      <c r="E2896" s="102">
        <v>8200</v>
      </c>
      <c r="F2896" s="102">
        <f t="shared" si="1496"/>
        <v>0</v>
      </c>
      <c r="G2896" s="102">
        <f t="shared" si="1497"/>
        <v>0</v>
      </c>
      <c r="H2896" s="690" t="s">
        <v>142</v>
      </c>
      <c r="I2896" s="71" t="s">
        <v>144</v>
      </c>
      <c r="J2896" s="53">
        <f t="shared" si="1498"/>
        <v>0</v>
      </c>
      <c r="K2896" s="63" t="e">
        <f t="shared" si="1493"/>
        <v>#DIV/0!</v>
      </c>
      <c r="L2896" s="871" t="s">
        <v>2305</v>
      </c>
      <c r="M2896" s="468"/>
      <c r="N2896" s="664">
        <f t="shared" si="1499"/>
        <v>200228</v>
      </c>
      <c r="O2896" s="71" t="s">
        <v>147</v>
      </c>
      <c r="P2896" s="103" t="str">
        <f t="shared" si="1502"/>
        <v>아라니아 BTS 보라</v>
      </c>
      <c r="Q2896" s="71">
        <f t="shared" si="1503"/>
        <v>0</v>
      </c>
      <c r="R2896" s="102">
        <v>8200</v>
      </c>
      <c r="S2896" s="102">
        <f t="shared" si="1500"/>
        <v>0</v>
      </c>
      <c r="T2896" s="102">
        <f t="shared" si="1501"/>
        <v>0</v>
      </c>
      <c r="U2896" s="71" t="str">
        <f t="shared" si="1494"/>
        <v>O</v>
      </c>
      <c r="V2896" s="71"/>
      <c r="W2896" s="474">
        <f t="shared" si="1495"/>
        <v>0</v>
      </c>
      <c r="X2896" s="71"/>
      <c r="Y2896" s="71"/>
    </row>
    <row r="2897" spans="1:25" s="978" customFormat="1" ht="45" hidden="1" customHeight="1" x14ac:dyDescent="0.25">
      <c r="A2897" s="982" t="s">
        <v>2319</v>
      </c>
      <c r="B2897" s="976" t="s">
        <v>544</v>
      </c>
      <c r="C2897" s="453"/>
      <c r="D2897" s="453"/>
      <c r="E2897" s="454"/>
      <c r="F2897" s="454"/>
      <c r="G2897" s="454"/>
      <c r="H2897" s="455"/>
      <c r="I2897" s="453"/>
      <c r="J2897" s="417"/>
      <c r="K2897" s="418"/>
      <c r="L2897" s="983" t="s">
        <v>2320</v>
      </c>
      <c r="M2897" s="643"/>
      <c r="N2897" s="724" t="str">
        <f>A2897</f>
        <v>2020,3</v>
      </c>
      <c r="O2897" s="453" t="s">
        <v>154</v>
      </c>
      <c r="P2897" s="728"/>
      <c r="Q2897" s="420"/>
      <c r="R2897" s="420"/>
      <c r="S2897" s="417"/>
      <c r="T2897" s="417"/>
      <c r="U2897" s="421"/>
      <c r="V2897" s="421"/>
      <c r="W2897" s="479">
        <f t="shared" si="1495"/>
        <v>0</v>
      </c>
      <c r="X2897" s="421"/>
      <c r="Y2897" s="421"/>
    </row>
    <row r="2898" spans="1:25" ht="30" hidden="1" customHeight="1" x14ac:dyDescent="0.2">
      <c r="A2898" s="82">
        <v>191225</v>
      </c>
      <c r="B2898" s="664" t="s">
        <v>575</v>
      </c>
      <c r="C2898" s="71" t="s">
        <v>2206</v>
      </c>
      <c r="D2898" s="71">
        <v>3</v>
      </c>
      <c r="E2898" s="102">
        <v>260000</v>
      </c>
      <c r="F2898" s="163">
        <f>(E2898*D2898)*1.1</f>
        <v>858000.00000000012</v>
      </c>
      <c r="G2898" s="102">
        <f>(E2898*D2898)</f>
        <v>780000</v>
      </c>
      <c r="H2898" s="690" t="s">
        <v>1431</v>
      </c>
      <c r="I2898" s="71" t="s">
        <v>1431</v>
      </c>
      <c r="J2898" s="53">
        <f t="shared" ref="J2898:J2903" si="1504">G2898-T2898</f>
        <v>330000</v>
      </c>
      <c r="K2898" s="63">
        <f>(J2898/(F2898/11*10))</f>
        <v>0.42307692307692302</v>
      </c>
      <c r="L2898" s="871" t="s">
        <v>2320</v>
      </c>
      <c r="M2898" s="468"/>
      <c r="N2898" s="664"/>
      <c r="O2898" s="71" t="s">
        <v>1431</v>
      </c>
      <c r="P2898" s="195" t="str">
        <f>(C2898)</f>
        <v>폴더 접지 가이드</v>
      </c>
      <c r="Q2898" s="71">
        <f>D2898</f>
        <v>3</v>
      </c>
      <c r="R2898" s="102">
        <v>150000</v>
      </c>
      <c r="S2898" s="147">
        <f>(R2898*D2898)*1.1</f>
        <v>495000.00000000006</v>
      </c>
      <c r="T2898" s="147">
        <f>(R2898*Q2898)</f>
        <v>450000</v>
      </c>
      <c r="U2898" s="209" t="str">
        <f>IF(J2898=W2898,"O", "X")</f>
        <v>X</v>
      </c>
      <c r="V2898" s="71"/>
      <c r="W2898" s="474"/>
      <c r="X2898" s="71"/>
      <c r="Y2898" s="71"/>
    </row>
    <row r="2899" spans="1:25" ht="30" hidden="1" customHeight="1" x14ac:dyDescent="0.2">
      <c r="A2899" s="82">
        <v>191225</v>
      </c>
      <c r="B2899" s="664" t="s">
        <v>575</v>
      </c>
      <c r="C2899" s="71" t="s">
        <v>2207</v>
      </c>
      <c r="D2899" s="71">
        <v>12</v>
      </c>
      <c r="E2899" s="102">
        <v>98000</v>
      </c>
      <c r="F2899" s="163">
        <f>(E2899*D2899)*1.1</f>
        <v>1293600</v>
      </c>
      <c r="G2899" s="102">
        <f>(E2899*D2899)</f>
        <v>1176000</v>
      </c>
      <c r="H2899" s="690" t="s">
        <v>1431</v>
      </c>
      <c r="I2899" s="71" t="s">
        <v>1431</v>
      </c>
      <c r="J2899" s="53">
        <f t="shared" si="1504"/>
        <v>197000</v>
      </c>
      <c r="K2899" s="63">
        <f>(J2899/(F2899/11*10))</f>
        <v>0.16751700680272108</v>
      </c>
      <c r="L2899" s="871" t="s">
        <v>2320</v>
      </c>
      <c r="M2899" s="468"/>
      <c r="N2899" s="664"/>
      <c r="O2899" s="71" t="s">
        <v>1431</v>
      </c>
      <c r="P2899" s="195" t="str">
        <f>(C2899)</f>
        <v>스프레이 구리스</v>
      </c>
      <c r="Q2899" s="71">
        <v>1</v>
      </c>
      <c r="R2899" s="102">
        <v>979000</v>
      </c>
      <c r="S2899" s="102">
        <f>R2899*Q2899*1.1</f>
        <v>1076900</v>
      </c>
      <c r="T2899" s="147">
        <f>(R2899*Q2899)</f>
        <v>979000</v>
      </c>
      <c r="U2899" s="209" t="str">
        <f>IF(J2899=W2899,"O", "X")</f>
        <v>X</v>
      </c>
      <c r="V2899" s="71"/>
      <c r="W2899" s="474"/>
      <c r="X2899" s="71"/>
      <c r="Y2899" s="71"/>
    </row>
    <row r="2900" spans="1:25" ht="30" hidden="1" customHeight="1" x14ac:dyDescent="0.25">
      <c r="A2900" s="82">
        <v>200131</v>
      </c>
      <c r="B2900" s="664" t="s">
        <v>575</v>
      </c>
      <c r="C2900" s="71" t="s">
        <v>950</v>
      </c>
      <c r="D2900" s="71">
        <v>1</v>
      </c>
      <c r="E2900" s="102">
        <v>4500000</v>
      </c>
      <c r="F2900" s="1128">
        <f>(E2900*D2900)*1.1</f>
        <v>4950000</v>
      </c>
      <c r="G2900" s="102">
        <f>(E2900*D2900)</f>
        <v>4500000</v>
      </c>
      <c r="H2900" s="690" t="s">
        <v>1431</v>
      </c>
      <c r="I2900" s="71" t="s">
        <v>1431</v>
      </c>
      <c r="J2900" s="53">
        <f t="shared" si="1504"/>
        <v>2000000</v>
      </c>
      <c r="K2900" s="63">
        <f>(J2900/(F2900/11*10))</f>
        <v>0.44444444444444442</v>
      </c>
      <c r="L2900" s="871" t="s">
        <v>2320</v>
      </c>
      <c r="M2900" s="468"/>
      <c r="N2900" s="664"/>
      <c r="O2900" s="71" t="s">
        <v>2363</v>
      </c>
      <c r="P2900" s="195" t="str">
        <f>(C2900)</f>
        <v>상하 핀맞춤 모터</v>
      </c>
      <c r="Q2900" s="71">
        <f>D2900</f>
        <v>1</v>
      </c>
      <c r="R2900" s="102">
        <v>2500000</v>
      </c>
      <c r="S2900" s="147">
        <f>(R2900*D2900)*1.1</f>
        <v>2750000</v>
      </c>
      <c r="T2900" s="147">
        <f>(R2900*Q2900)</f>
        <v>2500000</v>
      </c>
      <c r="U2900" s="209" t="str">
        <f>IF(J2900=W2900,"O", "X")</f>
        <v>X</v>
      </c>
      <c r="V2900" s="71"/>
      <c r="W2900" s="474"/>
      <c r="X2900" s="71"/>
      <c r="Y2900" s="71"/>
    </row>
    <row r="2901" spans="1:25" ht="30" hidden="1" customHeight="1" x14ac:dyDescent="0.25">
      <c r="A2901" s="82">
        <v>200227</v>
      </c>
      <c r="B2901" s="664" t="s">
        <v>690</v>
      </c>
      <c r="C2901" s="71" t="s">
        <v>1186</v>
      </c>
      <c r="D2901" s="71">
        <v>2000</v>
      </c>
      <c r="E2901" s="102">
        <v>3420</v>
      </c>
      <c r="F2901" s="1128">
        <f>(E2901*D2901)*1.1</f>
        <v>7524000.0000000009</v>
      </c>
      <c r="G2901" s="102">
        <f>(E2901*D2901)</f>
        <v>6840000</v>
      </c>
      <c r="H2901" s="690" t="s">
        <v>173</v>
      </c>
      <c r="I2901" s="71" t="s">
        <v>2230</v>
      </c>
      <c r="J2901" s="53">
        <f t="shared" si="1504"/>
        <v>-760000</v>
      </c>
      <c r="K2901" s="63">
        <f t="shared" ref="K2901:K2909" si="1505">(J2901/(F2901/11*10))</f>
        <v>-0.11111111111111109</v>
      </c>
      <c r="L2901" s="871" t="s">
        <v>2342</v>
      </c>
      <c r="M2901" s="468" t="s">
        <v>1393</v>
      </c>
      <c r="N2901" s="664">
        <f t="shared" ref="N2901:N2909" si="1506">A2901</f>
        <v>200227</v>
      </c>
      <c r="O2901" s="71" t="s">
        <v>145</v>
      </c>
      <c r="P2901" s="103" t="str">
        <f>(C2901)</f>
        <v>CTP 판(1030*790mm)</v>
      </c>
      <c r="Q2901" s="71">
        <f t="shared" ref="Q2901:Q2909" si="1507">D2901</f>
        <v>2000</v>
      </c>
      <c r="R2901" s="102">
        <v>3800</v>
      </c>
      <c r="S2901" s="102">
        <f t="shared" ref="S2901:S2915" si="1508">R2901*Q2901*1.1</f>
        <v>8360000.0000000009</v>
      </c>
      <c r="T2901" s="102">
        <f t="shared" ref="T2901:T2915" si="1509">R2901*Q2901</f>
        <v>7600000</v>
      </c>
      <c r="U2901" s="71" t="s">
        <v>859</v>
      </c>
      <c r="V2901" s="71"/>
      <c r="W2901" s="474">
        <v>-200000</v>
      </c>
      <c r="X2901" s="71"/>
      <c r="Y2901" s="71"/>
    </row>
    <row r="2902" spans="1:25" ht="30" hidden="1" customHeight="1" x14ac:dyDescent="0.25">
      <c r="A2902" s="82">
        <v>200227</v>
      </c>
      <c r="B2902" s="664" t="s">
        <v>690</v>
      </c>
      <c r="C2902" s="71" t="s">
        <v>197</v>
      </c>
      <c r="D2902" s="71">
        <v>14</v>
      </c>
      <c r="E2902" s="102">
        <v>46000</v>
      </c>
      <c r="F2902" s="1128">
        <f t="shared" ref="F2902:F2909" si="1510">(E2902*D2902)*1.1</f>
        <v>708400</v>
      </c>
      <c r="G2902" s="102">
        <f t="shared" ref="G2902:G2909" si="1511">(E2902*D2902)</f>
        <v>644000</v>
      </c>
      <c r="H2902" s="690" t="s">
        <v>173</v>
      </c>
      <c r="I2902" s="71" t="s">
        <v>2230</v>
      </c>
      <c r="J2902" s="53">
        <f t="shared" si="1504"/>
        <v>154000</v>
      </c>
      <c r="K2902" s="63">
        <f t="shared" si="1505"/>
        <v>0.2391304347826087</v>
      </c>
      <c r="L2902" s="871" t="s">
        <v>2342</v>
      </c>
      <c r="M2902" s="468" t="s">
        <v>1394</v>
      </c>
      <c r="N2902" s="664">
        <f t="shared" si="1506"/>
        <v>200227</v>
      </c>
      <c r="O2902" s="71" t="s">
        <v>145</v>
      </c>
      <c r="P2902" s="103" t="str">
        <f>(C2902)</f>
        <v>THR200(20L)</v>
      </c>
      <c r="Q2902" s="71">
        <f t="shared" si="1507"/>
        <v>14</v>
      </c>
      <c r="R2902" s="102">
        <v>35000</v>
      </c>
      <c r="S2902" s="102">
        <f t="shared" si="1508"/>
        <v>539000</v>
      </c>
      <c r="T2902" s="102">
        <f t="shared" si="1509"/>
        <v>490000</v>
      </c>
      <c r="U2902" s="71" t="str">
        <f t="shared" ref="U2902:U2909" si="1512">IF(J2902=W2902,"O", "X")</f>
        <v>X</v>
      </c>
      <c r="V2902" s="71"/>
      <c r="W2902" s="474"/>
      <c r="X2902" s="71"/>
      <c r="Y2902" s="71"/>
    </row>
    <row r="2903" spans="1:25" ht="30" hidden="1" customHeight="1" x14ac:dyDescent="0.25">
      <c r="A2903" s="82">
        <v>200227</v>
      </c>
      <c r="B2903" s="664" t="s">
        <v>690</v>
      </c>
      <c r="C2903" s="71" t="s">
        <v>750</v>
      </c>
      <c r="D2903" s="71">
        <v>12</v>
      </c>
      <c r="E2903" s="102">
        <v>46000</v>
      </c>
      <c r="F2903" s="102">
        <f t="shared" si="1510"/>
        <v>607200</v>
      </c>
      <c r="G2903" s="102">
        <f t="shared" si="1511"/>
        <v>552000</v>
      </c>
      <c r="H2903" s="690" t="s">
        <v>173</v>
      </c>
      <c r="I2903" s="71" t="s">
        <v>2230</v>
      </c>
      <c r="J2903" s="53">
        <f t="shared" si="1504"/>
        <v>132000</v>
      </c>
      <c r="K2903" s="63">
        <f t="shared" si="1505"/>
        <v>0.2391304347826087</v>
      </c>
      <c r="L2903" s="871" t="s">
        <v>2342</v>
      </c>
      <c r="M2903" s="468" t="s">
        <v>1394</v>
      </c>
      <c r="N2903" s="664">
        <f t="shared" si="1506"/>
        <v>200227</v>
      </c>
      <c r="O2903" s="71" t="s">
        <v>145</v>
      </c>
      <c r="P2903" s="103" t="str">
        <f>C2903</f>
        <v>THD200(20L)</v>
      </c>
      <c r="Q2903" s="71">
        <f t="shared" si="1507"/>
        <v>12</v>
      </c>
      <c r="R2903" s="102">
        <v>35000</v>
      </c>
      <c r="S2903" s="102">
        <f t="shared" si="1508"/>
        <v>462000.00000000006</v>
      </c>
      <c r="T2903" s="102">
        <f t="shared" si="1509"/>
        <v>420000</v>
      </c>
      <c r="U2903" s="71" t="str">
        <f t="shared" si="1512"/>
        <v>O</v>
      </c>
      <c r="V2903" s="71"/>
      <c r="W2903" s="474">
        <f t="shared" ref="W2903:W2909" si="1513">(G2903-T2903)</f>
        <v>132000</v>
      </c>
      <c r="X2903" s="71"/>
      <c r="Y2903" s="71"/>
    </row>
    <row r="2904" spans="1:25" ht="30" hidden="1" customHeight="1" x14ac:dyDescent="0.25">
      <c r="A2904" s="82">
        <v>200227</v>
      </c>
      <c r="B2904" s="664" t="s">
        <v>690</v>
      </c>
      <c r="C2904" s="71" t="s">
        <v>752</v>
      </c>
      <c r="D2904" s="71">
        <v>2</v>
      </c>
      <c r="E2904" s="102">
        <v>79000</v>
      </c>
      <c r="F2904" s="102">
        <f t="shared" si="1510"/>
        <v>173800</v>
      </c>
      <c r="G2904" s="102">
        <f t="shared" si="1511"/>
        <v>158000</v>
      </c>
      <c r="H2904" s="690" t="s">
        <v>173</v>
      </c>
      <c r="I2904" s="71" t="s">
        <v>2230</v>
      </c>
      <c r="J2904" s="53">
        <f>(G2904-(VLOOKUP(C2904,Price!B:D,3,FALSE)*D2904))</f>
        <v>28000</v>
      </c>
      <c r="K2904" s="63">
        <f t="shared" si="1505"/>
        <v>0.17721518987341772</v>
      </c>
      <c r="L2904" s="871" t="s">
        <v>2342</v>
      </c>
      <c r="M2904" s="468"/>
      <c r="N2904" s="664">
        <f t="shared" si="1506"/>
        <v>200227</v>
      </c>
      <c r="O2904" s="71" t="s">
        <v>145</v>
      </c>
      <c r="P2904" s="103" t="str">
        <f>C2904</f>
        <v>RC795(20L)</v>
      </c>
      <c r="Q2904" s="71">
        <f t="shared" si="1507"/>
        <v>2</v>
      </c>
      <c r="R2904" s="102">
        <v>65000</v>
      </c>
      <c r="S2904" s="102">
        <f t="shared" si="1508"/>
        <v>143000</v>
      </c>
      <c r="T2904" s="102">
        <f t="shared" si="1509"/>
        <v>130000</v>
      </c>
      <c r="U2904" s="71" t="str">
        <f t="shared" si="1512"/>
        <v>O</v>
      </c>
      <c r="V2904" s="71"/>
      <c r="W2904" s="474">
        <f t="shared" si="1513"/>
        <v>28000</v>
      </c>
      <c r="X2904" s="71"/>
      <c r="Y2904" s="71"/>
    </row>
    <row r="2905" spans="1:25" ht="30" hidden="1" customHeight="1" x14ac:dyDescent="0.2">
      <c r="A2905" s="82">
        <v>200227</v>
      </c>
      <c r="B2905" s="664" t="s">
        <v>442</v>
      </c>
      <c r="C2905" s="71" t="s">
        <v>650</v>
      </c>
      <c r="D2905" s="71">
        <v>2</v>
      </c>
      <c r="E2905" s="102">
        <v>93000</v>
      </c>
      <c r="F2905" s="163">
        <f t="shared" si="1510"/>
        <v>204600.00000000003</v>
      </c>
      <c r="G2905" s="163">
        <f t="shared" si="1511"/>
        <v>186000</v>
      </c>
      <c r="H2905" s="165" t="s">
        <v>172</v>
      </c>
      <c r="I2905" s="71" t="s">
        <v>141</v>
      </c>
      <c r="J2905" s="53">
        <f>(G2905-(VLOOKUP(C2905,Price!B:D,3,FALSE)*D2905))</f>
        <v>66000</v>
      </c>
      <c r="K2905" s="63">
        <f t="shared" si="1505"/>
        <v>0.35483870967741932</v>
      </c>
      <c r="L2905" s="871" t="s">
        <v>2342</v>
      </c>
      <c r="M2905" s="468"/>
      <c r="N2905" s="664">
        <f t="shared" si="1506"/>
        <v>200227</v>
      </c>
      <c r="O2905" s="71" t="s">
        <v>145</v>
      </c>
      <c r="P2905" s="103" t="str">
        <f>(C2905)</f>
        <v>Agfa 정착액 G333C(20L)</v>
      </c>
      <c r="Q2905" s="71">
        <f t="shared" si="1507"/>
        <v>2</v>
      </c>
      <c r="R2905" s="102">
        <f>VLOOKUP(P2905,Price!B:D,3,FALSE)</f>
        <v>60000</v>
      </c>
      <c r="S2905" s="102">
        <f t="shared" si="1508"/>
        <v>132000</v>
      </c>
      <c r="T2905" s="102">
        <f t="shared" si="1509"/>
        <v>120000</v>
      </c>
      <c r="U2905" s="71" t="str">
        <f t="shared" si="1512"/>
        <v>O</v>
      </c>
      <c r="V2905" s="71"/>
      <c r="W2905" s="474">
        <f t="shared" si="1513"/>
        <v>66000</v>
      </c>
      <c r="X2905" s="71"/>
      <c r="Y2905" s="71"/>
    </row>
    <row r="2906" spans="1:25" ht="30" hidden="1" customHeight="1" x14ac:dyDescent="0.25">
      <c r="A2906" s="82">
        <v>200227</v>
      </c>
      <c r="B2906" s="664" t="s">
        <v>442</v>
      </c>
      <c r="C2906" s="71" t="s">
        <v>206</v>
      </c>
      <c r="D2906" s="71">
        <v>8</v>
      </c>
      <c r="E2906" s="102">
        <v>327000</v>
      </c>
      <c r="F2906" s="102">
        <f t="shared" si="1510"/>
        <v>2877600</v>
      </c>
      <c r="G2906" s="102">
        <f t="shared" si="1511"/>
        <v>2616000</v>
      </c>
      <c r="H2906" s="690" t="s">
        <v>2029</v>
      </c>
      <c r="I2906" s="71" t="s">
        <v>195</v>
      </c>
      <c r="J2906" s="53">
        <f>G2906-T2906</f>
        <v>463200</v>
      </c>
      <c r="K2906" s="63">
        <f t="shared" si="1505"/>
        <v>0.17706422018348625</v>
      </c>
      <c r="L2906" s="871" t="s">
        <v>2342</v>
      </c>
      <c r="M2906" s="468"/>
      <c r="N2906" s="664">
        <f t="shared" si="1506"/>
        <v>200227</v>
      </c>
      <c r="O2906" s="71" t="s">
        <v>194</v>
      </c>
      <c r="P2906" s="103" t="str">
        <f>(C2906)</f>
        <v>Agfa Film(24inch)</v>
      </c>
      <c r="Q2906" s="71">
        <f t="shared" si="1507"/>
        <v>8</v>
      </c>
      <c r="R2906" s="102">
        <v>269100</v>
      </c>
      <c r="S2906" s="102">
        <f t="shared" si="1508"/>
        <v>2368080</v>
      </c>
      <c r="T2906" s="102">
        <f t="shared" si="1509"/>
        <v>2152800</v>
      </c>
      <c r="U2906" s="71" t="str">
        <f t="shared" si="1512"/>
        <v>O</v>
      </c>
      <c r="V2906" s="71"/>
      <c r="W2906" s="474">
        <f t="shared" si="1513"/>
        <v>463200</v>
      </c>
      <c r="X2906" s="71"/>
      <c r="Y2906" s="71"/>
    </row>
    <row r="2907" spans="1:25" ht="30" hidden="1" customHeight="1" x14ac:dyDescent="0.25">
      <c r="A2907" s="82">
        <v>200227</v>
      </c>
      <c r="B2907" s="664" t="s">
        <v>442</v>
      </c>
      <c r="C2907" s="71" t="s">
        <v>207</v>
      </c>
      <c r="D2907" s="71">
        <v>8</v>
      </c>
      <c r="E2907" s="102">
        <v>401000</v>
      </c>
      <c r="F2907" s="102">
        <f t="shared" si="1510"/>
        <v>3528800.0000000005</v>
      </c>
      <c r="G2907" s="102">
        <f t="shared" si="1511"/>
        <v>3208000</v>
      </c>
      <c r="H2907" s="690" t="s">
        <v>2029</v>
      </c>
      <c r="I2907" s="71" t="s">
        <v>195</v>
      </c>
      <c r="J2907" s="53">
        <f>G2907-T2907</f>
        <v>696320</v>
      </c>
      <c r="K2907" s="63">
        <f t="shared" si="1505"/>
        <v>0.21705735660847877</v>
      </c>
      <c r="L2907" s="871" t="s">
        <v>2342</v>
      </c>
      <c r="M2907" s="468"/>
      <c r="N2907" s="664">
        <f t="shared" si="1506"/>
        <v>200227</v>
      </c>
      <c r="O2907" s="71" t="s">
        <v>194</v>
      </c>
      <c r="P2907" s="103" t="str">
        <f>(C2907)</f>
        <v>Agfa Film(28inch)</v>
      </c>
      <c r="Q2907" s="71">
        <f t="shared" si="1507"/>
        <v>8</v>
      </c>
      <c r="R2907" s="102">
        <f>VLOOKUP(P2907,[5]Price!B$1:D$65536,3,FALSE)</f>
        <v>313960</v>
      </c>
      <c r="S2907" s="102">
        <f t="shared" si="1508"/>
        <v>2762848</v>
      </c>
      <c r="T2907" s="102">
        <f t="shared" si="1509"/>
        <v>2511680</v>
      </c>
      <c r="U2907" s="71" t="str">
        <f t="shared" si="1512"/>
        <v>O</v>
      </c>
      <c r="V2907" s="71"/>
      <c r="W2907" s="474">
        <f t="shared" si="1513"/>
        <v>696320</v>
      </c>
      <c r="X2907" s="71"/>
      <c r="Y2907" s="71"/>
    </row>
    <row r="2908" spans="1:25" ht="30" hidden="1" customHeight="1" x14ac:dyDescent="0.25">
      <c r="A2908" s="82">
        <v>200227</v>
      </c>
      <c r="B2908" s="664" t="s">
        <v>442</v>
      </c>
      <c r="C2908" s="71" t="s">
        <v>208</v>
      </c>
      <c r="D2908" s="71">
        <v>8</v>
      </c>
      <c r="E2908" s="102">
        <v>448000</v>
      </c>
      <c r="F2908" s="102">
        <f t="shared" si="1510"/>
        <v>3942400.0000000005</v>
      </c>
      <c r="G2908" s="102">
        <f t="shared" si="1511"/>
        <v>3584000</v>
      </c>
      <c r="H2908" s="690" t="s">
        <v>2029</v>
      </c>
      <c r="I2908" s="71" t="s">
        <v>195</v>
      </c>
      <c r="J2908" s="53">
        <f>G2908-T2908</f>
        <v>623920</v>
      </c>
      <c r="K2908" s="63">
        <f t="shared" si="1505"/>
        <v>0.1740848214285714</v>
      </c>
      <c r="L2908" s="871" t="s">
        <v>2342</v>
      </c>
      <c r="M2908" s="468"/>
      <c r="N2908" s="664">
        <f t="shared" si="1506"/>
        <v>200227</v>
      </c>
      <c r="O2908" s="71" t="s">
        <v>194</v>
      </c>
      <c r="P2908" s="103" t="str">
        <f>(C2908)</f>
        <v>Agfa Film(32inch)</v>
      </c>
      <c r="Q2908" s="71">
        <f t="shared" si="1507"/>
        <v>8</v>
      </c>
      <c r="R2908" s="102">
        <f>VLOOKUP(P2908,[5]Price!B$1:D$65536,3,FALSE)</f>
        <v>370010</v>
      </c>
      <c r="S2908" s="102">
        <f t="shared" si="1508"/>
        <v>3256088.0000000005</v>
      </c>
      <c r="T2908" s="102">
        <f t="shared" si="1509"/>
        <v>2960080</v>
      </c>
      <c r="U2908" s="71" t="str">
        <f t="shared" si="1512"/>
        <v>O</v>
      </c>
      <c r="V2908" s="71"/>
      <c r="W2908" s="474">
        <f t="shared" si="1513"/>
        <v>623920</v>
      </c>
      <c r="X2908" s="71"/>
      <c r="Y2908" s="71"/>
    </row>
    <row r="2909" spans="1:25" ht="30" hidden="1" customHeight="1" x14ac:dyDescent="0.25">
      <c r="A2909" s="82">
        <v>200229</v>
      </c>
      <c r="B2909" s="664" t="s">
        <v>442</v>
      </c>
      <c r="C2909" s="71" t="s">
        <v>651</v>
      </c>
      <c r="D2909" s="71">
        <v>5</v>
      </c>
      <c r="E2909" s="102">
        <v>41000</v>
      </c>
      <c r="F2909" s="102">
        <f t="shared" si="1510"/>
        <v>225500.00000000003</v>
      </c>
      <c r="G2909" s="102">
        <f t="shared" si="1511"/>
        <v>205000</v>
      </c>
      <c r="H2909" s="690" t="s">
        <v>2029</v>
      </c>
      <c r="I2909" s="71" t="s">
        <v>195</v>
      </c>
      <c r="J2909" s="53">
        <f>(G2909-(VLOOKUP(C2909,[5]Price!B$1:D$65536,3,FALSE)*D2909))</f>
        <v>80000</v>
      </c>
      <c r="K2909" s="63">
        <f t="shared" si="1505"/>
        <v>0.39024390243902435</v>
      </c>
      <c r="L2909" s="871" t="s">
        <v>2320</v>
      </c>
      <c r="M2909" s="468"/>
      <c r="N2909" s="664">
        <f t="shared" si="1506"/>
        <v>200229</v>
      </c>
      <c r="O2909" s="71" t="s">
        <v>194</v>
      </c>
      <c r="P2909" s="103" t="str">
        <f>(C2909)</f>
        <v>Agfa 현상액 G101C(10L)</v>
      </c>
      <c r="Q2909" s="71">
        <f t="shared" si="1507"/>
        <v>5</v>
      </c>
      <c r="R2909" s="102">
        <f>VLOOKUP(P2909,[5]Price!B$1:D$65536,3,FALSE)</f>
        <v>25000</v>
      </c>
      <c r="S2909" s="102">
        <f t="shared" si="1508"/>
        <v>137500</v>
      </c>
      <c r="T2909" s="102">
        <f t="shared" si="1509"/>
        <v>125000</v>
      </c>
      <c r="U2909" s="71" t="str">
        <f t="shared" si="1512"/>
        <v>O</v>
      </c>
      <c r="V2909" s="71"/>
      <c r="W2909" s="474">
        <f t="shared" si="1513"/>
        <v>80000</v>
      </c>
      <c r="X2909" s="71"/>
      <c r="Y2909" s="71"/>
    </row>
    <row r="2910" spans="1:25" s="209" customFormat="1" ht="30" hidden="1" customHeight="1" x14ac:dyDescent="0.2">
      <c r="A2910" s="82">
        <v>200303</v>
      </c>
      <c r="B2910" s="664" t="s">
        <v>1286</v>
      </c>
      <c r="C2910" s="71" t="s">
        <v>231</v>
      </c>
      <c r="D2910" s="71">
        <v>10</v>
      </c>
      <c r="E2910" s="102">
        <v>120000</v>
      </c>
      <c r="F2910" s="102">
        <f t="shared" ref="F2910:F2921" si="1514">(E2910*D2910)*1.1</f>
        <v>1320000</v>
      </c>
      <c r="G2910" s="102">
        <f t="shared" ref="G2910:G2921" si="1515">(E2910*D2910)</f>
        <v>1200000</v>
      </c>
      <c r="H2910" s="165" t="s">
        <v>172</v>
      </c>
      <c r="I2910" s="71" t="s">
        <v>109</v>
      </c>
      <c r="J2910" s="53">
        <f>G2910-T2910</f>
        <v>80000</v>
      </c>
      <c r="K2910" s="63">
        <v>6.6666666666666666E-2</v>
      </c>
      <c r="L2910" s="871" t="s">
        <v>2342</v>
      </c>
      <c r="M2910" s="468"/>
      <c r="N2910" s="664">
        <f>A2910</f>
        <v>200303</v>
      </c>
      <c r="O2910" s="71" t="s">
        <v>151</v>
      </c>
      <c r="P2910" s="103" t="str">
        <f>C2910</f>
        <v>Blanket(990*725)</v>
      </c>
      <c r="Q2910" s="71">
        <f>D2910</f>
        <v>10</v>
      </c>
      <c r="R2910" s="102">
        <v>112000</v>
      </c>
      <c r="S2910" s="102">
        <f t="shared" si="1508"/>
        <v>1232000</v>
      </c>
      <c r="T2910" s="102">
        <f t="shared" si="1509"/>
        <v>1120000</v>
      </c>
      <c r="U2910" s="71" t="s">
        <v>859</v>
      </c>
      <c r="V2910" s="71"/>
      <c r="W2910" s="474">
        <v>80000</v>
      </c>
      <c r="X2910" s="71"/>
      <c r="Y2910" s="71"/>
    </row>
    <row r="2911" spans="1:25" s="209" customFormat="1" ht="30" hidden="1" customHeight="1" x14ac:dyDescent="0.25">
      <c r="A2911" s="82">
        <v>200303</v>
      </c>
      <c r="B2911" s="664" t="s">
        <v>1286</v>
      </c>
      <c r="C2911" s="71" t="s">
        <v>1144</v>
      </c>
      <c r="D2911" s="71">
        <v>5</v>
      </c>
      <c r="E2911" s="102">
        <v>110000</v>
      </c>
      <c r="F2911" s="102">
        <f t="shared" si="1514"/>
        <v>605000</v>
      </c>
      <c r="G2911" s="102">
        <f t="shared" si="1515"/>
        <v>550000</v>
      </c>
      <c r="H2911" s="690" t="s">
        <v>173</v>
      </c>
      <c r="I2911" s="71" t="s">
        <v>2231</v>
      </c>
      <c r="J2911" s="53">
        <f>G2911-T2911</f>
        <v>95000</v>
      </c>
      <c r="K2911" s="63">
        <f t="shared" ref="K2911:K2923" si="1516">(J2911/(F2911/11*10))</f>
        <v>0.17272727272727273</v>
      </c>
      <c r="L2911" s="871" t="s">
        <v>2342</v>
      </c>
      <c r="M2911" s="468" t="s">
        <v>3069</v>
      </c>
      <c r="N2911" s="664">
        <f>A2911</f>
        <v>200303</v>
      </c>
      <c r="O2911" s="71" t="s">
        <v>150</v>
      </c>
      <c r="P2911" s="103" t="str">
        <f>C2911</f>
        <v>실리콘 에멀전</v>
      </c>
      <c r="Q2911" s="71">
        <f>D2911</f>
        <v>5</v>
      </c>
      <c r="R2911" s="102">
        <v>91000</v>
      </c>
      <c r="S2911" s="102">
        <f t="shared" si="1508"/>
        <v>500500.00000000006</v>
      </c>
      <c r="T2911" s="102">
        <f t="shared" si="1509"/>
        <v>455000</v>
      </c>
      <c r="U2911" s="71" t="str">
        <f>IF(J2911=W2911,"O", "X")</f>
        <v>O</v>
      </c>
      <c r="V2911" s="71"/>
      <c r="W2911" s="474">
        <f>(G2911-T2911)</f>
        <v>95000</v>
      </c>
      <c r="X2911" s="71"/>
      <c r="Y2911" s="71"/>
    </row>
    <row r="2912" spans="1:25" ht="30" customHeight="1" x14ac:dyDescent="0.2">
      <c r="A2912" s="82">
        <v>200303</v>
      </c>
      <c r="B2912" s="664" t="s">
        <v>2352</v>
      </c>
      <c r="C2912" s="760" t="s">
        <v>218</v>
      </c>
      <c r="D2912" s="71">
        <v>5</v>
      </c>
      <c r="E2912" s="102">
        <v>235000</v>
      </c>
      <c r="F2912" s="163">
        <f t="shared" si="1514"/>
        <v>1292500</v>
      </c>
      <c r="G2912" s="102">
        <f t="shared" si="1515"/>
        <v>1175000</v>
      </c>
      <c r="H2912" s="690" t="s">
        <v>142</v>
      </c>
      <c r="I2912" s="71" t="s">
        <v>142</v>
      </c>
      <c r="J2912" s="53">
        <f>(G2912-(VLOOKUP(C2912,Price!B:D,3,FALSE)*D2912))</f>
        <v>612500</v>
      </c>
      <c r="K2912" s="63">
        <f t="shared" si="1516"/>
        <v>0.52127659574468088</v>
      </c>
      <c r="L2912" s="871" t="s">
        <v>2342</v>
      </c>
      <c r="M2912" s="468" t="s">
        <v>2053</v>
      </c>
      <c r="N2912" s="664">
        <f t="shared" ref="N2912:N2930" si="1517">A2912</f>
        <v>200303</v>
      </c>
      <c r="O2912" s="71" t="s">
        <v>150</v>
      </c>
      <c r="P2912" s="103" t="str">
        <f>C2912</f>
        <v>Fount Web 551AF</v>
      </c>
      <c r="Q2912" s="71">
        <f t="shared" ref="Q2912:Q2930" si="1518">D2912</f>
        <v>5</v>
      </c>
      <c r="R2912" s="102">
        <v>112500</v>
      </c>
      <c r="S2912" s="102">
        <f t="shared" si="1508"/>
        <v>618750</v>
      </c>
      <c r="T2912" s="102">
        <f t="shared" si="1509"/>
        <v>562500</v>
      </c>
      <c r="U2912" s="71" t="str">
        <f>IF(J2912=W2912,"O", "X")</f>
        <v>O</v>
      </c>
      <c r="V2912" s="71"/>
      <c r="W2912" s="474">
        <f>(G2912-T2912)</f>
        <v>612500</v>
      </c>
      <c r="X2912" s="71"/>
      <c r="Y2912" s="71"/>
    </row>
    <row r="2913" spans="1:25" s="209" customFormat="1" ht="30" hidden="1" customHeight="1" x14ac:dyDescent="0.25">
      <c r="A2913" s="82">
        <v>200303</v>
      </c>
      <c r="B2913" s="664" t="s">
        <v>567</v>
      </c>
      <c r="C2913" s="71" t="s">
        <v>236</v>
      </c>
      <c r="D2913" s="71">
        <v>10</v>
      </c>
      <c r="E2913" s="102">
        <v>65000</v>
      </c>
      <c r="F2913" s="102">
        <f t="shared" si="1514"/>
        <v>715000</v>
      </c>
      <c r="G2913" s="102">
        <f t="shared" si="1515"/>
        <v>650000</v>
      </c>
      <c r="H2913" s="690" t="s">
        <v>173</v>
      </c>
      <c r="I2913" s="71" t="s">
        <v>2231</v>
      </c>
      <c r="J2913" s="53">
        <f>G2913-T2913</f>
        <v>150000</v>
      </c>
      <c r="K2913" s="63">
        <v>0.23076923076923078</v>
      </c>
      <c r="L2913" s="871" t="s">
        <v>2320</v>
      </c>
      <c r="M2913" s="468"/>
      <c r="N2913" s="664">
        <f>A2913</f>
        <v>200303</v>
      </c>
      <c r="O2913" s="71" t="s">
        <v>153</v>
      </c>
      <c r="P2913" s="103" t="str">
        <f>C2913</f>
        <v>아스테이지(국전)</v>
      </c>
      <c r="Q2913" s="71">
        <f>D2913</f>
        <v>10</v>
      </c>
      <c r="R2913" s="102">
        <v>50000</v>
      </c>
      <c r="S2913" s="102">
        <f t="shared" si="1508"/>
        <v>550000</v>
      </c>
      <c r="T2913" s="102">
        <f t="shared" si="1509"/>
        <v>500000</v>
      </c>
      <c r="U2913" s="71" t="s">
        <v>859</v>
      </c>
      <c r="V2913" s="71"/>
      <c r="W2913" s="474">
        <v>150000</v>
      </c>
      <c r="X2913" s="71"/>
      <c r="Y2913" s="71"/>
    </row>
    <row r="2914" spans="1:25" s="209" customFormat="1" ht="30" hidden="1" customHeight="1" x14ac:dyDescent="0.25">
      <c r="A2914" s="82">
        <v>200303</v>
      </c>
      <c r="B2914" s="664" t="s">
        <v>2155</v>
      </c>
      <c r="C2914" s="71" t="s">
        <v>138</v>
      </c>
      <c r="D2914" s="71">
        <v>10</v>
      </c>
      <c r="E2914" s="102">
        <v>47600</v>
      </c>
      <c r="F2914" s="163">
        <f t="shared" si="1514"/>
        <v>523600.00000000006</v>
      </c>
      <c r="G2914" s="102">
        <f t="shared" si="1515"/>
        <v>476000</v>
      </c>
      <c r="H2914" s="1129" t="s">
        <v>172</v>
      </c>
      <c r="I2914" s="71" t="s">
        <v>108</v>
      </c>
      <c r="J2914" s="53">
        <f>G2914-T2914</f>
        <v>68000</v>
      </c>
      <c r="K2914" s="63">
        <f>(J2914/(F2914/11*10))</f>
        <v>0.14285714285714285</v>
      </c>
      <c r="L2914" s="871" t="s">
        <v>2342</v>
      </c>
      <c r="M2914" s="468" t="s">
        <v>2214</v>
      </c>
      <c r="N2914" s="664">
        <f>A2914</f>
        <v>200303</v>
      </c>
      <c r="O2914" s="71" t="s">
        <v>150</v>
      </c>
      <c r="P2914" s="103" t="str">
        <f t="shared" ref="P2914:P2921" si="1519">(C2914)</f>
        <v>매엽용 세척제(Wash 562)</v>
      </c>
      <c r="Q2914" s="71">
        <f>D2914</f>
        <v>10</v>
      </c>
      <c r="R2914" s="102">
        <v>40800</v>
      </c>
      <c r="S2914" s="102">
        <f t="shared" si="1508"/>
        <v>448800.00000000006</v>
      </c>
      <c r="T2914" s="102">
        <f t="shared" si="1509"/>
        <v>408000</v>
      </c>
      <c r="U2914" s="71" t="s">
        <v>859</v>
      </c>
      <c r="V2914" s="71"/>
      <c r="W2914" s="474">
        <v>85000</v>
      </c>
      <c r="X2914" s="71"/>
      <c r="Y2914" s="71"/>
    </row>
    <row r="2915" spans="1:25" ht="30" hidden="1" customHeight="1" x14ac:dyDescent="0.2">
      <c r="A2915" s="82">
        <v>200304</v>
      </c>
      <c r="B2915" s="664" t="s">
        <v>549</v>
      </c>
      <c r="C2915" s="71" t="s">
        <v>119</v>
      </c>
      <c r="D2915" s="71">
        <v>10</v>
      </c>
      <c r="E2915" s="102">
        <v>115000</v>
      </c>
      <c r="F2915" s="163">
        <f t="shared" si="1514"/>
        <v>1265000</v>
      </c>
      <c r="G2915" s="102">
        <f t="shared" si="1515"/>
        <v>1150000</v>
      </c>
      <c r="H2915" s="690" t="s">
        <v>173</v>
      </c>
      <c r="I2915" s="71" t="s">
        <v>109</v>
      </c>
      <c r="J2915" s="53">
        <f>(G2915-(VLOOKUP(C2915,Price!B:D,3,FALSE)*D2915))</f>
        <v>263000</v>
      </c>
      <c r="K2915" s="63">
        <f t="shared" si="1516"/>
        <v>0.22869565217391305</v>
      </c>
      <c r="L2915" s="871" t="s">
        <v>2342</v>
      </c>
      <c r="M2915" s="468"/>
      <c r="N2915" s="664">
        <f t="shared" si="1517"/>
        <v>200304</v>
      </c>
      <c r="O2915" s="71" t="s">
        <v>150</v>
      </c>
      <c r="P2915" s="103" t="str">
        <f t="shared" si="1519"/>
        <v>미쯔비시 Blanket(1035*910)</v>
      </c>
      <c r="Q2915" s="71">
        <f t="shared" si="1518"/>
        <v>10</v>
      </c>
      <c r="R2915" s="102">
        <v>88700</v>
      </c>
      <c r="S2915" s="102">
        <f t="shared" si="1508"/>
        <v>975700.00000000012</v>
      </c>
      <c r="T2915" s="102">
        <f t="shared" si="1509"/>
        <v>887000</v>
      </c>
      <c r="U2915" s="71" t="str">
        <f t="shared" ref="U2915:U2923" si="1520">IF(J2915=W2915,"O", "X")</f>
        <v>O</v>
      </c>
      <c r="V2915" s="71"/>
      <c r="W2915" s="474">
        <f>(G2915-T2915)</f>
        <v>263000</v>
      </c>
      <c r="X2915" s="71"/>
      <c r="Y2915" s="71"/>
    </row>
    <row r="2916" spans="1:25" ht="30" hidden="1" customHeight="1" x14ac:dyDescent="0.2">
      <c r="A2916" s="82">
        <v>200306</v>
      </c>
      <c r="B2916" s="664" t="s">
        <v>746</v>
      </c>
      <c r="C2916" s="760" t="s">
        <v>2343</v>
      </c>
      <c r="D2916" s="71">
        <v>1</v>
      </c>
      <c r="E2916" s="102">
        <v>4950000</v>
      </c>
      <c r="F2916" s="163">
        <f t="shared" si="1514"/>
        <v>5445000</v>
      </c>
      <c r="G2916" s="102">
        <f t="shared" si="1515"/>
        <v>4950000</v>
      </c>
      <c r="H2916" s="690" t="s">
        <v>94</v>
      </c>
      <c r="I2916" s="71" t="s">
        <v>1432</v>
      </c>
      <c r="J2916" s="53">
        <f t="shared" ref="J2916:J2922" si="1521">G2916-T2916</f>
        <v>1648872</v>
      </c>
      <c r="K2916" s="63">
        <f>(J2916/(F2916/11*10))</f>
        <v>0.33310545454545454</v>
      </c>
      <c r="L2916" s="871" t="s">
        <v>2342</v>
      </c>
      <c r="M2916" s="468"/>
      <c r="N2916" s="664">
        <f>A2916</f>
        <v>200306</v>
      </c>
      <c r="O2916" s="999" t="s">
        <v>39</v>
      </c>
      <c r="P2916" s="195" t="str">
        <f t="shared" si="1519"/>
        <v>알콜공급장치</v>
      </c>
      <c r="Q2916" s="71">
        <f>D2916</f>
        <v>1</v>
      </c>
      <c r="R2916" s="102">
        <v>3301128</v>
      </c>
      <c r="S2916" s="147">
        <f>(R2916*D2916)*1.1</f>
        <v>3631240.8000000003</v>
      </c>
      <c r="T2916" s="147">
        <f>(R2916*Q2916)</f>
        <v>3301128</v>
      </c>
      <c r="U2916" s="209" t="str">
        <f t="shared" si="1520"/>
        <v>X</v>
      </c>
      <c r="V2916" s="71"/>
      <c r="W2916" s="474"/>
      <c r="X2916" s="71"/>
      <c r="Y2916" s="71"/>
    </row>
    <row r="2917" spans="1:25" ht="30" hidden="1" customHeight="1" x14ac:dyDescent="0.25">
      <c r="A2917" s="82">
        <v>200306</v>
      </c>
      <c r="B2917" s="664" t="s">
        <v>1286</v>
      </c>
      <c r="C2917" s="71" t="s">
        <v>1793</v>
      </c>
      <c r="D2917" s="71">
        <v>1</v>
      </c>
      <c r="E2917" s="102">
        <v>2950000</v>
      </c>
      <c r="F2917" s="102">
        <f t="shared" si="1514"/>
        <v>3245000.0000000005</v>
      </c>
      <c r="G2917" s="102">
        <f t="shared" si="1515"/>
        <v>2950000</v>
      </c>
      <c r="H2917" s="690" t="s">
        <v>1431</v>
      </c>
      <c r="I2917" s="71" t="s">
        <v>1431</v>
      </c>
      <c r="J2917" s="53">
        <f t="shared" si="1521"/>
        <v>1040813</v>
      </c>
      <c r="K2917" s="63">
        <f>(J2917/(F2917/11*10))</f>
        <v>0.35281796610169486</v>
      </c>
      <c r="L2917" s="871" t="s">
        <v>2342</v>
      </c>
      <c r="M2917" s="468"/>
      <c r="N2917" s="664"/>
      <c r="O2917" s="71" t="s">
        <v>1431</v>
      </c>
      <c r="P2917" s="195" t="str">
        <f t="shared" si="1519"/>
        <v>파워 서플라이</v>
      </c>
      <c r="Q2917" s="71">
        <f>D2917</f>
        <v>1</v>
      </c>
      <c r="R2917" s="102">
        <v>1909187</v>
      </c>
      <c r="S2917" s="147">
        <f>(R2917*D2917)*1.1</f>
        <v>2100105.7000000002</v>
      </c>
      <c r="T2917" s="147">
        <f>(R2917*Q2917)</f>
        <v>1909187</v>
      </c>
      <c r="U2917" s="209" t="str">
        <f t="shared" si="1520"/>
        <v>X</v>
      </c>
      <c r="V2917" s="71"/>
      <c r="W2917" s="474"/>
      <c r="X2917" s="71"/>
      <c r="Y2917" s="71"/>
    </row>
    <row r="2918" spans="1:25" ht="30" hidden="1" customHeight="1" x14ac:dyDescent="0.25">
      <c r="A2918" s="82">
        <v>200306</v>
      </c>
      <c r="B2918" s="664" t="s">
        <v>1286</v>
      </c>
      <c r="C2918" s="71" t="s">
        <v>2349</v>
      </c>
      <c r="D2918" s="71">
        <v>1</v>
      </c>
      <c r="E2918" s="102">
        <v>360000</v>
      </c>
      <c r="F2918" s="102">
        <f t="shared" si="1514"/>
        <v>396000.00000000006</v>
      </c>
      <c r="G2918" s="102">
        <f t="shared" si="1515"/>
        <v>360000</v>
      </c>
      <c r="H2918" s="690" t="s">
        <v>1431</v>
      </c>
      <c r="I2918" s="71" t="s">
        <v>1431</v>
      </c>
      <c r="J2918" s="53">
        <f t="shared" si="1521"/>
        <v>116264</v>
      </c>
      <c r="K2918" s="63">
        <f>(J2918/(F2918/11*10))</f>
        <v>0.3229555555555555</v>
      </c>
      <c r="L2918" s="871" t="s">
        <v>2342</v>
      </c>
      <c r="M2918" s="468"/>
      <c r="N2918" s="664"/>
      <c r="O2918" s="71" t="s">
        <v>1431</v>
      </c>
      <c r="P2918" s="195" t="str">
        <f t="shared" si="1519"/>
        <v>Voltage Relay</v>
      </c>
      <c r="Q2918" s="71">
        <f>D2918</f>
        <v>1</v>
      </c>
      <c r="R2918" s="102">
        <v>243736</v>
      </c>
      <c r="S2918" s="147">
        <f>(R2918*D2918)*1.1</f>
        <v>268109.60000000003</v>
      </c>
      <c r="T2918" s="147">
        <f>(R2918*Q2918)</f>
        <v>243736</v>
      </c>
      <c r="U2918" s="209" t="str">
        <f t="shared" si="1520"/>
        <v>X</v>
      </c>
      <c r="V2918" s="71"/>
      <c r="W2918" s="474"/>
      <c r="X2918" s="71"/>
      <c r="Y2918" s="71"/>
    </row>
    <row r="2919" spans="1:25" ht="30" hidden="1" customHeight="1" x14ac:dyDescent="0.25">
      <c r="A2919" s="82">
        <v>200306</v>
      </c>
      <c r="B2919" s="664" t="s">
        <v>1286</v>
      </c>
      <c r="C2919" s="71" t="s">
        <v>2350</v>
      </c>
      <c r="D2919" s="71">
        <v>1</v>
      </c>
      <c r="E2919" s="102">
        <v>160000</v>
      </c>
      <c r="F2919" s="102">
        <f t="shared" si="1514"/>
        <v>176000</v>
      </c>
      <c r="G2919" s="102">
        <f t="shared" si="1515"/>
        <v>160000</v>
      </c>
      <c r="H2919" s="690" t="s">
        <v>1431</v>
      </c>
      <c r="I2919" s="71" t="s">
        <v>1431</v>
      </c>
      <c r="J2919" s="53">
        <f t="shared" si="1521"/>
        <v>62557</v>
      </c>
      <c r="K2919" s="63">
        <f>(J2919/(F2919/11*10))</f>
        <v>0.39098125</v>
      </c>
      <c r="L2919" s="871" t="s">
        <v>2342</v>
      </c>
      <c r="M2919" s="468"/>
      <c r="N2919" s="664"/>
      <c r="O2919" s="71" t="s">
        <v>1431</v>
      </c>
      <c r="P2919" s="195" t="str">
        <f t="shared" si="1519"/>
        <v>Relay, Timing</v>
      </c>
      <c r="Q2919" s="71">
        <f>D2919</f>
        <v>1</v>
      </c>
      <c r="R2919" s="102">
        <v>97443</v>
      </c>
      <c r="S2919" s="147">
        <f>(R2919*D2919)*1.1</f>
        <v>107187.3</v>
      </c>
      <c r="T2919" s="147">
        <f>(R2919*Q2919)</f>
        <v>97443</v>
      </c>
      <c r="U2919" s="209" t="str">
        <f t="shared" si="1520"/>
        <v>X</v>
      </c>
      <c r="V2919" s="71"/>
      <c r="W2919" s="474"/>
      <c r="X2919" s="71"/>
      <c r="Y2919" s="71"/>
    </row>
    <row r="2920" spans="1:25" ht="30" hidden="1" customHeight="1" x14ac:dyDescent="0.25">
      <c r="A2920" s="82">
        <v>200306</v>
      </c>
      <c r="B2920" s="664" t="s">
        <v>1286</v>
      </c>
      <c r="C2920" s="71" t="s">
        <v>2310</v>
      </c>
      <c r="D2920" s="71">
        <v>16</v>
      </c>
      <c r="E2920" s="102">
        <v>5000</v>
      </c>
      <c r="F2920" s="102">
        <f t="shared" si="1514"/>
        <v>88000</v>
      </c>
      <c r="G2920" s="102">
        <f t="shared" si="1515"/>
        <v>80000</v>
      </c>
      <c r="H2920" s="690" t="s">
        <v>1431</v>
      </c>
      <c r="I2920" s="71" t="s">
        <v>1431</v>
      </c>
      <c r="J2920" s="53">
        <f t="shared" si="1521"/>
        <v>38976</v>
      </c>
      <c r="K2920" s="63">
        <f>(J2920/(F2920/11*10))</f>
        <v>0.48720000000000002</v>
      </c>
      <c r="L2920" s="871" t="s">
        <v>2342</v>
      </c>
      <c r="M2920" s="468"/>
      <c r="N2920" s="664"/>
      <c r="O2920" s="71" t="s">
        <v>1431</v>
      </c>
      <c r="P2920" s="195" t="str">
        <f t="shared" si="1519"/>
        <v>스프링 링</v>
      </c>
      <c r="Q2920" s="71">
        <f>D2920</f>
        <v>16</v>
      </c>
      <c r="R2920" s="102">
        <v>2564</v>
      </c>
      <c r="S2920" s="147">
        <f>(R2920*D2920)*1.1</f>
        <v>45126.400000000001</v>
      </c>
      <c r="T2920" s="147">
        <f>(R2920*Q2920)</f>
        <v>41024</v>
      </c>
      <c r="U2920" s="209" t="str">
        <f t="shared" si="1520"/>
        <v>X</v>
      </c>
      <c r="V2920" s="71"/>
      <c r="W2920" s="474"/>
      <c r="X2920" s="71"/>
      <c r="Y2920" s="71"/>
    </row>
    <row r="2921" spans="1:25" ht="30" hidden="1" customHeight="1" x14ac:dyDescent="0.2">
      <c r="A2921" s="82">
        <v>200307</v>
      </c>
      <c r="B2921" s="664" t="s">
        <v>545</v>
      </c>
      <c r="C2921" s="71" t="s">
        <v>227</v>
      </c>
      <c r="D2921" s="71">
        <v>10</v>
      </c>
      <c r="E2921" s="102">
        <v>110000</v>
      </c>
      <c r="F2921" s="163">
        <f t="shared" si="1514"/>
        <v>1210000</v>
      </c>
      <c r="G2921" s="102">
        <f t="shared" si="1515"/>
        <v>1100000</v>
      </c>
      <c r="H2921" s="690" t="s">
        <v>173</v>
      </c>
      <c r="I2921" s="71" t="s">
        <v>109</v>
      </c>
      <c r="J2921" s="53">
        <f t="shared" si="1521"/>
        <v>271000</v>
      </c>
      <c r="K2921" s="63">
        <f t="shared" si="1516"/>
        <v>0.24636363636363637</v>
      </c>
      <c r="L2921" s="871" t="s">
        <v>2342</v>
      </c>
      <c r="M2921" s="468"/>
      <c r="N2921" s="664">
        <f t="shared" si="1517"/>
        <v>200307</v>
      </c>
      <c r="O2921" s="71" t="s">
        <v>147</v>
      </c>
      <c r="P2921" s="103" t="str">
        <f t="shared" si="1519"/>
        <v>Blanket(1060*860)</v>
      </c>
      <c r="Q2921" s="71">
        <f t="shared" si="1518"/>
        <v>10</v>
      </c>
      <c r="R2921" s="102">
        <v>82900</v>
      </c>
      <c r="S2921" s="102">
        <f>R2921*Q2921*1.1</f>
        <v>911900.00000000012</v>
      </c>
      <c r="T2921" s="102">
        <f>R2921*Q2921</f>
        <v>829000</v>
      </c>
      <c r="U2921" s="71" t="str">
        <f t="shared" si="1520"/>
        <v>O</v>
      </c>
      <c r="V2921" s="71"/>
      <c r="W2921" s="474">
        <f>(G2921-T2921)</f>
        <v>271000</v>
      </c>
      <c r="X2921" s="71"/>
      <c r="Y2921" s="71"/>
    </row>
    <row r="2922" spans="1:25" ht="30" hidden="1" customHeight="1" x14ac:dyDescent="0.25">
      <c r="A2922" s="82">
        <v>200307</v>
      </c>
      <c r="B2922" s="663" t="s">
        <v>545</v>
      </c>
      <c r="C2922" s="73" t="s">
        <v>825</v>
      </c>
      <c r="D2922" s="73">
        <v>2</v>
      </c>
      <c r="E2922" s="147">
        <v>110000</v>
      </c>
      <c r="F2922" s="147">
        <v>242000.00000000003</v>
      </c>
      <c r="G2922" s="147">
        <v>220000</v>
      </c>
      <c r="H2922" s="689" t="s">
        <v>173</v>
      </c>
      <c r="I2922" s="71" t="s">
        <v>2231</v>
      </c>
      <c r="J2922" s="53">
        <f t="shared" si="1521"/>
        <v>30000</v>
      </c>
      <c r="K2922" s="63">
        <f t="shared" si="1516"/>
        <v>0.13636363636363635</v>
      </c>
      <c r="L2922" s="871" t="s">
        <v>2342</v>
      </c>
      <c r="M2922" s="584"/>
      <c r="N2922" s="664">
        <f t="shared" si="1517"/>
        <v>200307</v>
      </c>
      <c r="O2922" s="73" t="s">
        <v>150</v>
      </c>
      <c r="P2922" s="103" t="str">
        <f>C2922</f>
        <v>독일제 정품 잉크호일 아스테이지</v>
      </c>
      <c r="Q2922" s="71">
        <f t="shared" si="1518"/>
        <v>2</v>
      </c>
      <c r="R2922" s="147">
        <v>95000</v>
      </c>
      <c r="S2922" s="102">
        <f>R2922*Q2922*1.1</f>
        <v>209000.00000000003</v>
      </c>
      <c r="T2922" s="102">
        <f>R2922*Q2922</f>
        <v>190000</v>
      </c>
      <c r="U2922" s="71" t="str">
        <f t="shared" si="1520"/>
        <v>O</v>
      </c>
      <c r="V2922" s="73"/>
      <c r="W2922" s="473">
        <v>30000</v>
      </c>
      <c r="X2922" s="73"/>
      <c r="Y2922" s="73"/>
    </row>
    <row r="2923" spans="1:25" s="209" customFormat="1" ht="30" hidden="1" customHeight="1" x14ac:dyDescent="0.25">
      <c r="A2923" s="82">
        <v>200307</v>
      </c>
      <c r="B2923" s="669" t="s">
        <v>545</v>
      </c>
      <c r="C2923" s="684" t="s">
        <v>582</v>
      </c>
      <c r="D2923" s="680">
        <v>3</v>
      </c>
      <c r="E2923" s="700">
        <v>950000</v>
      </c>
      <c r="F2923" s="700">
        <f>(E2923*D2923)*1.1</f>
        <v>3135000.0000000005</v>
      </c>
      <c r="G2923" s="700">
        <f>(E2923*D2923)</f>
        <v>2850000</v>
      </c>
      <c r="H2923" s="1000" t="s">
        <v>39</v>
      </c>
      <c r="I2923" s="73" t="s">
        <v>1432</v>
      </c>
      <c r="J2923" s="60">
        <f>(G2923-(VLOOKUP(C2923,Price!B:D,3,FALSE)*D2923))</f>
        <v>1218000</v>
      </c>
      <c r="K2923" s="427">
        <f t="shared" si="1516"/>
        <v>0.42736842105263151</v>
      </c>
      <c r="L2923" s="871" t="s">
        <v>2342</v>
      </c>
      <c r="M2923" s="578"/>
      <c r="N2923" s="669">
        <f t="shared" si="1517"/>
        <v>200307</v>
      </c>
      <c r="O2923" s="999" t="s">
        <v>39</v>
      </c>
      <c r="P2923" s="195" t="str">
        <f>(C2923)</f>
        <v>습수정화장치(beta.f) 필터세트</v>
      </c>
      <c r="Q2923" s="192">
        <f t="shared" si="1518"/>
        <v>3</v>
      </c>
      <c r="R2923" s="193">
        <v>544000</v>
      </c>
      <c r="S2923" s="147">
        <f>(R2923*D2923)*1.1</f>
        <v>1795200.0000000002</v>
      </c>
      <c r="T2923" s="147">
        <f>(R2923*Q2923)</f>
        <v>1632000</v>
      </c>
      <c r="U2923" s="209" t="str">
        <f t="shared" si="1520"/>
        <v>O</v>
      </c>
      <c r="W2923" s="482">
        <f>(G2923-T2923)</f>
        <v>1218000</v>
      </c>
    </row>
    <row r="2924" spans="1:25" s="209" customFormat="1" ht="30" hidden="1" customHeight="1" x14ac:dyDescent="0.25">
      <c r="A2924" s="82">
        <v>200309</v>
      </c>
      <c r="B2924" s="664" t="s">
        <v>1286</v>
      </c>
      <c r="C2924" s="71" t="s">
        <v>277</v>
      </c>
      <c r="D2924" s="71">
        <v>5</v>
      </c>
      <c r="E2924" s="102">
        <v>172000</v>
      </c>
      <c r="F2924" s="102">
        <f>(E2924*D2924)*1.1</f>
        <v>946000.00000000012</v>
      </c>
      <c r="G2924" s="102">
        <f>(E2924*D2924)</f>
        <v>860000</v>
      </c>
      <c r="H2924" s="690" t="s">
        <v>173</v>
      </c>
      <c r="I2924" s="71" t="s">
        <v>108</v>
      </c>
      <c r="J2924" s="53">
        <f>G2924-T2924</f>
        <v>285000</v>
      </c>
      <c r="K2924" s="63">
        <v>0.33139534883720928</v>
      </c>
      <c r="L2924" s="871" t="s">
        <v>2342</v>
      </c>
      <c r="M2924" s="468"/>
      <c r="N2924" s="664">
        <f t="shared" si="1517"/>
        <v>200309</v>
      </c>
      <c r="O2924" s="71" t="s">
        <v>150</v>
      </c>
      <c r="P2924" s="103" t="str">
        <f>C2924</f>
        <v>윤전용 세척제(Web 504)</v>
      </c>
      <c r="Q2924" s="71">
        <f t="shared" si="1518"/>
        <v>5</v>
      </c>
      <c r="R2924" s="102">
        <v>115000</v>
      </c>
      <c r="S2924" s="102">
        <f t="shared" ref="S2924:S2961" si="1522">R2924*Q2924*1.1</f>
        <v>632500</v>
      </c>
      <c r="T2924" s="102">
        <f t="shared" ref="T2924:T2961" si="1523">R2924*Q2924</f>
        <v>575000</v>
      </c>
      <c r="U2924" s="71" t="s">
        <v>859</v>
      </c>
      <c r="V2924" s="71"/>
      <c r="W2924" s="474">
        <v>285000</v>
      </c>
      <c r="X2924" s="71"/>
      <c r="Y2924" s="71"/>
    </row>
    <row r="2925" spans="1:25" s="209" customFormat="1" ht="30" hidden="1" customHeight="1" x14ac:dyDescent="0.25">
      <c r="A2925" s="82">
        <v>200311</v>
      </c>
      <c r="B2925" s="664" t="s">
        <v>2155</v>
      </c>
      <c r="C2925" s="71" t="s">
        <v>138</v>
      </c>
      <c r="D2925" s="71">
        <v>10</v>
      </c>
      <c r="E2925" s="102">
        <v>47600</v>
      </c>
      <c r="F2925" s="163">
        <f t="shared" ref="F2925:F2963" si="1524">(E2925*D2925)*1.1</f>
        <v>523600.00000000006</v>
      </c>
      <c r="G2925" s="102">
        <f t="shared" ref="G2925:G2963" si="1525">(E2925*D2925)</f>
        <v>476000</v>
      </c>
      <c r="H2925" s="1129" t="s">
        <v>172</v>
      </c>
      <c r="I2925" s="71" t="s">
        <v>108</v>
      </c>
      <c r="J2925" s="53">
        <f>G2925-T2925</f>
        <v>68000</v>
      </c>
      <c r="K2925" s="63">
        <f t="shared" ref="K2925:K2931" si="1526">(J2925/(F2925/11*10))</f>
        <v>0.14285714285714285</v>
      </c>
      <c r="L2925" s="871" t="s">
        <v>2342</v>
      </c>
      <c r="M2925" s="468" t="s">
        <v>2214</v>
      </c>
      <c r="N2925" s="664">
        <f t="shared" si="1517"/>
        <v>200311</v>
      </c>
      <c r="O2925" s="71" t="s">
        <v>150</v>
      </c>
      <c r="P2925" s="103" t="str">
        <f>(C2925)</f>
        <v>매엽용 세척제(Wash 562)</v>
      </c>
      <c r="Q2925" s="71">
        <f t="shared" si="1518"/>
        <v>10</v>
      </c>
      <c r="R2925" s="102">
        <v>40800</v>
      </c>
      <c r="S2925" s="102">
        <f t="shared" si="1522"/>
        <v>448800.00000000006</v>
      </c>
      <c r="T2925" s="102">
        <f t="shared" si="1523"/>
        <v>408000</v>
      </c>
      <c r="U2925" s="71" t="s">
        <v>859</v>
      </c>
      <c r="V2925" s="71"/>
      <c r="W2925" s="474">
        <v>85000</v>
      </c>
      <c r="X2925" s="71"/>
      <c r="Y2925" s="71"/>
    </row>
    <row r="2926" spans="1:25" ht="31.5" hidden="1" customHeight="1" x14ac:dyDescent="0.25">
      <c r="A2926" s="82">
        <v>200312</v>
      </c>
      <c r="B2926" s="664" t="s">
        <v>545</v>
      </c>
      <c r="C2926" s="71" t="s">
        <v>911</v>
      </c>
      <c r="D2926" s="71">
        <v>1</v>
      </c>
      <c r="E2926" s="102">
        <v>250000</v>
      </c>
      <c r="F2926" s="102">
        <f t="shared" si="1524"/>
        <v>275000</v>
      </c>
      <c r="G2926" s="102">
        <f t="shared" si="1525"/>
        <v>250000</v>
      </c>
      <c r="H2926" s="690" t="s">
        <v>173</v>
      </c>
      <c r="I2926" s="71" t="s">
        <v>2231</v>
      </c>
      <c r="J2926" s="53">
        <f>G2926-T2926</f>
        <v>175000</v>
      </c>
      <c r="K2926" s="63">
        <f t="shared" si="1526"/>
        <v>0.7</v>
      </c>
      <c r="L2926" s="871" t="s">
        <v>2342</v>
      </c>
      <c r="M2926" s="468"/>
      <c r="N2926" s="664">
        <f>A2926</f>
        <v>200312</v>
      </c>
      <c r="O2926" s="71" t="s">
        <v>994</v>
      </c>
      <c r="P2926" s="103" t="str">
        <f>C2926</f>
        <v>콤푸레샤 에어필터</v>
      </c>
      <c r="Q2926" s="71">
        <f t="shared" si="1518"/>
        <v>1</v>
      </c>
      <c r="R2926" s="102">
        <v>75000</v>
      </c>
      <c r="S2926" s="102">
        <f t="shared" si="1522"/>
        <v>82500</v>
      </c>
      <c r="T2926" s="102">
        <f t="shared" si="1523"/>
        <v>75000</v>
      </c>
      <c r="U2926" s="71" t="str">
        <f>IF(J2926=W2926,"O", "X")</f>
        <v>O</v>
      </c>
      <c r="V2926" s="71"/>
      <c r="W2926" s="474">
        <f>(G2926-T2926)</f>
        <v>175000</v>
      </c>
      <c r="X2926" s="71"/>
      <c r="Y2926" s="71"/>
    </row>
    <row r="2927" spans="1:25" s="209" customFormat="1" ht="30" hidden="1" customHeight="1" x14ac:dyDescent="0.2">
      <c r="A2927" s="82">
        <v>200313</v>
      </c>
      <c r="B2927" s="664" t="s">
        <v>2353</v>
      </c>
      <c r="C2927" s="71" t="s">
        <v>138</v>
      </c>
      <c r="D2927" s="71">
        <v>10</v>
      </c>
      <c r="E2927" s="102">
        <v>54400</v>
      </c>
      <c r="F2927" s="163">
        <f t="shared" si="1524"/>
        <v>598400</v>
      </c>
      <c r="G2927" s="102">
        <f t="shared" si="1525"/>
        <v>544000</v>
      </c>
      <c r="H2927" s="165" t="s">
        <v>142</v>
      </c>
      <c r="I2927" s="71" t="s">
        <v>142</v>
      </c>
      <c r="J2927" s="53">
        <f>G2927-T2927</f>
        <v>136000</v>
      </c>
      <c r="K2927" s="63">
        <f t="shared" si="1526"/>
        <v>0.25</v>
      </c>
      <c r="L2927" s="871" t="s">
        <v>2342</v>
      </c>
      <c r="M2927" s="468" t="s">
        <v>2214</v>
      </c>
      <c r="N2927" s="664">
        <f t="shared" si="1517"/>
        <v>200313</v>
      </c>
      <c r="O2927" s="71" t="s">
        <v>2030</v>
      </c>
      <c r="P2927" s="103" t="str">
        <f>(C2927)</f>
        <v>매엽용 세척제(Wash 562)</v>
      </c>
      <c r="Q2927" s="71">
        <f t="shared" si="1518"/>
        <v>10</v>
      </c>
      <c r="R2927" s="102">
        <v>40800</v>
      </c>
      <c r="S2927" s="102">
        <f t="shared" si="1522"/>
        <v>448800.00000000006</v>
      </c>
      <c r="T2927" s="102">
        <f t="shared" si="1523"/>
        <v>408000</v>
      </c>
      <c r="U2927" s="71" t="str">
        <f>IF(J2927=W2927,"O", "X")</f>
        <v>O</v>
      </c>
      <c r="V2927" s="71"/>
      <c r="W2927" s="474">
        <f>(G2927-T2927)</f>
        <v>136000</v>
      </c>
      <c r="X2927" s="71"/>
      <c r="Y2927" s="71"/>
    </row>
    <row r="2928" spans="1:25" s="209" customFormat="1" ht="30" hidden="1" customHeight="1" x14ac:dyDescent="0.2">
      <c r="A2928" s="82">
        <v>200313</v>
      </c>
      <c r="B2928" s="664" t="s">
        <v>2353</v>
      </c>
      <c r="C2928" s="71" t="s">
        <v>130</v>
      </c>
      <c r="D2928" s="71">
        <v>10</v>
      </c>
      <c r="E2928" s="102">
        <v>125000</v>
      </c>
      <c r="F2928" s="163">
        <f t="shared" si="1524"/>
        <v>1375000</v>
      </c>
      <c r="G2928" s="102">
        <f t="shared" si="1525"/>
        <v>1250000</v>
      </c>
      <c r="H2928" s="165" t="s">
        <v>142</v>
      </c>
      <c r="I2928" s="71" t="s">
        <v>142</v>
      </c>
      <c r="J2928" s="53">
        <f>(G2928-(VLOOKUP(C2928,Price!B:D,3,FALSE)*D2928))</f>
        <v>260000</v>
      </c>
      <c r="K2928" s="63">
        <f t="shared" si="1526"/>
        <v>0.20799999999999999</v>
      </c>
      <c r="L2928" s="871" t="s">
        <v>2342</v>
      </c>
      <c r="M2928" s="468" t="s">
        <v>2050</v>
      </c>
      <c r="N2928" s="664">
        <f t="shared" si="1517"/>
        <v>200313</v>
      </c>
      <c r="O2928" s="71" t="s">
        <v>150</v>
      </c>
      <c r="P2928" s="103" t="str">
        <f>(C2928)</f>
        <v>XL106 Blanket(1077*885)</v>
      </c>
      <c r="Q2928" s="71">
        <f t="shared" si="1518"/>
        <v>10</v>
      </c>
      <c r="R2928" s="102">
        <v>99000</v>
      </c>
      <c r="S2928" s="102">
        <f t="shared" si="1522"/>
        <v>1089000</v>
      </c>
      <c r="T2928" s="102">
        <f t="shared" si="1523"/>
        <v>990000</v>
      </c>
      <c r="U2928" s="71" t="str">
        <f>IF(J2928=W2928,"O", "X")</f>
        <v>O</v>
      </c>
      <c r="V2928" s="71"/>
      <c r="W2928" s="474">
        <f>(G2928-T2928)</f>
        <v>260000</v>
      </c>
      <c r="X2928" s="71"/>
      <c r="Y2928" s="71"/>
    </row>
    <row r="2929" spans="1:25" ht="30" hidden="1" customHeight="1" x14ac:dyDescent="0.2">
      <c r="A2929" s="82">
        <v>200313</v>
      </c>
      <c r="B2929" s="664" t="s">
        <v>2353</v>
      </c>
      <c r="C2929" s="71" t="s">
        <v>129</v>
      </c>
      <c r="D2929" s="71">
        <v>7</v>
      </c>
      <c r="E2929" s="102">
        <v>272000</v>
      </c>
      <c r="F2929" s="163">
        <f>(E2929*D2929)*1.1</f>
        <v>2094400.0000000002</v>
      </c>
      <c r="G2929" s="102">
        <f>(E2929*D2929)</f>
        <v>1904000</v>
      </c>
      <c r="H2929" s="165" t="s">
        <v>142</v>
      </c>
      <c r="I2929" s="71" t="s">
        <v>142</v>
      </c>
      <c r="J2929" s="53">
        <f t="shared" ref="J2929:J2937" si="1527">G2929-T2929</f>
        <v>448000</v>
      </c>
      <c r="K2929" s="63">
        <f t="shared" si="1526"/>
        <v>0.23529411764705879</v>
      </c>
      <c r="L2929" s="871" t="s">
        <v>2342</v>
      </c>
      <c r="M2929" s="468" t="s">
        <v>2050</v>
      </c>
      <c r="N2929" s="664">
        <f t="shared" si="1517"/>
        <v>200313</v>
      </c>
      <c r="O2929" s="71" t="s">
        <v>149</v>
      </c>
      <c r="P2929" s="103" t="str">
        <f>(C2929)</f>
        <v>세정포-XL106</v>
      </c>
      <c r="Q2929" s="71">
        <f t="shared" si="1518"/>
        <v>7</v>
      </c>
      <c r="R2929" s="102">
        <v>208000</v>
      </c>
      <c r="S2929" s="102">
        <f t="shared" si="1522"/>
        <v>1601600.0000000002</v>
      </c>
      <c r="T2929" s="102">
        <f t="shared" si="1523"/>
        <v>1456000</v>
      </c>
      <c r="U2929" s="71" t="str">
        <f>IF(J2929=W2929,"O", "X")</f>
        <v>O</v>
      </c>
      <c r="V2929" s="71"/>
      <c r="W2929" s="474">
        <f>(G2929-T2929)</f>
        <v>448000</v>
      </c>
      <c r="X2929" s="71"/>
      <c r="Y2929" s="71"/>
    </row>
    <row r="2930" spans="1:25" ht="30" hidden="1" customHeight="1" x14ac:dyDescent="0.2">
      <c r="A2930" s="82">
        <v>200315</v>
      </c>
      <c r="B2930" s="664" t="s">
        <v>575</v>
      </c>
      <c r="C2930" s="71" t="s">
        <v>2371</v>
      </c>
      <c r="D2930" s="71">
        <v>1</v>
      </c>
      <c r="E2930" s="102">
        <v>1000000</v>
      </c>
      <c r="F2930" s="163">
        <f>(E2930*D2930)*1.1</f>
        <v>1100000</v>
      </c>
      <c r="G2930" s="102">
        <f>(E2930*D2930)</f>
        <v>1000000</v>
      </c>
      <c r="H2930" s="165" t="s">
        <v>142</v>
      </c>
      <c r="I2930" s="71" t="s">
        <v>142</v>
      </c>
      <c r="J2930" s="53">
        <f t="shared" si="1527"/>
        <v>174323.75</v>
      </c>
      <c r="K2930" s="63">
        <f t="shared" si="1526"/>
        <v>0.17432375</v>
      </c>
      <c r="L2930" s="871" t="s">
        <v>2342</v>
      </c>
      <c r="M2930" s="468"/>
      <c r="N2930" s="664">
        <f t="shared" si="1517"/>
        <v>200315</v>
      </c>
      <c r="O2930" s="71" t="s">
        <v>1409</v>
      </c>
      <c r="P2930" s="103" t="str">
        <f>(C2930)</f>
        <v>Onevision 서비스 비용(3회차)</v>
      </c>
      <c r="Q2930" s="71">
        <f t="shared" si="1518"/>
        <v>1</v>
      </c>
      <c r="R2930" s="102">
        <f>3302705/4</f>
        <v>825676.25</v>
      </c>
      <c r="S2930" s="102">
        <f t="shared" si="1522"/>
        <v>908243.87500000012</v>
      </c>
      <c r="T2930" s="102">
        <f t="shared" si="1523"/>
        <v>825676.25</v>
      </c>
      <c r="U2930" s="71"/>
      <c r="V2930" s="71"/>
      <c r="W2930" s="474"/>
      <c r="X2930" s="71"/>
      <c r="Y2930" s="71"/>
    </row>
    <row r="2931" spans="1:25" ht="30" hidden="1" customHeight="1" x14ac:dyDescent="0.25">
      <c r="A2931" s="82">
        <v>200316</v>
      </c>
      <c r="B2931" s="664" t="s">
        <v>2155</v>
      </c>
      <c r="C2931" s="71" t="s">
        <v>1144</v>
      </c>
      <c r="D2931" s="71">
        <v>5</v>
      </c>
      <c r="E2931" s="102">
        <v>110000</v>
      </c>
      <c r="F2931" s="102">
        <f t="shared" si="1524"/>
        <v>605000</v>
      </c>
      <c r="G2931" s="102">
        <f t="shared" si="1525"/>
        <v>550000</v>
      </c>
      <c r="H2931" s="690" t="s">
        <v>173</v>
      </c>
      <c r="I2931" s="71" t="s">
        <v>2231</v>
      </c>
      <c r="J2931" s="53">
        <f t="shared" si="1527"/>
        <v>95000</v>
      </c>
      <c r="K2931" s="63">
        <f t="shared" si="1526"/>
        <v>0.17272727272727273</v>
      </c>
      <c r="L2931" s="871" t="s">
        <v>2342</v>
      </c>
      <c r="M2931" s="468" t="s">
        <v>3069</v>
      </c>
      <c r="N2931" s="664">
        <f>A2931</f>
        <v>200316</v>
      </c>
      <c r="O2931" s="71" t="s">
        <v>150</v>
      </c>
      <c r="P2931" s="103" t="str">
        <f>C2931</f>
        <v>실리콘 에멀전</v>
      </c>
      <c r="Q2931" s="71">
        <f>D2931</f>
        <v>5</v>
      </c>
      <c r="R2931" s="102">
        <v>91000</v>
      </c>
      <c r="S2931" s="102">
        <f t="shared" si="1522"/>
        <v>500500.00000000006</v>
      </c>
      <c r="T2931" s="102">
        <f t="shared" si="1523"/>
        <v>455000</v>
      </c>
      <c r="U2931" s="71" t="str">
        <f>IF(J2931=W2931,"O", "X")</f>
        <v>X</v>
      </c>
      <c r="V2931" s="71"/>
      <c r="W2931" s="474"/>
      <c r="X2931" s="71"/>
      <c r="Y2931" s="71"/>
    </row>
    <row r="2932" spans="1:25" ht="30" hidden="1" customHeight="1" x14ac:dyDescent="0.25">
      <c r="A2932" s="82">
        <v>200316</v>
      </c>
      <c r="B2932" s="664" t="s">
        <v>2155</v>
      </c>
      <c r="C2932" s="71" t="s">
        <v>277</v>
      </c>
      <c r="D2932" s="71">
        <v>5</v>
      </c>
      <c r="E2932" s="102">
        <v>172000</v>
      </c>
      <c r="F2932" s="102">
        <f t="shared" si="1524"/>
        <v>946000.00000000012</v>
      </c>
      <c r="G2932" s="102">
        <f t="shared" si="1525"/>
        <v>860000</v>
      </c>
      <c r="H2932" s="690" t="s">
        <v>173</v>
      </c>
      <c r="I2932" s="71" t="s">
        <v>108</v>
      </c>
      <c r="J2932" s="53">
        <f t="shared" si="1527"/>
        <v>285000</v>
      </c>
      <c r="K2932" s="63">
        <v>0.33139534883720928</v>
      </c>
      <c r="L2932" s="871" t="s">
        <v>2342</v>
      </c>
      <c r="M2932" s="468"/>
      <c r="N2932" s="664">
        <f t="shared" ref="N2932:N2961" si="1528">A2932</f>
        <v>200316</v>
      </c>
      <c r="O2932" s="71" t="s">
        <v>150</v>
      </c>
      <c r="P2932" s="103" t="str">
        <f>C2932</f>
        <v>윤전용 세척제(Web 504)</v>
      </c>
      <c r="Q2932" s="71">
        <f t="shared" ref="Q2932:Q2962" si="1529">D2932</f>
        <v>5</v>
      </c>
      <c r="R2932" s="102">
        <v>115000</v>
      </c>
      <c r="S2932" s="102">
        <f t="shared" si="1522"/>
        <v>632500</v>
      </c>
      <c r="T2932" s="102">
        <f t="shared" si="1523"/>
        <v>575000</v>
      </c>
      <c r="U2932" s="71" t="s">
        <v>859</v>
      </c>
      <c r="V2932" s="71"/>
      <c r="W2932" s="474">
        <v>285000</v>
      </c>
      <c r="X2932" s="71"/>
      <c r="Y2932" s="71"/>
    </row>
    <row r="2933" spans="1:25" s="209" customFormat="1" ht="30" hidden="1" customHeight="1" x14ac:dyDescent="0.2">
      <c r="A2933" s="82">
        <v>200316</v>
      </c>
      <c r="B2933" s="664" t="s">
        <v>2155</v>
      </c>
      <c r="C2933" s="71" t="s">
        <v>231</v>
      </c>
      <c r="D2933" s="71">
        <v>10</v>
      </c>
      <c r="E2933" s="102">
        <v>120000</v>
      </c>
      <c r="F2933" s="102">
        <f t="shared" si="1524"/>
        <v>1320000</v>
      </c>
      <c r="G2933" s="102">
        <f t="shared" si="1525"/>
        <v>1200000</v>
      </c>
      <c r="H2933" s="165" t="s">
        <v>172</v>
      </c>
      <c r="I2933" s="71" t="s">
        <v>109</v>
      </c>
      <c r="J2933" s="53">
        <f t="shared" si="1527"/>
        <v>80000</v>
      </c>
      <c r="K2933" s="63">
        <v>6.6666666666666666E-2</v>
      </c>
      <c r="L2933" s="871" t="s">
        <v>2342</v>
      </c>
      <c r="M2933" s="468"/>
      <c r="N2933" s="664">
        <f>A2933</f>
        <v>200316</v>
      </c>
      <c r="O2933" s="71" t="s">
        <v>151</v>
      </c>
      <c r="P2933" s="103" t="str">
        <f>C2933</f>
        <v>Blanket(990*725)</v>
      </c>
      <c r="Q2933" s="71">
        <f>D2933</f>
        <v>10</v>
      </c>
      <c r="R2933" s="102">
        <v>112000</v>
      </c>
      <c r="S2933" s="102">
        <f t="shared" si="1522"/>
        <v>1232000</v>
      </c>
      <c r="T2933" s="102">
        <f t="shared" si="1523"/>
        <v>1120000</v>
      </c>
      <c r="U2933" s="71" t="s">
        <v>859</v>
      </c>
      <c r="V2933" s="71"/>
      <c r="W2933" s="474">
        <v>80000</v>
      </c>
      <c r="X2933" s="71"/>
      <c r="Y2933" s="71"/>
    </row>
    <row r="2934" spans="1:25" s="209" customFormat="1" ht="30" hidden="1" customHeight="1" x14ac:dyDescent="0.25">
      <c r="A2934" s="82">
        <v>200319</v>
      </c>
      <c r="B2934" s="664" t="s">
        <v>2155</v>
      </c>
      <c r="C2934" s="71" t="s">
        <v>138</v>
      </c>
      <c r="D2934" s="71">
        <v>10</v>
      </c>
      <c r="E2934" s="102">
        <v>47600</v>
      </c>
      <c r="F2934" s="163">
        <f t="shared" si="1524"/>
        <v>523600.00000000006</v>
      </c>
      <c r="G2934" s="102">
        <f t="shared" si="1525"/>
        <v>476000</v>
      </c>
      <c r="H2934" s="1129" t="s">
        <v>172</v>
      </c>
      <c r="I2934" s="71" t="s">
        <v>108</v>
      </c>
      <c r="J2934" s="53">
        <f t="shared" si="1527"/>
        <v>68000</v>
      </c>
      <c r="K2934" s="63">
        <f t="shared" ref="K2934:K2960" si="1530">(J2934/(F2934/11*10))</f>
        <v>0.14285714285714285</v>
      </c>
      <c r="L2934" s="871" t="s">
        <v>2342</v>
      </c>
      <c r="M2934" s="468" t="s">
        <v>2214</v>
      </c>
      <c r="N2934" s="664">
        <f t="shared" si="1528"/>
        <v>200319</v>
      </c>
      <c r="O2934" s="71" t="s">
        <v>150</v>
      </c>
      <c r="P2934" s="103" t="str">
        <f>(C2934)</f>
        <v>매엽용 세척제(Wash 562)</v>
      </c>
      <c r="Q2934" s="71">
        <f t="shared" si="1529"/>
        <v>10</v>
      </c>
      <c r="R2934" s="102">
        <v>40800</v>
      </c>
      <c r="S2934" s="102">
        <f t="shared" si="1522"/>
        <v>448800.00000000006</v>
      </c>
      <c r="T2934" s="102">
        <f t="shared" si="1523"/>
        <v>408000</v>
      </c>
      <c r="U2934" s="71" t="s">
        <v>859</v>
      </c>
      <c r="V2934" s="71"/>
      <c r="W2934" s="474">
        <v>85000</v>
      </c>
      <c r="X2934" s="71"/>
      <c r="Y2934" s="71"/>
    </row>
    <row r="2935" spans="1:25" s="209" customFormat="1" ht="30" hidden="1" customHeight="1" x14ac:dyDescent="0.2">
      <c r="A2935" s="82">
        <v>200319</v>
      </c>
      <c r="B2935" s="664" t="s">
        <v>764</v>
      </c>
      <c r="C2935" s="71" t="s">
        <v>236</v>
      </c>
      <c r="D2935" s="71">
        <v>10</v>
      </c>
      <c r="E2935" s="102">
        <v>100000</v>
      </c>
      <c r="F2935" s="163">
        <f t="shared" si="1524"/>
        <v>1100000</v>
      </c>
      <c r="G2935" s="102">
        <f t="shared" si="1525"/>
        <v>1000000</v>
      </c>
      <c r="H2935" s="690" t="s">
        <v>173</v>
      </c>
      <c r="I2935" s="71" t="s">
        <v>2231</v>
      </c>
      <c r="J2935" s="53">
        <f t="shared" si="1527"/>
        <v>500000</v>
      </c>
      <c r="K2935" s="63">
        <f t="shared" si="1530"/>
        <v>0.5</v>
      </c>
      <c r="L2935" s="871" t="s">
        <v>2342</v>
      </c>
      <c r="M2935" s="468"/>
      <c r="N2935" s="664">
        <f t="shared" si="1528"/>
        <v>200319</v>
      </c>
      <c r="O2935" s="71" t="s">
        <v>153</v>
      </c>
      <c r="P2935" s="103" t="str">
        <f>(C2935)</f>
        <v>아스테이지(국전)</v>
      </c>
      <c r="Q2935" s="71">
        <f t="shared" si="1529"/>
        <v>10</v>
      </c>
      <c r="R2935" s="102">
        <v>50000</v>
      </c>
      <c r="S2935" s="102">
        <f t="shared" si="1522"/>
        <v>550000</v>
      </c>
      <c r="T2935" s="102">
        <f t="shared" si="1523"/>
        <v>500000</v>
      </c>
      <c r="U2935" s="71" t="s">
        <v>859</v>
      </c>
      <c r="V2935" s="71"/>
      <c r="W2935" s="474">
        <v>500000</v>
      </c>
      <c r="X2935" s="71"/>
      <c r="Y2935" s="71"/>
    </row>
    <row r="2936" spans="1:25" ht="30" hidden="1" customHeight="1" x14ac:dyDescent="0.2">
      <c r="A2936" s="82">
        <v>200320</v>
      </c>
      <c r="B2936" s="664" t="s">
        <v>545</v>
      </c>
      <c r="C2936" s="71" t="s">
        <v>227</v>
      </c>
      <c r="D2936" s="71">
        <v>10</v>
      </c>
      <c r="E2936" s="102">
        <v>110000</v>
      </c>
      <c r="F2936" s="163">
        <f t="shared" si="1524"/>
        <v>1210000</v>
      </c>
      <c r="G2936" s="102">
        <f t="shared" si="1525"/>
        <v>1100000</v>
      </c>
      <c r="H2936" s="690" t="s">
        <v>173</v>
      </c>
      <c r="I2936" s="71" t="s">
        <v>109</v>
      </c>
      <c r="J2936" s="53">
        <f t="shared" si="1527"/>
        <v>271000</v>
      </c>
      <c r="K2936" s="63">
        <f t="shared" si="1530"/>
        <v>0.24636363636363637</v>
      </c>
      <c r="L2936" s="871" t="s">
        <v>2342</v>
      </c>
      <c r="M2936" s="468"/>
      <c r="N2936" s="664">
        <f t="shared" si="1528"/>
        <v>200320</v>
      </c>
      <c r="O2936" s="71" t="s">
        <v>147</v>
      </c>
      <c r="P2936" s="103" t="str">
        <f>(C2936)</f>
        <v>Blanket(1060*860)</v>
      </c>
      <c r="Q2936" s="71">
        <f t="shared" si="1529"/>
        <v>10</v>
      </c>
      <c r="R2936" s="102">
        <v>82900</v>
      </c>
      <c r="S2936" s="102">
        <f t="shared" si="1522"/>
        <v>911900.00000000012</v>
      </c>
      <c r="T2936" s="102">
        <f t="shared" si="1523"/>
        <v>829000</v>
      </c>
      <c r="U2936" s="71" t="str">
        <f>IF(J2936=W2936,"O", "X")</f>
        <v>O</v>
      </c>
      <c r="V2936" s="71"/>
      <c r="W2936" s="474">
        <f>(G2936-T2936)</f>
        <v>271000</v>
      </c>
      <c r="X2936" s="71"/>
      <c r="Y2936" s="71"/>
    </row>
    <row r="2937" spans="1:25" ht="30" hidden="1" customHeight="1" x14ac:dyDescent="0.2">
      <c r="A2937" s="82">
        <v>200320</v>
      </c>
      <c r="B2937" s="664" t="s">
        <v>545</v>
      </c>
      <c r="C2937" s="71" t="s">
        <v>1747</v>
      </c>
      <c r="D2937" s="71">
        <v>5</v>
      </c>
      <c r="E2937" s="102">
        <v>610000</v>
      </c>
      <c r="F2937" s="163">
        <f t="shared" si="1524"/>
        <v>3355000.0000000005</v>
      </c>
      <c r="G2937" s="102">
        <f t="shared" si="1525"/>
        <v>3050000</v>
      </c>
      <c r="H2937" s="690" t="s">
        <v>173</v>
      </c>
      <c r="I2937" s="71" t="s">
        <v>2184</v>
      </c>
      <c r="J2937" s="53">
        <f t="shared" si="1527"/>
        <v>1325020</v>
      </c>
      <c r="K2937" s="63">
        <f t="shared" si="1530"/>
        <v>0.43443278688524584</v>
      </c>
      <c r="L2937" s="871" t="s">
        <v>2342</v>
      </c>
      <c r="M2937" s="468"/>
      <c r="N2937" s="664">
        <f t="shared" si="1528"/>
        <v>200320</v>
      </c>
      <c r="O2937" s="71" t="s">
        <v>1458</v>
      </c>
      <c r="P2937" s="103" t="str">
        <f>C2937</f>
        <v>UV 램프 - KBA(1145mm)</v>
      </c>
      <c r="Q2937" s="71">
        <f t="shared" si="1529"/>
        <v>5</v>
      </c>
      <c r="R2937" s="102">
        <v>344996</v>
      </c>
      <c r="S2937" s="102">
        <f t="shared" si="1522"/>
        <v>1897478.0000000002</v>
      </c>
      <c r="T2937" s="102">
        <f t="shared" si="1523"/>
        <v>1724980</v>
      </c>
      <c r="U2937" s="71" t="str">
        <f>IF(J2937=W2937,"O", "X")</f>
        <v>X</v>
      </c>
      <c r="V2937" s="71"/>
      <c r="W2937" s="474"/>
      <c r="X2937" s="71"/>
      <c r="Y2937" s="71"/>
    </row>
    <row r="2938" spans="1:25" ht="30" hidden="1" customHeight="1" x14ac:dyDescent="0.2">
      <c r="A2938" s="82">
        <v>200324</v>
      </c>
      <c r="B2938" s="664" t="s">
        <v>545</v>
      </c>
      <c r="C2938" s="71" t="s">
        <v>952</v>
      </c>
      <c r="D2938" s="71">
        <v>1</v>
      </c>
      <c r="E2938" s="102">
        <v>630000</v>
      </c>
      <c r="F2938" s="163">
        <f t="shared" si="1524"/>
        <v>693000</v>
      </c>
      <c r="G2938" s="102">
        <f t="shared" si="1525"/>
        <v>630000</v>
      </c>
      <c r="H2938" s="690" t="s">
        <v>173</v>
      </c>
      <c r="I2938" s="71" t="s">
        <v>108</v>
      </c>
      <c r="J2938" s="53">
        <f>(G2938-(VLOOKUP(C2938,Price!B:D,3,FALSE)*D2938))</f>
        <v>180000</v>
      </c>
      <c r="K2938" s="63">
        <f>(J2938/(F2938/11*10))</f>
        <v>0.2857142857142857</v>
      </c>
      <c r="L2938" s="871" t="s">
        <v>2342</v>
      </c>
      <c r="M2938" s="468"/>
      <c r="N2938" s="664">
        <f t="shared" si="1528"/>
        <v>200324</v>
      </c>
      <c r="O2938" s="71" t="s">
        <v>599</v>
      </c>
      <c r="P2938" s="103" t="str">
        <f>(C2938)</f>
        <v>점보롤 세정포</v>
      </c>
      <c r="Q2938" s="71">
        <f t="shared" si="1529"/>
        <v>1</v>
      </c>
      <c r="R2938" s="102">
        <v>440000</v>
      </c>
      <c r="S2938" s="102">
        <f t="shared" si="1522"/>
        <v>484000.00000000006</v>
      </c>
      <c r="T2938" s="102">
        <f t="shared" si="1523"/>
        <v>440000</v>
      </c>
      <c r="U2938" s="71" t="str">
        <f>IF(J2938=W2938,"O", "X")</f>
        <v>X</v>
      </c>
      <c r="V2938" s="71" t="s">
        <v>1228</v>
      </c>
      <c r="W2938" s="474">
        <f>(G2938-T2938)</f>
        <v>190000</v>
      </c>
      <c r="X2938" s="71"/>
      <c r="Y2938" s="71"/>
    </row>
    <row r="2939" spans="1:25" ht="30" hidden="1" customHeight="1" x14ac:dyDescent="0.2">
      <c r="A2939" s="82">
        <v>200324</v>
      </c>
      <c r="B2939" s="664" t="s">
        <v>575</v>
      </c>
      <c r="C2939" s="71" t="s">
        <v>1367</v>
      </c>
      <c r="D2939" s="71">
        <v>8</v>
      </c>
      <c r="E2939" s="102">
        <v>218000</v>
      </c>
      <c r="F2939" s="163">
        <f t="shared" si="1524"/>
        <v>1918400.0000000002</v>
      </c>
      <c r="G2939" s="102">
        <f t="shared" si="1525"/>
        <v>1744000</v>
      </c>
      <c r="H2939" s="690" t="s">
        <v>173</v>
      </c>
      <c r="I2939" s="71" t="s">
        <v>109</v>
      </c>
      <c r="J2939" s="53">
        <f t="shared" ref="J2939:J2961" si="1531">G2939-T2939</f>
        <v>781920</v>
      </c>
      <c r="K2939" s="63">
        <f>(J2939/(F2939/11*10))</f>
        <v>0.44834862385321095</v>
      </c>
      <c r="L2939" s="871" t="s">
        <v>2342</v>
      </c>
      <c r="M2939" s="468"/>
      <c r="N2939" s="664">
        <f t="shared" si="1528"/>
        <v>200324</v>
      </c>
      <c r="O2939" s="71" t="s">
        <v>1443</v>
      </c>
      <c r="P2939" s="103" t="str">
        <f>(C2939)</f>
        <v>M600 윤전 블랑켓 995*742</v>
      </c>
      <c r="Q2939" s="71">
        <f t="shared" si="1529"/>
        <v>8</v>
      </c>
      <c r="R2939" s="102">
        <v>120260</v>
      </c>
      <c r="S2939" s="102">
        <f t="shared" si="1522"/>
        <v>1058288</v>
      </c>
      <c r="T2939" s="102">
        <f t="shared" si="1523"/>
        <v>962080</v>
      </c>
      <c r="U2939" s="71" t="str">
        <f>IF(J2939=W2939,"O", "X")</f>
        <v>X</v>
      </c>
      <c r="V2939" s="71"/>
      <c r="W2939" s="474"/>
      <c r="X2939" s="71"/>
      <c r="Y2939" s="71"/>
    </row>
    <row r="2940" spans="1:25" ht="30" customHeight="1" x14ac:dyDescent="0.2">
      <c r="A2940" s="82">
        <v>200325</v>
      </c>
      <c r="B2940" s="664" t="s">
        <v>565</v>
      </c>
      <c r="C2940" s="71" t="s">
        <v>2081</v>
      </c>
      <c r="D2940" s="71">
        <v>148</v>
      </c>
      <c r="E2940" s="102">
        <v>69000</v>
      </c>
      <c r="F2940" s="163">
        <f t="shared" si="1524"/>
        <v>11233200</v>
      </c>
      <c r="G2940" s="102">
        <f t="shared" si="1525"/>
        <v>10212000</v>
      </c>
      <c r="H2940" s="165" t="s">
        <v>173</v>
      </c>
      <c r="I2940" s="71" t="s">
        <v>108</v>
      </c>
      <c r="J2940" s="53">
        <f t="shared" si="1531"/>
        <v>2664000</v>
      </c>
      <c r="K2940" s="63">
        <f>(J2940/(F2940/11*10))</f>
        <v>0.2608695652173913</v>
      </c>
      <c r="L2940" s="871" t="s">
        <v>2342</v>
      </c>
      <c r="M2940" s="468"/>
      <c r="N2940" s="664">
        <f t="shared" si="1528"/>
        <v>200325</v>
      </c>
      <c r="O2940" s="71" t="s">
        <v>599</v>
      </c>
      <c r="P2940" s="103" t="str">
        <f>(C2940)</f>
        <v>GOSS 신문윤전 습식세정포</v>
      </c>
      <c r="Q2940" s="71">
        <f t="shared" si="1529"/>
        <v>148</v>
      </c>
      <c r="R2940" s="102">
        <v>51000</v>
      </c>
      <c r="S2940" s="102">
        <f t="shared" si="1522"/>
        <v>8302800.0000000009</v>
      </c>
      <c r="T2940" s="102">
        <f t="shared" si="1523"/>
        <v>7548000</v>
      </c>
      <c r="U2940" s="71" t="str">
        <f>IF(J2940=W2940,"O", "X")</f>
        <v>X</v>
      </c>
      <c r="V2940" s="71"/>
      <c r="W2940" s="474"/>
      <c r="X2940" s="71"/>
      <c r="Y2940" s="71"/>
    </row>
    <row r="2941" spans="1:25" s="209" customFormat="1" ht="30" hidden="1" customHeight="1" x14ac:dyDescent="0.25">
      <c r="A2941" s="82">
        <v>200327</v>
      </c>
      <c r="B2941" s="664" t="s">
        <v>2155</v>
      </c>
      <c r="C2941" s="71" t="s">
        <v>138</v>
      </c>
      <c r="D2941" s="71">
        <v>10</v>
      </c>
      <c r="E2941" s="102">
        <v>47600</v>
      </c>
      <c r="F2941" s="163">
        <f t="shared" si="1524"/>
        <v>523600.00000000006</v>
      </c>
      <c r="G2941" s="102">
        <f t="shared" si="1525"/>
        <v>476000</v>
      </c>
      <c r="H2941" s="1129" t="s">
        <v>172</v>
      </c>
      <c r="I2941" s="71" t="s">
        <v>108</v>
      </c>
      <c r="J2941" s="53">
        <f t="shared" si="1531"/>
        <v>68000</v>
      </c>
      <c r="K2941" s="63">
        <f t="shared" si="1530"/>
        <v>0.14285714285714285</v>
      </c>
      <c r="L2941" s="871" t="s">
        <v>2342</v>
      </c>
      <c r="M2941" s="468" t="s">
        <v>2214</v>
      </c>
      <c r="N2941" s="664">
        <f t="shared" si="1528"/>
        <v>200327</v>
      </c>
      <c r="O2941" s="71" t="s">
        <v>150</v>
      </c>
      <c r="P2941" s="103" t="str">
        <f>(C2941)</f>
        <v>매엽용 세척제(Wash 562)</v>
      </c>
      <c r="Q2941" s="71">
        <f t="shared" si="1529"/>
        <v>10</v>
      </c>
      <c r="R2941" s="102">
        <v>40800</v>
      </c>
      <c r="S2941" s="102">
        <f t="shared" si="1522"/>
        <v>448800.00000000006</v>
      </c>
      <c r="T2941" s="102">
        <f t="shared" si="1523"/>
        <v>408000</v>
      </c>
      <c r="U2941" s="71" t="s">
        <v>859</v>
      </c>
      <c r="V2941" s="71"/>
      <c r="W2941" s="474">
        <v>85000</v>
      </c>
      <c r="X2941" s="71"/>
      <c r="Y2941" s="71"/>
    </row>
    <row r="2942" spans="1:25" s="209" customFormat="1" ht="30" hidden="1" customHeight="1" x14ac:dyDescent="0.2">
      <c r="A2942" s="82">
        <v>200327</v>
      </c>
      <c r="B2942" s="664" t="s">
        <v>2261</v>
      </c>
      <c r="C2942" s="71" t="s">
        <v>107</v>
      </c>
      <c r="D2942" s="71">
        <v>10</v>
      </c>
      <c r="E2942" s="102">
        <v>108000</v>
      </c>
      <c r="F2942" s="163">
        <f t="shared" si="1524"/>
        <v>1188000</v>
      </c>
      <c r="G2942" s="102">
        <f t="shared" si="1525"/>
        <v>1080000</v>
      </c>
      <c r="H2942" s="165" t="s">
        <v>172</v>
      </c>
      <c r="I2942" s="71" t="s">
        <v>109</v>
      </c>
      <c r="J2942" s="53">
        <f t="shared" si="1531"/>
        <v>275000</v>
      </c>
      <c r="K2942" s="63">
        <f t="shared" si="1530"/>
        <v>0.25462962962962965</v>
      </c>
      <c r="L2942" s="871" t="s">
        <v>2342</v>
      </c>
      <c r="M2942" s="468"/>
      <c r="N2942" s="664">
        <f t="shared" si="1528"/>
        <v>200327</v>
      </c>
      <c r="O2942" s="71" t="s">
        <v>147</v>
      </c>
      <c r="P2942" s="103" t="str">
        <f>(C2942)</f>
        <v>Blanket(1050*840)</v>
      </c>
      <c r="Q2942" s="71">
        <f t="shared" si="1529"/>
        <v>10</v>
      </c>
      <c r="R2942" s="102">
        <v>80500</v>
      </c>
      <c r="S2942" s="102">
        <f t="shared" si="1522"/>
        <v>885500.00000000012</v>
      </c>
      <c r="T2942" s="102">
        <f t="shared" si="1523"/>
        <v>805000</v>
      </c>
      <c r="U2942" s="71" t="s">
        <v>859</v>
      </c>
      <c r="V2942" s="71"/>
      <c r="W2942" s="474">
        <v>275000</v>
      </c>
      <c r="X2942" s="71"/>
      <c r="Y2942" s="71"/>
    </row>
    <row r="2943" spans="1:25" ht="30" hidden="1" customHeight="1" x14ac:dyDescent="0.25">
      <c r="A2943" s="82">
        <v>200331</v>
      </c>
      <c r="B2943" s="664" t="s">
        <v>2278</v>
      </c>
      <c r="C2943" s="71" t="s">
        <v>2348</v>
      </c>
      <c r="D2943" s="71">
        <v>7</v>
      </c>
      <c r="E2943" s="102">
        <v>912000</v>
      </c>
      <c r="F2943" s="102">
        <f t="shared" si="1524"/>
        <v>7022400.0000000009</v>
      </c>
      <c r="G2943" s="102">
        <f t="shared" si="1525"/>
        <v>6384000</v>
      </c>
      <c r="H2943" s="690" t="s">
        <v>142</v>
      </c>
      <c r="I2943" s="690" t="s">
        <v>142</v>
      </c>
      <c r="J2943" s="53">
        <f t="shared" si="1531"/>
        <v>3148768</v>
      </c>
      <c r="K2943" s="63">
        <f t="shared" si="1530"/>
        <v>0.49322807017543852</v>
      </c>
      <c r="L2943" s="871" t="s">
        <v>2342</v>
      </c>
      <c r="M2943" s="468"/>
      <c r="N2943" s="664">
        <f t="shared" si="1528"/>
        <v>200331</v>
      </c>
      <c r="O2943" s="71" t="s">
        <v>1431</v>
      </c>
      <c r="P2943" s="103" t="str">
        <f>C2943</f>
        <v>ENKEL AUTO WEB POLY V BELT</v>
      </c>
      <c r="Q2943" s="71">
        <f t="shared" si="1529"/>
        <v>7</v>
      </c>
      <c r="R2943" s="102">
        <v>462176</v>
      </c>
      <c r="S2943" s="102">
        <f t="shared" si="1522"/>
        <v>3558755.2</v>
      </c>
      <c r="T2943" s="102">
        <f t="shared" si="1523"/>
        <v>3235232</v>
      </c>
      <c r="U2943" s="71"/>
      <c r="V2943" s="71"/>
      <c r="W2943" s="474"/>
      <c r="X2943" s="71"/>
      <c r="Y2943" s="71"/>
    </row>
    <row r="2944" spans="1:25" ht="30" hidden="1" customHeight="1" x14ac:dyDescent="0.25">
      <c r="A2944" s="82">
        <v>200331</v>
      </c>
      <c r="B2944" s="664" t="s">
        <v>1051</v>
      </c>
      <c r="C2944" s="71" t="s">
        <v>1294</v>
      </c>
      <c r="D2944" s="71">
        <v>1100</v>
      </c>
      <c r="E2944" s="102">
        <v>6230</v>
      </c>
      <c r="F2944" s="102">
        <f t="shared" si="1524"/>
        <v>7538300.0000000009</v>
      </c>
      <c r="G2944" s="102">
        <f t="shared" si="1525"/>
        <v>6853000</v>
      </c>
      <c r="H2944" s="690" t="s">
        <v>142</v>
      </c>
      <c r="I2944" s="71" t="s">
        <v>2273</v>
      </c>
      <c r="J2944" s="53">
        <f t="shared" si="1531"/>
        <v>2255000</v>
      </c>
      <c r="K2944" s="63">
        <f t="shared" si="1530"/>
        <v>0.32905296950240764</v>
      </c>
      <c r="L2944" s="871" t="s">
        <v>2342</v>
      </c>
      <c r="M2944" s="468"/>
      <c r="N2944" s="664">
        <f t="shared" si="1528"/>
        <v>200331</v>
      </c>
      <c r="O2944" s="71" t="s">
        <v>145</v>
      </c>
      <c r="P2944" s="103" t="str">
        <f t="shared" ref="P2944:P2951" si="1532">(C2944)</f>
        <v>ENGAGE 1030*790</v>
      </c>
      <c r="Q2944" s="71">
        <f t="shared" si="1529"/>
        <v>1100</v>
      </c>
      <c r="R2944" s="102">
        <v>4180</v>
      </c>
      <c r="S2944" s="102">
        <f t="shared" si="1522"/>
        <v>5057800</v>
      </c>
      <c r="T2944" s="102">
        <f t="shared" si="1523"/>
        <v>4598000</v>
      </c>
      <c r="U2944" s="71" t="str">
        <f t="shared" ref="U2944:U2961" si="1533">IF(J2944=W2944,"O", "X")</f>
        <v>O</v>
      </c>
      <c r="V2944" s="71"/>
      <c r="W2944" s="474">
        <f t="shared" ref="W2944:W2960" si="1534">(G2944-T2944)</f>
        <v>2255000</v>
      </c>
      <c r="X2944" s="71"/>
      <c r="Y2944" s="71"/>
    </row>
    <row r="2945" spans="1:25" ht="30" hidden="1" customHeight="1" x14ac:dyDescent="0.25">
      <c r="A2945" s="82">
        <v>200331</v>
      </c>
      <c r="B2945" s="664" t="s">
        <v>1051</v>
      </c>
      <c r="C2945" s="71" t="s">
        <v>1384</v>
      </c>
      <c r="D2945" s="71">
        <v>3600</v>
      </c>
      <c r="E2945" s="102">
        <v>3920</v>
      </c>
      <c r="F2945" s="102">
        <f t="shared" si="1524"/>
        <v>15523200.000000002</v>
      </c>
      <c r="G2945" s="102">
        <f t="shared" si="1525"/>
        <v>14112000</v>
      </c>
      <c r="H2945" s="690" t="s">
        <v>142</v>
      </c>
      <c r="I2945" s="71" t="s">
        <v>2273</v>
      </c>
      <c r="J2945" s="53">
        <f t="shared" si="1531"/>
        <v>4608291.9995084181</v>
      </c>
      <c r="K2945" s="63">
        <f t="shared" si="1530"/>
        <v>0.32655130382004094</v>
      </c>
      <c r="L2945" s="871" t="s">
        <v>2342</v>
      </c>
      <c r="M2945" s="468"/>
      <c r="N2945" s="664">
        <f t="shared" si="1528"/>
        <v>200331</v>
      </c>
      <c r="O2945" s="71" t="s">
        <v>145</v>
      </c>
      <c r="P2945" s="103" t="str">
        <f t="shared" si="1532"/>
        <v>ENGAGE 900X571 - 27RO</v>
      </c>
      <c r="Q2945" s="71">
        <f t="shared" si="1529"/>
        <v>3600</v>
      </c>
      <c r="R2945" s="102">
        <f>R2944/1030/790*900*571</f>
        <v>2639.9188890254395</v>
      </c>
      <c r="S2945" s="102">
        <f t="shared" si="1522"/>
        <v>10454078.800540742</v>
      </c>
      <c r="T2945" s="102">
        <f t="shared" si="1523"/>
        <v>9503708.0004915819</v>
      </c>
      <c r="U2945" s="71" t="str">
        <f t="shared" si="1533"/>
        <v>O</v>
      </c>
      <c r="V2945" s="71"/>
      <c r="W2945" s="474">
        <f t="shared" si="1534"/>
        <v>4608291.9995084181</v>
      </c>
      <c r="X2945" s="71"/>
      <c r="Y2945" s="71"/>
    </row>
    <row r="2946" spans="1:25" ht="30" hidden="1" customHeight="1" x14ac:dyDescent="0.25">
      <c r="A2946" s="82">
        <v>200331</v>
      </c>
      <c r="B2946" s="664" t="s">
        <v>1051</v>
      </c>
      <c r="C2946" s="71" t="s">
        <v>951</v>
      </c>
      <c r="D2946" s="71">
        <v>800</v>
      </c>
      <c r="E2946" s="102">
        <v>3740</v>
      </c>
      <c r="F2946" s="102">
        <f t="shared" si="1524"/>
        <v>3291200.0000000005</v>
      </c>
      <c r="G2946" s="102">
        <f t="shared" si="1525"/>
        <v>2992000</v>
      </c>
      <c r="H2946" s="690" t="s">
        <v>142</v>
      </c>
      <c r="I2946" s="71" t="s">
        <v>2273</v>
      </c>
      <c r="J2946" s="53">
        <f t="shared" si="1531"/>
        <v>988904.13665970275</v>
      </c>
      <c r="K2946" s="63">
        <f t="shared" si="1530"/>
        <v>0.33051608845578295</v>
      </c>
      <c r="L2946" s="871" t="s">
        <v>2342</v>
      </c>
      <c r="M2946" s="468"/>
      <c r="N2946" s="664">
        <f t="shared" si="1528"/>
        <v>200331</v>
      </c>
      <c r="O2946" s="71" t="s">
        <v>145</v>
      </c>
      <c r="P2946" s="103" t="str">
        <f t="shared" si="1532"/>
        <v>ENGAGE 30WEB(883*552)</v>
      </c>
      <c r="Q2946" s="71">
        <f t="shared" si="1529"/>
        <v>800</v>
      </c>
      <c r="R2946" s="102">
        <f>R2944/1030/790*883*552</f>
        <v>2503.8698291753717</v>
      </c>
      <c r="S2946" s="102">
        <f t="shared" si="1522"/>
        <v>2203405.4496743269</v>
      </c>
      <c r="T2946" s="102">
        <f t="shared" si="1523"/>
        <v>2003095.8633402972</v>
      </c>
      <c r="U2946" s="71" t="str">
        <f t="shared" si="1533"/>
        <v>O</v>
      </c>
      <c r="V2946" s="71"/>
      <c r="W2946" s="474">
        <f t="shared" si="1534"/>
        <v>988904.13665970275</v>
      </c>
      <c r="X2946" s="71"/>
      <c r="Y2946" s="71"/>
    </row>
    <row r="2947" spans="1:25" ht="30" hidden="1" customHeight="1" x14ac:dyDescent="0.25">
      <c r="A2947" s="82">
        <v>200331</v>
      </c>
      <c r="B2947" s="664" t="s">
        <v>1051</v>
      </c>
      <c r="C2947" s="71" t="s">
        <v>2219</v>
      </c>
      <c r="D2947" s="71">
        <v>2200</v>
      </c>
      <c r="E2947" s="102">
        <v>6310</v>
      </c>
      <c r="F2947" s="102">
        <f t="shared" si="1524"/>
        <v>15270200.000000002</v>
      </c>
      <c r="G2947" s="102">
        <f t="shared" si="1525"/>
        <v>13882000</v>
      </c>
      <c r="H2947" s="690" t="s">
        <v>142</v>
      </c>
      <c r="I2947" s="71" t="s">
        <v>2273</v>
      </c>
      <c r="J2947" s="53">
        <f t="shared" si="1531"/>
        <v>4569594.9367088601</v>
      </c>
      <c r="K2947" s="63">
        <f t="shared" si="1530"/>
        <v>0.32917410579951445</v>
      </c>
      <c r="L2947" s="871" t="s">
        <v>2342</v>
      </c>
      <c r="M2947" s="468"/>
      <c r="N2947" s="664">
        <f t="shared" si="1528"/>
        <v>200331</v>
      </c>
      <c r="O2947" s="71" t="s">
        <v>145</v>
      </c>
      <c r="P2947" s="103" t="str">
        <f t="shared" si="1532"/>
        <v>ENGAGE 1030*800</v>
      </c>
      <c r="Q2947" s="71">
        <f t="shared" si="1529"/>
        <v>2200</v>
      </c>
      <c r="R2947" s="102">
        <f>R2944/1030/790*1030*800</f>
        <v>4232.9113924050635</v>
      </c>
      <c r="S2947" s="102">
        <f t="shared" si="1522"/>
        <v>10243645.569620255</v>
      </c>
      <c r="T2947" s="102">
        <f t="shared" si="1523"/>
        <v>9312405.0632911399</v>
      </c>
      <c r="U2947" s="71" t="str">
        <f t="shared" si="1533"/>
        <v>O</v>
      </c>
      <c r="V2947" s="71"/>
      <c r="W2947" s="474">
        <f t="shared" si="1534"/>
        <v>4569594.9367088601</v>
      </c>
      <c r="X2947" s="71"/>
      <c r="Y2947" s="71"/>
    </row>
    <row r="2948" spans="1:25" ht="30" hidden="1" customHeight="1" x14ac:dyDescent="0.25">
      <c r="A2948" s="82">
        <v>200331</v>
      </c>
      <c r="B2948" s="664" t="s">
        <v>1051</v>
      </c>
      <c r="C2948" s="71" t="s">
        <v>1383</v>
      </c>
      <c r="D2948" s="71">
        <v>1000</v>
      </c>
      <c r="E2948" s="102">
        <v>6540</v>
      </c>
      <c r="F2948" s="102">
        <f t="shared" si="1524"/>
        <v>7194000.0000000009</v>
      </c>
      <c r="G2948" s="102">
        <f t="shared" si="1525"/>
        <v>6540000</v>
      </c>
      <c r="H2948" s="690" t="s">
        <v>142</v>
      </c>
      <c r="I2948" s="71" t="s">
        <v>2273</v>
      </c>
      <c r="J2948" s="53">
        <f t="shared" si="1531"/>
        <v>2144732.8253656141</v>
      </c>
      <c r="K2948" s="63">
        <f t="shared" si="1530"/>
        <v>0.32794079898556788</v>
      </c>
      <c r="L2948" s="871" t="s">
        <v>2342</v>
      </c>
      <c r="M2948" s="468"/>
      <c r="N2948" s="664">
        <f t="shared" si="1528"/>
        <v>200331</v>
      </c>
      <c r="O2948" s="71" t="s">
        <v>145</v>
      </c>
      <c r="P2948" s="103" t="str">
        <f t="shared" si="1532"/>
        <v>ENGAGE 1055*811</v>
      </c>
      <c r="Q2948" s="71">
        <f t="shared" si="1529"/>
        <v>1000</v>
      </c>
      <c r="R2948" s="102">
        <f>R2944/1030/790*1055*811</f>
        <v>4395.2671746343858</v>
      </c>
      <c r="S2948" s="102">
        <f t="shared" si="1522"/>
        <v>4834793.8920978252</v>
      </c>
      <c r="T2948" s="102">
        <f t="shared" si="1523"/>
        <v>4395267.1746343859</v>
      </c>
      <c r="U2948" s="71" t="str">
        <f t="shared" si="1533"/>
        <v>O</v>
      </c>
      <c r="V2948" s="71"/>
      <c r="W2948" s="474">
        <f t="shared" si="1534"/>
        <v>2144732.8253656141</v>
      </c>
      <c r="X2948" s="71"/>
      <c r="Y2948" s="71"/>
    </row>
    <row r="2949" spans="1:25" ht="30" hidden="1" customHeight="1" x14ac:dyDescent="0.25">
      <c r="A2949" s="82">
        <v>200331</v>
      </c>
      <c r="B2949" s="664" t="s">
        <v>1051</v>
      </c>
      <c r="C2949" s="71" t="s">
        <v>1650</v>
      </c>
      <c r="D2949" s="71">
        <v>400</v>
      </c>
      <c r="E2949" s="102">
        <v>4680</v>
      </c>
      <c r="F2949" s="102">
        <f t="shared" si="1524"/>
        <v>2059200.0000000002</v>
      </c>
      <c r="G2949" s="102">
        <f t="shared" si="1525"/>
        <v>1872000</v>
      </c>
      <c r="H2949" s="690" t="s">
        <v>142</v>
      </c>
      <c r="I2949" s="71" t="s">
        <v>2273</v>
      </c>
      <c r="J2949" s="53">
        <f t="shared" si="1531"/>
        <v>616904.78554749908</v>
      </c>
      <c r="K2949" s="63">
        <f t="shared" si="1530"/>
        <v>0.32954315467280931</v>
      </c>
      <c r="L2949" s="871" t="s">
        <v>2342</v>
      </c>
      <c r="M2949" s="468"/>
      <c r="N2949" s="664">
        <f t="shared" si="1528"/>
        <v>200331</v>
      </c>
      <c r="O2949" s="71" t="s">
        <v>145</v>
      </c>
      <c r="P2949" s="103" t="str">
        <f t="shared" si="1532"/>
        <v>ENGAGE 968*631</v>
      </c>
      <c r="Q2949" s="71">
        <f t="shared" si="1529"/>
        <v>400</v>
      </c>
      <c r="R2949" s="102">
        <f>R2944/1030/790*968*631</f>
        <v>3137.7380361312526</v>
      </c>
      <c r="S2949" s="102">
        <f t="shared" si="1522"/>
        <v>1380604.7358977511</v>
      </c>
      <c r="T2949" s="102">
        <f t="shared" si="1523"/>
        <v>1255095.2144525009</v>
      </c>
      <c r="U2949" s="71" t="str">
        <f t="shared" si="1533"/>
        <v>O</v>
      </c>
      <c r="V2949" s="71"/>
      <c r="W2949" s="474">
        <f t="shared" si="1534"/>
        <v>616904.78554749908</v>
      </c>
      <c r="X2949" s="71"/>
      <c r="Y2949" s="71"/>
    </row>
    <row r="2950" spans="1:25" ht="30" hidden="1" customHeight="1" x14ac:dyDescent="0.25">
      <c r="A2950" s="82">
        <v>200331</v>
      </c>
      <c r="B2950" s="664" t="s">
        <v>1051</v>
      </c>
      <c r="C2950" s="67" t="s">
        <v>1386</v>
      </c>
      <c r="D2950" s="71">
        <v>40</v>
      </c>
      <c r="E2950" s="102">
        <v>57500</v>
      </c>
      <c r="F2950" s="102">
        <f t="shared" si="1524"/>
        <v>2530000</v>
      </c>
      <c r="G2950" s="102">
        <f t="shared" si="1525"/>
        <v>2300000</v>
      </c>
      <c r="H2950" s="690" t="s">
        <v>142</v>
      </c>
      <c r="I2950" s="71" t="s">
        <v>2273</v>
      </c>
      <c r="J2950" s="53">
        <f t="shared" si="1531"/>
        <v>900000</v>
      </c>
      <c r="K2950" s="63">
        <f t="shared" si="1530"/>
        <v>0.39130434782608697</v>
      </c>
      <c r="L2950" s="871" t="s">
        <v>2342</v>
      </c>
      <c r="M2950" s="468"/>
      <c r="N2950" s="664">
        <f t="shared" si="1528"/>
        <v>200331</v>
      </c>
      <c r="O2950" s="71" t="s">
        <v>145</v>
      </c>
      <c r="P2950" s="103" t="str">
        <f t="shared" si="1532"/>
        <v>THR200(20L)보충액</v>
      </c>
      <c r="Q2950" s="71">
        <f t="shared" si="1529"/>
        <v>40</v>
      </c>
      <c r="R2950" s="102">
        <v>35000</v>
      </c>
      <c r="S2950" s="102">
        <f t="shared" si="1522"/>
        <v>1540000.0000000002</v>
      </c>
      <c r="T2950" s="102">
        <f t="shared" si="1523"/>
        <v>1400000</v>
      </c>
      <c r="U2950" s="71" t="str">
        <f t="shared" si="1533"/>
        <v>O</v>
      </c>
      <c r="V2950" s="71"/>
      <c r="W2950" s="474">
        <f t="shared" si="1534"/>
        <v>900000</v>
      </c>
      <c r="X2950" s="71"/>
      <c r="Y2950" s="71"/>
    </row>
    <row r="2951" spans="1:25" ht="30" hidden="1" customHeight="1" x14ac:dyDescent="0.25">
      <c r="A2951" s="82">
        <v>200331</v>
      </c>
      <c r="B2951" s="664" t="s">
        <v>1051</v>
      </c>
      <c r="C2951" s="71" t="s">
        <v>1387</v>
      </c>
      <c r="D2951" s="71">
        <v>10</v>
      </c>
      <c r="E2951" s="102">
        <v>57500</v>
      </c>
      <c r="F2951" s="102">
        <f t="shared" si="1524"/>
        <v>632500</v>
      </c>
      <c r="G2951" s="102">
        <f t="shared" si="1525"/>
        <v>575000</v>
      </c>
      <c r="H2951" s="690" t="s">
        <v>142</v>
      </c>
      <c r="I2951" s="71" t="s">
        <v>2273</v>
      </c>
      <c r="J2951" s="53">
        <f t="shared" si="1531"/>
        <v>225000</v>
      </c>
      <c r="K2951" s="63">
        <f t="shared" si="1530"/>
        <v>0.39130434782608697</v>
      </c>
      <c r="L2951" s="871" t="s">
        <v>2342</v>
      </c>
      <c r="M2951" s="468"/>
      <c r="N2951" s="664">
        <f t="shared" si="1528"/>
        <v>200331</v>
      </c>
      <c r="O2951" s="71" t="s">
        <v>145</v>
      </c>
      <c r="P2951" s="103" t="str">
        <f t="shared" si="1532"/>
        <v>THD200(20L)현상액</v>
      </c>
      <c r="Q2951" s="71">
        <f t="shared" si="1529"/>
        <v>10</v>
      </c>
      <c r="R2951" s="102">
        <v>35000</v>
      </c>
      <c r="S2951" s="102">
        <f t="shared" si="1522"/>
        <v>385000.00000000006</v>
      </c>
      <c r="T2951" s="102">
        <f t="shared" si="1523"/>
        <v>350000</v>
      </c>
      <c r="U2951" s="71" t="str">
        <f t="shared" si="1533"/>
        <v>O</v>
      </c>
      <c r="V2951" s="71"/>
      <c r="W2951" s="474">
        <f t="shared" si="1534"/>
        <v>225000</v>
      </c>
      <c r="X2951" s="71"/>
      <c r="Y2951" s="71"/>
    </row>
    <row r="2952" spans="1:25" ht="30" hidden="1" customHeight="1" x14ac:dyDescent="0.25">
      <c r="A2952" s="82">
        <v>200331</v>
      </c>
      <c r="B2952" s="664" t="s">
        <v>1061</v>
      </c>
      <c r="C2952" s="71" t="s">
        <v>616</v>
      </c>
      <c r="D2952" s="71">
        <v>200</v>
      </c>
      <c r="E2952" s="102">
        <v>5600</v>
      </c>
      <c r="F2952" s="102">
        <f t="shared" si="1524"/>
        <v>1232000</v>
      </c>
      <c r="G2952" s="102">
        <f t="shared" si="1525"/>
        <v>1120000</v>
      </c>
      <c r="H2952" s="690" t="s">
        <v>142</v>
      </c>
      <c r="I2952" s="71" t="s">
        <v>144</v>
      </c>
      <c r="J2952" s="53">
        <f t="shared" si="1531"/>
        <v>102000</v>
      </c>
      <c r="K2952" s="63">
        <f t="shared" si="1530"/>
        <v>9.1071428571428567E-2</v>
      </c>
      <c r="L2952" s="871" t="s">
        <v>2342</v>
      </c>
      <c r="M2952" s="468"/>
      <c r="N2952" s="664">
        <f t="shared" si="1528"/>
        <v>200331</v>
      </c>
      <c r="O2952" s="71" t="s">
        <v>147</v>
      </c>
      <c r="P2952" s="103" t="str">
        <f t="shared" ref="P2952:P2962" si="1535">(C2952)</f>
        <v>프리미어(먹)</v>
      </c>
      <c r="Q2952" s="71">
        <f t="shared" si="1529"/>
        <v>200</v>
      </c>
      <c r="R2952" s="102">
        <v>5090</v>
      </c>
      <c r="S2952" s="102">
        <f t="shared" si="1522"/>
        <v>1119800</v>
      </c>
      <c r="T2952" s="102">
        <f t="shared" si="1523"/>
        <v>1018000</v>
      </c>
      <c r="U2952" s="71" t="str">
        <f t="shared" si="1533"/>
        <v>O</v>
      </c>
      <c r="V2952" s="71"/>
      <c r="W2952" s="474">
        <f t="shared" si="1534"/>
        <v>102000</v>
      </c>
      <c r="X2952" s="71"/>
      <c r="Y2952" s="71"/>
    </row>
    <row r="2953" spans="1:25" ht="30" hidden="1" customHeight="1" x14ac:dyDescent="0.25">
      <c r="A2953" s="82">
        <v>200331</v>
      </c>
      <c r="B2953" s="664" t="s">
        <v>1052</v>
      </c>
      <c r="C2953" s="71" t="s">
        <v>585</v>
      </c>
      <c r="D2953" s="71">
        <v>200</v>
      </c>
      <c r="E2953" s="102">
        <v>6000</v>
      </c>
      <c r="F2953" s="102">
        <f t="shared" si="1524"/>
        <v>1320000</v>
      </c>
      <c r="G2953" s="102">
        <f t="shared" si="1525"/>
        <v>1200000</v>
      </c>
      <c r="H2953" s="690" t="s">
        <v>142</v>
      </c>
      <c r="I2953" s="71" t="s">
        <v>144</v>
      </c>
      <c r="J2953" s="53">
        <f t="shared" si="1531"/>
        <v>110000</v>
      </c>
      <c r="K2953" s="63">
        <f t="shared" si="1530"/>
        <v>9.166666666666666E-2</v>
      </c>
      <c r="L2953" s="871" t="s">
        <v>2342</v>
      </c>
      <c r="M2953" s="468"/>
      <c r="N2953" s="664">
        <f t="shared" si="1528"/>
        <v>200331</v>
      </c>
      <c r="O2953" s="71" t="s">
        <v>147</v>
      </c>
      <c r="P2953" s="103" t="str">
        <f t="shared" si="1535"/>
        <v>프리미어(적)</v>
      </c>
      <c r="Q2953" s="71">
        <f t="shared" si="1529"/>
        <v>200</v>
      </c>
      <c r="R2953" s="102">
        <v>5450</v>
      </c>
      <c r="S2953" s="102">
        <f t="shared" si="1522"/>
        <v>1199000</v>
      </c>
      <c r="T2953" s="102">
        <f t="shared" si="1523"/>
        <v>1090000</v>
      </c>
      <c r="U2953" s="71" t="str">
        <f t="shared" si="1533"/>
        <v>O</v>
      </c>
      <c r="V2953" s="71"/>
      <c r="W2953" s="474">
        <f t="shared" si="1534"/>
        <v>110000</v>
      </c>
      <c r="X2953" s="71"/>
      <c r="Y2953" s="71"/>
    </row>
    <row r="2954" spans="1:25" ht="30" hidden="1" customHeight="1" x14ac:dyDescent="0.25">
      <c r="A2954" s="82">
        <v>200331</v>
      </c>
      <c r="B2954" s="664" t="s">
        <v>1061</v>
      </c>
      <c r="C2954" s="71" t="s">
        <v>586</v>
      </c>
      <c r="D2954" s="71">
        <v>400</v>
      </c>
      <c r="E2954" s="102">
        <v>5750</v>
      </c>
      <c r="F2954" s="102">
        <f t="shared" si="1524"/>
        <v>2530000</v>
      </c>
      <c r="G2954" s="102">
        <f t="shared" si="1525"/>
        <v>2300000</v>
      </c>
      <c r="H2954" s="690" t="s">
        <v>142</v>
      </c>
      <c r="I2954" s="71" t="s">
        <v>144</v>
      </c>
      <c r="J2954" s="53">
        <f t="shared" si="1531"/>
        <v>212000</v>
      </c>
      <c r="K2954" s="63">
        <f t="shared" si="1530"/>
        <v>9.2173913043478259E-2</v>
      </c>
      <c r="L2954" s="871" t="s">
        <v>2342</v>
      </c>
      <c r="M2954" s="468"/>
      <c r="N2954" s="664">
        <f t="shared" si="1528"/>
        <v>200331</v>
      </c>
      <c r="O2954" s="71" t="s">
        <v>147</v>
      </c>
      <c r="P2954" s="103" t="str">
        <f t="shared" si="1535"/>
        <v>프리미어(황)</v>
      </c>
      <c r="Q2954" s="71">
        <f t="shared" si="1529"/>
        <v>400</v>
      </c>
      <c r="R2954" s="102">
        <v>5220</v>
      </c>
      <c r="S2954" s="102">
        <f t="shared" si="1522"/>
        <v>2296800</v>
      </c>
      <c r="T2954" s="102">
        <f t="shared" si="1523"/>
        <v>2088000</v>
      </c>
      <c r="U2954" s="71" t="str">
        <f t="shared" si="1533"/>
        <v>O</v>
      </c>
      <c r="V2954" s="71"/>
      <c r="W2954" s="474">
        <f t="shared" si="1534"/>
        <v>212000</v>
      </c>
      <c r="X2954" s="71"/>
      <c r="Y2954" s="71"/>
    </row>
    <row r="2955" spans="1:25" ht="30" hidden="1" customHeight="1" x14ac:dyDescent="0.25">
      <c r="A2955" s="82">
        <v>200331</v>
      </c>
      <c r="B2955" s="664" t="s">
        <v>1061</v>
      </c>
      <c r="C2955" s="71" t="s">
        <v>587</v>
      </c>
      <c r="D2955" s="71">
        <v>200</v>
      </c>
      <c r="E2955" s="102">
        <v>7000</v>
      </c>
      <c r="F2955" s="102">
        <f t="shared" si="1524"/>
        <v>1540000.0000000002</v>
      </c>
      <c r="G2955" s="102">
        <f t="shared" si="1525"/>
        <v>1400000</v>
      </c>
      <c r="H2955" s="690" t="s">
        <v>142</v>
      </c>
      <c r="I2955" s="71" t="s">
        <v>144</v>
      </c>
      <c r="J2955" s="53">
        <f t="shared" si="1531"/>
        <v>128000</v>
      </c>
      <c r="K2955" s="63">
        <f t="shared" si="1530"/>
        <v>9.1428571428571415E-2</v>
      </c>
      <c r="L2955" s="871" t="s">
        <v>2342</v>
      </c>
      <c r="M2955" s="468"/>
      <c r="N2955" s="664">
        <f t="shared" si="1528"/>
        <v>200331</v>
      </c>
      <c r="O2955" s="71" t="s">
        <v>147</v>
      </c>
      <c r="P2955" s="103" t="str">
        <f t="shared" si="1535"/>
        <v>프리미어(청)</v>
      </c>
      <c r="Q2955" s="71">
        <f t="shared" si="1529"/>
        <v>200</v>
      </c>
      <c r="R2955" s="102">
        <v>6360</v>
      </c>
      <c r="S2955" s="102">
        <f t="shared" si="1522"/>
        <v>1399200</v>
      </c>
      <c r="T2955" s="102">
        <f t="shared" si="1523"/>
        <v>1272000</v>
      </c>
      <c r="U2955" s="71" t="str">
        <f t="shared" si="1533"/>
        <v>O</v>
      </c>
      <c r="V2955" s="71"/>
      <c r="W2955" s="474">
        <f t="shared" si="1534"/>
        <v>128000</v>
      </c>
      <c r="X2955" s="71"/>
      <c r="Y2955" s="71"/>
    </row>
    <row r="2956" spans="1:25" ht="30" hidden="1" customHeight="1" x14ac:dyDescent="0.25">
      <c r="A2956" s="82">
        <v>200331</v>
      </c>
      <c r="B2956" s="664" t="s">
        <v>1052</v>
      </c>
      <c r="C2956" s="71" t="s">
        <v>1115</v>
      </c>
      <c r="D2956" s="71">
        <v>50</v>
      </c>
      <c r="E2956" s="102">
        <v>6200</v>
      </c>
      <c r="F2956" s="102">
        <f t="shared" si="1524"/>
        <v>341000</v>
      </c>
      <c r="G2956" s="102">
        <f t="shared" si="1525"/>
        <v>310000</v>
      </c>
      <c r="H2956" s="690" t="s">
        <v>142</v>
      </c>
      <c r="I2956" s="71" t="s">
        <v>144</v>
      </c>
      <c r="J2956" s="53">
        <f t="shared" si="1531"/>
        <v>5000</v>
      </c>
      <c r="K2956" s="63">
        <f t="shared" si="1530"/>
        <v>1.6129032258064516E-2</v>
      </c>
      <c r="L2956" s="871" t="s">
        <v>2342</v>
      </c>
      <c r="M2956" s="468"/>
      <c r="N2956" s="664">
        <f t="shared" si="1528"/>
        <v>200331</v>
      </c>
      <c r="O2956" s="71" t="s">
        <v>147</v>
      </c>
      <c r="P2956" s="103" t="str">
        <f t="shared" si="1535"/>
        <v>한특 잉크(적)</v>
      </c>
      <c r="Q2956" s="71">
        <f t="shared" si="1529"/>
        <v>50</v>
      </c>
      <c r="R2956" s="102">
        <v>6100</v>
      </c>
      <c r="S2956" s="102">
        <f t="shared" si="1522"/>
        <v>335500</v>
      </c>
      <c r="T2956" s="102">
        <f t="shared" si="1523"/>
        <v>305000</v>
      </c>
      <c r="U2956" s="71" t="str">
        <f t="shared" si="1533"/>
        <v>O</v>
      </c>
      <c r="V2956" s="71"/>
      <c r="W2956" s="474">
        <f t="shared" si="1534"/>
        <v>5000</v>
      </c>
      <c r="X2956" s="71"/>
      <c r="Y2956" s="71"/>
    </row>
    <row r="2957" spans="1:25" ht="30" hidden="1" customHeight="1" x14ac:dyDescent="0.25">
      <c r="A2957" s="82">
        <v>200331</v>
      </c>
      <c r="B2957" s="664" t="s">
        <v>1052</v>
      </c>
      <c r="C2957" s="71" t="s">
        <v>1116</v>
      </c>
      <c r="D2957" s="71">
        <v>150</v>
      </c>
      <c r="E2957" s="102">
        <v>6000</v>
      </c>
      <c r="F2957" s="102">
        <f t="shared" si="1524"/>
        <v>990000.00000000012</v>
      </c>
      <c r="G2957" s="102">
        <f t="shared" si="1525"/>
        <v>900000</v>
      </c>
      <c r="H2957" s="690" t="s">
        <v>142</v>
      </c>
      <c r="I2957" s="71" t="s">
        <v>144</v>
      </c>
      <c r="J2957" s="53">
        <f t="shared" si="1531"/>
        <v>15000</v>
      </c>
      <c r="K2957" s="63">
        <f t="shared" si="1530"/>
        <v>1.6666666666666663E-2</v>
      </c>
      <c r="L2957" s="871" t="s">
        <v>2342</v>
      </c>
      <c r="M2957" s="468"/>
      <c r="N2957" s="664">
        <f t="shared" si="1528"/>
        <v>200331</v>
      </c>
      <c r="O2957" s="71" t="s">
        <v>147</v>
      </c>
      <c r="P2957" s="103" t="str">
        <f t="shared" si="1535"/>
        <v>한특 잉크(황)</v>
      </c>
      <c r="Q2957" s="71">
        <f t="shared" si="1529"/>
        <v>150</v>
      </c>
      <c r="R2957" s="102">
        <v>5900</v>
      </c>
      <c r="S2957" s="102">
        <f t="shared" si="1522"/>
        <v>973500.00000000012</v>
      </c>
      <c r="T2957" s="102">
        <f t="shared" si="1523"/>
        <v>885000</v>
      </c>
      <c r="U2957" s="71" t="str">
        <f t="shared" si="1533"/>
        <v>O</v>
      </c>
      <c r="V2957" s="71"/>
      <c r="W2957" s="474">
        <f t="shared" si="1534"/>
        <v>15000</v>
      </c>
      <c r="X2957" s="71"/>
      <c r="Y2957" s="71"/>
    </row>
    <row r="2958" spans="1:25" ht="30" hidden="1" customHeight="1" x14ac:dyDescent="0.25">
      <c r="A2958" s="82">
        <v>200331</v>
      </c>
      <c r="B2958" s="664" t="s">
        <v>1052</v>
      </c>
      <c r="C2958" s="71" t="s">
        <v>1117</v>
      </c>
      <c r="D2958" s="71">
        <v>100</v>
      </c>
      <c r="E2958" s="102">
        <v>6500</v>
      </c>
      <c r="F2958" s="102">
        <f t="shared" si="1524"/>
        <v>715000</v>
      </c>
      <c r="G2958" s="102">
        <f t="shared" si="1525"/>
        <v>650000</v>
      </c>
      <c r="H2958" s="690" t="s">
        <v>142</v>
      </c>
      <c r="I2958" s="71" t="s">
        <v>144</v>
      </c>
      <c r="J2958" s="53">
        <f t="shared" si="1531"/>
        <v>10000</v>
      </c>
      <c r="K2958" s="63">
        <f t="shared" si="1530"/>
        <v>1.5384615384615385E-2</v>
      </c>
      <c r="L2958" s="871" t="s">
        <v>2342</v>
      </c>
      <c r="M2958" s="468"/>
      <c r="N2958" s="664">
        <f t="shared" si="1528"/>
        <v>200331</v>
      </c>
      <c r="O2958" s="71" t="s">
        <v>147</v>
      </c>
      <c r="P2958" s="103" t="str">
        <f t="shared" si="1535"/>
        <v>한특 잉크(청)</v>
      </c>
      <c r="Q2958" s="71">
        <f t="shared" si="1529"/>
        <v>100</v>
      </c>
      <c r="R2958" s="102">
        <v>6400</v>
      </c>
      <c r="S2958" s="102">
        <f t="shared" si="1522"/>
        <v>704000</v>
      </c>
      <c r="T2958" s="102">
        <f t="shared" si="1523"/>
        <v>640000</v>
      </c>
      <c r="U2958" s="71" t="str">
        <f t="shared" si="1533"/>
        <v>O</v>
      </c>
      <c r="V2958" s="71"/>
      <c r="W2958" s="474">
        <f t="shared" si="1534"/>
        <v>10000</v>
      </c>
      <c r="X2958" s="71"/>
      <c r="Y2958" s="71"/>
    </row>
    <row r="2959" spans="1:25" ht="30" hidden="1" customHeight="1" x14ac:dyDescent="0.25">
      <c r="A2959" s="82">
        <v>200331</v>
      </c>
      <c r="B2959" s="664" t="s">
        <v>1052</v>
      </c>
      <c r="C2959" s="71" t="s">
        <v>1118</v>
      </c>
      <c r="D2959" s="71">
        <v>100</v>
      </c>
      <c r="E2959" s="102">
        <v>5600</v>
      </c>
      <c r="F2959" s="102">
        <f t="shared" si="1524"/>
        <v>616000</v>
      </c>
      <c r="G2959" s="102">
        <f t="shared" si="1525"/>
        <v>560000</v>
      </c>
      <c r="H2959" s="690" t="s">
        <v>142</v>
      </c>
      <c r="I2959" s="71" t="s">
        <v>144</v>
      </c>
      <c r="J2959" s="53">
        <f t="shared" si="1531"/>
        <v>10000</v>
      </c>
      <c r="K2959" s="63">
        <f t="shared" si="1530"/>
        <v>1.7857142857142856E-2</v>
      </c>
      <c r="L2959" s="871" t="s">
        <v>2342</v>
      </c>
      <c r="M2959" s="468"/>
      <c r="N2959" s="664">
        <f t="shared" si="1528"/>
        <v>200331</v>
      </c>
      <c r="O2959" s="71" t="s">
        <v>147</v>
      </c>
      <c r="P2959" s="103" t="str">
        <f t="shared" si="1535"/>
        <v>한특 잉크(먹)</v>
      </c>
      <c r="Q2959" s="71">
        <f t="shared" si="1529"/>
        <v>100</v>
      </c>
      <c r="R2959" s="102">
        <v>5500</v>
      </c>
      <c r="S2959" s="102">
        <f t="shared" si="1522"/>
        <v>605000</v>
      </c>
      <c r="T2959" s="102">
        <f t="shared" si="1523"/>
        <v>550000</v>
      </c>
      <c r="U2959" s="71" t="str">
        <f t="shared" si="1533"/>
        <v>O</v>
      </c>
      <c r="V2959" s="71"/>
      <c r="W2959" s="474">
        <f t="shared" si="1534"/>
        <v>10000</v>
      </c>
      <c r="X2959" s="71"/>
      <c r="Y2959" s="71"/>
    </row>
    <row r="2960" spans="1:25" ht="30" hidden="1" customHeight="1" x14ac:dyDescent="0.25">
      <c r="A2960" s="82">
        <v>200331</v>
      </c>
      <c r="B2960" s="664" t="s">
        <v>1178</v>
      </c>
      <c r="C2960" s="71" t="s">
        <v>2345</v>
      </c>
      <c r="D2960" s="71">
        <v>1</v>
      </c>
      <c r="E2960" s="102">
        <v>4000000</v>
      </c>
      <c r="F2960" s="102">
        <f t="shared" si="1524"/>
        <v>4400000</v>
      </c>
      <c r="G2960" s="102">
        <f t="shared" si="1525"/>
        <v>4000000</v>
      </c>
      <c r="H2960" s="690" t="s">
        <v>142</v>
      </c>
      <c r="I2960" s="690" t="s">
        <v>142</v>
      </c>
      <c r="J2960" s="53">
        <f t="shared" si="1531"/>
        <v>2568090</v>
      </c>
      <c r="K2960" s="63">
        <f t="shared" si="1530"/>
        <v>0.64202250000000005</v>
      </c>
      <c r="L2960" s="871" t="s">
        <v>2342</v>
      </c>
      <c r="M2960" s="468"/>
      <c r="N2960" s="664">
        <f t="shared" si="1528"/>
        <v>200331</v>
      </c>
      <c r="O2960" s="71" t="s">
        <v>2224</v>
      </c>
      <c r="P2960" s="103" t="str">
        <f t="shared" si="1535"/>
        <v>플렉소 End Seal</v>
      </c>
      <c r="Q2960" s="71">
        <f t="shared" si="1529"/>
        <v>1</v>
      </c>
      <c r="R2960" s="102">
        <v>1431910</v>
      </c>
      <c r="S2960" s="102">
        <f t="shared" si="1522"/>
        <v>1575101.0000000002</v>
      </c>
      <c r="T2960" s="102">
        <f t="shared" si="1523"/>
        <v>1431910</v>
      </c>
      <c r="U2960" s="71" t="str">
        <f t="shared" si="1533"/>
        <v>O</v>
      </c>
      <c r="V2960" s="71"/>
      <c r="W2960" s="474">
        <f t="shared" si="1534"/>
        <v>2568090</v>
      </c>
      <c r="X2960" s="71"/>
      <c r="Y2960" s="71"/>
    </row>
    <row r="2961" spans="1:25" ht="30" hidden="1" customHeight="1" x14ac:dyDescent="0.25">
      <c r="A2961" s="82">
        <v>200331</v>
      </c>
      <c r="B2961" s="664" t="s">
        <v>1178</v>
      </c>
      <c r="C2961" s="71" t="s">
        <v>2346</v>
      </c>
      <c r="D2961" s="71">
        <v>1</v>
      </c>
      <c r="E2961" s="102">
        <v>4400000</v>
      </c>
      <c r="F2961" s="102">
        <f t="shared" si="1524"/>
        <v>4840000</v>
      </c>
      <c r="G2961" s="102">
        <f t="shared" si="1525"/>
        <v>4400000</v>
      </c>
      <c r="H2961" s="690" t="s">
        <v>142</v>
      </c>
      <c r="I2961" s="690" t="s">
        <v>142</v>
      </c>
      <c r="J2961" s="53">
        <f t="shared" si="1531"/>
        <v>708883</v>
      </c>
      <c r="K2961" s="63">
        <f>(J2961/(F2961/11*10))</f>
        <v>0.16110977272727273</v>
      </c>
      <c r="L2961" s="871" t="s">
        <v>2342</v>
      </c>
      <c r="M2961" s="468"/>
      <c r="N2961" s="664">
        <f t="shared" si="1528"/>
        <v>200331</v>
      </c>
      <c r="O2961" s="71" t="s">
        <v>1431</v>
      </c>
      <c r="P2961" s="103" t="str">
        <f t="shared" si="1535"/>
        <v>John 방문 서비스 비용 1회차</v>
      </c>
      <c r="Q2961" s="71">
        <f t="shared" si="1529"/>
        <v>1</v>
      </c>
      <c r="R2961" s="102">
        <v>3691117</v>
      </c>
      <c r="S2961" s="102">
        <f t="shared" si="1522"/>
        <v>4060228.7</v>
      </c>
      <c r="T2961" s="102">
        <f t="shared" si="1523"/>
        <v>3691117</v>
      </c>
      <c r="U2961" s="71" t="str">
        <f t="shared" si="1533"/>
        <v>X</v>
      </c>
      <c r="V2961" s="71"/>
      <c r="W2961" s="474"/>
      <c r="X2961" s="71"/>
      <c r="Y2961" s="71"/>
    </row>
    <row r="2962" spans="1:25" ht="30" hidden="1" customHeight="1" x14ac:dyDescent="0.25">
      <c r="A2962" s="82">
        <v>200331</v>
      </c>
      <c r="B2962" s="664" t="s">
        <v>150</v>
      </c>
      <c r="C2962" s="71" t="s">
        <v>2347</v>
      </c>
      <c r="D2962" s="71">
        <v>1</v>
      </c>
      <c r="E2962" s="102">
        <v>22500000</v>
      </c>
      <c r="F2962" s="102">
        <f t="shared" si="1524"/>
        <v>24750000.000000004</v>
      </c>
      <c r="G2962" s="102">
        <f t="shared" si="1525"/>
        <v>22500000</v>
      </c>
      <c r="H2962" s="690" t="s">
        <v>985</v>
      </c>
      <c r="I2962" s="690" t="s">
        <v>985</v>
      </c>
      <c r="J2962" s="53"/>
      <c r="K2962" s="63"/>
      <c r="L2962" s="871" t="s">
        <v>2342</v>
      </c>
      <c r="M2962" s="468"/>
      <c r="N2962" s="664"/>
      <c r="O2962" s="71"/>
      <c r="P2962" s="103" t="str">
        <f t="shared" si="1535"/>
        <v>박영용 이사님 M600 이전 서비스 비용 50%</v>
      </c>
      <c r="Q2962" s="71">
        <f t="shared" si="1529"/>
        <v>1</v>
      </c>
      <c r="R2962" s="102"/>
      <c r="S2962" s="102"/>
      <c r="T2962" s="102"/>
      <c r="U2962" s="71"/>
      <c r="V2962" s="71"/>
      <c r="W2962" s="474"/>
      <c r="X2962" s="71"/>
      <c r="Y2962" s="71"/>
    </row>
    <row r="2963" spans="1:25" ht="30" hidden="1" customHeight="1" x14ac:dyDescent="0.2">
      <c r="A2963" s="82">
        <v>200331</v>
      </c>
      <c r="B2963" s="664" t="s">
        <v>545</v>
      </c>
      <c r="C2963" s="71" t="s">
        <v>227</v>
      </c>
      <c r="D2963" s="71">
        <v>10</v>
      </c>
      <c r="E2963" s="102">
        <v>110000</v>
      </c>
      <c r="F2963" s="163">
        <f t="shared" si="1524"/>
        <v>1210000</v>
      </c>
      <c r="G2963" s="102">
        <f t="shared" si="1525"/>
        <v>1100000</v>
      </c>
      <c r="H2963" s="690" t="s">
        <v>173</v>
      </c>
      <c r="I2963" s="71" t="s">
        <v>109</v>
      </c>
      <c r="J2963" s="53">
        <f>G2963-T2963</f>
        <v>271000</v>
      </c>
      <c r="K2963" s="63">
        <f>(J2963/(F2963/11*10))</f>
        <v>0.24636363636363637</v>
      </c>
      <c r="L2963" s="871" t="s">
        <v>2342</v>
      </c>
      <c r="M2963" s="468"/>
      <c r="N2963" s="664">
        <f t="shared" ref="N2963:N2968" si="1536">A2963</f>
        <v>200331</v>
      </c>
      <c r="O2963" s="71" t="s">
        <v>147</v>
      </c>
      <c r="P2963" s="103" t="str">
        <f>(C2963)</f>
        <v>Blanket(1060*860)</v>
      </c>
      <c r="Q2963" s="71">
        <f>D2963</f>
        <v>10</v>
      </c>
      <c r="R2963" s="102">
        <v>82900</v>
      </c>
      <c r="S2963" s="102">
        <f>R2963*Q2963*1.1</f>
        <v>911900.00000000012</v>
      </c>
      <c r="T2963" s="102">
        <f>R2963*Q2963</f>
        <v>829000</v>
      </c>
      <c r="U2963" s="71" t="str">
        <f>IF(J2963=W2963,"O", "X")</f>
        <v>O</v>
      </c>
      <c r="V2963" s="71"/>
      <c r="W2963" s="474">
        <f>(G2963-T2963)</f>
        <v>271000</v>
      </c>
      <c r="X2963" s="71"/>
      <c r="Y2963" s="71"/>
    </row>
    <row r="2964" spans="1:25" ht="30" hidden="1" customHeight="1" x14ac:dyDescent="0.2">
      <c r="A2964" s="82">
        <v>200331</v>
      </c>
      <c r="B2964" s="664" t="s">
        <v>2353</v>
      </c>
      <c r="C2964" s="71" t="s">
        <v>129</v>
      </c>
      <c r="D2964" s="71">
        <v>7</v>
      </c>
      <c r="E2964" s="102">
        <v>272000</v>
      </c>
      <c r="F2964" s="163">
        <f>(E2964*D2964)*1.1</f>
        <v>2094400.0000000002</v>
      </c>
      <c r="G2964" s="102">
        <f>(E2964*D2964)</f>
        <v>1904000</v>
      </c>
      <c r="H2964" s="165" t="s">
        <v>142</v>
      </c>
      <c r="I2964" s="71" t="s">
        <v>142</v>
      </c>
      <c r="J2964" s="53">
        <f>G2964-T2964</f>
        <v>448000</v>
      </c>
      <c r="K2964" s="63">
        <f>(J2964/(F2964/11*10))</f>
        <v>0.23529411764705879</v>
      </c>
      <c r="L2964" s="871" t="s">
        <v>2342</v>
      </c>
      <c r="M2964" s="468" t="s">
        <v>2050</v>
      </c>
      <c r="N2964" s="664">
        <f t="shared" si="1536"/>
        <v>200331</v>
      </c>
      <c r="O2964" s="71" t="s">
        <v>149</v>
      </c>
      <c r="P2964" s="103" t="str">
        <f>(C2964)</f>
        <v>세정포-XL106</v>
      </c>
      <c r="Q2964" s="71">
        <f>D2964</f>
        <v>7</v>
      </c>
      <c r="R2964" s="102">
        <v>208000</v>
      </c>
      <c r="S2964" s="102">
        <f>R2964*Q2964*1.1</f>
        <v>1601600.0000000002</v>
      </c>
      <c r="T2964" s="102">
        <f>R2964*Q2964</f>
        <v>1456000</v>
      </c>
      <c r="U2964" s="71" t="str">
        <f>IF(J2964=W2964,"O", "X")</f>
        <v>O</v>
      </c>
      <c r="V2964" s="71"/>
      <c r="W2964" s="474">
        <f>(G2964-T2964)</f>
        <v>448000</v>
      </c>
      <c r="X2964" s="71"/>
      <c r="Y2964" s="71"/>
    </row>
    <row r="2965" spans="1:25" ht="30" hidden="1" customHeight="1" x14ac:dyDescent="0.25">
      <c r="A2965" s="82">
        <v>200331</v>
      </c>
      <c r="B2965" s="664" t="s">
        <v>2353</v>
      </c>
      <c r="C2965" s="71" t="s">
        <v>2031</v>
      </c>
      <c r="D2965" s="71">
        <v>5</v>
      </c>
      <c r="E2965" s="102">
        <v>35000</v>
      </c>
      <c r="F2965" s="102">
        <f>(E2965*D2965)*1.1</f>
        <v>192500.00000000003</v>
      </c>
      <c r="G2965" s="102">
        <f>(E2965*D2965)</f>
        <v>175000</v>
      </c>
      <c r="H2965" s="690" t="s">
        <v>142</v>
      </c>
      <c r="I2965" s="71" t="s">
        <v>142</v>
      </c>
      <c r="J2965" s="53">
        <f>G2965-T2965</f>
        <v>62695</v>
      </c>
      <c r="K2965" s="63">
        <f>(J2965/(F2965/11*10))</f>
        <v>0.35825714285714277</v>
      </c>
      <c r="L2965" s="871" t="s">
        <v>2342</v>
      </c>
      <c r="M2965" s="468" t="s">
        <v>2054</v>
      </c>
      <c r="N2965" s="664">
        <f t="shared" si="1536"/>
        <v>200331</v>
      </c>
      <c r="O2965" s="71" t="s">
        <v>94</v>
      </c>
      <c r="P2965" s="103" t="str">
        <f>(C2965)</f>
        <v>필터백</v>
      </c>
      <c r="Q2965" s="71">
        <f>D2965</f>
        <v>5</v>
      </c>
      <c r="R2965" s="102">
        <v>22461</v>
      </c>
      <c r="S2965" s="102">
        <f>R2965*Q2965*1.1</f>
        <v>123535.50000000001</v>
      </c>
      <c r="T2965" s="102">
        <f>R2965*Q2965</f>
        <v>112305</v>
      </c>
      <c r="U2965" s="71" t="str">
        <f>IF(J2965=W2965,"O", "X")</f>
        <v>X</v>
      </c>
      <c r="V2965" s="71"/>
      <c r="W2965" s="474"/>
      <c r="X2965" s="71"/>
      <c r="Y2965" s="71"/>
    </row>
    <row r="2966" spans="1:25" ht="30" hidden="1" customHeight="1" x14ac:dyDescent="0.2">
      <c r="A2966" s="82">
        <v>200331</v>
      </c>
      <c r="B2966" s="664" t="s">
        <v>2353</v>
      </c>
      <c r="C2966" s="71" t="s">
        <v>584</v>
      </c>
      <c r="D2966" s="71">
        <v>5</v>
      </c>
      <c r="E2966" s="102">
        <v>270000</v>
      </c>
      <c r="F2966" s="102">
        <f>(E2966*D2966)*1.1</f>
        <v>1485000.0000000002</v>
      </c>
      <c r="G2966" s="102">
        <f>(E2966*D2966)</f>
        <v>1350000</v>
      </c>
      <c r="H2966" s="165" t="s">
        <v>142</v>
      </c>
      <c r="I2966" s="71" t="s">
        <v>142</v>
      </c>
      <c r="J2966" s="53">
        <f>G2966-T2966</f>
        <v>270000</v>
      </c>
      <c r="K2966" s="63">
        <f>(J2966/(F2966/11*10))</f>
        <v>0.19999999999999996</v>
      </c>
      <c r="L2966" s="871" t="s">
        <v>2342</v>
      </c>
      <c r="M2966" s="468"/>
      <c r="N2966" s="664">
        <f t="shared" si="1536"/>
        <v>200331</v>
      </c>
      <c r="O2966" s="71" t="s">
        <v>150</v>
      </c>
      <c r="P2966" s="103" t="str">
        <f>(C2966)</f>
        <v>데리바리 석션벨트</v>
      </c>
      <c r="Q2966" s="71">
        <f>D2966</f>
        <v>5</v>
      </c>
      <c r="R2966" s="102">
        <v>216000</v>
      </c>
      <c r="S2966" s="102">
        <f>R2966*Q2966*1.1</f>
        <v>1188000</v>
      </c>
      <c r="T2966" s="102">
        <f>R2966*Q2966</f>
        <v>1080000</v>
      </c>
      <c r="U2966" s="71" t="str">
        <f>IF(J2966=W2966,"O", "X")</f>
        <v>O</v>
      </c>
      <c r="V2966" s="71"/>
      <c r="W2966" s="474">
        <f>(G2966-T2966)</f>
        <v>270000</v>
      </c>
      <c r="X2966" s="71"/>
      <c r="Y2966" s="71"/>
    </row>
    <row r="2967" spans="1:25" ht="30" customHeight="1" x14ac:dyDescent="0.25">
      <c r="A2967" s="82">
        <v>203331</v>
      </c>
      <c r="B2967" s="664" t="s">
        <v>565</v>
      </c>
      <c r="C2967" s="71" t="s">
        <v>2344</v>
      </c>
      <c r="D2967" s="71">
        <v>5</v>
      </c>
      <c r="E2967" s="102">
        <v>140000</v>
      </c>
      <c r="F2967" s="102">
        <f>(E2967*D2967)*1.1</f>
        <v>770000.00000000012</v>
      </c>
      <c r="G2967" s="102">
        <f>(E2967*D2967)</f>
        <v>700000</v>
      </c>
      <c r="H2967" s="690" t="s">
        <v>142</v>
      </c>
      <c r="I2967" s="71" t="s">
        <v>142</v>
      </c>
      <c r="J2967" s="53">
        <f>G2967-T2967</f>
        <v>150000</v>
      </c>
      <c r="K2967" s="63">
        <f>(J2967/(F2967/11*10))</f>
        <v>0.21428571428571425</v>
      </c>
      <c r="L2967" s="871" t="s">
        <v>2342</v>
      </c>
      <c r="M2967" s="468"/>
      <c r="N2967" s="664">
        <f t="shared" si="1536"/>
        <v>203331</v>
      </c>
      <c r="O2967" s="71" t="s">
        <v>2368</v>
      </c>
      <c r="P2967" s="103" t="str">
        <f>(C2967)</f>
        <v>써멀 측정기</v>
      </c>
      <c r="Q2967" s="71">
        <v>1</v>
      </c>
      <c r="R2967" s="102">
        <v>550000</v>
      </c>
      <c r="S2967" s="102">
        <f>R2967*Q2967*1.1</f>
        <v>605000</v>
      </c>
      <c r="T2967" s="102">
        <f>R2967*Q2967</f>
        <v>550000</v>
      </c>
      <c r="U2967" s="71" t="str">
        <f>IF(J2967=W2967,"O", "X")</f>
        <v>X</v>
      </c>
      <c r="V2967" s="71"/>
      <c r="W2967" s="474"/>
      <c r="X2967" s="71"/>
      <c r="Y2967" s="71"/>
    </row>
    <row r="2968" spans="1:25" s="978" customFormat="1" ht="45" hidden="1" customHeight="1" x14ac:dyDescent="0.25">
      <c r="A2968" s="982" t="s">
        <v>2397</v>
      </c>
      <c r="B2968" s="976" t="s">
        <v>544</v>
      </c>
      <c r="C2968" s="453"/>
      <c r="D2968" s="453"/>
      <c r="E2968" s="454"/>
      <c r="F2968" s="454"/>
      <c r="G2968" s="454"/>
      <c r="H2968" s="455"/>
      <c r="I2968" s="453"/>
      <c r="J2968" s="417"/>
      <c r="K2968" s="418"/>
      <c r="L2968" s="983" t="s">
        <v>2351</v>
      </c>
      <c r="M2968" s="643"/>
      <c r="N2968" s="724" t="str">
        <f t="shared" si="1536"/>
        <v>2020,4</v>
      </c>
      <c r="O2968" s="453" t="s">
        <v>154</v>
      </c>
      <c r="P2968" s="728"/>
      <c r="Q2968" s="420"/>
      <c r="R2968" s="420"/>
      <c r="S2968" s="417"/>
      <c r="T2968" s="417"/>
      <c r="U2968" s="421"/>
      <c r="V2968" s="421"/>
      <c r="W2968" s="479">
        <f>(G2968-T2968)</f>
        <v>0</v>
      </c>
      <c r="X2968" s="421"/>
      <c r="Y2968" s="421"/>
    </row>
    <row r="2969" spans="1:25" ht="30" hidden="1" customHeight="1" x14ac:dyDescent="0.2">
      <c r="A2969" s="82">
        <v>200107</v>
      </c>
      <c r="B2969" s="664" t="s">
        <v>591</v>
      </c>
      <c r="C2969" s="71" t="s">
        <v>2401</v>
      </c>
      <c r="D2969" s="71">
        <v>1</v>
      </c>
      <c r="E2969" s="102">
        <v>4090000</v>
      </c>
      <c r="F2969" s="163">
        <f t="shared" ref="F2969:F2979" si="1537">(E2969*D2969)*1.1</f>
        <v>4499000</v>
      </c>
      <c r="G2969" s="102">
        <f t="shared" ref="G2969:G2979" si="1538">(E2969*D2969)</f>
        <v>4090000</v>
      </c>
      <c r="H2969" s="690" t="s">
        <v>173</v>
      </c>
      <c r="I2969" s="71" t="s">
        <v>143</v>
      </c>
      <c r="J2969" s="53">
        <f>G2969-T2969</f>
        <v>260000</v>
      </c>
      <c r="K2969" s="63">
        <f>(J2969/(F2969/11*10))</f>
        <v>6.3569682151589244E-2</v>
      </c>
      <c r="L2969" s="871" t="s">
        <v>2351</v>
      </c>
      <c r="M2969" s="468"/>
      <c r="N2969" s="664">
        <f>A2969</f>
        <v>200107</v>
      </c>
      <c r="O2969" s="71" t="s">
        <v>612</v>
      </c>
      <c r="P2969" s="103" t="str">
        <f t="shared" ref="P2969:Q2971" si="1539">C2969</f>
        <v>고모리 ,M600 윤전 롤러 Set</v>
      </c>
      <c r="Q2969" s="71">
        <f t="shared" si="1539"/>
        <v>1</v>
      </c>
      <c r="R2969" s="102">
        <f>2690000+380000+760000</f>
        <v>3830000</v>
      </c>
      <c r="S2969" s="102">
        <f t="shared" ref="S2969:S3000" si="1540">R2969*Q2969*1.1</f>
        <v>4213000</v>
      </c>
      <c r="T2969" s="102">
        <f t="shared" ref="T2969:T3000" si="1541">R2969*Q2969</f>
        <v>3830000</v>
      </c>
      <c r="U2969" s="71"/>
      <c r="V2969" s="71"/>
      <c r="W2969" s="474"/>
      <c r="X2969" s="71"/>
      <c r="Y2969" s="71"/>
    </row>
    <row r="2970" spans="1:25" ht="30" hidden="1" customHeight="1" x14ac:dyDescent="0.2">
      <c r="A2970" s="82">
        <v>200131</v>
      </c>
      <c r="B2970" s="664" t="s">
        <v>627</v>
      </c>
      <c r="C2970" s="760" t="s">
        <v>2281</v>
      </c>
      <c r="D2970" s="71">
        <v>1</v>
      </c>
      <c r="E2970" s="102"/>
      <c r="F2970" s="163">
        <f t="shared" si="1537"/>
        <v>0</v>
      </c>
      <c r="G2970" s="102">
        <f t="shared" si="1538"/>
        <v>0</v>
      </c>
      <c r="H2970" s="690" t="s">
        <v>985</v>
      </c>
      <c r="I2970" s="71" t="s">
        <v>985</v>
      </c>
      <c r="J2970" s="53"/>
      <c r="K2970" s="63"/>
      <c r="L2970" s="871" t="s">
        <v>2351</v>
      </c>
      <c r="M2970" s="468" t="s">
        <v>2386</v>
      </c>
      <c r="N2970" s="664"/>
      <c r="O2970" s="71"/>
      <c r="P2970" s="103" t="str">
        <f t="shared" si="1539"/>
        <v>Mark 드라이어 서비스비용</v>
      </c>
      <c r="Q2970" s="71">
        <f t="shared" si="1539"/>
        <v>1</v>
      </c>
      <c r="R2970" s="102"/>
      <c r="S2970" s="102">
        <f t="shared" si="1540"/>
        <v>0</v>
      </c>
      <c r="T2970" s="102">
        <f t="shared" si="1541"/>
        <v>0</v>
      </c>
      <c r="U2970" s="71"/>
      <c r="V2970" s="71"/>
      <c r="W2970" s="474"/>
      <c r="X2970" s="71"/>
      <c r="Y2970" s="71"/>
    </row>
    <row r="2971" spans="1:25" ht="30" hidden="1" customHeight="1" x14ac:dyDescent="0.2">
      <c r="A2971" s="82">
        <v>200323</v>
      </c>
      <c r="B2971" s="664" t="s">
        <v>591</v>
      </c>
      <c r="C2971" s="71" t="s">
        <v>2402</v>
      </c>
      <c r="D2971" s="71">
        <v>1</v>
      </c>
      <c r="E2971" s="102">
        <v>6390000</v>
      </c>
      <c r="F2971" s="163">
        <f>(E2971*D2971)*1.1</f>
        <v>7029000.0000000009</v>
      </c>
      <c r="G2971" s="102">
        <f>(E2971*D2971)</f>
        <v>6390000</v>
      </c>
      <c r="H2971" s="690" t="s">
        <v>173</v>
      </c>
      <c r="I2971" s="71" t="s">
        <v>143</v>
      </c>
      <c r="J2971" s="53">
        <f>G2971-T2971</f>
        <v>780000</v>
      </c>
      <c r="K2971" s="63">
        <f t="shared" ref="K2971:K2977" si="1542">(J2971/(F2971/11*10))</f>
        <v>0.1220657276995305</v>
      </c>
      <c r="L2971" s="871" t="s">
        <v>2351</v>
      </c>
      <c r="M2971" s="468"/>
      <c r="N2971" s="664">
        <f>A2971</f>
        <v>200323</v>
      </c>
      <c r="O2971" s="71" t="s">
        <v>612</v>
      </c>
      <c r="P2971" s="103" t="str">
        <f t="shared" si="1539"/>
        <v>M600 윤전 롤러 Set</v>
      </c>
      <c r="Q2971" s="71">
        <f t="shared" si="1539"/>
        <v>1</v>
      </c>
      <c r="R2971" s="102">
        <v>5610000</v>
      </c>
      <c r="S2971" s="102">
        <f t="shared" si="1540"/>
        <v>6171000.0000000009</v>
      </c>
      <c r="T2971" s="102">
        <f t="shared" si="1541"/>
        <v>5610000</v>
      </c>
      <c r="U2971" s="71"/>
      <c r="V2971" s="71"/>
      <c r="W2971" s="474"/>
      <c r="X2971" s="71"/>
      <c r="Y2971" s="71"/>
    </row>
    <row r="2972" spans="1:25" ht="30" hidden="1" customHeight="1" x14ac:dyDescent="0.25">
      <c r="A2972" s="82">
        <v>200327</v>
      </c>
      <c r="B2972" s="664" t="s">
        <v>442</v>
      </c>
      <c r="C2972" s="71" t="s">
        <v>773</v>
      </c>
      <c r="D2972" s="71">
        <v>6</v>
      </c>
      <c r="E2972" s="102">
        <v>192000</v>
      </c>
      <c r="F2972" s="102">
        <f>(E2972*D2972)*1.1</f>
        <v>1267200</v>
      </c>
      <c r="G2972" s="102">
        <f>(E2972*D2972)</f>
        <v>1152000</v>
      </c>
      <c r="H2972" s="690" t="s">
        <v>173</v>
      </c>
      <c r="I2972" s="71" t="s">
        <v>109</v>
      </c>
      <c r="J2972" s="53">
        <f>G2972-T2972</f>
        <v>144000</v>
      </c>
      <c r="K2972" s="63">
        <f t="shared" si="1542"/>
        <v>0.125</v>
      </c>
      <c r="L2972" s="871" t="s">
        <v>2351</v>
      </c>
      <c r="M2972" s="468"/>
      <c r="N2972" s="664">
        <f>A2972</f>
        <v>200327</v>
      </c>
      <c r="O2972" s="71" t="s">
        <v>151</v>
      </c>
      <c r="P2972" s="103" t="str">
        <f>C2972</f>
        <v>로랜드 전지 블랑켓(1460*1165)bar</v>
      </c>
      <c r="Q2972" s="71">
        <f t="shared" ref="Q2972:Q3034" si="1543">D2972</f>
        <v>6</v>
      </c>
      <c r="R2972" s="102">
        <v>168000</v>
      </c>
      <c r="S2972" s="102">
        <f t="shared" si="1540"/>
        <v>1108800</v>
      </c>
      <c r="T2972" s="102">
        <f t="shared" si="1541"/>
        <v>1008000</v>
      </c>
      <c r="U2972" s="71" t="s">
        <v>859</v>
      </c>
      <c r="V2972" s="71"/>
      <c r="W2972" s="474">
        <v>120000</v>
      </c>
      <c r="X2972" s="71"/>
      <c r="Y2972" s="71"/>
    </row>
    <row r="2973" spans="1:25" ht="30" hidden="1" customHeight="1" x14ac:dyDescent="0.25">
      <c r="A2973" s="82">
        <v>200401</v>
      </c>
      <c r="B2973" s="664" t="s">
        <v>446</v>
      </c>
      <c r="C2973" s="71" t="s">
        <v>2028</v>
      </c>
      <c r="D2973" s="71">
        <v>26</v>
      </c>
      <c r="E2973" s="102">
        <v>105000</v>
      </c>
      <c r="F2973" s="102">
        <f t="shared" si="1537"/>
        <v>3003000.0000000005</v>
      </c>
      <c r="G2973" s="102">
        <f t="shared" si="1538"/>
        <v>2730000</v>
      </c>
      <c r="H2973" s="690" t="s">
        <v>2029</v>
      </c>
      <c r="I2973" s="71" t="s">
        <v>2231</v>
      </c>
      <c r="J2973" s="53">
        <f>G2973-T2973</f>
        <v>494000</v>
      </c>
      <c r="K2973" s="63">
        <f t="shared" si="1542"/>
        <v>0.18095238095238092</v>
      </c>
      <c r="L2973" s="871" t="s">
        <v>2351</v>
      </c>
      <c r="M2973" s="468" t="s">
        <v>3067</v>
      </c>
      <c r="N2973" s="664">
        <f t="shared" ref="N2973:N2981" si="1544">A2973</f>
        <v>200401</v>
      </c>
      <c r="O2973" s="71" t="s">
        <v>2030</v>
      </c>
      <c r="P2973" s="103" t="str">
        <f>C2973</f>
        <v>실리콘 에멀전</v>
      </c>
      <c r="Q2973" s="71">
        <f t="shared" si="1543"/>
        <v>26</v>
      </c>
      <c r="R2973" s="102">
        <v>86000</v>
      </c>
      <c r="S2973" s="102">
        <f t="shared" si="1540"/>
        <v>2459600</v>
      </c>
      <c r="T2973" s="102">
        <f t="shared" si="1541"/>
        <v>2236000</v>
      </c>
      <c r="U2973" s="71" t="str">
        <f>IF(J2973=W2973,"O", "X")</f>
        <v>O</v>
      </c>
      <c r="V2973" s="71">
        <f>5000*Q2973</f>
        <v>130000</v>
      </c>
      <c r="W2973" s="474">
        <f>(G2973-T2973)</f>
        <v>494000</v>
      </c>
      <c r="X2973" s="71"/>
      <c r="Y2973" s="71"/>
    </row>
    <row r="2974" spans="1:25" ht="27.6" hidden="1" customHeight="1" x14ac:dyDescent="0.2">
      <c r="A2974" s="82">
        <v>200401</v>
      </c>
      <c r="B2974" s="664" t="s">
        <v>567</v>
      </c>
      <c r="C2974" s="71" t="s">
        <v>1652</v>
      </c>
      <c r="D2974" s="71">
        <v>10</v>
      </c>
      <c r="E2974" s="102">
        <v>45000</v>
      </c>
      <c r="F2974" s="163">
        <f t="shared" si="1537"/>
        <v>495000.00000000006</v>
      </c>
      <c r="G2974" s="102">
        <f t="shared" si="1538"/>
        <v>450000</v>
      </c>
      <c r="H2974" s="690" t="s">
        <v>173</v>
      </c>
      <c r="I2974" s="71" t="s">
        <v>2231</v>
      </c>
      <c r="J2974" s="53">
        <f>G2974-T2974</f>
        <v>50000</v>
      </c>
      <c r="K2974" s="63">
        <f t="shared" si="1542"/>
        <v>0.11111111111111109</v>
      </c>
      <c r="L2974" s="871" t="s">
        <v>2351</v>
      </c>
      <c r="M2974" s="468"/>
      <c r="N2974" s="664">
        <f t="shared" si="1544"/>
        <v>200401</v>
      </c>
      <c r="O2974" s="71" t="s">
        <v>153</v>
      </c>
      <c r="P2974" s="103" t="str">
        <f>(C2974)</f>
        <v>아스테이지(CD74용)</v>
      </c>
      <c r="Q2974" s="71">
        <f t="shared" si="1543"/>
        <v>10</v>
      </c>
      <c r="R2974" s="102">
        <v>40000</v>
      </c>
      <c r="S2974" s="102">
        <f t="shared" si="1540"/>
        <v>440000.00000000006</v>
      </c>
      <c r="T2974" s="102">
        <f t="shared" si="1541"/>
        <v>400000</v>
      </c>
      <c r="U2974" s="71" t="s">
        <v>1915</v>
      </c>
      <c r="V2974" s="71"/>
      <c r="W2974" s="474"/>
      <c r="X2974" s="71"/>
      <c r="Y2974" s="71"/>
    </row>
    <row r="2975" spans="1:25" s="209" customFormat="1" ht="30" customHeight="1" x14ac:dyDescent="0.25">
      <c r="A2975" s="82">
        <v>200402</v>
      </c>
      <c r="B2975" s="664" t="s">
        <v>2352</v>
      </c>
      <c r="C2975" s="71" t="s">
        <v>583</v>
      </c>
      <c r="D2975" s="71">
        <v>24</v>
      </c>
      <c r="E2975" s="102">
        <v>89000</v>
      </c>
      <c r="F2975" s="102">
        <f t="shared" si="1537"/>
        <v>2349600</v>
      </c>
      <c r="G2975" s="102">
        <f t="shared" si="1538"/>
        <v>2136000</v>
      </c>
      <c r="H2975" s="690" t="s">
        <v>142</v>
      </c>
      <c r="I2975" s="71" t="s">
        <v>142</v>
      </c>
      <c r="J2975" s="53">
        <f>(G2975-(VLOOKUP(C2975,Price!B:D,3,FALSE)*D2975))</f>
        <v>1080000</v>
      </c>
      <c r="K2975" s="63">
        <f t="shared" si="1542"/>
        <v>0.5056179775280899</v>
      </c>
      <c r="L2975" s="871" t="s">
        <v>2351</v>
      </c>
      <c r="M2975" s="468" t="s">
        <v>2053</v>
      </c>
      <c r="N2975" s="664">
        <f t="shared" si="1544"/>
        <v>200402</v>
      </c>
      <c r="O2975" s="71" t="s">
        <v>599</v>
      </c>
      <c r="P2975" s="103" t="str">
        <f>C2975</f>
        <v>M600 윤전 세정포</v>
      </c>
      <c r="Q2975" s="71">
        <f t="shared" si="1543"/>
        <v>24</v>
      </c>
      <c r="R2975" s="102">
        <v>44000</v>
      </c>
      <c r="S2975" s="102">
        <f t="shared" si="1540"/>
        <v>1161600</v>
      </c>
      <c r="T2975" s="102">
        <f t="shared" si="1541"/>
        <v>1056000</v>
      </c>
      <c r="U2975" s="71" t="str">
        <f>IF(J2975=W2975,"O", "X")</f>
        <v>O</v>
      </c>
      <c r="V2975" s="71"/>
      <c r="W2975" s="474">
        <f>(G2975-T2975)</f>
        <v>1080000</v>
      </c>
      <c r="X2975" s="71"/>
      <c r="Y2975" s="71"/>
    </row>
    <row r="2976" spans="1:25" ht="30" customHeight="1" x14ac:dyDescent="0.2">
      <c r="A2976" s="82">
        <v>200402</v>
      </c>
      <c r="B2976" s="664" t="s">
        <v>2352</v>
      </c>
      <c r="C2976" s="760" t="s">
        <v>218</v>
      </c>
      <c r="D2976" s="71">
        <v>5</v>
      </c>
      <c r="E2976" s="102">
        <v>235000</v>
      </c>
      <c r="F2976" s="163">
        <f t="shared" si="1537"/>
        <v>1292500</v>
      </c>
      <c r="G2976" s="102">
        <f t="shared" si="1538"/>
        <v>1175000</v>
      </c>
      <c r="H2976" s="690" t="s">
        <v>142</v>
      </c>
      <c r="I2976" s="71" t="s">
        <v>142</v>
      </c>
      <c r="J2976" s="53">
        <f>(G2976-(VLOOKUP(C2976,Price!B:D,3,FALSE)*D2976))</f>
        <v>612500</v>
      </c>
      <c r="K2976" s="63">
        <f t="shared" si="1542"/>
        <v>0.52127659574468088</v>
      </c>
      <c r="L2976" s="871" t="s">
        <v>2351</v>
      </c>
      <c r="M2976" s="468" t="s">
        <v>2053</v>
      </c>
      <c r="N2976" s="664">
        <f t="shared" si="1544"/>
        <v>200402</v>
      </c>
      <c r="O2976" s="71" t="s">
        <v>150</v>
      </c>
      <c r="P2976" s="103" t="str">
        <f>C2976</f>
        <v>Fount Web 551AF</v>
      </c>
      <c r="Q2976" s="71">
        <f t="shared" si="1543"/>
        <v>5</v>
      </c>
      <c r="R2976" s="102">
        <v>112500</v>
      </c>
      <c r="S2976" s="102">
        <f t="shared" si="1540"/>
        <v>618750</v>
      </c>
      <c r="T2976" s="102">
        <f t="shared" si="1541"/>
        <v>562500</v>
      </c>
      <c r="U2976" s="71" t="str">
        <f>IF(J2976=W2976,"O", "X")</f>
        <v>O</v>
      </c>
      <c r="V2976" s="71"/>
      <c r="W2976" s="474">
        <f>(G2976-T2976)</f>
        <v>612500</v>
      </c>
      <c r="X2976" s="71"/>
      <c r="Y2976" s="71"/>
    </row>
    <row r="2977" spans="1:25" ht="30" hidden="1" customHeight="1" x14ac:dyDescent="0.25">
      <c r="A2977" s="82">
        <v>200402</v>
      </c>
      <c r="B2977" s="664" t="s">
        <v>2276</v>
      </c>
      <c r="C2977" s="71" t="s">
        <v>2355</v>
      </c>
      <c r="D2977" s="71">
        <v>10</v>
      </c>
      <c r="E2977" s="102">
        <v>580000</v>
      </c>
      <c r="F2977" s="102">
        <f t="shared" si="1537"/>
        <v>6380000.0000000009</v>
      </c>
      <c r="G2977" s="102">
        <f t="shared" si="1538"/>
        <v>5800000</v>
      </c>
      <c r="H2977" s="690" t="s">
        <v>173</v>
      </c>
      <c r="I2977" s="71" t="s">
        <v>2184</v>
      </c>
      <c r="J2977" s="53">
        <f t="shared" ref="J2977:J2985" si="1545">G2977-T2977</f>
        <v>2987720</v>
      </c>
      <c r="K2977" s="63">
        <f t="shared" si="1542"/>
        <v>0.5151241379310344</v>
      </c>
      <c r="L2977" s="871" t="s">
        <v>2351</v>
      </c>
      <c r="M2977" s="468" t="s">
        <v>2377</v>
      </c>
      <c r="N2977" s="664">
        <f t="shared" si="1544"/>
        <v>200402</v>
      </c>
      <c r="O2977" s="71" t="s">
        <v>2179</v>
      </c>
      <c r="P2977" s="103" t="str">
        <f>C2977</f>
        <v>UV Lamp-KBA</v>
      </c>
      <c r="Q2977" s="71">
        <f t="shared" si="1543"/>
        <v>10</v>
      </c>
      <c r="R2977" s="102">
        <f>Import!G742+60000</f>
        <v>281228</v>
      </c>
      <c r="S2977" s="102">
        <f t="shared" si="1540"/>
        <v>3093508.0000000005</v>
      </c>
      <c r="T2977" s="102">
        <f t="shared" si="1541"/>
        <v>2812280</v>
      </c>
      <c r="U2977" s="71"/>
      <c r="V2977" s="71"/>
      <c r="W2977" s="474"/>
      <c r="X2977" s="71"/>
      <c r="Y2977" s="71"/>
    </row>
    <row r="2978" spans="1:25" ht="30" hidden="1" customHeight="1" x14ac:dyDescent="0.25">
      <c r="A2978" s="82">
        <v>200407</v>
      </c>
      <c r="B2978" s="664" t="s">
        <v>2155</v>
      </c>
      <c r="C2978" s="71" t="s">
        <v>277</v>
      </c>
      <c r="D2978" s="71">
        <v>5</v>
      </c>
      <c r="E2978" s="102">
        <v>172000</v>
      </c>
      <c r="F2978" s="102">
        <f t="shared" si="1537"/>
        <v>946000.00000000012</v>
      </c>
      <c r="G2978" s="102">
        <f t="shared" si="1538"/>
        <v>860000</v>
      </c>
      <c r="H2978" s="690" t="s">
        <v>173</v>
      </c>
      <c r="I2978" s="71" t="s">
        <v>108</v>
      </c>
      <c r="J2978" s="53">
        <f t="shared" si="1545"/>
        <v>285000</v>
      </c>
      <c r="K2978" s="63">
        <v>0.33139534883720928</v>
      </c>
      <c r="L2978" s="871" t="s">
        <v>2351</v>
      </c>
      <c r="M2978" s="468"/>
      <c r="N2978" s="664">
        <f t="shared" si="1544"/>
        <v>200407</v>
      </c>
      <c r="O2978" s="71" t="s">
        <v>150</v>
      </c>
      <c r="P2978" s="103" t="str">
        <f>C2978</f>
        <v>윤전용 세척제(Web 504)</v>
      </c>
      <c r="Q2978" s="71">
        <f t="shared" si="1543"/>
        <v>5</v>
      </c>
      <c r="R2978" s="102">
        <v>115000</v>
      </c>
      <c r="S2978" s="102">
        <f t="shared" si="1540"/>
        <v>632500</v>
      </c>
      <c r="T2978" s="102">
        <f t="shared" si="1541"/>
        <v>575000</v>
      </c>
      <c r="U2978" s="71" t="s">
        <v>859</v>
      </c>
      <c r="V2978" s="71"/>
      <c r="W2978" s="474">
        <v>285000</v>
      </c>
      <c r="X2978" s="71"/>
      <c r="Y2978" s="71"/>
    </row>
    <row r="2979" spans="1:25" s="209" customFormat="1" ht="30" hidden="1" customHeight="1" x14ac:dyDescent="0.25">
      <c r="A2979" s="82">
        <v>200407</v>
      </c>
      <c r="B2979" s="664" t="s">
        <v>2155</v>
      </c>
      <c r="C2979" s="71" t="s">
        <v>138</v>
      </c>
      <c r="D2979" s="71">
        <v>10</v>
      </c>
      <c r="E2979" s="102">
        <v>47600</v>
      </c>
      <c r="F2979" s="163">
        <f t="shared" si="1537"/>
        <v>523600.00000000006</v>
      </c>
      <c r="G2979" s="102">
        <f t="shared" si="1538"/>
        <v>476000</v>
      </c>
      <c r="H2979" s="1129" t="s">
        <v>172</v>
      </c>
      <c r="I2979" s="71" t="s">
        <v>108</v>
      </c>
      <c r="J2979" s="53">
        <f t="shared" si="1545"/>
        <v>68000</v>
      </c>
      <c r="K2979" s="63">
        <f t="shared" ref="K2979:K2987" si="1546">(J2979/(F2979/11*10))</f>
        <v>0.14285714285714285</v>
      </c>
      <c r="L2979" s="871" t="s">
        <v>2351</v>
      </c>
      <c r="M2979" s="468" t="s">
        <v>2214</v>
      </c>
      <c r="N2979" s="664">
        <f t="shared" si="1544"/>
        <v>200407</v>
      </c>
      <c r="O2979" s="71" t="s">
        <v>150</v>
      </c>
      <c r="P2979" s="103" t="str">
        <f>(C2979)</f>
        <v>매엽용 세척제(Wash 562)</v>
      </c>
      <c r="Q2979" s="71">
        <f t="shared" si="1543"/>
        <v>10</v>
      </c>
      <c r="R2979" s="102">
        <v>40800</v>
      </c>
      <c r="S2979" s="102">
        <f t="shared" si="1540"/>
        <v>448800.00000000006</v>
      </c>
      <c r="T2979" s="102">
        <f t="shared" si="1541"/>
        <v>408000</v>
      </c>
      <c r="U2979" s="71" t="s">
        <v>859</v>
      </c>
      <c r="V2979" s="71"/>
      <c r="W2979" s="474">
        <v>85000</v>
      </c>
      <c r="X2979" s="71"/>
      <c r="Y2979" s="71"/>
    </row>
    <row r="2980" spans="1:25" ht="30" hidden="1" customHeight="1" x14ac:dyDescent="0.2">
      <c r="A2980" s="82">
        <v>200408</v>
      </c>
      <c r="B2980" s="664" t="s">
        <v>1220</v>
      </c>
      <c r="C2980" s="71" t="s">
        <v>2389</v>
      </c>
      <c r="D2980" s="71">
        <v>2</v>
      </c>
      <c r="E2980" s="102">
        <v>695000</v>
      </c>
      <c r="F2980" s="163">
        <f t="shared" ref="F2980:F3002" si="1547">(E2980*D2980)*1.1</f>
        <v>1529000.0000000002</v>
      </c>
      <c r="G2980" s="102">
        <f t="shared" ref="G2980:G3002" si="1548">(E2980*D2980)</f>
        <v>1390000</v>
      </c>
      <c r="H2980" s="690" t="s">
        <v>1431</v>
      </c>
      <c r="I2980" s="690" t="s">
        <v>1431</v>
      </c>
      <c r="J2980" s="53">
        <f t="shared" si="1545"/>
        <v>328346.48891836102</v>
      </c>
      <c r="K2980" s="63">
        <f t="shared" si="1546"/>
        <v>0.23622049562472011</v>
      </c>
      <c r="L2980" s="871" t="s">
        <v>2351</v>
      </c>
      <c r="M2980" s="468"/>
      <c r="N2980" s="664">
        <f t="shared" si="1544"/>
        <v>200408</v>
      </c>
      <c r="O2980" s="71" t="s">
        <v>1431</v>
      </c>
      <c r="P2980" s="103" t="str">
        <f>C2980</f>
        <v>MICE MEDIA MODULE</v>
      </c>
      <c r="Q2980" s="71">
        <f t="shared" si="1543"/>
        <v>2</v>
      </c>
      <c r="R2980" s="102">
        <f>Import!G250</f>
        <v>530826.75554081949</v>
      </c>
      <c r="S2980" s="102">
        <f t="shared" si="1540"/>
        <v>1167818.862189803</v>
      </c>
      <c r="T2980" s="102">
        <f t="shared" si="1541"/>
        <v>1061653.511081639</v>
      </c>
      <c r="U2980" s="71"/>
      <c r="V2980" s="71"/>
      <c r="W2980" s="474"/>
      <c r="X2980" s="71"/>
      <c r="Y2980" s="71"/>
    </row>
    <row r="2981" spans="1:25" ht="30" hidden="1" customHeight="1" x14ac:dyDescent="0.2">
      <c r="A2981" s="82">
        <v>200408</v>
      </c>
      <c r="B2981" s="664" t="s">
        <v>1220</v>
      </c>
      <c r="C2981" s="71" t="s">
        <v>2390</v>
      </c>
      <c r="D2981" s="71">
        <v>8</v>
      </c>
      <c r="E2981" s="102">
        <v>222500</v>
      </c>
      <c r="F2981" s="163">
        <f t="shared" si="1547"/>
        <v>1958000.0000000002</v>
      </c>
      <c r="G2981" s="102">
        <f t="shared" si="1548"/>
        <v>1780000</v>
      </c>
      <c r="H2981" s="690" t="s">
        <v>1431</v>
      </c>
      <c r="I2981" s="690" t="s">
        <v>1431</v>
      </c>
      <c r="J2981" s="53">
        <f t="shared" si="1545"/>
        <v>403291.84354078956</v>
      </c>
      <c r="K2981" s="63">
        <f t="shared" si="1546"/>
        <v>0.22656845142740983</v>
      </c>
      <c r="L2981" s="871" t="s">
        <v>2351</v>
      </c>
      <c r="M2981" s="468"/>
      <c r="N2981" s="664">
        <f t="shared" si="1544"/>
        <v>200408</v>
      </c>
      <c r="O2981" s="71" t="s">
        <v>1431</v>
      </c>
      <c r="P2981" s="103" t="str">
        <f>C2981</f>
        <v>BRAKE LINING</v>
      </c>
      <c r="Q2981" s="71">
        <f t="shared" si="1543"/>
        <v>8</v>
      </c>
      <c r="R2981" s="102">
        <f>Import!G257</f>
        <v>172088.51955740131</v>
      </c>
      <c r="S2981" s="102">
        <f t="shared" si="1540"/>
        <v>1514378.9721051317</v>
      </c>
      <c r="T2981" s="102">
        <f t="shared" si="1541"/>
        <v>1376708.1564592104</v>
      </c>
      <c r="U2981" s="71"/>
      <c r="V2981" s="71"/>
      <c r="W2981" s="474"/>
      <c r="X2981" s="71"/>
      <c r="Y2981" s="71"/>
    </row>
    <row r="2982" spans="1:25" ht="30" hidden="1" customHeight="1" x14ac:dyDescent="0.2">
      <c r="A2982" s="82">
        <v>200409</v>
      </c>
      <c r="B2982" s="664" t="s">
        <v>545</v>
      </c>
      <c r="C2982" s="71" t="s">
        <v>227</v>
      </c>
      <c r="D2982" s="71">
        <v>10</v>
      </c>
      <c r="E2982" s="102">
        <v>110000</v>
      </c>
      <c r="F2982" s="163">
        <f t="shared" si="1547"/>
        <v>1210000</v>
      </c>
      <c r="G2982" s="102">
        <f t="shared" si="1548"/>
        <v>1100000</v>
      </c>
      <c r="H2982" s="690" t="s">
        <v>173</v>
      </c>
      <c r="I2982" s="71" t="s">
        <v>109</v>
      </c>
      <c r="J2982" s="53">
        <f t="shared" si="1545"/>
        <v>271000</v>
      </c>
      <c r="K2982" s="63">
        <f t="shared" si="1546"/>
        <v>0.24636363636363637</v>
      </c>
      <c r="L2982" s="871" t="s">
        <v>2351</v>
      </c>
      <c r="M2982" s="468"/>
      <c r="N2982" s="664">
        <f t="shared" ref="N2982:N2990" si="1549">A2982</f>
        <v>200409</v>
      </c>
      <c r="O2982" s="71" t="s">
        <v>147</v>
      </c>
      <c r="P2982" s="103" t="str">
        <f>(C2982)</f>
        <v>Blanket(1060*860)</v>
      </c>
      <c r="Q2982" s="71">
        <f t="shared" si="1543"/>
        <v>10</v>
      </c>
      <c r="R2982" s="102">
        <v>82900</v>
      </c>
      <c r="S2982" s="102">
        <f t="shared" si="1540"/>
        <v>911900.00000000012</v>
      </c>
      <c r="T2982" s="102">
        <f t="shared" si="1541"/>
        <v>829000</v>
      </c>
      <c r="U2982" s="71" t="str">
        <f>IF(J2982=W2982,"O", "X")</f>
        <v>O</v>
      </c>
      <c r="V2982" s="71"/>
      <c r="W2982" s="474">
        <f>(G2982-T2982)</f>
        <v>271000</v>
      </c>
      <c r="X2982" s="71"/>
      <c r="Y2982" s="71"/>
    </row>
    <row r="2983" spans="1:25" ht="30" hidden="1" customHeight="1" x14ac:dyDescent="0.25">
      <c r="A2983" s="82">
        <v>200409</v>
      </c>
      <c r="B2983" s="664" t="s">
        <v>545</v>
      </c>
      <c r="C2983" s="71" t="s">
        <v>1441</v>
      </c>
      <c r="D2983" s="71">
        <v>2</v>
      </c>
      <c r="E2983" s="102">
        <v>210000</v>
      </c>
      <c r="F2983" s="102">
        <f t="shared" si="1547"/>
        <v>462000.00000000006</v>
      </c>
      <c r="G2983" s="102">
        <f t="shared" si="1548"/>
        <v>420000</v>
      </c>
      <c r="H2983" s="690" t="s">
        <v>173</v>
      </c>
      <c r="I2983" s="71" t="s">
        <v>2231</v>
      </c>
      <c r="J2983" s="53">
        <f t="shared" si="1545"/>
        <v>90000</v>
      </c>
      <c r="K2983" s="63">
        <f t="shared" si="1546"/>
        <v>0.21428571428571425</v>
      </c>
      <c r="L2983" s="871" t="s">
        <v>2351</v>
      </c>
      <c r="M2983" s="468"/>
      <c r="N2983" s="664">
        <f t="shared" si="1549"/>
        <v>200409</v>
      </c>
      <c r="O2983" s="71" t="s">
        <v>1555</v>
      </c>
      <c r="P2983" s="103" t="str">
        <f>C2983</f>
        <v xml:space="preserve"> OKS340 체인구리스</v>
      </c>
      <c r="Q2983" s="71">
        <f t="shared" si="1543"/>
        <v>2</v>
      </c>
      <c r="R2983" s="102">
        <v>165000</v>
      </c>
      <c r="S2983" s="102">
        <f t="shared" si="1540"/>
        <v>363000.00000000006</v>
      </c>
      <c r="T2983" s="102">
        <f t="shared" si="1541"/>
        <v>330000</v>
      </c>
      <c r="U2983" s="71" t="str">
        <f>IF(J2983=W2983,"O", "X")</f>
        <v>X</v>
      </c>
      <c r="V2983" s="71"/>
      <c r="W2983" s="474"/>
      <c r="X2983" s="71"/>
      <c r="Y2983" s="71"/>
    </row>
    <row r="2984" spans="1:25" ht="30" hidden="1" customHeight="1" x14ac:dyDescent="0.25">
      <c r="A2984" s="82">
        <v>200409</v>
      </c>
      <c r="B2984" s="664" t="s">
        <v>546</v>
      </c>
      <c r="C2984" s="71" t="s">
        <v>1148</v>
      </c>
      <c r="D2984" s="71">
        <v>8</v>
      </c>
      <c r="E2984" s="102">
        <v>250000</v>
      </c>
      <c r="F2984" s="102">
        <f t="shared" si="1547"/>
        <v>2200000</v>
      </c>
      <c r="G2984" s="102">
        <f t="shared" si="1548"/>
        <v>2000000</v>
      </c>
      <c r="H2984" s="690" t="s">
        <v>1431</v>
      </c>
      <c r="I2984" s="71" t="s">
        <v>1431</v>
      </c>
      <c r="J2984" s="53">
        <f t="shared" si="1545"/>
        <v>332756.55020209309</v>
      </c>
      <c r="K2984" s="63">
        <f t="shared" si="1546"/>
        <v>0.16637827510104655</v>
      </c>
      <c r="L2984" s="871" t="s">
        <v>2351</v>
      </c>
      <c r="M2984" s="468"/>
      <c r="N2984" s="664">
        <f t="shared" si="1549"/>
        <v>200409</v>
      </c>
      <c r="O2984" s="71" t="s">
        <v>1431</v>
      </c>
      <c r="P2984" s="103" t="str">
        <f>C2984</f>
        <v>브레이크 라이닝</v>
      </c>
      <c r="Q2984" s="71">
        <f t="shared" si="1543"/>
        <v>8</v>
      </c>
      <c r="R2984" s="102">
        <f>Import!G254</f>
        <v>208405.43122473836</v>
      </c>
      <c r="S2984" s="102">
        <f t="shared" si="1540"/>
        <v>1833967.7947776977</v>
      </c>
      <c r="T2984" s="102">
        <f t="shared" si="1541"/>
        <v>1667243.4497979069</v>
      </c>
      <c r="U2984" s="71"/>
      <c r="V2984" s="71"/>
      <c r="W2984" s="474"/>
      <c r="X2984" s="71"/>
      <c r="Y2984" s="71"/>
    </row>
    <row r="2985" spans="1:25" ht="30" hidden="1" customHeight="1" x14ac:dyDescent="0.25">
      <c r="A2985" s="82">
        <v>200409</v>
      </c>
      <c r="B2985" s="664" t="s">
        <v>546</v>
      </c>
      <c r="C2985" s="71" t="s">
        <v>934</v>
      </c>
      <c r="D2985" s="71">
        <v>40</v>
      </c>
      <c r="E2985" s="102">
        <v>4500</v>
      </c>
      <c r="F2985" s="102">
        <f t="shared" si="1547"/>
        <v>198000.00000000003</v>
      </c>
      <c r="G2985" s="102">
        <f t="shared" si="1548"/>
        <v>180000</v>
      </c>
      <c r="H2985" s="690" t="s">
        <v>1431</v>
      </c>
      <c r="I2985" s="71" t="s">
        <v>1431</v>
      </c>
      <c r="J2985" s="53">
        <f t="shared" si="1545"/>
        <v>74891.173817088478</v>
      </c>
      <c r="K2985" s="63">
        <f t="shared" si="1546"/>
        <v>0.41606207676160262</v>
      </c>
      <c r="L2985" s="871" t="s">
        <v>2351</v>
      </c>
      <c r="M2985" s="468"/>
      <c r="N2985" s="664">
        <f t="shared" si="1549"/>
        <v>200409</v>
      </c>
      <c r="O2985" s="71" t="s">
        <v>1431</v>
      </c>
      <c r="P2985" s="103" t="str">
        <f>C2985</f>
        <v>양면 테이프</v>
      </c>
      <c r="Q2985" s="71">
        <f t="shared" si="1543"/>
        <v>40</v>
      </c>
      <c r="R2985" s="102">
        <f>Import!G255</f>
        <v>2627.7206545727881</v>
      </c>
      <c r="S2985" s="102">
        <f t="shared" si="1540"/>
        <v>115619.70880120268</v>
      </c>
      <c r="T2985" s="102">
        <f t="shared" si="1541"/>
        <v>105108.82618291152</v>
      </c>
      <c r="U2985" s="71"/>
      <c r="V2985" s="71"/>
      <c r="W2985" s="474"/>
      <c r="X2985" s="71"/>
      <c r="Y2985" s="71"/>
    </row>
    <row r="2986" spans="1:25" ht="30" hidden="1" customHeight="1" x14ac:dyDescent="0.25">
      <c r="A2986" s="82">
        <v>200409</v>
      </c>
      <c r="B2986" s="664" t="s">
        <v>442</v>
      </c>
      <c r="C2986" s="71" t="s">
        <v>651</v>
      </c>
      <c r="D2986" s="71">
        <v>7</v>
      </c>
      <c r="E2986" s="102">
        <v>41000</v>
      </c>
      <c r="F2986" s="102">
        <f t="shared" si="1547"/>
        <v>315700</v>
      </c>
      <c r="G2986" s="102">
        <f t="shared" si="1548"/>
        <v>287000</v>
      </c>
      <c r="H2986" s="690" t="s">
        <v>2029</v>
      </c>
      <c r="I2986" s="71" t="s">
        <v>195</v>
      </c>
      <c r="J2986" s="53">
        <f>(G2986-(VLOOKUP(C2986,[5]Price!B$1:D$65536,3,FALSE)*D2986))</f>
        <v>112000</v>
      </c>
      <c r="K2986" s="63">
        <f t="shared" si="1546"/>
        <v>0.3902439024390244</v>
      </c>
      <c r="L2986" s="871" t="s">
        <v>2351</v>
      </c>
      <c r="M2986" s="468"/>
      <c r="N2986" s="664">
        <f t="shared" si="1549"/>
        <v>200409</v>
      </c>
      <c r="O2986" s="71" t="s">
        <v>194</v>
      </c>
      <c r="P2986" s="103" t="str">
        <f>(C2986)</f>
        <v>Agfa 현상액 G101C(10L)</v>
      </c>
      <c r="Q2986" s="71">
        <f t="shared" si="1543"/>
        <v>7</v>
      </c>
      <c r="R2986" s="102">
        <f>VLOOKUP(P2986,[5]Price!B$1:D$65536,3,FALSE)</f>
        <v>25000</v>
      </c>
      <c r="S2986" s="102">
        <f t="shared" si="1540"/>
        <v>192500.00000000003</v>
      </c>
      <c r="T2986" s="102">
        <f t="shared" si="1541"/>
        <v>175000</v>
      </c>
      <c r="U2986" s="71" t="str">
        <f>IF(J2986=W2986,"O", "X")</f>
        <v>O</v>
      </c>
      <c r="V2986" s="71"/>
      <c r="W2986" s="474">
        <f>(G2986-T2986)</f>
        <v>112000</v>
      </c>
      <c r="X2986" s="71"/>
      <c r="Y2986" s="71"/>
    </row>
    <row r="2987" spans="1:25" ht="30" hidden="1" customHeight="1" x14ac:dyDescent="0.25">
      <c r="A2987" s="82">
        <v>200410</v>
      </c>
      <c r="B2987" s="664" t="s">
        <v>627</v>
      </c>
      <c r="C2987" s="71" t="s">
        <v>2385</v>
      </c>
      <c r="D2987" s="71">
        <v>1</v>
      </c>
      <c r="E2987" s="102">
        <v>63636363</v>
      </c>
      <c r="F2987" s="102">
        <f t="shared" si="1547"/>
        <v>69999999.300000012</v>
      </c>
      <c r="G2987" s="102">
        <f t="shared" si="1548"/>
        <v>63636363</v>
      </c>
      <c r="H2987" s="690" t="s">
        <v>1431</v>
      </c>
      <c r="I2987" s="71" t="s">
        <v>1431</v>
      </c>
      <c r="J2987" s="53">
        <f t="shared" ref="J2987:J2997" si="1550">G2987-T2987</f>
        <v>29481804</v>
      </c>
      <c r="K2987" s="63">
        <f t="shared" si="1546"/>
        <v>0.46328549606142633</v>
      </c>
      <c r="L2987" s="871" t="s">
        <v>2351</v>
      </c>
      <c r="M2987" s="468"/>
      <c r="N2987" s="664">
        <f t="shared" si="1549"/>
        <v>200410</v>
      </c>
      <c r="O2987" s="71" t="s">
        <v>1431</v>
      </c>
      <c r="P2987" s="103" t="str">
        <f>C2987</f>
        <v>M600 오버홀 부품</v>
      </c>
      <c r="Q2987" s="71">
        <f t="shared" si="1543"/>
        <v>1</v>
      </c>
      <c r="R2987" s="102">
        <v>34154559</v>
      </c>
      <c r="S2987" s="102">
        <f t="shared" si="1540"/>
        <v>37570014.900000006</v>
      </c>
      <c r="T2987" s="102">
        <f t="shared" si="1541"/>
        <v>34154559</v>
      </c>
      <c r="U2987" s="71"/>
      <c r="V2987" s="71"/>
      <c r="W2987" s="474"/>
      <c r="X2987" s="71"/>
      <c r="Y2987" s="71"/>
    </row>
    <row r="2988" spans="1:25" ht="30" hidden="1" customHeight="1" x14ac:dyDescent="0.25">
      <c r="A2988" s="82">
        <v>200410</v>
      </c>
      <c r="B2988" s="664" t="s">
        <v>2155</v>
      </c>
      <c r="C2988" s="760" t="s">
        <v>218</v>
      </c>
      <c r="D2988" s="71">
        <v>5</v>
      </c>
      <c r="E2988" s="102">
        <v>192500</v>
      </c>
      <c r="F2988" s="102">
        <f t="shared" si="1547"/>
        <v>1058750</v>
      </c>
      <c r="G2988" s="102">
        <f t="shared" si="1548"/>
        <v>962500</v>
      </c>
      <c r="H2988" s="690" t="s">
        <v>173</v>
      </c>
      <c r="I2988" s="71" t="s">
        <v>120</v>
      </c>
      <c r="J2988" s="53">
        <f t="shared" si="1550"/>
        <v>400000</v>
      </c>
      <c r="K2988" s="63">
        <v>0.4155844155844155</v>
      </c>
      <c r="L2988" s="871" t="s">
        <v>2351</v>
      </c>
      <c r="M2988" s="468"/>
      <c r="N2988" s="664">
        <f t="shared" si="1549"/>
        <v>200410</v>
      </c>
      <c r="O2988" s="71" t="s">
        <v>150</v>
      </c>
      <c r="P2988" s="103" t="str">
        <f>C2988</f>
        <v>Fount Web 551AF</v>
      </c>
      <c r="Q2988" s="71">
        <f t="shared" si="1543"/>
        <v>5</v>
      </c>
      <c r="R2988" s="102">
        <v>112500</v>
      </c>
      <c r="S2988" s="102">
        <f t="shared" si="1540"/>
        <v>618750</v>
      </c>
      <c r="T2988" s="102">
        <f t="shared" si="1541"/>
        <v>562500</v>
      </c>
      <c r="U2988" s="71" t="s">
        <v>859</v>
      </c>
      <c r="V2988" s="71"/>
      <c r="W2988" s="474">
        <v>640000</v>
      </c>
      <c r="X2988" s="71"/>
      <c r="Y2988" s="71"/>
    </row>
    <row r="2989" spans="1:25" ht="30" customHeight="1" x14ac:dyDescent="0.25">
      <c r="A2989" s="82">
        <v>200413</v>
      </c>
      <c r="B2989" s="664" t="s">
        <v>2352</v>
      </c>
      <c r="C2989" s="71" t="s">
        <v>2406</v>
      </c>
      <c r="D2989" s="71">
        <v>10</v>
      </c>
      <c r="E2989" s="102">
        <v>120000</v>
      </c>
      <c r="F2989" s="102">
        <f t="shared" si="1547"/>
        <v>1320000</v>
      </c>
      <c r="G2989" s="102">
        <f t="shared" si="1548"/>
        <v>1200000</v>
      </c>
      <c r="H2989" s="690" t="s">
        <v>1431</v>
      </c>
      <c r="I2989" s="71" t="s">
        <v>1431</v>
      </c>
      <c r="J2989" s="53">
        <f t="shared" si="1550"/>
        <v>530293.67731215607</v>
      </c>
      <c r="K2989" s="63">
        <f>(J2989/(F2989/11*10))</f>
        <v>0.44191139776013005</v>
      </c>
      <c r="L2989" s="871" t="s">
        <v>2351</v>
      </c>
      <c r="M2989" s="468"/>
      <c r="N2989" s="664">
        <f t="shared" si="1549"/>
        <v>200413</v>
      </c>
      <c r="O2989" s="71" t="s">
        <v>1431</v>
      </c>
      <c r="P2989" s="103" t="str">
        <f>C2989</f>
        <v>폴더 접지 칼</v>
      </c>
      <c r="Q2989" s="71">
        <f t="shared" si="1543"/>
        <v>10</v>
      </c>
      <c r="R2989" s="102">
        <f>Import!G251</f>
        <v>66970.632268784393</v>
      </c>
      <c r="S2989" s="102">
        <f t="shared" si="1540"/>
        <v>736676.95495662838</v>
      </c>
      <c r="T2989" s="102">
        <f t="shared" si="1541"/>
        <v>669706.32268784393</v>
      </c>
      <c r="U2989" s="71"/>
      <c r="V2989" s="71"/>
      <c r="W2989" s="474"/>
      <c r="X2989" s="71"/>
      <c r="Y2989" s="71"/>
    </row>
    <row r="2990" spans="1:25" ht="30" customHeight="1" x14ac:dyDescent="0.25">
      <c r="A2990" s="82">
        <v>200413</v>
      </c>
      <c r="B2990" s="664" t="s">
        <v>2352</v>
      </c>
      <c r="C2990" s="71" t="s">
        <v>2407</v>
      </c>
      <c r="D2990" s="71">
        <v>2</v>
      </c>
      <c r="E2990" s="102">
        <v>3800000</v>
      </c>
      <c r="F2990" s="102">
        <f t="shared" si="1547"/>
        <v>8360000.0000000009</v>
      </c>
      <c r="G2990" s="102">
        <f t="shared" si="1548"/>
        <v>7600000</v>
      </c>
      <c r="H2990" s="690" t="s">
        <v>1431</v>
      </c>
      <c r="I2990" s="71" t="s">
        <v>1431</v>
      </c>
      <c r="J2990" s="53">
        <f t="shared" si="1550"/>
        <v>1904931.9642386911</v>
      </c>
      <c r="K2990" s="63">
        <f>(J2990/(F2990/11*10))</f>
        <v>0.25064894266298565</v>
      </c>
      <c r="L2990" s="871" t="s">
        <v>2351</v>
      </c>
      <c r="M2990" s="468"/>
      <c r="N2990" s="664">
        <f t="shared" si="1549"/>
        <v>200413</v>
      </c>
      <c r="O2990" s="71" t="s">
        <v>1431</v>
      </c>
      <c r="P2990" s="103" t="str">
        <f t="shared" ref="P2990:P3012" si="1551">C2990</f>
        <v>폴더 고정 조</v>
      </c>
      <c r="Q2990" s="71">
        <f t="shared" si="1543"/>
        <v>2</v>
      </c>
      <c r="R2990" s="102">
        <f>Import!G252</f>
        <v>2847534.0178806544</v>
      </c>
      <c r="S2990" s="102">
        <f t="shared" si="1540"/>
        <v>6264574.8393374402</v>
      </c>
      <c r="T2990" s="102">
        <f t="shared" si="1541"/>
        <v>5695068.0357613089</v>
      </c>
      <c r="U2990" s="71"/>
      <c r="V2990" s="71"/>
      <c r="W2990" s="474"/>
      <c r="X2990" s="71"/>
      <c r="Y2990" s="71"/>
    </row>
    <row r="2991" spans="1:25" s="209" customFormat="1" ht="30" hidden="1" customHeight="1" x14ac:dyDescent="0.25">
      <c r="A2991" s="82">
        <v>200413</v>
      </c>
      <c r="B2991" s="664" t="s">
        <v>442</v>
      </c>
      <c r="C2991" s="71" t="s">
        <v>138</v>
      </c>
      <c r="D2991" s="71">
        <v>30</v>
      </c>
      <c r="E2991" s="102">
        <v>55200</v>
      </c>
      <c r="F2991" s="102">
        <f t="shared" si="1547"/>
        <v>1821600.0000000002</v>
      </c>
      <c r="G2991" s="102">
        <f t="shared" si="1548"/>
        <v>1656000</v>
      </c>
      <c r="H2991" s="690" t="s">
        <v>173</v>
      </c>
      <c r="I2991" s="71" t="s">
        <v>108</v>
      </c>
      <c r="J2991" s="53">
        <f t="shared" si="1550"/>
        <v>432000</v>
      </c>
      <c r="K2991" s="63">
        <f>(J2991/(F2991/11*10))</f>
        <v>0.26086956521739124</v>
      </c>
      <c r="L2991" s="871" t="s">
        <v>2351</v>
      </c>
      <c r="M2991" s="468" t="s">
        <v>2388</v>
      </c>
      <c r="N2991" s="664">
        <f t="shared" ref="N2991:N3002" si="1552">A2991</f>
        <v>200413</v>
      </c>
      <c r="O2991" s="71" t="s">
        <v>150</v>
      </c>
      <c r="P2991" s="103" t="str">
        <f t="shared" si="1551"/>
        <v>매엽용 세척제(Wash 562)</v>
      </c>
      <c r="Q2991" s="71">
        <f t="shared" si="1543"/>
        <v>30</v>
      </c>
      <c r="R2991" s="102">
        <v>40800</v>
      </c>
      <c r="S2991" s="102">
        <f t="shared" si="1540"/>
        <v>1346400</v>
      </c>
      <c r="T2991" s="102">
        <f t="shared" si="1541"/>
        <v>1224000</v>
      </c>
      <c r="U2991" s="71" t="s">
        <v>1915</v>
      </c>
      <c r="V2991" s="71"/>
      <c r="W2991" s="474">
        <v>396000</v>
      </c>
      <c r="X2991" s="71"/>
      <c r="Y2991" s="71"/>
    </row>
    <row r="2992" spans="1:25" s="209" customFormat="1" ht="30" hidden="1" customHeight="1" x14ac:dyDescent="0.25">
      <c r="A2992" s="82">
        <v>200413</v>
      </c>
      <c r="B2992" s="664" t="s">
        <v>442</v>
      </c>
      <c r="C2992" s="71" t="s">
        <v>2410</v>
      </c>
      <c r="D2992" s="71">
        <v>6</v>
      </c>
      <c r="E2992" s="102">
        <v>95000</v>
      </c>
      <c r="F2992" s="102">
        <f t="shared" si="1547"/>
        <v>627000</v>
      </c>
      <c r="G2992" s="102">
        <f t="shared" si="1548"/>
        <v>570000</v>
      </c>
      <c r="H2992" s="690" t="s">
        <v>173</v>
      </c>
      <c r="I2992" s="71" t="s">
        <v>2231</v>
      </c>
      <c r="J2992" s="53">
        <f t="shared" si="1550"/>
        <v>120000</v>
      </c>
      <c r="K2992" s="63">
        <f>(J2992/(F2992/11*10))</f>
        <v>0.21052631578947367</v>
      </c>
      <c r="L2992" s="871" t="s">
        <v>2351</v>
      </c>
      <c r="M2992" s="468"/>
      <c r="N2992" s="664">
        <f>A2992</f>
        <v>200413</v>
      </c>
      <c r="O2992" s="71" t="s">
        <v>151</v>
      </c>
      <c r="P2992" s="103" t="str">
        <f t="shared" si="1551"/>
        <v>판통 접착 아스테이지</v>
      </c>
      <c r="Q2992" s="71">
        <f t="shared" si="1543"/>
        <v>6</v>
      </c>
      <c r="R2992" s="102">
        <v>75000</v>
      </c>
      <c r="S2992" s="102">
        <f t="shared" si="1540"/>
        <v>495000.00000000006</v>
      </c>
      <c r="T2992" s="102">
        <f t="shared" si="1541"/>
        <v>450000</v>
      </c>
      <c r="U2992" s="71"/>
      <c r="V2992" s="71"/>
      <c r="W2992" s="474"/>
      <c r="X2992" s="71"/>
      <c r="Y2992" s="71"/>
    </row>
    <row r="2993" spans="1:25" s="209" customFormat="1" ht="30" hidden="1" customHeight="1" x14ac:dyDescent="0.25">
      <c r="A2993" s="82">
        <v>200414</v>
      </c>
      <c r="B2993" s="664" t="s">
        <v>567</v>
      </c>
      <c r="C2993" s="71" t="s">
        <v>236</v>
      </c>
      <c r="D2993" s="71">
        <v>10</v>
      </c>
      <c r="E2993" s="102">
        <v>65000</v>
      </c>
      <c r="F2993" s="102">
        <f t="shared" si="1547"/>
        <v>715000</v>
      </c>
      <c r="G2993" s="102">
        <f t="shared" si="1548"/>
        <v>650000</v>
      </c>
      <c r="H2993" s="690" t="s">
        <v>173</v>
      </c>
      <c r="I2993" s="71" t="s">
        <v>2231</v>
      </c>
      <c r="J2993" s="53">
        <f t="shared" si="1550"/>
        <v>150000</v>
      </c>
      <c r="K2993" s="63">
        <v>0.23076923076923078</v>
      </c>
      <c r="L2993" s="871" t="s">
        <v>2351</v>
      </c>
      <c r="M2993" s="468"/>
      <c r="N2993" s="664">
        <f>A2993</f>
        <v>200414</v>
      </c>
      <c r="O2993" s="71" t="s">
        <v>153</v>
      </c>
      <c r="P2993" s="103" t="str">
        <f t="shared" si="1551"/>
        <v>아스테이지(국전)</v>
      </c>
      <c r="Q2993" s="71">
        <f t="shared" si="1543"/>
        <v>10</v>
      </c>
      <c r="R2993" s="102">
        <v>50000</v>
      </c>
      <c r="S2993" s="102">
        <f t="shared" si="1540"/>
        <v>550000</v>
      </c>
      <c r="T2993" s="102">
        <f t="shared" si="1541"/>
        <v>500000</v>
      </c>
      <c r="U2993" s="71" t="s">
        <v>859</v>
      </c>
      <c r="V2993" s="71"/>
      <c r="W2993" s="474">
        <v>150000</v>
      </c>
      <c r="X2993" s="71"/>
      <c r="Y2993" s="71"/>
    </row>
    <row r="2994" spans="1:25" ht="30" hidden="1" customHeight="1" x14ac:dyDescent="0.25">
      <c r="A2994" s="82">
        <v>200415</v>
      </c>
      <c r="B2994" s="664" t="s">
        <v>1178</v>
      </c>
      <c r="C2994" s="71" t="s">
        <v>2387</v>
      </c>
      <c r="D2994" s="71">
        <v>1</v>
      </c>
      <c r="E2994" s="102">
        <v>4387900</v>
      </c>
      <c r="F2994" s="102">
        <f t="shared" si="1547"/>
        <v>4826690</v>
      </c>
      <c r="G2994" s="102">
        <f t="shared" si="1548"/>
        <v>4387900</v>
      </c>
      <c r="H2994" s="690" t="s">
        <v>142</v>
      </c>
      <c r="I2994" s="71" t="s">
        <v>142</v>
      </c>
      <c r="J2994" s="53">
        <f t="shared" si="1550"/>
        <v>696783</v>
      </c>
      <c r="K2994" s="63">
        <f>(J2994/(F2994/11*10))</f>
        <v>0.15879646300052416</v>
      </c>
      <c r="L2994" s="871" t="s">
        <v>2351</v>
      </c>
      <c r="M2994" s="468"/>
      <c r="N2994" s="664">
        <f t="shared" si="1552"/>
        <v>200415</v>
      </c>
      <c r="O2994" s="71" t="s">
        <v>1431</v>
      </c>
      <c r="P2994" s="103" t="str">
        <f t="shared" si="1551"/>
        <v>John 방문 서비스 비용 2회차</v>
      </c>
      <c r="Q2994" s="71">
        <f t="shared" si="1543"/>
        <v>1</v>
      </c>
      <c r="R2994" s="102">
        <v>3691117</v>
      </c>
      <c r="S2994" s="102">
        <f t="shared" si="1540"/>
        <v>4060228.7</v>
      </c>
      <c r="T2994" s="102">
        <f t="shared" si="1541"/>
        <v>3691117</v>
      </c>
      <c r="U2994" s="71"/>
      <c r="V2994" s="71"/>
      <c r="W2994" s="474"/>
      <c r="X2994" s="71"/>
      <c r="Y2994" s="71"/>
    </row>
    <row r="2995" spans="1:25" ht="30" hidden="1" customHeight="1" x14ac:dyDescent="0.25">
      <c r="A2995" s="82">
        <v>200416</v>
      </c>
      <c r="B2995" s="664" t="s">
        <v>446</v>
      </c>
      <c r="C2995" s="71" t="s">
        <v>2028</v>
      </c>
      <c r="D2995" s="71">
        <v>20</v>
      </c>
      <c r="E2995" s="102">
        <v>105000</v>
      </c>
      <c r="F2995" s="102">
        <f t="shared" si="1547"/>
        <v>2310000</v>
      </c>
      <c r="G2995" s="102">
        <f t="shared" si="1548"/>
        <v>2100000</v>
      </c>
      <c r="H2995" s="690" t="s">
        <v>2029</v>
      </c>
      <c r="I2995" s="71" t="s">
        <v>2231</v>
      </c>
      <c r="J2995" s="53">
        <f t="shared" si="1550"/>
        <v>380000</v>
      </c>
      <c r="K2995" s="63">
        <f t="shared" ref="K2995:K3000" si="1553">(J2995/(F2995/11*10))</f>
        <v>0.18095238095238095</v>
      </c>
      <c r="L2995" s="871" t="s">
        <v>2351</v>
      </c>
      <c r="M2995" s="468" t="s">
        <v>3067</v>
      </c>
      <c r="N2995" s="664">
        <f t="shared" si="1552"/>
        <v>200416</v>
      </c>
      <c r="O2995" s="71" t="s">
        <v>2030</v>
      </c>
      <c r="P2995" s="103" t="str">
        <f t="shared" si="1551"/>
        <v>실리콘 에멀전</v>
      </c>
      <c r="Q2995" s="71">
        <f t="shared" si="1543"/>
        <v>20</v>
      </c>
      <c r="R2995" s="102">
        <v>86000</v>
      </c>
      <c r="S2995" s="102">
        <f t="shared" si="1540"/>
        <v>1892000.0000000002</v>
      </c>
      <c r="T2995" s="102">
        <f t="shared" si="1541"/>
        <v>1720000</v>
      </c>
      <c r="U2995" s="71" t="str">
        <f>IF(J2995=W2995,"O", "X")</f>
        <v>O</v>
      </c>
      <c r="V2995" s="71">
        <f>5000*Q2995</f>
        <v>100000</v>
      </c>
      <c r="W2995" s="474">
        <f>(G2995-T2995)</f>
        <v>380000</v>
      </c>
      <c r="X2995" s="71"/>
      <c r="Y2995" s="71"/>
    </row>
    <row r="2996" spans="1:25" ht="30" hidden="1" customHeight="1" x14ac:dyDescent="0.25">
      <c r="A2996" s="82">
        <v>200417</v>
      </c>
      <c r="B2996" s="664" t="s">
        <v>1178</v>
      </c>
      <c r="C2996" s="71" t="s">
        <v>984</v>
      </c>
      <c r="D2996" s="71">
        <v>15</v>
      </c>
      <c r="E2996" s="102">
        <v>58000</v>
      </c>
      <c r="F2996" s="102">
        <f t="shared" si="1547"/>
        <v>957000.00000000012</v>
      </c>
      <c r="G2996" s="102">
        <f t="shared" si="1548"/>
        <v>870000</v>
      </c>
      <c r="H2996" s="690" t="s">
        <v>142</v>
      </c>
      <c r="I2996" s="71" t="s">
        <v>2273</v>
      </c>
      <c r="J2996" s="53">
        <f t="shared" si="1550"/>
        <v>345000</v>
      </c>
      <c r="K2996" s="63">
        <f t="shared" si="1553"/>
        <v>0.39655172413793099</v>
      </c>
      <c r="L2996" s="871" t="s">
        <v>2351</v>
      </c>
      <c r="M2996" s="468"/>
      <c r="N2996" s="664">
        <f t="shared" si="1552"/>
        <v>200417</v>
      </c>
      <c r="O2996" s="71" t="s">
        <v>145</v>
      </c>
      <c r="P2996" s="103" t="str">
        <f t="shared" si="1551"/>
        <v>CTP 현상액</v>
      </c>
      <c r="Q2996" s="71">
        <f t="shared" si="1543"/>
        <v>15</v>
      </c>
      <c r="R2996" s="102">
        <v>35000</v>
      </c>
      <c r="S2996" s="102">
        <f t="shared" si="1540"/>
        <v>577500</v>
      </c>
      <c r="T2996" s="102">
        <f t="shared" si="1541"/>
        <v>525000</v>
      </c>
      <c r="U2996" s="71" t="str">
        <f>IF(J2996=W2996,"O", "X")</f>
        <v>X</v>
      </c>
      <c r="V2996" s="71"/>
      <c r="W2996" s="474"/>
      <c r="X2996" s="71"/>
      <c r="Y2996" s="71"/>
    </row>
    <row r="2997" spans="1:25" ht="30" hidden="1" customHeight="1" x14ac:dyDescent="0.25">
      <c r="A2997" s="82">
        <v>200417</v>
      </c>
      <c r="B2997" s="664" t="s">
        <v>1178</v>
      </c>
      <c r="C2997" s="71" t="s">
        <v>2075</v>
      </c>
      <c r="D2997" s="71">
        <v>2</v>
      </c>
      <c r="E2997" s="102">
        <v>85000</v>
      </c>
      <c r="F2997" s="102">
        <f t="shared" si="1547"/>
        <v>187000.00000000003</v>
      </c>
      <c r="G2997" s="102">
        <f t="shared" si="1548"/>
        <v>170000</v>
      </c>
      <c r="H2997" s="690" t="s">
        <v>142</v>
      </c>
      <c r="I2997" s="71" t="s">
        <v>2273</v>
      </c>
      <c r="J2997" s="53">
        <f t="shared" si="1550"/>
        <v>40000</v>
      </c>
      <c r="K2997" s="63">
        <f t="shared" si="1553"/>
        <v>0.23529411764705879</v>
      </c>
      <c r="L2997" s="871" t="s">
        <v>2351</v>
      </c>
      <c r="M2997" s="468"/>
      <c r="N2997" s="664">
        <f t="shared" si="1552"/>
        <v>200417</v>
      </c>
      <c r="O2997" s="71" t="s">
        <v>145</v>
      </c>
      <c r="P2997" s="103" t="str">
        <f t="shared" si="1551"/>
        <v>CTP 고무액</v>
      </c>
      <c r="Q2997" s="71">
        <f t="shared" si="1543"/>
        <v>2</v>
      </c>
      <c r="R2997" s="102">
        <v>65000</v>
      </c>
      <c r="S2997" s="102">
        <f t="shared" si="1540"/>
        <v>143000</v>
      </c>
      <c r="T2997" s="102">
        <f t="shared" si="1541"/>
        <v>130000</v>
      </c>
      <c r="U2997" s="71" t="str">
        <f>IF(J2997=W2997,"O", "X")</f>
        <v>X</v>
      </c>
      <c r="V2997" s="71"/>
      <c r="W2997" s="474"/>
      <c r="X2997" s="71"/>
      <c r="Y2997" s="71"/>
    </row>
    <row r="2998" spans="1:25" ht="30" hidden="1" customHeight="1" x14ac:dyDescent="0.2">
      <c r="A2998" s="82">
        <v>200417</v>
      </c>
      <c r="B2998" s="664" t="s">
        <v>545</v>
      </c>
      <c r="C2998" s="71" t="s">
        <v>952</v>
      </c>
      <c r="D2998" s="71">
        <v>1</v>
      </c>
      <c r="E2998" s="102">
        <v>630000</v>
      </c>
      <c r="F2998" s="163">
        <f t="shared" si="1547"/>
        <v>693000</v>
      </c>
      <c r="G2998" s="102">
        <f t="shared" si="1548"/>
        <v>630000</v>
      </c>
      <c r="H2998" s="690" t="s">
        <v>173</v>
      </c>
      <c r="I2998" s="71" t="s">
        <v>108</v>
      </c>
      <c r="J2998" s="53">
        <f>(G2998-(VLOOKUP(C2998,Price!B:D,3,FALSE)*D2998))</f>
        <v>180000</v>
      </c>
      <c r="K2998" s="63">
        <f t="shared" si="1553"/>
        <v>0.2857142857142857</v>
      </c>
      <c r="L2998" s="871" t="s">
        <v>2351</v>
      </c>
      <c r="M2998" s="468"/>
      <c r="N2998" s="664">
        <f t="shared" si="1552"/>
        <v>200417</v>
      </c>
      <c r="O2998" s="71" t="s">
        <v>599</v>
      </c>
      <c r="P2998" s="103" t="str">
        <f t="shared" si="1551"/>
        <v>점보롤 세정포</v>
      </c>
      <c r="Q2998" s="71">
        <f t="shared" si="1543"/>
        <v>1</v>
      </c>
      <c r="R2998" s="102">
        <v>440000</v>
      </c>
      <c r="S2998" s="102">
        <f t="shared" si="1540"/>
        <v>484000.00000000006</v>
      </c>
      <c r="T2998" s="102">
        <f t="shared" si="1541"/>
        <v>440000</v>
      </c>
      <c r="U2998" s="71" t="str">
        <f>IF(J2998=W2998,"O", "X")</f>
        <v>X</v>
      </c>
      <c r="V2998" s="71" t="s">
        <v>1228</v>
      </c>
      <c r="W2998" s="474">
        <f>(G2998-T2998)</f>
        <v>190000</v>
      </c>
      <c r="X2998" s="71"/>
      <c r="Y2998" s="71"/>
    </row>
    <row r="2999" spans="1:25" s="209" customFormat="1" ht="30" hidden="1" customHeight="1" x14ac:dyDescent="0.2">
      <c r="A2999" s="82">
        <v>200417</v>
      </c>
      <c r="B2999" s="664" t="s">
        <v>764</v>
      </c>
      <c r="C2999" s="71" t="s">
        <v>236</v>
      </c>
      <c r="D2999" s="71">
        <v>10</v>
      </c>
      <c r="E2999" s="102">
        <v>100000</v>
      </c>
      <c r="F2999" s="163">
        <f t="shared" si="1547"/>
        <v>1100000</v>
      </c>
      <c r="G2999" s="102">
        <f t="shared" si="1548"/>
        <v>1000000</v>
      </c>
      <c r="H2999" s="690" t="s">
        <v>173</v>
      </c>
      <c r="I2999" s="71" t="s">
        <v>2231</v>
      </c>
      <c r="J2999" s="53">
        <f t="shared" ref="J2999:J3010" si="1554">G2999-T2999</f>
        <v>500000</v>
      </c>
      <c r="K2999" s="63">
        <f t="shared" si="1553"/>
        <v>0.5</v>
      </c>
      <c r="L2999" s="871" t="s">
        <v>2351</v>
      </c>
      <c r="M2999" s="468"/>
      <c r="N2999" s="664">
        <f t="shared" si="1552"/>
        <v>200417</v>
      </c>
      <c r="O2999" s="71" t="s">
        <v>153</v>
      </c>
      <c r="P2999" s="103" t="str">
        <f t="shared" si="1551"/>
        <v>아스테이지(국전)</v>
      </c>
      <c r="Q2999" s="71">
        <f t="shared" si="1543"/>
        <v>10</v>
      </c>
      <c r="R2999" s="102">
        <v>50000</v>
      </c>
      <c r="S2999" s="102">
        <f t="shared" si="1540"/>
        <v>550000</v>
      </c>
      <c r="T2999" s="102">
        <f t="shared" si="1541"/>
        <v>500000</v>
      </c>
      <c r="U2999" s="71" t="s">
        <v>859</v>
      </c>
      <c r="V2999" s="71"/>
      <c r="W2999" s="474">
        <v>500000</v>
      </c>
      <c r="X2999" s="71"/>
      <c r="Y2999" s="71"/>
    </row>
    <row r="3000" spans="1:25" ht="30" hidden="1" customHeight="1" x14ac:dyDescent="0.2">
      <c r="A3000" s="82">
        <v>200417</v>
      </c>
      <c r="B3000" s="664" t="s">
        <v>575</v>
      </c>
      <c r="C3000" s="71" t="s">
        <v>1367</v>
      </c>
      <c r="D3000" s="71">
        <v>8</v>
      </c>
      <c r="E3000" s="102">
        <v>218000</v>
      </c>
      <c r="F3000" s="163">
        <f t="shared" si="1547"/>
        <v>1918400.0000000002</v>
      </c>
      <c r="G3000" s="102">
        <f t="shared" si="1548"/>
        <v>1744000</v>
      </c>
      <c r="H3000" s="690" t="s">
        <v>173</v>
      </c>
      <c r="I3000" s="71" t="s">
        <v>109</v>
      </c>
      <c r="J3000" s="53">
        <f t="shared" si="1554"/>
        <v>781920</v>
      </c>
      <c r="K3000" s="63">
        <f t="shared" si="1553"/>
        <v>0.44834862385321095</v>
      </c>
      <c r="L3000" s="871" t="s">
        <v>2351</v>
      </c>
      <c r="M3000" s="468"/>
      <c r="N3000" s="664">
        <f t="shared" si="1552"/>
        <v>200417</v>
      </c>
      <c r="O3000" s="71" t="s">
        <v>1443</v>
      </c>
      <c r="P3000" s="103" t="str">
        <f t="shared" si="1551"/>
        <v>M600 윤전 블랑켓 995*742</v>
      </c>
      <c r="Q3000" s="71">
        <f t="shared" si="1543"/>
        <v>8</v>
      </c>
      <c r="R3000" s="102">
        <v>120260</v>
      </c>
      <c r="S3000" s="102">
        <f t="shared" si="1540"/>
        <v>1058288</v>
      </c>
      <c r="T3000" s="102">
        <f t="shared" si="1541"/>
        <v>962080</v>
      </c>
      <c r="U3000" s="71" t="str">
        <f>IF(J3000=W3000,"O", "X")</f>
        <v>X</v>
      </c>
      <c r="V3000" s="71"/>
      <c r="W3000" s="474"/>
      <c r="X3000" s="71"/>
      <c r="Y3000" s="71"/>
    </row>
    <row r="3001" spans="1:25" ht="30" hidden="1" customHeight="1" x14ac:dyDescent="0.25">
      <c r="A3001" s="82">
        <v>200420</v>
      </c>
      <c r="B3001" s="664" t="s">
        <v>1178</v>
      </c>
      <c r="C3001" s="71" t="s">
        <v>2382</v>
      </c>
      <c r="D3001" s="71">
        <v>5</v>
      </c>
      <c r="E3001" s="102">
        <v>360000</v>
      </c>
      <c r="F3001" s="102">
        <f t="shared" si="1547"/>
        <v>1980000.0000000002</v>
      </c>
      <c r="G3001" s="102">
        <f t="shared" si="1548"/>
        <v>1800000</v>
      </c>
      <c r="H3001" s="690" t="s">
        <v>1431</v>
      </c>
      <c r="I3001" s="690" t="s">
        <v>1431</v>
      </c>
      <c r="J3001" s="53">
        <f t="shared" si="1554"/>
        <v>687288.77087665349</v>
      </c>
      <c r="K3001" s="63">
        <f t="shared" ref="K3001:K3010" si="1555">(J3001/(F3001/11*10))</f>
        <v>0.3818270949314741</v>
      </c>
      <c r="L3001" s="871" t="s">
        <v>2384</v>
      </c>
      <c r="M3001" s="468"/>
      <c r="N3001" s="664">
        <f t="shared" si="1552"/>
        <v>200420</v>
      </c>
      <c r="O3001" s="71" t="s">
        <v>1431</v>
      </c>
      <c r="P3001" s="103" t="str">
        <f t="shared" si="1551"/>
        <v>Protect foil</v>
      </c>
      <c r="Q3001" s="71">
        <f t="shared" si="1543"/>
        <v>5</v>
      </c>
      <c r="R3001" s="102">
        <f>Import!G259</f>
        <v>222542.24582466928</v>
      </c>
      <c r="S3001" s="102">
        <f t="shared" ref="S3001:S3032" si="1556">R3001*Q3001*1.1</f>
        <v>1223982.3520356813</v>
      </c>
      <c r="T3001" s="102">
        <f t="shared" ref="T3001:T3034" si="1557">R3001*Q3001</f>
        <v>1112711.2291233465</v>
      </c>
      <c r="U3001" s="71"/>
      <c r="V3001" s="71"/>
      <c r="W3001" s="474"/>
      <c r="X3001" s="71"/>
      <c r="Y3001" s="71"/>
    </row>
    <row r="3002" spans="1:25" ht="30" hidden="1" customHeight="1" x14ac:dyDescent="0.25">
      <c r="A3002" s="82">
        <v>200420</v>
      </c>
      <c r="B3002" s="664" t="s">
        <v>1178</v>
      </c>
      <c r="C3002" s="71" t="s">
        <v>2383</v>
      </c>
      <c r="D3002" s="71">
        <v>14</v>
      </c>
      <c r="E3002" s="102">
        <v>50000</v>
      </c>
      <c r="F3002" s="102">
        <f t="shared" si="1547"/>
        <v>770000.00000000012</v>
      </c>
      <c r="G3002" s="102">
        <f t="shared" si="1548"/>
        <v>700000</v>
      </c>
      <c r="H3002" s="690" t="s">
        <v>1431</v>
      </c>
      <c r="I3002" s="690" t="s">
        <v>1431</v>
      </c>
      <c r="J3002" s="53">
        <f t="shared" si="1554"/>
        <v>307727.38329867704</v>
      </c>
      <c r="K3002" s="63">
        <f t="shared" si="1555"/>
        <v>0.43961054756953855</v>
      </c>
      <c r="L3002" s="871" t="s">
        <v>2384</v>
      </c>
      <c r="M3002" s="468"/>
      <c r="N3002" s="664">
        <f t="shared" si="1552"/>
        <v>200420</v>
      </c>
      <c r="O3002" s="71" t="s">
        <v>1431</v>
      </c>
      <c r="P3002" s="103" t="str">
        <f t="shared" si="1551"/>
        <v>Felt, Ink Fountain</v>
      </c>
      <c r="Q3002" s="71">
        <f t="shared" si="1543"/>
        <v>14</v>
      </c>
      <c r="R3002" s="102">
        <f>Import!G260</f>
        <v>28019.472621523069</v>
      </c>
      <c r="S3002" s="102">
        <f t="shared" si="1556"/>
        <v>431499.8783714553</v>
      </c>
      <c r="T3002" s="102">
        <f t="shared" si="1557"/>
        <v>392272.61670132296</v>
      </c>
      <c r="U3002" s="71"/>
      <c r="V3002" s="71"/>
      <c r="W3002" s="474"/>
      <c r="X3002" s="71"/>
      <c r="Y3002" s="71"/>
    </row>
    <row r="3003" spans="1:25" ht="30" hidden="1" customHeight="1" x14ac:dyDescent="0.2">
      <c r="A3003" s="82">
        <v>200421</v>
      </c>
      <c r="B3003" s="664" t="s">
        <v>562</v>
      </c>
      <c r="C3003" s="71" t="s">
        <v>2381</v>
      </c>
      <c r="D3003" s="71">
        <v>10</v>
      </c>
      <c r="E3003" s="102">
        <v>600000</v>
      </c>
      <c r="F3003" s="163">
        <f t="shared" ref="F3003:F3014" si="1558">(E3003*D3003)*1.1</f>
        <v>6600000.0000000009</v>
      </c>
      <c r="G3003" s="102">
        <f t="shared" ref="G3003:G3014" si="1559">(E3003*D3003)</f>
        <v>6000000</v>
      </c>
      <c r="H3003" s="690" t="s">
        <v>173</v>
      </c>
      <c r="I3003" s="71" t="s">
        <v>108</v>
      </c>
      <c r="J3003" s="53">
        <f t="shared" si="1554"/>
        <v>3805290</v>
      </c>
      <c r="K3003" s="63">
        <f t="shared" si="1555"/>
        <v>0.63421499999999986</v>
      </c>
      <c r="L3003" s="871" t="s">
        <v>2384</v>
      </c>
      <c r="M3003" s="468"/>
      <c r="N3003" s="664">
        <f t="shared" ref="N3003:N3011" si="1560">A3003</f>
        <v>200421</v>
      </c>
      <c r="O3003" s="71" t="s">
        <v>2179</v>
      </c>
      <c r="P3003" s="103" t="str">
        <f t="shared" si="1551"/>
        <v>CD74용 UV lamp</v>
      </c>
      <c r="Q3003" s="71">
        <f t="shared" si="1543"/>
        <v>10</v>
      </c>
      <c r="R3003" s="102">
        <f>219471</f>
        <v>219471</v>
      </c>
      <c r="S3003" s="102">
        <f t="shared" si="1556"/>
        <v>2414181</v>
      </c>
      <c r="T3003" s="102">
        <f t="shared" si="1557"/>
        <v>2194710</v>
      </c>
      <c r="U3003" s="71"/>
      <c r="V3003" s="71"/>
      <c r="W3003" s="474"/>
      <c r="X3003" s="71"/>
      <c r="Y3003" s="71"/>
    </row>
    <row r="3004" spans="1:25" ht="30" hidden="1" customHeight="1" x14ac:dyDescent="0.2">
      <c r="A3004" s="82">
        <v>200422</v>
      </c>
      <c r="B3004" s="664" t="s">
        <v>2353</v>
      </c>
      <c r="C3004" s="71" t="s">
        <v>129</v>
      </c>
      <c r="D3004" s="71">
        <v>7</v>
      </c>
      <c r="E3004" s="102">
        <v>272000</v>
      </c>
      <c r="F3004" s="163">
        <f t="shared" si="1558"/>
        <v>2094400.0000000002</v>
      </c>
      <c r="G3004" s="102">
        <f t="shared" si="1559"/>
        <v>1904000</v>
      </c>
      <c r="H3004" s="165" t="s">
        <v>142</v>
      </c>
      <c r="I3004" s="71" t="s">
        <v>142</v>
      </c>
      <c r="J3004" s="53">
        <f t="shared" si="1554"/>
        <v>448000</v>
      </c>
      <c r="K3004" s="63">
        <f t="shared" si="1555"/>
        <v>0.23529411764705879</v>
      </c>
      <c r="L3004" s="871" t="s">
        <v>2351</v>
      </c>
      <c r="M3004" s="468" t="s">
        <v>2050</v>
      </c>
      <c r="N3004" s="664">
        <f t="shared" si="1560"/>
        <v>200422</v>
      </c>
      <c r="O3004" s="71" t="s">
        <v>149</v>
      </c>
      <c r="P3004" s="103" t="str">
        <f t="shared" si="1551"/>
        <v>세정포-XL106</v>
      </c>
      <c r="Q3004" s="71">
        <f t="shared" si="1543"/>
        <v>7</v>
      </c>
      <c r="R3004" s="102">
        <v>208000</v>
      </c>
      <c r="S3004" s="102">
        <f t="shared" si="1556"/>
        <v>1601600.0000000002</v>
      </c>
      <c r="T3004" s="102">
        <f t="shared" si="1557"/>
        <v>1456000</v>
      </c>
      <c r="U3004" s="71" t="str">
        <f>IF(J3004=W3004,"O", "X")</f>
        <v>O</v>
      </c>
      <c r="V3004" s="71"/>
      <c r="W3004" s="474">
        <f>(G3004-T3004)</f>
        <v>448000</v>
      </c>
      <c r="X3004" s="71"/>
      <c r="Y3004" s="71"/>
    </row>
    <row r="3005" spans="1:25" s="209" customFormat="1" ht="30" hidden="1" customHeight="1" x14ac:dyDescent="0.2">
      <c r="A3005" s="82">
        <v>200422</v>
      </c>
      <c r="B3005" s="664" t="s">
        <v>2353</v>
      </c>
      <c r="C3005" s="71" t="s">
        <v>138</v>
      </c>
      <c r="D3005" s="71">
        <v>7</v>
      </c>
      <c r="E3005" s="102">
        <v>54400</v>
      </c>
      <c r="F3005" s="163">
        <f t="shared" si="1558"/>
        <v>418880.00000000006</v>
      </c>
      <c r="G3005" s="102">
        <f t="shared" si="1559"/>
        <v>380800</v>
      </c>
      <c r="H3005" s="165" t="s">
        <v>142</v>
      </c>
      <c r="I3005" s="71" t="s">
        <v>142</v>
      </c>
      <c r="J3005" s="53">
        <f t="shared" si="1554"/>
        <v>95200</v>
      </c>
      <c r="K3005" s="63">
        <f t="shared" si="1555"/>
        <v>0.24999999999999997</v>
      </c>
      <c r="L3005" s="871" t="s">
        <v>2351</v>
      </c>
      <c r="M3005" s="468" t="s">
        <v>2214</v>
      </c>
      <c r="N3005" s="664">
        <f t="shared" si="1560"/>
        <v>200422</v>
      </c>
      <c r="O3005" s="71" t="s">
        <v>2030</v>
      </c>
      <c r="P3005" s="103" t="str">
        <f t="shared" si="1551"/>
        <v>매엽용 세척제(Wash 562)</v>
      </c>
      <c r="Q3005" s="71">
        <f t="shared" si="1543"/>
        <v>7</v>
      </c>
      <c r="R3005" s="102">
        <v>40800</v>
      </c>
      <c r="S3005" s="102">
        <f t="shared" si="1556"/>
        <v>314160</v>
      </c>
      <c r="T3005" s="102">
        <f t="shared" si="1557"/>
        <v>285600</v>
      </c>
      <c r="U3005" s="71" t="str">
        <f>IF(J3005=W3005,"O", "X")</f>
        <v>O</v>
      </c>
      <c r="V3005" s="71"/>
      <c r="W3005" s="474">
        <f>(G3005-T3005)</f>
        <v>95200</v>
      </c>
      <c r="X3005" s="71"/>
      <c r="Y3005" s="71"/>
    </row>
    <row r="3006" spans="1:25" ht="30" hidden="1" customHeight="1" x14ac:dyDescent="0.25">
      <c r="A3006" s="82">
        <v>200422</v>
      </c>
      <c r="B3006" s="664" t="s">
        <v>2353</v>
      </c>
      <c r="C3006" s="71" t="s">
        <v>2408</v>
      </c>
      <c r="D3006" s="71">
        <v>2</v>
      </c>
      <c r="E3006" s="102">
        <v>248600</v>
      </c>
      <c r="F3006" s="102">
        <f t="shared" si="1558"/>
        <v>546920</v>
      </c>
      <c r="G3006" s="102">
        <f t="shared" si="1559"/>
        <v>497200</v>
      </c>
      <c r="H3006" s="690" t="s">
        <v>142</v>
      </c>
      <c r="I3006" s="71" t="s">
        <v>142</v>
      </c>
      <c r="J3006" s="53">
        <f t="shared" si="1554"/>
        <v>97200</v>
      </c>
      <c r="K3006" s="63">
        <f t="shared" si="1555"/>
        <v>0.19549477071600965</v>
      </c>
      <c r="L3006" s="871" t="s">
        <v>2351</v>
      </c>
      <c r="M3006" s="468"/>
      <c r="N3006" s="664">
        <f t="shared" si="1560"/>
        <v>200422</v>
      </c>
      <c r="O3006" s="71" t="s">
        <v>150</v>
      </c>
      <c r="P3006" s="103" t="str">
        <f t="shared" si="1551"/>
        <v>판걸이 실린더 안쪽</v>
      </c>
      <c r="Q3006" s="71">
        <f t="shared" si="1543"/>
        <v>2</v>
      </c>
      <c r="R3006" s="102">
        <v>200000</v>
      </c>
      <c r="S3006" s="102">
        <f t="shared" si="1556"/>
        <v>440000.00000000006</v>
      </c>
      <c r="T3006" s="102">
        <f t="shared" si="1557"/>
        <v>400000</v>
      </c>
      <c r="U3006" s="71" t="str">
        <f>IF(J3006=W3006,"O", "X")</f>
        <v>X</v>
      </c>
      <c r="V3006" s="71"/>
      <c r="W3006" s="474"/>
      <c r="X3006" s="71"/>
      <c r="Y3006" s="71"/>
    </row>
    <row r="3007" spans="1:25" ht="30" hidden="1" customHeight="1" x14ac:dyDescent="0.25">
      <c r="A3007" s="82">
        <v>200422</v>
      </c>
      <c r="B3007" s="664" t="s">
        <v>2353</v>
      </c>
      <c r="C3007" s="71" t="s">
        <v>2409</v>
      </c>
      <c r="D3007" s="71">
        <v>2</v>
      </c>
      <c r="E3007" s="102">
        <v>178200</v>
      </c>
      <c r="F3007" s="102">
        <f t="shared" si="1558"/>
        <v>392040.00000000006</v>
      </c>
      <c r="G3007" s="102">
        <f t="shared" si="1559"/>
        <v>356400</v>
      </c>
      <c r="H3007" s="690" t="s">
        <v>142</v>
      </c>
      <c r="I3007" s="71" t="s">
        <v>142</v>
      </c>
      <c r="J3007" s="53">
        <f t="shared" si="1554"/>
        <v>56400</v>
      </c>
      <c r="K3007" s="63">
        <f t="shared" si="1555"/>
        <v>0.15824915824915822</v>
      </c>
      <c r="L3007" s="871" t="s">
        <v>2351</v>
      </c>
      <c r="M3007" s="468"/>
      <c r="N3007" s="664">
        <f t="shared" si="1560"/>
        <v>200422</v>
      </c>
      <c r="O3007" s="71" t="s">
        <v>150</v>
      </c>
      <c r="P3007" s="103" t="str">
        <f t="shared" si="1551"/>
        <v>판걸이 실린더 바깥쪽</v>
      </c>
      <c r="Q3007" s="71">
        <f t="shared" si="1543"/>
        <v>2</v>
      </c>
      <c r="R3007" s="102">
        <v>150000</v>
      </c>
      <c r="S3007" s="102">
        <f t="shared" si="1556"/>
        <v>330000</v>
      </c>
      <c r="T3007" s="102">
        <f t="shared" si="1557"/>
        <v>300000</v>
      </c>
      <c r="U3007" s="71" t="str">
        <f>IF(J3007=W3007,"O", "X")</f>
        <v>X</v>
      </c>
      <c r="V3007" s="71"/>
      <c r="W3007" s="474"/>
      <c r="X3007" s="71"/>
      <c r="Y3007" s="71"/>
    </row>
    <row r="3008" spans="1:25" ht="30" hidden="1" customHeight="1" x14ac:dyDescent="0.2">
      <c r="A3008" s="82">
        <v>200422</v>
      </c>
      <c r="B3008" s="664" t="s">
        <v>545</v>
      </c>
      <c r="C3008" s="71" t="s">
        <v>1747</v>
      </c>
      <c r="D3008" s="71">
        <v>4</v>
      </c>
      <c r="E3008" s="102">
        <v>610000</v>
      </c>
      <c r="F3008" s="163">
        <f t="shared" si="1558"/>
        <v>2684000</v>
      </c>
      <c r="G3008" s="102">
        <f t="shared" si="1559"/>
        <v>2440000</v>
      </c>
      <c r="H3008" s="690" t="s">
        <v>173</v>
      </c>
      <c r="I3008" s="71" t="s">
        <v>2184</v>
      </c>
      <c r="J3008" s="53">
        <f t="shared" si="1554"/>
        <v>1060016</v>
      </c>
      <c r="K3008" s="63">
        <f t="shared" si="1555"/>
        <v>0.43443278688524589</v>
      </c>
      <c r="L3008" s="871" t="s">
        <v>2384</v>
      </c>
      <c r="M3008" s="468"/>
      <c r="N3008" s="664">
        <f t="shared" si="1560"/>
        <v>200422</v>
      </c>
      <c r="O3008" s="71" t="s">
        <v>1458</v>
      </c>
      <c r="P3008" s="103" t="str">
        <f t="shared" si="1551"/>
        <v>UV 램프 - KBA(1145mm)</v>
      </c>
      <c r="Q3008" s="71">
        <f t="shared" si="1543"/>
        <v>4</v>
      </c>
      <c r="R3008" s="102">
        <v>344996</v>
      </c>
      <c r="S3008" s="102">
        <f t="shared" si="1556"/>
        <v>1517982.4000000001</v>
      </c>
      <c r="T3008" s="102">
        <f t="shared" si="1557"/>
        <v>1379984</v>
      </c>
      <c r="U3008" s="71" t="str">
        <f>IF(J3008=W3008,"O", "X")</f>
        <v>X</v>
      </c>
      <c r="V3008" s="71"/>
      <c r="W3008" s="474"/>
      <c r="X3008" s="71"/>
      <c r="Y3008" s="71"/>
    </row>
    <row r="3009" spans="1:25" s="209" customFormat="1" ht="30" hidden="1" customHeight="1" x14ac:dyDescent="0.25">
      <c r="A3009" s="82">
        <v>200422</v>
      </c>
      <c r="B3009" s="664" t="s">
        <v>2155</v>
      </c>
      <c r="C3009" s="71" t="s">
        <v>138</v>
      </c>
      <c r="D3009" s="71">
        <v>10</v>
      </c>
      <c r="E3009" s="102">
        <v>47600</v>
      </c>
      <c r="F3009" s="163">
        <f t="shared" si="1558"/>
        <v>523600.00000000006</v>
      </c>
      <c r="G3009" s="102">
        <f t="shared" si="1559"/>
        <v>476000</v>
      </c>
      <c r="H3009" s="1129" t="s">
        <v>172</v>
      </c>
      <c r="I3009" s="71" t="s">
        <v>108</v>
      </c>
      <c r="J3009" s="53">
        <f t="shared" si="1554"/>
        <v>68000</v>
      </c>
      <c r="K3009" s="63">
        <f t="shared" si="1555"/>
        <v>0.14285714285714285</v>
      </c>
      <c r="L3009" s="871" t="s">
        <v>2351</v>
      </c>
      <c r="M3009" s="468" t="s">
        <v>2214</v>
      </c>
      <c r="N3009" s="664">
        <f t="shared" si="1560"/>
        <v>200422</v>
      </c>
      <c r="O3009" s="71" t="s">
        <v>150</v>
      </c>
      <c r="P3009" s="103" t="str">
        <f t="shared" si="1551"/>
        <v>매엽용 세척제(Wash 562)</v>
      </c>
      <c r="Q3009" s="71">
        <f t="shared" si="1543"/>
        <v>10</v>
      </c>
      <c r="R3009" s="102">
        <v>40800</v>
      </c>
      <c r="S3009" s="102">
        <f t="shared" si="1556"/>
        <v>448800.00000000006</v>
      </c>
      <c r="T3009" s="102">
        <f t="shared" si="1557"/>
        <v>408000</v>
      </c>
      <c r="U3009" s="71" t="s">
        <v>859</v>
      </c>
      <c r="V3009" s="71"/>
      <c r="W3009" s="474">
        <v>85000</v>
      </c>
      <c r="X3009" s="71"/>
      <c r="Y3009" s="71"/>
    </row>
    <row r="3010" spans="1:25" ht="30" hidden="1" customHeight="1" x14ac:dyDescent="0.2">
      <c r="A3010" s="82">
        <v>200422</v>
      </c>
      <c r="B3010" s="664" t="s">
        <v>1287</v>
      </c>
      <c r="C3010" s="71" t="s">
        <v>2380</v>
      </c>
      <c r="D3010" s="71">
        <v>6</v>
      </c>
      <c r="E3010" s="102">
        <v>1200000</v>
      </c>
      <c r="F3010" s="163">
        <f t="shared" si="1558"/>
        <v>7920000.0000000009</v>
      </c>
      <c r="G3010" s="102">
        <f t="shared" si="1559"/>
        <v>7200000</v>
      </c>
      <c r="H3010" s="690" t="s">
        <v>173</v>
      </c>
      <c r="I3010" s="71" t="s">
        <v>2184</v>
      </c>
      <c r="J3010" s="53">
        <f t="shared" si="1554"/>
        <v>2885872</v>
      </c>
      <c r="K3010" s="63">
        <f t="shared" si="1555"/>
        <v>0.40081555555555548</v>
      </c>
      <c r="L3010" s="871" t="s">
        <v>2384</v>
      </c>
      <c r="M3010" s="468"/>
      <c r="N3010" s="664">
        <f t="shared" si="1560"/>
        <v>200422</v>
      </c>
      <c r="O3010" s="71" t="s">
        <v>2498</v>
      </c>
      <c r="P3010" s="103" t="str">
        <f t="shared" si="1551"/>
        <v>하이델베르그 CD102 IR램프</v>
      </c>
      <c r="Q3010" s="71">
        <f t="shared" si="1543"/>
        <v>6</v>
      </c>
      <c r="R3010" s="102">
        <f>4314128/6</f>
        <v>719021.33333333337</v>
      </c>
      <c r="S3010" s="102">
        <f t="shared" si="1556"/>
        <v>4745540.8000000007</v>
      </c>
      <c r="T3010" s="102">
        <f t="shared" si="1557"/>
        <v>4314128</v>
      </c>
      <c r="U3010" s="71"/>
      <c r="V3010" s="71"/>
      <c r="W3010" s="474"/>
      <c r="X3010" s="71"/>
      <c r="Y3010" s="71"/>
    </row>
    <row r="3011" spans="1:25" ht="30" hidden="1" customHeight="1" x14ac:dyDescent="0.2">
      <c r="A3011" s="82">
        <v>200424</v>
      </c>
      <c r="B3011" s="664" t="s">
        <v>1155</v>
      </c>
      <c r="C3011" s="71" t="s">
        <v>2379</v>
      </c>
      <c r="D3011" s="71">
        <v>1</v>
      </c>
      <c r="E3011" s="102">
        <v>750000</v>
      </c>
      <c r="F3011" s="163">
        <f t="shared" si="1558"/>
        <v>825000.00000000012</v>
      </c>
      <c r="G3011" s="102">
        <f t="shared" si="1559"/>
        <v>750000</v>
      </c>
      <c r="H3011" s="690" t="s">
        <v>1431</v>
      </c>
      <c r="I3011" s="71" t="s">
        <v>1431</v>
      </c>
      <c r="J3011" s="53"/>
      <c r="K3011" s="63"/>
      <c r="L3011" s="871" t="s">
        <v>2384</v>
      </c>
      <c r="M3011" s="468"/>
      <c r="N3011" s="664">
        <f t="shared" si="1560"/>
        <v>200424</v>
      </c>
      <c r="O3011" s="71" t="s">
        <v>1431</v>
      </c>
      <c r="P3011" s="103" t="str">
        <f t="shared" si="1551"/>
        <v>M600 부품</v>
      </c>
      <c r="Q3011" s="71">
        <f t="shared" si="1543"/>
        <v>1</v>
      </c>
      <c r="R3011" s="102">
        <v>0</v>
      </c>
      <c r="S3011" s="102">
        <f t="shared" si="1556"/>
        <v>0</v>
      </c>
      <c r="T3011" s="102">
        <f t="shared" si="1557"/>
        <v>0</v>
      </c>
      <c r="U3011" s="71"/>
      <c r="V3011" s="71"/>
      <c r="W3011" s="474"/>
      <c r="X3011" s="71"/>
      <c r="Y3011" s="71"/>
    </row>
    <row r="3012" spans="1:25" ht="30" hidden="1" customHeight="1" x14ac:dyDescent="0.2">
      <c r="A3012" s="82">
        <v>200424</v>
      </c>
      <c r="B3012" s="664" t="s">
        <v>1155</v>
      </c>
      <c r="C3012" s="71" t="s">
        <v>2009</v>
      </c>
      <c r="D3012" s="71">
        <v>1</v>
      </c>
      <c r="E3012" s="102">
        <v>550000</v>
      </c>
      <c r="F3012" s="163">
        <f t="shared" si="1558"/>
        <v>605000</v>
      </c>
      <c r="G3012" s="102">
        <f t="shared" si="1559"/>
        <v>550000</v>
      </c>
      <c r="H3012" s="690" t="s">
        <v>985</v>
      </c>
      <c r="I3012" s="71" t="s">
        <v>985</v>
      </c>
      <c r="J3012" s="53">
        <f t="shared" ref="J3012:J3034" si="1561">G3012-T3012</f>
        <v>550000</v>
      </c>
      <c r="K3012" s="63">
        <f t="shared" ref="K3012:K3017" si="1562">(J3012/(F3012/11*10))</f>
        <v>1</v>
      </c>
      <c r="L3012" s="871" t="s">
        <v>2384</v>
      </c>
      <c r="M3012" s="468"/>
      <c r="N3012" s="664"/>
      <c r="O3012" s="71"/>
      <c r="P3012" s="103" t="str">
        <f t="shared" si="1551"/>
        <v>M600 서비스 비용</v>
      </c>
      <c r="Q3012" s="71">
        <f t="shared" si="1543"/>
        <v>1</v>
      </c>
      <c r="R3012" s="102"/>
      <c r="S3012" s="102">
        <f t="shared" si="1556"/>
        <v>0</v>
      </c>
      <c r="T3012" s="102">
        <f t="shared" si="1557"/>
        <v>0</v>
      </c>
      <c r="U3012" s="71"/>
      <c r="V3012" s="71"/>
      <c r="W3012" s="474"/>
      <c r="X3012" s="71"/>
      <c r="Y3012" s="71"/>
    </row>
    <row r="3013" spans="1:25" ht="30" customHeight="1" x14ac:dyDescent="0.2">
      <c r="A3013" s="82">
        <v>200427</v>
      </c>
      <c r="B3013" s="664" t="s">
        <v>565</v>
      </c>
      <c r="C3013" s="71" t="s">
        <v>2081</v>
      </c>
      <c r="D3013" s="71">
        <v>140</v>
      </c>
      <c r="E3013" s="102">
        <v>69000</v>
      </c>
      <c r="F3013" s="163">
        <f t="shared" si="1558"/>
        <v>10626000</v>
      </c>
      <c r="G3013" s="102">
        <f t="shared" si="1559"/>
        <v>9660000</v>
      </c>
      <c r="H3013" s="165" t="s">
        <v>173</v>
      </c>
      <c r="I3013" s="71" t="s">
        <v>108</v>
      </c>
      <c r="J3013" s="53">
        <f t="shared" si="1561"/>
        <v>2520000</v>
      </c>
      <c r="K3013" s="63">
        <f t="shared" si="1562"/>
        <v>0.2608695652173913</v>
      </c>
      <c r="L3013" s="871" t="s">
        <v>2351</v>
      </c>
      <c r="M3013" s="468"/>
      <c r="N3013" s="664">
        <f>A3013</f>
        <v>200427</v>
      </c>
      <c r="O3013" s="71" t="s">
        <v>599</v>
      </c>
      <c r="P3013" s="103" t="str">
        <f>(C3013)</f>
        <v>GOSS 신문윤전 습식세정포</v>
      </c>
      <c r="Q3013" s="71">
        <f t="shared" si="1543"/>
        <v>140</v>
      </c>
      <c r="R3013" s="102">
        <v>51000</v>
      </c>
      <c r="S3013" s="102">
        <f t="shared" si="1556"/>
        <v>7854000.0000000009</v>
      </c>
      <c r="T3013" s="102">
        <f t="shared" si="1557"/>
        <v>7140000</v>
      </c>
      <c r="U3013" s="71" t="str">
        <f>IF(J3013=W3013,"O", "X")</f>
        <v>X</v>
      </c>
      <c r="V3013" s="71"/>
      <c r="W3013" s="474"/>
      <c r="X3013" s="71"/>
      <c r="Y3013" s="71"/>
    </row>
    <row r="3014" spans="1:25" ht="30" hidden="1" customHeight="1" x14ac:dyDescent="0.2">
      <c r="A3014" s="82">
        <v>200428</v>
      </c>
      <c r="B3014" s="664" t="s">
        <v>545</v>
      </c>
      <c r="C3014" s="71" t="s">
        <v>227</v>
      </c>
      <c r="D3014" s="71">
        <v>10</v>
      </c>
      <c r="E3014" s="102">
        <v>110000</v>
      </c>
      <c r="F3014" s="163">
        <f t="shared" si="1558"/>
        <v>1210000</v>
      </c>
      <c r="G3014" s="102">
        <f t="shared" si="1559"/>
        <v>1100000</v>
      </c>
      <c r="H3014" s="690" t="s">
        <v>173</v>
      </c>
      <c r="I3014" s="71" t="s">
        <v>109</v>
      </c>
      <c r="J3014" s="53">
        <f t="shared" si="1561"/>
        <v>271000</v>
      </c>
      <c r="K3014" s="63">
        <f t="shared" si="1562"/>
        <v>0.24636363636363637</v>
      </c>
      <c r="L3014" s="871" t="s">
        <v>2384</v>
      </c>
      <c r="M3014" s="468"/>
      <c r="N3014" s="664">
        <f>A3014</f>
        <v>200428</v>
      </c>
      <c r="O3014" s="71" t="s">
        <v>147</v>
      </c>
      <c r="P3014" s="103" t="str">
        <f>(C3014)</f>
        <v>Blanket(1060*860)</v>
      </c>
      <c r="Q3014" s="71">
        <f t="shared" si="1543"/>
        <v>10</v>
      </c>
      <c r="R3014" s="102">
        <v>82900</v>
      </c>
      <c r="S3014" s="102">
        <f t="shared" si="1556"/>
        <v>911900.00000000012</v>
      </c>
      <c r="T3014" s="102">
        <f t="shared" si="1557"/>
        <v>829000</v>
      </c>
      <c r="U3014" s="71" t="str">
        <f>IF(J3014=W3014,"O", "X")</f>
        <v>O</v>
      </c>
      <c r="V3014" s="71"/>
      <c r="W3014" s="474">
        <f>(G3014-T3014)</f>
        <v>271000</v>
      </c>
      <c r="X3014" s="71"/>
      <c r="Y3014" s="71"/>
    </row>
    <row r="3015" spans="1:25" ht="30" hidden="1" customHeight="1" x14ac:dyDescent="0.25">
      <c r="A3015" s="82">
        <v>200428</v>
      </c>
      <c r="B3015" s="663" t="s">
        <v>545</v>
      </c>
      <c r="C3015" s="73" t="s">
        <v>825</v>
      </c>
      <c r="D3015" s="73">
        <v>2</v>
      </c>
      <c r="E3015" s="147">
        <v>110000</v>
      </c>
      <c r="F3015" s="147">
        <v>242000.00000000003</v>
      </c>
      <c r="G3015" s="147">
        <v>220000</v>
      </c>
      <c r="H3015" s="689" t="s">
        <v>173</v>
      </c>
      <c r="I3015" s="71" t="s">
        <v>2231</v>
      </c>
      <c r="J3015" s="53">
        <f t="shared" si="1561"/>
        <v>30000</v>
      </c>
      <c r="K3015" s="63">
        <f t="shared" si="1562"/>
        <v>0.13636363636363635</v>
      </c>
      <c r="L3015" s="871" t="s">
        <v>2384</v>
      </c>
      <c r="M3015" s="584"/>
      <c r="N3015" s="664">
        <f>A3015</f>
        <v>200428</v>
      </c>
      <c r="O3015" s="73" t="s">
        <v>150</v>
      </c>
      <c r="P3015" s="103" t="str">
        <f>C3015</f>
        <v>독일제 정품 잉크호일 아스테이지</v>
      </c>
      <c r="Q3015" s="71">
        <f t="shared" si="1543"/>
        <v>2</v>
      </c>
      <c r="R3015" s="147">
        <v>95000</v>
      </c>
      <c r="S3015" s="102">
        <f t="shared" si="1556"/>
        <v>209000.00000000003</v>
      </c>
      <c r="T3015" s="102">
        <f t="shared" si="1557"/>
        <v>190000</v>
      </c>
      <c r="U3015" s="71" t="str">
        <f>IF(J3015=W3015,"O", "X")</f>
        <v>O</v>
      </c>
      <c r="V3015" s="73"/>
      <c r="W3015" s="473">
        <v>30000</v>
      </c>
      <c r="X3015" s="73"/>
      <c r="Y3015" s="73"/>
    </row>
    <row r="3016" spans="1:25" ht="30" hidden="1" customHeight="1" x14ac:dyDescent="0.25">
      <c r="A3016" s="82">
        <v>200428</v>
      </c>
      <c r="B3016" s="664" t="s">
        <v>809</v>
      </c>
      <c r="C3016" s="71" t="s">
        <v>1081</v>
      </c>
      <c r="D3016" s="71">
        <v>8</v>
      </c>
      <c r="E3016" s="102">
        <v>156000</v>
      </c>
      <c r="F3016" s="102">
        <f>(E3016*D3016)*1.1</f>
        <v>1372800</v>
      </c>
      <c r="G3016" s="102">
        <f>(E3016*D3016)</f>
        <v>1248000</v>
      </c>
      <c r="H3016" s="690" t="s">
        <v>173</v>
      </c>
      <c r="I3016" s="71" t="s">
        <v>2231</v>
      </c>
      <c r="J3016" s="53">
        <f t="shared" si="1561"/>
        <v>288000</v>
      </c>
      <c r="K3016" s="63">
        <f t="shared" si="1562"/>
        <v>0.23076923076923078</v>
      </c>
      <c r="L3016" s="871" t="s">
        <v>2384</v>
      </c>
      <c r="M3016" s="468"/>
      <c r="N3016" s="664">
        <f>A3016</f>
        <v>200428</v>
      </c>
      <c r="O3016" s="71" t="s">
        <v>147</v>
      </c>
      <c r="P3016" s="103" t="str">
        <f>(C3016)</f>
        <v>파우더</v>
      </c>
      <c r="Q3016" s="71">
        <f t="shared" si="1543"/>
        <v>8</v>
      </c>
      <c r="R3016" s="102">
        <v>120000</v>
      </c>
      <c r="S3016" s="102">
        <f t="shared" si="1556"/>
        <v>1056000</v>
      </c>
      <c r="T3016" s="102">
        <f t="shared" si="1557"/>
        <v>960000</v>
      </c>
      <c r="U3016" s="71" t="str">
        <f>IF(J3016=W3016,"O", "X")</f>
        <v>O</v>
      </c>
      <c r="V3016" s="71"/>
      <c r="W3016" s="474">
        <f>(G3016-T3016)</f>
        <v>288000</v>
      </c>
      <c r="X3016" s="71"/>
      <c r="Y3016" s="71"/>
    </row>
    <row r="3017" spans="1:25" ht="30" hidden="1" customHeight="1" x14ac:dyDescent="0.25">
      <c r="A3017" s="82">
        <v>200428</v>
      </c>
      <c r="B3017" s="664" t="s">
        <v>2103</v>
      </c>
      <c r="C3017" s="71" t="s">
        <v>2378</v>
      </c>
      <c r="D3017" s="71">
        <v>1</v>
      </c>
      <c r="E3017" s="102">
        <v>2158400</v>
      </c>
      <c r="F3017" s="102">
        <f>(E3017*D3017)*1.1</f>
        <v>2374240</v>
      </c>
      <c r="G3017" s="102">
        <f>(E3017*D3017)</f>
        <v>2158400</v>
      </c>
      <c r="H3017" s="690" t="s">
        <v>173</v>
      </c>
      <c r="I3017" s="71" t="s">
        <v>2230</v>
      </c>
      <c r="J3017" s="53">
        <f t="shared" si="1561"/>
        <v>2158400</v>
      </c>
      <c r="K3017" s="63">
        <f t="shared" si="1562"/>
        <v>1</v>
      </c>
      <c r="L3017" s="871" t="s">
        <v>2384</v>
      </c>
      <c r="M3017" s="468"/>
      <c r="N3017" s="664"/>
      <c r="O3017" s="71"/>
      <c r="P3017" s="103" t="str">
        <f>(C3017)</f>
        <v>폐판 수거</v>
      </c>
      <c r="Q3017" s="71">
        <f t="shared" si="1543"/>
        <v>1</v>
      </c>
      <c r="R3017" s="102"/>
      <c r="S3017" s="102">
        <f t="shared" si="1556"/>
        <v>0</v>
      </c>
      <c r="T3017" s="102">
        <f t="shared" si="1557"/>
        <v>0</v>
      </c>
      <c r="U3017" s="71"/>
      <c r="V3017" s="71"/>
      <c r="W3017" s="474"/>
      <c r="X3017" s="71"/>
      <c r="Y3017" s="71"/>
    </row>
    <row r="3018" spans="1:25" ht="30" hidden="1" customHeight="1" x14ac:dyDescent="0.25">
      <c r="A3018" s="82">
        <v>200428</v>
      </c>
      <c r="B3018" s="664" t="s">
        <v>1051</v>
      </c>
      <c r="C3018" s="71" t="s">
        <v>1294</v>
      </c>
      <c r="D3018" s="71">
        <v>900</v>
      </c>
      <c r="E3018" s="102">
        <v>6230</v>
      </c>
      <c r="F3018" s="102">
        <f t="shared" ref="F3018:F3034" si="1563">(E3018*D3018)*1.1</f>
        <v>6167700.0000000009</v>
      </c>
      <c r="G3018" s="102">
        <f t="shared" ref="G3018:G3034" si="1564">(E3018*D3018)</f>
        <v>5607000</v>
      </c>
      <c r="H3018" s="690" t="s">
        <v>142</v>
      </c>
      <c r="I3018" s="71" t="s">
        <v>2273</v>
      </c>
      <c r="J3018" s="53">
        <f t="shared" si="1561"/>
        <v>1692000</v>
      </c>
      <c r="K3018" s="63">
        <f t="shared" ref="K3018:K3033" si="1565">(J3018/(F3018/11*10))</f>
        <v>0.3017656500802568</v>
      </c>
      <c r="L3018" s="871" t="s">
        <v>2384</v>
      </c>
      <c r="M3018" s="468"/>
      <c r="N3018" s="664">
        <f t="shared" ref="N3018:N3034" si="1566">A3018</f>
        <v>200428</v>
      </c>
      <c r="O3018" s="71" t="s">
        <v>145</v>
      </c>
      <c r="P3018" s="103" t="str">
        <f t="shared" ref="P3018:P3034" si="1567">(C3018)</f>
        <v>ENGAGE 1030*790</v>
      </c>
      <c r="Q3018" s="71">
        <f t="shared" si="1543"/>
        <v>900</v>
      </c>
      <c r="R3018" s="102">
        <v>4350</v>
      </c>
      <c r="S3018" s="102">
        <f t="shared" si="1556"/>
        <v>4306500</v>
      </c>
      <c r="T3018" s="102">
        <f t="shared" si="1557"/>
        <v>3915000</v>
      </c>
      <c r="U3018" s="71" t="str">
        <f t="shared" ref="U3018:U3034" si="1568">IF(J3018=W3018,"O", "X")</f>
        <v>O</v>
      </c>
      <c r="V3018" s="71"/>
      <c r="W3018" s="474">
        <f t="shared" ref="W3018:W3033" si="1569">(G3018-T3018)</f>
        <v>1692000</v>
      </c>
      <c r="X3018" s="71"/>
      <c r="Y3018" s="71"/>
    </row>
    <row r="3019" spans="1:25" ht="30" hidden="1" customHeight="1" x14ac:dyDescent="0.25">
      <c r="A3019" s="82">
        <v>200428</v>
      </c>
      <c r="B3019" s="664" t="s">
        <v>1051</v>
      </c>
      <c r="C3019" s="71" t="s">
        <v>1384</v>
      </c>
      <c r="D3019" s="71">
        <v>2600</v>
      </c>
      <c r="E3019" s="102">
        <v>3920</v>
      </c>
      <c r="F3019" s="102">
        <f t="shared" si="1563"/>
        <v>11211200</v>
      </c>
      <c r="G3019" s="102">
        <f t="shared" si="1564"/>
        <v>10192000</v>
      </c>
      <c r="H3019" s="690" t="s">
        <v>142</v>
      </c>
      <c r="I3019" s="71" t="s">
        <v>2273</v>
      </c>
      <c r="J3019" s="53">
        <f t="shared" si="1561"/>
        <v>3049061.5706034144</v>
      </c>
      <c r="K3019" s="63">
        <f t="shared" si="1565"/>
        <v>0.2991622420136788</v>
      </c>
      <c r="L3019" s="871" t="s">
        <v>2384</v>
      </c>
      <c r="M3019" s="468"/>
      <c r="N3019" s="664">
        <f t="shared" si="1566"/>
        <v>200428</v>
      </c>
      <c r="O3019" s="71" t="s">
        <v>145</v>
      </c>
      <c r="P3019" s="103" t="str">
        <f t="shared" si="1567"/>
        <v>ENGAGE 900X571 - 27RO</v>
      </c>
      <c r="Q3019" s="71">
        <f t="shared" si="1543"/>
        <v>2600</v>
      </c>
      <c r="R3019" s="102">
        <f>R3018/1030/790*900*571</f>
        <v>2747.2840113063789</v>
      </c>
      <c r="S3019" s="102">
        <f t="shared" si="1556"/>
        <v>7857232.2723362446</v>
      </c>
      <c r="T3019" s="102">
        <f t="shared" si="1557"/>
        <v>7142938.4293965856</v>
      </c>
      <c r="U3019" s="71" t="str">
        <f t="shared" si="1568"/>
        <v>O</v>
      </c>
      <c r="V3019" s="71"/>
      <c r="W3019" s="474">
        <f t="shared" si="1569"/>
        <v>3049061.5706034144</v>
      </c>
      <c r="X3019" s="71"/>
      <c r="Y3019" s="71"/>
    </row>
    <row r="3020" spans="1:25" ht="30" hidden="1" customHeight="1" x14ac:dyDescent="0.25">
      <c r="A3020" s="82">
        <v>200428</v>
      </c>
      <c r="B3020" s="664" t="s">
        <v>1051</v>
      </c>
      <c r="C3020" s="71" t="s">
        <v>951</v>
      </c>
      <c r="D3020" s="71">
        <v>1800</v>
      </c>
      <c r="E3020" s="102">
        <v>3740</v>
      </c>
      <c r="F3020" s="102">
        <f t="shared" si="1563"/>
        <v>7405200.0000000009</v>
      </c>
      <c r="G3020" s="102">
        <f t="shared" si="1564"/>
        <v>6732000</v>
      </c>
      <c r="H3020" s="690" t="s">
        <v>142</v>
      </c>
      <c r="I3020" s="71" t="s">
        <v>2273</v>
      </c>
      <c r="J3020" s="53">
        <f t="shared" si="1561"/>
        <v>2041736.6597025925</v>
      </c>
      <c r="K3020" s="63">
        <f t="shared" si="1565"/>
        <v>0.30328827387144863</v>
      </c>
      <c r="L3020" s="871" t="s">
        <v>2384</v>
      </c>
      <c r="M3020" s="468"/>
      <c r="N3020" s="664">
        <f t="shared" si="1566"/>
        <v>200428</v>
      </c>
      <c r="O3020" s="71" t="s">
        <v>145</v>
      </c>
      <c r="P3020" s="103" t="str">
        <f t="shared" si="1567"/>
        <v>ENGAGE 30WEB(883*552)</v>
      </c>
      <c r="Q3020" s="71">
        <f t="shared" si="1543"/>
        <v>1800</v>
      </c>
      <c r="R3020" s="102">
        <f>R3018/1030/790*883*552</f>
        <v>2605.7018557207821</v>
      </c>
      <c r="S3020" s="102">
        <f t="shared" si="1556"/>
        <v>5159289.6743271491</v>
      </c>
      <c r="T3020" s="102">
        <f t="shared" si="1557"/>
        <v>4690263.3402974075</v>
      </c>
      <c r="U3020" s="71" t="str">
        <f t="shared" si="1568"/>
        <v>O</v>
      </c>
      <c r="V3020" s="71"/>
      <c r="W3020" s="474">
        <f t="shared" si="1569"/>
        <v>2041736.6597025925</v>
      </c>
      <c r="X3020" s="71"/>
      <c r="Y3020" s="71"/>
    </row>
    <row r="3021" spans="1:25" ht="30" hidden="1" customHeight="1" x14ac:dyDescent="0.25">
      <c r="A3021" s="82">
        <v>200428</v>
      </c>
      <c r="B3021" s="664" t="s">
        <v>1051</v>
      </c>
      <c r="C3021" s="71" t="s">
        <v>2219</v>
      </c>
      <c r="D3021" s="71">
        <v>2600</v>
      </c>
      <c r="E3021" s="102">
        <v>6310</v>
      </c>
      <c r="F3021" s="102">
        <f t="shared" si="1563"/>
        <v>18046600</v>
      </c>
      <c r="G3021" s="102">
        <f t="shared" si="1564"/>
        <v>16406000</v>
      </c>
      <c r="H3021" s="690" t="s">
        <v>142</v>
      </c>
      <c r="I3021" s="71" t="s">
        <v>2273</v>
      </c>
      <c r="J3021" s="53">
        <f t="shared" si="1561"/>
        <v>4952835.4430379719</v>
      </c>
      <c r="K3021" s="63">
        <f t="shared" si="1565"/>
        <v>0.30189171297317885</v>
      </c>
      <c r="L3021" s="871" t="s">
        <v>2384</v>
      </c>
      <c r="M3021" s="468"/>
      <c r="N3021" s="664">
        <f t="shared" si="1566"/>
        <v>200428</v>
      </c>
      <c r="O3021" s="71" t="s">
        <v>145</v>
      </c>
      <c r="P3021" s="103" t="str">
        <f t="shared" si="1567"/>
        <v>ENGAGE 1030*800</v>
      </c>
      <c r="Q3021" s="71">
        <f t="shared" si="1543"/>
        <v>2600</v>
      </c>
      <c r="R3021" s="102">
        <f>R3018/1030/790*1030*800</f>
        <v>4405.0632911392413</v>
      </c>
      <c r="S3021" s="102">
        <f t="shared" si="1556"/>
        <v>12598481.012658233</v>
      </c>
      <c r="T3021" s="102">
        <f t="shared" si="1557"/>
        <v>11453164.556962028</v>
      </c>
      <c r="U3021" s="71" t="str">
        <f t="shared" si="1568"/>
        <v>O</v>
      </c>
      <c r="V3021" s="71"/>
      <c r="W3021" s="474">
        <f t="shared" si="1569"/>
        <v>4952835.4430379719</v>
      </c>
      <c r="X3021" s="71"/>
      <c r="Y3021" s="71"/>
    </row>
    <row r="3022" spans="1:25" ht="30" hidden="1" customHeight="1" x14ac:dyDescent="0.25">
      <c r="A3022" s="82">
        <v>200428</v>
      </c>
      <c r="B3022" s="664" t="s">
        <v>1051</v>
      </c>
      <c r="C3022" s="71" t="s">
        <v>1383</v>
      </c>
      <c r="D3022" s="71">
        <v>1000</v>
      </c>
      <c r="E3022" s="102">
        <v>6540</v>
      </c>
      <c r="F3022" s="102">
        <f t="shared" si="1563"/>
        <v>7194000.0000000009</v>
      </c>
      <c r="G3022" s="102">
        <f t="shared" si="1564"/>
        <v>6540000</v>
      </c>
      <c r="H3022" s="690" t="s">
        <v>142</v>
      </c>
      <c r="I3022" s="71" t="s">
        <v>2273</v>
      </c>
      <c r="J3022" s="53">
        <f t="shared" si="1561"/>
        <v>1965977.9402728267</v>
      </c>
      <c r="K3022" s="63">
        <f t="shared" si="1565"/>
        <v>0.3006082477481386</v>
      </c>
      <c r="L3022" s="871" t="s">
        <v>2384</v>
      </c>
      <c r="M3022" s="468"/>
      <c r="N3022" s="664">
        <f t="shared" si="1566"/>
        <v>200428</v>
      </c>
      <c r="O3022" s="71" t="s">
        <v>145</v>
      </c>
      <c r="P3022" s="103" t="str">
        <f t="shared" si="1567"/>
        <v>ENGAGE 1055*811</v>
      </c>
      <c r="Q3022" s="71">
        <f t="shared" si="1543"/>
        <v>1000</v>
      </c>
      <c r="R3022" s="102">
        <f>R3018/1030/790*1055*811</f>
        <v>4574.0220597271737</v>
      </c>
      <c r="S3022" s="102">
        <f t="shared" si="1556"/>
        <v>5031424.2656998914</v>
      </c>
      <c r="T3022" s="102">
        <f t="shared" si="1557"/>
        <v>4574022.0597271733</v>
      </c>
      <c r="U3022" s="71" t="str">
        <f t="shared" si="1568"/>
        <v>O</v>
      </c>
      <c r="V3022" s="71"/>
      <c r="W3022" s="474">
        <f t="shared" si="1569"/>
        <v>1965977.9402728267</v>
      </c>
      <c r="X3022" s="71"/>
      <c r="Y3022" s="71"/>
    </row>
    <row r="3023" spans="1:25" ht="30" hidden="1" customHeight="1" x14ac:dyDescent="0.25">
      <c r="A3023" s="82">
        <v>200428</v>
      </c>
      <c r="B3023" s="664" t="s">
        <v>1051</v>
      </c>
      <c r="C3023" s="71" t="s">
        <v>1650</v>
      </c>
      <c r="D3023" s="71">
        <v>1000</v>
      </c>
      <c r="E3023" s="102">
        <v>4680</v>
      </c>
      <c r="F3023" s="102">
        <f t="shared" si="1563"/>
        <v>5148000</v>
      </c>
      <c r="G3023" s="102">
        <f t="shared" si="1564"/>
        <v>4680000</v>
      </c>
      <c r="H3023" s="690" t="s">
        <v>142</v>
      </c>
      <c r="I3023" s="71" t="s">
        <v>2273</v>
      </c>
      <c r="J3023" s="53">
        <f t="shared" si="1561"/>
        <v>1414650.6083323089</v>
      </c>
      <c r="K3023" s="63">
        <f t="shared" si="1565"/>
        <v>0.30227577101117714</v>
      </c>
      <c r="L3023" s="871" t="s">
        <v>2384</v>
      </c>
      <c r="M3023" s="468"/>
      <c r="N3023" s="664">
        <f t="shared" si="1566"/>
        <v>200428</v>
      </c>
      <c r="O3023" s="71" t="s">
        <v>145</v>
      </c>
      <c r="P3023" s="103" t="str">
        <f t="shared" si="1567"/>
        <v>ENGAGE 968*631</v>
      </c>
      <c r="Q3023" s="71">
        <f t="shared" si="1543"/>
        <v>1000</v>
      </c>
      <c r="R3023" s="102">
        <f>R3018/1030/790*968*631</f>
        <v>3265.3493916676912</v>
      </c>
      <c r="S3023" s="102">
        <f t="shared" si="1556"/>
        <v>3591884.3308344604</v>
      </c>
      <c r="T3023" s="102">
        <f t="shared" si="1557"/>
        <v>3265349.3916676911</v>
      </c>
      <c r="U3023" s="71" t="str">
        <f t="shared" si="1568"/>
        <v>O</v>
      </c>
      <c r="V3023" s="71"/>
      <c r="W3023" s="474">
        <f t="shared" si="1569"/>
        <v>1414650.6083323089</v>
      </c>
      <c r="X3023" s="71"/>
      <c r="Y3023" s="71"/>
    </row>
    <row r="3024" spans="1:25" ht="30" hidden="1" customHeight="1" x14ac:dyDescent="0.25">
      <c r="A3024" s="82">
        <v>200428</v>
      </c>
      <c r="B3024" s="664" t="s">
        <v>1051</v>
      </c>
      <c r="C3024" s="67" t="s">
        <v>1386</v>
      </c>
      <c r="D3024" s="71">
        <v>50</v>
      </c>
      <c r="E3024" s="102">
        <v>57500</v>
      </c>
      <c r="F3024" s="102">
        <f t="shared" si="1563"/>
        <v>3162500.0000000005</v>
      </c>
      <c r="G3024" s="102">
        <f t="shared" si="1564"/>
        <v>2875000</v>
      </c>
      <c r="H3024" s="690" t="s">
        <v>142</v>
      </c>
      <c r="I3024" s="71" t="s">
        <v>2273</v>
      </c>
      <c r="J3024" s="53">
        <f t="shared" si="1561"/>
        <v>1125000</v>
      </c>
      <c r="K3024" s="63">
        <f t="shared" si="1565"/>
        <v>0.39130434782608692</v>
      </c>
      <c r="L3024" s="871" t="s">
        <v>2384</v>
      </c>
      <c r="M3024" s="468"/>
      <c r="N3024" s="664">
        <f t="shared" si="1566"/>
        <v>200428</v>
      </c>
      <c r="O3024" s="71" t="s">
        <v>145</v>
      </c>
      <c r="P3024" s="103" t="str">
        <f t="shared" si="1567"/>
        <v>THR200(20L)보충액</v>
      </c>
      <c r="Q3024" s="71">
        <f t="shared" si="1543"/>
        <v>50</v>
      </c>
      <c r="R3024" s="102">
        <v>35000</v>
      </c>
      <c r="S3024" s="102">
        <f t="shared" si="1556"/>
        <v>1925000.0000000002</v>
      </c>
      <c r="T3024" s="102">
        <f t="shared" si="1557"/>
        <v>1750000</v>
      </c>
      <c r="U3024" s="71" t="str">
        <f t="shared" si="1568"/>
        <v>O</v>
      </c>
      <c r="V3024" s="71"/>
      <c r="W3024" s="474">
        <f t="shared" si="1569"/>
        <v>1125000</v>
      </c>
      <c r="X3024" s="71"/>
      <c r="Y3024" s="71"/>
    </row>
    <row r="3025" spans="1:25" ht="30" hidden="1" customHeight="1" x14ac:dyDescent="0.25">
      <c r="A3025" s="82">
        <v>200428</v>
      </c>
      <c r="B3025" s="664" t="s">
        <v>1051</v>
      </c>
      <c r="C3025" s="71" t="s">
        <v>1387</v>
      </c>
      <c r="D3025" s="71">
        <v>5</v>
      </c>
      <c r="E3025" s="102">
        <v>57500</v>
      </c>
      <c r="F3025" s="102">
        <f t="shared" si="1563"/>
        <v>316250</v>
      </c>
      <c r="G3025" s="102">
        <f t="shared" si="1564"/>
        <v>287500</v>
      </c>
      <c r="H3025" s="690" t="s">
        <v>142</v>
      </c>
      <c r="I3025" s="71" t="s">
        <v>2273</v>
      </c>
      <c r="J3025" s="53">
        <f t="shared" si="1561"/>
        <v>112500</v>
      </c>
      <c r="K3025" s="63">
        <f t="shared" si="1565"/>
        <v>0.39130434782608697</v>
      </c>
      <c r="L3025" s="871" t="s">
        <v>2384</v>
      </c>
      <c r="M3025" s="468"/>
      <c r="N3025" s="664">
        <f t="shared" si="1566"/>
        <v>200428</v>
      </c>
      <c r="O3025" s="71" t="s">
        <v>145</v>
      </c>
      <c r="P3025" s="103" t="str">
        <f t="shared" si="1567"/>
        <v>THD200(20L)현상액</v>
      </c>
      <c r="Q3025" s="71">
        <f t="shared" si="1543"/>
        <v>5</v>
      </c>
      <c r="R3025" s="102">
        <v>35000</v>
      </c>
      <c r="S3025" s="102">
        <f t="shared" si="1556"/>
        <v>192500.00000000003</v>
      </c>
      <c r="T3025" s="102">
        <f t="shared" si="1557"/>
        <v>175000</v>
      </c>
      <c r="U3025" s="71" t="str">
        <f t="shared" si="1568"/>
        <v>O</v>
      </c>
      <c r="V3025" s="71"/>
      <c r="W3025" s="474">
        <f t="shared" si="1569"/>
        <v>112500</v>
      </c>
      <c r="X3025" s="71"/>
      <c r="Y3025" s="71"/>
    </row>
    <row r="3026" spans="1:25" ht="30" hidden="1" customHeight="1" x14ac:dyDescent="0.25">
      <c r="A3026" s="82">
        <v>200428</v>
      </c>
      <c r="B3026" s="664" t="s">
        <v>1061</v>
      </c>
      <c r="C3026" s="71" t="s">
        <v>616</v>
      </c>
      <c r="D3026" s="71">
        <v>200</v>
      </c>
      <c r="E3026" s="102">
        <v>5600</v>
      </c>
      <c r="F3026" s="102">
        <f t="shared" si="1563"/>
        <v>1232000</v>
      </c>
      <c r="G3026" s="102">
        <f t="shared" si="1564"/>
        <v>1120000</v>
      </c>
      <c r="H3026" s="690" t="s">
        <v>142</v>
      </c>
      <c r="I3026" s="71" t="s">
        <v>144</v>
      </c>
      <c r="J3026" s="53">
        <f t="shared" si="1561"/>
        <v>102000</v>
      </c>
      <c r="K3026" s="63">
        <f t="shared" si="1565"/>
        <v>9.1071428571428567E-2</v>
      </c>
      <c r="L3026" s="871" t="s">
        <v>2384</v>
      </c>
      <c r="M3026" s="468"/>
      <c r="N3026" s="664">
        <f t="shared" si="1566"/>
        <v>200428</v>
      </c>
      <c r="O3026" s="71" t="s">
        <v>147</v>
      </c>
      <c r="P3026" s="103" t="str">
        <f t="shared" si="1567"/>
        <v>프리미어(먹)</v>
      </c>
      <c r="Q3026" s="71">
        <f t="shared" si="1543"/>
        <v>200</v>
      </c>
      <c r="R3026" s="102">
        <v>5090</v>
      </c>
      <c r="S3026" s="102">
        <f t="shared" si="1556"/>
        <v>1119800</v>
      </c>
      <c r="T3026" s="102">
        <f t="shared" si="1557"/>
        <v>1018000</v>
      </c>
      <c r="U3026" s="71" t="str">
        <f t="shared" si="1568"/>
        <v>O</v>
      </c>
      <c r="V3026" s="71"/>
      <c r="W3026" s="474">
        <f t="shared" si="1569"/>
        <v>102000</v>
      </c>
      <c r="X3026" s="71"/>
      <c r="Y3026" s="71"/>
    </row>
    <row r="3027" spans="1:25" ht="30" hidden="1" customHeight="1" x14ac:dyDescent="0.25">
      <c r="A3027" s="82">
        <v>200428</v>
      </c>
      <c r="B3027" s="664" t="s">
        <v>1052</v>
      </c>
      <c r="C3027" s="71" t="s">
        <v>585</v>
      </c>
      <c r="D3027" s="71">
        <v>200</v>
      </c>
      <c r="E3027" s="102">
        <v>6000</v>
      </c>
      <c r="F3027" s="102">
        <f t="shared" si="1563"/>
        <v>1320000</v>
      </c>
      <c r="G3027" s="102">
        <f t="shared" si="1564"/>
        <v>1200000</v>
      </c>
      <c r="H3027" s="690" t="s">
        <v>142</v>
      </c>
      <c r="I3027" s="71" t="s">
        <v>144</v>
      </c>
      <c r="J3027" s="53">
        <f t="shared" si="1561"/>
        <v>110000</v>
      </c>
      <c r="K3027" s="63">
        <f t="shared" si="1565"/>
        <v>9.166666666666666E-2</v>
      </c>
      <c r="L3027" s="871" t="s">
        <v>2384</v>
      </c>
      <c r="M3027" s="468"/>
      <c r="N3027" s="664">
        <f t="shared" si="1566"/>
        <v>200428</v>
      </c>
      <c r="O3027" s="71" t="s">
        <v>147</v>
      </c>
      <c r="P3027" s="103" t="str">
        <f t="shared" si="1567"/>
        <v>프리미어(적)</v>
      </c>
      <c r="Q3027" s="71">
        <f t="shared" si="1543"/>
        <v>200</v>
      </c>
      <c r="R3027" s="102">
        <v>5450</v>
      </c>
      <c r="S3027" s="102">
        <f t="shared" si="1556"/>
        <v>1199000</v>
      </c>
      <c r="T3027" s="102">
        <f t="shared" si="1557"/>
        <v>1090000</v>
      </c>
      <c r="U3027" s="71" t="str">
        <f t="shared" si="1568"/>
        <v>O</v>
      </c>
      <c r="V3027" s="71"/>
      <c r="W3027" s="474">
        <f t="shared" si="1569"/>
        <v>110000</v>
      </c>
      <c r="X3027" s="71"/>
      <c r="Y3027" s="71"/>
    </row>
    <row r="3028" spans="1:25" ht="30" hidden="1" customHeight="1" x14ac:dyDescent="0.25">
      <c r="A3028" s="82">
        <v>200428</v>
      </c>
      <c r="B3028" s="664" t="s">
        <v>1061</v>
      </c>
      <c r="C3028" s="71" t="s">
        <v>586</v>
      </c>
      <c r="D3028" s="71">
        <v>600</v>
      </c>
      <c r="E3028" s="102">
        <v>5750</v>
      </c>
      <c r="F3028" s="102">
        <f t="shared" si="1563"/>
        <v>3795000.0000000005</v>
      </c>
      <c r="G3028" s="102">
        <f t="shared" si="1564"/>
        <v>3450000</v>
      </c>
      <c r="H3028" s="690" t="s">
        <v>142</v>
      </c>
      <c r="I3028" s="71" t="s">
        <v>144</v>
      </c>
      <c r="J3028" s="53">
        <f t="shared" si="1561"/>
        <v>318000</v>
      </c>
      <c r="K3028" s="63">
        <f t="shared" si="1565"/>
        <v>9.2173913043478245E-2</v>
      </c>
      <c r="L3028" s="871" t="s">
        <v>2384</v>
      </c>
      <c r="M3028" s="468"/>
      <c r="N3028" s="664">
        <f t="shared" si="1566"/>
        <v>200428</v>
      </c>
      <c r="O3028" s="71" t="s">
        <v>147</v>
      </c>
      <c r="P3028" s="103" t="str">
        <f t="shared" si="1567"/>
        <v>프리미어(황)</v>
      </c>
      <c r="Q3028" s="71">
        <f t="shared" si="1543"/>
        <v>600</v>
      </c>
      <c r="R3028" s="102">
        <v>5220</v>
      </c>
      <c r="S3028" s="102">
        <f t="shared" si="1556"/>
        <v>3445200.0000000005</v>
      </c>
      <c r="T3028" s="102">
        <f t="shared" si="1557"/>
        <v>3132000</v>
      </c>
      <c r="U3028" s="71" t="str">
        <f t="shared" si="1568"/>
        <v>O</v>
      </c>
      <c r="V3028" s="71"/>
      <c r="W3028" s="474">
        <f t="shared" si="1569"/>
        <v>318000</v>
      </c>
      <c r="X3028" s="71"/>
      <c r="Y3028" s="71"/>
    </row>
    <row r="3029" spans="1:25" ht="30" hidden="1" customHeight="1" x14ac:dyDescent="0.25">
      <c r="A3029" s="82">
        <v>200428</v>
      </c>
      <c r="B3029" s="664" t="s">
        <v>1061</v>
      </c>
      <c r="C3029" s="71" t="s">
        <v>587</v>
      </c>
      <c r="D3029" s="71">
        <v>600</v>
      </c>
      <c r="E3029" s="102">
        <v>7000</v>
      </c>
      <c r="F3029" s="102">
        <f t="shared" si="1563"/>
        <v>4620000</v>
      </c>
      <c r="G3029" s="102">
        <f t="shared" si="1564"/>
        <v>4200000</v>
      </c>
      <c r="H3029" s="690" t="s">
        <v>142</v>
      </c>
      <c r="I3029" s="71" t="s">
        <v>144</v>
      </c>
      <c r="J3029" s="53">
        <f t="shared" si="1561"/>
        <v>384000</v>
      </c>
      <c r="K3029" s="63">
        <f t="shared" si="1565"/>
        <v>9.1428571428571428E-2</v>
      </c>
      <c r="L3029" s="871" t="s">
        <v>2384</v>
      </c>
      <c r="M3029" s="468"/>
      <c r="N3029" s="664">
        <f t="shared" si="1566"/>
        <v>200428</v>
      </c>
      <c r="O3029" s="71" t="s">
        <v>147</v>
      </c>
      <c r="P3029" s="103" t="str">
        <f t="shared" si="1567"/>
        <v>프리미어(청)</v>
      </c>
      <c r="Q3029" s="71">
        <f t="shared" si="1543"/>
        <v>600</v>
      </c>
      <c r="R3029" s="102">
        <v>6360</v>
      </c>
      <c r="S3029" s="102">
        <f t="shared" si="1556"/>
        <v>4197600</v>
      </c>
      <c r="T3029" s="102">
        <f t="shared" si="1557"/>
        <v>3816000</v>
      </c>
      <c r="U3029" s="71" t="str">
        <f t="shared" si="1568"/>
        <v>O</v>
      </c>
      <c r="V3029" s="71"/>
      <c r="W3029" s="474">
        <f t="shared" si="1569"/>
        <v>384000</v>
      </c>
      <c r="X3029" s="71"/>
      <c r="Y3029" s="71"/>
    </row>
    <row r="3030" spans="1:25" ht="30" hidden="1" customHeight="1" x14ac:dyDescent="0.25">
      <c r="A3030" s="82">
        <v>200428</v>
      </c>
      <c r="B3030" s="664" t="s">
        <v>1052</v>
      </c>
      <c r="C3030" s="71" t="s">
        <v>1115</v>
      </c>
      <c r="D3030" s="71">
        <v>0</v>
      </c>
      <c r="E3030" s="102">
        <v>6200</v>
      </c>
      <c r="F3030" s="102">
        <f t="shared" si="1563"/>
        <v>0</v>
      </c>
      <c r="G3030" s="102">
        <f t="shared" si="1564"/>
        <v>0</v>
      </c>
      <c r="H3030" s="690" t="s">
        <v>142</v>
      </c>
      <c r="I3030" s="71" t="s">
        <v>144</v>
      </c>
      <c r="J3030" s="53">
        <f t="shared" si="1561"/>
        <v>0</v>
      </c>
      <c r="K3030" s="63" t="e">
        <f t="shared" si="1565"/>
        <v>#DIV/0!</v>
      </c>
      <c r="L3030" s="871" t="s">
        <v>2384</v>
      </c>
      <c r="M3030" s="468"/>
      <c r="N3030" s="664">
        <f t="shared" si="1566"/>
        <v>200428</v>
      </c>
      <c r="O3030" s="71" t="s">
        <v>147</v>
      </c>
      <c r="P3030" s="103" t="str">
        <f t="shared" si="1567"/>
        <v>한특 잉크(적)</v>
      </c>
      <c r="Q3030" s="71">
        <f t="shared" si="1543"/>
        <v>0</v>
      </c>
      <c r="R3030" s="102">
        <v>6100</v>
      </c>
      <c r="S3030" s="102">
        <f t="shared" si="1556"/>
        <v>0</v>
      </c>
      <c r="T3030" s="102">
        <f t="shared" si="1557"/>
        <v>0</v>
      </c>
      <c r="U3030" s="71" t="str">
        <f t="shared" si="1568"/>
        <v>O</v>
      </c>
      <c r="V3030" s="71"/>
      <c r="W3030" s="474">
        <f t="shared" si="1569"/>
        <v>0</v>
      </c>
      <c r="X3030" s="71"/>
      <c r="Y3030" s="71"/>
    </row>
    <row r="3031" spans="1:25" ht="30" hidden="1" customHeight="1" x14ac:dyDescent="0.25">
      <c r="A3031" s="82">
        <v>200428</v>
      </c>
      <c r="B3031" s="664" t="s">
        <v>1052</v>
      </c>
      <c r="C3031" s="71" t="s">
        <v>1116</v>
      </c>
      <c r="D3031" s="71">
        <v>0</v>
      </c>
      <c r="E3031" s="102">
        <v>6000</v>
      </c>
      <c r="F3031" s="102">
        <f t="shared" si="1563"/>
        <v>0</v>
      </c>
      <c r="G3031" s="102">
        <f t="shared" si="1564"/>
        <v>0</v>
      </c>
      <c r="H3031" s="690" t="s">
        <v>142</v>
      </c>
      <c r="I3031" s="71" t="s">
        <v>144</v>
      </c>
      <c r="J3031" s="53">
        <f t="shared" si="1561"/>
        <v>0</v>
      </c>
      <c r="K3031" s="63" t="e">
        <f t="shared" si="1565"/>
        <v>#DIV/0!</v>
      </c>
      <c r="L3031" s="871" t="s">
        <v>2384</v>
      </c>
      <c r="M3031" s="468"/>
      <c r="N3031" s="664">
        <f t="shared" si="1566"/>
        <v>200428</v>
      </c>
      <c r="O3031" s="71" t="s">
        <v>147</v>
      </c>
      <c r="P3031" s="103" t="str">
        <f t="shared" si="1567"/>
        <v>한특 잉크(황)</v>
      </c>
      <c r="Q3031" s="71">
        <f t="shared" si="1543"/>
        <v>0</v>
      </c>
      <c r="R3031" s="102">
        <v>5900</v>
      </c>
      <c r="S3031" s="102">
        <f t="shared" si="1556"/>
        <v>0</v>
      </c>
      <c r="T3031" s="102">
        <f t="shared" si="1557"/>
        <v>0</v>
      </c>
      <c r="U3031" s="71" t="str">
        <f t="shared" si="1568"/>
        <v>O</v>
      </c>
      <c r="V3031" s="71"/>
      <c r="W3031" s="474">
        <f t="shared" si="1569"/>
        <v>0</v>
      </c>
      <c r="X3031" s="71"/>
      <c r="Y3031" s="71"/>
    </row>
    <row r="3032" spans="1:25" ht="30" hidden="1" customHeight="1" x14ac:dyDescent="0.25">
      <c r="A3032" s="82">
        <v>200428</v>
      </c>
      <c r="B3032" s="664" t="s">
        <v>1052</v>
      </c>
      <c r="C3032" s="71" t="s">
        <v>1117</v>
      </c>
      <c r="D3032" s="71">
        <v>0</v>
      </c>
      <c r="E3032" s="102">
        <v>6500</v>
      </c>
      <c r="F3032" s="102">
        <f t="shared" si="1563"/>
        <v>0</v>
      </c>
      <c r="G3032" s="102">
        <f t="shared" si="1564"/>
        <v>0</v>
      </c>
      <c r="H3032" s="690" t="s">
        <v>142</v>
      </c>
      <c r="I3032" s="71" t="s">
        <v>144</v>
      </c>
      <c r="J3032" s="53">
        <f t="shared" si="1561"/>
        <v>0</v>
      </c>
      <c r="K3032" s="63" t="e">
        <f t="shared" si="1565"/>
        <v>#DIV/0!</v>
      </c>
      <c r="L3032" s="871" t="s">
        <v>2384</v>
      </c>
      <c r="M3032" s="468"/>
      <c r="N3032" s="664">
        <f t="shared" si="1566"/>
        <v>200428</v>
      </c>
      <c r="O3032" s="71" t="s">
        <v>147</v>
      </c>
      <c r="P3032" s="103" t="str">
        <f t="shared" si="1567"/>
        <v>한특 잉크(청)</v>
      </c>
      <c r="Q3032" s="71">
        <f t="shared" si="1543"/>
        <v>0</v>
      </c>
      <c r="R3032" s="102">
        <v>6400</v>
      </c>
      <c r="S3032" s="102">
        <f t="shared" si="1556"/>
        <v>0</v>
      </c>
      <c r="T3032" s="102">
        <f t="shared" si="1557"/>
        <v>0</v>
      </c>
      <c r="U3032" s="71" t="str">
        <f t="shared" si="1568"/>
        <v>O</v>
      </c>
      <c r="V3032" s="71"/>
      <c r="W3032" s="474">
        <f t="shared" si="1569"/>
        <v>0</v>
      </c>
      <c r="X3032" s="71"/>
      <c r="Y3032" s="71"/>
    </row>
    <row r="3033" spans="1:25" ht="30" hidden="1" customHeight="1" x14ac:dyDescent="0.25">
      <c r="A3033" s="82">
        <v>200428</v>
      </c>
      <c r="B3033" s="664" t="s">
        <v>1052</v>
      </c>
      <c r="C3033" s="71" t="s">
        <v>1118</v>
      </c>
      <c r="D3033" s="71">
        <v>0</v>
      </c>
      <c r="E3033" s="102">
        <v>5600</v>
      </c>
      <c r="F3033" s="102">
        <f t="shared" si="1563"/>
        <v>0</v>
      </c>
      <c r="G3033" s="102">
        <f t="shared" si="1564"/>
        <v>0</v>
      </c>
      <c r="H3033" s="690" t="s">
        <v>142</v>
      </c>
      <c r="I3033" s="71" t="s">
        <v>144</v>
      </c>
      <c r="J3033" s="53">
        <f t="shared" si="1561"/>
        <v>0</v>
      </c>
      <c r="K3033" s="63" t="e">
        <f t="shared" si="1565"/>
        <v>#DIV/0!</v>
      </c>
      <c r="L3033" s="871" t="s">
        <v>2384</v>
      </c>
      <c r="M3033" s="468"/>
      <c r="N3033" s="664">
        <f t="shared" si="1566"/>
        <v>200428</v>
      </c>
      <c r="O3033" s="71" t="s">
        <v>147</v>
      </c>
      <c r="P3033" s="103" t="str">
        <f t="shared" si="1567"/>
        <v>한특 잉크(먹)</v>
      </c>
      <c r="Q3033" s="71">
        <f t="shared" si="1543"/>
        <v>0</v>
      </c>
      <c r="R3033" s="102">
        <v>5500</v>
      </c>
      <c r="S3033" s="102">
        <f>R3033*Q3033*1.1</f>
        <v>0</v>
      </c>
      <c r="T3033" s="102">
        <f t="shared" si="1557"/>
        <v>0</v>
      </c>
      <c r="U3033" s="71" t="str">
        <f t="shared" si="1568"/>
        <v>O</v>
      </c>
      <c r="V3033" s="71"/>
      <c r="W3033" s="474">
        <f t="shared" si="1569"/>
        <v>0</v>
      </c>
      <c r="X3033" s="71"/>
      <c r="Y3033" s="71"/>
    </row>
    <row r="3034" spans="1:25" ht="30" hidden="1" customHeight="1" x14ac:dyDescent="0.25">
      <c r="A3034" s="82">
        <v>200430</v>
      </c>
      <c r="B3034" s="664" t="s">
        <v>575</v>
      </c>
      <c r="C3034" s="71" t="s">
        <v>2411</v>
      </c>
      <c r="D3034" s="71">
        <v>1</v>
      </c>
      <c r="E3034" s="102">
        <v>2500000</v>
      </c>
      <c r="F3034" s="102">
        <f t="shared" si="1563"/>
        <v>2750000</v>
      </c>
      <c r="G3034" s="102">
        <f t="shared" si="1564"/>
        <v>2500000</v>
      </c>
      <c r="H3034" s="690" t="s">
        <v>985</v>
      </c>
      <c r="I3034" s="71" t="s">
        <v>985</v>
      </c>
      <c r="J3034" s="53">
        <f t="shared" si="1561"/>
        <v>2500000</v>
      </c>
      <c r="K3034" s="63">
        <f>(J3034/(F3034/11*10))</f>
        <v>1</v>
      </c>
      <c r="L3034" s="871" t="s">
        <v>2384</v>
      </c>
      <c r="M3034" s="468"/>
      <c r="N3034" s="664">
        <f t="shared" si="1566"/>
        <v>200430</v>
      </c>
      <c r="O3034" s="71"/>
      <c r="P3034" s="103" t="str">
        <f t="shared" si="1567"/>
        <v>M600 서비스비용 1회차</v>
      </c>
      <c r="Q3034" s="71">
        <f t="shared" si="1543"/>
        <v>1</v>
      </c>
      <c r="R3034" s="102"/>
      <c r="S3034" s="102">
        <f>R3034*Q3034*1.1</f>
        <v>0</v>
      </c>
      <c r="T3034" s="102">
        <f t="shared" si="1557"/>
        <v>0</v>
      </c>
      <c r="U3034" s="71" t="str">
        <f t="shared" si="1568"/>
        <v>X</v>
      </c>
      <c r="V3034" s="71"/>
      <c r="W3034" s="474"/>
      <c r="X3034" s="71"/>
      <c r="Y3034" s="71"/>
    </row>
    <row r="3035" spans="1:25" s="978" customFormat="1" ht="45" hidden="1" customHeight="1" x14ac:dyDescent="0.25">
      <c r="A3035" s="982" t="s">
        <v>2398</v>
      </c>
      <c r="B3035" s="976" t="s">
        <v>544</v>
      </c>
      <c r="C3035" s="453"/>
      <c r="D3035" s="453"/>
      <c r="E3035" s="454"/>
      <c r="F3035" s="454"/>
      <c r="G3035" s="454"/>
      <c r="H3035" s="455"/>
      <c r="I3035" s="453"/>
      <c r="J3035" s="417"/>
      <c r="K3035" s="418"/>
      <c r="L3035" s="983" t="s">
        <v>2400</v>
      </c>
      <c r="M3035" s="643"/>
      <c r="N3035" s="724" t="str">
        <f>A3035</f>
        <v>2020,5</v>
      </c>
      <c r="O3035" s="453" t="s">
        <v>154</v>
      </c>
      <c r="P3035" s="728"/>
      <c r="Q3035" s="420"/>
      <c r="R3035" s="420"/>
      <c r="S3035" s="417"/>
      <c r="T3035" s="417"/>
      <c r="U3035" s="421"/>
      <c r="V3035" s="421"/>
      <c r="W3035" s="479">
        <f>(G3035-T3035)</f>
        <v>0</v>
      </c>
      <c r="X3035" s="421"/>
      <c r="Y3035" s="421"/>
    </row>
    <row r="3036" spans="1:25" ht="30" hidden="1" customHeight="1" x14ac:dyDescent="0.2">
      <c r="A3036" s="82">
        <v>200228</v>
      </c>
      <c r="B3036" s="664" t="s">
        <v>575</v>
      </c>
      <c r="C3036" s="71" t="s">
        <v>881</v>
      </c>
      <c r="D3036" s="71">
        <v>100</v>
      </c>
      <c r="E3036" s="102">
        <v>18000</v>
      </c>
      <c r="F3036" s="163">
        <f>(E3036*D3036)*1.1</f>
        <v>1980000.0000000002</v>
      </c>
      <c r="G3036" s="102">
        <f>(E3036*D3036)</f>
        <v>1800000</v>
      </c>
      <c r="H3036" s="690" t="s">
        <v>1431</v>
      </c>
      <c r="I3036" s="71" t="s">
        <v>1431</v>
      </c>
      <c r="J3036" s="53">
        <f t="shared" ref="J3036:J3058" si="1570">G3036-T3036</f>
        <v>900000</v>
      </c>
      <c r="K3036" s="63">
        <f t="shared" ref="K3036:K3041" si="1571">(J3036/(F3036/11*10))</f>
        <v>0.49999999999999994</v>
      </c>
      <c r="L3036" s="871" t="s">
        <v>2400</v>
      </c>
      <c r="M3036" s="468"/>
      <c r="N3036" s="664">
        <f t="shared" ref="N3036:N3099" si="1572">A3036</f>
        <v>200228</v>
      </c>
      <c r="O3036" s="71" t="s">
        <v>1431</v>
      </c>
      <c r="P3036" s="103" t="str">
        <f>(C3036)</f>
        <v>스트리퍼(대)</v>
      </c>
      <c r="Q3036" s="71">
        <f>D3036</f>
        <v>100</v>
      </c>
      <c r="R3036" s="102">
        <v>9000</v>
      </c>
      <c r="S3036" s="102">
        <f t="shared" ref="S3036:S3067" si="1573">R3036*Q3036*1.1</f>
        <v>990000.00000000012</v>
      </c>
      <c r="T3036" s="102">
        <f t="shared" ref="T3036:T3067" si="1574">R3036*Q3036</f>
        <v>900000</v>
      </c>
      <c r="U3036" s="71"/>
      <c r="V3036" s="71"/>
      <c r="W3036" s="474"/>
      <c r="X3036" s="71"/>
      <c r="Y3036" s="71"/>
    </row>
    <row r="3037" spans="1:25" ht="30" hidden="1" customHeight="1" x14ac:dyDescent="0.2">
      <c r="A3037" s="82">
        <v>200228</v>
      </c>
      <c r="B3037" s="664" t="s">
        <v>575</v>
      </c>
      <c r="C3037" s="71" t="s">
        <v>882</v>
      </c>
      <c r="D3037" s="71">
        <v>30</v>
      </c>
      <c r="E3037" s="102">
        <v>18000</v>
      </c>
      <c r="F3037" s="163">
        <f>(E3037*D3037)*1.1</f>
        <v>594000</v>
      </c>
      <c r="G3037" s="102">
        <f>(E3037*D3037)</f>
        <v>540000</v>
      </c>
      <c r="H3037" s="690" t="s">
        <v>1431</v>
      </c>
      <c r="I3037" s="71" t="s">
        <v>1431</v>
      </c>
      <c r="J3037" s="53">
        <f t="shared" si="1570"/>
        <v>270000</v>
      </c>
      <c r="K3037" s="63">
        <f t="shared" si="1571"/>
        <v>0.5</v>
      </c>
      <c r="L3037" s="871" t="s">
        <v>2400</v>
      </c>
      <c r="M3037" s="468"/>
      <c r="N3037" s="664">
        <f t="shared" si="1572"/>
        <v>200228</v>
      </c>
      <c r="O3037" s="71" t="s">
        <v>1431</v>
      </c>
      <c r="P3037" s="103" t="str">
        <f>(C3037)</f>
        <v>스트리퍼(소)</v>
      </c>
      <c r="Q3037" s="71">
        <f>D3037</f>
        <v>30</v>
      </c>
      <c r="R3037" s="102">
        <v>9000</v>
      </c>
      <c r="S3037" s="102">
        <f t="shared" si="1573"/>
        <v>297000</v>
      </c>
      <c r="T3037" s="102">
        <f t="shared" si="1574"/>
        <v>270000</v>
      </c>
      <c r="U3037" s="71"/>
      <c r="V3037" s="71"/>
      <c r="W3037" s="474"/>
      <c r="X3037" s="71"/>
      <c r="Y3037" s="71"/>
    </row>
    <row r="3038" spans="1:25" ht="30" hidden="1" customHeight="1" x14ac:dyDescent="0.2">
      <c r="A3038" s="82">
        <v>200228</v>
      </c>
      <c r="B3038" s="664" t="s">
        <v>575</v>
      </c>
      <c r="C3038" s="71" t="s">
        <v>2317</v>
      </c>
      <c r="D3038" s="71">
        <v>4</v>
      </c>
      <c r="E3038" s="102">
        <v>300000</v>
      </c>
      <c r="F3038" s="163">
        <f>(E3038*D3038)*1.1</f>
        <v>1320000</v>
      </c>
      <c r="G3038" s="102">
        <f>(E3038*D3038)</f>
        <v>1200000</v>
      </c>
      <c r="H3038" s="690" t="s">
        <v>1431</v>
      </c>
      <c r="I3038" s="71" t="s">
        <v>1431</v>
      </c>
      <c r="J3038" s="53">
        <f t="shared" si="1570"/>
        <v>360000</v>
      </c>
      <c r="K3038" s="63">
        <f t="shared" si="1571"/>
        <v>0.3</v>
      </c>
      <c r="L3038" s="871" t="s">
        <v>2400</v>
      </c>
      <c r="M3038" s="468"/>
      <c r="N3038" s="664">
        <f t="shared" si="1572"/>
        <v>200228</v>
      </c>
      <c r="O3038" s="71" t="s">
        <v>1431</v>
      </c>
      <c r="P3038" s="103" t="str">
        <f>(C3038)</f>
        <v>물 센서</v>
      </c>
      <c r="Q3038" s="71">
        <f>D3038</f>
        <v>4</v>
      </c>
      <c r="R3038" s="102">
        <v>210000</v>
      </c>
      <c r="S3038" s="102">
        <f t="shared" si="1573"/>
        <v>924000.00000000012</v>
      </c>
      <c r="T3038" s="102">
        <f t="shared" si="1574"/>
        <v>840000</v>
      </c>
      <c r="U3038" s="71"/>
      <c r="V3038" s="71"/>
      <c r="W3038" s="474"/>
      <c r="X3038" s="71"/>
      <c r="Y3038" s="71"/>
    </row>
    <row r="3039" spans="1:25" ht="30" hidden="1" customHeight="1" x14ac:dyDescent="0.2">
      <c r="A3039" s="82">
        <v>200228</v>
      </c>
      <c r="B3039" s="664" t="s">
        <v>575</v>
      </c>
      <c r="C3039" s="71" t="s">
        <v>2318</v>
      </c>
      <c r="D3039" s="71">
        <v>4</v>
      </c>
      <c r="E3039" s="102">
        <v>80000</v>
      </c>
      <c r="F3039" s="163">
        <f>(E3039*D3039)*1.1</f>
        <v>352000</v>
      </c>
      <c r="G3039" s="102">
        <f>(E3039*D3039)</f>
        <v>320000</v>
      </c>
      <c r="H3039" s="690" t="s">
        <v>1431</v>
      </c>
      <c r="I3039" s="71" t="s">
        <v>1431</v>
      </c>
      <c r="J3039" s="53">
        <f t="shared" si="1570"/>
        <v>160000</v>
      </c>
      <c r="K3039" s="63">
        <f t="shared" si="1571"/>
        <v>0.5</v>
      </c>
      <c r="L3039" s="871" t="s">
        <v>2400</v>
      </c>
      <c r="M3039" s="468"/>
      <c r="N3039" s="664">
        <f t="shared" si="1572"/>
        <v>200228</v>
      </c>
      <c r="O3039" s="71" t="s">
        <v>1431</v>
      </c>
      <c r="P3039" s="103" t="str">
        <f>(C3039)</f>
        <v>스트립</v>
      </c>
      <c r="Q3039" s="71">
        <f t="shared" ref="Q3039:Q3102" si="1575">D3039</f>
        <v>4</v>
      </c>
      <c r="R3039" s="102">
        <v>40000</v>
      </c>
      <c r="S3039" s="102">
        <f t="shared" si="1573"/>
        <v>176000</v>
      </c>
      <c r="T3039" s="102">
        <f t="shared" si="1574"/>
        <v>160000</v>
      </c>
      <c r="U3039" s="71"/>
      <c r="V3039" s="71"/>
      <c r="W3039" s="474"/>
      <c r="X3039" s="71"/>
      <c r="Y3039" s="71"/>
    </row>
    <row r="3040" spans="1:25" ht="30" hidden="1" customHeight="1" x14ac:dyDescent="0.25">
      <c r="A3040" s="82">
        <v>200420</v>
      </c>
      <c r="B3040" s="664" t="s">
        <v>627</v>
      </c>
      <c r="C3040" s="71" t="s">
        <v>2429</v>
      </c>
      <c r="D3040" s="71">
        <v>2</v>
      </c>
      <c r="E3040" s="102">
        <v>750000</v>
      </c>
      <c r="F3040" s="102">
        <f>(E3040*D3040)*1.1</f>
        <v>1650000.0000000002</v>
      </c>
      <c r="G3040" s="102">
        <f>(E3040*D3040)</f>
        <v>1500000</v>
      </c>
      <c r="H3040" s="690" t="s">
        <v>1431</v>
      </c>
      <c r="I3040" s="71" t="s">
        <v>1431</v>
      </c>
      <c r="J3040" s="53">
        <f t="shared" si="1570"/>
        <v>547280</v>
      </c>
      <c r="K3040" s="63">
        <f t="shared" si="1571"/>
        <v>0.36485333333333325</v>
      </c>
      <c r="L3040" s="871" t="s">
        <v>2399</v>
      </c>
      <c r="M3040" s="468"/>
      <c r="N3040" s="664">
        <f t="shared" si="1572"/>
        <v>200420</v>
      </c>
      <c r="O3040" s="71" t="s">
        <v>1431</v>
      </c>
      <c r="P3040" s="103" t="str">
        <f t="shared" ref="P3040:P3103" si="1576">(C3040)</f>
        <v>Flamerod Thermjet</v>
      </c>
      <c r="Q3040" s="71">
        <f t="shared" si="1575"/>
        <v>2</v>
      </c>
      <c r="R3040" s="102">
        <v>476360</v>
      </c>
      <c r="S3040" s="102">
        <f t="shared" si="1573"/>
        <v>1047992.0000000001</v>
      </c>
      <c r="T3040" s="102">
        <f t="shared" si="1574"/>
        <v>952720</v>
      </c>
      <c r="U3040" s="71"/>
      <c r="V3040" s="71"/>
      <c r="W3040" s="474"/>
      <c r="X3040" s="71"/>
      <c r="Y3040" s="71"/>
    </row>
    <row r="3041" spans="1:25" s="209" customFormat="1" ht="30" hidden="1" customHeight="1" x14ac:dyDescent="0.25">
      <c r="A3041" s="82">
        <v>200504</v>
      </c>
      <c r="B3041" s="664" t="s">
        <v>2155</v>
      </c>
      <c r="C3041" s="71" t="s">
        <v>138</v>
      </c>
      <c r="D3041" s="71">
        <v>10</v>
      </c>
      <c r="E3041" s="102">
        <v>47600</v>
      </c>
      <c r="F3041" s="163">
        <f t="shared" ref="F3041:F3061" si="1577">(E3041*D3041)*1.1</f>
        <v>523600.00000000006</v>
      </c>
      <c r="G3041" s="102">
        <f t="shared" ref="G3041:G3061" si="1578">(E3041*D3041)</f>
        <v>476000</v>
      </c>
      <c r="H3041" s="1129" t="s">
        <v>172</v>
      </c>
      <c r="I3041" s="71" t="s">
        <v>108</v>
      </c>
      <c r="J3041" s="53">
        <f t="shared" si="1570"/>
        <v>68000</v>
      </c>
      <c r="K3041" s="63">
        <f t="shared" si="1571"/>
        <v>0.14285714285714285</v>
      </c>
      <c r="L3041" s="871" t="s">
        <v>2399</v>
      </c>
      <c r="M3041" s="468" t="s">
        <v>2214</v>
      </c>
      <c r="N3041" s="664">
        <f t="shared" si="1572"/>
        <v>200504</v>
      </c>
      <c r="O3041" s="71" t="s">
        <v>150</v>
      </c>
      <c r="P3041" s="103" t="str">
        <f t="shared" si="1576"/>
        <v>매엽용 세척제(Wash 562)</v>
      </c>
      <c r="Q3041" s="71">
        <f t="shared" si="1575"/>
        <v>10</v>
      </c>
      <c r="R3041" s="102">
        <v>40800</v>
      </c>
      <c r="S3041" s="102">
        <f t="shared" si="1573"/>
        <v>448800.00000000006</v>
      </c>
      <c r="T3041" s="102">
        <f t="shared" si="1574"/>
        <v>408000</v>
      </c>
      <c r="U3041" s="71" t="s">
        <v>859</v>
      </c>
      <c r="V3041" s="71"/>
      <c r="W3041" s="474">
        <v>85000</v>
      </c>
      <c r="X3041" s="71"/>
      <c r="Y3041" s="71"/>
    </row>
    <row r="3042" spans="1:25" ht="30" hidden="1" customHeight="1" x14ac:dyDescent="0.25">
      <c r="A3042" s="82">
        <v>200504</v>
      </c>
      <c r="B3042" s="664" t="s">
        <v>2155</v>
      </c>
      <c r="C3042" s="71" t="s">
        <v>277</v>
      </c>
      <c r="D3042" s="71">
        <v>5</v>
      </c>
      <c r="E3042" s="102">
        <v>172000</v>
      </c>
      <c r="F3042" s="102">
        <f t="shared" si="1577"/>
        <v>946000.00000000012</v>
      </c>
      <c r="G3042" s="102">
        <f t="shared" si="1578"/>
        <v>860000</v>
      </c>
      <c r="H3042" s="690" t="s">
        <v>173</v>
      </c>
      <c r="I3042" s="71" t="s">
        <v>108</v>
      </c>
      <c r="J3042" s="53">
        <f t="shared" si="1570"/>
        <v>285000</v>
      </c>
      <c r="K3042" s="63">
        <v>0.33139534883720928</v>
      </c>
      <c r="L3042" s="871" t="s">
        <v>2399</v>
      </c>
      <c r="M3042" s="468"/>
      <c r="N3042" s="664">
        <f t="shared" si="1572"/>
        <v>200504</v>
      </c>
      <c r="O3042" s="71" t="s">
        <v>150</v>
      </c>
      <c r="P3042" s="103" t="str">
        <f t="shared" si="1576"/>
        <v>윤전용 세척제(Web 504)</v>
      </c>
      <c r="Q3042" s="71">
        <f t="shared" si="1575"/>
        <v>5</v>
      </c>
      <c r="R3042" s="102">
        <v>115000</v>
      </c>
      <c r="S3042" s="102">
        <f t="shared" si="1573"/>
        <v>632500</v>
      </c>
      <c r="T3042" s="102">
        <f t="shared" si="1574"/>
        <v>575000</v>
      </c>
      <c r="U3042" s="71" t="s">
        <v>859</v>
      </c>
      <c r="V3042" s="71"/>
      <c r="W3042" s="474">
        <v>285000</v>
      </c>
      <c r="X3042" s="71"/>
      <c r="Y3042" s="71"/>
    </row>
    <row r="3043" spans="1:25" ht="30" hidden="1" customHeight="1" x14ac:dyDescent="0.25">
      <c r="A3043" s="82">
        <v>200504</v>
      </c>
      <c r="B3043" s="664" t="s">
        <v>2155</v>
      </c>
      <c r="C3043" s="760" t="s">
        <v>218</v>
      </c>
      <c r="D3043" s="71">
        <v>5</v>
      </c>
      <c r="E3043" s="102">
        <v>192500</v>
      </c>
      <c r="F3043" s="102">
        <f t="shared" si="1577"/>
        <v>1058750</v>
      </c>
      <c r="G3043" s="102">
        <f t="shared" si="1578"/>
        <v>962500</v>
      </c>
      <c r="H3043" s="690" t="s">
        <v>173</v>
      </c>
      <c r="I3043" s="71" t="s">
        <v>120</v>
      </c>
      <c r="J3043" s="53">
        <f t="shared" si="1570"/>
        <v>400000</v>
      </c>
      <c r="K3043" s="63">
        <v>0.4155844155844155</v>
      </c>
      <c r="L3043" s="871" t="s">
        <v>2399</v>
      </c>
      <c r="M3043" s="468"/>
      <c r="N3043" s="664">
        <f t="shared" si="1572"/>
        <v>200504</v>
      </c>
      <c r="O3043" s="71" t="s">
        <v>150</v>
      </c>
      <c r="P3043" s="103" t="str">
        <f t="shared" si="1576"/>
        <v>Fount Web 551AF</v>
      </c>
      <c r="Q3043" s="71">
        <f t="shared" si="1575"/>
        <v>5</v>
      </c>
      <c r="R3043" s="102">
        <v>112500</v>
      </c>
      <c r="S3043" s="102">
        <f t="shared" si="1573"/>
        <v>618750</v>
      </c>
      <c r="T3043" s="102">
        <f t="shared" si="1574"/>
        <v>562500</v>
      </c>
      <c r="U3043" s="71" t="s">
        <v>859</v>
      </c>
      <c r="V3043" s="71"/>
      <c r="W3043" s="474">
        <v>640000</v>
      </c>
      <c r="X3043" s="71"/>
      <c r="Y3043" s="71"/>
    </row>
    <row r="3044" spans="1:25" ht="30" hidden="1" customHeight="1" x14ac:dyDescent="0.25">
      <c r="A3044" s="82">
        <v>200506</v>
      </c>
      <c r="B3044" s="664" t="s">
        <v>748</v>
      </c>
      <c r="C3044" s="71" t="s">
        <v>114</v>
      </c>
      <c r="D3044" s="71">
        <v>50</v>
      </c>
      <c r="E3044" s="102">
        <v>17000</v>
      </c>
      <c r="F3044" s="102">
        <f t="shared" si="1577"/>
        <v>935000.00000000012</v>
      </c>
      <c r="G3044" s="102">
        <f t="shared" si="1578"/>
        <v>850000</v>
      </c>
      <c r="H3044" s="690" t="s">
        <v>1431</v>
      </c>
      <c r="I3044" s="71" t="s">
        <v>1431</v>
      </c>
      <c r="J3044" s="53">
        <f t="shared" si="1570"/>
        <v>400000</v>
      </c>
      <c r="K3044" s="63">
        <f t="shared" ref="K3044:K3053" si="1579">(J3044/(F3044/11*10))</f>
        <v>0.47058823529411759</v>
      </c>
      <c r="L3044" s="871" t="s">
        <v>2399</v>
      </c>
      <c r="M3044" s="468"/>
      <c r="N3044" s="664">
        <f t="shared" si="1572"/>
        <v>200506</v>
      </c>
      <c r="O3044" s="71" t="s">
        <v>1431</v>
      </c>
      <c r="P3044" s="103" t="str">
        <f t="shared" si="1576"/>
        <v>스트리퍼</v>
      </c>
      <c r="Q3044" s="71">
        <f t="shared" si="1575"/>
        <v>50</v>
      </c>
      <c r="R3044" s="102">
        <v>9000</v>
      </c>
      <c r="S3044" s="102">
        <f t="shared" si="1573"/>
        <v>495000.00000000006</v>
      </c>
      <c r="T3044" s="102">
        <f t="shared" si="1574"/>
        <v>450000</v>
      </c>
      <c r="U3044" s="71"/>
      <c r="V3044" s="71"/>
      <c r="W3044" s="474"/>
      <c r="X3044" s="71"/>
      <c r="Y3044" s="71"/>
    </row>
    <row r="3045" spans="1:25" ht="30" hidden="1" customHeight="1" x14ac:dyDescent="0.25">
      <c r="A3045" s="82">
        <v>200507</v>
      </c>
      <c r="B3045" s="664" t="s">
        <v>1127</v>
      </c>
      <c r="C3045" s="760" t="s">
        <v>123</v>
      </c>
      <c r="D3045" s="71">
        <v>5</v>
      </c>
      <c r="E3045" s="102">
        <v>40000</v>
      </c>
      <c r="F3045" s="102">
        <f t="shared" si="1577"/>
        <v>220000.00000000003</v>
      </c>
      <c r="G3045" s="102">
        <f t="shared" si="1578"/>
        <v>200000</v>
      </c>
      <c r="H3045" s="690" t="s">
        <v>142</v>
      </c>
      <c r="I3045" s="690" t="s">
        <v>142</v>
      </c>
      <c r="J3045" s="53">
        <f t="shared" si="1570"/>
        <v>87500</v>
      </c>
      <c r="K3045" s="63">
        <f t="shared" si="1579"/>
        <v>0.43749999999999994</v>
      </c>
      <c r="L3045" s="871" t="s">
        <v>2399</v>
      </c>
      <c r="M3045" s="468"/>
      <c r="N3045" s="664">
        <f t="shared" si="1572"/>
        <v>200507</v>
      </c>
      <c r="O3045" s="71" t="s">
        <v>94</v>
      </c>
      <c r="P3045" s="103" t="str">
        <f t="shared" si="1576"/>
        <v>필터백</v>
      </c>
      <c r="Q3045" s="71">
        <f t="shared" si="1575"/>
        <v>5</v>
      </c>
      <c r="R3045" s="102">
        <v>22500</v>
      </c>
      <c r="S3045" s="102">
        <f t="shared" si="1573"/>
        <v>123750.00000000001</v>
      </c>
      <c r="T3045" s="102">
        <f t="shared" si="1574"/>
        <v>112500</v>
      </c>
      <c r="U3045" s="71"/>
      <c r="V3045" s="71"/>
      <c r="W3045" s="474"/>
      <c r="X3045" s="71"/>
      <c r="Y3045" s="71"/>
    </row>
    <row r="3046" spans="1:25" ht="30" hidden="1" customHeight="1" x14ac:dyDescent="0.25">
      <c r="A3046" s="82">
        <v>200506</v>
      </c>
      <c r="B3046" s="664" t="s">
        <v>575</v>
      </c>
      <c r="C3046" s="760" t="s">
        <v>2430</v>
      </c>
      <c r="D3046" s="71">
        <v>2</v>
      </c>
      <c r="E3046" s="102">
        <v>3500000</v>
      </c>
      <c r="F3046" s="102">
        <f t="shared" si="1577"/>
        <v>7700000.0000000009</v>
      </c>
      <c r="G3046" s="102">
        <f t="shared" si="1578"/>
        <v>7000000</v>
      </c>
      <c r="H3046" s="690" t="s">
        <v>1431</v>
      </c>
      <c r="I3046" s="71" t="s">
        <v>1431</v>
      </c>
      <c r="J3046" s="53">
        <f t="shared" si="1570"/>
        <v>3143032</v>
      </c>
      <c r="K3046" s="63">
        <f t="shared" si="1579"/>
        <v>0.44900457142857136</v>
      </c>
      <c r="L3046" s="871" t="s">
        <v>2399</v>
      </c>
      <c r="M3046" s="468"/>
      <c r="N3046" s="664">
        <f t="shared" si="1572"/>
        <v>200506</v>
      </c>
      <c r="O3046" s="71" t="s">
        <v>1431</v>
      </c>
      <c r="P3046" s="103" t="str">
        <f t="shared" si="1576"/>
        <v>블랑켓 텐션 바</v>
      </c>
      <c r="Q3046" s="71">
        <f t="shared" si="1575"/>
        <v>2</v>
      </c>
      <c r="R3046" s="102">
        <v>1928484</v>
      </c>
      <c r="S3046" s="102">
        <f t="shared" si="1573"/>
        <v>4242664.8000000007</v>
      </c>
      <c r="T3046" s="102">
        <f t="shared" si="1574"/>
        <v>3856968</v>
      </c>
      <c r="U3046" s="71"/>
      <c r="V3046" s="71"/>
      <c r="W3046" s="474"/>
      <c r="X3046" s="71"/>
      <c r="Y3046" s="71"/>
    </row>
    <row r="3047" spans="1:25" ht="30" hidden="1" customHeight="1" x14ac:dyDescent="0.2">
      <c r="A3047" s="82">
        <v>200507</v>
      </c>
      <c r="B3047" s="664" t="s">
        <v>545</v>
      </c>
      <c r="C3047" s="71" t="s">
        <v>952</v>
      </c>
      <c r="D3047" s="71">
        <v>1</v>
      </c>
      <c r="E3047" s="102">
        <v>630000</v>
      </c>
      <c r="F3047" s="163">
        <f t="shared" si="1577"/>
        <v>693000</v>
      </c>
      <c r="G3047" s="102">
        <f t="shared" si="1578"/>
        <v>630000</v>
      </c>
      <c r="H3047" s="690" t="s">
        <v>173</v>
      </c>
      <c r="I3047" s="71" t="s">
        <v>108</v>
      </c>
      <c r="J3047" s="53">
        <f t="shared" si="1570"/>
        <v>190000</v>
      </c>
      <c r="K3047" s="63">
        <f t="shared" si="1579"/>
        <v>0.30158730158730157</v>
      </c>
      <c r="L3047" s="871" t="s">
        <v>2399</v>
      </c>
      <c r="M3047" s="468"/>
      <c r="N3047" s="664">
        <f t="shared" si="1572"/>
        <v>200507</v>
      </c>
      <c r="O3047" s="71" t="s">
        <v>599</v>
      </c>
      <c r="P3047" s="103" t="str">
        <f t="shared" si="1576"/>
        <v>점보롤 세정포</v>
      </c>
      <c r="Q3047" s="71">
        <f t="shared" si="1575"/>
        <v>1</v>
      </c>
      <c r="R3047" s="102">
        <v>440000</v>
      </c>
      <c r="S3047" s="102">
        <f t="shared" si="1573"/>
        <v>484000.00000000006</v>
      </c>
      <c r="T3047" s="102">
        <f t="shared" si="1574"/>
        <v>440000</v>
      </c>
      <c r="U3047" s="71" t="str">
        <f>IF(J3047=W3047,"O", "X")</f>
        <v>O</v>
      </c>
      <c r="V3047" s="71" t="s">
        <v>1228</v>
      </c>
      <c r="W3047" s="474">
        <f>(G3047-T3047)</f>
        <v>190000</v>
      </c>
      <c r="X3047" s="71"/>
      <c r="Y3047" s="71"/>
    </row>
    <row r="3048" spans="1:25" ht="30" hidden="1" customHeight="1" x14ac:dyDescent="0.25">
      <c r="A3048" s="82">
        <v>200507</v>
      </c>
      <c r="B3048" s="664" t="s">
        <v>1178</v>
      </c>
      <c r="C3048" s="71" t="s">
        <v>1489</v>
      </c>
      <c r="D3048" s="71">
        <v>500</v>
      </c>
      <c r="E3048" s="102">
        <v>4510</v>
      </c>
      <c r="F3048" s="102">
        <f>(E3048*D3048)*1.1</f>
        <v>2480500</v>
      </c>
      <c r="G3048" s="102">
        <f>(E3048*D3048)</f>
        <v>2255000</v>
      </c>
      <c r="H3048" s="690" t="s">
        <v>142</v>
      </c>
      <c r="I3048" s="71" t="s">
        <v>2273</v>
      </c>
      <c r="J3048" s="53">
        <f t="shared" si="1570"/>
        <v>625000</v>
      </c>
      <c r="K3048" s="63">
        <f t="shared" si="1579"/>
        <v>0.27716186252771619</v>
      </c>
      <c r="L3048" s="871" t="s">
        <v>2400</v>
      </c>
      <c r="M3048" s="468"/>
      <c r="N3048" s="664">
        <f t="shared" si="1572"/>
        <v>200507</v>
      </c>
      <c r="O3048" s="71" t="s">
        <v>145</v>
      </c>
      <c r="P3048" s="103" t="str">
        <f t="shared" si="1576"/>
        <v>Engage 850*780</v>
      </c>
      <c r="Q3048" s="71">
        <f t="shared" si="1575"/>
        <v>500</v>
      </c>
      <c r="R3048" s="102">
        <v>3260</v>
      </c>
      <c r="S3048" s="102">
        <f t="shared" si="1573"/>
        <v>1793000.0000000002</v>
      </c>
      <c r="T3048" s="102">
        <f t="shared" si="1574"/>
        <v>1630000</v>
      </c>
      <c r="U3048" s="71" t="s">
        <v>859</v>
      </c>
      <c r="V3048" s="71"/>
      <c r="W3048" s="474"/>
      <c r="X3048" s="71"/>
      <c r="Y3048" s="71"/>
    </row>
    <row r="3049" spans="1:25" ht="30" hidden="1" customHeight="1" x14ac:dyDescent="0.25">
      <c r="A3049" s="82">
        <v>200507</v>
      </c>
      <c r="B3049" s="664" t="s">
        <v>1178</v>
      </c>
      <c r="C3049" s="71" t="s">
        <v>1851</v>
      </c>
      <c r="D3049" s="71">
        <v>500</v>
      </c>
      <c r="E3049" s="102">
        <v>4160</v>
      </c>
      <c r="F3049" s="102">
        <f>(E3049*D3049)*1.1</f>
        <v>2288000</v>
      </c>
      <c r="G3049" s="102">
        <f>(E3049*D3049)</f>
        <v>2080000</v>
      </c>
      <c r="H3049" s="690" t="s">
        <v>142</v>
      </c>
      <c r="I3049" s="71" t="s">
        <v>2273</v>
      </c>
      <c r="J3049" s="53">
        <f t="shared" si="1570"/>
        <v>575000</v>
      </c>
      <c r="K3049" s="63">
        <f t="shared" si="1579"/>
        <v>0.27644230769230771</v>
      </c>
      <c r="L3049" s="871" t="s">
        <v>2400</v>
      </c>
      <c r="M3049" s="468" t="s">
        <v>1853</v>
      </c>
      <c r="N3049" s="664">
        <f t="shared" si="1572"/>
        <v>200507</v>
      </c>
      <c r="O3049" s="71" t="s">
        <v>145</v>
      </c>
      <c r="P3049" s="103" t="str">
        <f t="shared" si="1576"/>
        <v>Engage 850*720</v>
      </c>
      <c r="Q3049" s="71">
        <f t="shared" si="1575"/>
        <v>500</v>
      </c>
      <c r="R3049" s="102">
        <v>3010</v>
      </c>
      <c r="S3049" s="102">
        <f t="shared" si="1573"/>
        <v>1655500.0000000002</v>
      </c>
      <c r="T3049" s="102">
        <f t="shared" si="1574"/>
        <v>1505000</v>
      </c>
      <c r="U3049" s="71"/>
      <c r="V3049" s="71"/>
      <c r="W3049" s="474"/>
      <c r="X3049" s="71"/>
      <c r="Y3049" s="71"/>
    </row>
    <row r="3050" spans="1:25" ht="30" hidden="1" customHeight="1" x14ac:dyDescent="0.25">
      <c r="A3050" s="82">
        <v>200508</v>
      </c>
      <c r="B3050" s="664" t="s">
        <v>748</v>
      </c>
      <c r="C3050" s="71" t="s">
        <v>2431</v>
      </c>
      <c r="D3050" s="71">
        <v>1</v>
      </c>
      <c r="E3050" s="102">
        <v>950000</v>
      </c>
      <c r="F3050" s="102">
        <f t="shared" si="1577"/>
        <v>1045000.0000000001</v>
      </c>
      <c r="G3050" s="102">
        <f t="shared" si="1578"/>
        <v>950000</v>
      </c>
      <c r="H3050" s="690" t="s">
        <v>1431</v>
      </c>
      <c r="I3050" s="71" t="s">
        <v>1431</v>
      </c>
      <c r="J3050" s="53">
        <f t="shared" si="1570"/>
        <v>306765</v>
      </c>
      <c r="K3050" s="63">
        <f t="shared" si="1579"/>
        <v>0.32291052631578943</v>
      </c>
      <c r="L3050" s="871" t="s">
        <v>2399</v>
      </c>
      <c r="M3050" s="468"/>
      <c r="N3050" s="664">
        <f t="shared" si="1572"/>
        <v>200508</v>
      </c>
      <c r="O3050" s="71" t="s">
        <v>1431</v>
      </c>
      <c r="P3050" s="103" t="str">
        <f t="shared" si="1576"/>
        <v>Seal, Replacement</v>
      </c>
      <c r="Q3050" s="71">
        <f t="shared" si="1575"/>
        <v>1</v>
      </c>
      <c r="R3050" s="102">
        <v>643235</v>
      </c>
      <c r="S3050" s="102">
        <f t="shared" si="1573"/>
        <v>707558.5</v>
      </c>
      <c r="T3050" s="102">
        <f t="shared" si="1574"/>
        <v>643235</v>
      </c>
      <c r="U3050" s="71"/>
      <c r="V3050" s="71"/>
      <c r="W3050" s="474"/>
      <c r="X3050" s="71"/>
      <c r="Y3050" s="71"/>
    </row>
    <row r="3051" spans="1:25" ht="30" hidden="1" customHeight="1" x14ac:dyDescent="0.25">
      <c r="A3051" s="82">
        <v>200508</v>
      </c>
      <c r="B3051" s="664" t="s">
        <v>748</v>
      </c>
      <c r="C3051" s="71" t="s">
        <v>2432</v>
      </c>
      <c r="D3051" s="71">
        <v>3</v>
      </c>
      <c r="E3051" s="102">
        <v>200000</v>
      </c>
      <c r="F3051" s="102">
        <f t="shared" si="1577"/>
        <v>660000</v>
      </c>
      <c r="G3051" s="102">
        <f t="shared" si="1578"/>
        <v>600000</v>
      </c>
      <c r="H3051" s="690" t="s">
        <v>1431</v>
      </c>
      <c r="I3051" s="71" t="s">
        <v>1431</v>
      </c>
      <c r="J3051" s="53">
        <f t="shared" si="1570"/>
        <v>269016</v>
      </c>
      <c r="K3051" s="63">
        <f t="shared" si="1579"/>
        <v>0.44835999999999998</v>
      </c>
      <c r="L3051" s="871" t="s">
        <v>2399</v>
      </c>
      <c r="M3051" s="468"/>
      <c r="N3051" s="664">
        <f t="shared" si="1572"/>
        <v>200508</v>
      </c>
      <c r="O3051" s="71" t="s">
        <v>1431</v>
      </c>
      <c r="P3051" s="103" t="str">
        <f t="shared" si="1576"/>
        <v>Rack</v>
      </c>
      <c r="Q3051" s="71">
        <f t="shared" si="1575"/>
        <v>3</v>
      </c>
      <c r="R3051" s="102">
        <v>110328</v>
      </c>
      <c r="S3051" s="102">
        <f t="shared" si="1573"/>
        <v>364082.4</v>
      </c>
      <c r="T3051" s="102">
        <f t="shared" si="1574"/>
        <v>330984</v>
      </c>
      <c r="U3051" s="71"/>
      <c r="V3051" s="71"/>
      <c r="W3051" s="474"/>
      <c r="X3051" s="71"/>
      <c r="Y3051" s="71"/>
    </row>
    <row r="3052" spans="1:25" s="209" customFormat="1" ht="30" hidden="1" customHeight="1" x14ac:dyDescent="0.25">
      <c r="A3052" s="82">
        <v>200508</v>
      </c>
      <c r="B3052" s="664" t="s">
        <v>1286</v>
      </c>
      <c r="C3052" s="71" t="s">
        <v>1793</v>
      </c>
      <c r="D3052" s="71">
        <v>1</v>
      </c>
      <c r="E3052" s="102">
        <v>2900000</v>
      </c>
      <c r="F3052" s="102">
        <f t="shared" si="1577"/>
        <v>3190000.0000000005</v>
      </c>
      <c r="G3052" s="102">
        <f t="shared" si="1578"/>
        <v>2900000</v>
      </c>
      <c r="H3052" s="690" t="s">
        <v>1431</v>
      </c>
      <c r="I3052" s="71" t="s">
        <v>1431</v>
      </c>
      <c r="J3052" s="53">
        <f t="shared" si="1570"/>
        <v>1348181</v>
      </c>
      <c r="K3052" s="63">
        <f t="shared" si="1579"/>
        <v>0.46488999999999991</v>
      </c>
      <c r="L3052" s="871" t="s">
        <v>2399</v>
      </c>
      <c r="M3052" s="468"/>
      <c r="N3052" s="664">
        <f t="shared" si="1572"/>
        <v>200508</v>
      </c>
      <c r="O3052" s="71" t="s">
        <v>1431</v>
      </c>
      <c r="P3052" s="103" t="str">
        <f t="shared" si="1576"/>
        <v>파워 서플라이</v>
      </c>
      <c r="Q3052" s="71">
        <f t="shared" si="1575"/>
        <v>1</v>
      </c>
      <c r="R3052" s="102">
        <v>1551819</v>
      </c>
      <c r="S3052" s="102">
        <f t="shared" si="1573"/>
        <v>1707000.9000000001</v>
      </c>
      <c r="T3052" s="102">
        <f t="shared" si="1574"/>
        <v>1551819</v>
      </c>
      <c r="U3052" s="71"/>
      <c r="V3052" s="71"/>
      <c r="W3052" s="474"/>
      <c r="X3052" s="71"/>
      <c r="Y3052" s="71"/>
    </row>
    <row r="3053" spans="1:25" s="209" customFormat="1" ht="30" hidden="1" customHeight="1" x14ac:dyDescent="0.2">
      <c r="A3053" s="82">
        <v>200511</v>
      </c>
      <c r="B3053" s="664" t="s">
        <v>2261</v>
      </c>
      <c r="C3053" s="71" t="s">
        <v>107</v>
      </c>
      <c r="D3053" s="71">
        <v>10</v>
      </c>
      <c r="E3053" s="102">
        <v>108000</v>
      </c>
      <c r="F3053" s="163">
        <f t="shared" si="1577"/>
        <v>1188000</v>
      </c>
      <c r="G3053" s="102">
        <f t="shared" si="1578"/>
        <v>1080000</v>
      </c>
      <c r="H3053" s="165" t="s">
        <v>172</v>
      </c>
      <c r="I3053" s="71" t="s">
        <v>109</v>
      </c>
      <c r="J3053" s="53">
        <f t="shared" si="1570"/>
        <v>275000</v>
      </c>
      <c r="K3053" s="63">
        <f t="shared" si="1579"/>
        <v>0.25462962962962965</v>
      </c>
      <c r="L3053" s="871" t="s">
        <v>2399</v>
      </c>
      <c r="M3053" s="468"/>
      <c r="N3053" s="664">
        <f t="shared" si="1572"/>
        <v>200511</v>
      </c>
      <c r="O3053" s="71" t="s">
        <v>147</v>
      </c>
      <c r="P3053" s="103" t="str">
        <f t="shared" si="1576"/>
        <v>Blanket(1050*840)</v>
      </c>
      <c r="Q3053" s="71">
        <f t="shared" si="1575"/>
        <v>10</v>
      </c>
      <c r="R3053" s="102">
        <v>80500</v>
      </c>
      <c r="S3053" s="102">
        <f t="shared" si="1573"/>
        <v>885500.00000000012</v>
      </c>
      <c r="T3053" s="102">
        <f t="shared" si="1574"/>
        <v>805000</v>
      </c>
      <c r="U3053" s="71" t="s">
        <v>859</v>
      </c>
      <c r="V3053" s="71"/>
      <c r="W3053" s="474">
        <v>275000</v>
      </c>
      <c r="X3053" s="71"/>
      <c r="Y3053" s="71"/>
    </row>
    <row r="3054" spans="1:25" s="209" customFormat="1" ht="30" hidden="1" customHeight="1" x14ac:dyDescent="0.2">
      <c r="A3054" s="82">
        <v>200511</v>
      </c>
      <c r="B3054" s="664" t="s">
        <v>2155</v>
      </c>
      <c r="C3054" s="71" t="s">
        <v>231</v>
      </c>
      <c r="D3054" s="71">
        <v>10</v>
      </c>
      <c r="E3054" s="102">
        <v>120000</v>
      </c>
      <c r="F3054" s="102">
        <f t="shared" si="1577"/>
        <v>1320000</v>
      </c>
      <c r="G3054" s="102">
        <f t="shared" si="1578"/>
        <v>1200000</v>
      </c>
      <c r="H3054" s="165" t="s">
        <v>172</v>
      </c>
      <c r="I3054" s="71" t="s">
        <v>109</v>
      </c>
      <c r="J3054" s="53">
        <f t="shared" si="1570"/>
        <v>80000</v>
      </c>
      <c r="K3054" s="63">
        <v>6.6666666666666666E-2</v>
      </c>
      <c r="L3054" s="871" t="s">
        <v>2399</v>
      </c>
      <c r="M3054" s="468"/>
      <c r="N3054" s="664">
        <f t="shared" si="1572"/>
        <v>200511</v>
      </c>
      <c r="O3054" s="71" t="s">
        <v>151</v>
      </c>
      <c r="P3054" s="103" t="str">
        <f t="shared" si="1576"/>
        <v>Blanket(990*725)</v>
      </c>
      <c r="Q3054" s="71">
        <f t="shared" si="1575"/>
        <v>10</v>
      </c>
      <c r="R3054" s="102">
        <v>112000</v>
      </c>
      <c r="S3054" s="102">
        <f t="shared" si="1573"/>
        <v>1232000</v>
      </c>
      <c r="T3054" s="102">
        <f t="shared" si="1574"/>
        <v>1120000</v>
      </c>
      <c r="U3054" s="71" t="s">
        <v>859</v>
      </c>
      <c r="V3054" s="71"/>
      <c r="W3054" s="474">
        <v>80000</v>
      </c>
      <c r="X3054" s="71"/>
      <c r="Y3054" s="71"/>
    </row>
    <row r="3055" spans="1:25" ht="30" hidden="1" customHeight="1" x14ac:dyDescent="0.25">
      <c r="A3055" s="82">
        <v>200511</v>
      </c>
      <c r="B3055" s="664" t="s">
        <v>446</v>
      </c>
      <c r="C3055" s="71" t="s">
        <v>2028</v>
      </c>
      <c r="D3055" s="71">
        <v>10</v>
      </c>
      <c r="E3055" s="102">
        <v>105000</v>
      </c>
      <c r="F3055" s="102">
        <f t="shared" si="1577"/>
        <v>1155000</v>
      </c>
      <c r="G3055" s="102">
        <f t="shared" si="1578"/>
        <v>1050000</v>
      </c>
      <c r="H3055" s="690" t="s">
        <v>2029</v>
      </c>
      <c r="I3055" s="71" t="s">
        <v>2231</v>
      </c>
      <c r="J3055" s="53">
        <f t="shared" si="1570"/>
        <v>190000</v>
      </c>
      <c r="K3055" s="63">
        <f t="shared" ref="K3055:K3061" si="1580">(J3055/(F3055/11*10))</f>
        <v>0.18095238095238095</v>
      </c>
      <c r="L3055" s="871" t="s">
        <v>2399</v>
      </c>
      <c r="M3055" s="468" t="s">
        <v>3067</v>
      </c>
      <c r="N3055" s="664">
        <f t="shared" si="1572"/>
        <v>200511</v>
      </c>
      <c r="O3055" s="71" t="s">
        <v>2030</v>
      </c>
      <c r="P3055" s="103" t="str">
        <f t="shared" si="1576"/>
        <v>실리콘 에멀전</v>
      </c>
      <c r="Q3055" s="71">
        <f t="shared" si="1575"/>
        <v>10</v>
      </c>
      <c r="R3055" s="102">
        <v>86000</v>
      </c>
      <c r="S3055" s="102">
        <f t="shared" si="1573"/>
        <v>946000.00000000012</v>
      </c>
      <c r="T3055" s="102">
        <f t="shared" si="1574"/>
        <v>860000</v>
      </c>
      <c r="U3055" s="71" t="str">
        <f>IF(J3055=W3055,"O", "X")</f>
        <v>O</v>
      </c>
      <c r="V3055" s="71">
        <f>5000*Q3055</f>
        <v>50000</v>
      </c>
      <c r="W3055" s="474">
        <f>(G3055-T3055)</f>
        <v>190000</v>
      </c>
      <c r="X3055" s="71"/>
      <c r="Y3055" s="71"/>
    </row>
    <row r="3056" spans="1:25" s="209" customFormat="1" ht="30" hidden="1" customHeight="1" x14ac:dyDescent="0.2">
      <c r="A3056" s="82">
        <v>200511</v>
      </c>
      <c r="B3056" s="664" t="s">
        <v>2353</v>
      </c>
      <c r="C3056" s="71" t="s">
        <v>138</v>
      </c>
      <c r="D3056" s="71">
        <v>10</v>
      </c>
      <c r="E3056" s="102">
        <v>54400</v>
      </c>
      <c r="F3056" s="163">
        <f t="shared" si="1577"/>
        <v>598400</v>
      </c>
      <c r="G3056" s="102">
        <f t="shared" si="1578"/>
        <v>544000</v>
      </c>
      <c r="H3056" s="165" t="s">
        <v>142</v>
      </c>
      <c r="I3056" s="71" t="s">
        <v>142</v>
      </c>
      <c r="J3056" s="53">
        <f t="shared" si="1570"/>
        <v>136000</v>
      </c>
      <c r="K3056" s="63">
        <f t="shared" si="1580"/>
        <v>0.25</v>
      </c>
      <c r="L3056" s="871" t="s">
        <v>2399</v>
      </c>
      <c r="M3056" s="468" t="s">
        <v>2214</v>
      </c>
      <c r="N3056" s="664">
        <f t="shared" si="1572"/>
        <v>200511</v>
      </c>
      <c r="O3056" s="71" t="s">
        <v>2030</v>
      </c>
      <c r="P3056" s="103" t="str">
        <f t="shared" si="1576"/>
        <v>매엽용 세척제(Wash 562)</v>
      </c>
      <c r="Q3056" s="71">
        <f t="shared" si="1575"/>
        <v>10</v>
      </c>
      <c r="R3056" s="102">
        <v>40800</v>
      </c>
      <c r="S3056" s="102">
        <f t="shared" si="1573"/>
        <v>448800.00000000006</v>
      </c>
      <c r="T3056" s="102">
        <f t="shared" si="1574"/>
        <v>408000</v>
      </c>
      <c r="U3056" s="71" t="str">
        <f>IF(J3056=W3056,"O", "X")</f>
        <v>O</v>
      </c>
      <c r="V3056" s="71"/>
      <c r="W3056" s="474">
        <f>(G3056-T3056)</f>
        <v>136000</v>
      </c>
      <c r="X3056" s="71"/>
      <c r="Y3056" s="71"/>
    </row>
    <row r="3057" spans="1:25" ht="30" hidden="1" customHeight="1" x14ac:dyDescent="0.25">
      <c r="A3057" s="82">
        <v>200511</v>
      </c>
      <c r="B3057" s="664" t="s">
        <v>2353</v>
      </c>
      <c r="C3057" s="71" t="s">
        <v>2031</v>
      </c>
      <c r="D3057" s="71">
        <v>4</v>
      </c>
      <c r="E3057" s="102">
        <v>35000</v>
      </c>
      <c r="F3057" s="102">
        <f t="shared" si="1577"/>
        <v>154000</v>
      </c>
      <c r="G3057" s="102">
        <f t="shared" si="1578"/>
        <v>140000</v>
      </c>
      <c r="H3057" s="690" t="s">
        <v>142</v>
      </c>
      <c r="I3057" s="71" t="s">
        <v>142</v>
      </c>
      <c r="J3057" s="53">
        <f t="shared" si="1570"/>
        <v>50156</v>
      </c>
      <c r="K3057" s="63">
        <f t="shared" si="1580"/>
        <v>0.35825714285714283</v>
      </c>
      <c r="L3057" s="871" t="s">
        <v>2399</v>
      </c>
      <c r="M3057" s="468" t="s">
        <v>2054</v>
      </c>
      <c r="N3057" s="664">
        <f t="shared" si="1572"/>
        <v>200511</v>
      </c>
      <c r="O3057" s="71" t="s">
        <v>94</v>
      </c>
      <c r="P3057" s="103" t="str">
        <f t="shared" si="1576"/>
        <v>필터백</v>
      </c>
      <c r="Q3057" s="71">
        <f t="shared" si="1575"/>
        <v>4</v>
      </c>
      <c r="R3057" s="102">
        <v>22461</v>
      </c>
      <c r="S3057" s="102">
        <f t="shared" si="1573"/>
        <v>98828.400000000009</v>
      </c>
      <c r="T3057" s="102">
        <f t="shared" si="1574"/>
        <v>89844</v>
      </c>
      <c r="U3057" s="71" t="str">
        <f>IF(J3057=W3057,"O", "X")</f>
        <v>X</v>
      </c>
      <c r="V3057" s="71"/>
      <c r="W3057" s="474"/>
      <c r="X3057" s="71"/>
      <c r="Y3057" s="71"/>
    </row>
    <row r="3058" spans="1:25" ht="30" hidden="1" customHeight="1" x14ac:dyDescent="0.2">
      <c r="A3058" s="82">
        <v>200511</v>
      </c>
      <c r="B3058" s="664" t="s">
        <v>2353</v>
      </c>
      <c r="C3058" s="71" t="s">
        <v>129</v>
      </c>
      <c r="D3058" s="71">
        <v>7</v>
      </c>
      <c r="E3058" s="102">
        <v>272000</v>
      </c>
      <c r="F3058" s="163">
        <f t="shared" si="1577"/>
        <v>2094400.0000000002</v>
      </c>
      <c r="G3058" s="102">
        <f t="shared" si="1578"/>
        <v>1904000</v>
      </c>
      <c r="H3058" s="165" t="s">
        <v>142</v>
      </c>
      <c r="I3058" s="71" t="s">
        <v>142</v>
      </c>
      <c r="J3058" s="53">
        <f t="shared" si="1570"/>
        <v>448000</v>
      </c>
      <c r="K3058" s="63">
        <f t="shared" si="1580"/>
        <v>0.23529411764705879</v>
      </c>
      <c r="L3058" s="871" t="s">
        <v>2399</v>
      </c>
      <c r="M3058" s="468" t="s">
        <v>2050</v>
      </c>
      <c r="N3058" s="664">
        <f t="shared" si="1572"/>
        <v>200511</v>
      </c>
      <c r="O3058" s="71" t="s">
        <v>149</v>
      </c>
      <c r="P3058" s="103" t="str">
        <f t="shared" si="1576"/>
        <v>세정포-XL106</v>
      </c>
      <c r="Q3058" s="71">
        <f t="shared" si="1575"/>
        <v>7</v>
      </c>
      <c r="R3058" s="102">
        <v>208000</v>
      </c>
      <c r="S3058" s="102">
        <f t="shared" si="1573"/>
        <v>1601600.0000000002</v>
      </c>
      <c r="T3058" s="102">
        <f t="shared" si="1574"/>
        <v>1456000</v>
      </c>
      <c r="U3058" s="71" t="str">
        <f>IF(J3058=W3058,"O", "X")</f>
        <v>O</v>
      </c>
      <c r="V3058" s="71"/>
      <c r="W3058" s="474">
        <f>(G3058-T3058)</f>
        <v>448000</v>
      </c>
      <c r="X3058" s="71"/>
      <c r="Y3058" s="71"/>
    </row>
    <row r="3059" spans="1:25" s="209" customFormat="1" ht="30" hidden="1" customHeight="1" x14ac:dyDescent="0.2">
      <c r="A3059" s="82">
        <v>200511</v>
      </c>
      <c r="B3059" s="664" t="s">
        <v>2353</v>
      </c>
      <c r="C3059" s="71" t="s">
        <v>130</v>
      </c>
      <c r="D3059" s="71">
        <v>10</v>
      </c>
      <c r="E3059" s="102">
        <v>125000</v>
      </c>
      <c r="F3059" s="163">
        <f t="shared" si="1577"/>
        <v>1375000</v>
      </c>
      <c r="G3059" s="102">
        <f t="shared" si="1578"/>
        <v>1250000</v>
      </c>
      <c r="H3059" s="165" t="s">
        <v>142</v>
      </c>
      <c r="I3059" s="71" t="s">
        <v>142</v>
      </c>
      <c r="J3059" s="53">
        <f>(G3059-(VLOOKUP(C3059,Price!B:D,3,FALSE)*D3059))</f>
        <v>260000</v>
      </c>
      <c r="K3059" s="63">
        <f t="shared" si="1580"/>
        <v>0.20799999999999999</v>
      </c>
      <c r="L3059" s="871" t="s">
        <v>2399</v>
      </c>
      <c r="M3059" s="468" t="s">
        <v>2050</v>
      </c>
      <c r="N3059" s="664">
        <f t="shared" si="1572"/>
        <v>200511</v>
      </c>
      <c r="O3059" s="71" t="s">
        <v>150</v>
      </c>
      <c r="P3059" s="103" t="str">
        <f t="shared" si="1576"/>
        <v>XL106 Blanket(1077*885)</v>
      </c>
      <c r="Q3059" s="71">
        <f t="shared" si="1575"/>
        <v>10</v>
      </c>
      <c r="R3059" s="102">
        <v>99000</v>
      </c>
      <c r="S3059" s="102">
        <f t="shared" si="1573"/>
        <v>1089000</v>
      </c>
      <c r="T3059" s="102">
        <f t="shared" si="1574"/>
        <v>990000</v>
      </c>
      <c r="U3059" s="71" t="str">
        <f>IF(J3059=W3059,"O", "X")</f>
        <v>O</v>
      </c>
      <c r="V3059" s="71"/>
      <c r="W3059" s="474">
        <f>(G3059-T3059)</f>
        <v>260000</v>
      </c>
      <c r="X3059" s="71"/>
      <c r="Y3059" s="71"/>
    </row>
    <row r="3060" spans="1:25" s="209" customFormat="1" ht="30" hidden="1" customHeight="1" x14ac:dyDescent="0.2">
      <c r="A3060" s="82">
        <v>200512</v>
      </c>
      <c r="B3060" s="663" t="s">
        <v>2433</v>
      </c>
      <c r="C3060" s="73" t="s">
        <v>1022</v>
      </c>
      <c r="D3060" s="73">
        <v>3</v>
      </c>
      <c r="E3060" s="147">
        <v>700000</v>
      </c>
      <c r="F3060" s="160">
        <f t="shared" si="1577"/>
        <v>2310000</v>
      </c>
      <c r="G3060" s="147">
        <f t="shared" si="1578"/>
        <v>2100000</v>
      </c>
      <c r="H3060" s="161" t="s">
        <v>173</v>
      </c>
      <c r="I3060" s="71" t="s">
        <v>2184</v>
      </c>
      <c r="J3060" s="53">
        <f t="shared" ref="J3060:J3069" si="1581">G3060-T3060</f>
        <v>1180500</v>
      </c>
      <c r="K3060" s="63">
        <f>(J3060/(F3060/11*10))</f>
        <v>0.56214285714285717</v>
      </c>
      <c r="L3060" s="871" t="s">
        <v>2399</v>
      </c>
      <c r="M3060" s="584"/>
      <c r="N3060" s="664">
        <f t="shared" si="1572"/>
        <v>200512</v>
      </c>
      <c r="O3060" s="73" t="s">
        <v>2179</v>
      </c>
      <c r="P3060" s="103" t="str">
        <f t="shared" si="1576"/>
        <v>UV Lamp</v>
      </c>
      <c r="Q3060" s="71">
        <f t="shared" si="1575"/>
        <v>3</v>
      </c>
      <c r="R3060" s="147">
        <v>306500</v>
      </c>
      <c r="S3060" s="102">
        <f t="shared" si="1573"/>
        <v>1011450.0000000001</v>
      </c>
      <c r="T3060" s="102">
        <f t="shared" si="1574"/>
        <v>919500</v>
      </c>
      <c r="U3060" s="71"/>
      <c r="V3060" s="73"/>
      <c r="W3060" s="473"/>
      <c r="X3060" s="73"/>
      <c r="Y3060" s="73"/>
    </row>
    <row r="3061" spans="1:25" ht="30" hidden="1" customHeight="1" x14ac:dyDescent="0.2">
      <c r="A3061" s="82">
        <v>200512</v>
      </c>
      <c r="B3061" s="664" t="s">
        <v>545</v>
      </c>
      <c r="C3061" s="71" t="s">
        <v>227</v>
      </c>
      <c r="D3061" s="71">
        <v>10</v>
      </c>
      <c r="E3061" s="102">
        <v>110000</v>
      </c>
      <c r="F3061" s="163">
        <f t="shared" si="1577"/>
        <v>1210000</v>
      </c>
      <c r="G3061" s="102">
        <f t="shared" si="1578"/>
        <v>1100000</v>
      </c>
      <c r="H3061" s="690" t="s">
        <v>173</v>
      </c>
      <c r="I3061" s="71" t="s">
        <v>109</v>
      </c>
      <c r="J3061" s="53">
        <f t="shared" si="1581"/>
        <v>271000</v>
      </c>
      <c r="K3061" s="63">
        <f t="shared" si="1580"/>
        <v>0.24636363636363637</v>
      </c>
      <c r="L3061" s="871" t="s">
        <v>2399</v>
      </c>
      <c r="M3061" s="468"/>
      <c r="N3061" s="664">
        <f t="shared" si="1572"/>
        <v>200512</v>
      </c>
      <c r="O3061" s="71" t="s">
        <v>147</v>
      </c>
      <c r="P3061" s="103" t="str">
        <f t="shared" si="1576"/>
        <v>Blanket(1060*860)</v>
      </c>
      <c r="Q3061" s="71">
        <f t="shared" si="1575"/>
        <v>10</v>
      </c>
      <c r="R3061" s="102">
        <v>82900</v>
      </c>
      <c r="S3061" s="102">
        <f t="shared" si="1573"/>
        <v>911900.00000000012</v>
      </c>
      <c r="T3061" s="102">
        <f t="shared" si="1574"/>
        <v>829000</v>
      </c>
      <c r="U3061" s="71" t="str">
        <f>IF(J3061=W3061,"O", "X")</f>
        <v>O</v>
      </c>
      <c r="V3061" s="71"/>
      <c r="W3061" s="474">
        <f>(G3061-T3061)</f>
        <v>271000</v>
      </c>
      <c r="X3061" s="71"/>
      <c r="Y3061" s="71"/>
    </row>
    <row r="3062" spans="1:25" ht="30" hidden="1" customHeight="1" x14ac:dyDescent="0.25">
      <c r="A3062" s="82">
        <v>200512</v>
      </c>
      <c r="B3062" s="664" t="s">
        <v>564</v>
      </c>
      <c r="C3062" s="71" t="s">
        <v>1608</v>
      </c>
      <c r="D3062" s="71">
        <v>4</v>
      </c>
      <c r="E3062" s="102">
        <v>165000</v>
      </c>
      <c r="F3062" s="102">
        <v>726000.00000000012</v>
      </c>
      <c r="G3062" s="102">
        <v>660000</v>
      </c>
      <c r="H3062" s="690" t="s">
        <v>173</v>
      </c>
      <c r="I3062" s="71" t="s">
        <v>109</v>
      </c>
      <c r="J3062" s="53">
        <f t="shared" si="1581"/>
        <v>120000</v>
      </c>
      <c r="K3062" s="63">
        <v>0.1818181818181818</v>
      </c>
      <c r="L3062" s="871" t="s">
        <v>2399</v>
      </c>
      <c r="M3062" s="468"/>
      <c r="N3062" s="664">
        <f t="shared" si="1572"/>
        <v>200512</v>
      </c>
      <c r="O3062" s="71" t="s">
        <v>151</v>
      </c>
      <c r="P3062" s="103" t="str">
        <f t="shared" si="1576"/>
        <v>1050*840 블랑켓</v>
      </c>
      <c r="Q3062" s="71">
        <f t="shared" si="1575"/>
        <v>4</v>
      </c>
      <c r="R3062" s="102">
        <v>135000</v>
      </c>
      <c r="S3062" s="102">
        <f t="shared" si="1573"/>
        <v>594000</v>
      </c>
      <c r="T3062" s="102">
        <f t="shared" si="1574"/>
        <v>540000</v>
      </c>
      <c r="U3062" s="71"/>
      <c r="V3062" s="71"/>
      <c r="W3062" s="474"/>
      <c r="X3062" s="71"/>
      <c r="Y3062" s="71"/>
    </row>
    <row r="3063" spans="1:25" ht="30" hidden="1" customHeight="1" x14ac:dyDescent="0.2">
      <c r="A3063" s="82">
        <v>200512</v>
      </c>
      <c r="B3063" s="664" t="s">
        <v>564</v>
      </c>
      <c r="C3063" s="71" t="s">
        <v>1235</v>
      </c>
      <c r="D3063" s="71">
        <v>2</v>
      </c>
      <c r="E3063" s="102">
        <v>165000</v>
      </c>
      <c r="F3063" s="163">
        <f t="shared" ref="F3063:F3084" si="1582">(E3063*D3063)*1.1</f>
        <v>363000.00000000006</v>
      </c>
      <c r="G3063" s="163">
        <f t="shared" ref="G3063:G3084" si="1583">(E3063*D3063)</f>
        <v>330000</v>
      </c>
      <c r="H3063" s="690" t="s">
        <v>173</v>
      </c>
      <c r="I3063" s="71" t="s">
        <v>2231</v>
      </c>
      <c r="J3063" s="53">
        <f t="shared" si="1581"/>
        <v>140000</v>
      </c>
      <c r="K3063" s="63">
        <f>(J3063/(F3063/11*10))</f>
        <v>0.42424242424242414</v>
      </c>
      <c r="L3063" s="871" t="s">
        <v>2399</v>
      </c>
      <c r="M3063" s="468"/>
      <c r="N3063" s="664">
        <f t="shared" si="1572"/>
        <v>200512</v>
      </c>
      <c r="O3063" s="73" t="s">
        <v>150</v>
      </c>
      <c r="P3063" s="103" t="str">
        <f t="shared" si="1576"/>
        <v>독일제 아스테이지</v>
      </c>
      <c r="Q3063" s="71">
        <f t="shared" si="1575"/>
        <v>2</v>
      </c>
      <c r="R3063" s="147">
        <v>95000</v>
      </c>
      <c r="S3063" s="102">
        <f t="shared" si="1573"/>
        <v>209000.00000000003</v>
      </c>
      <c r="T3063" s="102">
        <f t="shared" si="1574"/>
        <v>190000</v>
      </c>
      <c r="U3063" s="73" t="str">
        <f>IF(J3063=W3063,"O", "X")</f>
        <v>O</v>
      </c>
      <c r="V3063" s="73"/>
      <c r="W3063" s="473">
        <f>(G3063-T3063)</f>
        <v>140000</v>
      </c>
      <c r="X3063" s="71"/>
      <c r="Y3063" s="71"/>
    </row>
    <row r="3064" spans="1:25" s="209" customFormat="1" ht="30" hidden="1" customHeight="1" x14ac:dyDescent="0.25">
      <c r="A3064" s="82">
        <v>200514</v>
      </c>
      <c r="B3064" s="664" t="s">
        <v>2155</v>
      </c>
      <c r="C3064" s="71" t="s">
        <v>138</v>
      </c>
      <c r="D3064" s="71">
        <v>10</v>
      </c>
      <c r="E3064" s="102">
        <v>47600</v>
      </c>
      <c r="F3064" s="163">
        <f t="shared" si="1582"/>
        <v>523600.00000000006</v>
      </c>
      <c r="G3064" s="102">
        <f t="shared" si="1583"/>
        <v>476000</v>
      </c>
      <c r="H3064" s="1129" t="s">
        <v>172</v>
      </c>
      <c r="I3064" s="71" t="s">
        <v>108</v>
      </c>
      <c r="J3064" s="53">
        <f t="shared" si="1581"/>
        <v>68000</v>
      </c>
      <c r="K3064" s="63">
        <f>(J3064/(F3064/11*10))</f>
        <v>0.14285714285714285</v>
      </c>
      <c r="L3064" s="871" t="s">
        <v>2399</v>
      </c>
      <c r="M3064" s="468" t="s">
        <v>2214</v>
      </c>
      <c r="N3064" s="664">
        <f t="shared" si="1572"/>
        <v>200514</v>
      </c>
      <c r="O3064" s="71" t="s">
        <v>150</v>
      </c>
      <c r="P3064" s="103" t="str">
        <f t="shared" si="1576"/>
        <v>매엽용 세척제(Wash 562)</v>
      </c>
      <c r="Q3064" s="71">
        <f t="shared" si="1575"/>
        <v>10</v>
      </c>
      <c r="R3064" s="102">
        <v>40800</v>
      </c>
      <c r="S3064" s="102">
        <f t="shared" si="1573"/>
        <v>448800.00000000006</v>
      </c>
      <c r="T3064" s="102">
        <f t="shared" si="1574"/>
        <v>408000</v>
      </c>
      <c r="U3064" s="71" t="s">
        <v>859</v>
      </c>
      <c r="V3064" s="71"/>
      <c r="W3064" s="474">
        <v>85000</v>
      </c>
      <c r="X3064" s="71"/>
      <c r="Y3064" s="71"/>
    </row>
    <row r="3065" spans="1:25" ht="30" hidden="1" customHeight="1" x14ac:dyDescent="0.25">
      <c r="A3065" s="82">
        <v>200514</v>
      </c>
      <c r="B3065" s="664" t="s">
        <v>2155</v>
      </c>
      <c r="C3065" s="71" t="s">
        <v>277</v>
      </c>
      <c r="D3065" s="71">
        <v>5</v>
      </c>
      <c r="E3065" s="102">
        <v>172000</v>
      </c>
      <c r="F3065" s="102">
        <f t="shared" si="1582"/>
        <v>946000.00000000012</v>
      </c>
      <c r="G3065" s="102">
        <f t="shared" si="1583"/>
        <v>860000</v>
      </c>
      <c r="H3065" s="690" t="s">
        <v>173</v>
      </c>
      <c r="I3065" s="71" t="s">
        <v>108</v>
      </c>
      <c r="J3065" s="53">
        <f t="shared" si="1581"/>
        <v>285000</v>
      </c>
      <c r="K3065" s="63">
        <v>0.33139534883720928</v>
      </c>
      <c r="L3065" s="871" t="s">
        <v>2399</v>
      </c>
      <c r="M3065" s="468"/>
      <c r="N3065" s="664">
        <f t="shared" si="1572"/>
        <v>200514</v>
      </c>
      <c r="O3065" s="71" t="s">
        <v>150</v>
      </c>
      <c r="P3065" s="103" t="str">
        <f t="shared" si="1576"/>
        <v>윤전용 세척제(Web 504)</v>
      </c>
      <c r="Q3065" s="71">
        <f t="shared" si="1575"/>
        <v>5</v>
      </c>
      <c r="R3065" s="102">
        <v>115000</v>
      </c>
      <c r="S3065" s="102">
        <f t="shared" si="1573"/>
        <v>632500</v>
      </c>
      <c r="T3065" s="102">
        <f t="shared" si="1574"/>
        <v>575000</v>
      </c>
      <c r="U3065" s="71" t="s">
        <v>859</v>
      </c>
      <c r="V3065" s="71"/>
      <c r="W3065" s="474">
        <v>285000</v>
      </c>
      <c r="X3065" s="71"/>
      <c r="Y3065" s="71"/>
    </row>
    <row r="3066" spans="1:25" ht="30" hidden="1" customHeight="1" x14ac:dyDescent="0.25">
      <c r="A3066" s="82">
        <v>200514</v>
      </c>
      <c r="B3066" s="664" t="s">
        <v>2155</v>
      </c>
      <c r="C3066" s="760" t="s">
        <v>218</v>
      </c>
      <c r="D3066" s="71">
        <v>5</v>
      </c>
      <c r="E3066" s="102">
        <v>192500</v>
      </c>
      <c r="F3066" s="102">
        <f t="shared" si="1582"/>
        <v>1058750</v>
      </c>
      <c r="G3066" s="102">
        <f t="shared" si="1583"/>
        <v>962500</v>
      </c>
      <c r="H3066" s="690" t="s">
        <v>173</v>
      </c>
      <c r="I3066" s="71" t="s">
        <v>120</v>
      </c>
      <c r="J3066" s="53">
        <f t="shared" si="1581"/>
        <v>400000</v>
      </c>
      <c r="K3066" s="63">
        <v>0.4155844155844155</v>
      </c>
      <c r="L3066" s="871" t="s">
        <v>2399</v>
      </c>
      <c r="M3066" s="468"/>
      <c r="N3066" s="664">
        <f t="shared" si="1572"/>
        <v>200514</v>
      </c>
      <c r="O3066" s="71" t="s">
        <v>150</v>
      </c>
      <c r="P3066" s="103" t="str">
        <f t="shared" si="1576"/>
        <v>Fount Web 551AF</v>
      </c>
      <c r="Q3066" s="71">
        <f t="shared" si="1575"/>
        <v>5</v>
      </c>
      <c r="R3066" s="102">
        <v>112500</v>
      </c>
      <c r="S3066" s="102">
        <f t="shared" si="1573"/>
        <v>618750</v>
      </c>
      <c r="T3066" s="102">
        <f t="shared" si="1574"/>
        <v>562500</v>
      </c>
      <c r="U3066" s="71" t="s">
        <v>859</v>
      </c>
      <c r="V3066" s="71"/>
      <c r="W3066" s="474">
        <v>640000</v>
      </c>
      <c r="X3066" s="71"/>
      <c r="Y3066" s="71"/>
    </row>
    <row r="3067" spans="1:25" ht="30" hidden="1" customHeight="1" x14ac:dyDescent="0.25">
      <c r="A3067" s="82">
        <v>200518</v>
      </c>
      <c r="B3067" s="664" t="s">
        <v>546</v>
      </c>
      <c r="C3067" s="71" t="s">
        <v>2434</v>
      </c>
      <c r="D3067" s="71">
        <v>1</v>
      </c>
      <c r="E3067" s="102">
        <v>850000</v>
      </c>
      <c r="F3067" s="102">
        <f t="shared" si="1582"/>
        <v>935000.00000000012</v>
      </c>
      <c r="G3067" s="102">
        <f t="shared" si="1583"/>
        <v>850000</v>
      </c>
      <c r="H3067" s="690" t="s">
        <v>1431</v>
      </c>
      <c r="I3067" s="71" t="s">
        <v>1431</v>
      </c>
      <c r="J3067" s="53">
        <f t="shared" si="1581"/>
        <v>209322</v>
      </c>
      <c r="K3067" s="63">
        <f t="shared" ref="K3067:K3077" si="1584">(J3067/(F3067/11*10))</f>
        <v>0.24626117647058821</v>
      </c>
      <c r="L3067" s="871" t="s">
        <v>2399</v>
      </c>
      <c r="M3067" s="468"/>
      <c r="N3067" s="664">
        <f t="shared" si="1572"/>
        <v>200518</v>
      </c>
      <c r="O3067" s="71" t="s">
        <v>1431</v>
      </c>
      <c r="P3067" s="103" t="str">
        <f t="shared" si="1576"/>
        <v>샤프트 잠금 장치</v>
      </c>
      <c r="Q3067" s="71">
        <f t="shared" si="1575"/>
        <v>1</v>
      </c>
      <c r="R3067" s="102">
        <v>640678</v>
      </c>
      <c r="S3067" s="102">
        <f t="shared" si="1573"/>
        <v>704745.8</v>
      </c>
      <c r="T3067" s="102">
        <f t="shared" si="1574"/>
        <v>640678</v>
      </c>
      <c r="U3067" s="71"/>
      <c r="V3067" s="71"/>
      <c r="W3067" s="474"/>
      <c r="X3067" s="71"/>
      <c r="Y3067" s="71"/>
    </row>
    <row r="3068" spans="1:25" ht="30" hidden="1" customHeight="1" x14ac:dyDescent="0.25">
      <c r="A3068" s="82">
        <v>200518</v>
      </c>
      <c r="B3068" s="664" t="s">
        <v>546</v>
      </c>
      <c r="C3068" s="71" t="s">
        <v>2435</v>
      </c>
      <c r="D3068" s="71">
        <v>30</v>
      </c>
      <c r="E3068" s="102">
        <v>20000</v>
      </c>
      <c r="F3068" s="102">
        <f t="shared" si="1582"/>
        <v>660000</v>
      </c>
      <c r="G3068" s="102">
        <f t="shared" si="1583"/>
        <v>600000</v>
      </c>
      <c r="H3068" s="690" t="s">
        <v>1431</v>
      </c>
      <c r="I3068" s="71" t="s">
        <v>1431</v>
      </c>
      <c r="J3068" s="53">
        <f t="shared" si="1581"/>
        <v>240210</v>
      </c>
      <c r="K3068" s="63">
        <f t="shared" si="1584"/>
        <v>0.40034999999999998</v>
      </c>
      <c r="L3068" s="871" t="s">
        <v>2399</v>
      </c>
      <c r="M3068" s="468"/>
      <c r="N3068" s="664">
        <f t="shared" si="1572"/>
        <v>200518</v>
      </c>
      <c r="O3068" s="71" t="s">
        <v>1431</v>
      </c>
      <c r="P3068" s="103" t="str">
        <f t="shared" si="1576"/>
        <v>잉크 파운틴 호일</v>
      </c>
      <c r="Q3068" s="71">
        <f t="shared" si="1575"/>
        <v>30</v>
      </c>
      <c r="R3068" s="102">
        <v>11993</v>
      </c>
      <c r="S3068" s="102">
        <f t="shared" ref="S3068:S3099" si="1585">R3068*Q3068*1.1</f>
        <v>395769.00000000006</v>
      </c>
      <c r="T3068" s="102">
        <f t="shared" ref="T3068:T3099" si="1586">R3068*Q3068</f>
        <v>359790</v>
      </c>
      <c r="U3068" s="71"/>
      <c r="V3068" s="71"/>
      <c r="W3068" s="474"/>
      <c r="X3068" s="71"/>
      <c r="Y3068" s="71"/>
    </row>
    <row r="3069" spans="1:25" ht="30" hidden="1" customHeight="1" x14ac:dyDescent="0.25">
      <c r="A3069" s="82">
        <v>200518</v>
      </c>
      <c r="B3069" s="664" t="s">
        <v>546</v>
      </c>
      <c r="C3069" s="71" t="s">
        <v>920</v>
      </c>
      <c r="D3069" s="71">
        <v>2</v>
      </c>
      <c r="E3069" s="102">
        <v>260000</v>
      </c>
      <c r="F3069" s="102">
        <f t="shared" si="1582"/>
        <v>572000</v>
      </c>
      <c r="G3069" s="102">
        <f t="shared" si="1583"/>
        <v>520000</v>
      </c>
      <c r="H3069" s="690" t="s">
        <v>1431</v>
      </c>
      <c r="I3069" s="71" t="s">
        <v>1431</v>
      </c>
      <c r="J3069" s="53">
        <f t="shared" si="1581"/>
        <v>152294</v>
      </c>
      <c r="K3069" s="63">
        <f t="shared" si="1584"/>
        <v>0.2928730769230769</v>
      </c>
      <c r="L3069" s="871" t="s">
        <v>2399</v>
      </c>
      <c r="M3069" s="468"/>
      <c r="N3069" s="664">
        <f t="shared" si="1572"/>
        <v>200518</v>
      </c>
      <c r="O3069" s="71" t="s">
        <v>1431</v>
      </c>
      <c r="P3069" s="103" t="str">
        <f t="shared" si="1576"/>
        <v>에어 실린더</v>
      </c>
      <c r="Q3069" s="71">
        <f t="shared" si="1575"/>
        <v>2</v>
      </c>
      <c r="R3069" s="102">
        <v>183853</v>
      </c>
      <c r="S3069" s="102">
        <f t="shared" si="1585"/>
        <v>404476.60000000003</v>
      </c>
      <c r="T3069" s="102">
        <f t="shared" si="1586"/>
        <v>367706</v>
      </c>
      <c r="U3069" s="71"/>
      <c r="V3069" s="71"/>
      <c r="W3069" s="474"/>
      <c r="X3069" s="71"/>
      <c r="Y3069" s="71"/>
    </row>
    <row r="3070" spans="1:25" ht="30" customHeight="1" x14ac:dyDescent="0.2">
      <c r="A3070" s="82">
        <v>200518</v>
      </c>
      <c r="B3070" s="664" t="s">
        <v>2352</v>
      </c>
      <c r="C3070" s="760" t="s">
        <v>218</v>
      </c>
      <c r="D3070" s="71">
        <v>5</v>
      </c>
      <c r="E3070" s="102">
        <v>235000</v>
      </c>
      <c r="F3070" s="163">
        <f t="shared" si="1582"/>
        <v>1292500</v>
      </c>
      <c r="G3070" s="102">
        <f t="shared" si="1583"/>
        <v>1175000</v>
      </c>
      <c r="H3070" s="690" t="s">
        <v>142</v>
      </c>
      <c r="I3070" s="71" t="s">
        <v>142</v>
      </c>
      <c r="J3070" s="53">
        <f>(G3070-(VLOOKUP(C3070,Price!B:D,3,FALSE)*D3070))</f>
        <v>612500</v>
      </c>
      <c r="K3070" s="63">
        <f t="shared" si="1584"/>
        <v>0.52127659574468088</v>
      </c>
      <c r="L3070" s="871" t="s">
        <v>2399</v>
      </c>
      <c r="M3070" s="468" t="s">
        <v>2053</v>
      </c>
      <c r="N3070" s="664">
        <f t="shared" si="1572"/>
        <v>200518</v>
      </c>
      <c r="O3070" s="71" t="s">
        <v>150</v>
      </c>
      <c r="P3070" s="103" t="str">
        <f t="shared" si="1576"/>
        <v>Fount Web 551AF</v>
      </c>
      <c r="Q3070" s="71">
        <f t="shared" si="1575"/>
        <v>5</v>
      </c>
      <c r="R3070" s="102">
        <v>112500</v>
      </c>
      <c r="S3070" s="102">
        <f t="shared" si="1585"/>
        <v>618750</v>
      </c>
      <c r="T3070" s="102">
        <f t="shared" si="1586"/>
        <v>562500</v>
      </c>
      <c r="U3070" s="71" t="str">
        <f>IF(J3070=W3070,"O", "X")</f>
        <v>O</v>
      </c>
      <c r="V3070" s="71"/>
      <c r="W3070" s="474">
        <f>(G3070-T3070)</f>
        <v>612500</v>
      </c>
      <c r="X3070" s="71"/>
      <c r="Y3070" s="71"/>
    </row>
    <row r="3071" spans="1:25" ht="30" hidden="1" customHeight="1" x14ac:dyDescent="0.25">
      <c r="A3071" s="82">
        <v>200519</v>
      </c>
      <c r="B3071" s="664" t="s">
        <v>690</v>
      </c>
      <c r="C3071" s="71" t="s">
        <v>1186</v>
      </c>
      <c r="D3071" s="71">
        <v>500</v>
      </c>
      <c r="E3071" s="102">
        <v>3420</v>
      </c>
      <c r="F3071" s="1128">
        <f t="shared" si="1582"/>
        <v>1881000.0000000002</v>
      </c>
      <c r="G3071" s="102">
        <f t="shared" si="1583"/>
        <v>1710000</v>
      </c>
      <c r="H3071" s="690" t="s">
        <v>173</v>
      </c>
      <c r="I3071" s="71" t="s">
        <v>2230</v>
      </c>
      <c r="J3071" s="53">
        <f t="shared" ref="J3071:J3086" si="1587">G3071-T3071</f>
        <v>-190000</v>
      </c>
      <c r="K3071" s="63">
        <f t="shared" si="1584"/>
        <v>-0.11111111111111109</v>
      </c>
      <c r="L3071" s="871" t="s">
        <v>2399</v>
      </c>
      <c r="M3071" s="468" t="s">
        <v>1393</v>
      </c>
      <c r="N3071" s="664">
        <f t="shared" si="1572"/>
        <v>200519</v>
      </c>
      <c r="O3071" s="71" t="s">
        <v>145</v>
      </c>
      <c r="P3071" s="103" t="str">
        <f t="shared" si="1576"/>
        <v>CTP 판(1030*790mm)</v>
      </c>
      <c r="Q3071" s="71">
        <f t="shared" si="1575"/>
        <v>500</v>
      </c>
      <c r="R3071" s="102">
        <v>3800</v>
      </c>
      <c r="S3071" s="102">
        <f t="shared" si="1585"/>
        <v>2090000.0000000002</v>
      </c>
      <c r="T3071" s="102">
        <f t="shared" si="1586"/>
        <v>1900000</v>
      </c>
      <c r="U3071" s="71" t="s">
        <v>859</v>
      </c>
      <c r="V3071" s="71"/>
      <c r="W3071" s="474">
        <v>-200000</v>
      </c>
      <c r="X3071" s="71"/>
      <c r="Y3071" s="71"/>
    </row>
    <row r="3072" spans="1:25" ht="30" hidden="1" customHeight="1" x14ac:dyDescent="0.25">
      <c r="A3072" s="82">
        <v>200520</v>
      </c>
      <c r="B3072" s="664" t="s">
        <v>627</v>
      </c>
      <c r="C3072" s="71" t="s">
        <v>579</v>
      </c>
      <c r="D3072" s="71">
        <v>1</v>
      </c>
      <c r="E3072" s="102">
        <v>1000000</v>
      </c>
      <c r="F3072" s="102">
        <f t="shared" si="1582"/>
        <v>1100000</v>
      </c>
      <c r="G3072" s="102">
        <f t="shared" si="1583"/>
        <v>1000000</v>
      </c>
      <c r="H3072" s="690" t="s">
        <v>985</v>
      </c>
      <c r="I3072" s="71" t="s">
        <v>985</v>
      </c>
      <c r="J3072" s="53">
        <f t="shared" si="1587"/>
        <v>1000000</v>
      </c>
      <c r="K3072" s="63">
        <f t="shared" si="1584"/>
        <v>1</v>
      </c>
      <c r="L3072" s="871" t="s">
        <v>2399</v>
      </c>
      <c r="M3072" s="468"/>
      <c r="N3072" s="664">
        <f t="shared" si="1572"/>
        <v>200520</v>
      </c>
      <c r="O3072" s="71"/>
      <c r="P3072" s="103" t="str">
        <f t="shared" si="1576"/>
        <v>M-600 서비스 비용</v>
      </c>
      <c r="Q3072" s="71">
        <f t="shared" si="1575"/>
        <v>1</v>
      </c>
      <c r="R3072" s="102"/>
      <c r="S3072" s="102">
        <f t="shared" si="1585"/>
        <v>0</v>
      </c>
      <c r="T3072" s="102">
        <f t="shared" si="1586"/>
        <v>0</v>
      </c>
      <c r="U3072" s="71"/>
      <c r="V3072" s="71"/>
      <c r="W3072" s="474"/>
      <c r="X3072" s="71"/>
      <c r="Y3072" s="71"/>
    </row>
    <row r="3073" spans="1:25" ht="30" hidden="1" customHeight="1" x14ac:dyDescent="0.25">
      <c r="A3073" s="82">
        <v>200520</v>
      </c>
      <c r="B3073" s="664" t="s">
        <v>746</v>
      </c>
      <c r="C3073" s="71" t="s">
        <v>123</v>
      </c>
      <c r="D3073" s="71">
        <v>10</v>
      </c>
      <c r="E3073" s="102">
        <v>30000</v>
      </c>
      <c r="F3073" s="102">
        <f t="shared" si="1582"/>
        <v>330000</v>
      </c>
      <c r="G3073" s="102">
        <f t="shared" si="1583"/>
        <v>300000</v>
      </c>
      <c r="H3073" s="690" t="s">
        <v>94</v>
      </c>
      <c r="I3073" s="71" t="s">
        <v>1432</v>
      </c>
      <c r="J3073" s="53">
        <f t="shared" si="1587"/>
        <v>75000</v>
      </c>
      <c r="K3073" s="63">
        <f t="shared" si="1584"/>
        <v>0.25</v>
      </c>
      <c r="L3073" s="871" t="s">
        <v>2399</v>
      </c>
      <c r="M3073" s="468"/>
      <c r="N3073" s="664">
        <f t="shared" si="1572"/>
        <v>200520</v>
      </c>
      <c r="O3073" s="71" t="s">
        <v>94</v>
      </c>
      <c r="P3073" s="103" t="str">
        <f t="shared" si="1576"/>
        <v>필터백</v>
      </c>
      <c r="Q3073" s="71">
        <f t="shared" si="1575"/>
        <v>10</v>
      </c>
      <c r="R3073" s="102">
        <v>22500</v>
      </c>
      <c r="S3073" s="102">
        <f t="shared" si="1585"/>
        <v>247500.00000000003</v>
      </c>
      <c r="T3073" s="102">
        <f t="shared" si="1586"/>
        <v>225000</v>
      </c>
      <c r="U3073" s="71"/>
      <c r="V3073" s="71"/>
      <c r="W3073" s="474"/>
      <c r="X3073" s="71"/>
      <c r="Y3073" s="71"/>
    </row>
    <row r="3074" spans="1:25" ht="30" hidden="1" customHeight="1" x14ac:dyDescent="0.25">
      <c r="A3074" s="82">
        <v>200520</v>
      </c>
      <c r="B3074" s="664" t="s">
        <v>748</v>
      </c>
      <c r="C3074" s="71" t="s">
        <v>114</v>
      </c>
      <c r="D3074" s="71">
        <v>50</v>
      </c>
      <c r="E3074" s="102">
        <v>17000</v>
      </c>
      <c r="F3074" s="102">
        <f t="shared" si="1582"/>
        <v>935000.00000000012</v>
      </c>
      <c r="G3074" s="102">
        <f t="shared" si="1583"/>
        <v>850000</v>
      </c>
      <c r="H3074" s="690" t="s">
        <v>1431</v>
      </c>
      <c r="I3074" s="71" t="s">
        <v>1431</v>
      </c>
      <c r="J3074" s="53">
        <f t="shared" si="1587"/>
        <v>400000</v>
      </c>
      <c r="K3074" s="63">
        <f t="shared" si="1584"/>
        <v>0.47058823529411759</v>
      </c>
      <c r="L3074" s="871" t="s">
        <v>2399</v>
      </c>
      <c r="M3074" s="468"/>
      <c r="N3074" s="664">
        <f t="shared" si="1572"/>
        <v>200520</v>
      </c>
      <c r="O3074" s="71" t="s">
        <v>1431</v>
      </c>
      <c r="P3074" s="103" t="str">
        <f t="shared" si="1576"/>
        <v>스트리퍼</v>
      </c>
      <c r="Q3074" s="71">
        <f t="shared" si="1575"/>
        <v>50</v>
      </c>
      <c r="R3074" s="102">
        <v>9000</v>
      </c>
      <c r="S3074" s="102">
        <f t="shared" si="1585"/>
        <v>495000.00000000006</v>
      </c>
      <c r="T3074" s="102">
        <f t="shared" si="1586"/>
        <v>450000</v>
      </c>
      <c r="U3074" s="71"/>
      <c r="V3074" s="71"/>
      <c r="W3074" s="474"/>
      <c r="X3074" s="71"/>
      <c r="Y3074" s="71"/>
    </row>
    <row r="3075" spans="1:25" ht="30" hidden="1" customHeight="1" x14ac:dyDescent="0.25">
      <c r="A3075" s="82">
        <v>200521</v>
      </c>
      <c r="B3075" s="664" t="s">
        <v>809</v>
      </c>
      <c r="C3075" s="71" t="s">
        <v>1081</v>
      </c>
      <c r="D3075" s="71">
        <v>5</v>
      </c>
      <c r="E3075" s="102">
        <v>156000</v>
      </c>
      <c r="F3075" s="102">
        <f>(E3075*D3075)*1.1</f>
        <v>858000.00000000012</v>
      </c>
      <c r="G3075" s="102">
        <f>(E3075*D3075)</f>
        <v>780000</v>
      </c>
      <c r="H3075" s="690" t="s">
        <v>173</v>
      </c>
      <c r="I3075" s="71" t="s">
        <v>2231</v>
      </c>
      <c r="J3075" s="53">
        <f t="shared" si="1587"/>
        <v>180000</v>
      </c>
      <c r="K3075" s="63">
        <f t="shared" si="1584"/>
        <v>0.23076923076923073</v>
      </c>
      <c r="L3075" s="871" t="s">
        <v>2400</v>
      </c>
      <c r="M3075" s="468"/>
      <c r="N3075" s="664">
        <f t="shared" si="1572"/>
        <v>200521</v>
      </c>
      <c r="O3075" s="71" t="s">
        <v>147</v>
      </c>
      <c r="P3075" s="103" t="str">
        <f t="shared" si="1576"/>
        <v>파우더</v>
      </c>
      <c r="Q3075" s="71">
        <f t="shared" si="1575"/>
        <v>5</v>
      </c>
      <c r="R3075" s="102">
        <v>120000</v>
      </c>
      <c r="S3075" s="102">
        <f t="shared" si="1585"/>
        <v>660000</v>
      </c>
      <c r="T3075" s="102">
        <f t="shared" si="1586"/>
        <v>600000</v>
      </c>
      <c r="U3075" s="71" t="str">
        <f>IF(J3075=W3075,"O", "X")</f>
        <v>O</v>
      </c>
      <c r="V3075" s="71"/>
      <c r="W3075" s="474">
        <f>(G3075-T3075)</f>
        <v>180000</v>
      </c>
      <c r="X3075" s="71"/>
      <c r="Y3075" s="71"/>
    </row>
    <row r="3076" spans="1:25" ht="30" hidden="1" customHeight="1" x14ac:dyDescent="0.25">
      <c r="A3076" s="648">
        <v>200521</v>
      </c>
      <c r="B3076" s="733" t="s">
        <v>809</v>
      </c>
      <c r="C3076" s="96" t="s">
        <v>236</v>
      </c>
      <c r="D3076" s="96">
        <v>5</v>
      </c>
      <c r="E3076" s="734">
        <v>100000</v>
      </c>
      <c r="F3076" s="734">
        <f>(E3076*D3076)*1.1</f>
        <v>550000</v>
      </c>
      <c r="G3076" s="734">
        <f>(E3076*D3076)</f>
        <v>500000</v>
      </c>
      <c r="H3076" s="735" t="s">
        <v>173</v>
      </c>
      <c r="I3076" s="71" t="s">
        <v>2231</v>
      </c>
      <c r="J3076" s="53">
        <f t="shared" si="1587"/>
        <v>250000</v>
      </c>
      <c r="K3076" s="54">
        <f t="shared" si="1584"/>
        <v>0.5</v>
      </c>
      <c r="L3076" s="901" t="s">
        <v>2400</v>
      </c>
      <c r="M3076" s="736"/>
      <c r="N3076" s="664">
        <f t="shared" si="1572"/>
        <v>200521</v>
      </c>
      <c r="O3076" s="96" t="s">
        <v>153</v>
      </c>
      <c r="P3076" s="103" t="str">
        <f t="shared" si="1576"/>
        <v>아스테이지(국전)</v>
      </c>
      <c r="Q3076" s="71">
        <f t="shared" si="1575"/>
        <v>5</v>
      </c>
      <c r="R3076" s="734">
        <v>50000</v>
      </c>
      <c r="S3076" s="102">
        <f t="shared" si="1585"/>
        <v>275000</v>
      </c>
      <c r="T3076" s="102">
        <f t="shared" si="1586"/>
        <v>250000</v>
      </c>
      <c r="U3076" s="96" t="str">
        <f>IF(J3076=W3076,"O", "X")</f>
        <v>O</v>
      </c>
      <c r="V3076" s="96"/>
      <c r="W3076" s="480">
        <f>(G3076-T3076)</f>
        <v>250000</v>
      </c>
      <c r="X3076" s="96"/>
      <c r="Y3076" s="96"/>
    </row>
    <row r="3077" spans="1:25" s="209" customFormat="1" ht="30" hidden="1" customHeight="1" x14ac:dyDescent="0.25">
      <c r="A3077" s="82">
        <v>200522</v>
      </c>
      <c r="B3077" s="664" t="s">
        <v>2155</v>
      </c>
      <c r="C3077" s="71" t="s">
        <v>138</v>
      </c>
      <c r="D3077" s="71">
        <v>10</v>
      </c>
      <c r="E3077" s="102">
        <v>47600</v>
      </c>
      <c r="F3077" s="163">
        <f t="shared" si="1582"/>
        <v>523600.00000000006</v>
      </c>
      <c r="G3077" s="102">
        <f t="shared" si="1583"/>
        <v>476000</v>
      </c>
      <c r="H3077" s="1129" t="s">
        <v>172</v>
      </c>
      <c r="I3077" s="71" t="s">
        <v>108</v>
      </c>
      <c r="J3077" s="53">
        <f t="shared" si="1587"/>
        <v>68000</v>
      </c>
      <c r="K3077" s="63">
        <f t="shared" si="1584"/>
        <v>0.14285714285714285</v>
      </c>
      <c r="L3077" s="871" t="s">
        <v>2399</v>
      </c>
      <c r="M3077" s="468" t="s">
        <v>2214</v>
      </c>
      <c r="N3077" s="664">
        <f t="shared" si="1572"/>
        <v>200522</v>
      </c>
      <c r="O3077" s="71" t="s">
        <v>150</v>
      </c>
      <c r="P3077" s="103" t="str">
        <f t="shared" si="1576"/>
        <v>매엽용 세척제(Wash 562)</v>
      </c>
      <c r="Q3077" s="71">
        <f t="shared" si="1575"/>
        <v>10</v>
      </c>
      <c r="R3077" s="102">
        <v>40800</v>
      </c>
      <c r="S3077" s="102">
        <f t="shared" si="1585"/>
        <v>448800.00000000006</v>
      </c>
      <c r="T3077" s="102">
        <f t="shared" si="1586"/>
        <v>408000</v>
      </c>
      <c r="U3077" s="71" t="s">
        <v>859</v>
      </c>
      <c r="V3077" s="71"/>
      <c r="W3077" s="474">
        <v>85000</v>
      </c>
      <c r="X3077" s="71"/>
      <c r="Y3077" s="71"/>
    </row>
    <row r="3078" spans="1:25" ht="30" hidden="1" customHeight="1" x14ac:dyDescent="0.25">
      <c r="A3078" s="82">
        <v>200522</v>
      </c>
      <c r="B3078" s="664" t="s">
        <v>2155</v>
      </c>
      <c r="C3078" s="760" t="s">
        <v>218</v>
      </c>
      <c r="D3078" s="71">
        <v>5</v>
      </c>
      <c r="E3078" s="102">
        <v>192500</v>
      </c>
      <c r="F3078" s="102">
        <f t="shared" si="1582"/>
        <v>1058750</v>
      </c>
      <c r="G3078" s="102">
        <f t="shared" si="1583"/>
        <v>962500</v>
      </c>
      <c r="H3078" s="690" t="s">
        <v>173</v>
      </c>
      <c r="I3078" s="71" t="s">
        <v>120</v>
      </c>
      <c r="J3078" s="53">
        <f t="shared" si="1587"/>
        <v>400000</v>
      </c>
      <c r="K3078" s="63">
        <v>0.4155844155844155</v>
      </c>
      <c r="L3078" s="871" t="s">
        <v>2399</v>
      </c>
      <c r="M3078" s="468"/>
      <c r="N3078" s="664">
        <f t="shared" si="1572"/>
        <v>200522</v>
      </c>
      <c r="O3078" s="71" t="s">
        <v>150</v>
      </c>
      <c r="P3078" s="103" t="str">
        <f t="shared" si="1576"/>
        <v>Fount Web 551AF</v>
      </c>
      <c r="Q3078" s="71">
        <f t="shared" si="1575"/>
        <v>5</v>
      </c>
      <c r="R3078" s="102">
        <v>112500</v>
      </c>
      <c r="S3078" s="102">
        <f t="shared" si="1585"/>
        <v>618750</v>
      </c>
      <c r="T3078" s="102">
        <f t="shared" si="1586"/>
        <v>562500</v>
      </c>
      <c r="U3078" s="71" t="s">
        <v>859</v>
      </c>
      <c r="V3078" s="71"/>
      <c r="W3078" s="474">
        <v>640000</v>
      </c>
      <c r="X3078" s="71"/>
      <c r="Y3078" s="71"/>
    </row>
    <row r="3079" spans="1:25" ht="30" customHeight="1" x14ac:dyDescent="0.2">
      <c r="A3079" s="82">
        <v>200522</v>
      </c>
      <c r="B3079" s="664" t="s">
        <v>565</v>
      </c>
      <c r="C3079" s="71" t="s">
        <v>2081</v>
      </c>
      <c r="D3079" s="71">
        <v>100</v>
      </c>
      <c r="E3079" s="102">
        <v>69000</v>
      </c>
      <c r="F3079" s="163">
        <f t="shared" si="1582"/>
        <v>7590000.0000000009</v>
      </c>
      <c r="G3079" s="102">
        <f t="shared" si="1583"/>
        <v>6900000</v>
      </c>
      <c r="H3079" s="165" t="s">
        <v>173</v>
      </c>
      <c r="I3079" s="71" t="s">
        <v>108</v>
      </c>
      <c r="J3079" s="53">
        <f t="shared" si="1587"/>
        <v>1800000</v>
      </c>
      <c r="K3079" s="63">
        <f>(J3079/(F3079/11*10))</f>
        <v>0.26086956521739124</v>
      </c>
      <c r="L3079" s="871" t="s">
        <v>2399</v>
      </c>
      <c r="M3079" s="468"/>
      <c r="N3079" s="664">
        <f t="shared" si="1572"/>
        <v>200522</v>
      </c>
      <c r="O3079" s="71" t="s">
        <v>599</v>
      </c>
      <c r="P3079" s="103" t="str">
        <f t="shared" si="1576"/>
        <v>GOSS 신문윤전 습식세정포</v>
      </c>
      <c r="Q3079" s="71">
        <f t="shared" si="1575"/>
        <v>100</v>
      </c>
      <c r="R3079" s="102">
        <v>51000</v>
      </c>
      <c r="S3079" s="102">
        <f t="shared" si="1585"/>
        <v>5610000</v>
      </c>
      <c r="T3079" s="102">
        <f t="shared" si="1586"/>
        <v>5100000</v>
      </c>
      <c r="U3079" s="71" t="str">
        <f>IF(J3079=W3079,"O", "X")</f>
        <v>X</v>
      </c>
      <c r="V3079" s="71"/>
      <c r="W3079" s="474"/>
      <c r="X3079" s="71"/>
      <c r="Y3079" s="71"/>
    </row>
    <row r="3080" spans="1:25" s="209" customFormat="1" ht="30" hidden="1" customHeight="1" x14ac:dyDescent="0.25">
      <c r="A3080" s="82">
        <v>200523</v>
      </c>
      <c r="B3080" s="664" t="s">
        <v>567</v>
      </c>
      <c r="C3080" s="71" t="s">
        <v>236</v>
      </c>
      <c r="D3080" s="71">
        <v>10</v>
      </c>
      <c r="E3080" s="102">
        <v>65000</v>
      </c>
      <c r="F3080" s="102">
        <f t="shared" si="1582"/>
        <v>715000</v>
      </c>
      <c r="G3080" s="102">
        <f t="shared" si="1583"/>
        <v>650000</v>
      </c>
      <c r="H3080" s="690" t="s">
        <v>173</v>
      </c>
      <c r="I3080" s="71" t="s">
        <v>2231</v>
      </c>
      <c r="J3080" s="53">
        <f t="shared" si="1587"/>
        <v>150000</v>
      </c>
      <c r="K3080" s="63">
        <v>0.23076923076923078</v>
      </c>
      <c r="L3080" s="871" t="s">
        <v>2399</v>
      </c>
      <c r="M3080" s="468"/>
      <c r="N3080" s="664">
        <f t="shared" si="1572"/>
        <v>200523</v>
      </c>
      <c r="O3080" s="71" t="s">
        <v>153</v>
      </c>
      <c r="P3080" s="103" t="str">
        <f t="shared" si="1576"/>
        <v>아스테이지(국전)</v>
      </c>
      <c r="Q3080" s="71">
        <f t="shared" si="1575"/>
        <v>10</v>
      </c>
      <c r="R3080" s="102">
        <v>50000</v>
      </c>
      <c r="S3080" s="102">
        <f t="shared" si="1585"/>
        <v>550000</v>
      </c>
      <c r="T3080" s="102">
        <f t="shared" si="1586"/>
        <v>500000</v>
      </c>
      <c r="U3080" s="71" t="s">
        <v>859</v>
      </c>
      <c r="V3080" s="71"/>
      <c r="W3080" s="474">
        <v>150000</v>
      </c>
      <c r="X3080" s="71"/>
      <c r="Y3080" s="71"/>
    </row>
    <row r="3081" spans="1:25" ht="30" hidden="1" customHeight="1" x14ac:dyDescent="0.25">
      <c r="A3081" s="82">
        <v>200525</v>
      </c>
      <c r="B3081" s="664" t="s">
        <v>690</v>
      </c>
      <c r="C3081" s="71" t="s">
        <v>217</v>
      </c>
      <c r="D3081" s="71">
        <v>3</v>
      </c>
      <c r="E3081" s="102">
        <v>137000</v>
      </c>
      <c r="F3081" s="102">
        <f t="shared" si="1582"/>
        <v>452100.00000000006</v>
      </c>
      <c r="G3081" s="102">
        <f t="shared" si="1583"/>
        <v>411000</v>
      </c>
      <c r="H3081" s="690" t="s">
        <v>173</v>
      </c>
      <c r="I3081" s="71" t="s">
        <v>108</v>
      </c>
      <c r="J3081" s="53">
        <f t="shared" si="1587"/>
        <v>171000</v>
      </c>
      <c r="K3081" s="63">
        <f>(J3081/(F3081/11*10))</f>
        <v>0.41605839416058388</v>
      </c>
      <c r="L3081" s="871" t="s">
        <v>2399</v>
      </c>
      <c r="M3081" s="468"/>
      <c r="N3081" s="664">
        <f t="shared" si="1572"/>
        <v>200525</v>
      </c>
      <c r="O3081" s="71" t="s">
        <v>150</v>
      </c>
      <c r="P3081" s="103" t="str">
        <f t="shared" si="1576"/>
        <v>Fount 511</v>
      </c>
      <c r="Q3081" s="71">
        <f t="shared" si="1575"/>
        <v>3</v>
      </c>
      <c r="R3081" s="102">
        <v>80000</v>
      </c>
      <c r="S3081" s="102">
        <f t="shared" si="1585"/>
        <v>264000</v>
      </c>
      <c r="T3081" s="102">
        <f t="shared" si="1586"/>
        <v>240000</v>
      </c>
      <c r="U3081" s="71" t="s">
        <v>859</v>
      </c>
      <c r="V3081" s="71"/>
      <c r="W3081" s="474">
        <v>130000</v>
      </c>
      <c r="X3081" s="71"/>
      <c r="Y3081" s="71"/>
    </row>
    <row r="3082" spans="1:25" ht="30" hidden="1" customHeight="1" x14ac:dyDescent="0.25">
      <c r="A3082" s="82">
        <v>200525</v>
      </c>
      <c r="B3082" s="664" t="s">
        <v>690</v>
      </c>
      <c r="C3082" s="71" t="s">
        <v>825</v>
      </c>
      <c r="D3082" s="71">
        <v>2</v>
      </c>
      <c r="E3082" s="102">
        <v>142000</v>
      </c>
      <c r="F3082" s="102">
        <f t="shared" si="1582"/>
        <v>312400</v>
      </c>
      <c r="G3082" s="102">
        <f t="shared" si="1583"/>
        <v>284000</v>
      </c>
      <c r="H3082" s="690" t="s">
        <v>173</v>
      </c>
      <c r="I3082" s="71" t="s">
        <v>2231</v>
      </c>
      <c r="J3082" s="53">
        <f t="shared" si="1587"/>
        <v>94000</v>
      </c>
      <c r="K3082" s="63">
        <v>0.36666666666666664</v>
      </c>
      <c r="L3082" s="871" t="s">
        <v>2399</v>
      </c>
      <c r="M3082" s="468"/>
      <c r="N3082" s="664">
        <f t="shared" si="1572"/>
        <v>200525</v>
      </c>
      <c r="O3082" s="71" t="s">
        <v>150</v>
      </c>
      <c r="P3082" s="103" t="str">
        <f t="shared" si="1576"/>
        <v>독일제 정품 잉크호일 아스테이지</v>
      </c>
      <c r="Q3082" s="71">
        <f t="shared" si="1575"/>
        <v>2</v>
      </c>
      <c r="R3082" s="102">
        <v>95000</v>
      </c>
      <c r="S3082" s="102">
        <f t="shared" si="1585"/>
        <v>209000.00000000003</v>
      </c>
      <c r="T3082" s="102">
        <f t="shared" si="1586"/>
        <v>190000</v>
      </c>
      <c r="U3082" s="71" t="s">
        <v>859</v>
      </c>
      <c r="V3082" s="71"/>
      <c r="W3082" s="474">
        <v>110000</v>
      </c>
      <c r="X3082" s="71"/>
      <c r="Y3082" s="71"/>
    </row>
    <row r="3083" spans="1:25" ht="30" hidden="1" customHeight="1" x14ac:dyDescent="0.2">
      <c r="A3083" s="82">
        <v>200526</v>
      </c>
      <c r="B3083" s="664" t="s">
        <v>2353</v>
      </c>
      <c r="C3083" s="71" t="s">
        <v>129</v>
      </c>
      <c r="D3083" s="71">
        <v>5</v>
      </c>
      <c r="E3083" s="102">
        <v>272000</v>
      </c>
      <c r="F3083" s="163">
        <f t="shared" si="1582"/>
        <v>1496000.0000000002</v>
      </c>
      <c r="G3083" s="102">
        <f t="shared" si="1583"/>
        <v>1360000</v>
      </c>
      <c r="H3083" s="165" t="s">
        <v>142</v>
      </c>
      <c r="I3083" s="71" t="s">
        <v>142</v>
      </c>
      <c r="J3083" s="53">
        <f t="shared" si="1587"/>
        <v>320000</v>
      </c>
      <c r="K3083" s="63">
        <f>(J3083/(F3083/11*10))</f>
        <v>0.23529411764705879</v>
      </c>
      <c r="L3083" s="871" t="s">
        <v>2399</v>
      </c>
      <c r="M3083" s="468" t="s">
        <v>2050</v>
      </c>
      <c r="N3083" s="664">
        <f t="shared" si="1572"/>
        <v>200526</v>
      </c>
      <c r="O3083" s="71" t="s">
        <v>149</v>
      </c>
      <c r="P3083" s="103" t="str">
        <f t="shared" si="1576"/>
        <v>세정포-XL106</v>
      </c>
      <c r="Q3083" s="71">
        <f t="shared" si="1575"/>
        <v>5</v>
      </c>
      <c r="R3083" s="102">
        <v>208000</v>
      </c>
      <c r="S3083" s="102">
        <f t="shared" si="1585"/>
        <v>1144000</v>
      </c>
      <c r="T3083" s="102">
        <f t="shared" si="1586"/>
        <v>1040000</v>
      </c>
      <c r="U3083" s="71" t="str">
        <f>IF(J3083=W3083,"O", "X")</f>
        <v>O</v>
      </c>
      <c r="V3083" s="71"/>
      <c r="W3083" s="474">
        <f>(G3083-T3083)</f>
        <v>320000</v>
      </c>
      <c r="X3083" s="71"/>
      <c r="Y3083" s="71"/>
    </row>
    <row r="3084" spans="1:25" ht="30" hidden="1" customHeight="1" x14ac:dyDescent="0.2">
      <c r="A3084" s="82">
        <v>200528</v>
      </c>
      <c r="B3084" s="664" t="s">
        <v>545</v>
      </c>
      <c r="C3084" s="71" t="s">
        <v>227</v>
      </c>
      <c r="D3084" s="71">
        <v>10</v>
      </c>
      <c r="E3084" s="102">
        <v>110000</v>
      </c>
      <c r="F3084" s="163">
        <f t="shared" si="1582"/>
        <v>1210000</v>
      </c>
      <c r="G3084" s="102">
        <f t="shared" si="1583"/>
        <v>1100000</v>
      </c>
      <c r="H3084" s="690" t="s">
        <v>173</v>
      </c>
      <c r="I3084" s="71" t="s">
        <v>109</v>
      </c>
      <c r="J3084" s="53">
        <f t="shared" si="1587"/>
        <v>271000</v>
      </c>
      <c r="K3084" s="63">
        <f>(J3084/(F3084/11*10))</f>
        <v>0.24636363636363637</v>
      </c>
      <c r="L3084" s="871" t="s">
        <v>2399</v>
      </c>
      <c r="M3084" s="468"/>
      <c r="N3084" s="664">
        <f t="shared" si="1572"/>
        <v>200528</v>
      </c>
      <c r="O3084" s="71" t="s">
        <v>147</v>
      </c>
      <c r="P3084" s="103" t="str">
        <f t="shared" si="1576"/>
        <v>Blanket(1060*860)</v>
      </c>
      <c r="Q3084" s="71">
        <f t="shared" si="1575"/>
        <v>10</v>
      </c>
      <c r="R3084" s="102">
        <v>82900</v>
      </c>
      <c r="S3084" s="102">
        <f t="shared" si="1585"/>
        <v>911900.00000000012</v>
      </c>
      <c r="T3084" s="102">
        <f t="shared" si="1586"/>
        <v>829000</v>
      </c>
      <c r="U3084" s="71" t="str">
        <f>IF(J3084=W3084,"O", "X")</f>
        <v>O</v>
      </c>
      <c r="V3084" s="71"/>
      <c r="W3084" s="474">
        <f>(G3084-T3084)</f>
        <v>271000</v>
      </c>
      <c r="X3084" s="71"/>
      <c r="Y3084" s="71"/>
    </row>
    <row r="3085" spans="1:25" ht="30" hidden="1" customHeight="1" x14ac:dyDescent="0.25">
      <c r="A3085" s="82">
        <v>200528</v>
      </c>
      <c r="B3085" s="663" t="s">
        <v>545</v>
      </c>
      <c r="C3085" s="73" t="s">
        <v>825</v>
      </c>
      <c r="D3085" s="73">
        <v>2</v>
      </c>
      <c r="E3085" s="147">
        <v>110000</v>
      </c>
      <c r="F3085" s="147">
        <v>242000.00000000003</v>
      </c>
      <c r="G3085" s="147">
        <v>220000</v>
      </c>
      <c r="H3085" s="689" t="s">
        <v>173</v>
      </c>
      <c r="I3085" s="71" t="s">
        <v>2231</v>
      </c>
      <c r="J3085" s="53">
        <f t="shared" si="1587"/>
        <v>30000</v>
      </c>
      <c r="K3085" s="63">
        <f>(J3085/(F3085/11*10))</f>
        <v>0.13636363636363635</v>
      </c>
      <c r="L3085" s="871" t="s">
        <v>2399</v>
      </c>
      <c r="M3085" s="584"/>
      <c r="N3085" s="664">
        <f t="shared" si="1572"/>
        <v>200528</v>
      </c>
      <c r="O3085" s="73" t="s">
        <v>150</v>
      </c>
      <c r="P3085" s="103" t="str">
        <f t="shared" si="1576"/>
        <v>독일제 정품 잉크호일 아스테이지</v>
      </c>
      <c r="Q3085" s="71">
        <f t="shared" si="1575"/>
        <v>2</v>
      </c>
      <c r="R3085" s="147">
        <v>95000</v>
      </c>
      <c r="S3085" s="102">
        <f t="shared" si="1585"/>
        <v>209000.00000000003</v>
      </c>
      <c r="T3085" s="102">
        <f t="shared" si="1586"/>
        <v>190000</v>
      </c>
      <c r="U3085" s="71" t="str">
        <f>IF(J3085=W3085,"O", "X")</f>
        <v>O</v>
      </c>
      <c r="V3085" s="73"/>
      <c r="W3085" s="473">
        <v>30000</v>
      </c>
      <c r="X3085" s="73"/>
      <c r="Y3085" s="73"/>
    </row>
    <row r="3086" spans="1:25" ht="30" hidden="1" customHeight="1" x14ac:dyDescent="0.2">
      <c r="A3086" s="82">
        <v>200529</v>
      </c>
      <c r="B3086" s="664" t="s">
        <v>545</v>
      </c>
      <c r="C3086" s="71" t="s">
        <v>952</v>
      </c>
      <c r="D3086" s="71">
        <v>1</v>
      </c>
      <c r="E3086" s="102">
        <v>630000</v>
      </c>
      <c r="F3086" s="163">
        <f>(E3086*D3086)*1.1</f>
        <v>693000</v>
      </c>
      <c r="G3086" s="102">
        <f>(E3086*D3086)</f>
        <v>630000</v>
      </c>
      <c r="H3086" s="690" t="s">
        <v>173</v>
      </c>
      <c r="I3086" s="71" t="s">
        <v>108</v>
      </c>
      <c r="J3086" s="53">
        <f t="shared" si="1587"/>
        <v>190000</v>
      </c>
      <c r="K3086" s="63">
        <f>(J3086/(F3086/11*10))</f>
        <v>0.30158730158730157</v>
      </c>
      <c r="L3086" s="871" t="s">
        <v>2399</v>
      </c>
      <c r="M3086" s="468"/>
      <c r="N3086" s="664">
        <f t="shared" si="1572"/>
        <v>200529</v>
      </c>
      <c r="O3086" s="71" t="s">
        <v>599</v>
      </c>
      <c r="P3086" s="103" t="str">
        <f t="shared" si="1576"/>
        <v>점보롤 세정포</v>
      </c>
      <c r="Q3086" s="71">
        <f t="shared" si="1575"/>
        <v>1</v>
      </c>
      <c r="R3086" s="102">
        <v>440000</v>
      </c>
      <c r="S3086" s="102">
        <f t="shared" si="1585"/>
        <v>484000.00000000006</v>
      </c>
      <c r="T3086" s="102">
        <f t="shared" si="1586"/>
        <v>440000</v>
      </c>
      <c r="U3086" s="71" t="str">
        <f>IF(J3086=W3086,"O", "X")</f>
        <v>O</v>
      </c>
      <c r="V3086" s="71" t="s">
        <v>1228</v>
      </c>
      <c r="W3086" s="474">
        <f>(G3086-T3086)</f>
        <v>190000</v>
      </c>
      <c r="X3086" s="71"/>
      <c r="Y3086" s="71"/>
    </row>
    <row r="3087" spans="1:25" ht="30" hidden="1" customHeight="1" x14ac:dyDescent="0.25">
      <c r="A3087" s="82">
        <v>200529</v>
      </c>
      <c r="B3087" s="664" t="s">
        <v>150</v>
      </c>
      <c r="C3087" s="71" t="s">
        <v>2347</v>
      </c>
      <c r="D3087" s="71">
        <v>1</v>
      </c>
      <c r="E3087" s="102">
        <v>22500000</v>
      </c>
      <c r="F3087" s="102">
        <f>(E3087*D3087)*1.1</f>
        <v>24750000.000000004</v>
      </c>
      <c r="G3087" s="102">
        <f>(E3087*D3087)</f>
        <v>22500000</v>
      </c>
      <c r="H3087" s="690" t="s">
        <v>985</v>
      </c>
      <c r="I3087" s="71" t="s">
        <v>985</v>
      </c>
      <c r="J3087" s="53"/>
      <c r="K3087" s="63"/>
      <c r="L3087" s="871" t="s">
        <v>2399</v>
      </c>
      <c r="M3087" s="468"/>
      <c r="N3087" s="664">
        <f t="shared" si="1572"/>
        <v>200529</v>
      </c>
      <c r="O3087" s="71"/>
      <c r="P3087" s="103" t="str">
        <f t="shared" si="1576"/>
        <v>박영용 이사님 M600 이전 서비스 비용 50%</v>
      </c>
      <c r="Q3087" s="71">
        <f t="shared" si="1575"/>
        <v>1</v>
      </c>
      <c r="R3087" s="102"/>
      <c r="S3087" s="102">
        <f t="shared" si="1585"/>
        <v>0</v>
      </c>
      <c r="T3087" s="102">
        <f t="shared" si="1586"/>
        <v>0</v>
      </c>
      <c r="U3087" s="71"/>
      <c r="V3087" s="71"/>
      <c r="W3087" s="474"/>
      <c r="X3087" s="71"/>
      <c r="Y3087" s="71"/>
    </row>
    <row r="3088" spans="1:25" ht="30" hidden="1" customHeight="1" x14ac:dyDescent="0.25">
      <c r="A3088" s="82">
        <v>200529</v>
      </c>
      <c r="B3088" s="664" t="s">
        <v>1051</v>
      </c>
      <c r="C3088" s="71" t="s">
        <v>1294</v>
      </c>
      <c r="D3088" s="71">
        <v>900</v>
      </c>
      <c r="E3088" s="102">
        <v>6230</v>
      </c>
      <c r="F3088" s="102">
        <f t="shared" ref="F3088:F3104" si="1588">(E3088*D3088)*1.1</f>
        <v>6167700.0000000009</v>
      </c>
      <c r="G3088" s="102">
        <f t="shared" ref="G3088:G3104" si="1589">(E3088*D3088)</f>
        <v>5607000</v>
      </c>
      <c r="H3088" s="690" t="s">
        <v>142</v>
      </c>
      <c r="I3088" s="71" t="s">
        <v>2273</v>
      </c>
      <c r="J3088" s="53">
        <f t="shared" ref="J3088:J3105" si="1590">G3088-T3088</f>
        <v>1692000</v>
      </c>
      <c r="K3088" s="63">
        <f t="shared" ref="K3088:K3103" si="1591">(J3088/(F3088/11*10))</f>
        <v>0.3017656500802568</v>
      </c>
      <c r="L3088" s="871" t="s">
        <v>2399</v>
      </c>
      <c r="M3088" s="468"/>
      <c r="N3088" s="664">
        <f t="shared" si="1572"/>
        <v>200529</v>
      </c>
      <c r="O3088" s="71" t="s">
        <v>145</v>
      </c>
      <c r="P3088" s="103" t="str">
        <f t="shared" si="1576"/>
        <v>ENGAGE 1030*790</v>
      </c>
      <c r="Q3088" s="71">
        <f t="shared" si="1575"/>
        <v>900</v>
      </c>
      <c r="R3088" s="102">
        <v>4350</v>
      </c>
      <c r="S3088" s="102">
        <f t="shared" si="1585"/>
        <v>4306500</v>
      </c>
      <c r="T3088" s="102">
        <f t="shared" si="1586"/>
        <v>3915000</v>
      </c>
      <c r="U3088" s="71" t="str">
        <f t="shared" ref="U3088:U3103" si="1592">IF(J3088=W3088,"O", "X")</f>
        <v>O</v>
      </c>
      <c r="V3088" s="71"/>
      <c r="W3088" s="474">
        <f t="shared" ref="W3088:W3103" si="1593">(G3088-T3088)</f>
        <v>1692000</v>
      </c>
      <c r="X3088" s="71"/>
      <c r="Y3088" s="71"/>
    </row>
    <row r="3089" spans="1:25" ht="30" hidden="1" customHeight="1" x14ac:dyDescent="0.25">
      <c r="A3089" s="82">
        <v>200529</v>
      </c>
      <c r="B3089" s="664" t="s">
        <v>1051</v>
      </c>
      <c r="C3089" s="71" t="s">
        <v>1384</v>
      </c>
      <c r="D3089" s="71">
        <v>2600</v>
      </c>
      <c r="E3089" s="102">
        <v>3920</v>
      </c>
      <c r="F3089" s="102">
        <f t="shared" si="1588"/>
        <v>11211200</v>
      </c>
      <c r="G3089" s="102">
        <f t="shared" si="1589"/>
        <v>10192000</v>
      </c>
      <c r="H3089" s="690" t="s">
        <v>142</v>
      </c>
      <c r="I3089" s="71" t="s">
        <v>2273</v>
      </c>
      <c r="J3089" s="53">
        <f t="shared" si="1590"/>
        <v>3049061.5706034144</v>
      </c>
      <c r="K3089" s="63">
        <f t="shared" si="1591"/>
        <v>0.2991622420136788</v>
      </c>
      <c r="L3089" s="871" t="s">
        <v>2399</v>
      </c>
      <c r="M3089" s="468"/>
      <c r="N3089" s="664">
        <f t="shared" si="1572"/>
        <v>200529</v>
      </c>
      <c r="O3089" s="71" t="s">
        <v>145</v>
      </c>
      <c r="P3089" s="103" t="str">
        <f t="shared" si="1576"/>
        <v>ENGAGE 900X571 - 27RO</v>
      </c>
      <c r="Q3089" s="71">
        <f t="shared" si="1575"/>
        <v>2600</v>
      </c>
      <c r="R3089" s="102">
        <f>R3088/1030/790*900*571</f>
        <v>2747.2840113063789</v>
      </c>
      <c r="S3089" s="102">
        <f t="shared" si="1585"/>
        <v>7857232.2723362446</v>
      </c>
      <c r="T3089" s="102">
        <f t="shared" si="1586"/>
        <v>7142938.4293965856</v>
      </c>
      <c r="U3089" s="71" t="str">
        <f t="shared" si="1592"/>
        <v>O</v>
      </c>
      <c r="V3089" s="71"/>
      <c r="W3089" s="474">
        <f t="shared" si="1593"/>
        <v>3049061.5706034144</v>
      </c>
      <c r="X3089" s="71"/>
      <c r="Y3089" s="71"/>
    </row>
    <row r="3090" spans="1:25" ht="30" hidden="1" customHeight="1" x14ac:dyDescent="0.25">
      <c r="A3090" s="82">
        <v>200529</v>
      </c>
      <c r="B3090" s="664" t="s">
        <v>1051</v>
      </c>
      <c r="C3090" s="71" t="s">
        <v>951</v>
      </c>
      <c r="D3090" s="71">
        <v>1900</v>
      </c>
      <c r="E3090" s="102">
        <v>3740</v>
      </c>
      <c r="F3090" s="102">
        <f t="shared" si="1588"/>
        <v>7816600.0000000009</v>
      </c>
      <c r="G3090" s="102">
        <f t="shared" si="1589"/>
        <v>7106000</v>
      </c>
      <c r="H3090" s="690" t="s">
        <v>142</v>
      </c>
      <c r="I3090" s="71" t="s">
        <v>2273</v>
      </c>
      <c r="J3090" s="53">
        <f t="shared" si="1590"/>
        <v>2155166.4741305141</v>
      </c>
      <c r="K3090" s="63">
        <f t="shared" si="1591"/>
        <v>0.30328827387144863</v>
      </c>
      <c r="L3090" s="871" t="s">
        <v>2399</v>
      </c>
      <c r="M3090" s="468"/>
      <c r="N3090" s="664">
        <f t="shared" si="1572"/>
        <v>200529</v>
      </c>
      <c r="O3090" s="71" t="s">
        <v>145</v>
      </c>
      <c r="P3090" s="103" t="str">
        <f t="shared" si="1576"/>
        <v>ENGAGE 30WEB(883*552)</v>
      </c>
      <c r="Q3090" s="71">
        <f t="shared" si="1575"/>
        <v>1900</v>
      </c>
      <c r="R3090" s="102">
        <f>R3088/1030/790*883*552</f>
        <v>2605.7018557207821</v>
      </c>
      <c r="S3090" s="102">
        <f t="shared" si="1585"/>
        <v>5445916.8784564352</v>
      </c>
      <c r="T3090" s="102">
        <f t="shared" si="1586"/>
        <v>4950833.5258694859</v>
      </c>
      <c r="U3090" s="71" t="str">
        <f t="shared" si="1592"/>
        <v>O</v>
      </c>
      <c r="V3090" s="71"/>
      <c r="W3090" s="474">
        <f t="shared" si="1593"/>
        <v>2155166.4741305141</v>
      </c>
      <c r="X3090" s="71"/>
      <c r="Y3090" s="71"/>
    </row>
    <row r="3091" spans="1:25" ht="30" hidden="1" customHeight="1" x14ac:dyDescent="0.25">
      <c r="A3091" s="82">
        <v>200529</v>
      </c>
      <c r="B3091" s="664" t="s">
        <v>1051</v>
      </c>
      <c r="C3091" s="71" t="s">
        <v>2219</v>
      </c>
      <c r="D3091" s="71">
        <v>1800</v>
      </c>
      <c r="E3091" s="102">
        <v>6310</v>
      </c>
      <c r="F3091" s="102">
        <f t="shared" si="1588"/>
        <v>12493800.000000002</v>
      </c>
      <c r="G3091" s="102">
        <f t="shared" si="1589"/>
        <v>11358000</v>
      </c>
      <c r="H3091" s="690" t="s">
        <v>142</v>
      </c>
      <c r="I3091" s="71" t="s">
        <v>2273</v>
      </c>
      <c r="J3091" s="53">
        <f t="shared" si="1590"/>
        <v>3428886.0759493653</v>
      </c>
      <c r="K3091" s="63">
        <f t="shared" si="1591"/>
        <v>0.30189171297317879</v>
      </c>
      <c r="L3091" s="871" t="s">
        <v>2399</v>
      </c>
      <c r="M3091" s="468"/>
      <c r="N3091" s="664">
        <f t="shared" si="1572"/>
        <v>200529</v>
      </c>
      <c r="O3091" s="71" t="s">
        <v>145</v>
      </c>
      <c r="P3091" s="103" t="str">
        <f t="shared" si="1576"/>
        <v>ENGAGE 1030*800</v>
      </c>
      <c r="Q3091" s="71">
        <f t="shared" si="1575"/>
        <v>1800</v>
      </c>
      <c r="R3091" s="102">
        <f>R3088/1030/790*1030*800</f>
        <v>4405.0632911392413</v>
      </c>
      <c r="S3091" s="102">
        <f t="shared" si="1585"/>
        <v>8722025.3164556995</v>
      </c>
      <c r="T3091" s="102">
        <f t="shared" si="1586"/>
        <v>7929113.9240506347</v>
      </c>
      <c r="U3091" s="71" t="str">
        <f t="shared" si="1592"/>
        <v>O</v>
      </c>
      <c r="V3091" s="71"/>
      <c r="W3091" s="474">
        <f t="shared" si="1593"/>
        <v>3428886.0759493653</v>
      </c>
      <c r="X3091" s="71"/>
      <c r="Y3091" s="71"/>
    </row>
    <row r="3092" spans="1:25" ht="30" hidden="1" customHeight="1" x14ac:dyDescent="0.25">
      <c r="A3092" s="82">
        <v>200529</v>
      </c>
      <c r="B3092" s="664" t="s">
        <v>1051</v>
      </c>
      <c r="C3092" s="71" t="s">
        <v>1383</v>
      </c>
      <c r="D3092" s="71">
        <v>1200</v>
      </c>
      <c r="E3092" s="102">
        <v>6540</v>
      </c>
      <c r="F3092" s="102">
        <f t="shared" si="1588"/>
        <v>8632800</v>
      </c>
      <c r="G3092" s="102">
        <f t="shared" si="1589"/>
        <v>7848000</v>
      </c>
      <c r="H3092" s="690" t="s">
        <v>142</v>
      </c>
      <c r="I3092" s="71" t="s">
        <v>2273</v>
      </c>
      <c r="J3092" s="53">
        <f t="shared" si="1590"/>
        <v>2359173.5283273915</v>
      </c>
      <c r="K3092" s="63">
        <f t="shared" si="1591"/>
        <v>0.30060824774813855</v>
      </c>
      <c r="L3092" s="871" t="s">
        <v>2399</v>
      </c>
      <c r="M3092" s="468"/>
      <c r="N3092" s="664">
        <f t="shared" si="1572"/>
        <v>200529</v>
      </c>
      <c r="O3092" s="71" t="s">
        <v>145</v>
      </c>
      <c r="P3092" s="103" t="str">
        <f t="shared" si="1576"/>
        <v>ENGAGE 1055*811</v>
      </c>
      <c r="Q3092" s="71">
        <f t="shared" si="1575"/>
        <v>1200</v>
      </c>
      <c r="R3092" s="102">
        <f>R3088/1030/790*1055*811</f>
        <v>4574.0220597271737</v>
      </c>
      <c r="S3092" s="102">
        <f t="shared" si="1585"/>
        <v>6037709.1188398702</v>
      </c>
      <c r="T3092" s="102">
        <f t="shared" si="1586"/>
        <v>5488826.4716726085</v>
      </c>
      <c r="U3092" s="71" t="str">
        <f t="shared" si="1592"/>
        <v>O</v>
      </c>
      <c r="V3092" s="71"/>
      <c r="W3092" s="474">
        <f t="shared" si="1593"/>
        <v>2359173.5283273915</v>
      </c>
      <c r="X3092" s="71"/>
      <c r="Y3092" s="71"/>
    </row>
    <row r="3093" spans="1:25" ht="30" hidden="1" customHeight="1" x14ac:dyDescent="0.25">
      <c r="A3093" s="82">
        <v>200529</v>
      </c>
      <c r="B3093" s="664" t="s">
        <v>1051</v>
      </c>
      <c r="C3093" s="71" t="s">
        <v>1650</v>
      </c>
      <c r="D3093" s="71">
        <v>300</v>
      </c>
      <c r="E3093" s="102">
        <v>4680</v>
      </c>
      <c r="F3093" s="102">
        <f t="shared" si="1588"/>
        <v>1544400.0000000002</v>
      </c>
      <c r="G3093" s="102">
        <f t="shared" si="1589"/>
        <v>1404000</v>
      </c>
      <c r="H3093" s="690" t="s">
        <v>142</v>
      </c>
      <c r="I3093" s="71" t="s">
        <v>2273</v>
      </c>
      <c r="J3093" s="53">
        <f t="shared" si="1590"/>
        <v>424395.18249969266</v>
      </c>
      <c r="K3093" s="63">
        <f t="shared" si="1591"/>
        <v>0.30227577101117703</v>
      </c>
      <c r="L3093" s="871" t="s">
        <v>2399</v>
      </c>
      <c r="M3093" s="468"/>
      <c r="N3093" s="664">
        <f t="shared" si="1572"/>
        <v>200529</v>
      </c>
      <c r="O3093" s="71" t="s">
        <v>145</v>
      </c>
      <c r="P3093" s="103" t="str">
        <f t="shared" si="1576"/>
        <v>ENGAGE 968*631</v>
      </c>
      <c r="Q3093" s="71">
        <f t="shared" si="1575"/>
        <v>300</v>
      </c>
      <c r="R3093" s="102">
        <f>R3088/1030/790*968*631</f>
        <v>3265.3493916676912</v>
      </c>
      <c r="S3093" s="102">
        <f t="shared" si="1585"/>
        <v>1077565.2992503382</v>
      </c>
      <c r="T3093" s="102">
        <f t="shared" si="1586"/>
        <v>979604.81750030734</v>
      </c>
      <c r="U3093" s="71" t="str">
        <f t="shared" si="1592"/>
        <v>O</v>
      </c>
      <c r="V3093" s="71"/>
      <c r="W3093" s="474">
        <f t="shared" si="1593"/>
        <v>424395.18249969266</v>
      </c>
      <c r="X3093" s="71"/>
      <c r="Y3093" s="71"/>
    </row>
    <row r="3094" spans="1:25" ht="30" hidden="1" customHeight="1" x14ac:dyDescent="0.25">
      <c r="A3094" s="82">
        <v>200529</v>
      </c>
      <c r="B3094" s="664" t="s">
        <v>1051</v>
      </c>
      <c r="C3094" s="67" t="s">
        <v>1386</v>
      </c>
      <c r="D3094" s="71">
        <v>45</v>
      </c>
      <c r="E3094" s="102">
        <v>57500</v>
      </c>
      <c r="F3094" s="102">
        <f t="shared" si="1588"/>
        <v>2846250</v>
      </c>
      <c r="G3094" s="102">
        <f t="shared" si="1589"/>
        <v>2587500</v>
      </c>
      <c r="H3094" s="690" t="s">
        <v>142</v>
      </c>
      <c r="I3094" s="71" t="s">
        <v>2273</v>
      </c>
      <c r="J3094" s="53">
        <f t="shared" si="1590"/>
        <v>1012500</v>
      </c>
      <c r="K3094" s="63">
        <f t="shared" si="1591"/>
        <v>0.39130434782608697</v>
      </c>
      <c r="L3094" s="871" t="s">
        <v>2399</v>
      </c>
      <c r="M3094" s="468"/>
      <c r="N3094" s="664">
        <f t="shared" si="1572"/>
        <v>200529</v>
      </c>
      <c r="O3094" s="71" t="s">
        <v>145</v>
      </c>
      <c r="P3094" s="103" t="str">
        <f t="shared" si="1576"/>
        <v>THR200(20L)보충액</v>
      </c>
      <c r="Q3094" s="71">
        <f t="shared" si="1575"/>
        <v>45</v>
      </c>
      <c r="R3094" s="102">
        <v>35000</v>
      </c>
      <c r="S3094" s="102">
        <f t="shared" si="1585"/>
        <v>1732500.0000000002</v>
      </c>
      <c r="T3094" s="102">
        <f t="shared" si="1586"/>
        <v>1575000</v>
      </c>
      <c r="U3094" s="71" t="str">
        <f t="shared" si="1592"/>
        <v>O</v>
      </c>
      <c r="V3094" s="71"/>
      <c r="W3094" s="474">
        <f t="shared" si="1593"/>
        <v>1012500</v>
      </c>
      <c r="X3094" s="71"/>
      <c r="Y3094" s="71"/>
    </row>
    <row r="3095" spans="1:25" ht="30" hidden="1" customHeight="1" x14ac:dyDescent="0.25">
      <c r="A3095" s="82">
        <v>200529</v>
      </c>
      <c r="B3095" s="664" t="s">
        <v>1051</v>
      </c>
      <c r="C3095" s="71" t="s">
        <v>1387</v>
      </c>
      <c r="D3095" s="71">
        <v>10</v>
      </c>
      <c r="E3095" s="102">
        <v>57500</v>
      </c>
      <c r="F3095" s="102">
        <f t="shared" si="1588"/>
        <v>632500</v>
      </c>
      <c r="G3095" s="102">
        <f t="shared" si="1589"/>
        <v>575000</v>
      </c>
      <c r="H3095" s="690" t="s">
        <v>142</v>
      </c>
      <c r="I3095" s="71" t="s">
        <v>2273</v>
      </c>
      <c r="J3095" s="53">
        <f t="shared" si="1590"/>
        <v>225000</v>
      </c>
      <c r="K3095" s="63">
        <f t="shared" si="1591"/>
        <v>0.39130434782608697</v>
      </c>
      <c r="L3095" s="871" t="s">
        <v>2399</v>
      </c>
      <c r="M3095" s="468"/>
      <c r="N3095" s="664">
        <f t="shared" si="1572"/>
        <v>200529</v>
      </c>
      <c r="O3095" s="71" t="s">
        <v>145</v>
      </c>
      <c r="P3095" s="103" t="str">
        <f t="shared" si="1576"/>
        <v>THD200(20L)현상액</v>
      </c>
      <c r="Q3095" s="71">
        <f t="shared" si="1575"/>
        <v>10</v>
      </c>
      <c r="R3095" s="102">
        <v>35000</v>
      </c>
      <c r="S3095" s="102">
        <f t="shared" si="1585"/>
        <v>385000.00000000006</v>
      </c>
      <c r="T3095" s="102">
        <f t="shared" si="1586"/>
        <v>350000</v>
      </c>
      <c r="U3095" s="71" t="str">
        <f t="shared" si="1592"/>
        <v>O</v>
      </c>
      <c r="V3095" s="71"/>
      <c r="W3095" s="474">
        <f t="shared" si="1593"/>
        <v>225000</v>
      </c>
      <c r="X3095" s="71"/>
      <c r="Y3095" s="71"/>
    </row>
    <row r="3096" spans="1:25" ht="30" hidden="1" customHeight="1" x14ac:dyDescent="0.25">
      <c r="A3096" s="82">
        <v>200529</v>
      </c>
      <c r="B3096" s="664" t="s">
        <v>1061</v>
      </c>
      <c r="C3096" s="71" t="s">
        <v>616</v>
      </c>
      <c r="D3096" s="71">
        <v>200</v>
      </c>
      <c r="E3096" s="102">
        <v>5600</v>
      </c>
      <c r="F3096" s="102">
        <f t="shared" si="1588"/>
        <v>1232000</v>
      </c>
      <c r="G3096" s="102">
        <f t="shared" si="1589"/>
        <v>1120000</v>
      </c>
      <c r="H3096" s="690" t="s">
        <v>142</v>
      </c>
      <c r="I3096" s="71" t="s">
        <v>144</v>
      </c>
      <c r="J3096" s="53">
        <f t="shared" si="1590"/>
        <v>102000</v>
      </c>
      <c r="K3096" s="63">
        <f t="shared" si="1591"/>
        <v>9.1071428571428567E-2</v>
      </c>
      <c r="L3096" s="871" t="s">
        <v>2399</v>
      </c>
      <c r="M3096" s="468"/>
      <c r="N3096" s="664">
        <f t="shared" si="1572"/>
        <v>200529</v>
      </c>
      <c r="O3096" s="71" t="s">
        <v>147</v>
      </c>
      <c r="P3096" s="103" t="str">
        <f t="shared" si="1576"/>
        <v>프리미어(먹)</v>
      </c>
      <c r="Q3096" s="71">
        <f t="shared" si="1575"/>
        <v>200</v>
      </c>
      <c r="R3096" s="102">
        <v>5090</v>
      </c>
      <c r="S3096" s="102">
        <f t="shared" si="1585"/>
        <v>1119800</v>
      </c>
      <c r="T3096" s="102">
        <f t="shared" si="1586"/>
        <v>1018000</v>
      </c>
      <c r="U3096" s="71" t="str">
        <f t="shared" si="1592"/>
        <v>O</v>
      </c>
      <c r="V3096" s="71"/>
      <c r="W3096" s="474">
        <f t="shared" si="1593"/>
        <v>102000</v>
      </c>
      <c r="X3096" s="71"/>
      <c r="Y3096" s="71"/>
    </row>
    <row r="3097" spans="1:25" ht="30" hidden="1" customHeight="1" x14ac:dyDescent="0.25">
      <c r="A3097" s="82">
        <v>200529</v>
      </c>
      <c r="B3097" s="664" t="s">
        <v>1052</v>
      </c>
      <c r="C3097" s="71" t="s">
        <v>585</v>
      </c>
      <c r="D3097" s="71">
        <v>400</v>
      </c>
      <c r="E3097" s="102">
        <v>6000</v>
      </c>
      <c r="F3097" s="102">
        <f t="shared" si="1588"/>
        <v>2640000</v>
      </c>
      <c r="G3097" s="102">
        <f t="shared" si="1589"/>
        <v>2400000</v>
      </c>
      <c r="H3097" s="690" t="s">
        <v>142</v>
      </c>
      <c r="I3097" s="71" t="s">
        <v>144</v>
      </c>
      <c r="J3097" s="53">
        <f t="shared" si="1590"/>
        <v>220000</v>
      </c>
      <c r="K3097" s="63">
        <f t="shared" si="1591"/>
        <v>9.166666666666666E-2</v>
      </c>
      <c r="L3097" s="871" t="s">
        <v>2399</v>
      </c>
      <c r="M3097" s="468"/>
      <c r="N3097" s="664">
        <f t="shared" si="1572"/>
        <v>200529</v>
      </c>
      <c r="O3097" s="71" t="s">
        <v>147</v>
      </c>
      <c r="P3097" s="103" t="str">
        <f t="shared" si="1576"/>
        <v>프리미어(적)</v>
      </c>
      <c r="Q3097" s="71">
        <f t="shared" si="1575"/>
        <v>400</v>
      </c>
      <c r="R3097" s="102">
        <v>5450</v>
      </c>
      <c r="S3097" s="102">
        <f t="shared" si="1585"/>
        <v>2398000</v>
      </c>
      <c r="T3097" s="102">
        <f t="shared" si="1586"/>
        <v>2180000</v>
      </c>
      <c r="U3097" s="71" t="str">
        <f t="shared" si="1592"/>
        <v>O</v>
      </c>
      <c r="V3097" s="71"/>
      <c r="W3097" s="474">
        <f t="shared" si="1593"/>
        <v>220000</v>
      </c>
      <c r="X3097" s="71"/>
      <c r="Y3097" s="71"/>
    </row>
    <row r="3098" spans="1:25" ht="30" hidden="1" customHeight="1" x14ac:dyDescent="0.25">
      <c r="A3098" s="82">
        <v>200529</v>
      </c>
      <c r="B3098" s="664" t="s">
        <v>1061</v>
      </c>
      <c r="C3098" s="71" t="s">
        <v>586</v>
      </c>
      <c r="D3098" s="71">
        <v>400</v>
      </c>
      <c r="E3098" s="102">
        <v>5750</v>
      </c>
      <c r="F3098" s="102">
        <f t="shared" si="1588"/>
        <v>2530000</v>
      </c>
      <c r="G3098" s="102">
        <f t="shared" si="1589"/>
        <v>2300000</v>
      </c>
      <c r="H3098" s="690" t="s">
        <v>142</v>
      </c>
      <c r="I3098" s="71" t="s">
        <v>144</v>
      </c>
      <c r="J3098" s="53">
        <f t="shared" si="1590"/>
        <v>212000</v>
      </c>
      <c r="K3098" s="63">
        <f t="shared" si="1591"/>
        <v>9.2173913043478259E-2</v>
      </c>
      <c r="L3098" s="871" t="s">
        <v>2399</v>
      </c>
      <c r="M3098" s="468"/>
      <c r="N3098" s="664">
        <f t="shared" si="1572"/>
        <v>200529</v>
      </c>
      <c r="O3098" s="71" t="s">
        <v>147</v>
      </c>
      <c r="P3098" s="103" t="str">
        <f t="shared" si="1576"/>
        <v>프리미어(황)</v>
      </c>
      <c r="Q3098" s="71">
        <f t="shared" si="1575"/>
        <v>400</v>
      </c>
      <c r="R3098" s="102">
        <v>5220</v>
      </c>
      <c r="S3098" s="102">
        <f t="shared" si="1585"/>
        <v>2296800</v>
      </c>
      <c r="T3098" s="102">
        <f t="shared" si="1586"/>
        <v>2088000</v>
      </c>
      <c r="U3098" s="71" t="str">
        <f t="shared" si="1592"/>
        <v>O</v>
      </c>
      <c r="V3098" s="71"/>
      <c r="W3098" s="474">
        <f t="shared" si="1593"/>
        <v>212000</v>
      </c>
      <c r="X3098" s="71"/>
      <c r="Y3098" s="71"/>
    </row>
    <row r="3099" spans="1:25" ht="30" hidden="1" customHeight="1" x14ac:dyDescent="0.25">
      <c r="A3099" s="82">
        <v>200529</v>
      </c>
      <c r="B3099" s="664" t="s">
        <v>1061</v>
      </c>
      <c r="C3099" s="71" t="s">
        <v>587</v>
      </c>
      <c r="D3099" s="71">
        <v>200</v>
      </c>
      <c r="E3099" s="102">
        <v>7000</v>
      </c>
      <c r="F3099" s="102">
        <f t="shared" si="1588"/>
        <v>1540000.0000000002</v>
      </c>
      <c r="G3099" s="102">
        <f t="shared" si="1589"/>
        <v>1400000</v>
      </c>
      <c r="H3099" s="690" t="s">
        <v>142</v>
      </c>
      <c r="I3099" s="71" t="s">
        <v>144</v>
      </c>
      <c r="J3099" s="53">
        <f t="shared" si="1590"/>
        <v>128000</v>
      </c>
      <c r="K3099" s="63">
        <f t="shared" si="1591"/>
        <v>9.1428571428571415E-2</v>
      </c>
      <c r="L3099" s="871" t="s">
        <v>2399</v>
      </c>
      <c r="M3099" s="468"/>
      <c r="N3099" s="664">
        <f t="shared" si="1572"/>
        <v>200529</v>
      </c>
      <c r="O3099" s="71" t="s">
        <v>147</v>
      </c>
      <c r="P3099" s="103" t="str">
        <f t="shared" si="1576"/>
        <v>프리미어(청)</v>
      </c>
      <c r="Q3099" s="71">
        <f t="shared" si="1575"/>
        <v>200</v>
      </c>
      <c r="R3099" s="102">
        <v>6360</v>
      </c>
      <c r="S3099" s="102">
        <f t="shared" si="1585"/>
        <v>1399200</v>
      </c>
      <c r="T3099" s="102">
        <f t="shared" si="1586"/>
        <v>1272000</v>
      </c>
      <c r="U3099" s="71" t="str">
        <f t="shared" si="1592"/>
        <v>O</v>
      </c>
      <c r="V3099" s="71"/>
      <c r="W3099" s="474">
        <f t="shared" si="1593"/>
        <v>128000</v>
      </c>
      <c r="X3099" s="71"/>
      <c r="Y3099" s="71"/>
    </row>
    <row r="3100" spans="1:25" ht="30" hidden="1" customHeight="1" x14ac:dyDescent="0.25">
      <c r="A3100" s="82">
        <v>200529</v>
      </c>
      <c r="B3100" s="664" t="s">
        <v>1052</v>
      </c>
      <c r="C3100" s="71" t="s">
        <v>1115</v>
      </c>
      <c r="D3100" s="71">
        <v>0</v>
      </c>
      <c r="E3100" s="102">
        <v>6200</v>
      </c>
      <c r="F3100" s="102">
        <f t="shared" si="1588"/>
        <v>0</v>
      </c>
      <c r="G3100" s="102">
        <f t="shared" si="1589"/>
        <v>0</v>
      </c>
      <c r="H3100" s="690" t="s">
        <v>142</v>
      </c>
      <c r="I3100" s="71" t="s">
        <v>144</v>
      </c>
      <c r="J3100" s="53">
        <f t="shared" si="1590"/>
        <v>0</v>
      </c>
      <c r="K3100" s="63" t="e">
        <f t="shared" si="1591"/>
        <v>#DIV/0!</v>
      </c>
      <c r="L3100" s="871" t="s">
        <v>2399</v>
      </c>
      <c r="M3100" s="468"/>
      <c r="N3100" s="664">
        <f t="shared" ref="N3100:N3106" si="1594">A3100</f>
        <v>200529</v>
      </c>
      <c r="O3100" s="71" t="s">
        <v>147</v>
      </c>
      <c r="P3100" s="103" t="str">
        <f t="shared" si="1576"/>
        <v>한특 잉크(적)</v>
      </c>
      <c r="Q3100" s="71">
        <f t="shared" si="1575"/>
        <v>0</v>
      </c>
      <c r="R3100" s="102">
        <v>6100</v>
      </c>
      <c r="S3100" s="102">
        <f t="shared" ref="S3100:S3105" si="1595">R3100*Q3100*1.1</f>
        <v>0</v>
      </c>
      <c r="T3100" s="102">
        <f t="shared" ref="T3100:T3105" si="1596">R3100*Q3100</f>
        <v>0</v>
      </c>
      <c r="U3100" s="71" t="str">
        <f t="shared" si="1592"/>
        <v>O</v>
      </c>
      <c r="V3100" s="71"/>
      <c r="W3100" s="474">
        <f t="shared" si="1593"/>
        <v>0</v>
      </c>
      <c r="X3100" s="71"/>
      <c r="Y3100" s="71"/>
    </row>
    <row r="3101" spans="1:25" ht="30" hidden="1" customHeight="1" x14ac:dyDescent="0.25">
      <c r="A3101" s="82">
        <v>200529</v>
      </c>
      <c r="B3101" s="664" t="s">
        <v>1052</v>
      </c>
      <c r="C3101" s="71" t="s">
        <v>1116</v>
      </c>
      <c r="D3101" s="71">
        <v>50</v>
      </c>
      <c r="E3101" s="102">
        <v>6000</v>
      </c>
      <c r="F3101" s="102">
        <f t="shared" si="1588"/>
        <v>330000</v>
      </c>
      <c r="G3101" s="102">
        <f t="shared" si="1589"/>
        <v>300000</v>
      </c>
      <c r="H3101" s="690" t="s">
        <v>142</v>
      </c>
      <c r="I3101" s="71" t="s">
        <v>144</v>
      </c>
      <c r="J3101" s="53">
        <f t="shared" si="1590"/>
        <v>5000</v>
      </c>
      <c r="K3101" s="63">
        <f t="shared" si="1591"/>
        <v>1.6666666666666666E-2</v>
      </c>
      <c r="L3101" s="871" t="s">
        <v>2399</v>
      </c>
      <c r="M3101" s="468"/>
      <c r="N3101" s="664">
        <f t="shared" si="1594"/>
        <v>200529</v>
      </c>
      <c r="O3101" s="71" t="s">
        <v>147</v>
      </c>
      <c r="P3101" s="103" t="str">
        <f t="shared" si="1576"/>
        <v>한특 잉크(황)</v>
      </c>
      <c r="Q3101" s="71">
        <f t="shared" si="1575"/>
        <v>50</v>
      </c>
      <c r="R3101" s="102">
        <v>5900</v>
      </c>
      <c r="S3101" s="102">
        <f t="shared" si="1595"/>
        <v>324500</v>
      </c>
      <c r="T3101" s="102">
        <f t="shared" si="1596"/>
        <v>295000</v>
      </c>
      <c r="U3101" s="71" t="str">
        <f t="shared" si="1592"/>
        <v>O</v>
      </c>
      <c r="V3101" s="71"/>
      <c r="W3101" s="474">
        <f t="shared" si="1593"/>
        <v>5000</v>
      </c>
      <c r="X3101" s="71"/>
      <c r="Y3101" s="71"/>
    </row>
    <row r="3102" spans="1:25" ht="30" hidden="1" customHeight="1" x14ac:dyDescent="0.25">
      <c r="A3102" s="82">
        <v>200529</v>
      </c>
      <c r="B3102" s="664" t="s">
        <v>1052</v>
      </c>
      <c r="C3102" s="71" t="s">
        <v>1117</v>
      </c>
      <c r="D3102" s="71">
        <v>50</v>
      </c>
      <c r="E3102" s="102">
        <v>6500</v>
      </c>
      <c r="F3102" s="102">
        <f t="shared" si="1588"/>
        <v>357500</v>
      </c>
      <c r="G3102" s="102">
        <f t="shared" si="1589"/>
        <v>325000</v>
      </c>
      <c r="H3102" s="690" t="s">
        <v>142</v>
      </c>
      <c r="I3102" s="71" t="s">
        <v>144</v>
      </c>
      <c r="J3102" s="53">
        <f t="shared" si="1590"/>
        <v>5000</v>
      </c>
      <c r="K3102" s="63">
        <f t="shared" si="1591"/>
        <v>1.5384615384615385E-2</v>
      </c>
      <c r="L3102" s="871" t="s">
        <v>2399</v>
      </c>
      <c r="M3102" s="468"/>
      <c r="N3102" s="664">
        <f t="shared" si="1594"/>
        <v>200529</v>
      </c>
      <c r="O3102" s="71" t="s">
        <v>147</v>
      </c>
      <c r="P3102" s="103" t="str">
        <f t="shared" si="1576"/>
        <v>한특 잉크(청)</v>
      </c>
      <c r="Q3102" s="71">
        <f t="shared" si="1575"/>
        <v>50</v>
      </c>
      <c r="R3102" s="102">
        <v>6400</v>
      </c>
      <c r="S3102" s="102">
        <f t="shared" si="1595"/>
        <v>352000</v>
      </c>
      <c r="T3102" s="102">
        <f t="shared" si="1596"/>
        <v>320000</v>
      </c>
      <c r="U3102" s="71" t="str">
        <f t="shared" si="1592"/>
        <v>O</v>
      </c>
      <c r="V3102" s="71"/>
      <c r="W3102" s="474">
        <f t="shared" si="1593"/>
        <v>5000</v>
      </c>
      <c r="X3102" s="71"/>
      <c r="Y3102" s="71"/>
    </row>
    <row r="3103" spans="1:25" ht="30" hidden="1" customHeight="1" x14ac:dyDescent="0.25">
      <c r="A3103" s="82">
        <v>200529</v>
      </c>
      <c r="B3103" s="664" t="s">
        <v>1052</v>
      </c>
      <c r="C3103" s="71" t="s">
        <v>1118</v>
      </c>
      <c r="D3103" s="71">
        <v>50</v>
      </c>
      <c r="E3103" s="102">
        <v>5600</v>
      </c>
      <c r="F3103" s="102">
        <f t="shared" si="1588"/>
        <v>308000</v>
      </c>
      <c r="G3103" s="102">
        <f t="shared" si="1589"/>
        <v>280000</v>
      </c>
      <c r="H3103" s="690" t="s">
        <v>142</v>
      </c>
      <c r="I3103" s="71" t="s">
        <v>144</v>
      </c>
      <c r="J3103" s="53">
        <f t="shared" si="1590"/>
        <v>5000</v>
      </c>
      <c r="K3103" s="63">
        <f t="shared" si="1591"/>
        <v>1.7857142857142856E-2</v>
      </c>
      <c r="L3103" s="871" t="s">
        <v>2399</v>
      </c>
      <c r="M3103" s="468"/>
      <c r="N3103" s="664">
        <f t="shared" si="1594"/>
        <v>200529</v>
      </c>
      <c r="O3103" s="71" t="s">
        <v>147</v>
      </c>
      <c r="P3103" s="103" t="str">
        <f t="shared" si="1576"/>
        <v>한특 잉크(먹)</v>
      </c>
      <c r="Q3103" s="71">
        <f>D3103</f>
        <v>50</v>
      </c>
      <c r="R3103" s="102">
        <v>5500</v>
      </c>
      <c r="S3103" s="102">
        <f t="shared" si="1595"/>
        <v>302500</v>
      </c>
      <c r="T3103" s="102">
        <f t="shared" si="1596"/>
        <v>275000</v>
      </c>
      <c r="U3103" s="71" t="str">
        <f t="shared" si="1592"/>
        <v>O</v>
      </c>
      <c r="V3103" s="71"/>
      <c r="W3103" s="474">
        <f t="shared" si="1593"/>
        <v>5000</v>
      </c>
      <c r="X3103" s="71"/>
      <c r="Y3103" s="71"/>
    </row>
    <row r="3104" spans="1:25" ht="30" hidden="1" customHeight="1" x14ac:dyDescent="0.25">
      <c r="A3104" s="82">
        <v>200529</v>
      </c>
      <c r="B3104" s="664" t="s">
        <v>2354</v>
      </c>
      <c r="C3104" s="71" t="s">
        <v>2439</v>
      </c>
      <c r="D3104" s="71">
        <v>1</v>
      </c>
      <c r="E3104" s="102">
        <v>50000</v>
      </c>
      <c r="F3104" s="102">
        <f t="shared" si="1588"/>
        <v>55000.000000000007</v>
      </c>
      <c r="G3104" s="102">
        <f t="shared" si="1589"/>
        <v>50000</v>
      </c>
      <c r="H3104" s="690" t="s">
        <v>142</v>
      </c>
      <c r="I3104" s="71" t="s">
        <v>142</v>
      </c>
      <c r="J3104" s="53">
        <f t="shared" si="1590"/>
        <v>10000</v>
      </c>
      <c r="K3104" s="63">
        <f>(J3104/(F3104/11*10))</f>
        <v>0.19999999999999998</v>
      </c>
      <c r="L3104" s="871" t="s">
        <v>2399</v>
      </c>
      <c r="M3104" s="468"/>
      <c r="N3104" s="664">
        <f t="shared" si="1594"/>
        <v>200529</v>
      </c>
      <c r="O3104" s="71" t="s">
        <v>145</v>
      </c>
      <c r="P3104" s="103" t="str">
        <f>(C3104)</f>
        <v>wire</v>
      </c>
      <c r="Q3104" s="71">
        <f>D3104</f>
        <v>1</v>
      </c>
      <c r="R3104" s="102">
        <v>40000</v>
      </c>
      <c r="S3104" s="102">
        <f t="shared" si="1595"/>
        <v>44000</v>
      </c>
      <c r="T3104" s="102">
        <f t="shared" si="1596"/>
        <v>40000</v>
      </c>
      <c r="U3104" s="71"/>
      <c r="V3104" s="71"/>
      <c r="W3104" s="474"/>
      <c r="X3104" s="71"/>
      <c r="Y3104" s="71"/>
    </row>
    <row r="3105" spans="1:25" ht="30" hidden="1" customHeight="1" x14ac:dyDescent="0.25">
      <c r="A3105" s="82">
        <v>200529</v>
      </c>
      <c r="B3105" s="664" t="s">
        <v>2354</v>
      </c>
      <c r="C3105" s="71" t="s">
        <v>2440</v>
      </c>
      <c r="D3105" s="71">
        <v>3</v>
      </c>
      <c r="E3105" s="102">
        <v>120000</v>
      </c>
      <c r="F3105" s="102">
        <f>(E3105*D3105)*1.1</f>
        <v>396000.00000000006</v>
      </c>
      <c r="G3105" s="102">
        <f>(E3105*D3105)</f>
        <v>360000</v>
      </c>
      <c r="H3105" s="690" t="s">
        <v>142</v>
      </c>
      <c r="I3105" s="71" t="s">
        <v>142</v>
      </c>
      <c r="J3105" s="53">
        <f t="shared" si="1590"/>
        <v>0</v>
      </c>
      <c r="K3105" s="63">
        <f>(J3105/(F3105/11*10))</f>
        <v>0</v>
      </c>
      <c r="L3105" s="871" t="s">
        <v>2399</v>
      </c>
      <c r="M3105" s="468"/>
      <c r="N3105" s="664">
        <f t="shared" si="1594"/>
        <v>200529</v>
      </c>
      <c r="O3105" s="71" t="s">
        <v>145</v>
      </c>
      <c r="P3105" s="103" t="str">
        <f>(C3105)</f>
        <v>CTP 서비스비용</v>
      </c>
      <c r="Q3105" s="71">
        <f>D3105</f>
        <v>3</v>
      </c>
      <c r="R3105" s="102">
        <v>120000</v>
      </c>
      <c r="S3105" s="102">
        <f t="shared" si="1595"/>
        <v>396000.00000000006</v>
      </c>
      <c r="T3105" s="102">
        <f t="shared" si="1596"/>
        <v>360000</v>
      </c>
      <c r="U3105" s="71"/>
      <c r="V3105" s="71"/>
      <c r="W3105" s="474"/>
      <c r="X3105" s="71"/>
      <c r="Y3105" s="71"/>
    </row>
    <row r="3106" spans="1:25" s="978" customFormat="1" ht="45" hidden="1" customHeight="1" x14ac:dyDescent="0.25">
      <c r="A3106" s="982" t="s">
        <v>2436</v>
      </c>
      <c r="B3106" s="976" t="s">
        <v>544</v>
      </c>
      <c r="C3106" s="453"/>
      <c r="D3106" s="453"/>
      <c r="E3106" s="454"/>
      <c r="F3106" s="454"/>
      <c r="G3106" s="454"/>
      <c r="H3106" s="455"/>
      <c r="I3106" s="453"/>
      <c r="J3106" s="417"/>
      <c r="K3106" s="418"/>
      <c r="L3106" s="983" t="s">
        <v>2438</v>
      </c>
      <c r="M3106" s="643"/>
      <c r="N3106" s="724" t="str">
        <f t="shared" si="1594"/>
        <v>2020,6</v>
      </c>
      <c r="O3106" s="453" t="s">
        <v>154</v>
      </c>
      <c r="P3106" s="728"/>
      <c r="Q3106" s="420"/>
      <c r="R3106" s="420"/>
      <c r="S3106" s="417"/>
      <c r="T3106" s="417"/>
      <c r="U3106" s="421"/>
      <c r="V3106" s="421"/>
      <c r="W3106" s="479">
        <f>(G3106-T3106)</f>
        <v>0</v>
      </c>
      <c r="X3106" s="421"/>
      <c r="Y3106" s="421"/>
    </row>
    <row r="3107" spans="1:25" s="209" customFormat="1" ht="30" hidden="1" customHeight="1" x14ac:dyDescent="0.25">
      <c r="A3107" s="82">
        <v>200601</v>
      </c>
      <c r="B3107" s="664" t="s">
        <v>2155</v>
      </c>
      <c r="C3107" s="71" t="s">
        <v>138</v>
      </c>
      <c r="D3107" s="71">
        <v>10</v>
      </c>
      <c r="E3107" s="102">
        <v>47600</v>
      </c>
      <c r="F3107" s="163">
        <f>(E3107*D3107)*1.1</f>
        <v>523600.00000000006</v>
      </c>
      <c r="G3107" s="102">
        <f>(E3107*D3107)</f>
        <v>476000</v>
      </c>
      <c r="H3107" s="1129" t="s">
        <v>172</v>
      </c>
      <c r="I3107" s="71" t="s">
        <v>108</v>
      </c>
      <c r="J3107" s="53">
        <f>G3107-T3107</f>
        <v>68000</v>
      </c>
      <c r="K3107" s="63">
        <f>(J3107/(F3107/11*10))</f>
        <v>0.14285714285714285</v>
      </c>
      <c r="L3107" s="871" t="s">
        <v>2438</v>
      </c>
      <c r="M3107" s="468" t="s">
        <v>2214</v>
      </c>
      <c r="N3107" s="664">
        <f>A3107</f>
        <v>200601</v>
      </c>
      <c r="O3107" s="71" t="s">
        <v>150</v>
      </c>
      <c r="P3107" s="103" t="str">
        <f>(C3107)</f>
        <v>매엽용 세척제(Wash 562)</v>
      </c>
      <c r="Q3107" s="71">
        <f>D3107</f>
        <v>10</v>
      </c>
      <c r="R3107" s="102">
        <v>40800</v>
      </c>
      <c r="S3107" s="102">
        <f>R3107*Q3107*1.1</f>
        <v>448800.00000000006</v>
      </c>
      <c r="T3107" s="102">
        <f>R3107*Q3107</f>
        <v>408000</v>
      </c>
      <c r="U3107" s="71" t="s">
        <v>859</v>
      </c>
      <c r="V3107" s="71"/>
      <c r="W3107" s="474">
        <v>85000</v>
      </c>
      <c r="X3107" s="71"/>
      <c r="Y3107" s="71"/>
    </row>
    <row r="3108" spans="1:25" ht="30" hidden="1" customHeight="1" x14ac:dyDescent="0.25">
      <c r="A3108" s="82">
        <v>200601</v>
      </c>
      <c r="B3108" s="664" t="s">
        <v>2155</v>
      </c>
      <c r="C3108" s="71" t="s">
        <v>277</v>
      </c>
      <c r="D3108" s="71">
        <v>5</v>
      </c>
      <c r="E3108" s="102">
        <v>172000</v>
      </c>
      <c r="F3108" s="102">
        <f>(E3108*D3108)*1.1</f>
        <v>946000.00000000012</v>
      </c>
      <c r="G3108" s="102">
        <f>(E3108*D3108)</f>
        <v>860000</v>
      </c>
      <c r="H3108" s="690" t="s">
        <v>173</v>
      </c>
      <c r="I3108" s="71" t="s">
        <v>108</v>
      </c>
      <c r="J3108" s="53">
        <f>G3108-T3108</f>
        <v>285000</v>
      </c>
      <c r="K3108" s="63">
        <v>0.33139534883720928</v>
      </c>
      <c r="L3108" s="871" t="s">
        <v>2438</v>
      </c>
      <c r="M3108" s="468"/>
      <c r="N3108" s="664">
        <f>A3108</f>
        <v>200601</v>
      </c>
      <c r="O3108" s="71" t="s">
        <v>150</v>
      </c>
      <c r="P3108" s="103" t="str">
        <f>(C3108)</f>
        <v>윤전용 세척제(Web 504)</v>
      </c>
      <c r="Q3108" s="71">
        <f>D3108</f>
        <v>5</v>
      </c>
      <c r="R3108" s="102">
        <v>115000</v>
      </c>
      <c r="S3108" s="102">
        <f>R3108*Q3108*1.1</f>
        <v>632500</v>
      </c>
      <c r="T3108" s="102">
        <f>R3108*Q3108</f>
        <v>575000</v>
      </c>
      <c r="U3108" s="71" t="s">
        <v>859</v>
      </c>
      <c r="V3108" s="71"/>
      <c r="W3108" s="474">
        <v>285000</v>
      </c>
      <c r="X3108" s="71"/>
      <c r="Y3108" s="71"/>
    </row>
    <row r="3109" spans="1:25" s="209" customFormat="1" ht="30" hidden="1" customHeight="1" x14ac:dyDescent="0.2">
      <c r="A3109" s="82">
        <v>200601</v>
      </c>
      <c r="B3109" s="664" t="s">
        <v>2261</v>
      </c>
      <c r="C3109" s="71" t="s">
        <v>107</v>
      </c>
      <c r="D3109" s="71">
        <v>10</v>
      </c>
      <c r="E3109" s="102">
        <v>108000</v>
      </c>
      <c r="F3109" s="163">
        <f>(E3109*D3109)*1.1</f>
        <v>1188000</v>
      </c>
      <c r="G3109" s="102">
        <f>(E3109*D3109)</f>
        <v>1080000</v>
      </c>
      <c r="H3109" s="165" t="s">
        <v>172</v>
      </c>
      <c r="I3109" s="71" t="s">
        <v>109</v>
      </c>
      <c r="J3109" s="53">
        <f>G3109-T3109</f>
        <v>275000</v>
      </c>
      <c r="K3109" s="63">
        <f t="shared" ref="K3109:K3114" si="1597">(J3109/(F3109/11*10))</f>
        <v>0.25462962962962965</v>
      </c>
      <c r="L3109" s="871" t="s">
        <v>2438</v>
      </c>
      <c r="M3109" s="468"/>
      <c r="N3109" s="664">
        <f>A3109</f>
        <v>200601</v>
      </c>
      <c r="O3109" s="71" t="s">
        <v>147</v>
      </c>
      <c r="P3109" s="103" t="str">
        <f>(C3109)</f>
        <v>Blanket(1050*840)</v>
      </c>
      <c r="Q3109" s="71">
        <f>D3109</f>
        <v>10</v>
      </c>
      <c r="R3109" s="102">
        <v>80500</v>
      </c>
      <c r="S3109" s="102">
        <f>R3109*Q3109*1.1</f>
        <v>885500.00000000012</v>
      </c>
      <c r="T3109" s="102">
        <f>R3109*Q3109</f>
        <v>805000</v>
      </c>
      <c r="U3109" s="71" t="s">
        <v>859</v>
      </c>
      <c r="V3109" s="71"/>
      <c r="W3109" s="474">
        <v>275000</v>
      </c>
      <c r="X3109" s="71"/>
      <c r="Y3109" s="71"/>
    </row>
    <row r="3110" spans="1:25" ht="30" hidden="1" customHeight="1" x14ac:dyDescent="0.25">
      <c r="A3110" s="82">
        <v>200601</v>
      </c>
      <c r="B3110" s="664" t="s">
        <v>446</v>
      </c>
      <c r="C3110" s="71" t="s">
        <v>2028</v>
      </c>
      <c r="D3110" s="71">
        <v>10</v>
      </c>
      <c r="E3110" s="102">
        <v>105000</v>
      </c>
      <c r="F3110" s="102">
        <f>(E3110*D3110)*1.1</f>
        <v>1155000</v>
      </c>
      <c r="G3110" s="102">
        <f>(E3110*D3110)</f>
        <v>1050000</v>
      </c>
      <c r="H3110" s="690" t="s">
        <v>2029</v>
      </c>
      <c r="I3110" s="71" t="s">
        <v>2231</v>
      </c>
      <c r="J3110" s="53">
        <f>G3110-T3110</f>
        <v>190000</v>
      </c>
      <c r="K3110" s="63">
        <f t="shared" si="1597"/>
        <v>0.18095238095238095</v>
      </c>
      <c r="L3110" s="871" t="s">
        <v>2438</v>
      </c>
      <c r="M3110" s="468" t="s">
        <v>3067</v>
      </c>
      <c r="N3110" s="664">
        <f>A3110</f>
        <v>200601</v>
      </c>
      <c r="O3110" s="71" t="s">
        <v>2030</v>
      </c>
      <c r="P3110" s="103" t="str">
        <f>(C3110)</f>
        <v>실리콘 에멀전</v>
      </c>
      <c r="Q3110" s="71">
        <f>D3110</f>
        <v>10</v>
      </c>
      <c r="R3110" s="102">
        <v>86000</v>
      </c>
      <c r="S3110" s="102">
        <f>R3110*Q3110*1.1</f>
        <v>946000.00000000012</v>
      </c>
      <c r="T3110" s="102">
        <f>R3110*Q3110</f>
        <v>860000</v>
      </c>
      <c r="U3110" s="71" t="str">
        <f>IF(J3110=W3110,"O", "X")</f>
        <v>O</v>
      </c>
      <c r="V3110" s="71">
        <f>5000*Q3110</f>
        <v>50000</v>
      </c>
      <c r="W3110" s="474">
        <f>(G3110-T3110)</f>
        <v>190000</v>
      </c>
      <c r="X3110" s="71"/>
      <c r="Y3110" s="71"/>
    </row>
    <row r="3111" spans="1:25" ht="30" hidden="1" customHeight="1" x14ac:dyDescent="0.25">
      <c r="A3111" s="82">
        <v>200601</v>
      </c>
      <c r="B3111" s="664" t="s">
        <v>442</v>
      </c>
      <c r="C3111" s="71" t="s">
        <v>773</v>
      </c>
      <c r="D3111" s="71">
        <v>6</v>
      </c>
      <c r="E3111" s="102">
        <v>192000</v>
      </c>
      <c r="F3111" s="102">
        <f>(E3111*D3111)*1.1</f>
        <v>1267200</v>
      </c>
      <c r="G3111" s="102">
        <f>(E3111*D3111)</f>
        <v>1152000</v>
      </c>
      <c r="H3111" s="690" t="s">
        <v>173</v>
      </c>
      <c r="I3111" s="71" t="s">
        <v>109</v>
      </c>
      <c r="J3111" s="53">
        <f>G3111-T3111</f>
        <v>144000</v>
      </c>
      <c r="K3111" s="63">
        <f t="shared" si="1597"/>
        <v>0.125</v>
      </c>
      <c r="L3111" s="871" t="s">
        <v>2438</v>
      </c>
      <c r="M3111" s="468"/>
      <c r="N3111" s="664">
        <f>A3111</f>
        <v>200601</v>
      </c>
      <c r="O3111" s="71" t="s">
        <v>151</v>
      </c>
      <c r="P3111" s="103" t="str">
        <f>C3111</f>
        <v>로랜드 전지 블랑켓(1460*1165)bar</v>
      </c>
      <c r="Q3111" s="71">
        <f t="shared" ref="Q3111:Q3132" si="1598">D3111</f>
        <v>6</v>
      </c>
      <c r="R3111" s="102">
        <v>168000</v>
      </c>
      <c r="S3111" s="102">
        <f>R3111*Q3111*1.1</f>
        <v>1108800</v>
      </c>
      <c r="T3111" s="102">
        <f>R3111*Q3111</f>
        <v>1008000</v>
      </c>
      <c r="U3111" s="71" t="s">
        <v>859</v>
      </c>
      <c r="V3111" s="71"/>
      <c r="W3111" s="474">
        <v>120000</v>
      </c>
      <c r="X3111" s="71"/>
      <c r="Y3111" s="71"/>
    </row>
    <row r="3112" spans="1:25" ht="30" hidden="1" customHeight="1" x14ac:dyDescent="0.25">
      <c r="A3112" s="82">
        <v>200601</v>
      </c>
      <c r="B3112" s="664" t="s">
        <v>690</v>
      </c>
      <c r="C3112" s="71" t="s">
        <v>691</v>
      </c>
      <c r="D3112" s="71">
        <v>6</v>
      </c>
      <c r="E3112" s="102">
        <v>350000</v>
      </c>
      <c r="F3112" s="102">
        <f t="shared" ref="F3112:F3132" si="1599">(E3112*D3112)*1.1</f>
        <v>2310000</v>
      </c>
      <c r="G3112" s="102">
        <f t="shared" ref="G3112:G3132" si="1600">(E3112*D3112)</f>
        <v>2100000</v>
      </c>
      <c r="H3112" s="690" t="s">
        <v>173</v>
      </c>
      <c r="I3112" s="71" t="s">
        <v>109</v>
      </c>
      <c r="J3112" s="53">
        <f>(G3112-(VLOOKUP(C3112,Price!B:D,3,FALSE)*D3112))</f>
        <v>240000</v>
      </c>
      <c r="K3112" s="63">
        <f t="shared" si="1597"/>
        <v>0.11428571428571428</v>
      </c>
      <c r="L3112" s="871" t="s">
        <v>2438</v>
      </c>
      <c r="M3112" s="468"/>
      <c r="N3112" s="664">
        <f t="shared" ref="N3112:N3132" si="1601">A3112</f>
        <v>200601</v>
      </c>
      <c r="O3112" s="71" t="s">
        <v>151</v>
      </c>
      <c r="P3112" s="103" t="str">
        <f>(C3112)</f>
        <v>피니토 하이델 국전용 블랑켓</v>
      </c>
      <c r="Q3112" s="71">
        <f t="shared" si="1598"/>
        <v>6</v>
      </c>
      <c r="R3112" s="102">
        <v>310000</v>
      </c>
      <c r="S3112" s="102">
        <f>(R3112*D3112)*1.1</f>
        <v>2046000.0000000002</v>
      </c>
      <c r="T3112" s="102">
        <f>(R3112*Q3112)</f>
        <v>1860000</v>
      </c>
      <c r="U3112" s="71" t="str">
        <f>IF(J3112=W3112,"O", "X")</f>
        <v>O</v>
      </c>
      <c r="V3112" s="71"/>
      <c r="W3112" s="474">
        <f>(G3112-T3112)</f>
        <v>240000</v>
      </c>
      <c r="X3112" s="71"/>
      <c r="Y3112" s="71"/>
    </row>
    <row r="3113" spans="1:25" s="209" customFormat="1" ht="30" hidden="1" customHeight="1" x14ac:dyDescent="0.25">
      <c r="A3113" s="82">
        <v>200601</v>
      </c>
      <c r="B3113" s="671" t="s">
        <v>442</v>
      </c>
      <c r="C3113" s="682" t="s">
        <v>107</v>
      </c>
      <c r="D3113" s="682">
        <v>6</v>
      </c>
      <c r="E3113" s="702">
        <v>105000</v>
      </c>
      <c r="F3113" s="702">
        <f t="shared" si="1599"/>
        <v>693000</v>
      </c>
      <c r="G3113" s="702">
        <f t="shared" si="1600"/>
        <v>630000</v>
      </c>
      <c r="H3113" s="690" t="s">
        <v>173</v>
      </c>
      <c r="I3113" s="71" t="s">
        <v>109</v>
      </c>
      <c r="J3113" s="53">
        <f>(G3113-(VLOOKUP(C3113,Price!B:D,3,FALSE)*D3113))</f>
        <v>147000</v>
      </c>
      <c r="K3113" s="63">
        <f t="shared" si="1597"/>
        <v>0.23333333333333334</v>
      </c>
      <c r="L3113" s="871" t="s">
        <v>2438</v>
      </c>
      <c r="M3113" s="579"/>
      <c r="N3113" s="671">
        <f t="shared" si="1601"/>
        <v>200601</v>
      </c>
      <c r="O3113" s="682" t="s">
        <v>147</v>
      </c>
      <c r="P3113" s="164" t="str">
        <f>(C3113)</f>
        <v>Blanket(1050*840)</v>
      </c>
      <c r="Q3113" s="201">
        <f t="shared" si="1598"/>
        <v>6</v>
      </c>
      <c r="R3113" s="202">
        <v>80500</v>
      </c>
      <c r="S3113" s="147">
        <f>(R3113*D3113)*1.1</f>
        <v>531300</v>
      </c>
      <c r="T3113" s="147">
        <f>(R3113*Q3113)</f>
        <v>483000</v>
      </c>
      <c r="U3113" s="209" t="str">
        <f>IF(J3113=W3113,"O", "X")</f>
        <v>O</v>
      </c>
      <c r="W3113" s="482">
        <f>(G3113-T3113)</f>
        <v>147000</v>
      </c>
    </row>
    <row r="3114" spans="1:25" s="209" customFormat="1" ht="30" hidden="1" customHeight="1" x14ac:dyDescent="0.25">
      <c r="A3114" s="82">
        <v>200601</v>
      </c>
      <c r="B3114" s="664" t="s">
        <v>442</v>
      </c>
      <c r="C3114" s="71" t="s">
        <v>138</v>
      </c>
      <c r="D3114" s="71">
        <v>30</v>
      </c>
      <c r="E3114" s="102">
        <v>55200</v>
      </c>
      <c r="F3114" s="102">
        <f t="shared" si="1599"/>
        <v>1821600.0000000002</v>
      </c>
      <c r="G3114" s="102">
        <f t="shared" si="1600"/>
        <v>1656000</v>
      </c>
      <c r="H3114" s="690" t="s">
        <v>173</v>
      </c>
      <c r="I3114" s="71" t="s">
        <v>108</v>
      </c>
      <c r="J3114" s="53">
        <f t="shared" ref="J3114:J3122" si="1602">G3114-T3114</f>
        <v>432000</v>
      </c>
      <c r="K3114" s="63">
        <f t="shared" si="1597"/>
        <v>0.26086956521739124</v>
      </c>
      <c r="L3114" s="871" t="s">
        <v>2438</v>
      </c>
      <c r="M3114" s="468" t="s">
        <v>2388</v>
      </c>
      <c r="N3114" s="664">
        <f t="shared" si="1601"/>
        <v>200601</v>
      </c>
      <c r="O3114" s="71" t="s">
        <v>150</v>
      </c>
      <c r="P3114" s="164" t="str">
        <f t="shared" ref="P3114:P3131" si="1603">(C3114)</f>
        <v>매엽용 세척제(Wash 562)</v>
      </c>
      <c r="Q3114" s="71">
        <f t="shared" si="1598"/>
        <v>30</v>
      </c>
      <c r="R3114" s="102">
        <v>40800</v>
      </c>
      <c r="S3114" s="102">
        <f t="shared" ref="S3114:S3131" si="1604">R3114*Q3114*1.1</f>
        <v>1346400</v>
      </c>
      <c r="T3114" s="102">
        <f t="shared" ref="T3114:T3131" si="1605">R3114*Q3114</f>
        <v>1224000</v>
      </c>
      <c r="U3114" s="71" t="s">
        <v>1915</v>
      </c>
      <c r="V3114" s="71"/>
      <c r="W3114" s="474">
        <v>396000</v>
      </c>
      <c r="X3114" s="71"/>
      <c r="Y3114" s="71"/>
    </row>
    <row r="3115" spans="1:25" s="209" customFormat="1" ht="30" hidden="1" customHeight="1" x14ac:dyDescent="0.25">
      <c r="A3115" s="82">
        <v>200601</v>
      </c>
      <c r="B3115" s="664" t="s">
        <v>569</v>
      </c>
      <c r="C3115" s="71" t="s">
        <v>123</v>
      </c>
      <c r="D3115" s="71">
        <v>20</v>
      </c>
      <c r="E3115" s="102">
        <v>40000</v>
      </c>
      <c r="F3115" s="102">
        <f t="shared" si="1599"/>
        <v>880000.00000000012</v>
      </c>
      <c r="G3115" s="102">
        <f t="shared" si="1600"/>
        <v>800000</v>
      </c>
      <c r="H3115" s="690" t="s">
        <v>94</v>
      </c>
      <c r="I3115" s="690" t="s">
        <v>94</v>
      </c>
      <c r="J3115" s="53">
        <f t="shared" si="1602"/>
        <v>360000</v>
      </c>
      <c r="K3115" s="63">
        <f>(J3115/(F3115/11*10))</f>
        <v>0.44999999999999996</v>
      </c>
      <c r="L3115" s="871" t="s">
        <v>2437</v>
      </c>
      <c r="M3115" s="468"/>
      <c r="N3115" s="664">
        <f t="shared" si="1601"/>
        <v>200601</v>
      </c>
      <c r="O3115" s="71" t="s">
        <v>94</v>
      </c>
      <c r="P3115" s="164" t="str">
        <f t="shared" si="1603"/>
        <v>필터백</v>
      </c>
      <c r="Q3115" s="71">
        <f t="shared" si="1598"/>
        <v>20</v>
      </c>
      <c r="R3115" s="102">
        <v>22000</v>
      </c>
      <c r="S3115" s="102">
        <f t="shared" si="1604"/>
        <v>484000.00000000006</v>
      </c>
      <c r="T3115" s="102">
        <f t="shared" si="1605"/>
        <v>440000</v>
      </c>
      <c r="U3115" s="71"/>
      <c r="V3115" s="71"/>
      <c r="W3115" s="474"/>
      <c r="X3115" s="71"/>
      <c r="Y3115" s="71"/>
    </row>
    <row r="3116" spans="1:25" s="209" customFormat="1" ht="30" hidden="1" customHeight="1" x14ac:dyDescent="0.2">
      <c r="A3116" s="82">
        <v>200602</v>
      </c>
      <c r="B3116" s="664" t="s">
        <v>764</v>
      </c>
      <c r="C3116" s="71" t="s">
        <v>236</v>
      </c>
      <c r="D3116" s="71">
        <v>10</v>
      </c>
      <c r="E3116" s="102">
        <v>100000</v>
      </c>
      <c r="F3116" s="163">
        <f>(E3116*D3116)*1.1</f>
        <v>1100000</v>
      </c>
      <c r="G3116" s="102">
        <f>(E3116*D3116)</f>
        <v>1000000</v>
      </c>
      <c r="H3116" s="690" t="s">
        <v>173</v>
      </c>
      <c r="I3116" s="71" t="s">
        <v>2231</v>
      </c>
      <c r="J3116" s="53">
        <f t="shared" si="1602"/>
        <v>500000</v>
      </c>
      <c r="K3116" s="63">
        <f>(J3116/(F3116/11*10))</f>
        <v>0.5</v>
      </c>
      <c r="L3116" s="871" t="s">
        <v>2438</v>
      </c>
      <c r="M3116" s="468"/>
      <c r="N3116" s="664">
        <f>A3116</f>
        <v>200602</v>
      </c>
      <c r="O3116" s="71" t="s">
        <v>153</v>
      </c>
      <c r="P3116" s="164" t="str">
        <f t="shared" si="1603"/>
        <v>아스테이지(국전)</v>
      </c>
      <c r="Q3116" s="71">
        <f>D3116</f>
        <v>10</v>
      </c>
      <c r="R3116" s="102">
        <v>50000</v>
      </c>
      <c r="S3116" s="102">
        <f t="shared" si="1604"/>
        <v>550000</v>
      </c>
      <c r="T3116" s="102">
        <f t="shared" si="1605"/>
        <v>500000</v>
      </c>
      <c r="U3116" s="71" t="s">
        <v>859</v>
      </c>
      <c r="V3116" s="71"/>
      <c r="W3116" s="474">
        <v>500000</v>
      </c>
      <c r="X3116" s="71"/>
      <c r="Y3116" s="71"/>
    </row>
    <row r="3117" spans="1:25" ht="30" hidden="1" customHeight="1" x14ac:dyDescent="0.25">
      <c r="A3117" s="82">
        <v>200604</v>
      </c>
      <c r="B3117" s="664" t="s">
        <v>2155</v>
      </c>
      <c r="C3117" s="71" t="s">
        <v>2456</v>
      </c>
      <c r="D3117" s="71">
        <v>1</v>
      </c>
      <c r="E3117" s="102">
        <v>5900000</v>
      </c>
      <c r="F3117" s="102">
        <f t="shared" si="1599"/>
        <v>6490000.0000000009</v>
      </c>
      <c r="G3117" s="102">
        <f t="shared" si="1600"/>
        <v>5900000</v>
      </c>
      <c r="H3117" s="690" t="s">
        <v>1431</v>
      </c>
      <c r="I3117" s="71" t="s">
        <v>1431</v>
      </c>
      <c r="J3117" s="53">
        <f t="shared" si="1602"/>
        <v>2256537</v>
      </c>
      <c r="K3117" s="63">
        <f>(J3117/(F3117/11*10))</f>
        <v>0.3824638983050847</v>
      </c>
      <c r="L3117" s="871" t="s">
        <v>2437</v>
      </c>
      <c r="M3117" s="468"/>
      <c r="N3117" s="664">
        <f t="shared" si="1601"/>
        <v>200604</v>
      </c>
      <c r="O3117" s="71" t="s">
        <v>1431</v>
      </c>
      <c r="P3117" s="164" t="str">
        <f t="shared" si="1603"/>
        <v>가스 미터</v>
      </c>
      <c r="Q3117" s="71">
        <f t="shared" si="1598"/>
        <v>1</v>
      </c>
      <c r="R3117" s="102">
        <v>3643463</v>
      </c>
      <c r="S3117" s="102">
        <f t="shared" si="1604"/>
        <v>4007809.3000000003</v>
      </c>
      <c r="T3117" s="102">
        <f t="shared" si="1605"/>
        <v>3643463</v>
      </c>
      <c r="U3117" s="71"/>
      <c r="V3117" s="71"/>
      <c r="W3117" s="474"/>
      <c r="X3117" s="71"/>
      <c r="Y3117" s="71"/>
    </row>
    <row r="3118" spans="1:25" ht="30" hidden="1" customHeight="1" x14ac:dyDescent="0.25">
      <c r="A3118" s="82">
        <v>200604</v>
      </c>
      <c r="B3118" s="664" t="s">
        <v>2155</v>
      </c>
      <c r="C3118" s="71" t="s">
        <v>960</v>
      </c>
      <c r="D3118" s="71">
        <v>4</v>
      </c>
      <c r="E3118" s="102">
        <v>240000</v>
      </c>
      <c r="F3118" s="102">
        <f t="shared" si="1599"/>
        <v>1056000</v>
      </c>
      <c r="G3118" s="102">
        <f t="shared" si="1600"/>
        <v>960000</v>
      </c>
      <c r="H3118" s="690" t="s">
        <v>1431</v>
      </c>
      <c r="I3118" s="71" t="s">
        <v>1431</v>
      </c>
      <c r="J3118" s="53">
        <f t="shared" si="1602"/>
        <v>296780</v>
      </c>
      <c r="K3118" s="63">
        <f>(J3118/(F3118/11*10))</f>
        <v>0.30914583333333334</v>
      </c>
      <c r="L3118" s="871" t="s">
        <v>2438</v>
      </c>
      <c r="M3118" s="468"/>
      <c r="N3118" s="664">
        <f t="shared" si="1601"/>
        <v>200604</v>
      </c>
      <c r="O3118" s="71" t="s">
        <v>1431</v>
      </c>
      <c r="P3118" s="164" t="str">
        <f t="shared" si="1603"/>
        <v>파이프</v>
      </c>
      <c r="Q3118" s="71">
        <f t="shared" si="1598"/>
        <v>4</v>
      </c>
      <c r="R3118" s="102">
        <v>165805</v>
      </c>
      <c r="S3118" s="102">
        <f t="shared" si="1604"/>
        <v>729542.00000000012</v>
      </c>
      <c r="T3118" s="102">
        <f t="shared" si="1605"/>
        <v>663220</v>
      </c>
      <c r="U3118" s="71"/>
      <c r="V3118" s="71"/>
      <c r="W3118" s="474"/>
      <c r="X3118" s="71"/>
      <c r="Y3118" s="71"/>
    </row>
    <row r="3119" spans="1:25" ht="30" hidden="1" customHeight="1" x14ac:dyDescent="0.2">
      <c r="A3119" s="82">
        <v>200608</v>
      </c>
      <c r="B3119" s="664" t="s">
        <v>2353</v>
      </c>
      <c r="C3119" s="71" t="s">
        <v>129</v>
      </c>
      <c r="D3119" s="71">
        <v>5</v>
      </c>
      <c r="E3119" s="102">
        <v>272000</v>
      </c>
      <c r="F3119" s="163">
        <f t="shared" si="1599"/>
        <v>1496000.0000000002</v>
      </c>
      <c r="G3119" s="102">
        <f t="shared" si="1600"/>
        <v>1360000</v>
      </c>
      <c r="H3119" s="165" t="s">
        <v>142</v>
      </c>
      <c r="I3119" s="71" t="s">
        <v>142</v>
      </c>
      <c r="J3119" s="53">
        <f t="shared" si="1602"/>
        <v>320000</v>
      </c>
      <c r="K3119" s="63">
        <f t="shared" ref="K3119:K3130" si="1606">(J3119/(F3119/11*10))</f>
        <v>0.23529411764705879</v>
      </c>
      <c r="L3119" s="871" t="s">
        <v>2438</v>
      </c>
      <c r="M3119" s="468" t="s">
        <v>2050</v>
      </c>
      <c r="N3119" s="664">
        <f t="shared" si="1601"/>
        <v>200608</v>
      </c>
      <c r="O3119" s="71" t="s">
        <v>149</v>
      </c>
      <c r="P3119" s="164" t="str">
        <f t="shared" si="1603"/>
        <v>세정포-XL106</v>
      </c>
      <c r="Q3119" s="71">
        <f t="shared" si="1598"/>
        <v>5</v>
      </c>
      <c r="R3119" s="102">
        <v>208000</v>
      </c>
      <c r="S3119" s="102">
        <f t="shared" si="1604"/>
        <v>1144000</v>
      </c>
      <c r="T3119" s="102">
        <f t="shared" si="1605"/>
        <v>1040000</v>
      </c>
      <c r="U3119" s="71" t="str">
        <f>IF(J3119=W3119,"O", "X")</f>
        <v>O</v>
      </c>
      <c r="V3119" s="71"/>
      <c r="W3119" s="474">
        <f>(G3119-T3119)</f>
        <v>320000</v>
      </c>
      <c r="X3119" s="71"/>
      <c r="Y3119" s="71"/>
    </row>
    <row r="3120" spans="1:25" ht="30" hidden="1" customHeight="1" x14ac:dyDescent="0.25">
      <c r="A3120" s="82">
        <v>200608</v>
      </c>
      <c r="B3120" s="664" t="s">
        <v>2353</v>
      </c>
      <c r="C3120" s="71" t="s">
        <v>2408</v>
      </c>
      <c r="D3120" s="71">
        <v>2</v>
      </c>
      <c r="E3120" s="102">
        <v>248600</v>
      </c>
      <c r="F3120" s="102">
        <f t="shared" si="1599"/>
        <v>546920</v>
      </c>
      <c r="G3120" s="102">
        <f t="shared" si="1600"/>
        <v>497200</v>
      </c>
      <c r="H3120" s="690" t="s">
        <v>142</v>
      </c>
      <c r="I3120" s="71" t="s">
        <v>142</v>
      </c>
      <c r="J3120" s="53">
        <f t="shared" si="1602"/>
        <v>97200</v>
      </c>
      <c r="K3120" s="63">
        <f t="shared" si="1606"/>
        <v>0.19549477071600965</v>
      </c>
      <c r="L3120" s="871" t="s">
        <v>2438</v>
      </c>
      <c r="M3120" s="468"/>
      <c r="N3120" s="664">
        <f t="shared" si="1601"/>
        <v>200608</v>
      </c>
      <c r="O3120" s="71" t="s">
        <v>150</v>
      </c>
      <c r="P3120" s="164" t="str">
        <f t="shared" si="1603"/>
        <v>판걸이 실린더 안쪽</v>
      </c>
      <c r="Q3120" s="71">
        <f t="shared" si="1598"/>
        <v>2</v>
      </c>
      <c r="R3120" s="102">
        <v>200000</v>
      </c>
      <c r="S3120" s="102">
        <f t="shared" si="1604"/>
        <v>440000.00000000006</v>
      </c>
      <c r="T3120" s="102">
        <f t="shared" si="1605"/>
        <v>400000</v>
      </c>
      <c r="U3120" s="71" t="str">
        <f>IF(J3120=W3120,"O", "X")</f>
        <v>X</v>
      </c>
      <c r="V3120" s="71"/>
      <c r="W3120" s="474"/>
      <c r="X3120" s="71"/>
      <c r="Y3120" s="71"/>
    </row>
    <row r="3121" spans="1:25" ht="30" hidden="1" customHeight="1" x14ac:dyDescent="0.25">
      <c r="A3121" s="82">
        <v>200608</v>
      </c>
      <c r="B3121" s="664" t="s">
        <v>2353</v>
      </c>
      <c r="C3121" s="71" t="s">
        <v>2409</v>
      </c>
      <c r="D3121" s="71">
        <v>2</v>
      </c>
      <c r="E3121" s="102">
        <v>178200</v>
      </c>
      <c r="F3121" s="102">
        <f t="shared" si="1599"/>
        <v>392040.00000000006</v>
      </c>
      <c r="G3121" s="102">
        <f t="shared" si="1600"/>
        <v>356400</v>
      </c>
      <c r="H3121" s="690" t="s">
        <v>142</v>
      </c>
      <c r="I3121" s="71" t="s">
        <v>142</v>
      </c>
      <c r="J3121" s="53">
        <f t="shared" si="1602"/>
        <v>56400</v>
      </c>
      <c r="K3121" s="63">
        <f t="shared" si="1606"/>
        <v>0.15824915824915822</v>
      </c>
      <c r="L3121" s="871" t="s">
        <v>2438</v>
      </c>
      <c r="M3121" s="468"/>
      <c r="N3121" s="664">
        <f t="shared" si="1601"/>
        <v>200608</v>
      </c>
      <c r="O3121" s="71" t="s">
        <v>150</v>
      </c>
      <c r="P3121" s="164" t="str">
        <f t="shared" si="1603"/>
        <v>판걸이 실린더 바깥쪽</v>
      </c>
      <c r="Q3121" s="71">
        <f t="shared" si="1598"/>
        <v>2</v>
      </c>
      <c r="R3121" s="102">
        <v>150000</v>
      </c>
      <c r="S3121" s="102">
        <f t="shared" si="1604"/>
        <v>330000</v>
      </c>
      <c r="T3121" s="102">
        <f t="shared" si="1605"/>
        <v>300000</v>
      </c>
      <c r="U3121" s="71" t="str">
        <f>IF(J3121=W3121,"O", "X")</f>
        <v>X</v>
      </c>
      <c r="V3121" s="71"/>
      <c r="W3121" s="474"/>
      <c r="X3121" s="71"/>
      <c r="Y3121" s="71"/>
    </row>
    <row r="3122" spans="1:25" s="209" customFormat="1" ht="30" hidden="1" customHeight="1" x14ac:dyDescent="0.2">
      <c r="A3122" s="82">
        <v>200608</v>
      </c>
      <c r="B3122" s="664" t="s">
        <v>2353</v>
      </c>
      <c r="C3122" s="71" t="s">
        <v>138</v>
      </c>
      <c r="D3122" s="71">
        <v>10</v>
      </c>
      <c r="E3122" s="102">
        <v>54400</v>
      </c>
      <c r="F3122" s="163">
        <f t="shared" si="1599"/>
        <v>598400</v>
      </c>
      <c r="G3122" s="102">
        <f t="shared" si="1600"/>
        <v>544000</v>
      </c>
      <c r="H3122" s="165" t="s">
        <v>142</v>
      </c>
      <c r="I3122" s="71" t="s">
        <v>142</v>
      </c>
      <c r="J3122" s="53">
        <f t="shared" si="1602"/>
        <v>136000</v>
      </c>
      <c r="K3122" s="63">
        <f t="shared" si="1606"/>
        <v>0.25</v>
      </c>
      <c r="L3122" s="871" t="s">
        <v>2438</v>
      </c>
      <c r="M3122" s="468" t="s">
        <v>2214</v>
      </c>
      <c r="N3122" s="664">
        <f t="shared" si="1601"/>
        <v>200608</v>
      </c>
      <c r="O3122" s="71" t="s">
        <v>2030</v>
      </c>
      <c r="P3122" s="164" t="str">
        <f t="shared" si="1603"/>
        <v>매엽용 세척제(Wash 562)</v>
      </c>
      <c r="Q3122" s="71">
        <f t="shared" si="1598"/>
        <v>10</v>
      </c>
      <c r="R3122" s="102">
        <v>40800</v>
      </c>
      <c r="S3122" s="102">
        <f t="shared" si="1604"/>
        <v>448800.00000000006</v>
      </c>
      <c r="T3122" s="102">
        <f t="shared" si="1605"/>
        <v>408000</v>
      </c>
      <c r="U3122" s="71" t="str">
        <f>IF(J3122=W3122,"O", "X")</f>
        <v>O</v>
      </c>
      <c r="V3122" s="71"/>
      <c r="W3122" s="474">
        <f>(G3122-T3122)</f>
        <v>136000</v>
      </c>
      <c r="X3122" s="71"/>
      <c r="Y3122" s="71"/>
    </row>
    <row r="3123" spans="1:25" s="209" customFormat="1" ht="30" hidden="1" customHeight="1" x14ac:dyDescent="0.2">
      <c r="A3123" s="82">
        <v>200608</v>
      </c>
      <c r="B3123" s="664" t="s">
        <v>2353</v>
      </c>
      <c r="C3123" s="71" t="s">
        <v>130</v>
      </c>
      <c r="D3123" s="71">
        <v>15</v>
      </c>
      <c r="E3123" s="102">
        <v>125000</v>
      </c>
      <c r="F3123" s="163">
        <f t="shared" si="1599"/>
        <v>2062500.0000000002</v>
      </c>
      <c r="G3123" s="102">
        <f t="shared" si="1600"/>
        <v>1875000</v>
      </c>
      <c r="H3123" s="165" t="s">
        <v>142</v>
      </c>
      <c r="I3123" s="71" t="s">
        <v>142</v>
      </c>
      <c r="J3123" s="53">
        <f>(G3123-(VLOOKUP(C3123,Price!B:D,3,FALSE)*D3123))</f>
        <v>390000</v>
      </c>
      <c r="K3123" s="63">
        <f t="shared" si="1606"/>
        <v>0.20799999999999996</v>
      </c>
      <c r="L3123" s="871" t="s">
        <v>2438</v>
      </c>
      <c r="M3123" s="468" t="s">
        <v>2050</v>
      </c>
      <c r="N3123" s="664">
        <f t="shared" si="1601"/>
        <v>200608</v>
      </c>
      <c r="O3123" s="71" t="s">
        <v>150</v>
      </c>
      <c r="P3123" s="164" t="str">
        <f t="shared" si="1603"/>
        <v>XL106 Blanket(1077*885)</v>
      </c>
      <c r="Q3123" s="71">
        <f t="shared" si="1598"/>
        <v>15</v>
      </c>
      <c r="R3123" s="102">
        <v>99000</v>
      </c>
      <c r="S3123" s="102">
        <f t="shared" si="1604"/>
        <v>1633500.0000000002</v>
      </c>
      <c r="T3123" s="102">
        <f t="shared" si="1605"/>
        <v>1485000</v>
      </c>
      <c r="U3123" s="71" t="str">
        <f>IF(J3123=W3123,"O", "X")</f>
        <v>O</v>
      </c>
      <c r="V3123" s="71"/>
      <c r="W3123" s="474">
        <f>(G3123-T3123)</f>
        <v>390000</v>
      </c>
      <c r="X3123" s="71"/>
      <c r="Y3123" s="71"/>
    </row>
    <row r="3124" spans="1:25" s="209" customFormat="1" ht="30" hidden="1" customHeight="1" x14ac:dyDescent="0.2">
      <c r="A3124" s="82">
        <v>200609</v>
      </c>
      <c r="B3124" s="664" t="s">
        <v>1155</v>
      </c>
      <c r="C3124" s="71" t="s">
        <v>123</v>
      </c>
      <c r="D3124" s="71">
        <v>10</v>
      </c>
      <c r="E3124" s="102">
        <v>30000</v>
      </c>
      <c r="F3124" s="163">
        <f t="shared" si="1599"/>
        <v>330000</v>
      </c>
      <c r="G3124" s="102">
        <f t="shared" si="1600"/>
        <v>300000</v>
      </c>
      <c r="H3124" s="165" t="s">
        <v>94</v>
      </c>
      <c r="I3124" s="71" t="s">
        <v>1432</v>
      </c>
      <c r="J3124" s="53">
        <f>(G3124-(VLOOKUP(C3124,Price!B:D,3,FALSE)*D3124))</f>
        <v>75390</v>
      </c>
      <c r="K3124" s="63">
        <f t="shared" si="1606"/>
        <v>0.25130000000000002</v>
      </c>
      <c r="L3124" s="871" t="s">
        <v>2438</v>
      </c>
      <c r="M3124" s="468"/>
      <c r="N3124" s="664">
        <f t="shared" si="1601"/>
        <v>200609</v>
      </c>
      <c r="O3124" s="71" t="s">
        <v>94</v>
      </c>
      <c r="P3124" s="164" t="str">
        <f t="shared" si="1603"/>
        <v>필터백</v>
      </c>
      <c r="Q3124" s="71">
        <f t="shared" si="1598"/>
        <v>10</v>
      </c>
      <c r="R3124" s="102">
        <v>22000</v>
      </c>
      <c r="S3124" s="102">
        <f t="shared" si="1604"/>
        <v>242000.00000000003</v>
      </c>
      <c r="T3124" s="102">
        <f t="shared" si="1605"/>
        <v>220000</v>
      </c>
      <c r="U3124" s="71"/>
      <c r="V3124" s="71"/>
      <c r="W3124" s="474"/>
      <c r="X3124" s="71"/>
      <c r="Y3124" s="71"/>
    </row>
    <row r="3125" spans="1:25" ht="30" hidden="1" customHeight="1" x14ac:dyDescent="0.25">
      <c r="A3125" s="82">
        <v>200609</v>
      </c>
      <c r="B3125" s="664" t="s">
        <v>442</v>
      </c>
      <c r="C3125" s="71" t="s">
        <v>651</v>
      </c>
      <c r="D3125" s="71">
        <v>6</v>
      </c>
      <c r="E3125" s="102">
        <v>41000</v>
      </c>
      <c r="F3125" s="102">
        <f t="shared" si="1599"/>
        <v>270600</v>
      </c>
      <c r="G3125" s="102">
        <f t="shared" si="1600"/>
        <v>246000</v>
      </c>
      <c r="H3125" s="690" t="s">
        <v>2029</v>
      </c>
      <c r="I3125" s="71" t="s">
        <v>195</v>
      </c>
      <c r="J3125" s="53">
        <f>(G3125-(VLOOKUP(C3125,[5]Price!B$1:D$65536,3,FALSE)*D3125))</f>
        <v>96000</v>
      </c>
      <c r="K3125" s="63">
        <f t="shared" si="1606"/>
        <v>0.3902439024390244</v>
      </c>
      <c r="L3125" s="871" t="s">
        <v>2438</v>
      </c>
      <c r="M3125" s="468"/>
      <c r="N3125" s="664">
        <f t="shared" si="1601"/>
        <v>200609</v>
      </c>
      <c r="O3125" s="71" t="s">
        <v>194</v>
      </c>
      <c r="P3125" s="164" t="str">
        <f t="shared" si="1603"/>
        <v>Agfa 현상액 G101C(10L)</v>
      </c>
      <c r="Q3125" s="71">
        <f t="shared" si="1598"/>
        <v>6</v>
      </c>
      <c r="R3125" s="102">
        <f>VLOOKUP(P3125,[5]Price!B$1:D$65536,3,FALSE)</f>
        <v>25000</v>
      </c>
      <c r="S3125" s="102">
        <f t="shared" si="1604"/>
        <v>165000</v>
      </c>
      <c r="T3125" s="102">
        <f t="shared" si="1605"/>
        <v>150000</v>
      </c>
      <c r="U3125" s="71" t="str">
        <f>IF(J3125=W3125,"O", "X")</f>
        <v>O</v>
      </c>
      <c r="V3125" s="71"/>
      <c r="W3125" s="474">
        <f>(G3125-T3125)</f>
        <v>96000</v>
      </c>
      <c r="X3125" s="71"/>
      <c r="Y3125" s="71"/>
    </row>
    <row r="3126" spans="1:25" ht="30" hidden="1" customHeight="1" x14ac:dyDescent="0.25">
      <c r="A3126" s="82">
        <v>200610</v>
      </c>
      <c r="B3126" s="664" t="s">
        <v>690</v>
      </c>
      <c r="C3126" s="71" t="s">
        <v>1186</v>
      </c>
      <c r="D3126" s="71">
        <v>500</v>
      </c>
      <c r="E3126" s="102">
        <v>3420</v>
      </c>
      <c r="F3126" s="1128">
        <f t="shared" si="1599"/>
        <v>1881000.0000000002</v>
      </c>
      <c r="G3126" s="102">
        <f t="shared" si="1600"/>
        <v>1710000</v>
      </c>
      <c r="H3126" s="690" t="s">
        <v>173</v>
      </c>
      <c r="I3126" s="71" t="s">
        <v>2230</v>
      </c>
      <c r="J3126" s="53">
        <f t="shared" ref="J3126:J3132" si="1607">G3126-T3126</f>
        <v>-190000</v>
      </c>
      <c r="K3126" s="63">
        <f t="shared" si="1606"/>
        <v>-0.11111111111111109</v>
      </c>
      <c r="L3126" s="871" t="s">
        <v>2438</v>
      </c>
      <c r="M3126" s="468" t="s">
        <v>1393</v>
      </c>
      <c r="N3126" s="664">
        <f t="shared" si="1601"/>
        <v>200610</v>
      </c>
      <c r="O3126" s="71" t="s">
        <v>145</v>
      </c>
      <c r="P3126" s="164" t="str">
        <f t="shared" si="1603"/>
        <v>CTP 판(1030*790mm)</v>
      </c>
      <c r="Q3126" s="71">
        <f t="shared" si="1598"/>
        <v>500</v>
      </c>
      <c r="R3126" s="102">
        <v>3800</v>
      </c>
      <c r="S3126" s="102">
        <f t="shared" si="1604"/>
        <v>2090000.0000000002</v>
      </c>
      <c r="T3126" s="102">
        <f t="shared" si="1605"/>
        <v>1900000</v>
      </c>
      <c r="U3126" s="71" t="s">
        <v>859</v>
      </c>
      <c r="V3126" s="71"/>
      <c r="W3126" s="474">
        <v>-200000</v>
      </c>
      <c r="X3126" s="71"/>
      <c r="Y3126" s="71"/>
    </row>
    <row r="3127" spans="1:25" ht="30" hidden="1" customHeight="1" x14ac:dyDescent="0.25">
      <c r="A3127" s="82">
        <v>200610</v>
      </c>
      <c r="B3127" s="664" t="s">
        <v>442</v>
      </c>
      <c r="C3127" s="71" t="s">
        <v>206</v>
      </c>
      <c r="D3127" s="71">
        <v>2</v>
      </c>
      <c r="E3127" s="102">
        <v>327000</v>
      </c>
      <c r="F3127" s="102">
        <f t="shared" si="1599"/>
        <v>719400</v>
      </c>
      <c r="G3127" s="102">
        <f t="shared" si="1600"/>
        <v>654000</v>
      </c>
      <c r="H3127" s="690" t="s">
        <v>2029</v>
      </c>
      <c r="I3127" s="71" t="s">
        <v>195</v>
      </c>
      <c r="J3127" s="53">
        <f t="shared" si="1607"/>
        <v>115800</v>
      </c>
      <c r="K3127" s="63">
        <f t="shared" si="1606"/>
        <v>0.17706422018348625</v>
      </c>
      <c r="L3127" s="871" t="s">
        <v>2438</v>
      </c>
      <c r="M3127" s="468"/>
      <c r="N3127" s="664">
        <f t="shared" si="1601"/>
        <v>200610</v>
      </c>
      <c r="O3127" s="71" t="s">
        <v>194</v>
      </c>
      <c r="P3127" s="164" t="str">
        <f t="shared" si="1603"/>
        <v>Agfa Film(24inch)</v>
      </c>
      <c r="Q3127" s="71">
        <f t="shared" si="1598"/>
        <v>2</v>
      </c>
      <c r="R3127" s="102">
        <v>269100</v>
      </c>
      <c r="S3127" s="102">
        <f t="shared" si="1604"/>
        <v>592020</v>
      </c>
      <c r="T3127" s="102">
        <f t="shared" si="1605"/>
        <v>538200</v>
      </c>
      <c r="U3127" s="71" t="str">
        <f>IF(J3127=W3127,"O", "X")</f>
        <v>O</v>
      </c>
      <c r="V3127" s="71"/>
      <c r="W3127" s="474">
        <f>(G3127-T3127)</f>
        <v>115800</v>
      </c>
      <c r="X3127" s="71"/>
      <c r="Y3127" s="71"/>
    </row>
    <row r="3128" spans="1:25" ht="30" hidden="1" customHeight="1" x14ac:dyDescent="0.25">
      <c r="A3128" s="82">
        <v>200610</v>
      </c>
      <c r="B3128" s="664" t="s">
        <v>442</v>
      </c>
      <c r="C3128" s="71" t="s">
        <v>207</v>
      </c>
      <c r="D3128" s="71">
        <v>2</v>
      </c>
      <c r="E3128" s="102">
        <v>401000</v>
      </c>
      <c r="F3128" s="102">
        <f t="shared" si="1599"/>
        <v>882200.00000000012</v>
      </c>
      <c r="G3128" s="102">
        <f t="shared" si="1600"/>
        <v>802000</v>
      </c>
      <c r="H3128" s="690" t="s">
        <v>2029</v>
      </c>
      <c r="I3128" s="71" t="s">
        <v>195</v>
      </c>
      <c r="J3128" s="53">
        <f t="shared" si="1607"/>
        <v>174080</v>
      </c>
      <c r="K3128" s="63">
        <f t="shared" si="1606"/>
        <v>0.21705735660847877</v>
      </c>
      <c r="L3128" s="871" t="s">
        <v>2438</v>
      </c>
      <c r="M3128" s="468"/>
      <c r="N3128" s="664">
        <f t="shared" si="1601"/>
        <v>200610</v>
      </c>
      <c r="O3128" s="71" t="s">
        <v>194</v>
      </c>
      <c r="P3128" s="164" t="str">
        <f t="shared" si="1603"/>
        <v>Agfa Film(28inch)</v>
      </c>
      <c r="Q3128" s="71">
        <f t="shared" si="1598"/>
        <v>2</v>
      </c>
      <c r="R3128" s="102">
        <f>VLOOKUP(P3128,[5]Price!B$1:D$65536,3,FALSE)</f>
        <v>313960</v>
      </c>
      <c r="S3128" s="102">
        <f t="shared" si="1604"/>
        <v>690712</v>
      </c>
      <c r="T3128" s="102">
        <f t="shared" si="1605"/>
        <v>627920</v>
      </c>
      <c r="U3128" s="71" t="str">
        <f>IF(J3128=W3128,"O", "X")</f>
        <v>O</v>
      </c>
      <c r="V3128" s="71"/>
      <c r="W3128" s="474">
        <f>(G3128-T3128)</f>
        <v>174080</v>
      </c>
      <c r="X3128" s="71"/>
      <c r="Y3128" s="71"/>
    </row>
    <row r="3129" spans="1:25" ht="30" hidden="1" customHeight="1" x14ac:dyDescent="0.25">
      <c r="A3129" s="82">
        <v>200610</v>
      </c>
      <c r="B3129" s="664" t="s">
        <v>442</v>
      </c>
      <c r="C3129" s="71" t="s">
        <v>208</v>
      </c>
      <c r="D3129" s="71">
        <v>2</v>
      </c>
      <c r="E3129" s="102">
        <v>448000</v>
      </c>
      <c r="F3129" s="102">
        <f t="shared" si="1599"/>
        <v>985600.00000000012</v>
      </c>
      <c r="G3129" s="102">
        <f t="shared" si="1600"/>
        <v>896000</v>
      </c>
      <c r="H3129" s="690" t="s">
        <v>2029</v>
      </c>
      <c r="I3129" s="71" t="s">
        <v>195</v>
      </c>
      <c r="J3129" s="53">
        <f t="shared" si="1607"/>
        <v>155980</v>
      </c>
      <c r="K3129" s="63">
        <f t="shared" si="1606"/>
        <v>0.1740848214285714</v>
      </c>
      <c r="L3129" s="871" t="s">
        <v>2438</v>
      </c>
      <c r="M3129" s="468"/>
      <c r="N3129" s="664">
        <f t="shared" si="1601"/>
        <v>200610</v>
      </c>
      <c r="O3129" s="71" t="s">
        <v>194</v>
      </c>
      <c r="P3129" s="164" t="str">
        <f t="shared" si="1603"/>
        <v>Agfa Film(32inch)</v>
      </c>
      <c r="Q3129" s="71">
        <f t="shared" si="1598"/>
        <v>2</v>
      </c>
      <c r="R3129" s="102">
        <f>VLOOKUP(P3129,[5]Price!B$1:D$65536,3,FALSE)</f>
        <v>370010</v>
      </c>
      <c r="S3129" s="102">
        <f t="shared" si="1604"/>
        <v>814022.00000000012</v>
      </c>
      <c r="T3129" s="102">
        <f t="shared" si="1605"/>
        <v>740020</v>
      </c>
      <c r="U3129" s="71" t="str">
        <f>IF(J3129=W3129,"O", "X")</f>
        <v>O</v>
      </c>
      <c r="V3129" s="71"/>
      <c r="W3129" s="474">
        <f>(G3129-T3129)</f>
        <v>155980</v>
      </c>
      <c r="X3129" s="71"/>
      <c r="Y3129" s="71"/>
    </row>
    <row r="3130" spans="1:25" s="209" customFormat="1" ht="30" hidden="1" customHeight="1" x14ac:dyDescent="0.25">
      <c r="A3130" s="82">
        <v>200610</v>
      </c>
      <c r="B3130" s="664" t="s">
        <v>2155</v>
      </c>
      <c r="C3130" s="71" t="s">
        <v>138</v>
      </c>
      <c r="D3130" s="71">
        <v>10</v>
      </c>
      <c r="E3130" s="102">
        <v>47600</v>
      </c>
      <c r="F3130" s="163">
        <f t="shared" si="1599"/>
        <v>523600.00000000006</v>
      </c>
      <c r="G3130" s="102">
        <f t="shared" si="1600"/>
        <v>476000</v>
      </c>
      <c r="H3130" s="1129" t="s">
        <v>172</v>
      </c>
      <c r="I3130" s="71" t="s">
        <v>108</v>
      </c>
      <c r="J3130" s="53">
        <f t="shared" si="1607"/>
        <v>68000</v>
      </c>
      <c r="K3130" s="63">
        <f t="shared" si="1606"/>
        <v>0.14285714285714285</v>
      </c>
      <c r="L3130" s="871" t="s">
        <v>2438</v>
      </c>
      <c r="M3130" s="468" t="s">
        <v>2214</v>
      </c>
      <c r="N3130" s="664">
        <f t="shared" si="1601"/>
        <v>200610</v>
      </c>
      <c r="O3130" s="71" t="s">
        <v>150</v>
      </c>
      <c r="P3130" s="164" t="str">
        <f t="shared" si="1603"/>
        <v>매엽용 세척제(Wash 562)</v>
      </c>
      <c r="Q3130" s="71">
        <f t="shared" si="1598"/>
        <v>10</v>
      </c>
      <c r="R3130" s="102">
        <v>40800</v>
      </c>
      <c r="S3130" s="102">
        <f t="shared" si="1604"/>
        <v>448800.00000000006</v>
      </c>
      <c r="T3130" s="102">
        <f t="shared" si="1605"/>
        <v>408000</v>
      </c>
      <c r="U3130" s="71" t="s">
        <v>859</v>
      </c>
      <c r="V3130" s="71"/>
      <c r="W3130" s="474">
        <v>85000</v>
      </c>
      <c r="X3130" s="71"/>
      <c r="Y3130" s="71"/>
    </row>
    <row r="3131" spans="1:25" ht="30" hidden="1" customHeight="1" x14ac:dyDescent="0.25">
      <c r="A3131" s="82">
        <v>200610</v>
      </c>
      <c r="B3131" s="664" t="s">
        <v>2155</v>
      </c>
      <c r="C3131" s="760" t="s">
        <v>218</v>
      </c>
      <c r="D3131" s="71">
        <v>5</v>
      </c>
      <c r="E3131" s="102">
        <v>192500</v>
      </c>
      <c r="F3131" s="102">
        <f t="shared" si="1599"/>
        <v>1058750</v>
      </c>
      <c r="G3131" s="102">
        <f t="shared" si="1600"/>
        <v>962500</v>
      </c>
      <c r="H3131" s="690" t="s">
        <v>173</v>
      </c>
      <c r="I3131" s="71" t="s">
        <v>120</v>
      </c>
      <c r="J3131" s="53">
        <f t="shared" si="1607"/>
        <v>400000</v>
      </c>
      <c r="K3131" s="63">
        <v>0.4155844155844155</v>
      </c>
      <c r="L3131" s="871" t="s">
        <v>2438</v>
      </c>
      <c r="M3131" s="468"/>
      <c r="N3131" s="664">
        <f t="shared" si="1601"/>
        <v>200610</v>
      </c>
      <c r="O3131" s="71" t="s">
        <v>150</v>
      </c>
      <c r="P3131" s="164" t="str">
        <f t="shared" si="1603"/>
        <v>Fount Web 551AF</v>
      </c>
      <c r="Q3131" s="71">
        <f t="shared" si="1598"/>
        <v>5</v>
      </c>
      <c r="R3131" s="102">
        <v>112500</v>
      </c>
      <c r="S3131" s="102">
        <f t="shared" si="1604"/>
        <v>618750</v>
      </c>
      <c r="T3131" s="102">
        <f t="shared" si="1605"/>
        <v>562500</v>
      </c>
      <c r="U3131" s="71" t="s">
        <v>859</v>
      </c>
      <c r="V3131" s="71"/>
      <c r="W3131" s="474">
        <v>640000</v>
      </c>
      <c r="X3131" s="71"/>
      <c r="Y3131" s="71"/>
    </row>
    <row r="3132" spans="1:25" ht="30" customHeight="1" x14ac:dyDescent="0.25">
      <c r="A3132" s="82">
        <v>200615</v>
      </c>
      <c r="B3132" s="664" t="s">
        <v>2352</v>
      </c>
      <c r="C3132" s="760" t="s">
        <v>2463</v>
      </c>
      <c r="D3132" s="71">
        <v>1</v>
      </c>
      <c r="E3132" s="102">
        <v>600000</v>
      </c>
      <c r="F3132" s="102">
        <f t="shared" si="1599"/>
        <v>660000</v>
      </c>
      <c r="G3132" s="102">
        <f t="shared" si="1600"/>
        <v>600000</v>
      </c>
      <c r="H3132" s="690" t="s">
        <v>985</v>
      </c>
      <c r="I3132" s="690" t="s">
        <v>985</v>
      </c>
      <c r="J3132" s="53">
        <f t="shared" si="1607"/>
        <v>600000</v>
      </c>
      <c r="K3132" s="63">
        <v>0.4155844155844155</v>
      </c>
      <c r="L3132" s="871" t="s">
        <v>2438</v>
      </c>
      <c r="M3132" s="468"/>
      <c r="N3132" s="664">
        <f t="shared" si="1601"/>
        <v>200615</v>
      </c>
      <c r="O3132" s="71"/>
      <c r="P3132" s="103" t="str">
        <f t="shared" ref="P3132:P3177" si="1608">(C3132)</f>
        <v>M-600 서비스비용</v>
      </c>
      <c r="Q3132" s="71">
        <f t="shared" si="1598"/>
        <v>1</v>
      </c>
      <c r="R3132" s="102"/>
      <c r="S3132" s="102"/>
      <c r="T3132" s="102"/>
      <c r="U3132" s="71"/>
      <c r="V3132" s="71"/>
      <c r="W3132" s="474"/>
      <c r="X3132" s="71"/>
      <c r="Y3132" s="71"/>
    </row>
    <row r="3133" spans="1:25" ht="30" customHeight="1" x14ac:dyDescent="0.2">
      <c r="A3133" s="82">
        <v>200616</v>
      </c>
      <c r="B3133" s="664" t="s">
        <v>2352</v>
      </c>
      <c r="C3133" s="760" t="s">
        <v>218</v>
      </c>
      <c r="D3133" s="71">
        <v>5</v>
      </c>
      <c r="E3133" s="102">
        <v>235000</v>
      </c>
      <c r="F3133" s="163">
        <f t="shared" ref="F3133:F3140" si="1609">(E3133*D3133)*1.1</f>
        <v>1292500</v>
      </c>
      <c r="G3133" s="102">
        <f t="shared" ref="G3133:G3140" si="1610">(E3133*D3133)</f>
        <v>1175000</v>
      </c>
      <c r="H3133" s="690" t="s">
        <v>142</v>
      </c>
      <c r="I3133" s="71" t="s">
        <v>142</v>
      </c>
      <c r="J3133" s="53">
        <f>(G3133-(VLOOKUP(C3133,Price!B:D,3,FALSE)*D3133))</f>
        <v>612500</v>
      </c>
      <c r="K3133" s="63">
        <f>(J3133/(F3133/11*10))</f>
        <v>0.52127659574468088</v>
      </c>
      <c r="L3133" s="871" t="s">
        <v>2438</v>
      </c>
      <c r="M3133" s="468" t="s">
        <v>2053</v>
      </c>
      <c r="N3133" s="664">
        <f t="shared" ref="N3133:N3140" si="1611">A3133</f>
        <v>200616</v>
      </c>
      <c r="O3133" s="71" t="s">
        <v>150</v>
      </c>
      <c r="P3133" s="164" t="str">
        <f t="shared" si="1608"/>
        <v>Fount Web 551AF</v>
      </c>
      <c r="Q3133" s="71">
        <f t="shared" ref="Q3133:Q3150" si="1612">D3133</f>
        <v>5</v>
      </c>
      <c r="R3133" s="102">
        <v>112500</v>
      </c>
      <c r="S3133" s="102">
        <f t="shared" ref="S3133:S3149" si="1613">R3133*Q3133*1.1</f>
        <v>618750</v>
      </c>
      <c r="T3133" s="102">
        <f t="shared" ref="T3133:T3149" si="1614">R3133*Q3133</f>
        <v>562500</v>
      </c>
      <c r="U3133" s="71" t="str">
        <f>IF(J3133=W3133,"O", "X")</f>
        <v>O</v>
      </c>
      <c r="V3133" s="71"/>
      <c r="W3133" s="474">
        <f>(G3133-T3133)</f>
        <v>612500</v>
      </c>
      <c r="X3133" s="71"/>
      <c r="Y3133" s="71"/>
    </row>
    <row r="3134" spans="1:25" ht="30" customHeight="1" x14ac:dyDescent="0.2">
      <c r="A3134" s="82">
        <v>200616</v>
      </c>
      <c r="B3134" s="664" t="s">
        <v>2352</v>
      </c>
      <c r="C3134" s="71" t="s">
        <v>692</v>
      </c>
      <c r="D3134" s="71">
        <v>10</v>
      </c>
      <c r="E3134" s="102">
        <v>218000</v>
      </c>
      <c r="F3134" s="163">
        <f t="shared" si="1609"/>
        <v>2398000</v>
      </c>
      <c r="G3134" s="102">
        <f t="shared" si="1610"/>
        <v>2180000</v>
      </c>
      <c r="H3134" s="165" t="s">
        <v>142</v>
      </c>
      <c r="I3134" s="71" t="s">
        <v>142</v>
      </c>
      <c r="J3134" s="53">
        <f>(G3134-(VLOOKUP(C3134,Price!B:D,3,FALSE)*D3134))</f>
        <v>580000</v>
      </c>
      <c r="K3134" s="63">
        <f>(J3134/(F3134/11*10))</f>
        <v>0.26605504587155965</v>
      </c>
      <c r="L3134" s="871" t="s">
        <v>2438</v>
      </c>
      <c r="M3134" s="468" t="s">
        <v>2052</v>
      </c>
      <c r="N3134" s="664">
        <f t="shared" si="1611"/>
        <v>200616</v>
      </c>
      <c r="O3134" s="71" t="s">
        <v>150</v>
      </c>
      <c r="P3134" s="164" t="str">
        <f t="shared" si="1608"/>
        <v>윤전 블랑켓</v>
      </c>
      <c r="Q3134" s="71">
        <f t="shared" si="1612"/>
        <v>10</v>
      </c>
      <c r="R3134" s="102">
        <v>160000</v>
      </c>
      <c r="S3134" s="102">
        <f t="shared" si="1613"/>
        <v>1760000.0000000002</v>
      </c>
      <c r="T3134" s="102">
        <f t="shared" si="1614"/>
        <v>1600000</v>
      </c>
      <c r="U3134" s="71" t="str">
        <f>IF(J3134=W3134,"O", "X")</f>
        <v>O</v>
      </c>
      <c r="V3134" s="71" t="s">
        <v>784</v>
      </c>
      <c r="W3134" s="474">
        <f>(G3134-T3134)</f>
        <v>580000</v>
      </c>
      <c r="X3134" s="71"/>
      <c r="Y3134" s="71"/>
    </row>
    <row r="3135" spans="1:25" ht="27.6" hidden="1" customHeight="1" x14ac:dyDescent="0.2">
      <c r="A3135" s="82">
        <v>200616</v>
      </c>
      <c r="B3135" s="664" t="s">
        <v>567</v>
      </c>
      <c r="C3135" s="71" t="s">
        <v>1652</v>
      </c>
      <c r="D3135" s="71">
        <v>5</v>
      </c>
      <c r="E3135" s="102">
        <v>45000</v>
      </c>
      <c r="F3135" s="163">
        <f t="shared" si="1609"/>
        <v>247500.00000000003</v>
      </c>
      <c r="G3135" s="102">
        <f t="shared" si="1610"/>
        <v>225000</v>
      </c>
      <c r="H3135" s="690" t="s">
        <v>173</v>
      </c>
      <c r="I3135" s="71" t="s">
        <v>2231</v>
      </c>
      <c r="J3135" s="53">
        <f t="shared" ref="J3135:J3151" si="1615">G3135-T3135</f>
        <v>25000</v>
      </c>
      <c r="K3135" s="63">
        <f>(J3135/(F3135/11*10))</f>
        <v>0.11111111111111109</v>
      </c>
      <c r="L3135" s="871" t="s">
        <v>2438</v>
      </c>
      <c r="M3135" s="468"/>
      <c r="N3135" s="664">
        <f t="shared" si="1611"/>
        <v>200616</v>
      </c>
      <c r="O3135" s="71" t="s">
        <v>153</v>
      </c>
      <c r="P3135" s="164" t="str">
        <f t="shared" si="1608"/>
        <v>아스테이지(CD74용)</v>
      </c>
      <c r="Q3135" s="71">
        <f t="shared" si="1612"/>
        <v>5</v>
      </c>
      <c r="R3135" s="102">
        <v>40000</v>
      </c>
      <c r="S3135" s="102">
        <f t="shared" si="1613"/>
        <v>220000.00000000003</v>
      </c>
      <c r="T3135" s="102">
        <f t="shared" si="1614"/>
        <v>200000</v>
      </c>
      <c r="U3135" s="71" t="s">
        <v>1915</v>
      </c>
      <c r="V3135" s="71"/>
      <c r="W3135" s="474"/>
      <c r="X3135" s="71"/>
      <c r="Y3135" s="71"/>
    </row>
    <row r="3136" spans="1:25" s="209" customFormat="1" ht="30" hidden="1" customHeight="1" x14ac:dyDescent="0.25">
      <c r="A3136" s="82">
        <v>200616</v>
      </c>
      <c r="B3136" s="664" t="s">
        <v>2155</v>
      </c>
      <c r="C3136" s="71" t="s">
        <v>138</v>
      </c>
      <c r="D3136" s="71">
        <v>10</v>
      </c>
      <c r="E3136" s="102">
        <v>47600</v>
      </c>
      <c r="F3136" s="163">
        <f t="shared" si="1609"/>
        <v>523600.00000000006</v>
      </c>
      <c r="G3136" s="102">
        <f t="shared" si="1610"/>
        <v>476000</v>
      </c>
      <c r="H3136" s="1129" t="s">
        <v>172</v>
      </c>
      <c r="I3136" s="71" t="s">
        <v>108</v>
      </c>
      <c r="J3136" s="53">
        <f t="shared" si="1615"/>
        <v>68000</v>
      </c>
      <c r="K3136" s="63">
        <f>(J3136/(F3136/11*10))</f>
        <v>0.14285714285714285</v>
      </c>
      <c r="L3136" s="871" t="s">
        <v>2438</v>
      </c>
      <c r="M3136" s="468" t="s">
        <v>2214</v>
      </c>
      <c r="N3136" s="664">
        <f t="shared" si="1611"/>
        <v>200616</v>
      </c>
      <c r="O3136" s="71" t="s">
        <v>150</v>
      </c>
      <c r="P3136" s="164" t="str">
        <f t="shared" si="1608"/>
        <v>매엽용 세척제(Wash 562)</v>
      </c>
      <c r="Q3136" s="71">
        <f t="shared" si="1612"/>
        <v>10</v>
      </c>
      <c r="R3136" s="102">
        <v>40800</v>
      </c>
      <c r="S3136" s="102">
        <f t="shared" si="1613"/>
        <v>448800.00000000006</v>
      </c>
      <c r="T3136" s="102">
        <f t="shared" si="1614"/>
        <v>408000</v>
      </c>
      <c r="U3136" s="71" t="s">
        <v>859</v>
      </c>
      <c r="V3136" s="71"/>
      <c r="W3136" s="474">
        <v>85000</v>
      </c>
      <c r="X3136" s="71"/>
      <c r="Y3136" s="71"/>
    </row>
    <row r="3137" spans="1:25" ht="30" hidden="1" customHeight="1" x14ac:dyDescent="0.25">
      <c r="A3137" s="82">
        <v>200616</v>
      </c>
      <c r="B3137" s="664" t="s">
        <v>2155</v>
      </c>
      <c r="C3137" s="71" t="s">
        <v>277</v>
      </c>
      <c r="D3137" s="71">
        <v>5</v>
      </c>
      <c r="E3137" s="102">
        <v>172000</v>
      </c>
      <c r="F3137" s="102">
        <f t="shared" si="1609"/>
        <v>946000.00000000012</v>
      </c>
      <c r="G3137" s="102">
        <f t="shared" si="1610"/>
        <v>860000</v>
      </c>
      <c r="H3137" s="690" t="s">
        <v>173</v>
      </c>
      <c r="I3137" s="71" t="s">
        <v>108</v>
      </c>
      <c r="J3137" s="53">
        <f t="shared" si="1615"/>
        <v>285000</v>
      </c>
      <c r="K3137" s="63">
        <v>0.33139534883720928</v>
      </c>
      <c r="L3137" s="871" t="s">
        <v>2438</v>
      </c>
      <c r="M3137" s="468"/>
      <c r="N3137" s="664">
        <f t="shared" si="1611"/>
        <v>200616</v>
      </c>
      <c r="O3137" s="71" t="s">
        <v>150</v>
      </c>
      <c r="P3137" s="164" t="str">
        <f t="shared" si="1608"/>
        <v>윤전용 세척제(Web 504)</v>
      </c>
      <c r="Q3137" s="71">
        <f t="shared" si="1612"/>
        <v>5</v>
      </c>
      <c r="R3137" s="102">
        <v>115000</v>
      </c>
      <c r="S3137" s="102">
        <f t="shared" si="1613"/>
        <v>632500</v>
      </c>
      <c r="T3137" s="102">
        <f t="shared" si="1614"/>
        <v>575000</v>
      </c>
      <c r="U3137" s="71" t="s">
        <v>859</v>
      </c>
      <c r="V3137" s="71"/>
      <c r="W3137" s="474">
        <v>285000</v>
      </c>
      <c r="X3137" s="71"/>
      <c r="Y3137" s="71"/>
    </row>
    <row r="3138" spans="1:25" ht="30" hidden="1" customHeight="1" x14ac:dyDescent="0.2">
      <c r="A3138" s="82">
        <v>200617</v>
      </c>
      <c r="B3138" s="664" t="s">
        <v>2353</v>
      </c>
      <c r="C3138" s="71" t="s">
        <v>129</v>
      </c>
      <c r="D3138" s="71">
        <v>7</v>
      </c>
      <c r="E3138" s="102">
        <v>272000</v>
      </c>
      <c r="F3138" s="163">
        <f t="shared" si="1609"/>
        <v>2094400.0000000002</v>
      </c>
      <c r="G3138" s="102">
        <f t="shared" si="1610"/>
        <v>1904000</v>
      </c>
      <c r="H3138" s="165" t="s">
        <v>142</v>
      </c>
      <c r="I3138" s="71" t="s">
        <v>142</v>
      </c>
      <c r="J3138" s="53">
        <f t="shared" si="1615"/>
        <v>448000</v>
      </c>
      <c r="K3138" s="63">
        <f t="shared" ref="K3138:K3150" si="1616">(J3138/(F3138/11*10))</f>
        <v>0.23529411764705879</v>
      </c>
      <c r="L3138" s="871" t="s">
        <v>2438</v>
      </c>
      <c r="M3138" s="468" t="s">
        <v>2050</v>
      </c>
      <c r="N3138" s="664">
        <f t="shared" si="1611"/>
        <v>200617</v>
      </c>
      <c r="O3138" s="71" t="s">
        <v>149</v>
      </c>
      <c r="P3138" s="164" t="str">
        <f t="shared" si="1608"/>
        <v>세정포-XL106</v>
      </c>
      <c r="Q3138" s="71">
        <f t="shared" si="1612"/>
        <v>7</v>
      </c>
      <c r="R3138" s="102">
        <v>208000</v>
      </c>
      <c r="S3138" s="102">
        <f t="shared" si="1613"/>
        <v>1601600.0000000002</v>
      </c>
      <c r="T3138" s="102">
        <f t="shared" si="1614"/>
        <v>1456000</v>
      </c>
      <c r="U3138" s="71" t="str">
        <f>IF(J3138=W3138,"O", "X")</f>
        <v>O</v>
      </c>
      <c r="V3138" s="71"/>
      <c r="W3138" s="474">
        <f>(G3138-T3138)</f>
        <v>448000</v>
      </c>
      <c r="X3138" s="71"/>
      <c r="Y3138" s="71"/>
    </row>
    <row r="3139" spans="1:25" ht="30" hidden="1" customHeight="1" x14ac:dyDescent="0.2">
      <c r="A3139" s="82">
        <v>200617</v>
      </c>
      <c r="B3139" s="664" t="s">
        <v>2353</v>
      </c>
      <c r="C3139" s="71" t="s">
        <v>584</v>
      </c>
      <c r="D3139" s="71">
        <v>4</v>
      </c>
      <c r="E3139" s="102">
        <v>270000</v>
      </c>
      <c r="F3139" s="102">
        <f t="shared" si="1609"/>
        <v>1188000</v>
      </c>
      <c r="G3139" s="102">
        <f t="shared" si="1610"/>
        <v>1080000</v>
      </c>
      <c r="H3139" s="165" t="s">
        <v>142</v>
      </c>
      <c r="I3139" s="71" t="s">
        <v>142</v>
      </c>
      <c r="J3139" s="53">
        <f t="shared" si="1615"/>
        <v>216000</v>
      </c>
      <c r="K3139" s="63">
        <f t="shared" si="1616"/>
        <v>0.2</v>
      </c>
      <c r="L3139" s="871" t="s">
        <v>2438</v>
      </c>
      <c r="M3139" s="468"/>
      <c r="N3139" s="664">
        <f t="shared" si="1611"/>
        <v>200617</v>
      </c>
      <c r="O3139" s="71" t="s">
        <v>150</v>
      </c>
      <c r="P3139" s="164" t="str">
        <f t="shared" si="1608"/>
        <v>데리바리 석션벨트</v>
      </c>
      <c r="Q3139" s="71">
        <f t="shared" si="1612"/>
        <v>4</v>
      </c>
      <c r="R3139" s="102">
        <v>216000</v>
      </c>
      <c r="S3139" s="102">
        <f t="shared" si="1613"/>
        <v>950400.00000000012</v>
      </c>
      <c r="T3139" s="102">
        <f t="shared" si="1614"/>
        <v>864000</v>
      </c>
      <c r="U3139" s="71" t="str">
        <f>IF(J3139=W3139,"O", "X")</f>
        <v>O</v>
      </c>
      <c r="V3139" s="71"/>
      <c r="W3139" s="474">
        <f>(G3139-T3139)</f>
        <v>216000</v>
      </c>
      <c r="X3139" s="71"/>
      <c r="Y3139" s="71"/>
    </row>
    <row r="3140" spans="1:25" ht="30" hidden="1" customHeight="1" x14ac:dyDescent="0.25">
      <c r="A3140" s="82">
        <v>200617</v>
      </c>
      <c r="B3140" s="664" t="s">
        <v>856</v>
      </c>
      <c r="C3140" s="71" t="s">
        <v>2376</v>
      </c>
      <c r="D3140" s="71">
        <v>5</v>
      </c>
      <c r="E3140" s="102">
        <v>890000</v>
      </c>
      <c r="F3140" s="102">
        <f t="shared" si="1609"/>
        <v>4895000</v>
      </c>
      <c r="G3140" s="102">
        <f t="shared" si="1610"/>
        <v>4450000</v>
      </c>
      <c r="H3140" s="690" t="s">
        <v>173</v>
      </c>
      <c r="I3140" s="71" t="s">
        <v>2184</v>
      </c>
      <c r="J3140" s="53">
        <f t="shared" si="1615"/>
        <v>1450000</v>
      </c>
      <c r="K3140" s="63">
        <f t="shared" si="1616"/>
        <v>0.3258426966292135</v>
      </c>
      <c r="L3140" s="871" t="s">
        <v>2437</v>
      </c>
      <c r="M3140" s="468" t="s">
        <v>2377</v>
      </c>
      <c r="N3140" s="664">
        <f t="shared" si="1611"/>
        <v>200617</v>
      </c>
      <c r="O3140" s="71" t="s">
        <v>2472</v>
      </c>
      <c r="P3140" s="164" t="str">
        <f t="shared" si="1608"/>
        <v>유브이 램프</v>
      </c>
      <c r="Q3140" s="71">
        <f t="shared" si="1612"/>
        <v>5</v>
      </c>
      <c r="R3140" s="102">
        <v>600000</v>
      </c>
      <c r="S3140" s="102">
        <f t="shared" si="1613"/>
        <v>3300000.0000000005</v>
      </c>
      <c r="T3140" s="102">
        <f t="shared" si="1614"/>
        <v>3000000</v>
      </c>
      <c r="U3140" s="71" t="str">
        <f>IF(J3140=W3140,"O", "X")</f>
        <v>X</v>
      </c>
      <c r="V3140" s="71"/>
      <c r="W3140" s="474"/>
      <c r="X3140" s="71"/>
      <c r="Y3140" s="71"/>
    </row>
    <row r="3141" spans="1:25" ht="30" hidden="1" customHeight="1" x14ac:dyDescent="0.25">
      <c r="A3141" s="82">
        <v>200623</v>
      </c>
      <c r="B3141" s="664" t="s">
        <v>446</v>
      </c>
      <c r="C3141" s="71" t="s">
        <v>2028</v>
      </c>
      <c r="D3141" s="71">
        <v>10</v>
      </c>
      <c r="E3141" s="102">
        <v>105000</v>
      </c>
      <c r="F3141" s="102">
        <f t="shared" ref="F3141:F3151" si="1617">(E3141*D3141)*1.1</f>
        <v>1155000</v>
      </c>
      <c r="G3141" s="102">
        <f t="shared" ref="G3141:G3151" si="1618">(E3141*D3141)</f>
        <v>1050000</v>
      </c>
      <c r="H3141" s="690" t="s">
        <v>2029</v>
      </c>
      <c r="I3141" s="71" t="s">
        <v>2231</v>
      </c>
      <c r="J3141" s="53">
        <f t="shared" si="1615"/>
        <v>190000</v>
      </c>
      <c r="K3141" s="63">
        <f t="shared" si="1616"/>
        <v>0.18095238095238095</v>
      </c>
      <c r="L3141" s="871" t="s">
        <v>2438</v>
      </c>
      <c r="M3141" s="468" t="s">
        <v>3067</v>
      </c>
      <c r="N3141" s="664">
        <f t="shared" ref="N3141:N3151" si="1619">A3141</f>
        <v>200623</v>
      </c>
      <c r="O3141" s="71" t="s">
        <v>2030</v>
      </c>
      <c r="P3141" s="164" t="str">
        <f t="shared" si="1608"/>
        <v>실리콘 에멀전</v>
      </c>
      <c r="Q3141" s="71">
        <f t="shared" si="1612"/>
        <v>10</v>
      </c>
      <c r="R3141" s="102">
        <v>86000</v>
      </c>
      <c r="S3141" s="102">
        <f t="shared" si="1613"/>
        <v>946000.00000000012</v>
      </c>
      <c r="T3141" s="102">
        <f t="shared" si="1614"/>
        <v>860000</v>
      </c>
      <c r="U3141" s="71" t="str">
        <f>IF(J3141=W3141,"O", "X")</f>
        <v>O</v>
      </c>
      <c r="V3141" s="71">
        <f>5000*Q3141</f>
        <v>50000</v>
      </c>
      <c r="W3141" s="474">
        <f>(G3141-T3141)</f>
        <v>190000</v>
      </c>
      <c r="X3141" s="71"/>
      <c r="Y3141" s="71"/>
    </row>
    <row r="3142" spans="1:25" s="209" customFormat="1" ht="30" hidden="1" customHeight="1" x14ac:dyDescent="0.25">
      <c r="A3142" s="82">
        <v>200623</v>
      </c>
      <c r="B3142" s="664" t="s">
        <v>2155</v>
      </c>
      <c r="C3142" s="71" t="s">
        <v>138</v>
      </c>
      <c r="D3142" s="71">
        <v>10</v>
      </c>
      <c r="E3142" s="102">
        <v>47600</v>
      </c>
      <c r="F3142" s="163">
        <f>(E3142*D3142)*1.1</f>
        <v>523600.00000000006</v>
      </c>
      <c r="G3142" s="102">
        <f>(E3142*D3142)</f>
        <v>476000</v>
      </c>
      <c r="H3142" s="1129" t="s">
        <v>172</v>
      </c>
      <c r="I3142" s="71" t="s">
        <v>108</v>
      </c>
      <c r="J3142" s="53">
        <f t="shared" si="1615"/>
        <v>68000</v>
      </c>
      <c r="K3142" s="63">
        <f t="shared" si="1616"/>
        <v>0.14285714285714285</v>
      </c>
      <c r="L3142" s="871" t="s">
        <v>2438</v>
      </c>
      <c r="M3142" s="468" t="s">
        <v>2214</v>
      </c>
      <c r="N3142" s="664">
        <f t="shared" si="1619"/>
        <v>200623</v>
      </c>
      <c r="O3142" s="71" t="s">
        <v>150</v>
      </c>
      <c r="P3142" s="164" t="str">
        <f t="shared" si="1608"/>
        <v>매엽용 세척제(Wash 562)</v>
      </c>
      <c r="Q3142" s="71">
        <f t="shared" si="1612"/>
        <v>10</v>
      </c>
      <c r="R3142" s="102">
        <v>40800</v>
      </c>
      <c r="S3142" s="102">
        <f t="shared" si="1613"/>
        <v>448800.00000000006</v>
      </c>
      <c r="T3142" s="102">
        <f t="shared" si="1614"/>
        <v>408000</v>
      </c>
      <c r="U3142" s="71" t="s">
        <v>859</v>
      </c>
      <c r="V3142" s="71"/>
      <c r="W3142" s="474">
        <v>85000</v>
      </c>
      <c r="X3142" s="71"/>
      <c r="Y3142" s="71"/>
    </row>
    <row r="3143" spans="1:25" ht="30" hidden="1" customHeight="1" x14ac:dyDescent="0.25">
      <c r="A3143" s="82">
        <v>200625</v>
      </c>
      <c r="B3143" s="664" t="s">
        <v>1155</v>
      </c>
      <c r="C3143" s="71" t="s">
        <v>1148</v>
      </c>
      <c r="D3143" s="71">
        <v>8</v>
      </c>
      <c r="E3143" s="102">
        <v>300000</v>
      </c>
      <c r="F3143" s="102">
        <f t="shared" si="1617"/>
        <v>2640000</v>
      </c>
      <c r="G3143" s="102">
        <f t="shared" si="1618"/>
        <v>2400000</v>
      </c>
      <c r="H3143" s="690" t="s">
        <v>1431</v>
      </c>
      <c r="I3143" s="690" t="s">
        <v>1431</v>
      </c>
      <c r="J3143" s="53">
        <f t="shared" si="1615"/>
        <v>674344</v>
      </c>
      <c r="K3143" s="63">
        <f t="shared" si="1616"/>
        <v>0.28097666666666665</v>
      </c>
      <c r="L3143" s="871" t="s">
        <v>2437</v>
      </c>
      <c r="M3143" s="468"/>
      <c r="N3143" s="664">
        <f t="shared" si="1619"/>
        <v>200625</v>
      </c>
      <c r="O3143" s="71" t="s">
        <v>1431</v>
      </c>
      <c r="P3143" s="164" t="str">
        <f t="shared" si="1608"/>
        <v>브레이크 라이닝</v>
      </c>
      <c r="Q3143" s="71">
        <f t="shared" si="1612"/>
        <v>8</v>
      </c>
      <c r="R3143" s="102">
        <v>215707</v>
      </c>
      <c r="S3143" s="102">
        <f t="shared" si="1613"/>
        <v>1898221.6</v>
      </c>
      <c r="T3143" s="102">
        <f t="shared" si="1614"/>
        <v>1725656</v>
      </c>
      <c r="U3143" s="71"/>
      <c r="V3143" s="71"/>
      <c r="W3143" s="474"/>
      <c r="X3143" s="71"/>
      <c r="Y3143" s="71"/>
    </row>
    <row r="3144" spans="1:25" ht="30" hidden="1" customHeight="1" x14ac:dyDescent="0.25">
      <c r="A3144" s="82">
        <v>200625</v>
      </c>
      <c r="B3144" s="664" t="s">
        <v>1155</v>
      </c>
      <c r="C3144" s="71" t="s">
        <v>2457</v>
      </c>
      <c r="D3144" s="71">
        <v>3</v>
      </c>
      <c r="E3144" s="102">
        <v>600000</v>
      </c>
      <c r="F3144" s="102">
        <f t="shared" si="1617"/>
        <v>1980000.0000000002</v>
      </c>
      <c r="G3144" s="102">
        <f t="shared" si="1618"/>
        <v>1800000</v>
      </c>
      <c r="H3144" s="690" t="s">
        <v>1431</v>
      </c>
      <c r="I3144" s="690" t="s">
        <v>1431</v>
      </c>
      <c r="J3144" s="53">
        <f t="shared" si="1615"/>
        <v>514536</v>
      </c>
      <c r="K3144" s="63">
        <f t="shared" si="1616"/>
        <v>0.28585333333333329</v>
      </c>
      <c r="L3144" s="871" t="s">
        <v>2437</v>
      </c>
      <c r="M3144" s="468"/>
      <c r="N3144" s="664">
        <f t="shared" si="1619"/>
        <v>200625</v>
      </c>
      <c r="O3144" s="71" t="s">
        <v>1431</v>
      </c>
      <c r="P3144" s="164" t="str">
        <f t="shared" si="1608"/>
        <v>드라이어 도퍼 개폐 장치</v>
      </c>
      <c r="Q3144" s="71">
        <f t="shared" si="1612"/>
        <v>3</v>
      </c>
      <c r="R3144" s="102">
        <v>428488</v>
      </c>
      <c r="S3144" s="102">
        <f t="shared" si="1613"/>
        <v>1414010.4000000001</v>
      </c>
      <c r="T3144" s="102">
        <f t="shared" si="1614"/>
        <v>1285464</v>
      </c>
      <c r="U3144" s="71"/>
      <c r="V3144" s="71"/>
      <c r="W3144" s="474"/>
      <c r="X3144" s="71"/>
      <c r="Y3144" s="71"/>
    </row>
    <row r="3145" spans="1:25" ht="30" hidden="1" customHeight="1" x14ac:dyDescent="0.25">
      <c r="A3145" s="82">
        <v>200625</v>
      </c>
      <c r="B3145" s="664" t="s">
        <v>1155</v>
      </c>
      <c r="C3145" s="71" t="s">
        <v>2458</v>
      </c>
      <c r="D3145" s="71">
        <v>8</v>
      </c>
      <c r="E3145" s="102">
        <v>1250000</v>
      </c>
      <c r="F3145" s="102">
        <f t="shared" si="1617"/>
        <v>11000000</v>
      </c>
      <c r="G3145" s="102">
        <f t="shared" si="1618"/>
        <v>10000000</v>
      </c>
      <c r="H3145" s="690" t="s">
        <v>1431</v>
      </c>
      <c r="I3145" s="690" t="s">
        <v>1431</v>
      </c>
      <c r="J3145" s="53">
        <f t="shared" si="1615"/>
        <v>2560000</v>
      </c>
      <c r="K3145" s="63">
        <f t="shared" si="1616"/>
        <v>0.25600000000000001</v>
      </c>
      <c r="L3145" s="871" t="s">
        <v>2437</v>
      </c>
      <c r="M3145" s="468"/>
      <c r="N3145" s="664">
        <f t="shared" si="1619"/>
        <v>200625</v>
      </c>
      <c r="O3145" s="71" t="s">
        <v>1220</v>
      </c>
      <c r="P3145" s="164" t="str">
        <f t="shared" si="1608"/>
        <v>브러쉬 롤러 (블랑켓 세정)</v>
      </c>
      <c r="Q3145" s="71">
        <f t="shared" si="1612"/>
        <v>8</v>
      </c>
      <c r="R3145" s="102">
        <v>930000</v>
      </c>
      <c r="S3145" s="102">
        <f t="shared" si="1613"/>
        <v>8184000.0000000009</v>
      </c>
      <c r="T3145" s="102">
        <f t="shared" si="1614"/>
        <v>7440000</v>
      </c>
      <c r="U3145" s="71"/>
      <c r="V3145" s="71"/>
      <c r="W3145" s="474"/>
      <c r="X3145" s="71"/>
      <c r="Y3145" s="71"/>
    </row>
    <row r="3146" spans="1:25" ht="30" hidden="1" customHeight="1" x14ac:dyDescent="0.2">
      <c r="A3146" s="82">
        <v>200625</v>
      </c>
      <c r="B3146" s="664" t="s">
        <v>545</v>
      </c>
      <c r="C3146" s="71" t="s">
        <v>952</v>
      </c>
      <c r="D3146" s="71">
        <v>1</v>
      </c>
      <c r="E3146" s="102">
        <v>630000</v>
      </c>
      <c r="F3146" s="163">
        <f t="shared" si="1617"/>
        <v>693000</v>
      </c>
      <c r="G3146" s="102">
        <f t="shared" si="1618"/>
        <v>630000</v>
      </c>
      <c r="H3146" s="690" t="s">
        <v>173</v>
      </c>
      <c r="I3146" s="71" t="s">
        <v>108</v>
      </c>
      <c r="J3146" s="53">
        <f t="shared" si="1615"/>
        <v>190000</v>
      </c>
      <c r="K3146" s="63">
        <f t="shared" si="1616"/>
        <v>0.30158730158730157</v>
      </c>
      <c r="L3146" s="871" t="s">
        <v>2438</v>
      </c>
      <c r="M3146" s="468"/>
      <c r="N3146" s="664">
        <f t="shared" si="1619"/>
        <v>200625</v>
      </c>
      <c r="O3146" s="71" t="s">
        <v>599</v>
      </c>
      <c r="P3146" s="164" t="str">
        <f t="shared" si="1608"/>
        <v>점보롤 세정포</v>
      </c>
      <c r="Q3146" s="71">
        <f t="shared" si="1612"/>
        <v>1</v>
      </c>
      <c r="R3146" s="102">
        <v>440000</v>
      </c>
      <c r="S3146" s="102">
        <f t="shared" si="1613"/>
        <v>484000.00000000006</v>
      </c>
      <c r="T3146" s="102">
        <f t="shared" si="1614"/>
        <v>440000</v>
      </c>
      <c r="U3146" s="71" t="str">
        <f>IF(J3146=W3146,"O", "X")</f>
        <v>O</v>
      </c>
      <c r="V3146" s="71" t="s">
        <v>1228</v>
      </c>
      <c r="W3146" s="474">
        <f>(G3146-T3146)</f>
        <v>190000</v>
      </c>
      <c r="X3146" s="71"/>
      <c r="Y3146" s="71"/>
    </row>
    <row r="3147" spans="1:25" ht="30" hidden="1" customHeight="1" x14ac:dyDescent="0.25">
      <c r="A3147" s="82">
        <v>200625</v>
      </c>
      <c r="B3147" s="664" t="s">
        <v>545</v>
      </c>
      <c r="C3147" s="71" t="s">
        <v>1441</v>
      </c>
      <c r="D3147" s="71">
        <v>2</v>
      </c>
      <c r="E3147" s="102">
        <v>210000</v>
      </c>
      <c r="F3147" s="102">
        <f t="shared" si="1617"/>
        <v>462000.00000000006</v>
      </c>
      <c r="G3147" s="102">
        <f t="shared" si="1618"/>
        <v>420000</v>
      </c>
      <c r="H3147" s="690" t="s">
        <v>173</v>
      </c>
      <c r="I3147" s="71" t="s">
        <v>2231</v>
      </c>
      <c r="J3147" s="53">
        <f t="shared" si="1615"/>
        <v>90000</v>
      </c>
      <c r="K3147" s="63">
        <f t="shared" si="1616"/>
        <v>0.21428571428571425</v>
      </c>
      <c r="L3147" s="871" t="s">
        <v>2438</v>
      </c>
      <c r="M3147" s="468"/>
      <c r="N3147" s="664">
        <f t="shared" si="1619"/>
        <v>200625</v>
      </c>
      <c r="O3147" s="71" t="s">
        <v>1555</v>
      </c>
      <c r="P3147" s="164" t="str">
        <f t="shared" si="1608"/>
        <v xml:space="preserve"> OKS340 체인구리스</v>
      </c>
      <c r="Q3147" s="71">
        <f t="shared" si="1612"/>
        <v>2</v>
      </c>
      <c r="R3147" s="102">
        <v>165000</v>
      </c>
      <c r="S3147" s="102">
        <f t="shared" si="1613"/>
        <v>363000.00000000006</v>
      </c>
      <c r="T3147" s="102">
        <f t="shared" si="1614"/>
        <v>330000</v>
      </c>
      <c r="U3147" s="71" t="str">
        <f>IF(J3147=W3147,"O", "X")</f>
        <v>X</v>
      </c>
      <c r="V3147" s="71"/>
      <c r="W3147" s="474"/>
      <c r="X3147" s="71"/>
      <c r="Y3147" s="71"/>
    </row>
    <row r="3148" spans="1:25" ht="30" hidden="1" customHeight="1" x14ac:dyDescent="0.25">
      <c r="A3148" s="82">
        <v>200625</v>
      </c>
      <c r="B3148" s="664" t="s">
        <v>150</v>
      </c>
      <c r="C3148" s="71" t="s">
        <v>2135</v>
      </c>
      <c r="D3148" s="71">
        <v>1</v>
      </c>
      <c r="E3148" s="102">
        <v>7200000</v>
      </c>
      <c r="F3148" s="102">
        <f t="shared" si="1617"/>
        <v>7920000.0000000009</v>
      </c>
      <c r="G3148" s="102">
        <f t="shared" si="1618"/>
        <v>7200000</v>
      </c>
      <c r="H3148" s="690" t="s">
        <v>1431</v>
      </c>
      <c r="I3148" s="71" t="s">
        <v>1431</v>
      </c>
      <c r="J3148" s="53">
        <f t="shared" si="1615"/>
        <v>3790000</v>
      </c>
      <c r="K3148" s="63">
        <f t="shared" si="1616"/>
        <v>0.5263888888888888</v>
      </c>
      <c r="L3148" s="871" t="s">
        <v>2437</v>
      </c>
      <c r="M3148" s="468"/>
      <c r="N3148" s="664">
        <f t="shared" si="1619"/>
        <v>200625</v>
      </c>
      <c r="O3148" s="71" t="s">
        <v>1220</v>
      </c>
      <c r="P3148" s="164" t="str">
        <f t="shared" si="1608"/>
        <v>판걸이 튜브</v>
      </c>
      <c r="Q3148" s="71">
        <f t="shared" si="1612"/>
        <v>1</v>
      </c>
      <c r="R3148" s="102">
        <v>3410000</v>
      </c>
      <c r="S3148" s="102">
        <f t="shared" si="1613"/>
        <v>3751000.0000000005</v>
      </c>
      <c r="T3148" s="102">
        <f t="shared" si="1614"/>
        <v>3410000</v>
      </c>
      <c r="U3148" s="71"/>
      <c r="V3148" s="71"/>
      <c r="W3148" s="474"/>
      <c r="X3148" s="71"/>
      <c r="Y3148" s="71"/>
    </row>
    <row r="3149" spans="1:25" ht="30" hidden="1" customHeight="1" x14ac:dyDescent="0.25">
      <c r="A3149" s="82">
        <v>200625</v>
      </c>
      <c r="B3149" s="664" t="s">
        <v>150</v>
      </c>
      <c r="C3149" s="71" t="s">
        <v>2462</v>
      </c>
      <c r="D3149" s="71">
        <v>48</v>
      </c>
      <c r="E3149" s="102">
        <v>90000</v>
      </c>
      <c r="F3149" s="102">
        <f t="shared" si="1617"/>
        <v>4752000</v>
      </c>
      <c r="G3149" s="102">
        <f t="shared" si="1618"/>
        <v>4320000</v>
      </c>
      <c r="H3149" s="690" t="s">
        <v>1431</v>
      </c>
      <c r="I3149" s="71" t="s">
        <v>1431</v>
      </c>
      <c r="J3149" s="53">
        <f t="shared" si="1615"/>
        <v>2673600</v>
      </c>
      <c r="K3149" s="63">
        <f t="shared" si="1616"/>
        <v>0.61888888888888893</v>
      </c>
      <c r="L3149" s="871" t="s">
        <v>2437</v>
      </c>
      <c r="M3149" s="468" t="s">
        <v>2478</v>
      </c>
      <c r="N3149" s="664">
        <f t="shared" si="1619"/>
        <v>200625</v>
      </c>
      <c r="O3149" s="71" t="s">
        <v>150</v>
      </c>
      <c r="P3149" s="164" t="str">
        <f t="shared" si="1608"/>
        <v>스프링 블레이드</v>
      </c>
      <c r="Q3149" s="71">
        <f t="shared" si="1612"/>
        <v>48</v>
      </c>
      <c r="R3149" s="102">
        <v>34300</v>
      </c>
      <c r="S3149" s="102">
        <f t="shared" si="1613"/>
        <v>1811040.0000000002</v>
      </c>
      <c r="T3149" s="102">
        <f t="shared" si="1614"/>
        <v>1646400</v>
      </c>
      <c r="U3149" s="71"/>
      <c r="V3149" s="71"/>
      <c r="W3149" s="474"/>
      <c r="X3149" s="71"/>
      <c r="Y3149" s="71"/>
    </row>
    <row r="3150" spans="1:25" s="209" customFormat="1" ht="30" hidden="1" customHeight="1" x14ac:dyDescent="0.25">
      <c r="A3150" s="82">
        <v>200630</v>
      </c>
      <c r="B3150" s="664" t="s">
        <v>2103</v>
      </c>
      <c r="C3150" s="71" t="s">
        <v>2378</v>
      </c>
      <c r="D3150" s="71">
        <v>1</v>
      </c>
      <c r="E3150" s="102">
        <v>1160100</v>
      </c>
      <c r="F3150" s="163">
        <f t="shared" si="1617"/>
        <v>1276110</v>
      </c>
      <c r="G3150" s="102">
        <f t="shared" si="1618"/>
        <v>1160100</v>
      </c>
      <c r="H3150" s="1129" t="s">
        <v>173</v>
      </c>
      <c r="I3150" s="71" t="s">
        <v>2230</v>
      </c>
      <c r="J3150" s="53">
        <f t="shared" si="1615"/>
        <v>1160100</v>
      </c>
      <c r="K3150" s="63">
        <f t="shared" si="1616"/>
        <v>1</v>
      </c>
      <c r="L3150" s="871" t="s">
        <v>2437</v>
      </c>
      <c r="M3150" s="468"/>
      <c r="N3150" s="664">
        <f t="shared" si="1619"/>
        <v>200630</v>
      </c>
      <c r="O3150" s="71"/>
      <c r="P3150" s="164" t="str">
        <f t="shared" si="1608"/>
        <v>폐판 수거</v>
      </c>
      <c r="Q3150" s="71">
        <f t="shared" si="1612"/>
        <v>1</v>
      </c>
      <c r="R3150" s="102"/>
      <c r="S3150" s="102"/>
      <c r="T3150" s="102"/>
      <c r="U3150" s="71"/>
      <c r="V3150" s="71"/>
      <c r="W3150" s="474"/>
      <c r="X3150" s="71"/>
      <c r="Y3150" s="71"/>
    </row>
    <row r="3151" spans="1:25" s="209" customFormat="1" ht="30" hidden="1" customHeight="1" x14ac:dyDescent="0.25">
      <c r="A3151" s="82">
        <v>200630</v>
      </c>
      <c r="B3151" s="664" t="s">
        <v>567</v>
      </c>
      <c r="C3151" s="71" t="s">
        <v>236</v>
      </c>
      <c r="D3151" s="71">
        <v>10</v>
      </c>
      <c r="E3151" s="102">
        <v>65000</v>
      </c>
      <c r="F3151" s="102">
        <f t="shared" si="1617"/>
        <v>715000</v>
      </c>
      <c r="G3151" s="102">
        <f t="shared" si="1618"/>
        <v>650000</v>
      </c>
      <c r="H3151" s="690" t="s">
        <v>173</v>
      </c>
      <c r="I3151" s="71" t="s">
        <v>2231</v>
      </c>
      <c r="J3151" s="53">
        <f t="shared" si="1615"/>
        <v>150000</v>
      </c>
      <c r="K3151" s="63">
        <v>0.23076923076923078</v>
      </c>
      <c r="L3151" s="871" t="s">
        <v>2438</v>
      </c>
      <c r="M3151" s="468"/>
      <c r="N3151" s="664">
        <f t="shared" si="1619"/>
        <v>200630</v>
      </c>
      <c r="O3151" s="71" t="s">
        <v>153</v>
      </c>
      <c r="P3151" s="164" t="str">
        <f t="shared" si="1608"/>
        <v>아스테이지(국전)</v>
      </c>
      <c r="Q3151" s="71">
        <f>D3151</f>
        <v>10</v>
      </c>
      <c r="R3151" s="102">
        <v>50000</v>
      </c>
      <c r="S3151" s="102">
        <f t="shared" ref="S3151:S3173" si="1620">R3151*Q3151*1.1</f>
        <v>550000</v>
      </c>
      <c r="T3151" s="102">
        <f t="shared" ref="T3151:T3173" si="1621">R3151*Q3151</f>
        <v>500000</v>
      </c>
      <c r="U3151" s="71" t="s">
        <v>859</v>
      </c>
      <c r="V3151" s="71"/>
      <c r="W3151" s="474">
        <v>150000</v>
      </c>
      <c r="X3151" s="71"/>
      <c r="Y3151" s="71"/>
    </row>
    <row r="3152" spans="1:25" s="209" customFormat="1" ht="30" hidden="1" customHeight="1" x14ac:dyDescent="0.2">
      <c r="A3152" s="82">
        <v>200630</v>
      </c>
      <c r="B3152" s="664" t="s">
        <v>2353</v>
      </c>
      <c r="C3152" s="71" t="s">
        <v>130</v>
      </c>
      <c r="D3152" s="71">
        <v>10</v>
      </c>
      <c r="E3152" s="102">
        <v>125000</v>
      </c>
      <c r="F3152" s="163">
        <f t="shared" ref="F3152:F3174" si="1622">(E3152*D3152)*1.1</f>
        <v>1375000</v>
      </c>
      <c r="G3152" s="102">
        <f t="shared" ref="G3152:G3174" si="1623">(E3152*D3152)</f>
        <v>1250000</v>
      </c>
      <c r="H3152" s="165" t="s">
        <v>142</v>
      </c>
      <c r="I3152" s="71" t="s">
        <v>142</v>
      </c>
      <c r="J3152" s="53">
        <f>(G3152-(VLOOKUP(C3152,Price!B:D,3,FALSE)*D3152))</f>
        <v>260000</v>
      </c>
      <c r="K3152" s="63">
        <f t="shared" ref="K3152:K3157" si="1624">(J3152/(F3152/11*10))</f>
        <v>0.20799999999999999</v>
      </c>
      <c r="L3152" s="871" t="s">
        <v>2438</v>
      </c>
      <c r="M3152" s="468" t="s">
        <v>2050</v>
      </c>
      <c r="N3152" s="664">
        <f t="shared" ref="N3152:N3157" si="1625">A3152</f>
        <v>200630</v>
      </c>
      <c r="O3152" s="71" t="s">
        <v>150</v>
      </c>
      <c r="P3152" s="164" t="str">
        <f t="shared" si="1608"/>
        <v>XL106 Blanket(1077*885)</v>
      </c>
      <c r="Q3152" s="71">
        <f t="shared" ref="Q3152:Q3157" si="1626">D3152</f>
        <v>10</v>
      </c>
      <c r="R3152" s="102">
        <v>99000</v>
      </c>
      <c r="S3152" s="102">
        <f t="shared" si="1620"/>
        <v>1089000</v>
      </c>
      <c r="T3152" s="102">
        <f t="shared" si="1621"/>
        <v>990000</v>
      </c>
      <c r="U3152" s="71" t="str">
        <f t="shared" ref="U3152:U3173" si="1627">IF(J3152=W3152,"O", "X")</f>
        <v>O</v>
      </c>
      <c r="V3152" s="71"/>
      <c r="W3152" s="474">
        <f>(G3152-T3152)</f>
        <v>260000</v>
      </c>
      <c r="X3152" s="71"/>
      <c r="Y3152" s="71"/>
    </row>
    <row r="3153" spans="1:25" ht="30" hidden="1" customHeight="1" x14ac:dyDescent="0.2">
      <c r="A3153" s="82">
        <v>200630</v>
      </c>
      <c r="B3153" s="664" t="s">
        <v>2353</v>
      </c>
      <c r="C3153" s="71" t="s">
        <v>129</v>
      </c>
      <c r="D3153" s="71">
        <v>7</v>
      </c>
      <c r="E3153" s="102">
        <v>272000</v>
      </c>
      <c r="F3153" s="163">
        <f t="shared" si="1622"/>
        <v>2094400.0000000002</v>
      </c>
      <c r="G3153" s="102">
        <f t="shared" si="1623"/>
        <v>1904000</v>
      </c>
      <c r="H3153" s="165" t="s">
        <v>142</v>
      </c>
      <c r="I3153" s="71" t="s">
        <v>142</v>
      </c>
      <c r="J3153" s="53">
        <f t="shared" ref="J3153:J3173" si="1628">G3153-T3153</f>
        <v>448000</v>
      </c>
      <c r="K3153" s="63">
        <f t="shared" si="1624"/>
        <v>0.23529411764705879</v>
      </c>
      <c r="L3153" s="871" t="s">
        <v>2438</v>
      </c>
      <c r="M3153" s="468" t="s">
        <v>2050</v>
      </c>
      <c r="N3153" s="664">
        <f t="shared" si="1625"/>
        <v>200630</v>
      </c>
      <c r="O3153" s="71" t="s">
        <v>149</v>
      </c>
      <c r="P3153" s="164" t="str">
        <f t="shared" si="1608"/>
        <v>세정포-XL106</v>
      </c>
      <c r="Q3153" s="71">
        <f t="shared" si="1626"/>
        <v>7</v>
      </c>
      <c r="R3153" s="102">
        <v>208000</v>
      </c>
      <c r="S3153" s="102">
        <f t="shared" si="1620"/>
        <v>1601600.0000000002</v>
      </c>
      <c r="T3153" s="102">
        <f t="shared" si="1621"/>
        <v>1456000</v>
      </c>
      <c r="U3153" s="71" t="str">
        <f t="shared" si="1627"/>
        <v>O</v>
      </c>
      <c r="V3153" s="71"/>
      <c r="W3153" s="474">
        <f>(G3153-T3153)</f>
        <v>448000</v>
      </c>
      <c r="X3153" s="71"/>
      <c r="Y3153" s="71"/>
    </row>
    <row r="3154" spans="1:25" ht="30" hidden="1" customHeight="1" x14ac:dyDescent="0.25">
      <c r="A3154" s="82">
        <v>200630</v>
      </c>
      <c r="B3154" s="664" t="s">
        <v>2353</v>
      </c>
      <c r="C3154" s="71" t="s">
        <v>2408</v>
      </c>
      <c r="D3154" s="71">
        <v>2</v>
      </c>
      <c r="E3154" s="102">
        <v>248600</v>
      </c>
      <c r="F3154" s="102">
        <f t="shared" si="1622"/>
        <v>546920</v>
      </c>
      <c r="G3154" s="102">
        <f t="shared" si="1623"/>
        <v>497200</v>
      </c>
      <c r="H3154" s="690" t="s">
        <v>142</v>
      </c>
      <c r="I3154" s="71" t="s">
        <v>142</v>
      </c>
      <c r="J3154" s="53">
        <f t="shared" si="1628"/>
        <v>97200</v>
      </c>
      <c r="K3154" s="63">
        <f t="shared" si="1624"/>
        <v>0.19549477071600965</v>
      </c>
      <c r="L3154" s="871" t="s">
        <v>2438</v>
      </c>
      <c r="M3154" s="468"/>
      <c r="N3154" s="664">
        <f t="shared" si="1625"/>
        <v>200630</v>
      </c>
      <c r="O3154" s="71" t="s">
        <v>150</v>
      </c>
      <c r="P3154" s="164" t="str">
        <f t="shared" si="1608"/>
        <v>판걸이 실린더 안쪽</v>
      </c>
      <c r="Q3154" s="71">
        <f t="shared" si="1626"/>
        <v>2</v>
      </c>
      <c r="R3154" s="102">
        <v>200000</v>
      </c>
      <c r="S3154" s="102">
        <f t="shared" si="1620"/>
        <v>440000.00000000006</v>
      </c>
      <c r="T3154" s="102">
        <f t="shared" si="1621"/>
        <v>400000</v>
      </c>
      <c r="U3154" s="71" t="str">
        <f t="shared" si="1627"/>
        <v>X</v>
      </c>
      <c r="V3154" s="71"/>
      <c r="W3154" s="474"/>
      <c r="X3154" s="71"/>
      <c r="Y3154" s="71"/>
    </row>
    <row r="3155" spans="1:25" ht="30" hidden="1" customHeight="1" x14ac:dyDescent="0.25">
      <c r="A3155" s="82">
        <v>200630</v>
      </c>
      <c r="B3155" s="664" t="s">
        <v>2353</v>
      </c>
      <c r="C3155" s="71" t="s">
        <v>2409</v>
      </c>
      <c r="D3155" s="71">
        <v>2</v>
      </c>
      <c r="E3155" s="102">
        <v>178200</v>
      </c>
      <c r="F3155" s="102">
        <f t="shared" si="1622"/>
        <v>392040.00000000006</v>
      </c>
      <c r="G3155" s="102">
        <f t="shared" si="1623"/>
        <v>356400</v>
      </c>
      <c r="H3155" s="690" t="s">
        <v>142</v>
      </c>
      <c r="I3155" s="71" t="s">
        <v>142</v>
      </c>
      <c r="J3155" s="53">
        <f t="shared" si="1628"/>
        <v>56400</v>
      </c>
      <c r="K3155" s="63">
        <f t="shared" si="1624"/>
        <v>0.15824915824915822</v>
      </c>
      <c r="L3155" s="871" t="s">
        <v>2438</v>
      </c>
      <c r="M3155" s="468"/>
      <c r="N3155" s="664">
        <f t="shared" si="1625"/>
        <v>200630</v>
      </c>
      <c r="O3155" s="71" t="s">
        <v>150</v>
      </c>
      <c r="P3155" s="164" t="str">
        <f t="shared" si="1608"/>
        <v>판걸이 실린더 바깥쪽</v>
      </c>
      <c r="Q3155" s="71">
        <f t="shared" si="1626"/>
        <v>2</v>
      </c>
      <c r="R3155" s="102">
        <v>150000</v>
      </c>
      <c r="S3155" s="102">
        <f t="shared" si="1620"/>
        <v>330000</v>
      </c>
      <c r="T3155" s="102">
        <f t="shared" si="1621"/>
        <v>300000</v>
      </c>
      <c r="U3155" s="71" t="str">
        <f t="shared" si="1627"/>
        <v>X</v>
      </c>
      <c r="V3155" s="71"/>
      <c r="W3155" s="474"/>
      <c r="X3155" s="71"/>
      <c r="Y3155" s="71"/>
    </row>
    <row r="3156" spans="1:25" ht="30" hidden="1" customHeight="1" x14ac:dyDescent="0.2">
      <c r="A3156" s="82">
        <v>200630</v>
      </c>
      <c r="B3156" s="664" t="s">
        <v>2353</v>
      </c>
      <c r="C3156" s="71" t="s">
        <v>2464</v>
      </c>
      <c r="D3156" s="71">
        <v>2</v>
      </c>
      <c r="E3156" s="102">
        <v>596000</v>
      </c>
      <c r="F3156" s="163">
        <f t="shared" si="1622"/>
        <v>1311200</v>
      </c>
      <c r="G3156" s="102">
        <f t="shared" si="1623"/>
        <v>1192000</v>
      </c>
      <c r="H3156" s="165" t="s">
        <v>142</v>
      </c>
      <c r="I3156" s="71" t="s">
        <v>142</v>
      </c>
      <c r="J3156" s="53">
        <f t="shared" si="1628"/>
        <v>776000</v>
      </c>
      <c r="K3156" s="63">
        <f t="shared" si="1624"/>
        <v>0.65100671140939592</v>
      </c>
      <c r="L3156" s="871" t="s">
        <v>2438</v>
      </c>
      <c r="M3156" s="468" t="s">
        <v>2050</v>
      </c>
      <c r="N3156" s="664">
        <f t="shared" si="1625"/>
        <v>200630</v>
      </c>
      <c r="O3156" s="71" t="s">
        <v>150</v>
      </c>
      <c r="P3156" s="164" t="str">
        <f t="shared" si="1608"/>
        <v>자동 판걸이 오버러닝 클러치</v>
      </c>
      <c r="Q3156" s="71">
        <f t="shared" si="1626"/>
        <v>2</v>
      </c>
      <c r="R3156" s="102">
        <v>208000</v>
      </c>
      <c r="S3156" s="102">
        <f t="shared" si="1620"/>
        <v>457600.00000000006</v>
      </c>
      <c r="T3156" s="102">
        <f t="shared" si="1621"/>
        <v>416000</v>
      </c>
      <c r="U3156" s="71" t="str">
        <f t="shared" si="1627"/>
        <v>O</v>
      </c>
      <c r="V3156" s="71"/>
      <c r="W3156" s="474">
        <f t="shared" ref="W3156:W3173" si="1629">(G3156-T3156)</f>
        <v>776000</v>
      </c>
      <c r="X3156" s="71"/>
      <c r="Y3156" s="71"/>
    </row>
    <row r="3157" spans="1:25" ht="30" hidden="1" customHeight="1" x14ac:dyDescent="0.2">
      <c r="A3157" s="82">
        <v>200630</v>
      </c>
      <c r="B3157" s="664" t="s">
        <v>545</v>
      </c>
      <c r="C3157" s="71" t="s">
        <v>227</v>
      </c>
      <c r="D3157" s="71">
        <v>10</v>
      </c>
      <c r="E3157" s="102">
        <v>110000</v>
      </c>
      <c r="F3157" s="163">
        <f t="shared" si="1622"/>
        <v>1210000</v>
      </c>
      <c r="G3157" s="102">
        <f t="shared" si="1623"/>
        <v>1100000</v>
      </c>
      <c r="H3157" s="690" t="s">
        <v>173</v>
      </c>
      <c r="I3157" s="71" t="s">
        <v>109</v>
      </c>
      <c r="J3157" s="53">
        <f t="shared" si="1628"/>
        <v>271000</v>
      </c>
      <c r="K3157" s="63">
        <f t="shared" si="1624"/>
        <v>0.24636363636363637</v>
      </c>
      <c r="L3157" s="871" t="s">
        <v>2438</v>
      </c>
      <c r="M3157" s="468"/>
      <c r="N3157" s="664">
        <f t="shared" si="1625"/>
        <v>200630</v>
      </c>
      <c r="O3157" s="71" t="s">
        <v>147</v>
      </c>
      <c r="P3157" s="164" t="str">
        <f t="shared" si="1608"/>
        <v>Blanket(1060*860)</v>
      </c>
      <c r="Q3157" s="71">
        <f t="shared" si="1626"/>
        <v>10</v>
      </c>
      <c r="R3157" s="102">
        <v>82900</v>
      </c>
      <c r="S3157" s="102">
        <f t="shared" si="1620"/>
        <v>911900.00000000012</v>
      </c>
      <c r="T3157" s="102">
        <f t="shared" si="1621"/>
        <v>829000</v>
      </c>
      <c r="U3157" s="71" t="str">
        <f t="shared" si="1627"/>
        <v>O</v>
      </c>
      <c r="V3157" s="71"/>
      <c r="W3157" s="474">
        <f t="shared" si="1629"/>
        <v>271000</v>
      </c>
      <c r="X3157" s="71"/>
      <c r="Y3157" s="71"/>
    </row>
    <row r="3158" spans="1:25" ht="30" hidden="1" customHeight="1" x14ac:dyDescent="0.25">
      <c r="A3158" s="82">
        <v>200630</v>
      </c>
      <c r="B3158" s="664" t="s">
        <v>1051</v>
      </c>
      <c r="C3158" s="71" t="s">
        <v>1294</v>
      </c>
      <c r="D3158" s="71">
        <v>1500</v>
      </c>
      <c r="E3158" s="102">
        <v>6230</v>
      </c>
      <c r="F3158" s="102">
        <f t="shared" si="1622"/>
        <v>10279500</v>
      </c>
      <c r="G3158" s="102">
        <f t="shared" si="1623"/>
        <v>9345000</v>
      </c>
      <c r="H3158" s="690" t="s">
        <v>142</v>
      </c>
      <c r="I3158" s="71" t="s">
        <v>2273</v>
      </c>
      <c r="J3158" s="53">
        <f t="shared" si="1628"/>
        <v>2820000</v>
      </c>
      <c r="K3158" s="63">
        <f t="shared" ref="K3158:K3173" si="1630">(J3158/(F3158/11*10))</f>
        <v>0.3017656500802568</v>
      </c>
      <c r="L3158" s="871" t="s">
        <v>2437</v>
      </c>
      <c r="M3158" s="468"/>
      <c r="N3158" s="664">
        <f t="shared" ref="N3158:N3176" si="1631">A3158</f>
        <v>200630</v>
      </c>
      <c r="O3158" s="71" t="s">
        <v>145</v>
      </c>
      <c r="P3158" s="164" t="str">
        <f t="shared" si="1608"/>
        <v>ENGAGE 1030*790</v>
      </c>
      <c r="Q3158" s="71">
        <f t="shared" ref="Q3158:Q3177" si="1632">D3158</f>
        <v>1500</v>
      </c>
      <c r="R3158" s="102">
        <v>4350</v>
      </c>
      <c r="S3158" s="102">
        <f t="shared" si="1620"/>
        <v>7177500.0000000009</v>
      </c>
      <c r="T3158" s="102">
        <f t="shared" si="1621"/>
        <v>6525000</v>
      </c>
      <c r="U3158" s="71" t="str">
        <f t="shared" si="1627"/>
        <v>O</v>
      </c>
      <c r="V3158" s="71"/>
      <c r="W3158" s="474">
        <f t="shared" si="1629"/>
        <v>2820000</v>
      </c>
      <c r="X3158" s="71"/>
      <c r="Y3158" s="71"/>
    </row>
    <row r="3159" spans="1:25" ht="30" hidden="1" customHeight="1" x14ac:dyDescent="0.25">
      <c r="A3159" s="82">
        <v>200630</v>
      </c>
      <c r="B3159" s="664" t="s">
        <v>1051</v>
      </c>
      <c r="C3159" s="71" t="s">
        <v>1384</v>
      </c>
      <c r="D3159" s="71">
        <v>2900</v>
      </c>
      <c r="E3159" s="102">
        <v>3920</v>
      </c>
      <c r="F3159" s="102">
        <f t="shared" si="1622"/>
        <v>12504800.000000002</v>
      </c>
      <c r="G3159" s="102">
        <f t="shared" si="1623"/>
        <v>11368000</v>
      </c>
      <c r="H3159" s="690" t="s">
        <v>142</v>
      </c>
      <c r="I3159" s="71" t="s">
        <v>2273</v>
      </c>
      <c r="J3159" s="53">
        <f t="shared" si="1628"/>
        <v>3400876.3672115011</v>
      </c>
      <c r="K3159" s="63">
        <f t="shared" si="1630"/>
        <v>0.2991622420136788</v>
      </c>
      <c r="L3159" s="871" t="s">
        <v>2437</v>
      </c>
      <c r="M3159" s="468"/>
      <c r="N3159" s="664">
        <f t="shared" si="1631"/>
        <v>200630</v>
      </c>
      <c r="O3159" s="71" t="s">
        <v>145</v>
      </c>
      <c r="P3159" s="164" t="str">
        <f t="shared" si="1608"/>
        <v>ENGAGE 900X571 - 27RO</v>
      </c>
      <c r="Q3159" s="71">
        <f t="shared" si="1632"/>
        <v>2900</v>
      </c>
      <c r="R3159" s="102">
        <f>R3158/1030/790*900*571</f>
        <v>2747.2840113063789</v>
      </c>
      <c r="S3159" s="102">
        <f t="shared" si="1620"/>
        <v>8763835.9960673489</v>
      </c>
      <c r="T3159" s="102">
        <f t="shared" si="1621"/>
        <v>7967123.6327884989</v>
      </c>
      <c r="U3159" s="71" t="str">
        <f t="shared" si="1627"/>
        <v>O</v>
      </c>
      <c r="V3159" s="71"/>
      <c r="W3159" s="474">
        <f t="shared" si="1629"/>
        <v>3400876.3672115011</v>
      </c>
      <c r="X3159" s="71"/>
      <c r="Y3159" s="71"/>
    </row>
    <row r="3160" spans="1:25" ht="30" hidden="1" customHeight="1" x14ac:dyDescent="0.25">
      <c r="A3160" s="82">
        <v>200630</v>
      </c>
      <c r="B3160" s="664" t="s">
        <v>1051</v>
      </c>
      <c r="C3160" s="71" t="s">
        <v>951</v>
      </c>
      <c r="D3160" s="71">
        <v>3100</v>
      </c>
      <c r="E3160" s="102">
        <v>3740</v>
      </c>
      <c r="F3160" s="102">
        <f t="shared" si="1622"/>
        <v>12753400.000000002</v>
      </c>
      <c r="G3160" s="102">
        <f t="shared" si="1623"/>
        <v>11594000</v>
      </c>
      <c r="H3160" s="690" t="s">
        <v>142</v>
      </c>
      <c r="I3160" s="71" t="s">
        <v>2273</v>
      </c>
      <c r="J3160" s="53">
        <f t="shared" si="1628"/>
        <v>3516324.2472655755</v>
      </c>
      <c r="K3160" s="63">
        <f t="shared" si="1630"/>
        <v>0.30328827387144858</v>
      </c>
      <c r="L3160" s="871" t="s">
        <v>2437</v>
      </c>
      <c r="M3160" s="468"/>
      <c r="N3160" s="664">
        <f t="shared" si="1631"/>
        <v>200630</v>
      </c>
      <c r="O3160" s="71" t="s">
        <v>145</v>
      </c>
      <c r="P3160" s="164" t="str">
        <f t="shared" si="1608"/>
        <v>ENGAGE 30WEB(883*552)</v>
      </c>
      <c r="Q3160" s="71">
        <f t="shared" si="1632"/>
        <v>3100</v>
      </c>
      <c r="R3160" s="102">
        <f>R3158/1030/790*883*552</f>
        <v>2605.7018557207821</v>
      </c>
      <c r="S3160" s="102">
        <f t="shared" si="1620"/>
        <v>8885443.3280078676</v>
      </c>
      <c r="T3160" s="102">
        <f t="shared" si="1621"/>
        <v>8077675.7527344245</v>
      </c>
      <c r="U3160" s="71" t="str">
        <f t="shared" si="1627"/>
        <v>O</v>
      </c>
      <c r="V3160" s="71"/>
      <c r="W3160" s="474">
        <f t="shared" si="1629"/>
        <v>3516324.2472655755</v>
      </c>
      <c r="X3160" s="71"/>
      <c r="Y3160" s="71"/>
    </row>
    <row r="3161" spans="1:25" ht="30" hidden="1" customHeight="1" x14ac:dyDescent="0.25">
      <c r="A3161" s="82">
        <v>200630</v>
      </c>
      <c r="B3161" s="664" t="s">
        <v>1051</v>
      </c>
      <c r="C3161" s="71" t="s">
        <v>2219</v>
      </c>
      <c r="D3161" s="71">
        <v>1600</v>
      </c>
      <c r="E3161" s="102">
        <v>6310</v>
      </c>
      <c r="F3161" s="102">
        <f t="shared" si="1622"/>
        <v>11105600</v>
      </c>
      <c r="G3161" s="102">
        <f t="shared" si="1623"/>
        <v>10096000</v>
      </c>
      <c r="H3161" s="690" t="s">
        <v>142</v>
      </c>
      <c r="I3161" s="71" t="s">
        <v>2273</v>
      </c>
      <c r="J3161" s="53">
        <f t="shared" si="1628"/>
        <v>3047898.7341772141</v>
      </c>
      <c r="K3161" s="63">
        <f t="shared" si="1630"/>
        <v>0.30189171297317891</v>
      </c>
      <c r="L3161" s="871" t="s">
        <v>2437</v>
      </c>
      <c r="M3161" s="468"/>
      <c r="N3161" s="664">
        <f t="shared" si="1631"/>
        <v>200630</v>
      </c>
      <c r="O3161" s="71" t="s">
        <v>145</v>
      </c>
      <c r="P3161" s="164" t="str">
        <f t="shared" si="1608"/>
        <v>ENGAGE 1030*800</v>
      </c>
      <c r="Q3161" s="71">
        <f t="shared" si="1632"/>
        <v>1600</v>
      </c>
      <c r="R3161" s="102">
        <f>R3158/1030/790*1030*800</f>
        <v>4405.0632911392413</v>
      </c>
      <c r="S3161" s="102">
        <f t="shared" si="1620"/>
        <v>7752911.3924050648</v>
      </c>
      <c r="T3161" s="102">
        <f t="shared" si="1621"/>
        <v>7048101.2658227859</v>
      </c>
      <c r="U3161" s="71" t="str">
        <f t="shared" si="1627"/>
        <v>O</v>
      </c>
      <c r="V3161" s="71"/>
      <c r="W3161" s="474">
        <f t="shared" si="1629"/>
        <v>3047898.7341772141</v>
      </c>
      <c r="X3161" s="71"/>
      <c r="Y3161" s="71"/>
    </row>
    <row r="3162" spans="1:25" ht="30" hidden="1" customHeight="1" x14ac:dyDescent="0.25">
      <c r="A3162" s="82">
        <v>200630</v>
      </c>
      <c r="B3162" s="664" t="s">
        <v>1051</v>
      </c>
      <c r="C3162" s="71" t="s">
        <v>1383</v>
      </c>
      <c r="D3162" s="71">
        <v>1300</v>
      </c>
      <c r="E3162" s="102">
        <v>6540</v>
      </c>
      <c r="F3162" s="102">
        <f t="shared" si="1622"/>
        <v>9352200</v>
      </c>
      <c r="G3162" s="102">
        <f t="shared" si="1623"/>
        <v>8502000</v>
      </c>
      <c r="H3162" s="690" t="s">
        <v>142</v>
      </c>
      <c r="I3162" s="71" t="s">
        <v>2273</v>
      </c>
      <c r="J3162" s="53">
        <f t="shared" si="1628"/>
        <v>2555771.3223546743</v>
      </c>
      <c r="K3162" s="63">
        <f t="shared" si="1630"/>
        <v>0.3006082477481386</v>
      </c>
      <c r="L3162" s="871" t="s">
        <v>2437</v>
      </c>
      <c r="M3162" s="468"/>
      <c r="N3162" s="664">
        <f t="shared" si="1631"/>
        <v>200630</v>
      </c>
      <c r="O3162" s="71" t="s">
        <v>145</v>
      </c>
      <c r="P3162" s="164" t="str">
        <f t="shared" si="1608"/>
        <v>ENGAGE 1055*811</v>
      </c>
      <c r="Q3162" s="71">
        <f t="shared" si="1632"/>
        <v>1300</v>
      </c>
      <c r="R3162" s="102">
        <f>R3158/1030/790*1055*811</f>
        <v>4574.0220597271737</v>
      </c>
      <c r="S3162" s="102">
        <f t="shared" si="1620"/>
        <v>6540851.5454098592</v>
      </c>
      <c r="T3162" s="102">
        <f t="shared" si="1621"/>
        <v>5946228.6776453257</v>
      </c>
      <c r="U3162" s="71" t="str">
        <f t="shared" si="1627"/>
        <v>O</v>
      </c>
      <c r="V3162" s="71"/>
      <c r="W3162" s="474">
        <f t="shared" si="1629"/>
        <v>2555771.3223546743</v>
      </c>
      <c r="X3162" s="71"/>
      <c r="Y3162" s="71"/>
    </row>
    <row r="3163" spans="1:25" ht="30" hidden="1" customHeight="1" x14ac:dyDescent="0.25">
      <c r="A3163" s="82">
        <v>200630</v>
      </c>
      <c r="B3163" s="664" t="s">
        <v>1051</v>
      </c>
      <c r="C3163" s="71" t="s">
        <v>1650</v>
      </c>
      <c r="D3163" s="71">
        <v>300</v>
      </c>
      <c r="E3163" s="102">
        <v>4680</v>
      </c>
      <c r="F3163" s="102">
        <f t="shared" si="1622"/>
        <v>1544400.0000000002</v>
      </c>
      <c r="G3163" s="102">
        <f t="shared" si="1623"/>
        <v>1404000</v>
      </c>
      <c r="H3163" s="690" t="s">
        <v>142</v>
      </c>
      <c r="I3163" s="71" t="s">
        <v>2273</v>
      </c>
      <c r="J3163" s="53">
        <f t="shared" si="1628"/>
        <v>424395.18249969266</v>
      </c>
      <c r="K3163" s="63">
        <f t="shared" si="1630"/>
        <v>0.30227577101117703</v>
      </c>
      <c r="L3163" s="871" t="s">
        <v>2437</v>
      </c>
      <c r="M3163" s="468"/>
      <c r="N3163" s="664">
        <f t="shared" si="1631"/>
        <v>200630</v>
      </c>
      <c r="O3163" s="71" t="s">
        <v>145</v>
      </c>
      <c r="P3163" s="164" t="str">
        <f t="shared" si="1608"/>
        <v>ENGAGE 968*631</v>
      </c>
      <c r="Q3163" s="71">
        <f t="shared" si="1632"/>
        <v>300</v>
      </c>
      <c r="R3163" s="102">
        <f>R3158/1030/790*968*631</f>
        <v>3265.3493916676912</v>
      </c>
      <c r="S3163" s="102">
        <f t="shared" si="1620"/>
        <v>1077565.2992503382</v>
      </c>
      <c r="T3163" s="102">
        <f t="shared" si="1621"/>
        <v>979604.81750030734</v>
      </c>
      <c r="U3163" s="71" t="str">
        <f t="shared" si="1627"/>
        <v>O</v>
      </c>
      <c r="V3163" s="71"/>
      <c r="W3163" s="474">
        <f t="shared" si="1629"/>
        <v>424395.18249969266</v>
      </c>
      <c r="X3163" s="71"/>
      <c r="Y3163" s="71"/>
    </row>
    <row r="3164" spans="1:25" ht="30" hidden="1" customHeight="1" x14ac:dyDescent="0.25">
      <c r="A3164" s="82">
        <v>200630</v>
      </c>
      <c r="B3164" s="664" t="s">
        <v>1051</v>
      </c>
      <c r="C3164" s="67" t="s">
        <v>1386</v>
      </c>
      <c r="D3164" s="71">
        <v>45</v>
      </c>
      <c r="E3164" s="102">
        <v>57500</v>
      </c>
      <c r="F3164" s="102">
        <f t="shared" si="1622"/>
        <v>2846250</v>
      </c>
      <c r="G3164" s="102">
        <f t="shared" si="1623"/>
        <v>2587500</v>
      </c>
      <c r="H3164" s="690" t="s">
        <v>142</v>
      </c>
      <c r="I3164" s="71" t="s">
        <v>2273</v>
      </c>
      <c r="J3164" s="53">
        <f t="shared" si="1628"/>
        <v>1012500</v>
      </c>
      <c r="K3164" s="63">
        <f t="shared" si="1630"/>
        <v>0.39130434782608697</v>
      </c>
      <c r="L3164" s="871" t="s">
        <v>2437</v>
      </c>
      <c r="M3164" s="468"/>
      <c r="N3164" s="664">
        <f t="shared" si="1631"/>
        <v>200630</v>
      </c>
      <c r="O3164" s="71" t="s">
        <v>145</v>
      </c>
      <c r="P3164" s="164" t="str">
        <f t="shared" si="1608"/>
        <v>THR200(20L)보충액</v>
      </c>
      <c r="Q3164" s="71">
        <f t="shared" si="1632"/>
        <v>45</v>
      </c>
      <c r="R3164" s="102">
        <v>35000</v>
      </c>
      <c r="S3164" s="102">
        <f t="shared" si="1620"/>
        <v>1732500.0000000002</v>
      </c>
      <c r="T3164" s="102">
        <f t="shared" si="1621"/>
        <v>1575000</v>
      </c>
      <c r="U3164" s="71" t="str">
        <f t="shared" si="1627"/>
        <v>O</v>
      </c>
      <c r="V3164" s="71"/>
      <c r="W3164" s="474">
        <f t="shared" si="1629"/>
        <v>1012500</v>
      </c>
      <c r="X3164" s="71"/>
      <c r="Y3164" s="71"/>
    </row>
    <row r="3165" spans="1:25" ht="30" hidden="1" customHeight="1" x14ac:dyDescent="0.25">
      <c r="A3165" s="82">
        <v>200630</v>
      </c>
      <c r="B3165" s="664" t="s">
        <v>1051</v>
      </c>
      <c r="C3165" s="71" t="s">
        <v>1387</v>
      </c>
      <c r="D3165" s="71">
        <v>10</v>
      </c>
      <c r="E3165" s="102">
        <v>57500</v>
      </c>
      <c r="F3165" s="102">
        <f t="shared" si="1622"/>
        <v>632500</v>
      </c>
      <c r="G3165" s="102">
        <f t="shared" si="1623"/>
        <v>575000</v>
      </c>
      <c r="H3165" s="690" t="s">
        <v>142</v>
      </c>
      <c r="I3165" s="71" t="s">
        <v>2273</v>
      </c>
      <c r="J3165" s="53">
        <f t="shared" si="1628"/>
        <v>225000</v>
      </c>
      <c r="K3165" s="63">
        <f t="shared" si="1630"/>
        <v>0.39130434782608697</v>
      </c>
      <c r="L3165" s="871" t="s">
        <v>2437</v>
      </c>
      <c r="M3165" s="468"/>
      <c r="N3165" s="664">
        <f t="shared" si="1631"/>
        <v>200630</v>
      </c>
      <c r="O3165" s="71" t="s">
        <v>145</v>
      </c>
      <c r="P3165" s="164" t="str">
        <f t="shared" si="1608"/>
        <v>THD200(20L)현상액</v>
      </c>
      <c r="Q3165" s="71">
        <f t="shared" si="1632"/>
        <v>10</v>
      </c>
      <c r="R3165" s="102">
        <v>35000</v>
      </c>
      <c r="S3165" s="102">
        <f t="shared" si="1620"/>
        <v>385000.00000000006</v>
      </c>
      <c r="T3165" s="102">
        <f t="shared" si="1621"/>
        <v>350000</v>
      </c>
      <c r="U3165" s="71" t="str">
        <f t="shared" si="1627"/>
        <v>O</v>
      </c>
      <c r="V3165" s="71"/>
      <c r="W3165" s="474">
        <f t="shared" si="1629"/>
        <v>225000</v>
      </c>
      <c r="X3165" s="71"/>
      <c r="Y3165" s="71"/>
    </row>
    <row r="3166" spans="1:25" ht="30" hidden="1" customHeight="1" x14ac:dyDescent="0.25">
      <c r="A3166" s="82">
        <v>200630</v>
      </c>
      <c r="B3166" s="664" t="s">
        <v>1061</v>
      </c>
      <c r="C3166" s="71" t="s">
        <v>616</v>
      </c>
      <c r="D3166" s="71">
        <v>200</v>
      </c>
      <c r="E3166" s="102">
        <v>5600</v>
      </c>
      <c r="F3166" s="102">
        <f t="shared" si="1622"/>
        <v>1232000</v>
      </c>
      <c r="G3166" s="102">
        <f t="shared" si="1623"/>
        <v>1120000</v>
      </c>
      <c r="H3166" s="690" t="s">
        <v>142</v>
      </c>
      <c r="I3166" s="71" t="s">
        <v>144</v>
      </c>
      <c r="J3166" s="53">
        <f t="shared" si="1628"/>
        <v>102000</v>
      </c>
      <c r="K3166" s="63">
        <f t="shared" si="1630"/>
        <v>9.1071428571428567E-2</v>
      </c>
      <c r="L3166" s="871" t="s">
        <v>2437</v>
      </c>
      <c r="M3166" s="468"/>
      <c r="N3166" s="664">
        <f t="shared" si="1631"/>
        <v>200630</v>
      </c>
      <c r="O3166" s="71" t="s">
        <v>147</v>
      </c>
      <c r="P3166" s="164" t="str">
        <f t="shared" si="1608"/>
        <v>프리미어(먹)</v>
      </c>
      <c r="Q3166" s="71">
        <f t="shared" si="1632"/>
        <v>200</v>
      </c>
      <c r="R3166" s="102">
        <v>5090</v>
      </c>
      <c r="S3166" s="102">
        <f t="shared" si="1620"/>
        <v>1119800</v>
      </c>
      <c r="T3166" s="102">
        <f t="shared" si="1621"/>
        <v>1018000</v>
      </c>
      <c r="U3166" s="71" t="str">
        <f t="shared" si="1627"/>
        <v>O</v>
      </c>
      <c r="V3166" s="71"/>
      <c r="W3166" s="474">
        <f t="shared" si="1629"/>
        <v>102000</v>
      </c>
      <c r="X3166" s="71"/>
      <c r="Y3166" s="71"/>
    </row>
    <row r="3167" spans="1:25" ht="30" hidden="1" customHeight="1" x14ac:dyDescent="0.25">
      <c r="A3167" s="82">
        <v>200630</v>
      </c>
      <c r="B3167" s="664" t="s">
        <v>1052</v>
      </c>
      <c r="C3167" s="71" t="s">
        <v>585</v>
      </c>
      <c r="D3167" s="71">
        <v>200</v>
      </c>
      <c r="E3167" s="102">
        <v>6000</v>
      </c>
      <c r="F3167" s="102">
        <f t="shared" si="1622"/>
        <v>1320000</v>
      </c>
      <c r="G3167" s="102">
        <f t="shared" si="1623"/>
        <v>1200000</v>
      </c>
      <c r="H3167" s="690" t="s">
        <v>142</v>
      </c>
      <c r="I3167" s="71" t="s">
        <v>144</v>
      </c>
      <c r="J3167" s="53">
        <f t="shared" si="1628"/>
        <v>110000</v>
      </c>
      <c r="K3167" s="63">
        <f t="shared" si="1630"/>
        <v>9.166666666666666E-2</v>
      </c>
      <c r="L3167" s="871" t="s">
        <v>2437</v>
      </c>
      <c r="M3167" s="468" t="s">
        <v>2453</v>
      </c>
      <c r="N3167" s="664">
        <f t="shared" si="1631"/>
        <v>200630</v>
      </c>
      <c r="O3167" s="71" t="s">
        <v>147</v>
      </c>
      <c r="P3167" s="164" t="str">
        <f t="shared" si="1608"/>
        <v>프리미어(적)</v>
      </c>
      <c r="Q3167" s="71">
        <f t="shared" si="1632"/>
        <v>200</v>
      </c>
      <c r="R3167" s="102">
        <v>5450</v>
      </c>
      <c r="S3167" s="102">
        <f t="shared" si="1620"/>
        <v>1199000</v>
      </c>
      <c r="T3167" s="102">
        <f t="shared" si="1621"/>
        <v>1090000</v>
      </c>
      <c r="U3167" s="71" t="str">
        <f t="shared" si="1627"/>
        <v>O</v>
      </c>
      <c r="V3167" s="71"/>
      <c r="W3167" s="474">
        <f t="shared" si="1629"/>
        <v>110000</v>
      </c>
      <c r="X3167" s="71"/>
      <c r="Y3167" s="71"/>
    </row>
    <row r="3168" spans="1:25" ht="30" hidden="1" customHeight="1" x14ac:dyDescent="0.25">
      <c r="A3168" s="82">
        <v>200630</v>
      </c>
      <c r="B3168" s="664" t="s">
        <v>1061</v>
      </c>
      <c r="C3168" s="71" t="s">
        <v>586</v>
      </c>
      <c r="D3168" s="71">
        <v>600</v>
      </c>
      <c r="E3168" s="102">
        <v>5750</v>
      </c>
      <c r="F3168" s="102">
        <f t="shared" si="1622"/>
        <v>3795000.0000000005</v>
      </c>
      <c r="G3168" s="102">
        <f t="shared" si="1623"/>
        <v>3450000</v>
      </c>
      <c r="H3168" s="690" t="s">
        <v>142</v>
      </c>
      <c r="I3168" s="71" t="s">
        <v>144</v>
      </c>
      <c r="J3168" s="53">
        <f t="shared" si="1628"/>
        <v>318000</v>
      </c>
      <c r="K3168" s="63">
        <f t="shared" si="1630"/>
        <v>9.2173913043478245E-2</v>
      </c>
      <c r="L3168" s="871" t="s">
        <v>2437</v>
      </c>
      <c r="M3168" s="468"/>
      <c r="N3168" s="664">
        <f t="shared" si="1631"/>
        <v>200630</v>
      </c>
      <c r="O3168" s="71" t="s">
        <v>147</v>
      </c>
      <c r="P3168" s="164" t="str">
        <f t="shared" si="1608"/>
        <v>프리미어(황)</v>
      </c>
      <c r="Q3168" s="71">
        <f t="shared" si="1632"/>
        <v>600</v>
      </c>
      <c r="R3168" s="102">
        <v>5220</v>
      </c>
      <c r="S3168" s="102">
        <f t="shared" si="1620"/>
        <v>3445200.0000000005</v>
      </c>
      <c r="T3168" s="102">
        <f t="shared" si="1621"/>
        <v>3132000</v>
      </c>
      <c r="U3168" s="71" t="str">
        <f t="shared" si="1627"/>
        <v>O</v>
      </c>
      <c r="V3168" s="71"/>
      <c r="W3168" s="474">
        <f t="shared" si="1629"/>
        <v>318000</v>
      </c>
      <c r="X3168" s="71"/>
      <c r="Y3168" s="71"/>
    </row>
    <row r="3169" spans="1:25" ht="30" hidden="1" customHeight="1" x14ac:dyDescent="0.25">
      <c r="A3169" s="82">
        <v>200630</v>
      </c>
      <c r="B3169" s="664" t="s">
        <v>1061</v>
      </c>
      <c r="C3169" s="71" t="s">
        <v>587</v>
      </c>
      <c r="D3169" s="71">
        <v>400</v>
      </c>
      <c r="E3169" s="102">
        <v>7000</v>
      </c>
      <c r="F3169" s="102">
        <f t="shared" si="1622"/>
        <v>3080000.0000000005</v>
      </c>
      <c r="G3169" s="102">
        <f t="shared" si="1623"/>
        <v>2800000</v>
      </c>
      <c r="H3169" s="690" t="s">
        <v>142</v>
      </c>
      <c r="I3169" s="71" t="s">
        <v>144</v>
      </c>
      <c r="J3169" s="53">
        <f t="shared" si="1628"/>
        <v>256000</v>
      </c>
      <c r="K3169" s="63">
        <f t="shared" si="1630"/>
        <v>9.1428571428571415E-2</v>
      </c>
      <c r="L3169" s="871" t="s">
        <v>2437</v>
      </c>
      <c r="M3169" s="468"/>
      <c r="N3169" s="664">
        <f t="shared" si="1631"/>
        <v>200630</v>
      </c>
      <c r="O3169" s="71" t="s">
        <v>147</v>
      </c>
      <c r="P3169" s="164" t="str">
        <f t="shared" si="1608"/>
        <v>프리미어(청)</v>
      </c>
      <c r="Q3169" s="71">
        <f t="shared" si="1632"/>
        <v>400</v>
      </c>
      <c r="R3169" s="102">
        <v>6360</v>
      </c>
      <c r="S3169" s="102">
        <f t="shared" si="1620"/>
        <v>2798400</v>
      </c>
      <c r="T3169" s="102">
        <f t="shared" si="1621"/>
        <v>2544000</v>
      </c>
      <c r="U3169" s="71" t="str">
        <f t="shared" si="1627"/>
        <v>O</v>
      </c>
      <c r="V3169" s="71"/>
      <c r="W3169" s="474">
        <f t="shared" si="1629"/>
        <v>256000</v>
      </c>
      <c r="X3169" s="71"/>
      <c r="Y3169" s="71"/>
    </row>
    <row r="3170" spans="1:25" ht="30" hidden="1" customHeight="1" x14ac:dyDescent="0.25">
      <c r="A3170" s="82">
        <v>200630</v>
      </c>
      <c r="B3170" s="664" t="s">
        <v>1052</v>
      </c>
      <c r="C3170" s="71" t="s">
        <v>1115</v>
      </c>
      <c r="D3170" s="71">
        <v>50</v>
      </c>
      <c r="E3170" s="102">
        <v>6200</v>
      </c>
      <c r="F3170" s="102">
        <f t="shared" si="1622"/>
        <v>341000</v>
      </c>
      <c r="G3170" s="102">
        <f t="shared" si="1623"/>
        <v>310000</v>
      </c>
      <c r="H3170" s="690" t="s">
        <v>142</v>
      </c>
      <c r="I3170" s="71" t="s">
        <v>144</v>
      </c>
      <c r="J3170" s="53">
        <f t="shared" si="1628"/>
        <v>5000</v>
      </c>
      <c r="K3170" s="63">
        <f t="shared" si="1630"/>
        <v>1.6129032258064516E-2</v>
      </c>
      <c r="L3170" s="871" t="s">
        <v>2437</v>
      </c>
      <c r="M3170" s="468"/>
      <c r="N3170" s="664">
        <f t="shared" si="1631"/>
        <v>200630</v>
      </c>
      <c r="O3170" s="71" t="s">
        <v>2459</v>
      </c>
      <c r="P3170" s="164" t="str">
        <f t="shared" si="1608"/>
        <v>한특 잉크(적)</v>
      </c>
      <c r="Q3170" s="71">
        <f t="shared" si="1632"/>
        <v>50</v>
      </c>
      <c r="R3170" s="102">
        <v>6100</v>
      </c>
      <c r="S3170" s="102">
        <f t="shared" si="1620"/>
        <v>335500</v>
      </c>
      <c r="T3170" s="102">
        <f t="shared" si="1621"/>
        <v>305000</v>
      </c>
      <c r="U3170" s="71" t="str">
        <f t="shared" si="1627"/>
        <v>O</v>
      </c>
      <c r="V3170" s="71"/>
      <c r="W3170" s="474">
        <f t="shared" si="1629"/>
        <v>5000</v>
      </c>
      <c r="X3170" s="71"/>
      <c r="Y3170" s="71"/>
    </row>
    <row r="3171" spans="1:25" ht="30" hidden="1" customHeight="1" x14ac:dyDescent="0.25">
      <c r="A3171" s="82">
        <v>200630</v>
      </c>
      <c r="B3171" s="664" t="s">
        <v>1052</v>
      </c>
      <c r="C3171" s="71" t="s">
        <v>1116</v>
      </c>
      <c r="D3171" s="71">
        <v>50</v>
      </c>
      <c r="E3171" s="102">
        <v>6000</v>
      </c>
      <c r="F3171" s="102">
        <f t="shared" si="1622"/>
        <v>330000</v>
      </c>
      <c r="G3171" s="102">
        <f t="shared" si="1623"/>
        <v>300000</v>
      </c>
      <c r="H3171" s="690" t="s">
        <v>142</v>
      </c>
      <c r="I3171" s="71" t="s">
        <v>144</v>
      </c>
      <c r="J3171" s="53">
        <f t="shared" si="1628"/>
        <v>5000</v>
      </c>
      <c r="K3171" s="63">
        <f t="shared" si="1630"/>
        <v>1.6666666666666666E-2</v>
      </c>
      <c r="L3171" s="871" t="s">
        <v>2437</v>
      </c>
      <c r="M3171" s="468"/>
      <c r="N3171" s="664">
        <f t="shared" si="1631"/>
        <v>200630</v>
      </c>
      <c r="O3171" s="71" t="s">
        <v>2459</v>
      </c>
      <c r="P3171" s="164" t="str">
        <f t="shared" si="1608"/>
        <v>한특 잉크(황)</v>
      </c>
      <c r="Q3171" s="71">
        <f t="shared" si="1632"/>
        <v>50</v>
      </c>
      <c r="R3171" s="102">
        <v>5900</v>
      </c>
      <c r="S3171" s="102">
        <f t="shared" si="1620"/>
        <v>324500</v>
      </c>
      <c r="T3171" s="102">
        <f t="shared" si="1621"/>
        <v>295000</v>
      </c>
      <c r="U3171" s="71" t="str">
        <f t="shared" si="1627"/>
        <v>O</v>
      </c>
      <c r="V3171" s="71"/>
      <c r="W3171" s="474">
        <f t="shared" si="1629"/>
        <v>5000</v>
      </c>
      <c r="X3171" s="71"/>
      <c r="Y3171" s="71"/>
    </row>
    <row r="3172" spans="1:25" ht="30" hidden="1" customHeight="1" x14ac:dyDescent="0.25">
      <c r="A3172" s="82">
        <v>200630</v>
      </c>
      <c r="B3172" s="664" t="s">
        <v>1052</v>
      </c>
      <c r="C3172" s="71" t="s">
        <v>1117</v>
      </c>
      <c r="D3172" s="71">
        <v>50</v>
      </c>
      <c r="E3172" s="102">
        <v>6500</v>
      </c>
      <c r="F3172" s="102">
        <f t="shared" si="1622"/>
        <v>357500</v>
      </c>
      <c r="G3172" s="102">
        <f t="shared" si="1623"/>
        <v>325000</v>
      </c>
      <c r="H3172" s="690" t="s">
        <v>142</v>
      </c>
      <c r="I3172" s="71" t="s">
        <v>144</v>
      </c>
      <c r="J3172" s="53">
        <f t="shared" si="1628"/>
        <v>5000</v>
      </c>
      <c r="K3172" s="63">
        <f t="shared" si="1630"/>
        <v>1.5384615384615385E-2</v>
      </c>
      <c r="L3172" s="871" t="s">
        <v>2437</v>
      </c>
      <c r="M3172" s="468"/>
      <c r="N3172" s="664">
        <f t="shared" si="1631"/>
        <v>200630</v>
      </c>
      <c r="O3172" s="71" t="s">
        <v>2459</v>
      </c>
      <c r="P3172" s="164" t="str">
        <f t="shared" si="1608"/>
        <v>한특 잉크(청)</v>
      </c>
      <c r="Q3172" s="71">
        <f t="shared" si="1632"/>
        <v>50</v>
      </c>
      <c r="R3172" s="102">
        <v>6400</v>
      </c>
      <c r="S3172" s="102">
        <f t="shared" si="1620"/>
        <v>352000</v>
      </c>
      <c r="T3172" s="102">
        <f t="shared" si="1621"/>
        <v>320000</v>
      </c>
      <c r="U3172" s="71" t="str">
        <f t="shared" si="1627"/>
        <v>O</v>
      </c>
      <c r="V3172" s="71"/>
      <c r="W3172" s="474">
        <f t="shared" si="1629"/>
        <v>5000</v>
      </c>
      <c r="X3172" s="71"/>
      <c r="Y3172" s="71"/>
    </row>
    <row r="3173" spans="1:25" ht="30" hidden="1" customHeight="1" x14ac:dyDescent="0.25">
      <c r="A3173" s="82">
        <v>200630</v>
      </c>
      <c r="B3173" s="664" t="s">
        <v>1052</v>
      </c>
      <c r="C3173" s="71" t="s">
        <v>1118</v>
      </c>
      <c r="D3173" s="71">
        <v>50</v>
      </c>
      <c r="E3173" s="102">
        <v>5600</v>
      </c>
      <c r="F3173" s="102">
        <f t="shared" si="1622"/>
        <v>308000</v>
      </c>
      <c r="G3173" s="102">
        <f t="shared" si="1623"/>
        <v>280000</v>
      </c>
      <c r="H3173" s="690" t="s">
        <v>142</v>
      </c>
      <c r="I3173" s="71" t="s">
        <v>144</v>
      </c>
      <c r="J3173" s="53">
        <f t="shared" si="1628"/>
        <v>5000</v>
      </c>
      <c r="K3173" s="63">
        <f t="shared" si="1630"/>
        <v>1.7857142857142856E-2</v>
      </c>
      <c r="L3173" s="871" t="s">
        <v>2437</v>
      </c>
      <c r="M3173" s="468"/>
      <c r="N3173" s="664">
        <f t="shared" si="1631"/>
        <v>200630</v>
      </c>
      <c r="O3173" s="71" t="s">
        <v>2459</v>
      </c>
      <c r="P3173" s="164" t="str">
        <f t="shared" si="1608"/>
        <v>한특 잉크(먹)</v>
      </c>
      <c r="Q3173" s="71">
        <f t="shared" si="1632"/>
        <v>50</v>
      </c>
      <c r="R3173" s="102">
        <v>5500</v>
      </c>
      <c r="S3173" s="102">
        <f t="shared" si="1620"/>
        <v>302500</v>
      </c>
      <c r="T3173" s="102">
        <f t="shared" si="1621"/>
        <v>275000</v>
      </c>
      <c r="U3173" s="71" t="str">
        <f t="shared" si="1627"/>
        <v>O</v>
      </c>
      <c r="V3173" s="71"/>
      <c r="W3173" s="474">
        <f t="shared" si="1629"/>
        <v>5000</v>
      </c>
      <c r="X3173" s="71"/>
      <c r="Y3173" s="71"/>
    </row>
    <row r="3174" spans="1:25" ht="30" hidden="1" customHeight="1" x14ac:dyDescent="0.25">
      <c r="A3174" s="82">
        <v>200630</v>
      </c>
      <c r="B3174" s="664" t="s">
        <v>1178</v>
      </c>
      <c r="C3174" s="71" t="s">
        <v>2460</v>
      </c>
      <c r="D3174" s="71">
        <v>1</v>
      </c>
      <c r="E3174" s="102">
        <v>8720100</v>
      </c>
      <c r="F3174" s="102">
        <f t="shared" si="1622"/>
        <v>9592110</v>
      </c>
      <c r="G3174" s="102">
        <f t="shared" si="1623"/>
        <v>8720100</v>
      </c>
      <c r="H3174" s="690" t="s">
        <v>142</v>
      </c>
      <c r="I3174" s="71" t="s">
        <v>142</v>
      </c>
      <c r="J3174" s="53"/>
      <c r="K3174" s="63"/>
      <c r="L3174" s="871" t="s">
        <v>2438</v>
      </c>
      <c r="M3174" s="468"/>
      <c r="N3174" s="664">
        <f t="shared" si="1631"/>
        <v>200630</v>
      </c>
      <c r="O3174" s="71" t="s">
        <v>2470</v>
      </c>
      <c r="P3174" s="164" t="str">
        <f t="shared" si="1608"/>
        <v>ESI 부품, 플렉소 나이프</v>
      </c>
      <c r="Q3174" s="71">
        <f t="shared" si="1632"/>
        <v>1</v>
      </c>
      <c r="R3174" s="102"/>
      <c r="S3174" s="102"/>
      <c r="T3174" s="102"/>
      <c r="U3174" s="71"/>
      <c r="V3174" s="71"/>
      <c r="W3174" s="474"/>
      <c r="X3174" s="71"/>
      <c r="Y3174" s="71"/>
    </row>
    <row r="3175" spans="1:25" ht="30" hidden="1" customHeight="1" x14ac:dyDescent="0.25">
      <c r="A3175" s="82">
        <v>200630</v>
      </c>
      <c r="B3175" s="664" t="s">
        <v>1178</v>
      </c>
      <c r="C3175" s="71" t="s">
        <v>2461</v>
      </c>
      <c r="D3175" s="71">
        <v>1</v>
      </c>
      <c r="E3175" s="102">
        <v>68741600</v>
      </c>
      <c r="F3175" s="102">
        <f>(E3175*D3175)*1.1</f>
        <v>75615760</v>
      </c>
      <c r="G3175" s="102">
        <f>(E3175*D3175)</f>
        <v>68741600</v>
      </c>
      <c r="H3175" s="690" t="s">
        <v>142</v>
      </c>
      <c r="I3175" s="71" t="s">
        <v>142</v>
      </c>
      <c r="J3175" s="53">
        <f>G3175-T3175</f>
        <v>10329539</v>
      </c>
      <c r="K3175" s="63">
        <f>(J3175/(F3175/11*10))</f>
        <v>0.15026619979750253</v>
      </c>
      <c r="L3175" s="871" t="s">
        <v>2437</v>
      </c>
      <c r="M3175" s="468"/>
      <c r="N3175" s="664">
        <f t="shared" si="1631"/>
        <v>200630</v>
      </c>
      <c r="O3175" s="71" t="s">
        <v>2471</v>
      </c>
      <c r="P3175" s="164" t="str">
        <f t="shared" si="1608"/>
        <v>Vpak 블랑켓, 플렉소 실린더</v>
      </c>
      <c r="Q3175" s="71">
        <f t="shared" si="1632"/>
        <v>1</v>
      </c>
      <c r="R3175" s="102">
        <f>52316750+6095311</f>
        <v>58412061</v>
      </c>
      <c r="S3175" s="102">
        <f>R3175*Q3175*1.1</f>
        <v>64253267.100000001</v>
      </c>
      <c r="T3175" s="102">
        <f>R3175*Q3175</f>
        <v>58412061</v>
      </c>
      <c r="U3175" s="71"/>
      <c r="V3175" s="71"/>
      <c r="W3175" s="474"/>
      <c r="X3175" s="71"/>
      <c r="Y3175" s="71"/>
    </row>
    <row r="3176" spans="1:25" ht="30" hidden="1" customHeight="1" x14ac:dyDescent="0.25">
      <c r="A3176" s="82">
        <v>200630</v>
      </c>
      <c r="B3176" s="664" t="s">
        <v>575</v>
      </c>
      <c r="C3176" s="71" t="s">
        <v>2466</v>
      </c>
      <c r="D3176" s="71">
        <v>1</v>
      </c>
      <c r="E3176" s="102">
        <v>1000000</v>
      </c>
      <c r="F3176" s="102">
        <f>(E3176*D3176)*1.1</f>
        <v>1100000</v>
      </c>
      <c r="G3176" s="102">
        <f>(E3176*D3176)</f>
        <v>1000000</v>
      </c>
      <c r="H3176" s="690" t="s">
        <v>142</v>
      </c>
      <c r="I3176" s="71" t="s">
        <v>142</v>
      </c>
      <c r="J3176" s="53">
        <f>G3176-T3176</f>
        <v>174323.75</v>
      </c>
      <c r="K3176" s="63">
        <f>(J3176/(F3176/11*10))</f>
        <v>0.17432375</v>
      </c>
      <c r="L3176" s="871" t="s">
        <v>2437</v>
      </c>
      <c r="M3176" s="468"/>
      <c r="N3176" s="664">
        <f t="shared" si="1631"/>
        <v>200630</v>
      </c>
      <c r="O3176" s="71" t="s">
        <v>1409</v>
      </c>
      <c r="P3176" s="164" t="str">
        <f t="shared" si="1608"/>
        <v>Onevision 서비스 비용(4회차)</v>
      </c>
      <c r="Q3176" s="71">
        <f t="shared" si="1632"/>
        <v>1</v>
      </c>
      <c r="R3176" s="102">
        <f>3302705/4</f>
        <v>825676.25</v>
      </c>
      <c r="S3176" s="102">
        <f>R3176*Q3176*1.1</f>
        <v>908243.87500000012</v>
      </c>
      <c r="T3176" s="102">
        <f>R3176*Q3176</f>
        <v>825676.25</v>
      </c>
      <c r="U3176" s="71"/>
      <c r="V3176" s="71"/>
      <c r="W3176" s="474"/>
      <c r="X3176" s="71"/>
      <c r="Y3176" s="71"/>
    </row>
    <row r="3177" spans="1:25" ht="30" hidden="1" customHeight="1" x14ac:dyDescent="0.25">
      <c r="A3177" s="82">
        <v>200630</v>
      </c>
      <c r="B3177" s="664" t="s">
        <v>575</v>
      </c>
      <c r="C3177" s="71" t="s">
        <v>2465</v>
      </c>
      <c r="D3177" s="71">
        <v>1</v>
      </c>
      <c r="E3177" s="102">
        <v>2500000</v>
      </c>
      <c r="F3177" s="102">
        <f>(E3177*D3177)*1.1</f>
        <v>2750000</v>
      </c>
      <c r="G3177" s="102">
        <f>(E3177*D3177)</f>
        <v>2500000</v>
      </c>
      <c r="H3177" s="690" t="s">
        <v>985</v>
      </c>
      <c r="I3177" s="71" t="s">
        <v>985</v>
      </c>
      <c r="J3177" s="53">
        <f>G3177-T3177</f>
        <v>2500000</v>
      </c>
      <c r="K3177" s="63">
        <f>(J3177/(F3177/11*10))</f>
        <v>1</v>
      </c>
      <c r="L3177" s="871" t="s">
        <v>2437</v>
      </c>
      <c r="M3177" s="468"/>
      <c r="N3177" s="664">
        <f>A3177</f>
        <v>200630</v>
      </c>
      <c r="O3177" s="71"/>
      <c r="P3177" s="164" t="str">
        <f t="shared" si="1608"/>
        <v>M600 서비스비용 2회차</v>
      </c>
      <c r="Q3177" s="71">
        <f t="shared" si="1632"/>
        <v>1</v>
      </c>
      <c r="R3177" s="102"/>
      <c r="S3177" s="102">
        <f>R3177*Q3177*1.1</f>
        <v>0</v>
      </c>
      <c r="T3177" s="102">
        <f>R3177*Q3177</f>
        <v>0</v>
      </c>
      <c r="U3177" s="71" t="str">
        <f>IF(J3177=W3177,"O", "X")</f>
        <v>X</v>
      </c>
      <c r="V3177" s="71"/>
      <c r="W3177" s="474"/>
      <c r="X3177" s="71"/>
      <c r="Y3177" s="71"/>
    </row>
    <row r="3178" spans="1:25" s="978" customFormat="1" ht="45" hidden="1" customHeight="1" x14ac:dyDescent="0.25">
      <c r="A3178" s="982" t="s">
        <v>2454</v>
      </c>
      <c r="B3178" s="976" t="s">
        <v>544</v>
      </c>
      <c r="C3178" s="453"/>
      <c r="D3178" s="453"/>
      <c r="E3178" s="454"/>
      <c r="F3178" s="454"/>
      <c r="G3178" s="454"/>
      <c r="H3178" s="455"/>
      <c r="I3178" s="453"/>
      <c r="J3178" s="417"/>
      <c r="K3178" s="418"/>
      <c r="L3178" s="983" t="s">
        <v>2455</v>
      </c>
      <c r="M3178" s="643"/>
      <c r="N3178" s="724" t="str">
        <f>A3178</f>
        <v>2020,7</v>
      </c>
      <c r="O3178" s="453" t="s">
        <v>154</v>
      </c>
      <c r="P3178" s="728"/>
      <c r="Q3178" s="420"/>
      <c r="R3178" s="420"/>
      <c r="S3178" s="417"/>
      <c r="T3178" s="417"/>
      <c r="U3178" s="421"/>
      <c r="V3178" s="421"/>
      <c r="W3178" s="479">
        <f>(G3178-T3178)</f>
        <v>0</v>
      </c>
      <c r="X3178" s="421"/>
      <c r="Y3178" s="421"/>
    </row>
    <row r="3179" spans="1:25" ht="30" hidden="1" customHeight="1" x14ac:dyDescent="0.25">
      <c r="A3179" s="82">
        <v>200327</v>
      </c>
      <c r="B3179" s="664" t="s">
        <v>575</v>
      </c>
      <c r="C3179" s="71" t="s">
        <v>2403</v>
      </c>
      <c r="D3179" s="71">
        <v>6</v>
      </c>
      <c r="E3179" s="102">
        <v>180000</v>
      </c>
      <c r="F3179" s="102">
        <f t="shared" ref="F3179:F3185" si="1633">(E3179*D3179)*1.1</f>
        <v>1188000</v>
      </c>
      <c r="G3179" s="102">
        <f t="shared" ref="G3179:G3184" si="1634">(E3179*D3179)</f>
        <v>1080000</v>
      </c>
      <c r="H3179" s="690" t="s">
        <v>1431</v>
      </c>
      <c r="I3179" s="690" t="s">
        <v>1431</v>
      </c>
      <c r="J3179" s="53">
        <f t="shared" ref="J3179:J3192" si="1635">G3179-T3179</f>
        <v>397452</v>
      </c>
      <c r="K3179" s="63">
        <f t="shared" ref="K3179:K3185" si="1636">(J3179/(F3179/11*10))</f>
        <v>0.36801111111111112</v>
      </c>
      <c r="L3179" s="871" t="s">
        <v>2455</v>
      </c>
      <c r="M3179" s="468"/>
      <c r="N3179" s="664">
        <f t="shared" ref="N3179:N3236" si="1637">A3179</f>
        <v>200327</v>
      </c>
      <c r="O3179" s="71" t="s">
        <v>1431</v>
      </c>
      <c r="P3179" s="164" t="str">
        <f>(C3179)</f>
        <v>압력 스프링</v>
      </c>
      <c r="Q3179" s="71">
        <f>D3179</f>
        <v>6</v>
      </c>
      <c r="R3179" s="102">
        <v>113758</v>
      </c>
      <c r="S3179" s="102">
        <f t="shared" ref="S3179:S3201" si="1638">R3179*Q3179*1.1</f>
        <v>750802.8</v>
      </c>
      <c r="T3179" s="102">
        <f t="shared" ref="T3179:T3201" si="1639">R3179*Q3179</f>
        <v>682548</v>
      </c>
      <c r="U3179" s="71" t="str">
        <f t="shared" ref="U3179:U3185" si="1640">IF(J3179=W3179,"O", "X")</f>
        <v>X</v>
      </c>
      <c r="V3179" s="71"/>
      <c r="W3179" s="474"/>
      <c r="X3179" s="71"/>
      <c r="Y3179" s="71"/>
    </row>
    <row r="3180" spans="1:25" ht="30" hidden="1" customHeight="1" x14ac:dyDescent="0.25">
      <c r="A3180" s="82">
        <v>200327</v>
      </c>
      <c r="B3180" s="664" t="s">
        <v>575</v>
      </c>
      <c r="C3180" s="71" t="s">
        <v>1918</v>
      </c>
      <c r="D3180" s="71">
        <v>6</v>
      </c>
      <c r="E3180" s="102">
        <v>25000</v>
      </c>
      <c r="F3180" s="102">
        <f t="shared" si="1633"/>
        <v>165000</v>
      </c>
      <c r="G3180" s="102">
        <f t="shared" si="1634"/>
        <v>150000</v>
      </c>
      <c r="H3180" s="690" t="s">
        <v>1431</v>
      </c>
      <c r="I3180" s="690" t="s">
        <v>1431</v>
      </c>
      <c r="J3180" s="53">
        <f t="shared" si="1635"/>
        <v>66276</v>
      </c>
      <c r="K3180" s="63">
        <f t="shared" si="1636"/>
        <v>0.44184000000000001</v>
      </c>
      <c r="L3180" s="871" t="s">
        <v>2483</v>
      </c>
      <c r="M3180" s="468"/>
      <c r="N3180" s="664">
        <f t="shared" si="1637"/>
        <v>200327</v>
      </c>
      <c r="O3180" s="71" t="s">
        <v>1431</v>
      </c>
      <c r="P3180" s="164" t="str">
        <f t="shared" ref="P3180:P3236" si="1641">(C3180)</f>
        <v>브러쉬</v>
      </c>
      <c r="Q3180" s="71">
        <f t="shared" ref="Q3180:Q3236" si="1642">D3180</f>
        <v>6</v>
      </c>
      <c r="R3180" s="102">
        <v>13954</v>
      </c>
      <c r="S3180" s="102">
        <f t="shared" si="1638"/>
        <v>92096.400000000009</v>
      </c>
      <c r="T3180" s="102">
        <f t="shared" si="1639"/>
        <v>83724</v>
      </c>
      <c r="U3180" s="71" t="str">
        <f t="shared" si="1640"/>
        <v>X</v>
      </c>
      <c r="V3180" s="71"/>
      <c r="W3180" s="474"/>
      <c r="X3180" s="71"/>
      <c r="Y3180" s="71"/>
    </row>
    <row r="3181" spans="1:25" ht="30" hidden="1" customHeight="1" x14ac:dyDescent="0.25">
      <c r="A3181" s="82">
        <v>200327</v>
      </c>
      <c r="B3181" s="664" t="s">
        <v>575</v>
      </c>
      <c r="C3181" s="71" t="s">
        <v>2404</v>
      </c>
      <c r="D3181" s="71">
        <v>50</v>
      </c>
      <c r="E3181" s="102">
        <v>22000</v>
      </c>
      <c r="F3181" s="102">
        <f t="shared" si="1633"/>
        <v>1210000</v>
      </c>
      <c r="G3181" s="102">
        <f t="shared" si="1634"/>
        <v>1100000</v>
      </c>
      <c r="H3181" s="690" t="s">
        <v>1431</v>
      </c>
      <c r="I3181" s="690" t="s">
        <v>1431</v>
      </c>
      <c r="J3181" s="53">
        <f t="shared" si="1635"/>
        <v>550000</v>
      </c>
      <c r="K3181" s="63">
        <f t="shared" si="1636"/>
        <v>0.5</v>
      </c>
      <c r="L3181" s="871" t="s">
        <v>2483</v>
      </c>
      <c r="M3181" s="468"/>
      <c r="N3181" s="664">
        <f t="shared" si="1637"/>
        <v>200327</v>
      </c>
      <c r="O3181" s="71" t="s">
        <v>1431</v>
      </c>
      <c r="P3181" s="164" t="str">
        <f t="shared" si="1641"/>
        <v>벨트(25MM)</v>
      </c>
      <c r="Q3181" s="71">
        <f t="shared" si="1642"/>
        <v>50</v>
      </c>
      <c r="R3181" s="102">
        <f>550000/50</f>
        <v>11000</v>
      </c>
      <c r="S3181" s="102">
        <f t="shared" si="1638"/>
        <v>605000</v>
      </c>
      <c r="T3181" s="102">
        <f t="shared" si="1639"/>
        <v>550000</v>
      </c>
      <c r="U3181" s="71" t="str">
        <f t="shared" si="1640"/>
        <v>X</v>
      </c>
      <c r="V3181" s="71"/>
      <c r="W3181" s="474"/>
      <c r="X3181" s="71"/>
      <c r="Y3181" s="71"/>
    </row>
    <row r="3182" spans="1:25" ht="30" hidden="1" customHeight="1" x14ac:dyDescent="0.25">
      <c r="A3182" s="82">
        <v>200327</v>
      </c>
      <c r="B3182" s="664" t="s">
        <v>575</v>
      </c>
      <c r="C3182" s="71" t="s">
        <v>1236</v>
      </c>
      <c r="D3182" s="71">
        <v>5</v>
      </c>
      <c r="E3182" s="102">
        <v>120000</v>
      </c>
      <c r="F3182" s="102">
        <f t="shared" si="1633"/>
        <v>660000</v>
      </c>
      <c r="G3182" s="102">
        <f t="shared" si="1634"/>
        <v>600000</v>
      </c>
      <c r="H3182" s="690" t="s">
        <v>1431</v>
      </c>
      <c r="I3182" s="690" t="s">
        <v>1431</v>
      </c>
      <c r="J3182" s="53">
        <f t="shared" si="1635"/>
        <v>249670</v>
      </c>
      <c r="K3182" s="63">
        <f t="shared" si="1636"/>
        <v>0.41611666666666669</v>
      </c>
      <c r="L3182" s="871" t="s">
        <v>2483</v>
      </c>
      <c r="M3182" s="468"/>
      <c r="N3182" s="664">
        <f t="shared" si="1637"/>
        <v>200327</v>
      </c>
      <c r="O3182" s="71" t="s">
        <v>1431</v>
      </c>
      <c r="P3182" s="164" t="str">
        <f t="shared" si="1641"/>
        <v>접지칼</v>
      </c>
      <c r="Q3182" s="71">
        <f t="shared" si="1642"/>
        <v>5</v>
      </c>
      <c r="R3182" s="102">
        <v>70066</v>
      </c>
      <c r="S3182" s="102">
        <f t="shared" si="1638"/>
        <v>385363.00000000006</v>
      </c>
      <c r="T3182" s="102">
        <f t="shared" si="1639"/>
        <v>350330</v>
      </c>
      <c r="U3182" s="71" t="str">
        <f t="shared" si="1640"/>
        <v>X</v>
      </c>
      <c r="V3182" s="71"/>
      <c r="W3182" s="474"/>
      <c r="X3182" s="71"/>
      <c r="Y3182" s="71"/>
    </row>
    <row r="3183" spans="1:25" ht="30" hidden="1" customHeight="1" x14ac:dyDescent="0.25">
      <c r="A3183" s="82">
        <v>200327</v>
      </c>
      <c r="B3183" s="664" t="s">
        <v>575</v>
      </c>
      <c r="C3183" s="71" t="s">
        <v>2405</v>
      </c>
      <c r="D3183" s="71">
        <v>4</v>
      </c>
      <c r="E3183" s="102">
        <v>300000</v>
      </c>
      <c r="F3183" s="102">
        <f t="shared" si="1633"/>
        <v>1320000</v>
      </c>
      <c r="G3183" s="102">
        <f t="shared" si="1634"/>
        <v>1200000</v>
      </c>
      <c r="H3183" s="690" t="s">
        <v>1431</v>
      </c>
      <c r="I3183" s="690" t="s">
        <v>1431</v>
      </c>
      <c r="J3183" s="53">
        <f t="shared" si="1635"/>
        <v>574596</v>
      </c>
      <c r="K3183" s="63">
        <f t="shared" si="1636"/>
        <v>0.47882999999999998</v>
      </c>
      <c r="L3183" s="871" t="s">
        <v>2483</v>
      </c>
      <c r="M3183" s="468"/>
      <c r="N3183" s="664">
        <f t="shared" si="1637"/>
        <v>200327</v>
      </c>
      <c r="O3183" s="71" t="s">
        <v>1431</v>
      </c>
      <c r="P3183" s="164" t="str">
        <f t="shared" si="1641"/>
        <v>접지 그리퍼</v>
      </c>
      <c r="Q3183" s="71">
        <f t="shared" si="1642"/>
        <v>4</v>
      </c>
      <c r="R3183" s="102">
        <v>156351</v>
      </c>
      <c r="S3183" s="102">
        <f t="shared" si="1638"/>
        <v>687944.4</v>
      </c>
      <c r="T3183" s="102">
        <f t="shared" si="1639"/>
        <v>625404</v>
      </c>
      <c r="U3183" s="71" t="str">
        <f t="shared" si="1640"/>
        <v>X</v>
      </c>
      <c r="V3183" s="71"/>
      <c r="W3183" s="474"/>
      <c r="X3183" s="71"/>
      <c r="Y3183" s="71"/>
    </row>
    <row r="3184" spans="1:25" ht="30" hidden="1" customHeight="1" x14ac:dyDescent="0.25">
      <c r="A3184" s="82">
        <v>200327</v>
      </c>
      <c r="B3184" s="664" t="s">
        <v>575</v>
      </c>
      <c r="C3184" s="71" t="s">
        <v>1148</v>
      </c>
      <c r="D3184" s="71">
        <v>8</v>
      </c>
      <c r="E3184" s="102">
        <v>320000</v>
      </c>
      <c r="F3184" s="102">
        <f t="shared" si="1633"/>
        <v>2816000</v>
      </c>
      <c r="G3184" s="102">
        <f t="shared" si="1634"/>
        <v>2560000</v>
      </c>
      <c r="H3184" s="690" t="s">
        <v>1431</v>
      </c>
      <c r="I3184" s="690" t="s">
        <v>1431</v>
      </c>
      <c r="J3184" s="53">
        <f t="shared" si="1635"/>
        <v>815704</v>
      </c>
      <c r="K3184" s="63">
        <f t="shared" si="1636"/>
        <v>0.31863437500000003</v>
      </c>
      <c r="L3184" s="871" t="s">
        <v>2483</v>
      </c>
      <c r="M3184" s="468"/>
      <c r="N3184" s="664">
        <f t="shared" si="1637"/>
        <v>200327</v>
      </c>
      <c r="O3184" s="71" t="s">
        <v>1431</v>
      </c>
      <c r="P3184" s="164" t="str">
        <f t="shared" si="1641"/>
        <v>브레이크 라이닝</v>
      </c>
      <c r="Q3184" s="71">
        <f t="shared" si="1642"/>
        <v>8</v>
      </c>
      <c r="R3184" s="102">
        <v>218037</v>
      </c>
      <c r="S3184" s="102">
        <f t="shared" si="1638"/>
        <v>1918725.6</v>
      </c>
      <c r="T3184" s="102">
        <f t="shared" si="1639"/>
        <v>1744296</v>
      </c>
      <c r="U3184" s="71" t="str">
        <f t="shared" si="1640"/>
        <v>X</v>
      </c>
      <c r="V3184" s="71"/>
      <c r="W3184" s="474"/>
      <c r="X3184" s="71"/>
      <c r="Y3184" s="71"/>
    </row>
    <row r="3185" spans="1:25" ht="30" hidden="1" customHeight="1" x14ac:dyDescent="0.25">
      <c r="A3185" s="82">
        <v>200630</v>
      </c>
      <c r="B3185" s="664" t="s">
        <v>575</v>
      </c>
      <c r="C3185" s="71" t="s">
        <v>2946</v>
      </c>
      <c r="D3185" s="71">
        <v>1</v>
      </c>
      <c r="E3185" s="102">
        <v>250000</v>
      </c>
      <c r="F3185" s="102">
        <f t="shared" si="1633"/>
        <v>275000</v>
      </c>
      <c r="G3185" s="102">
        <v>250000</v>
      </c>
      <c r="H3185" s="690" t="s">
        <v>142</v>
      </c>
      <c r="I3185" s="690" t="s">
        <v>144</v>
      </c>
      <c r="J3185" s="53">
        <f t="shared" si="1635"/>
        <v>80000</v>
      </c>
      <c r="K3185" s="63">
        <f t="shared" si="1636"/>
        <v>0.32</v>
      </c>
      <c r="L3185" s="871" t="s">
        <v>2483</v>
      </c>
      <c r="M3185" s="468" t="s">
        <v>2493</v>
      </c>
      <c r="N3185" s="664">
        <f t="shared" si="1637"/>
        <v>200630</v>
      </c>
      <c r="O3185" s="71" t="s">
        <v>147</v>
      </c>
      <c r="P3185" s="164" t="str">
        <f t="shared" si="1641"/>
        <v>아라니아 분홍 190c</v>
      </c>
      <c r="Q3185" s="71">
        <v>20</v>
      </c>
      <c r="R3185" s="102">
        <v>8500</v>
      </c>
      <c r="S3185" s="102">
        <f t="shared" si="1638"/>
        <v>187000.00000000003</v>
      </c>
      <c r="T3185" s="102">
        <f t="shared" si="1639"/>
        <v>170000</v>
      </c>
      <c r="U3185" s="71" t="str">
        <f t="shared" si="1640"/>
        <v>X</v>
      </c>
      <c r="V3185" s="71"/>
      <c r="W3185" s="474"/>
      <c r="X3185" s="71"/>
      <c r="Y3185" s="71"/>
    </row>
    <row r="3186" spans="1:25" ht="30" hidden="1" customHeight="1" x14ac:dyDescent="0.25">
      <c r="A3186" s="82">
        <v>200701</v>
      </c>
      <c r="B3186" s="664" t="s">
        <v>690</v>
      </c>
      <c r="C3186" s="71" t="s">
        <v>1186</v>
      </c>
      <c r="D3186" s="71">
        <v>500</v>
      </c>
      <c r="E3186" s="102">
        <v>3420</v>
      </c>
      <c r="F3186" s="1128">
        <f t="shared" ref="F3186:F3192" si="1643">(E3186*D3186)*1.1</f>
        <v>1881000.0000000002</v>
      </c>
      <c r="G3186" s="102">
        <f t="shared" ref="G3186:G3192" si="1644">(E3186*D3186)</f>
        <v>1710000</v>
      </c>
      <c r="H3186" s="690" t="s">
        <v>173</v>
      </c>
      <c r="I3186" s="71" t="s">
        <v>2230</v>
      </c>
      <c r="J3186" s="53">
        <f t="shared" si="1635"/>
        <v>-190000</v>
      </c>
      <c r="K3186" s="63">
        <f t="shared" ref="K3186:K3192" si="1645">(J3186/(F3186/11*10))</f>
        <v>-0.11111111111111109</v>
      </c>
      <c r="L3186" s="871" t="s">
        <v>2483</v>
      </c>
      <c r="M3186" s="468" t="s">
        <v>1393</v>
      </c>
      <c r="N3186" s="664">
        <f t="shared" si="1637"/>
        <v>200701</v>
      </c>
      <c r="O3186" s="71" t="s">
        <v>145</v>
      </c>
      <c r="P3186" s="164" t="str">
        <f t="shared" si="1641"/>
        <v>CTP 판(1030*790mm)</v>
      </c>
      <c r="Q3186" s="71">
        <f t="shared" si="1642"/>
        <v>500</v>
      </c>
      <c r="R3186" s="102">
        <v>3800</v>
      </c>
      <c r="S3186" s="102">
        <f t="shared" si="1638"/>
        <v>2090000.0000000002</v>
      </c>
      <c r="T3186" s="102">
        <f t="shared" si="1639"/>
        <v>1900000</v>
      </c>
      <c r="U3186" s="71" t="s">
        <v>859</v>
      </c>
      <c r="V3186" s="71"/>
      <c r="W3186" s="474">
        <v>-200000</v>
      </c>
      <c r="X3186" s="71"/>
      <c r="Y3186" s="71"/>
    </row>
    <row r="3187" spans="1:25" ht="30" hidden="1" customHeight="1" x14ac:dyDescent="0.25">
      <c r="A3187" s="82">
        <v>200701</v>
      </c>
      <c r="B3187" s="664" t="s">
        <v>690</v>
      </c>
      <c r="C3187" s="71" t="s">
        <v>197</v>
      </c>
      <c r="D3187" s="71">
        <v>4</v>
      </c>
      <c r="E3187" s="102">
        <v>46000</v>
      </c>
      <c r="F3187" s="1128">
        <f t="shared" si="1643"/>
        <v>202400.00000000003</v>
      </c>
      <c r="G3187" s="102">
        <f t="shared" si="1644"/>
        <v>184000</v>
      </c>
      <c r="H3187" s="690" t="s">
        <v>173</v>
      </c>
      <c r="I3187" s="71" t="s">
        <v>2230</v>
      </c>
      <c r="J3187" s="53">
        <f t="shared" si="1635"/>
        <v>44000</v>
      </c>
      <c r="K3187" s="63">
        <f t="shared" si="1645"/>
        <v>0.23913043478260865</v>
      </c>
      <c r="L3187" s="871" t="s">
        <v>2483</v>
      </c>
      <c r="M3187" s="468" t="s">
        <v>1394</v>
      </c>
      <c r="N3187" s="664">
        <f t="shared" si="1637"/>
        <v>200701</v>
      </c>
      <c r="O3187" s="71" t="s">
        <v>145</v>
      </c>
      <c r="P3187" s="164" t="str">
        <f t="shared" si="1641"/>
        <v>THR200(20L)</v>
      </c>
      <c r="Q3187" s="71">
        <f t="shared" si="1642"/>
        <v>4</v>
      </c>
      <c r="R3187" s="102">
        <v>35000</v>
      </c>
      <c r="S3187" s="102">
        <f t="shared" si="1638"/>
        <v>154000</v>
      </c>
      <c r="T3187" s="102">
        <f t="shared" si="1639"/>
        <v>140000</v>
      </c>
      <c r="U3187" s="71" t="str">
        <f>IF(J3187=W3187,"O", "X")</f>
        <v>X</v>
      </c>
      <c r="V3187" s="71"/>
      <c r="W3187" s="474"/>
      <c r="X3187" s="71"/>
      <c r="Y3187" s="71"/>
    </row>
    <row r="3188" spans="1:25" ht="30" hidden="1" customHeight="1" x14ac:dyDescent="0.2">
      <c r="A3188" s="82">
        <v>200702</v>
      </c>
      <c r="B3188" s="664" t="s">
        <v>575</v>
      </c>
      <c r="C3188" s="71" t="s">
        <v>1367</v>
      </c>
      <c r="D3188" s="71">
        <v>8</v>
      </c>
      <c r="E3188" s="102">
        <v>218000</v>
      </c>
      <c r="F3188" s="163">
        <f t="shared" si="1643"/>
        <v>1918400.0000000002</v>
      </c>
      <c r="G3188" s="102">
        <f t="shared" si="1644"/>
        <v>1744000</v>
      </c>
      <c r="H3188" s="690" t="s">
        <v>173</v>
      </c>
      <c r="I3188" s="71" t="s">
        <v>109</v>
      </c>
      <c r="J3188" s="53">
        <f t="shared" si="1635"/>
        <v>781920</v>
      </c>
      <c r="K3188" s="63">
        <f t="shared" si="1645"/>
        <v>0.44834862385321095</v>
      </c>
      <c r="L3188" s="871" t="s">
        <v>2483</v>
      </c>
      <c r="M3188" s="468"/>
      <c r="N3188" s="664">
        <f t="shared" si="1637"/>
        <v>200702</v>
      </c>
      <c r="O3188" s="71" t="s">
        <v>1443</v>
      </c>
      <c r="P3188" s="164" t="str">
        <f t="shared" si="1641"/>
        <v>M600 윤전 블랑켓 995*742</v>
      </c>
      <c r="Q3188" s="71">
        <f t="shared" si="1642"/>
        <v>8</v>
      </c>
      <c r="R3188" s="102">
        <v>120260</v>
      </c>
      <c r="S3188" s="102">
        <f t="shared" si="1638"/>
        <v>1058288</v>
      </c>
      <c r="T3188" s="102">
        <f t="shared" si="1639"/>
        <v>962080</v>
      </c>
      <c r="U3188" s="71" t="str">
        <f>IF(J3188=W3188,"O", "X")</f>
        <v>X</v>
      </c>
      <c r="V3188" s="71"/>
      <c r="W3188" s="474"/>
      <c r="X3188" s="71"/>
      <c r="Y3188" s="71"/>
    </row>
    <row r="3189" spans="1:25" s="209" customFormat="1" ht="30" hidden="1" customHeight="1" x14ac:dyDescent="0.2">
      <c r="A3189" s="82">
        <v>200702</v>
      </c>
      <c r="B3189" s="664" t="s">
        <v>764</v>
      </c>
      <c r="C3189" s="71" t="s">
        <v>236</v>
      </c>
      <c r="D3189" s="71">
        <v>10</v>
      </c>
      <c r="E3189" s="102">
        <v>100000</v>
      </c>
      <c r="F3189" s="163">
        <f t="shared" si="1643"/>
        <v>1100000</v>
      </c>
      <c r="G3189" s="102">
        <f t="shared" si="1644"/>
        <v>1000000</v>
      </c>
      <c r="H3189" s="690" t="s">
        <v>173</v>
      </c>
      <c r="I3189" s="71" t="s">
        <v>2231</v>
      </c>
      <c r="J3189" s="53">
        <f t="shared" si="1635"/>
        <v>500000</v>
      </c>
      <c r="K3189" s="63">
        <f>(J3189/(F3189/11*10))</f>
        <v>0.5</v>
      </c>
      <c r="L3189" s="871" t="s">
        <v>2483</v>
      </c>
      <c r="M3189" s="468"/>
      <c r="N3189" s="664">
        <f t="shared" si="1637"/>
        <v>200702</v>
      </c>
      <c r="O3189" s="71" t="s">
        <v>153</v>
      </c>
      <c r="P3189" s="164" t="str">
        <f t="shared" si="1641"/>
        <v>아스테이지(국전)</v>
      </c>
      <c r="Q3189" s="71">
        <f t="shared" si="1642"/>
        <v>10</v>
      </c>
      <c r="R3189" s="102">
        <v>50000</v>
      </c>
      <c r="S3189" s="102">
        <f t="shared" si="1638"/>
        <v>550000</v>
      </c>
      <c r="T3189" s="102">
        <f t="shared" si="1639"/>
        <v>500000</v>
      </c>
      <c r="U3189" s="71" t="s">
        <v>859</v>
      </c>
      <c r="V3189" s="71"/>
      <c r="W3189" s="474">
        <v>500000</v>
      </c>
      <c r="X3189" s="71"/>
      <c r="Y3189" s="71"/>
    </row>
    <row r="3190" spans="1:25" s="209" customFormat="1" ht="30" hidden="1" customHeight="1" x14ac:dyDescent="0.2">
      <c r="A3190" s="82">
        <v>200707</v>
      </c>
      <c r="B3190" s="664" t="s">
        <v>856</v>
      </c>
      <c r="C3190" s="71" t="s">
        <v>2489</v>
      </c>
      <c r="D3190" s="71">
        <v>3</v>
      </c>
      <c r="E3190" s="102">
        <v>690000</v>
      </c>
      <c r="F3190" s="163">
        <f>(E3190*D3190)*1.1</f>
        <v>2277000</v>
      </c>
      <c r="G3190" s="102">
        <f>(E3190*D3190)</f>
        <v>2070000</v>
      </c>
      <c r="H3190" s="690" t="s">
        <v>173</v>
      </c>
      <c r="I3190" s="71" t="s">
        <v>2184</v>
      </c>
      <c r="J3190" s="53">
        <f t="shared" si="1635"/>
        <v>1153515</v>
      </c>
      <c r="K3190" s="63">
        <f>(J3190/(F3190/11*10))</f>
        <v>0.55725362318840577</v>
      </c>
      <c r="L3190" s="871" t="s">
        <v>2483</v>
      </c>
      <c r="M3190" s="468"/>
      <c r="N3190" s="664">
        <f t="shared" si="1637"/>
        <v>200707</v>
      </c>
      <c r="O3190" s="71" t="s">
        <v>2179</v>
      </c>
      <c r="P3190" s="164" t="str">
        <f t="shared" si="1641"/>
        <v>료비 UV lamp</v>
      </c>
      <c r="Q3190" s="71">
        <f t="shared" si="1642"/>
        <v>3</v>
      </c>
      <c r="R3190" s="102">
        <v>305495</v>
      </c>
      <c r="S3190" s="102">
        <f t="shared" si="1638"/>
        <v>1008133.5000000001</v>
      </c>
      <c r="T3190" s="102">
        <f t="shared" si="1639"/>
        <v>916485</v>
      </c>
      <c r="U3190" s="71" t="str">
        <f>IF(J3190=W3190,"O", "X")</f>
        <v>X</v>
      </c>
      <c r="V3190" s="71"/>
      <c r="W3190" s="474"/>
      <c r="X3190" s="71"/>
      <c r="Y3190" s="71"/>
    </row>
    <row r="3191" spans="1:25" s="209" customFormat="1" ht="30" hidden="1" customHeight="1" x14ac:dyDescent="0.2">
      <c r="A3191" s="82">
        <v>200707</v>
      </c>
      <c r="B3191" s="664" t="s">
        <v>2261</v>
      </c>
      <c r="C3191" s="71" t="s">
        <v>107</v>
      </c>
      <c r="D3191" s="71">
        <v>10</v>
      </c>
      <c r="E3191" s="102">
        <v>108000</v>
      </c>
      <c r="F3191" s="163">
        <f t="shared" si="1643"/>
        <v>1188000</v>
      </c>
      <c r="G3191" s="102">
        <f t="shared" si="1644"/>
        <v>1080000</v>
      </c>
      <c r="H3191" s="165" t="s">
        <v>172</v>
      </c>
      <c r="I3191" s="71" t="s">
        <v>109</v>
      </c>
      <c r="J3191" s="53">
        <f t="shared" si="1635"/>
        <v>275000</v>
      </c>
      <c r="K3191" s="63">
        <f t="shared" si="1645"/>
        <v>0.25462962962962965</v>
      </c>
      <c r="L3191" s="871" t="s">
        <v>2483</v>
      </c>
      <c r="M3191" s="468"/>
      <c r="N3191" s="664">
        <f t="shared" si="1637"/>
        <v>200707</v>
      </c>
      <c r="O3191" s="71" t="s">
        <v>147</v>
      </c>
      <c r="P3191" s="164" t="str">
        <f t="shared" si="1641"/>
        <v>Blanket(1050*840)</v>
      </c>
      <c r="Q3191" s="71">
        <f t="shared" si="1642"/>
        <v>10</v>
      </c>
      <c r="R3191" s="102">
        <v>80500</v>
      </c>
      <c r="S3191" s="102">
        <f t="shared" si="1638"/>
        <v>885500.00000000012</v>
      </c>
      <c r="T3191" s="102">
        <f t="shared" si="1639"/>
        <v>805000</v>
      </c>
      <c r="U3191" s="71" t="s">
        <v>859</v>
      </c>
      <c r="V3191" s="71"/>
      <c r="W3191" s="474">
        <v>275000</v>
      </c>
      <c r="X3191" s="71"/>
      <c r="Y3191" s="71"/>
    </row>
    <row r="3192" spans="1:25" s="209" customFormat="1" ht="30" hidden="1" customHeight="1" x14ac:dyDescent="0.25">
      <c r="A3192" s="82">
        <v>200709</v>
      </c>
      <c r="B3192" s="664" t="s">
        <v>2155</v>
      </c>
      <c r="C3192" s="71" t="s">
        <v>138</v>
      </c>
      <c r="D3192" s="71">
        <v>10</v>
      </c>
      <c r="E3192" s="102">
        <v>47600</v>
      </c>
      <c r="F3192" s="163">
        <f t="shared" si="1643"/>
        <v>523600.00000000006</v>
      </c>
      <c r="G3192" s="102">
        <f t="shared" si="1644"/>
        <v>476000</v>
      </c>
      <c r="H3192" s="1129" t="s">
        <v>172</v>
      </c>
      <c r="I3192" s="71" t="s">
        <v>108</v>
      </c>
      <c r="J3192" s="53">
        <f t="shared" si="1635"/>
        <v>68000</v>
      </c>
      <c r="K3192" s="63">
        <f t="shared" si="1645"/>
        <v>0.14285714285714285</v>
      </c>
      <c r="L3192" s="871" t="s">
        <v>2483</v>
      </c>
      <c r="M3192" s="468" t="s">
        <v>2214</v>
      </c>
      <c r="N3192" s="664">
        <f t="shared" si="1637"/>
        <v>200709</v>
      </c>
      <c r="O3192" s="71" t="s">
        <v>150</v>
      </c>
      <c r="P3192" s="164" t="str">
        <f t="shared" si="1641"/>
        <v>매엽용 세척제(Wash 562)</v>
      </c>
      <c r="Q3192" s="71">
        <f t="shared" si="1642"/>
        <v>10</v>
      </c>
      <c r="R3192" s="102">
        <v>40800</v>
      </c>
      <c r="S3192" s="102">
        <f t="shared" si="1638"/>
        <v>448800.00000000006</v>
      </c>
      <c r="T3192" s="102">
        <f t="shared" si="1639"/>
        <v>408000</v>
      </c>
      <c r="U3192" s="71" t="s">
        <v>859</v>
      </c>
      <c r="V3192" s="71"/>
      <c r="W3192" s="474">
        <v>85000</v>
      </c>
      <c r="X3192" s="71"/>
      <c r="Y3192" s="71"/>
    </row>
    <row r="3193" spans="1:25" ht="30" hidden="1" customHeight="1" x14ac:dyDescent="0.2">
      <c r="A3193" s="82">
        <v>200710</v>
      </c>
      <c r="B3193" s="664" t="s">
        <v>549</v>
      </c>
      <c r="C3193" s="71" t="s">
        <v>119</v>
      </c>
      <c r="D3193" s="71">
        <v>15</v>
      </c>
      <c r="E3193" s="102">
        <v>115000</v>
      </c>
      <c r="F3193" s="163">
        <f t="shared" ref="F3193:F3234" si="1646">(E3193*D3193)*1.1</f>
        <v>1897500.0000000002</v>
      </c>
      <c r="G3193" s="102">
        <f t="shared" ref="G3193:G3234" si="1647">(E3193*D3193)</f>
        <v>1725000</v>
      </c>
      <c r="H3193" s="690" t="s">
        <v>173</v>
      </c>
      <c r="I3193" s="71" t="s">
        <v>109</v>
      </c>
      <c r="J3193" s="53">
        <f>(G3193-(VLOOKUP(C3193,Price!B:D,3,FALSE)*D3193))</f>
        <v>394500</v>
      </c>
      <c r="K3193" s="63">
        <f t="shared" ref="K3193:K3199" si="1648">(J3193/(F3193/11*10))</f>
        <v>0.22869565217391302</v>
      </c>
      <c r="L3193" s="871" t="s">
        <v>2483</v>
      </c>
      <c r="M3193" s="468"/>
      <c r="N3193" s="664">
        <f t="shared" si="1637"/>
        <v>200710</v>
      </c>
      <c r="O3193" s="71" t="s">
        <v>150</v>
      </c>
      <c r="P3193" s="164" t="str">
        <f t="shared" si="1641"/>
        <v>미쯔비시 Blanket(1035*910)</v>
      </c>
      <c r="Q3193" s="71">
        <f t="shared" si="1642"/>
        <v>15</v>
      </c>
      <c r="R3193" s="102">
        <v>88700</v>
      </c>
      <c r="S3193" s="102">
        <f t="shared" si="1638"/>
        <v>1463550.0000000002</v>
      </c>
      <c r="T3193" s="102">
        <f t="shared" si="1639"/>
        <v>1330500</v>
      </c>
      <c r="U3193" s="71" t="str">
        <f t="shared" ref="U3193:U3199" si="1649">IF(J3193=W3193,"O", "X")</f>
        <v>O</v>
      </c>
      <c r="V3193" s="71"/>
      <c r="W3193" s="474">
        <f>(G3193-T3193)</f>
        <v>394500</v>
      </c>
      <c r="X3193" s="71"/>
      <c r="Y3193" s="71"/>
    </row>
    <row r="3194" spans="1:25" ht="30" hidden="1" customHeight="1" x14ac:dyDescent="0.2">
      <c r="A3194" s="82">
        <v>200714</v>
      </c>
      <c r="B3194" s="664" t="s">
        <v>2490</v>
      </c>
      <c r="C3194" s="71" t="s">
        <v>2491</v>
      </c>
      <c r="D3194" s="71">
        <v>1</v>
      </c>
      <c r="E3194" s="102">
        <v>2100000</v>
      </c>
      <c r="F3194" s="163">
        <f t="shared" si="1646"/>
        <v>2310000</v>
      </c>
      <c r="G3194" s="102">
        <f t="shared" si="1647"/>
        <v>2100000</v>
      </c>
      <c r="H3194" s="690" t="s">
        <v>1432</v>
      </c>
      <c r="I3194" s="71" t="s">
        <v>1432</v>
      </c>
      <c r="J3194" s="53">
        <f>G3194-T3194</f>
        <v>597981</v>
      </c>
      <c r="K3194" s="63">
        <f t="shared" si="1648"/>
        <v>0.28475285714285714</v>
      </c>
      <c r="L3194" s="871" t="s">
        <v>2483</v>
      </c>
      <c r="M3194" s="468"/>
      <c r="N3194" s="664">
        <f t="shared" si="1637"/>
        <v>200714</v>
      </c>
      <c r="O3194" s="71" t="s">
        <v>1432</v>
      </c>
      <c r="P3194" s="164" t="str">
        <f t="shared" si="1641"/>
        <v>Fluidos 도져</v>
      </c>
      <c r="Q3194" s="71">
        <f t="shared" si="1642"/>
        <v>1</v>
      </c>
      <c r="R3194" s="102">
        <v>1502019</v>
      </c>
      <c r="S3194" s="102">
        <f t="shared" si="1638"/>
        <v>1652220.9000000001</v>
      </c>
      <c r="T3194" s="102">
        <f t="shared" si="1639"/>
        <v>1502019</v>
      </c>
      <c r="U3194" s="71" t="str">
        <f t="shared" si="1649"/>
        <v>X</v>
      </c>
      <c r="V3194" s="71"/>
      <c r="W3194" s="474"/>
      <c r="X3194" s="71"/>
      <c r="Y3194" s="71"/>
    </row>
    <row r="3195" spans="1:25" ht="30" hidden="1" customHeight="1" x14ac:dyDescent="0.2">
      <c r="A3195" s="82">
        <v>200714</v>
      </c>
      <c r="B3195" s="664" t="s">
        <v>567</v>
      </c>
      <c r="C3195" s="71" t="s">
        <v>123</v>
      </c>
      <c r="D3195" s="71">
        <v>10</v>
      </c>
      <c r="E3195" s="102">
        <v>40000</v>
      </c>
      <c r="F3195" s="163">
        <f t="shared" si="1646"/>
        <v>440000.00000000006</v>
      </c>
      <c r="G3195" s="102">
        <f t="shared" si="1647"/>
        <v>400000</v>
      </c>
      <c r="H3195" s="1010" t="s">
        <v>39</v>
      </c>
      <c r="I3195" s="71" t="s">
        <v>1432</v>
      </c>
      <c r="J3195" s="53">
        <f>(G3195-(VLOOKUP(C3195,Price!B:D,3,FALSE)*D3195))</f>
        <v>175390</v>
      </c>
      <c r="K3195" s="63">
        <f t="shared" si="1648"/>
        <v>0.43847499999999995</v>
      </c>
      <c r="L3195" s="871" t="s">
        <v>2483</v>
      </c>
      <c r="M3195" s="468"/>
      <c r="N3195" s="664">
        <f t="shared" si="1637"/>
        <v>200714</v>
      </c>
      <c r="O3195" s="991" t="s">
        <v>39</v>
      </c>
      <c r="P3195" s="164" t="str">
        <f t="shared" si="1641"/>
        <v>필터백</v>
      </c>
      <c r="Q3195" s="71">
        <f t="shared" si="1642"/>
        <v>10</v>
      </c>
      <c r="R3195" s="102">
        <v>22054</v>
      </c>
      <c r="S3195" s="102">
        <f t="shared" si="1638"/>
        <v>242594.00000000003</v>
      </c>
      <c r="T3195" s="102">
        <f t="shared" si="1639"/>
        <v>220540</v>
      </c>
      <c r="U3195" s="71" t="str">
        <f t="shared" si="1649"/>
        <v>X</v>
      </c>
      <c r="V3195" s="71"/>
      <c r="W3195" s="474">
        <f>(G3195-T3195)</f>
        <v>179460</v>
      </c>
      <c r="X3195" s="71"/>
      <c r="Y3195" s="71"/>
    </row>
    <row r="3196" spans="1:25" s="209" customFormat="1" ht="30" hidden="1" customHeight="1" x14ac:dyDescent="0.2">
      <c r="A3196" s="82">
        <v>200714</v>
      </c>
      <c r="B3196" s="664" t="s">
        <v>2353</v>
      </c>
      <c r="C3196" s="71" t="s">
        <v>138</v>
      </c>
      <c r="D3196" s="71">
        <v>10</v>
      </c>
      <c r="E3196" s="102">
        <v>54400</v>
      </c>
      <c r="F3196" s="163">
        <f t="shared" si="1646"/>
        <v>598400</v>
      </c>
      <c r="G3196" s="102">
        <f t="shared" si="1647"/>
        <v>544000</v>
      </c>
      <c r="H3196" s="165" t="s">
        <v>142</v>
      </c>
      <c r="I3196" s="71" t="s">
        <v>142</v>
      </c>
      <c r="J3196" s="53">
        <f t="shared" ref="J3196:J3201" si="1650">G3196-T3196</f>
        <v>136000</v>
      </c>
      <c r="K3196" s="63">
        <f t="shared" si="1648"/>
        <v>0.25</v>
      </c>
      <c r="L3196" s="871" t="s">
        <v>2483</v>
      </c>
      <c r="M3196" s="468" t="s">
        <v>2214</v>
      </c>
      <c r="N3196" s="664">
        <f t="shared" si="1637"/>
        <v>200714</v>
      </c>
      <c r="O3196" s="71" t="s">
        <v>2030</v>
      </c>
      <c r="P3196" s="164" t="str">
        <f t="shared" si="1641"/>
        <v>매엽용 세척제(Wash 562)</v>
      </c>
      <c r="Q3196" s="71">
        <f t="shared" si="1642"/>
        <v>10</v>
      </c>
      <c r="R3196" s="102">
        <v>40800</v>
      </c>
      <c r="S3196" s="102">
        <f t="shared" si="1638"/>
        <v>448800.00000000006</v>
      </c>
      <c r="T3196" s="102">
        <f t="shared" si="1639"/>
        <v>408000</v>
      </c>
      <c r="U3196" s="71" t="str">
        <f t="shared" si="1649"/>
        <v>O</v>
      </c>
      <c r="V3196" s="71"/>
      <c r="W3196" s="474">
        <f>(G3196-T3196)</f>
        <v>136000</v>
      </c>
      <c r="X3196" s="71"/>
      <c r="Y3196" s="71"/>
    </row>
    <row r="3197" spans="1:25" ht="30" hidden="1" customHeight="1" x14ac:dyDescent="0.2">
      <c r="A3197" s="82">
        <v>200714</v>
      </c>
      <c r="B3197" s="664" t="s">
        <v>2353</v>
      </c>
      <c r="C3197" s="71" t="s">
        <v>129</v>
      </c>
      <c r="D3197" s="71">
        <v>7</v>
      </c>
      <c r="E3197" s="102">
        <v>272000</v>
      </c>
      <c r="F3197" s="163">
        <f t="shared" si="1646"/>
        <v>2094400.0000000002</v>
      </c>
      <c r="G3197" s="102">
        <f t="shared" si="1647"/>
        <v>1904000</v>
      </c>
      <c r="H3197" s="165" t="s">
        <v>142</v>
      </c>
      <c r="I3197" s="71" t="s">
        <v>142</v>
      </c>
      <c r="J3197" s="53">
        <f t="shared" si="1650"/>
        <v>448000</v>
      </c>
      <c r="K3197" s="63">
        <f t="shared" si="1648"/>
        <v>0.23529411764705879</v>
      </c>
      <c r="L3197" s="871" t="s">
        <v>2483</v>
      </c>
      <c r="M3197" s="468" t="s">
        <v>2050</v>
      </c>
      <c r="N3197" s="664">
        <f t="shared" si="1637"/>
        <v>200714</v>
      </c>
      <c r="O3197" s="71" t="s">
        <v>149</v>
      </c>
      <c r="P3197" s="164" t="str">
        <f t="shared" si="1641"/>
        <v>세정포-XL106</v>
      </c>
      <c r="Q3197" s="71">
        <f t="shared" si="1642"/>
        <v>7</v>
      </c>
      <c r="R3197" s="102">
        <v>208000</v>
      </c>
      <c r="S3197" s="102">
        <f t="shared" si="1638"/>
        <v>1601600.0000000002</v>
      </c>
      <c r="T3197" s="102">
        <f t="shared" si="1639"/>
        <v>1456000</v>
      </c>
      <c r="U3197" s="71" t="str">
        <f t="shared" si="1649"/>
        <v>O</v>
      </c>
      <c r="V3197" s="71"/>
      <c r="W3197" s="474">
        <f>(G3197-T3197)</f>
        <v>448000</v>
      </c>
      <c r="X3197" s="71"/>
      <c r="Y3197" s="71"/>
    </row>
    <row r="3198" spans="1:25" ht="30" hidden="1" customHeight="1" x14ac:dyDescent="0.2">
      <c r="A3198" s="82">
        <v>200715</v>
      </c>
      <c r="B3198" s="664" t="s">
        <v>545</v>
      </c>
      <c r="C3198" s="71" t="s">
        <v>1747</v>
      </c>
      <c r="D3198" s="71">
        <v>3</v>
      </c>
      <c r="E3198" s="102">
        <v>610000</v>
      </c>
      <c r="F3198" s="163">
        <f t="shared" si="1646"/>
        <v>2013000.0000000002</v>
      </c>
      <c r="G3198" s="102">
        <f t="shared" si="1647"/>
        <v>1830000</v>
      </c>
      <c r="H3198" s="690" t="s">
        <v>173</v>
      </c>
      <c r="I3198" s="71" t="s">
        <v>2184</v>
      </c>
      <c r="J3198" s="53">
        <f t="shared" si="1650"/>
        <v>795012</v>
      </c>
      <c r="K3198" s="63">
        <f t="shared" si="1648"/>
        <v>0.43443278688524584</v>
      </c>
      <c r="L3198" s="871" t="s">
        <v>2455</v>
      </c>
      <c r="M3198" s="468"/>
      <c r="N3198" s="664">
        <f t="shared" si="1637"/>
        <v>200715</v>
      </c>
      <c r="O3198" s="71" t="s">
        <v>1458</v>
      </c>
      <c r="P3198" s="164" t="str">
        <f t="shared" si="1641"/>
        <v>UV 램프 - KBA(1145mm)</v>
      </c>
      <c r="Q3198" s="71">
        <f t="shared" si="1642"/>
        <v>3</v>
      </c>
      <c r="R3198" s="102">
        <v>344996</v>
      </c>
      <c r="S3198" s="102">
        <f t="shared" si="1638"/>
        <v>1138486.8</v>
      </c>
      <c r="T3198" s="102">
        <f t="shared" si="1639"/>
        <v>1034988</v>
      </c>
      <c r="U3198" s="71" t="str">
        <f t="shared" si="1649"/>
        <v>X</v>
      </c>
      <c r="V3198" s="71"/>
      <c r="W3198" s="474"/>
      <c r="X3198" s="71"/>
      <c r="Y3198" s="71"/>
    </row>
    <row r="3199" spans="1:25" ht="31.5" hidden="1" customHeight="1" x14ac:dyDescent="0.25">
      <c r="A3199" s="82">
        <v>200715</v>
      </c>
      <c r="B3199" s="664" t="s">
        <v>545</v>
      </c>
      <c r="C3199" s="71" t="s">
        <v>911</v>
      </c>
      <c r="D3199" s="71">
        <v>1</v>
      </c>
      <c r="E3199" s="102">
        <v>250000</v>
      </c>
      <c r="F3199" s="102">
        <f t="shared" si="1646"/>
        <v>275000</v>
      </c>
      <c r="G3199" s="102">
        <f t="shared" si="1647"/>
        <v>250000</v>
      </c>
      <c r="H3199" s="690" t="s">
        <v>173</v>
      </c>
      <c r="I3199" s="71" t="s">
        <v>2231</v>
      </c>
      <c r="J3199" s="53">
        <f t="shared" si="1650"/>
        <v>175000</v>
      </c>
      <c r="K3199" s="63">
        <f t="shared" si="1648"/>
        <v>0.7</v>
      </c>
      <c r="L3199" s="871" t="s">
        <v>2455</v>
      </c>
      <c r="M3199" s="468"/>
      <c r="N3199" s="664">
        <f t="shared" si="1637"/>
        <v>200715</v>
      </c>
      <c r="O3199" s="71" t="s">
        <v>994</v>
      </c>
      <c r="P3199" s="164" t="str">
        <f t="shared" si="1641"/>
        <v>콤푸레샤 에어필터</v>
      </c>
      <c r="Q3199" s="71">
        <f t="shared" si="1642"/>
        <v>1</v>
      </c>
      <c r="R3199" s="102">
        <v>75000</v>
      </c>
      <c r="S3199" s="102">
        <f t="shared" si="1638"/>
        <v>82500</v>
      </c>
      <c r="T3199" s="102">
        <f t="shared" si="1639"/>
        <v>75000</v>
      </c>
      <c r="U3199" s="71" t="str">
        <f t="shared" si="1649"/>
        <v>O</v>
      </c>
      <c r="V3199" s="71"/>
      <c r="W3199" s="474">
        <f>(G3199-T3199)</f>
        <v>175000</v>
      </c>
      <c r="X3199" s="71"/>
      <c r="Y3199" s="71"/>
    </row>
    <row r="3200" spans="1:25" s="209" customFormat="1" ht="30" hidden="1" customHeight="1" x14ac:dyDescent="0.2">
      <c r="A3200" s="82">
        <v>200716</v>
      </c>
      <c r="B3200" s="664" t="s">
        <v>564</v>
      </c>
      <c r="C3200" s="71" t="s">
        <v>805</v>
      </c>
      <c r="D3200" s="71">
        <v>2</v>
      </c>
      <c r="E3200" s="102">
        <v>270000</v>
      </c>
      <c r="F3200" s="163">
        <f t="shared" si="1646"/>
        <v>594000</v>
      </c>
      <c r="G3200" s="102">
        <f t="shared" si="1647"/>
        <v>540000</v>
      </c>
      <c r="H3200" s="165" t="s">
        <v>173</v>
      </c>
      <c r="I3200" s="71" t="s">
        <v>120</v>
      </c>
      <c r="J3200" s="53">
        <f t="shared" si="1650"/>
        <v>260000</v>
      </c>
      <c r="K3200" s="63">
        <v>0.48148148148148145</v>
      </c>
      <c r="L3200" s="871" t="s">
        <v>2483</v>
      </c>
      <c r="M3200" s="468"/>
      <c r="N3200" s="664">
        <f t="shared" si="1637"/>
        <v>200716</v>
      </c>
      <c r="O3200" s="71" t="s">
        <v>150</v>
      </c>
      <c r="P3200" s="164" t="str">
        <f t="shared" si="1641"/>
        <v>Fount 554</v>
      </c>
      <c r="Q3200" s="71">
        <f t="shared" si="1642"/>
        <v>2</v>
      </c>
      <c r="R3200" s="102">
        <v>140000</v>
      </c>
      <c r="S3200" s="102">
        <f t="shared" si="1638"/>
        <v>308000</v>
      </c>
      <c r="T3200" s="102">
        <f t="shared" si="1639"/>
        <v>280000</v>
      </c>
      <c r="U3200" s="71" t="s">
        <v>859</v>
      </c>
      <c r="V3200" s="71"/>
      <c r="W3200" s="474">
        <v>260000</v>
      </c>
      <c r="X3200" s="71"/>
      <c r="Y3200" s="71"/>
    </row>
    <row r="3201" spans="1:25" s="209" customFormat="1" ht="30" hidden="1" customHeight="1" x14ac:dyDescent="0.2">
      <c r="A3201" s="82">
        <v>200716</v>
      </c>
      <c r="B3201" s="664" t="s">
        <v>2155</v>
      </c>
      <c r="C3201" s="71" t="s">
        <v>2135</v>
      </c>
      <c r="D3201" s="71">
        <v>2</v>
      </c>
      <c r="E3201" s="102">
        <v>7000000</v>
      </c>
      <c r="F3201" s="163">
        <f t="shared" si="1646"/>
        <v>15400000.000000002</v>
      </c>
      <c r="G3201" s="102">
        <f t="shared" si="1647"/>
        <v>14000000</v>
      </c>
      <c r="H3201" s="165" t="s">
        <v>1431</v>
      </c>
      <c r="I3201" s="165" t="s">
        <v>1431</v>
      </c>
      <c r="J3201" s="53">
        <f t="shared" si="1650"/>
        <v>6845040</v>
      </c>
      <c r="K3201" s="63">
        <f>(J3201/(F3201/11*10))</f>
        <v>0.48893142857142852</v>
      </c>
      <c r="L3201" s="871" t="s">
        <v>2483</v>
      </c>
      <c r="M3201" s="468"/>
      <c r="N3201" s="664">
        <f t="shared" si="1637"/>
        <v>200716</v>
      </c>
      <c r="O3201" s="71" t="s">
        <v>1220</v>
      </c>
      <c r="P3201" s="164" t="str">
        <f t="shared" si="1641"/>
        <v>판걸이 튜브</v>
      </c>
      <c r="Q3201" s="71">
        <f t="shared" si="1642"/>
        <v>2</v>
      </c>
      <c r="R3201" s="102">
        <f>3077480+500000</f>
        <v>3577480</v>
      </c>
      <c r="S3201" s="102">
        <f t="shared" si="1638"/>
        <v>7870456.0000000009</v>
      </c>
      <c r="T3201" s="102">
        <f t="shared" si="1639"/>
        <v>7154960</v>
      </c>
      <c r="U3201" s="71" t="str">
        <f>IF(J3201=W3201,"O", "X")</f>
        <v>X</v>
      </c>
      <c r="V3201" s="71"/>
      <c r="W3201" s="474"/>
      <c r="X3201" s="71"/>
      <c r="Y3201" s="71"/>
    </row>
    <row r="3202" spans="1:25" ht="30" hidden="1" customHeight="1" x14ac:dyDescent="0.25">
      <c r="A3202" s="82">
        <v>200716</v>
      </c>
      <c r="B3202" s="664" t="s">
        <v>2155</v>
      </c>
      <c r="C3202" s="71" t="s">
        <v>277</v>
      </c>
      <c r="D3202" s="71">
        <v>5</v>
      </c>
      <c r="E3202" s="102">
        <v>172000</v>
      </c>
      <c r="F3202" s="102">
        <v>946000.00000000012</v>
      </c>
      <c r="G3202" s="102">
        <v>860000</v>
      </c>
      <c r="H3202" s="690" t="s">
        <v>173</v>
      </c>
      <c r="I3202" s="71" t="s">
        <v>108</v>
      </c>
      <c r="J3202" s="53">
        <v>285000</v>
      </c>
      <c r="K3202" s="63">
        <v>0.33139534883720928</v>
      </c>
      <c r="L3202" s="871" t="s">
        <v>2483</v>
      </c>
      <c r="M3202" s="468"/>
      <c r="N3202" s="664">
        <f t="shared" si="1637"/>
        <v>200716</v>
      </c>
      <c r="O3202" s="71" t="s">
        <v>150</v>
      </c>
      <c r="P3202" s="164" t="str">
        <f t="shared" si="1641"/>
        <v>윤전용 세척제(Web 504)</v>
      </c>
      <c r="Q3202" s="71">
        <f t="shared" si="1642"/>
        <v>5</v>
      </c>
      <c r="R3202" s="102">
        <v>115000</v>
      </c>
      <c r="S3202" s="102">
        <v>632500</v>
      </c>
      <c r="T3202" s="102">
        <v>575000</v>
      </c>
      <c r="U3202" s="71" t="s">
        <v>859</v>
      </c>
      <c r="V3202" s="71"/>
      <c r="W3202" s="474">
        <v>285000</v>
      </c>
      <c r="X3202" s="71"/>
      <c r="Y3202" s="71"/>
    </row>
    <row r="3203" spans="1:25" s="209" customFormat="1" ht="30" hidden="1" customHeight="1" x14ac:dyDescent="0.25">
      <c r="A3203" s="82">
        <v>200716</v>
      </c>
      <c r="B3203" s="664" t="s">
        <v>2155</v>
      </c>
      <c r="C3203" s="71" t="s">
        <v>138</v>
      </c>
      <c r="D3203" s="71">
        <v>10</v>
      </c>
      <c r="E3203" s="102">
        <v>47600</v>
      </c>
      <c r="F3203" s="163">
        <v>523600.00000000006</v>
      </c>
      <c r="G3203" s="102">
        <v>476000</v>
      </c>
      <c r="H3203" s="1129" t="s">
        <v>172</v>
      </c>
      <c r="I3203" s="71" t="s">
        <v>108</v>
      </c>
      <c r="J3203" s="53">
        <v>68000</v>
      </c>
      <c r="K3203" s="63">
        <v>0.14285714285714285</v>
      </c>
      <c r="L3203" s="871" t="s">
        <v>2483</v>
      </c>
      <c r="M3203" s="468" t="s">
        <v>2214</v>
      </c>
      <c r="N3203" s="664">
        <f t="shared" si="1637"/>
        <v>200716</v>
      </c>
      <c r="O3203" s="71" t="s">
        <v>150</v>
      </c>
      <c r="P3203" s="164" t="str">
        <f t="shared" si="1641"/>
        <v>매엽용 세척제(Wash 562)</v>
      </c>
      <c r="Q3203" s="71">
        <f t="shared" si="1642"/>
        <v>10</v>
      </c>
      <c r="R3203" s="102">
        <v>40800</v>
      </c>
      <c r="S3203" s="102">
        <v>448800.00000000006</v>
      </c>
      <c r="T3203" s="102">
        <v>408000</v>
      </c>
      <c r="U3203" s="71" t="s">
        <v>859</v>
      </c>
      <c r="V3203" s="71"/>
      <c r="W3203" s="474">
        <v>85000</v>
      </c>
      <c r="X3203" s="71"/>
      <c r="Y3203" s="71"/>
    </row>
    <row r="3204" spans="1:25" ht="30" hidden="1" customHeight="1" x14ac:dyDescent="0.25">
      <c r="A3204" s="82">
        <v>200716</v>
      </c>
      <c r="B3204" s="664" t="s">
        <v>2155</v>
      </c>
      <c r="C3204" s="760" t="s">
        <v>218</v>
      </c>
      <c r="D3204" s="71">
        <v>5</v>
      </c>
      <c r="E3204" s="102">
        <v>192500</v>
      </c>
      <c r="F3204" s="102">
        <f>(E3204*D3204)*1.1</f>
        <v>1058750</v>
      </c>
      <c r="G3204" s="102">
        <f>(E3204*D3204)</f>
        <v>962500</v>
      </c>
      <c r="H3204" s="690" t="s">
        <v>173</v>
      </c>
      <c r="I3204" s="71" t="s">
        <v>120</v>
      </c>
      <c r="J3204" s="53">
        <f t="shared" ref="J3204:J3215" si="1651">G3204-T3204</f>
        <v>400000</v>
      </c>
      <c r="K3204" s="63">
        <v>0.4155844155844155</v>
      </c>
      <c r="L3204" s="871" t="s">
        <v>2483</v>
      </c>
      <c r="M3204" s="468"/>
      <c r="N3204" s="664">
        <f t="shared" si="1637"/>
        <v>200716</v>
      </c>
      <c r="O3204" s="71" t="s">
        <v>150</v>
      </c>
      <c r="P3204" s="164" t="str">
        <f t="shared" si="1641"/>
        <v>Fount Web 551AF</v>
      </c>
      <c r="Q3204" s="71">
        <f t="shared" si="1642"/>
        <v>5</v>
      </c>
      <c r="R3204" s="102">
        <v>112500</v>
      </c>
      <c r="S3204" s="102">
        <f t="shared" ref="S3204:S3236" si="1652">R3204*Q3204*1.1</f>
        <v>618750</v>
      </c>
      <c r="T3204" s="102">
        <f t="shared" ref="T3204:T3236" si="1653">R3204*Q3204</f>
        <v>562500</v>
      </c>
      <c r="U3204" s="71" t="s">
        <v>859</v>
      </c>
      <c r="V3204" s="71"/>
      <c r="W3204" s="474">
        <v>640000</v>
      </c>
      <c r="X3204" s="71"/>
      <c r="Y3204" s="71"/>
    </row>
    <row r="3205" spans="1:25" s="209" customFormat="1" ht="30" hidden="1" customHeight="1" x14ac:dyDescent="0.2">
      <c r="A3205" s="82">
        <v>200716</v>
      </c>
      <c r="B3205" s="664" t="s">
        <v>2155</v>
      </c>
      <c r="C3205" s="71" t="s">
        <v>231</v>
      </c>
      <c r="D3205" s="71">
        <v>10</v>
      </c>
      <c r="E3205" s="102">
        <v>120000</v>
      </c>
      <c r="F3205" s="102">
        <f>(E3205*D3205)*1.1</f>
        <v>1320000</v>
      </c>
      <c r="G3205" s="102">
        <f>(E3205*D3205)</f>
        <v>1200000</v>
      </c>
      <c r="H3205" s="165" t="s">
        <v>172</v>
      </c>
      <c r="I3205" s="71" t="s">
        <v>109</v>
      </c>
      <c r="J3205" s="53">
        <f t="shared" si="1651"/>
        <v>80000</v>
      </c>
      <c r="K3205" s="63">
        <v>6.6666666666666666E-2</v>
      </c>
      <c r="L3205" s="871" t="s">
        <v>2483</v>
      </c>
      <c r="M3205" s="468"/>
      <c r="N3205" s="664">
        <f t="shared" si="1637"/>
        <v>200716</v>
      </c>
      <c r="O3205" s="71" t="s">
        <v>151</v>
      </c>
      <c r="P3205" s="164" t="str">
        <f t="shared" si="1641"/>
        <v>Blanket(990*725)</v>
      </c>
      <c r="Q3205" s="71">
        <f t="shared" si="1642"/>
        <v>10</v>
      </c>
      <c r="R3205" s="102">
        <v>112000</v>
      </c>
      <c r="S3205" s="102">
        <f t="shared" si="1652"/>
        <v>1232000</v>
      </c>
      <c r="T3205" s="102">
        <f t="shared" si="1653"/>
        <v>1120000</v>
      </c>
      <c r="U3205" s="71" t="s">
        <v>859</v>
      </c>
      <c r="V3205" s="71"/>
      <c r="W3205" s="474">
        <v>80000</v>
      </c>
      <c r="X3205" s="71"/>
      <c r="Y3205" s="71"/>
    </row>
    <row r="3206" spans="1:25" ht="30" hidden="1" customHeight="1" x14ac:dyDescent="0.2">
      <c r="A3206" s="82">
        <v>200721</v>
      </c>
      <c r="B3206" s="664" t="s">
        <v>545</v>
      </c>
      <c r="C3206" s="71" t="s">
        <v>952</v>
      </c>
      <c r="D3206" s="71">
        <v>1</v>
      </c>
      <c r="E3206" s="102">
        <v>630000</v>
      </c>
      <c r="F3206" s="163">
        <f>(E3206*D3206)*1.1</f>
        <v>693000</v>
      </c>
      <c r="G3206" s="102">
        <f>(E3206*D3206)</f>
        <v>630000</v>
      </c>
      <c r="H3206" s="690" t="s">
        <v>173</v>
      </c>
      <c r="I3206" s="71" t="s">
        <v>108</v>
      </c>
      <c r="J3206" s="53">
        <f t="shared" si="1651"/>
        <v>190000</v>
      </c>
      <c r="K3206" s="63">
        <f>(J3206/(F3206/11*10))</f>
        <v>0.30158730158730157</v>
      </c>
      <c r="L3206" s="871" t="s">
        <v>2455</v>
      </c>
      <c r="M3206" s="468"/>
      <c r="N3206" s="664">
        <f t="shared" si="1637"/>
        <v>200721</v>
      </c>
      <c r="O3206" s="71" t="s">
        <v>599</v>
      </c>
      <c r="P3206" s="164" t="str">
        <f t="shared" si="1641"/>
        <v>점보롤 세정포</v>
      </c>
      <c r="Q3206" s="71">
        <f t="shared" si="1642"/>
        <v>1</v>
      </c>
      <c r="R3206" s="102">
        <v>440000</v>
      </c>
      <c r="S3206" s="102">
        <f t="shared" si="1652"/>
        <v>484000.00000000006</v>
      </c>
      <c r="T3206" s="102">
        <f t="shared" si="1653"/>
        <v>440000</v>
      </c>
      <c r="U3206" s="71" t="str">
        <f>IF(J3206=W3206,"O", "X")</f>
        <v>O</v>
      </c>
      <c r="V3206" s="71" t="s">
        <v>1228</v>
      </c>
      <c r="W3206" s="474">
        <f>(G3206-T3206)</f>
        <v>190000</v>
      </c>
      <c r="X3206" s="71"/>
      <c r="Y3206" s="71"/>
    </row>
    <row r="3207" spans="1:25" s="209" customFormat="1" ht="30" hidden="1" customHeight="1" x14ac:dyDescent="0.2">
      <c r="A3207" s="82">
        <v>200721</v>
      </c>
      <c r="B3207" s="664" t="s">
        <v>546</v>
      </c>
      <c r="C3207" s="71" t="s">
        <v>114</v>
      </c>
      <c r="D3207" s="71">
        <v>100</v>
      </c>
      <c r="E3207" s="102">
        <v>18000</v>
      </c>
      <c r="F3207" s="163">
        <f t="shared" si="1646"/>
        <v>1980000.0000000002</v>
      </c>
      <c r="G3207" s="102">
        <f t="shared" si="1647"/>
        <v>1800000</v>
      </c>
      <c r="H3207" s="165" t="s">
        <v>1431</v>
      </c>
      <c r="I3207" s="165" t="s">
        <v>1431</v>
      </c>
      <c r="J3207" s="53">
        <f t="shared" si="1651"/>
        <v>900000</v>
      </c>
      <c r="K3207" s="63">
        <f>(J3207/(F3207/11*10))</f>
        <v>0.49999999999999994</v>
      </c>
      <c r="L3207" s="871" t="s">
        <v>2483</v>
      </c>
      <c r="M3207" s="468"/>
      <c r="N3207" s="664">
        <f t="shared" si="1637"/>
        <v>200721</v>
      </c>
      <c r="O3207" s="71" t="s">
        <v>1431</v>
      </c>
      <c r="P3207" s="164" t="str">
        <f t="shared" si="1641"/>
        <v>스트리퍼</v>
      </c>
      <c r="Q3207" s="71">
        <f t="shared" si="1642"/>
        <v>100</v>
      </c>
      <c r="R3207" s="102">
        <v>9000</v>
      </c>
      <c r="S3207" s="102">
        <f t="shared" si="1652"/>
        <v>990000.00000000012</v>
      </c>
      <c r="T3207" s="102">
        <f t="shared" si="1653"/>
        <v>900000</v>
      </c>
      <c r="U3207" s="71" t="str">
        <f>IF(J3207=W3207,"O", "X")</f>
        <v>X</v>
      </c>
      <c r="V3207" s="71"/>
      <c r="W3207" s="474"/>
      <c r="X3207" s="71"/>
      <c r="Y3207" s="71"/>
    </row>
    <row r="3208" spans="1:25" ht="27.6" hidden="1" customHeight="1" x14ac:dyDescent="0.2">
      <c r="A3208" s="82">
        <v>200721</v>
      </c>
      <c r="B3208" s="664" t="s">
        <v>567</v>
      </c>
      <c r="C3208" s="71" t="s">
        <v>1652</v>
      </c>
      <c r="D3208" s="71">
        <v>5</v>
      </c>
      <c r="E3208" s="102">
        <v>45000</v>
      </c>
      <c r="F3208" s="163">
        <f t="shared" si="1646"/>
        <v>247500.00000000003</v>
      </c>
      <c r="G3208" s="102">
        <f t="shared" si="1647"/>
        <v>225000</v>
      </c>
      <c r="H3208" s="690" t="s">
        <v>173</v>
      </c>
      <c r="I3208" s="71" t="s">
        <v>2231</v>
      </c>
      <c r="J3208" s="53">
        <f t="shared" si="1651"/>
        <v>25000</v>
      </c>
      <c r="K3208" s="63">
        <f>(J3208/(F3208/11*10))</f>
        <v>0.11111111111111109</v>
      </c>
      <c r="L3208" s="871" t="s">
        <v>2483</v>
      </c>
      <c r="M3208" s="468"/>
      <c r="N3208" s="664">
        <f t="shared" si="1637"/>
        <v>200721</v>
      </c>
      <c r="O3208" s="71" t="s">
        <v>153</v>
      </c>
      <c r="P3208" s="164" t="str">
        <f t="shared" si="1641"/>
        <v>아스테이지(CD74용)</v>
      </c>
      <c r="Q3208" s="71">
        <f t="shared" si="1642"/>
        <v>5</v>
      </c>
      <c r="R3208" s="102">
        <v>40000</v>
      </c>
      <c r="S3208" s="102">
        <f t="shared" si="1652"/>
        <v>220000.00000000003</v>
      </c>
      <c r="T3208" s="102">
        <f t="shared" si="1653"/>
        <v>200000</v>
      </c>
      <c r="U3208" s="71" t="s">
        <v>1915</v>
      </c>
      <c r="V3208" s="71"/>
      <c r="W3208" s="474"/>
      <c r="X3208" s="71"/>
      <c r="Y3208" s="71"/>
    </row>
    <row r="3209" spans="1:25" ht="30" hidden="1" customHeight="1" x14ac:dyDescent="0.2">
      <c r="A3209" s="82">
        <v>200721</v>
      </c>
      <c r="B3209" s="664" t="s">
        <v>549</v>
      </c>
      <c r="C3209" s="71" t="s">
        <v>2488</v>
      </c>
      <c r="D3209" s="71">
        <v>3</v>
      </c>
      <c r="E3209" s="102">
        <v>116000</v>
      </c>
      <c r="F3209" s="163">
        <f t="shared" si="1646"/>
        <v>382800.00000000006</v>
      </c>
      <c r="G3209" s="102">
        <f t="shared" si="1647"/>
        <v>348000</v>
      </c>
      <c r="H3209" s="690" t="s">
        <v>173</v>
      </c>
      <c r="I3209" s="71" t="s">
        <v>109</v>
      </c>
      <c r="J3209" s="53">
        <f t="shared" si="1651"/>
        <v>63000</v>
      </c>
      <c r="K3209" s="63">
        <f>(J3209/(F3209/11*10))</f>
        <v>0.18103448275862066</v>
      </c>
      <c r="L3209" s="871" t="s">
        <v>2483</v>
      </c>
      <c r="M3209" s="468"/>
      <c r="N3209" s="664">
        <f t="shared" si="1637"/>
        <v>200721</v>
      </c>
      <c r="O3209" s="71" t="s">
        <v>150</v>
      </c>
      <c r="P3209" s="164" t="str">
        <f t="shared" si="1641"/>
        <v>하이델 국전 Blanket(1050*840)</v>
      </c>
      <c r="Q3209" s="71">
        <f t="shared" si="1642"/>
        <v>3</v>
      </c>
      <c r="R3209" s="102">
        <v>95000</v>
      </c>
      <c r="S3209" s="102">
        <f t="shared" si="1652"/>
        <v>313500</v>
      </c>
      <c r="T3209" s="102">
        <f t="shared" si="1653"/>
        <v>285000</v>
      </c>
      <c r="U3209" s="71"/>
      <c r="V3209" s="71"/>
      <c r="W3209" s="474"/>
      <c r="X3209" s="71"/>
      <c r="Y3209" s="71"/>
    </row>
    <row r="3210" spans="1:25" ht="30" customHeight="1" x14ac:dyDescent="0.2">
      <c r="A3210" s="82">
        <v>200722</v>
      </c>
      <c r="B3210" s="664" t="s">
        <v>565</v>
      </c>
      <c r="C3210" s="71" t="s">
        <v>2081</v>
      </c>
      <c r="D3210" s="71">
        <v>100</v>
      </c>
      <c r="E3210" s="102">
        <v>69000</v>
      </c>
      <c r="F3210" s="163">
        <f t="shared" si="1646"/>
        <v>7590000.0000000009</v>
      </c>
      <c r="G3210" s="102">
        <f t="shared" si="1647"/>
        <v>6900000</v>
      </c>
      <c r="H3210" s="165" t="s">
        <v>173</v>
      </c>
      <c r="I3210" s="71" t="s">
        <v>108</v>
      </c>
      <c r="J3210" s="53">
        <f t="shared" si="1651"/>
        <v>1800000</v>
      </c>
      <c r="K3210" s="63">
        <f t="shared" ref="K3210:K3218" si="1654">(J3210/(F3210/11*10))</f>
        <v>0.26086956521739124</v>
      </c>
      <c r="L3210" s="871" t="s">
        <v>2483</v>
      </c>
      <c r="M3210" s="468"/>
      <c r="N3210" s="664">
        <f t="shared" si="1637"/>
        <v>200722</v>
      </c>
      <c r="O3210" s="71" t="s">
        <v>599</v>
      </c>
      <c r="P3210" s="164" t="str">
        <f t="shared" si="1641"/>
        <v>GOSS 신문윤전 습식세정포</v>
      </c>
      <c r="Q3210" s="71">
        <f t="shared" si="1642"/>
        <v>100</v>
      </c>
      <c r="R3210" s="102">
        <v>51000</v>
      </c>
      <c r="S3210" s="102">
        <f t="shared" si="1652"/>
        <v>5610000</v>
      </c>
      <c r="T3210" s="102">
        <f t="shared" si="1653"/>
        <v>5100000</v>
      </c>
      <c r="U3210" s="71" t="str">
        <f>IF(J3210=W3210,"O", "X")</f>
        <v>X</v>
      </c>
      <c r="V3210" s="71"/>
      <c r="W3210" s="474"/>
      <c r="X3210" s="71"/>
      <c r="Y3210" s="71"/>
    </row>
    <row r="3211" spans="1:25" ht="30" hidden="1" customHeight="1" x14ac:dyDescent="0.25">
      <c r="A3211" s="82">
        <v>200722</v>
      </c>
      <c r="B3211" s="664" t="s">
        <v>690</v>
      </c>
      <c r="C3211" s="71" t="s">
        <v>1186</v>
      </c>
      <c r="D3211" s="71">
        <v>500</v>
      </c>
      <c r="E3211" s="102">
        <v>3420</v>
      </c>
      <c r="F3211" s="1128">
        <f t="shared" si="1646"/>
        <v>1881000.0000000002</v>
      </c>
      <c r="G3211" s="102">
        <f t="shared" si="1647"/>
        <v>1710000</v>
      </c>
      <c r="H3211" s="690" t="s">
        <v>173</v>
      </c>
      <c r="I3211" s="71" t="s">
        <v>2230</v>
      </c>
      <c r="J3211" s="53">
        <f t="shared" si="1651"/>
        <v>-190000</v>
      </c>
      <c r="K3211" s="63">
        <f t="shared" si="1654"/>
        <v>-0.11111111111111109</v>
      </c>
      <c r="L3211" s="871" t="s">
        <v>2483</v>
      </c>
      <c r="M3211" s="468" t="s">
        <v>1393</v>
      </c>
      <c r="N3211" s="664">
        <f t="shared" si="1637"/>
        <v>200722</v>
      </c>
      <c r="O3211" s="71" t="s">
        <v>145</v>
      </c>
      <c r="P3211" s="164" t="str">
        <f t="shared" si="1641"/>
        <v>CTP 판(1030*790mm)</v>
      </c>
      <c r="Q3211" s="71">
        <f t="shared" si="1642"/>
        <v>500</v>
      </c>
      <c r="R3211" s="102">
        <v>3800</v>
      </c>
      <c r="S3211" s="102">
        <f t="shared" si="1652"/>
        <v>2090000.0000000002</v>
      </c>
      <c r="T3211" s="102">
        <f t="shared" si="1653"/>
        <v>1900000</v>
      </c>
      <c r="U3211" s="71" t="s">
        <v>859</v>
      </c>
      <c r="V3211" s="71"/>
      <c r="W3211" s="474">
        <v>-200000</v>
      </c>
      <c r="X3211" s="71"/>
      <c r="Y3211" s="71"/>
    </row>
    <row r="3212" spans="1:25" ht="30" hidden="1" customHeight="1" x14ac:dyDescent="0.25">
      <c r="A3212" s="82">
        <v>200722</v>
      </c>
      <c r="B3212" s="664" t="s">
        <v>442</v>
      </c>
      <c r="C3212" s="71" t="s">
        <v>206</v>
      </c>
      <c r="D3212" s="71">
        <v>2</v>
      </c>
      <c r="E3212" s="102">
        <v>327000</v>
      </c>
      <c r="F3212" s="102">
        <f>(E3212*D3212)*1.1</f>
        <v>719400</v>
      </c>
      <c r="G3212" s="102">
        <f>(E3212*D3212)</f>
        <v>654000</v>
      </c>
      <c r="H3212" s="690" t="s">
        <v>2029</v>
      </c>
      <c r="I3212" s="71" t="s">
        <v>195</v>
      </c>
      <c r="J3212" s="53">
        <f t="shared" si="1651"/>
        <v>115800</v>
      </c>
      <c r="K3212" s="63">
        <f t="shared" si="1654"/>
        <v>0.17706422018348625</v>
      </c>
      <c r="L3212" s="871" t="s">
        <v>2483</v>
      </c>
      <c r="M3212" s="468"/>
      <c r="N3212" s="664">
        <f t="shared" si="1637"/>
        <v>200722</v>
      </c>
      <c r="O3212" s="71" t="s">
        <v>194</v>
      </c>
      <c r="P3212" s="164" t="str">
        <f t="shared" si="1641"/>
        <v>Agfa Film(24inch)</v>
      </c>
      <c r="Q3212" s="71">
        <f t="shared" si="1642"/>
        <v>2</v>
      </c>
      <c r="R3212" s="102">
        <v>269100</v>
      </c>
      <c r="S3212" s="102">
        <f t="shared" si="1652"/>
        <v>592020</v>
      </c>
      <c r="T3212" s="102">
        <f t="shared" si="1653"/>
        <v>538200</v>
      </c>
      <c r="U3212" s="71" t="str">
        <f t="shared" ref="U3212:U3236" si="1655">IF(J3212=W3212,"O", "X")</f>
        <v>O</v>
      </c>
      <c r="V3212" s="71"/>
      <c r="W3212" s="474">
        <f>(G3212-T3212)</f>
        <v>115800</v>
      </c>
      <c r="X3212" s="71"/>
      <c r="Y3212" s="71"/>
    </row>
    <row r="3213" spans="1:25" ht="30" hidden="1" customHeight="1" x14ac:dyDescent="0.25">
      <c r="A3213" s="82">
        <v>200722</v>
      </c>
      <c r="B3213" s="664" t="s">
        <v>442</v>
      </c>
      <c r="C3213" s="71" t="s">
        <v>207</v>
      </c>
      <c r="D3213" s="71">
        <v>2</v>
      </c>
      <c r="E3213" s="102">
        <v>401000</v>
      </c>
      <c r="F3213" s="102">
        <f>(E3213*D3213)*1.1</f>
        <v>882200.00000000012</v>
      </c>
      <c r="G3213" s="102">
        <f>(E3213*D3213)</f>
        <v>802000</v>
      </c>
      <c r="H3213" s="690" t="s">
        <v>2029</v>
      </c>
      <c r="I3213" s="71" t="s">
        <v>195</v>
      </c>
      <c r="J3213" s="53">
        <f t="shared" si="1651"/>
        <v>174080</v>
      </c>
      <c r="K3213" s="63">
        <f t="shared" si="1654"/>
        <v>0.21705735660847877</v>
      </c>
      <c r="L3213" s="871" t="s">
        <v>2483</v>
      </c>
      <c r="M3213" s="468"/>
      <c r="N3213" s="664">
        <f t="shared" si="1637"/>
        <v>200722</v>
      </c>
      <c r="O3213" s="71" t="s">
        <v>194</v>
      </c>
      <c r="P3213" s="164" t="str">
        <f t="shared" si="1641"/>
        <v>Agfa Film(28inch)</v>
      </c>
      <c r="Q3213" s="71">
        <f t="shared" si="1642"/>
        <v>2</v>
      </c>
      <c r="R3213" s="102">
        <f>VLOOKUP(P3213,[5]Price!B$1:D$65536,3,FALSE)</f>
        <v>313960</v>
      </c>
      <c r="S3213" s="102">
        <f t="shared" si="1652"/>
        <v>690712</v>
      </c>
      <c r="T3213" s="102">
        <f t="shared" si="1653"/>
        <v>627920</v>
      </c>
      <c r="U3213" s="71" t="str">
        <f t="shared" si="1655"/>
        <v>O</v>
      </c>
      <c r="V3213" s="71"/>
      <c r="W3213" s="474">
        <f>(G3213-T3213)</f>
        <v>174080</v>
      </c>
      <c r="X3213" s="71"/>
      <c r="Y3213" s="71"/>
    </row>
    <row r="3214" spans="1:25" ht="30" hidden="1" customHeight="1" x14ac:dyDescent="0.25">
      <c r="A3214" s="82">
        <v>200722</v>
      </c>
      <c r="B3214" s="664" t="s">
        <v>442</v>
      </c>
      <c r="C3214" s="71" t="s">
        <v>208</v>
      </c>
      <c r="D3214" s="71">
        <v>2</v>
      </c>
      <c r="E3214" s="102">
        <v>448000</v>
      </c>
      <c r="F3214" s="102">
        <f>(E3214*D3214)*1.1</f>
        <v>985600.00000000012</v>
      </c>
      <c r="G3214" s="102">
        <f>(E3214*D3214)</f>
        <v>896000</v>
      </c>
      <c r="H3214" s="690" t="s">
        <v>2029</v>
      </c>
      <c r="I3214" s="71" t="s">
        <v>195</v>
      </c>
      <c r="J3214" s="53">
        <f t="shared" si="1651"/>
        <v>155980</v>
      </c>
      <c r="K3214" s="63">
        <f t="shared" si="1654"/>
        <v>0.1740848214285714</v>
      </c>
      <c r="L3214" s="871" t="s">
        <v>2483</v>
      </c>
      <c r="M3214" s="468"/>
      <c r="N3214" s="664">
        <f t="shared" si="1637"/>
        <v>200722</v>
      </c>
      <c r="O3214" s="71" t="s">
        <v>194</v>
      </c>
      <c r="P3214" s="164" t="str">
        <f t="shared" si="1641"/>
        <v>Agfa Film(32inch)</v>
      </c>
      <c r="Q3214" s="71">
        <f t="shared" si="1642"/>
        <v>2</v>
      </c>
      <c r="R3214" s="102">
        <f>VLOOKUP(P3214,[5]Price!B$1:D$65536,3,FALSE)</f>
        <v>370010</v>
      </c>
      <c r="S3214" s="102">
        <f t="shared" si="1652"/>
        <v>814022.00000000012</v>
      </c>
      <c r="T3214" s="102">
        <f t="shared" si="1653"/>
        <v>740020</v>
      </c>
      <c r="U3214" s="71" t="str">
        <f t="shared" si="1655"/>
        <v>O</v>
      </c>
      <c r="V3214" s="71"/>
      <c r="W3214" s="474">
        <f>(G3214-T3214)</f>
        <v>155980</v>
      </c>
      <c r="X3214" s="71"/>
      <c r="Y3214" s="71"/>
    </row>
    <row r="3215" spans="1:25" ht="30" hidden="1" customHeight="1" x14ac:dyDescent="0.25">
      <c r="A3215" s="82">
        <v>200722</v>
      </c>
      <c r="B3215" s="664" t="s">
        <v>690</v>
      </c>
      <c r="C3215" s="71" t="s">
        <v>197</v>
      </c>
      <c r="D3215" s="71">
        <v>4</v>
      </c>
      <c r="E3215" s="102">
        <v>46000</v>
      </c>
      <c r="F3215" s="1128">
        <f>(E3215*D3215)*1.1</f>
        <v>202400.00000000003</v>
      </c>
      <c r="G3215" s="102">
        <f>(E3215*D3215)</f>
        <v>184000</v>
      </c>
      <c r="H3215" s="690" t="s">
        <v>173</v>
      </c>
      <c r="I3215" s="71" t="s">
        <v>2230</v>
      </c>
      <c r="J3215" s="53">
        <f t="shared" si="1651"/>
        <v>44000</v>
      </c>
      <c r="K3215" s="63">
        <f t="shared" si="1654"/>
        <v>0.23913043478260865</v>
      </c>
      <c r="L3215" s="871" t="s">
        <v>2483</v>
      </c>
      <c r="M3215" s="468" t="s">
        <v>1394</v>
      </c>
      <c r="N3215" s="664">
        <f t="shared" si="1637"/>
        <v>200722</v>
      </c>
      <c r="O3215" s="71" t="s">
        <v>145</v>
      </c>
      <c r="P3215" s="164" t="str">
        <f t="shared" si="1641"/>
        <v>THR200(20L)</v>
      </c>
      <c r="Q3215" s="71">
        <f t="shared" si="1642"/>
        <v>4</v>
      </c>
      <c r="R3215" s="102">
        <v>35000</v>
      </c>
      <c r="S3215" s="102">
        <f t="shared" si="1652"/>
        <v>154000</v>
      </c>
      <c r="T3215" s="102">
        <f t="shared" si="1653"/>
        <v>140000</v>
      </c>
      <c r="U3215" s="71" t="str">
        <f t="shared" si="1655"/>
        <v>X</v>
      </c>
      <c r="V3215" s="71"/>
      <c r="W3215" s="474"/>
      <c r="X3215" s="71"/>
      <c r="Y3215" s="71"/>
    </row>
    <row r="3216" spans="1:25" ht="30" hidden="1" customHeight="1" x14ac:dyDescent="0.2">
      <c r="A3216" s="82">
        <v>200722</v>
      </c>
      <c r="B3216" s="664" t="s">
        <v>442</v>
      </c>
      <c r="C3216" s="71" t="s">
        <v>650</v>
      </c>
      <c r="D3216" s="71">
        <v>1</v>
      </c>
      <c r="E3216" s="102">
        <v>93000</v>
      </c>
      <c r="F3216" s="163">
        <f>(E3216*D3216)*1.1</f>
        <v>102300.00000000001</v>
      </c>
      <c r="G3216" s="163">
        <f>(E3216*D3216)</f>
        <v>93000</v>
      </c>
      <c r="H3216" s="165" t="s">
        <v>172</v>
      </c>
      <c r="I3216" s="71" t="s">
        <v>141</v>
      </c>
      <c r="J3216" s="53">
        <f>(G3216-(VLOOKUP(C3216,Price!B:D,3,FALSE)*D3216))</f>
        <v>33000</v>
      </c>
      <c r="K3216" s="63">
        <f t="shared" si="1654"/>
        <v>0.35483870967741932</v>
      </c>
      <c r="L3216" s="871" t="s">
        <v>2483</v>
      </c>
      <c r="M3216" s="468"/>
      <c r="N3216" s="664">
        <f t="shared" si="1637"/>
        <v>200722</v>
      </c>
      <c r="O3216" s="71" t="s">
        <v>145</v>
      </c>
      <c r="P3216" s="164" t="str">
        <f t="shared" si="1641"/>
        <v>Agfa 정착액 G333C(20L)</v>
      </c>
      <c r="Q3216" s="71">
        <f t="shared" si="1642"/>
        <v>1</v>
      </c>
      <c r="R3216" s="102">
        <f>VLOOKUP(P3216,Price!B:D,3,FALSE)</f>
        <v>60000</v>
      </c>
      <c r="S3216" s="102">
        <f t="shared" si="1652"/>
        <v>66000</v>
      </c>
      <c r="T3216" s="102">
        <f t="shared" si="1653"/>
        <v>60000</v>
      </c>
      <c r="U3216" s="71" t="str">
        <f t="shared" si="1655"/>
        <v>O</v>
      </c>
      <c r="V3216" s="71"/>
      <c r="W3216" s="474">
        <f t="shared" ref="W3216:W3234" si="1656">(G3216-T3216)</f>
        <v>33000</v>
      </c>
      <c r="X3216" s="71"/>
      <c r="Y3216" s="71"/>
    </row>
    <row r="3217" spans="1:25" ht="30" hidden="1" customHeight="1" x14ac:dyDescent="0.25">
      <c r="A3217" s="82">
        <v>200724</v>
      </c>
      <c r="B3217" s="664" t="s">
        <v>809</v>
      </c>
      <c r="C3217" s="71" t="s">
        <v>1081</v>
      </c>
      <c r="D3217" s="71">
        <v>10</v>
      </c>
      <c r="E3217" s="102">
        <v>156000</v>
      </c>
      <c r="F3217" s="102">
        <f t="shared" si="1646"/>
        <v>1716000.0000000002</v>
      </c>
      <c r="G3217" s="102">
        <f t="shared" si="1647"/>
        <v>1560000</v>
      </c>
      <c r="H3217" s="690" t="s">
        <v>173</v>
      </c>
      <c r="I3217" s="71" t="s">
        <v>2231</v>
      </c>
      <c r="J3217" s="53">
        <f t="shared" ref="J3217:J3235" si="1657">G3217-T3217</f>
        <v>360000</v>
      </c>
      <c r="K3217" s="63">
        <f t="shared" si="1654"/>
        <v>0.23076923076923073</v>
      </c>
      <c r="L3217" s="871" t="s">
        <v>2483</v>
      </c>
      <c r="M3217" s="468"/>
      <c r="N3217" s="664">
        <f t="shared" si="1637"/>
        <v>200724</v>
      </c>
      <c r="O3217" s="71" t="s">
        <v>147</v>
      </c>
      <c r="P3217" s="164" t="str">
        <f t="shared" si="1641"/>
        <v>파우더</v>
      </c>
      <c r="Q3217" s="71">
        <f t="shared" si="1642"/>
        <v>10</v>
      </c>
      <c r="R3217" s="102">
        <v>120000</v>
      </c>
      <c r="S3217" s="102">
        <f t="shared" si="1652"/>
        <v>1320000</v>
      </c>
      <c r="T3217" s="102">
        <f t="shared" si="1653"/>
        <v>1200000</v>
      </c>
      <c r="U3217" s="71" t="str">
        <f t="shared" si="1655"/>
        <v>O</v>
      </c>
      <c r="V3217" s="71"/>
      <c r="W3217" s="474">
        <f t="shared" si="1656"/>
        <v>360000</v>
      </c>
      <c r="X3217" s="71"/>
      <c r="Y3217" s="71"/>
    </row>
    <row r="3218" spans="1:25" ht="30" hidden="1" customHeight="1" x14ac:dyDescent="0.2">
      <c r="A3218" s="82">
        <v>200727</v>
      </c>
      <c r="B3218" s="664" t="s">
        <v>631</v>
      </c>
      <c r="C3218" s="71" t="s">
        <v>201</v>
      </c>
      <c r="D3218" s="71">
        <v>10</v>
      </c>
      <c r="E3218" s="102">
        <v>75000</v>
      </c>
      <c r="F3218" s="163">
        <f t="shared" si="1646"/>
        <v>825000.00000000012</v>
      </c>
      <c r="G3218" s="102">
        <f t="shared" si="1647"/>
        <v>750000</v>
      </c>
      <c r="H3218" s="690" t="s">
        <v>173</v>
      </c>
      <c r="I3218" s="71" t="s">
        <v>109</v>
      </c>
      <c r="J3218" s="53">
        <f t="shared" si="1657"/>
        <v>200000</v>
      </c>
      <c r="K3218" s="63">
        <f t="shared" si="1654"/>
        <v>0.26666666666666661</v>
      </c>
      <c r="L3218" s="871" t="s">
        <v>2483</v>
      </c>
      <c r="M3218" s="468"/>
      <c r="N3218" s="664">
        <f t="shared" si="1637"/>
        <v>200727</v>
      </c>
      <c r="O3218" s="71" t="s">
        <v>149</v>
      </c>
      <c r="P3218" s="164" t="str">
        <f t="shared" si="1641"/>
        <v>Bar블랑켓 730*710</v>
      </c>
      <c r="Q3218" s="71">
        <f t="shared" si="1642"/>
        <v>10</v>
      </c>
      <c r="R3218" s="102">
        <v>55000</v>
      </c>
      <c r="S3218" s="102">
        <f t="shared" si="1652"/>
        <v>605000</v>
      </c>
      <c r="T3218" s="102">
        <f t="shared" si="1653"/>
        <v>550000</v>
      </c>
      <c r="U3218" s="71" t="str">
        <f t="shared" si="1655"/>
        <v>O</v>
      </c>
      <c r="V3218" s="71"/>
      <c r="W3218" s="474">
        <f t="shared" si="1656"/>
        <v>200000</v>
      </c>
      <c r="X3218" s="71"/>
      <c r="Y3218" s="71"/>
    </row>
    <row r="3219" spans="1:25" ht="30" hidden="1" customHeight="1" x14ac:dyDescent="0.25">
      <c r="A3219" s="82">
        <v>200727</v>
      </c>
      <c r="B3219" s="664" t="s">
        <v>1051</v>
      </c>
      <c r="C3219" s="71" t="s">
        <v>1294</v>
      </c>
      <c r="D3219" s="71">
        <v>2300</v>
      </c>
      <c r="E3219" s="102">
        <v>6020</v>
      </c>
      <c r="F3219" s="102">
        <f t="shared" si="1646"/>
        <v>15230600.000000002</v>
      </c>
      <c r="G3219" s="102">
        <f t="shared" si="1647"/>
        <v>13846000</v>
      </c>
      <c r="H3219" s="690" t="s">
        <v>142</v>
      </c>
      <c r="I3219" s="71" t="s">
        <v>2529</v>
      </c>
      <c r="J3219" s="53">
        <f t="shared" si="1657"/>
        <v>3841000</v>
      </c>
      <c r="K3219" s="63">
        <f t="shared" ref="K3219:K3235" si="1658">(J3219/(F3219/11*10))</f>
        <v>0.27740863787375414</v>
      </c>
      <c r="L3219" s="871" t="s">
        <v>2483</v>
      </c>
      <c r="M3219" s="468"/>
      <c r="N3219" s="664">
        <f t="shared" si="1637"/>
        <v>200727</v>
      </c>
      <c r="O3219" s="71" t="s">
        <v>145</v>
      </c>
      <c r="P3219" s="164" t="str">
        <f t="shared" si="1641"/>
        <v>ENGAGE 1030*790</v>
      </c>
      <c r="Q3219" s="71">
        <f t="shared" si="1642"/>
        <v>2300</v>
      </c>
      <c r="R3219" s="102">
        <v>4350</v>
      </c>
      <c r="S3219" s="102">
        <f t="shared" si="1652"/>
        <v>11005500</v>
      </c>
      <c r="T3219" s="102">
        <f t="shared" si="1653"/>
        <v>10005000</v>
      </c>
      <c r="U3219" s="71" t="str">
        <f t="shared" si="1655"/>
        <v>O</v>
      </c>
      <c r="V3219" s="71"/>
      <c r="W3219" s="474">
        <f t="shared" si="1656"/>
        <v>3841000</v>
      </c>
      <c r="X3219" s="71"/>
      <c r="Y3219" s="71"/>
    </row>
    <row r="3220" spans="1:25" ht="30" hidden="1" customHeight="1" x14ac:dyDescent="0.25">
      <c r="A3220" s="82">
        <v>200727</v>
      </c>
      <c r="B3220" s="664" t="s">
        <v>1051</v>
      </c>
      <c r="C3220" s="71" t="s">
        <v>1384</v>
      </c>
      <c r="D3220" s="71">
        <v>2300</v>
      </c>
      <c r="E3220" s="102">
        <v>3790</v>
      </c>
      <c r="F3220" s="102">
        <f t="shared" si="1646"/>
        <v>9588700</v>
      </c>
      <c r="G3220" s="102">
        <f t="shared" si="1647"/>
        <v>8717000</v>
      </c>
      <c r="H3220" s="690" t="s">
        <v>142</v>
      </c>
      <c r="I3220" s="71" t="s">
        <v>2529</v>
      </c>
      <c r="J3220" s="53">
        <f t="shared" si="1657"/>
        <v>2398246.7739953287</v>
      </c>
      <c r="K3220" s="63">
        <f t="shared" si="1658"/>
        <v>0.2751229521619053</v>
      </c>
      <c r="L3220" s="871" t="s">
        <v>2483</v>
      </c>
      <c r="M3220" s="468"/>
      <c r="N3220" s="664">
        <f t="shared" si="1637"/>
        <v>200727</v>
      </c>
      <c r="O3220" s="71" t="s">
        <v>145</v>
      </c>
      <c r="P3220" s="164" t="str">
        <f t="shared" si="1641"/>
        <v>ENGAGE 900X571 - 27RO</v>
      </c>
      <c r="Q3220" s="71">
        <f t="shared" si="1642"/>
        <v>2300</v>
      </c>
      <c r="R3220" s="102">
        <f>R3219/1030/790*900*571</f>
        <v>2747.2840113063789</v>
      </c>
      <c r="S3220" s="102">
        <f t="shared" si="1652"/>
        <v>6950628.5486051394</v>
      </c>
      <c r="T3220" s="102">
        <f t="shared" si="1653"/>
        <v>6318753.2260046713</v>
      </c>
      <c r="U3220" s="71" t="str">
        <f t="shared" si="1655"/>
        <v>O</v>
      </c>
      <c r="V3220" s="71"/>
      <c r="W3220" s="474">
        <f t="shared" si="1656"/>
        <v>2398246.7739953287</v>
      </c>
      <c r="X3220" s="71"/>
      <c r="Y3220" s="71"/>
    </row>
    <row r="3221" spans="1:25" ht="30" hidden="1" customHeight="1" x14ac:dyDescent="0.25">
      <c r="A3221" s="82">
        <v>200727</v>
      </c>
      <c r="B3221" s="664" t="s">
        <v>1051</v>
      </c>
      <c r="C3221" s="71" t="s">
        <v>951</v>
      </c>
      <c r="D3221" s="71">
        <v>2800</v>
      </c>
      <c r="E3221" s="102">
        <v>3610</v>
      </c>
      <c r="F3221" s="102">
        <f t="shared" si="1646"/>
        <v>11118800</v>
      </c>
      <c r="G3221" s="102">
        <f t="shared" si="1647"/>
        <v>10108000</v>
      </c>
      <c r="H3221" s="690" t="s">
        <v>142</v>
      </c>
      <c r="I3221" s="71" t="s">
        <v>2529</v>
      </c>
      <c r="J3221" s="53">
        <f t="shared" si="1657"/>
        <v>2812034.8039818099</v>
      </c>
      <c r="K3221" s="63">
        <f t="shared" si="1658"/>
        <v>0.27819893193330131</v>
      </c>
      <c r="L3221" s="871" t="s">
        <v>2483</v>
      </c>
      <c r="M3221" s="468"/>
      <c r="N3221" s="664">
        <f t="shared" si="1637"/>
        <v>200727</v>
      </c>
      <c r="O3221" s="71" t="s">
        <v>145</v>
      </c>
      <c r="P3221" s="164" t="str">
        <f t="shared" si="1641"/>
        <v>ENGAGE 30WEB(883*552)</v>
      </c>
      <c r="Q3221" s="71">
        <f t="shared" si="1642"/>
        <v>2800</v>
      </c>
      <c r="R3221" s="102">
        <f>R3219/1030/790*883*552</f>
        <v>2605.7018557207821</v>
      </c>
      <c r="S3221" s="102">
        <f t="shared" si="1652"/>
        <v>8025561.7156200102</v>
      </c>
      <c r="T3221" s="102">
        <f t="shared" si="1653"/>
        <v>7295965.1960181901</v>
      </c>
      <c r="U3221" s="71" t="str">
        <f t="shared" si="1655"/>
        <v>O</v>
      </c>
      <c r="V3221" s="71"/>
      <c r="W3221" s="474">
        <f t="shared" si="1656"/>
        <v>2812034.8039818099</v>
      </c>
      <c r="X3221" s="71"/>
      <c r="Y3221" s="71"/>
    </row>
    <row r="3222" spans="1:25" ht="30" hidden="1" customHeight="1" x14ac:dyDescent="0.25">
      <c r="A3222" s="82">
        <v>200727</v>
      </c>
      <c r="B3222" s="664" t="s">
        <v>1051</v>
      </c>
      <c r="C3222" s="71" t="s">
        <v>2219</v>
      </c>
      <c r="D3222" s="71">
        <v>1100</v>
      </c>
      <c r="E3222" s="102">
        <v>6090</v>
      </c>
      <c r="F3222" s="102">
        <f t="shared" si="1646"/>
        <v>7368900.0000000009</v>
      </c>
      <c r="G3222" s="102">
        <f t="shared" si="1647"/>
        <v>6699000</v>
      </c>
      <c r="H3222" s="690" t="s">
        <v>142</v>
      </c>
      <c r="I3222" s="71" t="s">
        <v>2529</v>
      </c>
      <c r="J3222" s="53">
        <f t="shared" si="1657"/>
        <v>1853430.3797468347</v>
      </c>
      <c r="K3222" s="63">
        <f t="shared" si="1658"/>
        <v>0.27667269439421321</v>
      </c>
      <c r="L3222" s="871" t="s">
        <v>2483</v>
      </c>
      <c r="M3222" s="468"/>
      <c r="N3222" s="664">
        <f t="shared" si="1637"/>
        <v>200727</v>
      </c>
      <c r="O3222" s="71" t="s">
        <v>145</v>
      </c>
      <c r="P3222" s="164" t="str">
        <f t="shared" si="1641"/>
        <v>ENGAGE 1030*800</v>
      </c>
      <c r="Q3222" s="71">
        <f t="shared" si="1642"/>
        <v>1100</v>
      </c>
      <c r="R3222" s="102">
        <f>R3219/1030/790*1030*800</f>
        <v>4405.0632911392413</v>
      </c>
      <c r="S3222" s="102">
        <f t="shared" si="1652"/>
        <v>5330126.5822784826</v>
      </c>
      <c r="T3222" s="102">
        <f t="shared" si="1653"/>
        <v>4845569.6202531653</v>
      </c>
      <c r="U3222" s="71" t="str">
        <f t="shared" si="1655"/>
        <v>O</v>
      </c>
      <c r="V3222" s="71"/>
      <c r="W3222" s="474">
        <f t="shared" si="1656"/>
        <v>1853430.3797468347</v>
      </c>
      <c r="X3222" s="71"/>
      <c r="Y3222" s="71"/>
    </row>
    <row r="3223" spans="1:25" ht="30" hidden="1" customHeight="1" x14ac:dyDescent="0.25">
      <c r="A3223" s="82">
        <v>200727</v>
      </c>
      <c r="B3223" s="664" t="s">
        <v>1051</v>
      </c>
      <c r="C3223" s="71" t="s">
        <v>1383</v>
      </c>
      <c r="D3223" s="71">
        <v>600</v>
      </c>
      <c r="E3223" s="102">
        <v>6320</v>
      </c>
      <c r="F3223" s="102">
        <f t="shared" si="1646"/>
        <v>4171200.0000000005</v>
      </c>
      <c r="G3223" s="102">
        <f t="shared" si="1647"/>
        <v>3792000</v>
      </c>
      <c r="H3223" s="690" t="s">
        <v>142</v>
      </c>
      <c r="I3223" s="71" t="s">
        <v>2529</v>
      </c>
      <c r="J3223" s="53">
        <f t="shared" si="1657"/>
        <v>1047586.7641636957</v>
      </c>
      <c r="K3223" s="63">
        <f t="shared" si="1658"/>
        <v>0.27626233232164971</v>
      </c>
      <c r="L3223" s="871" t="s">
        <v>2483</v>
      </c>
      <c r="M3223" s="468"/>
      <c r="N3223" s="664">
        <f t="shared" si="1637"/>
        <v>200727</v>
      </c>
      <c r="O3223" s="71" t="s">
        <v>145</v>
      </c>
      <c r="P3223" s="164" t="str">
        <f t="shared" si="1641"/>
        <v>ENGAGE 1055*811</v>
      </c>
      <c r="Q3223" s="71">
        <f t="shared" si="1642"/>
        <v>600</v>
      </c>
      <c r="R3223" s="102">
        <f>R3219/1030/790*1055*811</f>
        <v>4574.0220597271737</v>
      </c>
      <c r="S3223" s="102">
        <f t="shared" si="1652"/>
        <v>3018854.5594199351</v>
      </c>
      <c r="T3223" s="102">
        <f t="shared" si="1653"/>
        <v>2744413.2358363043</v>
      </c>
      <c r="U3223" s="71" t="str">
        <f t="shared" si="1655"/>
        <v>O</v>
      </c>
      <c r="V3223" s="71"/>
      <c r="W3223" s="474">
        <f t="shared" si="1656"/>
        <v>1047586.7641636957</v>
      </c>
      <c r="X3223" s="71"/>
      <c r="Y3223" s="71"/>
    </row>
    <row r="3224" spans="1:25" ht="30" hidden="1" customHeight="1" x14ac:dyDescent="0.25">
      <c r="A3224" s="82">
        <v>200727</v>
      </c>
      <c r="B3224" s="664" t="s">
        <v>1051</v>
      </c>
      <c r="C3224" s="71" t="s">
        <v>1650</v>
      </c>
      <c r="D3224" s="71">
        <v>600</v>
      </c>
      <c r="E3224" s="102">
        <v>4520</v>
      </c>
      <c r="F3224" s="102">
        <f t="shared" si="1646"/>
        <v>2983200.0000000005</v>
      </c>
      <c r="G3224" s="102">
        <f t="shared" si="1647"/>
        <v>2712000</v>
      </c>
      <c r="H3224" s="690" t="s">
        <v>142</v>
      </c>
      <c r="I3224" s="71" t="s">
        <v>2529</v>
      </c>
      <c r="J3224" s="53">
        <f t="shared" si="1657"/>
        <v>752790.36499938532</v>
      </c>
      <c r="K3224" s="63">
        <f t="shared" si="1658"/>
        <v>0.27757756821511254</v>
      </c>
      <c r="L3224" s="871" t="s">
        <v>2483</v>
      </c>
      <c r="M3224" s="468"/>
      <c r="N3224" s="664">
        <f t="shared" si="1637"/>
        <v>200727</v>
      </c>
      <c r="O3224" s="71" t="s">
        <v>145</v>
      </c>
      <c r="P3224" s="164" t="str">
        <f t="shared" si="1641"/>
        <v>ENGAGE 968*631</v>
      </c>
      <c r="Q3224" s="71">
        <f t="shared" si="1642"/>
        <v>600</v>
      </c>
      <c r="R3224" s="102">
        <f>R3219/1030/790*968*631</f>
        <v>3265.3493916676912</v>
      </c>
      <c r="S3224" s="102">
        <f t="shared" si="1652"/>
        <v>2155130.5985006765</v>
      </c>
      <c r="T3224" s="102">
        <f t="shared" si="1653"/>
        <v>1959209.6350006147</v>
      </c>
      <c r="U3224" s="71" t="str">
        <f t="shared" si="1655"/>
        <v>O</v>
      </c>
      <c r="V3224" s="71"/>
      <c r="W3224" s="474">
        <f t="shared" si="1656"/>
        <v>752790.36499938532</v>
      </c>
      <c r="X3224" s="71"/>
      <c r="Y3224" s="71"/>
    </row>
    <row r="3225" spans="1:25" ht="30" hidden="1" customHeight="1" x14ac:dyDescent="0.25">
      <c r="A3225" s="82">
        <v>200727</v>
      </c>
      <c r="B3225" s="664" t="s">
        <v>1051</v>
      </c>
      <c r="C3225" s="67" t="s">
        <v>1386</v>
      </c>
      <c r="D3225" s="71">
        <v>50</v>
      </c>
      <c r="E3225" s="102">
        <v>55500</v>
      </c>
      <c r="F3225" s="102">
        <f t="shared" si="1646"/>
        <v>3052500.0000000005</v>
      </c>
      <c r="G3225" s="102">
        <f t="shared" si="1647"/>
        <v>2775000</v>
      </c>
      <c r="H3225" s="690" t="s">
        <v>142</v>
      </c>
      <c r="I3225" s="71" t="s">
        <v>2529</v>
      </c>
      <c r="J3225" s="53">
        <f t="shared" si="1657"/>
        <v>1025000</v>
      </c>
      <c r="K3225" s="63">
        <f t="shared" si="1658"/>
        <v>0.36936936936936932</v>
      </c>
      <c r="L3225" s="871" t="s">
        <v>2483</v>
      </c>
      <c r="M3225" s="468"/>
      <c r="N3225" s="664">
        <f t="shared" si="1637"/>
        <v>200727</v>
      </c>
      <c r="O3225" s="71" t="s">
        <v>145</v>
      </c>
      <c r="P3225" s="164" t="str">
        <f t="shared" si="1641"/>
        <v>THR200(20L)보충액</v>
      </c>
      <c r="Q3225" s="71">
        <f t="shared" si="1642"/>
        <v>50</v>
      </c>
      <c r="R3225" s="102">
        <v>35000</v>
      </c>
      <c r="S3225" s="102">
        <f t="shared" si="1652"/>
        <v>1925000.0000000002</v>
      </c>
      <c r="T3225" s="102">
        <f t="shared" si="1653"/>
        <v>1750000</v>
      </c>
      <c r="U3225" s="71" t="str">
        <f t="shared" si="1655"/>
        <v>O</v>
      </c>
      <c r="V3225" s="71"/>
      <c r="W3225" s="474">
        <f t="shared" si="1656"/>
        <v>1025000</v>
      </c>
      <c r="X3225" s="71"/>
      <c r="Y3225" s="71"/>
    </row>
    <row r="3226" spans="1:25" ht="30" hidden="1" customHeight="1" x14ac:dyDescent="0.25">
      <c r="A3226" s="82">
        <v>200727</v>
      </c>
      <c r="B3226" s="664" t="s">
        <v>1051</v>
      </c>
      <c r="C3226" s="71" t="s">
        <v>1387</v>
      </c>
      <c r="D3226" s="71">
        <v>10</v>
      </c>
      <c r="E3226" s="102">
        <v>55500</v>
      </c>
      <c r="F3226" s="102">
        <f t="shared" si="1646"/>
        <v>610500</v>
      </c>
      <c r="G3226" s="102">
        <f t="shared" si="1647"/>
        <v>555000</v>
      </c>
      <c r="H3226" s="690" t="s">
        <v>142</v>
      </c>
      <c r="I3226" s="71" t="s">
        <v>2529</v>
      </c>
      <c r="J3226" s="53">
        <f t="shared" si="1657"/>
        <v>205000</v>
      </c>
      <c r="K3226" s="63">
        <f t="shared" si="1658"/>
        <v>0.36936936936936937</v>
      </c>
      <c r="L3226" s="871" t="s">
        <v>2483</v>
      </c>
      <c r="M3226" s="468"/>
      <c r="N3226" s="664">
        <f t="shared" si="1637"/>
        <v>200727</v>
      </c>
      <c r="O3226" s="71" t="s">
        <v>145</v>
      </c>
      <c r="P3226" s="164" t="str">
        <f t="shared" si="1641"/>
        <v>THD200(20L)현상액</v>
      </c>
      <c r="Q3226" s="71">
        <f t="shared" si="1642"/>
        <v>10</v>
      </c>
      <c r="R3226" s="102">
        <v>35000</v>
      </c>
      <c r="S3226" s="102">
        <f t="shared" si="1652"/>
        <v>385000.00000000006</v>
      </c>
      <c r="T3226" s="102">
        <f t="shared" si="1653"/>
        <v>350000</v>
      </c>
      <c r="U3226" s="71" t="str">
        <f t="shared" si="1655"/>
        <v>O</v>
      </c>
      <c r="V3226" s="71"/>
      <c r="W3226" s="474">
        <f t="shared" si="1656"/>
        <v>205000</v>
      </c>
      <c r="X3226" s="71"/>
      <c r="Y3226" s="71"/>
    </row>
    <row r="3227" spans="1:25" ht="30" hidden="1" customHeight="1" x14ac:dyDescent="0.25">
      <c r="A3227" s="82">
        <v>200727</v>
      </c>
      <c r="B3227" s="664" t="s">
        <v>1061</v>
      </c>
      <c r="C3227" s="71" t="s">
        <v>616</v>
      </c>
      <c r="D3227" s="71">
        <v>200</v>
      </c>
      <c r="E3227" s="102">
        <v>5600</v>
      </c>
      <c r="F3227" s="102">
        <f t="shared" si="1646"/>
        <v>1232000</v>
      </c>
      <c r="G3227" s="102">
        <f t="shared" si="1647"/>
        <v>1120000</v>
      </c>
      <c r="H3227" s="690" t="s">
        <v>142</v>
      </c>
      <c r="I3227" s="71" t="s">
        <v>144</v>
      </c>
      <c r="J3227" s="53">
        <f t="shared" si="1657"/>
        <v>102000</v>
      </c>
      <c r="K3227" s="63">
        <f t="shared" si="1658"/>
        <v>9.1071428571428567E-2</v>
      </c>
      <c r="L3227" s="871" t="s">
        <v>2483</v>
      </c>
      <c r="M3227" s="468"/>
      <c r="N3227" s="664">
        <f t="shared" si="1637"/>
        <v>200727</v>
      </c>
      <c r="O3227" s="71" t="s">
        <v>147</v>
      </c>
      <c r="P3227" s="164" t="str">
        <f t="shared" si="1641"/>
        <v>프리미어(먹)</v>
      </c>
      <c r="Q3227" s="71">
        <f t="shared" si="1642"/>
        <v>200</v>
      </c>
      <c r="R3227" s="102">
        <v>5090</v>
      </c>
      <c r="S3227" s="102">
        <f t="shared" si="1652"/>
        <v>1119800</v>
      </c>
      <c r="T3227" s="102">
        <f t="shared" si="1653"/>
        <v>1018000</v>
      </c>
      <c r="U3227" s="71" t="str">
        <f t="shared" si="1655"/>
        <v>O</v>
      </c>
      <c r="V3227" s="71"/>
      <c r="W3227" s="474">
        <f t="shared" si="1656"/>
        <v>102000</v>
      </c>
      <c r="X3227" s="71"/>
      <c r="Y3227" s="71"/>
    </row>
    <row r="3228" spans="1:25" ht="30" hidden="1" customHeight="1" x14ac:dyDescent="0.25">
      <c r="A3228" s="82">
        <v>200727</v>
      </c>
      <c r="B3228" s="664" t="s">
        <v>1052</v>
      </c>
      <c r="C3228" s="71" t="s">
        <v>585</v>
      </c>
      <c r="D3228" s="71">
        <v>400</v>
      </c>
      <c r="E3228" s="102">
        <v>6000</v>
      </c>
      <c r="F3228" s="102">
        <f t="shared" si="1646"/>
        <v>2640000</v>
      </c>
      <c r="G3228" s="102">
        <f t="shared" si="1647"/>
        <v>2400000</v>
      </c>
      <c r="H3228" s="690" t="s">
        <v>142</v>
      </c>
      <c r="I3228" s="71" t="s">
        <v>144</v>
      </c>
      <c r="J3228" s="53">
        <f t="shared" si="1657"/>
        <v>220000</v>
      </c>
      <c r="K3228" s="63">
        <f t="shared" si="1658"/>
        <v>9.166666666666666E-2</v>
      </c>
      <c r="L3228" s="871" t="s">
        <v>2483</v>
      </c>
      <c r="M3228" s="468"/>
      <c r="N3228" s="664">
        <f t="shared" si="1637"/>
        <v>200727</v>
      </c>
      <c r="O3228" s="71" t="s">
        <v>147</v>
      </c>
      <c r="P3228" s="164" t="str">
        <f t="shared" si="1641"/>
        <v>프리미어(적)</v>
      </c>
      <c r="Q3228" s="71">
        <f t="shared" si="1642"/>
        <v>400</v>
      </c>
      <c r="R3228" s="102">
        <v>5450</v>
      </c>
      <c r="S3228" s="102">
        <f t="shared" si="1652"/>
        <v>2398000</v>
      </c>
      <c r="T3228" s="102">
        <f t="shared" si="1653"/>
        <v>2180000</v>
      </c>
      <c r="U3228" s="71" t="str">
        <f t="shared" si="1655"/>
        <v>O</v>
      </c>
      <c r="V3228" s="71"/>
      <c r="W3228" s="474">
        <f t="shared" si="1656"/>
        <v>220000</v>
      </c>
      <c r="X3228" s="71"/>
      <c r="Y3228" s="71"/>
    </row>
    <row r="3229" spans="1:25" ht="30" hidden="1" customHeight="1" x14ac:dyDescent="0.25">
      <c r="A3229" s="82">
        <v>200727</v>
      </c>
      <c r="B3229" s="664" t="s">
        <v>1061</v>
      </c>
      <c r="C3229" s="71" t="s">
        <v>586</v>
      </c>
      <c r="D3229" s="71">
        <v>600</v>
      </c>
      <c r="E3229" s="102">
        <v>5750</v>
      </c>
      <c r="F3229" s="102">
        <f t="shared" si="1646"/>
        <v>3795000.0000000005</v>
      </c>
      <c r="G3229" s="102">
        <f t="shared" si="1647"/>
        <v>3450000</v>
      </c>
      <c r="H3229" s="690" t="s">
        <v>142</v>
      </c>
      <c r="I3229" s="71" t="s">
        <v>144</v>
      </c>
      <c r="J3229" s="53">
        <f t="shared" si="1657"/>
        <v>318000</v>
      </c>
      <c r="K3229" s="63">
        <f t="shared" si="1658"/>
        <v>9.2173913043478245E-2</v>
      </c>
      <c r="L3229" s="871" t="s">
        <v>2483</v>
      </c>
      <c r="M3229" s="468"/>
      <c r="N3229" s="664">
        <f t="shared" si="1637"/>
        <v>200727</v>
      </c>
      <c r="O3229" s="71" t="s">
        <v>147</v>
      </c>
      <c r="P3229" s="164" t="str">
        <f t="shared" si="1641"/>
        <v>프리미어(황)</v>
      </c>
      <c r="Q3229" s="71">
        <f t="shared" si="1642"/>
        <v>600</v>
      </c>
      <c r="R3229" s="102">
        <v>5220</v>
      </c>
      <c r="S3229" s="102">
        <f t="shared" si="1652"/>
        <v>3445200.0000000005</v>
      </c>
      <c r="T3229" s="102">
        <f t="shared" si="1653"/>
        <v>3132000</v>
      </c>
      <c r="U3229" s="71" t="str">
        <f t="shared" si="1655"/>
        <v>O</v>
      </c>
      <c r="V3229" s="71"/>
      <c r="W3229" s="474">
        <f t="shared" si="1656"/>
        <v>318000</v>
      </c>
      <c r="X3229" s="71"/>
      <c r="Y3229" s="71"/>
    </row>
    <row r="3230" spans="1:25" ht="30" hidden="1" customHeight="1" x14ac:dyDescent="0.25">
      <c r="A3230" s="82">
        <v>200727</v>
      </c>
      <c r="B3230" s="664" t="s">
        <v>1061</v>
      </c>
      <c r="C3230" s="71" t="s">
        <v>587</v>
      </c>
      <c r="D3230" s="71">
        <v>400</v>
      </c>
      <c r="E3230" s="102">
        <v>7000</v>
      </c>
      <c r="F3230" s="102">
        <f t="shared" si="1646"/>
        <v>3080000.0000000005</v>
      </c>
      <c r="G3230" s="102">
        <f t="shared" si="1647"/>
        <v>2800000</v>
      </c>
      <c r="H3230" s="690" t="s">
        <v>142</v>
      </c>
      <c r="I3230" s="71" t="s">
        <v>144</v>
      </c>
      <c r="J3230" s="53">
        <f t="shared" si="1657"/>
        <v>256000</v>
      </c>
      <c r="K3230" s="63">
        <f t="shared" si="1658"/>
        <v>9.1428571428571415E-2</v>
      </c>
      <c r="L3230" s="871" t="s">
        <v>2483</v>
      </c>
      <c r="M3230" s="468"/>
      <c r="N3230" s="664">
        <f t="shared" si="1637"/>
        <v>200727</v>
      </c>
      <c r="O3230" s="71" t="s">
        <v>147</v>
      </c>
      <c r="P3230" s="164" t="str">
        <f t="shared" si="1641"/>
        <v>프리미어(청)</v>
      </c>
      <c r="Q3230" s="71">
        <f t="shared" si="1642"/>
        <v>400</v>
      </c>
      <c r="R3230" s="102">
        <v>6360</v>
      </c>
      <c r="S3230" s="102">
        <f t="shared" si="1652"/>
        <v>2798400</v>
      </c>
      <c r="T3230" s="102">
        <f t="shared" si="1653"/>
        <v>2544000</v>
      </c>
      <c r="U3230" s="71" t="str">
        <f t="shared" si="1655"/>
        <v>O</v>
      </c>
      <c r="V3230" s="71"/>
      <c r="W3230" s="474">
        <f t="shared" si="1656"/>
        <v>256000</v>
      </c>
      <c r="X3230" s="71"/>
      <c r="Y3230" s="71"/>
    </row>
    <row r="3231" spans="1:25" ht="30" hidden="1" customHeight="1" x14ac:dyDescent="0.25">
      <c r="A3231" s="82">
        <v>200727</v>
      </c>
      <c r="B3231" s="664" t="s">
        <v>1052</v>
      </c>
      <c r="C3231" s="71" t="s">
        <v>1115</v>
      </c>
      <c r="D3231" s="71">
        <v>300</v>
      </c>
      <c r="E3231" s="102">
        <v>6200</v>
      </c>
      <c r="F3231" s="102">
        <f t="shared" si="1646"/>
        <v>2046000.0000000002</v>
      </c>
      <c r="G3231" s="102">
        <f t="shared" si="1647"/>
        <v>1860000</v>
      </c>
      <c r="H3231" s="690" t="s">
        <v>142</v>
      </c>
      <c r="I3231" s="71" t="s">
        <v>144</v>
      </c>
      <c r="J3231" s="53">
        <f t="shared" si="1657"/>
        <v>90000</v>
      </c>
      <c r="K3231" s="63">
        <f t="shared" si="1658"/>
        <v>4.838709677419354E-2</v>
      </c>
      <c r="L3231" s="871" t="s">
        <v>2483</v>
      </c>
      <c r="M3231" s="468"/>
      <c r="N3231" s="664">
        <f t="shared" si="1637"/>
        <v>200727</v>
      </c>
      <c r="O3231" s="71" t="s">
        <v>2459</v>
      </c>
      <c r="P3231" s="164" t="str">
        <f t="shared" si="1641"/>
        <v>한특 잉크(적)</v>
      </c>
      <c r="Q3231" s="71">
        <f t="shared" si="1642"/>
        <v>300</v>
      </c>
      <c r="R3231" s="102">
        <v>5900</v>
      </c>
      <c r="S3231" s="102">
        <f t="shared" si="1652"/>
        <v>1947000.0000000002</v>
      </c>
      <c r="T3231" s="102">
        <f t="shared" si="1653"/>
        <v>1770000</v>
      </c>
      <c r="U3231" s="71" t="str">
        <f t="shared" si="1655"/>
        <v>O</v>
      </c>
      <c r="V3231" s="71"/>
      <c r="W3231" s="474">
        <f t="shared" si="1656"/>
        <v>90000</v>
      </c>
      <c r="X3231" s="71"/>
      <c r="Y3231" s="71"/>
    </row>
    <row r="3232" spans="1:25" ht="30" hidden="1" customHeight="1" x14ac:dyDescent="0.25">
      <c r="A3232" s="82">
        <v>200727</v>
      </c>
      <c r="B3232" s="664" t="s">
        <v>1052</v>
      </c>
      <c r="C3232" s="71" t="s">
        <v>1116</v>
      </c>
      <c r="D3232" s="71">
        <v>300</v>
      </c>
      <c r="E3232" s="102">
        <v>6000</v>
      </c>
      <c r="F3232" s="102">
        <f t="shared" si="1646"/>
        <v>1980000.0000000002</v>
      </c>
      <c r="G3232" s="102">
        <f t="shared" si="1647"/>
        <v>1800000</v>
      </c>
      <c r="H3232" s="690" t="s">
        <v>142</v>
      </c>
      <c r="I3232" s="71" t="s">
        <v>144</v>
      </c>
      <c r="J3232" s="53">
        <f t="shared" si="1657"/>
        <v>150000</v>
      </c>
      <c r="K3232" s="63">
        <f t="shared" si="1658"/>
        <v>8.3333333333333329E-2</v>
      </c>
      <c r="L3232" s="871" t="s">
        <v>2483</v>
      </c>
      <c r="M3232" s="468"/>
      <c r="N3232" s="664">
        <f t="shared" si="1637"/>
        <v>200727</v>
      </c>
      <c r="O3232" s="71" t="s">
        <v>2459</v>
      </c>
      <c r="P3232" s="164" t="str">
        <f t="shared" si="1641"/>
        <v>한특 잉크(황)</v>
      </c>
      <c r="Q3232" s="71">
        <f t="shared" si="1642"/>
        <v>300</v>
      </c>
      <c r="R3232" s="102">
        <v>5500</v>
      </c>
      <c r="S3232" s="102">
        <f t="shared" si="1652"/>
        <v>1815000.0000000002</v>
      </c>
      <c r="T3232" s="102">
        <f t="shared" si="1653"/>
        <v>1650000</v>
      </c>
      <c r="U3232" s="71" t="str">
        <f t="shared" si="1655"/>
        <v>O</v>
      </c>
      <c r="V3232" s="71"/>
      <c r="W3232" s="474">
        <f t="shared" si="1656"/>
        <v>150000</v>
      </c>
      <c r="X3232" s="71"/>
      <c r="Y3232" s="71"/>
    </row>
    <row r="3233" spans="1:25" ht="30" hidden="1" customHeight="1" x14ac:dyDescent="0.25">
      <c r="A3233" s="82">
        <v>200727</v>
      </c>
      <c r="B3233" s="664" t="s">
        <v>1052</v>
      </c>
      <c r="C3233" s="71" t="s">
        <v>1117</v>
      </c>
      <c r="D3233" s="71">
        <v>300</v>
      </c>
      <c r="E3233" s="102">
        <v>6500</v>
      </c>
      <c r="F3233" s="102">
        <f t="shared" si="1646"/>
        <v>2145000</v>
      </c>
      <c r="G3233" s="102">
        <f t="shared" si="1647"/>
        <v>1950000</v>
      </c>
      <c r="H3233" s="690" t="s">
        <v>142</v>
      </c>
      <c r="I3233" s="71" t="s">
        <v>144</v>
      </c>
      <c r="J3233" s="53">
        <f t="shared" si="1657"/>
        <v>150000</v>
      </c>
      <c r="K3233" s="63">
        <f t="shared" si="1658"/>
        <v>7.6923076923076927E-2</v>
      </c>
      <c r="L3233" s="871" t="s">
        <v>2483</v>
      </c>
      <c r="M3233" s="468"/>
      <c r="N3233" s="664">
        <f t="shared" si="1637"/>
        <v>200727</v>
      </c>
      <c r="O3233" s="71" t="s">
        <v>2459</v>
      </c>
      <c r="P3233" s="164" t="str">
        <f t="shared" si="1641"/>
        <v>한특 잉크(청)</v>
      </c>
      <c r="Q3233" s="71">
        <f t="shared" si="1642"/>
        <v>300</v>
      </c>
      <c r="R3233" s="102">
        <v>6000</v>
      </c>
      <c r="S3233" s="102">
        <f t="shared" si="1652"/>
        <v>1980000.0000000002</v>
      </c>
      <c r="T3233" s="102">
        <f t="shared" si="1653"/>
        <v>1800000</v>
      </c>
      <c r="U3233" s="71" t="str">
        <f t="shared" si="1655"/>
        <v>O</v>
      </c>
      <c r="V3233" s="71"/>
      <c r="W3233" s="474">
        <f t="shared" si="1656"/>
        <v>150000</v>
      </c>
      <c r="X3233" s="71"/>
      <c r="Y3233" s="71"/>
    </row>
    <row r="3234" spans="1:25" ht="30" hidden="1" customHeight="1" x14ac:dyDescent="0.25">
      <c r="A3234" s="82">
        <v>200727</v>
      </c>
      <c r="B3234" s="664" t="s">
        <v>1052</v>
      </c>
      <c r="C3234" s="71" t="s">
        <v>1118</v>
      </c>
      <c r="D3234" s="71">
        <v>250</v>
      </c>
      <c r="E3234" s="102">
        <v>5600</v>
      </c>
      <c r="F3234" s="102">
        <f t="shared" si="1646"/>
        <v>1540000.0000000002</v>
      </c>
      <c r="G3234" s="102">
        <f t="shared" si="1647"/>
        <v>1400000</v>
      </c>
      <c r="H3234" s="690" t="s">
        <v>142</v>
      </c>
      <c r="I3234" s="71" t="s">
        <v>144</v>
      </c>
      <c r="J3234" s="53">
        <f t="shared" si="1657"/>
        <v>100000</v>
      </c>
      <c r="K3234" s="63">
        <f t="shared" si="1658"/>
        <v>7.1428571428571411E-2</v>
      </c>
      <c r="L3234" s="871" t="s">
        <v>2483</v>
      </c>
      <c r="M3234" s="468"/>
      <c r="N3234" s="664">
        <f t="shared" si="1637"/>
        <v>200727</v>
      </c>
      <c r="O3234" s="71" t="s">
        <v>2459</v>
      </c>
      <c r="P3234" s="164" t="str">
        <f t="shared" si="1641"/>
        <v>한특 잉크(먹)</v>
      </c>
      <c r="Q3234" s="71">
        <f t="shared" si="1642"/>
        <v>250</v>
      </c>
      <c r="R3234" s="102">
        <v>5200</v>
      </c>
      <c r="S3234" s="102">
        <f t="shared" si="1652"/>
        <v>1430000</v>
      </c>
      <c r="T3234" s="102">
        <f t="shared" si="1653"/>
        <v>1300000</v>
      </c>
      <c r="U3234" s="71" t="str">
        <f t="shared" si="1655"/>
        <v>O</v>
      </c>
      <c r="V3234" s="71"/>
      <c r="W3234" s="474">
        <f t="shared" si="1656"/>
        <v>100000</v>
      </c>
      <c r="X3234" s="71"/>
      <c r="Y3234" s="71"/>
    </row>
    <row r="3235" spans="1:25" ht="30" hidden="1" customHeight="1" x14ac:dyDescent="0.2">
      <c r="A3235" s="82">
        <v>200731</v>
      </c>
      <c r="B3235" s="664" t="s">
        <v>1287</v>
      </c>
      <c r="C3235" s="71" t="s">
        <v>2487</v>
      </c>
      <c r="D3235" s="71">
        <v>1</v>
      </c>
      <c r="E3235" s="102">
        <v>1200000</v>
      </c>
      <c r="F3235" s="163">
        <f>(E3235*D3235)*1.1</f>
        <v>1320000</v>
      </c>
      <c r="G3235" s="102">
        <f>(E3235*D3235)</f>
        <v>1200000</v>
      </c>
      <c r="H3235" s="690" t="s">
        <v>173</v>
      </c>
      <c r="I3235" s="71" t="s">
        <v>2184</v>
      </c>
      <c r="J3235" s="53">
        <f t="shared" si="1657"/>
        <v>-1189305</v>
      </c>
      <c r="K3235" s="63">
        <f t="shared" si="1658"/>
        <v>-0.99108750000000001</v>
      </c>
      <c r="L3235" s="871" t="s">
        <v>2483</v>
      </c>
      <c r="M3235" s="468" t="s">
        <v>2505</v>
      </c>
      <c r="N3235" s="664">
        <f t="shared" si="1637"/>
        <v>200731</v>
      </c>
      <c r="O3235" s="71" t="s">
        <v>2498</v>
      </c>
      <c r="P3235" s="164" t="str">
        <f t="shared" si="1641"/>
        <v>IR Lamp</v>
      </c>
      <c r="Q3235" s="71">
        <f t="shared" si="1642"/>
        <v>1</v>
      </c>
      <c r="R3235" s="102">
        <f>2232495+156810</f>
        <v>2389305</v>
      </c>
      <c r="S3235" s="102">
        <f t="shared" si="1652"/>
        <v>2628235.5</v>
      </c>
      <c r="T3235" s="102">
        <f t="shared" si="1653"/>
        <v>2389305</v>
      </c>
      <c r="U3235" s="71" t="str">
        <f t="shared" si="1655"/>
        <v>X</v>
      </c>
      <c r="V3235" s="71"/>
      <c r="W3235" s="474"/>
      <c r="X3235" s="71"/>
      <c r="Y3235" s="71"/>
    </row>
    <row r="3236" spans="1:25" ht="30" hidden="1" customHeight="1" x14ac:dyDescent="0.25">
      <c r="A3236" s="82"/>
      <c r="B3236" s="664" t="s">
        <v>1178</v>
      </c>
      <c r="C3236" s="71" t="s">
        <v>2492</v>
      </c>
      <c r="D3236" s="71">
        <v>1</v>
      </c>
      <c r="E3236" s="102">
        <f>(6058690/11)*10</f>
        <v>5507900</v>
      </c>
      <c r="F3236" s="102">
        <f>(E3236*D3236)*1.1</f>
        <v>6058690.0000000009</v>
      </c>
      <c r="G3236" s="102">
        <f>(E3236*D3236)</f>
        <v>5507900</v>
      </c>
      <c r="H3236" s="690" t="s">
        <v>142</v>
      </c>
      <c r="I3236" s="71" t="s">
        <v>142</v>
      </c>
      <c r="J3236" s="53">
        <f>E3236</f>
        <v>5507900</v>
      </c>
      <c r="K3236" s="63"/>
      <c r="L3236" s="871" t="s">
        <v>2455</v>
      </c>
      <c r="M3236" s="468"/>
      <c r="N3236" s="664">
        <f t="shared" si="1637"/>
        <v>0</v>
      </c>
      <c r="O3236" s="71"/>
      <c r="P3236" s="164" t="str">
        <f t="shared" si="1641"/>
        <v>잔금계산</v>
      </c>
      <c r="Q3236" s="71">
        <f t="shared" si="1642"/>
        <v>1</v>
      </c>
      <c r="R3236" s="102"/>
      <c r="S3236" s="102">
        <f t="shared" si="1652"/>
        <v>0</v>
      </c>
      <c r="T3236" s="102">
        <f t="shared" si="1653"/>
        <v>0</v>
      </c>
      <c r="U3236" s="71" t="str">
        <f t="shared" si="1655"/>
        <v>X</v>
      </c>
      <c r="V3236" s="71"/>
      <c r="W3236" s="474"/>
      <c r="X3236" s="71"/>
      <c r="Y3236" s="71"/>
    </row>
    <row r="3237" spans="1:25" s="978" customFormat="1" ht="45" hidden="1" customHeight="1" x14ac:dyDescent="0.25">
      <c r="A3237" s="982" t="s">
        <v>2495</v>
      </c>
      <c r="B3237" s="976" t="s">
        <v>544</v>
      </c>
      <c r="C3237" s="453"/>
      <c r="D3237" s="453"/>
      <c r="E3237" s="454"/>
      <c r="F3237" s="454"/>
      <c r="G3237" s="454"/>
      <c r="H3237" s="455"/>
      <c r="I3237" s="453"/>
      <c r="J3237" s="417"/>
      <c r="K3237" s="418"/>
      <c r="L3237" s="983" t="s">
        <v>2494</v>
      </c>
      <c r="M3237" s="643"/>
      <c r="N3237" s="724" t="str">
        <f>A3237</f>
        <v>2020,8</v>
      </c>
      <c r="O3237" s="453" t="s">
        <v>154</v>
      </c>
      <c r="P3237" s="728"/>
      <c r="Q3237" s="420"/>
      <c r="R3237" s="420"/>
      <c r="S3237" s="417"/>
      <c r="T3237" s="417"/>
      <c r="U3237" s="421"/>
      <c r="V3237" s="421"/>
      <c r="W3237" s="479">
        <f>(G3237-T3237)</f>
        <v>0</v>
      </c>
      <c r="X3237" s="421"/>
      <c r="Y3237" s="421"/>
    </row>
    <row r="3238" spans="1:25" ht="30" hidden="1" customHeight="1" x14ac:dyDescent="0.2">
      <c r="A3238" s="82">
        <v>200801</v>
      </c>
      <c r="B3238" s="664" t="s">
        <v>545</v>
      </c>
      <c r="C3238" s="71" t="s">
        <v>227</v>
      </c>
      <c r="D3238" s="71">
        <v>10</v>
      </c>
      <c r="E3238" s="102">
        <v>110000</v>
      </c>
      <c r="F3238" s="163">
        <f>(E3238*D3238)*1.1</f>
        <v>1210000</v>
      </c>
      <c r="G3238" s="102">
        <f>(E3238*D3238)</f>
        <v>1100000</v>
      </c>
      <c r="H3238" s="690" t="s">
        <v>173</v>
      </c>
      <c r="I3238" s="71" t="s">
        <v>109</v>
      </c>
      <c r="J3238" s="53">
        <f t="shared" ref="J3238:J3247" si="1659">G3238-T3238</f>
        <v>271000</v>
      </c>
      <c r="K3238" s="63">
        <f t="shared" ref="K3238:K3246" si="1660">(J3238/(F3238/11*10))</f>
        <v>0.24636363636363637</v>
      </c>
      <c r="L3238" s="871" t="s">
        <v>2494</v>
      </c>
      <c r="M3238" s="468"/>
      <c r="N3238" s="664">
        <f>A3238</f>
        <v>200801</v>
      </c>
      <c r="O3238" s="71" t="s">
        <v>147</v>
      </c>
      <c r="P3238" s="164" t="str">
        <f>(C3238)</f>
        <v>Blanket(1060*860)</v>
      </c>
      <c r="Q3238" s="71">
        <f>D3238</f>
        <v>10</v>
      </c>
      <c r="R3238" s="102">
        <v>82900</v>
      </c>
      <c r="S3238" s="102">
        <f t="shared" ref="S3238:S3269" si="1661">R3238*Q3238*1.1</f>
        <v>911900.00000000012</v>
      </c>
      <c r="T3238" s="102">
        <f t="shared" ref="T3238:T3269" si="1662">R3238*Q3238</f>
        <v>829000</v>
      </c>
      <c r="U3238" s="71" t="str">
        <f t="shared" ref="U3238:U3269" si="1663">IF(J3238=W3238,"O", "X")</f>
        <v>O</v>
      </c>
      <c r="V3238" s="71"/>
      <c r="W3238" s="474">
        <f>(G3238-T3238)</f>
        <v>271000</v>
      </c>
      <c r="X3238" s="71"/>
      <c r="Y3238" s="71"/>
    </row>
    <row r="3239" spans="1:25" s="209" customFormat="1" ht="30" hidden="1" customHeight="1" x14ac:dyDescent="0.25">
      <c r="A3239" s="82">
        <v>200803</v>
      </c>
      <c r="B3239" s="664" t="s">
        <v>2155</v>
      </c>
      <c r="C3239" s="71" t="s">
        <v>138</v>
      </c>
      <c r="D3239" s="71">
        <v>10</v>
      </c>
      <c r="E3239" s="102">
        <v>47600</v>
      </c>
      <c r="F3239" s="163">
        <f>(E3239*D3239)*1.1</f>
        <v>523600.00000000006</v>
      </c>
      <c r="G3239" s="102">
        <f>(E3239*D3239)</f>
        <v>476000</v>
      </c>
      <c r="H3239" s="1129" t="s">
        <v>172</v>
      </c>
      <c r="I3239" s="71" t="s">
        <v>108</v>
      </c>
      <c r="J3239" s="53">
        <f t="shared" si="1659"/>
        <v>68000</v>
      </c>
      <c r="K3239" s="63">
        <f t="shared" si="1660"/>
        <v>0.14285714285714285</v>
      </c>
      <c r="L3239" s="871" t="s">
        <v>2494</v>
      </c>
      <c r="M3239" s="468" t="s">
        <v>2214</v>
      </c>
      <c r="N3239" s="664">
        <f t="shared" ref="N3239:N3302" si="1664">A3239</f>
        <v>200803</v>
      </c>
      <c r="O3239" s="71" t="s">
        <v>150</v>
      </c>
      <c r="P3239" s="164" t="str">
        <f t="shared" ref="P3239:P3302" si="1665">(C3239)</f>
        <v>매엽용 세척제(Wash 562)</v>
      </c>
      <c r="Q3239" s="71">
        <f t="shared" ref="Q3239:Q3302" si="1666">D3239</f>
        <v>10</v>
      </c>
      <c r="R3239" s="102">
        <v>40800</v>
      </c>
      <c r="S3239" s="102">
        <f t="shared" si="1661"/>
        <v>448800.00000000006</v>
      </c>
      <c r="T3239" s="102">
        <f t="shared" si="1662"/>
        <v>408000</v>
      </c>
      <c r="U3239" s="71" t="str">
        <f t="shared" si="1663"/>
        <v>X</v>
      </c>
      <c r="V3239" s="71"/>
      <c r="W3239" s="474">
        <v>85000</v>
      </c>
      <c r="X3239" s="71"/>
      <c r="Y3239" s="71"/>
    </row>
    <row r="3240" spans="1:25" s="209" customFormat="1" ht="30" customHeight="1" x14ac:dyDescent="0.25">
      <c r="A3240" s="82">
        <v>200803</v>
      </c>
      <c r="B3240" s="664" t="s">
        <v>565</v>
      </c>
      <c r="C3240" s="71" t="s">
        <v>2510</v>
      </c>
      <c r="D3240" s="71">
        <v>2</v>
      </c>
      <c r="E3240" s="102">
        <v>1230000</v>
      </c>
      <c r="F3240" s="163">
        <f>(E3240*D3240)*1.1</f>
        <v>2706000</v>
      </c>
      <c r="G3240" s="102">
        <f>(E3240*D3240)</f>
        <v>2460000</v>
      </c>
      <c r="H3240" s="1129" t="s">
        <v>142</v>
      </c>
      <c r="I3240" s="71" t="s">
        <v>142</v>
      </c>
      <c r="J3240" s="53">
        <f t="shared" si="1659"/>
        <v>840000</v>
      </c>
      <c r="K3240" s="63">
        <f t="shared" si="1660"/>
        <v>0.34146341463414637</v>
      </c>
      <c r="L3240" s="871" t="s">
        <v>2514</v>
      </c>
      <c r="M3240" s="468"/>
      <c r="N3240" s="664">
        <f t="shared" si="1664"/>
        <v>200803</v>
      </c>
      <c r="O3240" s="71" t="s">
        <v>1431</v>
      </c>
      <c r="P3240" s="164" t="str">
        <f t="shared" si="1665"/>
        <v>로타리 엔코더</v>
      </c>
      <c r="Q3240" s="71">
        <f t="shared" si="1666"/>
        <v>2</v>
      </c>
      <c r="R3240" s="102">
        <v>810000</v>
      </c>
      <c r="S3240" s="102">
        <f t="shared" si="1661"/>
        <v>1782000.0000000002</v>
      </c>
      <c r="T3240" s="102">
        <f t="shared" si="1662"/>
        <v>1620000</v>
      </c>
      <c r="U3240" s="71" t="str">
        <f t="shared" si="1663"/>
        <v>X</v>
      </c>
      <c r="V3240" s="71"/>
      <c r="W3240" s="474"/>
      <c r="X3240" s="71"/>
      <c r="Y3240" s="71"/>
    </row>
    <row r="3241" spans="1:25" s="209" customFormat="1" ht="30" hidden="1" customHeight="1" x14ac:dyDescent="0.25">
      <c r="A3241" s="82">
        <v>200803</v>
      </c>
      <c r="B3241" s="664" t="s">
        <v>1220</v>
      </c>
      <c r="C3241" s="71" t="s">
        <v>2516</v>
      </c>
      <c r="D3241" s="71">
        <v>1</v>
      </c>
      <c r="E3241" s="102">
        <v>410000</v>
      </c>
      <c r="F3241" s="163">
        <f>(E3241*D3241)*1.1</f>
        <v>451000.00000000006</v>
      </c>
      <c r="G3241" s="102">
        <f>(E3241*D3241)</f>
        <v>410000</v>
      </c>
      <c r="H3241" s="1129" t="s">
        <v>1431</v>
      </c>
      <c r="I3241" s="71" t="s">
        <v>1431</v>
      </c>
      <c r="J3241" s="53">
        <f t="shared" si="1659"/>
        <v>200000</v>
      </c>
      <c r="K3241" s="63">
        <f t="shared" si="1660"/>
        <v>0.48780487804878042</v>
      </c>
      <c r="L3241" s="871" t="s">
        <v>2514</v>
      </c>
      <c r="M3241" s="468"/>
      <c r="N3241" s="664">
        <f t="shared" si="1664"/>
        <v>200803</v>
      </c>
      <c r="O3241" s="71" t="s">
        <v>1431</v>
      </c>
      <c r="P3241" s="164" t="str">
        <f t="shared" si="1665"/>
        <v>로랜드 부품 3건</v>
      </c>
      <c r="Q3241" s="71">
        <f t="shared" si="1666"/>
        <v>1</v>
      </c>
      <c r="R3241" s="102">
        <v>210000</v>
      </c>
      <c r="S3241" s="102">
        <f t="shared" si="1661"/>
        <v>231000.00000000003</v>
      </c>
      <c r="T3241" s="102">
        <f t="shared" si="1662"/>
        <v>210000</v>
      </c>
      <c r="U3241" s="71" t="str">
        <f t="shared" si="1663"/>
        <v>X</v>
      </c>
      <c r="V3241" s="71"/>
      <c r="W3241" s="474"/>
      <c r="X3241" s="71"/>
      <c r="Y3241" s="71"/>
    </row>
    <row r="3242" spans="1:25" s="209" customFormat="1" ht="30" hidden="1" customHeight="1" x14ac:dyDescent="0.25">
      <c r="A3242" s="82">
        <v>200805</v>
      </c>
      <c r="B3242" s="664" t="s">
        <v>442</v>
      </c>
      <c r="C3242" s="71" t="s">
        <v>138</v>
      </c>
      <c r="D3242" s="71">
        <v>30</v>
      </c>
      <c r="E3242" s="102">
        <v>55200</v>
      </c>
      <c r="F3242" s="102">
        <f t="shared" ref="F3242:F3255" si="1667">(E3242*D3242)*1.1</f>
        <v>1821600.0000000002</v>
      </c>
      <c r="G3242" s="102">
        <f t="shared" ref="G3242:G3255" si="1668">(E3242*D3242)</f>
        <v>1656000</v>
      </c>
      <c r="H3242" s="690" t="s">
        <v>173</v>
      </c>
      <c r="I3242" s="71" t="s">
        <v>108</v>
      </c>
      <c r="J3242" s="53">
        <f t="shared" si="1659"/>
        <v>432000</v>
      </c>
      <c r="K3242" s="63">
        <f t="shared" si="1660"/>
        <v>0.26086956521739124</v>
      </c>
      <c r="L3242" s="871" t="s">
        <v>2514</v>
      </c>
      <c r="M3242" s="468" t="s">
        <v>2388</v>
      </c>
      <c r="N3242" s="664">
        <f t="shared" si="1664"/>
        <v>200805</v>
      </c>
      <c r="O3242" s="71" t="s">
        <v>150</v>
      </c>
      <c r="P3242" s="164" t="str">
        <f t="shared" si="1665"/>
        <v>매엽용 세척제(Wash 562)</v>
      </c>
      <c r="Q3242" s="71">
        <f t="shared" si="1666"/>
        <v>30</v>
      </c>
      <c r="R3242" s="102">
        <v>40800</v>
      </c>
      <c r="S3242" s="102">
        <f t="shared" si="1661"/>
        <v>1346400</v>
      </c>
      <c r="T3242" s="102">
        <f t="shared" si="1662"/>
        <v>1224000</v>
      </c>
      <c r="U3242" s="71" t="str">
        <f t="shared" si="1663"/>
        <v>X</v>
      </c>
      <c r="V3242" s="71"/>
      <c r="W3242" s="474">
        <v>396000</v>
      </c>
      <c r="X3242" s="71"/>
      <c r="Y3242" s="71"/>
    </row>
    <row r="3243" spans="1:25" ht="30" hidden="1" customHeight="1" x14ac:dyDescent="0.25">
      <c r="A3243" s="82">
        <v>200805</v>
      </c>
      <c r="B3243" s="664" t="s">
        <v>690</v>
      </c>
      <c r="C3243" s="71" t="s">
        <v>217</v>
      </c>
      <c r="D3243" s="71">
        <v>2</v>
      </c>
      <c r="E3243" s="102">
        <v>137000</v>
      </c>
      <c r="F3243" s="102">
        <f t="shared" si="1667"/>
        <v>301400</v>
      </c>
      <c r="G3243" s="102">
        <f t="shared" si="1668"/>
        <v>274000</v>
      </c>
      <c r="H3243" s="690" t="s">
        <v>173</v>
      </c>
      <c r="I3243" s="71" t="s">
        <v>108</v>
      </c>
      <c r="J3243" s="53">
        <f t="shared" si="1659"/>
        <v>114000</v>
      </c>
      <c r="K3243" s="63">
        <f t="shared" si="1660"/>
        <v>0.41605839416058393</v>
      </c>
      <c r="L3243" s="871" t="s">
        <v>2514</v>
      </c>
      <c r="M3243" s="468"/>
      <c r="N3243" s="664">
        <f t="shared" si="1664"/>
        <v>200805</v>
      </c>
      <c r="O3243" s="71" t="s">
        <v>150</v>
      </c>
      <c r="P3243" s="164" t="str">
        <f t="shared" si="1665"/>
        <v>Fount 511</v>
      </c>
      <c r="Q3243" s="71">
        <f t="shared" si="1666"/>
        <v>2</v>
      </c>
      <c r="R3243" s="102">
        <v>80000</v>
      </c>
      <c r="S3243" s="102">
        <f t="shared" si="1661"/>
        <v>176000</v>
      </c>
      <c r="T3243" s="102">
        <f t="shared" si="1662"/>
        <v>160000</v>
      </c>
      <c r="U3243" s="71" t="str">
        <f t="shared" si="1663"/>
        <v>X</v>
      </c>
      <c r="V3243" s="71"/>
      <c r="W3243" s="474">
        <v>130000</v>
      </c>
      <c r="X3243" s="71"/>
      <c r="Y3243" s="71"/>
    </row>
    <row r="3244" spans="1:25" ht="30" hidden="1" customHeight="1" x14ac:dyDescent="0.25">
      <c r="A3244" s="82">
        <v>200806</v>
      </c>
      <c r="B3244" s="664" t="s">
        <v>939</v>
      </c>
      <c r="C3244" s="71" t="s">
        <v>123</v>
      </c>
      <c r="D3244" s="71">
        <v>5</v>
      </c>
      <c r="E3244" s="102">
        <v>30000</v>
      </c>
      <c r="F3244" s="102">
        <f t="shared" si="1667"/>
        <v>165000</v>
      </c>
      <c r="G3244" s="102">
        <f t="shared" si="1668"/>
        <v>150000</v>
      </c>
      <c r="H3244" s="690" t="s">
        <v>1432</v>
      </c>
      <c r="I3244" s="71" t="s">
        <v>1432</v>
      </c>
      <c r="J3244" s="53">
        <f t="shared" si="1659"/>
        <v>27730</v>
      </c>
      <c r="K3244" s="63">
        <f t="shared" si="1660"/>
        <v>0.18486666666666668</v>
      </c>
      <c r="L3244" s="871" t="s">
        <v>2514</v>
      </c>
      <c r="M3244" s="468"/>
      <c r="N3244" s="664">
        <f t="shared" si="1664"/>
        <v>200806</v>
      </c>
      <c r="O3244" s="71" t="s">
        <v>1432</v>
      </c>
      <c r="P3244" s="164" t="str">
        <f t="shared" si="1665"/>
        <v>필터백</v>
      </c>
      <c r="Q3244" s="71">
        <f t="shared" si="1666"/>
        <v>5</v>
      </c>
      <c r="R3244" s="102">
        <v>24454</v>
      </c>
      <c r="S3244" s="102">
        <f t="shared" si="1661"/>
        <v>134497</v>
      </c>
      <c r="T3244" s="102">
        <f t="shared" si="1662"/>
        <v>122270</v>
      </c>
      <c r="U3244" s="71" t="str">
        <f t="shared" si="1663"/>
        <v>X</v>
      </c>
      <c r="V3244" s="71"/>
      <c r="W3244" s="474"/>
      <c r="X3244" s="71"/>
      <c r="Y3244" s="71"/>
    </row>
    <row r="3245" spans="1:25" ht="30" hidden="1" customHeight="1" x14ac:dyDescent="0.25">
      <c r="A3245" s="82">
        <v>200807</v>
      </c>
      <c r="B3245" s="664" t="s">
        <v>748</v>
      </c>
      <c r="C3245" s="71" t="s">
        <v>2508</v>
      </c>
      <c r="D3245" s="71">
        <v>10</v>
      </c>
      <c r="E3245" s="102">
        <v>78000</v>
      </c>
      <c r="F3245" s="102">
        <f t="shared" si="1667"/>
        <v>858000.00000000012</v>
      </c>
      <c r="G3245" s="102">
        <f t="shared" si="1668"/>
        <v>780000</v>
      </c>
      <c r="H3245" s="690" t="s">
        <v>1431</v>
      </c>
      <c r="I3245" s="71" t="s">
        <v>1431</v>
      </c>
      <c r="J3245" s="53">
        <f t="shared" si="1659"/>
        <v>280000</v>
      </c>
      <c r="K3245" s="63">
        <f t="shared" si="1660"/>
        <v>0.35897435897435892</v>
      </c>
      <c r="L3245" s="871" t="s">
        <v>2514</v>
      </c>
      <c r="M3245" s="468"/>
      <c r="N3245" s="664">
        <f t="shared" si="1664"/>
        <v>200807</v>
      </c>
      <c r="O3245" s="71" t="s">
        <v>1431</v>
      </c>
      <c r="P3245" s="164" t="str">
        <f t="shared" si="1665"/>
        <v>스프링 블레이드-2</v>
      </c>
      <c r="Q3245" s="71">
        <f t="shared" si="1666"/>
        <v>10</v>
      </c>
      <c r="R3245" s="102">
        <v>50000</v>
      </c>
      <c r="S3245" s="102">
        <f t="shared" si="1661"/>
        <v>550000</v>
      </c>
      <c r="T3245" s="102">
        <f t="shared" si="1662"/>
        <v>500000</v>
      </c>
      <c r="U3245" s="71" t="str">
        <f t="shared" si="1663"/>
        <v>X</v>
      </c>
      <c r="V3245" s="71"/>
      <c r="W3245" s="474"/>
      <c r="X3245" s="71"/>
      <c r="Y3245" s="71"/>
    </row>
    <row r="3246" spans="1:25" ht="30" hidden="1" customHeight="1" x14ac:dyDescent="0.25">
      <c r="A3246" s="82">
        <v>200810</v>
      </c>
      <c r="B3246" s="664" t="s">
        <v>748</v>
      </c>
      <c r="C3246" s="71" t="s">
        <v>2509</v>
      </c>
      <c r="D3246" s="71">
        <v>10</v>
      </c>
      <c r="E3246" s="102">
        <v>78000</v>
      </c>
      <c r="F3246" s="102">
        <f t="shared" si="1667"/>
        <v>858000.00000000012</v>
      </c>
      <c r="G3246" s="102">
        <f t="shared" si="1668"/>
        <v>780000</v>
      </c>
      <c r="H3246" s="690" t="s">
        <v>1431</v>
      </c>
      <c r="I3246" s="71" t="s">
        <v>1431</v>
      </c>
      <c r="J3246" s="53">
        <f t="shared" si="1659"/>
        <v>280000</v>
      </c>
      <c r="K3246" s="63">
        <f t="shared" si="1660"/>
        <v>0.35897435897435892</v>
      </c>
      <c r="L3246" s="871" t="s">
        <v>2514</v>
      </c>
      <c r="M3246" s="468"/>
      <c r="N3246" s="664">
        <f t="shared" si="1664"/>
        <v>200810</v>
      </c>
      <c r="O3246" s="71" t="s">
        <v>1431</v>
      </c>
      <c r="P3246" s="164" t="str">
        <f t="shared" si="1665"/>
        <v>스프링 블레이드-1</v>
      </c>
      <c r="Q3246" s="71">
        <f t="shared" si="1666"/>
        <v>10</v>
      </c>
      <c r="R3246" s="102">
        <v>50000</v>
      </c>
      <c r="S3246" s="102">
        <f t="shared" si="1661"/>
        <v>550000</v>
      </c>
      <c r="T3246" s="102">
        <f t="shared" si="1662"/>
        <v>500000</v>
      </c>
      <c r="U3246" s="71" t="str">
        <f t="shared" si="1663"/>
        <v>X</v>
      </c>
      <c r="V3246" s="71"/>
      <c r="W3246" s="474"/>
      <c r="X3246" s="71"/>
      <c r="Y3246" s="71"/>
    </row>
    <row r="3247" spans="1:25" ht="30" hidden="1" customHeight="1" x14ac:dyDescent="0.2">
      <c r="A3247" s="82">
        <v>200810</v>
      </c>
      <c r="B3247" s="664" t="s">
        <v>2353</v>
      </c>
      <c r="C3247" s="71" t="s">
        <v>129</v>
      </c>
      <c r="D3247" s="71">
        <v>5</v>
      </c>
      <c r="E3247" s="102">
        <v>272000</v>
      </c>
      <c r="F3247" s="163">
        <f t="shared" si="1667"/>
        <v>1496000.0000000002</v>
      </c>
      <c r="G3247" s="102">
        <f t="shared" si="1668"/>
        <v>1360000</v>
      </c>
      <c r="H3247" s="165" t="s">
        <v>142</v>
      </c>
      <c r="I3247" s="71" t="s">
        <v>142</v>
      </c>
      <c r="J3247" s="53">
        <f t="shared" si="1659"/>
        <v>320000</v>
      </c>
      <c r="K3247" s="63">
        <f t="shared" ref="K3247:K3255" si="1669">(J3247/(F3247/11*10))</f>
        <v>0.23529411764705879</v>
      </c>
      <c r="L3247" s="871" t="s">
        <v>2514</v>
      </c>
      <c r="M3247" s="468" t="s">
        <v>2050</v>
      </c>
      <c r="N3247" s="664">
        <f t="shared" si="1664"/>
        <v>200810</v>
      </c>
      <c r="O3247" s="71" t="s">
        <v>149</v>
      </c>
      <c r="P3247" s="164" t="str">
        <f t="shared" si="1665"/>
        <v>세정포-XL106</v>
      </c>
      <c r="Q3247" s="71">
        <f t="shared" si="1666"/>
        <v>5</v>
      </c>
      <c r="R3247" s="102">
        <v>208000</v>
      </c>
      <c r="S3247" s="102">
        <f t="shared" si="1661"/>
        <v>1144000</v>
      </c>
      <c r="T3247" s="102">
        <f t="shared" si="1662"/>
        <v>1040000</v>
      </c>
      <c r="U3247" s="71" t="str">
        <f t="shared" si="1663"/>
        <v>O</v>
      </c>
      <c r="V3247" s="71"/>
      <c r="W3247" s="474">
        <f>(G3247-T3247)</f>
        <v>320000</v>
      </c>
      <c r="X3247" s="71"/>
      <c r="Y3247" s="71"/>
    </row>
    <row r="3248" spans="1:25" s="209" customFormat="1" ht="30" hidden="1" customHeight="1" x14ac:dyDescent="0.2">
      <c r="A3248" s="82">
        <v>200810</v>
      </c>
      <c r="B3248" s="664" t="s">
        <v>2353</v>
      </c>
      <c r="C3248" s="71" t="s">
        <v>130</v>
      </c>
      <c r="D3248" s="71">
        <v>20</v>
      </c>
      <c r="E3248" s="102">
        <v>125000</v>
      </c>
      <c r="F3248" s="163">
        <f t="shared" si="1667"/>
        <v>2750000</v>
      </c>
      <c r="G3248" s="102">
        <f t="shared" si="1668"/>
        <v>2500000</v>
      </c>
      <c r="H3248" s="165" t="s">
        <v>142</v>
      </c>
      <c r="I3248" s="71" t="s">
        <v>142</v>
      </c>
      <c r="J3248" s="53">
        <f>(G3248-(VLOOKUP(C3248,Price!B:D,3,FALSE)*D3248))</f>
        <v>520000</v>
      </c>
      <c r="K3248" s="63">
        <f t="shared" si="1669"/>
        <v>0.20799999999999999</v>
      </c>
      <c r="L3248" s="871" t="s">
        <v>2494</v>
      </c>
      <c r="M3248" s="468" t="s">
        <v>2050</v>
      </c>
      <c r="N3248" s="664">
        <f t="shared" si="1664"/>
        <v>200810</v>
      </c>
      <c r="O3248" s="71" t="s">
        <v>150</v>
      </c>
      <c r="P3248" s="164" t="str">
        <f t="shared" si="1665"/>
        <v>XL106 Blanket(1077*885)</v>
      </c>
      <c r="Q3248" s="71">
        <f t="shared" si="1666"/>
        <v>20</v>
      </c>
      <c r="R3248" s="102">
        <v>99000</v>
      </c>
      <c r="S3248" s="102">
        <f t="shared" si="1661"/>
        <v>2178000</v>
      </c>
      <c r="T3248" s="102">
        <f t="shared" si="1662"/>
        <v>1980000</v>
      </c>
      <c r="U3248" s="71" t="str">
        <f t="shared" si="1663"/>
        <v>O</v>
      </c>
      <c r="V3248" s="71"/>
      <c r="W3248" s="474">
        <f>(G3248-T3248)</f>
        <v>520000</v>
      </c>
      <c r="X3248" s="71"/>
      <c r="Y3248" s="71"/>
    </row>
    <row r="3249" spans="1:25" s="209" customFormat="1" ht="30" hidden="1" customHeight="1" x14ac:dyDescent="0.2">
      <c r="A3249" s="82">
        <v>200810</v>
      </c>
      <c r="B3249" s="664" t="s">
        <v>2353</v>
      </c>
      <c r="C3249" s="71" t="s">
        <v>138</v>
      </c>
      <c r="D3249" s="71">
        <v>10</v>
      </c>
      <c r="E3249" s="102">
        <v>54400</v>
      </c>
      <c r="F3249" s="163">
        <f t="shared" si="1667"/>
        <v>598400</v>
      </c>
      <c r="G3249" s="102">
        <f t="shared" si="1668"/>
        <v>544000</v>
      </c>
      <c r="H3249" s="165" t="s">
        <v>142</v>
      </c>
      <c r="I3249" s="71" t="s">
        <v>142</v>
      </c>
      <c r="J3249" s="53">
        <f t="shared" ref="J3249:J3254" si="1670">G3249-T3249</f>
        <v>136000</v>
      </c>
      <c r="K3249" s="63">
        <f t="shared" si="1669"/>
        <v>0.25</v>
      </c>
      <c r="L3249" s="871" t="s">
        <v>2494</v>
      </c>
      <c r="M3249" s="468" t="s">
        <v>2214</v>
      </c>
      <c r="N3249" s="664">
        <f t="shared" si="1664"/>
        <v>200810</v>
      </c>
      <c r="O3249" s="71" t="s">
        <v>2030</v>
      </c>
      <c r="P3249" s="164" t="str">
        <f t="shared" si="1665"/>
        <v>매엽용 세척제(Wash 562)</v>
      </c>
      <c r="Q3249" s="71">
        <f t="shared" si="1666"/>
        <v>10</v>
      </c>
      <c r="R3249" s="102">
        <v>40800</v>
      </c>
      <c r="S3249" s="102">
        <f t="shared" si="1661"/>
        <v>448800.00000000006</v>
      </c>
      <c r="T3249" s="102">
        <f t="shared" si="1662"/>
        <v>408000</v>
      </c>
      <c r="U3249" s="71" t="str">
        <f t="shared" si="1663"/>
        <v>O</v>
      </c>
      <c r="V3249" s="71"/>
      <c r="W3249" s="474">
        <f>(G3249-T3249)</f>
        <v>136000</v>
      </c>
      <c r="X3249" s="71"/>
      <c r="Y3249" s="71"/>
    </row>
    <row r="3250" spans="1:25" ht="30" hidden="1" customHeight="1" x14ac:dyDescent="0.25">
      <c r="A3250" s="82">
        <v>200810</v>
      </c>
      <c r="B3250" s="664" t="s">
        <v>2353</v>
      </c>
      <c r="C3250" s="71" t="s">
        <v>2497</v>
      </c>
      <c r="D3250" s="71">
        <v>1</v>
      </c>
      <c r="E3250" s="102">
        <v>180000</v>
      </c>
      <c r="F3250" s="102">
        <f t="shared" si="1667"/>
        <v>198000.00000000003</v>
      </c>
      <c r="G3250" s="102">
        <f t="shared" si="1668"/>
        <v>180000</v>
      </c>
      <c r="H3250" s="690" t="s">
        <v>142</v>
      </c>
      <c r="I3250" s="71" t="s">
        <v>142</v>
      </c>
      <c r="J3250" s="53">
        <f t="shared" si="1670"/>
        <v>20000</v>
      </c>
      <c r="K3250" s="63">
        <f t="shared" si="1669"/>
        <v>0.11111111111111109</v>
      </c>
      <c r="L3250" s="871" t="s">
        <v>2494</v>
      </c>
      <c r="M3250" s="468"/>
      <c r="N3250" s="664">
        <f t="shared" si="1664"/>
        <v>200810</v>
      </c>
      <c r="O3250" s="71" t="s">
        <v>150</v>
      </c>
      <c r="P3250" s="164" t="str">
        <f t="shared" si="1665"/>
        <v>오일 필터</v>
      </c>
      <c r="Q3250" s="71">
        <f t="shared" si="1666"/>
        <v>1</v>
      </c>
      <c r="R3250" s="102">
        <v>160000</v>
      </c>
      <c r="S3250" s="102">
        <f t="shared" si="1661"/>
        <v>176000</v>
      </c>
      <c r="T3250" s="102">
        <f t="shared" si="1662"/>
        <v>160000</v>
      </c>
      <c r="U3250" s="71" t="str">
        <f t="shared" si="1663"/>
        <v>X</v>
      </c>
      <c r="V3250" s="71"/>
      <c r="W3250" s="474"/>
      <c r="X3250" s="71"/>
      <c r="Y3250" s="71"/>
    </row>
    <row r="3251" spans="1:25" ht="30" hidden="1" customHeight="1" x14ac:dyDescent="0.25">
      <c r="A3251" s="82">
        <v>200810</v>
      </c>
      <c r="B3251" s="664" t="s">
        <v>690</v>
      </c>
      <c r="C3251" s="71" t="s">
        <v>1186</v>
      </c>
      <c r="D3251" s="71">
        <v>500</v>
      </c>
      <c r="E3251" s="102">
        <v>3420</v>
      </c>
      <c r="F3251" s="1128">
        <f t="shared" si="1667"/>
        <v>1881000.0000000002</v>
      </c>
      <c r="G3251" s="102">
        <f t="shared" si="1668"/>
        <v>1710000</v>
      </c>
      <c r="H3251" s="690" t="s">
        <v>173</v>
      </c>
      <c r="I3251" s="71" t="s">
        <v>2230</v>
      </c>
      <c r="J3251" s="53">
        <f t="shared" si="1670"/>
        <v>-190000</v>
      </c>
      <c r="K3251" s="63">
        <f t="shared" si="1669"/>
        <v>-0.11111111111111109</v>
      </c>
      <c r="L3251" s="871" t="s">
        <v>2494</v>
      </c>
      <c r="M3251" s="468" t="s">
        <v>1393</v>
      </c>
      <c r="N3251" s="664">
        <f t="shared" si="1664"/>
        <v>200810</v>
      </c>
      <c r="O3251" s="71" t="s">
        <v>145</v>
      </c>
      <c r="P3251" s="164" t="str">
        <f t="shared" si="1665"/>
        <v>CTP 판(1030*790mm)</v>
      </c>
      <c r="Q3251" s="71">
        <f t="shared" si="1666"/>
        <v>500</v>
      </c>
      <c r="R3251" s="102">
        <v>3800</v>
      </c>
      <c r="S3251" s="102">
        <f t="shared" si="1661"/>
        <v>2090000.0000000002</v>
      </c>
      <c r="T3251" s="102">
        <f t="shared" si="1662"/>
        <v>1900000</v>
      </c>
      <c r="U3251" s="71" t="str">
        <f t="shared" si="1663"/>
        <v>X</v>
      </c>
      <c r="V3251" s="71"/>
      <c r="W3251" s="474">
        <v>-200000</v>
      </c>
      <c r="X3251" s="71"/>
      <c r="Y3251" s="71"/>
    </row>
    <row r="3252" spans="1:25" ht="30" hidden="1" customHeight="1" x14ac:dyDescent="0.25">
      <c r="A3252" s="82">
        <v>200810</v>
      </c>
      <c r="B3252" s="664" t="s">
        <v>690</v>
      </c>
      <c r="C3252" s="71" t="s">
        <v>197</v>
      </c>
      <c r="D3252" s="71">
        <v>2</v>
      </c>
      <c r="E3252" s="102">
        <v>46000</v>
      </c>
      <c r="F3252" s="1128">
        <f t="shared" si="1667"/>
        <v>101200.00000000001</v>
      </c>
      <c r="G3252" s="102">
        <f t="shared" si="1668"/>
        <v>92000</v>
      </c>
      <c r="H3252" s="690" t="s">
        <v>173</v>
      </c>
      <c r="I3252" s="71" t="s">
        <v>2230</v>
      </c>
      <c r="J3252" s="53">
        <f t="shared" si="1670"/>
        <v>22000</v>
      </c>
      <c r="K3252" s="63">
        <f t="shared" si="1669"/>
        <v>0.23913043478260865</v>
      </c>
      <c r="L3252" s="871" t="s">
        <v>2494</v>
      </c>
      <c r="M3252" s="468" t="s">
        <v>1394</v>
      </c>
      <c r="N3252" s="664">
        <f t="shared" si="1664"/>
        <v>200810</v>
      </c>
      <c r="O3252" s="71" t="s">
        <v>145</v>
      </c>
      <c r="P3252" s="164" t="str">
        <f t="shared" si="1665"/>
        <v>THR200(20L)</v>
      </c>
      <c r="Q3252" s="71">
        <f t="shared" si="1666"/>
        <v>2</v>
      </c>
      <c r="R3252" s="102">
        <v>35000</v>
      </c>
      <c r="S3252" s="102">
        <f t="shared" si="1661"/>
        <v>77000</v>
      </c>
      <c r="T3252" s="102">
        <f t="shared" si="1662"/>
        <v>70000</v>
      </c>
      <c r="U3252" s="71" t="str">
        <f t="shared" si="1663"/>
        <v>X</v>
      </c>
      <c r="V3252" s="71"/>
      <c r="W3252" s="474"/>
      <c r="X3252" s="71"/>
      <c r="Y3252" s="71"/>
    </row>
    <row r="3253" spans="1:25" ht="30" hidden="1" customHeight="1" x14ac:dyDescent="0.25">
      <c r="A3253" s="82">
        <v>200810</v>
      </c>
      <c r="B3253" s="664" t="s">
        <v>546</v>
      </c>
      <c r="C3253" s="71" t="s">
        <v>2511</v>
      </c>
      <c r="D3253" s="71">
        <v>1</v>
      </c>
      <c r="E3253" s="102">
        <v>4000000</v>
      </c>
      <c r="F3253" s="1128">
        <f t="shared" si="1667"/>
        <v>4400000</v>
      </c>
      <c r="G3253" s="102">
        <f t="shared" si="1668"/>
        <v>4000000</v>
      </c>
      <c r="H3253" s="690" t="s">
        <v>142</v>
      </c>
      <c r="I3253" s="71" t="s">
        <v>142</v>
      </c>
      <c r="J3253" s="53">
        <f t="shared" si="1670"/>
        <v>660000</v>
      </c>
      <c r="K3253" s="63">
        <f>(J3253/(F3253/11*10))</f>
        <v>0.16500000000000001</v>
      </c>
      <c r="L3253" s="871" t="s">
        <v>2494</v>
      </c>
      <c r="M3253" s="468"/>
      <c r="N3253" s="664">
        <f t="shared" si="1664"/>
        <v>200810</v>
      </c>
      <c r="O3253" s="71" t="s">
        <v>1431</v>
      </c>
      <c r="P3253" s="164" t="str">
        <f t="shared" si="1665"/>
        <v>Rotoman 인버터</v>
      </c>
      <c r="Q3253" s="71">
        <f t="shared" si="1666"/>
        <v>1</v>
      </c>
      <c r="R3253" s="102">
        <v>3340000</v>
      </c>
      <c r="S3253" s="102">
        <f t="shared" si="1661"/>
        <v>3674000.0000000005</v>
      </c>
      <c r="T3253" s="102">
        <f t="shared" si="1662"/>
        <v>3340000</v>
      </c>
      <c r="U3253" s="71" t="str">
        <f t="shared" si="1663"/>
        <v>X</v>
      </c>
      <c r="V3253" s="71"/>
      <c r="W3253" s="474"/>
      <c r="X3253" s="71"/>
      <c r="Y3253" s="71"/>
    </row>
    <row r="3254" spans="1:25" ht="30" hidden="1" customHeight="1" x14ac:dyDescent="0.25">
      <c r="A3254" s="82">
        <v>200810</v>
      </c>
      <c r="B3254" s="664" t="s">
        <v>546</v>
      </c>
      <c r="C3254" s="71" t="s">
        <v>2028</v>
      </c>
      <c r="D3254" s="71">
        <v>14</v>
      </c>
      <c r="E3254" s="102">
        <v>105000</v>
      </c>
      <c r="F3254" s="1128">
        <f t="shared" si="1667"/>
        <v>1617000.0000000002</v>
      </c>
      <c r="G3254" s="102">
        <f t="shared" si="1668"/>
        <v>1470000</v>
      </c>
      <c r="H3254" s="690" t="s">
        <v>173</v>
      </c>
      <c r="I3254" s="71" t="s">
        <v>108</v>
      </c>
      <c r="J3254" s="53">
        <f t="shared" si="1670"/>
        <v>266000</v>
      </c>
      <c r="K3254" s="63">
        <f>(J3254/(F3254/11*10))</f>
        <v>0.18095238095238092</v>
      </c>
      <c r="L3254" s="871" t="s">
        <v>2494</v>
      </c>
      <c r="M3254" s="468" t="s">
        <v>3067</v>
      </c>
      <c r="N3254" s="664">
        <f t="shared" si="1664"/>
        <v>200810</v>
      </c>
      <c r="O3254" s="71" t="s">
        <v>150</v>
      </c>
      <c r="P3254" s="164" t="str">
        <f t="shared" si="1665"/>
        <v>실리콘 에멀전</v>
      </c>
      <c r="Q3254" s="71">
        <f t="shared" si="1666"/>
        <v>14</v>
      </c>
      <c r="R3254" s="102">
        <v>86000</v>
      </c>
      <c r="S3254" s="102">
        <f t="shared" si="1661"/>
        <v>1324400</v>
      </c>
      <c r="T3254" s="102">
        <f t="shared" si="1662"/>
        <v>1204000</v>
      </c>
      <c r="U3254" s="71" t="str">
        <f t="shared" si="1663"/>
        <v>X</v>
      </c>
      <c r="V3254" s="71">
        <f>5000*Q3254</f>
        <v>70000</v>
      </c>
      <c r="W3254" s="474"/>
      <c r="X3254" s="71"/>
      <c r="Y3254" s="71"/>
    </row>
    <row r="3255" spans="1:25" ht="30" hidden="1" customHeight="1" x14ac:dyDescent="0.25">
      <c r="A3255" s="82">
        <v>200811</v>
      </c>
      <c r="B3255" s="664" t="s">
        <v>442</v>
      </c>
      <c r="C3255" s="71" t="s">
        <v>651</v>
      </c>
      <c r="D3255" s="71">
        <v>5</v>
      </c>
      <c r="E3255" s="102">
        <v>41000</v>
      </c>
      <c r="F3255" s="102">
        <f t="shared" si="1667"/>
        <v>225500.00000000003</v>
      </c>
      <c r="G3255" s="102">
        <f t="shared" si="1668"/>
        <v>205000</v>
      </c>
      <c r="H3255" s="690" t="s">
        <v>2029</v>
      </c>
      <c r="I3255" s="71" t="s">
        <v>195</v>
      </c>
      <c r="J3255" s="53">
        <f>(G3255-(VLOOKUP(C3255,[5]Price!B$1:D$65536,3,FALSE)*D3255))</f>
        <v>80000</v>
      </c>
      <c r="K3255" s="63">
        <f t="shared" si="1669"/>
        <v>0.39024390243902435</v>
      </c>
      <c r="L3255" s="871" t="s">
        <v>2494</v>
      </c>
      <c r="M3255" s="468"/>
      <c r="N3255" s="664">
        <f t="shared" si="1664"/>
        <v>200811</v>
      </c>
      <c r="O3255" s="71" t="s">
        <v>194</v>
      </c>
      <c r="P3255" s="164" t="str">
        <f t="shared" si="1665"/>
        <v>Agfa 현상액 G101C(10L)</v>
      </c>
      <c r="Q3255" s="71">
        <f t="shared" si="1666"/>
        <v>5</v>
      </c>
      <c r="R3255" s="102">
        <f>VLOOKUP(P3255,[5]Price!B$1:D$65536,3,FALSE)</f>
        <v>25000</v>
      </c>
      <c r="S3255" s="102">
        <f t="shared" si="1661"/>
        <v>137500</v>
      </c>
      <c r="T3255" s="102">
        <f t="shared" si="1662"/>
        <v>125000</v>
      </c>
      <c r="U3255" s="71" t="str">
        <f t="shared" si="1663"/>
        <v>O</v>
      </c>
      <c r="V3255" s="71"/>
      <c r="W3255" s="474">
        <f>(G3255-T3255)</f>
        <v>80000</v>
      </c>
      <c r="X3255" s="71"/>
      <c r="Y3255" s="71"/>
    </row>
    <row r="3256" spans="1:25" s="209" customFormat="1" ht="30" hidden="1" customHeight="1" x14ac:dyDescent="0.25">
      <c r="A3256" s="82">
        <v>200811</v>
      </c>
      <c r="B3256" s="664" t="s">
        <v>2155</v>
      </c>
      <c r="C3256" s="71" t="s">
        <v>138</v>
      </c>
      <c r="D3256" s="71">
        <v>10</v>
      </c>
      <c r="E3256" s="102">
        <v>47600</v>
      </c>
      <c r="F3256" s="163">
        <f>(E3256*D3256)*1.1</f>
        <v>523600.00000000006</v>
      </c>
      <c r="G3256" s="102">
        <f>(E3256*D3256)</f>
        <v>476000</v>
      </c>
      <c r="H3256" s="1129" t="s">
        <v>172</v>
      </c>
      <c r="I3256" s="71" t="s">
        <v>108</v>
      </c>
      <c r="J3256" s="53">
        <v>68000</v>
      </c>
      <c r="K3256" s="63">
        <v>0.14285714285714285</v>
      </c>
      <c r="L3256" s="871" t="s">
        <v>2494</v>
      </c>
      <c r="M3256" s="468" t="s">
        <v>2214</v>
      </c>
      <c r="N3256" s="664">
        <f t="shared" si="1664"/>
        <v>200811</v>
      </c>
      <c r="O3256" s="71" t="s">
        <v>150</v>
      </c>
      <c r="P3256" s="164" t="str">
        <f t="shared" si="1665"/>
        <v>매엽용 세척제(Wash 562)</v>
      </c>
      <c r="Q3256" s="71">
        <f t="shared" si="1666"/>
        <v>10</v>
      </c>
      <c r="R3256" s="102">
        <v>40800</v>
      </c>
      <c r="S3256" s="102">
        <f t="shared" si="1661"/>
        <v>448800.00000000006</v>
      </c>
      <c r="T3256" s="102">
        <f t="shared" si="1662"/>
        <v>408000</v>
      </c>
      <c r="U3256" s="71" t="str">
        <f t="shared" si="1663"/>
        <v>X</v>
      </c>
      <c r="V3256" s="71"/>
      <c r="W3256" s="474">
        <v>85000</v>
      </c>
      <c r="X3256" s="71"/>
      <c r="Y3256" s="71"/>
    </row>
    <row r="3257" spans="1:25" ht="30" hidden="1" customHeight="1" x14ac:dyDescent="0.25">
      <c r="A3257" s="82">
        <v>200811</v>
      </c>
      <c r="B3257" s="664" t="s">
        <v>2155</v>
      </c>
      <c r="C3257" s="71" t="s">
        <v>277</v>
      </c>
      <c r="D3257" s="71">
        <v>5</v>
      </c>
      <c r="E3257" s="102">
        <v>172000</v>
      </c>
      <c r="F3257" s="102">
        <f t="shared" ref="F3257:F3268" si="1671">(E3257*D3257)*1.1</f>
        <v>946000.00000000012</v>
      </c>
      <c r="G3257" s="102">
        <f t="shared" ref="G3257:G3268" si="1672">(E3257*D3257)</f>
        <v>860000</v>
      </c>
      <c r="H3257" s="690" t="s">
        <v>173</v>
      </c>
      <c r="I3257" s="71" t="s">
        <v>108</v>
      </c>
      <c r="J3257" s="53">
        <f>G3257-T3257</f>
        <v>285000</v>
      </c>
      <c r="K3257" s="63">
        <v>0.33139534883720928</v>
      </c>
      <c r="L3257" s="871" t="s">
        <v>2494</v>
      </c>
      <c r="M3257" s="468"/>
      <c r="N3257" s="664">
        <f t="shared" si="1664"/>
        <v>200811</v>
      </c>
      <c r="O3257" s="71" t="s">
        <v>150</v>
      </c>
      <c r="P3257" s="164" t="str">
        <f t="shared" si="1665"/>
        <v>윤전용 세척제(Web 504)</v>
      </c>
      <c r="Q3257" s="71">
        <f t="shared" si="1666"/>
        <v>5</v>
      </c>
      <c r="R3257" s="102">
        <v>115000</v>
      </c>
      <c r="S3257" s="102">
        <f t="shared" si="1661"/>
        <v>632500</v>
      </c>
      <c r="T3257" s="102">
        <f t="shared" si="1662"/>
        <v>575000</v>
      </c>
      <c r="U3257" s="71" t="str">
        <f t="shared" si="1663"/>
        <v>O</v>
      </c>
      <c r="V3257" s="71"/>
      <c r="W3257" s="474">
        <v>285000</v>
      </c>
      <c r="X3257" s="71"/>
      <c r="Y3257" s="71"/>
    </row>
    <row r="3258" spans="1:25" s="209" customFormat="1" ht="30" hidden="1" customHeight="1" x14ac:dyDescent="0.2">
      <c r="A3258" s="82">
        <v>200811</v>
      </c>
      <c r="B3258" s="664" t="s">
        <v>2261</v>
      </c>
      <c r="C3258" s="71" t="s">
        <v>107</v>
      </c>
      <c r="D3258" s="71">
        <v>10</v>
      </c>
      <c r="E3258" s="102">
        <v>108000</v>
      </c>
      <c r="F3258" s="163">
        <f t="shared" si="1671"/>
        <v>1188000</v>
      </c>
      <c r="G3258" s="102">
        <f t="shared" si="1672"/>
        <v>1080000</v>
      </c>
      <c r="H3258" s="165" t="s">
        <v>172</v>
      </c>
      <c r="I3258" s="71" t="s">
        <v>109</v>
      </c>
      <c r="J3258" s="53">
        <f>G3258-T3258</f>
        <v>275000</v>
      </c>
      <c r="K3258" s="63">
        <f>(J3258/(F3258/11*10))</f>
        <v>0.25462962962962965</v>
      </c>
      <c r="L3258" s="871" t="s">
        <v>2494</v>
      </c>
      <c r="M3258" s="468"/>
      <c r="N3258" s="664">
        <f t="shared" si="1664"/>
        <v>200811</v>
      </c>
      <c r="O3258" s="71" t="s">
        <v>147</v>
      </c>
      <c r="P3258" s="164" t="str">
        <f t="shared" si="1665"/>
        <v>Blanket(1050*840)</v>
      </c>
      <c r="Q3258" s="71">
        <f t="shared" si="1666"/>
        <v>10</v>
      </c>
      <c r="R3258" s="102">
        <v>80500</v>
      </c>
      <c r="S3258" s="102">
        <f t="shared" si="1661"/>
        <v>885500.00000000012</v>
      </c>
      <c r="T3258" s="102">
        <f t="shared" si="1662"/>
        <v>805000</v>
      </c>
      <c r="U3258" s="71" t="str">
        <f t="shared" si="1663"/>
        <v>O</v>
      </c>
      <c r="V3258" s="71"/>
      <c r="W3258" s="474">
        <v>275000</v>
      </c>
      <c r="X3258" s="71"/>
      <c r="Y3258" s="71"/>
    </row>
    <row r="3259" spans="1:25" s="209" customFormat="1" ht="30" hidden="1" customHeight="1" x14ac:dyDescent="0.25">
      <c r="A3259" s="82">
        <v>200811</v>
      </c>
      <c r="B3259" s="664" t="s">
        <v>567</v>
      </c>
      <c r="C3259" s="71" t="s">
        <v>236</v>
      </c>
      <c r="D3259" s="71">
        <v>10</v>
      </c>
      <c r="E3259" s="102">
        <v>65000</v>
      </c>
      <c r="F3259" s="102">
        <f t="shared" si="1671"/>
        <v>715000</v>
      </c>
      <c r="G3259" s="102">
        <f t="shared" si="1672"/>
        <v>650000</v>
      </c>
      <c r="H3259" s="690" t="s">
        <v>173</v>
      </c>
      <c r="I3259" s="71" t="s">
        <v>2231</v>
      </c>
      <c r="J3259" s="53">
        <f>G3259-T3259</f>
        <v>150000</v>
      </c>
      <c r="K3259" s="63">
        <v>0.23076923076923078</v>
      </c>
      <c r="L3259" s="871" t="s">
        <v>2494</v>
      </c>
      <c r="M3259" s="468"/>
      <c r="N3259" s="664">
        <f t="shared" si="1664"/>
        <v>200811</v>
      </c>
      <c r="O3259" s="71" t="s">
        <v>153</v>
      </c>
      <c r="P3259" s="164" t="str">
        <f t="shared" si="1665"/>
        <v>아스테이지(국전)</v>
      </c>
      <c r="Q3259" s="71">
        <f t="shared" si="1666"/>
        <v>10</v>
      </c>
      <c r="R3259" s="102">
        <v>50000</v>
      </c>
      <c r="S3259" s="102">
        <f t="shared" si="1661"/>
        <v>550000</v>
      </c>
      <c r="T3259" s="102">
        <f t="shared" si="1662"/>
        <v>500000</v>
      </c>
      <c r="U3259" s="71" t="str">
        <f t="shared" si="1663"/>
        <v>O</v>
      </c>
      <c r="V3259" s="71"/>
      <c r="W3259" s="474">
        <v>150000</v>
      </c>
      <c r="X3259" s="71"/>
      <c r="Y3259" s="71"/>
    </row>
    <row r="3260" spans="1:25" s="209" customFormat="1" ht="30" hidden="1" customHeight="1" x14ac:dyDescent="0.25">
      <c r="A3260" s="82">
        <v>200813</v>
      </c>
      <c r="B3260" s="664" t="s">
        <v>2155</v>
      </c>
      <c r="C3260" s="71" t="s">
        <v>2512</v>
      </c>
      <c r="D3260" s="71">
        <v>1</v>
      </c>
      <c r="E3260" s="102">
        <v>4500000</v>
      </c>
      <c r="F3260" s="102">
        <f t="shared" si="1671"/>
        <v>4950000</v>
      </c>
      <c r="G3260" s="102">
        <f t="shared" si="1672"/>
        <v>4500000</v>
      </c>
      <c r="H3260" s="690" t="s">
        <v>985</v>
      </c>
      <c r="I3260" s="71" t="s">
        <v>985</v>
      </c>
      <c r="J3260" s="53">
        <f>G3260-T3260</f>
        <v>2000000</v>
      </c>
      <c r="K3260" s="63">
        <f>(J3260/(F3260/11*10))</f>
        <v>0.44444444444444442</v>
      </c>
      <c r="L3260" s="871" t="s">
        <v>2494</v>
      </c>
      <c r="M3260" s="468" t="s">
        <v>2513</v>
      </c>
      <c r="N3260" s="664">
        <f t="shared" si="1664"/>
        <v>200813</v>
      </c>
      <c r="O3260" s="71" t="s">
        <v>150</v>
      </c>
      <c r="P3260" s="164" t="str">
        <f t="shared" si="1665"/>
        <v>판걸이튜브 교체 서비스</v>
      </c>
      <c r="Q3260" s="71">
        <f t="shared" si="1666"/>
        <v>1</v>
      </c>
      <c r="R3260" s="102">
        <v>2500000</v>
      </c>
      <c r="S3260" s="102">
        <f t="shared" si="1661"/>
        <v>2750000</v>
      </c>
      <c r="T3260" s="102">
        <f t="shared" si="1662"/>
        <v>2500000</v>
      </c>
      <c r="U3260" s="71" t="str">
        <f t="shared" si="1663"/>
        <v>X</v>
      </c>
      <c r="V3260" s="71"/>
      <c r="W3260" s="474"/>
      <c r="X3260" s="71"/>
      <c r="Y3260" s="71"/>
    </row>
    <row r="3261" spans="1:25" ht="30" hidden="1" customHeight="1" x14ac:dyDescent="0.25">
      <c r="A3261" s="82">
        <v>200815</v>
      </c>
      <c r="B3261" s="664" t="s">
        <v>575</v>
      </c>
      <c r="C3261" s="71" t="s">
        <v>2465</v>
      </c>
      <c r="D3261" s="71">
        <v>1</v>
      </c>
      <c r="E3261" s="102">
        <v>2500000</v>
      </c>
      <c r="F3261" s="102">
        <f>(E3261*D3261)*1.1</f>
        <v>2750000</v>
      </c>
      <c r="G3261" s="102">
        <f>(E3261*D3261)</f>
        <v>2500000</v>
      </c>
      <c r="H3261" s="690" t="s">
        <v>985</v>
      </c>
      <c r="I3261" s="71" t="s">
        <v>985</v>
      </c>
      <c r="J3261" s="53">
        <f>G3261-T3261</f>
        <v>2500000</v>
      </c>
      <c r="K3261" s="63">
        <f t="shared" ref="K3261:K3268" si="1673">(J3261/(F3261/11*10))</f>
        <v>1</v>
      </c>
      <c r="L3261" s="871" t="s">
        <v>2494</v>
      </c>
      <c r="M3261" s="468"/>
      <c r="N3261" s="664">
        <f t="shared" si="1664"/>
        <v>200815</v>
      </c>
      <c r="O3261" s="71"/>
      <c r="P3261" s="164" t="str">
        <f t="shared" si="1665"/>
        <v>M600 서비스비용 2회차</v>
      </c>
      <c r="Q3261" s="71">
        <f t="shared" si="1666"/>
        <v>1</v>
      </c>
      <c r="R3261" s="102"/>
      <c r="S3261" s="102">
        <f t="shared" si="1661"/>
        <v>0</v>
      </c>
      <c r="T3261" s="102">
        <f t="shared" si="1662"/>
        <v>0</v>
      </c>
      <c r="U3261" s="71" t="str">
        <f t="shared" si="1663"/>
        <v>X</v>
      </c>
      <c r="V3261" s="71"/>
      <c r="W3261" s="474"/>
      <c r="X3261" s="71"/>
      <c r="Y3261" s="71"/>
    </row>
    <row r="3262" spans="1:25" ht="30" customHeight="1" x14ac:dyDescent="0.2">
      <c r="A3262" s="82">
        <v>200817</v>
      </c>
      <c r="B3262" s="664" t="s">
        <v>2352</v>
      </c>
      <c r="C3262" s="760" t="s">
        <v>218</v>
      </c>
      <c r="D3262" s="71">
        <v>4</v>
      </c>
      <c r="E3262" s="102">
        <v>235000</v>
      </c>
      <c r="F3262" s="163">
        <f t="shared" si="1671"/>
        <v>1034000.0000000001</v>
      </c>
      <c r="G3262" s="102">
        <f t="shared" si="1672"/>
        <v>940000</v>
      </c>
      <c r="H3262" s="690" t="s">
        <v>142</v>
      </c>
      <c r="I3262" s="71" t="s">
        <v>142</v>
      </c>
      <c r="J3262" s="53">
        <f>(G3262-(VLOOKUP(C3262,Price!B:D,3,FALSE)*D3262))</f>
        <v>490000</v>
      </c>
      <c r="K3262" s="63">
        <f t="shared" si="1673"/>
        <v>0.52127659574468077</v>
      </c>
      <c r="L3262" s="871" t="s">
        <v>2494</v>
      </c>
      <c r="M3262" s="468" t="s">
        <v>2053</v>
      </c>
      <c r="N3262" s="664">
        <f t="shared" si="1664"/>
        <v>200817</v>
      </c>
      <c r="O3262" s="71" t="s">
        <v>150</v>
      </c>
      <c r="P3262" s="164" t="str">
        <f t="shared" si="1665"/>
        <v>Fount Web 551AF</v>
      </c>
      <c r="Q3262" s="71">
        <f t="shared" si="1666"/>
        <v>4</v>
      </c>
      <c r="R3262" s="102">
        <v>112500</v>
      </c>
      <c r="S3262" s="102">
        <f t="shared" si="1661"/>
        <v>495000.00000000006</v>
      </c>
      <c r="T3262" s="102">
        <f t="shared" si="1662"/>
        <v>450000</v>
      </c>
      <c r="U3262" s="71" t="str">
        <f t="shared" si="1663"/>
        <v>O</v>
      </c>
      <c r="V3262" s="71"/>
      <c r="W3262" s="474">
        <f>(G3262-T3262)</f>
        <v>490000</v>
      </c>
      <c r="X3262" s="71"/>
      <c r="Y3262" s="71"/>
    </row>
    <row r="3263" spans="1:25" s="209" customFormat="1" ht="30" customHeight="1" x14ac:dyDescent="0.25">
      <c r="A3263" s="82">
        <v>200817</v>
      </c>
      <c r="B3263" s="664" t="s">
        <v>2352</v>
      </c>
      <c r="C3263" s="71" t="s">
        <v>583</v>
      </c>
      <c r="D3263" s="71">
        <v>24</v>
      </c>
      <c r="E3263" s="102">
        <v>89000</v>
      </c>
      <c r="F3263" s="102">
        <f t="shared" si="1671"/>
        <v>2349600</v>
      </c>
      <c r="G3263" s="102">
        <f t="shared" si="1672"/>
        <v>2136000</v>
      </c>
      <c r="H3263" s="690" t="s">
        <v>142</v>
      </c>
      <c r="I3263" s="71" t="s">
        <v>142</v>
      </c>
      <c r="J3263" s="53">
        <f>(G3263-(VLOOKUP(C3263,Price!B:D,3,FALSE)*D3263))</f>
        <v>1080000</v>
      </c>
      <c r="K3263" s="63">
        <f t="shared" si="1673"/>
        <v>0.5056179775280899</v>
      </c>
      <c r="L3263" s="871" t="s">
        <v>2494</v>
      </c>
      <c r="M3263" s="468" t="s">
        <v>2053</v>
      </c>
      <c r="N3263" s="664">
        <f t="shared" si="1664"/>
        <v>200817</v>
      </c>
      <c r="O3263" s="71" t="s">
        <v>599</v>
      </c>
      <c r="P3263" s="164" t="str">
        <f t="shared" si="1665"/>
        <v>M600 윤전 세정포</v>
      </c>
      <c r="Q3263" s="71">
        <f t="shared" si="1666"/>
        <v>24</v>
      </c>
      <c r="R3263" s="102">
        <v>44000</v>
      </c>
      <c r="S3263" s="102">
        <f t="shared" si="1661"/>
        <v>1161600</v>
      </c>
      <c r="T3263" s="102">
        <f t="shared" si="1662"/>
        <v>1056000</v>
      </c>
      <c r="U3263" s="71" t="str">
        <f t="shared" si="1663"/>
        <v>O</v>
      </c>
      <c r="V3263" s="71"/>
      <c r="W3263" s="474">
        <f>(G3263-T3263)</f>
        <v>1080000</v>
      </c>
      <c r="X3263" s="71"/>
      <c r="Y3263" s="71"/>
    </row>
    <row r="3264" spans="1:25" ht="27.6" hidden="1" customHeight="1" x14ac:dyDescent="0.2">
      <c r="A3264" s="82">
        <v>200818</v>
      </c>
      <c r="B3264" s="664" t="s">
        <v>567</v>
      </c>
      <c r="C3264" s="71" t="s">
        <v>1652</v>
      </c>
      <c r="D3264" s="71">
        <v>5</v>
      </c>
      <c r="E3264" s="102">
        <v>45000</v>
      </c>
      <c r="F3264" s="163">
        <f t="shared" si="1671"/>
        <v>247500.00000000003</v>
      </c>
      <c r="G3264" s="102">
        <f t="shared" si="1672"/>
        <v>225000</v>
      </c>
      <c r="H3264" s="690" t="s">
        <v>173</v>
      </c>
      <c r="I3264" s="71" t="s">
        <v>2231</v>
      </c>
      <c r="J3264" s="53">
        <f>G3264-T3264</f>
        <v>25000</v>
      </c>
      <c r="K3264" s="63">
        <f>(J3264/(F3264/11*10))</f>
        <v>0.11111111111111109</v>
      </c>
      <c r="L3264" s="871" t="s">
        <v>2494</v>
      </c>
      <c r="M3264" s="468"/>
      <c r="N3264" s="664">
        <f t="shared" si="1664"/>
        <v>200818</v>
      </c>
      <c r="O3264" s="71" t="s">
        <v>153</v>
      </c>
      <c r="P3264" s="164" t="str">
        <f t="shared" si="1665"/>
        <v>아스테이지(CD74용)</v>
      </c>
      <c r="Q3264" s="71">
        <f t="shared" si="1666"/>
        <v>5</v>
      </c>
      <c r="R3264" s="102">
        <v>40000</v>
      </c>
      <c r="S3264" s="102">
        <f t="shared" si="1661"/>
        <v>220000.00000000003</v>
      </c>
      <c r="T3264" s="102">
        <f t="shared" si="1662"/>
        <v>200000</v>
      </c>
      <c r="U3264" s="71" t="str">
        <f t="shared" si="1663"/>
        <v>X</v>
      </c>
      <c r="V3264" s="71"/>
      <c r="W3264" s="474"/>
      <c r="X3264" s="71"/>
      <c r="Y3264" s="71"/>
    </row>
    <row r="3265" spans="1:25" s="209" customFormat="1" ht="30" hidden="1" customHeight="1" x14ac:dyDescent="0.25">
      <c r="A3265" s="82">
        <v>200818</v>
      </c>
      <c r="B3265" s="664" t="s">
        <v>1579</v>
      </c>
      <c r="C3265" s="71" t="s">
        <v>123</v>
      </c>
      <c r="D3265" s="71">
        <v>10</v>
      </c>
      <c r="E3265" s="102">
        <v>40000</v>
      </c>
      <c r="F3265" s="102">
        <f t="shared" si="1671"/>
        <v>440000.00000000006</v>
      </c>
      <c r="G3265" s="102">
        <f t="shared" si="1672"/>
        <v>400000</v>
      </c>
      <c r="H3265" s="690" t="s">
        <v>1432</v>
      </c>
      <c r="I3265" s="71" t="s">
        <v>1432</v>
      </c>
      <c r="J3265" s="53">
        <f>G3265-T3265</f>
        <v>155460</v>
      </c>
      <c r="K3265" s="63">
        <f>(J3265/(F3265/11*10))</f>
        <v>0.38864999999999994</v>
      </c>
      <c r="L3265" s="871" t="s">
        <v>2494</v>
      </c>
      <c r="M3265" s="468"/>
      <c r="N3265" s="664">
        <f t="shared" si="1664"/>
        <v>200818</v>
      </c>
      <c r="O3265" s="71" t="s">
        <v>1432</v>
      </c>
      <c r="P3265" s="164" t="str">
        <f t="shared" si="1665"/>
        <v>필터백</v>
      </c>
      <c r="Q3265" s="71">
        <f t="shared" si="1666"/>
        <v>10</v>
      </c>
      <c r="R3265" s="102">
        <v>24454</v>
      </c>
      <c r="S3265" s="102">
        <f t="shared" si="1661"/>
        <v>268994</v>
      </c>
      <c r="T3265" s="102">
        <f t="shared" si="1662"/>
        <v>244540</v>
      </c>
      <c r="U3265" s="71" t="str">
        <f t="shared" si="1663"/>
        <v>X</v>
      </c>
      <c r="V3265" s="71"/>
      <c r="W3265" s="474"/>
      <c r="X3265" s="71"/>
      <c r="Y3265" s="71"/>
    </row>
    <row r="3266" spans="1:25" ht="30" hidden="1" customHeight="1" x14ac:dyDescent="0.2">
      <c r="A3266" s="82">
        <v>200819</v>
      </c>
      <c r="B3266" s="664" t="s">
        <v>545</v>
      </c>
      <c r="C3266" s="71" t="s">
        <v>952</v>
      </c>
      <c r="D3266" s="71">
        <v>1</v>
      </c>
      <c r="E3266" s="102">
        <v>630000</v>
      </c>
      <c r="F3266" s="163">
        <f>(E3266*D3266)*1.1</f>
        <v>693000</v>
      </c>
      <c r="G3266" s="102">
        <f>(E3266*D3266)</f>
        <v>630000</v>
      </c>
      <c r="H3266" s="690" t="s">
        <v>173</v>
      </c>
      <c r="I3266" s="71" t="s">
        <v>108</v>
      </c>
      <c r="J3266" s="53">
        <f>G3266-T3266</f>
        <v>190000</v>
      </c>
      <c r="K3266" s="63">
        <f t="shared" si="1673"/>
        <v>0.30158730158730157</v>
      </c>
      <c r="L3266" s="871" t="s">
        <v>2494</v>
      </c>
      <c r="M3266" s="468"/>
      <c r="N3266" s="664">
        <f t="shared" si="1664"/>
        <v>200819</v>
      </c>
      <c r="O3266" s="71" t="s">
        <v>599</v>
      </c>
      <c r="P3266" s="164" t="str">
        <f t="shared" si="1665"/>
        <v>점보롤 세정포</v>
      </c>
      <c r="Q3266" s="71">
        <f t="shared" si="1666"/>
        <v>1</v>
      </c>
      <c r="R3266" s="102">
        <v>440000</v>
      </c>
      <c r="S3266" s="102">
        <f t="shared" si="1661"/>
        <v>484000.00000000006</v>
      </c>
      <c r="T3266" s="102">
        <f t="shared" si="1662"/>
        <v>440000</v>
      </c>
      <c r="U3266" s="71" t="str">
        <f t="shared" si="1663"/>
        <v>O</v>
      </c>
      <c r="V3266" s="71" t="s">
        <v>1228</v>
      </c>
      <c r="W3266" s="474">
        <f>(G3266-T3266)</f>
        <v>190000</v>
      </c>
      <c r="X3266" s="71"/>
      <c r="Y3266" s="71"/>
    </row>
    <row r="3267" spans="1:25" ht="26.25" hidden="1" customHeight="1" x14ac:dyDescent="0.25">
      <c r="A3267" s="82">
        <v>200819</v>
      </c>
      <c r="B3267" s="664" t="s">
        <v>545</v>
      </c>
      <c r="C3267" s="71" t="s">
        <v>123</v>
      </c>
      <c r="D3267" s="71">
        <v>20</v>
      </c>
      <c r="E3267" s="102">
        <v>42000</v>
      </c>
      <c r="F3267" s="102">
        <f>(E3267*D3267)*1.1</f>
        <v>924000.00000000012</v>
      </c>
      <c r="G3267" s="102">
        <f>(E3267*D3267)</f>
        <v>840000</v>
      </c>
      <c r="H3267" s="690" t="s">
        <v>1432</v>
      </c>
      <c r="I3267" s="71" t="s">
        <v>1432</v>
      </c>
      <c r="J3267" s="53">
        <f>G3267-T3267</f>
        <v>350920</v>
      </c>
      <c r="K3267" s="63">
        <f t="shared" si="1673"/>
        <v>0.41776190476190472</v>
      </c>
      <c r="L3267" s="871" t="s">
        <v>2494</v>
      </c>
      <c r="M3267" s="468"/>
      <c r="N3267" s="664">
        <f t="shared" si="1664"/>
        <v>200819</v>
      </c>
      <c r="O3267" s="71" t="s">
        <v>1432</v>
      </c>
      <c r="P3267" s="164" t="str">
        <f t="shared" si="1665"/>
        <v>필터백</v>
      </c>
      <c r="Q3267" s="71">
        <f t="shared" si="1666"/>
        <v>20</v>
      </c>
      <c r="R3267" s="102">
        <v>24454</v>
      </c>
      <c r="S3267" s="102">
        <f t="shared" si="1661"/>
        <v>537988</v>
      </c>
      <c r="T3267" s="102">
        <f t="shared" si="1662"/>
        <v>489080</v>
      </c>
      <c r="U3267" s="71" t="str">
        <f t="shared" si="1663"/>
        <v>O</v>
      </c>
      <c r="V3267" s="71"/>
      <c r="W3267" s="474">
        <f>(G3267-T3267)</f>
        <v>350920</v>
      </c>
      <c r="X3267" s="71"/>
      <c r="Y3267" s="71"/>
    </row>
    <row r="3268" spans="1:25" s="209" customFormat="1" ht="30" hidden="1" customHeight="1" x14ac:dyDescent="0.25">
      <c r="A3268" s="82">
        <v>200819</v>
      </c>
      <c r="B3268" s="664" t="s">
        <v>2155</v>
      </c>
      <c r="C3268" s="71" t="s">
        <v>138</v>
      </c>
      <c r="D3268" s="71">
        <v>10</v>
      </c>
      <c r="E3268" s="102">
        <v>47600</v>
      </c>
      <c r="F3268" s="163">
        <f t="shared" si="1671"/>
        <v>523600.00000000006</v>
      </c>
      <c r="G3268" s="102">
        <f t="shared" si="1672"/>
        <v>476000</v>
      </c>
      <c r="H3268" s="1129" t="s">
        <v>172</v>
      </c>
      <c r="I3268" s="71" t="s">
        <v>108</v>
      </c>
      <c r="J3268" s="53">
        <f>G3268-T3268</f>
        <v>68000</v>
      </c>
      <c r="K3268" s="63">
        <f t="shared" si="1673"/>
        <v>0.14285714285714285</v>
      </c>
      <c r="L3268" s="871" t="s">
        <v>2494</v>
      </c>
      <c r="M3268" s="468" t="s">
        <v>2214</v>
      </c>
      <c r="N3268" s="664">
        <f t="shared" si="1664"/>
        <v>200819</v>
      </c>
      <c r="O3268" s="71" t="s">
        <v>150</v>
      </c>
      <c r="P3268" s="164" t="str">
        <f t="shared" si="1665"/>
        <v>매엽용 세척제(Wash 562)</v>
      </c>
      <c r="Q3268" s="71">
        <f t="shared" si="1666"/>
        <v>10</v>
      </c>
      <c r="R3268" s="102">
        <v>40800</v>
      </c>
      <c r="S3268" s="102">
        <f t="shared" si="1661"/>
        <v>448800.00000000006</v>
      </c>
      <c r="T3268" s="102">
        <f t="shared" si="1662"/>
        <v>408000</v>
      </c>
      <c r="U3268" s="71" t="str">
        <f t="shared" si="1663"/>
        <v>X</v>
      </c>
      <c r="V3268" s="71"/>
      <c r="W3268" s="474">
        <v>85000</v>
      </c>
      <c r="X3268" s="71"/>
      <c r="Y3268" s="71"/>
    </row>
    <row r="3269" spans="1:25" ht="30" hidden="1" customHeight="1" x14ac:dyDescent="0.2">
      <c r="A3269" s="82">
        <v>200819</v>
      </c>
      <c r="B3269" s="664" t="s">
        <v>2155</v>
      </c>
      <c r="C3269" s="71" t="s">
        <v>277</v>
      </c>
      <c r="D3269" s="71">
        <v>5</v>
      </c>
      <c r="E3269" s="102">
        <v>172000</v>
      </c>
      <c r="F3269" s="163">
        <f>(E3269*D3269)*1.1</f>
        <v>946000.00000000012</v>
      </c>
      <c r="G3269" s="102">
        <f>(E3269*D3269)</f>
        <v>860000</v>
      </c>
      <c r="H3269" s="690" t="s">
        <v>173</v>
      </c>
      <c r="I3269" s="71" t="s">
        <v>108</v>
      </c>
      <c r="J3269" s="53">
        <v>285000</v>
      </c>
      <c r="K3269" s="63">
        <v>0.33139534883720928</v>
      </c>
      <c r="L3269" s="871" t="s">
        <v>2494</v>
      </c>
      <c r="M3269" s="468"/>
      <c r="N3269" s="664">
        <f t="shared" si="1664"/>
        <v>200819</v>
      </c>
      <c r="O3269" s="71" t="s">
        <v>150</v>
      </c>
      <c r="P3269" s="164" t="str">
        <f t="shared" si="1665"/>
        <v>윤전용 세척제(Web 504)</v>
      </c>
      <c r="Q3269" s="71">
        <f t="shared" si="1666"/>
        <v>5</v>
      </c>
      <c r="R3269" s="102">
        <v>115000</v>
      </c>
      <c r="S3269" s="102">
        <f t="shared" si="1661"/>
        <v>632500</v>
      </c>
      <c r="T3269" s="102">
        <f t="shared" si="1662"/>
        <v>575000</v>
      </c>
      <c r="U3269" s="71" t="str">
        <f t="shared" si="1663"/>
        <v>O</v>
      </c>
      <c r="V3269" s="71"/>
      <c r="W3269" s="474">
        <v>285000</v>
      </c>
      <c r="X3269" s="71"/>
      <c r="Y3269" s="71"/>
    </row>
    <row r="3270" spans="1:25" ht="30" hidden="1" customHeight="1" x14ac:dyDescent="0.25">
      <c r="A3270" s="82">
        <v>200819</v>
      </c>
      <c r="B3270" s="664" t="s">
        <v>2155</v>
      </c>
      <c r="C3270" s="760" t="s">
        <v>218</v>
      </c>
      <c r="D3270" s="71">
        <v>5</v>
      </c>
      <c r="E3270" s="102">
        <v>192500</v>
      </c>
      <c r="F3270" s="102">
        <f t="shared" ref="F3270:F3279" si="1674">(E3270*D3270)*1.1</f>
        <v>1058750</v>
      </c>
      <c r="G3270" s="102">
        <f t="shared" ref="G3270:G3279" si="1675">(E3270*D3270)</f>
        <v>962500</v>
      </c>
      <c r="H3270" s="690" t="s">
        <v>173</v>
      </c>
      <c r="I3270" s="71" t="s">
        <v>120</v>
      </c>
      <c r="J3270" s="53">
        <f t="shared" ref="J3270:J3284" si="1676">G3270-T3270</f>
        <v>400000</v>
      </c>
      <c r="K3270" s="63">
        <v>0.4155844155844155</v>
      </c>
      <c r="L3270" s="871" t="s">
        <v>2494</v>
      </c>
      <c r="M3270" s="468"/>
      <c r="N3270" s="664">
        <f t="shared" si="1664"/>
        <v>200819</v>
      </c>
      <c r="O3270" s="71" t="s">
        <v>150</v>
      </c>
      <c r="P3270" s="164" t="str">
        <f t="shared" si="1665"/>
        <v>Fount Web 551AF</v>
      </c>
      <c r="Q3270" s="71">
        <f t="shared" si="1666"/>
        <v>5</v>
      </c>
      <c r="R3270" s="102">
        <v>112500</v>
      </c>
      <c r="S3270" s="102">
        <f t="shared" ref="S3270:S3301" si="1677">R3270*Q3270*1.1</f>
        <v>618750</v>
      </c>
      <c r="T3270" s="102">
        <f t="shared" ref="T3270:T3301" si="1678">R3270*Q3270</f>
        <v>562500</v>
      </c>
      <c r="U3270" s="71" t="str">
        <f t="shared" ref="U3270:U3301" si="1679">IF(J3270=W3270,"O", "X")</f>
        <v>X</v>
      </c>
      <c r="V3270" s="71"/>
      <c r="W3270" s="474">
        <v>640000</v>
      </c>
      <c r="X3270" s="71"/>
      <c r="Y3270" s="71"/>
    </row>
    <row r="3271" spans="1:25" ht="30" hidden="1" customHeight="1" x14ac:dyDescent="0.25">
      <c r="A3271" s="82">
        <v>200819</v>
      </c>
      <c r="B3271" s="664" t="s">
        <v>442</v>
      </c>
      <c r="C3271" s="71" t="s">
        <v>206</v>
      </c>
      <c r="D3271" s="71">
        <v>2</v>
      </c>
      <c r="E3271" s="102">
        <v>327000</v>
      </c>
      <c r="F3271" s="102">
        <f t="shared" si="1674"/>
        <v>719400</v>
      </c>
      <c r="G3271" s="102">
        <f t="shared" si="1675"/>
        <v>654000</v>
      </c>
      <c r="H3271" s="690" t="s">
        <v>2029</v>
      </c>
      <c r="I3271" s="71" t="s">
        <v>195</v>
      </c>
      <c r="J3271" s="53">
        <f t="shared" si="1676"/>
        <v>115800</v>
      </c>
      <c r="K3271" s="63">
        <f t="shared" ref="K3271:K3278" si="1680">(J3271/(F3271/11*10))</f>
        <v>0.17706422018348625</v>
      </c>
      <c r="L3271" s="871" t="s">
        <v>2494</v>
      </c>
      <c r="M3271" s="468"/>
      <c r="N3271" s="664">
        <f t="shared" si="1664"/>
        <v>200819</v>
      </c>
      <c r="O3271" s="71" t="s">
        <v>194</v>
      </c>
      <c r="P3271" s="164" t="str">
        <f t="shared" si="1665"/>
        <v>Agfa Film(24inch)</v>
      </c>
      <c r="Q3271" s="71">
        <f t="shared" si="1666"/>
        <v>2</v>
      </c>
      <c r="R3271" s="102">
        <v>269100</v>
      </c>
      <c r="S3271" s="102">
        <f t="shared" si="1677"/>
        <v>592020</v>
      </c>
      <c r="T3271" s="102">
        <f t="shared" si="1678"/>
        <v>538200</v>
      </c>
      <c r="U3271" s="71" t="str">
        <f t="shared" si="1679"/>
        <v>O</v>
      </c>
      <c r="V3271" s="71"/>
      <c r="W3271" s="474">
        <f>(G3271-T3271)</f>
        <v>115800</v>
      </c>
      <c r="X3271" s="71"/>
      <c r="Y3271" s="71"/>
    </row>
    <row r="3272" spans="1:25" ht="30" hidden="1" customHeight="1" x14ac:dyDescent="0.25">
      <c r="A3272" s="82">
        <v>200819</v>
      </c>
      <c r="B3272" s="664" t="s">
        <v>442</v>
      </c>
      <c r="C3272" s="71" t="s">
        <v>207</v>
      </c>
      <c r="D3272" s="71">
        <v>2</v>
      </c>
      <c r="E3272" s="102">
        <v>401000</v>
      </c>
      <c r="F3272" s="102">
        <f t="shared" si="1674"/>
        <v>882200.00000000012</v>
      </c>
      <c r="G3272" s="102">
        <f t="shared" si="1675"/>
        <v>802000</v>
      </c>
      <c r="H3272" s="690" t="s">
        <v>2029</v>
      </c>
      <c r="I3272" s="71" t="s">
        <v>195</v>
      </c>
      <c r="J3272" s="53">
        <f t="shared" si="1676"/>
        <v>174080</v>
      </c>
      <c r="K3272" s="63">
        <f t="shared" si="1680"/>
        <v>0.21705735660847877</v>
      </c>
      <c r="L3272" s="871" t="s">
        <v>2494</v>
      </c>
      <c r="M3272" s="468"/>
      <c r="N3272" s="664">
        <f t="shared" si="1664"/>
        <v>200819</v>
      </c>
      <c r="O3272" s="71" t="s">
        <v>194</v>
      </c>
      <c r="P3272" s="164" t="str">
        <f t="shared" si="1665"/>
        <v>Agfa Film(28inch)</v>
      </c>
      <c r="Q3272" s="71">
        <f t="shared" si="1666"/>
        <v>2</v>
      </c>
      <c r="R3272" s="102">
        <f>VLOOKUP(P3272,[5]Price!B$1:D$65536,3,FALSE)</f>
        <v>313960</v>
      </c>
      <c r="S3272" s="102">
        <f t="shared" si="1677"/>
        <v>690712</v>
      </c>
      <c r="T3272" s="102">
        <f t="shared" si="1678"/>
        <v>627920</v>
      </c>
      <c r="U3272" s="71" t="str">
        <f t="shared" si="1679"/>
        <v>O</v>
      </c>
      <c r="V3272" s="71"/>
      <c r="W3272" s="474">
        <f>(G3272-T3272)</f>
        <v>174080</v>
      </c>
      <c r="X3272" s="71"/>
      <c r="Y3272" s="71"/>
    </row>
    <row r="3273" spans="1:25" ht="30" hidden="1" customHeight="1" x14ac:dyDescent="0.25">
      <c r="A3273" s="82">
        <v>200819</v>
      </c>
      <c r="B3273" s="664" t="s">
        <v>442</v>
      </c>
      <c r="C3273" s="71" t="s">
        <v>208</v>
      </c>
      <c r="D3273" s="71">
        <v>2</v>
      </c>
      <c r="E3273" s="102">
        <v>448000</v>
      </c>
      <c r="F3273" s="102">
        <f t="shared" si="1674"/>
        <v>985600.00000000012</v>
      </c>
      <c r="G3273" s="102">
        <f t="shared" si="1675"/>
        <v>896000</v>
      </c>
      <c r="H3273" s="690" t="s">
        <v>2029</v>
      </c>
      <c r="I3273" s="71" t="s">
        <v>195</v>
      </c>
      <c r="J3273" s="53">
        <f t="shared" si="1676"/>
        <v>155980</v>
      </c>
      <c r="K3273" s="63">
        <f t="shared" si="1680"/>
        <v>0.1740848214285714</v>
      </c>
      <c r="L3273" s="871" t="s">
        <v>2494</v>
      </c>
      <c r="M3273" s="468"/>
      <c r="N3273" s="664">
        <f t="shared" si="1664"/>
        <v>200819</v>
      </c>
      <c r="O3273" s="71" t="s">
        <v>194</v>
      </c>
      <c r="P3273" s="164" t="str">
        <f t="shared" si="1665"/>
        <v>Agfa Film(32inch)</v>
      </c>
      <c r="Q3273" s="71">
        <f t="shared" si="1666"/>
        <v>2</v>
      </c>
      <c r="R3273" s="102">
        <f>VLOOKUP(P3273,[5]Price!B$1:D$65536,3,FALSE)</f>
        <v>370010</v>
      </c>
      <c r="S3273" s="102">
        <f t="shared" si="1677"/>
        <v>814022.00000000012</v>
      </c>
      <c r="T3273" s="102">
        <f t="shared" si="1678"/>
        <v>740020</v>
      </c>
      <c r="U3273" s="71" t="str">
        <f t="shared" si="1679"/>
        <v>O</v>
      </c>
      <c r="V3273" s="71"/>
      <c r="W3273" s="474">
        <f>(G3273-T3273)</f>
        <v>155980</v>
      </c>
      <c r="X3273" s="71"/>
      <c r="Y3273" s="71"/>
    </row>
    <row r="3274" spans="1:25" ht="30" hidden="1" customHeight="1" x14ac:dyDescent="0.2">
      <c r="A3274" s="82">
        <v>200819</v>
      </c>
      <c r="B3274" s="664" t="s">
        <v>575</v>
      </c>
      <c r="C3274" s="71" t="s">
        <v>1367</v>
      </c>
      <c r="D3274" s="71">
        <v>8</v>
      </c>
      <c r="E3274" s="102">
        <v>218000</v>
      </c>
      <c r="F3274" s="163">
        <f t="shared" si="1674"/>
        <v>1918400.0000000002</v>
      </c>
      <c r="G3274" s="102">
        <f t="shared" si="1675"/>
        <v>1744000</v>
      </c>
      <c r="H3274" s="690" t="s">
        <v>173</v>
      </c>
      <c r="I3274" s="71" t="s">
        <v>109</v>
      </c>
      <c r="J3274" s="53">
        <f t="shared" si="1676"/>
        <v>781920</v>
      </c>
      <c r="K3274" s="63">
        <f t="shared" si="1680"/>
        <v>0.44834862385321095</v>
      </c>
      <c r="L3274" s="871" t="s">
        <v>2494</v>
      </c>
      <c r="M3274" s="468"/>
      <c r="N3274" s="664">
        <f t="shared" si="1664"/>
        <v>200819</v>
      </c>
      <c r="O3274" s="71" t="s">
        <v>1443</v>
      </c>
      <c r="P3274" s="164" t="str">
        <f t="shared" si="1665"/>
        <v>M600 윤전 블랑켓 995*742</v>
      </c>
      <c r="Q3274" s="71">
        <f t="shared" si="1666"/>
        <v>8</v>
      </c>
      <c r="R3274" s="102">
        <v>120260</v>
      </c>
      <c r="S3274" s="102">
        <f t="shared" si="1677"/>
        <v>1058288</v>
      </c>
      <c r="T3274" s="102">
        <f t="shared" si="1678"/>
        <v>962080</v>
      </c>
      <c r="U3274" s="71" t="str">
        <f t="shared" si="1679"/>
        <v>X</v>
      </c>
      <c r="V3274" s="71"/>
      <c r="W3274" s="474"/>
      <c r="X3274" s="71"/>
      <c r="Y3274" s="71"/>
    </row>
    <row r="3275" spans="1:25" ht="30" hidden="1" customHeight="1" x14ac:dyDescent="0.25">
      <c r="A3275" s="82">
        <v>200820</v>
      </c>
      <c r="B3275" s="664" t="s">
        <v>1155</v>
      </c>
      <c r="C3275" s="71" t="s">
        <v>2506</v>
      </c>
      <c r="D3275" s="71">
        <v>1</v>
      </c>
      <c r="E3275" s="102">
        <v>450000</v>
      </c>
      <c r="F3275" s="102">
        <f t="shared" si="1674"/>
        <v>495000.00000000006</v>
      </c>
      <c r="G3275" s="102">
        <f t="shared" si="1675"/>
        <v>450000</v>
      </c>
      <c r="H3275" s="690" t="s">
        <v>1431</v>
      </c>
      <c r="I3275" s="71" t="s">
        <v>1431</v>
      </c>
      <c r="J3275" s="53">
        <f t="shared" si="1676"/>
        <v>100000</v>
      </c>
      <c r="K3275" s="63">
        <f>(J3275/(F3275/11*10))</f>
        <v>0.22222222222222218</v>
      </c>
      <c r="L3275" s="871" t="s">
        <v>2494</v>
      </c>
      <c r="M3275" s="468"/>
      <c r="N3275" s="664">
        <f t="shared" si="1664"/>
        <v>200820</v>
      </c>
      <c r="O3275" s="71" t="s">
        <v>2517</v>
      </c>
      <c r="P3275" s="164" t="str">
        <f t="shared" si="1665"/>
        <v>3Way 트랜스듀서</v>
      </c>
      <c r="Q3275" s="71">
        <f t="shared" si="1666"/>
        <v>1</v>
      </c>
      <c r="R3275" s="102">
        <v>350000</v>
      </c>
      <c r="S3275" s="102">
        <f t="shared" si="1677"/>
        <v>385000.00000000006</v>
      </c>
      <c r="T3275" s="102">
        <f t="shared" si="1678"/>
        <v>350000</v>
      </c>
      <c r="U3275" s="71" t="str">
        <f t="shared" si="1679"/>
        <v>X</v>
      </c>
      <c r="V3275" s="71"/>
      <c r="W3275" s="474"/>
      <c r="X3275" s="71"/>
      <c r="Y3275" s="71"/>
    </row>
    <row r="3276" spans="1:25" ht="30" hidden="1" customHeight="1" x14ac:dyDescent="0.25">
      <c r="A3276" s="82">
        <v>200820</v>
      </c>
      <c r="B3276" s="664" t="s">
        <v>1155</v>
      </c>
      <c r="C3276" s="71" t="s">
        <v>2507</v>
      </c>
      <c r="D3276" s="71">
        <v>2</v>
      </c>
      <c r="E3276" s="102">
        <v>90000</v>
      </c>
      <c r="F3276" s="102">
        <f t="shared" si="1674"/>
        <v>198000.00000000003</v>
      </c>
      <c r="G3276" s="102">
        <f t="shared" si="1675"/>
        <v>180000</v>
      </c>
      <c r="H3276" s="690" t="s">
        <v>1431</v>
      </c>
      <c r="I3276" s="71" t="s">
        <v>1431</v>
      </c>
      <c r="J3276" s="53">
        <f t="shared" si="1676"/>
        <v>120000</v>
      </c>
      <c r="K3276" s="63">
        <f>(J3276/(F3276/11*10))</f>
        <v>0.66666666666666652</v>
      </c>
      <c r="L3276" s="871" t="s">
        <v>2494</v>
      </c>
      <c r="M3276" s="468"/>
      <c r="N3276" s="664">
        <f t="shared" si="1664"/>
        <v>200820</v>
      </c>
      <c r="O3276" s="71" t="s">
        <v>2517</v>
      </c>
      <c r="P3276" s="164" t="str">
        <f t="shared" si="1665"/>
        <v>풀리 Bush</v>
      </c>
      <c r="Q3276" s="71">
        <f t="shared" si="1666"/>
        <v>2</v>
      </c>
      <c r="R3276" s="102">
        <v>30000</v>
      </c>
      <c r="S3276" s="102">
        <f t="shared" si="1677"/>
        <v>66000</v>
      </c>
      <c r="T3276" s="102">
        <f t="shared" si="1678"/>
        <v>60000</v>
      </c>
      <c r="U3276" s="71" t="str">
        <f t="shared" si="1679"/>
        <v>X</v>
      </c>
      <c r="V3276" s="71"/>
      <c r="W3276" s="474"/>
      <c r="X3276" s="71"/>
      <c r="Y3276" s="71"/>
    </row>
    <row r="3277" spans="1:25" ht="30" hidden="1" customHeight="1" x14ac:dyDescent="0.2">
      <c r="A3277" s="82">
        <v>200821</v>
      </c>
      <c r="B3277" s="664" t="s">
        <v>2353</v>
      </c>
      <c r="C3277" s="71" t="s">
        <v>129</v>
      </c>
      <c r="D3277" s="71">
        <v>5</v>
      </c>
      <c r="E3277" s="102">
        <v>272000</v>
      </c>
      <c r="F3277" s="163">
        <f t="shared" si="1674"/>
        <v>1496000.0000000002</v>
      </c>
      <c r="G3277" s="102">
        <f t="shared" si="1675"/>
        <v>1360000</v>
      </c>
      <c r="H3277" s="165" t="s">
        <v>142</v>
      </c>
      <c r="I3277" s="71" t="s">
        <v>142</v>
      </c>
      <c r="J3277" s="53">
        <f t="shared" si="1676"/>
        <v>320000</v>
      </c>
      <c r="K3277" s="63">
        <f t="shared" si="1680"/>
        <v>0.23529411764705879</v>
      </c>
      <c r="L3277" s="871" t="s">
        <v>2494</v>
      </c>
      <c r="M3277" s="468" t="s">
        <v>2050</v>
      </c>
      <c r="N3277" s="664">
        <f t="shared" si="1664"/>
        <v>200821</v>
      </c>
      <c r="O3277" s="71" t="s">
        <v>149</v>
      </c>
      <c r="P3277" s="164" t="str">
        <f t="shared" si="1665"/>
        <v>세정포-XL106</v>
      </c>
      <c r="Q3277" s="71">
        <f t="shared" si="1666"/>
        <v>5</v>
      </c>
      <c r="R3277" s="102">
        <v>208000</v>
      </c>
      <c r="S3277" s="102">
        <f t="shared" si="1677"/>
        <v>1144000</v>
      </c>
      <c r="T3277" s="102">
        <f t="shared" si="1678"/>
        <v>1040000</v>
      </c>
      <c r="U3277" s="71" t="str">
        <f t="shared" si="1679"/>
        <v>O</v>
      </c>
      <c r="V3277" s="71"/>
      <c r="W3277" s="474">
        <f>(G3277-T3277)</f>
        <v>320000</v>
      </c>
      <c r="X3277" s="71"/>
      <c r="Y3277" s="71"/>
    </row>
    <row r="3278" spans="1:25" ht="30" hidden="1" customHeight="1" x14ac:dyDescent="0.2">
      <c r="A3278" s="82">
        <v>200821</v>
      </c>
      <c r="B3278" s="664" t="s">
        <v>2353</v>
      </c>
      <c r="C3278" s="71" t="s">
        <v>584</v>
      </c>
      <c r="D3278" s="71">
        <v>4</v>
      </c>
      <c r="E3278" s="102">
        <v>270000</v>
      </c>
      <c r="F3278" s="102">
        <f t="shared" si="1674"/>
        <v>1188000</v>
      </c>
      <c r="G3278" s="102">
        <f t="shared" si="1675"/>
        <v>1080000</v>
      </c>
      <c r="H3278" s="165" t="s">
        <v>142</v>
      </c>
      <c r="I3278" s="71" t="s">
        <v>142</v>
      </c>
      <c r="J3278" s="53">
        <f t="shared" si="1676"/>
        <v>216000</v>
      </c>
      <c r="K3278" s="63">
        <f t="shared" si="1680"/>
        <v>0.2</v>
      </c>
      <c r="L3278" s="871" t="s">
        <v>2494</v>
      </c>
      <c r="M3278" s="468"/>
      <c r="N3278" s="664">
        <f t="shared" si="1664"/>
        <v>200821</v>
      </c>
      <c r="O3278" s="71" t="s">
        <v>150</v>
      </c>
      <c r="P3278" s="164" t="str">
        <f t="shared" si="1665"/>
        <v>데리바리 석션벨트</v>
      </c>
      <c r="Q3278" s="71">
        <f t="shared" si="1666"/>
        <v>4</v>
      </c>
      <c r="R3278" s="102">
        <v>216000</v>
      </c>
      <c r="S3278" s="102">
        <f t="shared" si="1677"/>
        <v>950400.00000000012</v>
      </c>
      <c r="T3278" s="102">
        <f t="shared" si="1678"/>
        <v>864000</v>
      </c>
      <c r="U3278" s="71" t="str">
        <f t="shared" si="1679"/>
        <v>O</v>
      </c>
      <c r="V3278" s="71"/>
      <c r="W3278" s="474">
        <f>(G3278-T3278)</f>
        <v>216000</v>
      </c>
      <c r="X3278" s="71"/>
      <c r="Y3278" s="71"/>
    </row>
    <row r="3279" spans="1:25" s="209" customFormat="1" ht="30" hidden="1" customHeight="1" x14ac:dyDescent="0.2">
      <c r="A3279" s="82">
        <v>200822</v>
      </c>
      <c r="B3279" s="664" t="s">
        <v>764</v>
      </c>
      <c r="C3279" s="71" t="s">
        <v>236</v>
      </c>
      <c r="D3279" s="71">
        <v>10</v>
      </c>
      <c r="E3279" s="102">
        <v>100000</v>
      </c>
      <c r="F3279" s="163">
        <f t="shared" si="1674"/>
        <v>1100000</v>
      </c>
      <c r="G3279" s="102">
        <f t="shared" si="1675"/>
        <v>1000000</v>
      </c>
      <c r="H3279" s="690" t="s">
        <v>173</v>
      </c>
      <c r="I3279" s="71" t="s">
        <v>2231</v>
      </c>
      <c r="J3279" s="53">
        <f t="shared" si="1676"/>
        <v>500000</v>
      </c>
      <c r="K3279" s="63">
        <f t="shared" ref="K3279:K3289" si="1681">(J3279/(F3279/11*10))</f>
        <v>0.5</v>
      </c>
      <c r="L3279" s="871" t="s">
        <v>2494</v>
      </c>
      <c r="M3279" s="468"/>
      <c r="N3279" s="664">
        <f t="shared" si="1664"/>
        <v>200822</v>
      </c>
      <c r="O3279" s="71" t="s">
        <v>153</v>
      </c>
      <c r="P3279" s="164" t="str">
        <f t="shared" si="1665"/>
        <v>아스테이지(국전)</v>
      </c>
      <c r="Q3279" s="71">
        <f t="shared" si="1666"/>
        <v>10</v>
      </c>
      <c r="R3279" s="102">
        <v>50000</v>
      </c>
      <c r="S3279" s="102">
        <f t="shared" si="1677"/>
        <v>550000</v>
      </c>
      <c r="T3279" s="102">
        <f t="shared" si="1678"/>
        <v>500000</v>
      </c>
      <c r="U3279" s="71" t="str">
        <f t="shared" si="1679"/>
        <v>O</v>
      </c>
      <c r="V3279" s="71"/>
      <c r="W3279" s="474">
        <v>500000</v>
      </c>
      <c r="X3279" s="71"/>
      <c r="Y3279" s="71"/>
    </row>
    <row r="3280" spans="1:25" ht="30" hidden="1" customHeight="1" x14ac:dyDescent="0.25">
      <c r="A3280" s="82">
        <v>200824</v>
      </c>
      <c r="B3280" s="664" t="s">
        <v>690</v>
      </c>
      <c r="C3280" s="71" t="s">
        <v>1186</v>
      </c>
      <c r="D3280" s="71">
        <v>500</v>
      </c>
      <c r="E3280" s="102">
        <v>3420</v>
      </c>
      <c r="F3280" s="1128">
        <f t="shared" ref="F3280:F3307" si="1682">(E3280*D3280)*1.1</f>
        <v>1881000.0000000002</v>
      </c>
      <c r="G3280" s="102">
        <f t="shared" ref="G3280:G3307" si="1683">(E3280*D3280)</f>
        <v>1710000</v>
      </c>
      <c r="H3280" s="690" t="s">
        <v>173</v>
      </c>
      <c r="I3280" s="71" t="s">
        <v>2230</v>
      </c>
      <c r="J3280" s="53">
        <f t="shared" si="1676"/>
        <v>-190000</v>
      </c>
      <c r="K3280" s="63">
        <f t="shared" si="1681"/>
        <v>-0.11111111111111109</v>
      </c>
      <c r="L3280" s="871" t="s">
        <v>2494</v>
      </c>
      <c r="M3280" s="468" t="s">
        <v>1393</v>
      </c>
      <c r="N3280" s="664">
        <f t="shared" si="1664"/>
        <v>200824</v>
      </c>
      <c r="O3280" s="71" t="s">
        <v>145</v>
      </c>
      <c r="P3280" s="164" t="str">
        <f t="shared" si="1665"/>
        <v>CTP 판(1030*790mm)</v>
      </c>
      <c r="Q3280" s="71">
        <f t="shared" si="1666"/>
        <v>500</v>
      </c>
      <c r="R3280" s="102">
        <v>3800</v>
      </c>
      <c r="S3280" s="102">
        <f t="shared" si="1677"/>
        <v>2090000.0000000002</v>
      </c>
      <c r="T3280" s="102">
        <f t="shared" si="1678"/>
        <v>1900000</v>
      </c>
      <c r="U3280" s="71" t="str">
        <f t="shared" si="1679"/>
        <v>X</v>
      </c>
      <c r="V3280" s="71"/>
      <c r="W3280" s="474">
        <v>-200000</v>
      </c>
      <c r="X3280" s="71"/>
      <c r="Y3280" s="71"/>
    </row>
    <row r="3281" spans="1:25" ht="30" hidden="1" customHeight="1" x14ac:dyDescent="0.25">
      <c r="A3281" s="82">
        <v>200824</v>
      </c>
      <c r="B3281" s="664" t="s">
        <v>690</v>
      </c>
      <c r="C3281" s="71" t="s">
        <v>197</v>
      </c>
      <c r="D3281" s="71">
        <v>3</v>
      </c>
      <c r="E3281" s="102">
        <v>46000</v>
      </c>
      <c r="F3281" s="1128">
        <f t="shared" si="1682"/>
        <v>151800</v>
      </c>
      <c r="G3281" s="102">
        <f t="shared" si="1683"/>
        <v>138000</v>
      </c>
      <c r="H3281" s="690" t="s">
        <v>173</v>
      </c>
      <c r="I3281" s="71" t="s">
        <v>2230</v>
      </c>
      <c r="J3281" s="53">
        <f t="shared" si="1676"/>
        <v>33000</v>
      </c>
      <c r="K3281" s="63">
        <f t="shared" si="1681"/>
        <v>0.2391304347826087</v>
      </c>
      <c r="L3281" s="871" t="s">
        <v>2494</v>
      </c>
      <c r="M3281" s="468" t="s">
        <v>1394</v>
      </c>
      <c r="N3281" s="664">
        <f t="shared" si="1664"/>
        <v>200824</v>
      </c>
      <c r="O3281" s="71" t="s">
        <v>145</v>
      </c>
      <c r="P3281" s="164" t="str">
        <f t="shared" si="1665"/>
        <v>THR200(20L)</v>
      </c>
      <c r="Q3281" s="71">
        <f t="shared" si="1666"/>
        <v>3</v>
      </c>
      <c r="R3281" s="102">
        <v>35000</v>
      </c>
      <c r="S3281" s="102">
        <f t="shared" si="1677"/>
        <v>115500.00000000001</v>
      </c>
      <c r="T3281" s="102">
        <f t="shared" si="1678"/>
        <v>105000</v>
      </c>
      <c r="U3281" s="71" t="str">
        <f t="shared" si="1679"/>
        <v>X</v>
      </c>
      <c r="V3281" s="71"/>
      <c r="W3281" s="474"/>
      <c r="X3281" s="71"/>
      <c r="Y3281" s="71"/>
    </row>
    <row r="3282" spans="1:25" ht="30" hidden="1" customHeight="1" x14ac:dyDescent="0.25">
      <c r="A3282" s="82">
        <v>200824</v>
      </c>
      <c r="B3282" s="664" t="s">
        <v>442</v>
      </c>
      <c r="C3282" s="71" t="s">
        <v>773</v>
      </c>
      <c r="D3282" s="71">
        <v>6</v>
      </c>
      <c r="E3282" s="102">
        <v>192000</v>
      </c>
      <c r="F3282" s="102">
        <f t="shared" si="1682"/>
        <v>1267200</v>
      </c>
      <c r="G3282" s="102">
        <f t="shared" si="1683"/>
        <v>1152000</v>
      </c>
      <c r="H3282" s="690" t="s">
        <v>173</v>
      </c>
      <c r="I3282" s="71" t="s">
        <v>109</v>
      </c>
      <c r="J3282" s="53">
        <f t="shared" si="1676"/>
        <v>144000</v>
      </c>
      <c r="K3282" s="63">
        <f t="shared" si="1681"/>
        <v>0.125</v>
      </c>
      <c r="L3282" s="871" t="s">
        <v>2494</v>
      </c>
      <c r="M3282" s="468"/>
      <c r="N3282" s="664">
        <f t="shared" si="1664"/>
        <v>200824</v>
      </c>
      <c r="O3282" s="71" t="s">
        <v>151</v>
      </c>
      <c r="P3282" s="164" t="str">
        <f t="shared" si="1665"/>
        <v>로랜드 전지 블랑켓(1460*1165)bar</v>
      </c>
      <c r="Q3282" s="71">
        <f t="shared" si="1666"/>
        <v>6</v>
      </c>
      <c r="R3282" s="102">
        <v>168000</v>
      </c>
      <c r="S3282" s="102">
        <f t="shared" si="1677"/>
        <v>1108800</v>
      </c>
      <c r="T3282" s="102">
        <f t="shared" si="1678"/>
        <v>1008000</v>
      </c>
      <c r="U3282" s="71" t="str">
        <f t="shared" si="1679"/>
        <v>X</v>
      </c>
      <c r="V3282" s="71"/>
      <c r="W3282" s="474">
        <v>120000</v>
      </c>
      <c r="X3282" s="71"/>
      <c r="Y3282" s="71"/>
    </row>
    <row r="3283" spans="1:25" ht="30" customHeight="1" x14ac:dyDescent="0.2">
      <c r="A3283" s="82">
        <v>200824</v>
      </c>
      <c r="B3283" s="664" t="s">
        <v>565</v>
      </c>
      <c r="C3283" s="71" t="s">
        <v>2081</v>
      </c>
      <c r="D3283" s="71">
        <v>100</v>
      </c>
      <c r="E3283" s="102">
        <v>69000</v>
      </c>
      <c r="F3283" s="163">
        <f t="shared" si="1682"/>
        <v>7590000.0000000009</v>
      </c>
      <c r="G3283" s="102">
        <f t="shared" si="1683"/>
        <v>6900000</v>
      </c>
      <c r="H3283" s="165" t="s">
        <v>173</v>
      </c>
      <c r="I3283" s="71" t="s">
        <v>108</v>
      </c>
      <c r="J3283" s="53">
        <f t="shared" si="1676"/>
        <v>1800000</v>
      </c>
      <c r="K3283" s="63">
        <f t="shared" si="1681"/>
        <v>0.26086956521739124</v>
      </c>
      <c r="L3283" s="871" t="s">
        <v>2494</v>
      </c>
      <c r="M3283" s="468"/>
      <c r="N3283" s="664">
        <f t="shared" si="1664"/>
        <v>200824</v>
      </c>
      <c r="O3283" s="71" t="s">
        <v>599</v>
      </c>
      <c r="P3283" s="164" t="str">
        <f t="shared" si="1665"/>
        <v>GOSS 신문윤전 습식세정포</v>
      </c>
      <c r="Q3283" s="71">
        <f t="shared" si="1666"/>
        <v>100</v>
      </c>
      <c r="R3283" s="102">
        <v>51000</v>
      </c>
      <c r="S3283" s="102">
        <f t="shared" si="1677"/>
        <v>5610000</v>
      </c>
      <c r="T3283" s="102">
        <f t="shared" si="1678"/>
        <v>5100000</v>
      </c>
      <c r="U3283" s="71" t="str">
        <f t="shared" si="1679"/>
        <v>X</v>
      </c>
      <c r="V3283" s="71"/>
      <c r="W3283" s="474"/>
      <c r="X3283" s="71"/>
      <c r="Y3283" s="71"/>
    </row>
    <row r="3284" spans="1:25" s="209" customFormat="1" ht="30" hidden="1" customHeight="1" x14ac:dyDescent="0.25">
      <c r="A3284" s="82">
        <v>200825</v>
      </c>
      <c r="B3284" s="664" t="s">
        <v>2155</v>
      </c>
      <c r="C3284" s="71" t="s">
        <v>138</v>
      </c>
      <c r="D3284" s="71">
        <v>10</v>
      </c>
      <c r="E3284" s="102">
        <v>47600</v>
      </c>
      <c r="F3284" s="163">
        <f t="shared" si="1682"/>
        <v>523600.00000000006</v>
      </c>
      <c r="G3284" s="102">
        <f t="shared" si="1683"/>
        <v>476000</v>
      </c>
      <c r="H3284" s="1129" t="s">
        <v>172</v>
      </c>
      <c r="I3284" s="71" t="s">
        <v>108</v>
      </c>
      <c r="J3284" s="53">
        <f t="shared" si="1676"/>
        <v>68000</v>
      </c>
      <c r="K3284" s="63">
        <f t="shared" si="1681"/>
        <v>0.14285714285714285</v>
      </c>
      <c r="L3284" s="871" t="s">
        <v>2494</v>
      </c>
      <c r="M3284" s="468" t="s">
        <v>2214</v>
      </c>
      <c r="N3284" s="664">
        <f t="shared" si="1664"/>
        <v>200825</v>
      </c>
      <c r="O3284" s="71" t="s">
        <v>150</v>
      </c>
      <c r="P3284" s="164" t="str">
        <f t="shared" si="1665"/>
        <v>매엽용 세척제(Wash 562)</v>
      </c>
      <c r="Q3284" s="71">
        <f t="shared" si="1666"/>
        <v>10</v>
      </c>
      <c r="R3284" s="102">
        <v>40800</v>
      </c>
      <c r="S3284" s="102">
        <f t="shared" si="1677"/>
        <v>448800.00000000006</v>
      </c>
      <c r="T3284" s="102">
        <f t="shared" si="1678"/>
        <v>408000</v>
      </c>
      <c r="U3284" s="71" t="str">
        <f t="shared" si="1679"/>
        <v>X</v>
      </c>
      <c r="V3284" s="71"/>
      <c r="W3284" s="474">
        <v>85000</v>
      </c>
      <c r="X3284" s="71"/>
      <c r="Y3284" s="71"/>
    </row>
    <row r="3285" spans="1:25" ht="30" hidden="1" customHeight="1" x14ac:dyDescent="0.2">
      <c r="A3285" s="82">
        <v>200825</v>
      </c>
      <c r="B3285" s="664" t="s">
        <v>2155</v>
      </c>
      <c r="C3285" s="71" t="s">
        <v>277</v>
      </c>
      <c r="D3285" s="71">
        <v>5</v>
      </c>
      <c r="E3285" s="102">
        <v>172000</v>
      </c>
      <c r="F3285" s="163">
        <f>(E3285*D3285)*1.1</f>
        <v>946000.00000000012</v>
      </c>
      <c r="G3285" s="102">
        <f>(E3285*D3285)</f>
        <v>860000</v>
      </c>
      <c r="H3285" s="690" t="s">
        <v>173</v>
      </c>
      <c r="I3285" s="71" t="s">
        <v>108</v>
      </c>
      <c r="J3285" s="53">
        <v>285000</v>
      </c>
      <c r="K3285" s="63">
        <v>0.33139534883720928</v>
      </c>
      <c r="L3285" s="871" t="s">
        <v>2494</v>
      </c>
      <c r="M3285" s="468"/>
      <c r="N3285" s="664">
        <f t="shared" si="1664"/>
        <v>200825</v>
      </c>
      <c r="O3285" s="71" t="s">
        <v>150</v>
      </c>
      <c r="P3285" s="164" t="str">
        <f t="shared" si="1665"/>
        <v>윤전용 세척제(Web 504)</v>
      </c>
      <c r="Q3285" s="71">
        <f t="shared" si="1666"/>
        <v>5</v>
      </c>
      <c r="R3285" s="102">
        <v>115000</v>
      </c>
      <c r="S3285" s="102">
        <f t="shared" si="1677"/>
        <v>632500</v>
      </c>
      <c r="T3285" s="102">
        <f t="shared" si="1678"/>
        <v>575000</v>
      </c>
      <c r="U3285" s="71" t="str">
        <f t="shared" si="1679"/>
        <v>O</v>
      </c>
      <c r="V3285" s="71"/>
      <c r="W3285" s="474">
        <v>285000</v>
      </c>
      <c r="X3285" s="71"/>
      <c r="Y3285" s="71"/>
    </row>
    <row r="3286" spans="1:25" ht="30" hidden="1" customHeight="1" x14ac:dyDescent="0.25">
      <c r="A3286" s="82">
        <v>200825</v>
      </c>
      <c r="B3286" s="664" t="s">
        <v>2155</v>
      </c>
      <c r="C3286" s="760" t="s">
        <v>218</v>
      </c>
      <c r="D3286" s="71">
        <v>5</v>
      </c>
      <c r="E3286" s="102">
        <v>192500</v>
      </c>
      <c r="F3286" s="102">
        <f>(E3286*D3286)*1.1</f>
        <v>1058750</v>
      </c>
      <c r="G3286" s="102">
        <f>(E3286*D3286)</f>
        <v>962500</v>
      </c>
      <c r="H3286" s="690" t="s">
        <v>173</v>
      </c>
      <c r="I3286" s="71" t="s">
        <v>120</v>
      </c>
      <c r="J3286" s="53">
        <f>G3286-T3286</f>
        <v>400000</v>
      </c>
      <c r="K3286" s="63">
        <v>0.4155844155844155</v>
      </c>
      <c r="L3286" s="871" t="s">
        <v>2494</v>
      </c>
      <c r="M3286" s="468"/>
      <c r="N3286" s="664">
        <f t="shared" si="1664"/>
        <v>200825</v>
      </c>
      <c r="O3286" s="71" t="s">
        <v>150</v>
      </c>
      <c r="P3286" s="164" t="str">
        <f t="shared" si="1665"/>
        <v>Fount Web 551AF</v>
      </c>
      <c r="Q3286" s="71">
        <f t="shared" si="1666"/>
        <v>5</v>
      </c>
      <c r="R3286" s="102">
        <v>112500</v>
      </c>
      <c r="S3286" s="102">
        <f t="shared" si="1677"/>
        <v>618750</v>
      </c>
      <c r="T3286" s="102">
        <f t="shared" si="1678"/>
        <v>562500</v>
      </c>
      <c r="U3286" s="71" t="str">
        <f t="shared" si="1679"/>
        <v>X</v>
      </c>
      <c r="V3286" s="71"/>
      <c r="W3286" s="474">
        <v>640000</v>
      </c>
      <c r="X3286" s="71"/>
      <c r="Y3286" s="71"/>
    </row>
    <row r="3287" spans="1:25" s="209" customFormat="1" ht="30" hidden="1" customHeight="1" x14ac:dyDescent="0.2">
      <c r="A3287" s="82">
        <v>200825</v>
      </c>
      <c r="B3287" s="664" t="s">
        <v>2155</v>
      </c>
      <c r="C3287" s="71" t="s">
        <v>231</v>
      </c>
      <c r="D3287" s="71">
        <v>10</v>
      </c>
      <c r="E3287" s="102">
        <v>120000</v>
      </c>
      <c r="F3287" s="102">
        <f>(E3287*D3287)*1.1</f>
        <v>1320000</v>
      </c>
      <c r="G3287" s="102">
        <f>(E3287*D3287)</f>
        <v>1200000</v>
      </c>
      <c r="H3287" s="165" t="s">
        <v>172</v>
      </c>
      <c r="I3287" s="71" t="s">
        <v>109</v>
      </c>
      <c r="J3287" s="53">
        <f>G3287-T3287</f>
        <v>80000</v>
      </c>
      <c r="K3287" s="63">
        <v>6.6666666666666666E-2</v>
      </c>
      <c r="L3287" s="871" t="s">
        <v>2494</v>
      </c>
      <c r="M3287" s="468"/>
      <c r="N3287" s="664">
        <f t="shared" si="1664"/>
        <v>200825</v>
      </c>
      <c r="O3287" s="71" t="s">
        <v>151</v>
      </c>
      <c r="P3287" s="164" t="str">
        <f t="shared" si="1665"/>
        <v>Blanket(990*725)</v>
      </c>
      <c r="Q3287" s="71">
        <f t="shared" si="1666"/>
        <v>10</v>
      </c>
      <c r="R3287" s="102">
        <v>112000</v>
      </c>
      <c r="S3287" s="102">
        <f t="shared" si="1677"/>
        <v>1232000</v>
      </c>
      <c r="T3287" s="102">
        <f t="shared" si="1678"/>
        <v>1120000</v>
      </c>
      <c r="U3287" s="71" t="str">
        <f t="shared" si="1679"/>
        <v>O</v>
      </c>
      <c r="V3287" s="71"/>
      <c r="W3287" s="474">
        <v>80000</v>
      </c>
      <c r="X3287" s="71"/>
      <c r="Y3287" s="71"/>
    </row>
    <row r="3288" spans="1:25" ht="30" customHeight="1" x14ac:dyDescent="0.2">
      <c r="A3288" s="82">
        <v>200825</v>
      </c>
      <c r="B3288" s="664" t="s">
        <v>2352</v>
      </c>
      <c r="C3288" s="760" t="s">
        <v>218</v>
      </c>
      <c r="D3288" s="71">
        <v>5</v>
      </c>
      <c r="E3288" s="102">
        <v>235000</v>
      </c>
      <c r="F3288" s="163">
        <f t="shared" si="1682"/>
        <v>1292500</v>
      </c>
      <c r="G3288" s="102">
        <f t="shared" si="1683"/>
        <v>1175000</v>
      </c>
      <c r="H3288" s="690" t="s">
        <v>142</v>
      </c>
      <c r="I3288" s="71" t="s">
        <v>142</v>
      </c>
      <c r="J3288" s="53">
        <f>(G3288-(VLOOKUP(C3288,Price!B:D,3,FALSE)*D3288))</f>
        <v>612500</v>
      </c>
      <c r="K3288" s="63">
        <f t="shared" si="1681"/>
        <v>0.52127659574468088</v>
      </c>
      <c r="L3288" s="871" t="s">
        <v>2494</v>
      </c>
      <c r="M3288" s="468" t="s">
        <v>2053</v>
      </c>
      <c r="N3288" s="664">
        <f t="shared" si="1664"/>
        <v>200825</v>
      </c>
      <c r="O3288" s="71" t="s">
        <v>150</v>
      </c>
      <c r="P3288" s="164" t="str">
        <f t="shared" si="1665"/>
        <v>Fount Web 551AF</v>
      </c>
      <c r="Q3288" s="71">
        <f t="shared" si="1666"/>
        <v>5</v>
      </c>
      <c r="R3288" s="102">
        <v>112500</v>
      </c>
      <c r="S3288" s="102">
        <f t="shared" si="1677"/>
        <v>618750</v>
      </c>
      <c r="T3288" s="102">
        <f t="shared" si="1678"/>
        <v>562500</v>
      </c>
      <c r="U3288" s="71" t="str">
        <f t="shared" si="1679"/>
        <v>O</v>
      </c>
      <c r="V3288" s="71"/>
      <c r="W3288" s="474">
        <f>(G3288-T3288)</f>
        <v>612500</v>
      </c>
      <c r="X3288" s="71"/>
      <c r="Y3288" s="71"/>
    </row>
    <row r="3289" spans="1:25" ht="30" hidden="1" customHeight="1" x14ac:dyDescent="0.2">
      <c r="A3289" s="82">
        <v>200831</v>
      </c>
      <c r="B3289" s="664" t="s">
        <v>545</v>
      </c>
      <c r="C3289" s="71" t="s">
        <v>1747</v>
      </c>
      <c r="D3289" s="71">
        <v>2</v>
      </c>
      <c r="E3289" s="102">
        <v>610000</v>
      </c>
      <c r="F3289" s="163">
        <f t="shared" si="1682"/>
        <v>1342000</v>
      </c>
      <c r="G3289" s="102">
        <f t="shared" si="1683"/>
        <v>1220000</v>
      </c>
      <c r="H3289" s="690" t="s">
        <v>173</v>
      </c>
      <c r="I3289" s="71" t="s">
        <v>2184</v>
      </c>
      <c r="J3289" s="53">
        <f t="shared" ref="J3289:J3307" si="1684">G3289-T3289</f>
        <v>530008</v>
      </c>
      <c r="K3289" s="63">
        <f t="shared" si="1681"/>
        <v>0.43443278688524589</v>
      </c>
      <c r="L3289" s="871" t="s">
        <v>2494</v>
      </c>
      <c r="M3289" s="468"/>
      <c r="N3289" s="664">
        <f t="shared" si="1664"/>
        <v>200831</v>
      </c>
      <c r="O3289" s="71" t="s">
        <v>1458</v>
      </c>
      <c r="P3289" s="164" t="str">
        <f t="shared" si="1665"/>
        <v>UV 램프 - KBA(1145mm)</v>
      </c>
      <c r="Q3289" s="71">
        <f t="shared" si="1666"/>
        <v>2</v>
      </c>
      <c r="R3289" s="102">
        <v>344996</v>
      </c>
      <c r="S3289" s="102">
        <f t="shared" si="1677"/>
        <v>758991.20000000007</v>
      </c>
      <c r="T3289" s="102">
        <f t="shared" si="1678"/>
        <v>689992</v>
      </c>
      <c r="U3289" s="71" t="str">
        <f t="shared" si="1679"/>
        <v>X</v>
      </c>
      <c r="V3289" s="71"/>
      <c r="W3289" s="474"/>
      <c r="X3289" s="71"/>
      <c r="Y3289" s="71"/>
    </row>
    <row r="3290" spans="1:25" ht="30" hidden="1" customHeight="1" x14ac:dyDescent="0.25">
      <c r="A3290" s="82">
        <v>200831</v>
      </c>
      <c r="B3290" s="664" t="s">
        <v>673</v>
      </c>
      <c r="C3290" s="71" t="s">
        <v>1261</v>
      </c>
      <c r="D3290" s="71">
        <v>2</v>
      </c>
      <c r="E3290" s="102">
        <v>110000</v>
      </c>
      <c r="F3290" s="102">
        <f t="shared" si="1682"/>
        <v>242000.00000000003</v>
      </c>
      <c r="G3290" s="102">
        <f t="shared" si="1683"/>
        <v>220000</v>
      </c>
      <c r="H3290" s="690" t="s">
        <v>173</v>
      </c>
      <c r="I3290" s="71" t="s">
        <v>108</v>
      </c>
      <c r="J3290" s="53">
        <f t="shared" si="1684"/>
        <v>30000</v>
      </c>
      <c r="K3290" s="63">
        <f>(J3290/(F3290/11*10))</f>
        <v>0.13636363636363635</v>
      </c>
      <c r="L3290" s="871" t="s">
        <v>2514</v>
      </c>
      <c r="M3290" s="468"/>
      <c r="N3290" s="664">
        <f t="shared" si="1664"/>
        <v>200831</v>
      </c>
      <c r="O3290" s="71" t="s">
        <v>150</v>
      </c>
      <c r="P3290" s="164" t="str">
        <f t="shared" si="1665"/>
        <v>아스테이지</v>
      </c>
      <c r="Q3290" s="71">
        <f t="shared" si="1666"/>
        <v>2</v>
      </c>
      <c r="R3290" s="102">
        <v>95000</v>
      </c>
      <c r="S3290" s="102">
        <f t="shared" si="1677"/>
        <v>209000.00000000003</v>
      </c>
      <c r="T3290" s="102">
        <f t="shared" si="1678"/>
        <v>190000</v>
      </c>
      <c r="U3290" s="71" t="str">
        <f t="shared" si="1679"/>
        <v>X</v>
      </c>
      <c r="V3290" s="71"/>
      <c r="W3290" s="474"/>
      <c r="X3290" s="71"/>
      <c r="Y3290" s="71"/>
    </row>
    <row r="3291" spans="1:25" ht="30" hidden="1" customHeight="1" x14ac:dyDescent="0.25">
      <c r="A3291" s="82">
        <v>200831</v>
      </c>
      <c r="B3291" s="664" t="s">
        <v>1051</v>
      </c>
      <c r="C3291" s="71" t="s">
        <v>1294</v>
      </c>
      <c r="D3291" s="71">
        <v>1200</v>
      </c>
      <c r="E3291" s="102">
        <v>5960</v>
      </c>
      <c r="F3291" s="102">
        <f t="shared" si="1682"/>
        <v>7867200.0000000009</v>
      </c>
      <c r="G3291" s="102">
        <f t="shared" si="1683"/>
        <v>7152000</v>
      </c>
      <c r="H3291" s="690" t="s">
        <v>142</v>
      </c>
      <c r="I3291" s="71" t="s">
        <v>2273</v>
      </c>
      <c r="J3291" s="53">
        <f t="shared" si="1684"/>
        <v>1932000</v>
      </c>
      <c r="K3291" s="63">
        <f t="shared" ref="K3291:K3307" si="1685">(J3291/(F3291/11*10))</f>
        <v>0.27013422818791943</v>
      </c>
      <c r="L3291" s="871" t="s">
        <v>2514</v>
      </c>
      <c r="M3291" s="468"/>
      <c r="N3291" s="664">
        <f t="shared" si="1664"/>
        <v>200831</v>
      </c>
      <c r="O3291" s="71" t="s">
        <v>145</v>
      </c>
      <c r="P3291" s="164" t="str">
        <f t="shared" si="1665"/>
        <v>ENGAGE 1030*790</v>
      </c>
      <c r="Q3291" s="71">
        <f t="shared" si="1666"/>
        <v>1200</v>
      </c>
      <c r="R3291" s="102">
        <v>4350</v>
      </c>
      <c r="S3291" s="102">
        <f t="shared" si="1677"/>
        <v>5742000</v>
      </c>
      <c r="T3291" s="102">
        <f t="shared" si="1678"/>
        <v>5220000</v>
      </c>
      <c r="U3291" s="71" t="str">
        <f t="shared" si="1679"/>
        <v>O</v>
      </c>
      <c r="V3291" s="71"/>
      <c r="W3291" s="474">
        <f t="shared" ref="W3291:W3308" si="1686">(G3291-T3291)</f>
        <v>1932000</v>
      </c>
      <c r="X3291" s="71"/>
      <c r="Y3291" s="71"/>
    </row>
    <row r="3292" spans="1:25" ht="30" hidden="1" customHeight="1" x14ac:dyDescent="0.25">
      <c r="A3292" s="82">
        <v>200831</v>
      </c>
      <c r="B3292" s="664" t="s">
        <v>1051</v>
      </c>
      <c r="C3292" s="71" t="s">
        <v>1384</v>
      </c>
      <c r="D3292" s="71">
        <v>2200</v>
      </c>
      <c r="E3292" s="102">
        <v>3750</v>
      </c>
      <c r="F3292" s="102">
        <f t="shared" si="1682"/>
        <v>9075000</v>
      </c>
      <c r="G3292" s="102">
        <f t="shared" si="1683"/>
        <v>8250000</v>
      </c>
      <c r="H3292" s="690" t="s">
        <v>142</v>
      </c>
      <c r="I3292" s="71" t="s">
        <v>2273</v>
      </c>
      <c r="J3292" s="53">
        <f t="shared" si="1684"/>
        <v>2205975.1751259668</v>
      </c>
      <c r="K3292" s="63">
        <f t="shared" si="1685"/>
        <v>0.26739093031829902</v>
      </c>
      <c r="L3292" s="871" t="s">
        <v>2514</v>
      </c>
      <c r="M3292" s="468"/>
      <c r="N3292" s="664">
        <f t="shared" si="1664"/>
        <v>200831</v>
      </c>
      <c r="O3292" s="71" t="s">
        <v>145</v>
      </c>
      <c r="P3292" s="164" t="str">
        <f t="shared" si="1665"/>
        <v>ENGAGE 900X571 - 27RO</v>
      </c>
      <c r="Q3292" s="71">
        <f t="shared" si="1666"/>
        <v>2200</v>
      </c>
      <c r="R3292" s="102">
        <f>R3291/1030/790*900*571</f>
        <v>2747.2840113063789</v>
      </c>
      <c r="S3292" s="102">
        <f t="shared" si="1677"/>
        <v>6648427.307361437</v>
      </c>
      <c r="T3292" s="102">
        <f t="shared" si="1678"/>
        <v>6044024.8248740332</v>
      </c>
      <c r="U3292" s="71" t="str">
        <f t="shared" si="1679"/>
        <v>O</v>
      </c>
      <c r="V3292" s="71"/>
      <c r="W3292" s="474">
        <f t="shared" si="1686"/>
        <v>2205975.1751259668</v>
      </c>
      <c r="X3292" s="71"/>
      <c r="Y3292" s="71"/>
    </row>
    <row r="3293" spans="1:25" ht="30" hidden="1" customHeight="1" x14ac:dyDescent="0.25">
      <c r="A3293" s="82">
        <v>200831</v>
      </c>
      <c r="B3293" s="664" t="s">
        <v>1051</v>
      </c>
      <c r="C3293" s="71" t="s">
        <v>951</v>
      </c>
      <c r="D3293" s="71">
        <v>3300</v>
      </c>
      <c r="E3293" s="102">
        <v>3580</v>
      </c>
      <c r="F3293" s="102">
        <f t="shared" si="1682"/>
        <v>12995400.000000002</v>
      </c>
      <c r="G3293" s="102">
        <f t="shared" si="1683"/>
        <v>11814000</v>
      </c>
      <c r="H3293" s="690" t="s">
        <v>142</v>
      </c>
      <c r="I3293" s="71" t="s">
        <v>2273</v>
      </c>
      <c r="J3293" s="53">
        <f t="shared" si="1684"/>
        <v>3215183.8761214186</v>
      </c>
      <c r="K3293" s="63">
        <f t="shared" si="1685"/>
        <v>0.27215031963106634</v>
      </c>
      <c r="L3293" s="871" t="s">
        <v>2514</v>
      </c>
      <c r="M3293" s="468"/>
      <c r="N3293" s="664">
        <f t="shared" si="1664"/>
        <v>200831</v>
      </c>
      <c r="O3293" s="71" t="s">
        <v>145</v>
      </c>
      <c r="P3293" s="164" t="str">
        <f t="shared" si="1665"/>
        <v>ENGAGE 30WEB(883*552)</v>
      </c>
      <c r="Q3293" s="71">
        <f t="shared" si="1666"/>
        <v>3300</v>
      </c>
      <c r="R3293" s="102">
        <f>R3291/1030/790*883*552</f>
        <v>2605.7018557207821</v>
      </c>
      <c r="S3293" s="102">
        <f t="shared" si="1677"/>
        <v>9458697.7362664398</v>
      </c>
      <c r="T3293" s="102">
        <f t="shared" si="1678"/>
        <v>8598816.1238785814</v>
      </c>
      <c r="U3293" s="71" t="str">
        <f t="shared" si="1679"/>
        <v>O</v>
      </c>
      <c r="V3293" s="71"/>
      <c r="W3293" s="474">
        <f t="shared" si="1686"/>
        <v>3215183.8761214186</v>
      </c>
      <c r="X3293" s="71"/>
      <c r="Y3293" s="71"/>
    </row>
    <row r="3294" spans="1:25" ht="30" hidden="1" customHeight="1" x14ac:dyDescent="0.25">
      <c r="A3294" s="82">
        <v>200831</v>
      </c>
      <c r="B3294" s="664" t="s">
        <v>1051</v>
      </c>
      <c r="C3294" s="71" t="s">
        <v>2219</v>
      </c>
      <c r="D3294" s="71">
        <v>1200</v>
      </c>
      <c r="E3294" s="102">
        <v>6040</v>
      </c>
      <c r="F3294" s="102">
        <f t="shared" si="1682"/>
        <v>7972800.0000000009</v>
      </c>
      <c r="G3294" s="102">
        <f t="shared" si="1683"/>
        <v>7248000</v>
      </c>
      <c r="H3294" s="690" t="s">
        <v>142</v>
      </c>
      <c r="I3294" s="71" t="s">
        <v>2273</v>
      </c>
      <c r="J3294" s="53">
        <f t="shared" si="1684"/>
        <v>1961924.0506329108</v>
      </c>
      <c r="K3294" s="63">
        <f t="shared" si="1685"/>
        <v>0.27068488557297332</v>
      </c>
      <c r="L3294" s="871" t="s">
        <v>2514</v>
      </c>
      <c r="M3294" s="468"/>
      <c r="N3294" s="664">
        <f t="shared" si="1664"/>
        <v>200831</v>
      </c>
      <c r="O3294" s="71" t="s">
        <v>145</v>
      </c>
      <c r="P3294" s="164" t="str">
        <f t="shared" si="1665"/>
        <v>ENGAGE 1030*800</v>
      </c>
      <c r="Q3294" s="71">
        <f t="shared" si="1666"/>
        <v>1200</v>
      </c>
      <c r="R3294" s="102">
        <f>R3291/1030/790*1030*800</f>
        <v>4405.0632911392413</v>
      </c>
      <c r="S3294" s="102">
        <f t="shared" si="1677"/>
        <v>5814683.544303799</v>
      </c>
      <c r="T3294" s="102">
        <f t="shared" si="1678"/>
        <v>5286075.9493670892</v>
      </c>
      <c r="U3294" s="71" t="str">
        <f t="shared" si="1679"/>
        <v>O</v>
      </c>
      <c r="V3294" s="71"/>
      <c r="W3294" s="474">
        <f t="shared" si="1686"/>
        <v>1961924.0506329108</v>
      </c>
      <c r="X3294" s="71"/>
      <c r="Y3294" s="71"/>
    </row>
    <row r="3295" spans="1:25" ht="30" hidden="1" customHeight="1" x14ac:dyDescent="0.25">
      <c r="A3295" s="82">
        <v>200831</v>
      </c>
      <c r="B3295" s="664" t="s">
        <v>1051</v>
      </c>
      <c r="C3295" s="71" t="s">
        <v>1383</v>
      </c>
      <c r="D3295" s="71">
        <v>1500</v>
      </c>
      <c r="E3295" s="102">
        <v>6260</v>
      </c>
      <c r="F3295" s="102">
        <f t="shared" si="1682"/>
        <v>10329000</v>
      </c>
      <c r="G3295" s="102">
        <f t="shared" si="1683"/>
        <v>9390000</v>
      </c>
      <c r="H3295" s="690" t="s">
        <v>142</v>
      </c>
      <c r="I3295" s="71" t="s">
        <v>2273</v>
      </c>
      <c r="J3295" s="53">
        <f t="shared" si="1684"/>
        <v>2528966.9104092391</v>
      </c>
      <c r="K3295" s="63">
        <f t="shared" si="1685"/>
        <v>0.26932554956434923</v>
      </c>
      <c r="L3295" s="871" t="s">
        <v>2514</v>
      </c>
      <c r="M3295" s="468"/>
      <c r="N3295" s="664">
        <f t="shared" si="1664"/>
        <v>200831</v>
      </c>
      <c r="O3295" s="71" t="s">
        <v>145</v>
      </c>
      <c r="P3295" s="164" t="str">
        <f t="shared" si="1665"/>
        <v>ENGAGE 1055*811</v>
      </c>
      <c r="Q3295" s="71">
        <f t="shared" si="1666"/>
        <v>1500</v>
      </c>
      <c r="R3295" s="102">
        <f>R3291/1030/790*1055*811</f>
        <v>4574.0220597271737</v>
      </c>
      <c r="S3295" s="102">
        <f t="shared" si="1677"/>
        <v>7547136.398549838</v>
      </c>
      <c r="T3295" s="102">
        <f t="shared" si="1678"/>
        <v>6861033.0895907609</v>
      </c>
      <c r="U3295" s="71" t="str">
        <f t="shared" si="1679"/>
        <v>O</v>
      </c>
      <c r="V3295" s="71"/>
      <c r="W3295" s="474">
        <f t="shared" si="1686"/>
        <v>2528966.9104092391</v>
      </c>
      <c r="X3295" s="71"/>
      <c r="Y3295" s="71"/>
    </row>
    <row r="3296" spans="1:25" ht="30" hidden="1" customHeight="1" x14ac:dyDescent="0.25">
      <c r="A3296" s="82">
        <v>200831</v>
      </c>
      <c r="B3296" s="664" t="s">
        <v>1051</v>
      </c>
      <c r="C3296" s="71" t="s">
        <v>1650</v>
      </c>
      <c r="D3296" s="71">
        <v>300</v>
      </c>
      <c r="E3296" s="102">
        <v>4480</v>
      </c>
      <c r="F3296" s="102">
        <f t="shared" si="1682"/>
        <v>1478400.0000000002</v>
      </c>
      <c r="G3296" s="102">
        <f t="shared" si="1683"/>
        <v>1344000</v>
      </c>
      <c r="H3296" s="690" t="s">
        <v>142</v>
      </c>
      <c r="I3296" s="71" t="s">
        <v>2273</v>
      </c>
      <c r="J3296" s="53">
        <f t="shared" si="1684"/>
        <v>364395.18249969266</v>
      </c>
      <c r="K3296" s="63">
        <f t="shared" si="1685"/>
        <v>0.27112736793131892</v>
      </c>
      <c r="L3296" s="871" t="s">
        <v>2514</v>
      </c>
      <c r="M3296" s="468"/>
      <c r="N3296" s="664">
        <f t="shared" si="1664"/>
        <v>200831</v>
      </c>
      <c r="O3296" s="71" t="s">
        <v>145</v>
      </c>
      <c r="P3296" s="164" t="str">
        <f t="shared" si="1665"/>
        <v>ENGAGE 968*631</v>
      </c>
      <c r="Q3296" s="71">
        <f t="shared" si="1666"/>
        <v>300</v>
      </c>
      <c r="R3296" s="102">
        <f>R3291/1030/790*968*631</f>
        <v>3265.3493916676912</v>
      </c>
      <c r="S3296" s="102">
        <f t="shared" si="1677"/>
        <v>1077565.2992503382</v>
      </c>
      <c r="T3296" s="102">
        <f t="shared" si="1678"/>
        <v>979604.81750030734</v>
      </c>
      <c r="U3296" s="71" t="str">
        <f t="shared" si="1679"/>
        <v>O</v>
      </c>
      <c r="V3296" s="71"/>
      <c r="W3296" s="474">
        <f t="shared" si="1686"/>
        <v>364395.18249969266</v>
      </c>
      <c r="X3296" s="71"/>
      <c r="Y3296" s="71"/>
    </row>
    <row r="3297" spans="1:25" ht="30" hidden="1" customHeight="1" x14ac:dyDescent="0.25">
      <c r="A3297" s="82">
        <v>200831</v>
      </c>
      <c r="B3297" s="664" t="s">
        <v>1051</v>
      </c>
      <c r="C3297" s="67" t="s">
        <v>1386</v>
      </c>
      <c r="D3297" s="71">
        <v>50</v>
      </c>
      <c r="E3297" s="102">
        <v>55000</v>
      </c>
      <c r="F3297" s="102">
        <f t="shared" si="1682"/>
        <v>3025000.0000000005</v>
      </c>
      <c r="G3297" s="102">
        <f t="shared" si="1683"/>
        <v>2750000</v>
      </c>
      <c r="H3297" s="690" t="s">
        <v>142</v>
      </c>
      <c r="I3297" s="71" t="s">
        <v>2273</v>
      </c>
      <c r="J3297" s="53">
        <f t="shared" si="1684"/>
        <v>1000000</v>
      </c>
      <c r="K3297" s="63">
        <f t="shared" si="1685"/>
        <v>0.36363636363636359</v>
      </c>
      <c r="L3297" s="871" t="s">
        <v>2514</v>
      </c>
      <c r="M3297" s="468"/>
      <c r="N3297" s="664">
        <f t="shared" si="1664"/>
        <v>200831</v>
      </c>
      <c r="O3297" s="71" t="s">
        <v>145</v>
      </c>
      <c r="P3297" s="164" t="str">
        <f t="shared" si="1665"/>
        <v>THR200(20L)보충액</v>
      </c>
      <c r="Q3297" s="71">
        <f t="shared" si="1666"/>
        <v>50</v>
      </c>
      <c r="R3297" s="102">
        <v>35000</v>
      </c>
      <c r="S3297" s="102">
        <f t="shared" si="1677"/>
        <v>1925000.0000000002</v>
      </c>
      <c r="T3297" s="102">
        <f t="shared" si="1678"/>
        <v>1750000</v>
      </c>
      <c r="U3297" s="71" t="str">
        <f t="shared" si="1679"/>
        <v>O</v>
      </c>
      <c r="V3297" s="71"/>
      <c r="W3297" s="474">
        <f t="shared" si="1686"/>
        <v>1000000</v>
      </c>
      <c r="X3297" s="71"/>
      <c r="Y3297" s="71"/>
    </row>
    <row r="3298" spans="1:25" ht="30" hidden="1" customHeight="1" x14ac:dyDescent="0.25">
      <c r="A3298" s="82">
        <v>200831</v>
      </c>
      <c r="B3298" s="664" t="s">
        <v>1051</v>
      </c>
      <c r="C3298" s="71" t="s">
        <v>1387</v>
      </c>
      <c r="D3298" s="71">
        <v>10</v>
      </c>
      <c r="E3298" s="102">
        <v>55000</v>
      </c>
      <c r="F3298" s="102">
        <f t="shared" si="1682"/>
        <v>605000</v>
      </c>
      <c r="G3298" s="102">
        <f t="shared" si="1683"/>
        <v>550000</v>
      </c>
      <c r="H3298" s="690" t="s">
        <v>142</v>
      </c>
      <c r="I3298" s="71" t="s">
        <v>2273</v>
      </c>
      <c r="J3298" s="53">
        <f t="shared" si="1684"/>
        <v>200000</v>
      </c>
      <c r="K3298" s="63">
        <f t="shared" si="1685"/>
        <v>0.36363636363636365</v>
      </c>
      <c r="L3298" s="871" t="s">
        <v>2514</v>
      </c>
      <c r="M3298" s="468"/>
      <c r="N3298" s="664">
        <f t="shared" si="1664"/>
        <v>200831</v>
      </c>
      <c r="O3298" s="71" t="s">
        <v>145</v>
      </c>
      <c r="P3298" s="164" t="str">
        <f t="shared" si="1665"/>
        <v>THD200(20L)현상액</v>
      </c>
      <c r="Q3298" s="71">
        <f t="shared" si="1666"/>
        <v>10</v>
      </c>
      <c r="R3298" s="102">
        <v>35000</v>
      </c>
      <c r="S3298" s="102">
        <f t="shared" si="1677"/>
        <v>385000.00000000006</v>
      </c>
      <c r="T3298" s="102">
        <f t="shared" si="1678"/>
        <v>350000</v>
      </c>
      <c r="U3298" s="71" t="str">
        <f t="shared" si="1679"/>
        <v>O</v>
      </c>
      <c r="V3298" s="71"/>
      <c r="W3298" s="474">
        <f t="shared" si="1686"/>
        <v>200000</v>
      </c>
      <c r="X3298" s="71"/>
      <c r="Y3298" s="71"/>
    </row>
    <row r="3299" spans="1:25" ht="30" hidden="1" customHeight="1" x14ac:dyDescent="0.25">
      <c r="A3299" s="82">
        <v>200831</v>
      </c>
      <c r="B3299" s="664" t="s">
        <v>1061</v>
      </c>
      <c r="C3299" s="71" t="s">
        <v>616</v>
      </c>
      <c r="D3299" s="71">
        <v>200</v>
      </c>
      <c r="E3299" s="102">
        <v>5600</v>
      </c>
      <c r="F3299" s="102">
        <f t="shared" si="1682"/>
        <v>1232000</v>
      </c>
      <c r="G3299" s="102">
        <f t="shared" si="1683"/>
        <v>1120000</v>
      </c>
      <c r="H3299" s="690" t="s">
        <v>142</v>
      </c>
      <c r="I3299" s="71" t="s">
        <v>144</v>
      </c>
      <c r="J3299" s="53">
        <f t="shared" si="1684"/>
        <v>102000</v>
      </c>
      <c r="K3299" s="63">
        <f t="shared" si="1685"/>
        <v>9.1071428571428567E-2</v>
      </c>
      <c r="L3299" s="871" t="s">
        <v>2514</v>
      </c>
      <c r="M3299" s="468"/>
      <c r="N3299" s="664">
        <f t="shared" si="1664"/>
        <v>200831</v>
      </c>
      <c r="O3299" s="71" t="s">
        <v>147</v>
      </c>
      <c r="P3299" s="164" t="str">
        <f t="shared" si="1665"/>
        <v>프리미어(먹)</v>
      </c>
      <c r="Q3299" s="71">
        <f t="shared" si="1666"/>
        <v>200</v>
      </c>
      <c r="R3299" s="102">
        <v>5090</v>
      </c>
      <c r="S3299" s="102">
        <f t="shared" si="1677"/>
        <v>1119800</v>
      </c>
      <c r="T3299" s="102">
        <f t="shared" si="1678"/>
        <v>1018000</v>
      </c>
      <c r="U3299" s="71" t="str">
        <f t="shared" si="1679"/>
        <v>O</v>
      </c>
      <c r="V3299" s="71"/>
      <c r="W3299" s="474">
        <f t="shared" si="1686"/>
        <v>102000</v>
      </c>
      <c r="X3299" s="71"/>
      <c r="Y3299" s="71"/>
    </row>
    <row r="3300" spans="1:25" ht="30" hidden="1" customHeight="1" x14ac:dyDescent="0.25">
      <c r="A3300" s="82">
        <v>200831</v>
      </c>
      <c r="B3300" s="664" t="s">
        <v>1052</v>
      </c>
      <c r="C3300" s="71" t="s">
        <v>585</v>
      </c>
      <c r="D3300" s="71">
        <v>200</v>
      </c>
      <c r="E3300" s="102">
        <v>6000</v>
      </c>
      <c r="F3300" s="102">
        <f t="shared" si="1682"/>
        <v>1320000</v>
      </c>
      <c r="G3300" s="102">
        <f t="shared" si="1683"/>
        <v>1200000</v>
      </c>
      <c r="H3300" s="690" t="s">
        <v>142</v>
      </c>
      <c r="I3300" s="71" t="s">
        <v>144</v>
      </c>
      <c r="J3300" s="53">
        <f t="shared" si="1684"/>
        <v>110000</v>
      </c>
      <c r="K3300" s="63">
        <f t="shared" si="1685"/>
        <v>9.166666666666666E-2</v>
      </c>
      <c r="L3300" s="871" t="s">
        <v>2514</v>
      </c>
      <c r="M3300" s="468"/>
      <c r="N3300" s="664">
        <f t="shared" si="1664"/>
        <v>200831</v>
      </c>
      <c r="O3300" s="71" t="s">
        <v>147</v>
      </c>
      <c r="P3300" s="164" t="str">
        <f t="shared" si="1665"/>
        <v>프리미어(적)</v>
      </c>
      <c r="Q3300" s="71">
        <f t="shared" si="1666"/>
        <v>200</v>
      </c>
      <c r="R3300" s="102">
        <v>5450</v>
      </c>
      <c r="S3300" s="102">
        <f t="shared" si="1677"/>
        <v>1199000</v>
      </c>
      <c r="T3300" s="102">
        <f t="shared" si="1678"/>
        <v>1090000</v>
      </c>
      <c r="U3300" s="71" t="str">
        <f t="shared" si="1679"/>
        <v>O</v>
      </c>
      <c r="V3300" s="71"/>
      <c r="W3300" s="474">
        <f t="shared" si="1686"/>
        <v>110000</v>
      </c>
      <c r="X3300" s="71"/>
      <c r="Y3300" s="71"/>
    </row>
    <row r="3301" spans="1:25" ht="30" hidden="1" customHeight="1" x14ac:dyDescent="0.25">
      <c r="A3301" s="82">
        <v>200831</v>
      </c>
      <c r="B3301" s="664" t="s">
        <v>1061</v>
      </c>
      <c r="C3301" s="71" t="s">
        <v>586</v>
      </c>
      <c r="D3301" s="71">
        <v>400</v>
      </c>
      <c r="E3301" s="102">
        <v>5750</v>
      </c>
      <c r="F3301" s="102">
        <f t="shared" si="1682"/>
        <v>2530000</v>
      </c>
      <c r="G3301" s="102">
        <f t="shared" si="1683"/>
        <v>2300000</v>
      </c>
      <c r="H3301" s="690" t="s">
        <v>142</v>
      </c>
      <c r="I3301" s="71" t="s">
        <v>144</v>
      </c>
      <c r="J3301" s="53">
        <f t="shared" si="1684"/>
        <v>212000</v>
      </c>
      <c r="K3301" s="63">
        <f t="shared" si="1685"/>
        <v>9.2173913043478259E-2</v>
      </c>
      <c r="L3301" s="871" t="s">
        <v>2514</v>
      </c>
      <c r="M3301" s="468"/>
      <c r="N3301" s="664">
        <f t="shared" si="1664"/>
        <v>200831</v>
      </c>
      <c r="O3301" s="71" t="s">
        <v>147</v>
      </c>
      <c r="P3301" s="164" t="str">
        <f t="shared" si="1665"/>
        <v>프리미어(황)</v>
      </c>
      <c r="Q3301" s="71">
        <f t="shared" si="1666"/>
        <v>400</v>
      </c>
      <c r="R3301" s="102">
        <v>5220</v>
      </c>
      <c r="S3301" s="102">
        <f t="shared" si="1677"/>
        <v>2296800</v>
      </c>
      <c r="T3301" s="102">
        <f t="shared" si="1678"/>
        <v>2088000</v>
      </c>
      <c r="U3301" s="71" t="str">
        <f t="shared" si="1679"/>
        <v>O</v>
      </c>
      <c r="V3301" s="71"/>
      <c r="W3301" s="474">
        <f t="shared" si="1686"/>
        <v>212000</v>
      </c>
      <c r="X3301" s="71"/>
      <c r="Y3301" s="71"/>
    </row>
    <row r="3302" spans="1:25" ht="30" hidden="1" customHeight="1" x14ac:dyDescent="0.25">
      <c r="A3302" s="82">
        <v>200831</v>
      </c>
      <c r="B3302" s="664" t="s">
        <v>1061</v>
      </c>
      <c r="C3302" s="71" t="s">
        <v>587</v>
      </c>
      <c r="D3302" s="71">
        <v>400</v>
      </c>
      <c r="E3302" s="102">
        <v>7000</v>
      </c>
      <c r="F3302" s="102">
        <f t="shared" si="1682"/>
        <v>3080000.0000000005</v>
      </c>
      <c r="G3302" s="102">
        <f t="shared" si="1683"/>
        <v>2800000</v>
      </c>
      <c r="H3302" s="690" t="s">
        <v>142</v>
      </c>
      <c r="I3302" s="71" t="s">
        <v>144</v>
      </c>
      <c r="J3302" s="53">
        <f t="shared" si="1684"/>
        <v>256000</v>
      </c>
      <c r="K3302" s="63">
        <f t="shared" si="1685"/>
        <v>9.1428571428571415E-2</v>
      </c>
      <c r="L3302" s="871" t="s">
        <v>2514</v>
      </c>
      <c r="M3302" s="468"/>
      <c r="N3302" s="664">
        <f t="shared" si="1664"/>
        <v>200831</v>
      </c>
      <c r="O3302" s="71" t="s">
        <v>147</v>
      </c>
      <c r="P3302" s="164" t="str">
        <f t="shared" si="1665"/>
        <v>프리미어(청)</v>
      </c>
      <c r="Q3302" s="71">
        <f t="shared" si="1666"/>
        <v>400</v>
      </c>
      <c r="R3302" s="102">
        <v>6360</v>
      </c>
      <c r="S3302" s="102">
        <f t="shared" ref="S3302:S3307" si="1687">R3302*Q3302*1.1</f>
        <v>2798400</v>
      </c>
      <c r="T3302" s="102">
        <f t="shared" ref="T3302:T3307" si="1688">R3302*Q3302</f>
        <v>2544000</v>
      </c>
      <c r="U3302" s="71" t="str">
        <f t="shared" ref="U3302:U3307" si="1689">IF(J3302=W3302,"O", "X")</f>
        <v>O</v>
      </c>
      <c r="V3302" s="71"/>
      <c r="W3302" s="474">
        <f t="shared" si="1686"/>
        <v>256000</v>
      </c>
      <c r="X3302" s="71"/>
      <c r="Y3302" s="71"/>
    </row>
    <row r="3303" spans="1:25" ht="30" hidden="1" customHeight="1" x14ac:dyDescent="0.25">
      <c r="A3303" s="82">
        <v>200831</v>
      </c>
      <c r="B3303" s="664" t="s">
        <v>1052</v>
      </c>
      <c r="C3303" s="71" t="s">
        <v>1115</v>
      </c>
      <c r="D3303" s="71">
        <v>50</v>
      </c>
      <c r="E3303" s="102">
        <v>6200</v>
      </c>
      <c r="F3303" s="102">
        <f t="shared" si="1682"/>
        <v>341000</v>
      </c>
      <c r="G3303" s="102">
        <f t="shared" si="1683"/>
        <v>310000</v>
      </c>
      <c r="H3303" s="690" t="s">
        <v>142</v>
      </c>
      <c r="I3303" s="71" t="s">
        <v>144</v>
      </c>
      <c r="J3303" s="53">
        <f t="shared" si="1684"/>
        <v>15000</v>
      </c>
      <c r="K3303" s="63">
        <f t="shared" si="1685"/>
        <v>4.8387096774193547E-2</v>
      </c>
      <c r="L3303" s="871" t="s">
        <v>2514</v>
      </c>
      <c r="M3303" s="468"/>
      <c r="N3303" s="664">
        <f t="shared" ref="N3303:N3308" si="1690">A3303</f>
        <v>200831</v>
      </c>
      <c r="O3303" s="71" t="s">
        <v>2459</v>
      </c>
      <c r="P3303" s="164" t="str">
        <f>(C3303)</f>
        <v>한특 잉크(적)</v>
      </c>
      <c r="Q3303" s="71">
        <f>D3303</f>
        <v>50</v>
      </c>
      <c r="R3303" s="102">
        <v>5900</v>
      </c>
      <c r="S3303" s="102">
        <f t="shared" si="1687"/>
        <v>324500</v>
      </c>
      <c r="T3303" s="102">
        <f t="shared" si="1688"/>
        <v>295000</v>
      </c>
      <c r="U3303" s="71" t="str">
        <f t="shared" si="1689"/>
        <v>O</v>
      </c>
      <c r="V3303" s="71"/>
      <c r="W3303" s="474">
        <f t="shared" si="1686"/>
        <v>15000</v>
      </c>
      <c r="X3303" s="71"/>
      <c r="Y3303" s="71"/>
    </row>
    <row r="3304" spans="1:25" ht="30" hidden="1" customHeight="1" x14ac:dyDescent="0.25">
      <c r="A3304" s="82">
        <v>200831</v>
      </c>
      <c r="B3304" s="664" t="s">
        <v>1052</v>
      </c>
      <c r="C3304" s="71" t="s">
        <v>1116</v>
      </c>
      <c r="D3304" s="71">
        <v>50</v>
      </c>
      <c r="E3304" s="102">
        <v>6000</v>
      </c>
      <c r="F3304" s="102">
        <f t="shared" si="1682"/>
        <v>330000</v>
      </c>
      <c r="G3304" s="102">
        <f t="shared" si="1683"/>
        <v>300000</v>
      </c>
      <c r="H3304" s="690" t="s">
        <v>142</v>
      </c>
      <c r="I3304" s="71" t="s">
        <v>144</v>
      </c>
      <c r="J3304" s="53">
        <f t="shared" si="1684"/>
        <v>25000</v>
      </c>
      <c r="K3304" s="63">
        <f t="shared" si="1685"/>
        <v>8.3333333333333329E-2</v>
      </c>
      <c r="L3304" s="871" t="s">
        <v>2514</v>
      </c>
      <c r="M3304" s="468"/>
      <c r="N3304" s="664">
        <f t="shared" si="1690"/>
        <v>200831</v>
      </c>
      <c r="O3304" s="71" t="s">
        <v>2459</v>
      </c>
      <c r="P3304" s="164" t="str">
        <f>(C3304)</f>
        <v>한특 잉크(황)</v>
      </c>
      <c r="Q3304" s="71">
        <f>D3304</f>
        <v>50</v>
      </c>
      <c r="R3304" s="102">
        <v>5500</v>
      </c>
      <c r="S3304" s="102">
        <f t="shared" si="1687"/>
        <v>302500</v>
      </c>
      <c r="T3304" s="102">
        <f t="shared" si="1688"/>
        <v>275000</v>
      </c>
      <c r="U3304" s="71" t="str">
        <f t="shared" si="1689"/>
        <v>O</v>
      </c>
      <c r="V3304" s="71"/>
      <c r="W3304" s="474">
        <f t="shared" si="1686"/>
        <v>25000</v>
      </c>
      <c r="X3304" s="71"/>
      <c r="Y3304" s="71"/>
    </row>
    <row r="3305" spans="1:25" ht="30" hidden="1" customHeight="1" x14ac:dyDescent="0.25">
      <c r="A3305" s="82">
        <v>200831</v>
      </c>
      <c r="B3305" s="664" t="s">
        <v>1052</v>
      </c>
      <c r="C3305" s="71" t="s">
        <v>1117</v>
      </c>
      <c r="D3305" s="71">
        <v>50</v>
      </c>
      <c r="E3305" s="102">
        <v>6500</v>
      </c>
      <c r="F3305" s="102">
        <f t="shared" si="1682"/>
        <v>357500</v>
      </c>
      <c r="G3305" s="102">
        <f t="shared" si="1683"/>
        <v>325000</v>
      </c>
      <c r="H3305" s="690" t="s">
        <v>142</v>
      </c>
      <c r="I3305" s="71" t="s">
        <v>144</v>
      </c>
      <c r="J3305" s="53">
        <f t="shared" si="1684"/>
        <v>25000</v>
      </c>
      <c r="K3305" s="63">
        <f t="shared" si="1685"/>
        <v>7.6923076923076927E-2</v>
      </c>
      <c r="L3305" s="871" t="s">
        <v>2514</v>
      </c>
      <c r="M3305" s="468"/>
      <c r="N3305" s="664">
        <f t="shared" si="1690"/>
        <v>200831</v>
      </c>
      <c r="O3305" s="71" t="s">
        <v>2459</v>
      </c>
      <c r="P3305" s="164" t="str">
        <f>(C3305)</f>
        <v>한특 잉크(청)</v>
      </c>
      <c r="Q3305" s="71">
        <f>D3305</f>
        <v>50</v>
      </c>
      <c r="R3305" s="102">
        <v>6000</v>
      </c>
      <c r="S3305" s="102">
        <f t="shared" si="1687"/>
        <v>330000</v>
      </c>
      <c r="T3305" s="102">
        <f t="shared" si="1688"/>
        <v>300000</v>
      </c>
      <c r="U3305" s="71" t="str">
        <f t="shared" si="1689"/>
        <v>O</v>
      </c>
      <c r="V3305" s="71"/>
      <c r="W3305" s="474">
        <f t="shared" si="1686"/>
        <v>25000</v>
      </c>
      <c r="X3305" s="71"/>
      <c r="Y3305" s="71"/>
    </row>
    <row r="3306" spans="1:25" ht="30" hidden="1" customHeight="1" x14ac:dyDescent="0.25">
      <c r="A3306" s="82">
        <v>200831</v>
      </c>
      <c r="B3306" s="664" t="s">
        <v>1052</v>
      </c>
      <c r="C3306" s="71" t="s">
        <v>1118</v>
      </c>
      <c r="D3306" s="71">
        <v>50</v>
      </c>
      <c r="E3306" s="102">
        <v>5600</v>
      </c>
      <c r="F3306" s="102">
        <f t="shared" si="1682"/>
        <v>308000</v>
      </c>
      <c r="G3306" s="102">
        <f t="shared" si="1683"/>
        <v>280000</v>
      </c>
      <c r="H3306" s="690" t="s">
        <v>142</v>
      </c>
      <c r="I3306" s="71" t="s">
        <v>144</v>
      </c>
      <c r="J3306" s="53">
        <f t="shared" si="1684"/>
        <v>20000</v>
      </c>
      <c r="K3306" s="63">
        <f t="shared" si="1685"/>
        <v>7.1428571428571425E-2</v>
      </c>
      <c r="L3306" s="871" t="s">
        <v>2514</v>
      </c>
      <c r="M3306" s="468"/>
      <c r="N3306" s="664">
        <f t="shared" si="1690"/>
        <v>200831</v>
      </c>
      <c r="O3306" s="71" t="s">
        <v>2459</v>
      </c>
      <c r="P3306" s="164" t="str">
        <f>(C3306)</f>
        <v>한특 잉크(먹)</v>
      </c>
      <c r="Q3306" s="71">
        <f>D3306</f>
        <v>50</v>
      </c>
      <c r="R3306" s="102">
        <v>5200</v>
      </c>
      <c r="S3306" s="102">
        <f t="shared" si="1687"/>
        <v>286000</v>
      </c>
      <c r="T3306" s="102">
        <f t="shared" si="1688"/>
        <v>260000</v>
      </c>
      <c r="U3306" s="71" t="str">
        <f t="shared" si="1689"/>
        <v>O</v>
      </c>
      <c r="V3306" s="71"/>
      <c r="W3306" s="474">
        <f t="shared" si="1686"/>
        <v>20000</v>
      </c>
      <c r="X3306" s="71"/>
      <c r="Y3306" s="71"/>
    </row>
    <row r="3307" spans="1:25" ht="30" hidden="1" customHeight="1" x14ac:dyDescent="0.25">
      <c r="A3307" s="82">
        <v>200831</v>
      </c>
      <c r="B3307" s="664" t="s">
        <v>2103</v>
      </c>
      <c r="C3307" s="71" t="s">
        <v>2378</v>
      </c>
      <c r="D3307" s="71">
        <v>900</v>
      </c>
      <c r="E3307" s="102">
        <v>1356</v>
      </c>
      <c r="F3307" s="102">
        <f t="shared" si="1682"/>
        <v>1342440</v>
      </c>
      <c r="G3307" s="102">
        <f t="shared" si="1683"/>
        <v>1220400</v>
      </c>
      <c r="H3307" s="690" t="s">
        <v>173</v>
      </c>
      <c r="I3307" s="71" t="s">
        <v>2230</v>
      </c>
      <c r="J3307" s="53">
        <f t="shared" si="1684"/>
        <v>1220400</v>
      </c>
      <c r="K3307" s="63">
        <f t="shared" si="1685"/>
        <v>1</v>
      </c>
      <c r="L3307" s="871" t="s">
        <v>2514</v>
      </c>
      <c r="M3307" s="468"/>
      <c r="N3307" s="664">
        <f t="shared" si="1690"/>
        <v>200831</v>
      </c>
      <c r="O3307" s="71"/>
      <c r="P3307" s="164" t="str">
        <f>(C3307)</f>
        <v>폐판 수거</v>
      </c>
      <c r="Q3307" s="71">
        <f>D3307</f>
        <v>900</v>
      </c>
      <c r="R3307" s="102">
        <v>0</v>
      </c>
      <c r="S3307" s="102">
        <f t="shared" si="1687"/>
        <v>0</v>
      </c>
      <c r="T3307" s="102">
        <f t="shared" si="1688"/>
        <v>0</v>
      </c>
      <c r="U3307" s="71" t="str">
        <f t="shared" si="1689"/>
        <v>O</v>
      </c>
      <c r="V3307" s="71"/>
      <c r="W3307" s="474">
        <f t="shared" si="1686"/>
        <v>1220400</v>
      </c>
      <c r="X3307" s="71"/>
      <c r="Y3307" s="71"/>
    </row>
    <row r="3308" spans="1:25" s="978" customFormat="1" ht="45" hidden="1" customHeight="1" x14ac:dyDescent="0.25">
      <c r="A3308" s="982" t="s">
        <v>2495</v>
      </c>
      <c r="B3308" s="976" t="s">
        <v>544</v>
      </c>
      <c r="C3308" s="453"/>
      <c r="D3308" s="453"/>
      <c r="E3308" s="454"/>
      <c r="F3308" s="454"/>
      <c r="G3308" s="454"/>
      <c r="H3308" s="455"/>
      <c r="I3308" s="453"/>
      <c r="J3308" s="417"/>
      <c r="K3308" s="418"/>
      <c r="L3308" s="983" t="s">
        <v>2515</v>
      </c>
      <c r="M3308" s="643"/>
      <c r="N3308" s="724" t="str">
        <f t="shared" si="1690"/>
        <v>2020,8</v>
      </c>
      <c r="O3308" s="453" t="s">
        <v>154</v>
      </c>
      <c r="P3308" s="728"/>
      <c r="Q3308" s="420"/>
      <c r="R3308" s="420"/>
      <c r="S3308" s="417"/>
      <c r="T3308" s="417"/>
      <c r="U3308" s="421"/>
      <c r="V3308" s="421"/>
      <c r="W3308" s="479">
        <f t="shared" si="1686"/>
        <v>0</v>
      </c>
      <c r="X3308" s="421"/>
      <c r="Y3308" s="421"/>
    </row>
    <row r="3309" spans="1:25" ht="30" hidden="1" customHeight="1" x14ac:dyDescent="0.2">
      <c r="A3309" s="82">
        <v>200622</v>
      </c>
      <c r="B3309" s="664" t="s">
        <v>591</v>
      </c>
      <c r="C3309" s="71" t="s">
        <v>2496</v>
      </c>
      <c r="D3309" s="71">
        <v>1</v>
      </c>
      <c r="E3309" s="102">
        <v>8500000</v>
      </c>
      <c r="F3309" s="163">
        <f t="shared" ref="F3309:F3316" si="1691">(E3309*D3309)*1.1</f>
        <v>9350000</v>
      </c>
      <c r="G3309" s="102">
        <f t="shared" ref="G3309:G3316" si="1692">(E3309*D3309)</f>
        <v>8500000</v>
      </c>
      <c r="H3309" s="690" t="s">
        <v>2029</v>
      </c>
      <c r="I3309" s="71" t="s">
        <v>143</v>
      </c>
      <c r="J3309" s="53">
        <f t="shared" ref="J3309:J3315" si="1693">G3309-T3309</f>
        <v>1471000</v>
      </c>
      <c r="K3309" s="63">
        <f>(J3309/(F3309/11*10))</f>
        <v>0.17305882352941176</v>
      </c>
      <c r="L3309" s="871" t="s">
        <v>2515</v>
      </c>
      <c r="M3309" s="468"/>
      <c r="N3309" s="664">
        <f>A3309</f>
        <v>200622</v>
      </c>
      <c r="O3309" s="71" t="s">
        <v>612</v>
      </c>
      <c r="P3309" s="164" t="str">
        <f>(C3309)</f>
        <v>고모리 윤전롤라 25개+베아링작업 4개</v>
      </c>
      <c r="Q3309" s="71">
        <f t="shared" ref="Q3309:Q3316" si="1694">D3309</f>
        <v>1</v>
      </c>
      <c r="R3309" s="102">
        <v>7029000</v>
      </c>
      <c r="S3309" s="102">
        <f t="shared" ref="S3309:S3340" si="1695">R3309*Q3309*1.1</f>
        <v>7731900.0000000009</v>
      </c>
      <c r="T3309" s="102">
        <f t="shared" ref="T3309:T3340" si="1696">R3309*Q3309</f>
        <v>7029000</v>
      </c>
      <c r="U3309" s="71"/>
      <c r="V3309" s="71"/>
      <c r="W3309" s="474"/>
      <c r="X3309" s="71"/>
      <c r="Y3309" s="71"/>
    </row>
    <row r="3310" spans="1:25" ht="30" hidden="1" customHeight="1" x14ac:dyDescent="0.2">
      <c r="A3310" s="82">
        <v>200901</v>
      </c>
      <c r="B3310" s="664" t="s">
        <v>545</v>
      </c>
      <c r="C3310" s="71" t="s">
        <v>227</v>
      </c>
      <c r="D3310" s="71">
        <v>10</v>
      </c>
      <c r="E3310" s="102">
        <v>110000</v>
      </c>
      <c r="F3310" s="163">
        <f t="shared" si="1691"/>
        <v>1210000</v>
      </c>
      <c r="G3310" s="102">
        <f t="shared" si="1692"/>
        <v>1100000</v>
      </c>
      <c r="H3310" s="690" t="s">
        <v>173</v>
      </c>
      <c r="I3310" s="71" t="s">
        <v>109</v>
      </c>
      <c r="J3310" s="53">
        <f t="shared" si="1693"/>
        <v>271000</v>
      </c>
      <c r="K3310" s="63">
        <f>(J3310/(F3310/11*10))</f>
        <v>0.24636363636363637</v>
      </c>
      <c r="L3310" s="871" t="s">
        <v>2537</v>
      </c>
      <c r="M3310" s="468"/>
      <c r="N3310" s="664">
        <f t="shared" ref="N3310:N3373" si="1697">A3310</f>
        <v>200901</v>
      </c>
      <c r="O3310" s="71" t="s">
        <v>147</v>
      </c>
      <c r="P3310" s="164" t="str">
        <f t="shared" ref="P3310:P3363" si="1698">(C3310)</f>
        <v>Blanket(1060*860)</v>
      </c>
      <c r="Q3310" s="71">
        <f t="shared" si="1694"/>
        <v>10</v>
      </c>
      <c r="R3310" s="102">
        <v>82900</v>
      </c>
      <c r="S3310" s="102">
        <f t="shared" si="1695"/>
        <v>911900.00000000012</v>
      </c>
      <c r="T3310" s="102">
        <f t="shared" si="1696"/>
        <v>829000</v>
      </c>
      <c r="U3310" s="71" t="str">
        <f>IF(J3310=W3310,"O", "X")</f>
        <v>O</v>
      </c>
      <c r="V3310" s="71"/>
      <c r="W3310" s="474">
        <f>(G3310-T3310)</f>
        <v>271000</v>
      </c>
      <c r="X3310" s="71"/>
      <c r="Y3310" s="71"/>
    </row>
    <row r="3311" spans="1:25" ht="30" hidden="1" customHeight="1" x14ac:dyDescent="0.25">
      <c r="A3311" s="82">
        <v>200901</v>
      </c>
      <c r="B3311" s="664" t="s">
        <v>546</v>
      </c>
      <c r="C3311" s="71" t="s">
        <v>1297</v>
      </c>
      <c r="D3311" s="71">
        <v>30</v>
      </c>
      <c r="E3311" s="102">
        <v>20000</v>
      </c>
      <c r="F3311" s="102">
        <f t="shared" si="1691"/>
        <v>660000</v>
      </c>
      <c r="G3311" s="102">
        <f t="shared" si="1692"/>
        <v>600000</v>
      </c>
      <c r="H3311" s="690" t="s">
        <v>1431</v>
      </c>
      <c r="I3311" s="690" t="s">
        <v>1431</v>
      </c>
      <c r="J3311" s="53">
        <f t="shared" si="1693"/>
        <v>180000</v>
      </c>
      <c r="K3311" s="63">
        <f>(J3311/(F3311/11*10))</f>
        <v>0.3</v>
      </c>
      <c r="L3311" s="871" t="s">
        <v>2537</v>
      </c>
      <c r="M3311" s="468"/>
      <c r="N3311" s="664">
        <f t="shared" si="1697"/>
        <v>200901</v>
      </c>
      <c r="O3311" s="71" t="s">
        <v>1431</v>
      </c>
      <c r="P3311" s="164" t="str">
        <f t="shared" si="1698"/>
        <v>잉크집 호일</v>
      </c>
      <c r="Q3311" s="71">
        <f t="shared" si="1694"/>
        <v>30</v>
      </c>
      <c r="R3311" s="102">
        <v>14000</v>
      </c>
      <c r="S3311" s="102">
        <f t="shared" si="1695"/>
        <v>462000.00000000006</v>
      </c>
      <c r="T3311" s="102">
        <f t="shared" si="1696"/>
        <v>420000</v>
      </c>
      <c r="U3311" s="71"/>
      <c r="V3311" s="71"/>
      <c r="W3311" s="474"/>
      <c r="X3311" s="71"/>
      <c r="Y3311" s="71"/>
    </row>
    <row r="3312" spans="1:25" s="209" customFormat="1" ht="30" hidden="1" customHeight="1" x14ac:dyDescent="0.25">
      <c r="A3312" s="82">
        <v>200903</v>
      </c>
      <c r="B3312" s="664" t="s">
        <v>442</v>
      </c>
      <c r="C3312" s="71" t="s">
        <v>138</v>
      </c>
      <c r="D3312" s="71">
        <v>30</v>
      </c>
      <c r="E3312" s="102">
        <v>55200</v>
      </c>
      <c r="F3312" s="102">
        <f t="shared" si="1691"/>
        <v>1821600.0000000002</v>
      </c>
      <c r="G3312" s="102">
        <f t="shared" si="1692"/>
        <v>1656000</v>
      </c>
      <c r="H3312" s="690" t="s">
        <v>173</v>
      </c>
      <c r="I3312" s="71" t="s">
        <v>108</v>
      </c>
      <c r="J3312" s="53">
        <f t="shared" si="1693"/>
        <v>432000</v>
      </c>
      <c r="K3312" s="63">
        <f>(J3312/(F3312/11*10))</f>
        <v>0.26086956521739124</v>
      </c>
      <c r="L3312" s="871" t="s">
        <v>2537</v>
      </c>
      <c r="M3312" s="468" t="s">
        <v>2388</v>
      </c>
      <c r="N3312" s="664">
        <f t="shared" si="1697"/>
        <v>200903</v>
      </c>
      <c r="O3312" s="71" t="s">
        <v>150</v>
      </c>
      <c r="P3312" s="164" t="str">
        <f t="shared" si="1698"/>
        <v>매엽용 세척제(Wash 562)</v>
      </c>
      <c r="Q3312" s="71">
        <f t="shared" si="1694"/>
        <v>30</v>
      </c>
      <c r="R3312" s="102">
        <v>40800</v>
      </c>
      <c r="S3312" s="102">
        <f t="shared" si="1695"/>
        <v>1346400</v>
      </c>
      <c r="T3312" s="102">
        <f t="shared" si="1696"/>
        <v>1224000</v>
      </c>
      <c r="U3312" s="71" t="str">
        <f>IF(J3312=W3312,"O", "X")</f>
        <v>X</v>
      </c>
      <c r="V3312" s="71"/>
      <c r="W3312" s="474">
        <v>396000</v>
      </c>
      <c r="X3312" s="71"/>
      <c r="Y3312" s="71"/>
    </row>
    <row r="3313" spans="1:25" ht="30" hidden="1" customHeight="1" x14ac:dyDescent="0.25">
      <c r="A3313" s="82">
        <v>200903</v>
      </c>
      <c r="B3313" s="664" t="s">
        <v>690</v>
      </c>
      <c r="C3313" s="71" t="s">
        <v>825</v>
      </c>
      <c r="D3313" s="71">
        <v>2</v>
      </c>
      <c r="E3313" s="102">
        <v>142000</v>
      </c>
      <c r="F3313" s="102">
        <f t="shared" si="1691"/>
        <v>312400</v>
      </c>
      <c r="G3313" s="102">
        <f t="shared" si="1692"/>
        <v>284000</v>
      </c>
      <c r="H3313" s="690" t="s">
        <v>173</v>
      </c>
      <c r="I3313" s="71" t="s">
        <v>2231</v>
      </c>
      <c r="J3313" s="53">
        <f t="shared" si="1693"/>
        <v>94000</v>
      </c>
      <c r="K3313" s="63">
        <v>0.36666666666666664</v>
      </c>
      <c r="L3313" s="871" t="s">
        <v>2537</v>
      </c>
      <c r="M3313" s="468"/>
      <c r="N3313" s="664">
        <f t="shared" si="1697"/>
        <v>200903</v>
      </c>
      <c r="O3313" s="71" t="s">
        <v>150</v>
      </c>
      <c r="P3313" s="164" t="str">
        <f t="shared" si="1698"/>
        <v>독일제 정품 잉크호일 아스테이지</v>
      </c>
      <c r="Q3313" s="71">
        <f t="shared" si="1694"/>
        <v>2</v>
      </c>
      <c r="R3313" s="102">
        <v>95000</v>
      </c>
      <c r="S3313" s="102">
        <f t="shared" si="1695"/>
        <v>209000.00000000003</v>
      </c>
      <c r="T3313" s="102">
        <f t="shared" si="1696"/>
        <v>190000</v>
      </c>
      <c r="U3313" s="71" t="s">
        <v>859</v>
      </c>
      <c r="V3313" s="71"/>
      <c r="W3313" s="474">
        <v>110000</v>
      </c>
      <c r="X3313" s="71"/>
      <c r="Y3313" s="71"/>
    </row>
    <row r="3314" spans="1:25" s="209" customFormat="1" ht="30" hidden="1" customHeight="1" x14ac:dyDescent="0.25">
      <c r="A3314" s="82">
        <v>200902</v>
      </c>
      <c r="B3314" s="664" t="s">
        <v>2155</v>
      </c>
      <c r="C3314" s="71" t="s">
        <v>138</v>
      </c>
      <c r="D3314" s="71">
        <v>10</v>
      </c>
      <c r="E3314" s="102">
        <v>47600</v>
      </c>
      <c r="F3314" s="163">
        <f t="shared" si="1691"/>
        <v>523600.00000000006</v>
      </c>
      <c r="G3314" s="102">
        <f t="shared" si="1692"/>
        <v>476000</v>
      </c>
      <c r="H3314" s="1129" t="s">
        <v>172</v>
      </c>
      <c r="I3314" s="71" t="s">
        <v>108</v>
      </c>
      <c r="J3314" s="53">
        <f t="shared" si="1693"/>
        <v>68000</v>
      </c>
      <c r="K3314" s="63">
        <f>(J3314/(F3314/11*10))</f>
        <v>0.14285714285714285</v>
      </c>
      <c r="L3314" s="871" t="s">
        <v>2537</v>
      </c>
      <c r="M3314" s="468" t="s">
        <v>2214</v>
      </c>
      <c r="N3314" s="664">
        <f t="shared" si="1697"/>
        <v>200902</v>
      </c>
      <c r="O3314" s="71" t="s">
        <v>150</v>
      </c>
      <c r="P3314" s="164" t="str">
        <f t="shared" si="1698"/>
        <v>매엽용 세척제(Wash 562)</v>
      </c>
      <c r="Q3314" s="71">
        <f t="shared" si="1694"/>
        <v>10</v>
      </c>
      <c r="R3314" s="102">
        <v>40800</v>
      </c>
      <c r="S3314" s="102">
        <f t="shared" si="1695"/>
        <v>448800.00000000006</v>
      </c>
      <c r="T3314" s="102">
        <f t="shared" si="1696"/>
        <v>408000</v>
      </c>
      <c r="U3314" s="71" t="str">
        <f>IF(J3314=W3314,"O", "X")</f>
        <v>X</v>
      </c>
      <c r="V3314" s="71"/>
      <c r="W3314" s="474">
        <v>85000</v>
      </c>
      <c r="X3314" s="71"/>
      <c r="Y3314" s="71"/>
    </row>
    <row r="3315" spans="1:25" s="209" customFormat="1" ht="30" hidden="1" customHeight="1" x14ac:dyDescent="0.2">
      <c r="A3315" s="82">
        <v>200902</v>
      </c>
      <c r="B3315" s="664" t="s">
        <v>2261</v>
      </c>
      <c r="C3315" s="71" t="s">
        <v>107</v>
      </c>
      <c r="D3315" s="71">
        <v>10</v>
      </c>
      <c r="E3315" s="102">
        <v>108000</v>
      </c>
      <c r="F3315" s="163">
        <f t="shared" si="1691"/>
        <v>1188000</v>
      </c>
      <c r="G3315" s="102">
        <f t="shared" si="1692"/>
        <v>1080000</v>
      </c>
      <c r="H3315" s="165" t="s">
        <v>172</v>
      </c>
      <c r="I3315" s="71" t="s">
        <v>109</v>
      </c>
      <c r="J3315" s="53">
        <f t="shared" si="1693"/>
        <v>275000</v>
      </c>
      <c r="K3315" s="63">
        <f>(J3315/(F3315/11*10))</f>
        <v>0.25462962962962965</v>
      </c>
      <c r="L3315" s="871" t="s">
        <v>2537</v>
      </c>
      <c r="M3315" s="468"/>
      <c r="N3315" s="664">
        <f t="shared" si="1697"/>
        <v>200902</v>
      </c>
      <c r="O3315" s="71" t="s">
        <v>147</v>
      </c>
      <c r="P3315" s="164" t="str">
        <f t="shared" si="1698"/>
        <v>Blanket(1050*840)</v>
      </c>
      <c r="Q3315" s="71">
        <f t="shared" si="1694"/>
        <v>10</v>
      </c>
      <c r="R3315" s="102">
        <v>80500</v>
      </c>
      <c r="S3315" s="102">
        <f t="shared" si="1695"/>
        <v>885500.00000000012</v>
      </c>
      <c r="T3315" s="102">
        <f t="shared" si="1696"/>
        <v>805000</v>
      </c>
      <c r="U3315" s="71" t="str">
        <f>IF(J3315=W3315,"O", "X")</f>
        <v>O</v>
      </c>
      <c r="V3315" s="71"/>
      <c r="W3315" s="474">
        <v>275000</v>
      </c>
      <c r="X3315" s="71"/>
      <c r="Y3315" s="71"/>
    </row>
    <row r="3316" spans="1:25" s="209" customFormat="1" ht="30" hidden="1" customHeight="1" x14ac:dyDescent="0.2">
      <c r="A3316" s="82">
        <v>200903</v>
      </c>
      <c r="B3316" s="664" t="s">
        <v>2155</v>
      </c>
      <c r="C3316" s="71" t="s">
        <v>579</v>
      </c>
      <c r="D3316" s="71">
        <v>1</v>
      </c>
      <c r="E3316" s="102">
        <v>350000</v>
      </c>
      <c r="F3316" s="163">
        <f t="shared" si="1691"/>
        <v>385000.00000000006</v>
      </c>
      <c r="G3316" s="102">
        <f t="shared" si="1692"/>
        <v>350000</v>
      </c>
      <c r="H3316" s="165" t="s">
        <v>985</v>
      </c>
      <c r="I3316" s="71" t="s">
        <v>985</v>
      </c>
      <c r="J3316" s="53"/>
      <c r="K3316" s="63"/>
      <c r="L3316" s="871" t="s">
        <v>2537</v>
      </c>
      <c r="M3316" s="468"/>
      <c r="N3316" s="664">
        <f t="shared" si="1697"/>
        <v>200903</v>
      </c>
      <c r="O3316" s="71"/>
      <c r="P3316" s="164" t="str">
        <f t="shared" si="1698"/>
        <v>M-600 서비스 비용</v>
      </c>
      <c r="Q3316" s="71">
        <f t="shared" si="1694"/>
        <v>1</v>
      </c>
      <c r="R3316" s="102"/>
      <c r="S3316" s="102">
        <f t="shared" si="1695"/>
        <v>0</v>
      </c>
      <c r="T3316" s="102">
        <f t="shared" si="1696"/>
        <v>0</v>
      </c>
      <c r="U3316" s="71"/>
      <c r="V3316" s="71"/>
      <c r="W3316" s="474"/>
      <c r="X3316" s="71"/>
      <c r="Y3316" s="71"/>
    </row>
    <row r="3317" spans="1:25" ht="30" hidden="1" customHeight="1" x14ac:dyDescent="0.2">
      <c r="A3317" s="82">
        <v>200903</v>
      </c>
      <c r="B3317" s="664" t="s">
        <v>2353</v>
      </c>
      <c r="C3317" s="71" t="s">
        <v>129</v>
      </c>
      <c r="D3317" s="71">
        <v>5</v>
      </c>
      <c r="E3317" s="102">
        <v>272000</v>
      </c>
      <c r="F3317" s="163">
        <f t="shared" ref="F3317:F3325" si="1699">(E3317*D3317)*1.1</f>
        <v>1496000.0000000002</v>
      </c>
      <c r="G3317" s="102">
        <f t="shared" ref="G3317:G3325" si="1700">(E3317*D3317)</f>
        <v>1360000</v>
      </c>
      <c r="H3317" s="165" t="s">
        <v>142</v>
      </c>
      <c r="I3317" s="71" t="s">
        <v>142</v>
      </c>
      <c r="J3317" s="53">
        <f>G3317-T3317</f>
        <v>320000</v>
      </c>
      <c r="K3317" s="63">
        <f t="shared" ref="K3317:K3325" si="1701">(J3317/(F3317/11*10))</f>
        <v>0.23529411764705879</v>
      </c>
      <c r="L3317" s="871" t="s">
        <v>2537</v>
      </c>
      <c r="M3317" s="468" t="s">
        <v>2050</v>
      </c>
      <c r="N3317" s="664">
        <f t="shared" si="1697"/>
        <v>200903</v>
      </c>
      <c r="O3317" s="71" t="s">
        <v>149</v>
      </c>
      <c r="P3317" s="164" t="str">
        <f t="shared" si="1698"/>
        <v>세정포-XL106</v>
      </c>
      <c r="Q3317" s="71">
        <f t="shared" ref="Q3317:Q3377" si="1702">D3317</f>
        <v>5</v>
      </c>
      <c r="R3317" s="102">
        <v>208000</v>
      </c>
      <c r="S3317" s="102">
        <f t="shared" si="1695"/>
        <v>1144000</v>
      </c>
      <c r="T3317" s="102">
        <f t="shared" si="1696"/>
        <v>1040000</v>
      </c>
      <c r="U3317" s="71" t="str">
        <f>IF(J3317=W3317,"O", "X")</f>
        <v>O</v>
      </c>
      <c r="V3317" s="71"/>
      <c r="W3317" s="474">
        <f>(G3317-T3317)</f>
        <v>320000</v>
      </c>
      <c r="X3317" s="71"/>
      <c r="Y3317" s="71"/>
    </row>
    <row r="3318" spans="1:25" s="209" customFormat="1" ht="30" hidden="1" customHeight="1" x14ac:dyDescent="0.2">
      <c r="A3318" s="82">
        <v>200903</v>
      </c>
      <c r="B3318" s="664" t="s">
        <v>2353</v>
      </c>
      <c r="C3318" s="71" t="s">
        <v>130</v>
      </c>
      <c r="D3318" s="71">
        <v>20</v>
      </c>
      <c r="E3318" s="102">
        <v>125000</v>
      </c>
      <c r="F3318" s="163">
        <f t="shared" si="1699"/>
        <v>2750000</v>
      </c>
      <c r="G3318" s="102">
        <f t="shared" si="1700"/>
        <v>2500000</v>
      </c>
      <c r="H3318" s="165" t="s">
        <v>142</v>
      </c>
      <c r="I3318" s="71" t="s">
        <v>142</v>
      </c>
      <c r="J3318" s="53">
        <f>(G3318-(VLOOKUP(C3318,Price!B:D,3,FALSE)*D3318))</f>
        <v>520000</v>
      </c>
      <c r="K3318" s="63">
        <f t="shared" si="1701"/>
        <v>0.20799999999999999</v>
      </c>
      <c r="L3318" s="871" t="s">
        <v>2537</v>
      </c>
      <c r="M3318" s="468" t="s">
        <v>2050</v>
      </c>
      <c r="N3318" s="664">
        <f t="shared" si="1697"/>
        <v>200903</v>
      </c>
      <c r="O3318" s="71" t="s">
        <v>150</v>
      </c>
      <c r="P3318" s="164" t="str">
        <f t="shared" si="1698"/>
        <v>XL106 Blanket(1077*885)</v>
      </c>
      <c r="Q3318" s="71">
        <f t="shared" si="1702"/>
        <v>20</v>
      </c>
      <c r="R3318" s="102">
        <v>99000</v>
      </c>
      <c r="S3318" s="102">
        <f t="shared" si="1695"/>
        <v>2178000</v>
      </c>
      <c r="T3318" s="102">
        <f t="shared" si="1696"/>
        <v>1980000</v>
      </c>
      <c r="U3318" s="71" t="str">
        <f>IF(J3318=W3318,"O", "X")</f>
        <v>O</v>
      </c>
      <c r="V3318" s="71"/>
      <c r="W3318" s="474">
        <f>(G3318-T3318)</f>
        <v>520000</v>
      </c>
      <c r="X3318" s="71"/>
      <c r="Y3318" s="71"/>
    </row>
    <row r="3319" spans="1:25" ht="30" hidden="1" customHeight="1" x14ac:dyDescent="0.25">
      <c r="A3319" s="82">
        <v>200903</v>
      </c>
      <c r="B3319" s="664" t="s">
        <v>2353</v>
      </c>
      <c r="C3319" s="71" t="s">
        <v>2031</v>
      </c>
      <c r="D3319" s="71">
        <v>4</v>
      </c>
      <c r="E3319" s="102">
        <v>35000</v>
      </c>
      <c r="F3319" s="102">
        <f t="shared" si="1699"/>
        <v>154000</v>
      </c>
      <c r="G3319" s="102">
        <f t="shared" si="1700"/>
        <v>140000</v>
      </c>
      <c r="H3319" s="690" t="s">
        <v>142</v>
      </c>
      <c r="I3319" s="71" t="s">
        <v>142</v>
      </c>
      <c r="J3319" s="53">
        <f t="shared" ref="J3319:J3326" si="1703">G3319-T3319</f>
        <v>50156</v>
      </c>
      <c r="K3319" s="63">
        <f t="shared" si="1701"/>
        <v>0.35825714285714283</v>
      </c>
      <c r="L3319" s="871" t="s">
        <v>2537</v>
      </c>
      <c r="M3319" s="468" t="s">
        <v>2054</v>
      </c>
      <c r="N3319" s="664">
        <f t="shared" si="1697"/>
        <v>200903</v>
      </c>
      <c r="O3319" s="71" t="s">
        <v>94</v>
      </c>
      <c r="P3319" s="164" t="str">
        <f t="shared" si="1698"/>
        <v>필터백</v>
      </c>
      <c r="Q3319" s="71">
        <f t="shared" si="1702"/>
        <v>4</v>
      </c>
      <c r="R3319" s="102">
        <v>22461</v>
      </c>
      <c r="S3319" s="102">
        <f t="shared" si="1695"/>
        <v>98828.400000000009</v>
      </c>
      <c r="T3319" s="102">
        <f t="shared" si="1696"/>
        <v>89844</v>
      </c>
      <c r="U3319" s="71" t="str">
        <f>IF(J3319=W3319,"O", "X")</f>
        <v>X</v>
      </c>
      <c r="V3319" s="71"/>
      <c r="W3319" s="474"/>
      <c r="X3319" s="71"/>
      <c r="Y3319" s="71"/>
    </row>
    <row r="3320" spans="1:25" ht="30" hidden="1" customHeight="1" x14ac:dyDescent="0.25">
      <c r="A3320" s="82">
        <v>200903</v>
      </c>
      <c r="B3320" s="664" t="s">
        <v>2353</v>
      </c>
      <c r="C3320" s="71" t="s">
        <v>2137</v>
      </c>
      <c r="D3320" s="71">
        <v>3</v>
      </c>
      <c r="E3320" s="102">
        <v>110000</v>
      </c>
      <c r="F3320" s="102">
        <f t="shared" si="1699"/>
        <v>363000.00000000006</v>
      </c>
      <c r="G3320" s="102">
        <f t="shared" si="1700"/>
        <v>330000</v>
      </c>
      <c r="H3320" s="690" t="s">
        <v>173</v>
      </c>
      <c r="I3320" s="71" t="s">
        <v>142</v>
      </c>
      <c r="J3320" s="53">
        <f t="shared" si="1703"/>
        <v>45000</v>
      </c>
      <c r="K3320" s="63">
        <f t="shared" si="1701"/>
        <v>0.13636363636363633</v>
      </c>
      <c r="L3320" s="871" t="s">
        <v>2537</v>
      </c>
      <c r="M3320" s="468"/>
      <c r="N3320" s="664">
        <f t="shared" si="1697"/>
        <v>200903</v>
      </c>
      <c r="O3320" s="71" t="s">
        <v>2030</v>
      </c>
      <c r="P3320" s="164" t="str">
        <f t="shared" si="1698"/>
        <v>잉크집 아스테이지</v>
      </c>
      <c r="Q3320" s="71">
        <f t="shared" si="1702"/>
        <v>3</v>
      </c>
      <c r="R3320" s="102">
        <v>95000</v>
      </c>
      <c r="S3320" s="102">
        <f t="shared" si="1695"/>
        <v>313500</v>
      </c>
      <c r="T3320" s="102">
        <f t="shared" si="1696"/>
        <v>285000</v>
      </c>
      <c r="U3320" s="71"/>
      <c r="V3320" s="71"/>
      <c r="W3320" s="474"/>
      <c r="X3320" s="71"/>
      <c r="Y3320" s="71"/>
    </row>
    <row r="3321" spans="1:25" ht="27.6" hidden="1" customHeight="1" x14ac:dyDescent="0.2">
      <c r="A3321" s="82">
        <v>200908</v>
      </c>
      <c r="B3321" s="664" t="s">
        <v>567</v>
      </c>
      <c r="C3321" s="71" t="s">
        <v>1652</v>
      </c>
      <c r="D3321" s="71">
        <v>5</v>
      </c>
      <c r="E3321" s="102">
        <v>45000</v>
      </c>
      <c r="F3321" s="163">
        <f t="shared" si="1699"/>
        <v>247500.00000000003</v>
      </c>
      <c r="G3321" s="102">
        <f t="shared" si="1700"/>
        <v>225000</v>
      </c>
      <c r="H3321" s="690" t="s">
        <v>173</v>
      </c>
      <c r="I3321" s="71" t="s">
        <v>2231</v>
      </c>
      <c r="J3321" s="53">
        <f t="shared" si="1703"/>
        <v>25000</v>
      </c>
      <c r="K3321" s="63">
        <f t="shared" si="1701"/>
        <v>0.11111111111111109</v>
      </c>
      <c r="L3321" s="871" t="s">
        <v>2537</v>
      </c>
      <c r="M3321" s="468"/>
      <c r="N3321" s="664">
        <f t="shared" si="1697"/>
        <v>200908</v>
      </c>
      <c r="O3321" s="71" t="s">
        <v>153</v>
      </c>
      <c r="P3321" s="164" t="str">
        <f t="shared" si="1698"/>
        <v>아스테이지(CD74용)</v>
      </c>
      <c r="Q3321" s="71">
        <f t="shared" si="1702"/>
        <v>5</v>
      </c>
      <c r="R3321" s="102">
        <v>40000</v>
      </c>
      <c r="S3321" s="102">
        <f t="shared" si="1695"/>
        <v>220000.00000000003</v>
      </c>
      <c r="T3321" s="102">
        <f t="shared" si="1696"/>
        <v>200000</v>
      </c>
      <c r="U3321" s="71" t="str">
        <f>IF(J3321=W3321,"O", "X")</f>
        <v>X</v>
      </c>
      <c r="V3321" s="71"/>
      <c r="W3321" s="474"/>
      <c r="X3321" s="71"/>
      <c r="Y3321" s="71"/>
    </row>
    <row r="3322" spans="1:25" ht="30" hidden="1" customHeight="1" x14ac:dyDescent="0.25">
      <c r="A3322" s="82">
        <v>200908</v>
      </c>
      <c r="B3322" s="664" t="s">
        <v>690</v>
      </c>
      <c r="C3322" s="71" t="s">
        <v>1186</v>
      </c>
      <c r="D3322" s="71">
        <v>500</v>
      </c>
      <c r="E3322" s="102">
        <v>3420</v>
      </c>
      <c r="F3322" s="1128">
        <f t="shared" si="1699"/>
        <v>1881000.0000000002</v>
      </c>
      <c r="G3322" s="102">
        <f t="shared" si="1700"/>
        <v>1710000</v>
      </c>
      <c r="H3322" s="690" t="s">
        <v>173</v>
      </c>
      <c r="I3322" s="71" t="s">
        <v>2230</v>
      </c>
      <c r="J3322" s="53">
        <f t="shared" si="1703"/>
        <v>-190000</v>
      </c>
      <c r="K3322" s="63">
        <f t="shared" si="1701"/>
        <v>-0.11111111111111109</v>
      </c>
      <c r="L3322" s="871" t="s">
        <v>2537</v>
      </c>
      <c r="M3322" s="468" t="s">
        <v>1393</v>
      </c>
      <c r="N3322" s="664">
        <f t="shared" si="1697"/>
        <v>200908</v>
      </c>
      <c r="O3322" s="71" t="s">
        <v>145</v>
      </c>
      <c r="P3322" s="164" t="str">
        <f t="shared" si="1698"/>
        <v>CTP 판(1030*790mm)</v>
      </c>
      <c r="Q3322" s="71">
        <f t="shared" si="1702"/>
        <v>500</v>
      </c>
      <c r="R3322" s="102">
        <v>3800</v>
      </c>
      <c r="S3322" s="102">
        <f t="shared" si="1695"/>
        <v>2090000.0000000002</v>
      </c>
      <c r="T3322" s="102">
        <f t="shared" si="1696"/>
        <v>1900000</v>
      </c>
      <c r="U3322" s="71" t="str">
        <f>IF(J3322=W3322,"O", "X")</f>
        <v>X</v>
      </c>
      <c r="V3322" s="71"/>
      <c r="W3322" s="474">
        <v>-200000</v>
      </c>
      <c r="X3322" s="71"/>
      <c r="Y3322" s="71"/>
    </row>
    <row r="3323" spans="1:25" ht="30" hidden="1" customHeight="1" x14ac:dyDescent="0.25">
      <c r="A3323" s="82">
        <v>200908</v>
      </c>
      <c r="B3323" s="664" t="s">
        <v>690</v>
      </c>
      <c r="C3323" s="71" t="s">
        <v>197</v>
      </c>
      <c r="D3323" s="71">
        <v>2</v>
      </c>
      <c r="E3323" s="102">
        <v>46000</v>
      </c>
      <c r="F3323" s="1128">
        <f t="shared" si="1699"/>
        <v>101200.00000000001</v>
      </c>
      <c r="G3323" s="102">
        <f t="shared" si="1700"/>
        <v>92000</v>
      </c>
      <c r="H3323" s="690" t="s">
        <v>173</v>
      </c>
      <c r="I3323" s="71" t="s">
        <v>2230</v>
      </c>
      <c r="J3323" s="53">
        <f t="shared" si="1703"/>
        <v>22000</v>
      </c>
      <c r="K3323" s="63">
        <f t="shared" si="1701"/>
        <v>0.23913043478260865</v>
      </c>
      <c r="L3323" s="871" t="s">
        <v>2537</v>
      </c>
      <c r="M3323" s="468" t="s">
        <v>1394</v>
      </c>
      <c r="N3323" s="664">
        <f t="shared" si="1697"/>
        <v>200908</v>
      </c>
      <c r="O3323" s="71" t="s">
        <v>145</v>
      </c>
      <c r="P3323" s="164" t="str">
        <f t="shared" si="1698"/>
        <v>THR200(20L)</v>
      </c>
      <c r="Q3323" s="71">
        <f t="shared" si="1702"/>
        <v>2</v>
      </c>
      <c r="R3323" s="102">
        <v>35000</v>
      </c>
      <c r="S3323" s="102">
        <f t="shared" si="1695"/>
        <v>77000</v>
      </c>
      <c r="T3323" s="102">
        <f t="shared" si="1696"/>
        <v>70000</v>
      </c>
      <c r="U3323" s="71" t="str">
        <f>IF(J3323=W3323,"O", "X")</f>
        <v>X</v>
      </c>
      <c r="V3323" s="71"/>
      <c r="W3323" s="474"/>
      <c r="X3323" s="71"/>
      <c r="Y3323" s="71"/>
    </row>
    <row r="3324" spans="1:25" ht="30" hidden="1" customHeight="1" x14ac:dyDescent="0.25">
      <c r="A3324" s="82">
        <v>200909</v>
      </c>
      <c r="B3324" s="664" t="s">
        <v>446</v>
      </c>
      <c r="C3324" s="71" t="s">
        <v>2028</v>
      </c>
      <c r="D3324" s="71">
        <v>12</v>
      </c>
      <c r="E3324" s="102">
        <v>105000</v>
      </c>
      <c r="F3324" s="102">
        <f t="shared" si="1699"/>
        <v>1386000</v>
      </c>
      <c r="G3324" s="102">
        <f t="shared" si="1700"/>
        <v>1260000</v>
      </c>
      <c r="H3324" s="690" t="s">
        <v>2029</v>
      </c>
      <c r="I3324" s="71" t="s">
        <v>2231</v>
      </c>
      <c r="J3324" s="53">
        <f t="shared" si="1703"/>
        <v>228000</v>
      </c>
      <c r="K3324" s="63">
        <f t="shared" si="1701"/>
        <v>0.18095238095238095</v>
      </c>
      <c r="L3324" s="871" t="s">
        <v>2537</v>
      </c>
      <c r="M3324" s="468" t="s">
        <v>3067</v>
      </c>
      <c r="N3324" s="664">
        <f t="shared" si="1697"/>
        <v>200909</v>
      </c>
      <c r="O3324" s="71" t="s">
        <v>2030</v>
      </c>
      <c r="P3324" s="164" t="str">
        <f t="shared" si="1698"/>
        <v>실리콘 에멀전</v>
      </c>
      <c r="Q3324" s="71">
        <f t="shared" si="1702"/>
        <v>12</v>
      </c>
      <c r="R3324" s="102">
        <v>86000</v>
      </c>
      <c r="S3324" s="102">
        <f t="shared" si="1695"/>
        <v>1135200</v>
      </c>
      <c r="T3324" s="102">
        <f t="shared" si="1696"/>
        <v>1032000</v>
      </c>
      <c r="U3324" s="71" t="str">
        <f>IF(J3324=W3324,"O", "X")</f>
        <v>O</v>
      </c>
      <c r="V3324" s="71">
        <f>5000*Q3324</f>
        <v>60000</v>
      </c>
      <c r="W3324" s="474">
        <f>(G3324-T3324)</f>
        <v>228000</v>
      </c>
      <c r="X3324" s="71"/>
      <c r="Y3324" s="71"/>
    </row>
    <row r="3325" spans="1:25" ht="30" hidden="1" customHeight="1" x14ac:dyDescent="0.25">
      <c r="A3325" s="82">
        <v>200910</v>
      </c>
      <c r="B3325" s="664" t="s">
        <v>1120</v>
      </c>
      <c r="C3325" s="71" t="s">
        <v>2552</v>
      </c>
      <c r="D3325" s="71">
        <v>1</v>
      </c>
      <c r="E3325" s="102">
        <v>15000000</v>
      </c>
      <c r="F3325" s="102">
        <f t="shared" si="1699"/>
        <v>16500000.000000002</v>
      </c>
      <c r="G3325" s="102">
        <f t="shared" si="1700"/>
        <v>15000000</v>
      </c>
      <c r="H3325" s="690" t="s">
        <v>173</v>
      </c>
      <c r="I3325" s="71" t="s">
        <v>2231</v>
      </c>
      <c r="J3325" s="53">
        <f t="shared" si="1703"/>
        <v>5800000</v>
      </c>
      <c r="K3325" s="63">
        <f t="shared" si="1701"/>
        <v>0.3866666666666666</v>
      </c>
      <c r="L3325" s="871" t="s">
        <v>2537</v>
      </c>
      <c r="M3325" s="468"/>
      <c r="N3325" s="664">
        <f t="shared" si="1697"/>
        <v>200910</v>
      </c>
      <c r="O3325" s="71" t="s">
        <v>2553</v>
      </c>
      <c r="P3325" s="164" t="str">
        <f t="shared" si="1698"/>
        <v>X-rite Exact + UV 램프 6개</v>
      </c>
      <c r="Q3325" s="71">
        <f t="shared" si="1702"/>
        <v>1</v>
      </c>
      <c r="R3325" s="102">
        <f>7000000+2200000</f>
        <v>9200000</v>
      </c>
      <c r="S3325" s="102">
        <f t="shared" si="1695"/>
        <v>10120000</v>
      </c>
      <c r="T3325" s="102">
        <f t="shared" si="1696"/>
        <v>9200000</v>
      </c>
      <c r="U3325" s="71"/>
      <c r="V3325" s="71"/>
      <c r="W3325" s="474"/>
      <c r="X3325" s="71"/>
      <c r="Y3325" s="71"/>
    </row>
    <row r="3326" spans="1:25" ht="30" hidden="1" customHeight="1" x14ac:dyDescent="0.2">
      <c r="A3326" s="82">
        <v>200910</v>
      </c>
      <c r="B3326" s="664" t="s">
        <v>545</v>
      </c>
      <c r="C3326" s="71" t="s">
        <v>952</v>
      </c>
      <c r="D3326" s="71">
        <v>1</v>
      </c>
      <c r="E3326" s="102">
        <v>630000</v>
      </c>
      <c r="F3326" s="163">
        <f t="shared" ref="F3326:F3335" si="1704">(E3326*D3326)*1.1</f>
        <v>693000</v>
      </c>
      <c r="G3326" s="102">
        <f t="shared" ref="G3326:G3335" si="1705">(E3326*D3326)</f>
        <v>630000</v>
      </c>
      <c r="H3326" s="690" t="s">
        <v>173</v>
      </c>
      <c r="I3326" s="71" t="s">
        <v>108</v>
      </c>
      <c r="J3326" s="53">
        <f t="shared" si="1703"/>
        <v>190000</v>
      </c>
      <c r="K3326" s="63">
        <f>(J3326/(F3326/11*10))</f>
        <v>0.30158730158730157</v>
      </c>
      <c r="L3326" s="871" t="s">
        <v>2537</v>
      </c>
      <c r="M3326" s="468"/>
      <c r="N3326" s="664">
        <f t="shared" si="1697"/>
        <v>200910</v>
      </c>
      <c r="O3326" s="71" t="s">
        <v>599</v>
      </c>
      <c r="P3326" s="164" t="str">
        <f t="shared" si="1698"/>
        <v>점보롤 세정포</v>
      </c>
      <c r="Q3326" s="71">
        <f t="shared" si="1702"/>
        <v>1</v>
      </c>
      <c r="R3326" s="102">
        <v>440000</v>
      </c>
      <c r="S3326" s="102">
        <f t="shared" si="1695"/>
        <v>484000.00000000006</v>
      </c>
      <c r="T3326" s="102">
        <f t="shared" si="1696"/>
        <v>440000</v>
      </c>
      <c r="U3326" s="71" t="str">
        <f>IF(J3326=W3326,"O", "X")</f>
        <v>O</v>
      </c>
      <c r="V3326" s="71" t="s">
        <v>1228</v>
      </c>
      <c r="W3326" s="474">
        <f>(G3326-T3326)</f>
        <v>190000</v>
      </c>
      <c r="X3326" s="71"/>
      <c r="Y3326" s="71"/>
    </row>
    <row r="3327" spans="1:25" ht="30" customHeight="1" x14ac:dyDescent="0.25">
      <c r="A3327" s="82">
        <v>200910</v>
      </c>
      <c r="B3327" s="664" t="s">
        <v>2536</v>
      </c>
      <c r="C3327" s="71" t="s">
        <v>579</v>
      </c>
      <c r="D3327" s="71">
        <v>1</v>
      </c>
      <c r="E3327" s="102">
        <v>300000</v>
      </c>
      <c r="F3327" s="102">
        <f t="shared" si="1704"/>
        <v>330000</v>
      </c>
      <c r="G3327" s="102">
        <f t="shared" si="1705"/>
        <v>300000</v>
      </c>
      <c r="H3327" s="690" t="s">
        <v>985</v>
      </c>
      <c r="I3327" s="71" t="s">
        <v>985</v>
      </c>
      <c r="J3327" s="53"/>
      <c r="K3327" s="63"/>
      <c r="L3327" s="871" t="s">
        <v>2537</v>
      </c>
      <c r="M3327" s="468"/>
      <c r="N3327" s="664">
        <f t="shared" si="1697"/>
        <v>200910</v>
      </c>
      <c r="O3327" s="71"/>
      <c r="P3327" s="164" t="str">
        <f t="shared" si="1698"/>
        <v>M-600 서비스 비용</v>
      </c>
      <c r="Q3327" s="71">
        <f t="shared" si="1702"/>
        <v>1</v>
      </c>
      <c r="R3327" s="102"/>
      <c r="S3327" s="102">
        <f t="shared" si="1695"/>
        <v>0</v>
      </c>
      <c r="T3327" s="102">
        <f t="shared" si="1696"/>
        <v>0</v>
      </c>
      <c r="U3327" s="71"/>
      <c r="V3327" s="71"/>
      <c r="W3327" s="474"/>
      <c r="X3327" s="71"/>
      <c r="Y3327" s="71"/>
    </row>
    <row r="3328" spans="1:25" s="209" customFormat="1" ht="30" hidden="1" customHeight="1" x14ac:dyDescent="0.2">
      <c r="A3328" s="82">
        <v>200911</v>
      </c>
      <c r="B3328" s="664" t="s">
        <v>2155</v>
      </c>
      <c r="C3328" s="71" t="s">
        <v>231</v>
      </c>
      <c r="D3328" s="71">
        <v>10</v>
      </c>
      <c r="E3328" s="102">
        <v>120000</v>
      </c>
      <c r="F3328" s="102">
        <f t="shared" si="1704"/>
        <v>1320000</v>
      </c>
      <c r="G3328" s="102">
        <f t="shared" si="1705"/>
        <v>1200000</v>
      </c>
      <c r="H3328" s="165" t="s">
        <v>172</v>
      </c>
      <c r="I3328" s="71" t="s">
        <v>109</v>
      </c>
      <c r="J3328" s="53">
        <f>G3328-T3328</f>
        <v>80000</v>
      </c>
      <c r="K3328" s="63">
        <v>6.6666666666666666E-2</v>
      </c>
      <c r="L3328" s="871" t="s">
        <v>2537</v>
      </c>
      <c r="M3328" s="468"/>
      <c r="N3328" s="664">
        <f t="shared" si="1697"/>
        <v>200911</v>
      </c>
      <c r="O3328" s="71" t="s">
        <v>151</v>
      </c>
      <c r="P3328" s="164" t="str">
        <f t="shared" si="1698"/>
        <v>Blanket(990*725)</v>
      </c>
      <c r="Q3328" s="71">
        <f t="shared" si="1702"/>
        <v>10</v>
      </c>
      <c r="R3328" s="102">
        <v>112000</v>
      </c>
      <c r="S3328" s="102">
        <f t="shared" si="1695"/>
        <v>1232000</v>
      </c>
      <c r="T3328" s="102">
        <f t="shared" si="1696"/>
        <v>1120000</v>
      </c>
      <c r="U3328" s="71" t="s">
        <v>859</v>
      </c>
      <c r="V3328" s="71"/>
      <c r="W3328" s="474">
        <v>80000</v>
      </c>
      <c r="X3328" s="71"/>
      <c r="Y3328" s="71"/>
    </row>
    <row r="3329" spans="1:25" s="209" customFormat="1" ht="30" hidden="1" customHeight="1" x14ac:dyDescent="0.25">
      <c r="A3329" s="82">
        <v>200911</v>
      </c>
      <c r="B3329" s="664" t="s">
        <v>2155</v>
      </c>
      <c r="C3329" s="71" t="s">
        <v>138</v>
      </c>
      <c r="D3329" s="71">
        <v>10</v>
      </c>
      <c r="E3329" s="102">
        <v>47600</v>
      </c>
      <c r="F3329" s="163">
        <f t="shared" si="1704"/>
        <v>523600.00000000006</v>
      </c>
      <c r="G3329" s="102">
        <f t="shared" si="1705"/>
        <v>476000</v>
      </c>
      <c r="H3329" s="1129" t="s">
        <v>172</v>
      </c>
      <c r="I3329" s="71" t="s">
        <v>108</v>
      </c>
      <c r="J3329" s="53">
        <v>68000</v>
      </c>
      <c r="K3329" s="63">
        <v>0.14285714285714285</v>
      </c>
      <c r="L3329" s="871" t="s">
        <v>2537</v>
      </c>
      <c r="M3329" s="468" t="s">
        <v>2214</v>
      </c>
      <c r="N3329" s="664">
        <f t="shared" si="1697"/>
        <v>200911</v>
      </c>
      <c r="O3329" s="71" t="s">
        <v>150</v>
      </c>
      <c r="P3329" s="164" t="str">
        <f t="shared" si="1698"/>
        <v>매엽용 세척제(Wash 562)</v>
      </c>
      <c r="Q3329" s="71">
        <f t="shared" si="1702"/>
        <v>10</v>
      </c>
      <c r="R3329" s="102">
        <v>40800</v>
      </c>
      <c r="S3329" s="102">
        <f t="shared" si="1695"/>
        <v>448800.00000000006</v>
      </c>
      <c r="T3329" s="102">
        <f t="shared" si="1696"/>
        <v>408000</v>
      </c>
      <c r="U3329" s="71" t="str">
        <f>IF(J3329=W3329,"O", "X")</f>
        <v>X</v>
      </c>
      <c r="V3329" s="71"/>
      <c r="W3329" s="474">
        <v>85000</v>
      </c>
      <c r="X3329" s="71"/>
      <c r="Y3329" s="71"/>
    </row>
    <row r="3330" spans="1:25" ht="30" hidden="1" customHeight="1" x14ac:dyDescent="0.25">
      <c r="A3330" s="82">
        <v>200911</v>
      </c>
      <c r="B3330" s="664" t="s">
        <v>2155</v>
      </c>
      <c r="C3330" s="71" t="s">
        <v>277</v>
      </c>
      <c r="D3330" s="71">
        <v>5</v>
      </c>
      <c r="E3330" s="102">
        <v>172000</v>
      </c>
      <c r="F3330" s="102">
        <f t="shared" si="1704"/>
        <v>946000.00000000012</v>
      </c>
      <c r="G3330" s="102">
        <f t="shared" si="1705"/>
        <v>860000</v>
      </c>
      <c r="H3330" s="690" t="s">
        <v>173</v>
      </c>
      <c r="I3330" s="71" t="s">
        <v>108</v>
      </c>
      <c r="J3330" s="53">
        <f t="shared" ref="J3330:J3336" si="1706">G3330-T3330</f>
        <v>285000</v>
      </c>
      <c r="K3330" s="63">
        <v>0.33139534883720928</v>
      </c>
      <c r="L3330" s="871" t="s">
        <v>2537</v>
      </c>
      <c r="M3330" s="468"/>
      <c r="N3330" s="664">
        <f t="shared" si="1697"/>
        <v>200911</v>
      </c>
      <c r="O3330" s="71" t="s">
        <v>150</v>
      </c>
      <c r="P3330" s="164" t="str">
        <f t="shared" si="1698"/>
        <v>윤전용 세척제(Web 504)</v>
      </c>
      <c r="Q3330" s="71">
        <f t="shared" si="1702"/>
        <v>5</v>
      </c>
      <c r="R3330" s="102">
        <v>115000</v>
      </c>
      <c r="S3330" s="102">
        <f t="shared" si="1695"/>
        <v>632500</v>
      </c>
      <c r="T3330" s="102">
        <f t="shared" si="1696"/>
        <v>575000</v>
      </c>
      <c r="U3330" s="71" t="str">
        <f>IF(J3330=W3330,"O", "X")</f>
        <v>O</v>
      </c>
      <c r="V3330" s="71"/>
      <c r="W3330" s="474">
        <v>285000</v>
      </c>
      <c r="X3330" s="71"/>
      <c r="Y3330" s="71"/>
    </row>
    <row r="3331" spans="1:25" ht="30" hidden="1" customHeight="1" x14ac:dyDescent="0.25">
      <c r="A3331" s="82">
        <v>200914</v>
      </c>
      <c r="B3331" s="664" t="s">
        <v>748</v>
      </c>
      <c r="C3331" s="71" t="s">
        <v>579</v>
      </c>
      <c r="D3331" s="71">
        <v>1</v>
      </c>
      <c r="E3331" s="102">
        <v>3000000</v>
      </c>
      <c r="F3331" s="102">
        <f t="shared" si="1704"/>
        <v>3300000.0000000005</v>
      </c>
      <c r="G3331" s="102">
        <f t="shared" si="1705"/>
        <v>3000000</v>
      </c>
      <c r="H3331" s="690" t="s">
        <v>985</v>
      </c>
      <c r="I3331" s="71" t="s">
        <v>985</v>
      </c>
      <c r="J3331" s="53">
        <f t="shared" si="1706"/>
        <v>1500000</v>
      </c>
      <c r="K3331" s="63">
        <f>(J3331/(F3331/11*10))</f>
        <v>0.49999999999999994</v>
      </c>
      <c r="L3331" s="871" t="s">
        <v>2537</v>
      </c>
      <c r="M3331" s="468" t="s">
        <v>2543</v>
      </c>
      <c r="N3331" s="664">
        <f t="shared" si="1697"/>
        <v>200914</v>
      </c>
      <c r="O3331" s="71" t="s">
        <v>2544</v>
      </c>
      <c r="P3331" s="164" t="str">
        <f t="shared" si="1698"/>
        <v>M-600 서비스 비용</v>
      </c>
      <c r="Q3331" s="71">
        <f t="shared" si="1702"/>
        <v>1</v>
      </c>
      <c r="R3331" s="102">
        <v>1500000</v>
      </c>
      <c r="S3331" s="102">
        <f t="shared" si="1695"/>
        <v>1650000.0000000002</v>
      </c>
      <c r="T3331" s="102">
        <f t="shared" si="1696"/>
        <v>1500000</v>
      </c>
      <c r="U3331" s="71"/>
      <c r="V3331" s="71"/>
      <c r="W3331" s="474"/>
      <c r="X3331" s="71"/>
      <c r="Y3331" s="71"/>
    </row>
    <row r="3332" spans="1:25" ht="30" hidden="1" customHeight="1" x14ac:dyDescent="0.25">
      <c r="A3332" s="82">
        <v>200914</v>
      </c>
      <c r="B3332" s="664" t="s">
        <v>748</v>
      </c>
      <c r="C3332" s="71" t="s">
        <v>2462</v>
      </c>
      <c r="D3332" s="71">
        <v>5</v>
      </c>
      <c r="E3332" s="102">
        <v>78000</v>
      </c>
      <c r="F3332" s="102">
        <f t="shared" si="1704"/>
        <v>429000.00000000006</v>
      </c>
      <c r="G3332" s="102">
        <f t="shared" si="1705"/>
        <v>390000</v>
      </c>
      <c r="H3332" s="690" t="s">
        <v>1431</v>
      </c>
      <c r="I3332" s="71" t="s">
        <v>1431</v>
      </c>
      <c r="J3332" s="53">
        <f t="shared" si="1706"/>
        <v>112405</v>
      </c>
      <c r="K3332" s="63">
        <f>(J3332/(F3332/11*10))</f>
        <v>0.2882179487179487</v>
      </c>
      <c r="L3332" s="871" t="s">
        <v>2537</v>
      </c>
      <c r="M3332" s="468"/>
      <c r="N3332" s="664">
        <f t="shared" si="1697"/>
        <v>200914</v>
      </c>
      <c r="O3332" s="71" t="s">
        <v>1431</v>
      </c>
      <c r="P3332" s="164" t="str">
        <f t="shared" si="1698"/>
        <v>스프링 블레이드</v>
      </c>
      <c r="Q3332" s="71">
        <f t="shared" si="1702"/>
        <v>5</v>
      </c>
      <c r="R3332" s="102">
        <v>55519</v>
      </c>
      <c r="S3332" s="102">
        <f t="shared" si="1695"/>
        <v>305354.5</v>
      </c>
      <c r="T3332" s="102">
        <f t="shared" si="1696"/>
        <v>277595</v>
      </c>
      <c r="U3332" s="71"/>
      <c r="V3332" s="71"/>
      <c r="W3332" s="474"/>
      <c r="X3332" s="71"/>
      <c r="Y3332" s="71"/>
    </row>
    <row r="3333" spans="1:25" ht="30" hidden="1" customHeight="1" x14ac:dyDescent="0.25">
      <c r="A3333" s="82">
        <v>200914</v>
      </c>
      <c r="B3333" s="664" t="s">
        <v>748</v>
      </c>
      <c r="C3333" s="71" t="s">
        <v>2530</v>
      </c>
      <c r="D3333" s="71">
        <v>1</v>
      </c>
      <c r="E3333" s="102">
        <v>544000</v>
      </c>
      <c r="F3333" s="102">
        <f t="shared" si="1704"/>
        <v>598400</v>
      </c>
      <c r="G3333" s="102">
        <f t="shared" si="1705"/>
        <v>544000</v>
      </c>
      <c r="H3333" s="690" t="s">
        <v>1431</v>
      </c>
      <c r="I3333" s="71" t="s">
        <v>1431</v>
      </c>
      <c r="J3333" s="53">
        <f t="shared" si="1706"/>
        <v>109992</v>
      </c>
      <c r="K3333" s="63">
        <f>(J3333/(F3333/11*10))</f>
        <v>0.20219117647058824</v>
      </c>
      <c r="L3333" s="871" t="s">
        <v>2537</v>
      </c>
      <c r="M3333" s="468"/>
      <c r="N3333" s="664">
        <f t="shared" si="1697"/>
        <v>200914</v>
      </c>
      <c r="O3333" s="71" t="s">
        <v>1431</v>
      </c>
      <c r="P3333" s="164" t="str">
        <f t="shared" si="1698"/>
        <v>스프링 블레이드 집 등 부품 5건</v>
      </c>
      <c r="Q3333" s="71">
        <f t="shared" si="1702"/>
        <v>1</v>
      </c>
      <c r="R3333" s="102">
        <v>434008</v>
      </c>
      <c r="S3333" s="102">
        <f t="shared" si="1695"/>
        <v>477408.80000000005</v>
      </c>
      <c r="T3333" s="102">
        <f t="shared" si="1696"/>
        <v>434008</v>
      </c>
      <c r="U3333" s="71"/>
      <c r="V3333" s="71"/>
      <c r="W3333" s="474"/>
      <c r="X3333" s="71"/>
      <c r="Y3333" s="71"/>
    </row>
    <row r="3334" spans="1:25" ht="30" hidden="1" customHeight="1" x14ac:dyDescent="0.25">
      <c r="A3334" s="82">
        <v>200915</v>
      </c>
      <c r="B3334" s="664" t="s">
        <v>690</v>
      </c>
      <c r="C3334" s="71" t="s">
        <v>1186</v>
      </c>
      <c r="D3334" s="71">
        <v>500</v>
      </c>
      <c r="E3334" s="102">
        <v>3420</v>
      </c>
      <c r="F3334" s="1128">
        <f t="shared" si="1704"/>
        <v>1881000.0000000002</v>
      </c>
      <c r="G3334" s="102">
        <f t="shared" si="1705"/>
        <v>1710000</v>
      </c>
      <c r="H3334" s="690" t="s">
        <v>173</v>
      </c>
      <c r="I3334" s="71" t="s">
        <v>2230</v>
      </c>
      <c r="J3334" s="53">
        <f t="shared" si="1706"/>
        <v>-190000</v>
      </c>
      <c r="K3334" s="63">
        <f>(J3334/(F3334/11*10))</f>
        <v>-0.11111111111111109</v>
      </c>
      <c r="L3334" s="871" t="s">
        <v>2537</v>
      </c>
      <c r="M3334" s="468" t="s">
        <v>1393</v>
      </c>
      <c r="N3334" s="664">
        <f t="shared" si="1697"/>
        <v>200915</v>
      </c>
      <c r="O3334" s="71" t="s">
        <v>145</v>
      </c>
      <c r="P3334" s="164" t="str">
        <f t="shared" si="1698"/>
        <v>CTP 판(1030*790mm)</v>
      </c>
      <c r="Q3334" s="71">
        <f t="shared" si="1702"/>
        <v>500</v>
      </c>
      <c r="R3334" s="102">
        <v>3800</v>
      </c>
      <c r="S3334" s="102">
        <f t="shared" si="1695"/>
        <v>2090000.0000000002</v>
      </c>
      <c r="T3334" s="102">
        <f t="shared" si="1696"/>
        <v>1900000</v>
      </c>
      <c r="U3334" s="71" t="str">
        <f>IF(J3334=W3334,"O", "X")</f>
        <v>X</v>
      </c>
      <c r="V3334" s="71"/>
      <c r="W3334" s="474">
        <v>-200000</v>
      </c>
      <c r="X3334" s="71"/>
      <c r="Y3334" s="71"/>
    </row>
    <row r="3335" spans="1:25" ht="30" hidden="1" customHeight="1" x14ac:dyDescent="0.25">
      <c r="A3335" s="82">
        <v>200915</v>
      </c>
      <c r="B3335" s="664" t="s">
        <v>690</v>
      </c>
      <c r="C3335" s="71" t="s">
        <v>197</v>
      </c>
      <c r="D3335" s="71">
        <v>2</v>
      </c>
      <c r="E3335" s="102">
        <v>46000</v>
      </c>
      <c r="F3335" s="1128">
        <f t="shared" si="1704"/>
        <v>101200.00000000001</v>
      </c>
      <c r="G3335" s="102">
        <f t="shared" si="1705"/>
        <v>92000</v>
      </c>
      <c r="H3335" s="690" t="s">
        <v>173</v>
      </c>
      <c r="I3335" s="71" t="s">
        <v>2230</v>
      </c>
      <c r="J3335" s="53">
        <f t="shared" si="1706"/>
        <v>22000</v>
      </c>
      <c r="K3335" s="63">
        <f>(J3335/(F3335/11*10))</f>
        <v>0.23913043478260865</v>
      </c>
      <c r="L3335" s="871" t="s">
        <v>2537</v>
      </c>
      <c r="M3335" s="468" t="s">
        <v>1394</v>
      </c>
      <c r="N3335" s="664">
        <f t="shared" si="1697"/>
        <v>200915</v>
      </c>
      <c r="O3335" s="71" t="s">
        <v>145</v>
      </c>
      <c r="P3335" s="164" t="str">
        <f t="shared" si="1698"/>
        <v>THR200(20L)</v>
      </c>
      <c r="Q3335" s="71">
        <f t="shared" si="1702"/>
        <v>2</v>
      </c>
      <c r="R3335" s="102">
        <v>35000</v>
      </c>
      <c r="S3335" s="102">
        <f t="shared" si="1695"/>
        <v>77000</v>
      </c>
      <c r="T3335" s="102">
        <f t="shared" si="1696"/>
        <v>70000</v>
      </c>
      <c r="U3335" s="71" t="str">
        <f>IF(J3335=W3335,"O", "X")</f>
        <v>X</v>
      </c>
      <c r="V3335" s="71"/>
      <c r="W3335" s="474"/>
      <c r="X3335" s="71"/>
      <c r="Y3335" s="71"/>
    </row>
    <row r="3336" spans="1:25" s="209" customFormat="1" ht="30" hidden="1" customHeight="1" x14ac:dyDescent="0.25">
      <c r="A3336" s="82">
        <v>200916</v>
      </c>
      <c r="B3336" s="664" t="s">
        <v>567</v>
      </c>
      <c r="C3336" s="71" t="s">
        <v>236</v>
      </c>
      <c r="D3336" s="71">
        <v>10</v>
      </c>
      <c r="E3336" s="102">
        <v>65000</v>
      </c>
      <c r="F3336" s="102">
        <f t="shared" ref="F3336:F3345" si="1707">(E3336*D3336)*1.1</f>
        <v>715000</v>
      </c>
      <c r="G3336" s="102">
        <f t="shared" ref="G3336:G3347" si="1708">(E3336*D3336)</f>
        <v>650000</v>
      </c>
      <c r="H3336" s="690" t="s">
        <v>173</v>
      </c>
      <c r="I3336" s="71" t="s">
        <v>2231</v>
      </c>
      <c r="J3336" s="53">
        <f t="shared" si="1706"/>
        <v>150000</v>
      </c>
      <c r="K3336" s="63">
        <v>0.23076923076923078</v>
      </c>
      <c r="L3336" s="871" t="s">
        <v>2537</v>
      </c>
      <c r="M3336" s="468"/>
      <c r="N3336" s="664">
        <f t="shared" si="1697"/>
        <v>200916</v>
      </c>
      <c r="O3336" s="71" t="s">
        <v>153</v>
      </c>
      <c r="P3336" s="164" t="str">
        <f t="shared" si="1698"/>
        <v>아스테이지(국전)</v>
      </c>
      <c r="Q3336" s="71">
        <f t="shared" si="1702"/>
        <v>10</v>
      </c>
      <c r="R3336" s="102">
        <v>50000</v>
      </c>
      <c r="S3336" s="102">
        <f t="shared" si="1695"/>
        <v>550000</v>
      </c>
      <c r="T3336" s="102">
        <f t="shared" si="1696"/>
        <v>500000</v>
      </c>
      <c r="U3336" s="71" t="str">
        <f>IF(J3336=W3336,"O", "X")</f>
        <v>O</v>
      </c>
      <c r="V3336" s="71"/>
      <c r="W3336" s="474">
        <v>150000</v>
      </c>
      <c r="X3336" s="71"/>
      <c r="Y3336" s="71"/>
    </row>
    <row r="3337" spans="1:25" ht="30" customHeight="1" x14ac:dyDescent="0.2">
      <c r="A3337" s="82">
        <v>200916</v>
      </c>
      <c r="B3337" s="664" t="s">
        <v>2352</v>
      </c>
      <c r="C3337" s="760" t="s">
        <v>218</v>
      </c>
      <c r="D3337" s="71">
        <v>3</v>
      </c>
      <c r="E3337" s="102">
        <v>235000</v>
      </c>
      <c r="F3337" s="163">
        <f t="shared" si="1707"/>
        <v>775500.00000000012</v>
      </c>
      <c r="G3337" s="102">
        <f t="shared" si="1708"/>
        <v>705000</v>
      </c>
      <c r="H3337" s="690" t="s">
        <v>142</v>
      </c>
      <c r="I3337" s="71" t="s">
        <v>142</v>
      </c>
      <c r="J3337" s="53">
        <f>(G3337-(VLOOKUP(C3337,Price!B:D,3,FALSE)*D3337))</f>
        <v>367500</v>
      </c>
      <c r="K3337" s="63">
        <f>(J3337/(F3337/11*10))</f>
        <v>0.52127659574468077</v>
      </c>
      <c r="L3337" s="871" t="s">
        <v>2537</v>
      </c>
      <c r="M3337" s="468" t="s">
        <v>2053</v>
      </c>
      <c r="N3337" s="664">
        <f t="shared" si="1697"/>
        <v>200916</v>
      </c>
      <c r="O3337" s="71" t="s">
        <v>150</v>
      </c>
      <c r="P3337" s="164" t="str">
        <f t="shared" si="1698"/>
        <v>Fount Web 551AF</v>
      </c>
      <c r="Q3337" s="71">
        <f t="shared" si="1702"/>
        <v>3</v>
      </c>
      <c r="R3337" s="102">
        <v>112500</v>
      </c>
      <c r="S3337" s="102">
        <f t="shared" si="1695"/>
        <v>371250.00000000006</v>
      </c>
      <c r="T3337" s="102">
        <f t="shared" si="1696"/>
        <v>337500</v>
      </c>
      <c r="U3337" s="71" t="str">
        <f>IF(J3337=W3337,"O", "X")</f>
        <v>O</v>
      </c>
      <c r="V3337" s="71"/>
      <c r="W3337" s="474">
        <f>(G3337-T3337)</f>
        <v>367500</v>
      </c>
      <c r="X3337" s="71"/>
      <c r="Y3337" s="71"/>
    </row>
    <row r="3338" spans="1:25" s="209" customFormat="1" ht="30" customHeight="1" x14ac:dyDescent="0.25">
      <c r="A3338" s="82">
        <v>200916</v>
      </c>
      <c r="B3338" s="664" t="s">
        <v>2352</v>
      </c>
      <c r="C3338" s="71" t="s">
        <v>583</v>
      </c>
      <c r="D3338" s="71">
        <v>16</v>
      </c>
      <c r="E3338" s="102">
        <v>89000</v>
      </c>
      <c r="F3338" s="102">
        <f t="shared" si="1707"/>
        <v>1566400.0000000002</v>
      </c>
      <c r="G3338" s="102">
        <f t="shared" si="1708"/>
        <v>1424000</v>
      </c>
      <c r="H3338" s="690" t="s">
        <v>142</v>
      </c>
      <c r="I3338" s="71" t="s">
        <v>142</v>
      </c>
      <c r="J3338" s="53">
        <f>(G3338-(VLOOKUP(C3338,Price!B:D,3,FALSE)*D3338))</f>
        <v>720000</v>
      </c>
      <c r="K3338" s="63">
        <f>(J3338/(F3338/11*10))</f>
        <v>0.50561797752808979</v>
      </c>
      <c r="L3338" s="871" t="s">
        <v>2537</v>
      </c>
      <c r="M3338" s="468" t="s">
        <v>2053</v>
      </c>
      <c r="N3338" s="664">
        <f t="shared" si="1697"/>
        <v>200916</v>
      </c>
      <c r="O3338" s="71" t="s">
        <v>599</v>
      </c>
      <c r="P3338" s="164" t="str">
        <f t="shared" si="1698"/>
        <v>M600 윤전 세정포</v>
      </c>
      <c r="Q3338" s="71">
        <f t="shared" si="1702"/>
        <v>16</v>
      </c>
      <c r="R3338" s="102">
        <v>44000</v>
      </c>
      <c r="S3338" s="102">
        <f t="shared" si="1695"/>
        <v>774400.00000000012</v>
      </c>
      <c r="T3338" s="102">
        <f t="shared" si="1696"/>
        <v>704000</v>
      </c>
      <c r="U3338" s="71" t="str">
        <f>IF(J3338=W3338,"O", "X")</f>
        <v>O</v>
      </c>
      <c r="V3338" s="71"/>
      <c r="W3338" s="474">
        <f>(G3338-T3338)</f>
        <v>720000</v>
      </c>
      <c r="X3338" s="71"/>
      <c r="Y3338" s="71"/>
    </row>
    <row r="3339" spans="1:25" s="209" customFormat="1" ht="30" hidden="1" customHeight="1" x14ac:dyDescent="0.25">
      <c r="A3339" s="82">
        <v>200917</v>
      </c>
      <c r="B3339" s="664" t="s">
        <v>1178</v>
      </c>
      <c r="C3339" s="71" t="s">
        <v>2538</v>
      </c>
      <c r="D3339" s="71">
        <v>1</v>
      </c>
      <c r="E3339" s="102">
        <v>23000000</v>
      </c>
      <c r="F3339" s="102">
        <f>(E3339*D3339)*1.1</f>
        <v>25300000.000000004</v>
      </c>
      <c r="G3339" s="102">
        <f>(E3339*D3339)</f>
        <v>23000000</v>
      </c>
      <c r="H3339" s="690" t="s">
        <v>1431</v>
      </c>
      <c r="I3339" s="690" t="s">
        <v>1431</v>
      </c>
      <c r="J3339" s="53">
        <f>G3339-T3339</f>
        <v>10000000</v>
      </c>
      <c r="K3339" s="63">
        <f>(J3339/(F3339/11*10))</f>
        <v>0.43478260869565211</v>
      </c>
      <c r="L3339" s="871" t="s">
        <v>2537</v>
      </c>
      <c r="M3339" s="468"/>
      <c r="N3339" s="664">
        <f t="shared" si="1697"/>
        <v>200917</v>
      </c>
      <c r="O3339" s="71" t="s">
        <v>2542</v>
      </c>
      <c r="P3339" s="164" t="str">
        <f t="shared" si="1698"/>
        <v>Vpack WPC 입출력 모듈 박스</v>
      </c>
      <c r="Q3339" s="71">
        <f t="shared" si="1702"/>
        <v>1</v>
      </c>
      <c r="R3339" s="102">
        <v>13000000</v>
      </c>
      <c r="S3339" s="102">
        <f t="shared" si="1695"/>
        <v>14300000.000000002</v>
      </c>
      <c r="T3339" s="102">
        <f t="shared" si="1696"/>
        <v>13000000</v>
      </c>
      <c r="U3339" s="71"/>
      <c r="V3339" s="71"/>
      <c r="W3339" s="474"/>
      <c r="X3339" s="71"/>
      <c r="Y3339" s="71"/>
    </row>
    <row r="3340" spans="1:25" ht="30" hidden="1" customHeight="1" x14ac:dyDescent="0.2">
      <c r="A3340" s="82">
        <v>200917</v>
      </c>
      <c r="B3340" s="664" t="s">
        <v>545</v>
      </c>
      <c r="C3340" s="71" t="s">
        <v>1747</v>
      </c>
      <c r="D3340" s="71">
        <v>4</v>
      </c>
      <c r="E3340" s="102">
        <v>610000</v>
      </c>
      <c r="F3340" s="163">
        <f t="shared" si="1707"/>
        <v>2684000</v>
      </c>
      <c r="G3340" s="102">
        <f t="shared" si="1708"/>
        <v>2440000</v>
      </c>
      <c r="H3340" s="690" t="s">
        <v>173</v>
      </c>
      <c r="I3340" s="71" t="s">
        <v>2184</v>
      </c>
      <c r="J3340" s="53">
        <f>G3340-T3340</f>
        <v>1060016</v>
      </c>
      <c r="K3340" s="63">
        <f>(J3340/(F3340/11*10))</f>
        <v>0.43443278688524589</v>
      </c>
      <c r="L3340" s="871" t="s">
        <v>2537</v>
      </c>
      <c r="M3340" s="468"/>
      <c r="N3340" s="664">
        <f t="shared" si="1697"/>
        <v>200917</v>
      </c>
      <c r="O3340" s="71" t="s">
        <v>1458</v>
      </c>
      <c r="P3340" s="164" t="str">
        <f t="shared" si="1698"/>
        <v>UV 램프 - KBA(1145mm)</v>
      </c>
      <c r="Q3340" s="71">
        <f t="shared" si="1702"/>
        <v>4</v>
      </c>
      <c r="R3340" s="102">
        <v>344996</v>
      </c>
      <c r="S3340" s="102">
        <f t="shared" si="1695"/>
        <v>1517982.4000000001</v>
      </c>
      <c r="T3340" s="102">
        <f t="shared" si="1696"/>
        <v>1379984</v>
      </c>
      <c r="U3340" s="71" t="str">
        <f t="shared" ref="U3340:U3345" si="1709">IF(J3340=W3340,"O", "X")</f>
        <v>X</v>
      </c>
      <c r="V3340" s="71"/>
      <c r="W3340" s="474"/>
      <c r="X3340" s="71"/>
      <c r="Y3340" s="71"/>
    </row>
    <row r="3341" spans="1:25" s="209" customFormat="1" ht="30" hidden="1" customHeight="1" x14ac:dyDescent="0.25">
      <c r="A3341" s="82">
        <v>200918</v>
      </c>
      <c r="B3341" s="664" t="s">
        <v>2155</v>
      </c>
      <c r="C3341" s="71" t="s">
        <v>138</v>
      </c>
      <c r="D3341" s="71">
        <v>5</v>
      </c>
      <c r="E3341" s="102">
        <v>47600</v>
      </c>
      <c r="F3341" s="163">
        <f t="shared" si="1707"/>
        <v>261800.00000000003</v>
      </c>
      <c r="G3341" s="102">
        <f t="shared" si="1708"/>
        <v>238000</v>
      </c>
      <c r="H3341" s="1129" t="s">
        <v>172</v>
      </c>
      <c r="I3341" s="71" t="s">
        <v>108</v>
      </c>
      <c r="J3341" s="53">
        <v>68000</v>
      </c>
      <c r="K3341" s="63">
        <v>0.14285714285714285</v>
      </c>
      <c r="L3341" s="871" t="s">
        <v>2537</v>
      </c>
      <c r="M3341" s="468" t="s">
        <v>2214</v>
      </c>
      <c r="N3341" s="664">
        <f t="shared" si="1697"/>
        <v>200918</v>
      </c>
      <c r="O3341" s="71" t="s">
        <v>150</v>
      </c>
      <c r="P3341" s="164" t="str">
        <f t="shared" si="1698"/>
        <v>매엽용 세척제(Wash 562)</v>
      </c>
      <c r="Q3341" s="71">
        <f t="shared" si="1702"/>
        <v>5</v>
      </c>
      <c r="R3341" s="102">
        <v>40800</v>
      </c>
      <c r="S3341" s="102">
        <f t="shared" ref="S3341:S3372" si="1710">R3341*Q3341*1.1</f>
        <v>224400.00000000003</v>
      </c>
      <c r="T3341" s="102">
        <f t="shared" ref="T3341:T3372" si="1711">R3341*Q3341</f>
        <v>204000</v>
      </c>
      <c r="U3341" s="71" t="str">
        <f t="shared" si="1709"/>
        <v>X</v>
      </c>
      <c r="V3341" s="71"/>
      <c r="W3341" s="474">
        <v>85000</v>
      </c>
      <c r="X3341" s="71"/>
      <c r="Y3341" s="71"/>
    </row>
    <row r="3342" spans="1:25" ht="30" hidden="1" customHeight="1" x14ac:dyDescent="0.25">
      <c r="A3342" s="82">
        <v>200918</v>
      </c>
      <c r="B3342" s="664" t="s">
        <v>2155</v>
      </c>
      <c r="C3342" s="71" t="s">
        <v>277</v>
      </c>
      <c r="D3342" s="71">
        <v>5</v>
      </c>
      <c r="E3342" s="102">
        <v>172000</v>
      </c>
      <c r="F3342" s="102">
        <f t="shared" si="1707"/>
        <v>946000.00000000012</v>
      </c>
      <c r="G3342" s="102">
        <f t="shared" si="1708"/>
        <v>860000</v>
      </c>
      <c r="H3342" s="690" t="s">
        <v>173</v>
      </c>
      <c r="I3342" s="71" t="s">
        <v>108</v>
      </c>
      <c r="J3342" s="53">
        <f t="shared" ref="J3342:J3348" si="1712">G3342-T3342</f>
        <v>285000</v>
      </c>
      <c r="K3342" s="63">
        <v>0.33139534883720928</v>
      </c>
      <c r="L3342" s="871" t="s">
        <v>2537</v>
      </c>
      <c r="M3342" s="468"/>
      <c r="N3342" s="664">
        <f t="shared" si="1697"/>
        <v>200918</v>
      </c>
      <c r="O3342" s="71" t="s">
        <v>150</v>
      </c>
      <c r="P3342" s="164" t="str">
        <f t="shared" si="1698"/>
        <v>윤전용 세척제(Web 504)</v>
      </c>
      <c r="Q3342" s="71">
        <f t="shared" si="1702"/>
        <v>5</v>
      </c>
      <c r="R3342" s="102">
        <v>115000</v>
      </c>
      <c r="S3342" s="102">
        <f t="shared" si="1710"/>
        <v>632500</v>
      </c>
      <c r="T3342" s="102">
        <f t="shared" si="1711"/>
        <v>575000</v>
      </c>
      <c r="U3342" s="71" t="str">
        <f t="shared" si="1709"/>
        <v>O</v>
      </c>
      <c r="V3342" s="71"/>
      <c r="W3342" s="474">
        <v>285000</v>
      </c>
      <c r="X3342" s="71"/>
      <c r="Y3342" s="71"/>
    </row>
    <row r="3343" spans="1:25" ht="30" hidden="1" customHeight="1" x14ac:dyDescent="0.25">
      <c r="A3343" s="82">
        <v>200918</v>
      </c>
      <c r="B3343" s="664" t="s">
        <v>2155</v>
      </c>
      <c r="C3343" s="760" t="s">
        <v>218</v>
      </c>
      <c r="D3343" s="71">
        <v>5</v>
      </c>
      <c r="E3343" s="102">
        <v>192500</v>
      </c>
      <c r="F3343" s="102">
        <f t="shared" si="1707"/>
        <v>1058750</v>
      </c>
      <c r="G3343" s="102">
        <f t="shared" si="1708"/>
        <v>962500</v>
      </c>
      <c r="H3343" s="690" t="s">
        <v>173</v>
      </c>
      <c r="I3343" s="71" t="s">
        <v>120</v>
      </c>
      <c r="J3343" s="53">
        <f t="shared" si="1712"/>
        <v>400000</v>
      </c>
      <c r="K3343" s="63">
        <v>0.4155844155844155</v>
      </c>
      <c r="L3343" s="871" t="s">
        <v>2537</v>
      </c>
      <c r="M3343" s="468"/>
      <c r="N3343" s="664">
        <f t="shared" si="1697"/>
        <v>200918</v>
      </c>
      <c r="O3343" s="71" t="s">
        <v>150</v>
      </c>
      <c r="P3343" s="164" t="str">
        <f t="shared" si="1698"/>
        <v>Fount Web 551AF</v>
      </c>
      <c r="Q3343" s="71">
        <f t="shared" si="1702"/>
        <v>5</v>
      </c>
      <c r="R3343" s="102">
        <v>112500</v>
      </c>
      <c r="S3343" s="102">
        <f t="shared" si="1710"/>
        <v>618750</v>
      </c>
      <c r="T3343" s="102">
        <f t="shared" si="1711"/>
        <v>562500</v>
      </c>
      <c r="U3343" s="71" t="str">
        <f t="shared" si="1709"/>
        <v>X</v>
      </c>
      <c r="V3343" s="71"/>
      <c r="W3343" s="474">
        <v>640000</v>
      </c>
      <c r="X3343" s="71"/>
      <c r="Y3343" s="71"/>
    </row>
    <row r="3344" spans="1:25" s="209" customFormat="1" ht="30" hidden="1" customHeight="1" x14ac:dyDescent="0.2">
      <c r="A3344" s="82">
        <v>200918</v>
      </c>
      <c r="B3344" s="664" t="s">
        <v>2353</v>
      </c>
      <c r="C3344" s="71" t="s">
        <v>138</v>
      </c>
      <c r="D3344" s="71">
        <v>8</v>
      </c>
      <c r="E3344" s="102">
        <v>54400</v>
      </c>
      <c r="F3344" s="163">
        <f t="shared" si="1707"/>
        <v>478720.00000000006</v>
      </c>
      <c r="G3344" s="102">
        <f t="shared" si="1708"/>
        <v>435200</v>
      </c>
      <c r="H3344" s="165" t="s">
        <v>142</v>
      </c>
      <c r="I3344" s="71" t="s">
        <v>142</v>
      </c>
      <c r="J3344" s="53">
        <f t="shared" si="1712"/>
        <v>108800</v>
      </c>
      <c r="K3344" s="63">
        <f>(J3344/(F3344/11*10))</f>
        <v>0.24999999999999997</v>
      </c>
      <c r="L3344" s="871" t="s">
        <v>2537</v>
      </c>
      <c r="M3344" s="468" t="s">
        <v>2214</v>
      </c>
      <c r="N3344" s="664">
        <f t="shared" si="1697"/>
        <v>200918</v>
      </c>
      <c r="O3344" s="71" t="s">
        <v>2030</v>
      </c>
      <c r="P3344" s="164" t="str">
        <f t="shared" si="1698"/>
        <v>매엽용 세척제(Wash 562)</v>
      </c>
      <c r="Q3344" s="71">
        <f t="shared" si="1702"/>
        <v>8</v>
      </c>
      <c r="R3344" s="102">
        <v>40800</v>
      </c>
      <c r="S3344" s="102">
        <f t="shared" si="1710"/>
        <v>359040</v>
      </c>
      <c r="T3344" s="102">
        <f t="shared" si="1711"/>
        <v>326400</v>
      </c>
      <c r="U3344" s="71" t="str">
        <f t="shared" si="1709"/>
        <v>O</v>
      </c>
      <c r="V3344" s="71"/>
      <c r="W3344" s="474">
        <f>(G3344-T3344)</f>
        <v>108800</v>
      </c>
      <c r="X3344" s="71"/>
      <c r="Y3344" s="71"/>
    </row>
    <row r="3345" spans="1:25" ht="30" hidden="1" customHeight="1" x14ac:dyDescent="0.2">
      <c r="A3345" s="82">
        <v>200918</v>
      </c>
      <c r="B3345" s="664" t="s">
        <v>2353</v>
      </c>
      <c r="C3345" s="71" t="s">
        <v>129</v>
      </c>
      <c r="D3345" s="71">
        <v>7</v>
      </c>
      <c r="E3345" s="102">
        <v>272000</v>
      </c>
      <c r="F3345" s="163">
        <f t="shared" si="1707"/>
        <v>2094400.0000000002</v>
      </c>
      <c r="G3345" s="102">
        <f t="shared" si="1708"/>
        <v>1904000</v>
      </c>
      <c r="H3345" s="165" t="s">
        <v>142</v>
      </c>
      <c r="I3345" s="71" t="s">
        <v>142</v>
      </c>
      <c r="J3345" s="53">
        <f t="shared" si="1712"/>
        <v>448000</v>
      </c>
      <c r="K3345" s="63">
        <f>(J3345/(F3345/11*10))</f>
        <v>0.23529411764705879</v>
      </c>
      <c r="L3345" s="871" t="s">
        <v>2537</v>
      </c>
      <c r="M3345" s="468" t="s">
        <v>2050</v>
      </c>
      <c r="N3345" s="664">
        <f t="shared" si="1697"/>
        <v>200918</v>
      </c>
      <c r="O3345" s="71" t="s">
        <v>149</v>
      </c>
      <c r="P3345" s="164" t="str">
        <f t="shared" si="1698"/>
        <v>세정포-XL106</v>
      </c>
      <c r="Q3345" s="71">
        <f t="shared" si="1702"/>
        <v>7</v>
      </c>
      <c r="R3345" s="102">
        <v>208000</v>
      </c>
      <c r="S3345" s="102">
        <f t="shared" si="1710"/>
        <v>1601600.0000000002</v>
      </c>
      <c r="T3345" s="102">
        <f t="shared" si="1711"/>
        <v>1456000</v>
      </c>
      <c r="U3345" s="71" t="str">
        <f t="shared" si="1709"/>
        <v>O</v>
      </c>
      <c r="V3345" s="71"/>
      <c r="W3345" s="474">
        <f>(G3345-T3345)</f>
        <v>448000</v>
      </c>
      <c r="X3345" s="71"/>
      <c r="Y3345" s="71"/>
    </row>
    <row r="3346" spans="1:25" ht="30" hidden="1" customHeight="1" x14ac:dyDescent="0.2">
      <c r="A3346" s="82">
        <v>200918</v>
      </c>
      <c r="B3346" s="664" t="s">
        <v>2353</v>
      </c>
      <c r="C3346" s="71" t="s">
        <v>2534</v>
      </c>
      <c r="D3346" s="71">
        <v>8</v>
      </c>
      <c r="E3346" s="102">
        <v>26000</v>
      </c>
      <c r="F3346" s="163">
        <f>(E3346*D3346)*1.1</f>
        <v>228800.00000000003</v>
      </c>
      <c r="G3346" s="102">
        <f t="shared" si="1708"/>
        <v>208000</v>
      </c>
      <c r="H3346" s="690" t="s">
        <v>142</v>
      </c>
      <c r="I3346" s="71" t="s">
        <v>142</v>
      </c>
      <c r="J3346" s="53">
        <f t="shared" si="1712"/>
        <v>73600</v>
      </c>
      <c r="K3346" s="63">
        <f>(J3346/(F3346/11*10))</f>
        <v>0.35384615384615381</v>
      </c>
      <c r="L3346" s="871" t="s">
        <v>2537</v>
      </c>
      <c r="M3346" s="468"/>
      <c r="N3346" s="664">
        <f t="shared" si="1697"/>
        <v>200918</v>
      </c>
      <c r="O3346" s="71" t="s">
        <v>150</v>
      </c>
      <c r="P3346" s="164" t="str">
        <f t="shared" si="1698"/>
        <v>리프팅 서커 노즐</v>
      </c>
      <c r="Q3346" s="71">
        <f t="shared" si="1702"/>
        <v>8</v>
      </c>
      <c r="R3346" s="102">
        <v>16800</v>
      </c>
      <c r="S3346" s="102">
        <f t="shared" si="1710"/>
        <v>147840</v>
      </c>
      <c r="T3346" s="102">
        <f t="shared" si="1711"/>
        <v>134400</v>
      </c>
      <c r="U3346" s="71"/>
      <c r="V3346" s="71"/>
      <c r="W3346" s="474"/>
      <c r="X3346" s="71"/>
      <c r="Y3346" s="71"/>
    </row>
    <row r="3347" spans="1:25" ht="30" hidden="1" customHeight="1" x14ac:dyDescent="0.2">
      <c r="A3347" s="82">
        <v>200918</v>
      </c>
      <c r="B3347" s="664" t="s">
        <v>2353</v>
      </c>
      <c r="C3347" s="71" t="s">
        <v>2535</v>
      </c>
      <c r="D3347" s="71">
        <v>500</v>
      </c>
      <c r="E3347" s="102">
        <v>400</v>
      </c>
      <c r="F3347" s="163">
        <f>(E3347*D3347)*1.1</f>
        <v>220000.00000000003</v>
      </c>
      <c r="G3347" s="102">
        <f t="shared" si="1708"/>
        <v>200000</v>
      </c>
      <c r="H3347" s="690" t="s">
        <v>142</v>
      </c>
      <c r="I3347" s="71" t="s">
        <v>142</v>
      </c>
      <c r="J3347" s="53">
        <f t="shared" si="1712"/>
        <v>40000</v>
      </c>
      <c r="K3347" s="63">
        <f>(J3347/(F3347/11*10))</f>
        <v>0.19999999999999998</v>
      </c>
      <c r="L3347" s="871" t="s">
        <v>2537</v>
      </c>
      <c r="M3347" s="468"/>
      <c r="N3347" s="664">
        <f t="shared" si="1697"/>
        <v>200918</v>
      </c>
      <c r="O3347" s="71" t="s">
        <v>150</v>
      </c>
      <c r="P3347" s="164" t="str">
        <f t="shared" si="1698"/>
        <v>고무사카(적색)</v>
      </c>
      <c r="Q3347" s="71">
        <f t="shared" si="1702"/>
        <v>500</v>
      </c>
      <c r="R3347" s="102">
        <v>320</v>
      </c>
      <c r="S3347" s="102">
        <f t="shared" si="1710"/>
        <v>176000</v>
      </c>
      <c r="T3347" s="102">
        <f t="shared" si="1711"/>
        <v>160000</v>
      </c>
      <c r="U3347" s="71"/>
      <c r="V3347" s="71"/>
      <c r="W3347" s="474"/>
      <c r="X3347" s="71"/>
      <c r="Y3347" s="71"/>
    </row>
    <row r="3348" spans="1:25" ht="30" customHeight="1" x14ac:dyDescent="0.2">
      <c r="A3348" s="82">
        <v>200922</v>
      </c>
      <c r="B3348" s="664" t="s">
        <v>565</v>
      </c>
      <c r="C3348" s="71" t="s">
        <v>2081</v>
      </c>
      <c r="D3348" s="71">
        <v>100</v>
      </c>
      <c r="E3348" s="102">
        <v>69000</v>
      </c>
      <c r="F3348" s="163">
        <f t="shared" ref="F3348:F3360" si="1713">(E3348*D3348)*1.1</f>
        <v>7590000.0000000009</v>
      </c>
      <c r="G3348" s="102">
        <f t="shared" ref="G3348:G3360" si="1714">(E3348*D3348)</f>
        <v>6900000</v>
      </c>
      <c r="H3348" s="165" t="s">
        <v>173</v>
      </c>
      <c r="I3348" s="71" t="s">
        <v>108</v>
      </c>
      <c r="J3348" s="53">
        <f t="shared" si="1712"/>
        <v>1800000</v>
      </c>
      <c r="K3348" s="63">
        <f t="shared" ref="K3348:K3356" si="1715">(J3348/(F3348/11*10))</f>
        <v>0.26086956521739124</v>
      </c>
      <c r="L3348" s="871" t="s">
        <v>2537</v>
      </c>
      <c r="M3348" s="468"/>
      <c r="N3348" s="664">
        <f t="shared" si="1697"/>
        <v>200922</v>
      </c>
      <c r="O3348" s="71" t="s">
        <v>599</v>
      </c>
      <c r="P3348" s="164" t="str">
        <f t="shared" si="1698"/>
        <v>GOSS 신문윤전 습식세정포</v>
      </c>
      <c r="Q3348" s="71">
        <f t="shared" si="1702"/>
        <v>100</v>
      </c>
      <c r="R3348" s="102">
        <v>51000</v>
      </c>
      <c r="S3348" s="102">
        <f t="shared" si="1710"/>
        <v>5610000</v>
      </c>
      <c r="T3348" s="102">
        <f t="shared" si="1711"/>
        <v>5100000</v>
      </c>
      <c r="U3348" s="71" t="str">
        <f>IF(J3348=W3348,"O", "X")</f>
        <v>X</v>
      </c>
      <c r="V3348" s="71"/>
      <c r="W3348" s="474"/>
      <c r="X3348" s="71"/>
      <c r="Y3348" s="71"/>
    </row>
    <row r="3349" spans="1:25" ht="30" hidden="1" customHeight="1" x14ac:dyDescent="0.25">
      <c r="A3349" s="82">
        <v>200923</v>
      </c>
      <c r="B3349" s="664" t="s">
        <v>442</v>
      </c>
      <c r="C3349" s="71" t="s">
        <v>206</v>
      </c>
      <c r="D3349" s="71">
        <v>2</v>
      </c>
      <c r="E3349" s="102">
        <v>327000</v>
      </c>
      <c r="F3349" s="102">
        <f t="shared" si="1713"/>
        <v>719400</v>
      </c>
      <c r="G3349" s="102">
        <f t="shared" si="1714"/>
        <v>654000</v>
      </c>
      <c r="H3349" s="690" t="s">
        <v>2029</v>
      </c>
      <c r="I3349" s="71" t="s">
        <v>195</v>
      </c>
      <c r="J3349" s="53">
        <f>(G3349-(VLOOKUP(C3349,[5]Price!B$1:D$65536,3,FALSE)*D3349))</f>
        <v>115800</v>
      </c>
      <c r="K3349" s="63">
        <f t="shared" si="1715"/>
        <v>0.17706422018348625</v>
      </c>
      <c r="L3349" s="871" t="s">
        <v>2537</v>
      </c>
      <c r="M3349" s="468"/>
      <c r="N3349" s="664">
        <f t="shared" si="1697"/>
        <v>200923</v>
      </c>
      <c r="O3349" s="71" t="s">
        <v>194</v>
      </c>
      <c r="P3349" s="164" t="str">
        <f t="shared" si="1698"/>
        <v>Agfa Film(24inch)</v>
      </c>
      <c r="Q3349" s="71">
        <f t="shared" si="1702"/>
        <v>2</v>
      </c>
      <c r="R3349" s="102">
        <v>269100</v>
      </c>
      <c r="S3349" s="102">
        <f t="shared" si="1710"/>
        <v>592020</v>
      </c>
      <c r="T3349" s="102">
        <f t="shared" si="1711"/>
        <v>538200</v>
      </c>
      <c r="U3349" s="71" t="str">
        <f>IF(J3349=W3349,"O", "X")</f>
        <v>O</v>
      </c>
      <c r="V3349" s="71"/>
      <c r="W3349" s="474">
        <f>(G3349-T3349)</f>
        <v>115800</v>
      </c>
      <c r="X3349" s="71"/>
      <c r="Y3349" s="71"/>
    </row>
    <row r="3350" spans="1:25" ht="30" hidden="1" customHeight="1" x14ac:dyDescent="0.25">
      <c r="A3350" s="82">
        <v>200923</v>
      </c>
      <c r="B3350" s="664" t="s">
        <v>442</v>
      </c>
      <c r="C3350" s="71" t="s">
        <v>207</v>
      </c>
      <c r="D3350" s="71">
        <v>2</v>
      </c>
      <c r="E3350" s="102">
        <v>401000</v>
      </c>
      <c r="F3350" s="102">
        <f t="shared" si="1713"/>
        <v>882200.00000000012</v>
      </c>
      <c r="G3350" s="102">
        <f t="shared" si="1714"/>
        <v>802000</v>
      </c>
      <c r="H3350" s="690" t="s">
        <v>2029</v>
      </c>
      <c r="I3350" s="71" t="s">
        <v>195</v>
      </c>
      <c r="J3350" s="53">
        <f>(G3350-(VLOOKUP(C3350,[5]Price!B$1:D$65536,3,FALSE)*D3350))</f>
        <v>174080</v>
      </c>
      <c r="K3350" s="63">
        <f t="shared" si="1715"/>
        <v>0.21705735660847877</v>
      </c>
      <c r="L3350" s="871" t="s">
        <v>2537</v>
      </c>
      <c r="M3350" s="468"/>
      <c r="N3350" s="664">
        <f t="shared" si="1697"/>
        <v>200923</v>
      </c>
      <c r="O3350" s="71" t="s">
        <v>194</v>
      </c>
      <c r="P3350" s="164" t="str">
        <f t="shared" si="1698"/>
        <v>Agfa Film(28inch)</v>
      </c>
      <c r="Q3350" s="71">
        <f t="shared" si="1702"/>
        <v>2</v>
      </c>
      <c r="R3350" s="102">
        <f>VLOOKUP(P3350,[5]Price!B$1:D$65536,3,FALSE)</f>
        <v>313960</v>
      </c>
      <c r="S3350" s="102">
        <f t="shared" si="1710"/>
        <v>690712</v>
      </c>
      <c r="T3350" s="102">
        <f t="shared" si="1711"/>
        <v>627920</v>
      </c>
      <c r="U3350" s="71" t="str">
        <f>IF(J3350=W3350,"O", "X")</f>
        <v>O</v>
      </c>
      <c r="V3350" s="71"/>
      <c r="W3350" s="474">
        <f>(G3350-T3350)</f>
        <v>174080</v>
      </c>
      <c r="X3350" s="71"/>
      <c r="Y3350" s="71"/>
    </row>
    <row r="3351" spans="1:25" ht="30" hidden="1" customHeight="1" x14ac:dyDescent="0.25">
      <c r="A3351" s="82">
        <v>200923</v>
      </c>
      <c r="B3351" s="664" t="s">
        <v>442</v>
      </c>
      <c r="C3351" s="71" t="s">
        <v>208</v>
      </c>
      <c r="D3351" s="71">
        <v>2</v>
      </c>
      <c r="E3351" s="102">
        <v>448000</v>
      </c>
      <c r="F3351" s="102">
        <f t="shared" si="1713"/>
        <v>985600.00000000012</v>
      </c>
      <c r="G3351" s="102">
        <f t="shared" si="1714"/>
        <v>896000</v>
      </c>
      <c r="H3351" s="690" t="s">
        <v>2029</v>
      </c>
      <c r="I3351" s="71" t="s">
        <v>195</v>
      </c>
      <c r="J3351" s="53">
        <f>(G3351-(VLOOKUP(C3351,[5]Price!B$1:D$65536,3,FALSE)*D3351))</f>
        <v>155980</v>
      </c>
      <c r="K3351" s="63">
        <f t="shared" si="1715"/>
        <v>0.1740848214285714</v>
      </c>
      <c r="L3351" s="871" t="s">
        <v>2537</v>
      </c>
      <c r="M3351" s="468"/>
      <c r="N3351" s="664">
        <f t="shared" si="1697"/>
        <v>200923</v>
      </c>
      <c r="O3351" s="71" t="s">
        <v>194</v>
      </c>
      <c r="P3351" s="164" t="str">
        <f t="shared" si="1698"/>
        <v>Agfa Film(32inch)</v>
      </c>
      <c r="Q3351" s="71">
        <f t="shared" si="1702"/>
        <v>2</v>
      </c>
      <c r="R3351" s="102">
        <f>VLOOKUP(P3351,[5]Price!B$1:D$65536,3,FALSE)</f>
        <v>370010</v>
      </c>
      <c r="S3351" s="102">
        <f t="shared" si="1710"/>
        <v>814022.00000000012</v>
      </c>
      <c r="T3351" s="102">
        <f t="shared" si="1711"/>
        <v>740020</v>
      </c>
      <c r="U3351" s="71" t="str">
        <f>IF(J3351=W3351,"O", "X")</f>
        <v>O</v>
      </c>
      <c r="V3351" s="71"/>
      <c r="W3351" s="474">
        <f>(G3351-T3351)</f>
        <v>155980</v>
      </c>
      <c r="X3351" s="71"/>
      <c r="Y3351" s="71"/>
    </row>
    <row r="3352" spans="1:25" ht="30" hidden="1" customHeight="1" x14ac:dyDescent="0.2">
      <c r="A3352" s="82">
        <v>200923</v>
      </c>
      <c r="B3352" s="664" t="s">
        <v>442</v>
      </c>
      <c r="C3352" s="71" t="s">
        <v>650</v>
      </c>
      <c r="D3352" s="71">
        <v>1</v>
      </c>
      <c r="E3352" s="102">
        <v>93000</v>
      </c>
      <c r="F3352" s="163">
        <f t="shared" si="1713"/>
        <v>102300.00000000001</v>
      </c>
      <c r="G3352" s="163">
        <f t="shared" si="1714"/>
        <v>93000</v>
      </c>
      <c r="H3352" s="165" t="s">
        <v>172</v>
      </c>
      <c r="I3352" s="71" t="s">
        <v>141</v>
      </c>
      <c r="J3352" s="53">
        <f>(G3352-(VLOOKUP(C3352,Price!B:D,3,FALSE)*D3352))</f>
        <v>33000</v>
      </c>
      <c r="K3352" s="63">
        <f t="shared" si="1715"/>
        <v>0.35483870967741932</v>
      </c>
      <c r="L3352" s="871" t="s">
        <v>2537</v>
      </c>
      <c r="M3352" s="468"/>
      <c r="N3352" s="664">
        <f t="shared" si="1697"/>
        <v>200923</v>
      </c>
      <c r="O3352" s="71" t="s">
        <v>145</v>
      </c>
      <c r="P3352" s="164" t="str">
        <f t="shared" si="1698"/>
        <v>Agfa 정착액 G333C(20L)</v>
      </c>
      <c r="Q3352" s="71">
        <f t="shared" si="1702"/>
        <v>1</v>
      </c>
      <c r="R3352" s="102">
        <f>VLOOKUP(P3352,Price!B:D,3,FALSE)</f>
        <v>60000</v>
      </c>
      <c r="S3352" s="102">
        <f t="shared" si="1710"/>
        <v>66000</v>
      </c>
      <c r="T3352" s="102">
        <f t="shared" si="1711"/>
        <v>60000</v>
      </c>
      <c r="U3352" s="71" t="str">
        <f>IF(J3352=W3352,"O", "X")</f>
        <v>O</v>
      </c>
      <c r="V3352" s="71"/>
      <c r="W3352" s="474">
        <f>(G3352-T3352)</f>
        <v>33000</v>
      </c>
      <c r="X3352" s="71"/>
      <c r="Y3352" s="71"/>
    </row>
    <row r="3353" spans="1:25" ht="30" hidden="1" customHeight="1" x14ac:dyDescent="0.2">
      <c r="A3353" s="82">
        <v>200924</v>
      </c>
      <c r="B3353" s="664" t="s">
        <v>746</v>
      </c>
      <c r="C3353" s="71" t="s">
        <v>123</v>
      </c>
      <c r="D3353" s="71">
        <v>10</v>
      </c>
      <c r="E3353" s="102">
        <v>30000</v>
      </c>
      <c r="F3353" s="163">
        <f t="shared" si="1713"/>
        <v>330000</v>
      </c>
      <c r="G3353" s="163">
        <f t="shared" si="1714"/>
        <v>300000</v>
      </c>
      <c r="H3353" s="165" t="s">
        <v>1432</v>
      </c>
      <c r="I3353" s="71" t="s">
        <v>1432</v>
      </c>
      <c r="J3353" s="53">
        <f>G3353-T3353</f>
        <v>75000</v>
      </c>
      <c r="K3353" s="63">
        <f t="shared" si="1715"/>
        <v>0.25</v>
      </c>
      <c r="L3353" s="871" t="s">
        <v>2515</v>
      </c>
      <c r="M3353" s="468"/>
      <c r="N3353" s="664">
        <f t="shared" si="1697"/>
        <v>200924</v>
      </c>
      <c r="O3353" s="71" t="s">
        <v>94</v>
      </c>
      <c r="P3353" s="164" t="str">
        <f t="shared" si="1698"/>
        <v>필터백</v>
      </c>
      <c r="Q3353" s="71">
        <f t="shared" si="1702"/>
        <v>10</v>
      </c>
      <c r="R3353" s="102">
        <v>22500</v>
      </c>
      <c r="S3353" s="102">
        <f t="shared" si="1710"/>
        <v>247500.00000000003</v>
      </c>
      <c r="T3353" s="102">
        <f t="shared" si="1711"/>
        <v>225000</v>
      </c>
      <c r="U3353" s="71"/>
      <c r="V3353" s="71"/>
      <c r="W3353" s="474"/>
      <c r="X3353" s="71"/>
      <c r="Y3353" s="71"/>
    </row>
    <row r="3354" spans="1:25" ht="30" hidden="1" customHeight="1" x14ac:dyDescent="0.25">
      <c r="A3354" s="82">
        <v>200924</v>
      </c>
      <c r="B3354" s="664" t="s">
        <v>545</v>
      </c>
      <c r="C3354" s="71" t="s">
        <v>1441</v>
      </c>
      <c r="D3354" s="71">
        <v>3</v>
      </c>
      <c r="E3354" s="102">
        <v>210000</v>
      </c>
      <c r="F3354" s="102">
        <f t="shared" si="1713"/>
        <v>693000</v>
      </c>
      <c r="G3354" s="102">
        <f t="shared" si="1714"/>
        <v>630000</v>
      </c>
      <c r="H3354" s="690" t="s">
        <v>173</v>
      </c>
      <c r="I3354" s="71" t="s">
        <v>2231</v>
      </c>
      <c r="J3354" s="53">
        <f>G3354-T3354</f>
        <v>135000</v>
      </c>
      <c r="K3354" s="63">
        <f t="shared" si="1715"/>
        <v>0.21428571428571427</v>
      </c>
      <c r="L3354" s="871" t="s">
        <v>2537</v>
      </c>
      <c r="M3354" s="468"/>
      <c r="N3354" s="664">
        <f t="shared" si="1697"/>
        <v>200924</v>
      </c>
      <c r="O3354" s="71" t="s">
        <v>1555</v>
      </c>
      <c r="P3354" s="164" t="str">
        <f t="shared" si="1698"/>
        <v xml:space="preserve"> OKS340 체인구리스</v>
      </c>
      <c r="Q3354" s="71">
        <f t="shared" si="1702"/>
        <v>3</v>
      </c>
      <c r="R3354" s="102">
        <v>165000</v>
      </c>
      <c r="S3354" s="102">
        <f t="shared" si="1710"/>
        <v>544500</v>
      </c>
      <c r="T3354" s="102">
        <f t="shared" si="1711"/>
        <v>495000</v>
      </c>
      <c r="U3354" s="71" t="str">
        <f t="shared" ref="U3354:U3359" si="1716">IF(J3354=W3354,"O", "X")</f>
        <v>X</v>
      </c>
      <c r="V3354" s="71"/>
      <c r="W3354" s="474"/>
      <c r="X3354" s="71"/>
      <c r="Y3354" s="71"/>
    </row>
    <row r="3355" spans="1:25" ht="30" hidden="1" customHeight="1" x14ac:dyDescent="0.2">
      <c r="A3355" s="82">
        <v>200924</v>
      </c>
      <c r="B3355" s="664" t="s">
        <v>545</v>
      </c>
      <c r="C3355" s="71" t="s">
        <v>227</v>
      </c>
      <c r="D3355" s="71">
        <v>10</v>
      </c>
      <c r="E3355" s="102">
        <v>110000</v>
      </c>
      <c r="F3355" s="163">
        <f t="shared" si="1713"/>
        <v>1210000</v>
      </c>
      <c r="G3355" s="102">
        <f t="shared" si="1714"/>
        <v>1100000</v>
      </c>
      <c r="H3355" s="690" t="s">
        <v>173</v>
      </c>
      <c r="I3355" s="71" t="s">
        <v>109</v>
      </c>
      <c r="J3355" s="53">
        <f>G3355-T3355</f>
        <v>271000</v>
      </c>
      <c r="K3355" s="63">
        <f t="shared" si="1715"/>
        <v>0.24636363636363637</v>
      </c>
      <c r="L3355" s="871" t="s">
        <v>2537</v>
      </c>
      <c r="M3355" s="468"/>
      <c r="N3355" s="664">
        <f t="shared" si="1697"/>
        <v>200924</v>
      </c>
      <c r="O3355" s="71" t="s">
        <v>147</v>
      </c>
      <c r="P3355" s="164" t="str">
        <f t="shared" si="1698"/>
        <v>Blanket(1060*860)</v>
      </c>
      <c r="Q3355" s="71">
        <f t="shared" si="1702"/>
        <v>10</v>
      </c>
      <c r="R3355" s="102">
        <v>82900</v>
      </c>
      <c r="S3355" s="102">
        <f t="shared" si="1710"/>
        <v>911900.00000000012</v>
      </c>
      <c r="T3355" s="102">
        <f t="shared" si="1711"/>
        <v>829000</v>
      </c>
      <c r="U3355" s="71" t="str">
        <f t="shared" si="1716"/>
        <v>O</v>
      </c>
      <c r="V3355" s="71"/>
      <c r="W3355" s="474">
        <f>(G3355-T3355)</f>
        <v>271000</v>
      </c>
      <c r="X3355" s="71"/>
      <c r="Y3355" s="71"/>
    </row>
    <row r="3356" spans="1:25" ht="30" hidden="1" customHeight="1" x14ac:dyDescent="0.2">
      <c r="A3356" s="82">
        <v>200924</v>
      </c>
      <c r="B3356" s="664" t="s">
        <v>545</v>
      </c>
      <c r="C3356" s="71" t="s">
        <v>1747</v>
      </c>
      <c r="D3356" s="71">
        <v>5</v>
      </c>
      <c r="E3356" s="102">
        <v>610000</v>
      </c>
      <c r="F3356" s="163">
        <f t="shared" si="1713"/>
        <v>3355000.0000000005</v>
      </c>
      <c r="G3356" s="102">
        <f t="shared" si="1714"/>
        <v>3050000</v>
      </c>
      <c r="H3356" s="690" t="s">
        <v>173</v>
      </c>
      <c r="I3356" s="71" t="s">
        <v>2184</v>
      </c>
      <c r="J3356" s="53">
        <f>G3356-T3356</f>
        <v>1325020</v>
      </c>
      <c r="K3356" s="63">
        <f t="shared" si="1715"/>
        <v>0.43443278688524584</v>
      </c>
      <c r="L3356" s="871" t="s">
        <v>2537</v>
      </c>
      <c r="M3356" s="468"/>
      <c r="N3356" s="664">
        <f t="shared" si="1697"/>
        <v>200924</v>
      </c>
      <c r="O3356" s="71" t="s">
        <v>1458</v>
      </c>
      <c r="P3356" s="164" t="str">
        <f t="shared" si="1698"/>
        <v>UV 램프 - KBA(1145mm)</v>
      </c>
      <c r="Q3356" s="71">
        <f t="shared" si="1702"/>
        <v>5</v>
      </c>
      <c r="R3356" s="102">
        <v>344996</v>
      </c>
      <c r="S3356" s="102">
        <f t="shared" si="1710"/>
        <v>1897478.0000000002</v>
      </c>
      <c r="T3356" s="102">
        <f t="shared" si="1711"/>
        <v>1724980</v>
      </c>
      <c r="U3356" s="71" t="str">
        <f t="shared" si="1716"/>
        <v>X</v>
      </c>
      <c r="V3356" s="71"/>
      <c r="W3356" s="474"/>
      <c r="X3356" s="71"/>
      <c r="Y3356" s="71"/>
    </row>
    <row r="3357" spans="1:25" s="209" customFormat="1" ht="30" hidden="1" customHeight="1" x14ac:dyDescent="0.25">
      <c r="A3357" s="82">
        <v>200924</v>
      </c>
      <c r="B3357" s="664" t="s">
        <v>2155</v>
      </c>
      <c r="C3357" s="71" t="s">
        <v>138</v>
      </c>
      <c r="D3357" s="71">
        <v>10</v>
      </c>
      <c r="E3357" s="102">
        <v>47600</v>
      </c>
      <c r="F3357" s="163">
        <f t="shared" si="1713"/>
        <v>523600.00000000006</v>
      </c>
      <c r="G3357" s="102">
        <f t="shared" si="1714"/>
        <v>476000</v>
      </c>
      <c r="H3357" s="1129" t="s">
        <v>172</v>
      </c>
      <c r="I3357" s="71" t="s">
        <v>108</v>
      </c>
      <c r="J3357" s="53">
        <v>68000</v>
      </c>
      <c r="K3357" s="63">
        <v>0.14285714285714285</v>
      </c>
      <c r="L3357" s="871" t="s">
        <v>2537</v>
      </c>
      <c r="M3357" s="468" t="s">
        <v>2214</v>
      </c>
      <c r="N3357" s="664">
        <f t="shared" si="1697"/>
        <v>200924</v>
      </c>
      <c r="O3357" s="71" t="s">
        <v>150</v>
      </c>
      <c r="P3357" s="164" t="str">
        <f t="shared" si="1698"/>
        <v>매엽용 세척제(Wash 562)</v>
      </c>
      <c r="Q3357" s="71">
        <f t="shared" si="1702"/>
        <v>10</v>
      </c>
      <c r="R3357" s="102">
        <v>40800</v>
      </c>
      <c r="S3357" s="102">
        <f t="shared" si="1710"/>
        <v>448800.00000000006</v>
      </c>
      <c r="T3357" s="102">
        <f t="shared" si="1711"/>
        <v>408000</v>
      </c>
      <c r="U3357" s="71" t="str">
        <f t="shared" si="1716"/>
        <v>X</v>
      </c>
      <c r="V3357" s="71"/>
      <c r="W3357" s="474">
        <v>85000</v>
      </c>
      <c r="X3357" s="71"/>
      <c r="Y3357" s="71"/>
    </row>
    <row r="3358" spans="1:25" ht="30" hidden="1" customHeight="1" x14ac:dyDescent="0.25">
      <c r="A3358" s="82">
        <v>200924</v>
      </c>
      <c r="B3358" s="664" t="s">
        <v>2155</v>
      </c>
      <c r="C3358" s="71" t="s">
        <v>277</v>
      </c>
      <c r="D3358" s="71">
        <v>3</v>
      </c>
      <c r="E3358" s="102">
        <v>172000</v>
      </c>
      <c r="F3358" s="102">
        <f t="shared" si="1713"/>
        <v>567600</v>
      </c>
      <c r="G3358" s="102">
        <f t="shared" si="1714"/>
        <v>516000</v>
      </c>
      <c r="H3358" s="690" t="s">
        <v>173</v>
      </c>
      <c r="I3358" s="71" t="s">
        <v>108</v>
      </c>
      <c r="J3358" s="53">
        <f>G3358-T3358</f>
        <v>171000</v>
      </c>
      <c r="K3358" s="63">
        <v>0.33139534883720928</v>
      </c>
      <c r="L3358" s="871" t="s">
        <v>2537</v>
      </c>
      <c r="M3358" s="468"/>
      <c r="N3358" s="664">
        <f t="shared" si="1697"/>
        <v>200924</v>
      </c>
      <c r="O3358" s="71" t="s">
        <v>150</v>
      </c>
      <c r="P3358" s="164" t="str">
        <f t="shared" si="1698"/>
        <v>윤전용 세척제(Web 504)</v>
      </c>
      <c r="Q3358" s="71">
        <f t="shared" si="1702"/>
        <v>3</v>
      </c>
      <c r="R3358" s="102">
        <v>115000</v>
      </c>
      <c r="S3358" s="102">
        <f t="shared" si="1710"/>
        <v>379500.00000000006</v>
      </c>
      <c r="T3358" s="102">
        <f t="shared" si="1711"/>
        <v>345000</v>
      </c>
      <c r="U3358" s="71" t="str">
        <f t="shared" si="1716"/>
        <v>X</v>
      </c>
      <c r="V3358" s="71"/>
      <c r="W3358" s="474">
        <v>285000</v>
      </c>
      <c r="X3358" s="71"/>
      <c r="Y3358" s="71"/>
    </row>
    <row r="3359" spans="1:25" s="209" customFormat="1" ht="30" hidden="1" customHeight="1" x14ac:dyDescent="0.2">
      <c r="A3359" s="82">
        <v>200924</v>
      </c>
      <c r="B3359" s="664" t="s">
        <v>2261</v>
      </c>
      <c r="C3359" s="71" t="s">
        <v>107</v>
      </c>
      <c r="D3359" s="71">
        <v>10</v>
      </c>
      <c r="E3359" s="102">
        <v>108000</v>
      </c>
      <c r="F3359" s="163">
        <f t="shared" si="1713"/>
        <v>1188000</v>
      </c>
      <c r="G3359" s="102">
        <f t="shared" si="1714"/>
        <v>1080000</v>
      </c>
      <c r="H3359" s="165" t="s">
        <v>172</v>
      </c>
      <c r="I3359" s="71" t="s">
        <v>109</v>
      </c>
      <c r="J3359" s="53">
        <f>G3359-T3359</f>
        <v>275000</v>
      </c>
      <c r="K3359" s="63">
        <f>(J3359/(F3359/11*10))</f>
        <v>0.25462962962962965</v>
      </c>
      <c r="L3359" s="871" t="s">
        <v>2537</v>
      </c>
      <c r="M3359" s="468"/>
      <c r="N3359" s="664">
        <f t="shared" si="1697"/>
        <v>200924</v>
      </c>
      <c r="O3359" s="71" t="s">
        <v>147</v>
      </c>
      <c r="P3359" s="164" t="str">
        <f t="shared" si="1698"/>
        <v>Blanket(1050*840)</v>
      </c>
      <c r="Q3359" s="71">
        <f t="shared" si="1702"/>
        <v>10</v>
      </c>
      <c r="R3359" s="102">
        <v>80500</v>
      </c>
      <c r="S3359" s="102">
        <f t="shared" si="1710"/>
        <v>885500.00000000012</v>
      </c>
      <c r="T3359" s="102">
        <f t="shared" si="1711"/>
        <v>805000</v>
      </c>
      <c r="U3359" s="71" t="str">
        <f t="shared" si="1716"/>
        <v>O</v>
      </c>
      <c r="V3359" s="71"/>
      <c r="W3359" s="474">
        <v>275000</v>
      </c>
      <c r="X3359" s="71"/>
      <c r="Y3359" s="71"/>
    </row>
    <row r="3360" spans="1:25" ht="30" hidden="1" customHeight="1" x14ac:dyDescent="0.25">
      <c r="A3360" s="82">
        <v>200925</v>
      </c>
      <c r="B3360" s="664" t="s">
        <v>690</v>
      </c>
      <c r="C3360" s="71" t="s">
        <v>123</v>
      </c>
      <c r="D3360" s="71">
        <v>10</v>
      </c>
      <c r="E3360" s="102">
        <v>30000</v>
      </c>
      <c r="F3360" s="102">
        <f t="shared" si="1713"/>
        <v>330000</v>
      </c>
      <c r="G3360" s="102">
        <f t="shared" si="1714"/>
        <v>300000</v>
      </c>
      <c r="H3360" s="690" t="s">
        <v>1432</v>
      </c>
      <c r="I3360" s="71" t="s">
        <v>1432</v>
      </c>
      <c r="J3360" s="53">
        <f>G3360-T3360</f>
        <v>55460</v>
      </c>
      <c r="K3360" s="63">
        <f>(J3360/(F3360/11*10))</f>
        <v>0.18486666666666668</v>
      </c>
      <c r="L3360" s="871" t="s">
        <v>2537</v>
      </c>
      <c r="M3360" s="468"/>
      <c r="N3360" s="664">
        <f t="shared" si="1697"/>
        <v>200925</v>
      </c>
      <c r="O3360" s="71" t="s">
        <v>1432</v>
      </c>
      <c r="P3360" s="164" t="str">
        <f t="shared" si="1698"/>
        <v>필터백</v>
      </c>
      <c r="Q3360" s="71">
        <f t="shared" si="1702"/>
        <v>10</v>
      </c>
      <c r="R3360" s="102">
        <v>24454</v>
      </c>
      <c r="S3360" s="102">
        <f t="shared" si="1710"/>
        <v>268994</v>
      </c>
      <c r="T3360" s="102">
        <f t="shared" si="1711"/>
        <v>244540</v>
      </c>
      <c r="U3360" s="71"/>
      <c r="V3360" s="71"/>
      <c r="W3360" s="474"/>
      <c r="X3360" s="71"/>
      <c r="Y3360" s="71"/>
    </row>
    <row r="3361" spans="1:25" ht="30" hidden="1" customHeight="1" x14ac:dyDescent="0.25">
      <c r="A3361" s="82">
        <v>200928</v>
      </c>
      <c r="B3361" s="664" t="s">
        <v>809</v>
      </c>
      <c r="C3361" s="71" t="s">
        <v>2539</v>
      </c>
      <c r="D3361" s="71">
        <v>1</v>
      </c>
      <c r="E3361" s="102">
        <v>12400000</v>
      </c>
      <c r="F3361" s="102">
        <f>(E3361*D3361)*1.1</f>
        <v>13640000.000000002</v>
      </c>
      <c r="G3361" s="102">
        <f>(E3361*D3361)</f>
        <v>12400000</v>
      </c>
      <c r="H3361" s="690" t="s">
        <v>173</v>
      </c>
      <c r="I3361" s="71" t="s">
        <v>143</v>
      </c>
      <c r="J3361" s="53">
        <f>G3361-T3361</f>
        <v>1281600</v>
      </c>
      <c r="K3361" s="63">
        <f>(J3361/(F3361/11*10))</f>
        <v>0.1033548387096774</v>
      </c>
      <c r="L3361" s="871" t="s">
        <v>2537</v>
      </c>
      <c r="M3361" s="468"/>
      <c r="N3361" s="664">
        <f t="shared" si="1697"/>
        <v>200928</v>
      </c>
      <c r="O3361" s="71" t="s">
        <v>612</v>
      </c>
      <c r="P3361" s="164" t="str">
        <f t="shared" si="1698"/>
        <v>XL106 롤라 44개 세트</v>
      </c>
      <c r="Q3361" s="71">
        <f t="shared" si="1702"/>
        <v>1</v>
      </c>
      <c r="R3361" s="102">
        <v>11118400</v>
      </c>
      <c r="S3361" s="102">
        <f t="shared" si="1710"/>
        <v>12230240.000000002</v>
      </c>
      <c r="T3361" s="102">
        <f t="shared" si="1711"/>
        <v>11118400</v>
      </c>
      <c r="U3361" s="71"/>
      <c r="V3361" s="71"/>
      <c r="W3361" s="474"/>
      <c r="X3361" s="71"/>
      <c r="Y3361" s="71"/>
    </row>
    <row r="3362" spans="1:25" ht="30" hidden="1" customHeight="1" x14ac:dyDescent="0.25">
      <c r="A3362" s="82">
        <v>200929</v>
      </c>
      <c r="B3362" s="664" t="s">
        <v>2531</v>
      </c>
      <c r="C3362" s="71" t="s">
        <v>2532</v>
      </c>
      <c r="D3362" s="71">
        <v>1</v>
      </c>
      <c r="E3362" s="102">
        <v>45000000</v>
      </c>
      <c r="F3362" s="102">
        <f t="shared" ref="F3362:F3380" si="1717">(E3362*D3362)*1.1</f>
        <v>49500000.000000007</v>
      </c>
      <c r="G3362" s="102">
        <f t="shared" ref="G3362:G3380" si="1718">(E3362*D3362)</f>
        <v>45000000</v>
      </c>
      <c r="H3362" s="690" t="s">
        <v>142</v>
      </c>
      <c r="I3362" s="690" t="s">
        <v>1001</v>
      </c>
      <c r="J3362" s="53"/>
      <c r="K3362" s="63"/>
      <c r="L3362" s="871" t="s">
        <v>2537</v>
      </c>
      <c r="M3362" s="468"/>
      <c r="N3362" s="664">
        <f t="shared" si="1697"/>
        <v>200929</v>
      </c>
      <c r="O3362" s="71" t="s">
        <v>2542</v>
      </c>
      <c r="P3362" s="164" t="str">
        <f t="shared" si="1698"/>
        <v>Quadtech WVS</v>
      </c>
      <c r="Q3362" s="71">
        <f t="shared" si="1702"/>
        <v>1</v>
      </c>
      <c r="R3362" s="102"/>
      <c r="S3362" s="102">
        <f t="shared" si="1710"/>
        <v>0</v>
      </c>
      <c r="T3362" s="102">
        <f t="shared" si="1711"/>
        <v>0</v>
      </c>
      <c r="U3362" s="71"/>
      <c r="V3362" s="71"/>
      <c r="W3362" s="474"/>
      <c r="X3362" s="71"/>
      <c r="Y3362" s="71"/>
    </row>
    <row r="3363" spans="1:25" ht="30" hidden="1" customHeight="1" x14ac:dyDescent="0.25">
      <c r="A3363" s="82">
        <v>200929</v>
      </c>
      <c r="B3363" s="664" t="s">
        <v>2531</v>
      </c>
      <c r="C3363" s="71" t="s">
        <v>2533</v>
      </c>
      <c r="D3363" s="71">
        <v>1</v>
      </c>
      <c r="E3363" s="102">
        <v>6920000</v>
      </c>
      <c r="F3363" s="102">
        <f t="shared" si="1717"/>
        <v>7612000.0000000009</v>
      </c>
      <c r="G3363" s="102">
        <f t="shared" si="1718"/>
        <v>6920000</v>
      </c>
      <c r="H3363" s="690" t="s">
        <v>142</v>
      </c>
      <c r="I3363" s="690" t="s">
        <v>142</v>
      </c>
      <c r="J3363" s="53"/>
      <c r="K3363" s="63"/>
      <c r="L3363" s="871" t="s">
        <v>2537</v>
      </c>
      <c r="M3363" s="468"/>
      <c r="N3363" s="664">
        <f t="shared" si="1697"/>
        <v>200929</v>
      </c>
      <c r="O3363" s="71" t="s">
        <v>2542</v>
      </c>
      <c r="P3363" s="164" t="str">
        <f t="shared" si="1698"/>
        <v>Quadtech WVS 수리 기판(남양주)</v>
      </c>
      <c r="Q3363" s="71">
        <f t="shared" si="1702"/>
        <v>1</v>
      </c>
      <c r="R3363" s="102"/>
      <c r="S3363" s="102">
        <f t="shared" si="1710"/>
        <v>0</v>
      </c>
      <c r="T3363" s="102">
        <f t="shared" si="1711"/>
        <v>0</v>
      </c>
      <c r="U3363" s="71"/>
      <c r="V3363" s="71"/>
      <c r="W3363" s="474"/>
      <c r="X3363" s="71"/>
      <c r="Y3363" s="71"/>
    </row>
    <row r="3364" spans="1:25" ht="30" hidden="1" customHeight="1" x14ac:dyDescent="0.25">
      <c r="A3364" s="82">
        <v>200929</v>
      </c>
      <c r="B3364" s="664" t="s">
        <v>1051</v>
      </c>
      <c r="C3364" s="71" t="s">
        <v>1294</v>
      </c>
      <c r="D3364" s="71">
        <v>1200</v>
      </c>
      <c r="E3364" s="102">
        <v>5910</v>
      </c>
      <c r="F3364" s="102">
        <f t="shared" si="1717"/>
        <v>7801200.0000000009</v>
      </c>
      <c r="G3364" s="102">
        <f t="shared" si="1718"/>
        <v>7092000</v>
      </c>
      <c r="H3364" s="690" t="s">
        <v>142</v>
      </c>
      <c r="I3364" s="71" t="s">
        <v>2273</v>
      </c>
      <c r="J3364" s="53">
        <f t="shared" ref="J3364:J3380" si="1719">G3364-T3364</f>
        <v>2076000</v>
      </c>
      <c r="K3364" s="63">
        <f t="shared" ref="K3364:K3380" si="1720">(J3364/(F3364/11*10))</f>
        <v>0.29272419627749574</v>
      </c>
      <c r="L3364" s="871" t="s">
        <v>2537</v>
      </c>
      <c r="M3364" s="468"/>
      <c r="N3364" s="664">
        <f t="shared" si="1697"/>
        <v>200929</v>
      </c>
      <c r="O3364" s="71" t="s">
        <v>145</v>
      </c>
      <c r="P3364" s="164" t="str">
        <f t="shared" ref="P3364:P3375" si="1721">(C3364)</f>
        <v>ENGAGE 1030*790</v>
      </c>
      <c r="Q3364" s="71">
        <f t="shared" si="1702"/>
        <v>1200</v>
      </c>
      <c r="R3364" s="102">
        <v>4180</v>
      </c>
      <c r="S3364" s="102">
        <f t="shared" si="1710"/>
        <v>5517600</v>
      </c>
      <c r="T3364" s="102">
        <f t="shared" si="1711"/>
        <v>5016000</v>
      </c>
      <c r="U3364" s="71" t="str">
        <f t="shared" ref="U3364:U3380" si="1722">IF(J3364=W3364,"O", "X")</f>
        <v>O</v>
      </c>
      <c r="V3364" s="71"/>
      <c r="W3364" s="474">
        <f t="shared" ref="W3364:W3379" si="1723">(G3364-T3364)</f>
        <v>2076000</v>
      </c>
      <c r="X3364" s="71"/>
      <c r="Y3364" s="71"/>
    </row>
    <row r="3365" spans="1:25" ht="30" hidden="1" customHeight="1" x14ac:dyDescent="0.25">
      <c r="A3365" s="82">
        <v>200929</v>
      </c>
      <c r="B3365" s="664" t="s">
        <v>1051</v>
      </c>
      <c r="C3365" s="71" t="s">
        <v>1384</v>
      </c>
      <c r="D3365" s="71">
        <v>2600</v>
      </c>
      <c r="E3365" s="102">
        <v>3720</v>
      </c>
      <c r="F3365" s="102">
        <f t="shared" si="1717"/>
        <v>10639200</v>
      </c>
      <c r="G3365" s="102">
        <f t="shared" si="1718"/>
        <v>9672000</v>
      </c>
      <c r="H3365" s="690" t="s">
        <v>142</v>
      </c>
      <c r="I3365" s="71" t="s">
        <v>2273</v>
      </c>
      <c r="J3365" s="53">
        <f t="shared" si="1719"/>
        <v>2808210.8885338577</v>
      </c>
      <c r="K3365" s="63">
        <f t="shared" si="1720"/>
        <v>0.29034438467058082</v>
      </c>
      <c r="L3365" s="871" t="s">
        <v>2537</v>
      </c>
      <c r="M3365" s="468"/>
      <c r="N3365" s="664">
        <f t="shared" si="1697"/>
        <v>200929</v>
      </c>
      <c r="O3365" s="71" t="s">
        <v>145</v>
      </c>
      <c r="P3365" s="164" t="str">
        <f t="shared" si="1721"/>
        <v>ENGAGE 900X571 - 27RO</v>
      </c>
      <c r="Q3365" s="71">
        <f t="shared" si="1702"/>
        <v>2600</v>
      </c>
      <c r="R3365" s="102">
        <f>R3364/1030/790*900*571</f>
        <v>2639.9188890254395</v>
      </c>
      <c r="S3365" s="102">
        <f t="shared" si="1710"/>
        <v>7550168.022612757</v>
      </c>
      <c r="T3365" s="102">
        <f t="shared" si="1711"/>
        <v>6863789.1114661423</v>
      </c>
      <c r="U3365" s="71" t="str">
        <f t="shared" si="1722"/>
        <v>O</v>
      </c>
      <c r="V3365" s="71"/>
      <c r="W3365" s="474">
        <f t="shared" si="1723"/>
        <v>2808210.8885338577</v>
      </c>
      <c r="X3365" s="71"/>
      <c r="Y3365" s="71"/>
    </row>
    <row r="3366" spans="1:25" ht="30" hidden="1" customHeight="1" x14ac:dyDescent="0.25">
      <c r="A3366" s="82">
        <v>200929</v>
      </c>
      <c r="B3366" s="664" t="s">
        <v>1051</v>
      </c>
      <c r="C3366" s="71" t="s">
        <v>951</v>
      </c>
      <c r="D3366" s="71">
        <v>4600</v>
      </c>
      <c r="E3366" s="102">
        <v>3540</v>
      </c>
      <c r="F3366" s="102">
        <f t="shared" si="1717"/>
        <v>17912400</v>
      </c>
      <c r="G3366" s="102">
        <f t="shared" si="1718"/>
        <v>16284000</v>
      </c>
      <c r="H3366" s="690" t="s">
        <v>142</v>
      </c>
      <c r="I3366" s="71" t="s">
        <v>2273</v>
      </c>
      <c r="J3366" s="53">
        <f t="shared" si="1719"/>
        <v>4766198.7857932895</v>
      </c>
      <c r="K3366" s="63">
        <f t="shared" si="1720"/>
        <v>0.29269213865102489</v>
      </c>
      <c r="L3366" s="871" t="s">
        <v>2537</v>
      </c>
      <c r="M3366" s="468"/>
      <c r="N3366" s="664">
        <f t="shared" si="1697"/>
        <v>200929</v>
      </c>
      <c r="O3366" s="71" t="s">
        <v>145</v>
      </c>
      <c r="P3366" s="164" t="str">
        <f t="shared" si="1721"/>
        <v>ENGAGE 30WEB(883*552)</v>
      </c>
      <c r="Q3366" s="71">
        <f t="shared" si="1702"/>
        <v>4600</v>
      </c>
      <c r="R3366" s="102">
        <f>R3364/1030/790*883*552</f>
        <v>2503.8698291753717</v>
      </c>
      <c r="S3366" s="102">
        <f t="shared" si="1710"/>
        <v>12669581.335627383</v>
      </c>
      <c r="T3366" s="102">
        <f t="shared" si="1711"/>
        <v>11517801.21420671</v>
      </c>
      <c r="U3366" s="71" t="str">
        <f t="shared" si="1722"/>
        <v>O</v>
      </c>
      <c r="V3366" s="71"/>
      <c r="W3366" s="474">
        <f t="shared" si="1723"/>
        <v>4766198.7857932895</v>
      </c>
      <c r="X3366" s="71"/>
      <c r="Y3366" s="71"/>
    </row>
    <row r="3367" spans="1:25" ht="30" hidden="1" customHeight="1" x14ac:dyDescent="0.25">
      <c r="A3367" s="82">
        <v>200929</v>
      </c>
      <c r="B3367" s="664" t="s">
        <v>1051</v>
      </c>
      <c r="C3367" s="71" t="s">
        <v>2219</v>
      </c>
      <c r="D3367" s="71">
        <v>500</v>
      </c>
      <c r="E3367" s="102">
        <v>5980</v>
      </c>
      <c r="F3367" s="102">
        <f t="shared" si="1717"/>
        <v>3289000.0000000005</v>
      </c>
      <c r="G3367" s="102">
        <f t="shared" si="1718"/>
        <v>2990000</v>
      </c>
      <c r="H3367" s="690" t="s">
        <v>142</v>
      </c>
      <c r="I3367" s="71" t="s">
        <v>2273</v>
      </c>
      <c r="J3367" s="53">
        <f t="shared" si="1719"/>
        <v>873544.30379746808</v>
      </c>
      <c r="K3367" s="63">
        <f t="shared" si="1720"/>
        <v>0.29215528555099263</v>
      </c>
      <c r="L3367" s="871" t="s">
        <v>2537</v>
      </c>
      <c r="M3367" s="468"/>
      <c r="N3367" s="664">
        <f t="shared" si="1697"/>
        <v>200929</v>
      </c>
      <c r="O3367" s="71" t="s">
        <v>145</v>
      </c>
      <c r="P3367" s="164" t="str">
        <f t="shared" si="1721"/>
        <v>ENGAGE 1030*800</v>
      </c>
      <c r="Q3367" s="71">
        <f t="shared" si="1702"/>
        <v>500</v>
      </c>
      <c r="R3367" s="102">
        <f>R3364/1030/790*1030*800</f>
        <v>4232.9113924050635</v>
      </c>
      <c r="S3367" s="102">
        <f t="shared" si="1710"/>
        <v>2328101.2658227854</v>
      </c>
      <c r="T3367" s="102">
        <f t="shared" si="1711"/>
        <v>2116455.6962025319</v>
      </c>
      <c r="U3367" s="71" t="str">
        <f t="shared" si="1722"/>
        <v>O</v>
      </c>
      <c r="V3367" s="71"/>
      <c r="W3367" s="474">
        <f t="shared" si="1723"/>
        <v>873544.30379746808</v>
      </c>
      <c r="X3367" s="71"/>
      <c r="Y3367" s="71"/>
    </row>
    <row r="3368" spans="1:25" ht="30" hidden="1" customHeight="1" x14ac:dyDescent="0.25">
      <c r="A3368" s="82">
        <v>200929</v>
      </c>
      <c r="B3368" s="664" t="s">
        <v>1051</v>
      </c>
      <c r="C3368" s="71" t="s">
        <v>1383</v>
      </c>
      <c r="D3368" s="71">
        <v>1700</v>
      </c>
      <c r="E3368" s="102">
        <v>6200</v>
      </c>
      <c r="F3368" s="102">
        <f t="shared" si="1717"/>
        <v>11594000.000000002</v>
      </c>
      <c r="G3368" s="102">
        <f t="shared" si="1718"/>
        <v>10540000</v>
      </c>
      <c r="H3368" s="690" t="s">
        <v>142</v>
      </c>
      <c r="I3368" s="71" t="s">
        <v>2273</v>
      </c>
      <c r="J3368" s="53">
        <f t="shared" si="1719"/>
        <v>3068045.8031215444</v>
      </c>
      <c r="K3368" s="63">
        <f t="shared" si="1720"/>
        <v>0.29108593957509904</v>
      </c>
      <c r="L3368" s="871" t="s">
        <v>2537</v>
      </c>
      <c r="M3368" s="468"/>
      <c r="N3368" s="664">
        <f t="shared" si="1697"/>
        <v>200929</v>
      </c>
      <c r="O3368" s="71" t="s">
        <v>145</v>
      </c>
      <c r="P3368" s="164" t="str">
        <f t="shared" si="1721"/>
        <v>ENGAGE 1055*811</v>
      </c>
      <c r="Q3368" s="71">
        <f t="shared" si="1702"/>
        <v>1700</v>
      </c>
      <c r="R3368" s="102">
        <f>R3364/1030/790*1055*811</f>
        <v>4395.2671746343858</v>
      </c>
      <c r="S3368" s="102">
        <f t="shared" si="1710"/>
        <v>8219149.6165663023</v>
      </c>
      <c r="T3368" s="102">
        <f t="shared" si="1711"/>
        <v>7471954.1968784556</v>
      </c>
      <c r="U3368" s="71" t="str">
        <f t="shared" si="1722"/>
        <v>O</v>
      </c>
      <c r="V3368" s="71"/>
      <c r="W3368" s="474">
        <f t="shared" si="1723"/>
        <v>3068045.8031215444</v>
      </c>
      <c r="X3368" s="71"/>
      <c r="Y3368" s="71"/>
    </row>
    <row r="3369" spans="1:25" ht="30" hidden="1" customHeight="1" x14ac:dyDescent="0.25">
      <c r="A3369" s="82">
        <v>200929</v>
      </c>
      <c r="B3369" s="664" t="s">
        <v>1051</v>
      </c>
      <c r="C3369" s="71" t="s">
        <v>1650</v>
      </c>
      <c r="D3369" s="71"/>
      <c r="E3369" s="102">
        <v>4440</v>
      </c>
      <c r="F3369" s="102">
        <f t="shared" si="1717"/>
        <v>0</v>
      </c>
      <c r="G3369" s="102">
        <f t="shared" si="1718"/>
        <v>0</v>
      </c>
      <c r="H3369" s="690" t="s">
        <v>142</v>
      </c>
      <c r="I3369" s="71" t="s">
        <v>2273</v>
      </c>
      <c r="J3369" s="53">
        <f t="shared" si="1719"/>
        <v>0</v>
      </c>
      <c r="K3369" s="63" t="e">
        <f t="shared" si="1720"/>
        <v>#DIV/0!</v>
      </c>
      <c r="L3369" s="871" t="s">
        <v>2537</v>
      </c>
      <c r="M3369" s="468"/>
      <c r="N3369" s="664">
        <f t="shared" si="1697"/>
        <v>200929</v>
      </c>
      <c r="O3369" s="71" t="s">
        <v>145</v>
      </c>
      <c r="P3369" s="164" t="str">
        <f t="shared" si="1721"/>
        <v>ENGAGE 968*631</v>
      </c>
      <c r="Q3369" s="71">
        <f t="shared" si="1702"/>
        <v>0</v>
      </c>
      <c r="R3369" s="102">
        <f>R3364/1030/790*968*631</f>
        <v>3137.7380361312526</v>
      </c>
      <c r="S3369" s="102">
        <f t="shared" si="1710"/>
        <v>0</v>
      </c>
      <c r="T3369" s="102">
        <f t="shared" si="1711"/>
        <v>0</v>
      </c>
      <c r="U3369" s="71" t="str">
        <f t="shared" si="1722"/>
        <v>O</v>
      </c>
      <c r="V3369" s="71"/>
      <c r="W3369" s="474">
        <f t="shared" si="1723"/>
        <v>0</v>
      </c>
      <c r="X3369" s="71"/>
      <c r="Y3369" s="71"/>
    </row>
    <row r="3370" spans="1:25" ht="30" hidden="1" customHeight="1" x14ac:dyDescent="0.25">
      <c r="A3370" s="82">
        <v>200929</v>
      </c>
      <c r="B3370" s="664" t="s">
        <v>1051</v>
      </c>
      <c r="C3370" s="67" t="s">
        <v>1386</v>
      </c>
      <c r="D3370" s="71">
        <v>50</v>
      </c>
      <c r="E3370" s="102">
        <v>54500</v>
      </c>
      <c r="F3370" s="102">
        <f t="shared" si="1717"/>
        <v>2997500.0000000005</v>
      </c>
      <c r="G3370" s="102">
        <f t="shared" si="1718"/>
        <v>2725000</v>
      </c>
      <c r="H3370" s="690" t="s">
        <v>142</v>
      </c>
      <c r="I3370" s="71" t="s">
        <v>2273</v>
      </c>
      <c r="J3370" s="53">
        <f t="shared" si="1719"/>
        <v>975000</v>
      </c>
      <c r="K3370" s="63">
        <f t="shared" si="1720"/>
        <v>0.35779816513761464</v>
      </c>
      <c r="L3370" s="871" t="s">
        <v>2537</v>
      </c>
      <c r="M3370" s="468"/>
      <c r="N3370" s="664">
        <f t="shared" si="1697"/>
        <v>200929</v>
      </c>
      <c r="O3370" s="71" t="s">
        <v>145</v>
      </c>
      <c r="P3370" s="164" t="str">
        <f t="shared" si="1721"/>
        <v>THR200(20L)보충액</v>
      </c>
      <c r="Q3370" s="71">
        <f t="shared" si="1702"/>
        <v>50</v>
      </c>
      <c r="R3370" s="102">
        <v>35000</v>
      </c>
      <c r="S3370" s="102">
        <f t="shared" si="1710"/>
        <v>1925000.0000000002</v>
      </c>
      <c r="T3370" s="102">
        <f t="shared" si="1711"/>
        <v>1750000</v>
      </c>
      <c r="U3370" s="71" t="str">
        <f t="shared" si="1722"/>
        <v>O</v>
      </c>
      <c r="V3370" s="71"/>
      <c r="W3370" s="474">
        <f t="shared" si="1723"/>
        <v>975000</v>
      </c>
      <c r="X3370" s="71"/>
      <c r="Y3370" s="71"/>
    </row>
    <row r="3371" spans="1:25" ht="30" hidden="1" customHeight="1" x14ac:dyDescent="0.25">
      <c r="A3371" s="82">
        <v>200929</v>
      </c>
      <c r="B3371" s="664" t="s">
        <v>1051</v>
      </c>
      <c r="C3371" s="71" t="s">
        <v>1387</v>
      </c>
      <c r="D3371" s="71">
        <v>5</v>
      </c>
      <c r="E3371" s="102">
        <v>54500</v>
      </c>
      <c r="F3371" s="102">
        <f t="shared" si="1717"/>
        <v>299750</v>
      </c>
      <c r="G3371" s="102">
        <f t="shared" si="1718"/>
        <v>272500</v>
      </c>
      <c r="H3371" s="690" t="s">
        <v>142</v>
      </c>
      <c r="I3371" s="71" t="s">
        <v>2273</v>
      </c>
      <c r="J3371" s="53">
        <f t="shared" si="1719"/>
        <v>97500</v>
      </c>
      <c r="K3371" s="63">
        <f t="shared" si="1720"/>
        <v>0.3577981651376147</v>
      </c>
      <c r="L3371" s="871" t="s">
        <v>2537</v>
      </c>
      <c r="M3371" s="468"/>
      <c r="N3371" s="664">
        <f t="shared" si="1697"/>
        <v>200929</v>
      </c>
      <c r="O3371" s="71" t="s">
        <v>145</v>
      </c>
      <c r="P3371" s="164" t="str">
        <f t="shared" si="1721"/>
        <v>THD200(20L)현상액</v>
      </c>
      <c r="Q3371" s="71">
        <f t="shared" si="1702"/>
        <v>5</v>
      </c>
      <c r="R3371" s="102">
        <v>35000</v>
      </c>
      <c r="S3371" s="102">
        <f t="shared" si="1710"/>
        <v>192500.00000000003</v>
      </c>
      <c r="T3371" s="102">
        <f t="shared" si="1711"/>
        <v>175000</v>
      </c>
      <c r="U3371" s="71" t="str">
        <f t="shared" si="1722"/>
        <v>O</v>
      </c>
      <c r="V3371" s="71"/>
      <c r="W3371" s="474">
        <f t="shared" si="1723"/>
        <v>97500</v>
      </c>
      <c r="X3371" s="71"/>
      <c r="Y3371" s="71"/>
    </row>
    <row r="3372" spans="1:25" ht="30" hidden="1" customHeight="1" x14ac:dyDescent="0.25">
      <c r="A3372" s="82">
        <v>200929</v>
      </c>
      <c r="B3372" s="664" t="s">
        <v>1061</v>
      </c>
      <c r="C3372" s="71" t="s">
        <v>616</v>
      </c>
      <c r="D3372" s="71">
        <v>200</v>
      </c>
      <c r="E3372" s="102">
        <v>5600</v>
      </c>
      <c r="F3372" s="102">
        <f t="shared" si="1717"/>
        <v>1232000</v>
      </c>
      <c r="G3372" s="102">
        <f t="shared" si="1718"/>
        <v>1120000</v>
      </c>
      <c r="H3372" s="690" t="s">
        <v>142</v>
      </c>
      <c r="I3372" s="71" t="s">
        <v>144</v>
      </c>
      <c r="J3372" s="53">
        <f t="shared" si="1719"/>
        <v>102000</v>
      </c>
      <c r="K3372" s="63">
        <f t="shared" si="1720"/>
        <v>9.1071428571428567E-2</v>
      </c>
      <c r="L3372" s="871" t="s">
        <v>2537</v>
      </c>
      <c r="M3372" s="468"/>
      <c r="N3372" s="664">
        <f t="shared" si="1697"/>
        <v>200929</v>
      </c>
      <c r="O3372" s="71" t="s">
        <v>147</v>
      </c>
      <c r="P3372" s="164" t="str">
        <f t="shared" si="1721"/>
        <v>프리미어(먹)</v>
      </c>
      <c r="Q3372" s="71">
        <f t="shared" si="1702"/>
        <v>200</v>
      </c>
      <c r="R3372" s="102">
        <v>5090</v>
      </c>
      <c r="S3372" s="102">
        <f t="shared" si="1710"/>
        <v>1119800</v>
      </c>
      <c r="T3372" s="102">
        <f t="shared" si="1711"/>
        <v>1018000</v>
      </c>
      <c r="U3372" s="71" t="str">
        <f t="shared" si="1722"/>
        <v>O</v>
      </c>
      <c r="V3372" s="71"/>
      <c r="W3372" s="474">
        <f t="shared" si="1723"/>
        <v>102000</v>
      </c>
      <c r="X3372" s="71"/>
      <c r="Y3372" s="71"/>
    </row>
    <row r="3373" spans="1:25" ht="30" hidden="1" customHeight="1" x14ac:dyDescent="0.25">
      <c r="A3373" s="82">
        <v>200929</v>
      </c>
      <c r="B3373" s="664" t="s">
        <v>1052</v>
      </c>
      <c r="C3373" s="71" t="s">
        <v>585</v>
      </c>
      <c r="D3373" s="71">
        <v>200</v>
      </c>
      <c r="E3373" s="102">
        <v>6000</v>
      </c>
      <c r="F3373" s="102">
        <f t="shared" si="1717"/>
        <v>1320000</v>
      </c>
      <c r="G3373" s="102">
        <f t="shared" si="1718"/>
        <v>1200000</v>
      </c>
      <c r="H3373" s="690" t="s">
        <v>142</v>
      </c>
      <c r="I3373" s="71" t="s">
        <v>144</v>
      </c>
      <c r="J3373" s="53">
        <f t="shared" si="1719"/>
        <v>110000</v>
      </c>
      <c r="K3373" s="63">
        <f t="shared" si="1720"/>
        <v>9.166666666666666E-2</v>
      </c>
      <c r="L3373" s="871" t="s">
        <v>2537</v>
      </c>
      <c r="M3373" s="468"/>
      <c r="N3373" s="664">
        <f t="shared" si="1697"/>
        <v>200929</v>
      </c>
      <c r="O3373" s="71" t="s">
        <v>147</v>
      </c>
      <c r="P3373" s="164" t="str">
        <f t="shared" si="1721"/>
        <v>프리미어(적)</v>
      </c>
      <c r="Q3373" s="71">
        <f t="shared" si="1702"/>
        <v>200</v>
      </c>
      <c r="R3373" s="102">
        <v>5450</v>
      </c>
      <c r="S3373" s="102">
        <f t="shared" ref="S3373:S3380" si="1724">R3373*Q3373*1.1</f>
        <v>1199000</v>
      </c>
      <c r="T3373" s="102">
        <f t="shared" ref="T3373:T3380" si="1725">R3373*Q3373</f>
        <v>1090000</v>
      </c>
      <c r="U3373" s="71" t="str">
        <f t="shared" si="1722"/>
        <v>O</v>
      </c>
      <c r="V3373" s="71"/>
      <c r="W3373" s="474">
        <f t="shared" si="1723"/>
        <v>110000</v>
      </c>
      <c r="X3373" s="71"/>
      <c r="Y3373" s="71"/>
    </row>
    <row r="3374" spans="1:25" ht="30" hidden="1" customHeight="1" x14ac:dyDescent="0.25">
      <c r="A3374" s="82">
        <v>200929</v>
      </c>
      <c r="B3374" s="664" t="s">
        <v>1061</v>
      </c>
      <c r="C3374" s="71" t="s">
        <v>586</v>
      </c>
      <c r="D3374" s="71">
        <v>400</v>
      </c>
      <c r="E3374" s="102">
        <v>5750</v>
      </c>
      <c r="F3374" s="102">
        <f t="shared" si="1717"/>
        <v>2530000</v>
      </c>
      <c r="G3374" s="102">
        <f t="shared" si="1718"/>
        <v>2300000</v>
      </c>
      <c r="H3374" s="690" t="s">
        <v>142</v>
      </c>
      <c r="I3374" s="71" t="s">
        <v>144</v>
      </c>
      <c r="J3374" s="53">
        <f t="shared" si="1719"/>
        <v>212000</v>
      </c>
      <c r="K3374" s="63">
        <f t="shared" si="1720"/>
        <v>9.2173913043478259E-2</v>
      </c>
      <c r="L3374" s="871" t="s">
        <v>2537</v>
      </c>
      <c r="M3374" s="468"/>
      <c r="N3374" s="664">
        <f t="shared" ref="N3374:N3379" si="1726">A3374</f>
        <v>200929</v>
      </c>
      <c r="O3374" s="71" t="s">
        <v>147</v>
      </c>
      <c r="P3374" s="164" t="str">
        <f t="shared" si="1721"/>
        <v>프리미어(황)</v>
      </c>
      <c r="Q3374" s="71">
        <f t="shared" si="1702"/>
        <v>400</v>
      </c>
      <c r="R3374" s="102">
        <v>5220</v>
      </c>
      <c r="S3374" s="102">
        <f t="shared" si="1724"/>
        <v>2296800</v>
      </c>
      <c r="T3374" s="102">
        <f t="shared" si="1725"/>
        <v>2088000</v>
      </c>
      <c r="U3374" s="71" t="str">
        <f t="shared" si="1722"/>
        <v>O</v>
      </c>
      <c r="V3374" s="71"/>
      <c r="W3374" s="474">
        <f t="shared" si="1723"/>
        <v>212000</v>
      </c>
      <c r="X3374" s="71"/>
      <c r="Y3374" s="71"/>
    </row>
    <row r="3375" spans="1:25" ht="30" hidden="1" customHeight="1" x14ac:dyDescent="0.25">
      <c r="A3375" s="82">
        <v>200929</v>
      </c>
      <c r="B3375" s="664" t="s">
        <v>1061</v>
      </c>
      <c r="C3375" s="71" t="s">
        <v>587</v>
      </c>
      <c r="D3375" s="71">
        <v>200</v>
      </c>
      <c r="E3375" s="102">
        <v>7000</v>
      </c>
      <c r="F3375" s="102">
        <f t="shared" si="1717"/>
        <v>1540000.0000000002</v>
      </c>
      <c r="G3375" s="102">
        <f t="shared" si="1718"/>
        <v>1400000</v>
      </c>
      <c r="H3375" s="690" t="s">
        <v>142</v>
      </c>
      <c r="I3375" s="71" t="s">
        <v>144</v>
      </c>
      <c r="J3375" s="53">
        <f t="shared" si="1719"/>
        <v>128000</v>
      </c>
      <c r="K3375" s="63">
        <f t="shared" si="1720"/>
        <v>9.1428571428571415E-2</v>
      </c>
      <c r="L3375" s="871" t="s">
        <v>2537</v>
      </c>
      <c r="M3375" s="468"/>
      <c r="N3375" s="664">
        <f t="shared" si="1726"/>
        <v>200929</v>
      </c>
      <c r="O3375" s="71" t="s">
        <v>147</v>
      </c>
      <c r="P3375" s="164" t="str">
        <f t="shared" si="1721"/>
        <v>프리미어(청)</v>
      </c>
      <c r="Q3375" s="71">
        <f t="shared" si="1702"/>
        <v>200</v>
      </c>
      <c r="R3375" s="102">
        <v>6360</v>
      </c>
      <c r="S3375" s="102">
        <f t="shared" si="1724"/>
        <v>1399200</v>
      </c>
      <c r="T3375" s="102">
        <f t="shared" si="1725"/>
        <v>1272000</v>
      </c>
      <c r="U3375" s="71" t="str">
        <f t="shared" si="1722"/>
        <v>O</v>
      </c>
      <c r="V3375" s="71"/>
      <c r="W3375" s="474">
        <f t="shared" si="1723"/>
        <v>128000</v>
      </c>
      <c r="X3375" s="71"/>
      <c r="Y3375" s="71"/>
    </row>
    <row r="3376" spans="1:25" ht="30" hidden="1" customHeight="1" x14ac:dyDescent="0.25">
      <c r="A3376" s="82">
        <v>200929</v>
      </c>
      <c r="B3376" s="664" t="s">
        <v>1052</v>
      </c>
      <c r="C3376" s="71" t="s">
        <v>1115</v>
      </c>
      <c r="D3376" s="71">
        <v>150</v>
      </c>
      <c r="E3376" s="102">
        <v>6200</v>
      </c>
      <c r="F3376" s="102">
        <f t="shared" si="1717"/>
        <v>1023000.0000000001</v>
      </c>
      <c r="G3376" s="102">
        <f t="shared" si="1718"/>
        <v>930000</v>
      </c>
      <c r="H3376" s="690" t="s">
        <v>142</v>
      </c>
      <c r="I3376" s="71" t="s">
        <v>144</v>
      </c>
      <c r="J3376" s="53">
        <f t="shared" si="1719"/>
        <v>45000</v>
      </c>
      <c r="K3376" s="63">
        <f t="shared" si="1720"/>
        <v>4.838709677419354E-2</v>
      </c>
      <c r="L3376" s="871" t="s">
        <v>2537</v>
      </c>
      <c r="M3376" s="468"/>
      <c r="N3376" s="664">
        <f t="shared" si="1726"/>
        <v>200929</v>
      </c>
      <c r="O3376" s="71" t="s">
        <v>2459</v>
      </c>
      <c r="P3376" s="164" t="str">
        <f>(C3376)</f>
        <v>한특 잉크(적)</v>
      </c>
      <c r="Q3376" s="71">
        <f t="shared" si="1702"/>
        <v>150</v>
      </c>
      <c r="R3376" s="102">
        <v>5900</v>
      </c>
      <c r="S3376" s="102">
        <f t="shared" si="1724"/>
        <v>973500.00000000012</v>
      </c>
      <c r="T3376" s="102">
        <f t="shared" si="1725"/>
        <v>885000</v>
      </c>
      <c r="U3376" s="71" t="str">
        <f t="shared" si="1722"/>
        <v>O</v>
      </c>
      <c r="V3376" s="71"/>
      <c r="W3376" s="474">
        <f t="shared" si="1723"/>
        <v>45000</v>
      </c>
      <c r="X3376" s="71"/>
      <c r="Y3376" s="71"/>
    </row>
    <row r="3377" spans="1:25" ht="30" hidden="1" customHeight="1" x14ac:dyDescent="0.25">
      <c r="A3377" s="82">
        <v>200929</v>
      </c>
      <c r="B3377" s="664" t="s">
        <v>1052</v>
      </c>
      <c r="C3377" s="71" t="s">
        <v>1116</v>
      </c>
      <c r="D3377" s="71">
        <v>150</v>
      </c>
      <c r="E3377" s="102">
        <v>6000</v>
      </c>
      <c r="F3377" s="102">
        <f t="shared" si="1717"/>
        <v>990000.00000000012</v>
      </c>
      <c r="G3377" s="102">
        <f t="shared" si="1718"/>
        <v>900000</v>
      </c>
      <c r="H3377" s="690" t="s">
        <v>142</v>
      </c>
      <c r="I3377" s="71" t="s">
        <v>144</v>
      </c>
      <c r="J3377" s="53">
        <f t="shared" si="1719"/>
        <v>75000</v>
      </c>
      <c r="K3377" s="63">
        <f t="shared" si="1720"/>
        <v>8.3333333333333329E-2</v>
      </c>
      <c r="L3377" s="871" t="s">
        <v>2537</v>
      </c>
      <c r="M3377" s="468"/>
      <c r="N3377" s="664">
        <f t="shared" si="1726"/>
        <v>200929</v>
      </c>
      <c r="O3377" s="71" t="s">
        <v>2459</v>
      </c>
      <c r="P3377" s="164" t="str">
        <f>(C3377)</f>
        <v>한특 잉크(황)</v>
      </c>
      <c r="Q3377" s="71">
        <f t="shared" si="1702"/>
        <v>150</v>
      </c>
      <c r="R3377" s="102">
        <v>5500</v>
      </c>
      <c r="S3377" s="102">
        <f t="shared" si="1724"/>
        <v>907500.00000000012</v>
      </c>
      <c r="T3377" s="102">
        <f t="shared" si="1725"/>
        <v>825000</v>
      </c>
      <c r="U3377" s="71" t="str">
        <f t="shared" si="1722"/>
        <v>O</v>
      </c>
      <c r="V3377" s="71"/>
      <c r="W3377" s="474">
        <f t="shared" si="1723"/>
        <v>75000</v>
      </c>
      <c r="X3377" s="71"/>
      <c r="Y3377" s="71"/>
    </row>
    <row r="3378" spans="1:25" ht="30" hidden="1" customHeight="1" x14ac:dyDescent="0.25">
      <c r="A3378" s="82">
        <v>200929</v>
      </c>
      <c r="B3378" s="664" t="s">
        <v>1052</v>
      </c>
      <c r="C3378" s="71" t="s">
        <v>1117</v>
      </c>
      <c r="D3378" s="71">
        <v>150</v>
      </c>
      <c r="E3378" s="102">
        <v>6500</v>
      </c>
      <c r="F3378" s="102">
        <f t="shared" si="1717"/>
        <v>1072500</v>
      </c>
      <c r="G3378" s="102">
        <f t="shared" si="1718"/>
        <v>975000</v>
      </c>
      <c r="H3378" s="690" t="s">
        <v>142</v>
      </c>
      <c r="I3378" s="71" t="s">
        <v>144</v>
      </c>
      <c r="J3378" s="53">
        <f t="shared" si="1719"/>
        <v>75000</v>
      </c>
      <c r="K3378" s="63">
        <f t="shared" si="1720"/>
        <v>7.6923076923076927E-2</v>
      </c>
      <c r="L3378" s="871" t="s">
        <v>2537</v>
      </c>
      <c r="M3378" s="468"/>
      <c r="N3378" s="664">
        <f t="shared" si="1726"/>
        <v>200929</v>
      </c>
      <c r="O3378" s="71" t="s">
        <v>2459</v>
      </c>
      <c r="P3378" s="164" t="str">
        <f>(C3378)</f>
        <v>한특 잉크(청)</v>
      </c>
      <c r="Q3378" s="71">
        <f>D3378</f>
        <v>150</v>
      </c>
      <c r="R3378" s="102">
        <v>6000</v>
      </c>
      <c r="S3378" s="102">
        <f t="shared" si="1724"/>
        <v>990000.00000000012</v>
      </c>
      <c r="T3378" s="102">
        <f t="shared" si="1725"/>
        <v>900000</v>
      </c>
      <c r="U3378" s="71" t="str">
        <f t="shared" si="1722"/>
        <v>O</v>
      </c>
      <c r="V3378" s="71"/>
      <c r="W3378" s="474">
        <f t="shared" si="1723"/>
        <v>75000</v>
      </c>
      <c r="X3378" s="71"/>
      <c r="Y3378" s="71"/>
    </row>
    <row r="3379" spans="1:25" ht="30" hidden="1" customHeight="1" x14ac:dyDescent="0.25">
      <c r="A3379" s="82">
        <v>200929</v>
      </c>
      <c r="B3379" s="664" t="s">
        <v>1052</v>
      </c>
      <c r="C3379" s="71" t="s">
        <v>1118</v>
      </c>
      <c r="D3379" s="71">
        <v>150</v>
      </c>
      <c r="E3379" s="102">
        <v>5600</v>
      </c>
      <c r="F3379" s="102">
        <f t="shared" si="1717"/>
        <v>924000.00000000012</v>
      </c>
      <c r="G3379" s="102">
        <f t="shared" si="1718"/>
        <v>840000</v>
      </c>
      <c r="H3379" s="690" t="s">
        <v>142</v>
      </c>
      <c r="I3379" s="71" t="s">
        <v>144</v>
      </c>
      <c r="J3379" s="53">
        <f t="shared" si="1719"/>
        <v>60000</v>
      </c>
      <c r="K3379" s="63">
        <f t="shared" si="1720"/>
        <v>7.1428571428571425E-2</v>
      </c>
      <c r="L3379" s="871" t="s">
        <v>2537</v>
      </c>
      <c r="M3379" s="468"/>
      <c r="N3379" s="664">
        <f t="shared" si="1726"/>
        <v>200929</v>
      </c>
      <c r="O3379" s="71" t="s">
        <v>2459</v>
      </c>
      <c r="P3379" s="164" t="str">
        <f>(C3379)</f>
        <v>한특 잉크(먹)</v>
      </c>
      <c r="Q3379" s="71">
        <f>D3379</f>
        <v>150</v>
      </c>
      <c r="R3379" s="102">
        <v>5200</v>
      </c>
      <c r="S3379" s="102">
        <f t="shared" si="1724"/>
        <v>858000.00000000012</v>
      </c>
      <c r="T3379" s="102">
        <f t="shared" si="1725"/>
        <v>780000</v>
      </c>
      <c r="U3379" s="71" t="str">
        <f t="shared" si="1722"/>
        <v>O</v>
      </c>
      <c r="V3379" s="71"/>
      <c r="W3379" s="474">
        <f t="shared" si="1723"/>
        <v>60000</v>
      </c>
      <c r="X3379" s="71"/>
      <c r="Y3379" s="71"/>
    </row>
    <row r="3380" spans="1:25" ht="30" hidden="1" customHeight="1" x14ac:dyDescent="0.2">
      <c r="A3380" s="82">
        <v>200929</v>
      </c>
      <c r="B3380" s="664" t="s">
        <v>575</v>
      </c>
      <c r="C3380" s="71" t="s">
        <v>1367</v>
      </c>
      <c r="D3380" s="71">
        <v>8</v>
      </c>
      <c r="E3380" s="102">
        <v>218000</v>
      </c>
      <c r="F3380" s="163">
        <f t="shared" si="1717"/>
        <v>1918400.0000000002</v>
      </c>
      <c r="G3380" s="102">
        <f t="shared" si="1718"/>
        <v>1744000</v>
      </c>
      <c r="H3380" s="690" t="s">
        <v>173</v>
      </c>
      <c r="I3380" s="71" t="s">
        <v>109</v>
      </c>
      <c r="J3380" s="53">
        <f t="shared" si="1719"/>
        <v>781920</v>
      </c>
      <c r="K3380" s="63">
        <f t="shared" si="1720"/>
        <v>0.44834862385321095</v>
      </c>
      <c r="L3380" s="871" t="s">
        <v>2537</v>
      </c>
      <c r="M3380" s="468"/>
      <c r="N3380" s="664">
        <f>A3380</f>
        <v>200929</v>
      </c>
      <c r="O3380" s="71" t="s">
        <v>1443</v>
      </c>
      <c r="P3380" s="164" t="str">
        <f>(C3380)</f>
        <v>M600 윤전 블랑켓 995*742</v>
      </c>
      <c r="Q3380" s="71">
        <f>D3380</f>
        <v>8</v>
      </c>
      <c r="R3380" s="102">
        <v>120260</v>
      </c>
      <c r="S3380" s="102">
        <f t="shared" si="1724"/>
        <v>1058288</v>
      </c>
      <c r="T3380" s="102">
        <f t="shared" si="1725"/>
        <v>962080</v>
      </c>
      <c r="U3380" s="71" t="str">
        <f t="shared" si="1722"/>
        <v>X</v>
      </c>
      <c r="V3380" s="71"/>
      <c r="W3380" s="474"/>
      <c r="X3380" s="71"/>
      <c r="Y3380" s="71"/>
    </row>
    <row r="3381" spans="1:25" s="978" customFormat="1" ht="45" hidden="1" customHeight="1" x14ac:dyDescent="0.25">
      <c r="A3381" s="982" t="s">
        <v>2558</v>
      </c>
      <c r="B3381" s="976" t="s">
        <v>544</v>
      </c>
      <c r="C3381" s="453"/>
      <c r="D3381" s="453"/>
      <c r="E3381" s="454"/>
      <c r="F3381" s="454"/>
      <c r="G3381" s="454"/>
      <c r="H3381" s="455"/>
      <c r="I3381" s="453"/>
      <c r="J3381" s="417"/>
      <c r="K3381" s="418"/>
      <c r="L3381" s="983" t="s">
        <v>2540</v>
      </c>
      <c r="M3381" s="643"/>
      <c r="N3381" s="724" t="str">
        <f>A3381</f>
        <v>2020,10</v>
      </c>
      <c r="O3381" s="453" t="s">
        <v>154</v>
      </c>
      <c r="P3381" s="728"/>
      <c r="Q3381" s="420"/>
      <c r="R3381" s="420"/>
      <c r="S3381" s="417"/>
      <c r="T3381" s="417"/>
      <c r="U3381" s="421"/>
      <c r="V3381" s="421"/>
      <c r="W3381" s="479">
        <f>(G3381-T3381)</f>
        <v>0</v>
      </c>
      <c r="X3381" s="421"/>
      <c r="Y3381" s="421"/>
    </row>
    <row r="3382" spans="1:25" ht="30" hidden="1" customHeight="1" x14ac:dyDescent="0.2">
      <c r="A3382" s="82">
        <v>200821</v>
      </c>
      <c r="B3382" s="664" t="s">
        <v>2353</v>
      </c>
      <c r="C3382" s="71" t="s">
        <v>129</v>
      </c>
      <c r="D3382" s="71">
        <v>2</v>
      </c>
      <c r="E3382" s="102">
        <v>272000</v>
      </c>
      <c r="F3382" s="163">
        <f t="shared" ref="F3382:F3387" si="1727">(E3382*D3382)*1.1</f>
        <v>598400</v>
      </c>
      <c r="G3382" s="102">
        <f t="shared" ref="G3382:G3390" si="1728">(E3382*D3382)</f>
        <v>544000</v>
      </c>
      <c r="H3382" s="165" t="s">
        <v>142</v>
      </c>
      <c r="I3382" s="71" t="s">
        <v>142</v>
      </c>
      <c r="J3382" s="53">
        <f t="shared" ref="J3382:J3388" si="1729">G3382-T3382</f>
        <v>128000</v>
      </c>
      <c r="K3382" s="63">
        <f t="shared" ref="K3382:K3387" si="1730">(J3382/(F3382/11*10))</f>
        <v>0.23529411764705882</v>
      </c>
      <c r="L3382" s="871" t="s">
        <v>2540</v>
      </c>
      <c r="M3382" s="468" t="s">
        <v>2541</v>
      </c>
      <c r="N3382" s="664">
        <f>A3382</f>
        <v>200821</v>
      </c>
      <c r="O3382" s="71" t="s">
        <v>149</v>
      </c>
      <c r="P3382" s="164" t="str">
        <f>(C3382)</f>
        <v>세정포-XL106</v>
      </c>
      <c r="Q3382" s="71">
        <f>D3382</f>
        <v>2</v>
      </c>
      <c r="R3382" s="102">
        <v>208000</v>
      </c>
      <c r="S3382" s="102">
        <f t="shared" ref="S3382:S3413" si="1731">R3382*Q3382*1.1</f>
        <v>457600.00000000006</v>
      </c>
      <c r="T3382" s="102">
        <f t="shared" ref="T3382:T3413" si="1732">R3382*Q3382</f>
        <v>416000</v>
      </c>
      <c r="U3382" s="71" t="str">
        <f t="shared" ref="U3382:U3413" si="1733">IF(J3382=W3382,"O", "X")</f>
        <v>O</v>
      </c>
      <c r="V3382" s="71"/>
      <c r="W3382" s="474">
        <f>(G3382-T3382)</f>
        <v>128000</v>
      </c>
      <c r="X3382" s="71"/>
      <c r="Y3382" s="71"/>
    </row>
    <row r="3383" spans="1:25" s="209" customFormat="1" ht="30" hidden="1" customHeight="1" x14ac:dyDescent="0.2">
      <c r="A3383" s="82">
        <v>200928</v>
      </c>
      <c r="B3383" s="664" t="s">
        <v>764</v>
      </c>
      <c r="C3383" s="71" t="s">
        <v>236</v>
      </c>
      <c r="D3383" s="71">
        <v>10</v>
      </c>
      <c r="E3383" s="102">
        <v>100000</v>
      </c>
      <c r="F3383" s="163">
        <f t="shared" si="1727"/>
        <v>1100000</v>
      </c>
      <c r="G3383" s="102">
        <f t="shared" si="1728"/>
        <v>1000000</v>
      </c>
      <c r="H3383" s="690" t="s">
        <v>173</v>
      </c>
      <c r="I3383" s="71" t="s">
        <v>2231</v>
      </c>
      <c r="J3383" s="53">
        <f t="shared" si="1729"/>
        <v>500000</v>
      </c>
      <c r="K3383" s="63">
        <f t="shared" si="1730"/>
        <v>0.5</v>
      </c>
      <c r="L3383" s="871" t="s">
        <v>2568</v>
      </c>
      <c r="M3383" s="468"/>
      <c r="N3383" s="664">
        <f t="shared" ref="N3383:N3446" si="1734">A3383</f>
        <v>200928</v>
      </c>
      <c r="O3383" s="71" t="s">
        <v>153</v>
      </c>
      <c r="P3383" s="164" t="str">
        <f t="shared" ref="P3383:P3446" si="1735">(C3383)</f>
        <v>아스테이지(국전)</v>
      </c>
      <c r="Q3383" s="71">
        <f t="shared" ref="Q3383:Q3446" si="1736">D3383</f>
        <v>10</v>
      </c>
      <c r="R3383" s="102">
        <v>50000</v>
      </c>
      <c r="S3383" s="102">
        <f t="shared" si="1731"/>
        <v>550000</v>
      </c>
      <c r="T3383" s="102">
        <f t="shared" si="1732"/>
        <v>500000</v>
      </c>
      <c r="U3383" s="71" t="str">
        <f t="shared" si="1733"/>
        <v>O</v>
      </c>
      <c r="V3383" s="71"/>
      <c r="W3383" s="474">
        <v>500000</v>
      </c>
      <c r="X3383" s="71"/>
      <c r="Y3383" s="71"/>
    </row>
    <row r="3384" spans="1:25" ht="30" hidden="1" customHeight="1" x14ac:dyDescent="0.2">
      <c r="A3384" s="82">
        <v>201001</v>
      </c>
      <c r="B3384" s="664" t="s">
        <v>1220</v>
      </c>
      <c r="C3384" s="71" t="s">
        <v>2573</v>
      </c>
      <c r="D3384" s="71">
        <v>1</v>
      </c>
      <c r="E3384" s="102">
        <v>2000000</v>
      </c>
      <c r="F3384" s="163">
        <f t="shared" si="1727"/>
        <v>2200000</v>
      </c>
      <c r="G3384" s="102">
        <f t="shared" si="1728"/>
        <v>2000000</v>
      </c>
      <c r="H3384" s="690" t="s">
        <v>1431</v>
      </c>
      <c r="I3384" s="690" t="s">
        <v>1431</v>
      </c>
      <c r="J3384" s="53">
        <f t="shared" si="1729"/>
        <v>2000000</v>
      </c>
      <c r="K3384" s="63">
        <f t="shared" si="1730"/>
        <v>1</v>
      </c>
      <c r="L3384" s="871" t="s">
        <v>2568</v>
      </c>
      <c r="M3384" s="468"/>
      <c r="N3384" s="664">
        <f t="shared" si="1734"/>
        <v>201001</v>
      </c>
      <c r="O3384" s="71"/>
      <c r="P3384" s="164" t="str">
        <f t="shared" si="1735"/>
        <v>Sales Commission for CMC-620JU107</v>
      </c>
      <c r="Q3384" s="71">
        <f t="shared" si="1736"/>
        <v>1</v>
      </c>
      <c r="R3384" s="102">
        <v>0</v>
      </c>
      <c r="S3384" s="102">
        <f t="shared" si="1731"/>
        <v>0</v>
      </c>
      <c r="T3384" s="102">
        <f t="shared" si="1732"/>
        <v>0</v>
      </c>
      <c r="U3384" s="71" t="str">
        <f t="shared" si="1733"/>
        <v>X</v>
      </c>
      <c r="V3384" s="71"/>
      <c r="W3384" s="474"/>
      <c r="X3384" s="71"/>
      <c r="Y3384" s="71"/>
    </row>
    <row r="3385" spans="1:25" ht="30" hidden="1" customHeight="1" x14ac:dyDescent="0.2">
      <c r="A3385" s="82">
        <v>201005</v>
      </c>
      <c r="B3385" s="664" t="s">
        <v>546</v>
      </c>
      <c r="C3385" s="71" t="s">
        <v>881</v>
      </c>
      <c r="D3385" s="71">
        <v>40</v>
      </c>
      <c r="E3385" s="102">
        <v>18000</v>
      </c>
      <c r="F3385" s="163">
        <f t="shared" si="1727"/>
        <v>792000.00000000012</v>
      </c>
      <c r="G3385" s="102">
        <f t="shared" si="1728"/>
        <v>720000</v>
      </c>
      <c r="H3385" s="690" t="s">
        <v>1431</v>
      </c>
      <c r="I3385" s="690" t="s">
        <v>1431</v>
      </c>
      <c r="J3385" s="53">
        <f t="shared" si="1729"/>
        <v>326560</v>
      </c>
      <c r="K3385" s="63">
        <f t="shared" si="1730"/>
        <v>0.45355555555555549</v>
      </c>
      <c r="L3385" s="871" t="s">
        <v>2568</v>
      </c>
      <c r="M3385" s="468"/>
      <c r="N3385" s="664">
        <f t="shared" si="1734"/>
        <v>201005</v>
      </c>
      <c r="O3385" s="71" t="s">
        <v>1431</v>
      </c>
      <c r="P3385" s="164" t="str">
        <f t="shared" si="1735"/>
        <v>스트리퍼(대)</v>
      </c>
      <c r="Q3385" s="71">
        <f t="shared" si="1736"/>
        <v>40</v>
      </c>
      <c r="R3385" s="102">
        <v>9836</v>
      </c>
      <c r="S3385" s="102">
        <f t="shared" si="1731"/>
        <v>432784.00000000006</v>
      </c>
      <c r="T3385" s="102">
        <f t="shared" si="1732"/>
        <v>393440</v>
      </c>
      <c r="U3385" s="71" t="str">
        <f t="shared" si="1733"/>
        <v>X</v>
      </c>
      <c r="V3385" s="71"/>
      <c r="W3385" s="474"/>
      <c r="X3385" s="71"/>
      <c r="Y3385" s="71"/>
    </row>
    <row r="3386" spans="1:25" ht="30" hidden="1" customHeight="1" x14ac:dyDescent="0.2">
      <c r="A3386" s="82">
        <v>201005</v>
      </c>
      <c r="B3386" s="664" t="s">
        <v>546</v>
      </c>
      <c r="C3386" s="71" t="s">
        <v>882</v>
      </c>
      <c r="D3386" s="71">
        <v>10</v>
      </c>
      <c r="E3386" s="102">
        <v>18000</v>
      </c>
      <c r="F3386" s="163">
        <f t="shared" si="1727"/>
        <v>198000.00000000003</v>
      </c>
      <c r="G3386" s="102">
        <f t="shared" si="1728"/>
        <v>180000</v>
      </c>
      <c r="H3386" s="690" t="s">
        <v>1431</v>
      </c>
      <c r="I3386" s="690" t="s">
        <v>1431</v>
      </c>
      <c r="J3386" s="53">
        <f t="shared" si="1729"/>
        <v>81640</v>
      </c>
      <c r="K3386" s="63">
        <f t="shared" si="1730"/>
        <v>0.45355555555555549</v>
      </c>
      <c r="L3386" s="871" t="s">
        <v>2568</v>
      </c>
      <c r="M3386" s="468"/>
      <c r="N3386" s="664">
        <f t="shared" si="1734"/>
        <v>201005</v>
      </c>
      <c r="O3386" s="71" t="s">
        <v>1431</v>
      </c>
      <c r="P3386" s="164" t="str">
        <f t="shared" si="1735"/>
        <v>스트리퍼(소)</v>
      </c>
      <c r="Q3386" s="71">
        <f t="shared" si="1736"/>
        <v>10</v>
      </c>
      <c r="R3386" s="102">
        <v>9836</v>
      </c>
      <c r="S3386" s="102">
        <f t="shared" si="1731"/>
        <v>108196.00000000001</v>
      </c>
      <c r="T3386" s="102">
        <f t="shared" si="1732"/>
        <v>98360</v>
      </c>
      <c r="U3386" s="71" t="str">
        <f t="shared" si="1733"/>
        <v>X</v>
      </c>
      <c r="V3386" s="71"/>
      <c r="W3386" s="474"/>
      <c r="X3386" s="71"/>
      <c r="Y3386" s="71"/>
    </row>
    <row r="3387" spans="1:25" ht="30" hidden="1" customHeight="1" x14ac:dyDescent="0.2">
      <c r="A3387" s="82">
        <v>201005</v>
      </c>
      <c r="B3387" s="664" t="s">
        <v>546</v>
      </c>
      <c r="C3387" s="71" t="s">
        <v>1918</v>
      </c>
      <c r="D3387" s="71">
        <v>30</v>
      </c>
      <c r="E3387" s="102">
        <v>27000</v>
      </c>
      <c r="F3387" s="163">
        <f t="shared" si="1727"/>
        <v>891000.00000000012</v>
      </c>
      <c r="G3387" s="102">
        <f t="shared" si="1728"/>
        <v>810000</v>
      </c>
      <c r="H3387" s="690" t="s">
        <v>1431</v>
      </c>
      <c r="I3387" s="690" t="s">
        <v>1431</v>
      </c>
      <c r="J3387" s="53">
        <f t="shared" si="1729"/>
        <v>415140</v>
      </c>
      <c r="K3387" s="63">
        <f t="shared" si="1730"/>
        <v>0.51251851851851848</v>
      </c>
      <c r="L3387" s="871" t="s">
        <v>2568</v>
      </c>
      <c r="M3387" s="468"/>
      <c r="N3387" s="664">
        <f t="shared" si="1734"/>
        <v>201005</v>
      </c>
      <c r="O3387" s="71" t="s">
        <v>1431</v>
      </c>
      <c r="P3387" s="164" t="str">
        <f t="shared" si="1735"/>
        <v>브러쉬</v>
      </c>
      <c r="Q3387" s="71">
        <f t="shared" si="1736"/>
        <v>30</v>
      </c>
      <c r="R3387" s="102">
        <v>13162</v>
      </c>
      <c r="S3387" s="102">
        <f t="shared" si="1731"/>
        <v>434346.00000000006</v>
      </c>
      <c r="T3387" s="102">
        <f t="shared" si="1732"/>
        <v>394860</v>
      </c>
      <c r="U3387" s="71" t="str">
        <f t="shared" si="1733"/>
        <v>X</v>
      </c>
      <c r="V3387" s="71"/>
      <c r="W3387" s="474"/>
      <c r="X3387" s="71"/>
      <c r="Y3387" s="71"/>
    </row>
    <row r="3388" spans="1:25" ht="30" hidden="1" customHeight="1" x14ac:dyDescent="0.2">
      <c r="A3388" s="82">
        <v>201006</v>
      </c>
      <c r="B3388" s="664" t="s">
        <v>2353</v>
      </c>
      <c r="C3388" s="71" t="s">
        <v>129</v>
      </c>
      <c r="D3388" s="71">
        <v>7</v>
      </c>
      <c r="E3388" s="102">
        <v>272000</v>
      </c>
      <c r="F3388" s="163">
        <f t="shared" ref="F3388:F3393" si="1737">(E3388*D3388)*1.1</f>
        <v>2094400.0000000002</v>
      </c>
      <c r="G3388" s="102">
        <f t="shared" si="1728"/>
        <v>1904000</v>
      </c>
      <c r="H3388" s="165" t="s">
        <v>142</v>
      </c>
      <c r="I3388" s="71" t="s">
        <v>142</v>
      </c>
      <c r="J3388" s="53">
        <f t="shared" si="1729"/>
        <v>448000</v>
      </c>
      <c r="K3388" s="63">
        <f t="shared" ref="K3388:K3393" si="1738">(J3388/(F3388/11*10))</f>
        <v>0.23529411764705879</v>
      </c>
      <c r="L3388" s="871" t="s">
        <v>2568</v>
      </c>
      <c r="M3388" s="468" t="s">
        <v>2050</v>
      </c>
      <c r="N3388" s="664">
        <f t="shared" si="1734"/>
        <v>201006</v>
      </c>
      <c r="O3388" s="71" t="s">
        <v>149</v>
      </c>
      <c r="P3388" s="164" t="str">
        <f t="shared" si="1735"/>
        <v>세정포-XL106</v>
      </c>
      <c r="Q3388" s="71">
        <f t="shared" si="1736"/>
        <v>7</v>
      </c>
      <c r="R3388" s="102">
        <v>208000</v>
      </c>
      <c r="S3388" s="102">
        <f t="shared" si="1731"/>
        <v>1601600.0000000002</v>
      </c>
      <c r="T3388" s="102">
        <f t="shared" si="1732"/>
        <v>1456000</v>
      </c>
      <c r="U3388" s="71" t="str">
        <f t="shared" si="1733"/>
        <v>O</v>
      </c>
      <c r="V3388" s="71"/>
      <c r="W3388" s="474">
        <f>(G3388-T3388)</f>
        <v>448000</v>
      </c>
      <c r="X3388" s="71"/>
      <c r="Y3388" s="71"/>
    </row>
    <row r="3389" spans="1:25" s="209" customFormat="1" ht="30" hidden="1" customHeight="1" x14ac:dyDescent="0.2">
      <c r="A3389" s="82">
        <v>201006</v>
      </c>
      <c r="B3389" s="664" t="s">
        <v>2353</v>
      </c>
      <c r="C3389" s="71" t="s">
        <v>130</v>
      </c>
      <c r="D3389" s="71">
        <v>20</v>
      </c>
      <c r="E3389" s="102">
        <v>125000</v>
      </c>
      <c r="F3389" s="163">
        <f t="shared" si="1737"/>
        <v>2750000</v>
      </c>
      <c r="G3389" s="102">
        <f t="shared" si="1728"/>
        <v>2500000</v>
      </c>
      <c r="H3389" s="165" t="s">
        <v>142</v>
      </c>
      <c r="I3389" s="71" t="s">
        <v>142</v>
      </c>
      <c r="J3389" s="53">
        <f>(G3389-(VLOOKUP(C3389,Price!B:D,3,FALSE)*D3389))</f>
        <v>520000</v>
      </c>
      <c r="K3389" s="63">
        <f t="shared" si="1738"/>
        <v>0.20799999999999999</v>
      </c>
      <c r="L3389" s="871" t="s">
        <v>2568</v>
      </c>
      <c r="M3389" s="468" t="s">
        <v>2050</v>
      </c>
      <c r="N3389" s="664">
        <f t="shared" si="1734"/>
        <v>201006</v>
      </c>
      <c r="O3389" s="71" t="s">
        <v>150</v>
      </c>
      <c r="P3389" s="164" t="str">
        <f t="shared" si="1735"/>
        <v>XL106 Blanket(1077*885)</v>
      </c>
      <c r="Q3389" s="71">
        <f t="shared" si="1736"/>
        <v>20</v>
      </c>
      <c r="R3389" s="102">
        <v>99000</v>
      </c>
      <c r="S3389" s="102">
        <f t="shared" si="1731"/>
        <v>2178000</v>
      </c>
      <c r="T3389" s="102">
        <f t="shared" si="1732"/>
        <v>1980000</v>
      </c>
      <c r="U3389" s="71" t="str">
        <f t="shared" si="1733"/>
        <v>O</v>
      </c>
      <c r="V3389" s="71"/>
      <c r="W3389" s="474">
        <f>(G3389-T3389)</f>
        <v>520000</v>
      </c>
      <c r="X3389" s="71"/>
      <c r="Y3389" s="71"/>
    </row>
    <row r="3390" spans="1:25" ht="30" hidden="1" customHeight="1" x14ac:dyDescent="0.25">
      <c r="A3390" s="82">
        <v>201006</v>
      </c>
      <c r="B3390" s="664" t="s">
        <v>2353</v>
      </c>
      <c r="C3390" s="71" t="s">
        <v>2031</v>
      </c>
      <c r="D3390" s="71">
        <v>4</v>
      </c>
      <c r="E3390" s="102">
        <v>35000</v>
      </c>
      <c r="F3390" s="102">
        <f t="shared" si="1737"/>
        <v>154000</v>
      </c>
      <c r="G3390" s="102">
        <f t="shared" si="1728"/>
        <v>140000</v>
      </c>
      <c r="H3390" s="690" t="s">
        <v>142</v>
      </c>
      <c r="I3390" s="71" t="s">
        <v>142</v>
      </c>
      <c r="J3390" s="53">
        <f>G3390-T3390</f>
        <v>44000</v>
      </c>
      <c r="K3390" s="63">
        <f t="shared" si="1738"/>
        <v>0.31428571428571428</v>
      </c>
      <c r="L3390" s="871" t="s">
        <v>2568</v>
      </c>
      <c r="M3390" s="468" t="s">
        <v>2054</v>
      </c>
      <c r="N3390" s="664">
        <f t="shared" si="1734"/>
        <v>201006</v>
      </c>
      <c r="O3390" s="71" t="s">
        <v>94</v>
      </c>
      <c r="P3390" s="164" t="str">
        <f t="shared" si="1735"/>
        <v>필터백</v>
      </c>
      <c r="Q3390" s="71">
        <f t="shared" si="1736"/>
        <v>4</v>
      </c>
      <c r="R3390" s="102">
        <v>24000</v>
      </c>
      <c r="S3390" s="102">
        <f t="shared" si="1731"/>
        <v>105600.00000000001</v>
      </c>
      <c r="T3390" s="102">
        <f t="shared" si="1732"/>
        <v>96000</v>
      </c>
      <c r="U3390" s="71" t="str">
        <f t="shared" si="1733"/>
        <v>X</v>
      </c>
      <c r="V3390" s="71"/>
      <c r="W3390" s="474"/>
      <c r="X3390" s="71"/>
      <c r="Y3390" s="71"/>
    </row>
    <row r="3391" spans="1:25" ht="30" hidden="1" customHeight="1" x14ac:dyDescent="0.25">
      <c r="A3391" s="82">
        <v>201006</v>
      </c>
      <c r="B3391" s="664" t="s">
        <v>690</v>
      </c>
      <c r="C3391" s="71" t="s">
        <v>1186</v>
      </c>
      <c r="D3391" s="71">
        <v>500</v>
      </c>
      <c r="E3391" s="102">
        <v>3420</v>
      </c>
      <c r="F3391" s="1128">
        <f t="shared" si="1737"/>
        <v>1881000.0000000002</v>
      </c>
      <c r="G3391" s="102">
        <f t="shared" ref="G3391:G3401" si="1739">(E3391*D3391)</f>
        <v>1710000</v>
      </c>
      <c r="H3391" s="690" t="s">
        <v>173</v>
      </c>
      <c r="I3391" s="71" t="s">
        <v>2230</v>
      </c>
      <c r="J3391" s="53">
        <f>G3391-T3391</f>
        <v>-190000</v>
      </c>
      <c r="K3391" s="63">
        <f t="shared" si="1738"/>
        <v>-0.11111111111111109</v>
      </c>
      <c r="L3391" s="871" t="s">
        <v>2568</v>
      </c>
      <c r="M3391" s="468" t="s">
        <v>1393</v>
      </c>
      <c r="N3391" s="664">
        <f t="shared" si="1734"/>
        <v>201006</v>
      </c>
      <c r="O3391" s="71" t="s">
        <v>145</v>
      </c>
      <c r="P3391" s="164" t="str">
        <f t="shared" si="1735"/>
        <v>CTP 판(1030*790mm)</v>
      </c>
      <c r="Q3391" s="71">
        <f t="shared" si="1736"/>
        <v>500</v>
      </c>
      <c r="R3391" s="102">
        <v>3800</v>
      </c>
      <c r="S3391" s="102">
        <f t="shared" si="1731"/>
        <v>2090000.0000000002</v>
      </c>
      <c r="T3391" s="102">
        <f t="shared" si="1732"/>
        <v>1900000</v>
      </c>
      <c r="U3391" s="71" t="str">
        <f t="shared" si="1733"/>
        <v>X</v>
      </c>
      <c r="V3391" s="71"/>
      <c r="W3391" s="474">
        <v>-200000</v>
      </c>
      <c r="X3391" s="71"/>
      <c r="Y3391" s="71"/>
    </row>
    <row r="3392" spans="1:25" ht="30" hidden="1" customHeight="1" x14ac:dyDescent="0.25">
      <c r="A3392" s="82">
        <v>201006</v>
      </c>
      <c r="B3392" s="664" t="s">
        <v>690</v>
      </c>
      <c r="C3392" s="71" t="s">
        <v>197</v>
      </c>
      <c r="D3392" s="71">
        <v>2</v>
      </c>
      <c r="E3392" s="102">
        <v>46000</v>
      </c>
      <c r="F3392" s="1128">
        <f t="shared" si="1737"/>
        <v>101200.00000000001</v>
      </c>
      <c r="G3392" s="102">
        <f t="shared" si="1739"/>
        <v>92000</v>
      </c>
      <c r="H3392" s="690" t="s">
        <v>173</v>
      </c>
      <c r="I3392" s="71" t="s">
        <v>2230</v>
      </c>
      <c r="J3392" s="53">
        <f>G3392-T3392</f>
        <v>22000</v>
      </c>
      <c r="K3392" s="63">
        <f t="shared" si="1738"/>
        <v>0.23913043478260865</v>
      </c>
      <c r="L3392" s="871" t="s">
        <v>2568</v>
      </c>
      <c r="M3392" s="468" t="s">
        <v>1394</v>
      </c>
      <c r="N3392" s="664">
        <f t="shared" si="1734"/>
        <v>201006</v>
      </c>
      <c r="O3392" s="71" t="s">
        <v>145</v>
      </c>
      <c r="P3392" s="164" t="str">
        <f t="shared" si="1735"/>
        <v>THR200(20L)</v>
      </c>
      <c r="Q3392" s="71">
        <f t="shared" si="1736"/>
        <v>2</v>
      </c>
      <c r="R3392" s="102">
        <v>35000</v>
      </c>
      <c r="S3392" s="102">
        <f t="shared" si="1731"/>
        <v>77000</v>
      </c>
      <c r="T3392" s="102">
        <f t="shared" si="1732"/>
        <v>70000</v>
      </c>
      <c r="U3392" s="71" t="str">
        <f t="shared" si="1733"/>
        <v>X</v>
      </c>
      <c r="V3392" s="71"/>
      <c r="W3392" s="474"/>
      <c r="X3392" s="71"/>
      <c r="Y3392" s="71"/>
    </row>
    <row r="3393" spans="1:25" ht="30" hidden="1" customHeight="1" x14ac:dyDescent="0.25">
      <c r="A3393" s="82">
        <v>201006</v>
      </c>
      <c r="B3393" s="664" t="s">
        <v>690</v>
      </c>
      <c r="C3393" s="71" t="s">
        <v>752</v>
      </c>
      <c r="D3393" s="71">
        <v>1</v>
      </c>
      <c r="E3393" s="102">
        <v>79000</v>
      </c>
      <c r="F3393" s="102">
        <f t="shared" si="1737"/>
        <v>86900</v>
      </c>
      <c r="G3393" s="102">
        <f t="shared" si="1739"/>
        <v>79000</v>
      </c>
      <c r="H3393" s="690" t="s">
        <v>173</v>
      </c>
      <c r="I3393" s="71" t="s">
        <v>2230</v>
      </c>
      <c r="J3393" s="53">
        <f>(G3393-(VLOOKUP(C3393,Price!B:D,3,FALSE)*D3393))</f>
        <v>14000</v>
      </c>
      <c r="K3393" s="63">
        <f t="shared" si="1738"/>
        <v>0.17721518987341772</v>
      </c>
      <c r="L3393" s="871" t="s">
        <v>2568</v>
      </c>
      <c r="M3393" s="468"/>
      <c r="N3393" s="664">
        <f t="shared" si="1734"/>
        <v>201006</v>
      </c>
      <c r="O3393" s="71" t="s">
        <v>145</v>
      </c>
      <c r="P3393" s="164" t="str">
        <f t="shared" si="1735"/>
        <v>RC795(20L)</v>
      </c>
      <c r="Q3393" s="71">
        <f t="shared" si="1736"/>
        <v>1</v>
      </c>
      <c r="R3393" s="102">
        <v>65000</v>
      </c>
      <c r="S3393" s="102">
        <f t="shared" si="1731"/>
        <v>71500</v>
      </c>
      <c r="T3393" s="102">
        <f t="shared" si="1732"/>
        <v>65000</v>
      </c>
      <c r="U3393" s="71" t="str">
        <f t="shared" si="1733"/>
        <v>O</v>
      </c>
      <c r="V3393" s="71"/>
      <c r="W3393" s="474">
        <f>(G3393-T3393)</f>
        <v>14000</v>
      </c>
      <c r="X3393" s="71"/>
      <c r="Y3393" s="71"/>
    </row>
    <row r="3394" spans="1:25" ht="30" hidden="1" customHeight="1" x14ac:dyDescent="0.2">
      <c r="A3394" s="82">
        <v>201007</v>
      </c>
      <c r="B3394" s="664" t="s">
        <v>2572</v>
      </c>
      <c r="C3394" s="71" t="s">
        <v>2571</v>
      </c>
      <c r="D3394" s="71">
        <v>3</v>
      </c>
      <c r="E3394" s="102">
        <v>700000</v>
      </c>
      <c r="F3394" s="163">
        <f t="shared" ref="F3394:F3404" si="1740">(E3394*D3394)*1.1</f>
        <v>2310000</v>
      </c>
      <c r="G3394" s="102">
        <f>(E3394*D3394)</f>
        <v>2100000</v>
      </c>
      <c r="H3394" s="690" t="s">
        <v>173</v>
      </c>
      <c r="I3394" s="71" t="s">
        <v>2184</v>
      </c>
      <c r="J3394" s="53">
        <f t="shared" ref="J3394:J3404" si="1741">G3394-T3394</f>
        <v>1319514</v>
      </c>
      <c r="K3394" s="63">
        <f>(J3394/(F3394/11*10))</f>
        <v>0.62834000000000001</v>
      </c>
      <c r="L3394" s="871" t="s">
        <v>2568</v>
      </c>
      <c r="M3394" s="468"/>
      <c r="N3394" s="664">
        <f t="shared" si="1734"/>
        <v>201007</v>
      </c>
      <c r="O3394" s="71" t="s">
        <v>2179</v>
      </c>
      <c r="P3394" s="164" t="str">
        <f t="shared" si="1735"/>
        <v>UV Lamp 하이델베르그 xl75용</v>
      </c>
      <c r="Q3394" s="71">
        <f t="shared" si="1736"/>
        <v>3</v>
      </c>
      <c r="R3394" s="102">
        <v>260162</v>
      </c>
      <c r="S3394" s="102">
        <f t="shared" si="1731"/>
        <v>858534.60000000009</v>
      </c>
      <c r="T3394" s="102">
        <f t="shared" si="1732"/>
        <v>780486</v>
      </c>
      <c r="U3394" s="71" t="str">
        <f t="shared" si="1733"/>
        <v>X</v>
      </c>
      <c r="V3394" s="71"/>
      <c r="W3394" s="474"/>
      <c r="X3394" s="71"/>
      <c r="Y3394" s="71"/>
    </row>
    <row r="3395" spans="1:25" ht="30" hidden="1" customHeight="1" x14ac:dyDescent="0.2">
      <c r="A3395" s="82">
        <v>201007</v>
      </c>
      <c r="B3395" s="664" t="s">
        <v>2569</v>
      </c>
      <c r="C3395" s="71" t="s">
        <v>2570</v>
      </c>
      <c r="D3395" s="71">
        <v>5</v>
      </c>
      <c r="E3395" s="102">
        <v>650000</v>
      </c>
      <c r="F3395" s="163">
        <f t="shared" si="1740"/>
        <v>3575000.0000000005</v>
      </c>
      <c r="G3395" s="102">
        <f>(E3395*D3395)</f>
        <v>3250000</v>
      </c>
      <c r="H3395" s="690" t="s">
        <v>142</v>
      </c>
      <c r="I3395" s="690" t="s">
        <v>142</v>
      </c>
      <c r="J3395" s="53">
        <f t="shared" si="1741"/>
        <v>2132825</v>
      </c>
      <c r="K3395" s="63">
        <f>(J3395/(F3395/11*10))</f>
        <v>0.65625384615384608</v>
      </c>
      <c r="L3395" s="871" t="s">
        <v>2568</v>
      </c>
      <c r="M3395" s="468"/>
      <c r="N3395" s="664">
        <f t="shared" si="1734"/>
        <v>201007</v>
      </c>
      <c r="O3395" s="71" t="s">
        <v>2179</v>
      </c>
      <c r="P3395" s="164" t="str">
        <f t="shared" si="1735"/>
        <v>Baldwin UV 램프 T-3절용</v>
      </c>
      <c r="Q3395" s="71">
        <f t="shared" si="1736"/>
        <v>5</v>
      </c>
      <c r="R3395" s="102">
        <v>223435</v>
      </c>
      <c r="S3395" s="102">
        <f t="shared" si="1731"/>
        <v>1228892.5</v>
      </c>
      <c r="T3395" s="102">
        <f t="shared" si="1732"/>
        <v>1117175</v>
      </c>
      <c r="U3395" s="71" t="str">
        <f t="shared" si="1733"/>
        <v>X</v>
      </c>
      <c r="V3395" s="71"/>
      <c r="W3395" s="474"/>
      <c r="X3395" s="71"/>
      <c r="Y3395" s="71"/>
    </row>
    <row r="3396" spans="1:25" s="209" customFormat="1" ht="30" hidden="1" customHeight="1" x14ac:dyDescent="0.25">
      <c r="A3396" s="82">
        <v>201008</v>
      </c>
      <c r="B3396" s="664" t="s">
        <v>2155</v>
      </c>
      <c r="C3396" s="71" t="s">
        <v>138</v>
      </c>
      <c r="D3396" s="71">
        <v>10</v>
      </c>
      <c r="E3396" s="102">
        <v>47600</v>
      </c>
      <c r="F3396" s="163">
        <f t="shared" si="1740"/>
        <v>523600.00000000006</v>
      </c>
      <c r="G3396" s="102">
        <f t="shared" si="1739"/>
        <v>476000</v>
      </c>
      <c r="H3396" s="1129" t="s">
        <v>172</v>
      </c>
      <c r="I3396" s="71" t="s">
        <v>108</v>
      </c>
      <c r="J3396" s="53">
        <f t="shared" si="1741"/>
        <v>68000</v>
      </c>
      <c r="K3396" s="63">
        <f>(J3396/(F3396/11*10))</f>
        <v>0.14285714285714285</v>
      </c>
      <c r="L3396" s="871" t="s">
        <v>2568</v>
      </c>
      <c r="M3396" s="468" t="s">
        <v>2214</v>
      </c>
      <c r="N3396" s="664">
        <f t="shared" si="1734"/>
        <v>201008</v>
      </c>
      <c r="O3396" s="71" t="s">
        <v>150</v>
      </c>
      <c r="P3396" s="164" t="str">
        <f t="shared" si="1735"/>
        <v>매엽용 세척제(Wash 562)</v>
      </c>
      <c r="Q3396" s="71">
        <f t="shared" si="1736"/>
        <v>10</v>
      </c>
      <c r="R3396" s="102">
        <v>40800</v>
      </c>
      <c r="S3396" s="102">
        <f t="shared" si="1731"/>
        <v>448800.00000000006</v>
      </c>
      <c r="T3396" s="102">
        <f t="shared" si="1732"/>
        <v>408000</v>
      </c>
      <c r="U3396" s="71" t="str">
        <f t="shared" si="1733"/>
        <v>X</v>
      </c>
      <c r="V3396" s="71"/>
      <c r="W3396" s="474">
        <v>85000</v>
      </c>
      <c r="X3396" s="71"/>
      <c r="Y3396" s="71"/>
    </row>
    <row r="3397" spans="1:25" ht="30" hidden="1" customHeight="1" x14ac:dyDescent="0.25">
      <c r="A3397" s="82">
        <v>201008</v>
      </c>
      <c r="B3397" s="664" t="s">
        <v>2155</v>
      </c>
      <c r="C3397" s="71" t="s">
        <v>277</v>
      </c>
      <c r="D3397" s="71">
        <v>5</v>
      </c>
      <c r="E3397" s="102">
        <v>172000</v>
      </c>
      <c r="F3397" s="102">
        <f t="shared" si="1740"/>
        <v>946000.00000000012</v>
      </c>
      <c r="G3397" s="102">
        <f t="shared" si="1739"/>
        <v>860000</v>
      </c>
      <c r="H3397" s="690" t="s">
        <v>173</v>
      </c>
      <c r="I3397" s="71" t="s">
        <v>108</v>
      </c>
      <c r="J3397" s="53">
        <f t="shared" si="1741"/>
        <v>285000</v>
      </c>
      <c r="K3397" s="63">
        <v>0.33139534883720928</v>
      </c>
      <c r="L3397" s="871" t="s">
        <v>2568</v>
      </c>
      <c r="M3397" s="468"/>
      <c r="N3397" s="664">
        <f t="shared" si="1734"/>
        <v>201008</v>
      </c>
      <c r="O3397" s="71" t="s">
        <v>150</v>
      </c>
      <c r="P3397" s="164" t="str">
        <f t="shared" si="1735"/>
        <v>윤전용 세척제(Web 504)</v>
      </c>
      <c r="Q3397" s="71">
        <f t="shared" si="1736"/>
        <v>5</v>
      </c>
      <c r="R3397" s="102">
        <v>115000</v>
      </c>
      <c r="S3397" s="102">
        <f t="shared" si="1731"/>
        <v>632500</v>
      </c>
      <c r="T3397" s="102">
        <f t="shared" si="1732"/>
        <v>575000</v>
      </c>
      <c r="U3397" s="71" t="str">
        <f t="shared" si="1733"/>
        <v>O</v>
      </c>
      <c r="V3397" s="71"/>
      <c r="W3397" s="474">
        <v>285000</v>
      </c>
      <c r="X3397" s="71"/>
      <c r="Y3397" s="71"/>
    </row>
    <row r="3398" spans="1:25" ht="30" hidden="1" customHeight="1" x14ac:dyDescent="0.25">
      <c r="A3398" s="82">
        <v>201008</v>
      </c>
      <c r="B3398" s="664" t="s">
        <v>2155</v>
      </c>
      <c r="C3398" s="760" t="s">
        <v>218</v>
      </c>
      <c r="D3398" s="71">
        <v>5</v>
      </c>
      <c r="E3398" s="102">
        <v>192500</v>
      </c>
      <c r="F3398" s="102">
        <f t="shared" si="1740"/>
        <v>1058750</v>
      </c>
      <c r="G3398" s="102">
        <f t="shared" si="1739"/>
        <v>962500</v>
      </c>
      <c r="H3398" s="690" t="s">
        <v>173</v>
      </c>
      <c r="I3398" s="71" t="s">
        <v>120</v>
      </c>
      <c r="J3398" s="53">
        <f t="shared" si="1741"/>
        <v>400000</v>
      </c>
      <c r="K3398" s="63">
        <v>0.4155844155844155</v>
      </c>
      <c r="L3398" s="871" t="s">
        <v>2568</v>
      </c>
      <c r="M3398" s="468"/>
      <c r="N3398" s="664">
        <f t="shared" si="1734"/>
        <v>201008</v>
      </c>
      <c r="O3398" s="71" t="s">
        <v>150</v>
      </c>
      <c r="P3398" s="164" t="str">
        <f t="shared" si="1735"/>
        <v>Fount Web 551AF</v>
      </c>
      <c r="Q3398" s="71">
        <f t="shared" si="1736"/>
        <v>5</v>
      </c>
      <c r="R3398" s="102">
        <v>112500</v>
      </c>
      <c r="S3398" s="102">
        <f t="shared" si="1731"/>
        <v>618750</v>
      </c>
      <c r="T3398" s="102">
        <f t="shared" si="1732"/>
        <v>562500</v>
      </c>
      <c r="U3398" s="71" t="str">
        <f t="shared" si="1733"/>
        <v>X</v>
      </c>
      <c r="V3398" s="71"/>
      <c r="W3398" s="474">
        <v>640000</v>
      </c>
      <c r="X3398" s="71"/>
      <c r="Y3398" s="71"/>
    </row>
    <row r="3399" spans="1:25" ht="30" customHeight="1" x14ac:dyDescent="0.2">
      <c r="A3399" s="82">
        <v>201008</v>
      </c>
      <c r="B3399" s="664" t="s">
        <v>2536</v>
      </c>
      <c r="C3399" s="71" t="s">
        <v>114</v>
      </c>
      <c r="D3399" s="71">
        <v>50</v>
      </c>
      <c r="E3399" s="102">
        <v>20000</v>
      </c>
      <c r="F3399" s="163">
        <f t="shared" si="1740"/>
        <v>1100000</v>
      </c>
      <c r="G3399" s="102">
        <f>(E3399*D3399)</f>
        <v>1000000</v>
      </c>
      <c r="H3399" s="690" t="s">
        <v>1431</v>
      </c>
      <c r="I3399" s="690" t="s">
        <v>1431</v>
      </c>
      <c r="J3399" s="53">
        <f t="shared" si="1741"/>
        <v>508200</v>
      </c>
      <c r="K3399" s="63">
        <f t="shared" ref="K3399:K3412" si="1742">(J3399/(F3399/11*10))</f>
        <v>0.50819999999999999</v>
      </c>
      <c r="L3399" s="871" t="s">
        <v>2568</v>
      </c>
      <c r="M3399" s="468"/>
      <c r="N3399" s="664">
        <f t="shared" si="1734"/>
        <v>201008</v>
      </c>
      <c r="O3399" s="71" t="s">
        <v>1431</v>
      </c>
      <c r="P3399" s="164" t="str">
        <f t="shared" si="1735"/>
        <v>스트리퍼</v>
      </c>
      <c r="Q3399" s="71">
        <f t="shared" si="1736"/>
        <v>50</v>
      </c>
      <c r="R3399" s="102">
        <v>9836</v>
      </c>
      <c r="S3399" s="102">
        <f t="shared" si="1731"/>
        <v>540980</v>
      </c>
      <c r="T3399" s="102">
        <f t="shared" si="1732"/>
        <v>491800</v>
      </c>
      <c r="U3399" s="71" t="str">
        <f t="shared" si="1733"/>
        <v>X</v>
      </c>
      <c r="V3399" s="71"/>
      <c r="W3399" s="474"/>
      <c r="X3399" s="71"/>
      <c r="Y3399" s="71"/>
    </row>
    <row r="3400" spans="1:25" ht="30" customHeight="1" x14ac:dyDescent="0.2">
      <c r="A3400" s="82">
        <v>201008</v>
      </c>
      <c r="B3400" s="664" t="s">
        <v>2536</v>
      </c>
      <c r="C3400" s="71" t="s">
        <v>1297</v>
      </c>
      <c r="D3400" s="71">
        <v>1</v>
      </c>
      <c r="E3400" s="102">
        <v>800000</v>
      </c>
      <c r="F3400" s="163">
        <f t="shared" si="1740"/>
        <v>880000.00000000012</v>
      </c>
      <c r="G3400" s="102">
        <f>(E3400*D3400)</f>
        <v>800000</v>
      </c>
      <c r="H3400" s="690" t="s">
        <v>1431</v>
      </c>
      <c r="I3400" s="690" t="s">
        <v>1431</v>
      </c>
      <c r="J3400" s="53">
        <f t="shared" si="1741"/>
        <v>540698</v>
      </c>
      <c r="K3400" s="63">
        <f t="shared" si="1742"/>
        <v>0.67587249999999988</v>
      </c>
      <c r="L3400" s="871" t="s">
        <v>2568</v>
      </c>
      <c r="M3400" s="468"/>
      <c r="N3400" s="664">
        <f t="shared" si="1734"/>
        <v>201008</v>
      </c>
      <c r="O3400" s="71" t="s">
        <v>1431</v>
      </c>
      <c r="P3400" s="164" t="str">
        <f t="shared" si="1735"/>
        <v>잉크집 호일</v>
      </c>
      <c r="Q3400" s="71">
        <f t="shared" si="1736"/>
        <v>1</v>
      </c>
      <c r="R3400" s="102">
        <v>259302</v>
      </c>
      <c r="S3400" s="102">
        <f t="shared" si="1731"/>
        <v>285232.2</v>
      </c>
      <c r="T3400" s="102">
        <f t="shared" si="1732"/>
        <v>259302</v>
      </c>
      <c r="U3400" s="71" t="str">
        <f t="shared" si="1733"/>
        <v>X</v>
      </c>
      <c r="V3400" s="71"/>
      <c r="W3400" s="474"/>
      <c r="X3400" s="71"/>
      <c r="Y3400" s="71"/>
    </row>
    <row r="3401" spans="1:25" ht="30" hidden="1" customHeight="1" x14ac:dyDescent="0.2">
      <c r="A3401" s="82">
        <v>201009</v>
      </c>
      <c r="B3401" s="664" t="s">
        <v>545</v>
      </c>
      <c r="C3401" s="71" t="s">
        <v>952</v>
      </c>
      <c r="D3401" s="71">
        <v>1</v>
      </c>
      <c r="E3401" s="102">
        <v>630000</v>
      </c>
      <c r="F3401" s="163">
        <f t="shared" si="1740"/>
        <v>693000</v>
      </c>
      <c r="G3401" s="102">
        <f t="shared" si="1739"/>
        <v>630000</v>
      </c>
      <c r="H3401" s="690" t="s">
        <v>173</v>
      </c>
      <c r="I3401" s="71" t="s">
        <v>108</v>
      </c>
      <c r="J3401" s="53">
        <f t="shared" si="1741"/>
        <v>190000</v>
      </c>
      <c r="K3401" s="63">
        <f t="shared" si="1742"/>
        <v>0.30158730158730157</v>
      </c>
      <c r="L3401" s="871" t="s">
        <v>2568</v>
      </c>
      <c r="M3401" s="468"/>
      <c r="N3401" s="664">
        <f t="shared" si="1734"/>
        <v>201009</v>
      </c>
      <c r="O3401" s="71" t="s">
        <v>599</v>
      </c>
      <c r="P3401" s="164" t="str">
        <f t="shared" si="1735"/>
        <v>점보롤 세정포</v>
      </c>
      <c r="Q3401" s="71">
        <f t="shared" si="1736"/>
        <v>1</v>
      </c>
      <c r="R3401" s="102">
        <v>440000</v>
      </c>
      <c r="S3401" s="102">
        <f t="shared" si="1731"/>
        <v>484000.00000000006</v>
      </c>
      <c r="T3401" s="102">
        <f t="shared" si="1732"/>
        <v>440000</v>
      </c>
      <c r="U3401" s="71" t="str">
        <f t="shared" si="1733"/>
        <v>O</v>
      </c>
      <c r="V3401" s="71" t="s">
        <v>1228</v>
      </c>
      <c r="W3401" s="474">
        <f>(G3401-T3401)</f>
        <v>190000</v>
      </c>
      <c r="X3401" s="71"/>
      <c r="Y3401" s="71"/>
    </row>
    <row r="3402" spans="1:25" ht="30" hidden="1" customHeight="1" x14ac:dyDescent="0.25">
      <c r="A3402" s="82">
        <v>201009</v>
      </c>
      <c r="B3402" s="664" t="s">
        <v>690</v>
      </c>
      <c r="C3402" s="71" t="s">
        <v>2559</v>
      </c>
      <c r="D3402" s="71">
        <v>50</v>
      </c>
      <c r="E3402" s="102">
        <v>6000</v>
      </c>
      <c r="F3402" s="102">
        <f t="shared" si="1740"/>
        <v>330000</v>
      </c>
      <c r="G3402" s="102">
        <f>(E3402*D3402)</f>
        <v>300000</v>
      </c>
      <c r="H3402" s="690" t="s">
        <v>173</v>
      </c>
      <c r="I3402" s="71" t="s">
        <v>2230</v>
      </c>
      <c r="J3402" s="53">
        <f t="shared" si="1741"/>
        <v>150000</v>
      </c>
      <c r="K3402" s="63">
        <f t="shared" si="1742"/>
        <v>0.5</v>
      </c>
      <c r="L3402" s="871" t="s">
        <v>2568</v>
      </c>
      <c r="M3402" s="468"/>
      <c r="N3402" s="664">
        <f t="shared" si="1734"/>
        <v>201009</v>
      </c>
      <c r="O3402" s="71" t="s">
        <v>994</v>
      </c>
      <c r="P3402" s="164" t="str">
        <f t="shared" si="1735"/>
        <v>CTP 현상기 필터</v>
      </c>
      <c r="Q3402" s="71">
        <f t="shared" si="1736"/>
        <v>50</v>
      </c>
      <c r="R3402" s="102">
        <v>3000</v>
      </c>
      <c r="S3402" s="102">
        <f t="shared" si="1731"/>
        <v>165000</v>
      </c>
      <c r="T3402" s="102">
        <f t="shared" si="1732"/>
        <v>150000</v>
      </c>
      <c r="U3402" s="71" t="str">
        <f t="shared" si="1733"/>
        <v>X</v>
      </c>
      <c r="V3402" s="71"/>
      <c r="W3402" s="474"/>
      <c r="X3402" s="71"/>
      <c r="Y3402" s="71"/>
    </row>
    <row r="3403" spans="1:25" ht="30" hidden="1" customHeight="1" x14ac:dyDescent="0.2">
      <c r="A3403" s="82">
        <v>201012</v>
      </c>
      <c r="B3403" s="664" t="s">
        <v>627</v>
      </c>
      <c r="C3403" s="71" t="s">
        <v>114</v>
      </c>
      <c r="D3403" s="71">
        <v>40</v>
      </c>
      <c r="E3403" s="102">
        <v>19000</v>
      </c>
      <c r="F3403" s="163">
        <f t="shared" si="1740"/>
        <v>836000.00000000012</v>
      </c>
      <c r="G3403" s="102">
        <f>(E3403*D3403)</f>
        <v>760000</v>
      </c>
      <c r="H3403" s="690" t="s">
        <v>1431</v>
      </c>
      <c r="I3403" s="690" t="s">
        <v>1431</v>
      </c>
      <c r="J3403" s="53">
        <f t="shared" si="1741"/>
        <v>366560</v>
      </c>
      <c r="K3403" s="63">
        <f t="shared" si="1742"/>
        <v>0.48231578947368414</v>
      </c>
      <c r="L3403" s="871" t="s">
        <v>2568</v>
      </c>
      <c r="M3403" s="468" t="s">
        <v>3190</v>
      </c>
      <c r="N3403" s="664">
        <f t="shared" si="1734"/>
        <v>201012</v>
      </c>
      <c r="O3403" s="71" t="s">
        <v>1431</v>
      </c>
      <c r="P3403" s="164" t="str">
        <f t="shared" si="1735"/>
        <v>스트리퍼</v>
      </c>
      <c r="Q3403" s="71">
        <f t="shared" si="1736"/>
        <v>40</v>
      </c>
      <c r="R3403" s="102">
        <v>9836</v>
      </c>
      <c r="S3403" s="102">
        <f t="shared" si="1731"/>
        <v>432784.00000000006</v>
      </c>
      <c r="T3403" s="102">
        <f t="shared" si="1732"/>
        <v>393440</v>
      </c>
      <c r="U3403" s="71" t="str">
        <f t="shared" si="1733"/>
        <v>X</v>
      </c>
      <c r="V3403" s="71"/>
      <c r="W3403" s="474"/>
      <c r="X3403" s="71"/>
      <c r="Y3403" s="71"/>
    </row>
    <row r="3404" spans="1:25" ht="30" hidden="1" customHeight="1" x14ac:dyDescent="0.2">
      <c r="A3404" s="82">
        <v>201012</v>
      </c>
      <c r="B3404" s="664" t="s">
        <v>627</v>
      </c>
      <c r="C3404" s="71" t="s">
        <v>1261</v>
      </c>
      <c r="D3404" s="71">
        <v>1</v>
      </c>
      <c r="E3404" s="102">
        <v>800000</v>
      </c>
      <c r="F3404" s="163">
        <f t="shared" si="1740"/>
        <v>880000.00000000012</v>
      </c>
      <c r="G3404" s="102">
        <f>(E3404*D3404)</f>
        <v>800000</v>
      </c>
      <c r="H3404" s="690" t="s">
        <v>1431</v>
      </c>
      <c r="I3404" s="690" t="s">
        <v>1431</v>
      </c>
      <c r="J3404" s="53">
        <f t="shared" si="1741"/>
        <v>540698</v>
      </c>
      <c r="K3404" s="63">
        <f t="shared" si="1742"/>
        <v>0.67587249999999988</v>
      </c>
      <c r="L3404" s="871" t="s">
        <v>2568</v>
      </c>
      <c r="M3404" s="468"/>
      <c r="N3404" s="664">
        <f t="shared" si="1734"/>
        <v>201012</v>
      </c>
      <c r="O3404" s="71" t="s">
        <v>1431</v>
      </c>
      <c r="P3404" s="164" t="str">
        <f t="shared" si="1735"/>
        <v>아스테이지</v>
      </c>
      <c r="Q3404" s="71">
        <f t="shared" si="1736"/>
        <v>1</v>
      </c>
      <c r="R3404" s="102">
        <v>259302</v>
      </c>
      <c r="S3404" s="102">
        <f t="shared" si="1731"/>
        <v>285232.2</v>
      </c>
      <c r="T3404" s="102">
        <f t="shared" si="1732"/>
        <v>259302</v>
      </c>
      <c r="U3404" s="71" t="str">
        <f t="shared" si="1733"/>
        <v>X</v>
      </c>
      <c r="V3404" s="71"/>
      <c r="W3404" s="474"/>
      <c r="X3404" s="71"/>
      <c r="Y3404" s="71"/>
    </row>
    <row r="3405" spans="1:25" ht="30" customHeight="1" x14ac:dyDescent="0.2">
      <c r="A3405" s="82">
        <v>201012</v>
      </c>
      <c r="B3405" s="664" t="s">
        <v>2352</v>
      </c>
      <c r="C3405" s="760" t="s">
        <v>218</v>
      </c>
      <c r="D3405" s="71">
        <v>5</v>
      </c>
      <c r="E3405" s="102">
        <v>235000</v>
      </c>
      <c r="F3405" s="163">
        <f t="shared" ref="F3405:F3415" si="1743">(E3405*D3405)*1.1</f>
        <v>1292500</v>
      </c>
      <c r="G3405" s="102">
        <f t="shared" ref="G3405:G3415" si="1744">(E3405*D3405)</f>
        <v>1175000</v>
      </c>
      <c r="H3405" s="690" t="s">
        <v>142</v>
      </c>
      <c r="I3405" s="71" t="s">
        <v>142</v>
      </c>
      <c r="J3405" s="53">
        <f>(G3405-(VLOOKUP(C3405,Price!B:D,3,FALSE)*D3405))</f>
        <v>612500</v>
      </c>
      <c r="K3405" s="63">
        <f t="shared" si="1742"/>
        <v>0.52127659574468088</v>
      </c>
      <c r="L3405" s="871" t="s">
        <v>2568</v>
      </c>
      <c r="M3405" s="468" t="s">
        <v>2053</v>
      </c>
      <c r="N3405" s="664">
        <f t="shared" si="1734"/>
        <v>201012</v>
      </c>
      <c r="O3405" s="71" t="s">
        <v>150</v>
      </c>
      <c r="P3405" s="164" t="str">
        <f t="shared" si="1735"/>
        <v>Fount Web 551AF</v>
      </c>
      <c r="Q3405" s="71">
        <f t="shared" si="1736"/>
        <v>5</v>
      </c>
      <c r="R3405" s="102">
        <v>112500</v>
      </c>
      <c r="S3405" s="102">
        <f t="shared" si="1731"/>
        <v>618750</v>
      </c>
      <c r="T3405" s="102">
        <f t="shared" si="1732"/>
        <v>562500</v>
      </c>
      <c r="U3405" s="71" t="str">
        <f t="shared" si="1733"/>
        <v>O</v>
      </c>
      <c r="V3405" s="71"/>
      <c r="W3405" s="474">
        <f>(G3405-T3405)</f>
        <v>612500</v>
      </c>
      <c r="X3405" s="71"/>
      <c r="Y3405" s="71"/>
    </row>
    <row r="3406" spans="1:25" ht="30" customHeight="1" x14ac:dyDescent="0.2">
      <c r="A3406" s="82">
        <v>201012</v>
      </c>
      <c r="B3406" s="664" t="s">
        <v>2352</v>
      </c>
      <c r="C3406" s="760" t="s">
        <v>218</v>
      </c>
      <c r="D3406" s="71">
        <v>5</v>
      </c>
      <c r="E3406" s="102">
        <v>235000</v>
      </c>
      <c r="F3406" s="163">
        <f>(E3406*D3406)*1.1</f>
        <v>1292500</v>
      </c>
      <c r="G3406" s="102">
        <f>(E3406*D3406)</f>
        <v>1175000</v>
      </c>
      <c r="H3406" s="690" t="s">
        <v>142</v>
      </c>
      <c r="I3406" s="71" t="s">
        <v>142</v>
      </c>
      <c r="J3406" s="53">
        <f>G3406-T3406</f>
        <v>612500</v>
      </c>
      <c r="K3406" s="63">
        <f t="shared" si="1742"/>
        <v>0.52127659574468088</v>
      </c>
      <c r="L3406" s="871" t="s">
        <v>2568</v>
      </c>
      <c r="M3406" s="468" t="s">
        <v>2053</v>
      </c>
      <c r="N3406" s="664">
        <f t="shared" si="1734"/>
        <v>201012</v>
      </c>
      <c r="O3406" s="71" t="s">
        <v>150</v>
      </c>
      <c r="P3406" s="164" t="str">
        <f t="shared" si="1735"/>
        <v>Fount Web 551AF</v>
      </c>
      <c r="Q3406" s="71">
        <f t="shared" si="1736"/>
        <v>5</v>
      </c>
      <c r="R3406" s="102">
        <v>112500</v>
      </c>
      <c r="S3406" s="102">
        <f t="shared" si="1731"/>
        <v>618750</v>
      </c>
      <c r="T3406" s="102">
        <f t="shared" si="1732"/>
        <v>562500</v>
      </c>
      <c r="U3406" s="71" t="str">
        <f t="shared" si="1733"/>
        <v>O</v>
      </c>
      <c r="V3406" s="71"/>
      <c r="W3406" s="474">
        <f>(G3406-T3406)</f>
        <v>612500</v>
      </c>
      <c r="X3406" s="71"/>
      <c r="Y3406" s="71"/>
    </row>
    <row r="3407" spans="1:25" ht="30" customHeight="1" x14ac:dyDescent="0.2">
      <c r="A3407" s="82">
        <v>201012</v>
      </c>
      <c r="B3407" s="664" t="s">
        <v>2352</v>
      </c>
      <c r="C3407" s="71" t="s">
        <v>692</v>
      </c>
      <c r="D3407" s="71">
        <v>10</v>
      </c>
      <c r="E3407" s="102">
        <v>218000</v>
      </c>
      <c r="F3407" s="163">
        <f t="shared" si="1743"/>
        <v>2398000</v>
      </c>
      <c r="G3407" s="102">
        <f t="shared" si="1744"/>
        <v>2180000</v>
      </c>
      <c r="H3407" s="165" t="s">
        <v>142</v>
      </c>
      <c r="I3407" s="71" t="s">
        <v>142</v>
      </c>
      <c r="J3407" s="53">
        <f>(G3407-(VLOOKUP(C3407,Price!B:D,3,FALSE)*D3407))</f>
        <v>580000</v>
      </c>
      <c r="K3407" s="63">
        <f t="shared" si="1742"/>
        <v>0.26605504587155965</v>
      </c>
      <c r="L3407" s="871" t="s">
        <v>2568</v>
      </c>
      <c r="M3407" s="468" t="s">
        <v>2052</v>
      </c>
      <c r="N3407" s="664">
        <f t="shared" si="1734"/>
        <v>201012</v>
      </c>
      <c r="O3407" s="71" t="s">
        <v>150</v>
      </c>
      <c r="P3407" s="164" t="str">
        <f t="shared" si="1735"/>
        <v>윤전 블랑켓</v>
      </c>
      <c r="Q3407" s="71">
        <f t="shared" si="1736"/>
        <v>10</v>
      </c>
      <c r="R3407" s="102">
        <v>160000</v>
      </c>
      <c r="S3407" s="102">
        <f t="shared" si="1731"/>
        <v>1760000.0000000002</v>
      </c>
      <c r="T3407" s="102">
        <f t="shared" si="1732"/>
        <v>1600000</v>
      </c>
      <c r="U3407" s="71" t="str">
        <f t="shared" si="1733"/>
        <v>O</v>
      </c>
      <c r="V3407" s="71" t="s">
        <v>784</v>
      </c>
      <c r="W3407" s="474">
        <f>(G3407-T3407)</f>
        <v>580000</v>
      </c>
      <c r="X3407" s="71"/>
      <c r="Y3407" s="71"/>
    </row>
    <row r="3408" spans="1:25" ht="30" hidden="1" customHeight="1" x14ac:dyDescent="0.25">
      <c r="A3408" s="82">
        <v>201014</v>
      </c>
      <c r="B3408" s="664" t="s">
        <v>809</v>
      </c>
      <c r="C3408" s="71" t="s">
        <v>1081</v>
      </c>
      <c r="D3408" s="71">
        <v>5</v>
      </c>
      <c r="E3408" s="102">
        <v>156000</v>
      </c>
      <c r="F3408" s="102">
        <f t="shared" si="1743"/>
        <v>858000.00000000012</v>
      </c>
      <c r="G3408" s="102">
        <f t="shared" si="1744"/>
        <v>780000</v>
      </c>
      <c r="H3408" s="690" t="s">
        <v>173</v>
      </c>
      <c r="I3408" s="71" t="s">
        <v>2231</v>
      </c>
      <c r="J3408" s="53">
        <f>G3408-T3408</f>
        <v>180000</v>
      </c>
      <c r="K3408" s="63">
        <f t="shared" si="1742"/>
        <v>0.23076923076923073</v>
      </c>
      <c r="L3408" s="871" t="s">
        <v>2568</v>
      </c>
      <c r="M3408" s="468"/>
      <c r="N3408" s="664">
        <f t="shared" si="1734"/>
        <v>201014</v>
      </c>
      <c r="O3408" s="71" t="s">
        <v>147</v>
      </c>
      <c r="P3408" s="164" t="str">
        <f t="shared" si="1735"/>
        <v>파우더</v>
      </c>
      <c r="Q3408" s="71">
        <f t="shared" si="1736"/>
        <v>5</v>
      </c>
      <c r="R3408" s="102">
        <v>120000</v>
      </c>
      <c r="S3408" s="102">
        <f t="shared" si="1731"/>
        <v>660000</v>
      </c>
      <c r="T3408" s="102">
        <f t="shared" si="1732"/>
        <v>600000</v>
      </c>
      <c r="U3408" s="71" t="str">
        <f t="shared" si="1733"/>
        <v>O</v>
      </c>
      <c r="V3408" s="71"/>
      <c r="W3408" s="474">
        <f>(G3408-T3408)</f>
        <v>180000</v>
      </c>
      <c r="X3408" s="71"/>
      <c r="Y3408" s="71"/>
    </row>
    <row r="3409" spans="1:25" ht="30" hidden="1" customHeight="1" x14ac:dyDescent="0.25">
      <c r="A3409" s="82">
        <v>201014</v>
      </c>
      <c r="B3409" s="664" t="s">
        <v>442</v>
      </c>
      <c r="C3409" s="71" t="s">
        <v>651</v>
      </c>
      <c r="D3409" s="71">
        <v>5</v>
      </c>
      <c r="E3409" s="102">
        <v>41000</v>
      </c>
      <c r="F3409" s="102">
        <f t="shared" si="1743"/>
        <v>225500.00000000003</v>
      </c>
      <c r="G3409" s="102">
        <f t="shared" si="1744"/>
        <v>205000</v>
      </c>
      <c r="H3409" s="690" t="s">
        <v>2029</v>
      </c>
      <c r="I3409" s="71" t="s">
        <v>195</v>
      </c>
      <c r="J3409" s="53">
        <f>(G3409-(VLOOKUP(C3409,[5]Price!B$1:D$65536,3,FALSE)*D3409))</f>
        <v>80000</v>
      </c>
      <c r="K3409" s="63">
        <f t="shared" si="1742"/>
        <v>0.39024390243902435</v>
      </c>
      <c r="L3409" s="871" t="s">
        <v>2568</v>
      </c>
      <c r="M3409" s="468"/>
      <c r="N3409" s="664">
        <f t="shared" si="1734"/>
        <v>201014</v>
      </c>
      <c r="O3409" s="71" t="s">
        <v>194</v>
      </c>
      <c r="P3409" s="164" t="str">
        <f t="shared" si="1735"/>
        <v>Agfa 현상액 G101C(10L)</v>
      </c>
      <c r="Q3409" s="71">
        <f t="shared" si="1736"/>
        <v>5</v>
      </c>
      <c r="R3409" s="102">
        <f>VLOOKUP(P3409,[5]Price!B$1:D$65536,3,FALSE)</f>
        <v>25000</v>
      </c>
      <c r="S3409" s="102">
        <f t="shared" si="1731"/>
        <v>137500</v>
      </c>
      <c r="T3409" s="102">
        <f t="shared" si="1732"/>
        <v>125000</v>
      </c>
      <c r="U3409" s="71" t="str">
        <f t="shared" si="1733"/>
        <v>O</v>
      </c>
      <c r="V3409" s="71"/>
      <c r="W3409" s="474">
        <f>(G3409-T3409)</f>
        <v>80000</v>
      </c>
      <c r="X3409" s="71"/>
      <c r="Y3409" s="71"/>
    </row>
    <row r="3410" spans="1:25" ht="30" hidden="1" customHeight="1" x14ac:dyDescent="0.25">
      <c r="A3410" s="82">
        <v>201015</v>
      </c>
      <c r="B3410" s="664" t="s">
        <v>546</v>
      </c>
      <c r="C3410" s="71" t="s">
        <v>853</v>
      </c>
      <c r="D3410" s="71">
        <v>1</v>
      </c>
      <c r="E3410" s="102">
        <v>300000</v>
      </c>
      <c r="F3410" s="102">
        <f t="shared" si="1743"/>
        <v>330000</v>
      </c>
      <c r="G3410" s="102">
        <f t="shared" si="1744"/>
        <v>300000</v>
      </c>
      <c r="H3410" s="690" t="s">
        <v>1431</v>
      </c>
      <c r="I3410" s="690" t="s">
        <v>1431</v>
      </c>
      <c r="J3410" s="53">
        <f t="shared" ref="J3410:J3415" si="1745">G3410-T3410</f>
        <v>170217</v>
      </c>
      <c r="K3410" s="63">
        <f t="shared" si="1742"/>
        <v>0.56738999999999995</v>
      </c>
      <c r="L3410" s="871" t="s">
        <v>2568</v>
      </c>
      <c r="M3410" s="468"/>
      <c r="N3410" s="664">
        <f t="shared" si="1734"/>
        <v>201015</v>
      </c>
      <c r="O3410" s="71" t="s">
        <v>1431</v>
      </c>
      <c r="P3410" s="164" t="str">
        <f t="shared" si="1735"/>
        <v>잉크키 보호 필름</v>
      </c>
      <c r="Q3410" s="71">
        <f t="shared" si="1736"/>
        <v>1</v>
      </c>
      <c r="R3410" s="102">
        <v>129783</v>
      </c>
      <c r="S3410" s="102">
        <f t="shared" si="1731"/>
        <v>142761.30000000002</v>
      </c>
      <c r="T3410" s="102">
        <f t="shared" si="1732"/>
        <v>129783</v>
      </c>
      <c r="U3410" s="71" t="str">
        <f t="shared" si="1733"/>
        <v>X</v>
      </c>
      <c r="V3410" s="71"/>
      <c r="W3410" s="474"/>
      <c r="X3410" s="71"/>
      <c r="Y3410" s="71"/>
    </row>
    <row r="3411" spans="1:25" ht="30" hidden="1" customHeight="1" x14ac:dyDescent="0.2">
      <c r="A3411" s="82">
        <v>201016</v>
      </c>
      <c r="B3411" s="664" t="s">
        <v>545</v>
      </c>
      <c r="C3411" s="71" t="s">
        <v>2728</v>
      </c>
      <c r="D3411" s="71">
        <v>3</v>
      </c>
      <c r="E3411" s="102">
        <v>610000</v>
      </c>
      <c r="F3411" s="163">
        <f t="shared" si="1743"/>
        <v>2013000.0000000002</v>
      </c>
      <c r="G3411" s="102">
        <f t="shared" si="1744"/>
        <v>1830000</v>
      </c>
      <c r="H3411" s="690" t="s">
        <v>173</v>
      </c>
      <c r="I3411" s="71" t="s">
        <v>2184</v>
      </c>
      <c r="J3411" s="53">
        <f t="shared" si="1745"/>
        <v>806820</v>
      </c>
      <c r="K3411" s="63">
        <f t="shared" si="1742"/>
        <v>0.4408852459016393</v>
      </c>
      <c r="L3411" s="871" t="s">
        <v>2568</v>
      </c>
      <c r="M3411" s="468"/>
      <c r="N3411" s="664">
        <f t="shared" si="1734"/>
        <v>201016</v>
      </c>
      <c r="O3411" s="71" t="s">
        <v>2179</v>
      </c>
      <c r="P3411" s="164" t="str">
        <f t="shared" si="1735"/>
        <v>UV 램프 - 전선타입(Primarc)</v>
      </c>
      <c r="Q3411" s="71">
        <v>1</v>
      </c>
      <c r="R3411" s="102">
        <v>1023180</v>
      </c>
      <c r="S3411" s="102">
        <f t="shared" si="1731"/>
        <v>1125498</v>
      </c>
      <c r="T3411" s="102">
        <f t="shared" si="1732"/>
        <v>1023180</v>
      </c>
      <c r="U3411" s="71" t="str">
        <f t="shared" si="1733"/>
        <v>X</v>
      </c>
      <c r="V3411" s="71"/>
      <c r="W3411" s="474"/>
      <c r="X3411" s="71"/>
      <c r="Y3411" s="71"/>
    </row>
    <row r="3412" spans="1:25" s="209" customFormat="1" ht="30" hidden="1" customHeight="1" x14ac:dyDescent="0.25">
      <c r="A3412" s="82">
        <v>201016</v>
      </c>
      <c r="B3412" s="664" t="s">
        <v>2155</v>
      </c>
      <c r="C3412" s="71" t="s">
        <v>138</v>
      </c>
      <c r="D3412" s="71">
        <v>10</v>
      </c>
      <c r="E3412" s="102">
        <v>47600</v>
      </c>
      <c r="F3412" s="163">
        <f t="shared" si="1743"/>
        <v>523600.00000000006</v>
      </c>
      <c r="G3412" s="102">
        <f t="shared" si="1744"/>
        <v>476000</v>
      </c>
      <c r="H3412" s="1129" t="s">
        <v>172</v>
      </c>
      <c r="I3412" s="71" t="s">
        <v>108</v>
      </c>
      <c r="J3412" s="53">
        <f t="shared" si="1745"/>
        <v>68000</v>
      </c>
      <c r="K3412" s="63">
        <f t="shared" si="1742"/>
        <v>0.14285714285714285</v>
      </c>
      <c r="L3412" s="871" t="s">
        <v>2568</v>
      </c>
      <c r="M3412" s="468" t="s">
        <v>2214</v>
      </c>
      <c r="N3412" s="664">
        <f t="shared" si="1734"/>
        <v>201016</v>
      </c>
      <c r="O3412" s="71" t="s">
        <v>150</v>
      </c>
      <c r="P3412" s="164" t="str">
        <f t="shared" si="1735"/>
        <v>매엽용 세척제(Wash 562)</v>
      </c>
      <c r="Q3412" s="71">
        <f t="shared" si="1736"/>
        <v>10</v>
      </c>
      <c r="R3412" s="102">
        <v>40800</v>
      </c>
      <c r="S3412" s="102">
        <f t="shared" si="1731"/>
        <v>448800.00000000006</v>
      </c>
      <c r="T3412" s="102">
        <f t="shared" si="1732"/>
        <v>408000</v>
      </c>
      <c r="U3412" s="71" t="str">
        <f t="shared" si="1733"/>
        <v>X</v>
      </c>
      <c r="V3412" s="71"/>
      <c r="W3412" s="474">
        <v>85000</v>
      </c>
      <c r="X3412" s="71"/>
      <c r="Y3412" s="71"/>
    </row>
    <row r="3413" spans="1:25" ht="30" hidden="1" customHeight="1" x14ac:dyDescent="0.25">
      <c r="A3413" s="82">
        <v>201016</v>
      </c>
      <c r="B3413" s="664" t="s">
        <v>2155</v>
      </c>
      <c r="C3413" s="760" t="s">
        <v>218</v>
      </c>
      <c r="D3413" s="71">
        <v>5</v>
      </c>
      <c r="E3413" s="102">
        <v>192500</v>
      </c>
      <c r="F3413" s="102">
        <f t="shared" si="1743"/>
        <v>1058750</v>
      </c>
      <c r="G3413" s="102">
        <f t="shared" si="1744"/>
        <v>962500</v>
      </c>
      <c r="H3413" s="690" t="s">
        <v>173</v>
      </c>
      <c r="I3413" s="71" t="s">
        <v>120</v>
      </c>
      <c r="J3413" s="53">
        <f t="shared" si="1745"/>
        <v>400000</v>
      </c>
      <c r="K3413" s="63">
        <v>0.4155844155844155</v>
      </c>
      <c r="L3413" s="871" t="s">
        <v>2568</v>
      </c>
      <c r="M3413" s="468"/>
      <c r="N3413" s="664">
        <f t="shared" si="1734"/>
        <v>201016</v>
      </c>
      <c r="O3413" s="71" t="s">
        <v>150</v>
      </c>
      <c r="P3413" s="164" t="str">
        <f t="shared" si="1735"/>
        <v>Fount Web 551AF</v>
      </c>
      <c r="Q3413" s="71">
        <f t="shared" si="1736"/>
        <v>5</v>
      </c>
      <c r="R3413" s="102">
        <v>112500</v>
      </c>
      <c r="S3413" s="102">
        <f t="shared" si="1731"/>
        <v>618750</v>
      </c>
      <c r="T3413" s="102">
        <f t="shared" si="1732"/>
        <v>562500</v>
      </c>
      <c r="U3413" s="71" t="str">
        <f t="shared" si="1733"/>
        <v>X</v>
      </c>
      <c r="V3413" s="71"/>
      <c r="W3413" s="474">
        <v>640000</v>
      </c>
      <c r="X3413" s="71"/>
      <c r="Y3413" s="71"/>
    </row>
    <row r="3414" spans="1:25" ht="30" hidden="1" customHeight="1" x14ac:dyDescent="0.25">
      <c r="A3414" s="82">
        <v>201020</v>
      </c>
      <c r="B3414" s="664" t="s">
        <v>690</v>
      </c>
      <c r="C3414" s="71" t="s">
        <v>1186</v>
      </c>
      <c r="D3414" s="71">
        <v>500</v>
      </c>
      <c r="E3414" s="102">
        <v>3420</v>
      </c>
      <c r="F3414" s="1128">
        <f t="shared" si="1743"/>
        <v>1881000.0000000002</v>
      </c>
      <c r="G3414" s="102">
        <f t="shared" si="1744"/>
        <v>1710000</v>
      </c>
      <c r="H3414" s="690" t="s">
        <v>173</v>
      </c>
      <c r="I3414" s="71" t="s">
        <v>2230</v>
      </c>
      <c r="J3414" s="53">
        <f t="shared" si="1745"/>
        <v>-190000</v>
      </c>
      <c r="K3414" s="63">
        <f t="shared" ref="K3414:K3431" si="1746">(J3414/(F3414/11*10))</f>
        <v>-0.11111111111111109</v>
      </c>
      <c r="L3414" s="871" t="s">
        <v>2568</v>
      </c>
      <c r="M3414" s="468" t="s">
        <v>1393</v>
      </c>
      <c r="N3414" s="664">
        <f t="shared" si="1734"/>
        <v>201020</v>
      </c>
      <c r="O3414" s="71" t="s">
        <v>145</v>
      </c>
      <c r="P3414" s="164" t="str">
        <f t="shared" si="1735"/>
        <v>CTP 판(1030*790mm)</v>
      </c>
      <c r="Q3414" s="71">
        <f t="shared" si="1736"/>
        <v>500</v>
      </c>
      <c r="R3414" s="102">
        <v>3800</v>
      </c>
      <c r="S3414" s="102">
        <f t="shared" ref="S3414:S3445" si="1747">R3414*Q3414*1.1</f>
        <v>2090000.0000000002</v>
      </c>
      <c r="T3414" s="102">
        <f t="shared" ref="T3414:T3445" si="1748">R3414*Q3414</f>
        <v>1900000</v>
      </c>
      <c r="U3414" s="71" t="str">
        <f t="shared" ref="U3414:U3445" si="1749">IF(J3414=W3414,"O", "X")</f>
        <v>X</v>
      </c>
      <c r="V3414" s="71"/>
      <c r="W3414" s="474">
        <v>-200000</v>
      </c>
      <c r="X3414" s="71"/>
      <c r="Y3414" s="71"/>
    </row>
    <row r="3415" spans="1:25" ht="30" hidden="1" customHeight="1" x14ac:dyDescent="0.25">
      <c r="A3415" s="82">
        <v>201020</v>
      </c>
      <c r="B3415" s="664" t="s">
        <v>690</v>
      </c>
      <c r="C3415" s="71" t="s">
        <v>197</v>
      </c>
      <c r="D3415" s="71">
        <v>3</v>
      </c>
      <c r="E3415" s="102">
        <v>46000</v>
      </c>
      <c r="F3415" s="1128">
        <f t="shared" si="1743"/>
        <v>151800</v>
      </c>
      <c r="G3415" s="102">
        <f t="shared" si="1744"/>
        <v>138000</v>
      </c>
      <c r="H3415" s="690" t="s">
        <v>173</v>
      </c>
      <c r="I3415" s="71" t="s">
        <v>2230</v>
      </c>
      <c r="J3415" s="53">
        <f t="shared" si="1745"/>
        <v>33000</v>
      </c>
      <c r="K3415" s="63">
        <f t="shared" si="1746"/>
        <v>0.2391304347826087</v>
      </c>
      <c r="L3415" s="871" t="s">
        <v>2568</v>
      </c>
      <c r="M3415" s="468" t="s">
        <v>1394</v>
      </c>
      <c r="N3415" s="664">
        <f t="shared" si="1734"/>
        <v>201020</v>
      </c>
      <c r="O3415" s="71" t="s">
        <v>145</v>
      </c>
      <c r="P3415" s="164" t="str">
        <f t="shared" si="1735"/>
        <v>THR200(20L)</v>
      </c>
      <c r="Q3415" s="71">
        <f t="shared" si="1736"/>
        <v>3</v>
      </c>
      <c r="R3415" s="102">
        <v>35000</v>
      </c>
      <c r="S3415" s="102">
        <f t="shared" si="1747"/>
        <v>115500.00000000001</v>
      </c>
      <c r="T3415" s="102">
        <f t="shared" si="1748"/>
        <v>105000</v>
      </c>
      <c r="U3415" s="71" t="str">
        <f t="shared" si="1749"/>
        <v>X</v>
      </c>
      <c r="V3415" s="71"/>
      <c r="W3415" s="474"/>
      <c r="X3415" s="71"/>
      <c r="Y3415" s="71"/>
    </row>
    <row r="3416" spans="1:25" ht="30" hidden="1" customHeight="1" x14ac:dyDescent="0.25">
      <c r="A3416" s="82">
        <v>201020</v>
      </c>
      <c r="B3416" s="664" t="s">
        <v>442</v>
      </c>
      <c r="C3416" s="71" t="s">
        <v>206</v>
      </c>
      <c r="D3416" s="71">
        <v>2</v>
      </c>
      <c r="E3416" s="102">
        <v>327000</v>
      </c>
      <c r="F3416" s="102">
        <f t="shared" ref="F3416:F3432" si="1750">(E3416*D3416)*1.1</f>
        <v>719400</v>
      </c>
      <c r="G3416" s="102">
        <f t="shared" ref="G3416:G3432" si="1751">(E3416*D3416)</f>
        <v>654000</v>
      </c>
      <c r="H3416" s="690" t="s">
        <v>2029</v>
      </c>
      <c r="I3416" s="71" t="s">
        <v>195</v>
      </c>
      <c r="J3416" s="53">
        <f>(G3416-(VLOOKUP(C3416,[5]Price!B$1:D$65536,3,FALSE)*D3416))</f>
        <v>115800</v>
      </c>
      <c r="K3416" s="63">
        <f t="shared" si="1746"/>
        <v>0.17706422018348625</v>
      </c>
      <c r="L3416" s="871" t="s">
        <v>2568</v>
      </c>
      <c r="M3416" s="468"/>
      <c r="N3416" s="664">
        <f t="shared" si="1734"/>
        <v>201020</v>
      </c>
      <c r="O3416" s="71" t="s">
        <v>194</v>
      </c>
      <c r="P3416" s="164" t="str">
        <f t="shared" si="1735"/>
        <v>Agfa Film(24inch)</v>
      </c>
      <c r="Q3416" s="71">
        <f t="shared" si="1736"/>
        <v>2</v>
      </c>
      <c r="R3416" s="102">
        <v>269100</v>
      </c>
      <c r="S3416" s="102">
        <f t="shared" si="1747"/>
        <v>592020</v>
      </c>
      <c r="T3416" s="102">
        <f t="shared" si="1748"/>
        <v>538200</v>
      </c>
      <c r="U3416" s="71" t="str">
        <f t="shared" si="1749"/>
        <v>O</v>
      </c>
      <c r="V3416" s="71"/>
      <c r="W3416" s="474">
        <f>(G3416-T3416)</f>
        <v>115800</v>
      </c>
      <c r="X3416" s="71"/>
      <c r="Y3416" s="71"/>
    </row>
    <row r="3417" spans="1:25" ht="30" hidden="1" customHeight="1" x14ac:dyDescent="0.25">
      <c r="A3417" s="82">
        <v>201020</v>
      </c>
      <c r="B3417" s="664" t="s">
        <v>442</v>
      </c>
      <c r="C3417" s="71" t="s">
        <v>207</v>
      </c>
      <c r="D3417" s="71">
        <v>2</v>
      </c>
      <c r="E3417" s="102">
        <v>401000</v>
      </c>
      <c r="F3417" s="102">
        <f t="shared" si="1750"/>
        <v>882200.00000000012</v>
      </c>
      <c r="G3417" s="102">
        <f t="shared" si="1751"/>
        <v>802000</v>
      </c>
      <c r="H3417" s="690" t="s">
        <v>2029</v>
      </c>
      <c r="I3417" s="71" t="s">
        <v>195</v>
      </c>
      <c r="J3417" s="53">
        <f>(G3417-(VLOOKUP(C3417,[5]Price!B$1:D$65536,3,FALSE)*D3417))</f>
        <v>174080</v>
      </c>
      <c r="K3417" s="63">
        <f t="shared" si="1746"/>
        <v>0.21705735660847877</v>
      </c>
      <c r="L3417" s="871" t="s">
        <v>2568</v>
      </c>
      <c r="M3417" s="468"/>
      <c r="N3417" s="664">
        <f t="shared" si="1734"/>
        <v>201020</v>
      </c>
      <c r="O3417" s="71" t="s">
        <v>194</v>
      </c>
      <c r="P3417" s="164" t="str">
        <f t="shared" si="1735"/>
        <v>Agfa Film(28inch)</v>
      </c>
      <c r="Q3417" s="71">
        <f t="shared" si="1736"/>
        <v>2</v>
      </c>
      <c r="R3417" s="102">
        <f>VLOOKUP(P3417,[5]Price!B$1:D$65536,3,FALSE)</f>
        <v>313960</v>
      </c>
      <c r="S3417" s="102">
        <f t="shared" si="1747"/>
        <v>690712</v>
      </c>
      <c r="T3417" s="102">
        <f t="shared" si="1748"/>
        <v>627920</v>
      </c>
      <c r="U3417" s="71" t="str">
        <f t="shared" si="1749"/>
        <v>O</v>
      </c>
      <c r="V3417" s="71"/>
      <c r="W3417" s="474">
        <f>(G3417-T3417)</f>
        <v>174080</v>
      </c>
      <c r="X3417" s="71"/>
      <c r="Y3417" s="71"/>
    </row>
    <row r="3418" spans="1:25" ht="30" hidden="1" customHeight="1" x14ac:dyDescent="0.25">
      <c r="A3418" s="82">
        <v>201020</v>
      </c>
      <c r="B3418" s="664" t="s">
        <v>442</v>
      </c>
      <c r="C3418" s="71" t="s">
        <v>208</v>
      </c>
      <c r="D3418" s="71">
        <v>2</v>
      </c>
      <c r="E3418" s="102">
        <v>448000</v>
      </c>
      <c r="F3418" s="102">
        <f t="shared" si="1750"/>
        <v>985600.00000000012</v>
      </c>
      <c r="G3418" s="102">
        <f t="shared" si="1751"/>
        <v>896000</v>
      </c>
      <c r="H3418" s="690" t="s">
        <v>2029</v>
      </c>
      <c r="I3418" s="71" t="s">
        <v>195</v>
      </c>
      <c r="J3418" s="53">
        <f>(G3418-(VLOOKUP(C3418,[5]Price!B$1:D$65536,3,FALSE)*D3418))</f>
        <v>155980</v>
      </c>
      <c r="K3418" s="63">
        <f t="shared" si="1746"/>
        <v>0.1740848214285714</v>
      </c>
      <c r="L3418" s="871" t="s">
        <v>2568</v>
      </c>
      <c r="M3418" s="468"/>
      <c r="N3418" s="664">
        <f t="shared" si="1734"/>
        <v>201020</v>
      </c>
      <c r="O3418" s="71" t="s">
        <v>194</v>
      </c>
      <c r="P3418" s="164" t="str">
        <f t="shared" si="1735"/>
        <v>Agfa Film(32inch)</v>
      </c>
      <c r="Q3418" s="71">
        <f t="shared" si="1736"/>
        <v>2</v>
      </c>
      <c r="R3418" s="102">
        <f>VLOOKUP(P3418,[5]Price!B$1:D$65536,3,FALSE)</f>
        <v>370010</v>
      </c>
      <c r="S3418" s="102">
        <f t="shared" si="1747"/>
        <v>814022.00000000012</v>
      </c>
      <c r="T3418" s="102">
        <f t="shared" si="1748"/>
        <v>740020</v>
      </c>
      <c r="U3418" s="71" t="str">
        <f t="shared" si="1749"/>
        <v>O</v>
      </c>
      <c r="V3418" s="71"/>
      <c r="W3418" s="474">
        <f>(G3418-T3418)</f>
        <v>155980</v>
      </c>
      <c r="X3418" s="71"/>
      <c r="Y3418" s="71"/>
    </row>
    <row r="3419" spans="1:25" ht="30" hidden="1" customHeight="1" x14ac:dyDescent="0.25">
      <c r="A3419" s="82">
        <v>201020</v>
      </c>
      <c r="B3419" s="664" t="s">
        <v>748</v>
      </c>
      <c r="C3419" s="71" t="s">
        <v>1918</v>
      </c>
      <c r="D3419" s="71">
        <v>50</v>
      </c>
      <c r="E3419" s="102">
        <v>24000</v>
      </c>
      <c r="F3419" s="102">
        <f t="shared" si="1750"/>
        <v>1320000</v>
      </c>
      <c r="G3419" s="102">
        <f t="shared" si="1751"/>
        <v>1200000</v>
      </c>
      <c r="H3419" s="690" t="s">
        <v>1431</v>
      </c>
      <c r="I3419" s="71" t="s">
        <v>1431</v>
      </c>
      <c r="J3419" s="53">
        <f t="shared" ref="J3419:J3427" si="1752">G3419-T3419</f>
        <v>541900</v>
      </c>
      <c r="K3419" s="63">
        <f t="shared" ref="K3419:K3424" si="1753">(J3419/(F3419/11*10))</f>
        <v>0.45158333333333334</v>
      </c>
      <c r="L3419" s="871" t="s">
        <v>2568</v>
      </c>
      <c r="M3419" s="468"/>
      <c r="N3419" s="664">
        <f t="shared" si="1734"/>
        <v>201020</v>
      </c>
      <c r="O3419" s="71" t="s">
        <v>1431</v>
      </c>
      <c r="P3419" s="164" t="str">
        <f t="shared" si="1735"/>
        <v>브러쉬</v>
      </c>
      <c r="Q3419" s="71">
        <f t="shared" si="1736"/>
        <v>50</v>
      </c>
      <c r="R3419" s="102">
        <v>13162</v>
      </c>
      <c r="S3419" s="102">
        <f t="shared" si="1747"/>
        <v>723910.00000000012</v>
      </c>
      <c r="T3419" s="102">
        <f t="shared" si="1748"/>
        <v>658100</v>
      </c>
      <c r="U3419" s="71" t="str">
        <f t="shared" si="1749"/>
        <v>X</v>
      </c>
      <c r="V3419" s="71"/>
      <c r="W3419" s="474"/>
      <c r="X3419" s="71"/>
      <c r="Y3419" s="71"/>
    </row>
    <row r="3420" spans="1:25" ht="30" hidden="1" customHeight="1" x14ac:dyDescent="0.25">
      <c r="A3420" s="82">
        <v>201020</v>
      </c>
      <c r="B3420" s="664" t="s">
        <v>748</v>
      </c>
      <c r="C3420" s="71" t="s">
        <v>114</v>
      </c>
      <c r="D3420" s="71">
        <v>100</v>
      </c>
      <c r="E3420" s="102">
        <v>18000</v>
      </c>
      <c r="F3420" s="102">
        <f t="shared" si="1750"/>
        <v>1980000.0000000002</v>
      </c>
      <c r="G3420" s="102">
        <f t="shared" si="1751"/>
        <v>1800000</v>
      </c>
      <c r="H3420" s="690" t="s">
        <v>1431</v>
      </c>
      <c r="I3420" s="71" t="s">
        <v>1431</v>
      </c>
      <c r="J3420" s="53">
        <f t="shared" si="1752"/>
        <v>816400</v>
      </c>
      <c r="K3420" s="63">
        <f t="shared" si="1753"/>
        <v>0.45355555555555549</v>
      </c>
      <c r="L3420" s="871" t="s">
        <v>2568</v>
      </c>
      <c r="M3420" s="468"/>
      <c r="N3420" s="664">
        <f t="shared" si="1734"/>
        <v>201020</v>
      </c>
      <c r="O3420" s="71" t="s">
        <v>1431</v>
      </c>
      <c r="P3420" s="164" t="str">
        <f t="shared" si="1735"/>
        <v>스트리퍼</v>
      </c>
      <c r="Q3420" s="71">
        <f t="shared" si="1736"/>
        <v>100</v>
      </c>
      <c r="R3420" s="102">
        <v>9836</v>
      </c>
      <c r="S3420" s="102">
        <f t="shared" si="1747"/>
        <v>1081960</v>
      </c>
      <c r="T3420" s="102">
        <f t="shared" si="1748"/>
        <v>983600</v>
      </c>
      <c r="U3420" s="71" t="str">
        <f t="shared" si="1749"/>
        <v>X</v>
      </c>
      <c r="V3420" s="71"/>
      <c r="W3420" s="474"/>
      <c r="X3420" s="71"/>
      <c r="Y3420" s="71"/>
    </row>
    <row r="3421" spans="1:25" ht="30" hidden="1" customHeight="1" x14ac:dyDescent="0.25">
      <c r="A3421" s="82">
        <v>201020</v>
      </c>
      <c r="B3421" s="664" t="s">
        <v>748</v>
      </c>
      <c r="C3421" s="71" t="s">
        <v>2574</v>
      </c>
      <c r="D3421" s="71">
        <v>30</v>
      </c>
      <c r="E3421" s="102">
        <v>22000</v>
      </c>
      <c r="F3421" s="102">
        <f t="shared" si="1750"/>
        <v>726000.00000000012</v>
      </c>
      <c r="G3421" s="102">
        <f t="shared" si="1751"/>
        <v>660000</v>
      </c>
      <c r="H3421" s="690" t="s">
        <v>1431</v>
      </c>
      <c r="I3421" s="71" t="s">
        <v>1431</v>
      </c>
      <c r="J3421" s="53">
        <f t="shared" si="1752"/>
        <v>363330</v>
      </c>
      <c r="K3421" s="63">
        <f t="shared" si="1753"/>
        <v>0.55049999999999988</v>
      </c>
      <c r="L3421" s="871" t="s">
        <v>2568</v>
      </c>
      <c r="M3421" s="468"/>
      <c r="N3421" s="664">
        <f t="shared" si="1734"/>
        <v>201020</v>
      </c>
      <c r="O3421" s="71" t="s">
        <v>1431</v>
      </c>
      <c r="P3421" s="164" t="str">
        <f t="shared" si="1735"/>
        <v>링크체인</v>
      </c>
      <c r="Q3421" s="71">
        <f t="shared" si="1736"/>
        <v>30</v>
      </c>
      <c r="R3421" s="102">
        <v>9889</v>
      </c>
      <c r="S3421" s="102">
        <f t="shared" si="1747"/>
        <v>326337</v>
      </c>
      <c r="T3421" s="102">
        <f t="shared" si="1748"/>
        <v>296670</v>
      </c>
      <c r="U3421" s="71" t="str">
        <f t="shared" si="1749"/>
        <v>X</v>
      </c>
      <c r="V3421" s="71"/>
      <c r="W3421" s="474"/>
      <c r="X3421" s="71"/>
      <c r="Y3421" s="71"/>
    </row>
    <row r="3422" spans="1:25" ht="30" hidden="1" customHeight="1" x14ac:dyDescent="0.25">
      <c r="A3422" s="82">
        <v>201020</v>
      </c>
      <c r="B3422" s="664" t="s">
        <v>748</v>
      </c>
      <c r="C3422" s="71" t="s">
        <v>884</v>
      </c>
      <c r="D3422" s="71">
        <v>10</v>
      </c>
      <c r="E3422" s="102">
        <v>70000</v>
      </c>
      <c r="F3422" s="102">
        <f t="shared" si="1750"/>
        <v>770000.00000000012</v>
      </c>
      <c r="G3422" s="102">
        <f t="shared" si="1751"/>
        <v>700000</v>
      </c>
      <c r="H3422" s="690" t="s">
        <v>1431</v>
      </c>
      <c r="I3422" s="71" t="s">
        <v>1431</v>
      </c>
      <c r="J3422" s="53">
        <f t="shared" si="1752"/>
        <v>356290</v>
      </c>
      <c r="K3422" s="63">
        <f t="shared" si="1753"/>
        <v>0.50898571428571415</v>
      </c>
      <c r="L3422" s="871" t="s">
        <v>2568</v>
      </c>
      <c r="M3422" s="468"/>
      <c r="N3422" s="664">
        <f t="shared" si="1734"/>
        <v>201020</v>
      </c>
      <c r="O3422" s="71" t="s">
        <v>1431</v>
      </c>
      <c r="P3422" s="164" t="str">
        <f t="shared" si="1735"/>
        <v>재단목</v>
      </c>
      <c r="Q3422" s="71">
        <f t="shared" si="1736"/>
        <v>10</v>
      </c>
      <c r="R3422" s="102">
        <v>34371</v>
      </c>
      <c r="S3422" s="102">
        <f t="shared" si="1747"/>
        <v>378081.00000000006</v>
      </c>
      <c r="T3422" s="102">
        <f t="shared" si="1748"/>
        <v>343710</v>
      </c>
      <c r="U3422" s="71" t="str">
        <f t="shared" si="1749"/>
        <v>X</v>
      </c>
      <c r="V3422" s="71"/>
      <c r="W3422" s="474"/>
      <c r="X3422" s="71"/>
      <c r="Y3422" s="71"/>
    </row>
    <row r="3423" spans="1:25" ht="30" hidden="1" customHeight="1" x14ac:dyDescent="0.25">
      <c r="A3423" s="82">
        <v>201020</v>
      </c>
      <c r="B3423" s="664" t="s">
        <v>748</v>
      </c>
      <c r="C3423" s="71" t="s">
        <v>2575</v>
      </c>
      <c r="D3423" s="71">
        <v>2</v>
      </c>
      <c r="E3423" s="102">
        <v>98000</v>
      </c>
      <c r="F3423" s="102">
        <f t="shared" si="1750"/>
        <v>215600.00000000003</v>
      </c>
      <c r="G3423" s="102">
        <f t="shared" si="1751"/>
        <v>196000</v>
      </c>
      <c r="H3423" s="690" t="s">
        <v>1431</v>
      </c>
      <c r="I3423" s="71" t="s">
        <v>1431</v>
      </c>
      <c r="J3423" s="53">
        <f t="shared" si="1752"/>
        <v>46000</v>
      </c>
      <c r="K3423" s="63">
        <f t="shared" si="1753"/>
        <v>0.23469387755102036</v>
      </c>
      <c r="L3423" s="871" t="s">
        <v>2568</v>
      </c>
      <c r="M3423" s="468"/>
      <c r="N3423" s="664">
        <f t="shared" si="1734"/>
        <v>201020</v>
      </c>
      <c r="O3423" s="71" t="s">
        <v>1431</v>
      </c>
      <c r="P3423" s="164" t="str">
        <f t="shared" si="1735"/>
        <v>스프레이구리스</v>
      </c>
      <c r="Q3423" s="71">
        <f t="shared" si="1736"/>
        <v>2</v>
      </c>
      <c r="R3423" s="102">
        <v>75000</v>
      </c>
      <c r="S3423" s="102">
        <f t="shared" si="1747"/>
        <v>165000</v>
      </c>
      <c r="T3423" s="102">
        <f t="shared" si="1748"/>
        <v>150000</v>
      </c>
      <c r="U3423" s="71" t="str">
        <f t="shared" si="1749"/>
        <v>X</v>
      </c>
      <c r="V3423" s="71"/>
      <c r="W3423" s="474"/>
      <c r="X3423" s="71"/>
      <c r="Y3423" s="71"/>
    </row>
    <row r="3424" spans="1:25" ht="30" hidden="1" customHeight="1" x14ac:dyDescent="0.25">
      <c r="A3424" s="82">
        <v>201021</v>
      </c>
      <c r="B3424" s="664" t="s">
        <v>1263</v>
      </c>
      <c r="C3424" s="71" t="s">
        <v>123</v>
      </c>
      <c r="D3424" s="71">
        <v>10</v>
      </c>
      <c r="E3424" s="102">
        <v>25000</v>
      </c>
      <c r="F3424" s="102">
        <f t="shared" si="1750"/>
        <v>275000</v>
      </c>
      <c r="G3424" s="102">
        <f t="shared" si="1751"/>
        <v>250000</v>
      </c>
      <c r="H3424" s="690" t="s">
        <v>142</v>
      </c>
      <c r="I3424" s="71" t="s">
        <v>142</v>
      </c>
      <c r="J3424" s="53">
        <f t="shared" si="1752"/>
        <v>10000</v>
      </c>
      <c r="K3424" s="63">
        <f t="shared" si="1753"/>
        <v>0.04</v>
      </c>
      <c r="L3424" s="871" t="s">
        <v>2568</v>
      </c>
      <c r="M3424" s="468"/>
      <c r="N3424" s="664">
        <f t="shared" si="1734"/>
        <v>201021</v>
      </c>
      <c r="O3424" s="71" t="s">
        <v>94</v>
      </c>
      <c r="P3424" s="164" t="str">
        <f t="shared" si="1735"/>
        <v>필터백</v>
      </c>
      <c r="Q3424" s="71">
        <f t="shared" si="1736"/>
        <v>10</v>
      </c>
      <c r="R3424" s="102">
        <v>24000</v>
      </c>
      <c r="S3424" s="102">
        <f t="shared" si="1747"/>
        <v>264000</v>
      </c>
      <c r="T3424" s="102">
        <f t="shared" si="1748"/>
        <v>240000</v>
      </c>
      <c r="U3424" s="71" t="str">
        <f t="shared" si="1749"/>
        <v>X</v>
      </c>
      <c r="V3424" s="71"/>
      <c r="W3424" s="474"/>
      <c r="X3424" s="71"/>
      <c r="Y3424" s="71"/>
    </row>
    <row r="3425" spans="1:25" ht="30" hidden="1" customHeight="1" x14ac:dyDescent="0.25">
      <c r="A3425" s="82">
        <v>201021</v>
      </c>
      <c r="B3425" s="664" t="s">
        <v>809</v>
      </c>
      <c r="C3425" s="71" t="s">
        <v>1081</v>
      </c>
      <c r="D3425" s="71">
        <v>5</v>
      </c>
      <c r="E3425" s="102">
        <v>156000</v>
      </c>
      <c r="F3425" s="102">
        <f>(E3425*D3425)*1.1</f>
        <v>858000.00000000012</v>
      </c>
      <c r="G3425" s="102">
        <f>(E3425*D3425)</f>
        <v>780000</v>
      </c>
      <c r="H3425" s="690" t="s">
        <v>173</v>
      </c>
      <c r="I3425" s="71" t="s">
        <v>2231</v>
      </c>
      <c r="J3425" s="53">
        <f t="shared" si="1752"/>
        <v>180000</v>
      </c>
      <c r="K3425" s="63">
        <f t="shared" si="1746"/>
        <v>0.23076923076923073</v>
      </c>
      <c r="L3425" s="871" t="s">
        <v>2568</v>
      </c>
      <c r="M3425" s="468"/>
      <c r="N3425" s="664">
        <f t="shared" si="1734"/>
        <v>201021</v>
      </c>
      <c r="O3425" s="71" t="s">
        <v>147</v>
      </c>
      <c r="P3425" s="164" t="str">
        <f t="shared" si="1735"/>
        <v>파우더</v>
      </c>
      <c r="Q3425" s="71">
        <f t="shared" si="1736"/>
        <v>5</v>
      </c>
      <c r="R3425" s="102">
        <v>120000</v>
      </c>
      <c r="S3425" s="102">
        <f t="shared" si="1747"/>
        <v>660000</v>
      </c>
      <c r="T3425" s="102">
        <f t="shared" si="1748"/>
        <v>600000</v>
      </c>
      <c r="U3425" s="71" t="str">
        <f t="shared" si="1749"/>
        <v>O</v>
      </c>
      <c r="V3425" s="71"/>
      <c r="W3425" s="474">
        <f>(G3425-T3425)</f>
        <v>180000</v>
      </c>
      <c r="X3425" s="71"/>
      <c r="Y3425" s="71"/>
    </row>
    <row r="3426" spans="1:25" s="209" customFormat="1" ht="30" hidden="1" customHeight="1" x14ac:dyDescent="0.25">
      <c r="A3426" s="82">
        <v>201021</v>
      </c>
      <c r="B3426" s="664" t="s">
        <v>442</v>
      </c>
      <c r="C3426" s="71" t="s">
        <v>138</v>
      </c>
      <c r="D3426" s="71">
        <v>30</v>
      </c>
      <c r="E3426" s="102">
        <v>55200</v>
      </c>
      <c r="F3426" s="102">
        <f t="shared" si="1750"/>
        <v>1821600.0000000002</v>
      </c>
      <c r="G3426" s="102">
        <f t="shared" si="1751"/>
        <v>1656000</v>
      </c>
      <c r="H3426" s="690" t="s">
        <v>173</v>
      </c>
      <c r="I3426" s="71" t="s">
        <v>108</v>
      </c>
      <c r="J3426" s="53">
        <f t="shared" si="1752"/>
        <v>432000</v>
      </c>
      <c r="K3426" s="63">
        <f t="shared" si="1746"/>
        <v>0.26086956521739124</v>
      </c>
      <c r="L3426" s="871" t="s">
        <v>2568</v>
      </c>
      <c r="M3426" s="468" t="s">
        <v>2388</v>
      </c>
      <c r="N3426" s="664">
        <f t="shared" si="1734"/>
        <v>201021</v>
      </c>
      <c r="O3426" s="71" t="s">
        <v>150</v>
      </c>
      <c r="P3426" s="164" t="str">
        <f t="shared" si="1735"/>
        <v>매엽용 세척제(Wash 562)</v>
      </c>
      <c r="Q3426" s="71">
        <f t="shared" si="1736"/>
        <v>30</v>
      </c>
      <c r="R3426" s="102">
        <v>40800</v>
      </c>
      <c r="S3426" s="102">
        <f t="shared" si="1747"/>
        <v>1346400</v>
      </c>
      <c r="T3426" s="102">
        <f t="shared" si="1748"/>
        <v>1224000</v>
      </c>
      <c r="U3426" s="71" t="str">
        <f t="shared" si="1749"/>
        <v>X</v>
      </c>
      <c r="V3426" s="71"/>
      <c r="W3426" s="474">
        <v>396000</v>
      </c>
      <c r="X3426" s="71"/>
      <c r="Y3426" s="71"/>
    </row>
    <row r="3427" spans="1:25" ht="30" hidden="1" customHeight="1" x14ac:dyDescent="0.25">
      <c r="A3427" s="82">
        <v>201021</v>
      </c>
      <c r="B3427" s="664" t="s">
        <v>690</v>
      </c>
      <c r="C3427" s="71" t="s">
        <v>217</v>
      </c>
      <c r="D3427" s="71">
        <v>2</v>
      </c>
      <c r="E3427" s="102">
        <v>137000</v>
      </c>
      <c r="F3427" s="102">
        <f t="shared" si="1750"/>
        <v>301400</v>
      </c>
      <c r="G3427" s="102">
        <f t="shared" si="1751"/>
        <v>274000</v>
      </c>
      <c r="H3427" s="690" t="s">
        <v>173</v>
      </c>
      <c r="I3427" s="71" t="s">
        <v>108</v>
      </c>
      <c r="J3427" s="53">
        <f t="shared" si="1752"/>
        <v>114000</v>
      </c>
      <c r="K3427" s="63">
        <f t="shared" si="1746"/>
        <v>0.41605839416058393</v>
      </c>
      <c r="L3427" s="871" t="s">
        <v>2568</v>
      </c>
      <c r="M3427" s="468"/>
      <c r="N3427" s="664">
        <f t="shared" si="1734"/>
        <v>201021</v>
      </c>
      <c r="O3427" s="71" t="s">
        <v>150</v>
      </c>
      <c r="P3427" s="164" t="str">
        <f t="shared" si="1735"/>
        <v>Fount 511</v>
      </c>
      <c r="Q3427" s="71">
        <f t="shared" si="1736"/>
        <v>2</v>
      </c>
      <c r="R3427" s="102">
        <v>80000</v>
      </c>
      <c r="S3427" s="102">
        <f t="shared" si="1747"/>
        <v>176000</v>
      </c>
      <c r="T3427" s="102">
        <f t="shared" si="1748"/>
        <v>160000</v>
      </c>
      <c r="U3427" s="71" t="str">
        <f t="shared" si="1749"/>
        <v>X</v>
      </c>
      <c r="V3427" s="71"/>
      <c r="W3427" s="474">
        <v>130000</v>
      </c>
      <c r="X3427" s="71"/>
      <c r="Y3427" s="71"/>
    </row>
    <row r="3428" spans="1:25" s="209" customFormat="1" ht="30" hidden="1" customHeight="1" x14ac:dyDescent="0.2">
      <c r="A3428" s="82">
        <v>201021</v>
      </c>
      <c r="B3428" s="664" t="s">
        <v>2353</v>
      </c>
      <c r="C3428" s="71" t="s">
        <v>130</v>
      </c>
      <c r="D3428" s="71">
        <v>20</v>
      </c>
      <c r="E3428" s="102">
        <v>125000</v>
      </c>
      <c r="F3428" s="163">
        <f t="shared" si="1750"/>
        <v>2750000</v>
      </c>
      <c r="G3428" s="102">
        <f t="shared" si="1751"/>
        <v>2500000</v>
      </c>
      <c r="H3428" s="165" t="s">
        <v>142</v>
      </c>
      <c r="I3428" s="71" t="s">
        <v>142</v>
      </c>
      <c r="J3428" s="53">
        <f>(G3428-(VLOOKUP(C3428,Price!B:D,3,FALSE)*D3428))</f>
        <v>520000</v>
      </c>
      <c r="K3428" s="63">
        <f t="shared" si="1746"/>
        <v>0.20799999999999999</v>
      </c>
      <c r="L3428" s="871" t="s">
        <v>2568</v>
      </c>
      <c r="M3428" s="468" t="s">
        <v>2050</v>
      </c>
      <c r="N3428" s="664">
        <f t="shared" si="1734"/>
        <v>201021</v>
      </c>
      <c r="O3428" s="71" t="s">
        <v>150</v>
      </c>
      <c r="P3428" s="164" t="str">
        <f t="shared" si="1735"/>
        <v>XL106 Blanket(1077*885)</v>
      </c>
      <c r="Q3428" s="71">
        <f t="shared" si="1736"/>
        <v>20</v>
      </c>
      <c r="R3428" s="102">
        <v>99000</v>
      </c>
      <c r="S3428" s="102">
        <f t="shared" si="1747"/>
        <v>2178000</v>
      </c>
      <c r="T3428" s="102">
        <f t="shared" si="1748"/>
        <v>1980000</v>
      </c>
      <c r="U3428" s="71" t="str">
        <f t="shared" si="1749"/>
        <v>O</v>
      </c>
      <c r="V3428" s="71"/>
      <c r="W3428" s="474">
        <f>(G3428-T3428)</f>
        <v>520000</v>
      </c>
      <c r="X3428" s="71"/>
      <c r="Y3428" s="71"/>
    </row>
    <row r="3429" spans="1:25" ht="30" hidden="1" customHeight="1" x14ac:dyDescent="0.2">
      <c r="A3429" s="82">
        <v>201021</v>
      </c>
      <c r="B3429" s="664" t="s">
        <v>2353</v>
      </c>
      <c r="C3429" s="71" t="s">
        <v>129</v>
      </c>
      <c r="D3429" s="71">
        <v>7</v>
      </c>
      <c r="E3429" s="102">
        <v>272000</v>
      </c>
      <c r="F3429" s="163">
        <f t="shared" si="1750"/>
        <v>2094400.0000000002</v>
      </c>
      <c r="G3429" s="102">
        <f t="shared" si="1751"/>
        <v>1904000</v>
      </c>
      <c r="H3429" s="165" t="s">
        <v>142</v>
      </c>
      <c r="I3429" s="71" t="s">
        <v>142</v>
      </c>
      <c r="J3429" s="53">
        <f>G3429-T3429</f>
        <v>448000</v>
      </c>
      <c r="K3429" s="63">
        <f t="shared" si="1746"/>
        <v>0.23529411764705879</v>
      </c>
      <c r="L3429" s="871" t="s">
        <v>2568</v>
      </c>
      <c r="M3429" s="468" t="s">
        <v>2050</v>
      </c>
      <c r="N3429" s="664">
        <f t="shared" si="1734"/>
        <v>201021</v>
      </c>
      <c r="O3429" s="71" t="s">
        <v>149</v>
      </c>
      <c r="P3429" s="164" t="str">
        <f t="shared" si="1735"/>
        <v>세정포-XL106</v>
      </c>
      <c r="Q3429" s="71">
        <f t="shared" si="1736"/>
        <v>7</v>
      </c>
      <c r="R3429" s="102">
        <v>208000</v>
      </c>
      <c r="S3429" s="102">
        <f t="shared" si="1747"/>
        <v>1601600.0000000002</v>
      </c>
      <c r="T3429" s="102">
        <f t="shared" si="1748"/>
        <v>1456000</v>
      </c>
      <c r="U3429" s="71" t="str">
        <f t="shared" si="1749"/>
        <v>O</v>
      </c>
      <c r="V3429" s="71"/>
      <c r="W3429" s="474">
        <f>(G3429-T3429)</f>
        <v>448000</v>
      </c>
      <c r="X3429" s="71"/>
      <c r="Y3429" s="71"/>
    </row>
    <row r="3430" spans="1:25" s="209" customFormat="1" ht="30" hidden="1" customHeight="1" x14ac:dyDescent="0.2">
      <c r="A3430" s="82">
        <v>201021</v>
      </c>
      <c r="B3430" s="664" t="s">
        <v>2353</v>
      </c>
      <c r="C3430" s="71" t="s">
        <v>138</v>
      </c>
      <c r="D3430" s="71">
        <v>15</v>
      </c>
      <c r="E3430" s="102">
        <v>54400</v>
      </c>
      <c r="F3430" s="163">
        <f t="shared" si="1750"/>
        <v>897600.00000000012</v>
      </c>
      <c r="G3430" s="102">
        <f t="shared" si="1751"/>
        <v>816000</v>
      </c>
      <c r="H3430" s="165" t="s">
        <v>142</v>
      </c>
      <c r="I3430" s="71" t="s">
        <v>142</v>
      </c>
      <c r="J3430" s="53">
        <f>G3430-T3430</f>
        <v>204000</v>
      </c>
      <c r="K3430" s="63">
        <f t="shared" si="1746"/>
        <v>0.24999999999999997</v>
      </c>
      <c r="L3430" s="871" t="s">
        <v>2568</v>
      </c>
      <c r="M3430" s="468" t="s">
        <v>2214</v>
      </c>
      <c r="N3430" s="664">
        <f t="shared" si="1734"/>
        <v>201021</v>
      </c>
      <c r="O3430" s="71" t="s">
        <v>2030</v>
      </c>
      <c r="P3430" s="164" t="str">
        <f t="shared" si="1735"/>
        <v>매엽용 세척제(Wash 562)</v>
      </c>
      <c r="Q3430" s="71">
        <f t="shared" si="1736"/>
        <v>15</v>
      </c>
      <c r="R3430" s="102">
        <v>40800</v>
      </c>
      <c r="S3430" s="102">
        <f t="shared" si="1747"/>
        <v>673200</v>
      </c>
      <c r="T3430" s="102">
        <f t="shared" si="1748"/>
        <v>612000</v>
      </c>
      <c r="U3430" s="71" t="str">
        <f t="shared" si="1749"/>
        <v>O</v>
      </c>
      <c r="V3430" s="71"/>
      <c r="W3430" s="474">
        <f>(G3430-T3430)</f>
        <v>204000</v>
      </c>
      <c r="X3430" s="71"/>
      <c r="Y3430" s="71"/>
    </row>
    <row r="3431" spans="1:25" ht="30" hidden="1" customHeight="1" x14ac:dyDescent="0.25">
      <c r="A3431" s="82">
        <v>201021</v>
      </c>
      <c r="B3431" s="664" t="s">
        <v>2353</v>
      </c>
      <c r="C3431" s="71" t="s">
        <v>2560</v>
      </c>
      <c r="D3431" s="71">
        <v>2</v>
      </c>
      <c r="E3431" s="102">
        <v>363000</v>
      </c>
      <c r="F3431" s="102">
        <f t="shared" si="1750"/>
        <v>798600.00000000012</v>
      </c>
      <c r="G3431" s="102">
        <f t="shared" si="1751"/>
        <v>726000</v>
      </c>
      <c r="H3431" s="690" t="s">
        <v>142</v>
      </c>
      <c r="I3431" s="71" t="s">
        <v>142</v>
      </c>
      <c r="J3431" s="53">
        <f>G3431-T3431</f>
        <v>146000</v>
      </c>
      <c r="K3431" s="63">
        <f t="shared" si="1746"/>
        <v>0.20110192837465563</v>
      </c>
      <c r="L3431" s="871" t="s">
        <v>2568</v>
      </c>
      <c r="M3431" s="468"/>
      <c r="N3431" s="664">
        <f t="shared" si="1734"/>
        <v>201021</v>
      </c>
      <c r="O3431" s="71" t="s">
        <v>150</v>
      </c>
      <c r="P3431" s="164" t="str">
        <f t="shared" si="1735"/>
        <v>접지 누름 가이드</v>
      </c>
      <c r="Q3431" s="71">
        <f t="shared" si="1736"/>
        <v>2</v>
      </c>
      <c r="R3431" s="102">
        <v>290000</v>
      </c>
      <c r="S3431" s="102">
        <f t="shared" si="1747"/>
        <v>638000</v>
      </c>
      <c r="T3431" s="102">
        <f t="shared" si="1748"/>
        <v>580000</v>
      </c>
      <c r="U3431" s="71" t="str">
        <f t="shared" si="1749"/>
        <v>X</v>
      </c>
      <c r="V3431" s="71"/>
      <c r="W3431" s="474"/>
      <c r="X3431" s="71"/>
      <c r="Y3431" s="71"/>
    </row>
    <row r="3432" spans="1:25" ht="30" hidden="1" customHeight="1" x14ac:dyDescent="0.25">
      <c r="A3432" s="82">
        <v>201022</v>
      </c>
      <c r="B3432" s="664" t="s">
        <v>446</v>
      </c>
      <c r="C3432" s="71" t="s">
        <v>2028</v>
      </c>
      <c r="D3432" s="71">
        <v>15</v>
      </c>
      <c r="E3432" s="102">
        <v>105000</v>
      </c>
      <c r="F3432" s="102">
        <f t="shared" si="1750"/>
        <v>1732500.0000000002</v>
      </c>
      <c r="G3432" s="102">
        <f t="shared" si="1751"/>
        <v>1575000</v>
      </c>
      <c r="H3432" s="690" t="s">
        <v>2029</v>
      </c>
      <c r="I3432" s="71" t="s">
        <v>2231</v>
      </c>
      <c r="J3432" s="53">
        <f>G3432-T3432</f>
        <v>285000</v>
      </c>
      <c r="K3432" s="63">
        <f t="shared" ref="K3432:K3437" si="1754">(J3432/(F3432/11*10))</f>
        <v>0.18095238095238092</v>
      </c>
      <c r="L3432" s="871" t="s">
        <v>2540</v>
      </c>
      <c r="M3432" s="468" t="s">
        <v>3067</v>
      </c>
      <c r="N3432" s="664">
        <f t="shared" si="1734"/>
        <v>201022</v>
      </c>
      <c r="O3432" s="71" t="s">
        <v>2030</v>
      </c>
      <c r="P3432" s="164" t="str">
        <f t="shared" si="1735"/>
        <v>실리콘 에멀전</v>
      </c>
      <c r="Q3432" s="71">
        <f t="shared" si="1736"/>
        <v>15</v>
      </c>
      <c r="R3432" s="102">
        <v>86000</v>
      </c>
      <c r="S3432" s="102">
        <f t="shared" si="1747"/>
        <v>1419000</v>
      </c>
      <c r="T3432" s="102">
        <f t="shared" si="1748"/>
        <v>1290000</v>
      </c>
      <c r="U3432" s="71" t="str">
        <f t="shared" si="1749"/>
        <v>O</v>
      </c>
      <c r="V3432" s="71">
        <f>5000*Q3432</f>
        <v>75000</v>
      </c>
      <c r="W3432" s="474">
        <f>(G3432-T3432)</f>
        <v>285000</v>
      </c>
      <c r="X3432" s="71"/>
      <c r="Y3432" s="71"/>
    </row>
    <row r="3433" spans="1:25" ht="30" hidden="1" customHeight="1" x14ac:dyDescent="0.2">
      <c r="A3433" s="82">
        <v>201022</v>
      </c>
      <c r="B3433" s="664" t="s">
        <v>548</v>
      </c>
      <c r="C3433" s="71" t="s">
        <v>107</v>
      </c>
      <c r="D3433" s="71">
        <v>7</v>
      </c>
      <c r="E3433" s="102">
        <v>90000</v>
      </c>
      <c r="F3433" s="163">
        <f t="shared" ref="F3433:F3440" si="1755">(E3433*D3433)*1.1</f>
        <v>693000</v>
      </c>
      <c r="G3433" s="102">
        <f t="shared" ref="G3433:G3440" si="1756">(E3433*D3433)</f>
        <v>630000</v>
      </c>
      <c r="H3433" s="165" t="s">
        <v>172</v>
      </c>
      <c r="I3433" s="71" t="s">
        <v>109</v>
      </c>
      <c r="J3433" s="53">
        <f>(G3433-(VLOOKUP(C3433,Price!B:D,3,FALSE)*D3433))</f>
        <v>66500</v>
      </c>
      <c r="K3433" s="63">
        <f t="shared" si="1754"/>
        <v>0.10555555555555556</v>
      </c>
      <c r="L3433" s="871" t="s">
        <v>2568</v>
      </c>
      <c r="M3433" s="468"/>
      <c r="N3433" s="664">
        <f t="shared" si="1734"/>
        <v>201022</v>
      </c>
      <c r="O3433" s="71" t="s">
        <v>147</v>
      </c>
      <c r="P3433" s="164" t="str">
        <f t="shared" si="1735"/>
        <v>Blanket(1050*840)</v>
      </c>
      <c r="Q3433" s="71">
        <f t="shared" si="1736"/>
        <v>7</v>
      </c>
      <c r="R3433" s="102">
        <v>80500</v>
      </c>
      <c r="S3433" s="102">
        <f t="shared" si="1747"/>
        <v>619850</v>
      </c>
      <c r="T3433" s="102">
        <f t="shared" si="1748"/>
        <v>563500</v>
      </c>
      <c r="U3433" s="71" t="str">
        <f t="shared" si="1749"/>
        <v>O</v>
      </c>
      <c r="V3433" s="71"/>
      <c r="W3433" s="474">
        <f>(G3433-T3433)</f>
        <v>66500</v>
      </c>
      <c r="X3433" s="71"/>
      <c r="Y3433" s="71"/>
    </row>
    <row r="3434" spans="1:25" ht="30" hidden="1" customHeight="1" x14ac:dyDescent="0.25">
      <c r="A3434" s="82">
        <v>201022</v>
      </c>
      <c r="B3434" s="664" t="s">
        <v>809</v>
      </c>
      <c r="C3434" s="71" t="s">
        <v>2539</v>
      </c>
      <c r="D3434" s="71">
        <v>1</v>
      </c>
      <c r="E3434" s="102">
        <v>12400000</v>
      </c>
      <c r="F3434" s="102">
        <f t="shared" si="1755"/>
        <v>13640000.000000002</v>
      </c>
      <c r="G3434" s="102">
        <f t="shared" si="1756"/>
        <v>12400000</v>
      </c>
      <c r="H3434" s="690" t="s">
        <v>173</v>
      </c>
      <c r="I3434" s="71" t="s">
        <v>143</v>
      </c>
      <c r="J3434" s="53">
        <f t="shared" ref="J3434:J3463" si="1757">G3434-T3434</f>
        <v>1281600</v>
      </c>
      <c r="K3434" s="63">
        <f t="shared" si="1754"/>
        <v>0.1033548387096774</v>
      </c>
      <c r="L3434" s="871" t="s">
        <v>2568</v>
      </c>
      <c r="M3434" s="468"/>
      <c r="N3434" s="664">
        <f t="shared" si="1734"/>
        <v>201022</v>
      </c>
      <c r="O3434" s="71" t="s">
        <v>612</v>
      </c>
      <c r="P3434" s="164" t="str">
        <f t="shared" si="1735"/>
        <v>XL106 롤라 44개 세트</v>
      </c>
      <c r="Q3434" s="71">
        <f t="shared" si="1736"/>
        <v>1</v>
      </c>
      <c r="R3434" s="102">
        <v>11118400</v>
      </c>
      <c r="S3434" s="102">
        <f t="shared" si="1747"/>
        <v>12230240.000000002</v>
      </c>
      <c r="T3434" s="102">
        <f t="shared" si="1748"/>
        <v>11118400</v>
      </c>
      <c r="U3434" s="71" t="str">
        <f t="shared" si="1749"/>
        <v>X</v>
      </c>
      <c r="V3434" s="71"/>
      <c r="W3434" s="474"/>
      <c r="X3434" s="71"/>
      <c r="Y3434" s="71"/>
    </row>
    <row r="3435" spans="1:25" ht="30" hidden="1" customHeight="1" x14ac:dyDescent="0.25">
      <c r="A3435" s="82">
        <v>201022</v>
      </c>
      <c r="B3435" s="664" t="s">
        <v>2155</v>
      </c>
      <c r="C3435" s="71" t="s">
        <v>2576</v>
      </c>
      <c r="D3435" s="71">
        <v>50</v>
      </c>
      <c r="E3435" s="102">
        <v>14000</v>
      </c>
      <c r="F3435" s="102">
        <f t="shared" si="1755"/>
        <v>770000.00000000012</v>
      </c>
      <c r="G3435" s="102">
        <f t="shared" si="1756"/>
        <v>700000</v>
      </c>
      <c r="H3435" s="690" t="s">
        <v>1431</v>
      </c>
      <c r="I3435" s="690" t="s">
        <v>1431</v>
      </c>
      <c r="J3435" s="53">
        <f t="shared" si="1757"/>
        <v>208200</v>
      </c>
      <c r="K3435" s="63">
        <f t="shared" si="1754"/>
        <v>0.29742857142857138</v>
      </c>
      <c r="L3435" s="871" t="s">
        <v>2568</v>
      </c>
      <c r="M3435" s="468"/>
      <c r="N3435" s="664">
        <f t="shared" si="1734"/>
        <v>201022</v>
      </c>
      <c r="O3435" s="71" t="s">
        <v>1431</v>
      </c>
      <c r="P3435" s="164" t="str">
        <f t="shared" si="1735"/>
        <v>스트리퍼(X80850)</v>
      </c>
      <c r="Q3435" s="71">
        <f t="shared" si="1736"/>
        <v>50</v>
      </c>
      <c r="R3435" s="102">
        <v>9836</v>
      </c>
      <c r="S3435" s="102">
        <f t="shared" si="1747"/>
        <v>540980</v>
      </c>
      <c r="T3435" s="102">
        <f t="shared" si="1748"/>
        <v>491800</v>
      </c>
      <c r="U3435" s="71" t="str">
        <f t="shared" si="1749"/>
        <v>X</v>
      </c>
      <c r="V3435" s="71"/>
      <c r="W3435" s="474"/>
      <c r="X3435" s="71"/>
      <c r="Y3435" s="71"/>
    </row>
    <row r="3436" spans="1:25" ht="30" hidden="1" customHeight="1" x14ac:dyDescent="0.25">
      <c r="A3436" s="82">
        <v>201022</v>
      </c>
      <c r="B3436" s="664" t="s">
        <v>2155</v>
      </c>
      <c r="C3436" s="71" t="s">
        <v>114</v>
      </c>
      <c r="D3436" s="71">
        <v>50</v>
      </c>
      <c r="E3436" s="102">
        <v>18000</v>
      </c>
      <c r="F3436" s="102">
        <f t="shared" si="1755"/>
        <v>990000.00000000012</v>
      </c>
      <c r="G3436" s="102">
        <f t="shared" si="1756"/>
        <v>900000</v>
      </c>
      <c r="H3436" s="690" t="s">
        <v>1431</v>
      </c>
      <c r="I3436" s="690" t="s">
        <v>1431</v>
      </c>
      <c r="J3436" s="53">
        <f t="shared" si="1757"/>
        <v>408200</v>
      </c>
      <c r="K3436" s="63">
        <f t="shared" si="1754"/>
        <v>0.45355555555555549</v>
      </c>
      <c r="L3436" s="871" t="s">
        <v>2568</v>
      </c>
      <c r="M3436" s="468"/>
      <c r="N3436" s="664">
        <f t="shared" si="1734"/>
        <v>201022</v>
      </c>
      <c r="O3436" s="71" t="s">
        <v>1431</v>
      </c>
      <c r="P3436" s="164" t="str">
        <f t="shared" si="1735"/>
        <v>스트리퍼</v>
      </c>
      <c r="Q3436" s="71">
        <f t="shared" si="1736"/>
        <v>50</v>
      </c>
      <c r="R3436" s="102">
        <v>9836</v>
      </c>
      <c r="S3436" s="102">
        <f t="shared" si="1747"/>
        <v>540980</v>
      </c>
      <c r="T3436" s="102">
        <f t="shared" si="1748"/>
        <v>491800</v>
      </c>
      <c r="U3436" s="71" t="str">
        <f t="shared" si="1749"/>
        <v>X</v>
      </c>
      <c r="V3436" s="71"/>
      <c r="W3436" s="474"/>
      <c r="X3436" s="71"/>
      <c r="Y3436" s="71"/>
    </row>
    <row r="3437" spans="1:25" s="209" customFormat="1" ht="30" hidden="1" customHeight="1" x14ac:dyDescent="0.25">
      <c r="A3437" s="82">
        <v>201023</v>
      </c>
      <c r="B3437" s="664" t="s">
        <v>2155</v>
      </c>
      <c r="C3437" s="71" t="s">
        <v>138</v>
      </c>
      <c r="D3437" s="71">
        <v>5</v>
      </c>
      <c r="E3437" s="102">
        <v>47600</v>
      </c>
      <c r="F3437" s="163">
        <f t="shared" si="1755"/>
        <v>261800.00000000003</v>
      </c>
      <c r="G3437" s="102">
        <f t="shared" si="1756"/>
        <v>238000</v>
      </c>
      <c r="H3437" s="1129" t="s">
        <v>172</v>
      </c>
      <c r="I3437" s="71" t="s">
        <v>108</v>
      </c>
      <c r="J3437" s="53">
        <f t="shared" si="1757"/>
        <v>34000</v>
      </c>
      <c r="K3437" s="63">
        <f t="shared" si="1754"/>
        <v>0.14285714285714285</v>
      </c>
      <c r="L3437" s="871" t="s">
        <v>2568</v>
      </c>
      <c r="M3437" s="468" t="s">
        <v>2214</v>
      </c>
      <c r="N3437" s="664">
        <f t="shared" si="1734"/>
        <v>201023</v>
      </c>
      <c r="O3437" s="71" t="s">
        <v>150</v>
      </c>
      <c r="P3437" s="164" t="str">
        <f t="shared" si="1735"/>
        <v>매엽용 세척제(Wash 562)</v>
      </c>
      <c r="Q3437" s="71">
        <f t="shared" si="1736"/>
        <v>5</v>
      </c>
      <c r="R3437" s="102">
        <v>40800</v>
      </c>
      <c r="S3437" s="102">
        <f t="shared" si="1747"/>
        <v>224400.00000000003</v>
      </c>
      <c r="T3437" s="102">
        <f t="shared" si="1748"/>
        <v>204000</v>
      </c>
      <c r="U3437" s="71" t="str">
        <f t="shared" si="1749"/>
        <v>X</v>
      </c>
      <c r="V3437" s="71"/>
      <c r="W3437" s="474">
        <v>85000</v>
      </c>
      <c r="X3437" s="71"/>
      <c r="Y3437" s="71"/>
    </row>
    <row r="3438" spans="1:25" ht="30" hidden="1" customHeight="1" x14ac:dyDescent="0.25">
      <c r="A3438" s="82">
        <v>201023</v>
      </c>
      <c r="B3438" s="664" t="s">
        <v>2155</v>
      </c>
      <c r="C3438" s="71" t="s">
        <v>277</v>
      </c>
      <c r="D3438" s="71">
        <v>5</v>
      </c>
      <c r="E3438" s="102">
        <v>172000</v>
      </c>
      <c r="F3438" s="102">
        <f t="shared" si="1755"/>
        <v>946000.00000000012</v>
      </c>
      <c r="G3438" s="102">
        <f t="shared" si="1756"/>
        <v>860000</v>
      </c>
      <c r="H3438" s="690" t="s">
        <v>173</v>
      </c>
      <c r="I3438" s="71" t="s">
        <v>108</v>
      </c>
      <c r="J3438" s="53">
        <f t="shared" si="1757"/>
        <v>285000</v>
      </c>
      <c r="K3438" s="63">
        <v>0.33139534883720928</v>
      </c>
      <c r="L3438" s="871" t="s">
        <v>2568</v>
      </c>
      <c r="M3438" s="468"/>
      <c r="N3438" s="664">
        <f t="shared" si="1734"/>
        <v>201023</v>
      </c>
      <c r="O3438" s="71" t="s">
        <v>150</v>
      </c>
      <c r="P3438" s="164" t="str">
        <f t="shared" si="1735"/>
        <v>윤전용 세척제(Web 504)</v>
      </c>
      <c r="Q3438" s="71">
        <f t="shared" si="1736"/>
        <v>5</v>
      </c>
      <c r="R3438" s="102">
        <v>115000</v>
      </c>
      <c r="S3438" s="102">
        <f t="shared" si="1747"/>
        <v>632500</v>
      </c>
      <c r="T3438" s="102">
        <f t="shared" si="1748"/>
        <v>575000</v>
      </c>
      <c r="U3438" s="71" t="str">
        <f t="shared" si="1749"/>
        <v>O</v>
      </c>
      <c r="V3438" s="71"/>
      <c r="W3438" s="474">
        <v>285000</v>
      </c>
      <c r="X3438" s="71"/>
      <c r="Y3438" s="71"/>
    </row>
    <row r="3439" spans="1:25" ht="30" hidden="1" customHeight="1" x14ac:dyDescent="0.25">
      <c r="A3439" s="82">
        <v>201023</v>
      </c>
      <c r="B3439" s="664" t="s">
        <v>2155</v>
      </c>
      <c r="C3439" s="760" t="s">
        <v>218</v>
      </c>
      <c r="D3439" s="71">
        <v>5</v>
      </c>
      <c r="E3439" s="102">
        <v>192500</v>
      </c>
      <c r="F3439" s="102">
        <f t="shared" si="1755"/>
        <v>1058750</v>
      </c>
      <c r="G3439" s="102">
        <f t="shared" si="1756"/>
        <v>962500</v>
      </c>
      <c r="H3439" s="690" t="s">
        <v>173</v>
      </c>
      <c r="I3439" s="71" t="s">
        <v>120</v>
      </c>
      <c r="J3439" s="53">
        <f t="shared" si="1757"/>
        <v>400000</v>
      </c>
      <c r="K3439" s="63">
        <v>0.4155844155844155</v>
      </c>
      <c r="L3439" s="871" t="s">
        <v>2568</v>
      </c>
      <c r="M3439" s="468"/>
      <c r="N3439" s="664">
        <f t="shared" si="1734"/>
        <v>201023</v>
      </c>
      <c r="O3439" s="71" t="s">
        <v>150</v>
      </c>
      <c r="P3439" s="164" t="str">
        <f t="shared" si="1735"/>
        <v>Fount Web 551AF</v>
      </c>
      <c r="Q3439" s="71">
        <f t="shared" si="1736"/>
        <v>5</v>
      </c>
      <c r="R3439" s="102">
        <v>112500</v>
      </c>
      <c r="S3439" s="102">
        <f t="shared" si="1747"/>
        <v>618750</v>
      </c>
      <c r="T3439" s="102">
        <f t="shared" si="1748"/>
        <v>562500</v>
      </c>
      <c r="U3439" s="71" t="str">
        <f t="shared" si="1749"/>
        <v>X</v>
      </c>
      <c r="V3439" s="71"/>
      <c r="W3439" s="474">
        <v>640000</v>
      </c>
      <c r="X3439" s="71"/>
      <c r="Y3439" s="71"/>
    </row>
    <row r="3440" spans="1:25" s="209" customFormat="1" ht="30" hidden="1" customHeight="1" x14ac:dyDescent="0.2">
      <c r="A3440" s="82">
        <v>201023</v>
      </c>
      <c r="B3440" s="664" t="s">
        <v>2155</v>
      </c>
      <c r="C3440" s="71" t="s">
        <v>231</v>
      </c>
      <c r="D3440" s="71">
        <v>10</v>
      </c>
      <c r="E3440" s="102">
        <v>120000</v>
      </c>
      <c r="F3440" s="102">
        <f t="shared" si="1755"/>
        <v>1320000</v>
      </c>
      <c r="G3440" s="102">
        <f t="shared" si="1756"/>
        <v>1200000</v>
      </c>
      <c r="H3440" s="165" t="s">
        <v>172</v>
      </c>
      <c r="I3440" s="71" t="s">
        <v>109</v>
      </c>
      <c r="J3440" s="53">
        <f t="shared" si="1757"/>
        <v>80000</v>
      </c>
      <c r="K3440" s="63">
        <v>6.6666666666666666E-2</v>
      </c>
      <c r="L3440" s="871" t="s">
        <v>2568</v>
      </c>
      <c r="M3440" s="468"/>
      <c r="N3440" s="664">
        <f t="shared" si="1734"/>
        <v>201023</v>
      </c>
      <c r="O3440" s="71" t="s">
        <v>151</v>
      </c>
      <c r="P3440" s="164" t="str">
        <f t="shared" si="1735"/>
        <v>Blanket(990*725)</v>
      </c>
      <c r="Q3440" s="71">
        <f t="shared" si="1736"/>
        <v>10</v>
      </c>
      <c r="R3440" s="102">
        <v>112000</v>
      </c>
      <c r="S3440" s="102">
        <f t="shared" si="1747"/>
        <v>1232000</v>
      </c>
      <c r="T3440" s="102">
        <f t="shared" si="1748"/>
        <v>1120000</v>
      </c>
      <c r="U3440" s="71" t="str">
        <f t="shared" si="1749"/>
        <v>O</v>
      </c>
      <c r="V3440" s="71"/>
      <c r="W3440" s="474">
        <v>80000</v>
      </c>
      <c r="X3440" s="71"/>
      <c r="Y3440" s="71"/>
    </row>
    <row r="3441" spans="1:25" ht="30" hidden="1" customHeight="1" x14ac:dyDescent="0.2">
      <c r="A3441" s="82">
        <v>201024</v>
      </c>
      <c r="B3441" s="664" t="s">
        <v>1220</v>
      </c>
      <c r="C3441" s="71" t="s">
        <v>2566</v>
      </c>
      <c r="D3441" s="71">
        <v>1</v>
      </c>
      <c r="E3441" s="102">
        <v>2385000</v>
      </c>
      <c r="F3441" s="163">
        <f t="shared" ref="F3441:F3446" si="1758">(E3441*D3441)*1.1</f>
        <v>2623500</v>
      </c>
      <c r="G3441" s="102">
        <f t="shared" ref="G3441:G3446" si="1759">(E3441*D3441)</f>
        <v>2385000</v>
      </c>
      <c r="H3441" s="690" t="s">
        <v>1431</v>
      </c>
      <c r="I3441" s="690" t="s">
        <v>1431</v>
      </c>
      <c r="J3441" s="53">
        <f t="shared" si="1757"/>
        <v>585000</v>
      </c>
      <c r="K3441" s="63">
        <f t="shared" ref="K3441:K3446" si="1760">(J3441/(F3441/11*10))</f>
        <v>0.24528301886792453</v>
      </c>
      <c r="L3441" s="871" t="s">
        <v>2568</v>
      </c>
      <c r="M3441" s="468"/>
      <c r="N3441" s="664">
        <f t="shared" si="1734"/>
        <v>201024</v>
      </c>
      <c r="O3441" s="71" t="s">
        <v>1431</v>
      </c>
      <c r="P3441" s="164" t="str">
        <f t="shared" si="1735"/>
        <v>Magnet brake-light-wire sensore</v>
      </c>
      <c r="Q3441" s="71">
        <f t="shared" si="1736"/>
        <v>1</v>
      </c>
      <c r="R3441" s="102">
        <v>1800000</v>
      </c>
      <c r="S3441" s="102">
        <f t="shared" si="1747"/>
        <v>1980000.0000000002</v>
      </c>
      <c r="T3441" s="102">
        <f t="shared" si="1748"/>
        <v>1800000</v>
      </c>
      <c r="U3441" s="71" t="str">
        <f t="shared" si="1749"/>
        <v>X</v>
      </c>
      <c r="V3441" s="71"/>
      <c r="W3441" s="474"/>
      <c r="X3441" s="71"/>
      <c r="Y3441" s="71"/>
    </row>
    <row r="3442" spans="1:25" ht="30" hidden="1" customHeight="1" x14ac:dyDescent="0.2">
      <c r="A3442" s="82">
        <v>201024</v>
      </c>
      <c r="B3442" s="664" t="s">
        <v>1220</v>
      </c>
      <c r="C3442" s="71" t="s">
        <v>2567</v>
      </c>
      <c r="D3442" s="71">
        <v>1</v>
      </c>
      <c r="E3442" s="102">
        <v>82500</v>
      </c>
      <c r="F3442" s="163">
        <f t="shared" si="1758"/>
        <v>90750.000000000015</v>
      </c>
      <c r="G3442" s="102">
        <f t="shared" si="1759"/>
        <v>82500</v>
      </c>
      <c r="H3442" s="690" t="s">
        <v>1431</v>
      </c>
      <c r="I3442" s="690" t="s">
        <v>1431</v>
      </c>
      <c r="J3442" s="53">
        <f t="shared" si="1757"/>
        <v>42500</v>
      </c>
      <c r="K3442" s="63">
        <f t="shared" si="1760"/>
        <v>0.51515151515151503</v>
      </c>
      <c r="L3442" s="871" t="s">
        <v>2568</v>
      </c>
      <c r="M3442" s="468"/>
      <c r="N3442" s="664">
        <f t="shared" si="1734"/>
        <v>201024</v>
      </c>
      <c r="O3442" s="71" t="s">
        <v>1431</v>
      </c>
      <c r="P3442" s="164" t="str">
        <f t="shared" si="1735"/>
        <v>Proximity sensor</v>
      </c>
      <c r="Q3442" s="71">
        <f t="shared" si="1736"/>
        <v>1</v>
      </c>
      <c r="R3442" s="102">
        <v>40000</v>
      </c>
      <c r="S3442" s="102">
        <f t="shared" si="1747"/>
        <v>44000</v>
      </c>
      <c r="T3442" s="102">
        <f t="shared" si="1748"/>
        <v>40000</v>
      </c>
      <c r="U3442" s="71" t="str">
        <f t="shared" si="1749"/>
        <v>X</v>
      </c>
      <c r="V3442" s="71"/>
      <c r="W3442" s="474"/>
      <c r="X3442" s="71"/>
      <c r="Y3442" s="71"/>
    </row>
    <row r="3443" spans="1:25" s="209" customFormat="1" ht="30" hidden="1" customHeight="1" x14ac:dyDescent="0.2">
      <c r="A3443" s="82">
        <v>201026</v>
      </c>
      <c r="B3443" s="664" t="s">
        <v>2261</v>
      </c>
      <c r="C3443" s="71" t="s">
        <v>107</v>
      </c>
      <c r="D3443" s="71">
        <v>10</v>
      </c>
      <c r="E3443" s="102">
        <v>108000</v>
      </c>
      <c r="F3443" s="163">
        <f t="shared" si="1758"/>
        <v>1188000</v>
      </c>
      <c r="G3443" s="102">
        <f t="shared" si="1759"/>
        <v>1080000</v>
      </c>
      <c r="H3443" s="165" t="s">
        <v>172</v>
      </c>
      <c r="I3443" s="71" t="s">
        <v>109</v>
      </c>
      <c r="J3443" s="53">
        <f t="shared" si="1757"/>
        <v>275000</v>
      </c>
      <c r="K3443" s="63">
        <f t="shared" si="1760"/>
        <v>0.25462962962962965</v>
      </c>
      <c r="L3443" s="871" t="s">
        <v>2568</v>
      </c>
      <c r="M3443" s="468"/>
      <c r="N3443" s="664">
        <f t="shared" si="1734"/>
        <v>201026</v>
      </c>
      <c r="O3443" s="71" t="s">
        <v>147</v>
      </c>
      <c r="P3443" s="164" t="str">
        <f t="shared" si="1735"/>
        <v>Blanket(1050*840)</v>
      </c>
      <c r="Q3443" s="71">
        <f t="shared" si="1736"/>
        <v>10</v>
      </c>
      <c r="R3443" s="102">
        <v>80500</v>
      </c>
      <c r="S3443" s="102">
        <f t="shared" si="1747"/>
        <v>885500.00000000012</v>
      </c>
      <c r="T3443" s="102">
        <f t="shared" si="1748"/>
        <v>805000</v>
      </c>
      <c r="U3443" s="71" t="str">
        <f t="shared" si="1749"/>
        <v>O</v>
      </c>
      <c r="V3443" s="71"/>
      <c r="W3443" s="474">
        <v>275000</v>
      </c>
      <c r="X3443" s="71"/>
      <c r="Y3443" s="71"/>
    </row>
    <row r="3444" spans="1:25" ht="30" customHeight="1" x14ac:dyDescent="0.2">
      <c r="A3444" s="82">
        <v>201027</v>
      </c>
      <c r="B3444" s="664" t="s">
        <v>565</v>
      </c>
      <c r="C3444" s="71" t="s">
        <v>2081</v>
      </c>
      <c r="D3444" s="71">
        <v>100</v>
      </c>
      <c r="E3444" s="102">
        <v>69000</v>
      </c>
      <c r="F3444" s="163">
        <f t="shared" si="1758"/>
        <v>7590000.0000000009</v>
      </c>
      <c r="G3444" s="102">
        <f t="shared" si="1759"/>
        <v>6900000</v>
      </c>
      <c r="H3444" s="165" t="s">
        <v>173</v>
      </c>
      <c r="I3444" s="71" t="s">
        <v>108</v>
      </c>
      <c r="J3444" s="53">
        <f t="shared" si="1757"/>
        <v>1800000</v>
      </c>
      <c r="K3444" s="63">
        <f t="shared" si="1760"/>
        <v>0.26086956521739124</v>
      </c>
      <c r="L3444" s="871" t="s">
        <v>2568</v>
      </c>
      <c r="M3444" s="468"/>
      <c r="N3444" s="664">
        <f t="shared" si="1734"/>
        <v>201027</v>
      </c>
      <c r="O3444" s="71" t="s">
        <v>599</v>
      </c>
      <c r="P3444" s="164" t="str">
        <f t="shared" si="1735"/>
        <v>GOSS 신문윤전 습식세정포</v>
      </c>
      <c r="Q3444" s="71">
        <f t="shared" si="1736"/>
        <v>100</v>
      </c>
      <c r="R3444" s="102">
        <v>51000</v>
      </c>
      <c r="S3444" s="102">
        <f t="shared" si="1747"/>
        <v>5610000</v>
      </c>
      <c r="T3444" s="102">
        <f t="shared" si="1748"/>
        <v>5100000</v>
      </c>
      <c r="U3444" s="71" t="str">
        <f t="shared" si="1749"/>
        <v>X</v>
      </c>
      <c r="V3444" s="71"/>
      <c r="W3444" s="474"/>
      <c r="X3444" s="71"/>
      <c r="Y3444" s="71"/>
    </row>
    <row r="3445" spans="1:25" ht="30" hidden="1" customHeight="1" x14ac:dyDescent="0.2">
      <c r="A3445" s="82">
        <v>201028</v>
      </c>
      <c r="B3445" s="664" t="s">
        <v>746</v>
      </c>
      <c r="C3445" s="71" t="s">
        <v>1128</v>
      </c>
      <c r="D3445" s="71">
        <v>1</v>
      </c>
      <c r="E3445" s="102">
        <v>4000000</v>
      </c>
      <c r="F3445" s="163">
        <f t="shared" si="1758"/>
        <v>4400000</v>
      </c>
      <c r="G3445" s="102">
        <f t="shared" si="1759"/>
        <v>4000000</v>
      </c>
      <c r="H3445" s="165" t="s">
        <v>1432</v>
      </c>
      <c r="I3445" s="71" t="s">
        <v>1432</v>
      </c>
      <c r="J3445" s="53">
        <f t="shared" si="1757"/>
        <v>1018957</v>
      </c>
      <c r="K3445" s="63">
        <f t="shared" si="1760"/>
        <v>0.25473924999999997</v>
      </c>
      <c r="L3445" s="871" t="s">
        <v>2568</v>
      </c>
      <c r="M3445" s="468"/>
      <c r="N3445" s="664">
        <f t="shared" si="1734"/>
        <v>201028</v>
      </c>
      <c r="O3445" s="71" t="s">
        <v>94</v>
      </c>
      <c r="P3445" s="164" t="str">
        <f t="shared" si="1735"/>
        <v>판넬 멀티캠</v>
      </c>
      <c r="Q3445" s="71">
        <f t="shared" si="1736"/>
        <v>1</v>
      </c>
      <c r="R3445" s="102">
        <v>2981043</v>
      </c>
      <c r="S3445" s="102">
        <f t="shared" si="1747"/>
        <v>3279147.3000000003</v>
      </c>
      <c r="T3445" s="102">
        <f t="shared" si="1748"/>
        <v>2981043</v>
      </c>
      <c r="U3445" s="71" t="str">
        <f t="shared" si="1749"/>
        <v>X</v>
      </c>
      <c r="V3445" s="71"/>
      <c r="W3445" s="474"/>
      <c r="X3445" s="71"/>
      <c r="Y3445" s="71"/>
    </row>
    <row r="3446" spans="1:25" ht="30" hidden="1" customHeight="1" x14ac:dyDescent="0.2">
      <c r="A3446" s="82">
        <v>201029</v>
      </c>
      <c r="B3446" s="664" t="s">
        <v>545</v>
      </c>
      <c r="C3446" s="71" t="s">
        <v>227</v>
      </c>
      <c r="D3446" s="71">
        <v>10</v>
      </c>
      <c r="E3446" s="102">
        <v>110000</v>
      </c>
      <c r="F3446" s="163">
        <f t="shared" si="1758"/>
        <v>1210000</v>
      </c>
      <c r="G3446" s="102">
        <f t="shared" si="1759"/>
        <v>1100000</v>
      </c>
      <c r="H3446" s="690" t="s">
        <v>173</v>
      </c>
      <c r="I3446" s="71" t="s">
        <v>109</v>
      </c>
      <c r="J3446" s="53">
        <f t="shared" si="1757"/>
        <v>271000</v>
      </c>
      <c r="K3446" s="63">
        <f t="shared" si="1760"/>
        <v>0.24636363636363637</v>
      </c>
      <c r="L3446" s="871" t="s">
        <v>2568</v>
      </c>
      <c r="M3446" s="468"/>
      <c r="N3446" s="664">
        <f t="shared" si="1734"/>
        <v>201029</v>
      </c>
      <c r="O3446" s="71" t="s">
        <v>147</v>
      </c>
      <c r="P3446" s="164" t="str">
        <f t="shared" si="1735"/>
        <v>Blanket(1060*860)</v>
      </c>
      <c r="Q3446" s="71">
        <f t="shared" si="1736"/>
        <v>10</v>
      </c>
      <c r="R3446" s="102">
        <v>82900</v>
      </c>
      <c r="S3446" s="102">
        <f t="shared" ref="S3446:S3466" si="1761">R3446*Q3446*1.1</f>
        <v>911900.00000000012</v>
      </c>
      <c r="T3446" s="102">
        <f t="shared" ref="T3446:T3466" si="1762">R3446*Q3446</f>
        <v>829000</v>
      </c>
      <c r="U3446" s="71" t="str">
        <f t="shared" ref="U3446:U3466" si="1763">IF(J3446=W3446,"O", "X")</f>
        <v>O</v>
      </c>
      <c r="V3446" s="71"/>
      <c r="W3446" s="474">
        <f t="shared" ref="W3446:W3462" si="1764">(G3446-T3446)</f>
        <v>271000</v>
      </c>
      <c r="X3446" s="71"/>
      <c r="Y3446" s="71"/>
    </row>
    <row r="3447" spans="1:25" ht="30" hidden="1" customHeight="1" x14ac:dyDescent="0.25">
      <c r="A3447" s="82">
        <v>201029</v>
      </c>
      <c r="B3447" s="664" t="s">
        <v>1051</v>
      </c>
      <c r="C3447" s="71" t="s">
        <v>1294</v>
      </c>
      <c r="D3447" s="71">
        <v>1300</v>
      </c>
      <c r="E3447" s="102">
        <v>5910</v>
      </c>
      <c r="F3447" s="102">
        <f t="shared" ref="F3447:F3464" si="1765">(E3447*D3447)*1.1</f>
        <v>8451300</v>
      </c>
      <c r="G3447" s="102">
        <f t="shared" ref="G3447:G3464" si="1766">(E3447*D3447)</f>
        <v>7683000</v>
      </c>
      <c r="H3447" s="690" t="s">
        <v>142</v>
      </c>
      <c r="I3447" s="71" t="s">
        <v>2273</v>
      </c>
      <c r="J3447" s="53">
        <f t="shared" si="1757"/>
        <v>2483000</v>
      </c>
      <c r="K3447" s="63">
        <f t="shared" ref="K3447:K3463" si="1767">(J3447/(F3447/11*10))</f>
        <v>0.32318104906937395</v>
      </c>
      <c r="L3447" s="871" t="s">
        <v>2568</v>
      </c>
      <c r="M3447" s="468"/>
      <c r="N3447" s="664">
        <f t="shared" ref="N3447:N3466" si="1768">A3447</f>
        <v>201029</v>
      </c>
      <c r="O3447" s="71" t="s">
        <v>145</v>
      </c>
      <c r="P3447" s="164" t="str">
        <f t="shared" ref="P3447:P3466" si="1769">(C3447)</f>
        <v>ENGAGE 1030*790</v>
      </c>
      <c r="Q3447" s="71">
        <f t="shared" ref="Q3447:Q3466" si="1770">D3447</f>
        <v>1300</v>
      </c>
      <c r="R3447" s="102">
        <v>4000</v>
      </c>
      <c r="S3447" s="102">
        <f t="shared" si="1761"/>
        <v>5720000</v>
      </c>
      <c r="T3447" s="102">
        <f t="shared" si="1762"/>
        <v>5200000</v>
      </c>
      <c r="U3447" s="71" t="str">
        <f t="shared" si="1763"/>
        <v>O</v>
      </c>
      <c r="V3447" s="71"/>
      <c r="W3447" s="474">
        <f t="shared" si="1764"/>
        <v>2483000</v>
      </c>
      <c r="X3447" s="71"/>
      <c r="Y3447" s="71"/>
    </row>
    <row r="3448" spans="1:25" ht="30" hidden="1" customHeight="1" x14ac:dyDescent="0.25">
      <c r="A3448" s="82">
        <v>201029</v>
      </c>
      <c r="B3448" s="664" t="s">
        <v>1051</v>
      </c>
      <c r="C3448" s="71" t="s">
        <v>1384</v>
      </c>
      <c r="D3448" s="71">
        <v>2600</v>
      </c>
      <c r="E3448" s="102">
        <v>3720</v>
      </c>
      <c r="F3448" s="102">
        <f t="shared" si="1765"/>
        <v>10639200</v>
      </c>
      <c r="G3448" s="102">
        <f t="shared" si="1766"/>
        <v>9672000</v>
      </c>
      <c r="H3448" s="690" t="s">
        <v>142</v>
      </c>
      <c r="I3448" s="71" t="s">
        <v>2273</v>
      </c>
      <c r="J3448" s="53">
        <f t="shared" si="1757"/>
        <v>3103780.7545778546</v>
      </c>
      <c r="K3448" s="63">
        <f t="shared" si="1767"/>
        <v>0.32090371738811568</v>
      </c>
      <c r="L3448" s="871" t="s">
        <v>2568</v>
      </c>
      <c r="M3448" s="468"/>
      <c r="N3448" s="664">
        <f t="shared" si="1768"/>
        <v>201029</v>
      </c>
      <c r="O3448" s="71" t="s">
        <v>145</v>
      </c>
      <c r="P3448" s="164" t="str">
        <f t="shared" si="1769"/>
        <v>ENGAGE 900X571 - 27RO</v>
      </c>
      <c r="Q3448" s="71">
        <f t="shared" si="1770"/>
        <v>2600</v>
      </c>
      <c r="R3448" s="102">
        <f>R3447/1030/790*900*571</f>
        <v>2526.2381713162099</v>
      </c>
      <c r="S3448" s="102">
        <f t="shared" si="1761"/>
        <v>7225041.1699643601</v>
      </c>
      <c r="T3448" s="102">
        <f t="shared" si="1762"/>
        <v>6568219.2454221454</v>
      </c>
      <c r="U3448" s="71" t="str">
        <f t="shared" si="1763"/>
        <v>O</v>
      </c>
      <c r="V3448" s="71"/>
      <c r="W3448" s="474">
        <f t="shared" si="1764"/>
        <v>3103780.7545778546</v>
      </c>
      <c r="X3448" s="71"/>
      <c r="Y3448" s="71"/>
    </row>
    <row r="3449" spans="1:25" ht="30" hidden="1" customHeight="1" x14ac:dyDescent="0.25">
      <c r="A3449" s="82">
        <v>201029</v>
      </c>
      <c r="B3449" s="664" t="s">
        <v>1051</v>
      </c>
      <c r="C3449" s="71" t="s">
        <v>951</v>
      </c>
      <c r="D3449" s="71">
        <v>2900</v>
      </c>
      <c r="E3449" s="102">
        <v>3540</v>
      </c>
      <c r="F3449" s="102">
        <f t="shared" si="1765"/>
        <v>11292600</v>
      </c>
      <c r="G3449" s="102">
        <f t="shared" si="1766"/>
        <v>10266000</v>
      </c>
      <c r="H3449" s="690" t="s">
        <v>142</v>
      </c>
      <c r="I3449" s="71" t="s">
        <v>2273</v>
      </c>
      <c r="J3449" s="53">
        <f t="shared" si="1757"/>
        <v>3317461.7180779157</v>
      </c>
      <c r="K3449" s="63">
        <f t="shared" si="1767"/>
        <v>0.3231503719148564</v>
      </c>
      <c r="L3449" s="871" t="s">
        <v>2568</v>
      </c>
      <c r="M3449" s="468"/>
      <c r="N3449" s="664">
        <f t="shared" si="1768"/>
        <v>201029</v>
      </c>
      <c r="O3449" s="71" t="s">
        <v>145</v>
      </c>
      <c r="P3449" s="164" t="str">
        <f t="shared" si="1769"/>
        <v>ENGAGE 30WEB(883*552)</v>
      </c>
      <c r="Q3449" s="71">
        <f t="shared" si="1770"/>
        <v>2900</v>
      </c>
      <c r="R3449" s="102">
        <f>R3447/1030/790*883*552</f>
        <v>2396.0476834214082</v>
      </c>
      <c r="S3449" s="102">
        <f t="shared" si="1761"/>
        <v>7643392.1101142932</v>
      </c>
      <c r="T3449" s="102">
        <f t="shared" si="1762"/>
        <v>6948538.2819220843</v>
      </c>
      <c r="U3449" s="71" t="str">
        <f t="shared" si="1763"/>
        <v>O</v>
      </c>
      <c r="V3449" s="71"/>
      <c r="W3449" s="474">
        <f t="shared" si="1764"/>
        <v>3317461.7180779157</v>
      </c>
      <c r="X3449" s="71"/>
      <c r="Y3449" s="71"/>
    </row>
    <row r="3450" spans="1:25" ht="30" hidden="1" customHeight="1" x14ac:dyDescent="0.25">
      <c r="A3450" s="82">
        <v>201029</v>
      </c>
      <c r="B3450" s="664" t="s">
        <v>1051</v>
      </c>
      <c r="C3450" s="71" t="s">
        <v>2219</v>
      </c>
      <c r="D3450" s="71">
        <v>1100</v>
      </c>
      <c r="E3450" s="102">
        <v>5980</v>
      </c>
      <c r="F3450" s="102">
        <f t="shared" si="1765"/>
        <v>7235800.0000000009</v>
      </c>
      <c r="G3450" s="102">
        <f t="shared" si="1766"/>
        <v>6578000</v>
      </c>
      <c r="H3450" s="690" t="s">
        <v>142</v>
      </c>
      <c r="I3450" s="71" t="s">
        <v>2273</v>
      </c>
      <c r="J3450" s="53">
        <f t="shared" si="1757"/>
        <v>2122303.797468354</v>
      </c>
      <c r="K3450" s="63">
        <f t="shared" si="1767"/>
        <v>0.32263663689090205</v>
      </c>
      <c r="L3450" s="871" t="s">
        <v>2568</v>
      </c>
      <c r="M3450" s="468"/>
      <c r="N3450" s="664">
        <f t="shared" si="1768"/>
        <v>201029</v>
      </c>
      <c r="O3450" s="71" t="s">
        <v>145</v>
      </c>
      <c r="P3450" s="164" t="str">
        <f t="shared" si="1769"/>
        <v>ENGAGE 1030*800</v>
      </c>
      <c r="Q3450" s="71">
        <f t="shared" si="1770"/>
        <v>1100</v>
      </c>
      <c r="R3450" s="102">
        <f>R3447/1030/790*1030*800</f>
        <v>4050.6329113924053</v>
      </c>
      <c r="S3450" s="102">
        <f t="shared" si="1761"/>
        <v>4901265.8227848113</v>
      </c>
      <c r="T3450" s="102">
        <f t="shared" si="1762"/>
        <v>4455696.202531646</v>
      </c>
      <c r="U3450" s="71" t="str">
        <f t="shared" si="1763"/>
        <v>O</v>
      </c>
      <c r="V3450" s="71"/>
      <c r="W3450" s="474">
        <f t="shared" si="1764"/>
        <v>2122303.797468354</v>
      </c>
      <c r="X3450" s="71"/>
      <c r="Y3450" s="71"/>
    </row>
    <row r="3451" spans="1:25" ht="30" hidden="1" customHeight="1" x14ac:dyDescent="0.25">
      <c r="A3451" s="82">
        <v>201029</v>
      </c>
      <c r="B3451" s="664" t="s">
        <v>1051</v>
      </c>
      <c r="C3451" s="71" t="s">
        <v>1383</v>
      </c>
      <c r="D3451" s="71">
        <v>1400</v>
      </c>
      <c r="E3451" s="102">
        <v>6200</v>
      </c>
      <c r="F3451" s="102">
        <f t="shared" si="1765"/>
        <v>9548000</v>
      </c>
      <c r="G3451" s="102">
        <f t="shared" si="1766"/>
        <v>8680000</v>
      </c>
      <c r="H3451" s="690" t="s">
        <v>142</v>
      </c>
      <c r="I3451" s="71" t="s">
        <v>2273</v>
      </c>
      <c r="J3451" s="53">
        <f t="shared" si="1757"/>
        <v>2791603.7851788122</v>
      </c>
      <c r="K3451" s="63">
        <f t="shared" si="1767"/>
        <v>0.32161333930631475</v>
      </c>
      <c r="L3451" s="871" t="s">
        <v>2568</v>
      </c>
      <c r="M3451" s="468"/>
      <c r="N3451" s="664">
        <f t="shared" si="1768"/>
        <v>201029</v>
      </c>
      <c r="O3451" s="71" t="s">
        <v>145</v>
      </c>
      <c r="P3451" s="164" t="str">
        <f t="shared" si="1769"/>
        <v>ENGAGE 1055*811</v>
      </c>
      <c r="Q3451" s="71">
        <f t="shared" si="1770"/>
        <v>1400</v>
      </c>
      <c r="R3451" s="102">
        <f>R3447/1030/790*1055*811</f>
        <v>4205.9972963008486</v>
      </c>
      <c r="S3451" s="102">
        <f t="shared" si="1761"/>
        <v>6477235.8363033067</v>
      </c>
      <c r="T3451" s="102">
        <f t="shared" si="1762"/>
        <v>5888396.2148211878</v>
      </c>
      <c r="U3451" s="71" t="str">
        <f t="shared" si="1763"/>
        <v>O</v>
      </c>
      <c r="V3451" s="71"/>
      <c r="W3451" s="474">
        <f t="shared" si="1764"/>
        <v>2791603.7851788122</v>
      </c>
      <c r="X3451" s="71"/>
      <c r="Y3451" s="71"/>
    </row>
    <row r="3452" spans="1:25" ht="30" hidden="1" customHeight="1" x14ac:dyDescent="0.25">
      <c r="A3452" s="82">
        <v>201130</v>
      </c>
      <c r="B3452" s="664" t="s">
        <v>1051</v>
      </c>
      <c r="C3452" s="71" t="s">
        <v>1650</v>
      </c>
      <c r="D3452" s="71">
        <v>200</v>
      </c>
      <c r="E3452" s="102">
        <v>4440</v>
      </c>
      <c r="F3452" s="102">
        <f t="shared" si="1765"/>
        <v>976800.00000000012</v>
      </c>
      <c r="G3452" s="102">
        <f t="shared" si="1766"/>
        <v>888000</v>
      </c>
      <c r="H3452" s="690" t="s">
        <v>142</v>
      </c>
      <c r="I3452" s="71" t="s">
        <v>2273</v>
      </c>
      <c r="J3452" s="53">
        <f t="shared" si="1757"/>
        <v>287475.9739461717</v>
      </c>
      <c r="K3452" s="63">
        <f t="shared" si="1767"/>
        <v>0.32373420489433746</v>
      </c>
      <c r="L3452" s="871" t="s">
        <v>2568</v>
      </c>
      <c r="M3452" s="468"/>
      <c r="N3452" s="664">
        <f t="shared" si="1768"/>
        <v>201130</v>
      </c>
      <c r="O3452" s="71" t="s">
        <v>145</v>
      </c>
      <c r="P3452" s="164" t="str">
        <f t="shared" si="1769"/>
        <v>ENGAGE 968*631</v>
      </c>
      <c r="Q3452" s="71">
        <f t="shared" si="1770"/>
        <v>200</v>
      </c>
      <c r="R3452" s="102">
        <f>R3447/1030/790*968*631</f>
        <v>3002.6201302691416</v>
      </c>
      <c r="S3452" s="102">
        <f t="shared" si="1761"/>
        <v>660576.42865921115</v>
      </c>
      <c r="T3452" s="102">
        <f t="shared" si="1762"/>
        <v>600524.0260538283</v>
      </c>
      <c r="U3452" s="71" t="str">
        <f t="shared" si="1763"/>
        <v>O</v>
      </c>
      <c r="V3452" s="71"/>
      <c r="W3452" s="474">
        <f t="shared" si="1764"/>
        <v>287475.9739461717</v>
      </c>
      <c r="X3452" s="71"/>
      <c r="Y3452" s="71"/>
    </row>
    <row r="3453" spans="1:25" ht="30" hidden="1" customHeight="1" x14ac:dyDescent="0.25">
      <c r="A3453" s="82">
        <v>201029</v>
      </c>
      <c r="B3453" s="664" t="s">
        <v>1051</v>
      </c>
      <c r="C3453" s="67" t="s">
        <v>1386</v>
      </c>
      <c r="D3453" s="71">
        <v>65</v>
      </c>
      <c r="E3453" s="102">
        <v>54500</v>
      </c>
      <c r="F3453" s="102">
        <f t="shared" si="1765"/>
        <v>3896750.0000000005</v>
      </c>
      <c r="G3453" s="102">
        <f t="shared" si="1766"/>
        <v>3542500</v>
      </c>
      <c r="H3453" s="690" t="s">
        <v>142</v>
      </c>
      <c r="I3453" s="71" t="s">
        <v>2273</v>
      </c>
      <c r="J3453" s="53">
        <f t="shared" si="1757"/>
        <v>1267500</v>
      </c>
      <c r="K3453" s="63">
        <f t="shared" si="1767"/>
        <v>0.35779816513761464</v>
      </c>
      <c r="L3453" s="871" t="s">
        <v>2568</v>
      </c>
      <c r="M3453" s="468"/>
      <c r="N3453" s="664">
        <f t="shared" si="1768"/>
        <v>201029</v>
      </c>
      <c r="O3453" s="71" t="s">
        <v>145</v>
      </c>
      <c r="P3453" s="164" t="str">
        <f t="shared" si="1769"/>
        <v>THR200(20L)보충액</v>
      </c>
      <c r="Q3453" s="71">
        <f t="shared" si="1770"/>
        <v>65</v>
      </c>
      <c r="R3453" s="102">
        <v>35000</v>
      </c>
      <c r="S3453" s="102">
        <f t="shared" si="1761"/>
        <v>2502500</v>
      </c>
      <c r="T3453" s="102">
        <f t="shared" si="1762"/>
        <v>2275000</v>
      </c>
      <c r="U3453" s="71" t="str">
        <f t="shared" si="1763"/>
        <v>O</v>
      </c>
      <c r="V3453" s="71"/>
      <c r="W3453" s="474">
        <f t="shared" si="1764"/>
        <v>1267500</v>
      </c>
      <c r="X3453" s="71"/>
      <c r="Y3453" s="71"/>
    </row>
    <row r="3454" spans="1:25" ht="30" hidden="1" customHeight="1" x14ac:dyDescent="0.25">
      <c r="A3454" s="82">
        <v>201029</v>
      </c>
      <c r="B3454" s="664" t="s">
        <v>1051</v>
      </c>
      <c r="C3454" s="71" t="s">
        <v>1387</v>
      </c>
      <c r="D3454" s="71">
        <v>10</v>
      </c>
      <c r="E3454" s="102">
        <v>54500</v>
      </c>
      <c r="F3454" s="102">
        <f t="shared" si="1765"/>
        <v>599500</v>
      </c>
      <c r="G3454" s="102">
        <f t="shared" si="1766"/>
        <v>545000</v>
      </c>
      <c r="H3454" s="690" t="s">
        <v>142</v>
      </c>
      <c r="I3454" s="71" t="s">
        <v>2273</v>
      </c>
      <c r="J3454" s="53">
        <f t="shared" si="1757"/>
        <v>195000</v>
      </c>
      <c r="K3454" s="63">
        <f t="shared" si="1767"/>
        <v>0.3577981651376147</v>
      </c>
      <c r="L3454" s="871" t="s">
        <v>2568</v>
      </c>
      <c r="M3454" s="468"/>
      <c r="N3454" s="664">
        <f t="shared" si="1768"/>
        <v>201029</v>
      </c>
      <c r="O3454" s="71" t="s">
        <v>145</v>
      </c>
      <c r="P3454" s="164" t="str">
        <f t="shared" si="1769"/>
        <v>THD200(20L)현상액</v>
      </c>
      <c r="Q3454" s="71">
        <f t="shared" si="1770"/>
        <v>10</v>
      </c>
      <c r="R3454" s="102">
        <v>35000</v>
      </c>
      <c r="S3454" s="102">
        <f t="shared" si="1761"/>
        <v>385000.00000000006</v>
      </c>
      <c r="T3454" s="102">
        <f t="shared" si="1762"/>
        <v>350000</v>
      </c>
      <c r="U3454" s="71" t="str">
        <f t="shared" si="1763"/>
        <v>O</v>
      </c>
      <c r="V3454" s="71"/>
      <c r="W3454" s="474">
        <f t="shared" si="1764"/>
        <v>195000</v>
      </c>
      <c r="X3454" s="71"/>
      <c r="Y3454" s="71"/>
    </row>
    <row r="3455" spans="1:25" ht="30" hidden="1" customHeight="1" x14ac:dyDescent="0.25">
      <c r="A3455" s="82">
        <v>201029</v>
      </c>
      <c r="B3455" s="664" t="s">
        <v>1061</v>
      </c>
      <c r="C3455" s="71" t="s">
        <v>616</v>
      </c>
      <c r="D3455" s="71">
        <v>200</v>
      </c>
      <c r="E3455" s="102">
        <v>5600</v>
      </c>
      <c r="F3455" s="102">
        <f t="shared" si="1765"/>
        <v>1232000</v>
      </c>
      <c r="G3455" s="102">
        <f t="shared" si="1766"/>
        <v>1120000</v>
      </c>
      <c r="H3455" s="690" t="s">
        <v>142</v>
      </c>
      <c r="I3455" s="71" t="s">
        <v>144</v>
      </c>
      <c r="J3455" s="53">
        <f t="shared" si="1757"/>
        <v>102000</v>
      </c>
      <c r="K3455" s="63">
        <f t="shared" si="1767"/>
        <v>9.1071428571428567E-2</v>
      </c>
      <c r="L3455" s="871" t="s">
        <v>2568</v>
      </c>
      <c r="M3455" s="468"/>
      <c r="N3455" s="664">
        <f t="shared" si="1768"/>
        <v>201029</v>
      </c>
      <c r="O3455" s="71" t="s">
        <v>147</v>
      </c>
      <c r="P3455" s="164" t="str">
        <f t="shared" si="1769"/>
        <v>프리미어(먹)</v>
      </c>
      <c r="Q3455" s="71">
        <f t="shared" si="1770"/>
        <v>200</v>
      </c>
      <c r="R3455" s="102">
        <v>5090</v>
      </c>
      <c r="S3455" s="102">
        <f t="shared" si="1761"/>
        <v>1119800</v>
      </c>
      <c r="T3455" s="102">
        <f t="shared" si="1762"/>
        <v>1018000</v>
      </c>
      <c r="U3455" s="71" t="str">
        <f t="shared" si="1763"/>
        <v>O</v>
      </c>
      <c r="V3455" s="71"/>
      <c r="W3455" s="474">
        <f t="shared" si="1764"/>
        <v>102000</v>
      </c>
      <c r="X3455" s="71"/>
      <c r="Y3455" s="71"/>
    </row>
    <row r="3456" spans="1:25" ht="30" hidden="1" customHeight="1" x14ac:dyDescent="0.25">
      <c r="A3456" s="82">
        <v>201029</v>
      </c>
      <c r="B3456" s="664" t="s">
        <v>1052</v>
      </c>
      <c r="C3456" s="71" t="s">
        <v>585</v>
      </c>
      <c r="D3456" s="71">
        <v>200</v>
      </c>
      <c r="E3456" s="102">
        <v>6000</v>
      </c>
      <c r="F3456" s="102">
        <f t="shared" si="1765"/>
        <v>1320000</v>
      </c>
      <c r="G3456" s="102">
        <f t="shared" si="1766"/>
        <v>1200000</v>
      </c>
      <c r="H3456" s="690" t="s">
        <v>142</v>
      </c>
      <c r="I3456" s="71" t="s">
        <v>144</v>
      </c>
      <c r="J3456" s="53">
        <f t="shared" si="1757"/>
        <v>110000</v>
      </c>
      <c r="K3456" s="63">
        <f t="shared" si="1767"/>
        <v>9.166666666666666E-2</v>
      </c>
      <c r="L3456" s="871" t="s">
        <v>2568</v>
      </c>
      <c r="M3456" s="468"/>
      <c r="N3456" s="664">
        <f t="shared" si="1768"/>
        <v>201029</v>
      </c>
      <c r="O3456" s="71" t="s">
        <v>147</v>
      </c>
      <c r="P3456" s="164" t="str">
        <f t="shared" si="1769"/>
        <v>프리미어(적)</v>
      </c>
      <c r="Q3456" s="71">
        <f t="shared" si="1770"/>
        <v>200</v>
      </c>
      <c r="R3456" s="102">
        <v>5450</v>
      </c>
      <c r="S3456" s="102">
        <f t="shared" si="1761"/>
        <v>1199000</v>
      </c>
      <c r="T3456" s="102">
        <f t="shared" si="1762"/>
        <v>1090000</v>
      </c>
      <c r="U3456" s="71" t="str">
        <f t="shared" si="1763"/>
        <v>O</v>
      </c>
      <c r="V3456" s="71"/>
      <c r="W3456" s="474">
        <f t="shared" si="1764"/>
        <v>110000</v>
      </c>
      <c r="X3456" s="71"/>
      <c r="Y3456" s="71"/>
    </row>
    <row r="3457" spans="1:25" ht="30" hidden="1" customHeight="1" x14ac:dyDescent="0.25">
      <c r="A3457" s="82">
        <v>201029</v>
      </c>
      <c r="B3457" s="664" t="s">
        <v>1061</v>
      </c>
      <c r="C3457" s="71" t="s">
        <v>586</v>
      </c>
      <c r="D3457" s="71">
        <v>400</v>
      </c>
      <c r="E3457" s="102">
        <v>5750</v>
      </c>
      <c r="F3457" s="102">
        <f t="shared" si="1765"/>
        <v>2530000</v>
      </c>
      <c r="G3457" s="102">
        <f t="shared" si="1766"/>
        <v>2300000</v>
      </c>
      <c r="H3457" s="690" t="s">
        <v>142</v>
      </c>
      <c r="I3457" s="71" t="s">
        <v>144</v>
      </c>
      <c r="J3457" s="53">
        <f t="shared" si="1757"/>
        <v>212000</v>
      </c>
      <c r="K3457" s="63">
        <f t="shared" si="1767"/>
        <v>9.2173913043478259E-2</v>
      </c>
      <c r="L3457" s="871" t="s">
        <v>2568</v>
      </c>
      <c r="M3457" s="468"/>
      <c r="N3457" s="664">
        <f t="shared" si="1768"/>
        <v>201029</v>
      </c>
      <c r="O3457" s="71" t="s">
        <v>147</v>
      </c>
      <c r="P3457" s="164" t="str">
        <f t="shared" si="1769"/>
        <v>프리미어(황)</v>
      </c>
      <c r="Q3457" s="71">
        <f t="shared" si="1770"/>
        <v>400</v>
      </c>
      <c r="R3457" s="102">
        <v>5220</v>
      </c>
      <c r="S3457" s="102">
        <f t="shared" si="1761"/>
        <v>2296800</v>
      </c>
      <c r="T3457" s="102">
        <f t="shared" si="1762"/>
        <v>2088000</v>
      </c>
      <c r="U3457" s="71" t="str">
        <f t="shared" si="1763"/>
        <v>O</v>
      </c>
      <c r="V3457" s="71"/>
      <c r="W3457" s="474">
        <f t="shared" si="1764"/>
        <v>212000</v>
      </c>
      <c r="X3457" s="71"/>
      <c r="Y3457" s="71"/>
    </row>
    <row r="3458" spans="1:25" ht="30" hidden="1" customHeight="1" x14ac:dyDescent="0.25">
      <c r="A3458" s="82">
        <v>201029</v>
      </c>
      <c r="B3458" s="664" t="s">
        <v>1061</v>
      </c>
      <c r="C3458" s="71" t="s">
        <v>587</v>
      </c>
      <c r="D3458" s="71">
        <v>200</v>
      </c>
      <c r="E3458" s="102">
        <v>7000</v>
      </c>
      <c r="F3458" s="102">
        <f t="shared" si="1765"/>
        <v>1540000.0000000002</v>
      </c>
      <c r="G3458" s="102">
        <f t="shared" si="1766"/>
        <v>1400000</v>
      </c>
      <c r="H3458" s="690" t="s">
        <v>142</v>
      </c>
      <c r="I3458" s="71" t="s">
        <v>144</v>
      </c>
      <c r="J3458" s="53">
        <f t="shared" si="1757"/>
        <v>128000</v>
      </c>
      <c r="K3458" s="63">
        <f t="shared" si="1767"/>
        <v>9.1428571428571415E-2</v>
      </c>
      <c r="L3458" s="871" t="s">
        <v>2568</v>
      </c>
      <c r="M3458" s="468"/>
      <c r="N3458" s="664">
        <f t="shared" si="1768"/>
        <v>201029</v>
      </c>
      <c r="O3458" s="71" t="s">
        <v>147</v>
      </c>
      <c r="P3458" s="164" t="str">
        <f t="shared" si="1769"/>
        <v>프리미어(청)</v>
      </c>
      <c r="Q3458" s="71">
        <f t="shared" si="1770"/>
        <v>200</v>
      </c>
      <c r="R3458" s="102">
        <v>6360</v>
      </c>
      <c r="S3458" s="102">
        <f t="shared" si="1761"/>
        <v>1399200</v>
      </c>
      <c r="T3458" s="102">
        <f t="shared" si="1762"/>
        <v>1272000</v>
      </c>
      <c r="U3458" s="71" t="str">
        <f t="shared" si="1763"/>
        <v>O</v>
      </c>
      <c r="V3458" s="71"/>
      <c r="W3458" s="474">
        <f t="shared" si="1764"/>
        <v>128000</v>
      </c>
      <c r="X3458" s="71"/>
      <c r="Y3458" s="71"/>
    </row>
    <row r="3459" spans="1:25" ht="30" hidden="1" customHeight="1" x14ac:dyDescent="0.25">
      <c r="A3459" s="82">
        <v>201029</v>
      </c>
      <c r="B3459" s="664" t="s">
        <v>1052</v>
      </c>
      <c r="C3459" s="71" t="s">
        <v>1115</v>
      </c>
      <c r="D3459" s="71">
        <v>150</v>
      </c>
      <c r="E3459" s="102">
        <v>6200</v>
      </c>
      <c r="F3459" s="102">
        <f t="shared" si="1765"/>
        <v>1023000.0000000001</v>
      </c>
      <c r="G3459" s="102">
        <f t="shared" si="1766"/>
        <v>930000</v>
      </c>
      <c r="H3459" s="690" t="s">
        <v>142</v>
      </c>
      <c r="I3459" s="71" t="s">
        <v>144</v>
      </c>
      <c r="J3459" s="53">
        <f t="shared" si="1757"/>
        <v>45000</v>
      </c>
      <c r="K3459" s="63">
        <f t="shared" si="1767"/>
        <v>4.838709677419354E-2</v>
      </c>
      <c r="L3459" s="871" t="s">
        <v>2568</v>
      </c>
      <c r="M3459" s="468"/>
      <c r="N3459" s="664">
        <f t="shared" si="1768"/>
        <v>201029</v>
      </c>
      <c r="O3459" s="71" t="s">
        <v>2459</v>
      </c>
      <c r="P3459" s="164" t="str">
        <f t="shared" si="1769"/>
        <v>한특 잉크(적)</v>
      </c>
      <c r="Q3459" s="71">
        <f t="shared" si="1770"/>
        <v>150</v>
      </c>
      <c r="R3459" s="102">
        <v>5900</v>
      </c>
      <c r="S3459" s="102">
        <f t="shared" si="1761"/>
        <v>973500.00000000012</v>
      </c>
      <c r="T3459" s="102">
        <f t="shared" si="1762"/>
        <v>885000</v>
      </c>
      <c r="U3459" s="71" t="str">
        <f t="shared" si="1763"/>
        <v>O</v>
      </c>
      <c r="V3459" s="71"/>
      <c r="W3459" s="474">
        <f t="shared" si="1764"/>
        <v>45000</v>
      </c>
      <c r="X3459" s="71"/>
      <c r="Y3459" s="71"/>
    </row>
    <row r="3460" spans="1:25" ht="30" hidden="1" customHeight="1" x14ac:dyDescent="0.25">
      <c r="A3460" s="82">
        <v>201029</v>
      </c>
      <c r="B3460" s="664" t="s">
        <v>1052</v>
      </c>
      <c r="C3460" s="71" t="s">
        <v>1116</v>
      </c>
      <c r="D3460" s="71">
        <v>150</v>
      </c>
      <c r="E3460" s="102">
        <v>6000</v>
      </c>
      <c r="F3460" s="102">
        <f t="shared" si="1765"/>
        <v>990000.00000000012</v>
      </c>
      <c r="G3460" s="102">
        <f t="shared" si="1766"/>
        <v>900000</v>
      </c>
      <c r="H3460" s="690" t="s">
        <v>142</v>
      </c>
      <c r="I3460" s="71" t="s">
        <v>144</v>
      </c>
      <c r="J3460" s="53">
        <f t="shared" si="1757"/>
        <v>75000</v>
      </c>
      <c r="K3460" s="63">
        <f t="shared" si="1767"/>
        <v>8.3333333333333329E-2</v>
      </c>
      <c r="L3460" s="871" t="s">
        <v>2568</v>
      </c>
      <c r="M3460" s="468"/>
      <c r="N3460" s="664">
        <f t="shared" si="1768"/>
        <v>201029</v>
      </c>
      <c r="O3460" s="71" t="s">
        <v>2459</v>
      </c>
      <c r="P3460" s="164" t="str">
        <f t="shared" si="1769"/>
        <v>한특 잉크(황)</v>
      </c>
      <c r="Q3460" s="71">
        <f t="shared" si="1770"/>
        <v>150</v>
      </c>
      <c r="R3460" s="102">
        <v>5500</v>
      </c>
      <c r="S3460" s="102">
        <f t="shared" si="1761"/>
        <v>907500.00000000012</v>
      </c>
      <c r="T3460" s="102">
        <f t="shared" si="1762"/>
        <v>825000</v>
      </c>
      <c r="U3460" s="71" t="str">
        <f t="shared" si="1763"/>
        <v>O</v>
      </c>
      <c r="V3460" s="71"/>
      <c r="W3460" s="474">
        <f t="shared" si="1764"/>
        <v>75000</v>
      </c>
      <c r="X3460" s="71"/>
      <c r="Y3460" s="71"/>
    </row>
    <row r="3461" spans="1:25" ht="30" hidden="1" customHeight="1" x14ac:dyDescent="0.25">
      <c r="A3461" s="82">
        <v>201029</v>
      </c>
      <c r="B3461" s="664" t="s">
        <v>1052</v>
      </c>
      <c r="C3461" s="71" t="s">
        <v>1117</v>
      </c>
      <c r="D3461" s="71">
        <v>150</v>
      </c>
      <c r="E3461" s="102">
        <v>6500</v>
      </c>
      <c r="F3461" s="102">
        <f t="shared" si="1765"/>
        <v>1072500</v>
      </c>
      <c r="G3461" s="102">
        <f t="shared" si="1766"/>
        <v>975000</v>
      </c>
      <c r="H3461" s="690" t="s">
        <v>142</v>
      </c>
      <c r="I3461" s="71" t="s">
        <v>144</v>
      </c>
      <c r="J3461" s="53">
        <f t="shared" si="1757"/>
        <v>75000</v>
      </c>
      <c r="K3461" s="63">
        <f t="shared" si="1767"/>
        <v>7.6923076923076927E-2</v>
      </c>
      <c r="L3461" s="871" t="s">
        <v>2568</v>
      </c>
      <c r="M3461" s="468"/>
      <c r="N3461" s="664">
        <f t="shared" si="1768"/>
        <v>201029</v>
      </c>
      <c r="O3461" s="71" t="s">
        <v>2459</v>
      </c>
      <c r="P3461" s="164" t="str">
        <f t="shared" si="1769"/>
        <v>한특 잉크(청)</v>
      </c>
      <c r="Q3461" s="71">
        <f t="shared" si="1770"/>
        <v>150</v>
      </c>
      <c r="R3461" s="102">
        <v>6000</v>
      </c>
      <c r="S3461" s="102">
        <f t="shared" si="1761"/>
        <v>990000.00000000012</v>
      </c>
      <c r="T3461" s="102">
        <f t="shared" si="1762"/>
        <v>900000</v>
      </c>
      <c r="U3461" s="71" t="str">
        <f t="shared" si="1763"/>
        <v>O</v>
      </c>
      <c r="V3461" s="71"/>
      <c r="W3461" s="474">
        <f t="shared" si="1764"/>
        <v>75000</v>
      </c>
      <c r="X3461" s="71"/>
      <c r="Y3461" s="71"/>
    </row>
    <row r="3462" spans="1:25" ht="30" hidden="1" customHeight="1" x14ac:dyDescent="0.25">
      <c r="A3462" s="82">
        <v>201029</v>
      </c>
      <c r="B3462" s="664" t="s">
        <v>1052</v>
      </c>
      <c r="C3462" s="71" t="s">
        <v>1118</v>
      </c>
      <c r="D3462" s="71">
        <v>250</v>
      </c>
      <c r="E3462" s="102">
        <v>5600</v>
      </c>
      <c r="F3462" s="102">
        <f t="shared" si="1765"/>
        <v>1540000.0000000002</v>
      </c>
      <c r="G3462" s="102">
        <f t="shared" si="1766"/>
        <v>1400000</v>
      </c>
      <c r="H3462" s="690" t="s">
        <v>142</v>
      </c>
      <c r="I3462" s="71" t="s">
        <v>144</v>
      </c>
      <c r="J3462" s="53">
        <f t="shared" si="1757"/>
        <v>100000</v>
      </c>
      <c r="K3462" s="63">
        <f t="shared" si="1767"/>
        <v>7.1428571428571411E-2</v>
      </c>
      <c r="L3462" s="871" t="s">
        <v>2568</v>
      </c>
      <c r="M3462" s="468"/>
      <c r="N3462" s="664">
        <f t="shared" si="1768"/>
        <v>201029</v>
      </c>
      <c r="O3462" s="71" t="s">
        <v>2459</v>
      </c>
      <c r="P3462" s="164" t="str">
        <f t="shared" si="1769"/>
        <v>한특 잉크(먹)</v>
      </c>
      <c r="Q3462" s="71">
        <f t="shared" si="1770"/>
        <v>250</v>
      </c>
      <c r="R3462" s="102">
        <v>5200</v>
      </c>
      <c r="S3462" s="102">
        <f t="shared" si="1761"/>
        <v>1430000</v>
      </c>
      <c r="T3462" s="102">
        <f t="shared" si="1762"/>
        <v>1300000</v>
      </c>
      <c r="U3462" s="71" t="str">
        <f t="shared" si="1763"/>
        <v>O</v>
      </c>
      <c r="V3462" s="71"/>
      <c r="W3462" s="474">
        <f t="shared" si="1764"/>
        <v>100000</v>
      </c>
      <c r="X3462" s="71"/>
      <c r="Y3462" s="71"/>
    </row>
    <row r="3463" spans="1:25" ht="30" hidden="1" customHeight="1" x14ac:dyDescent="0.2">
      <c r="A3463" s="82">
        <v>201029</v>
      </c>
      <c r="B3463" s="664" t="s">
        <v>575</v>
      </c>
      <c r="C3463" s="71" t="s">
        <v>1367</v>
      </c>
      <c r="D3463" s="71">
        <v>8</v>
      </c>
      <c r="E3463" s="102">
        <v>218000</v>
      </c>
      <c r="F3463" s="163">
        <f t="shared" si="1765"/>
        <v>1918400.0000000002</v>
      </c>
      <c r="G3463" s="102">
        <f t="shared" si="1766"/>
        <v>1744000</v>
      </c>
      <c r="H3463" s="690" t="s">
        <v>173</v>
      </c>
      <c r="I3463" s="71" t="s">
        <v>109</v>
      </c>
      <c r="J3463" s="53">
        <f t="shared" si="1757"/>
        <v>781920</v>
      </c>
      <c r="K3463" s="63">
        <f t="shared" si="1767"/>
        <v>0.44834862385321095</v>
      </c>
      <c r="L3463" s="871" t="s">
        <v>2568</v>
      </c>
      <c r="M3463" s="468"/>
      <c r="N3463" s="664">
        <f t="shared" si="1768"/>
        <v>201029</v>
      </c>
      <c r="O3463" s="71" t="s">
        <v>1443</v>
      </c>
      <c r="P3463" s="164" t="str">
        <f t="shared" si="1769"/>
        <v>M600 윤전 블랑켓 995*742</v>
      </c>
      <c r="Q3463" s="71">
        <f t="shared" si="1770"/>
        <v>8</v>
      </c>
      <c r="R3463" s="102">
        <v>120260</v>
      </c>
      <c r="S3463" s="102">
        <f t="shared" si="1761"/>
        <v>1058288</v>
      </c>
      <c r="T3463" s="102">
        <f t="shared" si="1762"/>
        <v>962080</v>
      </c>
      <c r="U3463" s="71" t="str">
        <f t="shared" si="1763"/>
        <v>X</v>
      </c>
      <c r="V3463" s="71"/>
      <c r="W3463" s="474"/>
      <c r="X3463" s="71"/>
      <c r="Y3463" s="71"/>
    </row>
    <row r="3464" spans="1:25" ht="30" hidden="1" customHeight="1" x14ac:dyDescent="0.25">
      <c r="A3464" s="82">
        <v>201029</v>
      </c>
      <c r="B3464" s="664" t="s">
        <v>575</v>
      </c>
      <c r="C3464" s="71" t="s">
        <v>1424</v>
      </c>
      <c r="D3464" s="71">
        <v>1</v>
      </c>
      <c r="E3464" s="102">
        <v>2500000</v>
      </c>
      <c r="F3464" s="102">
        <f t="shared" si="1765"/>
        <v>2750000</v>
      </c>
      <c r="G3464" s="102">
        <f t="shared" si="1766"/>
        <v>2500000</v>
      </c>
      <c r="H3464" s="690" t="s">
        <v>985</v>
      </c>
      <c r="I3464" s="690" t="s">
        <v>985</v>
      </c>
      <c r="J3464" s="53"/>
      <c r="K3464" s="63">
        <f>(J3464/(F3464/11*10))</f>
        <v>0</v>
      </c>
      <c r="L3464" s="871" t="s">
        <v>2568</v>
      </c>
      <c r="M3464" s="468"/>
      <c r="N3464" s="664">
        <f t="shared" si="1768"/>
        <v>201029</v>
      </c>
      <c r="O3464" s="71"/>
      <c r="P3464" s="164" t="str">
        <f t="shared" si="1769"/>
        <v>M600 서비스 계약(4회차)</v>
      </c>
      <c r="Q3464" s="71">
        <f t="shared" si="1770"/>
        <v>1</v>
      </c>
      <c r="R3464" s="102"/>
      <c r="S3464" s="102">
        <f t="shared" si="1761"/>
        <v>0</v>
      </c>
      <c r="T3464" s="102">
        <f t="shared" si="1762"/>
        <v>0</v>
      </c>
      <c r="U3464" s="71" t="str">
        <f t="shared" si="1763"/>
        <v>O</v>
      </c>
      <c r="V3464" s="71"/>
      <c r="W3464" s="474"/>
      <c r="X3464" s="71"/>
      <c r="Y3464" s="71"/>
    </row>
    <row r="3465" spans="1:25" ht="30" hidden="1" customHeight="1" x14ac:dyDescent="0.2">
      <c r="A3465" s="82">
        <v>201029</v>
      </c>
      <c r="B3465" s="664" t="s">
        <v>2103</v>
      </c>
      <c r="C3465" s="71" t="s">
        <v>2577</v>
      </c>
      <c r="D3465" s="71">
        <v>1900</v>
      </c>
      <c r="E3465" s="102">
        <v>950</v>
      </c>
      <c r="F3465" s="163">
        <f>(E3465*D3465)*1.1</f>
        <v>1985500.0000000002</v>
      </c>
      <c r="G3465" s="102">
        <f>(E3465*D3465)</f>
        <v>1805000</v>
      </c>
      <c r="H3465" s="690" t="s">
        <v>173</v>
      </c>
      <c r="I3465" s="71" t="s">
        <v>2230</v>
      </c>
      <c r="J3465" s="53">
        <f>G3465-T3465</f>
        <v>1805000</v>
      </c>
      <c r="K3465" s="63">
        <f>(J3465/(F3465/11*10))</f>
        <v>0.99999999999999989</v>
      </c>
      <c r="L3465" s="871" t="s">
        <v>2568</v>
      </c>
      <c r="M3465" s="468"/>
      <c r="N3465" s="664">
        <f t="shared" si="1768"/>
        <v>201029</v>
      </c>
      <c r="O3465" s="71"/>
      <c r="P3465" s="164" t="str">
        <f t="shared" si="1769"/>
        <v>CTP 폐판</v>
      </c>
      <c r="Q3465" s="71">
        <f t="shared" si="1770"/>
        <v>1900</v>
      </c>
      <c r="R3465" s="102">
        <v>0</v>
      </c>
      <c r="S3465" s="102">
        <f t="shared" si="1761"/>
        <v>0</v>
      </c>
      <c r="T3465" s="102">
        <f t="shared" si="1762"/>
        <v>0</v>
      </c>
      <c r="U3465" s="71" t="str">
        <f t="shared" si="1763"/>
        <v>X</v>
      </c>
      <c r="V3465" s="71"/>
      <c r="W3465" s="474"/>
      <c r="X3465" s="71"/>
      <c r="Y3465" s="71"/>
    </row>
    <row r="3466" spans="1:25" ht="30" hidden="1" customHeight="1" x14ac:dyDescent="0.2">
      <c r="A3466" s="611">
        <v>201030</v>
      </c>
      <c r="B3466" s="674" t="s">
        <v>2579</v>
      </c>
      <c r="C3466" s="409" t="s">
        <v>2580</v>
      </c>
      <c r="D3466" s="409">
        <v>1</v>
      </c>
      <c r="E3466" s="208">
        <v>600000</v>
      </c>
      <c r="F3466" s="522">
        <f>(E3466*D3466)*1.1</f>
        <v>660000</v>
      </c>
      <c r="G3466" s="208">
        <f>(E3466*D3466)</f>
        <v>600000</v>
      </c>
      <c r="H3466" s="830" t="s">
        <v>142</v>
      </c>
      <c r="I3466" s="71" t="s">
        <v>142</v>
      </c>
      <c r="J3466" s="53">
        <f>G3466-T3466</f>
        <v>370000</v>
      </c>
      <c r="K3466" s="63">
        <f>(J3466/(F3466/11*10))</f>
        <v>0.6166666666666667</v>
      </c>
      <c r="L3466" s="871" t="s">
        <v>2568</v>
      </c>
      <c r="M3466" s="583"/>
      <c r="N3466" s="664">
        <f t="shared" si="1768"/>
        <v>201030</v>
      </c>
      <c r="O3466" s="409" t="s">
        <v>2584</v>
      </c>
      <c r="P3466" s="164" t="str">
        <f t="shared" si="1769"/>
        <v>정제형 상무 서비스비용</v>
      </c>
      <c r="Q3466" s="71">
        <f t="shared" si="1770"/>
        <v>1</v>
      </c>
      <c r="R3466" s="208">
        <v>230000</v>
      </c>
      <c r="S3466" s="102">
        <f t="shared" si="1761"/>
        <v>253000.00000000003</v>
      </c>
      <c r="T3466" s="102">
        <f t="shared" si="1762"/>
        <v>230000</v>
      </c>
      <c r="U3466" s="71" t="str">
        <f t="shared" si="1763"/>
        <v>X</v>
      </c>
      <c r="V3466" s="409"/>
      <c r="W3466" s="1025"/>
      <c r="X3466" s="409"/>
      <c r="Y3466" s="409"/>
    </row>
    <row r="3467" spans="1:25" s="978" customFormat="1" ht="45" hidden="1" customHeight="1" x14ac:dyDescent="0.25">
      <c r="A3467" s="982" t="s">
        <v>2583</v>
      </c>
      <c r="B3467" s="976" t="s">
        <v>544</v>
      </c>
      <c r="C3467" s="453"/>
      <c r="D3467" s="453"/>
      <c r="E3467" s="454"/>
      <c r="F3467" s="454"/>
      <c r="G3467" s="454"/>
      <c r="H3467" s="455"/>
      <c r="I3467" s="453"/>
      <c r="J3467" s="417"/>
      <c r="K3467" s="418"/>
      <c r="L3467" s="983" t="s">
        <v>2578</v>
      </c>
      <c r="M3467" s="643"/>
      <c r="N3467" s="724" t="str">
        <f>A3467</f>
        <v>2020,11</v>
      </c>
      <c r="O3467" s="453" t="s">
        <v>154</v>
      </c>
      <c r="P3467" s="728"/>
      <c r="Q3467" s="420"/>
      <c r="R3467" s="420"/>
      <c r="S3467" s="417"/>
      <c r="T3467" s="417"/>
      <c r="U3467" s="421"/>
      <c r="V3467" s="421"/>
      <c r="W3467" s="479">
        <f>(G3467-T3467)</f>
        <v>0</v>
      </c>
      <c r="X3467" s="421"/>
      <c r="Y3467" s="421"/>
    </row>
    <row r="3468" spans="1:25" ht="30" hidden="1" customHeight="1" x14ac:dyDescent="0.2">
      <c r="A3468" s="82">
        <v>200806</v>
      </c>
      <c r="B3468" s="664" t="s">
        <v>575</v>
      </c>
      <c r="C3468" s="71" t="s">
        <v>2617</v>
      </c>
      <c r="D3468" s="71">
        <v>1</v>
      </c>
      <c r="E3468" s="102">
        <v>1008000</v>
      </c>
      <c r="F3468" s="163">
        <f>(E3468*D3468)*1.1</f>
        <v>1108800</v>
      </c>
      <c r="G3468" s="102">
        <f>(E3468*D3468)</f>
        <v>1008000</v>
      </c>
      <c r="H3468" s="690" t="s">
        <v>1431</v>
      </c>
      <c r="I3468" s="690" t="s">
        <v>1431</v>
      </c>
      <c r="J3468" s="53">
        <f t="shared" ref="J3468:J3481" si="1771">G3468-T3468</f>
        <v>118000</v>
      </c>
      <c r="K3468" s="63">
        <f t="shared" ref="K3468:K3485" si="1772">(J3468/(F3468/11*10))</f>
        <v>0.11706349206349206</v>
      </c>
      <c r="L3468" s="871" t="s">
        <v>2578</v>
      </c>
      <c r="M3468" s="468" t="s">
        <v>2631</v>
      </c>
      <c r="N3468" s="664">
        <f t="shared" ref="N3468:N3531" si="1773">A3468</f>
        <v>200806</v>
      </c>
      <c r="O3468" s="71" t="s">
        <v>150</v>
      </c>
      <c r="P3468" s="164" t="str">
        <f t="shared" ref="P3468:P3531" si="1774">(C3468)</f>
        <v>습수 냉각기 온도 조절 밸브</v>
      </c>
      <c r="Q3468" s="71">
        <f t="shared" ref="Q3468:Q3531" si="1775">D3468</f>
        <v>1</v>
      </c>
      <c r="R3468" s="102">
        <f>90000+800000</f>
        <v>890000</v>
      </c>
      <c r="S3468" s="102">
        <f t="shared" ref="S3468:S3499" si="1776">R3468*Q3468*1.1</f>
        <v>979000.00000000012</v>
      </c>
      <c r="T3468" s="102">
        <f t="shared" ref="T3468:T3499" si="1777">R3468*Q3468</f>
        <v>890000</v>
      </c>
      <c r="U3468" s="71"/>
      <c r="V3468" s="71"/>
      <c r="W3468" s="474"/>
      <c r="X3468" s="71"/>
      <c r="Y3468" s="71"/>
    </row>
    <row r="3469" spans="1:25" ht="30" hidden="1" customHeight="1" x14ac:dyDescent="0.25">
      <c r="A3469" s="82">
        <v>200903</v>
      </c>
      <c r="B3469" s="664" t="s">
        <v>575</v>
      </c>
      <c r="C3469" s="71" t="s">
        <v>2609</v>
      </c>
      <c r="D3469" s="71">
        <v>10</v>
      </c>
      <c r="E3469" s="102">
        <v>240000</v>
      </c>
      <c r="F3469" s="102">
        <f>(E3469*D3469)*1.1</f>
        <v>2640000</v>
      </c>
      <c r="G3469" s="102">
        <f>(E3469*D3469)</f>
        <v>2400000</v>
      </c>
      <c r="H3469" s="690" t="s">
        <v>1431</v>
      </c>
      <c r="I3469" s="690" t="s">
        <v>1431</v>
      </c>
      <c r="J3469" s="53">
        <f t="shared" si="1771"/>
        <v>1900000</v>
      </c>
      <c r="K3469" s="63">
        <f t="shared" si="1772"/>
        <v>0.79166666666666663</v>
      </c>
      <c r="L3469" s="871" t="s">
        <v>2603</v>
      </c>
      <c r="M3469" s="468"/>
      <c r="N3469" s="664">
        <f t="shared" si="1773"/>
        <v>200903</v>
      </c>
      <c r="O3469" s="71" t="s">
        <v>1431</v>
      </c>
      <c r="P3469" s="164" t="str">
        <f t="shared" si="1774"/>
        <v>판걸이 클램프(대)</v>
      </c>
      <c r="Q3469" s="71">
        <f t="shared" si="1775"/>
        <v>10</v>
      </c>
      <c r="R3469" s="102">
        <v>50000</v>
      </c>
      <c r="S3469" s="102">
        <f t="shared" si="1776"/>
        <v>550000</v>
      </c>
      <c r="T3469" s="102">
        <f t="shared" si="1777"/>
        <v>500000</v>
      </c>
      <c r="U3469" s="71"/>
      <c r="V3469" s="71"/>
      <c r="W3469" s="474"/>
      <c r="X3469" s="71"/>
      <c r="Y3469" s="71"/>
    </row>
    <row r="3470" spans="1:25" ht="30" hidden="1" customHeight="1" x14ac:dyDescent="0.25">
      <c r="A3470" s="82">
        <v>200903</v>
      </c>
      <c r="B3470" s="664" t="s">
        <v>575</v>
      </c>
      <c r="C3470" s="71" t="s">
        <v>2610</v>
      </c>
      <c r="D3470" s="71">
        <v>10</v>
      </c>
      <c r="E3470" s="102">
        <v>240000</v>
      </c>
      <c r="F3470" s="102">
        <f>(E3470*D3470)*1.1</f>
        <v>2640000</v>
      </c>
      <c r="G3470" s="102">
        <f>(E3470*D3470)</f>
        <v>2400000</v>
      </c>
      <c r="H3470" s="690" t="s">
        <v>1431</v>
      </c>
      <c r="I3470" s="690" t="s">
        <v>1431</v>
      </c>
      <c r="J3470" s="53">
        <f t="shared" si="1771"/>
        <v>1900000</v>
      </c>
      <c r="K3470" s="63">
        <f t="shared" si="1772"/>
        <v>0.79166666666666663</v>
      </c>
      <c r="L3470" s="871" t="s">
        <v>2603</v>
      </c>
      <c r="M3470" s="468"/>
      <c r="N3470" s="664">
        <f t="shared" si="1773"/>
        <v>200903</v>
      </c>
      <c r="O3470" s="71" t="s">
        <v>1431</v>
      </c>
      <c r="P3470" s="164" t="str">
        <f t="shared" si="1774"/>
        <v>판걸이 클램프(소)</v>
      </c>
      <c r="Q3470" s="71">
        <f t="shared" si="1775"/>
        <v>10</v>
      </c>
      <c r="R3470" s="102">
        <v>50000</v>
      </c>
      <c r="S3470" s="102">
        <f t="shared" si="1776"/>
        <v>550000</v>
      </c>
      <c r="T3470" s="102">
        <f t="shared" si="1777"/>
        <v>500000</v>
      </c>
      <c r="U3470" s="71"/>
      <c r="V3470" s="71"/>
      <c r="W3470" s="474"/>
      <c r="X3470" s="71"/>
      <c r="Y3470" s="71"/>
    </row>
    <row r="3471" spans="1:25" ht="30" hidden="1" customHeight="1" x14ac:dyDescent="0.25">
      <c r="A3471" s="82">
        <v>200903</v>
      </c>
      <c r="B3471" s="664" t="s">
        <v>575</v>
      </c>
      <c r="C3471" s="71" t="s">
        <v>2611</v>
      </c>
      <c r="D3471" s="71">
        <v>10</v>
      </c>
      <c r="E3471" s="102">
        <v>240000</v>
      </c>
      <c r="F3471" s="102">
        <f t="shared" ref="F3471:F3534" si="1778">(E3471*D3471)*1.1</f>
        <v>2640000</v>
      </c>
      <c r="G3471" s="102">
        <f t="shared" ref="G3471:G3534" si="1779">(E3471*D3471)</f>
        <v>2400000</v>
      </c>
      <c r="H3471" s="690" t="s">
        <v>1431</v>
      </c>
      <c r="I3471" s="690" t="s">
        <v>1431</v>
      </c>
      <c r="J3471" s="53">
        <f t="shared" si="1771"/>
        <v>1600000</v>
      </c>
      <c r="K3471" s="63">
        <f t="shared" si="1772"/>
        <v>0.66666666666666663</v>
      </c>
      <c r="L3471" s="871" t="s">
        <v>2603</v>
      </c>
      <c r="M3471" s="468"/>
      <c r="N3471" s="664">
        <f t="shared" si="1773"/>
        <v>200903</v>
      </c>
      <c r="O3471" s="71" t="s">
        <v>1431</v>
      </c>
      <c r="P3471" s="164" t="str">
        <f t="shared" si="1774"/>
        <v>판걸이 클램프(대)-국전</v>
      </c>
      <c r="Q3471" s="71">
        <f t="shared" si="1775"/>
        <v>10</v>
      </c>
      <c r="R3471" s="102">
        <v>80000</v>
      </c>
      <c r="S3471" s="102">
        <f t="shared" si="1776"/>
        <v>880000.00000000012</v>
      </c>
      <c r="T3471" s="102">
        <f t="shared" si="1777"/>
        <v>800000</v>
      </c>
      <c r="U3471" s="71"/>
      <c r="V3471" s="71"/>
      <c r="W3471" s="474"/>
      <c r="X3471" s="71"/>
      <c r="Y3471" s="71"/>
    </row>
    <row r="3472" spans="1:25" ht="30" hidden="1" customHeight="1" x14ac:dyDescent="0.25">
      <c r="A3472" s="82">
        <v>200903</v>
      </c>
      <c r="B3472" s="664" t="s">
        <v>575</v>
      </c>
      <c r="C3472" s="71" t="s">
        <v>2612</v>
      </c>
      <c r="D3472" s="71">
        <v>10</v>
      </c>
      <c r="E3472" s="102">
        <v>240000</v>
      </c>
      <c r="F3472" s="102">
        <f t="shared" si="1778"/>
        <v>2640000</v>
      </c>
      <c r="G3472" s="102">
        <f t="shared" si="1779"/>
        <v>2400000</v>
      </c>
      <c r="H3472" s="690" t="s">
        <v>1431</v>
      </c>
      <c r="I3472" s="690" t="s">
        <v>1431</v>
      </c>
      <c r="J3472" s="53">
        <f t="shared" si="1771"/>
        <v>1600000</v>
      </c>
      <c r="K3472" s="63">
        <f t="shared" si="1772"/>
        <v>0.66666666666666663</v>
      </c>
      <c r="L3472" s="871" t="s">
        <v>2603</v>
      </c>
      <c r="M3472" s="468"/>
      <c r="N3472" s="664">
        <f t="shared" si="1773"/>
        <v>200903</v>
      </c>
      <c r="O3472" s="71" t="s">
        <v>1431</v>
      </c>
      <c r="P3472" s="164" t="str">
        <f t="shared" si="1774"/>
        <v>판걸이 클램프(소)-국전</v>
      </c>
      <c r="Q3472" s="71">
        <f t="shared" si="1775"/>
        <v>10</v>
      </c>
      <c r="R3472" s="102">
        <v>80000</v>
      </c>
      <c r="S3472" s="102">
        <f t="shared" si="1776"/>
        <v>880000.00000000012</v>
      </c>
      <c r="T3472" s="102">
        <f t="shared" si="1777"/>
        <v>800000</v>
      </c>
      <c r="U3472" s="71"/>
      <c r="V3472" s="71"/>
      <c r="W3472" s="474"/>
      <c r="X3472" s="71"/>
      <c r="Y3472" s="71"/>
    </row>
    <row r="3473" spans="1:25" ht="30" hidden="1" customHeight="1" x14ac:dyDescent="0.25">
      <c r="A3473" s="82">
        <v>200903</v>
      </c>
      <c r="B3473" s="664" t="s">
        <v>575</v>
      </c>
      <c r="C3473" s="71" t="s">
        <v>2613</v>
      </c>
      <c r="D3473" s="71">
        <v>50</v>
      </c>
      <c r="E3473" s="102">
        <v>10000</v>
      </c>
      <c r="F3473" s="102">
        <f t="shared" si="1778"/>
        <v>550000</v>
      </c>
      <c r="G3473" s="102">
        <f t="shared" si="1779"/>
        <v>500000</v>
      </c>
      <c r="H3473" s="690" t="s">
        <v>1431</v>
      </c>
      <c r="I3473" s="690" t="s">
        <v>1431</v>
      </c>
      <c r="J3473" s="53">
        <f t="shared" si="1771"/>
        <v>0</v>
      </c>
      <c r="K3473" s="63">
        <f t="shared" si="1772"/>
        <v>0</v>
      </c>
      <c r="L3473" s="871" t="s">
        <v>2603</v>
      </c>
      <c r="M3473" s="468"/>
      <c r="N3473" s="664">
        <f t="shared" si="1773"/>
        <v>200903</v>
      </c>
      <c r="O3473" s="71" t="s">
        <v>1431</v>
      </c>
      <c r="P3473" s="164" t="str">
        <f t="shared" si="1774"/>
        <v>석션 디스크</v>
      </c>
      <c r="Q3473" s="71">
        <f t="shared" si="1775"/>
        <v>50</v>
      </c>
      <c r="R3473" s="102">
        <v>10000</v>
      </c>
      <c r="S3473" s="102">
        <f t="shared" si="1776"/>
        <v>550000</v>
      </c>
      <c r="T3473" s="102">
        <f t="shared" si="1777"/>
        <v>500000</v>
      </c>
      <c r="U3473" s="71"/>
      <c r="V3473" s="71"/>
      <c r="W3473" s="474"/>
      <c r="X3473" s="71"/>
      <c r="Y3473" s="71"/>
    </row>
    <row r="3474" spans="1:25" ht="30" hidden="1" customHeight="1" x14ac:dyDescent="0.25">
      <c r="A3474" s="82">
        <v>200903</v>
      </c>
      <c r="B3474" s="664" t="s">
        <v>575</v>
      </c>
      <c r="C3474" s="71" t="s">
        <v>2614</v>
      </c>
      <c r="D3474" s="71">
        <v>3</v>
      </c>
      <c r="E3474" s="102">
        <v>310000</v>
      </c>
      <c r="F3474" s="102">
        <f t="shared" si="1778"/>
        <v>1023000.0000000001</v>
      </c>
      <c r="G3474" s="102">
        <f t="shared" si="1779"/>
        <v>930000</v>
      </c>
      <c r="H3474" s="690" t="s">
        <v>1431</v>
      </c>
      <c r="I3474" s="690" t="s">
        <v>1431</v>
      </c>
      <c r="J3474" s="53">
        <f t="shared" si="1771"/>
        <v>405000</v>
      </c>
      <c r="K3474" s="63">
        <f t="shared" si="1772"/>
        <v>0.43548387096774188</v>
      </c>
      <c r="L3474" s="871" t="s">
        <v>2603</v>
      </c>
      <c r="M3474" s="468"/>
      <c r="N3474" s="664">
        <f t="shared" si="1773"/>
        <v>200903</v>
      </c>
      <c r="O3474" s="71" t="s">
        <v>1431</v>
      </c>
      <c r="P3474" s="164" t="str">
        <f t="shared" si="1774"/>
        <v>에어 실린더(WM.005801103)</v>
      </c>
      <c r="Q3474" s="71">
        <f t="shared" si="1775"/>
        <v>3</v>
      </c>
      <c r="R3474" s="102">
        <v>175000</v>
      </c>
      <c r="S3474" s="102">
        <f t="shared" si="1776"/>
        <v>577500</v>
      </c>
      <c r="T3474" s="102">
        <f t="shared" si="1777"/>
        <v>525000</v>
      </c>
      <c r="U3474" s="71"/>
      <c r="V3474" s="71"/>
      <c r="W3474" s="474"/>
      <c r="X3474" s="71"/>
      <c r="Y3474" s="71"/>
    </row>
    <row r="3475" spans="1:25" ht="30" hidden="1" customHeight="1" x14ac:dyDescent="0.25">
      <c r="A3475" s="82">
        <v>200903</v>
      </c>
      <c r="B3475" s="664" t="s">
        <v>575</v>
      </c>
      <c r="C3475" s="71" t="s">
        <v>2615</v>
      </c>
      <c r="D3475" s="71">
        <v>3</v>
      </c>
      <c r="E3475" s="102">
        <v>230000</v>
      </c>
      <c r="F3475" s="102">
        <f t="shared" si="1778"/>
        <v>759000.00000000012</v>
      </c>
      <c r="G3475" s="102">
        <f t="shared" si="1779"/>
        <v>690000</v>
      </c>
      <c r="H3475" s="690" t="s">
        <v>1431</v>
      </c>
      <c r="I3475" s="690" t="s">
        <v>1431</v>
      </c>
      <c r="J3475" s="53">
        <f t="shared" si="1771"/>
        <v>255000</v>
      </c>
      <c r="K3475" s="63">
        <f t="shared" si="1772"/>
        <v>0.36956521739130427</v>
      </c>
      <c r="L3475" s="871" t="s">
        <v>2603</v>
      </c>
      <c r="M3475" s="468"/>
      <c r="N3475" s="664">
        <f t="shared" si="1773"/>
        <v>200903</v>
      </c>
      <c r="O3475" s="71" t="s">
        <v>1431</v>
      </c>
      <c r="P3475" s="164" t="str">
        <f t="shared" si="1774"/>
        <v>에어 실린더(WM.X73208)</v>
      </c>
      <c r="Q3475" s="71">
        <f t="shared" si="1775"/>
        <v>3</v>
      </c>
      <c r="R3475" s="102">
        <v>145000</v>
      </c>
      <c r="S3475" s="102">
        <f t="shared" si="1776"/>
        <v>478500.00000000006</v>
      </c>
      <c r="T3475" s="102">
        <f t="shared" si="1777"/>
        <v>435000</v>
      </c>
      <c r="U3475" s="71"/>
      <c r="V3475" s="71"/>
      <c r="W3475" s="474"/>
      <c r="X3475" s="71"/>
      <c r="Y3475" s="71"/>
    </row>
    <row r="3476" spans="1:25" ht="30" hidden="1" customHeight="1" x14ac:dyDescent="0.25">
      <c r="A3476" s="82">
        <v>200903</v>
      </c>
      <c r="B3476" s="664" t="s">
        <v>575</v>
      </c>
      <c r="C3476" s="71" t="s">
        <v>2616</v>
      </c>
      <c r="D3476" s="71">
        <v>3</v>
      </c>
      <c r="E3476" s="102">
        <v>450000</v>
      </c>
      <c r="F3476" s="102">
        <f t="shared" si="1778"/>
        <v>1485000.0000000002</v>
      </c>
      <c r="G3476" s="102">
        <f t="shared" si="1779"/>
        <v>1350000</v>
      </c>
      <c r="H3476" s="690" t="s">
        <v>1431</v>
      </c>
      <c r="I3476" s="690" t="s">
        <v>1431</v>
      </c>
      <c r="J3476" s="53">
        <f t="shared" si="1771"/>
        <v>525000</v>
      </c>
      <c r="K3476" s="63">
        <f t="shared" si="1772"/>
        <v>0.38888888888888884</v>
      </c>
      <c r="L3476" s="871" t="s">
        <v>2603</v>
      </c>
      <c r="M3476" s="468"/>
      <c r="N3476" s="664">
        <f t="shared" si="1773"/>
        <v>200903</v>
      </c>
      <c r="O3476" s="71" t="s">
        <v>1431</v>
      </c>
      <c r="P3476" s="164" t="str">
        <f t="shared" si="1774"/>
        <v>에어 실린더(WM.Z35554)</v>
      </c>
      <c r="Q3476" s="71">
        <f t="shared" si="1775"/>
        <v>3</v>
      </c>
      <c r="R3476" s="102">
        <v>275000</v>
      </c>
      <c r="S3476" s="102">
        <f t="shared" si="1776"/>
        <v>907500.00000000012</v>
      </c>
      <c r="T3476" s="102">
        <f t="shared" si="1777"/>
        <v>825000</v>
      </c>
      <c r="U3476" s="71"/>
      <c r="V3476" s="71"/>
      <c r="W3476" s="474"/>
      <c r="X3476" s="71"/>
      <c r="Y3476" s="71"/>
    </row>
    <row r="3477" spans="1:25" ht="30" hidden="1" customHeight="1" x14ac:dyDescent="0.25">
      <c r="A3477" s="82">
        <v>200908</v>
      </c>
      <c r="B3477" s="664" t="s">
        <v>591</v>
      </c>
      <c r="C3477" s="71" t="s">
        <v>2581</v>
      </c>
      <c r="D3477" s="71">
        <v>1</v>
      </c>
      <c r="E3477" s="102">
        <v>5420000</v>
      </c>
      <c r="F3477" s="102">
        <f t="shared" si="1778"/>
        <v>5962000.0000000009</v>
      </c>
      <c r="G3477" s="102">
        <f t="shared" si="1779"/>
        <v>5420000</v>
      </c>
      <c r="H3477" s="690" t="s">
        <v>2029</v>
      </c>
      <c r="I3477" s="71" t="s">
        <v>143</v>
      </c>
      <c r="J3477" s="53">
        <f t="shared" si="1771"/>
        <v>950000</v>
      </c>
      <c r="K3477" s="63">
        <f t="shared" si="1772"/>
        <v>0.17527675276752763</v>
      </c>
      <c r="L3477" s="871" t="s">
        <v>2603</v>
      </c>
      <c r="M3477" s="468"/>
      <c r="N3477" s="664">
        <f t="shared" si="1773"/>
        <v>200908</v>
      </c>
      <c r="O3477" s="71" t="s">
        <v>612</v>
      </c>
      <c r="P3477" s="164" t="str">
        <f t="shared" si="1774"/>
        <v>매엽용 롤라 19개 set</v>
      </c>
      <c r="Q3477" s="71">
        <f t="shared" si="1775"/>
        <v>1</v>
      </c>
      <c r="R3477" s="102">
        <v>4470000</v>
      </c>
      <c r="S3477" s="102">
        <f t="shared" si="1776"/>
        <v>4917000</v>
      </c>
      <c r="T3477" s="102">
        <f t="shared" si="1777"/>
        <v>4470000</v>
      </c>
      <c r="U3477" s="71"/>
      <c r="V3477" s="71"/>
      <c r="W3477" s="474"/>
      <c r="X3477" s="71"/>
      <c r="Y3477" s="71"/>
    </row>
    <row r="3478" spans="1:25" ht="30" hidden="1" customHeight="1" x14ac:dyDescent="0.25">
      <c r="A3478" s="82">
        <v>200914</v>
      </c>
      <c r="B3478" s="664" t="s">
        <v>809</v>
      </c>
      <c r="C3478" s="71" t="s">
        <v>1261</v>
      </c>
      <c r="D3478" s="71">
        <v>5</v>
      </c>
      <c r="E3478" s="102">
        <v>100000</v>
      </c>
      <c r="F3478" s="102">
        <f t="shared" si="1778"/>
        <v>550000</v>
      </c>
      <c r="G3478" s="102">
        <f t="shared" si="1779"/>
        <v>500000</v>
      </c>
      <c r="H3478" s="690" t="s">
        <v>2029</v>
      </c>
      <c r="I3478" s="71" t="s">
        <v>2231</v>
      </c>
      <c r="J3478" s="53">
        <f t="shared" si="1771"/>
        <v>250000</v>
      </c>
      <c r="K3478" s="63">
        <f t="shared" si="1772"/>
        <v>0.5</v>
      </c>
      <c r="L3478" s="871" t="s">
        <v>2603</v>
      </c>
      <c r="M3478" s="468" t="s">
        <v>2582</v>
      </c>
      <c r="N3478" s="664">
        <f t="shared" si="1773"/>
        <v>200914</v>
      </c>
      <c r="O3478" s="71" t="s">
        <v>153</v>
      </c>
      <c r="P3478" s="164" t="str">
        <f t="shared" si="1774"/>
        <v>아스테이지</v>
      </c>
      <c r="Q3478" s="71">
        <f t="shared" si="1775"/>
        <v>5</v>
      </c>
      <c r="R3478" s="102">
        <v>50000</v>
      </c>
      <c r="S3478" s="102">
        <f t="shared" si="1776"/>
        <v>275000</v>
      </c>
      <c r="T3478" s="102">
        <f t="shared" si="1777"/>
        <v>250000</v>
      </c>
      <c r="U3478" s="71"/>
      <c r="V3478" s="71"/>
      <c r="W3478" s="474"/>
      <c r="X3478" s="71"/>
      <c r="Y3478" s="71"/>
    </row>
    <row r="3479" spans="1:25" ht="27.6" hidden="1" customHeight="1" x14ac:dyDescent="0.25">
      <c r="A3479" s="82">
        <v>200923</v>
      </c>
      <c r="B3479" s="664" t="s">
        <v>567</v>
      </c>
      <c r="C3479" s="71" t="s">
        <v>1652</v>
      </c>
      <c r="D3479" s="71">
        <v>5</v>
      </c>
      <c r="E3479" s="102">
        <v>45000</v>
      </c>
      <c r="F3479" s="102">
        <f t="shared" si="1778"/>
        <v>247500.00000000003</v>
      </c>
      <c r="G3479" s="102">
        <f t="shared" si="1779"/>
        <v>225000</v>
      </c>
      <c r="H3479" s="690" t="s">
        <v>173</v>
      </c>
      <c r="I3479" s="71" t="s">
        <v>2231</v>
      </c>
      <c r="J3479" s="53">
        <f t="shared" si="1771"/>
        <v>25000</v>
      </c>
      <c r="K3479" s="63">
        <f t="shared" si="1772"/>
        <v>0.11111111111111109</v>
      </c>
      <c r="L3479" s="871" t="s">
        <v>2603</v>
      </c>
      <c r="M3479" s="468" t="s">
        <v>2582</v>
      </c>
      <c r="N3479" s="664">
        <f t="shared" si="1773"/>
        <v>200923</v>
      </c>
      <c r="O3479" s="71" t="s">
        <v>153</v>
      </c>
      <c r="P3479" s="164" t="str">
        <f t="shared" si="1774"/>
        <v>아스테이지(CD74용)</v>
      </c>
      <c r="Q3479" s="71">
        <f t="shared" si="1775"/>
        <v>5</v>
      </c>
      <c r="R3479" s="102">
        <v>40000</v>
      </c>
      <c r="S3479" s="102">
        <f t="shared" si="1776"/>
        <v>220000.00000000003</v>
      </c>
      <c r="T3479" s="102">
        <f t="shared" si="1777"/>
        <v>200000</v>
      </c>
      <c r="U3479" s="71" t="str">
        <f>IF(J3479=W3479,"O", "X")</f>
        <v>X</v>
      </c>
      <c r="V3479" s="71"/>
      <c r="W3479" s="474"/>
      <c r="X3479" s="71"/>
      <c r="Y3479" s="71"/>
    </row>
    <row r="3480" spans="1:25" ht="30" hidden="1" customHeight="1" x14ac:dyDescent="0.25">
      <c r="A3480" s="82">
        <v>201030</v>
      </c>
      <c r="B3480" s="664" t="s">
        <v>690</v>
      </c>
      <c r="C3480" s="71" t="s">
        <v>1186</v>
      </c>
      <c r="D3480" s="71">
        <v>500</v>
      </c>
      <c r="E3480" s="102">
        <v>3420</v>
      </c>
      <c r="F3480" s="102">
        <f t="shared" si="1778"/>
        <v>1881000.0000000002</v>
      </c>
      <c r="G3480" s="102">
        <f t="shared" si="1779"/>
        <v>1710000</v>
      </c>
      <c r="H3480" s="690" t="s">
        <v>173</v>
      </c>
      <c r="I3480" s="71" t="s">
        <v>2230</v>
      </c>
      <c r="J3480" s="53">
        <f t="shared" si="1771"/>
        <v>-190000</v>
      </c>
      <c r="K3480" s="63">
        <f t="shared" si="1772"/>
        <v>-0.11111111111111109</v>
      </c>
      <c r="L3480" s="871" t="s">
        <v>2603</v>
      </c>
      <c r="M3480" s="468" t="s">
        <v>1393</v>
      </c>
      <c r="N3480" s="664">
        <f t="shared" si="1773"/>
        <v>201030</v>
      </c>
      <c r="O3480" s="71" t="s">
        <v>145</v>
      </c>
      <c r="P3480" s="164" t="str">
        <f t="shared" si="1774"/>
        <v>CTP 판(1030*790mm)</v>
      </c>
      <c r="Q3480" s="71">
        <f t="shared" si="1775"/>
        <v>500</v>
      </c>
      <c r="R3480" s="102">
        <v>3800</v>
      </c>
      <c r="S3480" s="102">
        <f t="shared" si="1776"/>
        <v>2090000.0000000002</v>
      </c>
      <c r="T3480" s="102">
        <f t="shared" si="1777"/>
        <v>1900000</v>
      </c>
      <c r="U3480" s="71" t="str">
        <f>IF(J3480=W3480,"O", "X")</f>
        <v>X</v>
      </c>
      <c r="V3480" s="71"/>
      <c r="W3480" s="474">
        <v>-200000</v>
      </c>
      <c r="X3480" s="71"/>
      <c r="Y3480" s="71"/>
    </row>
    <row r="3481" spans="1:25" ht="30" hidden="1" customHeight="1" x14ac:dyDescent="0.25">
      <c r="A3481" s="82">
        <v>201030</v>
      </c>
      <c r="B3481" s="664" t="s">
        <v>690</v>
      </c>
      <c r="C3481" s="71" t="s">
        <v>197</v>
      </c>
      <c r="D3481" s="71">
        <v>3</v>
      </c>
      <c r="E3481" s="102">
        <v>46000</v>
      </c>
      <c r="F3481" s="102">
        <f t="shared" si="1778"/>
        <v>151800</v>
      </c>
      <c r="G3481" s="102">
        <f t="shared" si="1779"/>
        <v>138000</v>
      </c>
      <c r="H3481" s="690" t="s">
        <v>173</v>
      </c>
      <c r="I3481" s="71" t="s">
        <v>2230</v>
      </c>
      <c r="J3481" s="53">
        <f t="shared" si="1771"/>
        <v>33000</v>
      </c>
      <c r="K3481" s="63">
        <f t="shared" si="1772"/>
        <v>0.2391304347826087</v>
      </c>
      <c r="L3481" s="871" t="s">
        <v>2603</v>
      </c>
      <c r="M3481" s="468" t="s">
        <v>1394</v>
      </c>
      <c r="N3481" s="664">
        <f t="shared" si="1773"/>
        <v>201030</v>
      </c>
      <c r="O3481" s="71" t="s">
        <v>145</v>
      </c>
      <c r="P3481" s="164" t="str">
        <f t="shared" si="1774"/>
        <v>THR200(20L)</v>
      </c>
      <c r="Q3481" s="71">
        <f t="shared" si="1775"/>
        <v>3</v>
      </c>
      <c r="R3481" s="102">
        <v>35000</v>
      </c>
      <c r="S3481" s="102">
        <f t="shared" si="1776"/>
        <v>115500.00000000001</v>
      </c>
      <c r="T3481" s="102">
        <f t="shared" si="1777"/>
        <v>105000</v>
      </c>
      <c r="U3481" s="71" t="str">
        <f>IF(J3481=W3481,"O", "X")</f>
        <v>X</v>
      </c>
      <c r="V3481" s="71"/>
      <c r="W3481" s="474"/>
      <c r="X3481" s="71"/>
      <c r="Y3481" s="71"/>
    </row>
    <row r="3482" spans="1:25" ht="30" hidden="1" customHeight="1" x14ac:dyDescent="0.25">
      <c r="A3482" s="82">
        <v>201030</v>
      </c>
      <c r="B3482" s="664" t="s">
        <v>690</v>
      </c>
      <c r="C3482" s="71" t="s">
        <v>752</v>
      </c>
      <c r="D3482" s="71">
        <v>1</v>
      </c>
      <c r="E3482" s="102">
        <v>79000</v>
      </c>
      <c r="F3482" s="102">
        <f t="shared" si="1778"/>
        <v>86900</v>
      </c>
      <c r="G3482" s="102">
        <f t="shared" si="1779"/>
        <v>79000</v>
      </c>
      <c r="H3482" s="690" t="s">
        <v>173</v>
      </c>
      <c r="I3482" s="71" t="s">
        <v>2230</v>
      </c>
      <c r="J3482" s="53">
        <f>(G3482-(VLOOKUP(C3482,Price!B:D,3,FALSE)*D3482))</f>
        <v>14000</v>
      </c>
      <c r="K3482" s="63">
        <f t="shared" si="1772"/>
        <v>0.17721518987341772</v>
      </c>
      <c r="L3482" s="871" t="s">
        <v>2603</v>
      </c>
      <c r="M3482" s="468"/>
      <c r="N3482" s="664">
        <f t="shared" si="1773"/>
        <v>201030</v>
      </c>
      <c r="O3482" s="71" t="s">
        <v>145</v>
      </c>
      <c r="P3482" s="164" t="str">
        <f t="shared" si="1774"/>
        <v>RC795(20L)</v>
      </c>
      <c r="Q3482" s="71">
        <f t="shared" si="1775"/>
        <v>1</v>
      </c>
      <c r="R3482" s="102">
        <v>65000</v>
      </c>
      <c r="S3482" s="102">
        <f t="shared" si="1776"/>
        <v>71500</v>
      </c>
      <c r="T3482" s="102">
        <f t="shared" si="1777"/>
        <v>65000</v>
      </c>
      <c r="U3482" s="71" t="str">
        <f>IF(J3482=W3482,"O", "X")</f>
        <v>O</v>
      </c>
      <c r="V3482" s="71"/>
      <c r="W3482" s="474">
        <f>(G3482-T3482)</f>
        <v>14000</v>
      </c>
      <c r="X3482" s="71"/>
      <c r="Y3482" s="71"/>
    </row>
    <row r="3483" spans="1:25" s="209" customFormat="1" ht="30" hidden="1" customHeight="1" x14ac:dyDescent="0.25">
      <c r="A3483" s="82">
        <v>201102</v>
      </c>
      <c r="B3483" s="664" t="s">
        <v>764</v>
      </c>
      <c r="C3483" s="71" t="s">
        <v>236</v>
      </c>
      <c r="D3483" s="71">
        <v>10</v>
      </c>
      <c r="E3483" s="102">
        <v>100000</v>
      </c>
      <c r="F3483" s="102">
        <f t="shared" si="1778"/>
        <v>1100000</v>
      </c>
      <c r="G3483" s="102">
        <f t="shared" si="1779"/>
        <v>1000000</v>
      </c>
      <c r="H3483" s="690" t="s">
        <v>173</v>
      </c>
      <c r="I3483" s="71" t="s">
        <v>2231</v>
      </c>
      <c r="J3483" s="53">
        <f>G3483-T3483</f>
        <v>500000</v>
      </c>
      <c r="K3483" s="63">
        <f t="shared" si="1772"/>
        <v>0.5</v>
      </c>
      <c r="L3483" s="871" t="s">
        <v>2603</v>
      </c>
      <c r="M3483" s="468"/>
      <c r="N3483" s="664">
        <f t="shared" si="1773"/>
        <v>201102</v>
      </c>
      <c r="O3483" s="71" t="s">
        <v>153</v>
      </c>
      <c r="P3483" s="164" t="str">
        <f t="shared" si="1774"/>
        <v>아스테이지(국전)</v>
      </c>
      <c r="Q3483" s="71">
        <f t="shared" si="1775"/>
        <v>10</v>
      </c>
      <c r="R3483" s="102">
        <v>50000</v>
      </c>
      <c r="S3483" s="102">
        <f t="shared" si="1776"/>
        <v>550000</v>
      </c>
      <c r="T3483" s="102">
        <f t="shared" si="1777"/>
        <v>500000</v>
      </c>
      <c r="U3483" s="71" t="str">
        <f>IF(J3483=W3483,"O", "X")</f>
        <v>O</v>
      </c>
      <c r="V3483" s="71"/>
      <c r="W3483" s="474">
        <v>500000</v>
      </c>
      <c r="X3483" s="71"/>
      <c r="Y3483" s="71"/>
    </row>
    <row r="3484" spans="1:25" ht="30" hidden="1" customHeight="1" x14ac:dyDescent="0.25">
      <c r="A3484" s="82">
        <v>201103</v>
      </c>
      <c r="B3484" s="664" t="s">
        <v>1014</v>
      </c>
      <c r="C3484" s="71" t="s">
        <v>123</v>
      </c>
      <c r="D3484" s="71">
        <v>20</v>
      </c>
      <c r="E3484" s="102">
        <v>45000</v>
      </c>
      <c r="F3484" s="102">
        <f t="shared" si="1778"/>
        <v>990000.00000000012</v>
      </c>
      <c r="G3484" s="102">
        <f t="shared" si="1779"/>
        <v>900000</v>
      </c>
      <c r="H3484" s="690" t="s">
        <v>1432</v>
      </c>
      <c r="I3484" s="690" t="s">
        <v>1432</v>
      </c>
      <c r="J3484" s="53">
        <f>G3484-T3484</f>
        <v>438940</v>
      </c>
      <c r="K3484" s="63">
        <f t="shared" si="1772"/>
        <v>0.48771111111111104</v>
      </c>
      <c r="L3484" s="871" t="s">
        <v>2603</v>
      </c>
      <c r="M3484" s="468"/>
      <c r="N3484" s="664">
        <f t="shared" si="1773"/>
        <v>201103</v>
      </c>
      <c r="O3484" s="71"/>
      <c r="P3484" s="164" t="str">
        <f t="shared" si="1774"/>
        <v>필터백</v>
      </c>
      <c r="Q3484" s="71">
        <f t="shared" si="1775"/>
        <v>20</v>
      </c>
      <c r="R3484" s="102">
        <v>23053</v>
      </c>
      <c r="S3484" s="102">
        <f t="shared" si="1776"/>
        <v>507166.00000000006</v>
      </c>
      <c r="T3484" s="102">
        <f t="shared" si="1777"/>
        <v>461060</v>
      </c>
      <c r="U3484" s="71"/>
      <c r="V3484" s="71"/>
      <c r="W3484" s="474"/>
      <c r="X3484" s="71"/>
      <c r="Y3484" s="71"/>
    </row>
    <row r="3485" spans="1:25" ht="27.6" hidden="1" customHeight="1" x14ac:dyDescent="0.25">
      <c r="A3485" s="82">
        <v>201104</v>
      </c>
      <c r="B3485" s="664" t="s">
        <v>567</v>
      </c>
      <c r="C3485" s="71" t="s">
        <v>1652</v>
      </c>
      <c r="D3485" s="71">
        <v>5</v>
      </c>
      <c r="E3485" s="102">
        <v>45000</v>
      </c>
      <c r="F3485" s="102">
        <f t="shared" si="1778"/>
        <v>247500.00000000003</v>
      </c>
      <c r="G3485" s="102">
        <f t="shared" si="1779"/>
        <v>225000</v>
      </c>
      <c r="H3485" s="690" t="s">
        <v>173</v>
      </c>
      <c r="I3485" s="71" t="s">
        <v>2231</v>
      </c>
      <c r="J3485" s="53">
        <f>G3485-T3485</f>
        <v>25000</v>
      </c>
      <c r="K3485" s="63">
        <f t="shared" si="1772"/>
        <v>0.11111111111111109</v>
      </c>
      <c r="L3485" s="871" t="s">
        <v>2603</v>
      </c>
      <c r="M3485" s="468"/>
      <c r="N3485" s="664">
        <f t="shared" si="1773"/>
        <v>201104</v>
      </c>
      <c r="O3485" s="71" t="s">
        <v>153</v>
      </c>
      <c r="P3485" s="164" t="str">
        <f t="shared" si="1774"/>
        <v>아스테이지(CD74용)</v>
      </c>
      <c r="Q3485" s="71">
        <f t="shared" si="1775"/>
        <v>5</v>
      </c>
      <c r="R3485" s="102">
        <v>40000</v>
      </c>
      <c r="S3485" s="102">
        <f t="shared" si="1776"/>
        <v>220000.00000000003</v>
      </c>
      <c r="T3485" s="102">
        <f t="shared" si="1777"/>
        <v>200000</v>
      </c>
      <c r="U3485" s="71" t="str">
        <f t="shared" ref="U3485:U3491" si="1780">IF(J3485=W3485,"O", "X")</f>
        <v>X</v>
      </c>
      <c r="V3485" s="71"/>
      <c r="W3485" s="474"/>
      <c r="X3485" s="71"/>
      <c r="Y3485" s="71"/>
    </row>
    <row r="3486" spans="1:25" ht="30" hidden="1" customHeight="1" x14ac:dyDescent="0.25">
      <c r="A3486" s="82">
        <v>201104</v>
      </c>
      <c r="B3486" s="664" t="s">
        <v>545</v>
      </c>
      <c r="C3486" s="71" t="s">
        <v>952</v>
      </c>
      <c r="D3486" s="71">
        <v>1</v>
      </c>
      <c r="E3486" s="102">
        <v>630000</v>
      </c>
      <c r="F3486" s="102">
        <f t="shared" si="1778"/>
        <v>693000</v>
      </c>
      <c r="G3486" s="102">
        <f t="shared" si="1779"/>
        <v>630000</v>
      </c>
      <c r="H3486" s="690" t="s">
        <v>173</v>
      </c>
      <c r="I3486" s="71" t="s">
        <v>108</v>
      </c>
      <c r="J3486" s="53">
        <f>G3486-T3486</f>
        <v>190000</v>
      </c>
      <c r="K3486" s="63">
        <f t="shared" ref="K3486:K3491" si="1781">(J3486/(F3486/11*10))</f>
        <v>0.30158730158730157</v>
      </c>
      <c r="L3486" s="871" t="s">
        <v>2603</v>
      </c>
      <c r="M3486" s="468"/>
      <c r="N3486" s="664">
        <f t="shared" si="1773"/>
        <v>201104</v>
      </c>
      <c r="O3486" s="71" t="s">
        <v>599</v>
      </c>
      <c r="P3486" s="164" t="str">
        <f t="shared" si="1774"/>
        <v>점보롤 세정포</v>
      </c>
      <c r="Q3486" s="71">
        <f t="shared" si="1775"/>
        <v>1</v>
      </c>
      <c r="R3486" s="102">
        <v>440000</v>
      </c>
      <c r="S3486" s="102">
        <f t="shared" si="1776"/>
        <v>484000.00000000006</v>
      </c>
      <c r="T3486" s="102">
        <f t="shared" si="1777"/>
        <v>440000</v>
      </c>
      <c r="U3486" s="71" t="str">
        <f t="shared" si="1780"/>
        <v>O</v>
      </c>
      <c r="V3486" s="71" t="s">
        <v>1228</v>
      </c>
      <c r="W3486" s="474">
        <f>(G3486-T3486)</f>
        <v>190000</v>
      </c>
      <c r="X3486" s="71"/>
      <c r="Y3486" s="71"/>
    </row>
    <row r="3487" spans="1:25" ht="30" hidden="1" customHeight="1" x14ac:dyDescent="0.25">
      <c r="A3487" s="82">
        <v>201104</v>
      </c>
      <c r="B3487" s="664" t="s">
        <v>545</v>
      </c>
      <c r="C3487" s="71" t="s">
        <v>2728</v>
      </c>
      <c r="D3487" s="71">
        <v>1</v>
      </c>
      <c r="E3487" s="102">
        <v>610000</v>
      </c>
      <c r="F3487" s="102">
        <f t="shared" si="1778"/>
        <v>671000</v>
      </c>
      <c r="G3487" s="102">
        <f t="shared" si="1779"/>
        <v>610000</v>
      </c>
      <c r="H3487" s="690" t="s">
        <v>173</v>
      </c>
      <c r="I3487" s="71" t="s">
        <v>2184</v>
      </c>
      <c r="J3487" s="53">
        <f>G3487-T3487</f>
        <v>268940</v>
      </c>
      <c r="K3487" s="63">
        <f t="shared" si="1781"/>
        <v>0.44088524590163936</v>
      </c>
      <c r="L3487" s="871" t="s">
        <v>2603</v>
      </c>
      <c r="M3487" s="468"/>
      <c r="N3487" s="664">
        <f t="shared" si="1773"/>
        <v>201104</v>
      </c>
      <c r="O3487" s="71" t="s">
        <v>2179</v>
      </c>
      <c r="P3487" s="164" t="str">
        <f t="shared" si="1774"/>
        <v>UV 램프 - 전선타입(Primarc)</v>
      </c>
      <c r="Q3487" s="71">
        <f t="shared" si="1775"/>
        <v>1</v>
      </c>
      <c r="R3487" s="102">
        <f>1023180/3</f>
        <v>341060</v>
      </c>
      <c r="S3487" s="102">
        <f t="shared" si="1776"/>
        <v>375166.00000000006</v>
      </c>
      <c r="T3487" s="102">
        <f t="shared" si="1777"/>
        <v>341060</v>
      </c>
      <c r="U3487" s="71" t="str">
        <f t="shared" si="1780"/>
        <v>X</v>
      </c>
      <c r="V3487" s="71"/>
      <c r="W3487" s="474"/>
      <c r="X3487" s="71"/>
      <c r="Y3487" s="71"/>
    </row>
    <row r="3488" spans="1:25" ht="30" hidden="1" customHeight="1" x14ac:dyDescent="0.25">
      <c r="A3488" s="82">
        <v>201104</v>
      </c>
      <c r="B3488" s="664" t="s">
        <v>442</v>
      </c>
      <c r="C3488" s="71" t="s">
        <v>206</v>
      </c>
      <c r="D3488" s="71">
        <v>2</v>
      </c>
      <c r="E3488" s="102">
        <v>327000</v>
      </c>
      <c r="F3488" s="102">
        <f t="shared" si="1778"/>
        <v>719400</v>
      </c>
      <c r="G3488" s="102">
        <f t="shared" si="1779"/>
        <v>654000</v>
      </c>
      <c r="H3488" s="690" t="s">
        <v>2029</v>
      </c>
      <c r="I3488" s="71" t="s">
        <v>195</v>
      </c>
      <c r="J3488" s="53">
        <f>(G3488-(VLOOKUP(C3488,[5]Price!B$1:D$65536,3,FALSE)*D3488))</f>
        <v>115800</v>
      </c>
      <c r="K3488" s="63">
        <f t="shared" si="1781"/>
        <v>0.17706422018348625</v>
      </c>
      <c r="L3488" s="871" t="s">
        <v>2603</v>
      </c>
      <c r="M3488" s="468"/>
      <c r="N3488" s="664">
        <f t="shared" si="1773"/>
        <v>201104</v>
      </c>
      <c r="O3488" s="71" t="s">
        <v>194</v>
      </c>
      <c r="P3488" s="164" t="str">
        <f t="shared" si="1774"/>
        <v>Agfa Film(24inch)</v>
      </c>
      <c r="Q3488" s="71">
        <f t="shared" si="1775"/>
        <v>2</v>
      </c>
      <c r="R3488" s="102">
        <v>269100</v>
      </c>
      <c r="S3488" s="102">
        <f t="shared" si="1776"/>
        <v>592020</v>
      </c>
      <c r="T3488" s="102">
        <f t="shared" si="1777"/>
        <v>538200</v>
      </c>
      <c r="U3488" s="71" t="str">
        <f t="shared" si="1780"/>
        <v>O</v>
      </c>
      <c r="V3488" s="71"/>
      <c r="W3488" s="474">
        <f>(G3488-T3488)</f>
        <v>115800</v>
      </c>
      <c r="X3488" s="71"/>
      <c r="Y3488" s="71"/>
    </row>
    <row r="3489" spans="1:25" ht="30" hidden="1" customHeight="1" x14ac:dyDescent="0.25">
      <c r="A3489" s="82">
        <v>201104</v>
      </c>
      <c r="B3489" s="664" t="s">
        <v>442</v>
      </c>
      <c r="C3489" s="71" t="s">
        <v>207</v>
      </c>
      <c r="D3489" s="71">
        <v>2</v>
      </c>
      <c r="E3489" s="102">
        <v>401000</v>
      </c>
      <c r="F3489" s="102">
        <f t="shared" si="1778"/>
        <v>882200.00000000012</v>
      </c>
      <c r="G3489" s="102">
        <f t="shared" si="1779"/>
        <v>802000</v>
      </c>
      <c r="H3489" s="690" t="s">
        <v>2029</v>
      </c>
      <c r="I3489" s="71" t="s">
        <v>195</v>
      </c>
      <c r="J3489" s="53">
        <f>(G3489-(VLOOKUP(C3489,[5]Price!B$1:D$65536,3,FALSE)*D3489))</f>
        <v>174080</v>
      </c>
      <c r="K3489" s="63">
        <f t="shared" si="1781"/>
        <v>0.21705735660847877</v>
      </c>
      <c r="L3489" s="871" t="s">
        <v>2603</v>
      </c>
      <c r="M3489" s="468"/>
      <c r="N3489" s="664">
        <f t="shared" si="1773"/>
        <v>201104</v>
      </c>
      <c r="O3489" s="71" t="s">
        <v>194</v>
      </c>
      <c r="P3489" s="164" t="str">
        <f t="shared" si="1774"/>
        <v>Agfa Film(28inch)</v>
      </c>
      <c r="Q3489" s="71">
        <f t="shared" si="1775"/>
        <v>2</v>
      </c>
      <c r="R3489" s="102">
        <f>VLOOKUP(P3489,[5]Price!B$1:D$65536,3,FALSE)</f>
        <v>313960</v>
      </c>
      <c r="S3489" s="102">
        <f t="shared" si="1776"/>
        <v>690712</v>
      </c>
      <c r="T3489" s="102">
        <f t="shared" si="1777"/>
        <v>627920</v>
      </c>
      <c r="U3489" s="71" t="str">
        <f t="shared" si="1780"/>
        <v>O</v>
      </c>
      <c r="V3489" s="71"/>
      <c r="W3489" s="474">
        <f>(G3489-T3489)</f>
        <v>174080</v>
      </c>
      <c r="X3489" s="71"/>
      <c r="Y3489" s="71"/>
    </row>
    <row r="3490" spans="1:25" ht="30" hidden="1" customHeight="1" x14ac:dyDescent="0.25">
      <c r="A3490" s="82">
        <v>201104</v>
      </c>
      <c r="B3490" s="664" t="s">
        <v>442</v>
      </c>
      <c r="C3490" s="71" t="s">
        <v>208</v>
      </c>
      <c r="D3490" s="71">
        <v>2</v>
      </c>
      <c r="E3490" s="102">
        <v>448000</v>
      </c>
      <c r="F3490" s="102">
        <f t="shared" si="1778"/>
        <v>985600.00000000012</v>
      </c>
      <c r="G3490" s="102">
        <f t="shared" si="1779"/>
        <v>896000</v>
      </c>
      <c r="H3490" s="690" t="s">
        <v>2029</v>
      </c>
      <c r="I3490" s="71" t="s">
        <v>195</v>
      </c>
      <c r="J3490" s="53">
        <f>(G3490-(VLOOKUP(C3490,[5]Price!B$1:D$65536,3,FALSE)*D3490))</f>
        <v>155980</v>
      </c>
      <c r="K3490" s="63">
        <f t="shared" si="1781"/>
        <v>0.1740848214285714</v>
      </c>
      <c r="L3490" s="871" t="s">
        <v>2603</v>
      </c>
      <c r="M3490" s="468"/>
      <c r="N3490" s="664">
        <f t="shared" si="1773"/>
        <v>201104</v>
      </c>
      <c r="O3490" s="71" t="s">
        <v>194</v>
      </c>
      <c r="P3490" s="164" t="str">
        <f t="shared" si="1774"/>
        <v>Agfa Film(32inch)</v>
      </c>
      <c r="Q3490" s="71">
        <f t="shared" si="1775"/>
        <v>2</v>
      </c>
      <c r="R3490" s="102">
        <f>VLOOKUP(P3490,[5]Price!B$1:D$65536,3,FALSE)</f>
        <v>370010</v>
      </c>
      <c r="S3490" s="102">
        <f t="shared" si="1776"/>
        <v>814022.00000000012</v>
      </c>
      <c r="T3490" s="102">
        <f t="shared" si="1777"/>
        <v>740020</v>
      </c>
      <c r="U3490" s="71" t="str">
        <f t="shared" si="1780"/>
        <v>O</v>
      </c>
      <c r="V3490" s="71"/>
      <c r="W3490" s="474">
        <f>(G3490-T3490)</f>
        <v>155980</v>
      </c>
      <c r="X3490" s="71"/>
      <c r="Y3490" s="71"/>
    </row>
    <row r="3491" spans="1:25" ht="30" hidden="1" customHeight="1" x14ac:dyDescent="0.2">
      <c r="A3491" s="82">
        <v>201104</v>
      </c>
      <c r="B3491" s="664" t="s">
        <v>442</v>
      </c>
      <c r="C3491" s="71" t="s">
        <v>650</v>
      </c>
      <c r="D3491" s="71">
        <v>1</v>
      </c>
      <c r="E3491" s="102">
        <v>93000</v>
      </c>
      <c r="F3491" s="102">
        <f t="shared" si="1778"/>
        <v>102300.00000000001</v>
      </c>
      <c r="G3491" s="102">
        <f t="shared" si="1779"/>
        <v>93000</v>
      </c>
      <c r="H3491" s="165" t="s">
        <v>172</v>
      </c>
      <c r="I3491" s="71" t="s">
        <v>141</v>
      </c>
      <c r="J3491" s="53">
        <f>(G3491-(VLOOKUP(C3491,Price!B:D,3,FALSE)*D3491))</f>
        <v>33000</v>
      </c>
      <c r="K3491" s="63">
        <f t="shared" si="1781"/>
        <v>0.35483870967741932</v>
      </c>
      <c r="L3491" s="871" t="s">
        <v>2603</v>
      </c>
      <c r="M3491" s="468"/>
      <c r="N3491" s="664">
        <f t="shared" si="1773"/>
        <v>201104</v>
      </c>
      <c r="O3491" s="71" t="s">
        <v>145</v>
      </c>
      <c r="P3491" s="164" t="str">
        <f t="shared" si="1774"/>
        <v>Agfa 정착액 G333C(20L)</v>
      </c>
      <c r="Q3491" s="71">
        <f t="shared" si="1775"/>
        <v>1</v>
      </c>
      <c r="R3491" s="102">
        <f>VLOOKUP(P3491,Price!B:D,3,FALSE)</f>
        <v>60000</v>
      </c>
      <c r="S3491" s="102">
        <f t="shared" si="1776"/>
        <v>66000</v>
      </c>
      <c r="T3491" s="102">
        <f t="shared" si="1777"/>
        <v>60000</v>
      </c>
      <c r="U3491" s="71" t="str">
        <f t="shared" si="1780"/>
        <v>O</v>
      </c>
      <c r="V3491" s="71"/>
      <c r="W3491" s="474">
        <f>(G3491-T3491)</f>
        <v>33000</v>
      </c>
      <c r="X3491" s="71"/>
      <c r="Y3491" s="71"/>
    </row>
    <row r="3492" spans="1:25" ht="30" hidden="1" customHeight="1" x14ac:dyDescent="0.2">
      <c r="A3492" s="82">
        <v>201104</v>
      </c>
      <c r="B3492" s="664" t="s">
        <v>1220</v>
      </c>
      <c r="C3492" s="71" t="s">
        <v>2606</v>
      </c>
      <c r="D3492" s="71">
        <v>48</v>
      </c>
      <c r="E3492" s="102">
        <v>13250</v>
      </c>
      <c r="F3492" s="102">
        <f t="shared" si="1778"/>
        <v>699600</v>
      </c>
      <c r="G3492" s="102">
        <f t="shared" si="1779"/>
        <v>636000</v>
      </c>
      <c r="H3492" s="165" t="s">
        <v>1431</v>
      </c>
      <c r="I3492" s="165" t="s">
        <v>1431</v>
      </c>
      <c r="J3492" s="53">
        <f t="shared" ref="J3492:J3498" si="1782">G3492-T3492</f>
        <v>300000</v>
      </c>
      <c r="K3492" s="63">
        <f>(J3492/(F3492/11*10))</f>
        <v>0.47169811320754718</v>
      </c>
      <c r="L3492" s="871" t="s">
        <v>2603</v>
      </c>
      <c r="M3492" s="468"/>
      <c r="N3492" s="664">
        <f t="shared" si="1773"/>
        <v>201104</v>
      </c>
      <c r="O3492" s="71" t="s">
        <v>1431</v>
      </c>
      <c r="P3492" s="164" t="str">
        <f t="shared" si="1774"/>
        <v>Pressure Spring</v>
      </c>
      <c r="Q3492" s="71">
        <f t="shared" si="1775"/>
        <v>48</v>
      </c>
      <c r="R3492" s="102">
        <v>7000</v>
      </c>
      <c r="S3492" s="102">
        <f t="shared" si="1776"/>
        <v>369600.00000000006</v>
      </c>
      <c r="T3492" s="102">
        <f t="shared" si="1777"/>
        <v>336000</v>
      </c>
      <c r="U3492" s="71"/>
      <c r="V3492" s="71"/>
      <c r="W3492" s="474"/>
      <c r="X3492" s="71"/>
      <c r="Y3492" s="71"/>
    </row>
    <row r="3493" spans="1:25" ht="30" hidden="1" customHeight="1" x14ac:dyDescent="0.2">
      <c r="A3493" s="82">
        <v>201105</v>
      </c>
      <c r="B3493" s="664" t="s">
        <v>2353</v>
      </c>
      <c r="C3493" s="71" t="s">
        <v>129</v>
      </c>
      <c r="D3493" s="71">
        <v>7</v>
      </c>
      <c r="E3493" s="102">
        <v>272000</v>
      </c>
      <c r="F3493" s="102">
        <f t="shared" si="1778"/>
        <v>2094400.0000000002</v>
      </c>
      <c r="G3493" s="102">
        <f t="shared" si="1779"/>
        <v>1904000</v>
      </c>
      <c r="H3493" s="165" t="s">
        <v>142</v>
      </c>
      <c r="I3493" s="71" t="s">
        <v>142</v>
      </c>
      <c r="J3493" s="53">
        <f t="shared" si="1782"/>
        <v>414400</v>
      </c>
      <c r="K3493" s="63">
        <f t="shared" ref="K3493:K3499" si="1783">(J3493/(F3493/11*10))</f>
        <v>0.21764705882352939</v>
      </c>
      <c r="L3493" s="871" t="s">
        <v>2603</v>
      </c>
      <c r="M3493" s="468" t="s">
        <v>2050</v>
      </c>
      <c r="N3493" s="664">
        <f t="shared" si="1773"/>
        <v>201105</v>
      </c>
      <c r="O3493" s="71" t="s">
        <v>149</v>
      </c>
      <c r="P3493" s="164" t="str">
        <f t="shared" si="1774"/>
        <v>세정포-XL106</v>
      </c>
      <c r="Q3493" s="71">
        <f t="shared" si="1775"/>
        <v>7</v>
      </c>
      <c r="R3493" s="102">
        <v>212800</v>
      </c>
      <c r="S3493" s="102">
        <f t="shared" si="1776"/>
        <v>1638560.0000000002</v>
      </c>
      <c r="T3493" s="102">
        <f t="shared" si="1777"/>
        <v>1489600</v>
      </c>
      <c r="U3493" s="71" t="str">
        <f t="shared" ref="U3493:U3508" si="1784">IF(J3493=W3493,"O", "X")</f>
        <v>O</v>
      </c>
      <c r="V3493" s="71"/>
      <c r="W3493" s="474">
        <f>(G3493-T3493)</f>
        <v>414400</v>
      </c>
      <c r="X3493" s="71"/>
      <c r="Y3493" s="71"/>
    </row>
    <row r="3494" spans="1:25" ht="30" hidden="1" customHeight="1" x14ac:dyDescent="0.2">
      <c r="A3494" s="82">
        <v>201105</v>
      </c>
      <c r="B3494" s="664" t="s">
        <v>2353</v>
      </c>
      <c r="C3494" s="71" t="s">
        <v>584</v>
      </c>
      <c r="D3494" s="71">
        <v>4</v>
      </c>
      <c r="E3494" s="102">
        <v>270000</v>
      </c>
      <c r="F3494" s="102">
        <f t="shared" si="1778"/>
        <v>1188000</v>
      </c>
      <c r="G3494" s="102">
        <f t="shared" si="1779"/>
        <v>1080000</v>
      </c>
      <c r="H3494" s="165" t="s">
        <v>142</v>
      </c>
      <c r="I3494" s="71" t="s">
        <v>142</v>
      </c>
      <c r="J3494" s="53">
        <f t="shared" si="1782"/>
        <v>216000</v>
      </c>
      <c r="K3494" s="63">
        <f t="shared" si="1783"/>
        <v>0.2</v>
      </c>
      <c r="L3494" s="871" t="s">
        <v>2603</v>
      </c>
      <c r="M3494" s="468"/>
      <c r="N3494" s="664">
        <f t="shared" si="1773"/>
        <v>201105</v>
      </c>
      <c r="O3494" s="71" t="s">
        <v>150</v>
      </c>
      <c r="P3494" s="164" t="str">
        <f t="shared" si="1774"/>
        <v>데리바리 석션벨트</v>
      </c>
      <c r="Q3494" s="71">
        <f t="shared" si="1775"/>
        <v>4</v>
      </c>
      <c r="R3494" s="102">
        <v>216000</v>
      </c>
      <c r="S3494" s="102">
        <f t="shared" si="1776"/>
        <v>950400.00000000012</v>
      </c>
      <c r="T3494" s="102">
        <f t="shared" si="1777"/>
        <v>864000</v>
      </c>
      <c r="U3494" s="71" t="str">
        <f t="shared" si="1784"/>
        <v>O</v>
      </c>
      <c r="V3494" s="71"/>
      <c r="W3494" s="474">
        <f>(G3494-T3494)</f>
        <v>216000</v>
      </c>
      <c r="X3494" s="71"/>
      <c r="Y3494" s="71"/>
    </row>
    <row r="3495" spans="1:25" ht="30" hidden="1" customHeight="1" x14ac:dyDescent="0.25">
      <c r="A3495" s="82">
        <v>201105</v>
      </c>
      <c r="B3495" s="664" t="s">
        <v>2353</v>
      </c>
      <c r="C3495" s="71" t="s">
        <v>2031</v>
      </c>
      <c r="D3495" s="71">
        <v>3</v>
      </c>
      <c r="E3495" s="102">
        <v>35000</v>
      </c>
      <c r="F3495" s="102">
        <f t="shared" si="1778"/>
        <v>115500.00000000001</v>
      </c>
      <c r="G3495" s="102">
        <f t="shared" si="1779"/>
        <v>105000</v>
      </c>
      <c r="H3495" s="690" t="s">
        <v>142</v>
      </c>
      <c r="I3495" s="71" t="s">
        <v>142</v>
      </c>
      <c r="J3495" s="53">
        <f t="shared" si="1782"/>
        <v>33000</v>
      </c>
      <c r="K3495" s="63">
        <f t="shared" si="1783"/>
        <v>0.31428571428571422</v>
      </c>
      <c r="L3495" s="871" t="s">
        <v>2603</v>
      </c>
      <c r="M3495" s="468" t="s">
        <v>2054</v>
      </c>
      <c r="N3495" s="664">
        <f t="shared" si="1773"/>
        <v>201105</v>
      </c>
      <c r="O3495" s="71" t="s">
        <v>94</v>
      </c>
      <c r="P3495" s="164" t="str">
        <f t="shared" si="1774"/>
        <v>필터백</v>
      </c>
      <c r="Q3495" s="71">
        <f t="shared" si="1775"/>
        <v>3</v>
      </c>
      <c r="R3495" s="102">
        <v>24000</v>
      </c>
      <c r="S3495" s="102">
        <f t="shared" si="1776"/>
        <v>79200</v>
      </c>
      <c r="T3495" s="102">
        <f t="shared" si="1777"/>
        <v>72000</v>
      </c>
      <c r="U3495" s="71" t="str">
        <f t="shared" si="1784"/>
        <v>X</v>
      </c>
      <c r="V3495" s="71"/>
      <c r="W3495" s="474"/>
      <c r="X3495" s="71"/>
      <c r="Y3495" s="71"/>
    </row>
    <row r="3496" spans="1:25" ht="30" hidden="1" customHeight="1" x14ac:dyDescent="0.25">
      <c r="A3496" s="82">
        <v>201105</v>
      </c>
      <c r="B3496" s="664" t="s">
        <v>2353</v>
      </c>
      <c r="C3496" s="71" t="s">
        <v>2408</v>
      </c>
      <c r="D3496" s="71">
        <v>2</v>
      </c>
      <c r="E3496" s="102">
        <v>248600</v>
      </c>
      <c r="F3496" s="102">
        <f t="shared" si="1778"/>
        <v>546920</v>
      </c>
      <c r="G3496" s="102">
        <f t="shared" si="1779"/>
        <v>497200</v>
      </c>
      <c r="H3496" s="690" t="s">
        <v>142</v>
      </c>
      <c r="I3496" s="71" t="s">
        <v>142</v>
      </c>
      <c r="J3496" s="53">
        <f t="shared" si="1782"/>
        <v>97200</v>
      </c>
      <c r="K3496" s="63">
        <f t="shared" si="1783"/>
        <v>0.19549477071600965</v>
      </c>
      <c r="L3496" s="871" t="s">
        <v>2603</v>
      </c>
      <c r="M3496" s="468"/>
      <c r="N3496" s="664">
        <f t="shared" si="1773"/>
        <v>201105</v>
      </c>
      <c r="O3496" s="71" t="s">
        <v>150</v>
      </c>
      <c r="P3496" s="164" t="str">
        <f t="shared" si="1774"/>
        <v>판걸이 실린더 안쪽</v>
      </c>
      <c r="Q3496" s="71">
        <f t="shared" si="1775"/>
        <v>2</v>
      </c>
      <c r="R3496" s="102">
        <v>200000</v>
      </c>
      <c r="S3496" s="102">
        <f t="shared" si="1776"/>
        <v>440000.00000000006</v>
      </c>
      <c r="T3496" s="102">
        <f t="shared" si="1777"/>
        <v>400000</v>
      </c>
      <c r="U3496" s="71" t="str">
        <f t="shared" si="1784"/>
        <v>X</v>
      </c>
      <c r="V3496" s="71"/>
      <c r="W3496" s="474"/>
      <c r="X3496" s="71"/>
      <c r="Y3496" s="71"/>
    </row>
    <row r="3497" spans="1:25" ht="30" hidden="1" customHeight="1" x14ac:dyDescent="0.25">
      <c r="A3497" s="82">
        <v>201105</v>
      </c>
      <c r="B3497" s="664" t="s">
        <v>2353</v>
      </c>
      <c r="C3497" s="71" t="s">
        <v>2409</v>
      </c>
      <c r="D3497" s="71">
        <v>2</v>
      </c>
      <c r="E3497" s="102">
        <v>178200</v>
      </c>
      <c r="F3497" s="102">
        <f t="shared" si="1778"/>
        <v>392040.00000000006</v>
      </c>
      <c r="G3497" s="102">
        <f t="shared" si="1779"/>
        <v>356400</v>
      </c>
      <c r="H3497" s="690" t="s">
        <v>142</v>
      </c>
      <c r="I3497" s="71" t="s">
        <v>142</v>
      </c>
      <c r="J3497" s="53">
        <f t="shared" si="1782"/>
        <v>56400</v>
      </c>
      <c r="K3497" s="63">
        <f t="shared" si="1783"/>
        <v>0.15824915824915822</v>
      </c>
      <c r="L3497" s="871" t="s">
        <v>2603</v>
      </c>
      <c r="M3497" s="468"/>
      <c r="N3497" s="664">
        <f t="shared" si="1773"/>
        <v>201105</v>
      </c>
      <c r="O3497" s="71" t="s">
        <v>150</v>
      </c>
      <c r="P3497" s="164" t="str">
        <f t="shared" si="1774"/>
        <v>판걸이 실린더 바깥쪽</v>
      </c>
      <c r="Q3497" s="71">
        <f t="shared" si="1775"/>
        <v>2</v>
      </c>
      <c r="R3497" s="102">
        <v>150000</v>
      </c>
      <c r="S3497" s="102">
        <f t="shared" si="1776"/>
        <v>330000</v>
      </c>
      <c r="T3497" s="102">
        <f t="shared" si="1777"/>
        <v>300000</v>
      </c>
      <c r="U3497" s="71" t="str">
        <f t="shared" si="1784"/>
        <v>X</v>
      </c>
      <c r="V3497" s="71"/>
      <c r="W3497" s="474"/>
      <c r="X3497" s="71"/>
      <c r="Y3497" s="71"/>
    </row>
    <row r="3498" spans="1:25" ht="30" customHeight="1" x14ac:dyDescent="0.25">
      <c r="A3498" s="82">
        <v>201105</v>
      </c>
      <c r="B3498" s="664" t="s">
        <v>2352</v>
      </c>
      <c r="C3498" s="760" t="s">
        <v>218</v>
      </c>
      <c r="D3498" s="71">
        <v>5</v>
      </c>
      <c r="E3498" s="102">
        <v>235000</v>
      </c>
      <c r="F3498" s="102">
        <f t="shared" si="1778"/>
        <v>1292500</v>
      </c>
      <c r="G3498" s="102">
        <f t="shared" si="1779"/>
        <v>1175000</v>
      </c>
      <c r="H3498" s="690" t="s">
        <v>142</v>
      </c>
      <c r="I3498" s="71" t="s">
        <v>142</v>
      </c>
      <c r="J3498" s="53">
        <f t="shared" si="1782"/>
        <v>612500</v>
      </c>
      <c r="K3498" s="63">
        <f t="shared" si="1783"/>
        <v>0.52127659574468088</v>
      </c>
      <c r="L3498" s="871" t="s">
        <v>2603</v>
      </c>
      <c r="M3498" s="468" t="s">
        <v>2053</v>
      </c>
      <c r="N3498" s="664">
        <f t="shared" si="1773"/>
        <v>201105</v>
      </c>
      <c r="O3498" s="71" t="s">
        <v>150</v>
      </c>
      <c r="P3498" s="164" t="str">
        <f t="shared" si="1774"/>
        <v>Fount Web 551AF</v>
      </c>
      <c r="Q3498" s="71">
        <f t="shared" si="1775"/>
        <v>5</v>
      </c>
      <c r="R3498" s="102">
        <v>112500</v>
      </c>
      <c r="S3498" s="102">
        <f t="shared" si="1776"/>
        <v>618750</v>
      </c>
      <c r="T3498" s="102">
        <f t="shared" si="1777"/>
        <v>562500</v>
      </c>
      <c r="U3498" s="71" t="str">
        <f t="shared" si="1784"/>
        <v>O</v>
      </c>
      <c r="V3498" s="71"/>
      <c r="W3498" s="474">
        <f>(G3498-T3498)</f>
        <v>612500</v>
      </c>
      <c r="X3498" s="71"/>
      <c r="Y3498" s="71"/>
    </row>
    <row r="3499" spans="1:25" s="209" customFormat="1" ht="30" customHeight="1" x14ac:dyDescent="0.25">
      <c r="A3499" s="82">
        <v>201105</v>
      </c>
      <c r="B3499" s="664" t="s">
        <v>2352</v>
      </c>
      <c r="C3499" s="71" t="s">
        <v>583</v>
      </c>
      <c r="D3499" s="71">
        <v>24</v>
      </c>
      <c r="E3499" s="102">
        <v>89000</v>
      </c>
      <c r="F3499" s="102">
        <f t="shared" si="1778"/>
        <v>2349600</v>
      </c>
      <c r="G3499" s="102">
        <f t="shared" si="1779"/>
        <v>2136000</v>
      </c>
      <c r="H3499" s="690" t="s">
        <v>142</v>
      </c>
      <c r="I3499" s="71" t="s">
        <v>142</v>
      </c>
      <c r="J3499" s="53">
        <f>(G3499-(VLOOKUP(C3499,Price!B:D,3,FALSE)*D3499))</f>
        <v>1080000</v>
      </c>
      <c r="K3499" s="63">
        <f t="shared" si="1783"/>
        <v>0.5056179775280899</v>
      </c>
      <c r="L3499" s="871" t="s">
        <v>2603</v>
      </c>
      <c r="M3499" s="468" t="s">
        <v>2053</v>
      </c>
      <c r="N3499" s="664">
        <f t="shared" si="1773"/>
        <v>201105</v>
      </c>
      <c r="O3499" s="71" t="s">
        <v>599</v>
      </c>
      <c r="P3499" s="164" t="str">
        <f t="shared" si="1774"/>
        <v>M600 윤전 세정포</v>
      </c>
      <c r="Q3499" s="71">
        <f t="shared" si="1775"/>
        <v>24</v>
      </c>
      <c r="R3499" s="102">
        <v>44000</v>
      </c>
      <c r="S3499" s="102">
        <f t="shared" si="1776"/>
        <v>1161600</v>
      </c>
      <c r="T3499" s="102">
        <f t="shared" si="1777"/>
        <v>1056000</v>
      </c>
      <c r="U3499" s="71" t="str">
        <f t="shared" si="1784"/>
        <v>O</v>
      </c>
      <c r="V3499" s="71"/>
      <c r="W3499" s="474">
        <f>(G3499-T3499)</f>
        <v>1080000</v>
      </c>
      <c r="X3499" s="71"/>
      <c r="Y3499" s="71"/>
    </row>
    <row r="3500" spans="1:25" ht="30" hidden="1" customHeight="1" x14ac:dyDescent="0.25">
      <c r="A3500" s="82">
        <v>201105</v>
      </c>
      <c r="B3500" s="664" t="s">
        <v>2155</v>
      </c>
      <c r="C3500" s="71" t="s">
        <v>277</v>
      </c>
      <c r="D3500" s="71">
        <v>5</v>
      </c>
      <c r="E3500" s="102">
        <v>172000</v>
      </c>
      <c r="F3500" s="102">
        <f t="shared" si="1778"/>
        <v>946000.00000000012</v>
      </c>
      <c r="G3500" s="102">
        <f t="shared" si="1779"/>
        <v>860000</v>
      </c>
      <c r="H3500" s="690" t="s">
        <v>173</v>
      </c>
      <c r="I3500" s="71" t="s">
        <v>108</v>
      </c>
      <c r="J3500" s="53">
        <f>G3500-T3500</f>
        <v>285000</v>
      </c>
      <c r="K3500" s="63">
        <v>0.33139534883720928</v>
      </c>
      <c r="L3500" s="871" t="s">
        <v>2603</v>
      </c>
      <c r="M3500" s="468"/>
      <c r="N3500" s="664">
        <f t="shared" si="1773"/>
        <v>201105</v>
      </c>
      <c r="O3500" s="71" t="s">
        <v>150</v>
      </c>
      <c r="P3500" s="164" t="str">
        <f t="shared" si="1774"/>
        <v>윤전용 세척제(Web 504)</v>
      </c>
      <c r="Q3500" s="71">
        <f t="shared" si="1775"/>
        <v>5</v>
      </c>
      <c r="R3500" s="102">
        <v>115000</v>
      </c>
      <c r="S3500" s="102">
        <f t="shared" ref="S3500:S3531" si="1785">R3500*Q3500*1.1</f>
        <v>632500</v>
      </c>
      <c r="T3500" s="102">
        <f t="shared" ref="T3500:T3531" si="1786">R3500*Q3500</f>
        <v>575000</v>
      </c>
      <c r="U3500" s="71" t="str">
        <f t="shared" si="1784"/>
        <v>O</v>
      </c>
      <c r="V3500" s="71"/>
      <c r="W3500" s="474">
        <v>285000</v>
      </c>
      <c r="X3500" s="71"/>
      <c r="Y3500" s="71"/>
    </row>
    <row r="3501" spans="1:25" ht="30" hidden="1" customHeight="1" x14ac:dyDescent="0.25">
      <c r="A3501" s="82">
        <v>201105</v>
      </c>
      <c r="B3501" s="664" t="s">
        <v>2155</v>
      </c>
      <c r="C3501" s="760" t="s">
        <v>218</v>
      </c>
      <c r="D3501" s="71">
        <v>5</v>
      </c>
      <c r="E3501" s="102">
        <v>192500</v>
      </c>
      <c r="F3501" s="102">
        <f t="shared" si="1778"/>
        <v>1058750</v>
      </c>
      <c r="G3501" s="102">
        <f t="shared" si="1779"/>
        <v>962500</v>
      </c>
      <c r="H3501" s="690" t="s">
        <v>173</v>
      </c>
      <c r="I3501" s="71" t="s">
        <v>120</v>
      </c>
      <c r="J3501" s="53">
        <f>G3501-T3501</f>
        <v>400000</v>
      </c>
      <c r="K3501" s="63">
        <v>0.4155844155844155</v>
      </c>
      <c r="L3501" s="871" t="s">
        <v>2603</v>
      </c>
      <c r="M3501" s="468"/>
      <c r="N3501" s="664">
        <f t="shared" si="1773"/>
        <v>201105</v>
      </c>
      <c r="O3501" s="71" t="s">
        <v>150</v>
      </c>
      <c r="P3501" s="164" t="str">
        <f t="shared" si="1774"/>
        <v>Fount Web 551AF</v>
      </c>
      <c r="Q3501" s="71">
        <f t="shared" si="1775"/>
        <v>5</v>
      </c>
      <c r="R3501" s="102">
        <v>112500</v>
      </c>
      <c r="S3501" s="102">
        <f t="shared" si="1785"/>
        <v>618750</v>
      </c>
      <c r="T3501" s="102">
        <f t="shared" si="1786"/>
        <v>562500</v>
      </c>
      <c r="U3501" s="71" t="str">
        <f t="shared" si="1784"/>
        <v>X</v>
      </c>
      <c r="V3501" s="71"/>
      <c r="W3501" s="474">
        <v>640000</v>
      </c>
      <c r="X3501" s="71"/>
      <c r="Y3501" s="71"/>
    </row>
    <row r="3502" spans="1:25" s="209" customFormat="1" ht="30" hidden="1" customHeight="1" x14ac:dyDescent="0.2">
      <c r="A3502" s="82">
        <v>201106</v>
      </c>
      <c r="B3502" s="664" t="s">
        <v>2155</v>
      </c>
      <c r="C3502" s="71" t="s">
        <v>231</v>
      </c>
      <c r="D3502" s="71">
        <v>10</v>
      </c>
      <c r="E3502" s="102">
        <v>120000</v>
      </c>
      <c r="F3502" s="102">
        <f t="shared" si="1778"/>
        <v>1320000</v>
      </c>
      <c r="G3502" s="102">
        <f t="shared" si="1779"/>
        <v>1200000</v>
      </c>
      <c r="H3502" s="165" t="s">
        <v>172</v>
      </c>
      <c r="I3502" s="71" t="s">
        <v>109</v>
      </c>
      <c r="J3502" s="53">
        <f>G3502-T3502</f>
        <v>80000</v>
      </c>
      <c r="K3502" s="63">
        <v>6.6666666666666666E-2</v>
      </c>
      <c r="L3502" s="871" t="s">
        <v>2603</v>
      </c>
      <c r="M3502" s="468"/>
      <c r="N3502" s="664">
        <f t="shared" si="1773"/>
        <v>201106</v>
      </c>
      <c r="O3502" s="71" t="s">
        <v>151</v>
      </c>
      <c r="P3502" s="164" t="str">
        <f t="shared" si="1774"/>
        <v>Blanket(990*725)</v>
      </c>
      <c r="Q3502" s="71">
        <f t="shared" si="1775"/>
        <v>10</v>
      </c>
      <c r="R3502" s="102">
        <v>112000</v>
      </c>
      <c r="S3502" s="102">
        <f t="shared" si="1785"/>
        <v>1232000</v>
      </c>
      <c r="T3502" s="102">
        <f t="shared" si="1786"/>
        <v>1120000</v>
      </c>
      <c r="U3502" s="71" t="str">
        <f t="shared" si="1784"/>
        <v>O</v>
      </c>
      <c r="V3502" s="71"/>
      <c r="W3502" s="474">
        <v>80000</v>
      </c>
      <c r="X3502" s="71"/>
      <c r="Y3502" s="71"/>
    </row>
    <row r="3503" spans="1:25" ht="30" hidden="1" customHeight="1" x14ac:dyDescent="0.25">
      <c r="A3503" s="82">
        <v>201109</v>
      </c>
      <c r="B3503" s="664" t="s">
        <v>2155</v>
      </c>
      <c r="C3503" s="760" t="s">
        <v>218</v>
      </c>
      <c r="D3503" s="71">
        <v>5</v>
      </c>
      <c r="E3503" s="102">
        <v>192500</v>
      </c>
      <c r="F3503" s="102">
        <f t="shared" si="1778"/>
        <v>1058750</v>
      </c>
      <c r="G3503" s="102">
        <f t="shared" si="1779"/>
        <v>962500</v>
      </c>
      <c r="H3503" s="690" t="s">
        <v>173</v>
      </c>
      <c r="I3503" s="71" t="s">
        <v>120</v>
      </c>
      <c r="J3503" s="53">
        <f>G3503-T3503</f>
        <v>400000</v>
      </c>
      <c r="K3503" s="63">
        <v>0.4155844155844155</v>
      </c>
      <c r="L3503" s="871" t="s">
        <v>2603</v>
      </c>
      <c r="M3503" s="468"/>
      <c r="N3503" s="664">
        <f t="shared" si="1773"/>
        <v>201109</v>
      </c>
      <c r="O3503" s="71" t="s">
        <v>150</v>
      </c>
      <c r="P3503" s="164" t="str">
        <f t="shared" si="1774"/>
        <v>Fount Web 551AF</v>
      </c>
      <c r="Q3503" s="71">
        <f t="shared" si="1775"/>
        <v>5</v>
      </c>
      <c r="R3503" s="102">
        <v>112500</v>
      </c>
      <c r="S3503" s="102">
        <f t="shared" si="1785"/>
        <v>618750</v>
      </c>
      <c r="T3503" s="102">
        <f t="shared" si="1786"/>
        <v>562500</v>
      </c>
      <c r="U3503" s="71" t="str">
        <f t="shared" si="1784"/>
        <v>X</v>
      </c>
      <c r="V3503" s="71"/>
      <c r="W3503" s="474">
        <v>640000</v>
      </c>
      <c r="X3503" s="71"/>
      <c r="Y3503" s="71"/>
    </row>
    <row r="3504" spans="1:25" s="209" customFormat="1" ht="30" hidden="1" customHeight="1" x14ac:dyDescent="0.25">
      <c r="A3504" s="82">
        <v>201109</v>
      </c>
      <c r="B3504" s="664" t="s">
        <v>2155</v>
      </c>
      <c r="C3504" s="71" t="s">
        <v>138</v>
      </c>
      <c r="D3504" s="71">
        <v>10</v>
      </c>
      <c r="E3504" s="102">
        <v>47600</v>
      </c>
      <c r="F3504" s="102">
        <f t="shared" si="1778"/>
        <v>523600.00000000006</v>
      </c>
      <c r="G3504" s="102">
        <f t="shared" si="1779"/>
        <v>476000</v>
      </c>
      <c r="H3504" s="1129" t="s">
        <v>172</v>
      </c>
      <c r="I3504" s="71" t="s">
        <v>108</v>
      </c>
      <c r="J3504" s="53">
        <f>G3504-T3504</f>
        <v>68000</v>
      </c>
      <c r="K3504" s="63">
        <f t="shared" ref="K3504:K3512" si="1787">(J3504/(F3504/11*10))</f>
        <v>0.14285714285714285</v>
      </c>
      <c r="L3504" s="871" t="s">
        <v>2603</v>
      </c>
      <c r="M3504" s="468" t="s">
        <v>2214</v>
      </c>
      <c r="N3504" s="664">
        <f t="shared" si="1773"/>
        <v>201109</v>
      </c>
      <c r="O3504" s="71" t="s">
        <v>150</v>
      </c>
      <c r="P3504" s="164" t="str">
        <f t="shared" si="1774"/>
        <v>매엽용 세척제(Wash 562)</v>
      </c>
      <c r="Q3504" s="71">
        <f t="shared" si="1775"/>
        <v>10</v>
      </c>
      <c r="R3504" s="102">
        <v>40800</v>
      </c>
      <c r="S3504" s="102">
        <f t="shared" si="1785"/>
        <v>448800.00000000006</v>
      </c>
      <c r="T3504" s="102">
        <f t="shared" si="1786"/>
        <v>408000</v>
      </c>
      <c r="U3504" s="71" t="str">
        <f t="shared" si="1784"/>
        <v>X</v>
      </c>
      <c r="V3504" s="71"/>
      <c r="W3504" s="474">
        <v>85000</v>
      </c>
      <c r="X3504" s="71"/>
      <c r="Y3504" s="71"/>
    </row>
    <row r="3505" spans="1:25" ht="30" hidden="1" customHeight="1" x14ac:dyDescent="0.25">
      <c r="A3505" s="82">
        <v>201110</v>
      </c>
      <c r="B3505" s="664" t="s">
        <v>567</v>
      </c>
      <c r="C3505" s="71" t="s">
        <v>123</v>
      </c>
      <c r="D3505" s="71">
        <v>10</v>
      </c>
      <c r="E3505" s="102">
        <v>40000</v>
      </c>
      <c r="F3505" s="102">
        <f t="shared" si="1778"/>
        <v>440000.00000000006</v>
      </c>
      <c r="G3505" s="102">
        <f t="shared" si="1779"/>
        <v>400000</v>
      </c>
      <c r="H3505" s="1010" t="s">
        <v>39</v>
      </c>
      <c r="I3505" s="71" t="s">
        <v>1432</v>
      </c>
      <c r="J3505" s="53">
        <f>(G3505-(VLOOKUP(C3505,Price!B:D,3,FALSE)*D3505))</f>
        <v>175390</v>
      </c>
      <c r="K3505" s="63">
        <f t="shared" si="1787"/>
        <v>0.43847499999999995</v>
      </c>
      <c r="L3505" s="871" t="s">
        <v>2603</v>
      </c>
      <c r="M3505" s="468"/>
      <c r="N3505" s="664">
        <f t="shared" si="1773"/>
        <v>201110</v>
      </c>
      <c r="O3505" s="991" t="s">
        <v>39</v>
      </c>
      <c r="P3505" s="164" t="str">
        <f t="shared" si="1774"/>
        <v>필터백</v>
      </c>
      <c r="Q3505" s="71">
        <f t="shared" si="1775"/>
        <v>10</v>
      </c>
      <c r="R3505" s="102">
        <v>22054</v>
      </c>
      <c r="S3505" s="102">
        <f t="shared" si="1785"/>
        <v>242594.00000000003</v>
      </c>
      <c r="T3505" s="102">
        <f t="shared" si="1786"/>
        <v>220540</v>
      </c>
      <c r="U3505" s="71" t="str">
        <f t="shared" si="1784"/>
        <v>X</v>
      </c>
      <c r="V3505" s="71"/>
      <c r="W3505" s="474">
        <f>(G3505-T3505)</f>
        <v>179460</v>
      </c>
      <c r="X3505" s="71"/>
      <c r="Y3505" s="71"/>
    </row>
    <row r="3506" spans="1:25" ht="30" hidden="1" customHeight="1" x14ac:dyDescent="0.25">
      <c r="A3506" s="82">
        <v>201112</v>
      </c>
      <c r="B3506" s="664" t="s">
        <v>549</v>
      </c>
      <c r="C3506" s="71" t="s">
        <v>119</v>
      </c>
      <c r="D3506" s="71">
        <v>10</v>
      </c>
      <c r="E3506" s="102">
        <v>115000</v>
      </c>
      <c r="F3506" s="102">
        <f t="shared" si="1778"/>
        <v>1265000</v>
      </c>
      <c r="G3506" s="102">
        <f t="shared" si="1779"/>
        <v>1150000</v>
      </c>
      <c r="H3506" s="690" t="s">
        <v>173</v>
      </c>
      <c r="I3506" s="71" t="s">
        <v>109</v>
      </c>
      <c r="J3506" s="53">
        <f>(G3506-(VLOOKUP(C3506,Price!B:D,3,FALSE)*D3506))</f>
        <v>263000</v>
      </c>
      <c r="K3506" s="63">
        <f t="shared" si="1787"/>
        <v>0.22869565217391305</v>
      </c>
      <c r="L3506" s="871" t="s">
        <v>2603</v>
      </c>
      <c r="M3506" s="468"/>
      <c r="N3506" s="664">
        <f t="shared" si="1773"/>
        <v>201112</v>
      </c>
      <c r="O3506" s="71" t="s">
        <v>150</v>
      </c>
      <c r="P3506" s="164" t="str">
        <f t="shared" si="1774"/>
        <v>미쯔비시 Blanket(1035*910)</v>
      </c>
      <c r="Q3506" s="71">
        <f t="shared" si="1775"/>
        <v>10</v>
      </c>
      <c r="R3506" s="102">
        <v>88700</v>
      </c>
      <c r="S3506" s="102">
        <f t="shared" si="1785"/>
        <v>975700.00000000012</v>
      </c>
      <c r="T3506" s="102">
        <f t="shared" si="1786"/>
        <v>887000</v>
      </c>
      <c r="U3506" s="71" t="str">
        <f t="shared" si="1784"/>
        <v>O</v>
      </c>
      <c r="V3506" s="71"/>
      <c r="W3506" s="474">
        <f>(G3506-T3506)</f>
        <v>263000</v>
      </c>
      <c r="X3506" s="71"/>
      <c r="Y3506" s="71"/>
    </row>
    <row r="3507" spans="1:25" s="209" customFormat="1" ht="30" hidden="1" customHeight="1" x14ac:dyDescent="0.25">
      <c r="A3507" s="82">
        <v>201113</v>
      </c>
      <c r="B3507" s="664" t="s">
        <v>442</v>
      </c>
      <c r="C3507" s="71" t="s">
        <v>138</v>
      </c>
      <c r="D3507" s="71">
        <v>30</v>
      </c>
      <c r="E3507" s="102">
        <v>55200</v>
      </c>
      <c r="F3507" s="102">
        <f t="shared" si="1778"/>
        <v>1821600.0000000002</v>
      </c>
      <c r="G3507" s="102">
        <f t="shared" si="1779"/>
        <v>1656000</v>
      </c>
      <c r="H3507" s="690" t="s">
        <v>173</v>
      </c>
      <c r="I3507" s="71" t="s">
        <v>108</v>
      </c>
      <c r="J3507" s="53">
        <f t="shared" ref="J3507:J3517" si="1788">G3507-T3507</f>
        <v>432000</v>
      </c>
      <c r="K3507" s="63">
        <f t="shared" si="1787"/>
        <v>0.26086956521739124</v>
      </c>
      <c r="L3507" s="871" t="s">
        <v>2603</v>
      </c>
      <c r="M3507" s="468" t="s">
        <v>2388</v>
      </c>
      <c r="N3507" s="664">
        <f t="shared" si="1773"/>
        <v>201113</v>
      </c>
      <c r="O3507" s="71" t="s">
        <v>150</v>
      </c>
      <c r="P3507" s="164" t="str">
        <f t="shared" si="1774"/>
        <v>매엽용 세척제(Wash 562)</v>
      </c>
      <c r="Q3507" s="71">
        <f t="shared" si="1775"/>
        <v>30</v>
      </c>
      <c r="R3507" s="102">
        <v>40800</v>
      </c>
      <c r="S3507" s="102">
        <f t="shared" si="1785"/>
        <v>1346400</v>
      </c>
      <c r="T3507" s="102">
        <f t="shared" si="1786"/>
        <v>1224000</v>
      </c>
      <c r="U3507" s="71" t="str">
        <f t="shared" si="1784"/>
        <v>X</v>
      </c>
      <c r="V3507" s="71"/>
      <c r="W3507" s="474">
        <v>396000</v>
      </c>
      <c r="X3507" s="71"/>
      <c r="Y3507" s="71"/>
    </row>
    <row r="3508" spans="1:25" ht="30" hidden="1" customHeight="1" x14ac:dyDescent="0.25">
      <c r="A3508" s="82">
        <v>201113</v>
      </c>
      <c r="B3508" s="664" t="s">
        <v>690</v>
      </c>
      <c r="C3508" s="71" t="s">
        <v>217</v>
      </c>
      <c r="D3508" s="71">
        <v>2</v>
      </c>
      <c r="E3508" s="102">
        <v>137000</v>
      </c>
      <c r="F3508" s="102">
        <f t="shared" si="1778"/>
        <v>301400</v>
      </c>
      <c r="G3508" s="102">
        <f t="shared" si="1779"/>
        <v>274000</v>
      </c>
      <c r="H3508" s="690" t="s">
        <v>173</v>
      </c>
      <c r="I3508" s="71" t="s">
        <v>108</v>
      </c>
      <c r="J3508" s="53">
        <f t="shared" si="1788"/>
        <v>114000</v>
      </c>
      <c r="K3508" s="63">
        <f t="shared" si="1787"/>
        <v>0.41605839416058393</v>
      </c>
      <c r="L3508" s="871" t="s">
        <v>2603</v>
      </c>
      <c r="M3508" s="468"/>
      <c r="N3508" s="664">
        <f t="shared" si="1773"/>
        <v>201113</v>
      </c>
      <c r="O3508" s="71" t="s">
        <v>150</v>
      </c>
      <c r="P3508" s="164" t="str">
        <f t="shared" si="1774"/>
        <v>Fount 511</v>
      </c>
      <c r="Q3508" s="71">
        <f t="shared" si="1775"/>
        <v>2</v>
      </c>
      <c r="R3508" s="102">
        <v>80000</v>
      </c>
      <c r="S3508" s="102">
        <f t="shared" si="1785"/>
        <v>176000</v>
      </c>
      <c r="T3508" s="102">
        <f t="shared" si="1786"/>
        <v>160000</v>
      </c>
      <c r="U3508" s="71" t="str">
        <f t="shared" si="1784"/>
        <v>X</v>
      </c>
      <c r="V3508" s="71"/>
      <c r="W3508" s="474">
        <v>130000</v>
      </c>
      <c r="X3508" s="71"/>
      <c r="Y3508" s="71"/>
    </row>
    <row r="3509" spans="1:25" ht="30" hidden="1" customHeight="1" x14ac:dyDescent="0.25">
      <c r="A3509" s="82">
        <v>201113</v>
      </c>
      <c r="B3509" s="664" t="s">
        <v>690</v>
      </c>
      <c r="C3509" s="71" t="s">
        <v>825</v>
      </c>
      <c r="D3509" s="71">
        <v>2</v>
      </c>
      <c r="E3509" s="102">
        <v>142000</v>
      </c>
      <c r="F3509" s="102">
        <f t="shared" si="1778"/>
        <v>312400</v>
      </c>
      <c r="G3509" s="102">
        <f t="shared" si="1779"/>
        <v>284000</v>
      </c>
      <c r="H3509" s="690" t="s">
        <v>173</v>
      </c>
      <c r="I3509" s="71" t="s">
        <v>2231</v>
      </c>
      <c r="J3509" s="53">
        <f t="shared" si="1788"/>
        <v>94000</v>
      </c>
      <c r="K3509" s="63">
        <v>0.36666666666666664</v>
      </c>
      <c r="L3509" s="871" t="s">
        <v>2603</v>
      </c>
      <c r="M3509" s="468"/>
      <c r="N3509" s="664">
        <f t="shared" si="1773"/>
        <v>201113</v>
      </c>
      <c r="O3509" s="71" t="s">
        <v>150</v>
      </c>
      <c r="P3509" s="164" t="str">
        <f t="shared" si="1774"/>
        <v>독일제 정품 잉크호일 아스테이지</v>
      </c>
      <c r="Q3509" s="71">
        <f t="shared" si="1775"/>
        <v>2</v>
      </c>
      <c r="R3509" s="102">
        <v>95000</v>
      </c>
      <c r="S3509" s="102">
        <f t="shared" si="1785"/>
        <v>209000.00000000003</v>
      </c>
      <c r="T3509" s="102">
        <f t="shared" si="1786"/>
        <v>190000</v>
      </c>
      <c r="U3509" s="71" t="s">
        <v>859</v>
      </c>
      <c r="V3509" s="71"/>
      <c r="W3509" s="474">
        <v>110000</v>
      </c>
      <c r="X3509" s="71"/>
      <c r="Y3509" s="71"/>
    </row>
    <row r="3510" spans="1:25" ht="31.5" hidden="1" customHeight="1" x14ac:dyDescent="0.25">
      <c r="A3510" s="82">
        <v>201113</v>
      </c>
      <c r="B3510" s="664" t="s">
        <v>545</v>
      </c>
      <c r="C3510" s="71" t="s">
        <v>911</v>
      </c>
      <c r="D3510" s="71">
        <v>1</v>
      </c>
      <c r="E3510" s="102">
        <v>250000</v>
      </c>
      <c r="F3510" s="102">
        <f t="shared" si="1778"/>
        <v>275000</v>
      </c>
      <c r="G3510" s="102">
        <f t="shared" si="1779"/>
        <v>250000</v>
      </c>
      <c r="H3510" s="690" t="s">
        <v>173</v>
      </c>
      <c r="I3510" s="71" t="s">
        <v>2231</v>
      </c>
      <c r="J3510" s="53">
        <f t="shared" si="1788"/>
        <v>100000</v>
      </c>
      <c r="K3510" s="63">
        <f t="shared" si="1787"/>
        <v>0.4</v>
      </c>
      <c r="L3510" s="871" t="s">
        <v>2603</v>
      </c>
      <c r="M3510" s="468"/>
      <c r="N3510" s="664">
        <f t="shared" si="1773"/>
        <v>201113</v>
      </c>
      <c r="O3510" s="71" t="s">
        <v>994</v>
      </c>
      <c r="P3510" s="164" t="str">
        <f t="shared" si="1774"/>
        <v>콤푸레샤 에어필터</v>
      </c>
      <c r="Q3510" s="71">
        <f t="shared" si="1775"/>
        <v>1</v>
      </c>
      <c r="R3510" s="102">
        <v>150000</v>
      </c>
      <c r="S3510" s="102">
        <f t="shared" si="1785"/>
        <v>165000</v>
      </c>
      <c r="T3510" s="102">
        <f t="shared" si="1786"/>
        <v>150000</v>
      </c>
      <c r="U3510" s="71" t="str">
        <f t="shared" ref="U3510:U3516" si="1789">IF(J3510=W3510,"O", "X")</f>
        <v>O</v>
      </c>
      <c r="V3510" s="71"/>
      <c r="W3510" s="474">
        <f>(G3510-T3510)</f>
        <v>100000</v>
      </c>
      <c r="X3510" s="71"/>
      <c r="Y3510" s="71"/>
    </row>
    <row r="3511" spans="1:25" ht="30" hidden="1" customHeight="1" x14ac:dyDescent="0.25">
      <c r="A3511" s="82">
        <v>201113</v>
      </c>
      <c r="B3511" s="664" t="s">
        <v>545</v>
      </c>
      <c r="C3511" s="71" t="s">
        <v>1441</v>
      </c>
      <c r="D3511" s="71">
        <v>2</v>
      </c>
      <c r="E3511" s="102">
        <v>210000</v>
      </c>
      <c r="F3511" s="102">
        <f t="shared" si="1778"/>
        <v>462000.00000000006</v>
      </c>
      <c r="G3511" s="102">
        <f t="shared" si="1779"/>
        <v>420000</v>
      </c>
      <c r="H3511" s="690" t="s">
        <v>173</v>
      </c>
      <c r="I3511" s="71" t="s">
        <v>2231</v>
      </c>
      <c r="J3511" s="53">
        <f t="shared" si="1788"/>
        <v>90000</v>
      </c>
      <c r="K3511" s="63">
        <f t="shared" si="1787"/>
        <v>0.21428571428571425</v>
      </c>
      <c r="L3511" s="871" t="s">
        <v>2603</v>
      </c>
      <c r="M3511" s="468"/>
      <c r="N3511" s="664">
        <f t="shared" si="1773"/>
        <v>201113</v>
      </c>
      <c r="O3511" s="71" t="s">
        <v>1555</v>
      </c>
      <c r="P3511" s="164" t="str">
        <f t="shared" si="1774"/>
        <v xml:space="preserve"> OKS340 체인구리스</v>
      </c>
      <c r="Q3511" s="71">
        <f t="shared" si="1775"/>
        <v>2</v>
      </c>
      <c r="R3511" s="102">
        <v>165000</v>
      </c>
      <c r="S3511" s="102">
        <f t="shared" si="1785"/>
        <v>363000.00000000006</v>
      </c>
      <c r="T3511" s="102">
        <f t="shared" si="1786"/>
        <v>330000</v>
      </c>
      <c r="U3511" s="71" t="str">
        <f t="shared" si="1789"/>
        <v>X</v>
      </c>
      <c r="V3511" s="71"/>
      <c r="W3511" s="474"/>
      <c r="X3511" s="71"/>
      <c r="Y3511" s="71"/>
    </row>
    <row r="3512" spans="1:25" ht="30" hidden="1" customHeight="1" x14ac:dyDescent="0.25">
      <c r="A3512" s="82">
        <v>201113</v>
      </c>
      <c r="B3512" s="664" t="s">
        <v>446</v>
      </c>
      <c r="C3512" s="71" t="s">
        <v>2028</v>
      </c>
      <c r="D3512" s="71">
        <v>16</v>
      </c>
      <c r="E3512" s="102">
        <v>105000</v>
      </c>
      <c r="F3512" s="102">
        <f t="shared" si="1778"/>
        <v>1848000.0000000002</v>
      </c>
      <c r="G3512" s="102">
        <f t="shared" si="1779"/>
        <v>1680000</v>
      </c>
      <c r="H3512" s="690" t="s">
        <v>2029</v>
      </c>
      <c r="I3512" s="71" t="s">
        <v>2231</v>
      </c>
      <c r="J3512" s="53">
        <f t="shared" si="1788"/>
        <v>304000</v>
      </c>
      <c r="K3512" s="63">
        <f t="shared" si="1787"/>
        <v>0.18095238095238092</v>
      </c>
      <c r="L3512" s="871" t="s">
        <v>2603</v>
      </c>
      <c r="M3512" s="468" t="s">
        <v>3067</v>
      </c>
      <c r="N3512" s="664">
        <f t="shared" si="1773"/>
        <v>201113</v>
      </c>
      <c r="O3512" s="71" t="s">
        <v>2030</v>
      </c>
      <c r="P3512" s="164" t="str">
        <f t="shared" si="1774"/>
        <v>실리콘 에멀전</v>
      </c>
      <c r="Q3512" s="71">
        <f t="shared" si="1775"/>
        <v>16</v>
      </c>
      <c r="R3512" s="102">
        <v>86000</v>
      </c>
      <c r="S3512" s="102">
        <f t="shared" si="1785"/>
        <v>1513600.0000000002</v>
      </c>
      <c r="T3512" s="102">
        <f t="shared" si="1786"/>
        <v>1376000</v>
      </c>
      <c r="U3512" s="71" t="str">
        <f t="shared" si="1789"/>
        <v>O</v>
      </c>
      <c r="V3512" s="71">
        <f>5000*Q3512</f>
        <v>80000</v>
      </c>
      <c r="W3512" s="474">
        <f>(G3512-T3512)</f>
        <v>304000</v>
      </c>
      <c r="X3512" s="71"/>
      <c r="Y3512" s="71"/>
    </row>
    <row r="3513" spans="1:25" s="209" customFormat="1" ht="30" hidden="1" customHeight="1" x14ac:dyDescent="0.25">
      <c r="A3513" s="82">
        <v>201113</v>
      </c>
      <c r="B3513" s="664" t="s">
        <v>2155</v>
      </c>
      <c r="C3513" s="71" t="s">
        <v>138</v>
      </c>
      <c r="D3513" s="71">
        <v>10</v>
      </c>
      <c r="E3513" s="102">
        <v>47600</v>
      </c>
      <c r="F3513" s="102">
        <f t="shared" si="1778"/>
        <v>523600.00000000006</v>
      </c>
      <c r="G3513" s="102">
        <f t="shared" si="1779"/>
        <v>476000</v>
      </c>
      <c r="H3513" s="1129" t="s">
        <v>172</v>
      </c>
      <c r="I3513" s="71" t="s">
        <v>108</v>
      </c>
      <c r="J3513" s="53">
        <f t="shared" si="1788"/>
        <v>68000</v>
      </c>
      <c r="K3513" s="63">
        <f>(J3513/(F3513/11*10))</f>
        <v>0.14285714285714285</v>
      </c>
      <c r="L3513" s="871" t="s">
        <v>2603</v>
      </c>
      <c r="M3513" s="468" t="s">
        <v>2214</v>
      </c>
      <c r="N3513" s="664">
        <f t="shared" si="1773"/>
        <v>201113</v>
      </c>
      <c r="O3513" s="71" t="s">
        <v>150</v>
      </c>
      <c r="P3513" s="164" t="str">
        <f t="shared" si="1774"/>
        <v>매엽용 세척제(Wash 562)</v>
      </c>
      <c r="Q3513" s="71">
        <f t="shared" si="1775"/>
        <v>10</v>
      </c>
      <c r="R3513" s="102">
        <v>40800</v>
      </c>
      <c r="S3513" s="102">
        <f t="shared" si="1785"/>
        <v>448800.00000000006</v>
      </c>
      <c r="T3513" s="102">
        <f t="shared" si="1786"/>
        <v>408000</v>
      </c>
      <c r="U3513" s="71" t="str">
        <f t="shared" si="1789"/>
        <v>X</v>
      </c>
      <c r="V3513" s="71"/>
      <c r="W3513" s="474">
        <v>85000</v>
      </c>
      <c r="X3513" s="71"/>
      <c r="Y3513" s="71"/>
    </row>
    <row r="3514" spans="1:25" ht="30" hidden="1" customHeight="1" x14ac:dyDescent="0.25">
      <c r="A3514" s="82">
        <v>201113</v>
      </c>
      <c r="B3514" s="664" t="s">
        <v>2155</v>
      </c>
      <c r="C3514" s="71" t="s">
        <v>277</v>
      </c>
      <c r="D3514" s="71">
        <v>5</v>
      </c>
      <c r="E3514" s="102">
        <v>172000</v>
      </c>
      <c r="F3514" s="102">
        <f t="shared" si="1778"/>
        <v>946000.00000000012</v>
      </c>
      <c r="G3514" s="102">
        <f t="shared" si="1779"/>
        <v>860000</v>
      </c>
      <c r="H3514" s="690" t="s">
        <v>173</v>
      </c>
      <c r="I3514" s="71" t="s">
        <v>108</v>
      </c>
      <c r="J3514" s="53">
        <f t="shared" si="1788"/>
        <v>285000</v>
      </c>
      <c r="K3514" s="63">
        <v>0.33139534883720928</v>
      </c>
      <c r="L3514" s="871" t="s">
        <v>2603</v>
      </c>
      <c r="M3514" s="468"/>
      <c r="N3514" s="664">
        <f t="shared" si="1773"/>
        <v>201113</v>
      </c>
      <c r="O3514" s="71" t="s">
        <v>150</v>
      </c>
      <c r="P3514" s="164" t="str">
        <f t="shared" si="1774"/>
        <v>윤전용 세척제(Web 504)</v>
      </c>
      <c r="Q3514" s="71">
        <f t="shared" si="1775"/>
        <v>5</v>
      </c>
      <c r="R3514" s="102">
        <v>115000</v>
      </c>
      <c r="S3514" s="102">
        <f t="shared" si="1785"/>
        <v>632500</v>
      </c>
      <c r="T3514" s="102">
        <f t="shared" si="1786"/>
        <v>575000</v>
      </c>
      <c r="U3514" s="71" t="str">
        <f t="shared" si="1789"/>
        <v>O</v>
      </c>
      <c r="V3514" s="71"/>
      <c r="W3514" s="474">
        <v>285000</v>
      </c>
      <c r="X3514" s="71"/>
      <c r="Y3514" s="71"/>
    </row>
    <row r="3515" spans="1:25" ht="30" hidden="1" customHeight="1" x14ac:dyDescent="0.25">
      <c r="A3515" s="82">
        <v>201117</v>
      </c>
      <c r="B3515" s="664" t="s">
        <v>690</v>
      </c>
      <c r="C3515" s="71" t="s">
        <v>1186</v>
      </c>
      <c r="D3515" s="71">
        <v>500</v>
      </c>
      <c r="E3515" s="102">
        <v>3420</v>
      </c>
      <c r="F3515" s="102">
        <f t="shared" si="1778"/>
        <v>1881000.0000000002</v>
      </c>
      <c r="G3515" s="102">
        <f t="shared" si="1779"/>
        <v>1710000</v>
      </c>
      <c r="H3515" s="690" t="s">
        <v>173</v>
      </c>
      <c r="I3515" s="71" t="s">
        <v>2230</v>
      </c>
      <c r="J3515" s="53">
        <f t="shared" si="1788"/>
        <v>-190000</v>
      </c>
      <c r="K3515" s="63">
        <f t="shared" ref="K3515:K3521" si="1790">(J3515/(F3515/11*10))</f>
        <v>-0.11111111111111109</v>
      </c>
      <c r="L3515" s="871" t="s">
        <v>2603</v>
      </c>
      <c r="M3515" s="468" t="s">
        <v>1393</v>
      </c>
      <c r="N3515" s="664">
        <f t="shared" si="1773"/>
        <v>201117</v>
      </c>
      <c r="O3515" s="71" t="s">
        <v>145</v>
      </c>
      <c r="P3515" s="164" t="str">
        <f t="shared" si="1774"/>
        <v>CTP 판(1030*790mm)</v>
      </c>
      <c r="Q3515" s="71">
        <f t="shared" si="1775"/>
        <v>500</v>
      </c>
      <c r="R3515" s="102">
        <v>3800</v>
      </c>
      <c r="S3515" s="102">
        <f t="shared" si="1785"/>
        <v>2090000.0000000002</v>
      </c>
      <c r="T3515" s="102">
        <f t="shared" si="1786"/>
        <v>1900000</v>
      </c>
      <c r="U3515" s="71" t="str">
        <f t="shared" si="1789"/>
        <v>X</v>
      </c>
      <c r="V3515" s="71"/>
      <c r="W3515" s="474">
        <v>-200000</v>
      </c>
      <c r="X3515" s="71"/>
      <c r="Y3515" s="71"/>
    </row>
    <row r="3516" spans="1:25" ht="30" hidden="1" customHeight="1" x14ac:dyDescent="0.25">
      <c r="A3516" s="82">
        <v>201117</v>
      </c>
      <c r="B3516" s="664" t="s">
        <v>690</v>
      </c>
      <c r="C3516" s="71" t="s">
        <v>197</v>
      </c>
      <c r="D3516" s="71">
        <v>4</v>
      </c>
      <c r="E3516" s="102">
        <v>46000</v>
      </c>
      <c r="F3516" s="102">
        <f t="shared" si="1778"/>
        <v>202400.00000000003</v>
      </c>
      <c r="G3516" s="102">
        <f t="shared" si="1779"/>
        <v>184000</v>
      </c>
      <c r="H3516" s="690" t="s">
        <v>173</v>
      </c>
      <c r="I3516" s="71" t="s">
        <v>2230</v>
      </c>
      <c r="J3516" s="53">
        <f t="shared" si="1788"/>
        <v>44000</v>
      </c>
      <c r="K3516" s="63">
        <f t="shared" si="1790"/>
        <v>0.23913043478260865</v>
      </c>
      <c r="L3516" s="871" t="s">
        <v>2603</v>
      </c>
      <c r="M3516" s="468" t="s">
        <v>1394</v>
      </c>
      <c r="N3516" s="664">
        <f t="shared" si="1773"/>
        <v>201117</v>
      </c>
      <c r="O3516" s="71" t="s">
        <v>145</v>
      </c>
      <c r="P3516" s="164" t="str">
        <f t="shared" si="1774"/>
        <v>THR200(20L)</v>
      </c>
      <c r="Q3516" s="71">
        <f t="shared" si="1775"/>
        <v>4</v>
      </c>
      <c r="R3516" s="102">
        <v>35000</v>
      </c>
      <c r="S3516" s="102">
        <f t="shared" si="1785"/>
        <v>154000</v>
      </c>
      <c r="T3516" s="102">
        <f t="shared" si="1786"/>
        <v>140000</v>
      </c>
      <c r="U3516" s="71" t="str">
        <f t="shared" si="1789"/>
        <v>X</v>
      </c>
      <c r="V3516" s="71"/>
      <c r="W3516" s="474"/>
      <c r="X3516" s="71"/>
      <c r="Y3516" s="71"/>
    </row>
    <row r="3517" spans="1:25" ht="30" hidden="1" customHeight="1" x14ac:dyDescent="0.25">
      <c r="A3517" s="82">
        <v>201118</v>
      </c>
      <c r="B3517" s="664" t="s">
        <v>546</v>
      </c>
      <c r="C3517" s="71" t="s">
        <v>2135</v>
      </c>
      <c r="D3517" s="71">
        <v>2</v>
      </c>
      <c r="E3517" s="102">
        <v>9000000</v>
      </c>
      <c r="F3517" s="102">
        <f t="shared" si="1778"/>
        <v>19800000</v>
      </c>
      <c r="G3517" s="102">
        <f t="shared" si="1779"/>
        <v>18000000</v>
      </c>
      <c r="H3517" s="690" t="s">
        <v>1431</v>
      </c>
      <c r="I3517" s="690" t="s">
        <v>1431</v>
      </c>
      <c r="J3517" s="53">
        <f t="shared" si="1788"/>
        <v>3188500</v>
      </c>
      <c r="K3517" s="63">
        <f>(J3517/(F3517/11*10))</f>
        <v>0.1771388888888889</v>
      </c>
      <c r="L3517" s="871" t="s">
        <v>2603</v>
      </c>
      <c r="M3517" s="468"/>
      <c r="N3517" s="664">
        <f t="shared" si="1773"/>
        <v>201118</v>
      </c>
      <c r="O3517" s="71" t="s">
        <v>1220</v>
      </c>
      <c r="P3517" s="164" t="str">
        <f t="shared" si="1774"/>
        <v>판걸이 튜브</v>
      </c>
      <c r="Q3517" s="71">
        <f t="shared" si="1775"/>
        <v>2</v>
      </c>
      <c r="R3517" s="102">
        <f>14811500/2</f>
        <v>7405750</v>
      </c>
      <c r="S3517" s="102">
        <f t="shared" si="1785"/>
        <v>16292650.000000002</v>
      </c>
      <c r="T3517" s="102">
        <f t="shared" si="1786"/>
        <v>14811500</v>
      </c>
      <c r="U3517" s="71"/>
      <c r="V3517" s="71"/>
      <c r="W3517" s="474"/>
      <c r="X3517" s="71"/>
      <c r="Y3517" s="71"/>
    </row>
    <row r="3518" spans="1:25" ht="30" hidden="1" customHeight="1" x14ac:dyDescent="0.25">
      <c r="A3518" s="82">
        <v>201119</v>
      </c>
      <c r="B3518" s="664" t="s">
        <v>442</v>
      </c>
      <c r="C3518" s="71" t="s">
        <v>206</v>
      </c>
      <c r="D3518" s="71">
        <v>2</v>
      </c>
      <c r="E3518" s="102">
        <v>327000</v>
      </c>
      <c r="F3518" s="102">
        <f t="shared" si="1778"/>
        <v>719400</v>
      </c>
      <c r="G3518" s="102">
        <f t="shared" si="1779"/>
        <v>654000</v>
      </c>
      <c r="H3518" s="690" t="s">
        <v>2029</v>
      </c>
      <c r="I3518" s="71" t="s">
        <v>195</v>
      </c>
      <c r="J3518" s="53">
        <f>(G3518-(VLOOKUP(C3518,[5]Price!B$1:D$65536,3,FALSE)*D3518))</f>
        <v>115800</v>
      </c>
      <c r="K3518" s="63">
        <f t="shared" si="1790"/>
        <v>0.17706422018348625</v>
      </c>
      <c r="L3518" s="871" t="s">
        <v>2603</v>
      </c>
      <c r="M3518" s="468"/>
      <c r="N3518" s="664">
        <f t="shared" si="1773"/>
        <v>201119</v>
      </c>
      <c r="O3518" s="71" t="s">
        <v>194</v>
      </c>
      <c r="P3518" s="164" t="str">
        <f t="shared" si="1774"/>
        <v>Agfa Film(24inch)</v>
      </c>
      <c r="Q3518" s="71">
        <f t="shared" si="1775"/>
        <v>2</v>
      </c>
      <c r="R3518" s="102">
        <v>269100</v>
      </c>
      <c r="S3518" s="102">
        <f t="shared" si="1785"/>
        <v>592020</v>
      </c>
      <c r="T3518" s="102">
        <f t="shared" si="1786"/>
        <v>538200</v>
      </c>
      <c r="U3518" s="71" t="str">
        <f t="shared" ref="U3518:U3523" si="1791">IF(J3518=W3518,"O", "X")</f>
        <v>O</v>
      </c>
      <c r="V3518" s="71"/>
      <c r="W3518" s="474">
        <f>(G3518-T3518)</f>
        <v>115800</v>
      </c>
      <c r="X3518" s="71"/>
      <c r="Y3518" s="71"/>
    </row>
    <row r="3519" spans="1:25" ht="30" hidden="1" customHeight="1" x14ac:dyDescent="0.25">
      <c r="A3519" s="82">
        <v>201119</v>
      </c>
      <c r="B3519" s="664" t="s">
        <v>442</v>
      </c>
      <c r="C3519" s="71" t="s">
        <v>207</v>
      </c>
      <c r="D3519" s="71">
        <v>2</v>
      </c>
      <c r="E3519" s="102">
        <v>401000</v>
      </c>
      <c r="F3519" s="102">
        <f t="shared" si="1778"/>
        <v>882200.00000000012</v>
      </c>
      <c r="G3519" s="102">
        <f t="shared" si="1779"/>
        <v>802000</v>
      </c>
      <c r="H3519" s="690" t="s">
        <v>2029</v>
      </c>
      <c r="I3519" s="71" t="s">
        <v>195</v>
      </c>
      <c r="J3519" s="53">
        <f>(G3519-(VLOOKUP(C3519,[5]Price!B$1:D$65536,3,FALSE)*D3519))</f>
        <v>174080</v>
      </c>
      <c r="K3519" s="63">
        <f t="shared" si="1790"/>
        <v>0.21705735660847877</v>
      </c>
      <c r="L3519" s="871" t="s">
        <v>2603</v>
      </c>
      <c r="M3519" s="468"/>
      <c r="N3519" s="664">
        <f t="shared" si="1773"/>
        <v>201119</v>
      </c>
      <c r="O3519" s="71" t="s">
        <v>194</v>
      </c>
      <c r="P3519" s="164" t="str">
        <f t="shared" si="1774"/>
        <v>Agfa Film(28inch)</v>
      </c>
      <c r="Q3519" s="71">
        <f t="shared" si="1775"/>
        <v>2</v>
      </c>
      <c r="R3519" s="102">
        <f>VLOOKUP(P3519,[5]Price!B$1:D$65536,3,FALSE)</f>
        <v>313960</v>
      </c>
      <c r="S3519" s="102">
        <f t="shared" si="1785"/>
        <v>690712</v>
      </c>
      <c r="T3519" s="102">
        <f t="shared" si="1786"/>
        <v>627920</v>
      </c>
      <c r="U3519" s="71" t="str">
        <f t="shared" si="1791"/>
        <v>O</v>
      </c>
      <c r="V3519" s="71"/>
      <c r="W3519" s="474">
        <f>(G3519-T3519)</f>
        <v>174080</v>
      </c>
      <c r="X3519" s="71"/>
      <c r="Y3519" s="71"/>
    </row>
    <row r="3520" spans="1:25" ht="30" hidden="1" customHeight="1" x14ac:dyDescent="0.25">
      <c r="A3520" s="82">
        <v>201119</v>
      </c>
      <c r="B3520" s="664" t="s">
        <v>442</v>
      </c>
      <c r="C3520" s="71" t="s">
        <v>208</v>
      </c>
      <c r="D3520" s="71">
        <v>2</v>
      </c>
      <c r="E3520" s="102">
        <v>448000</v>
      </c>
      <c r="F3520" s="102">
        <f t="shared" si="1778"/>
        <v>985600.00000000012</v>
      </c>
      <c r="G3520" s="102">
        <f t="shared" si="1779"/>
        <v>896000</v>
      </c>
      <c r="H3520" s="690" t="s">
        <v>2029</v>
      </c>
      <c r="I3520" s="71" t="s">
        <v>195</v>
      </c>
      <c r="J3520" s="53">
        <f>(G3520-(VLOOKUP(C3520,[5]Price!B$1:D$65536,3,FALSE)*D3520))</f>
        <v>155980</v>
      </c>
      <c r="K3520" s="63">
        <f t="shared" si="1790"/>
        <v>0.1740848214285714</v>
      </c>
      <c r="L3520" s="871" t="s">
        <v>2603</v>
      </c>
      <c r="M3520" s="468"/>
      <c r="N3520" s="664">
        <f t="shared" si="1773"/>
        <v>201119</v>
      </c>
      <c r="O3520" s="71" t="s">
        <v>194</v>
      </c>
      <c r="P3520" s="164" t="str">
        <f t="shared" si="1774"/>
        <v>Agfa Film(32inch)</v>
      </c>
      <c r="Q3520" s="71">
        <f t="shared" si="1775"/>
        <v>2</v>
      </c>
      <c r="R3520" s="102">
        <f>VLOOKUP(P3520,[5]Price!B$1:D$65536,3,FALSE)</f>
        <v>370010</v>
      </c>
      <c r="S3520" s="102">
        <f t="shared" si="1785"/>
        <v>814022.00000000012</v>
      </c>
      <c r="T3520" s="102">
        <f t="shared" si="1786"/>
        <v>740020</v>
      </c>
      <c r="U3520" s="71" t="str">
        <f t="shared" si="1791"/>
        <v>O</v>
      </c>
      <c r="V3520" s="71"/>
      <c r="W3520" s="474">
        <f>(G3520-T3520)</f>
        <v>155980</v>
      </c>
      <c r="X3520" s="71"/>
      <c r="Y3520" s="71"/>
    </row>
    <row r="3521" spans="1:25" ht="30" hidden="1" customHeight="1" x14ac:dyDescent="0.2">
      <c r="A3521" s="82">
        <v>201119</v>
      </c>
      <c r="B3521" s="664" t="s">
        <v>442</v>
      </c>
      <c r="C3521" s="71" t="s">
        <v>650</v>
      </c>
      <c r="D3521" s="71">
        <v>1</v>
      </c>
      <c r="E3521" s="102">
        <v>93000</v>
      </c>
      <c r="F3521" s="102">
        <f t="shared" si="1778"/>
        <v>102300.00000000001</v>
      </c>
      <c r="G3521" s="102">
        <f t="shared" si="1779"/>
        <v>93000</v>
      </c>
      <c r="H3521" s="165" t="s">
        <v>172</v>
      </c>
      <c r="I3521" s="71" t="s">
        <v>141</v>
      </c>
      <c r="J3521" s="53">
        <f>(G3521-(VLOOKUP(C3521,Price!B:D,3,FALSE)*D3521))</f>
        <v>33000</v>
      </c>
      <c r="K3521" s="63">
        <f t="shared" si="1790"/>
        <v>0.35483870967741932</v>
      </c>
      <c r="L3521" s="871" t="s">
        <v>2603</v>
      </c>
      <c r="M3521" s="468"/>
      <c r="N3521" s="664">
        <f t="shared" si="1773"/>
        <v>201119</v>
      </c>
      <c r="O3521" s="71" t="s">
        <v>145</v>
      </c>
      <c r="P3521" s="164" t="str">
        <f t="shared" si="1774"/>
        <v>Agfa 정착액 G333C(20L)</v>
      </c>
      <c r="Q3521" s="71">
        <f t="shared" si="1775"/>
        <v>1</v>
      </c>
      <c r="R3521" s="102">
        <f>VLOOKUP(P3521,Price!B:D,3,FALSE)</f>
        <v>60000</v>
      </c>
      <c r="S3521" s="102">
        <f t="shared" si="1785"/>
        <v>66000</v>
      </c>
      <c r="T3521" s="102">
        <f t="shared" si="1786"/>
        <v>60000</v>
      </c>
      <c r="U3521" s="71" t="str">
        <f t="shared" si="1791"/>
        <v>O</v>
      </c>
      <c r="V3521" s="71"/>
      <c r="W3521" s="474">
        <f>(G3521-T3521)</f>
        <v>33000</v>
      </c>
      <c r="X3521" s="71"/>
      <c r="Y3521" s="71"/>
    </row>
    <row r="3522" spans="1:25" ht="30" hidden="1" customHeight="1" x14ac:dyDescent="0.25">
      <c r="A3522" s="82">
        <v>201119</v>
      </c>
      <c r="B3522" s="664" t="s">
        <v>2155</v>
      </c>
      <c r="C3522" s="760" t="s">
        <v>218</v>
      </c>
      <c r="D3522" s="71">
        <v>5</v>
      </c>
      <c r="E3522" s="102">
        <v>192500</v>
      </c>
      <c r="F3522" s="102">
        <f t="shared" si="1778"/>
        <v>1058750</v>
      </c>
      <c r="G3522" s="102">
        <f t="shared" si="1779"/>
        <v>962500</v>
      </c>
      <c r="H3522" s="690" t="s">
        <v>173</v>
      </c>
      <c r="I3522" s="71" t="s">
        <v>120</v>
      </c>
      <c r="J3522" s="53">
        <f>G3522-T3522</f>
        <v>400000</v>
      </c>
      <c r="K3522" s="63">
        <v>0.4155844155844155</v>
      </c>
      <c r="L3522" s="871" t="s">
        <v>2603</v>
      </c>
      <c r="M3522" s="468"/>
      <c r="N3522" s="664">
        <f t="shared" si="1773"/>
        <v>201119</v>
      </c>
      <c r="O3522" s="71" t="s">
        <v>150</v>
      </c>
      <c r="P3522" s="164" t="str">
        <f t="shared" si="1774"/>
        <v>Fount Web 551AF</v>
      </c>
      <c r="Q3522" s="71">
        <f t="shared" si="1775"/>
        <v>5</v>
      </c>
      <c r="R3522" s="102">
        <v>112500</v>
      </c>
      <c r="S3522" s="102">
        <f t="shared" si="1785"/>
        <v>618750</v>
      </c>
      <c r="T3522" s="102">
        <f t="shared" si="1786"/>
        <v>562500</v>
      </c>
      <c r="U3522" s="71" t="str">
        <f t="shared" si="1791"/>
        <v>X</v>
      </c>
      <c r="V3522" s="71"/>
      <c r="W3522" s="474">
        <v>640000</v>
      </c>
      <c r="X3522" s="71"/>
      <c r="Y3522" s="71"/>
    </row>
    <row r="3523" spans="1:25" ht="30" hidden="1" customHeight="1" x14ac:dyDescent="0.25">
      <c r="A3523" s="82">
        <v>201119</v>
      </c>
      <c r="B3523" s="664" t="s">
        <v>2155</v>
      </c>
      <c r="C3523" s="71" t="s">
        <v>277</v>
      </c>
      <c r="D3523" s="71">
        <v>5</v>
      </c>
      <c r="E3523" s="102">
        <v>172000</v>
      </c>
      <c r="F3523" s="102">
        <f t="shared" si="1778"/>
        <v>946000.00000000012</v>
      </c>
      <c r="G3523" s="102">
        <f t="shared" si="1779"/>
        <v>860000</v>
      </c>
      <c r="H3523" s="690" t="s">
        <v>173</v>
      </c>
      <c r="I3523" s="71" t="s">
        <v>108</v>
      </c>
      <c r="J3523" s="53">
        <f>G3523-T3523</f>
        <v>285000</v>
      </c>
      <c r="K3523" s="63">
        <v>0.33139534883720928</v>
      </c>
      <c r="L3523" s="871" t="s">
        <v>2603</v>
      </c>
      <c r="M3523" s="468"/>
      <c r="N3523" s="664">
        <f t="shared" si="1773"/>
        <v>201119</v>
      </c>
      <c r="O3523" s="71" t="s">
        <v>150</v>
      </c>
      <c r="P3523" s="164" t="str">
        <f t="shared" si="1774"/>
        <v>윤전용 세척제(Web 504)</v>
      </c>
      <c r="Q3523" s="71">
        <f t="shared" si="1775"/>
        <v>5</v>
      </c>
      <c r="R3523" s="102">
        <v>115000</v>
      </c>
      <c r="S3523" s="102">
        <f t="shared" si="1785"/>
        <v>632500</v>
      </c>
      <c r="T3523" s="102">
        <f t="shared" si="1786"/>
        <v>575000</v>
      </c>
      <c r="U3523" s="71" t="str">
        <f t="shared" si="1791"/>
        <v>O</v>
      </c>
      <c r="V3523" s="71"/>
      <c r="W3523" s="474">
        <v>285000</v>
      </c>
      <c r="X3523" s="71"/>
      <c r="Y3523" s="71"/>
    </row>
    <row r="3524" spans="1:25" ht="30" hidden="1" customHeight="1" x14ac:dyDescent="0.25">
      <c r="A3524" s="82">
        <v>201119</v>
      </c>
      <c r="B3524" s="674" t="s">
        <v>2276</v>
      </c>
      <c r="C3524" s="409" t="s">
        <v>2608</v>
      </c>
      <c r="D3524" s="409">
        <v>1</v>
      </c>
      <c r="E3524" s="208">
        <v>1000000</v>
      </c>
      <c r="F3524" s="102">
        <f t="shared" si="1778"/>
        <v>1100000</v>
      </c>
      <c r="G3524" s="102">
        <f t="shared" si="1779"/>
        <v>1000000</v>
      </c>
      <c r="H3524" s="690" t="s">
        <v>1432</v>
      </c>
      <c r="I3524" s="690" t="s">
        <v>1432</v>
      </c>
      <c r="J3524" s="53">
        <f>G3524-T3524</f>
        <v>750000</v>
      </c>
      <c r="K3524" s="63">
        <f>(J3524/(F3524/11*10))</f>
        <v>0.75</v>
      </c>
      <c r="L3524" s="871" t="s">
        <v>2603</v>
      </c>
      <c r="M3524" s="583" t="s">
        <v>2632</v>
      </c>
      <c r="N3524" s="664">
        <f t="shared" si="1773"/>
        <v>201119</v>
      </c>
      <c r="O3524" s="409" t="s">
        <v>94</v>
      </c>
      <c r="P3524" s="164" t="str">
        <f t="shared" si="1774"/>
        <v>도져 수리</v>
      </c>
      <c r="Q3524" s="71">
        <f t="shared" si="1775"/>
        <v>1</v>
      </c>
      <c r="R3524" s="524">
        <v>250000</v>
      </c>
      <c r="S3524" s="102">
        <f t="shared" si="1785"/>
        <v>275000</v>
      </c>
      <c r="T3524" s="102">
        <f t="shared" si="1786"/>
        <v>250000</v>
      </c>
      <c r="U3524" s="209"/>
      <c r="V3524" s="209"/>
      <c r="W3524" s="515"/>
      <c r="X3524" s="209"/>
      <c r="Y3524" s="209"/>
    </row>
    <row r="3525" spans="1:25" ht="30" hidden="1" customHeight="1" x14ac:dyDescent="0.25">
      <c r="A3525" s="82">
        <v>201120</v>
      </c>
      <c r="B3525" s="674" t="s">
        <v>2155</v>
      </c>
      <c r="C3525" s="409" t="s">
        <v>2009</v>
      </c>
      <c r="D3525" s="409">
        <v>1</v>
      </c>
      <c r="E3525" s="208">
        <v>700000</v>
      </c>
      <c r="F3525" s="102">
        <f t="shared" si="1778"/>
        <v>770000.00000000012</v>
      </c>
      <c r="G3525" s="102">
        <f t="shared" si="1779"/>
        <v>700000</v>
      </c>
      <c r="H3525" s="690" t="s">
        <v>985</v>
      </c>
      <c r="I3525" s="690" t="s">
        <v>985</v>
      </c>
      <c r="J3525" s="53"/>
      <c r="K3525" s="63"/>
      <c r="L3525" s="871" t="s">
        <v>2603</v>
      </c>
      <c r="M3525" s="583"/>
      <c r="N3525" s="664">
        <f t="shared" si="1773"/>
        <v>201120</v>
      </c>
      <c r="O3525" s="71"/>
      <c r="P3525" s="164" t="str">
        <f t="shared" si="1774"/>
        <v>M600 서비스 비용</v>
      </c>
      <c r="Q3525" s="71">
        <f t="shared" si="1775"/>
        <v>1</v>
      </c>
      <c r="R3525" s="71"/>
      <c r="S3525" s="102">
        <f t="shared" si="1785"/>
        <v>0</v>
      </c>
      <c r="T3525" s="102">
        <f t="shared" si="1786"/>
        <v>0</v>
      </c>
      <c r="U3525" s="209"/>
      <c r="V3525" s="209"/>
      <c r="W3525" s="515"/>
      <c r="X3525" s="209"/>
      <c r="Y3525" s="209"/>
    </row>
    <row r="3526" spans="1:25" s="209" customFormat="1" ht="30" hidden="1" customHeight="1" x14ac:dyDescent="0.25">
      <c r="A3526" s="82">
        <v>201120</v>
      </c>
      <c r="B3526" s="671" t="s">
        <v>442</v>
      </c>
      <c r="C3526" s="682" t="s">
        <v>107</v>
      </c>
      <c r="D3526" s="682">
        <v>6</v>
      </c>
      <c r="E3526" s="702">
        <v>105000</v>
      </c>
      <c r="F3526" s="102">
        <f t="shared" si="1778"/>
        <v>693000</v>
      </c>
      <c r="G3526" s="102">
        <f t="shared" si="1779"/>
        <v>630000</v>
      </c>
      <c r="H3526" s="690" t="s">
        <v>173</v>
      </c>
      <c r="I3526" s="71" t="s">
        <v>109</v>
      </c>
      <c r="J3526" s="53">
        <f>(G3526-(VLOOKUP(C3526,Price!B:D,3,FALSE)*D3526))</f>
        <v>147000</v>
      </c>
      <c r="K3526" s="63">
        <f t="shared" ref="K3526:K3531" si="1792">(J3526/(F3526/11*10))</f>
        <v>0.23333333333333334</v>
      </c>
      <c r="L3526" s="871" t="s">
        <v>2603</v>
      </c>
      <c r="M3526" s="579"/>
      <c r="N3526" s="664">
        <f t="shared" si="1773"/>
        <v>201120</v>
      </c>
      <c r="O3526" s="682" t="s">
        <v>147</v>
      </c>
      <c r="P3526" s="164" t="str">
        <f t="shared" si="1774"/>
        <v>Blanket(1050*840)</v>
      </c>
      <c r="Q3526" s="71">
        <f t="shared" si="1775"/>
        <v>6</v>
      </c>
      <c r="R3526" s="202">
        <v>80500</v>
      </c>
      <c r="S3526" s="102">
        <f t="shared" si="1785"/>
        <v>531300</v>
      </c>
      <c r="T3526" s="102">
        <f t="shared" si="1786"/>
        <v>483000</v>
      </c>
      <c r="U3526" s="209" t="str">
        <f>IF(J3526=W3526,"O", "X")</f>
        <v>O</v>
      </c>
      <c r="W3526" s="482">
        <f>(G3526-T3526)</f>
        <v>147000</v>
      </c>
    </row>
    <row r="3527" spans="1:25" s="209" customFormat="1" ht="30" hidden="1" customHeight="1" x14ac:dyDescent="0.2">
      <c r="A3527" s="82">
        <v>201120</v>
      </c>
      <c r="B3527" s="664" t="s">
        <v>2353</v>
      </c>
      <c r="C3527" s="71" t="s">
        <v>138</v>
      </c>
      <c r="D3527" s="71">
        <v>10</v>
      </c>
      <c r="E3527" s="102">
        <v>54400</v>
      </c>
      <c r="F3527" s="102">
        <f t="shared" si="1778"/>
        <v>598400</v>
      </c>
      <c r="G3527" s="102">
        <f t="shared" si="1779"/>
        <v>544000</v>
      </c>
      <c r="H3527" s="165" t="s">
        <v>142</v>
      </c>
      <c r="I3527" s="71" t="s">
        <v>142</v>
      </c>
      <c r="J3527" s="53">
        <f>G3527-T3527</f>
        <v>136000</v>
      </c>
      <c r="K3527" s="63">
        <f t="shared" si="1792"/>
        <v>0.25</v>
      </c>
      <c r="L3527" s="871" t="s">
        <v>2603</v>
      </c>
      <c r="M3527" s="468" t="s">
        <v>2214</v>
      </c>
      <c r="N3527" s="664">
        <f t="shared" si="1773"/>
        <v>201120</v>
      </c>
      <c r="O3527" s="71" t="s">
        <v>2030</v>
      </c>
      <c r="P3527" s="164" t="str">
        <f t="shared" si="1774"/>
        <v>매엽용 세척제(Wash 562)</v>
      </c>
      <c r="Q3527" s="71">
        <f t="shared" si="1775"/>
        <v>10</v>
      </c>
      <c r="R3527" s="102">
        <v>40800</v>
      </c>
      <c r="S3527" s="102">
        <f t="shared" si="1785"/>
        <v>448800.00000000006</v>
      </c>
      <c r="T3527" s="102">
        <f t="shared" si="1786"/>
        <v>408000</v>
      </c>
      <c r="U3527" s="71" t="str">
        <f>IF(J3527=W3527,"O", "X")</f>
        <v>O</v>
      </c>
      <c r="V3527" s="71"/>
      <c r="W3527" s="474">
        <f>(G3527-T3527)</f>
        <v>136000</v>
      </c>
      <c r="X3527" s="71"/>
      <c r="Y3527" s="71"/>
    </row>
    <row r="3528" spans="1:25" s="209" customFormat="1" ht="30" hidden="1" customHeight="1" x14ac:dyDescent="0.2">
      <c r="A3528" s="82">
        <v>201120</v>
      </c>
      <c r="B3528" s="664" t="s">
        <v>2353</v>
      </c>
      <c r="C3528" s="71" t="s">
        <v>130</v>
      </c>
      <c r="D3528" s="71">
        <v>20</v>
      </c>
      <c r="E3528" s="102">
        <v>125000</v>
      </c>
      <c r="F3528" s="102">
        <f t="shared" si="1778"/>
        <v>2750000</v>
      </c>
      <c r="G3528" s="102">
        <f t="shared" si="1779"/>
        <v>2500000</v>
      </c>
      <c r="H3528" s="165" t="s">
        <v>142</v>
      </c>
      <c r="I3528" s="71" t="s">
        <v>142</v>
      </c>
      <c r="J3528" s="53">
        <f>(G3528-(VLOOKUP(C3528,Price!B:D,3,FALSE)*D3528))</f>
        <v>520000</v>
      </c>
      <c r="K3528" s="63">
        <f t="shared" si="1792"/>
        <v>0.20799999999999999</v>
      </c>
      <c r="L3528" s="871" t="s">
        <v>2603</v>
      </c>
      <c r="M3528" s="468" t="s">
        <v>2050</v>
      </c>
      <c r="N3528" s="664">
        <f t="shared" si="1773"/>
        <v>201120</v>
      </c>
      <c r="O3528" s="71" t="s">
        <v>150</v>
      </c>
      <c r="P3528" s="164" t="str">
        <f t="shared" si="1774"/>
        <v>XL106 Blanket(1077*885)</v>
      </c>
      <c r="Q3528" s="71">
        <f t="shared" si="1775"/>
        <v>20</v>
      </c>
      <c r="R3528" s="102">
        <v>99000</v>
      </c>
      <c r="S3528" s="102">
        <f t="shared" si="1785"/>
        <v>2178000</v>
      </c>
      <c r="T3528" s="102">
        <f t="shared" si="1786"/>
        <v>1980000</v>
      </c>
      <c r="U3528" s="71" t="str">
        <f>IF(J3528=W3528,"O", "X")</f>
        <v>O</v>
      </c>
      <c r="V3528" s="71"/>
      <c r="W3528" s="474">
        <f>(G3528-T3528)</f>
        <v>520000</v>
      </c>
      <c r="X3528" s="71"/>
      <c r="Y3528" s="71"/>
    </row>
    <row r="3529" spans="1:25" ht="30" hidden="1" customHeight="1" x14ac:dyDescent="0.2">
      <c r="A3529" s="82">
        <v>201120</v>
      </c>
      <c r="B3529" s="664" t="s">
        <v>2353</v>
      </c>
      <c r="C3529" s="71" t="s">
        <v>129</v>
      </c>
      <c r="D3529" s="71">
        <v>5</v>
      </c>
      <c r="E3529" s="102">
        <v>272000</v>
      </c>
      <c r="F3529" s="102">
        <f t="shared" si="1778"/>
        <v>1496000.0000000002</v>
      </c>
      <c r="G3529" s="102">
        <f t="shared" si="1779"/>
        <v>1360000</v>
      </c>
      <c r="H3529" s="165" t="s">
        <v>142</v>
      </c>
      <c r="I3529" s="71" t="s">
        <v>142</v>
      </c>
      <c r="J3529" s="53">
        <f t="shared" ref="J3529:J3565" si="1793">G3529-T3529</f>
        <v>296000</v>
      </c>
      <c r="K3529" s="63">
        <f t="shared" si="1792"/>
        <v>0.21764705882352939</v>
      </c>
      <c r="L3529" s="871" t="s">
        <v>2603</v>
      </c>
      <c r="M3529" s="468" t="s">
        <v>2050</v>
      </c>
      <c r="N3529" s="664">
        <f t="shared" si="1773"/>
        <v>201120</v>
      </c>
      <c r="O3529" s="71" t="s">
        <v>149</v>
      </c>
      <c r="P3529" s="164" t="str">
        <f t="shared" si="1774"/>
        <v>세정포-XL106</v>
      </c>
      <c r="Q3529" s="71">
        <f t="shared" si="1775"/>
        <v>5</v>
      </c>
      <c r="R3529" s="102">
        <v>212800</v>
      </c>
      <c r="S3529" s="102">
        <f t="shared" si="1785"/>
        <v>1170400</v>
      </c>
      <c r="T3529" s="102">
        <f t="shared" si="1786"/>
        <v>1064000</v>
      </c>
      <c r="U3529" s="71" t="str">
        <f>IF(J3529=W3529,"O", "X")</f>
        <v>O</v>
      </c>
      <c r="V3529" s="71"/>
      <c r="W3529" s="474">
        <f>(G3529-T3529)</f>
        <v>296000</v>
      </c>
      <c r="X3529" s="71"/>
      <c r="Y3529" s="71"/>
    </row>
    <row r="3530" spans="1:25" ht="30" hidden="1" customHeight="1" x14ac:dyDescent="0.25">
      <c r="A3530" s="82">
        <v>201120</v>
      </c>
      <c r="B3530" s="664" t="s">
        <v>2579</v>
      </c>
      <c r="C3530" s="71" t="s">
        <v>2604</v>
      </c>
      <c r="D3530" s="71">
        <v>1</v>
      </c>
      <c r="E3530" s="102">
        <v>1250000</v>
      </c>
      <c r="F3530" s="102">
        <f t="shared" si="1778"/>
        <v>1375000</v>
      </c>
      <c r="G3530" s="102">
        <f t="shared" si="1779"/>
        <v>1250000</v>
      </c>
      <c r="H3530" s="690" t="s">
        <v>142</v>
      </c>
      <c r="I3530" s="690" t="s">
        <v>142</v>
      </c>
      <c r="J3530" s="53">
        <f t="shared" si="1793"/>
        <v>250000</v>
      </c>
      <c r="K3530" s="63">
        <f t="shared" si="1792"/>
        <v>0.2</v>
      </c>
      <c r="L3530" s="871" t="s">
        <v>2603</v>
      </c>
      <c r="M3530" s="468"/>
      <c r="N3530" s="664">
        <f t="shared" si="1773"/>
        <v>201120</v>
      </c>
      <c r="O3530" s="71" t="s">
        <v>150</v>
      </c>
      <c r="P3530" s="164" t="str">
        <f t="shared" si="1774"/>
        <v>집진기 필터</v>
      </c>
      <c r="Q3530" s="71">
        <f t="shared" si="1775"/>
        <v>1</v>
      </c>
      <c r="R3530" s="102">
        <v>1000000</v>
      </c>
      <c r="S3530" s="102">
        <f t="shared" si="1785"/>
        <v>1100000</v>
      </c>
      <c r="T3530" s="102">
        <f t="shared" si="1786"/>
        <v>1000000</v>
      </c>
      <c r="U3530" s="71"/>
      <c r="V3530" s="71"/>
      <c r="W3530" s="474"/>
      <c r="X3530" s="71"/>
      <c r="Y3530" s="71"/>
    </row>
    <row r="3531" spans="1:25" ht="30" customHeight="1" x14ac:dyDescent="0.25">
      <c r="A3531" s="82">
        <v>201120</v>
      </c>
      <c r="B3531" s="664" t="s">
        <v>2352</v>
      </c>
      <c r="C3531" s="760" t="s">
        <v>218</v>
      </c>
      <c r="D3531" s="71">
        <v>4</v>
      </c>
      <c r="E3531" s="102">
        <v>235000</v>
      </c>
      <c r="F3531" s="102">
        <f t="shared" si="1778"/>
        <v>1034000.0000000001</v>
      </c>
      <c r="G3531" s="102">
        <f t="shared" si="1779"/>
        <v>940000</v>
      </c>
      <c r="H3531" s="690" t="s">
        <v>142</v>
      </c>
      <c r="I3531" s="71" t="s">
        <v>142</v>
      </c>
      <c r="J3531" s="53">
        <f t="shared" si="1793"/>
        <v>490000</v>
      </c>
      <c r="K3531" s="63">
        <f t="shared" si="1792"/>
        <v>0.52127659574468077</v>
      </c>
      <c r="L3531" s="871" t="s">
        <v>2603</v>
      </c>
      <c r="M3531" s="468" t="s">
        <v>2053</v>
      </c>
      <c r="N3531" s="664">
        <f t="shared" si="1773"/>
        <v>201120</v>
      </c>
      <c r="O3531" s="71" t="s">
        <v>150</v>
      </c>
      <c r="P3531" s="164" t="str">
        <f t="shared" si="1774"/>
        <v>Fount Web 551AF</v>
      </c>
      <c r="Q3531" s="71">
        <f t="shared" si="1775"/>
        <v>4</v>
      </c>
      <c r="R3531" s="102">
        <v>112500</v>
      </c>
      <c r="S3531" s="102">
        <f t="shared" si="1785"/>
        <v>495000.00000000006</v>
      </c>
      <c r="T3531" s="102">
        <f t="shared" si="1786"/>
        <v>450000</v>
      </c>
      <c r="U3531" s="71" t="str">
        <f>IF(J3531=W3531,"O", "X")</f>
        <v>O</v>
      </c>
      <c r="V3531" s="71"/>
      <c r="W3531" s="474">
        <f>(G3531-T3531)</f>
        <v>490000</v>
      </c>
      <c r="X3531" s="71"/>
      <c r="Y3531" s="71"/>
    </row>
    <row r="3532" spans="1:25" s="209" customFormat="1" ht="30" hidden="1" customHeight="1" x14ac:dyDescent="0.25">
      <c r="A3532" s="82">
        <v>201123</v>
      </c>
      <c r="B3532" s="664" t="s">
        <v>2155</v>
      </c>
      <c r="C3532" s="71" t="s">
        <v>138</v>
      </c>
      <c r="D3532" s="71">
        <v>10</v>
      </c>
      <c r="E3532" s="102">
        <v>47600</v>
      </c>
      <c r="F3532" s="102">
        <f t="shared" si="1778"/>
        <v>523600.00000000006</v>
      </c>
      <c r="G3532" s="102">
        <f t="shared" si="1779"/>
        <v>476000</v>
      </c>
      <c r="H3532" s="1129" t="s">
        <v>172</v>
      </c>
      <c r="I3532" s="71" t="s">
        <v>108</v>
      </c>
      <c r="J3532" s="53">
        <f t="shared" si="1793"/>
        <v>68000</v>
      </c>
      <c r="K3532" s="63">
        <f t="shared" ref="K3532:K3540" si="1794">(J3532/(F3532/11*10))</f>
        <v>0.14285714285714285</v>
      </c>
      <c r="L3532" s="871" t="s">
        <v>2603</v>
      </c>
      <c r="M3532" s="468" t="s">
        <v>2214</v>
      </c>
      <c r="N3532" s="664">
        <f t="shared" ref="N3532:N3565" si="1795">A3532</f>
        <v>201123</v>
      </c>
      <c r="O3532" s="71" t="s">
        <v>150</v>
      </c>
      <c r="P3532" s="164" t="str">
        <f t="shared" ref="P3532:P3565" si="1796">(C3532)</f>
        <v>매엽용 세척제(Wash 562)</v>
      </c>
      <c r="Q3532" s="71">
        <f t="shared" ref="Q3532:Q3565" si="1797">D3532</f>
        <v>10</v>
      </c>
      <c r="R3532" s="102">
        <v>40800</v>
      </c>
      <c r="S3532" s="102">
        <f t="shared" ref="S3532:S3563" si="1798">R3532*Q3532*1.1</f>
        <v>448800.00000000006</v>
      </c>
      <c r="T3532" s="102">
        <f t="shared" ref="T3532:T3565" si="1799">R3532*Q3532</f>
        <v>408000</v>
      </c>
      <c r="U3532" s="71" t="str">
        <f>IF(J3532=W3532,"O", "X")</f>
        <v>X</v>
      </c>
      <c r="V3532" s="71"/>
      <c r="W3532" s="474">
        <v>85000</v>
      </c>
      <c r="X3532" s="71"/>
      <c r="Y3532" s="71"/>
    </row>
    <row r="3533" spans="1:25" s="209" customFormat="1" ht="30" hidden="1" customHeight="1" x14ac:dyDescent="0.25">
      <c r="A3533" s="82">
        <v>201123</v>
      </c>
      <c r="B3533" s="664" t="s">
        <v>567</v>
      </c>
      <c r="C3533" s="71" t="s">
        <v>236</v>
      </c>
      <c r="D3533" s="71">
        <v>5</v>
      </c>
      <c r="E3533" s="102">
        <v>65000</v>
      </c>
      <c r="F3533" s="102">
        <f t="shared" si="1778"/>
        <v>357500</v>
      </c>
      <c r="G3533" s="102">
        <f t="shared" si="1779"/>
        <v>325000</v>
      </c>
      <c r="H3533" s="690" t="s">
        <v>173</v>
      </c>
      <c r="I3533" s="71" t="s">
        <v>2231</v>
      </c>
      <c r="J3533" s="53">
        <f t="shared" si="1793"/>
        <v>75000</v>
      </c>
      <c r="K3533" s="63">
        <v>0.23076923076923078</v>
      </c>
      <c r="L3533" s="871" t="s">
        <v>2603</v>
      </c>
      <c r="M3533" s="468"/>
      <c r="N3533" s="664">
        <f t="shared" si="1795"/>
        <v>201123</v>
      </c>
      <c r="O3533" s="71" t="s">
        <v>153</v>
      </c>
      <c r="P3533" s="164" t="str">
        <f t="shared" si="1796"/>
        <v>아스테이지(국전)</v>
      </c>
      <c r="Q3533" s="71">
        <f t="shared" si="1797"/>
        <v>5</v>
      </c>
      <c r="R3533" s="102">
        <v>50000</v>
      </c>
      <c r="S3533" s="102">
        <f t="shared" si="1798"/>
        <v>275000</v>
      </c>
      <c r="T3533" s="102">
        <f t="shared" si="1799"/>
        <v>250000</v>
      </c>
      <c r="U3533" s="71" t="str">
        <f>IF(J3533=W3533,"O", "X")</f>
        <v>X</v>
      </c>
      <c r="V3533" s="71"/>
      <c r="W3533" s="474">
        <v>150000</v>
      </c>
      <c r="X3533" s="71"/>
      <c r="Y3533" s="71"/>
    </row>
    <row r="3534" spans="1:25" ht="30" hidden="1" customHeight="1" x14ac:dyDescent="0.25">
      <c r="A3534" s="82">
        <v>201123</v>
      </c>
      <c r="B3534" s="664" t="s">
        <v>690</v>
      </c>
      <c r="C3534" s="71" t="s">
        <v>2607</v>
      </c>
      <c r="D3534" s="71">
        <v>1</v>
      </c>
      <c r="E3534" s="102">
        <v>2900000</v>
      </c>
      <c r="F3534" s="102">
        <f t="shared" si="1778"/>
        <v>3190000.0000000005</v>
      </c>
      <c r="G3534" s="102">
        <f t="shared" si="1779"/>
        <v>2900000</v>
      </c>
      <c r="H3534" s="690" t="s">
        <v>173</v>
      </c>
      <c r="I3534" s="690" t="s">
        <v>2231</v>
      </c>
      <c r="J3534" s="53">
        <f t="shared" si="1793"/>
        <v>210000</v>
      </c>
      <c r="K3534" s="63">
        <f>(J3534/(F3534/11*10))</f>
        <v>7.2413793103448268E-2</v>
      </c>
      <c r="L3534" s="871" t="s">
        <v>2603</v>
      </c>
      <c r="M3534" s="468"/>
      <c r="N3534" s="664">
        <f t="shared" si="1795"/>
        <v>201123</v>
      </c>
      <c r="O3534" s="71" t="s">
        <v>145</v>
      </c>
      <c r="P3534" s="164" t="str">
        <f t="shared" si="1796"/>
        <v>CTP 서비스비용, 부품</v>
      </c>
      <c r="Q3534" s="71">
        <f t="shared" si="1797"/>
        <v>1</v>
      </c>
      <c r="R3534" s="102">
        <f>2220000+470000</f>
        <v>2690000</v>
      </c>
      <c r="S3534" s="102">
        <f t="shared" si="1798"/>
        <v>2959000.0000000005</v>
      </c>
      <c r="T3534" s="102">
        <f t="shared" si="1799"/>
        <v>2690000</v>
      </c>
      <c r="U3534" s="71"/>
      <c r="V3534" s="71"/>
      <c r="W3534" s="474"/>
      <c r="X3534" s="71"/>
      <c r="Y3534" s="71"/>
    </row>
    <row r="3535" spans="1:25" s="209" customFormat="1" ht="30" hidden="1" customHeight="1" x14ac:dyDescent="0.25">
      <c r="A3535" s="82">
        <v>201124</v>
      </c>
      <c r="B3535" s="664" t="s">
        <v>567</v>
      </c>
      <c r="C3535" s="71" t="s">
        <v>236</v>
      </c>
      <c r="D3535" s="71">
        <v>5</v>
      </c>
      <c r="E3535" s="102">
        <v>65000</v>
      </c>
      <c r="F3535" s="102">
        <f t="shared" ref="F3535:F3565" si="1800">(E3535*D3535)*1.1</f>
        <v>357500</v>
      </c>
      <c r="G3535" s="102">
        <f t="shared" ref="G3535:G3565" si="1801">(E3535*D3535)</f>
        <v>325000</v>
      </c>
      <c r="H3535" s="690" t="s">
        <v>173</v>
      </c>
      <c r="I3535" s="71" t="s">
        <v>2231</v>
      </c>
      <c r="J3535" s="53">
        <f t="shared" si="1793"/>
        <v>75000</v>
      </c>
      <c r="K3535" s="63">
        <v>0.23076923076923078</v>
      </c>
      <c r="L3535" s="871" t="s">
        <v>2603</v>
      </c>
      <c r="M3535" s="468"/>
      <c r="N3535" s="664">
        <f t="shared" si="1795"/>
        <v>201124</v>
      </c>
      <c r="O3535" s="71" t="s">
        <v>153</v>
      </c>
      <c r="P3535" s="164" t="str">
        <f t="shared" si="1796"/>
        <v>아스테이지(국전)</v>
      </c>
      <c r="Q3535" s="71">
        <f t="shared" si="1797"/>
        <v>5</v>
      </c>
      <c r="R3535" s="102">
        <v>50000</v>
      </c>
      <c r="S3535" s="102">
        <f t="shared" si="1798"/>
        <v>275000</v>
      </c>
      <c r="T3535" s="102">
        <f t="shared" si="1799"/>
        <v>250000</v>
      </c>
      <c r="U3535" s="71" t="str">
        <f>IF(J3535=W3535,"O", "X")</f>
        <v>X</v>
      </c>
      <c r="V3535" s="71"/>
      <c r="W3535" s="474">
        <v>150000</v>
      </c>
      <c r="X3535" s="71"/>
      <c r="Y3535" s="71"/>
    </row>
    <row r="3536" spans="1:25" s="209" customFormat="1" ht="30" hidden="1" customHeight="1" x14ac:dyDescent="0.25">
      <c r="A3536" s="82">
        <v>201124</v>
      </c>
      <c r="B3536" s="664" t="s">
        <v>2021</v>
      </c>
      <c r="C3536" s="71" t="s">
        <v>123</v>
      </c>
      <c r="D3536" s="71">
        <v>10</v>
      </c>
      <c r="E3536" s="102">
        <v>38000</v>
      </c>
      <c r="F3536" s="102">
        <f t="shared" si="1800"/>
        <v>418000.00000000006</v>
      </c>
      <c r="G3536" s="102">
        <f t="shared" si="1801"/>
        <v>380000</v>
      </c>
      <c r="H3536" s="690" t="s">
        <v>1432</v>
      </c>
      <c r="I3536" s="690" t="s">
        <v>1432</v>
      </c>
      <c r="J3536" s="53">
        <f t="shared" si="1793"/>
        <v>145000</v>
      </c>
      <c r="K3536" s="63">
        <f>(J3536/(F3536/11*10))</f>
        <v>0.38157894736842102</v>
      </c>
      <c r="L3536" s="871" t="s">
        <v>2603</v>
      </c>
      <c r="M3536" s="468"/>
      <c r="N3536" s="664">
        <f t="shared" si="1795"/>
        <v>201124</v>
      </c>
      <c r="O3536" s="71" t="s">
        <v>94</v>
      </c>
      <c r="P3536" s="164" t="str">
        <f t="shared" si="1796"/>
        <v>필터백</v>
      </c>
      <c r="Q3536" s="71">
        <f t="shared" si="1797"/>
        <v>10</v>
      </c>
      <c r="R3536" s="102">
        <v>23500</v>
      </c>
      <c r="S3536" s="102">
        <f t="shared" si="1798"/>
        <v>258500.00000000003</v>
      </c>
      <c r="T3536" s="102">
        <f t="shared" si="1799"/>
        <v>235000</v>
      </c>
      <c r="U3536" s="71"/>
      <c r="V3536" s="71"/>
      <c r="W3536" s="474"/>
      <c r="X3536" s="71"/>
      <c r="Y3536" s="71"/>
    </row>
    <row r="3537" spans="1:25" ht="30" hidden="1" customHeight="1" x14ac:dyDescent="0.25">
      <c r="A3537" s="82">
        <v>201124</v>
      </c>
      <c r="B3537" s="664" t="s">
        <v>690</v>
      </c>
      <c r="C3537" s="71" t="s">
        <v>123</v>
      </c>
      <c r="D3537" s="71">
        <v>10</v>
      </c>
      <c r="E3537" s="102">
        <v>40000</v>
      </c>
      <c r="F3537" s="102">
        <f t="shared" si="1800"/>
        <v>440000.00000000006</v>
      </c>
      <c r="G3537" s="102">
        <f t="shared" si="1801"/>
        <v>400000</v>
      </c>
      <c r="H3537" s="690" t="s">
        <v>1432</v>
      </c>
      <c r="I3537" s="690" t="s">
        <v>1432</v>
      </c>
      <c r="J3537" s="53">
        <f t="shared" si="1793"/>
        <v>165000</v>
      </c>
      <c r="K3537" s="63">
        <f>(J3537/(F3537/11*10))</f>
        <v>0.41249999999999992</v>
      </c>
      <c r="L3537" s="871" t="s">
        <v>2603</v>
      </c>
      <c r="M3537" s="468"/>
      <c r="N3537" s="664">
        <f t="shared" si="1795"/>
        <v>201124</v>
      </c>
      <c r="O3537" s="71" t="s">
        <v>94</v>
      </c>
      <c r="P3537" s="164" t="str">
        <f t="shared" si="1796"/>
        <v>필터백</v>
      </c>
      <c r="Q3537" s="71">
        <f t="shared" si="1797"/>
        <v>10</v>
      </c>
      <c r="R3537" s="102">
        <v>23500</v>
      </c>
      <c r="S3537" s="102">
        <f t="shared" si="1798"/>
        <v>258500.00000000003</v>
      </c>
      <c r="T3537" s="102">
        <f t="shared" si="1799"/>
        <v>235000</v>
      </c>
      <c r="U3537" s="71"/>
      <c r="V3537" s="71"/>
      <c r="W3537" s="474"/>
      <c r="X3537" s="71"/>
      <c r="Y3537" s="71"/>
    </row>
    <row r="3538" spans="1:25" ht="30" customHeight="1" x14ac:dyDescent="0.2">
      <c r="A3538" s="82">
        <v>201125</v>
      </c>
      <c r="B3538" s="664" t="s">
        <v>565</v>
      </c>
      <c r="C3538" s="71" t="s">
        <v>2081</v>
      </c>
      <c r="D3538" s="71">
        <v>100</v>
      </c>
      <c r="E3538" s="102">
        <v>69000</v>
      </c>
      <c r="F3538" s="102">
        <f t="shared" si="1800"/>
        <v>7590000.0000000009</v>
      </c>
      <c r="G3538" s="102">
        <f t="shared" si="1801"/>
        <v>6900000</v>
      </c>
      <c r="H3538" s="165" t="s">
        <v>173</v>
      </c>
      <c r="I3538" s="71" t="s">
        <v>108</v>
      </c>
      <c r="J3538" s="53">
        <f t="shared" si="1793"/>
        <v>1800000</v>
      </c>
      <c r="K3538" s="63">
        <f t="shared" si="1794"/>
        <v>0.26086956521739124</v>
      </c>
      <c r="L3538" s="871" t="s">
        <v>2603</v>
      </c>
      <c r="M3538" s="468"/>
      <c r="N3538" s="664">
        <f t="shared" si="1795"/>
        <v>201125</v>
      </c>
      <c r="O3538" s="71" t="s">
        <v>599</v>
      </c>
      <c r="P3538" s="164" t="str">
        <f t="shared" si="1796"/>
        <v>GOSS 신문윤전 습식세정포</v>
      </c>
      <c r="Q3538" s="71">
        <f t="shared" si="1797"/>
        <v>100</v>
      </c>
      <c r="R3538" s="102">
        <v>51000</v>
      </c>
      <c r="S3538" s="102">
        <f t="shared" si="1798"/>
        <v>5610000</v>
      </c>
      <c r="T3538" s="102">
        <f t="shared" si="1799"/>
        <v>5100000</v>
      </c>
      <c r="U3538" s="71" t="str">
        <f t="shared" ref="U3538:U3544" si="1802">IF(J3538=W3538,"O", "X")</f>
        <v>X</v>
      </c>
      <c r="V3538" s="71"/>
      <c r="W3538" s="474"/>
      <c r="X3538" s="71"/>
      <c r="Y3538" s="71"/>
    </row>
    <row r="3539" spans="1:25" ht="30" hidden="1" customHeight="1" x14ac:dyDescent="0.25">
      <c r="A3539" s="82">
        <v>201126</v>
      </c>
      <c r="B3539" s="664" t="s">
        <v>545</v>
      </c>
      <c r="C3539" s="71" t="s">
        <v>227</v>
      </c>
      <c r="D3539" s="71">
        <v>10</v>
      </c>
      <c r="E3539" s="102">
        <v>110000</v>
      </c>
      <c r="F3539" s="102">
        <f t="shared" si="1800"/>
        <v>1210000</v>
      </c>
      <c r="G3539" s="102">
        <f t="shared" si="1801"/>
        <v>1100000</v>
      </c>
      <c r="H3539" s="690" t="s">
        <v>173</v>
      </c>
      <c r="I3539" s="71" t="s">
        <v>109</v>
      </c>
      <c r="J3539" s="53">
        <f t="shared" si="1793"/>
        <v>271000</v>
      </c>
      <c r="K3539" s="63">
        <f t="shared" si="1794"/>
        <v>0.24636363636363637</v>
      </c>
      <c r="L3539" s="871" t="s">
        <v>2603</v>
      </c>
      <c r="M3539" s="468"/>
      <c r="N3539" s="664">
        <f t="shared" si="1795"/>
        <v>201126</v>
      </c>
      <c r="O3539" s="71" t="s">
        <v>147</v>
      </c>
      <c r="P3539" s="164" t="str">
        <f t="shared" si="1796"/>
        <v>Blanket(1060*860)</v>
      </c>
      <c r="Q3539" s="71">
        <f t="shared" si="1797"/>
        <v>10</v>
      </c>
      <c r="R3539" s="102">
        <v>82900</v>
      </c>
      <c r="S3539" s="102">
        <f t="shared" si="1798"/>
        <v>911900.00000000012</v>
      </c>
      <c r="T3539" s="102">
        <f t="shared" si="1799"/>
        <v>829000</v>
      </c>
      <c r="U3539" s="71" t="str">
        <f t="shared" si="1802"/>
        <v>O</v>
      </c>
      <c r="V3539" s="71"/>
      <c r="W3539" s="474">
        <f>(G3539-T3539)</f>
        <v>271000</v>
      </c>
      <c r="X3539" s="71"/>
      <c r="Y3539" s="71"/>
    </row>
    <row r="3540" spans="1:25" ht="30" hidden="1" customHeight="1" x14ac:dyDescent="0.25">
      <c r="A3540" s="82">
        <v>201126</v>
      </c>
      <c r="B3540" s="664" t="s">
        <v>545</v>
      </c>
      <c r="C3540" s="71" t="s">
        <v>952</v>
      </c>
      <c r="D3540" s="71">
        <v>1</v>
      </c>
      <c r="E3540" s="102">
        <v>630000</v>
      </c>
      <c r="F3540" s="102">
        <f t="shared" si="1800"/>
        <v>693000</v>
      </c>
      <c r="G3540" s="102">
        <f t="shared" si="1801"/>
        <v>630000</v>
      </c>
      <c r="H3540" s="690" t="s">
        <v>173</v>
      </c>
      <c r="I3540" s="71" t="s">
        <v>108</v>
      </c>
      <c r="J3540" s="53">
        <f t="shared" si="1793"/>
        <v>190000</v>
      </c>
      <c r="K3540" s="63">
        <f t="shared" si="1794"/>
        <v>0.30158730158730157</v>
      </c>
      <c r="L3540" s="871" t="s">
        <v>2603</v>
      </c>
      <c r="M3540" s="468"/>
      <c r="N3540" s="664">
        <f t="shared" si="1795"/>
        <v>201126</v>
      </c>
      <c r="O3540" s="71" t="s">
        <v>599</v>
      </c>
      <c r="P3540" s="164" t="str">
        <f t="shared" si="1796"/>
        <v>점보롤 세정포</v>
      </c>
      <c r="Q3540" s="71">
        <f t="shared" si="1797"/>
        <v>1</v>
      </c>
      <c r="R3540" s="102">
        <v>440000</v>
      </c>
      <c r="S3540" s="102">
        <f t="shared" si="1798"/>
        <v>484000.00000000006</v>
      </c>
      <c r="T3540" s="102">
        <f t="shared" si="1799"/>
        <v>440000</v>
      </c>
      <c r="U3540" s="71" t="str">
        <f t="shared" si="1802"/>
        <v>O</v>
      </c>
      <c r="V3540" s="71" t="s">
        <v>1228</v>
      </c>
      <c r="W3540" s="474">
        <f>(G3540-T3540)</f>
        <v>190000</v>
      </c>
      <c r="X3540" s="71"/>
      <c r="Y3540" s="71"/>
    </row>
    <row r="3541" spans="1:25" ht="30" hidden="1" customHeight="1" x14ac:dyDescent="0.25">
      <c r="A3541" s="82">
        <v>201126</v>
      </c>
      <c r="B3541" s="664" t="s">
        <v>2155</v>
      </c>
      <c r="C3541" s="760" t="s">
        <v>218</v>
      </c>
      <c r="D3541" s="71">
        <v>5</v>
      </c>
      <c r="E3541" s="102">
        <v>192500</v>
      </c>
      <c r="F3541" s="102">
        <f t="shared" si="1800"/>
        <v>1058750</v>
      </c>
      <c r="G3541" s="102">
        <f t="shared" si="1801"/>
        <v>962500</v>
      </c>
      <c r="H3541" s="690" t="s">
        <v>173</v>
      </c>
      <c r="I3541" s="71" t="s">
        <v>120</v>
      </c>
      <c r="J3541" s="53">
        <f t="shared" si="1793"/>
        <v>400000</v>
      </c>
      <c r="K3541" s="63">
        <v>0.4155844155844155</v>
      </c>
      <c r="L3541" s="871" t="s">
        <v>2603</v>
      </c>
      <c r="M3541" s="468"/>
      <c r="N3541" s="664">
        <f t="shared" si="1795"/>
        <v>201126</v>
      </c>
      <c r="O3541" s="71" t="s">
        <v>150</v>
      </c>
      <c r="P3541" s="164" t="str">
        <f t="shared" si="1796"/>
        <v>Fount Web 551AF</v>
      </c>
      <c r="Q3541" s="71">
        <f t="shared" si="1797"/>
        <v>5</v>
      </c>
      <c r="R3541" s="102">
        <v>112500</v>
      </c>
      <c r="S3541" s="102">
        <f t="shared" si="1798"/>
        <v>618750</v>
      </c>
      <c r="T3541" s="102">
        <f t="shared" si="1799"/>
        <v>562500</v>
      </c>
      <c r="U3541" s="71" t="str">
        <f t="shared" si="1802"/>
        <v>X</v>
      </c>
      <c r="V3541" s="71"/>
      <c r="W3541" s="474">
        <v>640000</v>
      </c>
      <c r="X3541" s="71"/>
      <c r="Y3541" s="71"/>
    </row>
    <row r="3542" spans="1:25" ht="30" hidden="1" customHeight="1" x14ac:dyDescent="0.25">
      <c r="A3542" s="82">
        <v>201126</v>
      </c>
      <c r="B3542" s="664" t="s">
        <v>2155</v>
      </c>
      <c r="C3542" s="71" t="s">
        <v>277</v>
      </c>
      <c r="D3542" s="71">
        <v>3</v>
      </c>
      <c r="E3542" s="102">
        <v>172000</v>
      </c>
      <c r="F3542" s="102">
        <f t="shared" si="1800"/>
        <v>567600</v>
      </c>
      <c r="G3542" s="102">
        <f t="shared" si="1801"/>
        <v>516000</v>
      </c>
      <c r="H3542" s="690" t="s">
        <v>173</v>
      </c>
      <c r="I3542" s="71" t="s">
        <v>108</v>
      </c>
      <c r="J3542" s="53">
        <f t="shared" si="1793"/>
        <v>171000</v>
      </c>
      <c r="K3542" s="63">
        <v>0.33139534883720928</v>
      </c>
      <c r="L3542" s="871" t="s">
        <v>2603</v>
      </c>
      <c r="M3542" s="468"/>
      <c r="N3542" s="664">
        <f t="shared" si="1795"/>
        <v>201126</v>
      </c>
      <c r="O3542" s="71" t="s">
        <v>150</v>
      </c>
      <c r="P3542" s="164" t="str">
        <f t="shared" si="1796"/>
        <v>윤전용 세척제(Web 504)</v>
      </c>
      <c r="Q3542" s="71">
        <f t="shared" si="1797"/>
        <v>3</v>
      </c>
      <c r="R3542" s="102">
        <v>115000</v>
      </c>
      <c r="S3542" s="102">
        <f t="shared" si="1798"/>
        <v>379500.00000000006</v>
      </c>
      <c r="T3542" s="102">
        <f t="shared" si="1799"/>
        <v>345000</v>
      </c>
      <c r="U3542" s="71" t="str">
        <f t="shared" si="1802"/>
        <v>X</v>
      </c>
      <c r="V3542" s="71"/>
      <c r="W3542" s="474">
        <v>285000</v>
      </c>
      <c r="X3542" s="71"/>
      <c r="Y3542" s="71"/>
    </row>
    <row r="3543" spans="1:25" s="209" customFormat="1" ht="30" hidden="1" customHeight="1" x14ac:dyDescent="0.25">
      <c r="A3543" s="82">
        <v>201126</v>
      </c>
      <c r="B3543" s="664" t="s">
        <v>2155</v>
      </c>
      <c r="C3543" s="71" t="s">
        <v>138</v>
      </c>
      <c r="D3543" s="71">
        <v>5</v>
      </c>
      <c r="E3543" s="102">
        <v>47600</v>
      </c>
      <c r="F3543" s="102">
        <f t="shared" si="1800"/>
        <v>261800.00000000003</v>
      </c>
      <c r="G3543" s="102">
        <f t="shared" si="1801"/>
        <v>238000</v>
      </c>
      <c r="H3543" s="1129" t="s">
        <v>172</v>
      </c>
      <c r="I3543" s="71" t="s">
        <v>108</v>
      </c>
      <c r="J3543" s="53">
        <f t="shared" si="1793"/>
        <v>34000</v>
      </c>
      <c r="K3543" s="63">
        <f>(J3543/(F3543/11*10))</f>
        <v>0.14285714285714285</v>
      </c>
      <c r="L3543" s="871" t="s">
        <v>2603</v>
      </c>
      <c r="M3543" s="468" t="s">
        <v>2214</v>
      </c>
      <c r="N3543" s="664">
        <f t="shared" si="1795"/>
        <v>201126</v>
      </c>
      <c r="O3543" s="71" t="s">
        <v>150</v>
      </c>
      <c r="P3543" s="164" t="str">
        <f t="shared" si="1796"/>
        <v>매엽용 세척제(Wash 562)</v>
      </c>
      <c r="Q3543" s="71">
        <f t="shared" si="1797"/>
        <v>5</v>
      </c>
      <c r="R3543" s="102">
        <v>40800</v>
      </c>
      <c r="S3543" s="102">
        <f t="shared" si="1798"/>
        <v>224400.00000000003</v>
      </c>
      <c r="T3543" s="102">
        <f t="shared" si="1799"/>
        <v>204000</v>
      </c>
      <c r="U3543" s="71" t="str">
        <f t="shared" si="1802"/>
        <v>X</v>
      </c>
      <c r="V3543" s="71"/>
      <c r="W3543" s="474">
        <v>85000</v>
      </c>
      <c r="X3543" s="71"/>
      <c r="Y3543" s="71"/>
    </row>
    <row r="3544" spans="1:25" ht="30" hidden="1" customHeight="1" x14ac:dyDescent="0.25">
      <c r="A3544" s="82">
        <v>201126</v>
      </c>
      <c r="B3544" s="664" t="s">
        <v>446</v>
      </c>
      <c r="C3544" s="71" t="s">
        <v>2028</v>
      </c>
      <c r="D3544" s="71">
        <v>16</v>
      </c>
      <c r="E3544" s="102">
        <v>105000</v>
      </c>
      <c r="F3544" s="102">
        <f t="shared" si="1800"/>
        <v>1848000.0000000002</v>
      </c>
      <c r="G3544" s="102">
        <f t="shared" si="1801"/>
        <v>1680000</v>
      </c>
      <c r="H3544" s="690" t="s">
        <v>2029</v>
      </c>
      <c r="I3544" s="71" t="s">
        <v>2231</v>
      </c>
      <c r="J3544" s="53">
        <f t="shared" si="1793"/>
        <v>304000</v>
      </c>
      <c r="K3544" s="63">
        <f>(J3544/(F3544/11*10))</f>
        <v>0.18095238095238092</v>
      </c>
      <c r="L3544" s="871" t="s">
        <v>2603</v>
      </c>
      <c r="M3544" s="468" t="s">
        <v>3068</v>
      </c>
      <c r="N3544" s="664">
        <f t="shared" si="1795"/>
        <v>201126</v>
      </c>
      <c r="O3544" s="71" t="s">
        <v>2030</v>
      </c>
      <c r="P3544" s="164" t="str">
        <f t="shared" si="1796"/>
        <v>실리콘 에멀전</v>
      </c>
      <c r="Q3544" s="71">
        <f t="shared" si="1797"/>
        <v>16</v>
      </c>
      <c r="R3544" s="102">
        <v>86000</v>
      </c>
      <c r="S3544" s="102">
        <f t="shared" si="1798"/>
        <v>1513600.0000000002</v>
      </c>
      <c r="T3544" s="102">
        <f t="shared" si="1799"/>
        <v>1376000</v>
      </c>
      <c r="U3544" s="71" t="str">
        <f t="shared" si="1802"/>
        <v>O</v>
      </c>
      <c r="V3544" s="71">
        <f>7000*Q3544</f>
        <v>112000</v>
      </c>
      <c r="W3544" s="474">
        <f>(G3544-T3544)</f>
        <v>304000</v>
      </c>
      <c r="X3544" s="71"/>
      <c r="Y3544" s="71"/>
    </row>
    <row r="3545" spans="1:25" ht="30" hidden="1" customHeight="1" x14ac:dyDescent="0.25">
      <c r="A3545" s="82">
        <v>201127</v>
      </c>
      <c r="B3545" s="664" t="s">
        <v>2155</v>
      </c>
      <c r="C3545" s="71" t="s">
        <v>2137</v>
      </c>
      <c r="D3545" s="71">
        <v>1</v>
      </c>
      <c r="E3545" s="102">
        <v>500000</v>
      </c>
      <c r="F3545" s="102">
        <f t="shared" si="1800"/>
        <v>550000</v>
      </c>
      <c r="G3545" s="102">
        <f t="shared" si="1801"/>
        <v>500000</v>
      </c>
      <c r="H3545" s="690" t="s">
        <v>1431</v>
      </c>
      <c r="I3545" s="690" t="s">
        <v>1431</v>
      </c>
      <c r="J3545" s="53">
        <f t="shared" si="1793"/>
        <v>240000</v>
      </c>
      <c r="K3545" s="63">
        <f>(J3545/(F3545/11*10))</f>
        <v>0.48</v>
      </c>
      <c r="L3545" s="871" t="s">
        <v>2603</v>
      </c>
      <c r="M3545" s="468"/>
      <c r="N3545" s="664">
        <f t="shared" si="1795"/>
        <v>201127</v>
      </c>
      <c r="O3545" s="71" t="s">
        <v>1431</v>
      </c>
      <c r="P3545" s="164" t="str">
        <f t="shared" si="1796"/>
        <v>잉크집 아스테이지</v>
      </c>
      <c r="Q3545" s="71">
        <f t="shared" si="1797"/>
        <v>1</v>
      </c>
      <c r="R3545" s="102">
        <v>260000</v>
      </c>
      <c r="S3545" s="102">
        <f t="shared" si="1798"/>
        <v>286000</v>
      </c>
      <c r="T3545" s="102">
        <f t="shared" si="1799"/>
        <v>260000</v>
      </c>
      <c r="U3545" s="71"/>
      <c r="V3545" s="71"/>
      <c r="W3545" s="474"/>
      <c r="X3545" s="71"/>
      <c r="Y3545" s="71"/>
    </row>
    <row r="3546" spans="1:25" ht="30" customHeight="1" x14ac:dyDescent="0.25">
      <c r="A3546" s="82">
        <v>201130</v>
      </c>
      <c r="B3546" s="664" t="s">
        <v>565</v>
      </c>
      <c r="C3546" s="71" t="s">
        <v>2605</v>
      </c>
      <c r="D3546" s="71">
        <v>3</v>
      </c>
      <c r="E3546" s="102">
        <v>120000</v>
      </c>
      <c r="F3546" s="102">
        <f t="shared" si="1800"/>
        <v>396000.00000000006</v>
      </c>
      <c r="G3546" s="102">
        <f t="shared" si="1801"/>
        <v>360000</v>
      </c>
      <c r="H3546" s="690" t="s">
        <v>142</v>
      </c>
      <c r="I3546" s="690" t="s">
        <v>142</v>
      </c>
      <c r="J3546" s="53">
        <f t="shared" si="1793"/>
        <v>0</v>
      </c>
      <c r="K3546" s="63">
        <f>(J3546/(F3546/11*10))</f>
        <v>0</v>
      </c>
      <c r="L3546" s="871" t="s">
        <v>2603</v>
      </c>
      <c r="M3546" s="468"/>
      <c r="N3546" s="664">
        <f t="shared" si="1795"/>
        <v>201130</v>
      </c>
      <c r="O3546" s="71" t="s">
        <v>145</v>
      </c>
      <c r="P3546" s="164" t="str">
        <f t="shared" si="1796"/>
        <v>CTP 서비스 비용</v>
      </c>
      <c r="Q3546" s="71">
        <f t="shared" si="1797"/>
        <v>3</v>
      </c>
      <c r="R3546" s="102">
        <v>120000</v>
      </c>
      <c r="S3546" s="102">
        <f t="shared" si="1798"/>
        <v>396000.00000000006</v>
      </c>
      <c r="T3546" s="102">
        <f t="shared" si="1799"/>
        <v>360000</v>
      </c>
      <c r="U3546" s="71"/>
      <c r="V3546" s="71"/>
      <c r="W3546" s="474"/>
      <c r="X3546" s="71"/>
      <c r="Y3546" s="71"/>
    </row>
    <row r="3547" spans="1:25" ht="30" hidden="1" customHeight="1" x14ac:dyDescent="0.25">
      <c r="A3547" s="82">
        <v>201130</v>
      </c>
      <c r="B3547" s="664" t="s">
        <v>2155</v>
      </c>
      <c r="C3547" s="71" t="s">
        <v>2618</v>
      </c>
      <c r="D3547" s="71">
        <v>1</v>
      </c>
      <c r="E3547" s="102">
        <v>700000</v>
      </c>
      <c r="F3547" s="102">
        <f t="shared" si="1800"/>
        <v>770000.00000000012</v>
      </c>
      <c r="G3547" s="102">
        <f t="shared" si="1801"/>
        <v>700000</v>
      </c>
      <c r="H3547" s="690" t="s">
        <v>1431</v>
      </c>
      <c r="I3547" s="690" t="s">
        <v>1431</v>
      </c>
      <c r="J3547" s="53">
        <f t="shared" si="1793"/>
        <v>200000</v>
      </c>
      <c r="K3547" s="63">
        <f>(J3547/(F3547/11*10))</f>
        <v>0.28571428571428564</v>
      </c>
      <c r="L3547" s="871" t="s">
        <v>2603</v>
      </c>
      <c r="M3547" s="468"/>
      <c r="N3547" s="664">
        <f t="shared" si="1795"/>
        <v>201130</v>
      </c>
      <c r="O3547" s="71" t="s">
        <v>1431</v>
      </c>
      <c r="P3547" s="164" t="str">
        <f t="shared" si="1796"/>
        <v>드라이어 사용자 패널</v>
      </c>
      <c r="Q3547" s="71">
        <f t="shared" si="1797"/>
        <v>1</v>
      </c>
      <c r="R3547" s="102">
        <v>500000</v>
      </c>
      <c r="S3547" s="102">
        <f t="shared" si="1798"/>
        <v>550000</v>
      </c>
      <c r="T3547" s="102">
        <f t="shared" si="1799"/>
        <v>500000</v>
      </c>
      <c r="U3547" s="71"/>
      <c r="V3547" s="71"/>
      <c r="W3547" s="474"/>
      <c r="X3547" s="71"/>
      <c r="Y3547" s="71"/>
    </row>
    <row r="3548" spans="1:25" ht="30" hidden="1" customHeight="1" x14ac:dyDescent="0.25">
      <c r="A3548" s="82">
        <v>201130</v>
      </c>
      <c r="B3548" s="664" t="s">
        <v>1051</v>
      </c>
      <c r="C3548" s="71" t="s">
        <v>1294</v>
      </c>
      <c r="D3548" s="71">
        <v>2000</v>
      </c>
      <c r="E3548" s="102">
        <v>5800</v>
      </c>
      <c r="F3548" s="102">
        <f t="shared" si="1800"/>
        <v>12760000.000000002</v>
      </c>
      <c r="G3548" s="102">
        <f t="shared" si="1801"/>
        <v>11600000</v>
      </c>
      <c r="H3548" s="690" t="s">
        <v>142</v>
      </c>
      <c r="I3548" s="71" t="s">
        <v>2273</v>
      </c>
      <c r="J3548" s="53">
        <f t="shared" si="1793"/>
        <v>3200000</v>
      </c>
      <c r="K3548" s="63">
        <f t="shared" ref="K3548:K3564" si="1803">(J3548/(F3548/11*10))</f>
        <v>0.27586206896551718</v>
      </c>
      <c r="L3548" s="871" t="s">
        <v>2603</v>
      </c>
      <c r="M3548" s="468"/>
      <c r="N3548" s="664">
        <f t="shared" si="1795"/>
        <v>201130</v>
      </c>
      <c r="O3548" s="71" t="s">
        <v>145</v>
      </c>
      <c r="P3548" s="164" t="str">
        <f t="shared" si="1796"/>
        <v>ENGAGE 1030*790</v>
      </c>
      <c r="Q3548" s="71">
        <f t="shared" si="1797"/>
        <v>2000</v>
      </c>
      <c r="R3548" s="102">
        <v>4200</v>
      </c>
      <c r="S3548" s="102">
        <f t="shared" si="1798"/>
        <v>9240000</v>
      </c>
      <c r="T3548" s="102">
        <f t="shared" si="1799"/>
        <v>8400000</v>
      </c>
      <c r="U3548" s="71" t="str">
        <f t="shared" ref="U3548:U3564" si="1804">IF(J3548=W3548,"O", "X")</f>
        <v>O</v>
      </c>
      <c r="V3548" s="71"/>
      <c r="W3548" s="474">
        <f t="shared" ref="W3548:W3564" si="1805">(G3548-T3548)</f>
        <v>3200000</v>
      </c>
      <c r="X3548" s="71"/>
      <c r="Y3548" s="71"/>
    </row>
    <row r="3549" spans="1:25" ht="30" hidden="1" customHeight="1" x14ac:dyDescent="0.25">
      <c r="A3549" s="82">
        <v>201130</v>
      </c>
      <c r="B3549" s="664" t="s">
        <v>1051</v>
      </c>
      <c r="C3549" s="71" t="s">
        <v>1384</v>
      </c>
      <c r="D3549" s="71">
        <v>5700</v>
      </c>
      <c r="E3549" s="102">
        <v>3650</v>
      </c>
      <c r="F3549" s="102">
        <f t="shared" si="1800"/>
        <v>22885500</v>
      </c>
      <c r="G3549" s="102">
        <f t="shared" si="1801"/>
        <v>20805000</v>
      </c>
      <c r="H3549" s="690" t="s">
        <v>142</v>
      </c>
      <c r="I3549" s="71" t="s">
        <v>2273</v>
      </c>
      <c r="J3549" s="53">
        <f t="shared" si="1793"/>
        <v>5685464.5446724836</v>
      </c>
      <c r="K3549" s="63">
        <f t="shared" si="1803"/>
        <v>0.27327395071725469</v>
      </c>
      <c r="L3549" s="871" t="s">
        <v>2603</v>
      </c>
      <c r="M3549" s="468"/>
      <c r="N3549" s="664">
        <f t="shared" si="1795"/>
        <v>201130</v>
      </c>
      <c r="O3549" s="71" t="s">
        <v>145</v>
      </c>
      <c r="P3549" s="164" t="str">
        <f t="shared" si="1796"/>
        <v>ENGAGE 900X571 - 27RO</v>
      </c>
      <c r="Q3549" s="71">
        <f t="shared" si="1797"/>
        <v>5700</v>
      </c>
      <c r="R3549" s="102">
        <f>R3548/1030/790*900*571</f>
        <v>2652.5500798820203</v>
      </c>
      <c r="S3549" s="102">
        <f t="shared" si="1798"/>
        <v>16631489.00086027</v>
      </c>
      <c r="T3549" s="102">
        <f t="shared" si="1799"/>
        <v>15119535.455327516</v>
      </c>
      <c r="U3549" s="71" t="str">
        <f t="shared" si="1804"/>
        <v>O</v>
      </c>
      <c r="V3549" s="71"/>
      <c r="W3549" s="474">
        <f t="shared" si="1805"/>
        <v>5685464.5446724836</v>
      </c>
      <c r="X3549" s="71"/>
      <c r="Y3549" s="71"/>
    </row>
    <row r="3550" spans="1:25" ht="30" hidden="1" customHeight="1" x14ac:dyDescent="0.25">
      <c r="A3550" s="82">
        <v>201130</v>
      </c>
      <c r="B3550" s="664" t="s">
        <v>1051</v>
      </c>
      <c r="C3550" s="71" t="s">
        <v>951</v>
      </c>
      <c r="D3550" s="71">
        <v>3200</v>
      </c>
      <c r="E3550" s="102">
        <v>3480</v>
      </c>
      <c r="F3550" s="102">
        <f t="shared" si="1800"/>
        <v>12249600.000000002</v>
      </c>
      <c r="G3550" s="102">
        <f t="shared" si="1801"/>
        <v>11136000</v>
      </c>
      <c r="H3550" s="690" t="s">
        <v>142</v>
      </c>
      <c r="I3550" s="71" t="s">
        <v>2273</v>
      </c>
      <c r="J3550" s="53">
        <f t="shared" si="1793"/>
        <v>3085279.7837040676</v>
      </c>
      <c r="K3550" s="63">
        <f t="shared" si="1803"/>
        <v>0.27705457827802327</v>
      </c>
      <c r="L3550" s="871" t="s">
        <v>2603</v>
      </c>
      <c r="M3550" s="468"/>
      <c r="N3550" s="664">
        <f t="shared" si="1795"/>
        <v>201130</v>
      </c>
      <c r="O3550" s="71" t="s">
        <v>145</v>
      </c>
      <c r="P3550" s="164" t="str">
        <f t="shared" si="1796"/>
        <v>ENGAGE 30WEB(883*552)</v>
      </c>
      <c r="Q3550" s="71">
        <f t="shared" si="1797"/>
        <v>3200</v>
      </c>
      <c r="R3550" s="102">
        <f>R3548/1030/790*883*552</f>
        <v>2515.8500675924788</v>
      </c>
      <c r="S3550" s="102">
        <f t="shared" si="1798"/>
        <v>8855792.2379255258</v>
      </c>
      <c r="T3550" s="102">
        <f t="shared" si="1799"/>
        <v>8050720.2162959324</v>
      </c>
      <c r="U3550" s="71" t="str">
        <f t="shared" si="1804"/>
        <v>O</v>
      </c>
      <c r="V3550" s="71"/>
      <c r="W3550" s="474">
        <f t="shared" si="1805"/>
        <v>3085279.7837040676</v>
      </c>
      <c r="X3550" s="71"/>
      <c r="Y3550" s="71"/>
    </row>
    <row r="3551" spans="1:25" ht="30" hidden="1" customHeight="1" x14ac:dyDescent="0.25">
      <c r="A3551" s="82">
        <v>201130</v>
      </c>
      <c r="B3551" s="664" t="s">
        <v>1051</v>
      </c>
      <c r="C3551" s="71" t="s">
        <v>2219</v>
      </c>
      <c r="D3551" s="71">
        <v>2400</v>
      </c>
      <c r="E3551" s="102">
        <v>5870</v>
      </c>
      <c r="F3551" s="102">
        <f t="shared" si="1800"/>
        <v>15496800.000000002</v>
      </c>
      <c r="G3551" s="102">
        <f t="shared" si="1801"/>
        <v>14088000</v>
      </c>
      <c r="H3551" s="690" t="s">
        <v>142</v>
      </c>
      <c r="I3551" s="71" t="s">
        <v>2273</v>
      </c>
      <c r="J3551" s="53">
        <f t="shared" si="1793"/>
        <v>3880405.0632911399</v>
      </c>
      <c r="K3551" s="63">
        <f t="shared" si="1803"/>
        <v>0.27544045026200592</v>
      </c>
      <c r="L3551" s="871" t="s">
        <v>2603</v>
      </c>
      <c r="M3551" s="468"/>
      <c r="N3551" s="664">
        <f t="shared" si="1795"/>
        <v>201130</v>
      </c>
      <c r="O3551" s="71" t="s">
        <v>145</v>
      </c>
      <c r="P3551" s="164" t="str">
        <f t="shared" si="1796"/>
        <v>ENGAGE 1030*800</v>
      </c>
      <c r="Q3551" s="71">
        <f t="shared" si="1797"/>
        <v>2400</v>
      </c>
      <c r="R3551" s="102">
        <f>R3548/1030/790*1030*800</f>
        <v>4253.164556962025</v>
      </c>
      <c r="S3551" s="102">
        <f t="shared" si="1798"/>
        <v>11228354.430379746</v>
      </c>
      <c r="T3551" s="102">
        <f t="shared" si="1799"/>
        <v>10207594.93670886</v>
      </c>
      <c r="U3551" s="71" t="str">
        <f t="shared" si="1804"/>
        <v>O</v>
      </c>
      <c r="V3551" s="71"/>
      <c r="W3551" s="474">
        <f t="shared" si="1805"/>
        <v>3880405.0632911399</v>
      </c>
      <c r="X3551" s="71"/>
      <c r="Y3551" s="71"/>
    </row>
    <row r="3552" spans="1:25" ht="30" hidden="1" customHeight="1" x14ac:dyDescent="0.25">
      <c r="A3552" s="82">
        <v>201130</v>
      </c>
      <c r="B3552" s="664" t="s">
        <v>1051</v>
      </c>
      <c r="C3552" s="71" t="s">
        <v>1383</v>
      </c>
      <c r="D3552" s="71">
        <v>1400</v>
      </c>
      <c r="E3552" s="102">
        <v>6090</v>
      </c>
      <c r="F3552" s="102">
        <f t="shared" si="1800"/>
        <v>9378600</v>
      </c>
      <c r="G3552" s="102">
        <f t="shared" si="1801"/>
        <v>8526000</v>
      </c>
      <c r="H3552" s="690" t="s">
        <v>142</v>
      </c>
      <c r="I3552" s="71" t="s">
        <v>2273</v>
      </c>
      <c r="J3552" s="53">
        <f t="shared" si="1793"/>
        <v>2343183.9744377537</v>
      </c>
      <c r="K3552" s="63">
        <f t="shared" si="1803"/>
        <v>0.27482805236192276</v>
      </c>
      <c r="L3552" s="871" t="s">
        <v>2603</v>
      </c>
      <c r="M3552" s="468"/>
      <c r="N3552" s="664">
        <f t="shared" si="1795"/>
        <v>201130</v>
      </c>
      <c r="O3552" s="71" t="s">
        <v>145</v>
      </c>
      <c r="P3552" s="164" t="str">
        <f t="shared" si="1796"/>
        <v>ENGAGE 1055*811</v>
      </c>
      <c r="Q3552" s="71">
        <f t="shared" si="1797"/>
        <v>1400</v>
      </c>
      <c r="R3552" s="102">
        <f>R3548/1030/790*1055*811</f>
        <v>4416.29716111589</v>
      </c>
      <c r="S3552" s="102">
        <f t="shared" si="1798"/>
        <v>6801097.6281184712</v>
      </c>
      <c r="T3552" s="102">
        <f t="shared" si="1799"/>
        <v>6182816.0255622463</v>
      </c>
      <c r="U3552" s="71" t="str">
        <f t="shared" si="1804"/>
        <v>O</v>
      </c>
      <c r="V3552" s="71"/>
      <c r="W3552" s="474">
        <f t="shared" si="1805"/>
        <v>2343183.9744377537</v>
      </c>
      <c r="X3552" s="71"/>
      <c r="Y3552" s="71"/>
    </row>
    <row r="3553" spans="1:25" ht="30" hidden="1" customHeight="1" x14ac:dyDescent="0.25">
      <c r="A3553" s="82">
        <v>201130</v>
      </c>
      <c r="B3553" s="664" t="s">
        <v>1051</v>
      </c>
      <c r="C3553" s="71" t="s">
        <v>1650</v>
      </c>
      <c r="D3553" s="71">
        <v>400</v>
      </c>
      <c r="E3553" s="102">
        <v>4350</v>
      </c>
      <c r="F3553" s="102">
        <f t="shared" si="1800"/>
        <v>1914000.0000000002</v>
      </c>
      <c r="G3553" s="102">
        <f t="shared" si="1801"/>
        <v>1740000</v>
      </c>
      <c r="H3553" s="690" t="s">
        <v>142</v>
      </c>
      <c r="I3553" s="71" t="s">
        <v>2273</v>
      </c>
      <c r="J3553" s="53">
        <f t="shared" si="1793"/>
        <v>478899.5452869609</v>
      </c>
      <c r="K3553" s="63">
        <f t="shared" si="1803"/>
        <v>0.27522962372813842</v>
      </c>
      <c r="L3553" s="871" t="s">
        <v>2603</v>
      </c>
      <c r="M3553" s="468"/>
      <c r="N3553" s="664">
        <f t="shared" si="1795"/>
        <v>201130</v>
      </c>
      <c r="O3553" s="71" t="s">
        <v>145</v>
      </c>
      <c r="P3553" s="164" t="str">
        <f t="shared" si="1796"/>
        <v>ENGAGE 968*631</v>
      </c>
      <c r="Q3553" s="71">
        <f t="shared" si="1797"/>
        <v>400</v>
      </c>
      <c r="R3553" s="102">
        <f>R3548/1030/790*968*631</f>
        <v>3152.7511367825978</v>
      </c>
      <c r="S3553" s="102">
        <f t="shared" si="1798"/>
        <v>1387210.5001843432</v>
      </c>
      <c r="T3553" s="102">
        <f t="shared" si="1799"/>
        <v>1261100.4547130391</v>
      </c>
      <c r="U3553" s="71" t="str">
        <f t="shared" si="1804"/>
        <v>O</v>
      </c>
      <c r="V3553" s="71"/>
      <c r="W3553" s="474">
        <f t="shared" si="1805"/>
        <v>478899.5452869609</v>
      </c>
      <c r="X3553" s="71"/>
      <c r="Y3553" s="71"/>
    </row>
    <row r="3554" spans="1:25" ht="30" hidden="1" customHeight="1" x14ac:dyDescent="0.25">
      <c r="A3554" s="82">
        <v>201130</v>
      </c>
      <c r="B3554" s="664" t="s">
        <v>1051</v>
      </c>
      <c r="C3554" s="71" t="s">
        <v>2619</v>
      </c>
      <c r="D3554" s="71">
        <v>360</v>
      </c>
      <c r="E3554" s="102">
        <v>6230</v>
      </c>
      <c r="F3554" s="102">
        <f t="shared" si="1800"/>
        <v>2467080</v>
      </c>
      <c r="G3554" s="102">
        <f t="shared" si="1801"/>
        <v>2242800</v>
      </c>
      <c r="H3554" s="690" t="s">
        <v>142</v>
      </c>
      <c r="I3554" s="71" t="s">
        <v>2273</v>
      </c>
      <c r="J3554" s="53">
        <f t="shared" si="1793"/>
        <v>259200</v>
      </c>
      <c r="K3554" s="63">
        <f>(J3554/(F3554/11*10))</f>
        <v>0.11556982343499198</v>
      </c>
      <c r="L3554" s="871" t="s">
        <v>2603</v>
      </c>
      <c r="M3554" s="468"/>
      <c r="N3554" s="664">
        <f t="shared" si="1795"/>
        <v>201130</v>
      </c>
      <c r="O3554" s="71" t="s">
        <v>145</v>
      </c>
      <c r="P3554" s="164" t="str">
        <f t="shared" si="1796"/>
        <v>ENGAGE 1092*800</v>
      </c>
      <c r="Q3554" s="71">
        <f t="shared" si="1797"/>
        <v>360</v>
      </c>
      <c r="R3554" s="102">
        <v>5510</v>
      </c>
      <c r="S3554" s="102">
        <f t="shared" si="1798"/>
        <v>2181960</v>
      </c>
      <c r="T3554" s="102">
        <f t="shared" si="1799"/>
        <v>1983600</v>
      </c>
      <c r="U3554" s="71" t="str">
        <f t="shared" si="1804"/>
        <v>O</v>
      </c>
      <c r="V3554" s="71"/>
      <c r="W3554" s="474">
        <f t="shared" si="1805"/>
        <v>259200</v>
      </c>
      <c r="X3554" s="71"/>
      <c r="Y3554" s="71"/>
    </row>
    <row r="3555" spans="1:25" ht="30" hidden="1" customHeight="1" x14ac:dyDescent="0.25">
      <c r="A3555" s="82">
        <v>201130</v>
      </c>
      <c r="B3555" s="664" t="s">
        <v>1051</v>
      </c>
      <c r="C3555" s="67" t="s">
        <v>1386</v>
      </c>
      <c r="D3555" s="71">
        <v>75</v>
      </c>
      <c r="E3555" s="102">
        <v>53500</v>
      </c>
      <c r="F3555" s="102">
        <f t="shared" si="1800"/>
        <v>4413750</v>
      </c>
      <c r="G3555" s="102">
        <f t="shared" si="1801"/>
        <v>4012500</v>
      </c>
      <c r="H3555" s="690" t="s">
        <v>142</v>
      </c>
      <c r="I3555" s="71" t="s">
        <v>2273</v>
      </c>
      <c r="J3555" s="53">
        <f t="shared" si="1793"/>
        <v>1387500</v>
      </c>
      <c r="K3555" s="63">
        <f t="shared" si="1803"/>
        <v>0.34579439252336447</v>
      </c>
      <c r="L3555" s="871" t="s">
        <v>2603</v>
      </c>
      <c r="M3555" s="468"/>
      <c r="N3555" s="664">
        <f t="shared" si="1795"/>
        <v>201130</v>
      </c>
      <c r="O3555" s="71" t="s">
        <v>145</v>
      </c>
      <c r="P3555" s="164" t="str">
        <f t="shared" si="1796"/>
        <v>THR200(20L)보충액</v>
      </c>
      <c r="Q3555" s="71">
        <f t="shared" si="1797"/>
        <v>75</v>
      </c>
      <c r="R3555" s="102">
        <v>35000</v>
      </c>
      <c r="S3555" s="102">
        <f t="shared" si="1798"/>
        <v>2887500.0000000005</v>
      </c>
      <c r="T3555" s="102">
        <f t="shared" si="1799"/>
        <v>2625000</v>
      </c>
      <c r="U3555" s="71" t="str">
        <f t="shared" si="1804"/>
        <v>O</v>
      </c>
      <c r="V3555" s="71"/>
      <c r="W3555" s="474">
        <f t="shared" si="1805"/>
        <v>1387500</v>
      </c>
      <c r="X3555" s="71"/>
      <c r="Y3555" s="71"/>
    </row>
    <row r="3556" spans="1:25" ht="30" hidden="1" customHeight="1" x14ac:dyDescent="0.25">
      <c r="A3556" s="82">
        <v>201130</v>
      </c>
      <c r="B3556" s="664" t="s">
        <v>1051</v>
      </c>
      <c r="C3556" s="71" t="s">
        <v>1387</v>
      </c>
      <c r="D3556" s="71">
        <v>5</v>
      </c>
      <c r="E3556" s="102">
        <v>53500</v>
      </c>
      <c r="F3556" s="102">
        <f t="shared" si="1800"/>
        <v>294250</v>
      </c>
      <c r="G3556" s="102">
        <f t="shared" si="1801"/>
        <v>267500</v>
      </c>
      <c r="H3556" s="690" t="s">
        <v>142</v>
      </c>
      <c r="I3556" s="71" t="s">
        <v>2273</v>
      </c>
      <c r="J3556" s="53">
        <f t="shared" si="1793"/>
        <v>92500</v>
      </c>
      <c r="K3556" s="63">
        <f t="shared" si="1803"/>
        <v>0.34579439252336447</v>
      </c>
      <c r="L3556" s="871" t="s">
        <v>2603</v>
      </c>
      <c r="M3556" s="468"/>
      <c r="N3556" s="664">
        <f t="shared" si="1795"/>
        <v>201130</v>
      </c>
      <c r="O3556" s="71" t="s">
        <v>145</v>
      </c>
      <c r="P3556" s="164" t="str">
        <f t="shared" si="1796"/>
        <v>THD200(20L)현상액</v>
      </c>
      <c r="Q3556" s="71">
        <f t="shared" si="1797"/>
        <v>5</v>
      </c>
      <c r="R3556" s="102">
        <v>35000</v>
      </c>
      <c r="S3556" s="102">
        <f t="shared" si="1798"/>
        <v>192500.00000000003</v>
      </c>
      <c r="T3556" s="102">
        <f t="shared" si="1799"/>
        <v>175000</v>
      </c>
      <c r="U3556" s="71" t="str">
        <f t="shared" si="1804"/>
        <v>O</v>
      </c>
      <c r="V3556" s="71"/>
      <c r="W3556" s="474">
        <f t="shared" si="1805"/>
        <v>92500</v>
      </c>
      <c r="X3556" s="71"/>
      <c r="Y3556" s="71"/>
    </row>
    <row r="3557" spans="1:25" ht="30" hidden="1" customHeight="1" x14ac:dyDescent="0.25">
      <c r="A3557" s="82">
        <v>201130</v>
      </c>
      <c r="B3557" s="664" t="s">
        <v>1061</v>
      </c>
      <c r="C3557" s="71" t="s">
        <v>616</v>
      </c>
      <c r="D3557" s="71">
        <v>400</v>
      </c>
      <c r="E3557" s="102">
        <v>5600</v>
      </c>
      <c r="F3557" s="102">
        <f t="shared" si="1800"/>
        <v>2464000</v>
      </c>
      <c r="G3557" s="102">
        <f t="shared" si="1801"/>
        <v>2240000</v>
      </c>
      <c r="H3557" s="690" t="s">
        <v>142</v>
      </c>
      <c r="I3557" s="71" t="s">
        <v>144</v>
      </c>
      <c r="J3557" s="53">
        <f t="shared" si="1793"/>
        <v>204000</v>
      </c>
      <c r="K3557" s="63">
        <f t="shared" si="1803"/>
        <v>9.1071428571428567E-2</v>
      </c>
      <c r="L3557" s="871" t="s">
        <v>2603</v>
      </c>
      <c r="M3557" s="468"/>
      <c r="N3557" s="664">
        <f t="shared" si="1795"/>
        <v>201130</v>
      </c>
      <c r="O3557" s="71" t="s">
        <v>147</v>
      </c>
      <c r="P3557" s="164" t="str">
        <f t="shared" si="1796"/>
        <v>프리미어(먹)</v>
      </c>
      <c r="Q3557" s="71">
        <f t="shared" si="1797"/>
        <v>400</v>
      </c>
      <c r="R3557" s="102">
        <v>5090</v>
      </c>
      <c r="S3557" s="102">
        <f t="shared" si="1798"/>
        <v>2239600</v>
      </c>
      <c r="T3557" s="102">
        <f t="shared" si="1799"/>
        <v>2036000</v>
      </c>
      <c r="U3557" s="71" t="str">
        <f t="shared" si="1804"/>
        <v>O</v>
      </c>
      <c r="V3557" s="71"/>
      <c r="W3557" s="474">
        <f t="shared" si="1805"/>
        <v>204000</v>
      </c>
      <c r="X3557" s="71"/>
      <c r="Y3557" s="71"/>
    </row>
    <row r="3558" spans="1:25" ht="30" hidden="1" customHeight="1" x14ac:dyDescent="0.25">
      <c r="A3558" s="82">
        <v>201130</v>
      </c>
      <c r="B3558" s="664" t="s">
        <v>1052</v>
      </c>
      <c r="C3558" s="71" t="s">
        <v>585</v>
      </c>
      <c r="D3558" s="71">
        <v>400</v>
      </c>
      <c r="E3558" s="102">
        <v>6000</v>
      </c>
      <c r="F3558" s="102">
        <f t="shared" si="1800"/>
        <v>2640000</v>
      </c>
      <c r="G3558" s="102">
        <f t="shared" si="1801"/>
        <v>2400000</v>
      </c>
      <c r="H3558" s="690" t="s">
        <v>142</v>
      </c>
      <c r="I3558" s="71" t="s">
        <v>144</v>
      </c>
      <c r="J3558" s="53">
        <f t="shared" si="1793"/>
        <v>220000</v>
      </c>
      <c r="K3558" s="63">
        <f t="shared" si="1803"/>
        <v>9.166666666666666E-2</v>
      </c>
      <c r="L3558" s="871" t="s">
        <v>2603</v>
      </c>
      <c r="M3558" s="468"/>
      <c r="N3558" s="664">
        <f t="shared" si="1795"/>
        <v>201130</v>
      </c>
      <c r="O3558" s="71" t="s">
        <v>147</v>
      </c>
      <c r="P3558" s="164" t="str">
        <f t="shared" si="1796"/>
        <v>프리미어(적)</v>
      </c>
      <c r="Q3558" s="71">
        <f t="shared" si="1797"/>
        <v>400</v>
      </c>
      <c r="R3558" s="102">
        <v>5450</v>
      </c>
      <c r="S3558" s="102">
        <f t="shared" si="1798"/>
        <v>2398000</v>
      </c>
      <c r="T3558" s="102">
        <f t="shared" si="1799"/>
        <v>2180000</v>
      </c>
      <c r="U3558" s="71" t="str">
        <f t="shared" si="1804"/>
        <v>O</v>
      </c>
      <c r="V3558" s="71"/>
      <c r="W3558" s="474">
        <f t="shared" si="1805"/>
        <v>220000</v>
      </c>
      <c r="X3558" s="71"/>
      <c r="Y3558" s="71"/>
    </row>
    <row r="3559" spans="1:25" ht="30" hidden="1" customHeight="1" x14ac:dyDescent="0.25">
      <c r="A3559" s="82">
        <v>201130</v>
      </c>
      <c r="B3559" s="664" t="s">
        <v>1061</v>
      </c>
      <c r="C3559" s="71" t="s">
        <v>586</v>
      </c>
      <c r="D3559" s="71">
        <v>400</v>
      </c>
      <c r="E3559" s="102">
        <v>5750</v>
      </c>
      <c r="F3559" s="102">
        <f t="shared" si="1800"/>
        <v>2530000</v>
      </c>
      <c r="G3559" s="102">
        <f t="shared" si="1801"/>
        <v>2300000</v>
      </c>
      <c r="H3559" s="690" t="s">
        <v>142</v>
      </c>
      <c r="I3559" s="71" t="s">
        <v>144</v>
      </c>
      <c r="J3559" s="53">
        <f t="shared" si="1793"/>
        <v>212000</v>
      </c>
      <c r="K3559" s="63">
        <f t="shared" si="1803"/>
        <v>9.2173913043478259E-2</v>
      </c>
      <c r="L3559" s="871" t="s">
        <v>2603</v>
      </c>
      <c r="M3559" s="468"/>
      <c r="N3559" s="664">
        <f t="shared" si="1795"/>
        <v>201130</v>
      </c>
      <c r="O3559" s="71" t="s">
        <v>147</v>
      </c>
      <c r="P3559" s="164" t="str">
        <f t="shared" si="1796"/>
        <v>프리미어(황)</v>
      </c>
      <c r="Q3559" s="71">
        <f t="shared" si="1797"/>
        <v>400</v>
      </c>
      <c r="R3559" s="102">
        <v>5220</v>
      </c>
      <c r="S3559" s="102">
        <f t="shared" si="1798"/>
        <v>2296800</v>
      </c>
      <c r="T3559" s="102">
        <f t="shared" si="1799"/>
        <v>2088000</v>
      </c>
      <c r="U3559" s="71" t="str">
        <f t="shared" si="1804"/>
        <v>O</v>
      </c>
      <c r="V3559" s="71"/>
      <c r="W3559" s="474">
        <f t="shared" si="1805"/>
        <v>212000</v>
      </c>
      <c r="X3559" s="71"/>
      <c r="Y3559" s="71"/>
    </row>
    <row r="3560" spans="1:25" ht="30" hidden="1" customHeight="1" x14ac:dyDescent="0.25">
      <c r="A3560" s="82">
        <v>201130</v>
      </c>
      <c r="B3560" s="664" t="s">
        <v>1061</v>
      </c>
      <c r="C3560" s="71" t="s">
        <v>587</v>
      </c>
      <c r="D3560" s="71">
        <v>400</v>
      </c>
      <c r="E3560" s="102">
        <v>7000</v>
      </c>
      <c r="F3560" s="102">
        <f t="shared" si="1800"/>
        <v>3080000.0000000005</v>
      </c>
      <c r="G3560" s="102">
        <f t="shared" si="1801"/>
        <v>2800000</v>
      </c>
      <c r="H3560" s="690" t="s">
        <v>142</v>
      </c>
      <c r="I3560" s="71" t="s">
        <v>144</v>
      </c>
      <c r="J3560" s="53">
        <f t="shared" si="1793"/>
        <v>256000</v>
      </c>
      <c r="K3560" s="63">
        <f t="shared" si="1803"/>
        <v>9.1428571428571415E-2</v>
      </c>
      <c r="L3560" s="871" t="s">
        <v>2603</v>
      </c>
      <c r="M3560" s="468"/>
      <c r="N3560" s="664">
        <f t="shared" si="1795"/>
        <v>201130</v>
      </c>
      <c r="O3560" s="71" t="s">
        <v>147</v>
      </c>
      <c r="P3560" s="164" t="str">
        <f t="shared" si="1796"/>
        <v>프리미어(청)</v>
      </c>
      <c r="Q3560" s="71">
        <f t="shared" si="1797"/>
        <v>400</v>
      </c>
      <c r="R3560" s="102">
        <v>6360</v>
      </c>
      <c r="S3560" s="102">
        <f t="shared" si="1798"/>
        <v>2798400</v>
      </c>
      <c r="T3560" s="102">
        <f t="shared" si="1799"/>
        <v>2544000</v>
      </c>
      <c r="U3560" s="71" t="str">
        <f t="shared" si="1804"/>
        <v>O</v>
      </c>
      <c r="V3560" s="71"/>
      <c r="W3560" s="474">
        <f t="shared" si="1805"/>
        <v>256000</v>
      </c>
      <c r="X3560" s="71"/>
      <c r="Y3560" s="71"/>
    </row>
    <row r="3561" spans="1:25" ht="30" hidden="1" customHeight="1" x14ac:dyDescent="0.25">
      <c r="A3561" s="82">
        <v>201130</v>
      </c>
      <c r="B3561" s="664" t="s">
        <v>1052</v>
      </c>
      <c r="C3561" s="71" t="s">
        <v>1115</v>
      </c>
      <c r="D3561" s="71">
        <v>50</v>
      </c>
      <c r="E3561" s="102">
        <v>6200</v>
      </c>
      <c r="F3561" s="102">
        <f t="shared" si="1800"/>
        <v>341000</v>
      </c>
      <c r="G3561" s="102">
        <f t="shared" si="1801"/>
        <v>310000</v>
      </c>
      <c r="H3561" s="690" t="s">
        <v>142</v>
      </c>
      <c r="I3561" s="71" t="s">
        <v>144</v>
      </c>
      <c r="J3561" s="53">
        <f t="shared" si="1793"/>
        <v>15000</v>
      </c>
      <c r="K3561" s="63">
        <f t="shared" si="1803"/>
        <v>4.8387096774193547E-2</v>
      </c>
      <c r="L3561" s="871" t="s">
        <v>2603</v>
      </c>
      <c r="M3561" s="468"/>
      <c r="N3561" s="664">
        <f t="shared" si="1795"/>
        <v>201130</v>
      </c>
      <c r="O3561" s="71" t="s">
        <v>2459</v>
      </c>
      <c r="P3561" s="164" t="str">
        <f t="shared" si="1796"/>
        <v>한특 잉크(적)</v>
      </c>
      <c r="Q3561" s="71">
        <f t="shared" si="1797"/>
        <v>50</v>
      </c>
      <c r="R3561" s="102">
        <v>5900</v>
      </c>
      <c r="S3561" s="102">
        <f t="shared" si="1798"/>
        <v>324500</v>
      </c>
      <c r="T3561" s="102">
        <f t="shared" si="1799"/>
        <v>295000</v>
      </c>
      <c r="U3561" s="71" t="str">
        <f t="shared" si="1804"/>
        <v>O</v>
      </c>
      <c r="V3561" s="71"/>
      <c r="W3561" s="474">
        <f t="shared" si="1805"/>
        <v>15000</v>
      </c>
      <c r="X3561" s="71"/>
      <c r="Y3561" s="71"/>
    </row>
    <row r="3562" spans="1:25" ht="30" hidden="1" customHeight="1" x14ac:dyDescent="0.25">
      <c r="A3562" s="82">
        <v>201130</v>
      </c>
      <c r="B3562" s="664" t="s">
        <v>1052</v>
      </c>
      <c r="C3562" s="71" t="s">
        <v>1116</v>
      </c>
      <c r="D3562" s="71">
        <v>50</v>
      </c>
      <c r="E3562" s="102">
        <v>6000</v>
      </c>
      <c r="F3562" s="102">
        <f t="shared" si="1800"/>
        <v>330000</v>
      </c>
      <c r="G3562" s="102">
        <f t="shared" si="1801"/>
        <v>300000</v>
      </c>
      <c r="H3562" s="690" t="s">
        <v>142</v>
      </c>
      <c r="I3562" s="71" t="s">
        <v>144</v>
      </c>
      <c r="J3562" s="53">
        <f t="shared" si="1793"/>
        <v>25000</v>
      </c>
      <c r="K3562" s="63">
        <f t="shared" si="1803"/>
        <v>8.3333333333333329E-2</v>
      </c>
      <c r="L3562" s="871" t="s">
        <v>2603</v>
      </c>
      <c r="M3562" s="468"/>
      <c r="N3562" s="664">
        <f t="shared" si="1795"/>
        <v>201130</v>
      </c>
      <c r="O3562" s="71" t="s">
        <v>2459</v>
      </c>
      <c r="P3562" s="164" t="str">
        <f t="shared" si="1796"/>
        <v>한특 잉크(황)</v>
      </c>
      <c r="Q3562" s="71">
        <f t="shared" si="1797"/>
        <v>50</v>
      </c>
      <c r="R3562" s="102">
        <v>5500</v>
      </c>
      <c r="S3562" s="102">
        <f t="shared" si="1798"/>
        <v>302500</v>
      </c>
      <c r="T3562" s="102">
        <f t="shared" si="1799"/>
        <v>275000</v>
      </c>
      <c r="U3562" s="71" t="str">
        <f t="shared" si="1804"/>
        <v>O</v>
      </c>
      <c r="V3562" s="71"/>
      <c r="W3562" s="474">
        <f t="shared" si="1805"/>
        <v>25000</v>
      </c>
      <c r="X3562" s="71"/>
      <c r="Y3562" s="71"/>
    </row>
    <row r="3563" spans="1:25" ht="30" hidden="1" customHeight="1" x14ac:dyDescent="0.25">
      <c r="A3563" s="82">
        <v>201130</v>
      </c>
      <c r="B3563" s="664" t="s">
        <v>1052</v>
      </c>
      <c r="C3563" s="71" t="s">
        <v>1117</v>
      </c>
      <c r="D3563" s="71">
        <v>50</v>
      </c>
      <c r="E3563" s="102">
        <v>6500</v>
      </c>
      <c r="F3563" s="102">
        <f t="shared" si="1800"/>
        <v>357500</v>
      </c>
      <c r="G3563" s="102">
        <f t="shared" si="1801"/>
        <v>325000</v>
      </c>
      <c r="H3563" s="690" t="s">
        <v>142</v>
      </c>
      <c r="I3563" s="71" t="s">
        <v>144</v>
      </c>
      <c r="J3563" s="53">
        <f t="shared" si="1793"/>
        <v>25000</v>
      </c>
      <c r="K3563" s="63">
        <f t="shared" si="1803"/>
        <v>7.6923076923076927E-2</v>
      </c>
      <c r="L3563" s="871" t="s">
        <v>2603</v>
      </c>
      <c r="M3563" s="468"/>
      <c r="N3563" s="664">
        <f t="shared" si="1795"/>
        <v>201130</v>
      </c>
      <c r="O3563" s="71" t="s">
        <v>2459</v>
      </c>
      <c r="P3563" s="164" t="str">
        <f t="shared" si="1796"/>
        <v>한특 잉크(청)</v>
      </c>
      <c r="Q3563" s="71">
        <f t="shared" si="1797"/>
        <v>50</v>
      </c>
      <c r="R3563" s="102">
        <v>6000</v>
      </c>
      <c r="S3563" s="102">
        <f t="shared" si="1798"/>
        <v>330000</v>
      </c>
      <c r="T3563" s="102">
        <f t="shared" si="1799"/>
        <v>300000</v>
      </c>
      <c r="U3563" s="71" t="str">
        <f t="shared" si="1804"/>
        <v>O</v>
      </c>
      <c r="V3563" s="71"/>
      <c r="W3563" s="474">
        <f t="shared" si="1805"/>
        <v>25000</v>
      </c>
      <c r="X3563" s="71"/>
      <c r="Y3563" s="71"/>
    </row>
    <row r="3564" spans="1:25" ht="30" hidden="1" customHeight="1" x14ac:dyDescent="0.25">
      <c r="A3564" s="82">
        <v>201130</v>
      </c>
      <c r="B3564" s="664" t="s">
        <v>1052</v>
      </c>
      <c r="C3564" s="71" t="s">
        <v>1118</v>
      </c>
      <c r="D3564" s="71">
        <v>50</v>
      </c>
      <c r="E3564" s="102">
        <v>5600</v>
      </c>
      <c r="F3564" s="102">
        <f t="shared" si="1800"/>
        <v>308000</v>
      </c>
      <c r="G3564" s="102">
        <f t="shared" si="1801"/>
        <v>280000</v>
      </c>
      <c r="H3564" s="690" t="s">
        <v>142</v>
      </c>
      <c r="I3564" s="71" t="s">
        <v>144</v>
      </c>
      <c r="J3564" s="53">
        <f t="shared" si="1793"/>
        <v>20000</v>
      </c>
      <c r="K3564" s="63">
        <f t="shared" si="1803"/>
        <v>7.1428571428571425E-2</v>
      </c>
      <c r="L3564" s="871" t="s">
        <v>2603</v>
      </c>
      <c r="M3564" s="468"/>
      <c r="N3564" s="664">
        <f t="shared" si="1795"/>
        <v>201130</v>
      </c>
      <c r="O3564" s="71" t="s">
        <v>2459</v>
      </c>
      <c r="P3564" s="164" t="str">
        <f t="shared" si="1796"/>
        <v>한특 잉크(먹)</v>
      </c>
      <c r="Q3564" s="71">
        <f t="shared" si="1797"/>
        <v>50</v>
      </c>
      <c r="R3564" s="102">
        <v>5200</v>
      </c>
      <c r="S3564" s="102">
        <f>R3564*Q3564*1.1</f>
        <v>286000</v>
      </c>
      <c r="T3564" s="102">
        <f t="shared" si="1799"/>
        <v>260000</v>
      </c>
      <c r="U3564" s="71" t="str">
        <f t="shared" si="1804"/>
        <v>O</v>
      </c>
      <c r="V3564" s="71"/>
      <c r="W3564" s="474">
        <f t="shared" si="1805"/>
        <v>20000</v>
      </c>
      <c r="X3564" s="71"/>
      <c r="Y3564" s="71"/>
    </row>
    <row r="3565" spans="1:25" ht="30" hidden="1" customHeight="1" x14ac:dyDescent="0.25">
      <c r="A3565" s="82">
        <v>201130</v>
      </c>
      <c r="B3565" s="664" t="s">
        <v>546</v>
      </c>
      <c r="C3565" s="71" t="s">
        <v>2620</v>
      </c>
      <c r="D3565" s="71">
        <v>1</v>
      </c>
      <c r="E3565" s="102">
        <v>40000000</v>
      </c>
      <c r="F3565" s="102">
        <f t="shared" si="1800"/>
        <v>44000000</v>
      </c>
      <c r="G3565" s="102">
        <f t="shared" si="1801"/>
        <v>40000000</v>
      </c>
      <c r="H3565" s="690" t="s">
        <v>985</v>
      </c>
      <c r="I3565" s="71" t="s">
        <v>985</v>
      </c>
      <c r="J3565" s="53">
        <f t="shared" si="1793"/>
        <v>4500000</v>
      </c>
      <c r="K3565" s="63">
        <f>(J3565/(F3565/11*10))</f>
        <v>0.1125</v>
      </c>
      <c r="L3565" s="871" t="s">
        <v>2603</v>
      </c>
      <c r="M3565" s="468"/>
      <c r="N3565" s="664">
        <f t="shared" si="1795"/>
        <v>201130</v>
      </c>
      <c r="O3565" s="71"/>
      <c r="P3565" s="164" t="str">
        <f t="shared" si="1796"/>
        <v>로토만 외국인 서비스 비용</v>
      </c>
      <c r="Q3565" s="71">
        <f t="shared" si="1797"/>
        <v>1</v>
      </c>
      <c r="R3565" s="102">
        <v>35500000</v>
      </c>
      <c r="S3565" s="102">
        <f>R3565*Q3565*1.1</f>
        <v>39050000</v>
      </c>
      <c r="T3565" s="102">
        <f t="shared" si="1799"/>
        <v>35500000</v>
      </c>
      <c r="U3565" s="71"/>
      <c r="V3565" s="71"/>
      <c r="W3565" s="474"/>
      <c r="X3565" s="71"/>
      <c r="Y3565" s="71"/>
    </row>
    <row r="3566" spans="1:25" s="978" customFormat="1" ht="45" hidden="1" customHeight="1" x14ac:dyDescent="0.25">
      <c r="A3566" s="982" t="s">
        <v>2621</v>
      </c>
      <c r="B3566" s="976" t="s">
        <v>544</v>
      </c>
      <c r="C3566" s="453"/>
      <c r="D3566" s="453"/>
      <c r="E3566" s="454"/>
      <c r="F3566" s="454"/>
      <c r="G3566" s="454"/>
      <c r="H3566" s="455"/>
      <c r="I3566" s="453"/>
      <c r="J3566" s="417"/>
      <c r="K3566" s="418"/>
      <c r="L3566" s="983" t="s">
        <v>2622</v>
      </c>
      <c r="M3566" s="643"/>
      <c r="N3566" s="1194" t="str">
        <f>A3566</f>
        <v>2020,12</v>
      </c>
      <c r="O3566" s="453" t="s">
        <v>154</v>
      </c>
      <c r="P3566" s="728"/>
      <c r="Q3566" s="420"/>
      <c r="R3566" s="420"/>
      <c r="S3566" s="417"/>
      <c r="T3566" s="417"/>
      <c r="U3566" s="421"/>
      <c r="V3566" s="421"/>
      <c r="W3566" s="479">
        <f>(G3566-T3566)</f>
        <v>0</v>
      </c>
      <c r="X3566" s="421"/>
      <c r="Y3566" s="421"/>
    </row>
    <row r="3567" spans="1:25" ht="30" hidden="1" customHeight="1" x14ac:dyDescent="0.25">
      <c r="A3567" s="1145">
        <v>44134</v>
      </c>
      <c r="B3567" s="664" t="s">
        <v>2155</v>
      </c>
      <c r="C3567" s="760" t="s">
        <v>218</v>
      </c>
      <c r="D3567" s="71">
        <v>5</v>
      </c>
      <c r="E3567" s="102">
        <v>192500</v>
      </c>
      <c r="F3567" s="102">
        <f t="shared" ref="F3567:F3573" si="1806">(E3567*D3567)*1.1</f>
        <v>1058750</v>
      </c>
      <c r="G3567" s="102">
        <f t="shared" ref="G3567:G3573" si="1807">(E3567*D3567)</f>
        <v>962500</v>
      </c>
      <c r="H3567" s="690" t="s">
        <v>173</v>
      </c>
      <c r="I3567" s="71" t="s">
        <v>120</v>
      </c>
      <c r="J3567" s="53">
        <f t="shared" ref="J3567:J3581" si="1808">G3567-T3567</f>
        <v>400000</v>
      </c>
      <c r="K3567" s="63">
        <v>0.4155844155844155</v>
      </c>
      <c r="L3567" s="871" t="s">
        <v>2622</v>
      </c>
      <c r="M3567" s="468" t="s">
        <v>2647</v>
      </c>
      <c r="N3567" s="1192">
        <f t="shared" ref="N3567:N3654" si="1809">A3567</f>
        <v>44134</v>
      </c>
      <c r="O3567" s="71" t="s">
        <v>150</v>
      </c>
      <c r="P3567" s="164" t="str">
        <f t="shared" ref="P3567:P3651" si="1810">(C3567)</f>
        <v>Fount Web 551AF</v>
      </c>
      <c r="Q3567" s="71">
        <f t="shared" ref="Q3567:Q3654" si="1811">D3567</f>
        <v>5</v>
      </c>
      <c r="R3567" s="102">
        <v>112500</v>
      </c>
      <c r="S3567" s="102">
        <f t="shared" ref="S3567:S3598" si="1812">R3567*Q3567*1.1</f>
        <v>618750</v>
      </c>
      <c r="T3567" s="102">
        <f t="shared" ref="T3567:T3598" si="1813">R3567*Q3567</f>
        <v>562500</v>
      </c>
      <c r="U3567" s="71" t="str">
        <f>IF(J3567=W3567,"O", "X")</f>
        <v>X</v>
      </c>
      <c r="V3567" s="71"/>
      <c r="W3567" s="474">
        <v>640000</v>
      </c>
      <c r="X3567" s="71"/>
      <c r="Y3567" s="71"/>
    </row>
    <row r="3568" spans="1:25" ht="30" hidden="1" customHeight="1" x14ac:dyDescent="0.25">
      <c r="A3568" s="1145">
        <v>44134</v>
      </c>
      <c r="B3568" s="664" t="s">
        <v>2155</v>
      </c>
      <c r="C3568" s="71" t="s">
        <v>277</v>
      </c>
      <c r="D3568" s="71">
        <v>5</v>
      </c>
      <c r="E3568" s="102">
        <v>172000</v>
      </c>
      <c r="F3568" s="102">
        <f t="shared" si="1806"/>
        <v>946000.00000000012</v>
      </c>
      <c r="G3568" s="102">
        <f t="shared" si="1807"/>
        <v>860000</v>
      </c>
      <c r="H3568" s="690" t="s">
        <v>173</v>
      </c>
      <c r="I3568" s="71" t="s">
        <v>108</v>
      </c>
      <c r="J3568" s="53">
        <f t="shared" si="1808"/>
        <v>285000</v>
      </c>
      <c r="K3568" s="63">
        <v>0.33139534883720928</v>
      </c>
      <c r="L3568" s="871" t="s">
        <v>2622</v>
      </c>
      <c r="M3568" s="468" t="s">
        <v>2647</v>
      </c>
      <c r="N3568" s="1192">
        <f t="shared" si="1809"/>
        <v>44134</v>
      </c>
      <c r="O3568" s="71" t="s">
        <v>150</v>
      </c>
      <c r="P3568" s="164" t="str">
        <f t="shared" si="1810"/>
        <v>윤전용 세척제(Web 504)</v>
      </c>
      <c r="Q3568" s="71">
        <f t="shared" si="1811"/>
        <v>5</v>
      </c>
      <c r="R3568" s="102">
        <v>115000</v>
      </c>
      <c r="S3568" s="102">
        <f t="shared" si="1812"/>
        <v>632500</v>
      </c>
      <c r="T3568" s="102">
        <f t="shared" si="1813"/>
        <v>575000</v>
      </c>
      <c r="U3568" s="71" t="str">
        <f>IF(J3568=W3568,"O", "X")</f>
        <v>O</v>
      </c>
      <c r="V3568" s="71"/>
      <c r="W3568" s="474">
        <v>285000</v>
      </c>
      <c r="X3568" s="71"/>
      <c r="Y3568" s="71"/>
    </row>
    <row r="3569" spans="1:25" ht="30" hidden="1" customHeight="1" x14ac:dyDescent="0.2">
      <c r="A3569" s="1145">
        <v>44140</v>
      </c>
      <c r="B3569" s="664" t="s">
        <v>627</v>
      </c>
      <c r="C3569" s="71" t="s">
        <v>2640</v>
      </c>
      <c r="D3569" s="71">
        <v>1</v>
      </c>
      <c r="E3569" s="102">
        <v>1900000</v>
      </c>
      <c r="F3569" s="163">
        <f t="shared" si="1806"/>
        <v>2090000.0000000002</v>
      </c>
      <c r="G3569" s="102">
        <f t="shared" si="1807"/>
        <v>1900000</v>
      </c>
      <c r="H3569" s="690" t="s">
        <v>1431</v>
      </c>
      <c r="I3569" s="71" t="s">
        <v>1431</v>
      </c>
      <c r="J3569" s="53">
        <f t="shared" si="1808"/>
        <v>860000</v>
      </c>
      <c r="K3569" s="63">
        <f t="shared" ref="K3569:K3576" si="1814">(J3569/(F3569/11*10))</f>
        <v>0.45263157894736838</v>
      </c>
      <c r="L3569" s="871" t="s">
        <v>2634</v>
      </c>
      <c r="M3569" s="468"/>
      <c r="N3569" s="1192">
        <f t="shared" si="1809"/>
        <v>44140</v>
      </c>
      <c r="O3569" s="71" t="s">
        <v>1431</v>
      </c>
      <c r="P3569" s="164" t="str">
        <f t="shared" si="1810"/>
        <v>오일분배기 4개</v>
      </c>
      <c r="Q3569" s="71">
        <f t="shared" si="1811"/>
        <v>1</v>
      </c>
      <c r="R3569" s="102">
        <f>620000+420000</f>
        <v>1040000</v>
      </c>
      <c r="S3569" s="102">
        <f t="shared" si="1812"/>
        <v>1144000</v>
      </c>
      <c r="T3569" s="102">
        <f t="shared" si="1813"/>
        <v>1040000</v>
      </c>
      <c r="U3569" s="71"/>
      <c r="V3569" s="71"/>
      <c r="W3569" s="474"/>
      <c r="X3569" s="71"/>
      <c r="Y3569" s="71"/>
    </row>
    <row r="3570" spans="1:25" ht="30" hidden="1" customHeight="1" x14ac:dyDescent="0.25">
      <c r="A3570" s="1145">
        <v>44158</v>
      </c>
      <c r="B3570" s="664" t="s">
        <v>591</v>
      </c>
      <c r="C3570" s="71" t="s">
        <v>2650</v>
      </c>
      <c r="D3570" s="71">
        <v>1</v>
      </c>
      <c r="E3570" s="102">
        <v>5080000</v>
      </c>
      <c r="F3570" s="102">
        <f t="shared" si="1806"/>
        <v>5588000</v>
      </c>
      <c r="G3570" s="102">
        <f t="shared" si="1807"/>
        <v>5080000</v>
      </c>
      <c r="H3570" s="690" t="s">
        <v>173</v>
      </c>
      <c r="I3570" s="71" t="s">
        <v>143</v>
      </c>
      <c r="J3570" s="53">
        <f t="shared" si="1808"/>
        <v>20000</v>
      </c>
      <c r="K3570" s="63">
        <f t="shared" si="1814"/>
        <v>3.937007874015748E-3</v>
      </c>
      <c r="L3570" s="871" t="s">
        <v>2634</v>
      </c>
      <c r="M3570" s="468" t="s">
        <v>2659</v>
      </c>
      <c r="N3570" s="1192">
        <f>A3570</f>
        <v>44158</v>
      </c>
      <c r="O3570" s="71" t="s">
        <v>612</v>
      </c>
      <c r="P3570" s="164" t="str">
        <f>(C3570)</f>
        <v>매엽용 롤라 12개</v>
      </c>
      <c r="Q3570" s="71">
        <f t="shared" si="1811"/>
        <v>1</v>
      </c>
      <c r="R3570" s="102">
        <f>4300000+760000</f>
        <v>5060000</v>
      </c>
      <c r="S3570" s="102">
        <f t="shared" si="1812"/>
        <v>5566000</v>
      </c>
      <c r="T3570" s="102">
        <f t="shared" si="1813"/>
        <v>5060000</v>
      </c>
      <c r="U3570" s="71"/>
      <c r="V3570" s="71"/>
      <c r="W3570" s="474"/>
      <c r="X3570" s="71"/>
      <c r="Y3570" s="71"/>
    </row>
    <row r="3571" spans="1:25" ht="30" hidden="1" customHeight="1" x14ac:dyDescent="0.25">
      <c r="A3571" s="1145">
        <v>44162</v>
      </c>
      <c r="B3571" s="664" t="s">
        <v>690</v>
      </c>
      <c r="C3571" s="71" t="s">
        <v>1186</v>
      </c>
      <c r="D3571" s="71">
        <v>500</v>
      </c>
      <c r="E3571" s="102">
        <v>3420</v>
      </c>
      <c r="F3571" s="102">
        <f t="shared" si="1806"/>
        <v>1881000.0000000002</v>
      </c>
      <c r="G3571" s="102">
        <f t="shared" si="1807"/>
        <v>1710000</v>
      </c>
      <c r="H3571" s="690" t="s">
        <v>173</v>
      </c>
      <c r="I3571" s="71" t="s">
        <v>2230</v>
      </c>
      <c r="J3571" s="53">
        <f t="shared" si="1808"/>
        <v>-190000</v>
      </c>
      <c r="K3571" s="63">
        <f t="shared" si="1814"/>
        <v>-0.11111111111111109</v>
      </c>
      <c r="L3571" s="871" t="s">
        <v>2634</v>
      </c>
      <c r="M3571" s="468" t="s">
        <v>1393</v>
      </c>
      <c r="N3571" s="1192">
        <f>A3571</f>
        <v>44162</v>
      </c>
      <c r="O3571" s="71" t="s">
        <v>145</v>
      </c>
      <c r="P3571" s="164" t="str">
        <f>(C3571)</f>
        <v>CTP 판(1030*790mm)</v>
      </c>
      <c r="Q3571" s="71">
        <f t="shared" si="1811"/>
        <v>500</v>
      </c>
      <c r="R3571" s="102">
        <v>3800</v>
      </c>
      <c r="S3571" s="102">
        <f t="shared" si="1812"/>
        <v>2090000.0000000002</v>
      </c>
      <c r="T3571" s="102">
        <f t="shared" si="1813"/>
        <v>1900000</v>
      </c>
      <c r="U3571" s="71" t="str">
        <f>IF(J3571=W3571,"O", "X")</f>
        <v>X</v>
      </c>
      <c r="V3571" s="71"/>
      <c r="W3571" s="474">
        <v>-200000</v>
      </c>
      <c r="X3571" s="71"/>
      <c r="Y3571" s="71"/>
    </row>
    <row r="3572" spans="1:25" ht="30" hidden="1" customHeight="1" x14ac:dyDescent="0.25">
      <c r="A3572" s="1145">
        <v>44162</v>
      </c>
      <c r="B3572" s="664" t="s">
        <v>690</v>
      </c>
      <c r="C3572" s="71" t="s">
        <v>197</v>
      </c>
      <c r="D3572" s="71">
        <v>3</v>
      </c>
      <c r="E3572" s="102">
        <v>46000</v>
      </c>
      <c r="F3572" s="102">
        <f t="shared" si="1806"/>
        <v>151800</v>
      </c>
      <c r="G3572" s="102">
        <f t="shared" si="1807"/>
        <v>138000</v>
      </c>
      <c r="H3572" s="690" t="s">
        <v>173</v>
      </c>
      <c r="I3572" s="71" t="s">
        <v>2230</v>
      </c>
      <c r="J3572" s="53">
        <f t="shared" si="1808"/>
        <v>33000</v>
      </c>
      <c r="K3572" s="63">
        <f t="shared" si="1814"/>
        <v>0.2391304347826087</v>
      </c>
      <c r="L3572" s="871" t="s">
        <v>2634</v>
      </c>
      <c r="M3572" s="468" t="s">
        <v>1394</v>
      </c>
      <c r="N3572" s="1192">
        <f>A3572</f>
        <v>44162</v>
      </c>
      <c r="O3572" s="71" t="s">
        <v>145</v>
      </c>
      <c r="P3572" s="164" t="str">
        <f>(C3572)</f>
        <v>THR200(20L)</v>
      </c>
      <c r="Q3572" s="71">
        <f t="shared" si="1811"/>
        <v>3</v>
      </c>
      <c r="R3572" s="102">
        <v>35000</v>
      </c>
      <c r="S3572" s="102">
        <f t="shared" si="1812"/>
        <v>115500.00000000001</v>
      </c>
      <c r="T3572" s="102">
        <f t="shared" si="1813"/>
        <v>105000</v>
      </c>
      <c r="U3572" s="71" t="str">
        <f>IF(J3572=W3572,"O", "X")</f>
        <v>X</v>
      </c>
      <c r="V3572" s="71"/>
      <c r="W3572" s="474"/>
      <c r="X3572" s="71"/>
      <c r="Y3572" s="71"/>
    </row>
    <row r="3573" spans="1:25" ht="30" hidden="1" customHeight="1" x14ac:dyDescent="0.25">
      <c r="A3573" s="1145">
        <v>44165</v>
      </c>
      <c r="B3573" s="664" t="s">
        <v>575</v>
      </c>
      <c r="C3573" s="71" t="s">
        <v>2633</v>
      </c>
      <c r="D3573" s="71">
        <v>16</v>
      </c>
      <c r="E3573" s="102">
        <v>36500</v>
      </c>
      <c r="F3573" s="102">
        <f t="shared" si="1806"/>
        <v>642400</v>
      </c>
      <c r="G3573" s="102">
        <f t="shared" si="1807"/>
        <v>584000</v>
      </c>
      <c r="H3573" s="690" t="s">
        <v>2029</v>
      </c>
      <c r="I3573" s="71" t="s">
        <v>109</v>
      </c>
      <c r="J3573" s="53">
        <f t="shared" si="1808"/>
        <v>238400</v>
      </c>
      <c r="K3573" s="63">
        <f t="shared" si="1814"/>
        <v>0.40821917808219177</v>
      </c>
      <c r="L3573" s="871" t="s">
        <v>2634</v>
      </c>
      <c r="M3573" s="468"/>
      <c r="N3573" s="1192">
        <f t="shared" si="1809"/>
        <v>44165</v>
      </c>
      <c r="O3573" s="71" t="s">
        <v>151</v>
      </c>
      <c r="P3573" s="164" t="str">
        <f t="shared" si="1810"/>
        <v>블랑켓 언더팩킹필름</v>
      </c>
      <c r="Q3573" s="71">
        <f t="shared" si="1811"/>
        <v>16</v>
      </c>
      <c r="R3573" s="102">
        <v>21600</v>
      </c>
      <c r="S3573" s="102">
        <f t="shared" si="1812"/>
        <v>380160.00000000006</v>
      </c>
      <c r="T3573" s="102">
        <f t="shared" si="1813"/>
        <v>345600</v>
      </c>
      <c r="U3573" s="71"/>
      <c r="V3573" s="71"/>
      <c r="W3573" s="474"/>
      <c r="X3573" s="71"/>
      <c r="Y3573" s="71"/>
    </row>
    <row r="3574" spans="1:25" ht="30" hidden="1" customHeight="1" x14ac:dyDescent="0.2">
      <c r="A3574" s="1145">
        <v>44166</v>
      </c>
      <c r="B3574" s="664" t="s">
        <v>575</v>
      </c>
      <c r="C3574" s="71" t="s">
        <v>1367</v>
      </c>
      <c r="D3574" s="71">
        <v>16</v>
      </c>
      <c r="E3574" s="102">
        <v>218000</v>
      </c>
      <c r="F3574" s="163">
        <f t="shared" ref="F3574:F3583" si="1815">(E3574*D3574)*1.1</f>
        <v>3836800.0000000005</v>
      </c>
      <c r="G3574" s="102">
        <f t="shared" ref="G3574:G3583" si="1816">(E3574*D3574)</f>
        <v>3488000</v>
      </c>
      <c r="H3574" s="690" t="s">
        <v>173</v>
      </c>
      <c r="I3574" s="71" t="s">
        <v>109</v>
      </c>
      <c r="J3574" s="53">
        <f t="shared" si="1808"/>
        <v>1563840</v>
      </c>
      <c r="K3574" s="63">
        <f t="shared" si="1814"/>
        <v>0.44834862385321095</v>
      </c>
      <c r="L3574" s="871" t="s">
        <v>2634</v>
      </c>
      <c r="M3574" s="468"/>
      <c r="N3574" s="1192">
        <f t="shared" si="1809"/>
        <v>44166</v>
      </c>
      <c r="O3574" s="71" t="s">
        <v>1443</v>
      </c>
      <c r="P3574" s="164" t="str">
        <f t="shared" si="1810"/>
        <v>M600 윤전 블랑켓 995*742</v>
      </c>
      <c r="Q3574" s="71">
        <f t="shared" si="1811"/>
        <v>16</v>
      </c>
      <c r="R3574" s="102">
        <v>120260</v>
      </c>
      <c r="S3574" s="102">
        <f t="shared" si="1812"/>
        <v>2116576</v>
      </c>
      <c r="T3574" s="102">
        <f t="shared" si="1813"/>
        <v>1924160</v>
      </c>
      <c r="U3574" s="71" t="str">
        <f>IF(J3574=W3574,"O", "X")</f>
        <v>X</v>
      </c>
      <c r="V3574" s="71"/>
      <c r="W3574" s="474"/>
      <c r="X3574" s="71"/>
      <c r="Y3574" s="71"/>
    </row>
    <row r="3575" spans="1:25" ht="30" hidden="1" customHeight="1" x14ac:dyDescent="0.25">
      <c r="A3575" s="1145">
        <v>44166</v>
      </c>
      <c r="B3575" s="664" t="s">
        <v>546</v>
      </c>
      <c r="C3575" s="71" t="s">
        <v>2102</v>
      </c>
      <c r="D3575" s="71">
        <v>2</v>
      </c>
      <c r="E3575" s="102">
        <v>2950000</v>
      </c>
      <c r="F3575" s="102">
        <f t="shared" si="1815"/>
        <v>6490000.0000000009</v>
      </c>
      <c r="G3575" s="102">
        <f t="shared" si="1816"/>
        <v>5900000</v>
      </c>
      <c r="H3575" s="690" t="s">
        <v>985</v>
      </c>
      <c r="I3575" s="71" t="s">
        <v>985</v>
      </c>
      <c r="J3575" s="53">
        <f t="shared" si="1808"/>
        <v>2900000</v>
      </c>
      <c r="K3575" s="63">
        <f t="shared" si="1814"/>
        <v>0.49152542372881347</v>
      </c>
      <c r="L3575" s="871" t="s">
        <v>2634</v>
      </c>
      <c r="M3575" s="468"/>
      <c r="N3575" s="1192">
        <f t="shared" si="1809"/>
        <v>44166</v>
      </c>
      <c r="O3575" s="71" t="s">
        <v>2642</v>
      </c>
      <c r="P3575" s="164" t="str">
        <f t="shared" si="1810"/>
        <v>판걸이 튜브 교체 서비스</v>
      </c>
      <c r="Q3575" s="71">
        <f t="shared" si="1811"/>
        <v>2</v>
      </c>
      <c r="R3575" s="102">
        <v>1500000</v>
      </c>
      <c r="S3575" s="102">
        <f t="shared" si="1812"/>
        <v>3300000.0000000005</v>
      </c>
      <c r="T3575" s="102">
        <f t="shared" si="1813"/>
        <v>3000000</v>
      </c>
      <c r="U3575" s="71"/>
      <c r="V3575" s="71"/>
      <c r="W3575" s="474"/>
      <c r="X3575" s="71"/>
      <c r="Y3575" s="71"/>
    </row>
    <row r="3576" spans="1:25" ht="27.6" hidden="1" customHeight="1" x14ac:dyDescent="0.25">
      <c r="A3576" s="1145">
        <v>44166</v>
      </c>
      <c r="B3576" s="664" t="s">
        <v>567</v>
      </c>
      <c r="C3576" s="71" t="s">
        <v>1652</v>
      </c>
      <c r="D3576" s="71">
        <v>5</v>
      </c>
      <c r="E3576" s="102">
        <v>45000</v>
      </c>
      <c r="F3576" s="102">
        <f t="shared" si="1815"/>
        <v>247500.00000000003</v>
      </c>
      <c r="G3576" s="102">
        <f t="shared" si="1816"/>
        <v>225000</v>
      </c>
      <c r="H3576" s="690" t="s">
        <v>173</v>
      </c>
      <c r="I3576" s="71" t="s">
        <v>2231</v>
      </c>
      <c r="J3576" s="53">
        <f t="shared" si="1808"/>
        <v>25000</v>
      </c>
      <c r="K3576" s="63">
        <f t="shared" si="1814"/>
        <v>0.11111111111111109</v>
      </c>
      <c r="L3576" s="871" t="s">
        <v>2634</v>
      </c>
      <c r="M3576" s="468"/>
      <c r="N3576" s="1192">
        <f t="shared" si="1809"/>
        <v>44166</v>
      </c>
      <c r="O3576" s="71" t="s">
        <v>153</v>
      </c>
      <c r="P3576" s="164" t="str">
        <f t="shared" si="1810"/>
        <v>아스테이지(CD74용)</v>
      </c>
      <c r="Q3576" s="71">
        <f t="shared" si="1811"/>
        <v>5</v>
      </c>
      <c r="R3576" s="102">
        <v>40000</v>
      </c>
      <c r="S3576" s="102">
        <f t="shared" si="1812"/>
        <v>220000.00000000003</v>
      </c>
      <c r="T3576" s="102">
        <f t="shared" si="1813"/>
        <v>200000</v>
      </c>
      <c r="U3576" s="71" t="str">
        <f>IF(J3576=W3576,"O", "X")</f>
        <v>X</v>
      </c>
      <c r="V3576" s="71"/>
      <c r="W3576" s="474"/>
      <c r="X3576" s="71"/>
      <c r="Y3576" s="71"/>
    </row>
    <row r="3577" spans="1:25" ht="30" hidden="1" customHeight="1" x14ac:dyDescent="0.25">
      <c r="A3577" s="1145">
        <v>44165</v>
      </c>
      <c r="B3577" s="664" t="s">
        <v>2155</v>
      </c>
      <c r="C3577" s="760" t="s">
        <v>218</v>
      </c>
      <c r="D3577" s="71">
        <v>5</v>
      </c>
      <c r="E3577" s="102">
        <v>192500</v>
      </c>
      <c r="F3577" s="102">
        <f t="shared" si="1815"/>
        <v>1058750</v>
      </c>
      <c r="G3577" s="102">
        <f t="shared" si="1816"/>
        <v>962500</v>
      </c>
      <c r="H3577" s="690" t="s">
        <v>173</v>
      </c>
      <c r="I3577" s="71" t="s">
        <v>120</v>
      </c>
      <c r="J3577" s="53">
        <f t="shared" si="1808"/>
        <v>400000</v>
      </c>
      <c r="K3577" s="63">
        <v>0.4155844155844155</v>
      </c>
      <c r="L3577" s="871" t="s">
        <v>2634</v>
      </c>
      <c r="M3577" s="468"/>
      <c r="N3577" s="1192">
        <f t="shared" si="1809"/>
        <v>44165</v>
      </c>
      <c r="O3577" s="71" t="s">
        <v>150</v>
      </c>
      <c r="P3577" s="164" t="str">
        <f t="shared" si="1810"/>
        <v>Fount Web 551AF</v>
      </c>
      <c r="Q3577" s="71">
        <f t="shared" si="1811"/>
        <v>5</v>
      </c>
      <c r="R3577" s="102">
        <v>112500</v>
      </c>
      <c r="S3577" s="102">
        <f t="shared" si="1812"/>
        <v>618750</v>
      </c>
      <c r="T3577" s="102">
        <f t="shared" si="1813"/>
        <v>562500</v>
      </c>
      <c r="U3577" s="71" t="str">
        <f>IF(J3577=W3577,"O", "X")</f>
        <v>X</v>
      </c>
      <c r="V3577" s="71"/>
      <c r="W3577" s="474">
        <v>640000</v>
      </c>
      <c r="X3577" s="71"/>
      <c r="Y3577" s="71"/>
    </row>
    <row r="3578" spans="1:25" s="209" customFormat="1" ht="30" hidden="1" customHeight="1" x14ac:dyDescent="0.25">
      <c r="A3578" s="1145">
        <v>44165</v>
      </c>
      <c r="B3578" s="664" t="s">
        <v>2155</v>
      </c>
      <c r="C3578" s="71" t="s">
        <v>138</v>
      </c>
      <c r="D3578" s="71">
        <v>10</v>
      </c>
      <c r="E3578" s="102">
        <v>47600</v>
      </c>
      <c r="F3578" s="102">
        <f t="shared" si="1815"/>
        <v>523600.00000000006</v>
      </c>
      <c r="G3578" s="102">
        <f t="shared" si="1816"/>
        <v>476000</v>
      </c>
      <c r="H3578" s="1129" t="s">
        <v>172</v>
      </c>
      <c r="I3578" s="71" t="s">
        <v>108</v>
      </c>
      <c r="J3578" s="53">
        <f t="shared" si="1808"/>
        <v>68000</v>
      </c>
      <c r="K3578" s="63">
        <f>(J3578/(F3578/11*10))</f>
        <v>0.14285714285714285</v>
      </c>
      <c r="L3578" s="871" t="s">
        <v>2634</v>
      </c>
      <c r="M3578" s="468" t="s">
        <v>2214</v>
      </c>
      <c r="N3578" s="1192">
        <f t="shared" si="1809"/>
        <v>44165</v>
      </c>
      <c r="O3578" s="71" t="s">
        <v>150</v>
      </c>
      <c r="P3578" s="164" t="str">
        <f t="shared" si="1810"/>
        <v>매엽용 세척제(Wash 562)</v>
      </c>
      <c r="Q3578" s="71">
        <f t="shared" si="1811"/>
        <v>10</v>
      </c>
      <c r="R3578" s="102">
        <v>40800</v>
      </c>
      <c r="S3578" s="102">
        <f t="shared" si="1812"/>
        <v>448800.00000000006</v>
      </c>
      <c r="T3578" s="102">
        <f t="shared" si="1813"/>
        <v>408000</v>
      </c>
      <c r="U3578" s="71" t="str">
        <f>IF(J3578=W3578,"O", "X")</f>
        <v>X</v>
      </c>
      <c r="V3578" s="71"/>
      <c r="W3578" s="474">
        <v>85000</v>
      </c>
      <c r="X3578" s="71"/>
      <c r="Y3578" s="71"/>
    </row>
    <row r="3579" spans="1:25" s="209" customFormat="1" ht="30" hidden="1" customHeight="1" x14ac:dyDescent="0.2">
      <c r="A3579" s="1145">
        <v>44165</v>
      </c>
      <c r="B3579" s="664" t="s">
        <v>2155</v>
      </c>
      <c r="C3579" s="71" t="s">
        <v>231</v>
      </c>
      <c r="D3579" s="71">
        <v>10</v>
      </c>
      <c r="E3579" s="102">
        <v>120000</v>
      </c>
      <c r="F3579" s="102">
        <f t="shared" si="1815"/>
        <v>1320000</v>
      </c>
      <c r="G3579" s="102">
        <f t="shared" si="1816"/>
        <v>1200000</v>
      </c>
      <c r="H3579" s="165" t="s">
        <v>172</v>
      </c>
      <c r="I3579" s="71" t="s">
        <v>109</v>
      </c>
      <c r="J3579" s="53">
        <f t="shared" si="1808"/>
        <v>80000</v>
      </c>
      <c r="K3579" s="63">
        <v>6.6666666666666666E-2</v>
      </c>
      <c r="L3579" s="871" t="s">
        <v>2634</v>
      </c>
      <c r="M3579" s="468"/>
      <c r="N3579" s="1192">
        <f t="shared" si="1809"/>
        <v>44165</v>
      </c>
      <c r="O3579" s="71" t="s">
        <v>151</v>
      </c>
      <c r="P3579" s="164" t="str">
        <f t="shared" si="1810"/>
        <v>Blanket(990*725)</v>
      </c>
      <c r="Q3579" s="71">
        <f t="shared" si="1811"/>
        <v>10</v>
      </c>
      <c r="R3579" s="102">
        <v>112000</v>
      </c>
      <c r="S3579" s="102">
        <f t="shared" si="1812"/>
        <v>1232000</v>
      </c>
      <c r="T3579" s="102">
        <f t="shared" si="1813"/>
        <v>1120000</v>
      </c>
      <c r="U3579" s="71" t="str">
        <f>IF(J3579=W3579,"O", "X")</f>
        <v>O</v>
      </c>
      <c r="V3579" s="71"/>
      <c r="W3579" s="474">
        <v>80000</v>
      </c>
      <c r="X3579" s="71"/>
      <c r="Y3579" s="71"/>
    </row>
    <row r="3580" spans="1:25" ht="30" customHeight="1" x14ac:dyDescent="0.25">
      <c r="A3580" s="1145">
        <v>44166</v>
      </c>
      <c r="B3580" s="664" t="s">
        <v>2352</v>
      </c>
      <c r="C3580" s="760" t="s">
        <v>218</v>
      </c>
      <c r="D3580" s="71">
        <v>5</v>
      </c>
      <c r="E3580" s="102">
        <v>235000</v>
      </c>
      <c r="F3580" s="102">
        <f t="shared" si="1815"/>
        <v>1292500</v>
      </c>
      <c r="G3580" s="102">
        <f t="shared" si="1816"/>
        <v>1175000</v>
      </c>
      <c r="H3580" s="690" t="s">
        <v>142</v>
      </c>
      <c r="I3580" s="71" t="s">
        <v>142</v>
      </c>
      <c r="J3580" s="53">
        <f t="shared" si="1808"/>
        <v>612500</v>
      </c>
      <c r="K3580" s="63">
        <f t="shared" ref="K3580:K3587" si="1817">(J3580/(F3580/11*10))</f>
        <v>0.52127659574468088</v>
      </c>
      <c r="L3580" s="871" t="s">
        <v>2634</v>
      </c>
      <c r="M3580" s="468" t="s">
        <v>2053</v>
      </c>
      <c r="N3580" s="1192">
        <f>A3580</f>
        <v>44166</v>
      </c>
      <c r="O3580" s="71" t="s">
        <v>150</v>
      </c>
      <c r="P3580" s="164" t="str">
        <f>(C3580)</f>
        <v>Fount Web 551AF</v>
      </c>
      <c r="Q3580" s="71">
        <f t="shared" si="1811"/>
        <v>5</v>
      </c>
      <c r="R3580" s="102">
        <v>112500</v>
      </c>
      <c r="S3580" s="102">
        <f t="shared" si="1812"/>
        <v>618750</v>
      </c>
      <c r="T3580" s="102">
        <f t="shared" si="1813"/>
        <v>562500</v>
      </c>
      <c r="U3580" s="71" t="str">
        <f>IF(J3580=W3580,"O", "X")</f>
        <v>O</v>
      </c>
      <c r="V3580" s="71"/>
      <c r="W3580" s="474">
        <f>(G3580-T3580)</f>
        <v>612500</v>
      </c>
      <c r="X3580" s="71"/>
      <c r="Y3580" s="71"/>
    </row>
    <row r="3581" spans="1:25" ht="30" hidden="1" customHeight="1" x14ac:dyDescent="0.25">
      <c r="A3581" s="1145">
        <v>44167</v>
      </c>
      <c r="B3581" s="664" t="s">
        <v>1178</v>
      </c>
      <c r="C3581" s="760" t="s">
        <v>2654</v>
      </c>
      <c r="D3581" s="71">
        <v>1</v>
      </c>
      <c r="E3581" s="102">
        <v>1705000</v>
      </c>
      <c r="F3581" s="102">
        <f t="shared" si="1815"/>
        <v>1875500.0000000002</v>
      </c>
      <c r="G3581" s="102">
        <f t="shared" si="1816"/>
        <v>1705000</v>
      </c>
      <c r="H3581" s="690" t="s">
        <v>142</v>
      </c>
      <c r="I3581" s="690" t="s">
        <v>142</v>
      </c>
      <c r="J3581" s="53">
        <f t="shared" si="1808"/>
        <v>369000</v>
      </c>
      <c r="K3581" s="63">
        <f t="shared" si="1817"/>
        <v>0.21642228739002931</v>
      </c>
      <c r="L3581" s="871" t="s">
        <v>2634</v>
      </c>
      <c r="M3581" s="468" t="s">
        <v>2775</v>
      </c>
      <c r="N3581" s="1192">
        <f>A3581</f>
        <v>44167</v>
      </c>
      <c r="O3581" s="71" t="s">
        <v>145</v>
      </c>
      <c r="P3581" s="164" t="str">
        <f>(C3581)</f>
        <v>CTP 약물</v>
      </c>
      <c r="Q3581" s="71">
        <f t="shared" si="1811"/>
        <v>1</v>
      </c>
      <c r="R3581" s="102">
        <v>1336000</v>
      </c>
      <c r="S3581" s="102">
        <f t="shared" si="1812"/>
        <v>1469600.0000000002</v>
      </c>
      <c r="T3581" s="102">
        <f t="shared" si="1813"/>
        <v>1336000</v>
      </c>
      <c r="U3581" s="71"/>
      <c r="V3581" s="71"/>
      <c r="W3581" s="474"/>
      <c r="X3581" s="71"/>
      <c r="Y3581" s="71"/>
    </row>
    <row r="3582" spans="1:25" s="209" customFormat="1" ht="30" hidden="1" customHeight="1" x14ac:dyDescent="0.2">
      <c r="A3582" s="1145">
        <v>44168</v>
      </c>
      <c r="B3582" s="664" t="s">
        <v>2353</v>
      </c>
      <c r="C3582" s="71" t="s">
        <v>130</v>
      </c>
      <c r="D3582" s="71">
        <v>10</v>
      </c>
      <c r="E3582" s="102">
        <v>125000</v>
      </c>
      <c r="F3582" s="102">
        <f t="shared" si="1815"/>
        <v>1375000</v>
      </c>
      <c r="G3582" s="102">
        <f t="shared" si="1816"/>
        <v>1250000</v>
      </c>
      <c r="H3582" s="165" t="s">
        <v>142</v>
      </c>
      <c r="I3582" s="71" t="s">
        <v>142</v>
      </c>
      <c r="J3582" s="53">
        <f>(G3582-(VLOOKUP(C3582,Price!B:D,3,FALSE)*D3582))</f>
        <v>260000</v>
      </c>
      <c r="K3582" s="63">
        <f t="shared" si="1817"/>
        <v>0.20799999999999999</v>
      </c>
      <c r="L3582" s="871" t="s">
        <v>2634</v>
      </c>
      <c r="M3582" s="468" t="s">
        <v>2050</v>
      </c>
      <c r="N3582" s="1192">
        <f t="shared" si="1809"/>
        <v>44168</v>
      </c>
      <c r="O3582" s="71" t="s">
        <v>150</v>
      </c>
      <c r="P3582" s="164" t="str">
        <f t="shared" si="1810"/>
        <v>XL106 Blanket(1077*885)</v>
      </c>
      <c r="Q3582" s="71">
        <f t="shared" si="1811"/>
        <v>10</v>
      </c>
      <c r="R3582" s="102">
        <v>99000</v>
      </c>
      <c r="S3582" s="102">
        <f t="shared" si="1812"/>
        <v>1089000</v>
      </c>
      <c r="T3582" s="102">
        <f t="shared" si="1813"/>
        <v>990000</v>
      </c>
      <c r="U3582" s="71" t="str">
        <f>IF(J3582=W3582,"O", "X")</f>
        <v>O</v>
      </c>
      <c r="V3582" s="71"/>
      <c r="W3582" s="474">
        <f>(G3582-T3582)</f>
        <v>260000</v>
      </c>
      <c r="X3582" s="71"/>
      <c r="Y3582" s="71"/>
    </row>
    <row r="3583" spans="1:25" ht="30" hidden="1" customHeight="1" x14ac:dyDescent="0.2">
      <c r="A3583" s="1145">
        <v>44168</v>
      </c>
      <c r="B3583" s="664" t="s">
        <v>2353</v>
      </c>
      <c r="C3583" s="71" t="s">
        <v>129</v>
      </c>
      <c r="D3583" s="71">
        <v>7</v>
      </c>
      <c r="E3583" s="102">
        <v>272000</v>
      </c>
      <c r="F3583" s="102">
        <f t="shared" si="1815"/>
        <v>2094400.0000000002</v>
      </c>
      <c r="G3583" s="102">
        <f t="shared" si="1816"/>
        <v>1904000</v>
      </c>
      <c r="H3583" s="165" t="s">
        <v>142</v>
      </c>
      <c r="I3583" s="71" t="s">
        <v>142</v>
      </c>
      <c r="J3583" s="53">
        <f t="shared" ref="J3583:J3592" si="1818">G3583-T3583</f>
        <v>414400</v>
      </c>
      <c r="K3583" s="63">
        <f t="shared" si="1817"/>
        <v>0.21764705882352939</v>
      </c>
      <c r="L3583" s="871" t="s">
        <v>2634</v>
      </c>
      <c r="M3583" s="468" t="s">
        <v>2050</v>
      </c>
      <c r="N3583" s="1192">
        <f t="shared" si="1809"/>
        <v>44168</v>
      </c>
      <c r="O3583" s="71" t="s">
        <v>149</v>
      </c>
      <c r="P3583" s="164" t="str">
        <f t="shared" si="1810"/>
        <v>세정포-XL106</v>
      </c>
      <c r="Q3583" s="71">
        <f t="shared" si="1811"/>
        <v>7</v>
      </c>
      <c r="R3583" s="102">
        <v>212800</v>
      </c>
      <c r="S3583" s="102">
        <f t="shared" si="1812"/>
        <v>1638560.0000000002</v>
      </c>
      <c r="T3583" s="102">
        <f t="shared" si="1813"/>
        <v>1489600</v>
      </c>
      <c r="U3583" s="71" t="str">
        <f>IF(J3583=W3583,"O", "X")</f>
        <v>O</v>
      </c>
      <c r="V3583" s="71"/>
      <c r="W3583" s="474">
        <f>(G3583-T3583)</f>
        <v>414400</v>
      </c>
      <c r="X3583" s="71"/>
      <c r="Y3583" s="71"/>
    </row>
    <row r="3584" spans="1:25" ht="30" hidden="1" customHeight="1" x14ac:dyDescent="0.25">
      <c r="A3584" s="1145">
        <v>44168</v>
      </c>
      <c r="B3584" s="664" t="s">
        <v>2353</v>
      </c>
      <c r="C3584" s="71" t="s">
        <v>2648</v>
      </c>
      <c r="D3584" s="71">
        <v>4</v>
      </c>
      <c r="E3584" s="102">
        <v>35000</v>
      </c>
      <c r="F3584" s="102">
        <f t="shared" ref="F3584:F3652" si="1819">(E3584*D3584)*1.1</f>
        <v>154000</v>
      </c>
      <c r="G3584" s="102">
        <f t="shared" ref="G3584:G3652" si="1820">(E3584*D3584)</f>
        <v>140000</v>
      </c>
      <c r="H3584" s="690" t="s">
        <v>142</v>
      </c>
      <c r="I3584" s="71" t="s">
        <v>142</v>
      </c>
      <c r="J3584" s="53">
        <f t="shared" si="1818"/>
        <v>44000</v>
      </c>
      <c r="K3584" s="63">
        <f t="shared" si="1817"/>
        <v>0.31428571428571428</v>
      </c>
      <c r="L3584" s="871" t="s">
        <v>2634</v>
      </c>
      <c r="M3584" s="468"/>
      <c r="N3584" s="1192">
        <f t="shared" si="1809"/>
        <v>44168</v>
      </c>
      <c r="O3584" s="71" t="s">
        <v>94</v>
      </c>
      <c r="P3584" s="164" t="str">
        <f t="shared" si="1810"/>
        <v>주머니 필터백</v>
      </c>
      <c r="Q3584" s="71">
        <f t="shared" si="1811"/>
        <v>4</v>
      </c>
      <c r="R3584" s="102">
        <v>24000</v>
      </c>
      <c r="S3584" s="102">
        <f t="shared" si="1812"/>
        <v>105600.00000000001</v>
      </c>
      <c r="T3584" s="102">
        <f t="shared" si="1813"/>
        <v>96000</v>
      </c>
      <c r="U3584" s="71"/>
      <c r="V3584" s="71"/>
      <c r="W3584" s="474"/>
      <c r="X3584" s="71"/>
      <c r="Y3584" s="71"/>
    </row>
    <row r="3585" spans="1:25" ht="30" hidden="1" customHeight="1" x14ac:dyDescent="0.2">
      <c r="A3585" s="1145">
        <v>44168</v>
      </c>
      <c r="B3585" s="664" t="s">
        <v>2353</v>
      </c>
      <c r="C3585" s="71" t="s">
        <v>584</v>
      </c>
      <c r="D3585" s="71">
        <v>4</v>
      </c>
      <c r="E3585" s="102">
        <v>270000</v>
      </c>
      <c r="F3585" s="102">
        <f t="shared" si="1819"/>
        <v>1188000</v>
      </c>
      <c r="G3585" s="102">
        <f t="shared" si="1820"/>
        <v>1080000</v>
      </c>
      <c r="H3585" s="165" t="s">
        <v>142</v>
      </c>
      <c r="I3585" s="71" t="s">
        <v>142</v>
      </c>
      <c r="J3585" s="53">
        <f t="shared" si="1818"/>
        <v>216000</v>
      </c>
      <c r="K3585" s="63">
        <f t="shared" si="1817"/>
        <v>0.2</v>
      </c>
      <c r="L3585" s="871" t="s">
        <v>2634</v>
      </c>
      <c r="M3585" s="468"/>
      <c r="N3585" s="1192">
        <f t="shared" si="1809"/>
        <v>44168</v>
      </c>
      <c r="O3585" s="71" t="s">
        <v>150</v>
      </c>
      <c r="P3585" s="164" t="str">
        <f t="shared" si="1810"/>
        <v>데리바리 석션벨트</v>
      </c>
      <c r="Q3585" s="71">
        <f t="shared" si="1811"/>
        <v>4</v>
      </c>
      <c r="R3585" s="102">
        <v>216000</v>
      </c>
      <c r="S3585" s="102">
        <f t="shared" si="1812"/>
        <v>950400.00000000012</v>
      </c>
      <c r="T3585" s="102">
        <f t="shared" si="1813"/>
        <v>864000</v>
      </c>
      <c r="U3585" s="71" t="str">
        <f>IF(J3585=W3585,"O", "X")</f>
        <v>O</v>
      </c>
      <c r="V3585" s="71"/>
      <c r="W3585" s="474">
        <f>(G3585-T3585)</f>
        <v>216000</v>
      </c>
      <c r="X3585" s="71"/>
      <c r="Y3585" s="71"/>
    </row>
    <row r="3586" spans="1:25" ht="30" hidden="1" customHeight="1" x14ac:dyDescent="0.25">
      <c r="A3586" s="1145">
        <v>44168</v>
      </c>
      <c r="B3586" s="664" t="s">
        <v>2353</v>
      </c>
      <c r="C3586" s="71" t="s">
        <v>2649</v>
      </c>
      <c r="D3586" s="71">
        <v>2</v>
      </c>
      <c r="E3586" s="102">
        <v>118000</v>
      </c>
      <c r="F3586" s="102">
        <f t="shared" si="1819"/>
        <v>259600.00000000003</v>
      </c>
      <c r="G3586" s="102">
        <f t="shared" si="1820"/>
        <v>236000</v>
      </c>
      <c r="H3586" s="690" t="s">
        <v>142</v>
      </c>
      <c r="I3586" s="71" t="s">
        <v>142</v>
      </c>
      <c r="J3586" s="53">
        <f t="shared" si="1818"/>
        <v>26000</v>
      </c>
      <c r="K3586" s="63">
        <f t="shared" si="1817"/>
        <v>0.11016949152542371</v>
      </c>
      <c r="L3586" s="871" t="s">
        <v>2634</v>
      </c>
      <c r="M3586" s="468"/>
      <c r="N3586" s="1192">
        <f t="shared" si="1809"/>
        <v>44168</v>
      </c>
      <c r="O3586" s="71" t="s">
        <v>150</v>
      </c>
      <c r="P3586" s="164" t="str">
        <f t="shared" si="1810"/>
        <v>배지부 콤프 필터</v>
      </c>
      <c r="Q3586" s="71">
        <f t="shared" si="1811"/>
        <v>2</v>
      </c>
      <c r="R3586" s="102">
        <v>105000</v>
      </c>
      <c r="S3586" s="102">
        <f t="shared" si="1812"/>
        <v>231000.00000000003</v>
      </c>
      <c r="T3586" s="102">
        <f t="shared" si="1813"/>
        <v>210000</v>
      </c>
      <c r="U3586" s="71"/>
      <c r="V3586" s="71"/>
      <c r="W3586" s="474"/>
      <c r="X3586" s="71"/>
      <c r="Y3586" s="71"/>
    </row>
    <row r="3587" spans="1:25" ht="30" hidden="1" customHeight="1" x14ac:dyDescent="0.25">
      <c r="A3587" s="1145">
        <v>44169</v>
      </c>
      <c r="B3587" s="664" t="s">
        <v>546</v>
      </c>
      <c r="C3587" s="71" t="s">
        <v>114</v>
      </c>
      <c r="D3587" s="71">
        <v>50</v>
      </c>
      <c r="E3587" s="102">
        <v>18000</v>
      </c>
      <c r="F3587" s="102">
        <f t="shared" si="1819"/>
        <v>990000.00000000012</v>
      </c>
      <c r="G3587" s="102">
        <f t="shared" si="1820"/>
        <v>900000</v>
      </c>
      <c r="H3587" s="690" t="s">
        <v>1431</v>
      </c>
      <c r="I3587" s="71" t="s">
        <v>1431</v>
      </c>
      <c r="J3587" s="53">
        <f t="shared" si="1818"/>
        <v>445000</v>
      </c>
      <c r="K3587" s="63">
        <f t="shared" si="1817"/>
        <v>0.49444444444444435</v>
      </c>
      <c r="L3587" s="871" t="s">
        <v>2634</v>
      </c>
      <c r="M3587" s="468"/>
      <c r="N3587" s="1192">
        <f t="shared" si="1809"/>
        <v>44169</v>
      </c>
      <c r="O3587" s="71" t="s">
        <v>1431</v>
      </c>
      <c r="P3587" s="164" t="str">
        <f t="shared" si="1810"/>
        <v>스트리퍼</v>
      </c>
      <c r="Q3587" s="71">
        <f t="shared" si="1811"/>
        <v>50</v>
      </c>
      <c r="R3587" s="102">
        <v>9100</v>
      </c>
      <c r="S3587" s="102">
        <f t="shared" si="1812"/>
        <v>500500.00000000006</v>
      </c>
      <c r="T3587" s="102">
        <f t="shared" si="1813"/>
        <v>455000</v>
      </c>
      <c r="U3587" s="71"/>
      <c r="V3587" s="71"/>
      <c r="W3587" s="474"/>
      <c r="X3587" s="71"/>
      <c r="Y3587" s="71"/>
    </row>
    <row r="3588" spans="1:25" ht="30" hidden="1" customHeight="1" x14ac:dyDescent="0.25">
      <c r="A3588" s="1145">
        <v>44169</v>
      </c>
      <c r="B3588" s="664" t="s">
        <v>2155</v>
      </c>
      <c r="C3588" s="760" t="s">
        <v>218</v>
      </c>
      <c r="D3588" s="71">
        <v>5</v>
      </c>
      <c r="E3588" s="102">
        <v>192500</v>
      </c>
      <c r="F3588" s="102">
        <f t="shared" si="1819"/>
        <v>1058750</v>
      </c>
      <c r="G3588" s="102">
        <f t="shared" si="1820"/>
        <v>962500</v>
      </c>
      <c r="H3588" s="690" t="s">
        <v>173</v>
      </c>
      <c r="I3588" s="71" t="s">
        <v>120</v>
      </c>
      <c r="J3588" s="53">
        <f t="shared" si="1818"/>
        <v>400000</v>
      </c>
      <c r="K3588" s="63">
        <v>0.4155844155844155</v>
      </c>
      <c r="L3588" s="871" t="s">
        <v>2634</v>
      </c>
      <c r="M3588" s="468"/>
      <c r="N3588" s="1192">
        <f t="shared" si="1809"/>
        <v>44169</v>
      </c>
      <c r="O3588" s="71" t="s">
        <v>150</v>
      </c>
      <c r="P3588" s="164" t="str">
        <f>(C3588)</f>
        <v>Fount Web 551AF</v>
      </c>
      <c r="Q3588" s="71">
        <f t="shared" si="1811"/>
        <v>5</v>
      </c>
      <c r="R3588" s="102">
        <v>112500</v>
      </c>
      <c r="S3588" s="102">
        <f t="shared" si="1812"/>
        <v>618750</v>
      </c>
      <c r="T3588" s="102">
        <f t="shared" si="1813"/>
        <v>562500</v>
      </c>
      <c r="U3588" s="71" t="str">
        <f t="shared" ref="U3588:U3595" si="1821">IF(J3588=W3588,"O", "X")</f>
        <v>X</v>
      </c>
      <c r="V3588" s="71"/>
      <c r="W3588" s="474">
        <v>640000</v>
      </c>
      <c r="X3588" s="71"/>
      <c r="Y3588" s="71"/>
    </row>
    <row r="3589" spans="1:25" ht="30" hidden="1" customHeight="1" x14ac:dyDescent="0.25">
      <c r="A3589" s="1145">
        <v>44169</v>
      </c>
      <c r="B3589" s="664" t="s">
        <v>2155</v>
      </c>
      <c r="C3589" s="71" t="s">
        <v>277</v>
      </c>
      <c r="D3589" s="71">
        <v>5</v>
      </c>
      <c r="E3589" s="102">
        <v>172000</v>
      </c>
      <c r="F3589" s="102">
        <f t="shared" si="1819"/>
        <v>946000.00000000012</v>
      </c>
      <c r="G3589" s="102">
        <f t="shared" si="1820"/>
        <v>860000</v>
      </c>
      <c r="H3589" s="690" t="s">
        <v>173</v>
      </c>
      <c r="I3589" s="71" t="s">
        <v>108</v>
      </c>
      <c r="J3589" s="53">
        <f t="shared" si="1818"/>
        <v>285000</v>
      </c>
      <c r="K3589" s="63">
        <v>0.33139534883720928</v>
      </c>
      <c r="L3589" s="871" t="s">
        <v>2634</v>
      </c>
      <c r="M3589" s="468"/>
      <c r="N3589" s="1192">
        <f t="shared" si="1809"/>
        <v>44169</v>
      </c>
      <c r="O3589" s="71" t="s">
        <v>150</v>
      </c>
      <c r="P3589" s="164" t="str">
        <f>(C3589)</f>
        <v>윤전용 세척제(Web 504)</v>
      </c>
      <c r="Q3589" s="71">
        <f t="shared" si="1811"/>
        <v>5</v>
      </c>
      <c r="R3589" s="102">
        <v>115000</v>
      </c>
      <c r="S3589" s="102">
        <f t="shared" si="1812"/>
        <v>632500</v>
      </c>
      <c r="T3589" s="102">
        <f t="shared" si="1813"/>
        <v>575000</v>
      </c>
      <c r="U3589" s="71" t="str">
        <f t="shared" si="1821"/>
        <v>O</v>
      </c>
      <c r="V3589" s="71"/>
      <c r="W3589" s="474">
        <v>285000</v>
      </c>
      <c r="X3589" s="71"/>
      <c r="Y3589" s="71"/>
    </row>
    <row r="3590" spans="1:25" s="209" customFormat="1" ht="30" hidden="1" customHeight="1" x14ac:dyDescent="0.25">
      <c r="A3590" s="1145">
        <v>44169</v>
      </c>
      <c r="B3590" s="664" t="s">
        <v>2155</v>
      </c>
      <c r="C3590" s="71" t="s">
        <v>138</v>
      </c>
      <c r="D3590" s="71">
        <v>5</v>
      </c>
      <c r="E3590" s="102">
        <v>47600</v>
      </c>
      <c r="F3590" s="102">
        <f t="shared" si="1819"/>
        <v>261800.00000000003</v>
      </c>
      <c r="G3590" s="102">
        <f t="shared" si="1820"/>
        <v>238000</v>
      </c>
      <c r="H3590" s="1129" t="s">
        <v>172</v>
      </c>
      <c r="I3590" s="71" t="s">
        <v>108</v>
      </c>
      <c r="J3590" s="53">
        <f t="shared" si="1818"/>
        <v>34000</v>
      </c>
      <c r="K3590" s="63">
        <f>(J3590/(F3590/11*10))</f>
        <v>0.14285714285714285</v>
      </c>
      <c r="L3590" s="871" t="s">
        <v>2634</v>
      </c>
      <c r="M3590" s="468" t="s">
        <v>2214</v>
      </c>
      <c r="N3590" s="1192">
        <f t="shared" si="1809"/>
        <v>44169</v>
      </c>
      <c r="O3590" s="71" t="s">
        <v>150</v>
      </c>
      <c r="P3590" s="164" t="str">
        <f>(C3590)</f>
        <v>매엽용 세척제(Wash 562)</v>
      </c>
      <c r="Q3590" s="71">
        <f t="shared" si="1811"/>
        <v>5</v>
      </c>
      <c r="R3590" s="102">
        <v>40800</v>
      </c>
      <c r="S3590" s="102">
        <f t="shared" si="1812"/>
        <v>224400.00000000003</v>
      </c>
      <c r="T3590" s="102">
        <f t="shared" si="1813"/>
        <v>204000</v>
      </c>
      <c r="U3590" s="71" t="str">
        <f t="shared" si="1821"/>
        <v>X</v>
      </c>
      <c r="V3590" s="71"/>
      <c r="W3590" s="474">
        <v>85000</v>
      </c>
      <c r="X3590" s="71"/>
      <c r="Y3590" s="71"/>
    </row>
    <row r="3591" spans="1:25" ht="30" hidden="1" customHeight="1" x14ac:dyDescent="0.25">
      <c r="A3591" s="1145">
        <v>44172</v>
      </c>
      <c r="B3591" s="664" t="s">
        <v>690</v>
      </c>
      <c r="C3591" s="71" t="s">
        <v>1186</v>
      </c>
      <c r="D3591" s="71">
        <v>500</v>
      </c>
      <c r="E3591" s="102">
        <v>3420</v>
      </c>
      <c r="F3591" s="102">
        <f t="shared" ref="F3591:F3596" si="1822">(E3591*D3591)*1.1</f>
        <v>1881000.0000000002</v>
      </c>
      <c r="G3591" s="102">
        <f t="shared" ref="G3591:G3596" si="1823">(E3591*D3591)</f>
        <v>1710000</v>
      </c>
      <c r="H3591" s="690" t="s">
        <v>173</v>
      </c>
      <c r="I3591" s="71" t="s">
        <v>2230</v>
      </c>
      <c r="J3591" s="53">
        <f t="shared" si="1818"/>
        <v>-190000</v>
      </c>
      <c r="K3591" s="63">
        <f t="shared" ref="K3591:K3599" si="1824">(J3591/(F3591/11*10))</f>
        <v>-0.11111111111111109</v>
      </c>
      <c r="L3591" s="871" t="s">
        <v>2634</v>
      </c>
      <c r="M3591" s="468" t="s">
        <v>1393</v>
      </c>
      <c r="N3591" s="1192">
        <f t="shared" si="1809"/>
        <v>44172</v>
      </c>
      <c r="O3591" s="71" t="s">
        <v>145</v>
      </c>
      <c r="P3591" s="164" t="str">
        <f t="shared" ref="P3591:P3596" si="1825">(C3591)</f>
        <v>CTP 판(1030*790mm)</v>
      </c>
      <c r="Q3591" s="71">
        <f t="shared" si="1811"/>
        <v>500</v>
      </c>
      <c r="R3591" s="102">
        <v>3800</v>
      </c>
      <c r="S3591" s="102">
        <f t="shared" si="1812"/>
        <v>2090000.0000000002</v>
      </c>
      <c r="T3591" s="102">
        <f t="shared" si="1813"/>
        <v>1900000</v>
      </c>
      <c r="U3591" s="71" t="str">
        <f t="shared" si="1821"/>
        <v>X</v>
      </c>
      <c r="V3591" s="71"/>
      <c r="W3591" s="474">
        <v>-200000</v>
      </c>
      <c r="X3591" s="71"/>
      <c r="Y3591" s="71"/>
    </row>
    <row r="3592" spans="1:25" ht="30" hidden="1" customHeight="1" x14ac:dyDescent="0.25">
      <c r="A3592" s="1145">
        <v>44172</v>
      </c>
      <c r="B3592" s="664" t="s">
        <v>690</v>
      </c>
      <c r="C3592" s="71" t="s">
        <v>197</v>
      </c>
      <c r="D3592" s="71">
        <v>2</v>
      </c>
      <c r="E3592" s="102">
        <v>46000</v>
      </c>
      <c r="F3592" s="102">
        <f t="shared" si="1822"/>
        <v>101200.00000000001</v>
      </c>
      <c r="G3592" s="102">
        <f t="shared" si="1823"/>
        <v>92000</v>
      </c>
      <c r="H3592" s="690" t="s">
        <v>173</v>
      </c>
      <c r="I3592" s="71" t="s">
        <v>2230</v>
      </c>
      <c r="J3592" s="53">
        <f t="shared" si="1818"/>
        <v>22000</v>
      </c>
      <c r="K3592" s="63">
        <f t="shared" si="1824"/>
        <v>0.23913043478260865</v>
      </c>
      <c r="L3592" s="871" t="s">
        <v>2634</v>
      </c>
      <c r="M3592" s="468" t="s">
        <v>1394</v>
      </c>
      <c r="N3592" s="1192">
        <f t="shared" si="1809"/>
        <v>44172</v>
      </c>
      <c r="O3592" s="71" t="s">
        <v>145</v>
      </c>
      <c r="P3592" s="164" t="str">
        <f t="shared" si="1825"/>
        <v>THR200(20L)</v>
      </c>
      <c r="Q3592" s="71">
        <f t="shared" si="1811"/>
        <v>2</v>
      </c>
      <c r="R3592" s="102">
        <v>35000</v>
      </c>
      <c r="S3592" s="102">
        <f t="shared" si="1812"/>
        <v>77000</v>
      </c>
      <c r="T3592" s="102">
        <f t="shared" si="1813"/>
        <v>70000</v>
      </c>
      <c r="U3592" s="71" t="str">
        <f t="shared" si="1821"/>
        <v>X</v>
      </c>
      <c r="V3592" s="71"/>
      <c r="W3592" s="474"/>
      <c r="X3592" s="71"/>
      <c r="Y3592" s="71"/>
    </row>
    <row r="3593" spans="1:25" ht="30" hidden="1" customHeight="1" x14ac:dyDescent="0.25">
      <c r="A3593" s="1145">
        <v>44172</v>
      </c>
      <c r="B3593" s="664" t="s">
        <v>442</v>
      </c>
      <c r="C3593" s="71" t="s">
        <v>206</v>
      </c>
      <c r="D3593" s="71">
        <v>2</v>
      </c>
      <c r="E3593" s="102">
        <v>327000</v>
      </c>
      <c r="F3593" s="102">
        <f t="shared" si="1822"/>
        <v>719400</v>
      </c>
      <c r="G3593" s="102">
        <f t="shared" si="1823"/>
        <v>654000</v>
      </c>
      <c r="H3593" s="690" t="s">
        <v>2029</v>
      </c>
      <c r="I3593" s="71" t="s">
        <v>195</v>
      </c>
      <c r="J3593" s="53">
        <f>(G3593-(VLOOKUP(C3593,[5]Price!B$1:D$65536,3,FALSE)*D3593))</f>
        <v>115800</v>
      </c>
      <c r="K3593" s="63">
        <f t="shared" si="1824"/>
        <v>0.17706422018348625</v>
      </c>
      <c r="L3593" s="871" t="s">
        <v>2634</v>
      </c>
      <c r="M3593" s="468"/>
      <c r="N3593" s="1192">
        <f t="shared" si="1809"/>
        <v>44172</v>
      </c>
      <c r="O3593" s="71" t="s">
        <v>194</v>
      </c>
      <c r="P3593" s="164" t="str">
        <f t="shared" si="1825"/>
        <v>Agfa Film(24inch)</v>
      </c>
      <c r="Q3593" s="71">
        <f t="shared" si="1811"/>
        <v>2</v>
      </c>
      <c r="R3593" s="102">
        <v>269100</v>
      </c>
      <c r="S3593" s="102">
        <f t="shared" si="1812"/>
        <v>592020</v>
      </c>
      <c r="T3593" s="102">
        <f t="shared" si="1813"/>
        <v>538200</v>
      </c>
      <c r="U3593" s="71" t="str">
        <f t="shared" si="1821"/>
        <v>O</v>
      </c>
      <c r="V3593" s="71"/>
      <c r="W3593" s="474">
        <f>(G3593-T3593)</f>
        <v>115800</v>
      </c>
      <c r="X3593" s="71"/>
      <c r="Y3593" s="71"/>
    </row>
    <row r="3594" spans="1:25" ht="30" hidden="1" customHeight="1" x14ac:dyDescent="0.25">
      <c r="A3594" s="1145">
        <v>44172</v>
      </c>
      <c r="B3594" s="664" t="s">
        <v>442</v>
      </c>
      <c r="C3594" s="71" t="s">
        <v>207</v>
      </c>
      <c r="D3594" s="71">
        <v>2</v>
      </c>
      <c r="E3594" s="102">
        <v>401000</v>
      </c>
      <c r="F3594" s="102">
        <f t="shared" si="1822"/>
        <v>882200.00000000012</v>
      </c>
      <c r="G3594" s="102">
        <f t="shared" si="1823"/>
        <v>802000</v>
      </c>
      <c r="H3594" s="690" t="s">
        <v>2029</v>
      </c>
      <c r="I3594" s="71" t="s">
        <v>195</v>
      </c>
      <c r="J3594" s="53">
        <f>(G3594-(VLOOKUP(C3594,[5]Price!B$1:D$65536,3,FALSE)*D3594))</f>
        <v>174080</v>
      </c>
      <c r="K3594" s="63">
        <f t="shared" si="1824"/>
        <v>0.21705735660847877</v>
      </c>
      <c r="L3594" s="871" t="s">
        <v>2634</v>
      </c>
      <c r="M3594" s="468"/>
      <c r="N3594" s="1192">
        <f t="shared" si="1809"/>
        <v>44172</v>
      </c>
      <c r="O3594" s="71" t="s">
        <v>194</v>
      </c>
      <c r="P3594" s="164" t="str">
        <f t="shared" si="1825"/>
        <v>Agfa Film(28inch)</v>
      </c>
      <c r="Q3594" s="71">
        <f t="shared" si="1811"/>
        <v>2</v>
      </c>
      <c r="R3594" s="102">
        <f>VLOOKUP(P3594,[5]Price!B$1:D$65536,3,FALSE)</f>
        <v>313960</v>
      </c>
      <c r="S3594" s="102">
        <f t="shared" si="1812"/>
        <v>690712</v>
      </c>
      <c r="T3594" s="102">
        <f t="shared" si="1813"/>
        <v>627920</v>
      </c>
      <c r="U3594" s="71" t="str">
        <f t="shared" si="1821"/>
        <v>O</v>
      </c>
      <c r="V3594" s="71"/>
      <c r="W3594" s="474">
        <f>(G3594-T3594)</f>
        <v>174080</v>
      </c>
      <c r="X3594" s="71"/>
      <c r="Y3594" s="71"/>
    </row>
    <row r="3595" spans="1:25" ht="30" hidden="1" customHeight="1" x14ac:dyDescent="0.25">
      <c r="A3595" s="1145">
        <v>44172</v>
      </c>
      <c r="B3595" s="664" t="s">
        <v>442</v>
      </c>
      <c r="C3595" s="71" t="s">
        <v>208</v>
      </c>
      <c r="D3595" s="71">
        <v>2</v>
      </c>
      <c r="E3595" s="102">
        <v>448000</v>
      </c>
      <c r="F3595" s="102">
        <f t="shared" si="1822"/>
        <v>985600.00000000012</v>
      </c>
      <c r="G3595" s="102">
        <f t="shared" si="1823"/>
        <v>896000</v>
      </c>
      <c r="H3595" s="690" t="s">
        <v>2029</v>
      </c>
      <c r="I3595" s="71" t="s">
        <v>195</v>
      </c>
      <c r="J3595" s="53">
        <f>(G3595-(VLOOKUP(C3595,[5]Price!B$1:D$65536,3,FALSE)*D3595))</f>
        <v>155980</v>
      </c>
      <c r="K3595" s="63">
        <f t="shared" si="1824"/>
        <v>0.1740848214285714</v>
      </c>
      <c r="L3595" s="871" t="s">
        <v>2634</v>
      </c>
      <c r="M3595" s="468"/>
      <c r="N3595" s="1192">
        <f t="shared" si="1809"/>
        <v>44172</v>
      </c>
      <c r="O3595" s="71" t="s">
        <v>194</v>
      </c>
      <c r="P3595" s="164" t="str">
        <f t="shared" si="1825"/>
        <v>Agfa Film(32inch)</v>
      </c>
      <c r="Q3595" s="71">
        <f t="shared" si="1811"/>
        <v>2</v>
      </c>
      <c r="R3595" s="102">
        <f>VLOOKUP(P3595,[5]Price!B$1:D$65536,3,FALSE)</f>
        <v>370010</v>
      </c>
      <c r="S3595" s="102">
        <f t="shared" si="1812"/>
        <v>814022.00000000012</v>
      </c>
      <c r="T3595" s="102">
        <f t="shared" si="1813"/>
        <v>740020</v>
      </c>
      <c r="U3595" s="71" t="str">
        <f t="shared" si="1821"/>
        <v>O</v>
      </c>
      <c r="V3595" s="71"/>
      <c r="W3595" s="474">
        <f>(G3595-T3595)</f>
        <v>155980</v>
      </c>
      <c r="X3595" s="71"/>
      <c r="Y3595" s="71"/>
    </row>
    <row r="3596" spans="1:25" ht="30" hidden="1" customHeight="1" x14ac:dyDescent="0.25">
      <c r="A3596" s="1145">
        <v>44172</v>
      </c>
      <c r="B3596" s="664" t="s">
        <v>1178</v>
      </c>
      <c r="C3596" s="71" t="s">
        <v>2653</v>
      </c>
      <c r="D3596" s="71">
        <v>2</v>
      </c>
      <c r="E3596" s="102">
        <v>5500000</v>
      </c>
      <c r="F3596" s="102">
        <f t="shared" si="1822"/>
        <v>12100000.000000002</v>
      </c>
      <c r="G3596" s="102">
        <f t="shared" si="1823"/>
        <v>11000000</v>
      </c>
      <c r="H3596" s="690" t="s">
        <v>142</v>
      </c>
      <c r="I3596" s="71" t="s">
        <v>142</v>
      </c>
      <c r="J3596" s="53">
        <f>G3596-T3596</f>
        <v>3400000</v>
      </c>
      <c r="K3596" s="63">
        <f>(J3596/(F3596/11*10))</f>
        <v>0.30909090909090903</v>
      </c>
      <c r="L3596" s="871" t="s">
        <v>2634</v>
      </c>
      <c r="M3596" s="468"/>
      <c r="N3596" s="1192">
        <f t="shared" si="1809"/>
        <v>44172</v>
      </c>
      <c r="O3596" s="71" t="s">
        <v>2660</v>
      </c>
      <c r="P3596" s="164" t="str">
        <f t="shared" si="1825"/>
        <v>MP277 8인치 모니터</v>
      </c>
      <c r="Q3596" s="71">
        <f t="shared" si="1811"/>
        <v>2</v>
      </c>
      <c r="R3596" s="102">
        <v>3800000</v>
      </c>
      <c r="S3596" s="102">
        <f t="shared" si="1812"/>
        <v>8360000.0000000009</v>
      </c>
      <c r="T3596" s="102">
        <f t="shared" si="1813"/>
        <v>7600000</v>
      </c>
      <c r="U3596" s="71"/>
      <c r="V3596" s="71"/>
      <c r="W3596" s="474"/>
      <c r="X3596" s="71"/>
      <c r="Y3596" s="71"/>
    </row>
    <row r="3597" spans="1:25" ht="30" hidden="1" customHeight="1" x14ac:dyDescent="0.25">
      <c r="A3597" s="1145">
        <v>44174</v>
      </c>
      <c r="B3597" s="664" t="s">
        <v>442</v>
      </c>
      <c r="C3597" s="71" t="s">
        <v>651</v>
      </c>
      <c r="D3597" s="71">
        <v>6</v>
      </c>
      <c r="E3597" s="102">
        <v>41000</v>
      </c>
      <c r="F3597" s="102">
        <f t="shared" si="1819"/>
        <v>270600</v>
      </c>
      <c r="G3597" s="102">
        <f t="shared" si="1820"/>
        <v>246000</v>
      </c>
      <c r="H3597" s="690" t="s">
        <v>2029</v>
      </c>
      <c r="I3597" s="71" t="s">
        <v>195</v>
      </c>
      <c r="J3597" s="53">
        <f>(G3597-(VLOOKUP(C3597,[5]Price!B$1:D$65536,3,FALSE)*D3597))</f>
        <v>96000</v>
      </c>
      <c r="K3597" s="63">
        <f t="shared" si="1824"/>
        <v>0.3902439024390244</v>
      </c>
      <c r="L3597" s="871" t="s">
        <v>2634</v>
      </c>
      <c r="M3597" s="468"/>
      <c r="N3597" s="1192">
        <f t="shared" si="1809"/>
        <v>44174</v>
      </c>
      <c r="O3597" s="71" t="s">
        <v>194</v>
      </c>
      <c r="P3597" s="164" t="str">
        <f t="shared" si="1810"/>
        <v>Agfa 현상액 G101C(10L)</v>
      </c>
      <c r="Q3597" s="71">
        <f t="shared" si="1811"/>
        <v>6</v>
      </c>
      <c r="R3597" s="102">
        <f>VLOOKUP(P3597,[5]Price!B$1:D$65536,3,FALSE)</f>
        <v>25000</v>
      </c>
      <c r="S3597" s="102">
        <f t="shared" si="1812"/>
        <v>165000</v>
      </c>
      <c r="T3597" s="102">
        <f t="shared" si="1813"/>
        <v>150000</v>
      </c>
      <c r="U3597" s="71" t="str">
        <f t="shared" ref="U3597:U3604" si="1826">IF(J3597=W3597,"O", "X")</f>
        <v>O</v>
      </c>
      <c r="V3597" s="71"/>
      <c r="W3597" s="474">
        <f>(G3597-T3597)</f>
        <v>96000</v>
      </c>
      <c r="X3597" s="71"/>
      <c r="Y3597" s="71"/>
    </row>
    <row r="3598" spans="1:25" ht="30" hidden="1" customHeight="1" x14ac:dyDescent="0.25">
      <c r="A3598" s="1145">
        <v>44174</v>
      </c>
      <c r="B3598" s="664" t="s">
        <v>446</v>
      </c>
      <c r="C3598" s="71" t="s">
        <v>2028</v>
      </c>
      <c r="D3598" s="71">
        <v>20</v>
      </c>
      <c r="E3598" s="102">
        <v>105000</v>
      </c>
      <c r="F3598" s="102">
        <f t="shared" si="1819"/>
        <v>2310000</v>
      </c>
      <c r="G3598" s="102">
        <f t="shared" si="1820"/>
        <v>2100000</v>
      </c>
      <c r="H3598" s="690" t="s">
        <v>2029</v>
      </c>
      <c r="I3598" s="71" t="s">
        <v>2231</v>
      </c>
      <c r="J3598" s="53">
        <f t="shared" ref="J3598:J3620" si="1827">G3598-T3598</f>
        <v>380000</v>
      </c>
      <c r="K3598" s="63">
        <f t="shared" si="1824"/>
        <v>0.18095238095238095</v>
      </c>
      <c r="L3598" s="871" t="s">
        <v>2634</v>
      </c>
      <c r="M3598" s="468" t="s">
        <v>3068</v>
      </c>
      <c r="N3598" s="1192">
        <f t="shared" si="1809"/>
        <v>44174</v>
      </c>
      <c r="O3598" s="71" t="s">
        <v>2030</v>
      </c>
      <c r="P3598" s="164" t="str">
        <f t="shared" si="1810"/>
        <v>실리콘 에멀전</v>
      </c>
      <c r="Q3598" s="71">
        <f t="shared" si="1811"/>
        <v>20</v>
      </c>
      <c r="R3598" s="102">
        <v>86000</v>
      </c>
      <c r="S3598" s="102">
        <f t="shared" si="1812"/>
        <v>1892000.0000000002</v>
      </c>
      <c r="T3598" s="102">
        <f t="shared" si="1813"/>
        <v>1720000</v>
      </c>
      <c r="U3598" s="71" t="str">
        <f t="shared" si="1826"/>
        <v>O</v>
      </c>
      <c r="V3598" s="71">
        <f>7000*Q3598</f>
        <v>140000</v>
      </c>
      <c r="W3598" s="474">
        <f>(G3598-T3598)</f>
        <v>380000</v>
      </c>
      <c r="X3598" s="71"/>
      <c r="Y3598" s="71"/>
    </row>
    <row r="3599" spans="1:25" s="209" customFormat="1" ht="30" hidden="1" customHeight="1" x14ac:dyDescent="0.25">
      <c r="A3599" s="1145">
        <v>44174</v>
      </c>
      <c r="B3599" s="664" t="s">
        <v>2155</v>
      </c>
      <c r="C3599" s="71" t="s">
        <v>138</v>
      </c>
      <c r="D3599" s="71">
        <v>10</v>
      </c>
      <c r="E3599" s="102">
        <v>47600</v>
      </c>
      <c r="F3599" s="102">
        <f t="shared" si="1819"/>
        <v>523600.00000000006</v>
      </c>
      <c r="G3599" s="102">
        <f t="shared" si="1820"/>
        <v>476000</v>
      </c>
      <c r="H3599" s="1129" t="s">
        <v>172</v>
      </c>
      <c r="I3599" s="71" t="s">
        <v>108</v>
      </c>
      <c r="J3599" s="53">
        <f t="shared" si="1827"/>
        <v>68000</v>
      </c>
      <c r="K3599" s="63">
        <f t="shared" si="1824"/>
        <v>0.14285714285714285</v>
      </c>
      <c r="L3599" s="871" t="s">
        <v>2634</v>
      </c>
      <c r="M3599" s="468" t="s">
        <v>2214</v>
      </c>
      <c r="N3599" s="1192">
        <f t="shared" si="1809"/>
        <v>44174</v>
      </c>
      <c r="O3599" s="71" t="s">
        <v>150</v>
      </c>
      <c r="P3599" s="164" t="str">
        <f t="shared" si="1810"/>
        <v>매엽용 세척제(Wash 562)</v>
      </c>
      <c r="Q3599" s="71">
        <f t="shared" si="1811"/>
        <v>10</v>
      </c>
      <c r="R3599" s="102">
        <v>40800</v>
      </c>
      <c r="S3599" s="102">
        <f t="shared" ref="S3599:S3630" si="1828">R3599*Q3599*1.1</f>
        <v>448800.00000000006</v>
      </c>
      <c r="T3599" s="102">
        <f t="shared" ref="T3599:T3630" si="1829">R3599*Q3599</f>
        <v>408000</v>
      </c>
      <c r="U3599" s="71" t="str">
        <f t="shared" si="1826"/>
        <v>X</v>
      </c>
      <c r="V3599" s="71"/>
      <c r="W3599" s="474">
        <v>85000</v>
      </c>
      <c r="X3599" s="71"/>
      <c r="Y3599" s="71"/>
    </row>
    <row r="3600" spans="1:25" ht="30" hidden="1" customHeight="1" x14ac:dyDescent="0.25">
      <c r="A3600" s="1145">
        <v>44174</v>
      </c>
      <c r="B3600" s="664" t="s">
        <v>2155</v>
      </c>
      <c r="C3600" s="71" t="s">
        <v>277</v>
      </c>
      <c r="D3600" s="71">
        <v>5</v>
      </c>
      <c r="E3600" s="102">
        <v>172000</v>
      </c>
      <c r="F3600" s="102">
        <f t="shared" si="1819"/>
        <v>946000.00000000012</v>
      </c>
      <c r="G3600" s="102">
        <f t="shared" si="1820"/>
        <v>860000</v>
      </c>
      <c r="H3600" s="690" t="s">
        <v>173</v>
      </c>
      <c r="I3600" s="71" t="s">
        <v>108</v>
      </c>
      <c r="J3600" s="53">
        <f t="shared" si="1827"/>
        <v>285000</v>
      </c>
      <c r="K3600" s="63">
        <v>0.33139534883720928</v>
      </c>
      <c r="L3600" s="871" t="s">
        <v>2634</v>
      </c>
      <c r="M3600" s="468"/>
      <c r="N3600" s="1192">
        <f t="shared" si="1809"/>
        <v>44174</v>
      </c>
      <c r="O3600" s="71" t="s">
        <v>150</v>
      </c>
      <c r="P3600" s="164" t="str">
        <f t="shared" si="1810"/>
        <v>윤전용 세척제(Web 504)</v>
      </c>
      <c r="Q3600" s="71">
        <f t="shared" si="1811"/>
        <v>5</v>
      </c>
      <c r="R3600" s="102">
        <v>115000</v>
      </c>
      <c r="S3600" s="102">
        <f t="shared" si="1828"/>
        <v>632500</v>
      </c>
      <c r="T3600" s="102">
        <f t="shared" si="1829"/>
        <v>575000</v>
      </c>
      <c r="U3600" s="71" t="str">
        <f t="shared" si="1826"/>
        <v>O</v>
      </c>
      <c r="V3600" s="71"/>
      <c r="W3600" s="474">
        <v>285000</v>
      </c>
      <c r="X3600" s="71"/>
      <c r="Y3600" s="71"/>
    </row>
    <row r="3601" spans="1:25" s="209" customFormat="1" ht="30" hidden="1" customHeight="1" x14ac:dyDescent="0.2">
      <c r="A3601" s="1145">
        <v>44174</v>
      </c>
      <c r="B3601" s="664" t="s">
        <v>2261</v>
      </c>
      <c r="C3601" s="71" t="s">
        <v>107</v>
      </c>
      <c r="D3601" s="71">
        <v>10</v>
      </c>
      <c r="E3601" s="102">
        <v>108000</v>
      </c>
      <c r="F3601" s="102">
        <f t="shared" si="1819"/>
        <v>1188000</v>
      </c>
      <c r="G3601" s="102">
        <f t="shared" si="1820"/>
        <v>1080000</v>
      </c>
      <c r="H3601" s="165" t="s">
        <v>172</v>
      </c>
      <c r="I3601" s="71" t="s">
        <v>109</v>
      </c>
      <c r="J3601" s="53">
        <f t="shared" si="1827"/>
        <v>275000</v>
      </c>
      <c r="K3601" s="63">
        <f t="shared" ref="K3601:K3622" si="1830">(J3601/(F3601/11*10))</f>
        <v>0.25462962962962965</v>
      </c>
      <c r="L3601" s="871" t="s">
        <v>2634</v>
      </c>
      <c r="M3601" s="468"/>
      <c r="N3601" s="1192">
        <f t="shared" si="1809"/>
        <v>44174</v>
      </c>
      <c r="O3601" s="71" t="s">
        <v>147</v>
      </c>
      <c r="P3601" s="164" t="str">
        <f t="shared" si="1810"/>
        <v>Blanket(1050*840)</v>
      </c>
      <c r="Q3601" s="71">
        <f t="shared" si="1811"/>
        <v>10</v>
      </c>
      <c r="R3601" s="102">
        <v>80500</v>
      </c>
      <c r="S3601" s="102">
        <f t="shared" si="1828"/>
        <v>885500.00000000012</v>
      </c>
      <c r="T3601" s="102">
        <f t="shared" si="1829"/>
        <v>805000</v>
      </c>
      <c r="U3601" s="71" t="str">
        <f t="shared" si="1826"/>
        <v>O</v>
      </c>
      <c r="V3601" s="71"/>
      <c r="W3601" s="474">
        <v>275000</v>
      </c>
      <c r="X3601" s="71"/>
      <c r="Y3601" s="71"/>
    </row>
    <row r="3602" spans="1:25" s="209" customFormat="1" ht="30" hidden="1" customHeight="1" x14ac:dyDescent="0.25">
      <c r="A3602" s="1145">
        <v>44176</v>
      </c>
      <c r="B3602" s="664" t="s">
        <v>764</v>
      </c>
      <c r="C3602" s="71" t="s">
        <v>236</v>
      </c>
      <c r="D3602" s="71">
        <v>10</v>
      </c>
      <c r="E3602" s="102">
        <v>100000</v>
      </c>
      <c r="F3602" s="102">
        <f t="shared" si="1819"/>
        <v>1100000</v>
      </c>
      <c r="G3602" s="102">
        <f t="shared" si="1820"/>
        <v>1000000</v>
      </c>
      <c r="H3602" s="690" t="s">
        <v>173</v>
      </c>
      <c r="I3602" s="71" t="s">
        <v>2231</v>
      </c>
      <c r="J3602" s="53">
        <f t="shared" si="1827"/>
        <v>500000</v>
      </c>
      <c r="K3602" s="63">
        <f t="shared" si="1830"/>
        <v>0.5</v>
      </c>
      <c r="L3602" s="871" t="s">
        <v>2634</v>
      </c>
      <c r="M3602" s="468"/>
      <c r="N3602" s="1192">
        <f t="shared" si="1809"/>
        <v>44176</v>
      </c>
      <c r="O3602" s="71" t="s">
        <v>153</v>
      </c>
      <c r="P3602" s="164" t="str">
        <f t="shared" si="1810"/>
        <v>아스테이지(국전)</v>
      </c>
      <c r="Q3602" s="71">
        <f t="shared" si="1811"/>
        <v>10</v>
      </c>
      <c r="R3602" s="102">
        <v>50000</v>
      </c>
      <c r="S3602" s="102">
        <f t="shared" si="1828"/>
        <v>550000</v>
      </c>
      <c r="T3602" s="102">
        <f t="shared" si="1829"/>
        <v>500000</v>
      </c>
      <c r="U3602" s="71" t="str">
        <f t="shared" si="1826"/>
        <v>O</v>
      </c>
      <c r="V3602" s="71"/>
      <c r="W3602" s="474">
        <v>500000</v>
      </c>
      <c r="X3602" s="71"/>
      <c r="Y3602" s="71"/>
    </row>
    <row r="3603" spans="1:25" s="209" customFormat="1" ht="30" hidden="1" customHeight="1" x14ac:dyDescent="0.25">
      <c r="A3603" s="1145">
        <v>44177</v>
      </c>
      <c r="B3603" s="664" t="s">
        <v>567</v>
      </c>
      <c r="C3603" s="71" t="s">
        <v>236</v>
      </c>
      <c r="D3603" s="71">
        <v>5</v>
      </c>
      <c r="E3603" s="102">
        <v>65000</v>
      </c>
      <c r="F3603" s="102">
        <f t="shared" si="1819"/>
        <v>357500</v>
      </c>
      <c r="G3603" s="102">
        <f t="shared" si="1820"/>
        <v>325000</v>
      </c>
      <c r="H3603" s="690" t="s">
        <v>173</v>
      </c>
      <c r="I3603" s="71" t="s">
        <v>2231</v>
      </c>
      <c r="J3603" s="53">
        <f t="shared" si="1827"/>
        <v>75000</v>
      </c>
      <c r="K3603" s="63">
        <f t="shared" si="1830"/>
        <v>0.23076923076923078</v>
      </c>
      <c r="L3603" s="871" t="s">
        <v>2634</v>
      </c>
      <c r="M3603" s="468"/>
      <c r="N3603" s="1192">
        <f t="shared" si="1809"/>
        <v>44177</v>
      </c>
      <c r="O3603" s="71" t="s">
        <v>153</v>
      </c>
      <c r="P3603" s="164" t="str">
        <f t="shared" si="1810"/>
        <v>아스테이지(국전)</v>
      </c>
      <c r="Q3603" s="71">
        <f t="shared" si="1811"/>
        <v>5</v>
      </c>
      <c r="R3603" s="102">
        <v>50000</v>
      </c>
      <c r="S3603" s="102">
        <f t="shared" si="1828"/>
        <v>275000</v>
      </c>
      <c r="T3603" s="102">
        <f t="shared" si="1829"/>
        <v>250000</v>
      </c>
      <c r="U3603" s="71" t="str">
        <f t="shared" si="1826"/>
        <v>X</v>
      </c>
      <c r="V3603" s="71"/>
      <c r="W3603" s="474">
        <v>150000</v>
      </c>
      <c r="X3603" s="71"/>
      <c r="Y3603" s="71"/>
    </row>
    <row r="3604" spans="1:25" ht="30" hidden="1" customHeight="1" x14ac:dyDescent="0.25">
      <c r="A3604" s="1145">
        <v>44180</v>
      </c>
      <c r="B3604" s="664" t="s">
        <v>545</v>
      </c>
      <c r="C3604" s="71" t="s">
        <v>952</v>
      </c>
      <c r="D3604" s="71">
        <v>1</v>
      </c>
      <c r="E3604" s="102">
        <v>630000</v>
      </c>
      <c r="F3604" s="102">
        <f t="shared" si="1819"/>
        <v>693000</v>
      </c>
      <c r="G3604" s="102">
        <f t="shared" si="1820"/>
        <v>630000</v>
      </c>
      <c r="H3604" s="690" t="s">
        <v>173</v>
      </c>
      <c r="I3604" s="71" t="s">
        <v>108</v>
      </c>
      <c r="J3604" s="53">
        <f t="shared" si="1827"/>
        <v>190000</v>
      </c>
      <c r="K3604" s="63">
        <f t="shared" si="1830"/>
        <v>0.30158730158730157</v>
      </c>
      <c r="L3604" s="871" t="s">
        <v>2634</v>
      </c>
      <c r="M3604" s="468"/>
      <c r="N3604" s="1192">
        <f t="shared" si="1809"/>
        <v>44180</v>
      </c>
      <c r="O3604" s="71" t="s">
        <v>599</v>
      </c>
      <c r="P3604" s="164" t="str">
        <f t="shared" si="1810"/>
        <v>점보롤 세정포</v>
      </c>
      <c r="Q3604" s="71">
        <f t="shared" si="1811"/>
        <v>1</v>
      </c>
      <c r="R3604" s="102">
        <v>440000</v>
      </c>
      <c r="S3604" s="102">
        <f t="shared" si="1828"/>
        <v>484000.00000000006</v>
      </c>
      <c r="T3604" s="102">
        <f t="shared" si="1829"/>
        <v>440000</v>
      </c>
      <c r="U3604" s="71" t="str">
        <f t="shared" si="1826"/>
        <v>O</v>
      </c>
      <c r="V3604" s="71" t="s">
        <v>1228</v>
      </c>
      <c r="W3604" s="474">
        <f>(G3604-T3604)</f>
        <v>190000</v>
      </c>
      <c r="X3604" s="71"/>
      <c r="Y3604" s="71"/>
    </row>
    <row r="3605" spans="1:25" ht="30" customHeight="1" x14ac:dyDescent="0.25">
      <c r="A3605" s="1145">
        <v>44180</v>
      </c>
      <c r="B3605" s="664" t="s">
        <v>2536</v>
      </c>
      <c r="C3605" s="71" t="s">
        <v>920</v>
      </c>
      <c r="D3605" s="71">
        <v>5</v>
      </c>
      <c r="E3605" s="102">
        <v>270000</v>
      </c>
      <c r="F3605" s="102">
        <f t="shared" si="1819"/>
        <v>1485000.0000000002</v>
      </c>
      <c r="G3605" s="102">
        <f t="shared" si="1820"/>
        <v>1350000</v>
      </c>
      <c r="H3605" s="690" t="s">
        <v>1431</v>
      </c>
      <c r="I3605" s="71" t="s">
        <v>1431</v>
      </c>
      <c r="J3605" s="53">
        <f t="shared" si="1827"/>
        <v>600000</v>
      </c>
      <c r="K3605" s="63">
        <f t="shared" si="1830"/>
        <v>0.44444444444444436</v>
      </c>
      <c r="L3605" s="871" t="s">
        <v>2634</v>
      </c>
      <c r="M3605" s="468"/>
      <c r="N3605" s="1192">
        <f t="shared" si="1809"/>
        <v>44180</v>
      </c>
      <c r="O3605" s="71" t="s">
        <v>1431</v>
      </c>
      <c r="P3605" s="164" t="str">
        <f t="shared" si="1810"/>
        <v>에어 실린더</v>
      </c>
      <c r="Q3605" s="71">
        <f t="shared" si="1811"/>
        <v>5</v>
      </c>
      <c r="R3605" s="102">
        <v>150000</v>
      </c>
      <c r="S3605" s="102">
        <f t="shared" si="1828"/>
        <v>825000.00000000012</v>
      </c>
      <c r="T3605" s="102">
        <f t="shared" si="1829"/>
        <v>750000</v>
      </c>
      <c r="U3605" s="71"/>
      <c r="V3605" s="71"/>
      <c r="W3605" s="474"/>
      <c r="X3605" s="71"/>
      <c r="Y3605" s="71"/>
    </row>
    <row r="3606" spans="1:25" ht="30" hidden="1" customHeight="1" x14ac:dyDescent="0.25">
      <c r="A3606" s="1145">
        <v>44180</v>
      </c>
      <c r="B3606" s="664" t="s">
        <v>2155</v>
      </c>
      <c r="C3606" s="71" t="s">
        <v>2641</v>
      </c>
      <c r="D3606" s="71">
        <v>2</v>
      </c>
      <c r="E3606" s="102">
        <v>650000</v>
      </c>
      <c r="F3606" s="102">
        <f t="shared" si="1819"/>
        <v>1430000</v>
      </c>
      <c r="G3606" s="102">
        <f t="shared" si="1820"/>
        <v>1300000</v>
      </c>
      <c r="H3606" s="690" t="s">
        <v>1431</v>
      </c>
      <c r="I3606" s="71" t="s">
        <v>1431</v>
      </c>
      <c r="J3606" s="53">
        <f t="shared" si="1827"/>
        <v>540000</v>
      </c>
      <c r="K3606" s="63">
        <f t="shared" si="1830"/>
        <v>0.41538461538461541</v>
      </c>
      <c r="L3606" s="871" t="s">
        <v>2634</v>
      </c>
      <c r="M3606" s="468"/>
      <c r="N3606" s="1192">
        <f t="shared" si="1809"/>
        <v>44180</v>
      </c>
      <c r="O3606" s="71" t="s">
        <v>1431</v>
      </c>
      <c r="P3606" s="164" t="str">
        <f t="shared" si="1810"/>
        <v>커플링, 조인트 AA50</v>
      </c>
      <c r="Q3606" s="71">
        <f t="shared" si="1811"/>
        <v>2</v>
      </c>
      <c r="R3606" s="102">
        <v>380000</v>
      </c>
      <c r="S3606" s="102">
        <f t="shared" si="1828"/>
        <v>836000.00000000012</v>
      </c>
      <c r="T3606" s="102">
        <f t="shared" si="1829"/>
        <v>760000</v>
      </c>
      <c r="U3606" s="71"/>
      <c r="V3606" s="71"/>
      <c r="W3606" s="474"/>
      <c r="X3606" s="71"/>
      <c r="Y3606" s="71"/>
    </row>
    <row r="3607" spans="1:25" ht="30" hidden="1" customHeight="1" x14ac:dyDescent="0.25">
      <c r="A3607" s="1145">
        <v>44180</v>
      </c>
      <c r="B3607" s="664" t="s">
        <v>2155</v>
      </c>
      <c r="C3607" s="760" t="s">
        <v>218</v>
      </c>
      <c r="D3607" s="71">
        <v>5</v>
      </c>
      <c r="E3607" s="102">
        <v>192500</v>
      </c>
      <c r="F3607" s="102">
        <f>(E3607*D3607)*1.1</f>
        <v>1058750</v>
      </c>
      <c r="G3607" s="102">
        <f>(E3607*D3607)</f>
        <v>962500</v>
      </c>
      <c r="H3607" s="690" t="s">
        <v>173</v>
      </c>
      <c r="I3607" s="71" t="s">
        <v>120</v>
      </c>
      <c r="J3607" s="53">
        <f t="shared" si="1827"/>
        <v>400000</v>
      </c>
      <c r="K3607" s="63">
        <f t="shared" si="1830"/>
        <v>0.41558441558441561</v>
      </c>
      <c r="L3607" s="871" t="s">
        <v>2634</v>
      </c>
      <c r="M3607" s="468"/>
      <c r="N3607" s="1192">
        <f t="shared" si="1809"/>
        <v>44180</v>
      </c>
      <c r="O3607" s="71" t="s">
        <v>150</v>
      </c>
      <c r="P3607" s="164" t="str">
        <f t="shared" si="1810"/>
        <v>Fount Web 551AF</v>
      </c>
      <c r="Q3607" s="71">
        <f t="shared" si="1811"/>
        <v>5</v>
      </c>
      <c r="R3607" s="102">
        <v>112500</v>
      </c>
      <c r="S3607" s="102">
        <f t="shared" si="1828"/>
        <v>618750</v>
      </c>
      <c r="T3607" s="102">
        <f t="shared" si="1829"/>
        <v>562500</v>
      </c>
      <c r="U3607" s="71" t="str">
        <f>IF(J3607=W3607,"O", "X")</f>
        <v>X</v>
      </c>
      <c r="V3607" s="71"/>
      <c r="W3607" s="474">
        <v>640000</v>
      </c>
      <c r="X3607" s="71"/>
      <c r="Y3607" s="71"/>
    </row>
    <row r="3608" spans="1:25" ht="30" hidden="1" customHeight="1" x14ac:dyDescent="0.25">
      <c r="A3608" s="1145">
        <v>44180</v>
      </c>
      <c r="B3608" s="664" t="s">
        <v>2155</v>
      </c>
      <c r="C3608" s="71" t="s">
        <v>277</v>
      </c>
      <c r="D3608" s="71">
        <v>5</v>
      </c>
      <c r="E3608" s="102">
        <v>172000</v>
      </c>
      <c r="F3608" s="102">
        <f>(E3608*D3608)*1.1</f>
        <v>946000.00000000012</v>
      </c>
      <c r="G3608" s="102">
        <f>(E3608*D3608)</f>
        <v>860000</v>
      </c>
      <c r="H3608" s="690" t="s">
        <v>173</v>
      </c>
      <c r="I3608" s="71" t="s">
        <v>108</v>
      </c>
      <c r="J3608" s="53">
        <f t="shared" si="1827"/>
        <v>285000</v>
      </c>
      <c r="K3608" s="63">
        <f t="shared" si="1830"/>
        <v>0.33139534883720928</v>
      </c>
      <c r="L3608" s="871" t="s">
        <v>2634</v>
      </c>
      <c r="M3608" s="468"/>
      <c r="N3608" s="1192">
        <f t="shared" si="1809"/>
        <v>44180</v>
      </c>
      <c r="O3608" s="71" t="s">
        <v>150</v>
      </c>
      <c r="P3608" s="164" t="str">
        <f t="shared" si="1810"/>
        <v>윤전용 세척제(Web 504)</v>
      </c>
      <c r="Q3608" s="71">
        <f t="shared" si="1811"/>
        <v>5</v>
      </c>
      <c r="R3608" s="102">
        <v>115000</v>
      </c>
      <c r="S3608" s="102">
        <f t="shared" si="1828"/>
        <v>632500</v>
      </c>
      <c r="T3608" s="102">
        <f t="shared" si="1829"/>
        <v>575000</v>
      </c>
      <c r="U3608" s="71" t="str">
        <f>IF(J3608=W3608,"O", "X")</f>
        <v>O</v>
      </c>
      <c r="V3608" s="71"/>
      <c r="W3608" s="474">
        <v>285000</v>
      </c>
      <c r="X3608" s="71"/>
      <c r="Y3608" s="71"/>
    </row>
    <row r="3609" spans="1:25" s="209" customFormat="1" ht="30" hidden="1" customHeight="1" x14ac:dyDescent="0.25">
      <c r="A3609" s="1145">
        <v>44180</v>
      </c>
      <c r="B3609" s="664" t="s">
        <v>2155</v>
      </c>
      <c r="C3609" s="71" t="s">
        <v>138</v>
      </c>
      <c r="D3609" s="71">
        <v>10</v>
      </c>
      <c r="E3609" s="102">
        <v>47600</v>
      </c>
      <c r="F3609" s="102">
        <f>(E3609*D3609)*1.1</f>
        <v>523600.00000000006</v>
      </c>
      <c r="G3609" s="102">
        <f>(E3609*D3609)</f>
        <v>476000</v>
      </c>
      <c r="H3609" s="1129" t="s">
        <v>172</v>
      </c>
      <c r="I3609" s="71" t="s">
        <v>108</v>
      </c>
      <c r="J3609" s="53">
        <f t="shared" si="1827"/>
        <v>68000</v>
      </c>
      <c r="K3609" s="63">
        <f t="shared" si="1830"/>
        <v>0.14285714285714285</v>
      </c>
      <c r="L3609" s="871" t="s">
        <v>2634</v>
      </c>
      <c r="M3609" s="468" t="s">
        <v>2214</v>
      </c>
      <c r="N3609" s="1192">
        <f t="shared" si="1809"/>
        <v>44180</v>
      </c>
      <c r="O3609" s="71" t="s">
        <v>150</v>
      </c>
      <c r="P3609" s="164" t="str">
        <f t="shared" si="1810"/>
        <v>매엽용 세척제(Wash 562)</v>
      </c>
      <c r="Q3609" s="71">
        <f t="shared" si="1811"/>
        <v>10</v>
      </c>
      <c r="R3609" s="102">
        <v>40800</v>
      </c>
      <c r="S3609" s="102">
        <f t="shared" si="1828"/>
        <v>448800.00000000006</v>
      </c>
      <c r="T3609" s="102">
        <f t="shared" si="1829"/>
        <v>408000</v>
      </c>
      <c r="U3609" s="71" t="str">
        <f>IF(J3609=W3609,"O", "X")</f>
        <v>X</v>
      </c>
      <c r="V3609" s="71"/>
      <c r="W3609" s="474">
        <v>85000</v>
      </c>
      <c r="X3609" s="71"/>
      <c r="Y3609" s="71"/>
    </row>
    <row r="3610" spans="1:25" ht="30" customHeight="1" x14ac:dyDescent="0.25">
      <c r="A3610" s="1145">
        <v>44180</v>
      </c>
      <c r="B3610" s="664" t="s">
        <v>2352</v>
      </c>
      <c r="C3610" s="760" t="s">
        <v>218</v>
      </c>
      <c r="D3610" s="71">
        <v>5</v>
      </c>
      <c r="E3610" s="102">
        <v>235000</v>
      </c>
      <c r="F3610" s="102">
        <f t="shared" si="1819"/>
        <v>1292500</v>
      </c>
      <c r="G3610" s="102">
        <f t="shared" si="1820"/>
        <v>1175000</v>
      </c>
      <c r="H3610" s="690" t="s">
        <v>142</v>
      </c>
      <c r="I3610" s="71" t="s">
        <v>142</v>
      </c>
      <c r="J3610" s="53">
        <f t="shared" si="1827"/>
        <v>612500</v>
      </c>
      <c r="K3610" s="63">
        <f t="shared" si="1830"/>
        <v>0.52127659574468088</v>
      </c>
      <c r="L3610" s="871" t="s">
        <v>2634</v>
      </c>
      <c r="M3610" s="468" t="s">
        <v>2053</v>
      </c>
      <c r="N3610" s="1192">
        <f t="shared" si="1809"/>
        <v>44180</v>
      </c>
      <c r="O3610" s="71" t="s">
        <v>150</v>
      </c>
      <c r="P3610" s="164" t="str">
        <f t="shared" si="1810"/>
        <v>Fount Web 551AF</v>
      </c>
      <c r="Q3610" s="71">
        <f t="shared" si="1811"/>
        <v>5</v>
      </c>
      <c r="R3610" s="102">
        <v>112500</v>
      </c>
      <c r="S3610" s="102">
        <f t="shared" si="1828"/>
        <v>618750</v>
      </c>
      <c r="T3610" s="102">
        <f t="shared" si="1829"/>
        <v>562500</v>
      </c>
      <c r="U3610" s="71" t="str">
        <f>IF(J3610=W3610,"O", "X")</f>
        <v>O</v>
      </c>
      <c r="V3610" s="71"/>
      <c r="W3610" s="474">
        <f>(G3610-T3610)</f>
        <v>612500</v>
      </c>
      <c r="X3610" s="71"/>
      <c r="Y3610" s="71"/>
    </row>
    <row r="3611" spans="1:25" ht="30" hidden="1" customHeight="1" x14ac:dyDescent="0.25">
      <c r="A3611" s="1145">
        <v>44180</v>
      </c>
      <c r="B3611" s="664" t="s">
        <v>1220</v>
      </c>
      <c r="C3611" s="71" t="s">
        <v>2645</v>
      </c>
      <c r="D3611" s="71">
        <v>1</v>
      </c>
      <c r="E3611" s="102">
        <v>1790000</v>
      </c>
      <c r="F3611" s="102">
        <f t="shared" si="1819"/>
        <v>1969000.0000000002</v>
      </c>
      <c r="G3611" s="102">
        <f t="shared" si="1820"/>
        <v>1790000</v>
      </c>
      <c r="H3611" s="690" t="s">
        <v>1431</v>
      </c>
      <c r="I3611" s="71" t="s">
        <v>1431</v>
      </c>
      <c r="J3611" s="53">
        <f t="shared" si="1827"/>
        <v>250000</v>
      </c>
      <c r="K3611" s="63">
        <f t="shared" si="1830"/>
        <v>0.13966480446927373</v>
      </c>
      <c r="L3611" s="871" t="s">
        <v>2634</v>
      </c>
      <c r="M3611" s="468"/>
      <c r="N3611" s="1192">
        <f t="shared" si="1809"/>
        <v>44180</v>
      </c>
      <c r="O3611" s="71" t="s">
        <v>1431</v>
      </c>
      <c r="P3611" s="164" t="str">
        <f t="shared" si="1810"/>
        <v>DC Magnet</v>
      </c>
      <c r="Q3611" s="71">
        <f t="shared" si="1811"/>
        <v>1</v>
      </c>
      <c r="R3611" s="102">
        <v>1540000</v>
      </c>
      <c r="S3611" s="102">
        <f t="shared" si="1828"/>
        <v>1694000.0000000002</v>
      </c>
      <c r="T3611" s="102">
        <f t="shared" si="1829"/>
        <v>1540000</v>
      </c>
      <c r="U3611" s="71"/>
      <c r="V3611" s="71"/>
      <c r="W3611" s="474"/>
      <c r="X3611" s="71"/>
      <c r="Y3611" s="71"/>
    </row>
    <row r="3612" spans="1:25" ht="30" hidden="1" customHeight="1" x14ac:dyDescent="0.25">
      <c r="A3612" s="1145">
        <v>44180</v>
      </c>
      <c r="B3612" s="664" t="s">
        <v>1220</v>
      </c>
      <c r="C3612" s="71" t="s">
        <v>2646</v>
      </c>
      <c r="D3612" s="71">
        <v>1</v>
      </c>
      <c r="E3612" s="102">
        <v>360000</v>
      </c>
      <c r="F3612" s="102">
        <f t="shared" si="1819"/>
        <v>396000.00000000006</v>
      </c>
      <c r="G3612" s="102">
        <f t="shared" si="1820"/>
        <v>360000</v>
      </c>
      <c r="H3612" s="690" t="s">
        <v>1431</v>
      </c>
      <c r="I3612" s="71" t="s">
        <v>1431</v>
      </c>
      <c r="J3612" s="53">
        <f t="shared" si="1827"/>
        <v>90000</v>
      </c>
      <c r="K3612" s="63">
        <f t="shared" si="1830"/>
        <v>0.24999999999999997</v>
      </c>
      <c r="L3612" s="871" t="s">
        <v>2634</v>
      </c>
      <c r="M3612" s="468"/>
      <c r="N3612" s="1192">
        <f t="shared" si="1809"/>
        <v>44180</v>
      </c>
      <c r="O3612" s="71" t="s">
        <v>1431</v>
      </c>
      <c r="P3612" s="164" t="str">
        <f t="shared" si="1810"/>
        <v>Vulkollan Bar</v>
      </c>
      <c r="Q3612" s="71">
        <f t="shared" si="1811"/>
        <v>1</v>
      </c>
      <c r="R3612" s="102">
        <v>270000</v>
      </c>
      <c r="S3612" s="102">
        <f t="shared" si="1828"/>
        <v>297000</v>
      </c>
      <c r="T3612" s="102">
        <f t="shared" si="1829"/>
        <v>270000</v>
      </c>
      <c r="U3612" s="71"/>
      <c r="V3612" s="71"/>
      <c r="W3612" s="474"/>
      <c r="X3612" s="71"/>
      <c r="Y3612" s="71"/>
    </row>
    <row r="3613" spans="1:25" ht="30" hidden="1" customHeight="1" x14ac:dyDescent="0.25">
      <c r="A3613" s="1145">
        <v>44181</v>
      </c>
      <c r="B3613" s="664" t="s">
        <v>748</v>
      </c>
      <c r="C3613" s="71" t="s">
        <v>2639</v>
      </c>
      <c r="D3613" s="71">
        <v>4</v>
      </c>
      <c r="E3613" s="102">
        <v>200000</v>
      </c>
      <c r="F3613" s="102">
        <f t="shared" si="1819"/>
        <v>880000.00000000012</v>
      </c>
      <c r="G3613" s="102">
        <f t="shared" si="1820"/>
        <v>800000</v>
      </c>
      <c r="H3613" s="690" t="s">
        <v>1431</v>
      </c>
      <c r="I3613" s="71" t="s">
        <v>1431</v>
      </c>
      <c r="J3613" s="53">
        <f t="shared" si="1827"/>
        <v>280000</v>
      </c>
      <c r="K3613" s="63">
        <f t="shared" si="1830"/>
        <v>0.34999999999999992</v>
      </c>
      <c r="L3613" s="871" t="s">
        <v>2634</v>
      </c>
      <c r="M3613" s="468"/>
      <c r="N3613" s="1192">
        <f t="shared" si="1809"/>
        <v>44181</v>
      </c>
      <c r="O3613" s="71" t="s">
        <v>1431</v>
      </c>
      <c r="P3613" s="164" t="str">
        <f t="shared" si="1810"/>
        <v>통신 케이블</v>
      </c>
      <c r="Q3613" s="71">
        <f t="shared" si="1811"/>
        <v>4</v>
      </c>
      <c r="R3613" s="102">
        <v>130000</v>
      </c>
      <c r="S3613" s="102">
        <f t="shared" si="1828"/>
        <v>572000</v>
      </c>
      <c r="T3613" s="102">
        <f t="shared" si="1829"/>
        <v>520000</v>
      </c>
      <c r="U3613" s="71"/>
      <c r="V3613" s="71"/>
      <c r="W3613" s="474"/>
      <c r="X3613" s="71"/>
      <c r="Y3613" s="71"/>
    </row>
    <row r="3614" spans="1:25" ht="30" hidden="1" customHeight="1" x14ac:dyDescent="0.25">
      <c r="A3614" s="1145">
        <v>44181</v>
      </c>
      <c r="B3614" s="664" t="s">
        <v>2637</v>
      </c>
      <c r="C3614" s="71" t="s">
        <v>2638</v>
      </c>
      <c r="D3614" s="71">
        <v>1</v>
      </c>
      <c r="E3614" s="102">
        <v>2600000</v>
      </c>
      <c r="F3614" s="102">
        <f t="shared" si="1819"/>
        <v>2860000</v>
      </c>
      <c r="G3614" s="102">
        <f t="shared" si="1820"/>
        <v>2600000</v>
      </c>
      <c r="H3614" s="690" t="s">
        <v>1432</v>
      </c>
      <c r="I3614" s="71" t="s">
        <v>1432</v>
      </c>
      <c r="J3614" s="53">
        <f t="shared" si="1827"/>
        <v>440000</v>
      </c>
      <c r="K3614" s="63">
        <f t="shared" si="1830"/>
        <v>0.16923076923076924</v>
      </c>
      <c r="L3614" s="871" t="s">
        <v>2634</v>
      </c>
      <c r="M3614" s="468"/>
      <c r="N3614" s="1192">
        <f t="shared" si="1809"/>
        <v>44181</v>
      </c>
      <c r="O3614" s="71" t="s">
        <v>94</v>
      </c>
      <c r="P3614" s="164" t="str">
        <f t="shared" si="1810"/>
        <v>Technotrans 판형열교환기</v>
      </c>
      <c r="Q3614" s="71">
        <f t="shared" si="1811"/>
        <v>1</v>
      </c>
      <c r="R3614" s="102">
        <v>2160000</v>
      </c>
      <c r="S3614" s="102">
        <f t="shared" si="1828"/>
        <v>2376000</v>
      </c>
      <c r="T3614" s="102">
        <f t="shared" si="1829"/>
        <v>2160000</v>
      </c>
      <c r="U3614" s="71"/>
      <c r="V3614" s="71"/>
      <c r="W3614" s="474"/>
      <c r="X3614" s="71"/>
      <c r="Y3614" s="71"/>
    </row>
    <row r="3615" spans="1:25" ht="30" hidden="1" customHeight="1" x14ac:dyDescent="0.2">
      <c r="A3615" s="1145">
        <v>44181</v>
      </c>
      <c r="B3615" s="664" t="s">
        <v>2353</v>
      </c>
      <c r="C3615" s="71" t="s">
        <v>129</v>
      </c>
      <c r="D3615" s="71">
        <v>7</v>
      </c>
      <c r="E3615" s="102">
        <v>272000</v>
      </c>
      <c r="F3615" s="102">
        <f t="shared" si="1819"/>
        <v>2094400.0000000002</v>
      </c>
      <c r="G3615" s="102">
        <f t="shared" si="1820"/>
        <v>1904000</v>
      </c>
      <c r="H3615" s="165" t="s">
        <v>142</v>
      </c>
      <c r="I3615" s="71" t="s">
        <v>142</v>
      </c>
      <c r="J3615" s="53">
        <f t="shared" si="1827"/>
        <v>414400</v>
      </c>
      <c r="K3615" s="63">
        <f t="shared" si="1830"/>
        <v>0.21764705882352939</v>
      </c>
      <c r="L3615" s="871" t="s">
        <v>2634</v>
      </c>
      <c r="M3615" s="468" t="s">
        <v>2050</v>
      </c>
      <c r="N3615" s="1192">
        <f t="shared" si="1809"/>
        <v>44181</v>
      </c>
      <c r="O3615" s="71" t="s">
        <v>149</v>
      </c>
      <c r="P3615" s="164" t="str">
        <f t="shared" si="1810"/>
        <v>세정포-XL106</v>
      </c>
      <c r="Q3615" s="71">
        <f t="shared" si="1811"/>
        <v>7</v>
      </c>
      <c r="R3615" s="102">
        <v>212800</v>
      </c>
      <c r="S3615" s="102">
        <f t="shared" si="1828"/>
        <v>1638560.0000000002</v>
      </c>
      <c r="T3615" s="102">
        <f t="shared" si="1829"/>
        <v>1489600</v>
      </c>
      <c r="U3615" s="71" t="str">
        <f>IF(J3615=W3615,"O", "X")</f>
        <v>O</v>
      </c>
      <c r="V3615" s="71"/>
      <c r="W3615" s="474">
        <f>(G3615-T3615)</f>
        <v>414400</v>
      </c>
      <c r="X3615" s="71"/>
      <c r="Y3615" s="71"/>
    </row>
    <row r="3616" spans="1:25" s="209" customFormat="1" ht="30" hidden="1" customHeight="1" x14ac:dyDescent="0.2">
      <c r="A3616" s="1145">
        <v>44181</v>
      </c>
      <c r="B3616" s="664" t="s">
        <v>2353</v>
      </c>
      <c r="C3616" s="71" t="s">
        <v>138</v>
      </c>
      <c r="D3616" s="71">
        <v>10</v>
      </c>
      <c r="E3616" s="102">
        <v>54400</v>
      </c>
      <c r="F3616" s="102">
        <f>(E3616*D3616)*1.1</f>
        <v>598400</v>
      </c>
      <c r="G3616" s="102">
        <f>(E3616*D3616)</f>
        <v>544000</v>
      </c>
      <c r="H3616" s="165" t="s">
        <v>142</v>
      </c>
      <c r="I3616" s="71" t="s">
        <v>142</v>
      </c>
      <c r="J3616" s="53">
        <f t="shared" si="1827"/>
        <v>136000</v>
      </c>
      <c r="K3616" s="63">
        <f t="shared" si="1830"/>
        <v>0.25</v>
      </c>
      <c r="L3616" s="871" t="s">
        <v>2634</v>
      </c>
      <c r="M3616" s="468" t="s">
        <v>2214</v>
      </c>
      <c r="N3616" s="1192">
        <f t="shared" si="1809"/>
        <v>44181</v>
      </c>
      <c r="O3616" s="71" t="s">
        <v>2030</v>
      </c>
      <c r="P3616" s="164" t="str">
        <f>(C3616)</f>
        <v>매엽용 세척제(Wash 562)</v>
      </c>
      <c r="Q3616" s="71">
        <f t="shared" si="1811"/>
        <v>10</v>
      </c>
      <c r="R3616" s="102">
        <v>40800</v>
      </c>
      <c r="S3616" s="102">
        <f t="shared" si="1828"/>
        <v>448800.00000000006</v>
      </c>
      <c r="T3616" s="102">
        <f t="shared" si="1829"/>
        <v>408000</v>
      </c>
      <c r="U3616" s="71" t="str">
        <f>IF(J3616=W3616,"O", "X")</f>
        <v>O</v>
      </c>
      <c r="V3616" s="71"/>
      <c r="W3616" s="474">
        <f>(G3616-T3616)</f>
        <v>136000</v>
      </c>
      <c r="X3616" s="71"/>
      <c r="Y3616" s="71"/>
    </row>
    <row r="3617" spans="1:25" ht="30" hidden="1" customHeight="1" x14ac:dyDescent="0.2">
      <c r="A3617" s="1145">
        <v>44181</v>
      </c>
      <c r="B3617" s="664" t="s">
        <v>2579</v>
      </c>
      <c r="C3617" s="71" t="s">
        <v>2408</v>
      </c>
      <c r="D3617" s="71">
        <v>3</v>
      </c>
      <c r="E3617" s="102">
        <v>248600</v>
      </c>
      <c r="F3617" s="102">
        <f>(E3617*D3617)*1.1</f>
        <v>820380.00000000012</v>
      </c>
      <c r="G3617" s="102">
        <f>(E3617*D3617)</f>
        <v>745800</v>
      </c>
      <c r="H3617" s="165" t="s">
        <v>142</v>
      </c>
      <c r="I3617" s="71" t="s">
        <v>142</v>
      </c>
      <c r="J3617" s="53">
        <f t="shared" si="1827"/>
        <v>145800</v>
      </c>
      <c r="K3617" s="63">
        <f t="shared" si="1830"/>
        <v>0.19549477071600962</v>
      </c>
      <c r="L3617" s="871" t="s">
        <v>2634</v>
      </c>
      <c r="M3617" s="468"/>
      <c r="N3617" s="1192">
        <f t="shared" si="1809"/>
        <v>44181</v>
      </c>
      <c r="O3617" s="71" t="s">
        <v>150</v>
      </c>
      <c r="P3617" s="164" t="str">
        <f>(C3617)</f>
        <v>판걸이 실린더 안쪽</v>
      </c>
      <c r="Q3617" s="71">
        <f t="shared" si="1811"/>
        <v>3</v>
      </c>
      <c r="R3617" s="102">
        <v>200000</v>
      </c>
      <c r="S3617" s="102">
        <f t="shared" si="1828"/>
        <v>660000</v>
      </c>
      <c r="T3617" s="102">
        <f t="shared" si="1829"/>
        <v>600000</v>
      </c>
      <c r="U3617" s="71"/>
      <c r="V3617" s="71"/>
      <c r="W3617" s="474"/>
      <c r="X3617" s="71"/>
      <c r="Y3617" s="71"/>
    </row>
    <row r="3618" spans="1:25" ht="30" hidden="1" customHeight="1" x14ac:dyDescent="0.2">
      <c r="A3618" s="1145">
        <v>44181</v>
      </c>
      <c r="B3618" s="664" t="s">
        <v>2579</v>
      </c>
      <c r="C3618" s="71" t="s">
        <v>2651</v>
      </c>
      <c r="D3618" s="71">
        <v>3</v>
      </c>
      <c r="E3618" s="102">
        <v>596000</v>
      </c>
      <c r="F3618" s="102">
        <f>(E3618*D3618)*1.1</f>
        <v>1966800.0000000002</v>
      </c>
      <c r="G3618" s="102">
        <f>(E3618*D3618)</f>
        <v>1788000</v>
      </c>
      <c r="H3618" s="165" t="s">
        <v>142</v>
      </c>
      <c r="I3618" s="71" t="s">
        <v>142</v>
      </c>
      <c r="J3618" s="53">
        <f t="shared" si="1827"/>
        <v>468000</v>
      </c>
      <c r="K3618" s="63">
        <f t="shared" si="1830"/>
        <v>0.26174496644295298</v>
      </c>
      <c r="L3618" s="871" t="s">
        <v>2634</v>
      </c>
      <c r="M3618" s="468"/>
      <c r="N3618" s="1192">
        <f t="shared" si="1809"/>
        <v>44181</v>
      </c>
      <c r="O3618" s="71" t="s">
        <v>150</v>
      </c>
      <c r="P3618" s="164" t="str">
        <f>(C3618)</f>
        <v>자동 판걸이용 오버러닝 클러치</v>
      </c>
      <c r="Q3618" s="71">
        <f t="shared" si="1811"/>
        <v>3</v>
      </c>
      <c r="R3618" s="102">
        <v>440000</v>
      </c>
      <c r="S3618" s="102">
        <f t="shared" si="1828"/>
        <v>1452000.0000000002</v>
      </c>
      <c r="T3618" s="102">
        <f t="shared" si="1829"/>
        <v>1320000</v>
      </c>
      <c r="U3618" s="71"/>
      <c r="V3618" s="71"/>
      <c r="W3618" s="474"/>
      <c r="X3618" s="71"/>
      <c r="Y3618" s="71"/>
    </row>
    <row r="3619" spans="1:25" ht="30" hidden="1" customHeight="1" x14ac:dyDescent="0.25">
      <c r="A3619" s="1145">
        <v>44182</v>
      </c>
      <c r="B3619" s="664" t="s">
        <v>546</v>
      </c>
      <c r="C3619" s="71" t="s">
        <v>1148</v>
      </c>
      <c r="D3619" s="71">
        <v>8</v>
      </c>
      <c r="E3619" s="102">
        <v>300000</v>
      </c>
      <c r="F3619" s="102">
        <f t="shared" si="1819"/>
        <v>2640000</v>
      </c>
      <c r="G3619" s="102">
        <f t="shared" si="1820"/>
        <v>2400000</v>
      </c>
      <c r="H3619" s="690" t="s">
        <v>1431</v>
      </c>
      <c r="I3619" s="71" t="s">
        <v>1431</v>
      </c>
      <c r="J3619" s="53">
        <f t="shared" si="1827"/>
        <v>1024000</v>
      </c>
      <c r="K3619" s="63">
        <f t="shared" si="1830"/>
        <v>0.42666666666666669</v>
      </c>
      <c r="L3619" s="871" t="s">
        <v>2634</v>
      </c>
      <c r="M3619" s="468"/>
      <c r="N3619" s="1192">
        <f t="shared" si="1809"/>
        <v>44182</v>
      </c>
      <c r="O3619" s="71" t="s">
        <v>1431</v>
      </c>
      <c r="P3619" s="164" t="str">
        <f t="shared" si="1810"/>
        <v>브레이크 라이닝</v>
      </c>
      <c r="Q3619" s="71">
        <f t="shared" si="1811"/>
        <v>8</v>
      </c>
      <c r="R3619" s="102">
        <v>172000</v>
      </c>
      <c r="S3619" s="102">
        <f t="shared" si="1828"/>
        <v>1513600.0000000002</v>
      </c>
      <c r="T3619" s="102">
        <f t="shared" si="1829"/>
        <v>1376000</v>
      </c>
      <c r="U3619" s="71"/>
      <c r="V3619" s="71"/>
      <c r="W3619" s="474"/>
      <c r="X3619" s="71"/>
      <c r="Y3619" s="71"/>
    </row>
    <row r="3620" spans="1:25" ht="30" hidden="1" customHeight="1" x14ac:dyDescent="0.25">
      <c r="A3620" s="1145">
        <v>44182</v>
      </c>
      <c r="B3620" s="664" t="s">
        <v>546</v>
      </c>
      <c r="C3620" s="71" t="s">
        <v>1121</v>
      </c>
      <c r="D3620" s="71">
        <v>10</v>
      </c>
      <c r="E3620" s="102">
        <v>65000</v>
      </c>
      <c r="F3620" s="102">
        <f t="shared" si="1819"/>
        <v>715000</v>
      </c>
      <c r="G3620" s="102">
        <f t="shared" si="1820"/>
        <v>650000</v>
      </c>
      <c r="H3620" s="690" t="s">
        <v>1431</v>
      </c>
      <c r="I3620" s="71" t="s">
        <v>1431</v>
      </c>
      <c r="J3620" s="53">
        <f t="shared" si="1827"/>
        <v>440000</v>
      </c>
      <c r="K3620" s="63">
        <f t="shared" si="1830"/>
        <v>0.67692307692307696</v>
      </c>
      <c r="L3620" s="871" t="s">
        <v>2634</v>
      </c>
      <c r="M3620" s="468"/>
      <c r="N3620" s="1192">
        <f t="shared" si="1809"/>
        <v>44182</v>
      </c>
      <c r="O3620" s="71" t="s">
        <v>2785</v>
      </c>
      <c r="P3620" s="164" t="str">
        <f t="shared" si="1810"/>
        <v>포텐시오미터</v>
      </c>
      <c r="Q3620" s="71">
        <f t="shared" si="1811"/>
        <v>10</v>
      </c>
      <c r="R3620" s="102">
        <v>21000</v>
      </c>
      <c r="S3620" s="102">
        <f t="shared" si="1828"/>
        <v>231000.00000000003</v>
      </c>
      <c r="T3620" s="102">
        <f t="shared" si="1829"/>
        <v>210000</v>
      </c>
      <c r="U3620" s="71"/>
      <c r="V3620" s="71"/>
      <c r="W3620" s="474"/>
      <c r="X3620" s="71"/>
      <c r="Y3620" s="71"/>
    </row>
    <row r="3621" spans="1:25" ht="30" customHeight="1" x14ac:dyDescent="0.2">
      <c r="A3621" s="1145">
        <v>44182</v>
      </c>
      <c r="B3621" s="664" t="s">
        <v>2352</v>
      </c>
      <c r="C3621" s="71" t="s">
        <v>692</v>
      </c>
      <c r="D3621" s="71">
        <v>10</v>
      </c>
      <c r="E3621" s="102">
        <v>218000</v>
      </c>
      <c r="F3621" s="102">
        <f t="shared" si="1819"/>
        <v>2398000</v>
      </c>
      <c r="G3621" s="102">
        <f t="shared" si="1820"/>
        <v>2180000</v>
      </c>
      <c r="H3621" s="165" t="s">
        <v>142</v>
      </c>
      <c r="I3621" s="71" t="s">
        <v>142</v>
      </c>
      <c r="J3621" s="53">
        <f>(G3621-(VLOOKUP(C3621,Price!B:D,3,FALSE)*D3621))</f>
        <v>580000</v>
      </c>
      <c r="K3621" s="63">
        <f t="shared" si="1830"/>
        <v>0.26605504587155965</v>
      </c>
      <c r="L3621" s="871" t="s">
        <v>2634</v>
      </c>
      <c r="M3621" s="468" t="s">
        <v>2052</v>
      </c>
      <c r="N3621" s="1192">
        <f t="shared" si="1809"/>
        <v>44182</v>
      </c>
      <c r="O3621" s="71" t="s">
        <v>150</v>
      </c>
      <c r="P3621" s="164" t="str">
        <f t="shared" si="1810"/>
        <v>윤전 블랑켓</v>
      </c>
      <c r="Q3621" s="71">
        <f t="shared" si="1811"/>
        <v>10</v>
      </c>
      <c r="R3621" s="102">
        <v>160000</v>
      </c>
      <c r="S3621" s="102">
        <f t="shared" si="1828"/>
        <v>1760000.0000000002</v>
      </c>
      <c r="T3621" s="102">
        <f t="shared" si="1829"/>
        <v>1600000</v>
      </c>
      <c r="U3621" s="71" t="str">
        <f>IF(J3621=W3621,"O", "X")</f>
        <v>O</v>
      </c>
      <c r="V3621" s="71" t="s">
        <v>784</v>
      </c>
      <c r="W3621" s="474">
        <f>(G3621-T3621)</f>
        <v>580000</v>
      </c>
      <c r="X3621" s="71"/>
      <c r="Y3621" s="71"/>
    </row>
    <row r="3622" spans="1:25" ht="30" customHeight="1" x14ac:dyDescent="0.2">
      <c r="A3622" s="1145">
        <v>44182</v>
      </c>
      <c r="B3622" s="664" t="s">
        <v>2352</v>
      </c>
      <c r="C3622" s="71" t="s">
        <v>2643</v>
      </c>
      <c r="D3622" s="71">
        <v>1</v>
      </c>
      <c r="E3622" s="102">
        <v>1200000</v>
      </c>
      <c r="F3622" s="102">
        <f t="shared" si="1819"/>
        <v>1320000</v>
      </c>
      <c r="G3622" s="102">
        <f t="shared" si="1820"/>
        <v>1200000</v>
      </c>
      <c r="H3622" s="165" t="s">
        <v>985</v>
      </c>
      <c r="I3622" s="71" t="s">
        <v>985</v>
      </c>
      <c r="J3622" s="53">
        <f>G3622-T3622</f>
        <v>500000</v>
      </c>
      <c r="K3622" s="63">
        <f t="shared" si="1830"/>
        <v>0.41666666666666669</v>
      </c>
      <c r="L3622" s="871" t="s">
        <v>2634</v>
      </c>
      <c r="M3622" s="468"/>
      <c r="N3622" s="1192">
        <f t="shared" si="1809"/>
        <v>44182</v>
      </c>
      <c r="O3622" s="71"/>
      <c r="P3622" s="164" t="str">
        <f t="shared" si="1810"/>
        <v>PLC 서비스 비용</v>
      </c>
      <c r="Q3622" s="71">
        <f t="shared" si="1811"/>
        <v>1</v>
      </c>
      <c r="R3622" s="102">
        <v>700000</v>
      </c>
      <c r="S3622" s="102">
        <f t="shared" si="1828"/>
        <v>770000.00000000012</v>
      </c>
      <c r="T3622" s="102">
        <f t="shared" si="1829"/>
        <v>700000</v>
      </c>
      <c r="U3622" s="71"/>
      <c r="V3622" s="71"/>
      <c r="W3622" s="474"/>
      <c r="X3622" s="71"/>
      <c r="Y3622" s="71"/>
    </row>
    <row r="3623" spans="1:25" ht="30" hidden="1" customHeight="1" x14ac:dyDescent="0.25">
      <c r="A3623" s="1145">
        <v>44183</v>
      </c>
      <c r="B3623" s="664" t="s">
        <v>690</v>
      </c>
      <c r="C3623" s="71" t="s">
        <v>1186</v>
      </c>
      <c r="D3623" s="71">
        <v>500</v>
      </c>
      <c r="E3623" s="102">
        <v>3420</v>
      </c>
      <c r="F3623" s="102">
        <f t="shared" si="1819"/>
        <v>1881000.0000000002</v>
      </c>
      <c r="G3623" s="102">
        <f t="shared" si="1820"/>
        <v>1710000</v>
      </c>
      <c r="H3623" s="690" t="s">
        <v>173</v>
      </c>
      <c r="I3623" s="71" t="s">
        <v>2230</v>
      </c>
      <c r="J3623" s="53">
        <f>G3623-T3623</f>
        <v>-190000</v>
      </c>
      <c r="K3623" s="63">
        <f t="shared" ref="K3623:K3629" si="1831">(J3623/(F3623/11*10))</f>
        <v>-0.11111111111111109</v>
      </c>
      <c r="L3623" s="871" t="s">
        <v>2634</v>
      </c>
      <c r="M3623" s="468" t="s">
        <v>1393</v>
      </c>
      <c r="N3623" s="1192">
        <f t="shared" si="1809"/>
        <v>44183</v>
      </c>
      <c r="O3623" s="71" t="s">
        <v>145</v>
      </c>
      <c r="P3623" s="164" t="str">
        <f t="shared" si="1810"/>
        <v>CTP 판(1030*790mm)</v>
      </c>
      <c r="Q3623" s="71">
        <f t="shared" si="1811"/>
        <v>500</v>
      </c>
      <c r="R3623" s="102">
        <v>3800</v>
      </c>
      <c r="S3623" s="102">
        <f t="shared" si="1828"/>
        <v>2090000.0000000002</v>
      </c>
      <c r="T3623" s="102">
        <f t="shared" si="1829"/>
        <v>1900000</v>
      </c>
      <c r="U3623" s="71" t="str">
        <f t="shared" ref="U3623:U3634" si="1832">IF(J3623=W3623,"O", "X")</f>
        <v>X</v>
      </c>
      <c r="V3623" s="71"/>
      <c r="W3623" s="474">
        <v>-200000</v>
      </c>
      <c r="X3623" s="71"/>
      <c r="Y3623" s="71"/>
    </row>
    <row r="3624" spans="1:25" ht="30" hidden="1" customHeight="1" x14ac:dyDescent="0.25">
      <c r="A3624" s="1145">
        <v>44183</v>
      </c>
      <c r="B3624" s="664" t="s">
        <v>690</v>
      </c>
      <c r="C3624" s="71" t="s">
        <v>197</v>
      </c>
      <c r="D3624" s="71">
        <v>3</v>
      </c>
      <c r="E3624" s="102">
        <v>46000</v>
      </c>
      <c r="F3624" s="102">
        <f t="shared" si="1819"/>
        <v>151800</v>
      </c>
      <c r="G3624" s="102">
        <f t="shared" si="1820"/>
        <v>138000</v>
      </c>
      <c r="H3624" s="690" t="s">
        <v>173</v>
      </c>
      <c r="I3624" s="71" t="s">
        <v>2230</v>
      </c>
      <c r="J3624" s="53">
        <f>G3624-T3624</f>
        <v>33000</v>
      </c>
      <c r="K3624" s="63">
        <f t="shared" si="1831"/>
        <v>0.2391304347826087</v>
      </c>
      <c r="L3624" s="871" t="s">
        <v>2634</v>
      </c>
      <c r="M3624" s="468" t="s">
        <v>1394</v>
      </c>
      <c r="N3624" s="1192">
        <f t="shared" si="1809"/>
        <v>44183</v>
      </c>
      <c r="O3624" s="71" t="s">
        <v>145</v>
      </c>
      <c r="P3624" s="164" t="str">
        <f t="shared" si="1810"/>
        <v>THR200(20L)</v>
      </c>
      <c r="Q3624" s="71">
        <f t="shared" si="1811"/>
        <v>3</v>
      </c>
      <c r="R3624" s="102">
        <v>35000</v>
      </c>
      <c r="S3624" s="102">
        <f t="shared" si="1828"/>
        <v>115500.00000000001</v>
      </c>
      <c r="T3624" s="102">
        <f t="shared" si="1829"/>
        <v>105000</v>
      </c>
      <c r="U3624" s="71" t="str">
        <f t="shared" si="1832"/>
        <v>X</v>
      </c>
      <c r="V3624" s="71"/>
      <c r="W3624" s="474"/>
      <c r="X3624" s="71"/>
      <c r="Y3624" s="71"/>
    </row>
    <row r="3625" spans="1:25" ht="30" hidden="1" customHeight="1" x14ac:dyDescent="0.25">
      <c r="A3625" s="1145">
        <v>44183</v>
      </c>
      <c r="B3625" s="664" t="s">
        <v>442</v>
      </c>
      <c r="C3625" s="71" t="s">
        <v>206</v>
      </c>
      <c r="D3625" s="71">
        <v>2</v>
      </c>
      <c r="E3625" s="102">
        <v>327000</v>
      </c>
      <c r="F3625" s="102">
        <f t="shared" si="1819"/>
        <v>719400</v>
      </c>
      <c r="G3625" s="102">
        <f t="shared" si="1820"/>
        <v>654000</v>
      </c>
      <c r="H3625" s="690" t="s">
        <v>2029</v>
      </c>
      <c r="I3625" s="71" t="s">
        <v>195</v>
      </c>
      <c r="J3625" s="53">
        <f>(G3625-(VLOOKUP(C3625,[5]Price!B$1:D$65536,3,FALSE)*D3625))</f>
        <v>115800</v>
      </c>
      <c r="K3625" s="63">
        <f t="shared" si="1831"/>
        <v>0.17706422018348625</v>
      </c>
      <c r="L3625" s="871" t="s">
        <v>2634</v>
      </c>
      <c r="M3625" s="468"/>
      <c r="N3625" s="1192">
        <f t="shared" si="1809"/>
        <v>44183</v>
      </c>
      <c r="O3625" s="71" t="s">
        <v>194</v>
      </c>
      <c r="P3625" s="164" t="str">
        <f t="shared" si="1810"/>
        <v>Agfa Film(24inch)</v>
      </c>
      <c r="Q3625" s="71">
        <f t="shared" si="1811"/>
        <v>2</v>
      </c>
      <c r="R3625" s="102">
        <v>269100</v>
      </c>
      <c r="S3625" s="102">
        <f t="shared" si="1828"/>
        <v>592020</v>
      </c>
      <c r="T3625" s="102">
        <f t="shared" si="1829"/>
        <v>538200</v>
      </c>
      <c r="U3625" s="71" t="str">
        <f t="shared" si="1832"/>
        <v>O</v>
      </c>
      <c r="V3625" s="71"/>
      <c r="W3625" s="474">
        <f>(G3625-T3625)</f>
        <v>115800</v>
      </c>
      <c r="X3625" s="71"/>
      <c r="Y3625" s="71"/>
    </row>
    <row r="3626" spans="1:25" ht="30" hidden="1" customHeight="1" x14ac:dyDescent="0.25">
      <c r="A3626" s="1145">
        <v>44183</v>
      </c>
      <c r="B3626" s="664" t="s">
        <v>442</v>
      </c>
      <c r="C3626" s="71" t="s">
        <v>207</v>
      </c>
      <c r="D3626" s="71">
        <v>2</v>
      </c>
      <c r="E3626" s="102">
        <v>401000</v>
      </c>
      <c r="F3626" s="102">
        <f t="shared" si="1819"/>
        <v>882200.00000000012</v>
      </c>
      <c r="G3626" s="102">
        <f t="shared" si="1820"/>
        <v>802000</v>
      </c>
      <c r="H3626" s="690" t="s">
        <v>2029</v>
      </c>
      <c r="I3626" s="71" t="s">
        <v>195</v>
      </c>
      <c r="J3626" s="53">
        <f>(G3626-(VLOOKUP(C3626,[5]Price!B$1:D$65536,3,FALSE)*D3626))</f>
        <v>174080</v>
      </c>
      <c r="K3626" s="63">
        <f t="shared" si="1831"/>
        <v>0.21705735660847877</v>
      </c>
      <c r="L3626" s="871" t="s">
        <v>2634</v>
      </c>
      <c r="M3626" s="468"/>
      <c r="N3626" s="1192">
        <f t="shared" si="1809"/>
        <v>44183</v>
      </c>
      <c r="O3626" s="71" t="s">
        <v>194</v>
      </c>
      <c r="P3626" s="164" t="str">
        <f t="shared" si="1810"/>
        <v>Agfa Film(28inch)</v>
      </c>
      <c r="Q3626" s="71">
        <f t="shared" si="1811"/>
        <v>2</v>
      </c>
      <c r="R3626" s="102">
        <f>VLOOKUP(P3626,[5]Price!B$1:D$65536,3,FALSE)</f>
        <v>313960</v>
      </c>
      <c r="S3626" s="102">
        <f t="shared" si="1828"/>
        <v>690712</v>
      </c>
      <c r="T3626" s="102">
        <f t="shared" si="1829"/>
        <v>627920</v>
      </c>
      <c r="U3626" s="71" t="str">
        <f t="shared" si="1832"/>
        <v>O</v>
      </c>
      <c r="V3626" s="71"/>
      <c r="W3626" s="474">
        <f>(G3626-T3626)</f>
        <v>174080</v>
      </c>
      <c r="X3626" s="71"/>
      <c r="Y3626" s="71"/>
    </row>
    <row r="3627" spans="1:25" ht="30" hidden="1" customHeight="1" x14ac:dyDescent="0.25">
      <c r="A3627" s="1145">
        <v>44183</v>
      </c>
      <c r="B3627" s="664" t="s">
        <v>442</v>
      </c>
      <c r="C3627" s="71" t="s">
        <v>208</v>
      </c>
      <c r="D3627" s="71">
        <v>2</v>
      </c>
      <c r="E3627" s="102">
        <v>448000</v>
      </c>
      <c r="F3627" s="102">
        <f t="shared" si="1819"/>
        <v>985600.00000000012</v>
      </c>
      <c r="G3627" s="102">
        <f t="shared" si="1820"/>
        <v>896000</v>
      </c>
      <c r="H3627" s="690" t="s">
        <v>2029</v>
      </c>
      <c r="I3627" s="71" t="s">
        <v>195</v>
      </c>
      <c r="J3627" s="53">
        <f>(G3627-(VLOOKUP(C3627,[5]Price!B$1:D$65536,3,FALSE)*D3627))</f>
        <v>155980</v>
      </c>
      <c r="K3627" s="63">
        <f t="shared" si="1831"/>
        <v>0.1740848214285714</v>
      </c>
      <c r="L3627" s="871" t="s">
        <v>2634</v>
      </c>
      <c r="M3627" s="468"/>
      <c r="N3627" s="1192">
        <f t="shared" si="1809"/>
        <v>44183</v>
      </c>
      <c r="O3627" s="71" t="s">
        <v>194</v>
      </c>
      <c r="P3627" s="164" t="str">
        <f t="shared" si="1810"/>
        <v>Agfa Film(32inch)</v>
      </c>
      <c r="Q3627" s="71">
        <f t="shared" si="1811"/>
        <v>2</v>
      </c>
      <c r="R3627" s="102">
        <f>VLOOKUP(P3627,[5]Price!B$1:D$65536,3,FALSE)</f>
        <v>370010</v>
      </c>
      <c r="S3627" s="102">
        <f t="shared" si="1828"/>
        <v>814022.00000000012</v>
      </c>
      <c r="T3627" s="102">
        <f t="shared" si="1829"/>
        <v>740020</v>
      </c>
      <c r="U3627" s="71" t="str">
        <f t="shared" si="1832"/>
        <v>O</v>
      </c>
      <c r="V3627" s="71"/>
      <c r="W3627" s="474">
        <f>(G3627-T3627)</f>
        <v>155980</v>
      </c>
      <c r="X3627" s="71"/>
      <c r="Y3627" s="71"/>
    </row>
    <row r="3628" spans="1:25" s="209" customFormat="1" ht="30" hidden="1" customHeight="1" x14ac:dyDescent="0.25">
      <c r="A3628" s="1145">
        <v>44183</v>
      </c>
      <c r="B3628" s="664" t="s">
        <v>442</v>
      </c>
      <c r="C3628" s="71" t="s">
        <v>138</v>
      </c>
      <c r="D3628" s="71">
        <v>30</v>
      </c>
      <c r="E3628" s="102">
        <v>55200</v>
      </c>
      <c r="F3628" s="102">
        <f t="shared" si="1819"/>
        <v>1821600.0000000002</v>
      </c>
      <c r="G3628" s="102">
        <f t="shared" si="1820"/>
        <v>1656000</v>
      </c>
      <c r="H3628" s="690" t="s">
        <v>173</v>
      </c>
      <c r="I3628" s="71" t="s">
        <v>108</v>
      </c>
      <c r="J3628" s="53">
        <f t="shared" ref="J3628:J3668" si="1833">G3628-T3628</f>
        <v>432000</v>
      </c>
      <c r="K3628" s="63">
        <f t="shared" si="1831"/>
        <v>0.26086956521739124</v>
      </c>
      <c r="L3628" s="871" t="s">
        <v>2634</v>
      </c>
      <c r="M3628" s="468" t="s">
        <v>2388</v>
      </c>
      <c r="N3628" s="1192">
        <f t="shared" si="1809"/>
        <v>44183</v>
      </c>
      <c r="O3628" s="71" t="s">
        <v>150</v>
      </c>
      <c r="P3628" s="164" t="str">
        <f t="shared" si="1810"/>
        <v>매엽용 세척제(Wash 562)</v>
      </c>
      <c r="Q3628" s="71">
        <f t="shared" si="1811"/>
        <v>30</v>
      </c>
      <c r="R3628" s="102">
        <v>40800</v>
      </c>
      <c r="S3628" s="102">
        <f t="shared" si="1828"/>
        <v>1346400</v>
      </c>
      <c r="T3628" s="102">
        <f t="shared" si="1829"/>
        <v>1224000</v>
      </c>
      <c r="U3628" s="71" t="str">
        <f t="shared" si="1832"/>
        <v>X</v>
      </c>
      <c r="V3628" s="71"/>
      <c r="W3628" s="474">
        <v>396000</v>
      </c>
      <c r="X3628" s="71"/>
      <c r="Y3628" s="71"/>
    </row>
    <row r="3629" spans="1:25" ht="30" hidden="1" customHeight="1" x14ac:dyDescent="0.25">
      <c r="A3629" s="1145">
        <v>44183</v>
      </c>
      <c r="B3629" s="664" t="s">
        <v>690</v>
      </c>
      <c r="C3629" s="71" t="s">
        <v>217</v>
      </c>
      <c r="D3629" s="71">
        <v>2</v>
      </c>
      <c r="E3629" s="102">
        <v>137000</v>
      </c>
      <c r="F3629" s="102">
        <f t="shared" si="1819"/>
        <v>301400</v>
      </c>
      <c r="G3629" s="102">
        <f t="shared" si="1820"/>
        <v>274000</v>
      </c>
      <c r="H3629" s="690" t="s">
        <v>173</v>
      </c>
      <c r="I3629" s="71" t="s">
        <v>108</v>
      </c>
      <c r="J3629" s="53">
        <f t="shared" si="1833"/>
        <v>114000</v>
      </c>
      <c r="K3629" s="63">
        <f t="shared" si="1831"/>
        <v>0.41605839416058393</v>
      </c>
      <c r="L3629" s="871" t="s">
        <v>2634</v>
      </c>
      <c r="M3629" s="468"/>
      <c r="N3629" s="1192">
        <f t="shared" si="1809"/>
        <v>44183</v>
      </c>
      <c r="O3629" s="71" t="s">
        <v>150</v>
      </c>
      <c r="P3629" s="164" t="str">
        <f t="shared" si="1810"/>
        <v>Fount 511</v>
      </c>
      <c r="Q3629" s="71">
        <f t="shared" si="1811"/>
        <v>2</v>
      </c>
      <c r="R3629" s="102">
        <v>80000</v>
      </c>
      <c r="S3629" s="102">
        <f t="shared" si="1828"/>
        <v>176000</v>
      </c>
      <c r="T3629" s="102">
        <f t="shared" si="1829"/>
        <v>160000</v>
      </c>
      <c r="U3629" s="71" t="str">
        <f t="shared" si="1832"/>
        <v>X</v>
      </c>
      <c r="V3629" s="71"/>
      <c r="W3629" s="474">
        <v>130000</v>
      </c>
      <c r="X3629" s="71"/>
      <c r="Y3629" s="71"/>
    </row>
    <row r="3630" spans="1:25" ht="30" hidden="1" customHeight="1" x14ac:dyDescent="0.25">
      <c r="A3630" s="1145">
        <v>44186</v>
      </c>
      <c r="B3630" s="664" t="s">
        <v>2155</v>
      </c>
      <c r="C3630" s="760" t="s">
        <v>218</v>
      </c>
      <c r="D3630" s="71">
        <v>5</v>
      </c>
      <c r="E3630" s="102">
        <v>192500</v>
      </c>
      <c r="F3630" s="102">
        <f t="shared" si="1819"/>
        <v>1058750</v>
      </c>
      <c r="G3630" s="102">
        <f t="shared" si="1820"/>
        <v>962500</v>
      </c>
      <c r="H3630" s="690" t="s">
        <v>173</v>
      </c>
      <c r="I3630" s="71" t="s">
        <v>120</v>
      </c>
      <c r="J3630" s="53">
        <f t="shared" si="1833"/>
        <v>400000</v>
      </c>
      <c r="K3630" s="63">
        <f t="shared" ref="K3630:K3635" si="1834">(J3630/(F3630/11*10))</f>
        <v>0.41558441558441561</v>
      </c>
      <c r="L3630" s="871" t="s">
        <v>2634</v>
      </c>
      <c r="M3630" s="468"/>
      <c r="N3630" s="1192">
        <f t="shared" si="1809"/>
        <v>44186</v>
      </c>
      <c r="O3630" s="71" t="s">
        <v>150</v>
      </c>
      <c r="P3630" s="164" t="str">
        <f>(C3630)</f>
        <v>Fount Web 551AF</v>
      </c>
      <c r="Q3630" s="71">
        <f t="shared" si="1811"/>
        <v>5</v>
      </c>
      <c r="R3630" s="102">
        <v>112500</v>
      </c>
      <c r="S3630" s="102">
        <f t="shared" si="1828"/>
        <v>618750</v>
      </c>
      <c r="T3630" s="102">
        <f t="shared" si="1829"/>
        <v>562500</v>
      </c>
      <c r="U3630" s="71" t="str">
        <f t="shared" si="1832"/>
        <v>X</v>
      </c>
      <c r="V3630" s="71"/>
      <c r="W3630" s="474">
        <v>640000</v>
      </c>
      <c r="X3630" s="71"/>
      <c r="Y3630" s="71"/>
    </row>
    <row r="3631" spans="1:25" ht="30" hidden="1" customHeight="1" x14ac:dyDescent="0.25">
      <c r="A3631" s="1145">
        <v>44186</v>
      </c>
      <c r="B3631" s="664" t="s">
        <v>2155</v>
      </c>
      <c r="C3631" s="71" t="s">
        <v>277</v>
      </c>
      <c r="D3631" s="71">
        <v>5</v>
      </c>
      <c r="E3631" s="102">
        <v>172000</v>
      </c>
      <c r="F3631" s="102">
        <f t="shared" si="1819"/>
        <v>946000.00000000012</v>
      </c>
      <c r="G3631" s="102">
        <f t="shared" si="1820"/>
        <v>860000</v>
      </c>
      <c r="H3631" s="690" t="s">
        <v>173</v>
      </c>
      <c r="I3631" s="71" t="s">
        <v>108</v>
      </c>
      <c r="J3631" s="53">
        <f t="shared" si="1833"/>
        <v>285000</v>
      </c>
      <c r="K3631" s="63">
        <f t="shared" si="1834"/>
        <v>0.33139534883720928</v>
      </c>
      <c r="L3631" s="871" t="s">
        <v>2634</v>
      </c>
      <c r="M3631" s="468"/>
      <c r="N3631" s="1192">
        <f t="shared" si="1809"/>
        <v>44186</v>
      </c>
      <c r="O3631" s="71" t="s">
        <v>150</v>
      </c>
      <c r="P3631" s="164" t="str">
        <f>(C3631)</f>
        <v>윤전용 세척제(Web 504)</v>
      </c>
      <c r="Q3631" s="71">
        <f t="shared" si="1811"/>
        <v>5</v>
      </c>
      <c r="R3631" s="102">
        <v>115000</v>
      </c>
      <c r="S3631" s="102">
        <f t="shared" ref="S3631:S3662" si="1835">R3631*Q3631*1.1</f>
        <v>632500</v>
      </c>
      <c r="T3631" s="102">
        <f t="shared" ref="T3631:T3662" si="1836">R3631*Q3631</f>
        <v>575000</v>
      </c>
      <c r="U3631" s="71" t="str">
        <f t="shared" si="1832"/>
        <v>O</v>
      </c>
      <c r="V3631" s="71"/>
      <c r="W3631" s="474">
        <v>285000</v>
      </c>
      <c r="X3631" s="71"/>
      <c r="Y3631" s="71"/>
    </row>
    <row r="3632" spans="1:25" s="209" customFormat="1" ht="30" hidden="1" customHeight="1" x14ac:dyDescent="0.25">
      <c r="A3632" s="1145">
        <v>44186</v>
      </c>
      <c r="B3632" s="664" t="s">
        <v>2155</v>
      </c>
      <c r="C3632" s="71" t="s">
        <v>138</v>
      </c>
      <c r="D3632" s="71">
        <v>10</v>
      </c>
      <c r="E3632" s="102">
        <v>47600</v>
      </c>
      <c r="F3632" s="102">
        <f t="shared" si="1819"/>
        <v>523600.00000000006</v>
      </c>
      <c r="G3632" s="102">
        <f t="shared" si="1820"/>
        <v>476000</v>
      </c>
      <c r="H3632" s="1129" t="s">
        <v>172</v>
      </c>
      <c r="I3632" s="71" t="s">
        <v>108</v>
      </c>
      <c r="J3632" s="53">
        <f t="shared" si="1833"/>
        <v>68000</v>
      </c>
      <c r="K3632" s="63">
        <f t="shared" si="1834"/>
        <v>0.14285714285714285</v>
      </c>
      <c r="L3632" s="871" t="s">
        <v>2634</v>
      </c>
      <c r="M3632" s="468" t="s">
        <v>2214</v>
      </c>
      <c r="N3632" s="1192">
        <f t="shared" si="1809"/>
        <v>44186</v>
      </c>
      <c r="O3632" s="71" t="s">
        <v>150</v>
      </c>
      <c r="P3632" s="164" t="str">
        <f>(C3632)</f>
        <v>매엽용 세척제(Wash 562)</v>
      </c>
      <c r="Q3632" s="71">
        <f t="shared" si="1811"/>
        <v>10</v>
      </c>
      <c r="R3632" s="102">
        <v>40800</v>
      </c>
      <c r="S3632" s="102">
        <f t="shared" si="1835"/>
        <v>448800.00000000006</v>
      </c>
      <c r="T3632" s="102">
        <f t="shared" si="1836"/>
        <v>408000</v>
      </c>
      <c r="U3632" s="71" t="str">
        <f t="shared" si="1832"/>
        <v>X</v>
      </c>
      <c r="V3632" s="71"/>
      <c r="W3632" s="474">
        <v>85000</v>
      </c>
      <c r="X3632" s="71"/>
      <c r="Y3632" s="71"/>
    </row>
    <row r="3633" spans="1:25" s="209" customFormat="1" ht="30" hidden="1" customHeight="1" x14ac:dyDescent="0.2">
      <c r="A3633" s="1145">
        <v>44186</v>
      </c>
      <c r="B3633" s="664" t="s">
        <v>2155</v>
      </c>
      <c r="C3633" s="71" t="s">
        <v>231</v>
      </c>
      <c r="D3633" s="71">
        <v>10</v>
      </c>
      <c r="E3633" s="102">
        <v>120000</v>
      </c>
      <c r="F3633" s="102">
        <f t="shared" si="1819"/>
        <v>1320000</v>
      </c>
      <c r="G3633" s="102">
        <f t="shared" si="1820"/>
        <v>1200000</v>
      </c>
      <c r="H3633" s="165" t="s">
        <v>172</v>
      </c>
      <c r="I3633" s="71" t="s">
        <v>109</v>
      </c>
      <c r="J3633" s="53">
        <f t="shared" si="1833"/>
        <v>80000</v>
      </c>
      <c r="K3633" s="63">
        <f t="shared" si="1834"/>
        <v>6.6666666666666666E-2</v>
      </c>
      <c r="L3633" s="871" t="s">
        <v>2634</v>
      </c>
      <c r="M3633" s="468"/>
      <c r="N3633" s="1192">
        <f t="shared" si="1809"/>
        <v>44186</v>
      </c>
      <c r="O3633" s="71" t="s">
        <v>151</v>
      </c>
      <c r="P3633" s="164" t="str">
        <f>(C3633)</f>
        <v>Blanket(990*725)</v>
      </c>
      <c r="Q3633" s="71">
        <f t="shared" si="1811"/>
        <v>10</v>
      </c>
      <c r="R3633" s="102">
        <v>112000</v>
      </c>
      <c r="S3633" s="102">
        <f t="shared" si="1835"/>
        <v>1232000</v>
      </c>
      <c r="T3633" s="102">
        <f t="shared" si="1836"/>
        <v>1120000</v>
      </c>
      <c r="U3633" s="71" t="str">
        <f t="shared" si="1832"/>
        <v>O</v>
      </c>
      <c r="V3633" s="71"/>
      <c r="W3633" s="474">
        <v>80000</v>
      </c>
      <c r="X3633" s="71"/>
      <c r="Y3633" s="71"/>
    </row>
    <row r="3634" spans="1:25" ht="30" hidden="1" customHeight="1" x14ac:dyDescent="0.25">
      <c r="A3634" s="1145">
        <v>44186</v>
      </c>
      <c r="B3634" s="664" t="s">
        <v>446</v>
      </c>
      <c r="C3634" s="71" t="s">
        <v>2028</v>
      </c>
      <c r="D3634" s="71">
        <v>20</v>
      </c>
      <c r="E3634" s="102">
        <v>105000</v>
      </c>
      <c r="F3634" s="102">
        <f t="shared" si="1819"/>
        <v>2310000</v>
      </c>
      <c r="G3634" s="102">
        <f t="shared" si="1820"/>
        <v>2100000</v>
      </c>
      <c r="H3634" s="690" t="s">
        <v>2029</v>
      </c>
      <c r="I3634" s="71" t="s">
        <v>2231</v>
      </c>
      <c r="J3634" s="53">
        <f t="shared" si="1833"/>
        <v>380000</v>
      </c>
      <c r="K3634" s="63">
        <f t="shared" si="1834"/>
        <v>0.18095238095238095</v>
      </c>
      <c r="L3634" s="871" t="s">
        <v>2634</v>
      </c>
      <c r="M3634" s="468" t="s">
        <v>3068</v>
      </c>
      <c r="N3634" s="1192">
        <f t="shared" si="1809"/>
        <v>44186</v>
      </c>
      <c r="O3634" s="71" t="s">
        <v>2030</v>
      </c>
      <c r="P3634" s="164" t="str">
        <f t="shared" si="1810"/>
        <v>실리콘 에멀전</v>
      </c>
      <c r="Q3634" s="71">
        <f t="shared" si="1811"/>
        <v>20</v>
      </c>
      <c r="R3634" s="102">
        <v>86000</v>
      </c>
      <c r="S3634" s="102">
        <f t="shared" si="1835"/>
        <v>1892000.0000000002</v>
      </c>
      <c r="T3634" s="102">
        <f t="shared" si="1836"/>
        <v>1720000</v>
      </c>
      <c r="U3634" s="71" t="str">
        <f t="shared" si="1832"/>
        <v>O</v>
      </c>
      <c r="V3634" s="71">
        <f>7000*Q3634</f>
        <v>140000</v>
      </c>
      <c r="W3634" s="474">
        <f>(G3634-T3634)</f>
        <v>380000</v>
      </c>
      <c r="X3634" s="71"/>
      <c r="Y3634" s="71"/>
    </row>
    <row r="3635" spans="1:25" ht="30" hidden="1" customHeight="1" x14ac:dyDescent="0.25">
      <c r="A3635" s="1145">
        <v>44186</v>
      </c>
      <c r="B3635" s="664" t="s">
        <v>2635</v>
      </c>
      <c r="C3635" s="71" t="s">
        <v>2636</v>
      </c>
      <c r="D3635" s="71">
        <v>50</v>
      </c>
      <c r="E3635" s="102">
        <v>1900</v>
      </c>
      <c r="F3635" s="102">
        <f t="shared" si="1819"/>
        <v>104500.00000000001</v>
      </c>
      <c r="G3635" s="102">
        <f t="shared" si="1820"/>
        <v>95000</v>
      </c>
      <c r="H3635" s="690" t="s">
        <v>173</v>
      </c>
      <c r="I3635" s="71" t="s">
        <v>2231</v>
      </c>
      <c r="J3635" s="53">
        <f t="shared" si="1833"/>
        <v>19000</v>
      </c>
      <c r="K3635" s="63">
        <f t="shared" si="1834"/>
        <v>0.19999999999999996</v>
      </c>
      <c r="L3635" s="871" t="s">
        <v>2634</v>
      </c>
      <c r="M3635" s="468"/>
      <c r="N3635" s="1192">
        <f t="shared" si="1809"/>
        <v>44186</v>
      </c>
      <c r="O3635" s="71" t="s">
        <v>150</v>
      </c>
      <c r="P3635" s="164" t="str">
        <f t="shared" si="1810"/>
        <v>빨간색 고무사카</v>
      </c>
      <c r="Q3635" s="71">
        <f t="shared" si="1811"/>
        <v>50</v>
      </c>
      <c r="R3635" s="102">
        <f>76000/50</f>
        <v>1520</v>
      </c>
      <c r="S3635" s="102">
        <f t="shared" si="1835"/>
        <v>83600</v>
      </c>
      <c r="T3635" s="102">
        <f t="shared" si="1836"/>
        <v>76000</v>
      </c>
      <c r="U3635" s="71"/>
      <c r="V3635" s="71"/>
      <c r="W3635" s="474"/>
      <c r="X3635" s="71"/>
      <c r="Y3635" s="71"/>
    </row>
    <row r="3636" spans="1:25" ht="30" hidden="1" customHeight="1" x14ac:dyDescent="0.25">
      <c r="A3636" s="1145">
        <v>44187</v>
      </c>
      <c r="B3636" s="664" t="s">
        <v>1119</v>
      </c>
      <c r="C3636" s="71" t="s">
        <v>123</v>
      </c>
      <c r="D3636" s="71">
        <v>5</v>
      </c>
      <c r="E3636" s="102">
        <v>40000</v>
      </c>
      <c r="F3636" s="102">
        <f t="shared" si="1819"/>
        <v>220000.00000000003</v>
      </c>
      <c r="G3636" s="102">
        <f t="shared" si="1820"/>
        <v>200000</v>
      </c>
      <c r="H3636" s="690" t="s">
        <v>1432</v>
      </c>
      <c r="I3636" s="71" t="s">
        <v>1432</v>
      </c>
      <c r="J3636" s="53">
        <f t="shared" si="1833"/>
        <v>80000</v>
      </c>
      <c r="K3636" s="63">
        <f>(J3636/(F3636/11*10))</f>
        <v>0.39999999999999997</v>
      </c>
      <c r="L3636" s="871" t="s">
        <v>2634</v>
      </c>
      <c r="M3636" s="468"/>
      <c r="N3636" s="1192">
        <f t="shared" si="1809"/>
        <v>44187</v>
      </c>
      <c r="O3636" s="71" t="s">
        <v>94</v>
      </c>
      <c r="P3636" s="164" t="str">
        <f t="shared" si="1810"/>
        <v>필터백</v>
      </c>
      <c r="Q3636" s="71">
        <f t="shared" si="1811"/>
        <v>5</v>
      </c>
      <c r="R3636" s="102">
        <v>24000</v>
      </c>
      <c r="S3636" s="102">
        <f t="shared" si="1835"/>
        <v>132000</v>
      </c>
      <c r="T3636" s="102">
        <f t="shared" si="1836"/>
        <v>120000</v>
      </c>
      <c r="U3636" s="71"/>
      <c r="V3636" s="71"/>
      <c r="W3636" s="474"/>
      <c r="X3636" s="71"/>
      <c r="Y3636" s="71"/>
    </row>
    <row r="3637" spans="1:25" ht="27.6" hidden="1" customHeight="1" x14ac:dyDescent="0.25">
      <c r="A3637" s="1145">
        <v>44189</v>
      </c>
      <c r="B3637" s="664" t="s">
        <v>567</v>
      </c>
      <c r="C3637" s="71" t="s">
        <v>1652</v>
      </c>
      <c r="D3637" s="71">
        <v>5</v>
      </c>
      <c r="E3637" s="102">
        <v>45000</v>
      </c>
      <c r="F3637" s="102">
        <f t="shared" si="1819"/>
        <v>247500.00000000003</v>
      </c>
      <c r="G3637" s="102">
        <f t="shared" si="1820"/>
        <v>225000</v>
      </c>
      <c r="H3637" s="690" t="s">
        <v>173</v>
      </c>
      <c r="I3637" s="71" t="s">
        <v>2231</v>
      </c>
      <c r="J3637" s="53">
        <f t="shared" si="1833"/>
        <v>25000</v>
      </c>
      <c r="K3637" s="63">
        <f t="shared" ref="K3637:K3644" si="1837">(J3637/(F3637/11*10))</f>
        <v>0.11111111111111109</v>
      </c>
      <c r="L3637" s="871" t="s">
        <v>2634</v>
      </c>
      <c r="M3637" s="468"/>
      <c r="N3637" s="1192">
        <f t="shared" si="1809"/>
        <v>44189</v>
      </c>
      <c r="O3637" s="71" t="s">
        <v>153</v>
      </c>
      <c r="P3637" s="164" t="str">
        <f>(C3637)</f>
        <v>아스테이지(CD74용)</v>
      </c>
      <c r="Q3637" s="71">
        <f t="shared" si="1811"/>
        <v>5</v>
      </c>
      <c r="R3637" s="102">
        <v>40000</v>
      </c>
      <c r="S3637" s="102">
        <f t="shared" si="1835"/>
        <v>220000.00000000003</v>
      </c>
      <c r="T3637" s="102">
        <f t="shared" si="1836"/>
        <v>200000</v>
      </c>
      <c r="U3637" s="71" t="str">
        <f t="shared" ref="U3637:U3644" si="1838">IF(J3637=W3637,"O", "X")</f>
        <v>X</v>
      </c>
      <c r="V3637" s="71"/>
      <c r="W3637" s="474"/>
      <c r="X3637" s="71"/>
      <c r="Y3637" s="71"/>
    </row>
    <row r="3638" spans="1:25" ht="30" hidden="1" customHeight="1" x14ac:dyDescent="0.2">
      <c r="A3638" s="1145">
        <v>44189</v>
      </c>
      <c r="B3638" s="664" t="s">
        <v>545</v>
      </c>
      <c r="C3638" s="71" t="s">
        <v>2728</v>
      </c>
      <c r="D3638" s="71">
        <v>4</v>
      </c>
      <c r="E3638" s="102">
        <v>610000</v>
      </c>
      <c r="F3638" s="163">
        <f t="shared" si="1819"/>
        <v>2684000</v>
      </c>
      <c r="G3638" s="102">
        <f t="shared" si="1820"/>
        <v>2440000</v>
      </c>
      <c r="H3638" s="690" t="s">
        <v>173</v>
      </c>
      <c r="I3638" s="71" t="s">
        <v>2184</v>
      </c>
      <c r="J3638" s="53">
        <f t="shared" si="1833"/>
        <v>1776000</v>
      </c>
      <c r="K3638" s="63">
        <f>(J3638/(F3638/11*10))</f>
        <v>0.72786885245901645</v>
      </c>
      <c r="L3638" s="871" t="s">
        <v>2634</v>
      </c>
      <c r="M3638" s="468" t="s">
        <v>2778</v>
      </c>
      <c r="N3638" s="1192">
        <f t="shared" si="1809"/>
        <v>44189</v>
      </c>
      <c r="O3638" s="71" t="s">
        <v>3217</v>
      </c>
      <c r="P3638" s="164" t="str">
        <f t="shared" si="1810"/>
        <v>UV 램프 - 전선타입(Primarc)</v>
      </c>
      <c r="Q3638" s="71">
        <f t="shared" si="1811"/>
        <v>4</v>
      </c>
      <c r="R3638" s="102">
        <v>166000</v>
      </c>
      <c r="S3638" s="102">
        <f t="shared" si="1835"/>
        <v>730400.00000000012</v>
      </c>
      <c r="T3638" s="102">
        <f t="shared" si="1836"/>
        <v>664000</v>
      </c>
      <c r="U3638" s="71" t="str">
        <f t="shared" si="1838"/>
        <v>X</v>
      </c>
      <c r="V3638" s="71"/>
      <c r="W3638" s="474"/>
      <c r="X3638" s="71"/>
      <c r="Y3638" s="71"/>
    </row>
    <row r="3639" spans="1:25" ht="30" hidden="1" customHeight="1" x14ac:dyDescent="0.2">
      <c r="A3639" s="1145">
        <v>44189</v>
      </c>
      <c r="B3639" s="664" t="s">
        <v>545</v>
      </c>
      <c r="C3639" s="71" t="s">
        <v>2729</v>
      </c>
      <c r="D3639" s="71">
        <v>4</v>
      </c>
      <c r="E3639" s="102">
        <v>610000</v>
      </c>
      <c r="F3639" s="163">
        <f t="shared" ref="F3639:F3647" si="1839">(E3639*D3639)*1.1</f>
        <v>2684000</v>
      </c>
      <c r="G3639" s="102">
        <f t="shared" ref="G3639:G3647" si="1840">(E3639*D3639)</f>
        <v>2440000</v>
      </c>
      <c r="H3639" s="690" t="s">
        <v>173</v>
      </c>
      <c r="I3639" s="71" t="s">
        <v>2184</v>
      </c>
      <c r="J3639" s="53">
        <f t="shared" si="1833"/>
        <v>930191.53599999985</v>
      </c>
      <c r="K3639" s="63">
        <f>(J3639/(F3639/11*10))</f>
        <v>0.38122603934426225</v>
      </c>
      <c r="L3639" s="871" t="s">
        <v>2634</v>
      </c>
      <c r="M3639" s="468" t="s">
        <v>2776</v>
      </c>
      <c r="N3639" s="1192">
        <f t="shared" si="1809"/>
        <v>44189</v>
      </c>
      <c r="O3639" s="71" t="s">
        <v>1458</v>
      </c>
      <c r="P3639" s="164" t="str">
        <f t="shared" ref="P3639:P3647" si="1841">(C3639)</f>
        <v>UV 램프 - 똑딱이타입(Honle)</v>
      </c>
      <c r="Q3639" s="71">
        <f t="shared" si="1811"/>
        <v>4</v>
      </c>
      <c r="R3639" s="102">
        <f>3494927/10*1.08</f>
        <v>377452.11600000004</v>
      </c>
      <c r="S3639" s="102">
        <f t="shared" si="1835"/>
        <v>1660789.3104000003</v>
      </c>
      <c r="T3639" s="102">
        <f t="shared" si="1836"/>
        <v>1509808.4640000002</v>
      </c>
      <c r="U3639" s="71" t="str">
        <f t="shared" si="1838"/>
        <v>X</v>
      </c>
      <c r="V3639" s="71"/>
      <c r="W3639" s="474"/>
      <c r="X3639" s="71"/>
      <c r="Y3639" s="71"/>
    </row>
    <row r="3640" spans="1:25" ht="30" hidden="1" customHeight="1" x14ac:dyDescent="0.25">
      <c r="A3640" s="1145">
        <v>44189</v>
      </c>
      <c r="B3640" s="664" t="s">
        <v>545</v>
      </c>
      <c r="C3640" s="71" t="s">
        <v>1441</v>
      </c>
      <c r="D3640" s="71">
        <v>2</v>
      </c>
      <c r="E3640" s="102">
        <v>210000</v>
      </c>
      <c r="F3640" s="102">
        <f t="shared" si="1839"/>
        <v>462000.00000000006</v>
      </c>
      <c r="G3640" s="102">
        <f t="shared" si="1840"/>
        <v>420000</v>
      </c>
      <c r="H3640" s="690" t="s">
        <v>173</v>
      </c>
      <c r="I3640" s="71" t="s">
        <v>2231</v>
      </c>
      <c r="J3640" s="53">
        <f t="shared" si="1833"/>
        <v>90000</v>
      </c>
      <c r="K3640" s="63">
        <f t="shared" si="1837"/>
        <v>0.21428571428571425</v>
      </c>
      <c r="L3640" s="871" t="s">
        <v>2634</v>
      </c>
      <c r="M3640" s="468"/>
      <c r="N3640" s="1192">
        <f t="shared" si="1809"/>
        <v>44189</v>
      </c>
      <c r="O3640" s="71" t="s">
        <v>1555</v>
      </c>
      <c r="P3640" s="164" t="str">
        <f t="shared" si="1841"/>
        <v xml:space="preserve"> OKS340 체인구리스</v>
      </c>
      <c r="Q3640" s="71">
        <f t="shared" si="1811"/>
        <v>2</v>
      </c>
      <c r="R3640" s="102">
        <v>165000</v>
      </c>
      <c r="S3640" s="102">
        <f t="shared" si="1835"/>
        <v>363000.00000000006</v>
      </c>
      <c r="T3640" s="102">
        <f t="shared" si="1836"/>
        <v>330000</v>
      </c>
      <c r="U3640" s="71" t="str">
        <f t="shared" si="1838"/>
        <v>X</v>
      </c>
      <c r="V3640" s="71"/>
      <c r="W3640" s="474"/>
      <c r="X3640" s="71"/>
      <c r="Y3640" s="71"/>
    </row>
    <row r="3641" spans="1:25" ht="30" customHeight="1" x14ac:dyDescent="0.2">
      <c r="A3641" s="1145">
        <v>44189</v>
      </c>
      <c r="B3641" s="664" t="s">
        <v>565</v>
      </c>
      <c r="C3641" s="71" t="s">
        <v>2081</v>
      </c>
      <c r="D3641" s="71">
        <v>100</v>
      </c>
      <c r="E3641" s="102">
        <v>69000</v>
      </c>
      <c r="F3641" s="102">
        <f t="shared" si="1839"/>
        <v>7590000.0000000009</v>
      </c>
      <c r="G3641" s="102">
        <f t="shared" si="1840"/>
        <v>6900000</v>
      </c>
      <c r="H3641" s="165" t="s">
        <v>173</v>
      </c>
      <c r="I3641" s="71" t="s">
        <v>108</v>
      </c>
      <c r="J3641" s="53">
        <f t="shared" si="1833"/>
        <v>1800000</v>
      </c>
      <c r="K3641" s="63">
        <f t="shared" si="1837"/>
        <v>0.26086956521739124</v>
      </c>
      <c r="L3641" s="871" t="s">
        <v>2634</v>
      </c>
      <c r="M3641" s="468"/>
      <c r="N3641" s="1192">
        <f t="shared" si="1809"/>
        <v>44189</v>
      </c>
      <c r="O3641" s="71" t="s">
        <v>599</v>
      </c>
      <c r="P3641" s="164" t="str">
        <f t="shared" si="1841"/>
        <v>GOSS 신문윤전 습식세정포</v>
      </c>
      <c r="Q3641" s="71">
        <f t="shared" si="1811"/>
        <v>100</v>
      </c>
      <c r="R3641" s="102">
        <v>51000</v>
      </c>
      <c r="S3641" s="102">
        <f t="shared" si="1835"/>
        <v>5610000</v>
      </c>
      <c r="T3641" s="102">
        <f t="shared" si="1836"/>
        <v>5100000</v>
      </c>
      <c r="U3641" s="71" t="str">
        <f t="shared" si="1838"/>
        <v>X</v>
      </c>
      <c r="V3641" s="71"/>
      <c r="W3641" s="474"/>
      <c r="X3641" s="71"/>
      <c r="Y3641" s="71"/>
    </row>
    <row r="3642" spans="1:25" ht="30" hidden="1" customHeight="1" x14ac:dyDescent="0.25">
      <c r="A3642" s="1145">
        <v>44189</v>
      </c>
      <c r="B3642" s="664" t="s">
        <v>2155</v>
      </c>
      <c r="C3642" s="760" t="s">
        <v>218</v>
      </c>
      <c r="D3642" s="71">
        <v>5</v>
      </c>
      <c r="E3642" s="102">
        <v>192500</v>
      </c>
      <c r="F3642" s="102">
        <f t="shared" si="1839"/>
        <v>1058750</v>
      </c>
      <c r="G3642" s="102">
        <f t="shared" si="1840"/>
        <v>962500</v>
      </c>
      <c r="H3642" s="690" t="s">
        <v>173</v>
      </c>
      <c r="I3642" s="71" t="s">
        <v>120</v>
      </c>
      <c r="J3642" s="53">
        <f t="shared" si="1833"/>
        <v>400000</v>
      </c>
      <c r="K3642" s="63">
        <f t="shared" si="1837"/>
        <v>0.41558441558441561</v>
      </c>
      <c r="L3642" s="871" t="s">
        <v>2634</v>
      </c>
      <c r="M3642" s="468"/>
      <c r="N3642" s="1192">
        <f t="shared" si="1809"/>
        <v>44189</v>
      </c>
      <c r="O3642" s="71" t="s">
        <v>150</v>
      </c>
      <c r="P3642" s="164" t="str">
        <f t="shared" si="1841"/>
        <v>Fount Web 551AF</v>
      </c>
      <c r="Q3642" s="71">
        <f t="shared" si="1811"/>
        <v>5</v>
      </c>
      <c r="R3642" s="102">
        <v>112500</v>
      </c>
      <c r="S3642" s="102">
        <f t="shared" si="1835"/>
        <v>618750</v>
      </c>
      <c r="T3642" s="102">
        <f t="shared" si="1836"/>
        <v>562500</v>
      </c>
      <c r="U3642" s="71" t="str">
        <f t="shared" si="1838"/>
        <v>X</v>
      </c>
      <c r="V3642" s="71"/>
      <c r="W3642" s="474">
        <v>640000</v>
      </c>
      <c r="X3642" s="71"/>
      <c r="Y3642" s="71"/>
    </row>
    <row r="3643" spans="1:25" ht="30" hidden="1" customHeight="1" x14ac:dyDescent="0.25">
      <c r="A3643" s="1145">
        <v>44189</v>
      </c>
      <c r="B3643" s="664" t="s">
        <v>2155</v>
      </c>
      <c r="C3643" s="71" t="s">
        <v>277</v>
      </c>
      <c r="D3643" s="71">
        <v>5</v>
      </c>
      <c r="E3643" s="102">
        <v>172000</v>
      </c>
      <c r="F3643" s="102">
        <f t="shared" si="1839"/>
        <v>946000.00000000012</v>
      </c>
      <c r="G3643" s="102">
        <f t="shared" si="1840"/>
        <v>860000</v>
      </c>
      <c r="H3643" s="690" t="s">
        <v>173</v>
      </c>
      <c r="I3643" s="71" t="s">
        <v>108</v>
      </c>
      <c r="J3643" s="53">
        <f t="shared" si="1833"/>
        <v>285000</v>
      </c>
      <c r="K3643" s="63">
        <f t="shared" si="1837"/>
        <v>0.33139534883720928</v>
      </c>
      <c r="L3643" s="871" t="s">
        <v>2634</v>
      </c>
      <c r="M3643" s="468"/>
      <c r="N3643" s="1192">
        <f t="shared" si="1809"/>
        <v>44189</v>
      </c>
      <c r="O3643" s="71" t="s">
        <v>150</v>
      </c>
      <c r="P3643" s="164" t="str">
        <f t="shared" si="1841"/>
        <v>윤전용 세척제(Web 504)</v>
      </c>
      <c r="Q3643" s="71">
        <f t="shared" si="1811"/>
        <v>5</v>
      </c>
      <c r="R3643" s="102">
        <v>115000</v>
      </c>
      <c r="S3643" s="102">
        <f t="shared" si="1835"/>
        <v>632500</v>
      </c>
      <c r="T3643" s="102">
        <f t="shared" si="1836"/>
        <v>575000</v>
      </c>
      <c r="U3643" s="71" t="str">
        <f t="shared" si="1838"/>
        <v>O</v>
      </c>
      <c r="V3643" s="71"/>
      <c r="W3643" s="474">
        <v>285000</v>
      </c>
      <c r="X3643" s="71"/>
      <c r="Y3643" s="71"/>
    </row>
    <row r="3644" spans="1:25" s="209" customFormat="1" ht="30" hidden="1" customHeight="1" x14ac:dyDescent="0.25">
      <c r="A3644" s="1145">
        <v>44189</v>
      </c>
      <c r="B3644" s="664" t="s">
        <v>2155</v>
      </c>
      <c r="C3644" s="71" t="s">
        <v>138</v>
      </c>
      <c r="D3644" s="71">
        <v>5</v>
      </c>
      <c r="E3644" s="102">
        <v>47600</v>
      </c>
      <c r="F3644" s="102">
        <f t="shared" si="1839"/>
        <v>261800.00000000003</v>
      </c>
      <c r="G3644" s="102">
        <f t="shared" si="1840"/>
        <v>238000</v>
      </c>
      <c r="H3644" s="1129" t="s">
        <v>172</v>
      </c>
      <c r="I3644" s="71" t="s">
        <v>108</v>
      </c>
      <c r="J3644" s="53">
        <f t="shared" si="1833"/>
        <v>34000</v>
      </c>
      <c r="K3644" s="63">
        <f t="shared" si="1837"/>
        <v>0.14285714285714285</v>
      </c>
      <c r="L3644" s="871" t="s">
        <v>2634</v>
      </c>
      <c r="M3644" s="468" t="s">
        <v>2214</v>
      </c>
      <c r="N3644" s="1192">
        <f t="shared" si="1809"/>
        <v>44189</v>
      </c>
      <c r="O3644" s="71" t="s">
        <v>150</v>
      </c>
      <c r="P3644" s="164" t="str">
        <f t="shared" si="1841"/>
        <v>매엽용 세척제(Wash 562)</v>
      </c>
      <c r="Q3644" s="71">
        <f t="shared" si="1811"/>
        <v>5</v>
      </c>
      <c r="R3644" s="102">
        <v>40800</v>
      </c>
      <c r="S3644" s="102">
        <f t="shared" si="1835"/>
        <v>224400.00000000003</v>
      </c>
      <c r="T3644" s="102">
        <f t="shared" si="1836"/>
        <v>204000</v>
      </c>
      <c r="U3644" s="71" t="str">
        <f t="shared" si="1838"/>
        <v>X</v>
      </c>
      <c r="V3644" s="71"/>
      <c r="W3644" s="474">
        <v>85000</v>
      </c>
      <c r="X3644" s="71"/>
      <c r="Y3644" s="71"/>
    </row>
    <row r="3645" spans="1:25" ht="30" hidden="1" customHeight="1" x14ac:dyDescent="0.25">
      <c r="A3645" s="1145">
        <v>44193</v>
      </c>
      <c r="B3645" s="664" t="s">
        <v>2155</v>
      </c>
      <c r="C3645" s="71" t="s">
        <v>1077</v>
      </c>
      <c r="D3645" s="71">
        <v>1</v>
      </c>
      <c r="E3645" s="102">
        <v>1650000</v>
      </c>
      <c r="F3645" s="102">
        <f t="shared" si="1839"/>
        <v>1815000.0000000002</v>
      </c>
      <c r="G3645" s="102">
        <f t="shared" si="1840"/>
        <v>1650000</v>
      </c>
      <c r="H3645" s="690" t="s">
        <v>1431</v>
      </c>
      <c r="I3645" s="71" t="s">
        <v>1431</v>
      </c>
      <c r="J3645" s="53">
        <f t="shared" si="1833"/>
        <v>700000</v>
      </c>
      <c r="K3645" s="63">
        <f>(J3645/(F3645/11*10))</f>
        <v>0.4242424242424242</v>
      </c>
      <c r="L3645" s="871" t="s">
        <v>2634</v>
      </c>
      <c r="M3645" s="468"/>
      <c r="N3645" s="1192">
        <f t="shared" si="1809"/>
        <v>44193</v>
      </c>
      <c r="O3645" s="71" t="s">
        <v>1431</v>
      </c>
      <c r="P3645" s="103" t="str">
        <f t="shared" si="1841"/>
        <v>스터드</v>
      </c>
      <c r="Q3645" s="71">
        <f t="shared" si="1811"/>
        <v>1</v>
      </c>
      <c r="R3645" s="102">
        <v>950000</v>
      </c>
      <c r="S3645" s="102">
        <f t="shared" si="1835"/>
        <v>1045000.0000000001</v>
      </c>
      <c r="T3645" s="102">
        <f t="shared" si="1836"/>
        <v>950000</v>
      </c>
      <c r="U3645" s="71"/>
      <c r="V3645" s="71"/>
      <c r="W3645" s="474"/>
      <c r="X3645" s="71"/>
      <c r="Y3645" s="71"/>
    </row>
    <row r="3646" spans="1:25" ht="30" hidden="1" customHeight="1" x14ac:dyDescent="0.25">
      <c r="A3646" s="1145">
        <v>44193</v>
      </c>
      <c r="B3646" s="664" t="s">
        <v>2155</v>
      </c>
      <c r="C3646" s="71" t="s">
        <v>2657</v>
      </c>
      <c r="D3646" s="71">
        <v>1</v>
      </c>
      <c r="E3646" s="102">
        <v>300000</v>
      </c>
      <c r="F3646" s="102">
        <f t="shared" si="1839"/>
        <v>330000</v>
      </c>
      <c r="G3646" s="102">
        <f t="shared" si="1840"/>
        <v>300000</v>
      </c>
      <c r="H3646" s="690" t="s">
        <v>1431</v>
      </c>
      <c r="I3646" s="71" t="s">
        <v>1431</v>
      </c>
      <c r="J3646" s="53">
        <f t="shared" si="1833"/>
        <v>220000</v>
      </c>
      <c r="K3646" s="63">
        <f>(J3646/(F3646/11*10))</f>
        <v>0.73333333333333328</v>
      </c>
      <c r="L3646" s="871" t="s">
        <v>2634</v>
      </c>
      <c r="M3646" s="468"/>
      <c r="N3646" s="1192">
        <f t="shared" si="1809"/>
        <v>44193</v>
      </c>
      <c r="O3646" s="71" t="s">
        <v>1431</v>
      </c>
      <c r="P3646" s="103" t="str">
        <f t="shared" si="1841"/>
        <v>나사선 박스</v>
      </c>
      <c r="Q3646" s="71">
        <f t="shared" si="1811"/>
        <v>1</v>
      </c>
      <c r="R3646" s="102">
        <v>80000</v>
      </c>
      <c r="S3646" s="102">
        <f t="shared" si="1835"/>
        <v>88000</v>
      </c>
      <c r="T3646" s="102">
        <f t="shared" si="1836"/>
        <v>80000</v>
      </c>
      <c r="U3646" s="71"/>
      <c r="V3646" s="71"/>
      <c r="W3646" s="474"/>
      <c r="X3646" s="71"/>
      <c r="Y3646" s="71"/>
    </row>
    <row r="3647" spans="1:25" ht="30" customHeight="1" x14ac:dyDescent="0.25">
      <c r="A3647" s="1145">
        <v>44194</v>
      </c>
      <c r="B3647" s="664" t="s">
        <v>2352</v>
      </c>
      <c r="C3647" s="760" t="s">
        <v>218</v>
      </c>
      <c r="D3647" s="71">
        <v>5</v>
      </c>
      <c r="E3647" s="102">
        <v>235000</v>
      </c>
      <c r="F3647" s="102">
        <f t="shared" si="1839"/>
        <v>1292500</v>
      </c>
      <c r="G3647" s="102">
        <f t="shared" si="1840"/>
        <v>1175000</v>
      </c>
      <c r="H3647" s="690" t="s">
        <v>142</v>
      </c>
      <c r="I3647" s="71" t="s">
        <v>142</v>
      </c>
      <c r="J3647" s="53">
        <f t="shared" si="1833"/>
        <v>612500</v>
      </c>
      <c r="K3647" s="63">
        <f>(J3647/(F3647/11*10))</f>
        <v>0.52127659574468088</v>
      </c>
      <c r="L3647" s="871" t="s">
        <v>2634</v>
      </c>
      <c r="M3647" s="468" t="s">
        <v>2053</v>
      </c>
      <c r="N3647" s="1192">
        <f t="shared" si="1809"/>
        <v>44194</v>
      </c>
      <c r="O3647" s="71" t="s">
        <v>150</v>
      </c>
      <c r="P3647" s="164" t="str">
        <f t="shared" si="1841"/>
        <v>Fount Web 551AF</v>
      </c>
      <c r="Q3647" s="71">
        <f t="shared" si="1811"/>
        <v>5</v>
      </c>
      <c r="R3647" s="102">
        <v>112500</v>
      </c>
      <c r="S3647" s="102">
        <f t="shared" si="1835"/>
        <v>618750</v>
      </c>
      <c r="T3647" s="102">
        <f t="shared" si="1836"/>
        <v>562500</v>
      </c>
      <c r="U3647" s="71" t="str">
        <f t="shared" ref="U3647:U3664" si="1842">IF(J3647=W3647,"O", "X")</f>
        <v>O</v>
      </c>
      <c r="V3647" s="71"/>
      <c r="W3647" s="474">
        <f t="shared" ref="W3647:W3664" si="1843">(G3647-T3647)</f>
        <v>612500</v>
      </c>
      <c r="X3647" s="71"/>
      <c r="Y3647" s="71"/>
    </row>
    <row r="3648" spans="1:25" ht="30" hidden="1" customHeight="1" x14ac:dyDescent="0.25">
      <c r="A3648" s="1145">
        <v>44195</v>
      </c>
      <c r="B3648" s="664" t="s">
        <v>1051</v>
      </c>
      <c r="C3648" s="71" t="s">
        <v>1294</v>
      </c>
      <c r="D3648" s="71">
        <v>800</v>
      </c>
      <c r="E3648" s="102">
        <v>5690</v>
      </c>
      <c r="F3648" s="102">
        <f t="shared" si="1819"/>
        <v>5007200</v>
      </c>
      <c r="G3648" s="102">
        <f t="shared" si="1820"/>
        <v>4552000</v>
      </c>
      <c r="H3648" s="690" t="s">
        <v>142</v>
      </c>
      <c r="I3648" s="71" t="s">
        <v>2273</v>
      </c>
      <c r="J3648" s="53">
        <f t="shared" si="1833"/>
        <v>1192000</v>
      </c>
      <c r="K3648" s="63">
        <f t="shared" ref="K3648:K3654" si="1844">(J3648/(F3648/11*10))</f>
        <v>0.26186291739894552</v>
      </c>
      <c r="L3648" s="871" t="s">
        <v>2634</v>
      </c>
      <c r="M3648" s="468"/>
      <c r="N3648" s="1192">
        <f t="shared" si="1809"/>
        <v>44195</v>
      </c>
      <c r="O3648" s="71" t="s">
        <v>145</v>
      </c>
      <c r="P3648" s="164" t="str">
        <f t="shared" si="1810"/>
        <v>ENGAGE 1030*790</v>
      </c>
      <c r="Q3648" s="71">
        <f t="shared" si="1811"/>
        <v>800</v>
      </c>
      <c r="R3648" s="102">
        <v>4200</v>
      </c>
      <c r="S3648" s="102">
        <f t="shared" si="1835"/>
        <v>3696000.0000000005</v>
      </c>
      <c r="T3648" s="102">
        <f t="shared" si="1836"/>
        <v>3360000</v>
      </c>
      <c r="U3648" s="71" t="str">
        <f t="shared" si="1842"/>
        <v>O</v>
      </c>
      <c r="V3648" s="71"/>
      <c r="W3648" s="474">
        <f t="shared" si="1843"/>
        <v>1192000</v>
      </c>
      <c r="X3648" s="71"/>
      <c r="Y3648" s="71"/>
    </row>
    <row r="3649" spans="1:25" ht="30" hidden="1" customHeight="1" x14ac:dyDescent="0.25">
      <c r="A3649" s="1145">
        <v>44195</v>
      </c>
      <c r="B3649" s="664" t="s">
        <v>1051</v>
      </c>
      <c r="C3649" s="71" t="s">
        <v>1384</v>
      </c>
      <c r="D3649" s="71">
        <v>3700</v>
      </c>
      <c r="E3649" s="102">
        <v>3580</v>
      </c>
      <c r="F3649" s="102">
        <f t="shared" si="1819"/>
        <v>14570600.000000002</v>
      </c>
      <c r="G3649" s="102">
        <f t="shared" si="1820"/>
        <v>13246000</v>
      </c>
      <c r="H3649" s="690" t="s">
        <v>142</v>
      </c>
      <c r="I3649" s="71" t="s">
        <v>2273</v>
      </c>
      <c r="J3649" s="53">
        <f t="shared" si="1833"/>
        <v>3431564.7044365257</v>
      </c>
      <c r="K3649" s="63">
        <f t="shared" si="1844"/>
        <v>0.25906422349664238</v>
      </c>
      <c r="L3649" s="871" t="s">
        <v>2634</v>
      </c>
      <c r="M3649" s="468"/>
      <c r="N3649" s="1192">
        <f t="shared" si="1809"/>
        <v>44195</v>
      </c>
      <c r="O3649" s="71" t="s">
        <v>145</v>
      </c>
      <c r="P3649" s="164" t="str">
        <f t="shared" si="1810"/>
        <v>ENGAGE 900X571 - 27RO</v>
      </c>
      <c r="Q3649" s="71">
        <f t="shared" si="1811"/>
        <v>3700</v>
      </c>
      <c r="R3649" s="102">
        <f>R3648/1030/790*900*571</f>
        <v>2652.5500798820203</v>
      </c>
      <c r="S3649" s="102">
        <f t="shared" si="1835"/>
        <v>10795878.825119823</v>
      </c>
      <c r="T3649" s="102">
        <f t="shared" si="1836"/>
        <v>9814435.2955634743</v>
      </c>
      <c r="U3649" s="71" t="str">
        <f t="shared" si="1842"/>
        <v>O</v>
      </c>
      <c r="V3649" s="71"/>
      <c r="W3649" s="474">
        <f t="shared" si="1843"/>
        <v>3431564.7044365257</v>
      </c>
      <c r="X3649" s="71"/>
      <c r="Y3649" s="71"/>
    </row>
    <row r="3650" spans="1:25" ht="30" hidden="1" customHeight="1" x14ac:dyDescent="0.25">
      <c r="A3650" s="1145">
        <v>44195</v>
      </c>
      <c r="B3650" s="664" t="s">
        <v>1051</v>
      </c>
      <c r="C3650" s="71" t="s">
        <v>951</v>
      </c>
      <c r="D3650" s="71">
        <v>3200</v>
      </c>
      <c r="E3650" s="102">
        <v>3410</v>
      </c>
      <c r="F3650" s="102">
        <f t="shared" si="1819"/>
        <v>12003200.000000002</v>
      </c>
      <c r="G3650" s="102">
        <f t="shared" si="1820"/>
        <v>10912000</v>
      </c>
      <c r="H3650" s="690" t="s">
        <v>142</v>
      </c>
      <c r="I3650" s="71" t="s">
        <v>2273</v>
      </c>
      <c r="J3650" s="53">
        <f t="shared" si="1833"/>
        <v>2861279.7837040676</v>
      </c>
      <c r="K3650" s="63">
        <f t="shared" si="1844"/>
        <v>0.26221405642449297</v>
      </c>
      <c r="L3650" s="871" t="s">
        <v>2634</v>
      </c>
      <c r="M3650" s="468"/>
      <c r="N3650" s="1192">
        <f t="shared" si="1809"/>
        <v>44195</v>
      </c>
      <c r="O3650" s="71" t="s">
        <v>145</v>
      </c>
      <c r="P3650" s="164" t="str">
        <f t="shared" si="1810"/>
        <v>ENGAGE 30WEB(883*552)</v>
      </c>
      <c r="Q3650" s="71">
        <f t="shared" si="1811"/>
        <v>3200</v>
      </c>
      <c r="R3650" s="102">
        <f>R3648/1030/790*883*552</f>
        <v>2515.8500675924788</v>
      </c>
      <c r="S3650" s="102">
        <f t="shared" si="1835"/>
        <v>8855792.2379255258</v>
      </c>
      <c r="T3650" s="102">
        <f t="shared" si="1836"/>
        <v>8050720.2162959324</v>
      </c>
      <c r="U3650" s="71" t="str">
        <f t="shared" si="1842"/>
        <v>O</v>
      </c>
      <c r="V3650" s="71"/>
      <c r="W3650" s="474">
        <f t="shared" si="1843"/>
        <v>2861279.7837040676</v>
      </c>
      <c r="X3650" s="71"/>
      <c r="Y3650" s="71"/>
    </row>
    <row r="3651" spans="1:25" ht="30" hidden="1" customHeight="1" x14ac:dyDescent="0.25">
      <c r="A3651" s="1145">
        <v>44195</v>
      </c>
      <c r="B3651" s="664" t="s">
        <v>1051</v>
      </c>
      <c r="C3651" s="71" t="s">
        <v>2219</v>
      </c>
      <c r="D3651" s="71">
        <v>400</v>
      </c>
      <c r="E3651" s="102">
        <v>5760</v>
      </c>
      <c r="F3651" s="102">
        <f t="shared" si="1819"/>
        <v>2534400</v>
      </c>
      <c r="G3651" s="102">
        <f t="shared" si="1820"/>
        <v>2304000</v>
      </c>
      <c r="H3651" s="690" t="s">
        <v>142</v>
      </c>
      <c r="I3651" s="71" t="s">
        <v>2273</v>
      </c>
      <c r="J3651" s="53">
        <f t="shared" si="1833"/>
        <v>602734.17721518991</v>
      </c>
      <c r="K3651" s="63">
        <f t="shared" si="1844"/>
        <v>0.26160337552742619</v>
      </c>
      <c r="L3651" s="871" t="s">
        <v>2634</v>
      </c>
      <c r="M3651" s="468"/>
      <c r="N3651" s="1192">
        <f t="shared" si="1809"/>
        <v>44195</v>
      </c>
      <c r="O3651" s="71" t="s">
        <v>145</v>
      </c>
      <c r="P3651" s="164" t="str">
        <f t="shared" si="1810"/>
        <v>ENGAGE 1030*800</v>
      </c>
      <c r="Q3651" s="71">
        <f t="shared" si="1811"/>
        <v>400</v>
      </c>
      <c r="R3651" s="102">
        <f>R3648/1030/790*1030*800</f>
        <v>4253.164556962025</v>
      </c>
      <c r="S3651" s="102">
        <f t="shared" si="1835"/>
        <v>1871392.4050632913</v>
      </c>
      <c r="T3651" s="102">
        <f t="shared" si="1836"/>
        <v>1701265.8227848101</v>
      </c>
      <c r="U3651" s="71" t="str">
        <f t="shared" si="1842"/>
        <v>O</v>
      </c>
      <c r="V3651" s="71"/>
      <c r="W3651" s="474">
        <f t="shared" si="1843"/>
        <v>602734.17721518991</v>
      </c>
      <c r="X3651" s="71"/>
      <c r="Y3651" s="71"/>
    </row>
    <row r="3652" spans="1:25" ht="30" hidden="1" customHeight="1" x14ac:dyDescent="0.25">
      <c r="A3652" s="1145">
        <v>44195</v>
      </c>
      <c r="B3652" s="664" t="s">
        <v>1051</v>
      </c>
      <c r="C3652" s="71" t="s">
        <v>1383</v>
      </c>
      <c r="D3652" s="71">
        <v>3700</v>
      </c>
      <c r="E3652" s="102">
        <v>5970</v>
      </c>
      <c r="F3652" s="102">
        <f t="shared" si="1819"/>
        <v>24297900.000000004</v>
      </c>
      <c r="G3652" s="102">
        <f t="shared" si="1820"/>
        <v>22089000</v>
      </c>
      <c r="H3652" s="690" t="s">
        <v>142</v>
      </c>
      <c r="I3652" s="71" t="s">
        <v>2273</v>
      </c>
      <c r="J3652" s="53">
        <f t="shared" si="1833"/>
        <v>5748700.5038712062</v>
      </c>
      <c r="K3652" s="63">
        <f t="shared" si="1844"/>
        <v>0.2602517318063835</v>
      </c>
      <c r="L3652" s="871" t="s">
        <v>2634</v>
      </c>
      <c r="M3652" s="468"/>
      <c r="N3652" s="1192">
        <f t="shared" si="1809"/>
        <v>44195</v>
      </c>
      <c r="O3652" s="71" t="s">
        <v>145</v>
      </c>
      <c r="P3652" s="164" t="str">
        <f t="shared" ref="P3652:P3668" si="1845">(C3652)</f>
        <v>ENGAGE 1055*811</v>
      </c>
      <c r="Q3652" s="71">
        <f t="shared" si="1811"/>
        <v>3700</v>
      </c>
      <c r="R3652" s="102">
        <f>R3648/1030/790*1055*811</f>
        <v>4416.29716111589</v>
      </c>
      <c r="S3652" s="102">
        <f t="shared" si="1835"/>
        <v>17974329.445741676</v>
      </c>
      <c r="T3652" s="102">
        <f t="shared" si="1836"/>
        <v>16340299.496128794</v>
      </c>
      <c r="U3652" s="71" t="str">
        <f t="shared" si="1842"/>
        <v>O</v>
      </c>
      <c r="V3652" s="71"/>
      <c r="W3652" s="474">
        <f t="shared" si="1843"/>
        <v>5748700.5038712062</v>
      </c>
      <c r="X3652" s="71"/>
      <c r="Y3652" s="71"/>
    </row>
    <row r="3653" spans="1:25" ht="30" hidden="1" customHeight="1" x14ac:dyDescent="0.25">
      <c r="A3653" s="1145">
        <v>44195</v>
      </c>
      <c r="B3653" s="664" t="s">
        <v>1051</v>
      </c>
      <c r="C3653" s="71" t="s">
        <v>1650</v>
      </c>
      <c r="D3653" s="71">
        <v>1900</v>
      </c>
      <c r="E3653" s="102">
        <v>4270</v>
      </c>
      <c r="F3653" s="102">
        <f t="shared" ref="F3653:F3664" si="1846">(E3653*D3653)*1.1</f>
        <v>8924300</v>
      </c>
      <c r="G3653" s="102">
        <f t="shared" ref="G3653:G3664" si="1847">(E3653*D3653)</f>
        <v>8113000</v>
      </c>
      <c r="H3653" s="690" t="s">
        <v>142</v>
      </c>
      <c r="I3653" s="71" t="s">
        <v>2273</v>
      </c>
      <c r="J3653" s="53">
        <f t="shared" si="1833"/>
        <v>2122772.8401130643</v>
      </c>
      <c r="K3653" s="63">
        <f t="shared" si="1844"/>
        <v>0.26165078763873589</v>
      </c>
      <c r="L3653" s="871" t="s">
        <v>2634</v>
      </c>
      <c r="M3653" s="468"/>
      <c r="N3653" s="1192">
        <f t="shared" si="1809"/>
        <v>44195</v>
      </c>
      <c r="O3653" s="71" t="s">
        <v>145</v>
      </c>
      <c r="P3653" s="164" t="str">
        <f t="shared" si="1845"/>
        <v>ENGAGE 968*631</v>
      </c>
      <c r="Q3653" s="71">
        <f t="shared" si="1811"/>
        <v>1900</v>
      </c>
      <c r="R3653" s="102">
        <f>R3648/1030/790*968*631</f>
        <v>3152.7511367825978</v>
      </c>
      <c r="S3653" s="102">
        <f t="shared" si="1835"/>
        <v>6589249.8758756295</v>
      </c>
      <c r="T3653" s="102">
        <f t="shared" si="1836"/>
        <v>5990227.1598869357</v>
      </c>
      <c r="U3653" s="71" t="str">
        <f t="shared" si="1842"/>
        <v>O</v>
      </c>
      <c r="V3653" s="71"/>
      <c r="W3653" s="474">
        <f t="shared" si="1843"/>
        <v>2122772.8401130643</v>
      </c>
      <c r="X3653" s="71"/>
      <c r="Y3653" s="71"/>
    </row>
    <row r="3654" spans="1:25" ht="30" hidden="1" customHeight="1" x14ac:dyDescent="0.25">
      <c r="A3654" s="1145">
        <v>44195</v>
      </c>
      <c r="B3654" s="664" t="s">
        <v>1051</v>
      </c>
      <c r="C3654" s="71" t="s">
        <v>2619</v>
      </c>
      <c r="D3654" s="71"/>
      <c r="E3654" s="102">
        <v>6230</v>
      </c>
      <c r="F3654" s="102">
        <f t="shared" si="1846"/>
        <v>0</v>
      </c>
      <c r="G3654" s="102">
        <f t="shared" si="1847"/>
        <v>0</v>
      </c>
      <c r="H3654" s="690" t="s">
        <v>142</v>
      </c>
      <c r="I3654" s="71" t="s">
        <v>2273</v>
      </c>
      <c r="J3654" s="53">
        <f t="shared" si="1833"/>
        <v>0</v>
      </c>
      <c r="K3654" s="63" t="e">
        <f t="shared" si="1844"/>
        <v>#DIV/0!</v>
      </c>
      <c r="L3654" s="871" t="s">
        <v>2634</v>
      </c>
      <c r="M3654" s="468"/>
      <c r="N3654" s="1192">
        <f t="shared" si="1809"/>
        <v>44195</v>
      </c>
      <c r="O3654" s="71" t="s">
        <v>145</v>
      </c>
      <c r="P3654" s="164" t="str">
        <f t="shared" si="1845"/>
        <v>ENGAGE 1092*800</v>
      </c>
      <c r="Q3654" s="71">
        <f t="shared" si="1811"/>
        <v>0</v>
      </c>
      <c r="R3654" s="102">
        <v>5510</v>
      </c>
      <c r="S3654" s="102">
        <f t="shared" si="1835"/>
        <v>0</v>
      </c>
      <c r="T3654" s="102">
        <f t="shared" si="1836"/>
        <v>0</v>
      </c>
      <c r="U3654" s="71" t="str">
        <f t="shared" si="1842"/>
        <v>O</v>
      </c>
      <c r="V3654" s="71"/>
      <c r="W3654" s="474">
        <f t="shared" si="1843"/>
        <v>0</v>
      </c>
      <c r="X3654" s="71"/>
      <c r="Y3654" s="71"/>
    </row>
    <row r="3655" spans="1:25" ht="30" hidden="1" customHeight="1" x14ac:dyDescent="0.25">
      <c r="A3655" s="1145">
        <v>44195</v>
      </c>
      <c r="B3655" s="664" t="s">
        <v>1051</v>
      </c>
      <c r="C3655" s="67" t="s">
        <v>1386</v>
      </c>
      <c r="D3655" s="71">
        <v>65</v>
      </c>
      <c r="E3655" s="102">
        <v>52500</v>
      </c>
      <c r="F3655" s="102">
        <f t="shared" si="1846"/>
        <v>3753750.0000000005</v>
      </c>
      <c r="G3655" s="102">
        <f t="shared" si="1847"/>
        <v>3412500</v>
      </c>
      <c r="H3655" s="690" t="s">
        <v>142</v>
      </c>
      <c r="I3655" s="71" t="s">
        <v>2273</v>
      </c>
      <c r="J3655" s="53">
        <f t="shared" si="1833"/>
        <v>1137500</v>
      </c>
      <c r="K3655" s="63">
        <f t="shared" ref="K3655:K3664" si="1848">(J3655/(F3655/11*10))</f>
        <v>0.33333333333333331</v>
      </c>
      <c r="L3655" s="871" t="s">
        <v>2634</v>
      </c>
      <c r="M3655" s="468"/>
      <c r="N3655" s="1192">
        <f t="shared" ref="N3655:N3668" si="1849">A3655</f>
        <v>44195</v>
      </c>
      <c r="O3655" s="71" t="s">
        <v>145</v>
      </c>
      <c r="P3655" s="164" t="str">
        <f t="shared" si="1845"/>
        <v>THR200(20L)보충액</v>
      </c>
      <c r="Q3655" s="71">
        <f t="shared" ref="Q3655:Q3668" si="1850">D3655</f>
        <v>65</v>
      </c>
      <c r="R3655" s="102">
        <v>35000</v>
      </c>
      <c r="S3655" s="102">
        <f t="shared" si="1835"/>
        <v>2502500</v>
      </c>
      <c r="T3655" s="102">
        <f t="shared" si="1836"/>
        <v>2275000</v>
      </c>
      <c r="U3655" s="71" t="str">
        <f t="shared" si="1842"/>
        <v>O</v>
      </c>
      <c r="V3655" s="71"/>
      <c r="W3655" s="474">
        <f t="shared" si="1843"/>
        <v>1137500</v>
      </c>
      <c r="X3655" s="71"/>
      <c r="Y3655" s="71"/>
    </row>
    <row r="3656" spans="1:25" ht="30" hidden="1" customHeight="1" x14ac:dyDescent="0.25">
      <c r="A3656" s="1145">
        <v>44195</v>
      </c>
      <c r="B3656" s="664" t="s">
        <v>1051</v>
      </c>
      <c r="C3656" s="71" t="s">
        <v>1387</v>
      </c>
      <c r="D3656" s="71">
        <v>15</v>
      </c>
      <c r="E3656" s="102">
        <v>52500</v>
      </c>
      <c r="F3656" s="102">
        <f t="shared" si="1846"/>
        <v>866250.00000000012</v>
      </c>
      <c r="G3656" s="102">
        <f t="shared" si="1847"/>
        <v>787500</v>
      </c>
      <c r="H3656" s="690" t="s">
        <v>142</v>
      </c>
      <c r="I3656" s="71" t="s">
        <v>2273</v>
      </c>
      <c r="J3656" s="53">
        <f t="shared" si="1833"/>
        <v>262500</v>
      </c>
      <c r="K3656" s="63">
        <f t="shared" si="1848"/>
        <v>0.33333333333333326</v>
      </c>
      <c r="L3656" s="871" t="s">
        <v>2634</v>
      </c>
      <c r="M3656" s="468"/>
      <c r="N3656" s="1192">
        <f t="shared" si="1849"/>
        <v>44195</v>
      </c>
      <c r="O3656" s="71" t="s">
        <v>145</v>
      </c>
      <c r="P3656" s="164" t="str">
        <f t="shared" si="1845"/>
        <v>THD200(20L)현상액</v>
      </c>
      <c r="Q3656" s="71">
        <f t="shared" si="1850"/>
        <v>15</v>
      </c>
      <c r="R3656" s="102">
        <v>35000</v>
      </c>
      <c r="S3656" s="102">
        <f t="shared" si="1835"/>
        <v>577500</v>
      </c>
      <c r="T3656" s="102">
        <f t="shared" si="1836"/>
        <v>525000</v>
      </c>
      <c r="U3656" s="71" t="str">
        <f t="shared" si="1842"/>
        <v>O</v>
      </c>
      <c r="V3656" s="71"/>
      <c r="W3656" s="474">
        <f t="shared" si="1843"/>
        <v>262500</v>
      </c>
      <c r="X3656" s="71"/>
      <c r="Y3656" s="71"/>
    </row>
    <row r="3657" spans="1:25" ht="30" hidden="1" customHeight="1" x14ac:dyDescent="0.25">
      <c r="A3657" s="1145">
        <v>44195</v>
      </c>
      <c r="B3657" s="664" t="s">
        <v>1061</v>
      </c>
      <c r="C3657" s="71" t="s">
        <v>616</v>
      </c>
      <c r="D3657" s="71">
        <v>200</v>
      </c>
      <c r="E3657" s="102">
        <v>5600</v>
      </c>
      <c r="F3657" s="102">
        <f t="shared" si="1846"/>
        <v>1232000</v>
      </c>
      <c r="G3657" s="102">
        <f t="shared" si="1847"/>
        <v>1120000</v>
      </c>
      <c r="H3657" s="690" t="s">
        <v>142</v>
      </c>
      <c r="I3657" s="71" t="s">
        <v>144</v>
      </c>
      <c r="J3657" s="53">
        <f t="shared" si="1833"/>
        <v>102000</v>
      </c>
      <c r="K3657" s="63">
        <f t="shared" si="1848"/>
        <v>9.1071428571428567E-2</v>
      </c>
      <c r="L3657" s="871" t="s">
        <v>2634</v>
      </c>
      <c r="M3657" s="468"/>
      <c r="N3657" s="1192">
        <f t="shared" si="1849"/>
        <v>44195</v>
      </c>
      <c r="O3657" s="71" t="s">
        <v>147</v>
      </c>
      <c r="P3657" s="164" t="str">
        <f t="shared" si="1845"/>
        <v>프리미어(먹)</v>
      </c>
      <c r="Q3657" s="71">
        <f t="shared" si="1850"/>
        <v>200</v>
      </c>
      <c r="R3657" s="102">
        <v>5090</v>
      </c>
      <c r="S3657" s="102">
        <f t="shared" si="1835"/>
        <v>1119800</v>
      </c>
      <c r="T3657" s="102">
        <f t="shared" si="1836"/>
        <v>1018000</v>
      </c>
      <c r="U3657" s="71" t="str">
        <f t="shared" si="1842"/>
        <v>O</v>
      </c>
      <c r="V3657" s="71"/>
      <c r="W3657" s="474">
        <f t="shared" si="1843"/>
        <v>102000</v>
      </c>
      <c r="X3657" s="71"/>
      <c r="Y3657" s="71"/>
    </row>
    <row r="3658" spans="1:25" ht="30" hidden="1" customHeight="1" x14ac:dyDescent="0.25">
      <c r="A3658" s="1145">
        <v>44195</v>
      </c>
      <c r="B3658" s="664" t="s">
        <v>1052</v>
      </c>
      <c r="C3658" s="71" t="s">
        <v>585</v>
      </c>
      <c r="D3658" s="71">
        <v>400</v>
      </c>
      <c r="E3658" s="102">
        <v>6000</v>
      </c>
      <c r="F3658" s="102">
        <f t="shared" si="1846"/>
        <v>2640000</v>
      </c>
      <c r="G3658" s="102">
        <f t="shared" si="1847"/>
        <v>2400000</v>
      </c>
      <c r="H3658" s="690" t="s">
        <v>142</v>
      </c>
      <c r="I3658" s="71" t="s">
        <v>144</v>
      </c>
      <c r="J3658" s="53">
        <f t="shared" si="1833"/>
        <v>220000</v>
      </c>
      <c r="K3658" s="63">
        <f t="shared" si="1848"/>
        <v>9.166666666666666E-2</v>
      </c>
      <c r="L3658" s="871" t="s">
        <v>2634</v>
      </c>
      <c r="M3658" s="468"/>
      <c r="N3658" s="1192">
        <f t="shared" si="1849"/>
        <v>44195</v>
      </c>
      <c r="O3658" s="71" t="s">
        <v>147</v>
      </c>
      <c r="P3658" s="164" t="str">
        <f t="shared" si="1845"/>
        <v>프리미어(적)</v>
      </c>
      <c r="Q3658" s="71">
        <f t="shared" si="1850"/>
        <v>400</v>
      </c>
      <c r="R3658" s="102">
        <v>5450</v>
      </c>
      <c r="S3658" s="102">
        <f t="shared" si="1835"/>
        <v>2398000</v>
      </c>
      <c r="T3658" s="102">
        <f t="shared" si="1836"/>
        <v>2180000</v>
      </c>
      <c r="U3658" s="71" t="str">
        <f t="shared" si="1842"/>
        <v>O</v>
      </c>
      <c r="V3658" s="71"/>
      <c r="W3658" s="474">
        <f t="shared" si="1843"/>
        <v>220000</v>
      </c>
      <c r="X3658" s="71"/>
      <c r="Y3658" s="71"/>
    </row>
    <row r="3659" spans="1:25" ht="30" hidden="1" customHeight="1" x14ac:dyDescent="0.25">
      <c r="A3659" s="1145">
        <v>44195</v>
      </c>
      <c r="B3659" s="664" t="s">
        <v>1061</v>
      </c>
      <c r="C3659" s="71" t="s">
        <v>586</v>
      </c>
      <c r="D3659" s="71">
        <v>1000</v>
      </c>
      <c r="E3659" s="102">
        <v>5750</v>
      </c>
      <c r="F3659" s="102">
        <f t="shared" si="1846"/>
        <v>6325000.0000000009</v>
      </c>
      <c r="G3659" s="102">
        <f t="shared" si="1847"/>
        <v>5750000</v>
      </c>
      <c r="H3659" s="690" t="s">
        <v>142</v>
      </c>
      <c r="I3659" s="71" t="s">
        <v>144</v>
      </c>
      <c r="J3659" s="53">
        <f t="shared" si="1833"/>
        <v>530000</v>
      </c>
      <c r="K3659" s="63">
        <f t="shared" si="1848"/>
        <v>9.2173913043478245E-2</v>
      </c>
      <c r="L3659" s="871" t="s">
        <v>2634</v>
      </c>
      <c r="M3659" s="468"/>
      <c r="N3659" s="1192">
        <f t="shared" si="1849"/>
        <v>44195</v>
      </c>
      <c r="O3659" s="71" t="s">
        <v>147</v>
      </c>
      <c r="P3659" s="164" t="str">
        <f t="shared" si="1845"/>
        <v>프리미어(황)</v>
      </c>
      <c r="Q3659" s="71">
        <f t="shared" si="1850"/>
        <v>1000</v>
      </c>
      <c r="R3659" s="102">
        <v>5220</v>
      </c>
      <c r="S3659" s="102">
        <f t="shared" si="1835"/>
        <v>5742000</v>
      </c>
      <c r="T3659" s="102">
        <f t="shared" si="1836"/>
        <v>5220000</v>
      </c>
      <c r="U3659" s="71" t="str">
        <f t="shared" si="1842"/>
        <v>O</v>
      </c>
      <c r="V3659" s="71"/>
      <c r="W3659" s="474">
        <f t="shared" si="1843"/>
        <v>530000</v>
      </c>
      <c r="X3659" s="71"/>
      <c r="Y3659" s="71"/>
    </row>
    <row r="3660" spans="1:25" ht="30" hidden="1" customHeight="1" x14ac:dyDescent="0.25">
      <c r="A3660" s="1145">
        <v>44195</v>
      </c>
      <c r="B3660" s="664" t="s">
        <v>1061</v>
      </c>
      <c r="C3660" s="71" t="s">
        <v>587</v>
      </c>
      <c r="D3660" s="71">
        <v>600</v>
      </c>
      <c r="E3660" s="102">
        <v>7000</v>
      </c>
      <c r="F3660" s="102">
        <f t="shared" si="1846"/>
        <v>4620000</v>
      </c>
      <c r="G3660" s="102">
        <f t="shared" si="1847"/>
        <v>4200000</v>
      </c>
      <c r="H3660" s="690" t="s">
        <v>142</v>
      </c>
      <c r="I3660" s="71" t="s">
        <v>144</v>
      </c>
      <c r="J3660" s="53">
        <f t="shared" si="1833"/>
        <v>384000</v>
      </c>
      <c r="K3660" s="63">
        <f t="shared" si="1848"/>
        <v>9.1428571428571428E-2</v>
      </c>
      <c r="L3660" s="871" t="s">
        <v>2634</v>
      </c>
      <c r="M3660" s="468"/>
      <c r="N3660" s="1192">
        <f t="shared" si="1849"/>
        <v>44195</v>
      </c>
      <c r="O3660" s="71" t="s">
        <v>147</v>
      </c>
      <c r="P3660" s="164" t="str">
        <f t="shared" si="1845"/>
        <v>프리미어(청)</v>
      </c>
      <c r="Q3660" s="71">
        <f t="shared" si="1850"/>
        <v>600</v>
      </c>
      <c r="R3660" s="102">
        <v>6360</v>
      </c>
      <c r="S3660" s="102">
        <f t="shared" si="1835"/>
        <v>4197600</v>
      </c>
      <c r="T3660" s="102">
        <f t="shared" si="1836"/>
        <v>3816000</v>
      </c>
      <c r="U3660" s="71" t="str">
        <f t="shared" si="1842"/>
        <v>O</v>
      </c>
      <c r="V3660" s="71"/>
      <c r="W3660" s="474">
        <f t="shared" si="1843"/>
        <v>384000</v>
      </c>
      <c r="X3660" s="71"/>
      <c r="Y3660" s="71"/>
    </row>
    <row r="3661" spans="1:25" ht="30" hidden="1" customHeight="1" x14ac:dyDescent="0.25">
      <c r="A3661" s="1145">
        <v>44195</v>
      </c>
      <c r="B3661" s="664" t="s">
        <v>1052</v>
      </c>
      <c r="C3661" s="71" t="s">
        <v>1115</v>
      </c>
      <c r="D3661" s="71">
        <v>50</v>
      </c>
      <c r="E3661" s="102">
        <v>6200</v>
      </c>
      <c r="F3661" s="102">
        <f t="shared" si="1846"/>
        <v>341000</v>
      </c>
      <c r="G3661" s="102">
        <f t="shared" si="1847"/>
        <v>310000</v>
      </c>
      <c r="H3661" s="690" t="s">
        <v>142</v>
      </c>
      <c r="I3661" s="71" t="s">
        <v>144</v>
      </c>
      <c r="J3661" s="53">
        <f t="shared" si="1833"/>
        <v>15000</v>
      </c>
      <c r="K3661" s="63">
        <f t="shared" si="1848"/>
        <v>4.8387096774193547E-2</v>
      </c>
      <c r="L3661" s="871" t="s">
        <v>2634</v>
      </c>
      <c r="M3661" s="468"/>
      <c r="N3661" s="1192">
        <f t="shared" si="1849"/>
        <v>44195</v>
      </c>
      <c r="O3661" s="71" t="s">
        <v>2459</v>
      </c>
      <c r="P3661" s="164" t="str">
        <f t="shared" si="1845"/>
        <v>한특 잉크(적)</v>
      </c>
      <c r="Q3661" s="71">
        <f t="shared" si="1850"/>
        <v>50</v>
      </c>
      <c r="R3661" s="102">
        <v>5900</v>
      </c>
      <c r="S3661" s="102">
        <f t="shared" si="1835"/>
        <v>324500</v>
      </c>
      <c r="T3661" s="102">
        <f t="shared" si="1836"/>
        <v>295000</v>
      </c>
      <c r="U3661" s="71" t="str">
        <f t="shared" si="1842"/>
        <v>O</v>
      </c>
      <c r="V3661" s="71"/>
      <c r="W3661" s="474">
        <f t="shared" si="1843"/>
        <v>15000</v>
      </c>
      <c r="X3661" s="71"/>
      <c r="Y3661" s="71"/>
    </row>
    <row r="3662" spans="1:25" ht="30" hidden="1" customHeight="1" x14ac:dyDescent="0.25">
      <c r="A3662" s="1145">
        <v>44195</v>
      </c>
      <c r="B3662" s="664" t="s">
        <v>1052</v>
      </c>
      <c r="C3662" s="71" t="s">
        <v>1116</v>
      </c>
      <c r="D3662" s="71">
        <v>50</v>
      </c>
      <c r="E3662" s="102">
        <v>6000</v>
      </c>
      <c r="F3662" s="102">
        <f t="shared" si="1846"/>
        <v>330000</v>
      </c>
      <c r="G3662" s="102">
        <f t="shared" si="1847"/>
        <v>300000</v>
      </c>
      <c r="H3662" s="690" t="s">
        <v>142</v>
      </c>
      <c r="I3662" s="71" t="s">
        <v>144</v>
      </c>
      <c r="J3662" s="53">
        <f t="shared" si="1833"/>
        <v>25000</v>
      </c>
      <c r="K3662" s="63">
        <f t="shared" si="1848"/>
        <v>8.3333333333333329E-2</v>
      </c>
      <c r="L3662" s="871" t="s">
        <v>2634</v>
      </c>
      <c r="M3662" s="468"/>
      <c r="N3662" s="1192">
        <f t="shared" si="1849"/>
        <v>44195</v>
      </c>
      <c r="O3662" s="71" t="s">
        <v>2459</v>
      </c>
      <c r="P3662" s="164" t="str">
        <f t="shared" si="1845"/>
        <v>한특 잉크(황)</v>
      </c>
      <c r="Q3662" s="71">
        <f t="shared" si="1850"/>
        <v>50</v>
      </c>
      <c r="R3662" s="102">
        <v>5500</v>
      </c>
      <c r="S3662" s="102">
        <f t="shared" si="1835"/>
        <v>302500</v>
      </c>
      <c r="T3662" s="102">
        <f t="shared" si="1836"/>
        <v>275000</v>
      </c>
      <c r="U3662" s="71" t="str">
        <f t="shared" si="1842"/>
        <v>O</v>
      </c>
      <c r="V3662" s="71"/>
      <c r="W3662" s="474">
        <f t="shared" si="1843"/>
        <v>25000</v>
      </c>
      <c r="X3662" s="71"/>
      <c r="Y3662" s="71"/>
    </row>
    <row r="3663" spans="1:25" ht="30" hidden="1" customHeight="1" x14ac:dyDescent="0.25">
      <c r="A3663" s="1145">
        <v>44195</v>
      </c>
      <c r="B3663" s="664" t="s">
        <v>1052</v>
      </c>
      <c r="C3663" s="71" t="s">
        <v>1117</v>
      </c>
      <c r="D3663" s="71">
        <v>50</v>
      </c>
      <c r="E3663" s="102">
        <v>6500</v>
      </c>
      <c r="F3663" s="102">
        <f t="shared" si="1846"/>
        <v>357500</v>
      </c>
      <c r="G3663" s="102">
        <f t="shared" si="1847"/>
        <v>325000</v>
      </c>
      <c r="H3663" s="690" t="s">
        <v>142</v>
      </c>
      <c r="I3663" s="71" t="s">
        <v>144</v>
      </c>
      <c r="J3663" s="53">
        <f t="shared" si="1833"/>
        <v>25000</v>
      </c>
      <c r="K3663" s="63">
        <f t="shared" si="1848"/>
        <v>7.6923076923076927E-2</v>
      </c>
      <c r="L3663" s="871" t="s">
        <v>2634</v>
      </c>
      <c r="M3663" s="468"/>
      <c r="N3663" s="1192">
        <f t="shared" si="1849"/>
        <v>44195</v>
      </c>
      <c r="O3663" s="71" t="s">
        <v>2459</v>
      </c>
      <c r="P3663" s="164" t="str">
        <f t="shared" si="1845"/>
        <v>한특 잉크(청)</v>
      </c>
      <c r="Q3663" s="71">
        <f t="shared" si="1850"/>
        <v>50</v>
      </c>
      <c r="R3663" s="102">
        <v>6000</v>
      </c>
      <c r="S3663" s="102">
        <f t="shared" ref="S3663:S3668" si="1851">R3663*Q3663*1.1</f>
        <v>330000</v>
      </c>
      <c r="T3663" s="102">
        <f t="shared" ref="T3663:T3668" si="1852">R3663*Q3663</f>
        <v>300000</v>
      </c>
      <c r="U3663" s="71" t="str">
        <f t="shared" si="1842"/>
        <v>O</v>
      </c>
      <c r="V3663" s="71"/>
      <c r="W3663" s="474">
        <f t="shared" si="1843"/>
        <v>25000</v>
      </c>
      <c r="X3663" s="71"/>
      <c r="Y3663" s="71"/>
    </row>
    <row r="3664" spans="1:25" ht="30" hidden="1" customHeight="1" x14ac:dyDescent="0.25">
      <c r="A3664" s="1145">
        <v>44195</v>
      </c>
      <c r="B3664" s="664" t="s">
        <v>1052</v>
      </c>
      <c r="C3664" s="71" t="s">
        <v>1118</v>
      </c>
      <c r="D3664" s="71"/>
      <c r="E3664" s="102">
        <v>5600</v>
      </c>
      <c r="F3664" s="102">
        <f t="shared" si="1846"/>
        <v>0</v>
      </c>
      <c r="G3664" s="102">
        <f t="shared" si="1847"/>
        <v>0</v>
      </c>
      <c r="H3664" s="690" t="s">
        <v>142</v>
      </c>
      <c r="I3664" s="71" t="s">
        <v>144</v>
      </c>
      <c r="J3664" s="53">
        <f t="shared" si="1833"/>
        <v>0</v>
      </c>
      <c r="K3664" s="63" t="e">
        <f t="shared" si="1848"/>
        <v>#DIV/0!</v>
      </c>
      <c r="L3664" s="871" t="s">
        <v>2634</v>
      </c>
      <c r="M3664" s="468"/>
      <c r="N3664" s="1192">
        <f t="shared" si="1849"/>
        <v>44195</v>
      </c>
      <c r="O3664" s="71" t="s">
        <v>2459</v>
      </c>
      <c r="P3664" s="164" t="str">
        <f t="shared" si="1845"/>
        <v>한특 잉크(먹)</v>
      </c>
      <c r="Q3664" s="71">
        <f t="shared" si="1850"/>
        <v>0</v>
      </c>
      <c r="R3664" s="102">
        <v>5200</v>
      </c>
      <c r="S3664" s="102">
        <f t="shared" si="1851"/>
        <v>0</v>
      </c>
      <c r="T3664" s="102">
        <f t="shared" si="1852"/>
        <v>0</v>
      </c>
      <c r="U3664" s="71" t="str">
        <f t="shared" si="1842"/>
        <v>O</v>
      </c>
      <c r="V3664" s="71"/>
      <c r="W3664" s="474">
        <f t="shared" si="1843"/>
        <v>0</v>
      </c>
      <c r="X3664" s="71"/>
      <c r="Y3664" s="71"/>
    </row>
    <row r="3665" spans="1:25" ht="30" hidden="1" customHeight="1" x14ac:dyDescent="0.25">
      <c r="A3665" s="1145">
        <v>44195</v>
      </c>
      <c r="B3665" s="664" t="s">
        <v>2569</v>
      </c>
      <c r="C3665" s="71" t="s">
        <v>2570</v>
      </c>
      <c r="D3665" s="71">
        <v>5</v>
      </c>
      <c r="E3665" s="102">
        <v>650000</v>
      </c>
      <c r="F3665" s="102">
        <f>(E3665*D3665)*1.1</f>
        <v>3575000.0000000005</v>
      </c>
      <c r="G3665" s="102">
        <f>(E3665*D3665)</f>
        <v>3250000</v>
      </c>
      <c r="H3665" s="690" t="s">
        <v>142</v>
      </c>
      <c r="I3665" s="71" t="s">
        <v>142</v>
      </c>
      <c r="J3665" s="53">
        <f t="shared" si="1833"/>
        <v>2132825</v>
      </c>
      <c r="K3665" s="63">
        <f>(J3665/(F3665/11*10))</f>
        <v>0.65625384615384608</v>
      </c>
      <c r="L3665" s="871" t="s">
        <v>2634</v>
      </c>
      <c r="M3665" s="468"/>
      <c r="N3665" s="1192">
        <f t="shared" si="1849"/>
        <v>44195</v>
      </c>
      <c r="O3665" s="71" t="s">
        <v>2542</v>
      </c>
      <c r="P3665" s="103" t="str">
        <f t="shared" si="1845"/>
        <v>Baldwin UV 램프 T-3절용</v>
      </c>
      <c r="Q3665" s="71">
        <f t="shared" si="1850"/>
        <v>5</v>
      </c>
      <c r="R3665" s="102">
        <v>223435</v>
      </c>
      <c r="S3665" s="102">
        <f t="shared" si="1851"/>
        <v>1228892.5</v>
      </c>
      <c r="T3665" s="102">
        <f t="shared" si="1852"/>
        <v>1117175</v>
      </c>
      <c r="U3665" s="71"/>
      <c r="V3665" s="71"/>
      <c r="W3665" s="474"/>
      <c r="X3665" s="71"/>
      <c r="Y3665" s="71"/>
    </row>
    <row r="3666" spans="1:25" ht="30" hidden="1" customHeight="1" x14ac:dyDescent="0.25">
      <c r="A3666" s="1145">
        <v>44195</v>
      </c>
      <c r="B3666" s="664" t="s">
        <v>2103</v>
      </c>
      <c r="C3666" s="71" t="s">
        <v>2378</v>
      </c>
      <c r="D3666" s="71">
        <v>2070</v>
      </c>
      <c r="E3666" s="102">
        <v>1000</v>
      </c>
      <c r="F3666" s="102">
        <f>(E3666*D3666)*1.1</f>
        <v>2277000</v>
      </c>
      <c r="G3666" s="102">
        <f>(E3666*D3666)</f>
        <v>2070000</v>
      </c>
      <c r="H3666" s="690" t="s">
        <v>173</v>
      </c>
      <c r="I3666" s="71" t="s">
        <v>2231</v>
      </c>
      <c r="J3666" s="53">
        <f t="shared" si="1833"/>
        <v>2070000</v>
      </c>
      <c r="K3666" s="63">
        <f>(J3666/(F3666/11*10))</f>
        <v>1</v>
      </c>
      <c r="L3666" s="871" t="s">
        <v>2634</v>
      </c>
      <c r="M3666" s="468"/>
      <c r="N3666" s="1192">
        <f t="shared" si="1849"/>
        <v>44195</v>
      </c>
      <c r="O3666" s="71"/>
      <c r="P3666" s="103" t="str">
        <f t="shared" si="1845"/>
        <v>폐판 수거</v>
      </c>
      <c r="Q3666" s="71">
        <f t="shared" si="1850"/>
        <v>2070</v>
      </c>
      <c r="R3666" s="102">
        <v>0</v>
      </c>
      <c r="S3666" s="102">
        <f t="shared" si="1851"/>
        <v>0</v>
      </c>
      <c r="T3666" s="102">
        <f t="shared" si="1852"/>
        <v>0</v>
      </c>
      <c r="U3666" s="71"/>
      <c r="V3666" s="71"/>
      <c r="W3666" s="474"/>
      <c r="X3666" s="71"/>
      <c r="Y3666" s="71"/>
    </row>
    <row r="3667" spans="1:25" ht="30" hidden="1" customHeight="1" x14ac:dyDescent="0.25">
      <c r="A3667" s="1145">
        <v>44195</v>
      </c>
      <c r="B3667" s="664" t="s">
        <v>1178</v>
      </c>
      <c r="C3667" s="71" t="s">
        <v>2652</v>
      </c>
      <c r="D3667" s="71">
        <v>1</v>
      </c>
      <c r="E3667" s="102">
        <v>11363636</v>
      </c>
      <c r="F3667" s="102">
        <f>(E3667*D3667)*1.1</f>
        <v>12499999.600000001</v>
      </c>
      <c r="G3667" s="102">
        <f>(E3667*D3667)</f>
        <v>11363636</v>
      </c>
      <c r="H3667" s="690" t="s">
        <v>142</v>
      </c>
      <c r="I3667" s="71" t="s">
        <v>142</v>
      </c>
      <c r="J3667" s="53">
        <f t="shared" si="1833"/>
        <v>2963636</v>
      </c>
      <c r="K3667" s="63">
        <f>(J3667/(F3667/11*10))</f>
        <v>0.26079997634559926</v>
      </c>
      <c r="L3667" s="871" t="s">
        <v>2634</v>
      </c>
      <c r="M3667" s="468"/>
      <c r="N3667" s="1192">
        <f t="shared" si="1849"/>
        <v>44195</v>
      </c>
      <c r="O3667" s="71" t="s">
        <v>2542</v>
      </c>
      <c r="P3667" s="103" t="str">
        <f t="shared" si="1845"/>
        <v>WPC 카메라 이미지 헤드(리퍼비쉬)</v>
      </c>
      <c r="Q3667" s="71">
        <f t="shared" si="1850"/>
        <v>1</v>
      </c>
      <c r="R3667" s="102">
        <v>8400000</v>
      </c>
      <c r="S3667" s="102">
        <f t="shared" si="1851"/>
        <v>9240000</v>
      </c>
      <c r="T3667" s="102">
        <f t="shared" si="1852"/>
        <v>8400000</v>
      </c>
      <c r="U3667" s="71"/>
      <c r="V3667" s="71"/>
      <c r="W3667" s="474"/>
      <c r="X3667" s="71"/>
      <c r="Y3667" s="71"/>
    </row>
    <row r="3668" spans="1:25" ht="30" hidden="1" customHeight="1" x14ac:dyDescent="0.25">
      <c r="A3668" s="1145">
        <v>44195</v>
      </c>
      <c r="B3668" s="664" t="s">
        <v>804</v>
      </c>
      <c r="C3668" s="71" t="s">
        <v>2655</v>
      </c>
      <c r="D3668" s="71">
        <v>2</v>
      </c>
      <c r="E3668" s="102">
        <v>800000</v>
      </c>
      <c r="F3668" s="102">
        <f>(E3668*D3668)*1.1</f>
        <v>1760000.0000000002</v>
      </c>
      <c r="G3668" s="102">
        <f>(E3668*D3668)</f>
        <v>1600000</v>
      </c>
      <c r="H3668" s="690" t="s">
        <v>1432</v>
      </c>
      <c r="I3668" s="71" t="s">
        <v>1432</v>
      </c>
      <c r="J3668" s="53">
        <f t="shared" si="1833"/>
        <v>780000</v>
      </c>
      <c r="K3668" s="63">
        <f>(J3668/(F3668/11*10))</f>
        <v>0.48749999999999993</v>
      </c>
      <c r="L3668" s="871" t="s">
        <v>2634</v>
      </c>
      <c r="M3668" s="468"/>
      <c r="N3668" s="1192">
        <f t="shared" si="1849"/>
        <v>44195</v>
      </c>
      <c r="O3668" s="71" t="s">
        <v>94</v>
      </c>
      <c r="P3668" s="103" t="str">
        <f t="shared" si="1845"/>
        <v>습수정화장치 beta.f 필터 세트</v>
      </c>
      <c r="Q3668" s="71">
        <f t="shared" si="1850"/>
        <v>2</v>
      </c>
      <c r="R3668" s="102">
        <v>410000</v>
      </c>
      <c r="S3668" s="102">
        <f t="shared" si="1851"/>
        <v>902000.00000000012</v>
      </c>
      <c r="T3668" s="102">
        <f t="shared" si="1852"/>
        <v>820000</v>
      </c>
      <c r="U3668" s="71"/>
      <c r="V3668" s="71"/>
      <c r="W3668" s="474"/>
      <c r="X3668" s="71"/>
      <c r="Y3668" s="71"/>
    </row>
    <row r="3669" spans="1:25" s="978" customFormat="1" ht="45" hidden="1" customHeight="1" x14ac:dyDescent="0.25">
      <c r="A3669" s="982" t="s">
        <v>2779</v>
      </c>
      <c r="B3669" s="976" t="s">
        <v>544</v>
      </c>
      <c r="C3669" s="453"/>
      <c r="D3669" s="453"/>
      <c r="E3669" s="454"/>
      <c r="F3669" s="454"/>
      <c r="G3669" s="454"/>
      <c r="H3669" s="455"/>
      <c r="I3669" s="453"/>
      <c r="J3669" s="417"/>
      <c r="K3669" s="418"/>
      <c r="L3669" s="983" t="s">
        <v>2656</v>
      </c>
      <c r="M3669" s="643"/>
      <c r="N3669" s="724" t="str">
        <f>A3669</f>
        <v>2021,1</v>
      </c>
      <c r="O3669" s="453" t="s">
        <v>154</v>
      </c>
      <c r="P3669" s="728"/>
      <c r="Q3669" s="420"/>
      <c r="R3669" s="420"/>
      <c r="S3669" s="417"/>
      <c r="T3669" s="417"/>
      <c r="U3669" s="421"/>
      <c r="V3669" s="421"/>
      <c r="W3669" s="479">
        <f>(G3669-T3669)</f>
        <v>0</v>
      </c>
      <c r="X3669" s="421"/>
      <c r="Y3669" s="421"/>
    </row>
    <row r="3670" spans="1:25" ht="30" hidden="1" customHeight="1" x14ac:dyDescent="0.25">
      <c r="A3670" s="1145">
        <v>44184</v>
      </c>
      <c r="B3670" s="664" t="s">
        <v>624</v>
      </c>
      <c r="C3670" s="71" t="s">
        <v>2644</v>
      </c>
      <c r="D3670" s="71">
        <v>2</v>
      </c>
      <c r="E3670" s="102">
        <v>3800000</v>
      </c>
      <c r="F3670" s="102">
        <f>(E3670*D3670)*1.1</f>
        <v>8360000.0000000009</v>
      </c>
      <c r="G3670" s="102">
        <f>(E3670*D3670)</f>
        <v>7600000</v>
      </c>
      <c r="H3670" s="690" t="s">
        <v>142</v>
      </c>
      <c r="I3670" s="690" t="s">
        <v>142</v>
      </c>
      <c r="J3670" s="53">
        <f t="shared" ref="J3670:J3713" si="1853">G3670-T3670</f>
        <v>1200000</v>
      </c>
      <c r="K3670" s="63">
        <f>(J3670/(F3670/11*10))</f>
        <v>0.15789473684210525</v>
      </c>
      <c r="L3670" s="871" t="s">
        <v>2656</v>
      </c>
      <c r="M3670" s="468"/>
      <c r="N3670" s="1192">
        <f>A3670</f>
        <v>44184</v>
      </c>
      <c r="O3670" s="71" t="s">
        <v>1431</v>
      </c>
      <c r="P3670" s="164" t="str">
        <f>(C3670)</f>
        <v>INK MODULE DRIVE BOARD</v>
      </c>
      <c r="Q3670" s="71">
        <f>D3670</f>
        <v>2</v>
      </c>
      <c r="R3670" s="102">
        <v>3200000</v>
      </c>
      <c r="S3670" s="102">
        <f t="shared" ref="S3670:S3701" si="1854">R3670*Q3670*1.1</f>
        <v>7040000.0000000009</v>
      </c>
      <c r="T3670" s="102">
        <f t="shared" ref="T3670:T3701" si="1855">R3670*Q3670</f>
        <v>6400000</v>
      </c>
      <c r="U3670" s="71"/>
      <c r="V3670" s="71"/>
      <c r="W3670" s="474"/>
      <c r="X3670" s="71"/>
      <c r="Y3670" s="71"/>
    </row>
    <row r="3671" spans="1:25" ht="30" hidden="1" customHeight="1" x14ac:dyDescent="0.25">
      <c r="A3671" s="1145">
        <v>44195</v>
      </c>
      <c r="B3671" s="664" t="s">
        <v>1263</v>
      </c>
      <c r="C3671" s="71" t="s">
        <v>1895</v>
      </c>
      <c r="D3671" s="71">
        <v>10</v>
      </c>
      <c r="E3671" s="102">
        <v>25000</v>
      </c>
      <c r="F3671" s="102">
        <f>(E3671*D3671)*1.1</f>
        <v>275000</v>
      </c>
      <c r="G3671" s="102">
        <f>(E3671*D3671)</f>
        <v>250000</v>
      </c>
      <c r="H3671" s="690" t="s">
        <v>142</v>
      </c>
      <c r="I3671" s="690" t="s">
        <v>142</v>
      </c>
      <c r="J3671" s="53">
        <f t="shared" si="1853"/>
        <v>10000</v>
      </c>
      <c r="K3671" s="63">
        <f t="shared" ref="K3671:K3727" si="1856">(J3671/(F3671/11*10))</f>
        <v>0.04</v>
      </c>
      <c r="L3671" s="871" t="s">
        <v>2656</v>
      </c>
      <c r="M3671" s="468"/>
      <c r="N3671" s="1192">
        <f t="shared" ref="N3671:N3717" si="1857">A3671</f>
        <v>44195</v>
      </c>
      <c r="O3671" s="71" t="s">
        <v>94</v>
      </c>
      <c r="P3671" s="103" t="str">
        <f>(C3671)</f>
        <v>필터벡</v>
      </c>
      <c r="Q3671" s="71">
        <f>D3671</f>
        <v>10</v>
      </c>
      <c r="R3671" s="102">
        <v>24000</v>
      </c>
      <c r="S3671" s="102">
        <f t="shared" si="1854"/>
        <v>264000</v>
      </c>
      <c r="T3671" s="102">
        <f t="shared" si="1855"/>
        <v>240000</v>
      </c>
      <c r="U3671" s="71"/>
      <c r="V3671" s="71"/>
      <c r="W3671" s="474"/>
      <c r="X3671" s="71"/>
      <c r="Y3671" s="71"/>
    </row>
    <row r="3672" spans="1:25" s="209" customFormat="1" ht="30" hidden="1" customHeight="1" x14ac:dyDescent="0.25">
      <c r="A3672" s="1145">
        <v>44195</v>
      </c>
      <c r="B3672" s="664" t="s">
        <v>2155</v>
      </c>
      <c r="C3672" s="71" t="s">
        <v>138</v>
      </c>
      <c r="D3672" s="71">
        <v>10</v>
      </c>
      <c r="E3672" s="102">
        <v>47600</v>
      </c>
      <c r="F3672" s="102">
        <f t="shared" ref="F3672:F3677" si="1858">(E3672*D3672)*1.1</f>
        <v>523600.00000000006</v>
      </c>
      <c r="G3672" s="102">
        <f t="shared" ref="G3672:G3677" si="1859">(E3672*D3672)</f>
        <v>476000</v>
      </c>
      <c r="H3672" s="1129" t="s">
        <v>172</v>
      </c>
      <c r="I3672" s="71" t="s">
        <v>108</v>
      </c>
      <c r="J3672" s="53">
        <f t="shared" si="1853"/>
        <v>68000</v>
      </c>
      <c r="K3672" s="63">
        <f t="shared" si="1856"/>
        <v>0.14285714285714285</v>
      </c>
      <c r="L3672" s="871" t="s">
        <v>2822</v>
      </c>
      <c r="M3672" s="468" t="s">
        <v>2214</v>
      </c>
      <c r="N3672" s="1192">
        <f t="shared" si="1857"/>
        <v>44195</v>
      </c>
      <c r="O3672" s="71" t="s">
        <v>150</v>
      </c>
      <c r="P3672" s="164" t="str">
        <f t="shared" ref="P3672:P3677" si="1860">(C3672)</f>
        <v>매엽용 세척제(Wash 562)</v>
      </c>
      <c r="Q3672" s="71">
        <f t="shared" ref="Q3672:Q3677" si="1861">D3672</f>
        <v>10</v>
      </c>
      <c r="R3672" s="102">
        <v>40800</v>
      </c>
      <c r="S3672" s="102">
        <f t="shared" si="1854"/>
        <v>448800.00000000006</v>
      </c>
      <c r="T3672" s="102">
        <f t="shared" si="1855"/>
        <v>408000</v>
      </c>
      <c r="U3672" s="71" t="str">
        <f t="shared" ref="U3672:U3683" si="1862">IF(J3672=W3672,"O", "X")</f>
        <v>X</v>
      </c>
      <c r="V3672" s="71"/>
      <c r="W3672" s="474">
        <v>85000</v>
      </c>
      <c r="X3672" s="71"/>
      <c r="Y3672" s="71"/>
    </row>
    <row r="3673" spans="1:25" ht="30" hidden="1" customHeight="1" x14ac:dyDescent="0.25">
      <c r="A3673" s="1145">
        <v>44195</v>
      </c>
      <c r="B3673" s="664" t="s">
        <v>2155</v>
      </c>
      <c r="C3673" s="71" t="s">
        <v>277</v>
      </c>
      <c r="D3673" s="71">
        <v>5</v>
      </c>
      <c r="E3673" s="102">
        <v>172000</v>
      </c>
      <c r="F3673" s="102">
        <f t="shared" si="1858"/>
        <v>946000.00000000012</v>
      </c>
      <c r="G3673" s="102">
        <f t="shared" si="1859"/>
        <v>860000</v>
      </c>
      <c r="H3673" s="690" t="s">
        <v>173</v>
      </c>
      <c r="I3673" s="71" t="s">
        <v>108</v>
      </c>
      <c r="J3673" s="53">
        <f t="shared" si="1853"/>
        <v>285000</v>
      </c>
      <c r="K3673" s="63">
        <f t="shared" si="1856"/>
        <v>0.33139534883720928</v>
      </c>
      <c r="L3673" s="871" t="s">
        <v>2822</v>
      </c>
      <c r="M3673" s="468"/>
      <c r="N3673" s="1192">
        <f t="shared" si="1857"/>
        <v>44195</v>
      </c>
      <c r="O3673" s="71" t="s">
        <v>150</v>
      </c>
      <c r="P3673" s="164" t="str">
        <f t="shared" si="1860"/>
        <v>윤전용 세척제(Web 504)</v>
      </c>
      <c r="Q3673" s="71">
        <f t="shared" si="1861"/>
        <v>5</v>
      </c>
      <c r="R3673" s="102">
        <v>115000</v>
      </c>
      <c r="S3673" s="102">
        <f t="shared" si="1854"/>
        <v>632500</v>
      </c>
      <c r="T3673" s="102">
        <f t="shared" si="1855"/>
        <v>575000</v>
      </c>
      <c r="U3673" s="71" t="str">
        <f t="shared" si="1862"/>
        <v>O</v>
      </c>
      <c r="V3673" s="71"/>
      <c r="W3673" s="474">
        <v>285000</v>
      </c>
      <c r="X3673" s="71"/>
      <c r="Y3673" s="71"/>
    </row>
    <row r="3674" spans="1:25" ht="30" hidden="1" customHeight="1" x14ac:dyDescent="0.25">
      <c r="A3674" s="1145">
        <v>44195</v>
      </c>
      <c r="B3674" s="664" t="s">
        <v>2155</v>
      </c>
      <c r="C3674" s="760" t="s">
        <v>218</v>
      </c>
      <c r="D3674" s="71">
        <v>5</v>
      </c>
      <c r="E3674" s="102">
        <v>192500</v>
      </c>
      <c r="F3674" s="102">
        <f t="shared" si="1858"/>
        <v>1058750</v>
      </c>
      <c r="G3674" s="102">
        <f t="shared" si="1859"/>
        <v>962500</v>
      </c>
      <c r="H3674" s="690" t="s">
        <v>173</v>
      </c>
      <c r="I3674" s="71" t="s">
        <v>120</v>
      </c>
      <c r="J3674" s="53">
        <f t="shared" si="1853"/>
        <v>400000</v>
      </c>
      <c r="K3674" s="63">
        <f t="shared" si="1856"/>
        <v>0.41558441558441561</v>
      </c>
      <c r="L3674" s="871" t="s">
        <v>2822</v>
      </c>
      <c r="M3674" s="468"/>
      <c r="N3674" s="1192">
        <f t="shared" si="1857"/>
        <v>44195</v>
      </c>
      <c r="O3674" s="71" t="s">
        <v>150</v>
      </c>
      <c r="P3674" s="164" t="str">
        <f t="shared" si="1860"/>
        <v>Fount Web 551AF</v>
      </c>
      <c r="Q3674" s="71">
        <f t="shared" si="1861"/>
        <v>5</v>
      </c>
      <c r="R3674" s="102">
        <v>112500</v>
      </c>
      <c r="S3674" s="102">
        <f t="shared" si="1854"/>
        <v>618750</v>
      </c>
      <c r="T3674" s="102">
        <f t="shared" si="1855"/>
        <v>562500</v>
      </c>
      <c r="U3674" s="71" t="str">
        <f t="shared" si="1862"/>
        <v>X</v>
      </c>
      <c r="V3674" s="71"/>
      <c r="W3674" s="474">
        <v>640000</v>
      </c>
      <c r="X3674" s="71"/>
      <c r="Y3674" s="71"/>
    </row>
    <row r="3675" spans="1:25" ht="30" hidden="1" customHeight="1" x14ac:dyDescent="0.25">
      <c r="A3675" s="1145">
        <v>44200</v>
      </c>
      <c r="B3675" s="664" t="s">
        <v>446</v>
      </c>
      <c r="C3675" s="71" t="s">
        <v>2028</v>
      </c>
      <c r="D3675" s="71">
        <v>20</v>
      </c>
      <c r="E3675" s="102">
        <v>105000</v>
      </c>
      <c r="F3675" s="102">
        <f t="shared" si="1858"/>
        <v>2310000</v>
      </c>
      <c r="G3675" s="102">
        <f t="shared" si="1859"/>
        <v>2100000</v>
      </c>
      <c r="H3675" s="690" t="s">
        <v>2029</v>
      </c>
      <c r="I3675" s="71" t="s">
        <v>2231</v>
      </c>
      <c r="J3675" s="53">
        <f t="shared" si="1853"/>
        <v>380000</v>
      </c>
      <c r="K3675" s="63">
        <f t="shared" si="1856"/>
        <v>0.18095238095238095</v>
      </c>
      <c r="L3675" s="871" t="s">
        <v>2822</v>
      </c>
      <c r="M3675" s="468" t="s">
        <v>3068</v>
      </c>
      <c r="N3675" s="1192">
        <f t="shared" si="1857"/>
        <v>44200</v>
      </c>
      <c r="O3675" s="71" t="s">
        <v>2030</v>
      </c>
      <c r="P3675" s="164" t="str">
        <f t="shared" si="1860"/>
        <v>실리콘 에멀전</v>
      </c>
      <c r="Q3675" s="71">
        <f t="shared" si="1861"/>
        <v>20</v>
      </c>
      <c r="R3675" s="102">
        <v>86000</v>
      </c>
      <c r="S3675" s="102">
        <f t="shared" si="1854"/>
        <v>1892000.0000000002</v>
      </c>
      <c r="T3675" s="102">
        <f t="shared" si="1855"/>
        <v>1720000</v>
      </c>
      <c r="U3675" s="71" t="str">
        <f t="shared" si="1862"/>
        <v>O</v>
      </c>
      <c r="V3675" s="71">
        <f>7000*Q3675</f>
        <v>140000</v>
      </c>
      <c r="W3675" s="474">
        <f>(G3675-T3675)</f>
        <v>380000</v>
      </c>
      <c r="X3675" s="71"/>
      <c r="Y3675" s="71"/>
    </row>
    <row r="3676" spans="1:25" ht="30" hidden="1" customHeight="1" x14ac:dyDescent="0.25">
      <c r="A3676" s="1145">
        <v>44200</v>
      </c>
      <c r="B3676" s="664" t="s">
        <v>2155</v>
      </c>
      <c r="C3676" s="71" t="s">
        <v>277</v>
      </c>
      <c r="D3676" s="71">
        <v>10</v>
      </c>
      <c r="E3676" s="102">
        <v>172000</v>
      </c>
      <c r="F3676" s="102">
        <f t="shared" si="1858"/>
        <v>1892000.0000000002</v>
      </c>
      <c r="G3676" s="102">
        <f t="shared" si="1859"/>
        <v>1720000</v>
      </c>
      <c r="H3676" s="690" t="s">
        <v>173</v>
      </c>
      <c r="I3676" s="71" t="s">
        <v>108</v>
      </c>
      <c r="J3676" s="53">
        <f t="shared" si="1853"/>
        <v>570000</v>
      </c>
      <c r="K3676" s="63">
        <f t="shared" si="1856"/>
        <v>0.33139534883720928</v>
      </c>
      <c r="L3676" s="871" t="s">
        <v>2822</v>
      </c>
      <c r="M3676" s="468"/>
      <c r="N3676" s="1192">
        <f t="shared" si="1857"/>
        <v>44200</v>
      </c>
      <c r="O3676" s="71" t="s">
        <v>150</v>
      </c>
      <c r="P3676" s="164" t="str">
        <f t="shared" si="1860"/>
        <v>윤전용 세척제(Web 504)</v>
      </c>
      <c r="Q3676" s="71">
        <f t="shared" si="1861"/>
        <v>10</v>
      </c>
      <c r="R3676" s="102">
        <v>115000</v>
      </c>
      <c r="S3676" s="102">
        <f t="shared" si="1854"/>
        <v>1265000</v>
      </c>
      <c r="T3676" s="102">
        <f t="shared" si="1855"/>
        <v>1150000</v>
      </c>
      <c r="U3676" s="71" t="str">
        <f t="shared" si="1862"/>
        <v>X</v>
      </c>
      <c r="V3676" s="71"/>
      <c r="W3676" s="474">
        <v>285000</v>
      </c>
      <c r="X3676" s="71"/>
      <c r="Y3676" s="71"/>
    </row>
    <row r="3677" spans="1:25" ht="30" hidden="1" customHeight="1" x14ac:dyDescent="0.25">
      <c r="A3677" s="1145">
        <v>44200</v>
      </c>
      <c r="B3677" s="664" t="s">
        <v>2155</v>
      </c>
      <c r="C3677" s="760" t="s">
        <v>218</v>
      </c>
      <c r="D3677" s="71">
        <v>10</v>
      </c>
      <c r="E3677" s="102">
        <v>192500</v>
      </c>
      <c r="F3677" s="102">
        <f t="shared" si="1858"/>
        <v>2117500</v>
      </c>
      <c r="G3677" s="102">
        <f t="shared" si="1859"/>
        <v>1925000</v>
      </c>
      <c r="H3677" s="690" t="s">
        <v>173</v>
      </c>
      <c r="I3677" s="71" t="s">
        <v>120</v>
      </c>
      <c r="J3677" s="53">
        <f t="shared" si="1853"/>
        <v>800000</v>
      </c>
      <c r="K3677" s="63">
        <f t="shared" si="1856"/>
        <v>0.41558441558441561</v>
      </c>
      <c r="L3677" s="871" t="s">
        <v>2822</v>
      </c>
      <c r="M3677" s="468"/>
      <c r="N3677" s="1192">
        <f t="shared" si="1857"/>
        <v>44200</v>
      </c>
      <c r="O3677" s="71" t="s">
        <v>150</v>
      </c>
      <c r="P3677" s="164" t="str">
        <f t="shared" si="1860"/>
        <v>Fount Web 551AF</v>
      </c>
      <c r="Q3677" s="71">
        <f t="shared" si="1861"/>
        <v>10</v>
      </c>
      <c r="R3677" s="102">
        <v>112500</v>
      </c>
      <c r="S3677" s="102">
        <f t="shared" si="1854"/>
        <v>1237500</v>
      </c>
      <c r="T3677" s="102">
        <f t="shared" si="1855"/>
        <v>1125000</v>
      </c>
      <c r="U3677" s="71" t="str">
        <f t="shared" si="1862"/>
        <v>X</v>
      </c>
      <c r="V3677" s="71"/>
      <c r="W3677" s="474">
        <v>640000</v>
      </c>
      <c r="X3677" s="71"/>
      <c r="Y3677" s="71"/>
    </row>
    <row r="3678" spans="1:25" ht="30" hidden="1" customHeight="1" x14ac:dyDescent="0.25">
      <c r="A3678" s="1145">
        <v>44201</v>
      </c>
      <c r="B3678" s="664" t="s">
        <v>690</v>
      </c>
      <c r="C3678" s="71" t="s">
        <v>1186</v>
      </c>
      <c r="D3678" s="71">
        <v>500</v>
      </c>
      <c r="E3678" s="102">
        <v>3420</v>
      </c>
      <c r="F3678" s="102">
        <f t="shared" ref="F3678:F3686" si="1863">(E3678*D3678)*1.1</f>
        <v>1881000.0000000002</v>
      </c>
      <c r="G3678" s="102">
        <f t="shared" ref="G3678:G3686" si="1864">(E3678*D3678)</f>
        <v>1710000</v>
      </c>
      <c r="H3678" s="690" t="s">
        <v>173</v>
      </c>
      <c r="I3678" s="71" t="s">
        <v>2230</v>
      </c>
      <c r="J3678" s="53">
        <f t="shared" si="1853"/>
        <v>-190000</v>
      </c>
      <c r="K3678" s="63">
        <f t="shared" si="1856"/>
        <v>-0.11111111111111109</v>
      </c>
      <c r="L3678" s="871" t="s">
        <v>2822</v>
      </c>
      <c r="M3678" s="468" t="s">
        <v>1393</v>
      </c>
      <c r="N3678" s="1192">
        <f t="shared" si="1857"/>
        <v>44201</v>
      </c>
      <c r="O3678" s="71" t="s">
        <v>145</v>
      </c>
      <c r="P3678" s="164" t="str">
        <f t="shared" ref="P3678:P3717" si="1865">(C3678)</f>
        <v>CTP 판(1030*790mm)</v>
      </c>
      <c r="Q3678" s="71">
        <f t="shared" ref="Q3678:Q3717" si="1866">D3678</f>
        <v>500</v>
      </c>
      <c r="R3678" s="102">
        <v>3800</v>
      </c>
      <c r="S3678" s="102">
        <f t="shared" si="1854"/>
        <v>2090000.0000000002</v>
      </c>
      <c r="T3678" s="102">
        <f t="shared" si="1855"/>
        <v>1900000</v>
      </c>
      <c r="U3678" s="71" t="str">
        <f t="shared" si="1862"/>
        <v>X</v>
      </c>
      <c r="V3678" s="71"/>
      <c r="W3678" s="474">
        <v>-200000</v>
      </c>
      <c r="X3678" s="71"/>
      <c r="Y3678" s="71"/>
    </row>
    <row r="3679" spans="1:25" ht="30" customHeight="1" x14ac:dyDescent="0.25">
      <c r="A3679" s="1145">
        <v>44201</v>
      </c>
      <c r="B3679" s="664" t="s">
        <v>2352</v>
      </c>
      <c r="C3679" s="760" t="s">
        <v>218</v>
      </c>
      <c r="D3679" s="71">
        <v>3</v>
      </c>
      <c r="E3679" s="102">
        <v>235000</v>
      </c>
      <c r="F3679" s="102">
        <f t="shared" si="1863"/>
        <v>775500.00000000012</v>
      </c>
      <c r="G3679" s="102">
        <f t="shared" si="1864"/>
        <v>705000</v>
      </c>
      <c r="H3679" s="690" t="s">
        <v>142</v>
      </c>
      <c r="I3679" s="71" t="s">
        <v>142</v>
      </c>
      <c r="J3679" s="53">
        <f t="shared" si="1853"/>
        <v>367500</v>
      </c>
      <c r="K3679" s="63">
        <f t="shared" si="1856"/>
        <v>0.52127659574468077</v>
      </c>
      <c r="L3679" s="871" t="s">
        <v>2822</v>
      </c>
      <c r="M3679" s="468" t="s">
        <v>2053</v>
      </c>
      <c r="N3679" s="1192">
        <f t="shared" si="1857"/>
        <v>44201</v>
      </c>
      <c r="O3679" s="71" t="s">
        <v>150</v>
      </c>
      <c r="P3679" s="164" t="str">
        <f t="shared" si="1865"/>
        <v>Fount Web 551AF</v>
      </c>
      <c r="Q3679" s="71">
        <f t="shared" si="1866"/>
        <v>3</v>
      </c>
      <c r="R3679" s="102">
        <v>112500</v>
      </c>
      <c r="S3679" s="102">
        <f t="shared" si="1854"/>
        <v>371250.00000000006</v>
      </c>
      <c r="T3679" s="102">
        <f t="shared" si="1855"/>
        <v>337500</v>
      </c>
      <c r="U3679" s="71" t="str">
        <f t="shared" si="1862"/>
        <v>O</v>
      </c>
      <c r="V3679" s="71"/>
      <c r="W3679" s="474">
        <f>(G3679-T3679)</f>
        <v>367500</v>
      </c>
      <c r="X3679" s="71"/>
      <c r="Y3679" s="71"/>
    </row>
    <row r="3680" spans="1:25" s="209" customFormat="1" ht="30" customHeight="1" x14ac:dyDescent="0.25">
      <c r="A3680" s="1145">
        <v>44201</v>
      </c>
      <c r="B3680" s="664" t="s">
        <v>2352</v>
      </c>
      <c r="C3680" s="71" t="s">
        <v>583</v>
      </c>
      <c r="D3680" s="71">
        <v>24</v>
      </c>
      <c r="E3680" s="102">
        <v>89000</v>
      </c>
      <c r="F3680" s="102">
        <f t="shared" si="1863"/>
        <v>2349600</v>
      </c>
      <c r="G3680" s="102">
        <f t="shared" si="1864"/>
        <v>2136000</v>
      </c>
      <c r="H3680" s="690" t="s">
        <v>142</v>
      </c>
      <c r="I3680" s="71" t="s">
        <v>142</v>
      </c>
      <c r="J3680" s="53">
        <f t="shared" si="1853"/>
        <v>1080000</v>
      </c>
      <c r="K3680" s="63">
        <f t="shared" si="1856"/>
        <v>0.5056179775280899</v>
      </c>
      <c r="L3680" s="871" t="s">
        <v>2822</v>
      </c>
      <c r="M3680" s="468" t="s">
        <v>2053</v>
      </c>
      <c r="N3680" s="1192">
        <f t="shared" si="1857"/>
        <v>44201</v>
      </c>
      <c r="O3680" s="71" t="s">
        <v>599</v>
      </c>
      <c r="P3680" s="164" t="str">
        <f t="shared" si="1865"/>
        <v>M600 윤전 세정포</v>
      </c>
      <c r="Q3680" s="71">
        <v>24</v>
      </c>
      <c r="R3680" s="102">
        <v>44000</v>
      </c>
      <c r="S3680" s="102">
        <f t="shared" si="1854"/>
        <v>1161600</v>
      </c>
      <c r="T3680" s="102">
        <f t="shared" si="1855"/>
        <v>1056000</v>
      </c>
      <c r="U3680" s="71" t="str">
        <f t="shared" si="1862"/>
        <v>O</v>
      </c>
      <c r="V3680" s="71"/>
      <c r="W3680" s="474">
        <f>(G3680-T3680)</f>
        <v>1080000</v>
      </c>
      <c r="X3680" s="71"/>
      <c r="Y3680" s="71"/>
    </row>
    <row r="3681" spans="1:25" s="209" customFormat="1" ht="30" hidden="1" customHeight="1" x14ac:dyDescent="0.2">
      <c r="A3681" s="1145">
        <v>44202</v>
      </c>
      <c r="B3681" s="664" t="s">
        <v>2155</v>
      </c>
      <c r="C3681" s="71" t="s">
        <v>231</v>
      </c>
      <c r="D3681" s="71">
        <v>10</v>
      </c>
      <c r="E3681" s="102">
        <v>120000</v>
      </c>
      <c r="F3681" s="102">
        <f t="shared" si="1863"/>
        <v>1320000</v>
      </c>
      <c r="G3681" s="102">
        <f t="shared" si="1864"/>
        <v>1200000</v>
      </c>
      <c r="H3681" s="165" t="s">
        <v>172</v>
      </c>
      <c r="I3681" s="71" t="s">
        <v>109</v>
      </c>
      <c r="J3681" s="53">
        <f t="shared" si="1853"/>
        <v>80000</v>
      </c>
      <c r="K3681" s="63">
        <f t="shared" si="1856"/>
        <v>6.6666666666666666E-2</v>
      </c>
      <c r="L3681" s="871" t="s">
        <v>2822</v>
      </c>
      <c r="M3681" s="468"/>
      <c r="N3681" s="1192">
        <f t="shared" si="1857"/>
        <v>44202</v>
      </c>
      <c r="O3681" s="71" t="s">
        <v>151</v>
      </c>
      <c r="P3681" s="164" t="str">
        <f t="shared" si="1865"/>
        <v>Blanket(990*725)</v>
      </c>
      <c r="Q3681" s="71">
        <f t="shared" si="1866"/>
        <v>10</v>
      </c>
      <c r="R3681" s="102">
        <v>112000</v>
      </c>
      <c r="S3681" s="102">
        <f t="shared" si="1854"/>
        <v>1232000</v>
      </c>
      <c r="T3681" s="102">
        <f t="shared" si="1855"/>
        <v>1120000</v>
      </c>
      <c r="U3681" s="71" t="str">
        <f t="shared" si="1862"/>
        <v>O</v>
      </c>
      <c r="V3681" s="71"/>
      <c r="W3681" s="474">
        <v>80000</v>
      </c>
      <c r="X3681" s="71"/>
      <c r="Y3681" s="71"/>
    </row>
    <row r="3682" spans="1:25" ht="30" hidden="1" customHeight="1" x14ac:dyDescent="0.2">
      <c r="A3682" s="1145">
        <v>44202</v>
      </c>
      <c r="B3682" s="664" t="s">
        <v>2353</v>
      </c>
      <c r="C3682" s="71" t="s">
        <v>129</v>
      </c>
      <c r="D3682" s="71">
        <v>7</v>
      </c>
      <c r="E3682" s="102">
        <v>272000</v>
      </c>
      <c r="F3682" s="102">
        <f t="shared" si="1863"/>
        <v>2094400.0000000002</v>
      </c>
      <c r="G3682" s="102">
        <f t="shared" si="1864"/>
        <v>1904000</v>
      </c>
      <c r="H3682" s="165" t="s">
        <v>142</v>
      </c>
      <c r="I3682" s="71" t="s">
        <v>142</v>
      </c>
      <c r="J3682" s="53">
        <f t="shared" si="1853"/>
        <v>414400</v>
      </c>
      <c r="K3682" s="63">
        <f t="shared" si="1856"/>
        <v>0.21764705882352939</v>
      </c>
      <c r="L3682" s="871" t="s">
        <v>2822</v>
      </c>
      <c r="M3682" s="468" t="s">
        <v>2050</v>
      </c>
      <c r="N3682" s="1192">
        <f t="shared" si="1857"/>
        <v>44202</v>
      </c>
      <c r="O3682" s="71" t="s">
        <v>149</v>
      </c>
      <c r="P3682" s="164" t="str">
        <f t="shared" si="1865"/>
        <v>세정포-XL106</v>
      </c>
      <c r="Q3682" s="71">
        <f t="shared" si="1866"/>
        <v>7</v>
      </c>
      <c r="R3682" s="102">
        <v>212800</v>
      </c>
      <c r="S3682" s="102">
        <f t="shared" si="1854"/>
        <v>1638560.0000000002</v>
      </c>
      <c r="T3682" s="102">
        <f t="shared" si="1855"/>
        <v>1489600</v>
      </c>
      <c r="U3682" s="71" t="str">
        <f t="shared" si="1862"/>
        <v>O</v>
      </c>
      <c r="V3682" s="71"/>
      <c r="W3682" s="474">
        <f>(G3682-T3682)</f>
        <v>414400</v>
      </c>
      <c r="X3682" s="71"/>
      <c r="Y3682" s="71"/>
    </row>
    <row r="3683" spans="1:25" s="209" customFormat="1" ht="30" hidden="1" customHeight="1" x14ac:dyDescent="0.2">
      <c r="A3683" s="1145">
        <v>44202</v>
      </c>
      <c r="B3683" s="664" t="s">
        <v>2353</v>
      </c>
      <c r="C3683" s="71" t="s">
        <v>138</v>
      </c>
      <c r="D3683" s="71">
        <v>10</v>
      </c>
      <c r="E3683" s="102">
        <v>54400</v>
      </c>
      <c r="F3683" s="102">
        <f t="shared" si="1863"/>
        <v>598400</v>
      </c>
      <c r="G3683" s="102">
        <f t="shared" si="1864"/>
        <v>544000</v>
      </c>
      <c r="H3683" s="165" t="s">
        <v>142</v>
      </c>
      <c r="I3683" s="71" t="s">
        <v>142</v>
      </c>
      <c r="J3683" s="53">
        <f t="shared" si="1853"/>
        <v>136000</v>
      </c>
      <c r="K3683" s="63">
        <f t="shared" si="1856"/>
        <v>0.25</v>
      </c>
      <c r="L3683" s="871" t="s">
        <v>2822</v>
      </c>
      <c r="M3683" s="468" t="s">
        <v>2214</v>
      </c>
      <c r="N3683" s="1192">
        <f t="shared" si="1857"/>
        <v>44202</v>
      </c>
      <c r="O3683" s="71" t="s">
        <v>2030</v>
      </c>
      <c r="P3683" s="164" t="str">
        <f t="shared" si="1865"/>
        <v>매엽용 세척제(Wash 562)</v>
      </c>
      <c r="Q3683" s="71">
        <f t="shared" si="1866"/>
        <v>10</v>
      </c>
      <c r="R3683" s="102">
        <v>40800</v>
      </c>
      <c r="S3683" s="102">
        <f t="shared" si="1854"/>
        <v>448800.00000000006</v>
      </c>
      <c r="T3683" s="102">
        <f t="shared" si="1855"/>
        <v>408000</v>
      </c>
      <c r="U3683" s="71" t="str">
        <f t="shared" si="1862"/>
        <v>O</v>
      </c>
      <c r="V3683" s="71"/>
      <c r="W3683" s="474">
        <f>(G3683-T3683)</f>
        <v>136000</v>
      </c>
      <c r="X3683" s="71"/>
      <c r="Y3683" s="71"/>
    </row>
    <row r="3684" spans="1:25" ht="30" hidden="1" customHeight="1" x14ac:dyDescent="0.2">
      <c r="A3684" s="1145">
        <v>44202</v>
      </c>
      <c r="B3684" s="664" t="s">
        <v>2579</v>
      </c>
      <c r="C3684" s="71" t="s">
        <v>2651</v>
      </c>
      <c r="D3684" s="71">
        <v>1</v>
      </c>
      <c r="E3684" s="102">
        <v>596000</v>
      </c>
      <c r="F3684" s="102">
        <f t="shared" si="1863"/>
        <v>655600</v>
      </c>
      <c r="G3684" s="102">
        <f t="shared" si="1864"/>
        <v>596000</v>
      </c>
      <c r="H3684" s="165" t="s">
        <v>142</v>
      </c>
      <c r="I3684" s="71" t="s">
        <v>142</v>
      </c>
      <c r="J3684" s="53">
        <f t="shared" si="1853"/>
        <v>156000</v>
      </c>
      <c r="K3684" s="63">
        <f t="shared" si="1856"/>
        <v>0.26174496644295303</v>
      </c>
      <c r="L3684" s="871" t="s">
        <v>2822</v>
      </c>
      <c r="M3684" s="468"/>
      <c r="N3684" s="1192">
        <f t="shared" si="1857"/>
        <v>44202</v>
      </c>
      <c r="O3684" s="71" t="s">
        <v>150</v>
      </c>
      <c r="P3684" s="164" t="str">
        <f t="shared" si="1865"/>
        <v>자동 판걸이용 오버러닝 클러치</v>
      </c>
      <c r="Q3684" s="71">
        <f t="shared" si="1866"/>
        <v>1</v>
      </c>
      <c r="R3684" s="102">
        <v>440000</v>
      </c>
      <c r="S3684" s="102">
        <f t="shared" si="1854"/>
        <v>484000.00000000006</v>
      </c>
      <c r="T3684" s="102">
        <f t="shared" si="1855"/>
        <v>440000</v>
      </c>
      <c r="U3684" s="71"/>
      <c r="V3684" s="71"/>
      <c r="W3684" s="474"/>
      <c r="X3684" s="71"/>
      <c r="Y3684" s="71"/>
    </row>
    <row r="3685" spans="1:25" ht="30" hidden="1" customHeight="1" x14ac:dyDescent="0.25">
      <c r="A3685" s="1145">
        <v>44202</v>
      </c>
      <c r="B3685" s="664" t="s">
        <v>2353</v>
      </c>
      <c r="C3685" s="71" t="s">
        <v>2409</v>
      </c>
      <c r="D3685" s="71">
        <v>3</v>
      </c>
      <c r="E3685" s="102">
        <v>178200</v>
      </c>
      <c r="F3685" s="102">
        <f t="shared" si="1863"/>
        <v>588060</v>
      </c>
      <c r="G3685" s="102">
        <f t="shared" si="1864"/>
        <v>534600</v>
      </c>
      <c r="H3685" s="690" t="s">
        <v>142</v>
      </c>
      <c r="I3685" s="71" t="s">
        <v>142</v>
      </c>
      <c r="J3685" s="53">
        <f t="shared" si="1853"/>
        <v>84600</v>
      </c>
      <c r="K3685" s="63">
        <f t="shared" si="1856"/>
        <v>0.15824915824915825</v>
      </c>
      <c r="L3685" s="871" t="s">
        <v>2822</v>
      </c>
      <c r="M3685" s="468"/>
      <c r="N3685" s="1192">
        <f t="shared" si="1857"/>
        <v>44202</v>
      </c>
      <c r="O3685" s="71" t="s">
        <v>150</v>
      </c>
      <c r="P3685" s="164" t="str">
        <f t="shared" si="1865"/>
        <v>판걸이 실린더 바깥쪽</v>
      </c>
      <c r="Q3685" s="71">
        <f t="shared" si="1866"/>
        <v>3</v>
      </c>
      <c r="R3685" s="102">
        <v>150000</v>
      </c>
      <c r="S3685" s="102">
        <f t="shared" si="1854"/>
        <v>495000.00000000006</v>
      </c>
      <c r="T3685" s="102">
        <f t="shared" si="1855"/>
        <v>450000</v>
      </c>
      <c r="U3685" s="71" t="str">
        <f>IF(J3685=W3685,"O", "X")</f>
        <v>X</v>
      </c>
      <c r="V3685" s="71"/>
      <c r="W3685" s="474"/>
      <c r="X3685" s="71"/>
      <c r="Y3685" s="71"/>
    </row>
    <row r="3686" spans="1:25" s="209" customFormat="1" ht="30" hidden="1" customHeight="1" x14ac:dyDescent="0.25">
      <c r="A3686" s="1145">
        <v>44202</v>
      </c>
      <c r="B3686" s="664" t="s">
        <v>567</v>
      </c>
      <c r="C3686" s="71" t="s">
        <v>236</v>
      </c>
      <c r="D3686" s="71">
        <v>5</v>
      </c>
      <c r="E3686" s="102">
        <v>65000</v>
      </c>
      <c r="F3686" s="102">
        <f t="shared" si="1863"/>
        <v>357500</v>
      </c>
      <c r="G3686" s="102">
        <f t="shared" si="1864"/>
        <v>325000</v>
      </c>
      <c r="H3686" s="690" t="s">
        <v>173</v>
      </c>
      <c r="I3686" s="71" t="s">
        <v>2231</v>
      </c>
      <c r="J3686" s="53">
        <f t="shared" si="1853"/>
        <v>75000</v>
      </c>
      <c r="K3686" s="63">
        <f t="shared" si="1856"/>
        <v>0.23076923076923078</v>
      </c>
      <c r="L3686" s="871" t="s">
        <v>2822</v>
      </c>
      <c r="M3686" s="468"/>
      <c r="N3686" s="1192">
        <f t="shared" si="1857"/>
        <v>44202</v>
      </c>
      <c r="O3686" s="71" t="s">
        <v>153</v>
      </c>
      <c r="P3686" s="164" t="str">
        <f t="shared" si="1865"/>
        <v>아스테이지(국전)</v>
      </c>
      <c r="Q3686" s="71">
        <f t="shared" si="1866"/>
        <v>5</v>
      </c>
      <c r="R3686" s="102">
        <v>50000</v>
      </c>
      <c r="S3686" s="102">
        <f t="shared" si="1854"/>
        <v>275000</v>
      </c>
      <c r="T3686" s="102">
        <f t="shared" si="1855"/>
        <v>250000</v>
      </c>
      <c r="U3686" s="71" t="str">
        <f>IF(J3686=W3686,"O", "X")</f>
        <v>X</v>
      </c>
      <c r="V3686" s="71"/>
      <c r="W3686" s="474">
        <v>150000</v>
      </c>
      <c r="X3686" s="71"/>
      <c r="Y3686" s="71"/>
    </row>
    <row r="3687" spans="1:25" ht="30" hidden="1" customHeight="1" x14ac:dyDescent="0.25">
      <c r="A3687" s="1145">
        <v>44202</v>
      </c>
      <c r="B3687" s="664" t="s">
        <v>546</v>
      </c>
      <c r="C3687" s="71" t="s">
        <v>114</v>
      </c>
      <c r="D3687" s="71">
        <v>50</v>
      </c>
      <c r="E3687" s="102">
        <v>18000</v>
      </c>
      <c r="F3687" s="102">
        <f t="shared" ref="F3687:F3727" si="1867">(E3687*D3687)*1.1</f>
        <v>990000.00000000012</v>
      </c>
      <c r="G3687" s="102">
        <f t="shared" ref="G3687:G3727" si="1868">(E3687*D3687)</f>
        <v>900000</v>
      </c>
      <c r="H3687" s="690" t="s">
        <v>1431</v>
      </c>
      <c r="I3687" s="71" t="s">
        <v>1431</v>
      </c>
      <c r="J3687" s="53">
        <f t="shared" si="1853"/>
        <v>450000</v>
      </c>
      <c r="K3687" s="63">
        <f t="shared" si="1856"/>
        <v>0.49999999999999994</v>
      </c>
      <c r="L3687" s="871" t="s">
        <v>2822</v>
      </c>
      <c r="M3687" s="468"/>
      <c r="N3687" s="1192">
        <f t="shared" si="1857"/>
        <v>44202</v>
      </c>
      <c r="O3687" s="71" t="s">
        <v>1431</v>
      </c>
      <c r="P3687" s="164" t="str">
        <f t="shared" si="1865"/>
        <v>스트리퍼</v>
      </c>
      <c r="Q3687" s="71">
        <f t="shared" si="1866"/>
        <v>50</v>
      </c>
      <c r="R3687" s="102">
        <v>9000</v>
      </c>
      <c r="S3687" s="102">
        <f t="shared" si="1854"/>
        <v>495000.00000000006</v>
      </c>
      <c r="T3687" s="102">
        <f t="shared" si="1855"/>
        <v>450000</v>
      </c>
      <c r="U3687" s="71"/>
      <c r="V3687" s="71"/>
      <c r="W3687" s="474"/>
      <c r="X3687" s="71"/>
      <c r="Y3687" s="71"/>
    </row>
    <row r="3688" spans="1:25" ht="30" hidden="1" customHeight="1" x14ac:dyDescent="0.25">
      <c r="A3688" s="1145">
        <v>44202</v>
      </c>
      <c r="B3688" s="664" t="s">
        <v>546</v>
      </c>
      <c r="C3688" s="71" t="s">
        <v>1918</v>
      </c>
      <c r="D3688" s="71">
        <v>30</v>
      </c>
      <c r="E3688" s="102">
        <v>27000</v>
      </c>
      <c r="F3688" s="102">
        <f t="shared" si="1867"/>
        <v>891000.00000000012</v>
      </c>
      <c r="G3688" s="102">
        <f t="shared" si="1868"/>
        <v>810000</v>
      </c>
      <c r="H3688" s="690" t="s">
        <v>1431</v>
      </c>
      <c r="I3688" s="71" t="s">
        <v>1431</v>
      </c>
      <c r="J3688" s="53">
        <f t="shared" si="1853"/>
        <v>390000</v>
      </c>
      <c r="K3688" s="63">
        <f t="shared" si="1856"/>
        <v>0.4814814814814814</v>
      </c>
      <c r="L3688" s="871" t="s">
        <v>2822</v>
      </c>
      <c r="M3688" s="468"/>
      <c r="N3688" s="1192">
        <f t="shared" si="1857"/>
        <v>44202</v>
      </c>
      <c r="O3688" s="71" t="s">
        <v>1431</v>
      </c>
      <c r="P3688" s="164" t="str">
        <f t="shared" si="1865"/>
        <v>브러쉬</v>
      </c>
      <c r="Q3688" s="71">
        <f t="shared" si="1866"/>
        <v>30</v>
      </c>
      <c r="R3688" s="102">
        <v>14000</v>
      </c>
      <c r="S3688" s="102">
        <f t="shared" si="1854"/>
        <v>462000.00000000006</v>
      </c>
      <c r="T3688" s="102">
        <f t="shared" si="1855"/>
        <v>420000</v>
      </c>
      <c r="U3688" s="71"/>
      <c r="V3688" s="71"/>
      <c r="W3688" s="474"/>
      <c r="X3688" s="71"/>
      <c r="Y3688" s="71"/>
    </row>
    <row r="3689" spans="1:25" s="209" customFormat="1" ht="30" hidden="1" customHeight="1" x14ac:dyDescent="0.25">
      <c r="A3689" s="1145">
        <v>44204</v>
      </c>
      <c r="B3689" s="664" t="s">
        <v>2155</v>
      </c>
      <c r="C3689" s="71" t="s">
        <v>138</v>
      </c>
      <c r="D3689" s="71">
        <v>10</v>
      </c>
      <c r="E3689" s="102">
        <v>47600</v>
      </c>
      <c r="F3689" s="102">
        <f t="shared" si="1867"/>
        <v>523600.00000000006</v>
      </c>
      <c r="G3689" s="102">
        <f t="shared" si="1868"/>
        <v>476000</v>
      </c>
      <c r="H3689" s="1129" t="s">
        <v>172</v>
      </c>
      <c r="I3689" s="71" t="s">
        <v>108</v>
      </c>
      <c r="J3689" s="53">
        <f t="shared" si="1853"/>
        <v>68000</v>
      </c>
      <c r="K3689" s="63">
        <f t="shared" si="1856"/>
        <v>0.14285714285714285</v>
      </c>
      <c r="L3689" s="871" t="s">
        <v>2822</v>
      </c>
      <c r="M3689" s="468" t="s">
        <v>2214</v>
      </c>
      <c r="N3689" s="1192">
        <f t="shared" si="1857"/>
        <v>44204</v>
      </c>
      <c r="O3689" s="71" t="s">
        <v>150</v>
      </c>
      <c r="P3689" s="164" t="str">
        <f t="shared" si="1865"/>
        <v>매엽용 세척제(Wash 562)</v>
      </c>
      <c r="Q3689" s="71">
        <f t="shared" si="1866"/>
        <v>10</v>
      </c>
      <c r="R3689" s="102">
        <v>40800</v>
      </c>
      <c r="S3689" s="102">
        <f t="shared" si="1854"/>
        <v>448800.00000000006</v>
      </c>
      <c r="T3689" s="102">
        <f t="shared" si="1855"/>
        <v>408000</v>
      </c>
      <c r="U3689" s="71" t="str">
        <f>IF(J3689=W3689,"O", "X")</f>
        <v>X</v>
      </c>
      <c r="V3689" s="71"/>
      <c r="W3689" s="474">
        <v>85000</v>
      </c>
      <c r="X3689" s="71"/>
      <c r="Y3689" s="71"/>
    </row>
    <row r="3690" spans="1:25" ht="30" hidden="1" customHeight="1" x14ac:dyDescent="0.25">
      <c r="A3690" s="1145">
        <v>44204</v>
      </c>
      <c r="B3690" s="664" t="s">
        <v>1155</v>
      </c>
      <c r="C3690" s="71" t="s">
        <v>123</v>
      </c>
      <c r="D3690" s="71">
        <v>10</v>
      </c>
      <c r="E3690" s="102">
        <v>30000</v>
      </c>
      <c r="F3690" s="102">
        <f t="shared" si="1867"/>
        <v>330000</v>
      </c>
      <c r="G3690" s="102">
        <f t="shared" si="1868"/>
        <v>300000</v>
      </c>
      <c r="H3690" s="690" t="s">
        <v>1432</v>
      </c>
      <c r="I3690" s="71" t="s">
        <v>1432</v>
      </c>
      <c r="J3690" s="53">
        <f t="shared" si="1853"/>
        <v>60000</v>
      </c>
      <c r="K3690" s="63">
        <f t="shared" si="1856"/>
        <v>0.2</v>
      </c>
      <c r="L3690" s="871" t="s">
        <v>2822</v>
      </c>
      <c r="M3690" s="468"/>
      <c r="N3690" s="1192">
        <f t="shared" si="1857"/>
        <v>44204</v>
      </c>
      <c r="O3690" s="71" t="s">
        <v>94</v>
      </c>
      <c r="P3690" s="164" t="str">
        <f t="shared" si="1865"/>
        <v>필터백</v>
      </c>
      <c r="Q3690" s="71">
        <f t="shared" si="1866"/>
        <v>10</v>
      </c>
      <c r="R3690" s="102">
        <v>24000</v>
      </c>
      <c r="S3690" s="102">
        <f t="shared" si="1854"/>
        <v>264000</v>
      </c>
      <c r="T3690" s="102">
        <f t="shared" si="1855"/>
        <v>240000</v>
      </c>
      <c r="U3690" s="71"/>
      <c r="V3690" s="71"/>
      <c r="W3690" s="474"/>
      <c r="X3690" s="71"/>
      <c r="Y3690" s="71"/>
    </row>
    <row r="3691" spans="1:25" ht="30" hidden="1" customHeight="1" x14ac:dyDescent="0.25">
      <c r="A3691" s="1145">
        <v>44205</v>
      </c>
      <c r="B3691" s="664" t="s">
        <v>545</v>
      </c>
      <c r="C3691" s="71" t="s">
        <v>952</v>
      </c>
      <c r="D3691" s="71">
        <v>1</v>
      </c>
      <c r="E3691" s="102">
        <v>630000</v>
      </c>
      <c r="F3691" s="102">
        <f t="shared" si="1867"/>
        <v>693000</v>
      </c>
      <c r="G3691" s="102">
        <f t="shared" si="1868"/>
        <v>630000</v>
      </c>
      <c r="H3691" s="690" t="s">
        <v>173</v>
      </c>
      <c r="I3691" s="71" t="s">
        <v>108</v>
      </c>
      <c r="J3691" s="53">
        <f t="shared" si="1853"/>
        <v>190000</v>
      </c>
      <c r="K3691" s="63">
        <f t="shared" si="1856"/>
        <v>0.30158730158730157</v>
      </c>
      <c r="L3691" s="871" t="s">
        <v>2656</v>
      </c>
      <c r="M3691" s="468"/>
      <c r="N3691" s="1192">
        <f t="shared" si="1857"/>
        <v>44205</v>
      </c>
      <c r="O3691" s="71" t="s">
        <v>599</v>
      </c>
      <c r="P3691" s="164" t="str">
        <f t="shared" si="1865"/>
        <v>점보롤 세정포</v>
      </c>
      <c r="Q3691" s="71">
        <f t="shared" si="1866"/>
        <v>1</v>
      </c>
      <c r="R3691" s="102">
        <v>440000</v>
      </c>
      <c r="S3691" s="102">
        <f t="shared" si="1854"/>
        <v>484000.00000000006</v>
      </c>
      <c r="T3691" s="102">
        <f t="shared" si="1855"/>
        <v>440000</v>
      </c>
      <c r="U3691" s="71" t="str">
        <f t="shared" ref="U3691:U3696" si="1869">IF(J3691=W3691,"O", "X")</f>
        <v>O</v>
      </c>
      <c r="V3691" s="71" t="s">
        <v>1228</v>
      </c>
      <c r="W3691" s="474">
        <f>(G3691-T3691)</f>
        <v>190000</v>
      </c>
      <c r="X3691" s="71"/>
      <c r="Y3691" s="71"/>
    </row>
    <row r="3692" spans="1:25" ht="30" hidden="1" customHeight="1" x14ac:dyDescent="0.25">
      <c r="A3692" s="1145">
        <v>44207</v>
      </c>
      <c r="B3692" s="664" t="s">
        <v>442</v>
      </c>
      <c r="C3692" s="71" t="s">
        <v>206</v>
      </c>
      <c r="D3692" s="71">
        <v>2</v>
      </c>
      <c r="E3692" s="102">
        <v>327000</v>
      </c>
      <c r="F3692" s="102">
        <f t="shared" si="1867"/>
        <v>719400</v>
      </c>
      <c r="G3692" s="102">
        <f t="shared" si="1868"/>
        <v>654000</v>
      </c>
      <c r="H3692" s="690" t="s">
        <v>2029</v>
      </c>
      <c r="I3692" s="71" t="s">
        <v>195</v>
      </c>
      <c r="J3692" s="53">
        <f t="shared" si="1853"/>
        <v>115800</v>
      </c>
      <c r="K3692" s="63">
        <f t="shared" si="1856"/>
        <v>0.17706422018348625</v>
      </c>
      <c r="L3692" s="871" t="s">
        <v>2822</v>
      </c>
      <c r="M3692" s="468"/>
      <c r="N3692" s="1192">
        <f t="shared" si="1857"/>
        <v>44207</v>
      </c>
      <c r="O3692" s="71" t="s">
        <v>194</v>
      </c>
      <c r="P3692" s="164" t="str">
        <f t="shared" si="1865"/>
        <v>Agfa Film(24inch)</v>
      </c>
      <c r="Q3692" s="71">
        <f t="shared" si="1866"/>
        <v>2</v>
      </c>
      <c r="R3692" s="102">
        <v>269100</v>
      </c>
      <c r="S3692" s="102">
        <f t="shared" si="1854"/>
        <v>592020</v>
      </c>
      <c r="T3692" s="102">
        <f t="shared" si="1855"/>
        <v>538200</v>
      </c>
      <c r="U3692" s="71" t="str">
        <f t="shared" si="1869"/>
        <v>O</v>
      </c>
      <c r="V3692" s="71"/>
      <c r="W3692" s="474">
        <f>(G3692-T3692)</f>
        <v>115800</v>
      </c>
      <c r="X3692" s="71"/>
      <c r="Y3692" s="71"/>
    </row>
    <row r="3693" spans="1:25" ht="30" hidden="1" customHeight="1" x14ac:dyDescent="0.25">
      <c r="A3693" s="1145">
        <v>44207</v>
      </c>
      <c r="B3693" s="664" t="s">
        <v>442</v>
      </c>
      <c r="C3693" s="71" t="s">
        <v>207</v>
      </c>
      <c r="D3693" s="71">
        <v>2</v>
      </c>
      <c r="E3693" s="102">
        <v>401000</v>
      </c>
      <c r="F3693" s="102">
        <f t="shared" si="1867"/>
        <v>882200.00000000012</v>
      </c>
      <c r="G3693" s="102">
        <f t="shared" si="1868"/>
        <v>802000</v>
      </c>
      <c r="H3693" s="690" t="s">
        <v>2029</v>
      </c>
      <c r="I3693" s="71" t="s">
        <v>195</v>
      </c>
      <c r="J3693" s="53">
        <f t="shared" si="1853"/>
        <v>174080</v>
      </c>
      <c r="K3693" s="63">
        <f t="shared" si="1856"/>
        <v>0.21705735660847877</v>
      </c>
      <c r="L3693" s="871" t="s">
        <v>2822</v>
      </c>
      <c r="M3693" s="468"/>
      <c r="N3693" s="1192">
        <f t="shared" si="1857"/>
        <v>44207</v>
      </c>
      <c r="O3693" s="71" t="s">
        <v>194</v>
      </c>
      <c r="P3693" s="164" t="str">
        <f t="shared" si="1865"/>
        <v>Agfa Film(28inch)</v>
      </c>
      <c r="Q3693" s="71">
        <f t="shared" si="1866"/>
        <v>2</v>
      </c>
      <c r="R3693" s="102">
        <f>VLOOKUP(P3693,[5]Price!B$1:D$65536,3,FALSE)</f>
        <v>313960</v>
      </c>
      <c r="S3693" s="102">
        <f t="shared" si="1854"/>
        <v>690712</v>
      </c>
      <c r="T3693" s="102">
        <f t="shared" si="1855"/>
        <v>627920</v>
      </c>
      <c r="U3693" s="71" t="str">
        <f t="shared" si="1869"/>
        <v>O</v>
      </c>
      <c r="V3693" s="71"/>
      <c r="W3693" s="474">
        <f>(G3693-T3693)</f>
        <v>174080</v>
      </c>
      <c r="X3693" s="71"/>
      <c r="Y3693" s="71"/>
    </row>
    <row r="3694" spans="1:25" ht="30" hidden="1" customHeight="1" x14ac:dyDescent="0.2">
      <c r="A3694" s="1145">
        <v>44207</v>
      </c>
      <c r="B3694" s="664" t="s">
        <v>442</v>
      </c>
      <c r="C3694" s="71" t="s">
        <v>650</v>
      </c>
      <c r="D3694" s="71">
        <v>1</v>
      </c>
      <c r="E3694" s="102">
        <v>93000</v>
      </c>
      <c r="F3694" s="102">
        <f t="shared" si="1867"/>
        <v>102300.00000000001</v>
      </c>
      <c r="G3694" s="102">
        <f t="shared" si="1868"/>
        <v>93000</v>
      </c>
      <c r="H3694" s="165" t="s">
        <v>172</v>
      </c>
      <c r="I3694" s="71" t="s">
        <v>141</v>
      </c>
      <c r="J3694" s="53">
        <f t="shared" si="1853"/>
        <v>33000</v>
      </c>
      <c r="K3694" s="63">
        <f t="shared" si="1856"/>
        <v>0.35483870967741932</v>
      </c>
      <c r="L3694" s="871" t="s">
        <v>2822</v>
      </c>
      <c r="M3694" s="468"/>
      <c r="N3694" s="1192">
        <f t="shared" si="1857"/>
        <v>44207</v>
      </c>
      <c r="O3694" s="71" t="s">
        <v>145</v>
      </c>
      <c r="P3694" s="164" t="str">
        <f t="shared" si="1865"/>
        <v>Agfa 정착액 G333C(20L)</v>
      </c>
      <c r="Q3694" s="71">
        <f t="shared" si="1866"/>
        <v>1</v>
      </c>
      <c r="R3694" s="102">
        <f>VLOOKUP(P3694,Price!B:D,3,FALSE)</f>
        <v>60000</v>
      </c>
      <c r="S3694" s="102">
        <f t="shared" si="1854"/>
        <v>66000</v>
      </c>
      <c r="T3694" s="102">
        <f t="shared" si="1855"/>
        <v>60000</v>
      </c>
      <c r="U3694" s="71" t="str">
        <f t="shared" si="1869"/>
        <v>O</v>
      </c>
      <c r="V3694" s="71"/>
      <c r="W3694" s="474">
        <f>(G3694-T3694)</f>
        <v>33000</v>
      </c>
      <c r="X3694" s="71"/>
      <c r="Y3694" s="71"/>
    </row>
    <row r="3695" spans="1:25" ht="30" hidden="1" customHeight="1" x14ac:dyDescent="0.25">
      <c r="A3695" s="1145">
        <v>44208</v>
      </c>
      <c r="B3695" s="664" t="s">
        <v>2155</v>
      </c>
      <c r="C3695" s="71" t="s">
        <v>277</v>
      </c>
      <c r="D3695" s="71">
        <v>5</v>
      </c>
      <c r="E3695" s="102">
        <v>172000</v>
      </c>
      <c r="F3695" s="102">
        <f t="shared" si="1867"/>
        <v>946000.00000000012</v>
      </c>
      <c r="G3695" s="102">
        <f t="shared" si="1868"/>
        <v>860000</v>
      </c>
      <c r="H3695" s="690" t="s">
        <v>173</v>
      </c>
      <c r="I3695" s="71" t="s">
        <v>108</v>
      </c>
      <c r="J3695" s="53">
        <f t="shared" si="1853"/>
        <v>285000</v>
      </c>
      <c r="K3695" s="63">
        <f t="shared" si="1856"/>
        <v>0.33139534883720928</v>
      </c>
      <c r="L3695" s="871" t="s">
        <v>2822</v>
      </c>
      <c r="M3695" s="468"/>
      <c r="N3695" s="1192">
        <f t="shared" si="1857"/>
        <v>44208</v>
      </c>
      <c r="O3695" s="71" t="s">
        <v>150</v>
      </c>
      <c r="P3695" s="164" t="str">
        <f t="shared" si="1865"/>
        <v>윤전용 세척제(Web 504)</v>
      </c>
      <c r="Q3695" s="71">
        <f t="shared" si="1866"/>
        <v>5</v>
      </c>
      <c r="R3695" s="102">
        <v>115000</v>
      </c>
      <c r="S3695" s="102">
        <f t="shared" si="1854"/>
        <v>632500</v>
      </c>
      <c r="T3695" s="102">
        <f t="shared" si="1855"/>
        <v>575000</v>
      </c>
      <c r="U3695" s="71" t="str">
        <f t="shared" si="1869"/>
        <v>O</v>
      </c>
      <c r="V3695" s="71"/>
      <c r="W3695" s="474">
        <v>285000</v>
      </c>
      <c r="X3695" s="71"/>
      <c r="Y3695" s="71"/>
    </row>
    <row r="3696" spans="1:25" ht="30" hidden="1" customHeight="1" x14ac:dyDescent="0.25">
      <c r="A3696" s="1145">
        <v>44208</v>
      </c>
      <c r="B3696" s="664" t="s">
        <v>2155</v>
      </c>
      <c r="C3696" s="760" t="s">
        <v>218</v>
      </c>
      <c r="D3696" s="71">
        <v>3</v>
      </c>
      <c r="E3696" s="102">
        <v>192500</v>
      </c>
      <c r="F3696" s="102">
        <f t="shared" si="1867"/>
        <v>635250</v>
      </c>
      <c r="G3696" s="102">
        <f t="shared" si="1868"/>
        <v>577500</v>
      </c>
      <c r="H3696" s="690" t="s">
        <v>173</v>
      </c>
      <c r="I3696" s="71" t="s">
        <v>120</v>
      </c>
      <c r="J3696" s="53">
        <f t="shared" si="1853"/>
        <v>240000</v>
      </c>
      <c r="K3696" s="63">
        <f t="shared" si="1856"/>
        <v>0.41558441558441561</v>
      </c>
      <c r="L3696" s="871" t="s">
        <v>2822</v>
      </c>
      <c r="M3696" s="468"/>
      <c r="N3696" s="1192">
        <f t="shared" si="1857"/>
        <v>44208</v>
      </c>
      <c r="O3696" s="71" t="s">
        <v>150</v>
      </c>
      <c r="P3696" s="164" t="str">
        <f t="shared" si="1865"/>
        <v>Fount Web 551AF</v>
      </c>
      <c r="Q3696" s="71">
        <f t="shared" si="1866"/>
        <v>3</v>
      </c>
      <c r="R3696" s="102">
        <v>112500</v>
      </c>
      <c r="S3696" s="102">
        <f t="shared" si="1854"/>
        <v>371250.00000000006</v>
      </c>
      <c r="T3696" s="102">
        <f t="shared" si="1855"/>
        <v>337500</v>
      </c>
      <c r="U3696" s="71" t="str">
        <f t="shared" si="1869"/>
        <v>X</v>
      </c>
      <c r="V3696" s="71"/>
      <c r="W3696" s="474">
        <v>640000</v>
      </c>
      <c r="X3696" s="71"/>
      <c r="Y3696" s="71"/>
    </row>
    <row r="3697" spans="1:25" ht="30" hidden="1" customHeight="1" x14ac:dyDescent="0.25">
      <c r="A3697" s="1145">
        <v>44208</v>
      </c>
      <c r="B3697" s="664" t="s">
        <v>2637</v>
      </c>
      <c r="C3697" s="71" t="s">
        <v>2638</v>
      </c>
      <c r="D3697" s="71">
        <v>1</v>
      </c>
      <c r="E3697" s="102">
        <v>2600000</v>
      </c>
      <c r="F3697" s="102">
        <f t="shared" si="1867"/>
        <v>2860000</v>
      </c>
      <c r="G3697" s="102">
        <f t="shared" si="1868"/>
        <v>2600000</v>
      </c>
      <c r="H3697" s="690" t="s">
        <v>1432</v>
      </c>
      <c r="I3697" s="71" t="s">
        <v>1432</v>
      </c>
      <c r="J3697" s="53">
        <f t="shared" si="1853"/>
        <v>500000</v>
      </c>
      <c r="K3697" s="63">
        <f t="shared" si="1856"/>
        <v>0.19230769230769232</v>
      </c>
      <c r="L3697" s="871" t="s">
        <v>2822</v>
      </c>
      <c r="M3697" s="468"/>
      <c r="N3697" s="1192">
        <f t="shared" si="1857"/>
        <v>44208</v>
      </c>
      <c r="O3697" s="71" t="s">
        <v>94</v>
      </c>
      <c r="P3697" s="164" t="str">
        <f t="shared" si="1865"/>
        <v>Technotrans 판형열교환기</v>
      </c>
      <c r="Q3697" s="71">
        <f t="shared" si="1866"/>
        <v>1</v>
      </c>
      <c r="R3697" s="102">
        <v>2100000</v>
      </c>
      <c r="S3697" s="102">
        <f t="shared" si="1854"/>
        <v>2310000</v>
      </c>
      <c r="T3697" s="102">
        <f t="shared" si="1855"/>
        <v>2100000</v>
      </c>
      <c r="U3697" s="71"/>
      <c r="V3697" s="71"/>
      <c r="W3697" s="474"/>
      <c r="X3697" s="71"/>
      <c r="Y3697" s="71"/>
    </row>
    <row r="3698" spans="1:25" ht="30" hidden="1" customHeight="1" x14ac:dyDescent="0.25">
      <c r="A3698" s="1145">
        <v>44210</v>
      </c>
      <c r="B3698" s="664" t="s">
        <v>446</v>
      </c>
      <c r="C3698" s="71" t="s">
        <v>2028</v>
      </c>
      <c r="D3698" s="71">
        <v>20</v>
      </c>
      <c r="E3698" s="102">
        <v>105000</v>
      </c>
      <c r="F3698" s="102">
        <f t="shared" si="1867"/>
        <v>2310000</v>
      </c>
      <c r="G3698" s="102">
        <f t="shared" si="1868"/>
        <v>2100000</v>
      </c>
      <c r="H3698" s="690" t="s">
        <v>2029</v>
      </c>
      <c r="I3698" s="71" t="s">
        <v>2231</v>
      </c>
      <c r="J3698" s="53">
        <f t="shared" si="1853"/>
        <v>380000</v>
      </c>
      <c r="K3698" s="63">
        <f t="shared" si="1856"/>
        <v>0.18095238095238095</v>
      </c>
      <c r="L3698" s="871" t="s">
        <v>2822</v>
      </c>
      <c r="M3698" s="468" t="s">
        <v>3068</v>
      </c>
      <c r="N3698" s="1192">
        <f t="shared" si="1857"/>
        <v>44210</v>
      </c>
      <c r="O3698" s="71" t="s">
        <v>2030</v>
      </c>
      <c r="P3698" s="164" t="str">
        <f t="shared" si="1865"/>
        <v>실리콘 에멀전</v>
      </c>
      <c r="Q3698" s="71">
        <f t="shared" si="1866"/>
        <v>20</v>
      </c>
      <c r="R3698" s="102">
        <v>86000</v>
      </c>
      <c r="S3698" s="102">
        <f t="shared" si="1854"/>
        <v>1892000.0000000002</v>
      </c>
      <c r="T3698" s="102">
        <f t="shared" si="1855"/>
        <v>1720000</v>
      </c>
      <c r="U3698" s="71" t="str">
        <f>IF(J3698=W3698,"O", "X")</f>
        <v>O</v>
      </c>
      <c r="V3698" s="71">
        <f>7000*Q3698</f>
        <v>140000</v>
      </c>
      <c r="W3698" s="474">
        <f>(G3698-T3698)</f>
        <v>380000</v>
      </c>
      <c r="X3698" s="71"/>
      <c r="Y3698" s="71"/>
    </row>
    <row r="3699" spans="1:25" ht="30" hidden="1" customHeight="1" x14ac:dyDescent="0.25">
      <c r="A3699" s="1145">
        <v>44210</v>
      </c>
      <c r="B3699" s="664" t="s">
        <v>545</v>
      </c>
      <c r="C3699" s="71" t="s">
        <v>227</v>
      </c>
      <c r="D3699" s="71">
        <v>10</v>
      </c>
      <c r="E3699" s="102">
        <v>110000</v>
      </c>
      <c r="F3699" s="102">
        <f t="shared" si="1867"/>
        <v>1210000</v>
      </c>
      <c r="G3699" s="102">
        <f t="shared" si="1868"/>
        <v>1100000</v>
      </c>
      <c r="H3699" s="690" t="s">
        <v>173</v>
      </c>
      <c r="I3699" s="71" t="s">
        <v>109</v>
      </c>
      <c r="J3699" s="53">
        <f t="shared" si="1853"/>
        <v>271000</v>
      </c>
      <c r="K3699" s="63">
        <f t="shared" si="1856"/>
        <v>0.24636363636363637</v>
      </c>
      <c r="L3699" s="871" t="s">
        <v>2656</v>
      </c>
      <c r="M3699" s="468"/>
      <c r="N3699" s="1192">
        <f t="shared" si="1857"/>
        <v>44210</v>
      </c>
      <c r="O3699" s="71" t="s">
        <v>147</v>
      </c>
      <c r="P3699" s="164" t="str">
        <f t="shared" si="1865"/>
        <v>Blanket(1060*860)</v>
      </c>
      <c r="Q3699" s="71">
        <f t="shared" si="1866"/>
        <v>10</v>
      </c>
      <c r="R3699" s="102">
        <v>82900</v>
      </c>
      <c r="S3699" s="102">
        <f t="shared" si="1854"/>
        <v>911900.00000000012</v>
      </c>
      <c r="T3699" s="102">
        <f t="shared" si="1855"/>
        <v>829000</v>
      </c>
      <c r="U3699" s="71" t="str">
        <f>IF(J3699=W3699,"O", "X")</f>
        <v>O</v>
      </c>
      <c r="V3699" s="71"/>
      <c r="W3699" s="474">
        <f>(G3699-T3699)</f>
        <v>271000</v>
      </c>
      <c r="X3699" s="71"/>
      <c r="Y3699" s="71"/>
    </row>
    <row r="3700" spans="1:25" ht="30" hidden="1" customHeight="1" x14ac:dyDescent="0.25">
      <c r="A3700" s="1145">
        <v>43845</v>
      </c>
      <c r="B3700" s="664" t="s">
        <v>575</v>
      </c>
      <c r="C3700" s="71" t="s">
        <v>1367</v>
      </c>
      <c r="D3700" s="71">
        <v>8</v>
      </c>
      <c r="E3700" s="102">
        <v>218000</v>
      </c>
      <c r="F3700" s="102">
        <f t="shared" si="1867"/>
        <v>1918400.0000000002</v>
      </c>
      <c r="G3700" s="102">
        <f t="shared" si="1868"/>
        <v>1744000</v>
      </c>
      <c r="H3700" s="690" t="s">
        <v>173</v>
      </c>
      <c r="I3700" s="71" t="s">
        <v>109</v>
      </c>
      <c r="J3700" s="53">
        <f t="shared" si="1853"/>
        <v>781920</v>
      </c>
      <c r="K3700" s="63">
        <f t="shared" si="1856"/>
        <v>0.44834862385321095</v>
      </c>
      <c r="L3700" s="871" t="s">
        <v>2822</v>
      </c>
      <c r="M3700" s="468"/>
      <c r="N3700" s="1192">
        <f t="shared" si="1857"/>
        <v>43845</v>
      </c>
      <c r="O3700" s="71" t="s">
        <v>1443</v>
      </c>
      <c r="P3700" s="164" t="str">
        <f t="shared" si="1865"/>
        <v>M600 윤전 블랑켓 995*742</v>
      </c>
      <c r="Q3700" s="71">
        <f t="shared" si="1866"/>
        <v>8</v>
      </c>
      <c r="R3700" s="102">
        <v>120260</v>
      </c>
      <c r="S3700" s="102">
        <f t="shared" si="1854"/>
        <v>1058288</v>
      </c>
      <c r="T3700" s="102">
        <f t="shared" si="1855"/>
        <v>962080</v>
      </c>
      <c r="U3700" s="71" t="str">
        <f>IF(J3700=W3700,"O", "X")</f>
        <v>X</v>
      </c>
      <c r="V3700" s="71"/>
      <c r="W3700" s="474"/>
      <c r="X3700" s="71"/>
      <c r="Y3700" s="71"/>
    </row>
    <row r="3701" spans="1:25" ht="30" hidden="1" customHeight="1" x14ac:dyDescent="0.25">
      <c r="A3701" s="1145">
        <v>44211</v>
      </c>
      <c r="B3701" s="664" t="s">
        <v>2155</v>
      </c>
      <c r="C3701" s="71" t="s">
        <v>114</v>
      </c>
      <c r="D3701" s="71">
        <v>50</v>
      </c>
      <c r="E3701" s="102">
        <v>14000</v>
      </c>
      <c r="F3701" s="102">
        <f t="shared" si="1867"/>
        <v>770000.00000000012</v>
      </c>
      <c r="G3701" s="102">
        <f t="shared" si="1868"/>
        <v>700000</v>
      </c>
      <c r="H3701" s="690" t="s">
        <v>1431</v>
      </c>
      <c r="I3701" s="71" t="s">
        <v>1431</v>
      </c>
      <c r="J3701" s="53">
        <f t="shared" si="1853"/>
        <v>250000</v>
      </c>
      <c r="K3701" s="63">
        <f t="shared" si="1856"/>
        <v>0.3571428571428571</v>
      </c>
      <c r="L3701" s="871" t="s">
        <v>2822</v>
      </c>
      <c r="M3701" s="468"/>
      <c r="N3701" s="1192">
        <f t="shared" si="1857"/>
        <v>44211</v>
      </c>
      <c r="O3701" s="71" t="s">
        <v>1431</v>
      </c>
      <c r="P3701" s="164" t="str">
        <f t="shared" si="1865"/>
        <v>스트리퍼</v>
      </c>
      <c r="Q3701" s="71">
        <f t="shared" si="1866"/>
        <v>50</v>
      </c>
      <c r="R3701" s="102">
        <v>9000</v>
      </c>
      <c r="S3701" s="102">
        <f t="shared" si="1854"/>
        <v>495000.00000000006</v>
      </c>
      <c r="T3701" s="102">
        <f t="shared" si="1855"/>
        <v>450000</v>
      </c>
      <c r="U3701" s="71"/>
      <c r="V3701" s="71"/>
      <c r="W3701" s="474"/>
      <c r="X3701" s="71"/>
      <c r="Y3701" s="71"/>
    </row>
    <row r="3702" spans="1:25" ht="30" hidden="1" customHeight="1" x14ac:dyDescent="0.25">
      <c r="A3702" s="1145">
        <v>44211</v>
      </c>
      <c r="B3702" s="664" t="s">
        <v>748</v>
      </c>
      <c r="C3702" s="71" t="s">
        <v>114</v>
      </c>
      <c r="D3702" s="71">
        <v>50</v>
      </c>
      <c r="E3702" s="102">
        <v>18000</v>
      </c>
      <c r="F3702" s="102">
        <f t="shared" si="1867"/>
        <v>990000.00000000012</v>
      </c>
      <c r="G3702" s="102">
        <f t="shared" si="1868"/>
        <v>900000</v>
      </c>
      <c r="H3702" s="690" t="s">
        <v>1431</v>
      </c>
      <c r="I3702" s="71" t="s">
        <v>1431</v>
      </c>
      <c r="J3702" s="53">
        <f t="shared" si="1853"/>
        <v>450000</v>
      </c>
      <c r="K3702" s="63">
        <f t="shared" si="1856"/>
        <v>0.49999999999999994</v>
      </c>
      <c r="L3702" s="871" t="s">
        <v>2822</v>
      </c>
      <c r="M3702" s="468"/>
      <c r="N3702" s="1192">
        <f t="shared" si="1857"/>
        <v>44211</v>
      </c>
      <c r="O3702" s="71" t="s">
        <v>1431</v>
      </c>
      <c r="P3702" s="164" t="str">
        <f t="shared" si="1865"/>
        <v>스트리퍼</v>
      </c>
      <c r="Q3702" s="71">
        <f t="shared" si="1866"/>
        <v>50</v>
      </c>
      <c r="R3702" s="102">
        <v>9000</v>
      </c>
      <c r="S3702" s="102">
        <f t="shared" ref="S3702:S3733" si="1870">R3702*Q3702*1.1</f>
        <v>495000.00000000006</v>
      </c>
      <c r="T3702" s="102">
        <f t="shared" ref="T3702:T3733" si="1871">R3702*Q3702</f>
        <v>450000</v>
      </c>
      <c r="U3702" s="71"/>
      <c r="V3702" s="71"/>
      <c r="W3702" s="474"/>
      <c r="X3702" s="71"/>
      <c r="Y3702" s="71"/>
    </row>
    <row r="3703" spans="1:25" ht="30" hidden="1" customHeight="1" x14ac:dyDescent="0.2">
      <c r="A3703" s="1145">
        <v>44211</v>
      </c>
      <c r="B3703" s="664" t="s">
        <v>2353</v>
      </c>
      <c r="C3703" s="71" t="s">
        <v>129</v>
      </c>
      <c r="D3703" s="71">
        <v>7</v>
      </c>
      <c r="E3703" s="102">
        <v>272000</v>
      </c>
      <c r="F3703" s="102">
        <f t="shared" si="1867"/>
        <v>2094400.0000000002</v>
      </c>
      <c r="G3703" s="102">
        <f t="shared" si="1868"/>
        <v>1904000</v>
      </c>
      <c r="H3703" s="165" t="s">
        <v>142</v>
      </c>
      <c r="I3703" s="71" t="s">
        <v>142</v>
      </c>
      <c r="J3703" s="53">
        <f t="shared" si="1853"/>
        <v>414400</v>
      </c>
      <c r="K3703" s="63">
        <f t="shared" si="1856"/>
        <v>0.21764705882352939</v>
      </c>
      <c r="L3703" s="871" t="s">
        <v>2822</v>
      </c>
      <c r="M3703" s="468" t="s">
        <v>2050</v>
      </c>
      <c r="N3703" s="1192">
        <f t="shared" si="1857"/>
        <v>44211</v>
      </c>
      <c r="O3703" s="71" t="s">
        <v>149</v>
      </c>
      <c r="P3703" s="164" t="str">
        <f t="shared" si="1865"/>
        <v>세정포-XL106</v>
      </c>
      <c r="Q3703" s="71">
        <f t="shared" si="1866"/>
        <v>7</v>
      </c>
      <c r="R3703" s="102">
        <v>212800</v>
      </c>
      <c r="S3703" s="102">
        <f t="shared" si="1870"/>
        <v>1638560.0000000002</v>
      </c>
      <c r="T3703" s="102">
        <f t="shared" si="1871"/>
        <v>1489600</v>
      </c>
      <c r="U3703" s="71" t="str">
        <f>IF(J3703=W3703,"O", "X")</f>
        <v>O</v>
      </c>
      <c r="V3703" s="71"/>
      <c r="W3703" s="474">
        <f>(G3703-T3703)</f>
        <v>414400</v>
      </c>
      <c r="X3703" s="71"/>
      <c r="Y3703" s="71"/>
    </row>
    <row r="3704" spans="1:25" s="209" customFormat="1" ht="30" hidden="1" customHeight="1" x14ac:dyDescent="0.2">
      <c r="A3704" s="1145">
        <v>44211</v>
      </c>
      <c r="B3704" s="664" t="s">
        <v>2353</v>
      </c>
      <c r="C3704" s="71" t="s">
        <v>130</v>
      </c>
      <c r="D3704" s="71">
        <v>10</v>
      </c>
      <c r="E3704" s="102">
        <v>125000</v>
      </c>
      <c r="F3704" s="102">
        <f t="shared" si="1867"/>
        <v>1375000</v>
      </c>
      <c r="G3704" s="102">
        <f t="shared" si="1868"/>
        <v>1250000</v>
      </c>
      <c r="H3704" s="165" t="s">
        <v>142</v>
      </c>
      <c r="I3704" s="71" t="s">
        <v>142</v>
      </c>
      <c r="J3704" s="53">
        <f t="shared" si="1853"/>
        <v>260000</v>
      </c>
      <c r="K3704" s="63">
        <f t="shared" si="1856"/>
        <v>0.20799999999999999</v>
      </c>
      <c r="L3704" s="871" t="s">
        <v>2822</v>
      </c>
      <c r="M3704" s="468" t="s">
        <v>2050</v>
      </c>
      <c r="N3704" s="1192">
        <f t="shared" si="1857"/>
        <v>44211</v>
      </c>
      <c r="O3704" s="71" t="s">
        <v>150</v>
      </c>
      <c r="P3704" s="164" t="str">
        <f t="shared" si="1865"/>
        <v>XL106 Blanket(1077*885)</v>
      </c>
      <c r="Q3704" s="71">
        <f t="shared" si="1866"/>
        <v>10</v>
      </c>
      <c r="R3704" s="102">
        <v>99000</v>
      </c>
      <c r="S3704" s="102">
        <f t="shared" si="1870"/>
        <v>1089000</v>
      </c>
      <c r="T3704" s="102">
        <f t="shared" si="1871"/>
        <v>990000</v>
      </c>
      <c r="U3704" s="71" t="str">
        <f>IF(J3704=W3704,"O", "X")</f>
        <v>O</v>
      </c>
      <c r="V3704" s="71"/>
      <c r="W3704" s="474">
        <f>(G3704-T3704)</f>
        <v>260000</v>
      </c>
      <c r="X3704" s="71"/>
      <c r="Y3704" s="71"/>
    </row>
    <row r="3705" spans="1:25" ht="30" hidden="1" customHeight="1" x14ac:dyDescent="0.25">
      <c r="A3705" s="1145">
        <v>44211</v>
      </c>
      <c r="B3705" s="664" t="s">
        <v>2353</v>
      </c>
      <c r="C3705" s="71" t="s">
        <v>2648</v>
      </c>
      <c r="D3705" s="71">
        <v>3</v>
      </c>
      <c r="E3705" s="102">
        <v>35000</v>
      </c>
      <c r="F3705" s="102">
        <f t="shared" si="1867"/>
        <v>115500.00000000001</v>
      </c>
      <c r="G3705" s="102">
        <f t="shared" si="1868"/>
        <v>105000</v>
      </c>
      <c r="H3705" s="690" t="s">
        <v>142</v>
      </c>
      <c r="I3705" s="71" t="s">
        <v>142</v>
      </c>
      <c r="J3705" s="53">
        <f t="shared" si="1853"/>
        <v>33000</v>
      </c>
      <c r="K3705" s="63">
        <f t="shared" si="1856"/>
        <v>0.31428571428571422</v>
      </c>
      <c r="L3705" s="871" t="s">
        <v>2822</v>
      </c>
      <c r="M3705" s="468"/>
      <c r="N3705" s="1192">
        <f t="shared" si="1857"/>
        <v>44211</v>
      </c>
      <c r="O3705" s="71" t="s">
        <v>94</v>
      </c>
      <c r="P3705" s="164" t="str">
        <f t="shared" si="1865"/>
        <v>주머니 필터백</v>
      </c>
      <c r="Q3705" s="71">
        <f t="shared" si="1866"/>
        <v>3</v>
      </c>
      <c r="R3705" s="102">
        <v>24000</v>
      </c>
      <c r="S3705" s="102">
        <f t="shared" si="1870"/>
        <v>79200</v>
      </c>
      <c r="T3705" s="102">
        <f t="shared" si="1871"/>
        <v>72000</v>
      </c>
      <c r="U3705" s="71"/>
      <c r="V3705" s="71"/>
      <c r="W3705" s="474"/>
      <c r="X3705" s="71"/>
      <c r="Y3705" s="71"/>
    </row>
    <row r="3706" spans="1:25" ht="30" hidden="1" customHeight="1" x14ac:dyDescent="0.2">
      <c r="A3706" s="1145">
        <v>44211</v>
      </c>
      <c r="B3706" s="664" t="s">
        <v>2353</v>
      </c>
      <c r="C3706" s="71" t="s">
        <v>584</v>
      </c>
      <c r="D3706" s="71">
        <v>3</v>
      </c>
      <c r="E3706" s="102">
        <v>270000</v>
      </c>
      <c r="F3706" s="102">
        <f t="shared" si="1867"/>
        <v>891000.00000000012</v>
      </c>
      <c r="G3706" s="102">
        <f t="shared" si="1868"/>
        <v>810000</v>
      </c>
      <c r="H3706" s="165" t="s">
        <v>142</v>
      </c>
      <c r="I3706" s="71" t="s">
        <v>142</v>
      </c>
      <c r="J3706" s="53">
        <f t="shared" si="1853"/>
        <v>162000</v>
      </c>
      <c r="K3706" s="63">
        <f t="shared" si="1856"/>
        <v>0.19999999999999998</v>
      </c>
      <c r="L3706" s="871" t="s">
        <v>2822</v>
      </c>
      <c r="M3706" s="468"/>
      <c r="N3706" s="1192">
        <f t="shared" si="1857"/>
        <v>44211</v>
      </c>
      <c r="O3706" s="71" t="s">
        <v>150</v>
      </c>
      <c r="P3706" s="164" t="str">
        <f t="shared" si="1865"/>
        <v>데리바리 석션벨트</v>
      </c>
      <c r="Q3706" s="71">
        <f t="shared" si="1866"/>
        <v>3</v>
      </c>
      <c r="R3706" s="102">
        <v>216000</v>
      </c>
      <c r="S3706" s="102">
        <f t="shared" si="1870"/>
        <v>712800</v>
      </c>
      <c r="T3706" s="102">
        <f t="shared" si="1871"/>
        <v>648000</v>
      </c>
      <c r="U3706" s="71" t="str">
        <f>IF(J3706=W3706,"O", "X")</f>
        <v>O</v>
      </c>
      <c r="V3706" s="71"/>
      <c r="W3706" s="474">
        <f>(G3706-T3706)</f>
        <v>162000</v>
      </c>
      <c r="X3706" s="71"/>
      <c r="Y3706" s="71"/>
    </row>
    <row r="3707" spans="1:25" ht="30" hidden="1" customHeight="1" x14ac:dyDescent="0.25">
      <c r="A3707" s="1145">
        <v>44211</v>
      </c>
      <c r="B3707" s="664" t="s">
        <v>2353</v>
      </c>
      <c r="C3707" s="71" t="s">
        <v>2137</v>
      </c>
      <c r="D3707" s="71">
        <v>3</v>
      </c>
      <c r="E3707" s="102">
        <v>110000</v>
      </c>
      <c r="F3707" s="102">
        <f t="shared" si="1867"/>
        <v>363000.00000000006</v>
      </c>
      <c r="G3707" s="102">
        <f t="shared" si="1868"/>
        <v>330000</v>
      </c>
      <c r="H3707" s="690" t="s">
        <v>142</v>
      </c>
      <c r="I3707" s="71" t="s">
        <v>142</v>
      </c>
      <c r="J3707" s="53">
        <f t="shared" si="1853"/>
        <v>45000</v>
      </c>
      <c r="K3707" s="63">
        <f t="shared" si="1856"/>
        <v>0.13636363636363633</v>
      </c>
      <c r="L3707" s="871" t="s">
        <v>2822</v>
      </c>
      <c r="M3707" s="468"/>
      <c r="N3707" s="1192">
        <f t="shared" si="1857"/>
        <v>44211</v>
      </c>
      <c r="O3707" s="71" t="s">
        <v>2030</v>
      </c>
      <c r="P3707" s="164" t="str">
        <f t="shared" si="1865"/>
        <v>잉크집 아스테이지</v>
      </c>
      <c r="Q3707" s="71">
        <f t="shared" si="1866"/>
        <v>3</v>
      </c>
      <c r="R3707" s="102">
        <v>95000</v>
      </c>
      <c r="S3707" s="102">
        <f t="shared" si="1870"/>
        <v>313500</v>
      </c>
      <c r="T3707" s="102">
        <f t="shared" si="1871"/>
        <v>285000</v>
      </c>
      <c r="U3707" s="71"/>
      <c r="V3707" s="71"/>
      <c r="W3707" s="474"/>
      <c r="X3707" s="71"/>
      <c r="Y3707" s="71"/>
    </row>
    <row r="3708" spans="1:25" s="209" customFormat="1" ht="30" hidden="1" customHeight="1" x14ac:dyDescent="0.25">
      <c r="A3708" s="1145">
        <v>44214</v>
      </c>
      <c r="B3708" s="664" t="s">
        <v>2155</v>
      </c>
      <c r="C3708" s="71" t="s">
        <v>138</v>
      </c>
      <c r="D3708" s="71">
        <v>10</v>
      </c>
      <c r="E3708" s="102">
        <v>47600</v>
      </c>
      <c r="F3708" s="102">
        <f t="shared" si="1867"/>
        <v>523600.00000000006</v>
      </c>
      <c r="G3708" s="102">
        <f t="shared" si="1868"/>
        <v>476000</v>
      </c>
      <c r="H3708" s="1129" t="s">
        <v>172</v>
      </c>
      <c r="I3708" s="71" t="s">
        <v>108</v>
      </c>
      <c r="J3708" s="53">
        <f t="shared" si="1853"/>
        <v>68000</v>
      </c>
      <c r="K3708" s="63">
        <f t="shared" si="1856"/>
        <v>0.14285714285714285</v>
      </c>
      <c r="L3708" s="871" t="s">
        <v>2822</v>
      </c>
      <c r="M3708" s="468" t="s">
        <v>2214</v>
      </c>
      <c r="N3708" s="1192">
        <f t="shared" si="1857"/>
        <v>44214</v>
      </c>
      <c r="O3708" s="71" t="s">
        <v>150</v>
      </c>
      <c r="P3708" s="164" t="str">
        <f t="shared" si="1865"/>
        <v>매엽용 세척제(Wash 562)</v>
      </c>
      <c r="Q3708" s="71">
        <f t="shared" si="1866"/>
        <v>10</v>
      </c>
      <c r="R3708" s="102">
        <v>40800</v>
      </c>
      <c r="S3708" s="102">
        <f t="shared" si="1870"/>
        <v>448800.00000000006</v>
      </c>
      <c r="T3708" s="102">
        <f t="shared" si="1871"/>
        <v>408000</v>
      </c>
      <c r="U3708" s="71" t="str">
        <f>IF(J3708=W3708,"O", "X")</f>
        <v>X</v>
      </c>
      <c r="V3708" s="71"/>
      <c r="W3708" s="474">
        <v>85000</v>
      </c>
      <c r="X3708" s="71"/>
      <c r="Y3708" s="71"/>
    </row>
    <row r="3709" spans="1:25" ht="30" hidden="1" customHeight="1" x14ac:dyDescent="0.25">
      <c r="A3709" s="1145">
        <v>44214</v>
      </c>
      <c r="B3709" s="664" t="s">
        <v>2155</v>
      </c>
      <c r="C3709" s="760" t="s">
        <v>218</v>
      </c>
      <c r="D3709" s="71">
        <v>7</v>
      </c>
      <c r="E3709" s="102">
        <v>192500</v>
      </c>
      <c r="F3709" s="102">
        <f t="shared" si="1867"/>
        <v>1482250.0000000002</v>
      </c>
      <c r="G3709" s="102">
        <f t="shared" si="1868"/>
        <v>1347500</v>
      </c>
      <c r="H3709" s="690" t="s">
        <v>173</v>
      </c>
      <c r="I3709" s="71" t="s">
        <v>120</v>
      </c>
      <c r="J3709" s="53">
        <f t="shared" si="1853"/>
        <v>560000</v>
      </c>
      <c r="K3709" s="63">
        <f t="shared" si="1856"/>
        <v>0.4155844155844155</v>
      </c>
      <c r="L3709" s="871" t="s">
        <v>2822</v>
      </c>
      <c r="M3709" s="468"/>
      <c r="N3709" s="1192">
        <f t="shared" si="1857"/>
        <v>44214</v>
      </c>
      <c r="O3709" s="71" t="s">
        <v>150</v>
      </c>
      <c r="P3709" s="164" t="str">
        <f t="shared" si="1865"/>
        <v>Fount Web 551AF</v>
      </c>
      <c r="Q3709" s="71">
        <f t="shared" si="1866"/>
        <v>7</v>
      </c>
      <c r="R3709" s="102">
        <v>112500</v>
      </c>
      <c r="S3709" s="102">
        <f t="shared" si="1870"/>
        <v>866250.00000000012</v>
      </c>
      <c r="T3709" s="102">
        <f t="shared" si="1871"/>
        <v>787500</v>
      </c>
      <c r="U3709" s="71" t="str">
        <f>IF(J3709=W3709,"O", "X")</f>
        <v>X</v>
      </c>
      <c r="V3709" s="71"/>
      <c r="W3709" s="474">
        <v>640000</v>
      </c>
      <c r="X3709" s="71"/>
      <c r="Y3709" s="71"/>
    </row>
    <row r="3710" spans="1:25" ht="30" hidden="1" customHeight="1" x14ac:dyDescent="0.25">
      <c r="A3710" s="1145">
        <v>44214</v>
      </c>
      <c r="B3710" s="664" t="s">
        <v>690</v>
      </c>
      <c r="C3710" s="71" t="s">
        <v>1186</v>
      </c>
      <c r="D3710" s="71">
        <v>500</v>
      </c>
      <c r="E3710" s="102">
        <v>3420</v>
      </c>
      <c r="F3710" s="102">
        <f t="shared" si="1867"/>
        <v>1881000.0000000002</v>
      </c>
      <c r="G3710" s="102">
        <f t="shared" si="1868"/>
        <v>1710000</v>
      </c>
      <c r="H3710" s="690" t="s">
        <v>173</v>
      </c>
      <c r="I3710" s="71" t="s">
        <v>2230</v>
      </c>
      <c r="J3710" s="53">
        <f t="shared" si="1853"/>
        <v>-190000</v>
      </c>
      <c r="K3710" s="63">
        <f t="shared" si="1856"/>
        <v>-0.11111111111111109</v>
      </c>
      <c r="L3710" s="871" t="s">
        <v>2822</v>
      </c>
      <c r="M3710" s="468" t="s">
        <v>1393</v>
      </c>
      <c r="N3710" s="1192">
        <f t="shared" si="1857"/>
        <v>44214</v>
      </c>
      <c r="O3710" s="71" t="s">
        <v>145</v>
      </c>
      <c r="P3710" s="164" t="str">
        <f t="shared" si="1865"/>
        <v>CTP 판(1030*790mm)</v>
      </c>
      <c r="Q3710" s="71">
        <f t="shared" si="1866"/>
        <v>500</v>
      </c>
      <c r="R3710" s="102">
        <v>3800</v>
      </c>
      <c r="S3710" s="102">
        <f t="shared" si="1870"/>
        <v>2090000.0000000002</v>
      </c>
      <c r="T3710" s="102">
        <f t="shared" si="1871"/>
        <v>1900000</v>
      </c>
      <c r="U3710" s="71" t="str">
        <f>IF(J3710=W3710,"O", "X")</f>
        <v>X</v>
      </c>
      <c r="V3710" s="71"/>
      <c r="W3710" s="474">
        <v>-200000</v>
      </c>
      <c r="X3710" s="71"/>
      <c r="Y3710" s="71"/>
    </row>
    <row r="3711" spans="1:25" ht="30" hidden="1" customHeight="1" x14ac:dyDescent="0.25">
      <c r="A3711" s="1145">
        <v>44214</v>
      </c>
      <c r="B3711" s="664" t="s">
        <v>690</v>
      </c>
      <c r="C3711" s="71" t="s">
        <v>197</v>
      </c>
      <c r="D3711" s="71">
        <v>3</v>
      </c>
      <c r="E3711" s="102">
        <v>46000</v>
      </c>
      <c r="F3711" s="102">
        <f t="shared" si="1867"/>
        <v>151800</v>
      </c>
      <c r="G3711" s="102">
        <f t="shared" si="1868"/>
        <v>138000</v>
      </c>
      <c r="H3711" s="690" t="s">
        <v>173</v>
      </c>
      <c r="I3711" s="71" t="s">
        <v>2230</v>
      </c>
      <c r="J3711" s="53">
        <f t="shared" si="1853"/>
        <v>33000</v>
      </c>
      <c r="K3711" s="63">
        <f t="shared" si="1856"/>
        <v>0.2391304347826087</v>
      </c>
      <c r="L3711" s="871" t="s">
        <v>2822</v>
      </c>
      <c r="M3711" s="468" t="s">
        <v>1394</v>
      </c>
      <c r="N3711" s="1192">
        <f t="shared" si="1857"/>
        <v>44214</v>
      </c>
      <c r="O3711" s="71" t="s">
        <v>145</v>
      </c>
      <c r="P3711" s="164" t="str">
        <f t="shared" si="1865"/>
        <v>THR200(20L)</v>
      </c>
      <c r="Q3711" s="71">
        <f t="shared" si="1866"/>
        <v>3</v>
      </c>
      <c r="R3711" s="102">
        <v>35000</v>
      </c>
      <c r="S3711" s="102">
        <f t="shared" si="1870"/>
        <v>115500.00000000001</v>
      </c>
      <c r="T3711" s="102">
        <f t="shared" si="1871"/>
        <v>105000</v>
      </c>
      <c r="U3711" s="71" t="str">
        <f>IF(J3711=W3711,"O", "X")</f>
        <v>X</v>
      </c>
      <c r="V3711" s="71"/>
      <c r="W3711" s="474"/>
      <c r="X3711" s="71"/>
      <c r="Y3711" s="71"/>
    </row>
    <row r="3712" spans="1:25" ht="30" hidden="1" customHeight="1" x14ac:dyDescent="0.25">
      <c r="A3712" s="1145">
        <v>44214</v>
      </c>
      <c r="B3712" s="664" t="s">
        <v>690</v>
      </c>
      <c r="C3712" s="71" t="s">
        <v>750</v>
      </c>
      <c r="D3712" s="71">
        <v>4</v>
      </c>
      <c r="E3712" s="102">
        <v>46000</v>
      </c>
      <c r="F3712" s="102">
        <f t="shared" si="1867"/>
        <v>202400.00000000003</v>
      </c>
      <c r="G3712" s="102">
        <f t="shared" si="1868"/>
        <v>184000</v>
      </c>
      <c r="H3712" s="690" t="s">
        <v>173</v>
      </c>
      <c r="I3712" s="71" t="s">
        <v>2230</v>
      </c>
      <c r="J3712" s="53">
        <f t="shared" si="1853"/>
        <v>44000</v>
      </c>
      <c r="K3712" s="63">
        <f t="shared" si="1856"/>
        <v>0.23913043478260865</v>
      </c>
      <c r="L3712" s="871" t="s">
        <v>2822</v>
      </c>
      <c r="M3712" s="468" t="s">
        <v>1394</v>
      </c>
      <c r="N3712" s="1192">
        <f t="shared" si="1857"/>
        <v>44214</v>
      </c>
      <c r="O3712" s="71" t="s">
        <v>145</v>
      </c>
      <c r="P3712" s="164" t="str">
        <f t="shared" si="1865"/>
        <v>THD200(20L)</v>
      </c>
      <c r="Q3712" s="71">
        <f t="shared" si="1866"/>
        <v>4</v>
      </c>
      <c r="R3712" s="102">
        <v>35000</v>
      </c>
      <c r="S3712" s="102">
        <f t="shared" si="1870"/>
        <v>154000</v>
      </c>
      <c r="T3712" s="102">
        <f t="shared" si="1871"/>
        <v>140000</v>
      </c>
      <c r="U3712" s="71" t="str">
        <f>IF(J3712=W3712,"O", "X")</f>
        <v>O</v>
      </c>
      <c r="V3712" s="71"/>
      <c r="W3712" s="474">
        <f>(G3712-T3712)</f>
        <v>44000</v>
      </c>
      <c r="X3712" s="71"/>
      <c r="Y3712" s="71"/>
    </row>
    <row r="3713" spans="1:25" ht="30" hidden="1" customHeight="1" x14ac:dyDescent="0.25">
      <c r="A3713" s="1145">
        <v>44214</v>
      </c>
      <c r="B3713" s="664" t="s">
        <v>627</v>
      </c>
      <c r="C3713" s="71" t="s">
        <v>2135</v>
      </c>
      <c r="D3713" s="71">
        <v>1</v>
      </c>
      <c r="E3713" s="102">
        <v>7000000</v>
      </c>
      <c r="F3713" s="102">
        <f t="shared" si="1867"/>
        <v>7700000.0000000009</v>
      </c>
      <c r="G3713" s="102">
        <f t="shared" si="1868"/>
        <v>7000000</v>
      </c>
      <c r="H3713" s="690" t="s">
        <v>1431</v>
      </c>
      <c r="I3713" s="71" t="s">
        <v>1431</v>
      </c>
      <c r="J3713" s="53">
        <f t="shared" si="1853"/>
        <v>3297125</v>
      </c>
      <c r="K3713" s="63">
        <f t="shared" si="1856"/>
        <v>0.4710178571428571</v>
      </c>
      <c r="L3713" s="871" t="s">
        <v>2822</v>
      </c>
      <c r="M3713" s="468"/>
      <c r="N3713" s="1192">
        <f t="shared" si="1857"/>
        <v>44214</v>
      </c>
      <c r="O3713" s="71" t="s">
        <v>1220</v>
      </c>
      <c r="P3713" s="164" t="str">
        <f t="shared" si="1865"/>
        <v>판걸이 튜브</v>
      </c>
      <c r="Q3713" s="71">
        <f t="shared" si="1866"/>
        <v>1</v>
      </c>
      <c r="R3713" s="102">
        <f>R3517/2</f>
        <v>3702875</v>
      </c>
      <c r="S3713" s="102">
        <f t="shared" si="1870"/>
        <v>4073162.5000000005</v>
      </c>
      <c r="T3713" s="102">
        <f t="shared" si="1871"/>
        <v>3702875</v>
      </c>
      <c r="U3713" s="71"/>
      <c r="V3713" s="71"/>
      <c r="W3713" s="474"/>
      <c r="X3713" s="71"/>
      <c r="Y3713" s="71"/>
    </row>
    <row r="3714" spans="1:25" ht="30" hidden="1" customHeight="1" x14ac:dyDescent="0.25">
      <c r="A3714" s="1145">
        <v>44216</v>
      </c>
      <c r="B3714" s="664" t="s">
        <v>627</v>
      </c>
      <c r="C3714" s="71" t="s">
        <v>2824</v>
      </c>
      <c r="D3714" s="71">
        <v>1</v>
      </c>
      <c r="E3714" s="102">
        <v>3500000</v>
      </c>
      <c r="F3714" s="102">
        <f t="shared" si="1867"/>
        <v>3850000.0000000005</v>
      </c>
      <c r="G3714" s="102">
        <f t="shared" si="1868"/>
        <v>3500000</v>
      </c>
      <c r="H3714" s="690" t="s">
        <v>985</v>
      </c>
      <c r="I3714" s="690" t="s">
        <v>985</v>
      </c>
      <c r="J3714" s="53"/>
      <c r="K3714" s="63">
        <f t="shared" si="1856"/>
        <v>0</v>
      </c>
      <c r="L3714" s="871" t="s">
        <v>2822</v>
      </c>
      <c r="M3714" s="468"/>
      <c r="N3714" s="1192">
        <f t="shared" si="1857"/>
        <v>44216</v>
      </c>
      <c r="O3714" s="71"/>
      <c r="P3714" s="164" t="str">
        <f t="shared" si="1865"/>
        <v>판걸이 튜브 서비스 비용</v>
      </c>
      <c r="Q3714" s="71">
        <f t="shared" si="1866"/>
        <v>1</v>
      </c>
      <c r="R3714" s="102"/>
      <c r="S3714" s="102">
        <f t="shared" si="1870"/>
        <v>0</v>
      </c>
      <c r="T3714" s="102">
        <f t="shared" si="1871"/>
        <v>0</v>
      </c>
      <c r="U3714" s="71"/>
      <c r="V3714" s="71"/>
      <c r="W3714" s="474"/>
      <c r="X3714" s="71"/>
      <c r="Y3714" s="71"/>
    </row>
    <row r="3715" spans="1:25" ht="30" hidden="1" customHeight="1" x14ac:dyDescent="0.25">
      <c r="A3715" s="1145">
        <v>44216</v>
      </c>
      <c r="B3715" s="664" t="s">
        <v>2829</v>
      </c>
      <c r="C3715" s="71" t="s">
        <v>2044</v>
      </c>
      <c r="D3715" s="71">
        <v>2</v>
      </c>
      <c r="E3715" s="102">
        <v>930000</v>
      </c>
      <c r="F3715" s="102">
        <f t="shared" si="1867"/>
        <v>2046000.0000000002</v>
      </c>
      <c r="G3715" s="102">
        <f t="shared" si="1868"/>
        <v>1860000</v>
      </c>
      <c r="H3715" s="690" t="s">
        <v>142</v>
      </c>
      <c r="I3715" s="690" t="s">
        <v>142</v>
      </c>
      <c r="J3715" s="53">
        <f t="shared" ref="J3715:J3751" si="1872">G3715-T3715</f>
        <v>590000</v>
      </c>
      <c r="K3715" s="63">
        <f t="shared" si="1856"/>
        <v>0.31720430107526876</v>
      </c>
      <c r="L3715" s="871" t="s">
        <v>2822</v>
      </c>
      <c r="M3715" s="468"/>
      <c r="N3715" s="1192">
        <f t="shared" si="1857"/>
        <v>44216</v>
      </c>
      <c r="O3715" s="71" t="s">
        <v>2830</v>
      </c>
      <c r="P3715" s="164" t="str">
        <f t="shared" si="1865"/>
        <v>엔코더</v>
      </c>
      <c r="Q3715" s="71">
        <f t="shared" si="1866"/>
        <v>2</v>
      </c>
      <c r="R3715" s="102">
        <v>635000</v>
      </c>
      <c r="S3715" s="102">
        <f t="shared" si="1870"/>
        <v>1397000</v>
      </c>
      <c r="T3715" s="102">
        <f t="shared" si="1871"/>
        <v>1270000</v>
      </c>
      <c r="U3715" s="71"/>
      <c r="V3715" s="71"/>
      <c r="W3715" s="474"/>
      <c r="X3715" s="71"/>
      <c r="Y3715" s="71"/>
    </row>
    <row r="3716" spans="1:25" ht="30" hidden="1" customHeight="1" x14ac:dyDescent="0.25">
      <c r="A3716" s="1145">
        <v>44216</v>
      </c>
      <c r="B3716" s="664" t="s">
        <v>1287</v>
      </c>
      <c r="C3716" s="71" t="s">
        <v>2823</v>
      </c>
      <c r="D3716" s="71">
        <v>1</v>
      </c>
      <c r="E3716" s="102">
        <v>1200000</v>
      </c>
      <c r="F3716" s="102">
        <f t="shared" si="1867"/>
        <v>1320000</v>
      </c>
      <c r="G3716" s="102">
        <f t="shared" si="1868"/>
        <v>1200000</v>
      </c>
      <c r="H3716" s="690" t="s">
        <v>173</v>
      </c>
      <c r="I3716" s="71" t="s">
        <v>2184</v>
      </c>
      <c r="J3716" s="53">
        <f t="shared" si="1872"/>
        <v>403565</v>
      </c>
      <c r="K3716" s="63">
        <f t="shared" si="1856"/>
        <v>0.33630416666666668</v>
      </c>
      <c r="L3716" s="871" t="s">
        <v>2822</v>
      </c>
      <c r="M3716" s="468"/>
      <c r="N3716" s="1192">
        <f t="shared" si="1857"/>
        <v>44216</v>
      </c>
      <c r="O3716" s="71"/>
      <c r="P3716" s="164" t="str">
        <f t="shared" si="1865"/>
        <v>IR 램프</v>
      </c>
      <c r="Q3716" s="71">
        <f t="shared" si="1866"/>
        <v>1</v>
      </c>
      <c r="R3716" s="102">
        <f>R3235/3</f>
        <v>796435</v>
      </c>
      <c r="S3716" s="102">
        <f t="shared" si="1870"/>
        <v>876078.50000000012</v>
      </c>
      <c r="T3716" s="102">
        <f t="shared" si="1871"/>
        <v>796435</v>
      </c>
      <c r="U3716" s="71"/>
      <c r="V3716" s="71"/>
      <c r="W3716" s="474"/>
      <c r="X3716" s="71"/>
      <c r="Y3716" s="71"/>
    </row>
    <row r="3717" spans="1:25" ht="30" customHeight="1" x14ac:dyDescent="0.25">
      <c r="A3717" s="1145">
        <v>44216</v>
      </c>
      <c r="B3717" s="664" t="s">
        <v>2352</v>
      </c>
      <c r="C3717" s="760" t="s">
        <v>218</v>
      </c>
      <c r="D3717" s="71">
        <v>5</v>
      </c>
      <c r="E3717" s="102">
        <v>235000</v>
      </c>
      <c r="F3717" s="102">
        <f t="shared" si="1867"/>
        <v>1292500</v>
      </c>
      <c r="G3717" s="102">
        <f t="shared" si="1868"/>
        <v>1175000</v>
      </c>
      <c r="H3717" s="690" t="s">
        <v>142</v>
      </c>
      <c r="I3717" s="71" t="s">
        <v>142</v>
      </c>
      <c r="J3717" s="53">
        <f t="shared" si="1872"/>
        <v>612500</v>
      </c>
      <c r="K3717" s="63">
        <f t="shared" si="1856"/>
        <v>0.52127659574468088</v>
      </c>
      <c r="L3717" s="871" t="s">
        <v>2822</v>
      </c>
      <c r="M3717" s="468" t="s">
        <v>2053</v>
      </c>
      <c r="N3717" s="1192">
        <f t="shared" si="1857"/>
        <v>44216</v>
      </c>
      <c r="O3717" s="71" t="s">
        <v>150</v>
      </c>
      <c r="P3717" s="164" t="str">
        <f t="shared" si="1865"/>
        <v>Fount Web 551AF</v>
      </c>
      <c r="Q3717" s="71">
        <f t="shared" si="1866"/>
        <v>5</v>
      </c>
      <c r="R3717" s="102">
        <v>112500</v>
      </c>
      <c r="S3717" s="102">
        <f t="shared" si="1870"/>
        <v>618750</v>
      </c>
      <c r="T3717" s="102">
        <f t="shared" si="1871"/>
        <v>562500</v>
      </c>
      <c r="U3717" s="71" t="str">
        <f t="shared" ref="U3717:U3726" si="1873">IF(J3717=W3717,"O", "X")</f>
        <v>O</v>
      </c>
      <c r="V3717" s="71"/>
      <c r="W3717" s="474">
        <f>(G3717-T3717)</f>
        <v>612500</v>
      </c>
      <c r="X3717" s="71"/>
      <c r="Y3717" s="71"/>
    </row>
    <row r="3718" spans="1:25" s="209" customFormat="1" ht="30" hidden="1" customHeight="1" x14ac:dyDescent="0.25">
      <c r="A3718" s="1145">
        <v>44217</v>
      </c>
      <c r="B3718" s="664" t="s">
        <v>567</v>
      </c>
      <c r="C3718" s="71" t="s">
        <v>236</v>
      </c>
      <c r="D3718" s="71">
        <v>5</v>
      </c>
      <c r="E3718" s="102">
        <v>65000</v>
      </c>
      <c r="F3718" s="102">
        <f t="shared" si="1867"/>
        <v>357500</v>
      </c>
      <c r="G3718" s="102">
        <f t="shared" si="1868"/>
        <v>325000</v>
      </c>
      <c r="H3718" s="690" t="s">
        <v>173</v>
      </c>
      <c r="I3718" s="71" t="s">
        <v>2231</v>
      </c>
      <c r="J3718" s="53">
        <f t="shared" si="1872"/>
        <v>75000</v>
      </c>
      <c r="K3718" s="63">
        <f t="shared" si="1856"/>
        <v>0.23076923076923078</v>
      </c>
      <c r="L3718" s="871" t="s">
        <v>2822</v>
      </c>
      <c r="M3718" s="468"/>
      <c r="N3718" s="1192">
        <f t="shared" ref="N3718:N3750" si="1874">A3718</f>
        <v>44217</v>
      </c>
      <c r="O3718" s="71" t="s">
        <v>153</v>
      </c>
      <c r="P3718" s="164" t="str">
        <f t="shared" ref="P3718:P3747" si="1875">(C3718)</f>
        <v>아스테이지(국전)</v>
      </c>
      <c r="Q3718" s="71">
        <f t="shared" ref="Q3718:Q3743" si="1876">D3718</f>
        <v>5</v>
      </c>
      <c r="R3718" s="102">
        <v>50000</v>
      </c>
      <c r="S3718" s="102">
        <f t="shared" si="1870"/>
        <v>275000</v>
      </c>
      <c r="T3718" s="102">
        <f t="shared" si="1871"/>
        <v>250000</v>
      </c>
      <c r="U3718" s="71" t="str">
        <f t="shared" si="1873"/>
        <v>X</v>
      </c>
      <c r="V3718" s="71"/>
      <c r="W3718" s="474">
        <v>150000</v>
      </c>
      <c r="X3718" s="71"/>
      <c r="Y3718" s="71"/>
    </row>
    <row r="3719" spans="1:25" ht="27.6" hidden="1" customHeight="1" x14ac:dyDescent="0.25">
      <c r="A3719" s="1145">
        <v>44217</v>
      </c>
      <c r="B3719" s="664" t="s">
        <v>567</v>
      </c>
      <c r="C3719" s="71" t="s">
        <v>1652</v>
      </c>
      <c r="D3719" s="71">
        <v>5</v>
      </c>
      <c r="E3719" s="102">
        <v>45000</v>
      </c>
      <c r="F3719" s="102">
        <f t="shared" si="1867"/>
        <v>247500.00000000003</v>
      </c>
      <c r="G3719" s="102">
        <f t="shared" si="1868"/>
        <v>225000</v>
      </c>
      <c r="H3719" s="690" t="s">
        <v>173</v>
      </c>
      <c r="I3719" s="71" t="s">
        <v>2231</v>
      </c>
      <c r="J3719" s="53">
        <f t="shared" si="1872"/>
        <v>25000</v>
      </c>
      <c r="K3719" s="63">
        <f t="shared" si="1856"/>
        <v>0.11111111111111109</v>
      </c>
      <c r="L3719" s="871" t="s">
        <v>2822</v>
      </c>
      <c r="M3719" s="468"/>
      <c r="N3719" s="1192">
        <f t="shared" si="1874"/>
        <v>44217</v>
      </c>
      <c r="O3719" s="71" t="s">
        <v>153</v>
      </c>
      <c r="P3719" s="164" t="str">
        <f t="shared" si="1875"/>
        <v>아스테이지(CD74용)</v>
      </c>
      <c r="Q3719" s="71">
        <f t="shared" si="1876"/>
        <v>5</v>
      </c>
      <c r="R3719" s="102">
        <v>40000</v>
      </c>
      <c r="S3719" s="102">
        <f t="shared" si="1870"/>
        <v>220000.00000000003</v>
      </c>
      <c r="T3719" s="102">
        <f t="shared" si="1871"/>
        <v>200000</v>
      </c>
      <c r="U3719" s="71" t="str">
        <f t="shared" si="1873"/>
        <v>X</v>
      </c>
      <c r="V3719" s="71"/>
      <c r="W3719" s="474"/>
      <c r="X3719" s="71"/>
      <c r="Y3719" s="71"/>
    </row>
    <row r="3720" spans="1:25" s="209" customFormat="1" ht="30" hidden="1" customHeight="1" x14ac:dyDescent="0.25">
      <c r="A3720" s="1145">
        <v>44218</v>
      </c>
      <c r="B3720" s="664" t="s">
        <v>2155</v>
      </c>
      <c r="C3720" s="71" t="s">
        <v>138</v>
      </c>
      <c r="D3720" s="71">
        <v>10</v>
      </c>
      <c r="E3720" s="102">
        <v>47600</v>
      </c>
      <c r="F3720" s="102">
        <f t="shared" si="1867"/>
        <v>523600.00000000006</v>
      </c>
      <c r="G3720" s="102">
        <f t="shared" si="1868"/>
        <v>476000</v>
      </c>
      <c r="H3720" s="1129" t="s">
        <v>172</v>
      </c>
      <c r="I3720" s="71" t="s">
        <v>108</v>
      </c>
      <c r="J3720" s="53">
        <f t="shared" si="1872"/>
        <v>68000</v>
      </c>
      <c r="K3720" s="63">
        <f t="shared" si="1856"/>
        <v>0.14285714285714285</v>
      </c>
      <c r="L3720" s="871" t="s">
        <v>2822</v>
      </c>
      <c r="M3720" s="468" t="s">
        <v>2214</v>
      </c>
      <c r="N3720" s="1192">
        <f t="shared" si="1874"/>
        <v>44218</v>
      </c>
      <c r="O3720" s="71" t="s">
        <v>150</v>
      </c>
      <c r="P3720" s="164" t="str">
        <f t="shared" si="1875"/>
        <v>매엽용 세척제(Wash 562)</v>
      </c>
      <c r="Q3720" s="71">
        <f t="shared" si="1876"/>
        <v>10</v>
      </c>
      <c r="R3720" s="102">
        <v>40800</v>
      </c>
      <c r="S3720" s="102">
        <f t="shared" si="1870"/>
        <v>448800.00000000006</v>
      </c>
      <c r="T3720" s="102">
        <f t="shared" si="1871"/>
        <v>408000</v>
      </c>
      <c r="U3720" s="71" t="str">
        <f t="shared" si="1873"/>
        <v>X</v>
      </c>
      <c r="V3720" s="71"/>
      <c r="W3720" s="474">
        <v>85000</v>
      </c>
      <c r="X3720" s="71"/>
      <c r="Y3720" s="71"/>
    </row>
    <row r="3721" spans="1:25" ht="30" hidden="1" customHeight="1" x14ac:dyDescent="0.25">
      <c r="A3721" s="1145">
        <v>44218</v>
      </c>
      <c r="B3721" s="664" t="s">
        <v>2155</v>
      </c>
      <c r="C3721" s="71" t="s">
        <v>277</v>
      </c>
      <c r="D3721" s="71">
        <v>5</v>
      </c>
      <c r="E3721" s="102">
        <v>172000</v>
      </c>
      <c r="F3721" s="102">
        <f t="shared" si="1867"/>
        <v>946000.00000000012</v>
      </c>
      <c r="G3721" s="102">
        <f t="shared" si="1868"/>
        <v>860000</v>
      </c>
      <c r="H3721" s="690" t="s">
        <v>173</v>
      </c>
      <c r="I3721" s="71" t="s">
        <v>108</v>
      </c>
      <c r="J3721" s="53">
        <f t="shared" si="1872"/>
        <v>285000</v>
      </c>
      <c r="K3721" s="63">
        <f t="shared" si="1856"/>
        <v>0.33139534883720928</v>
      </c>
      <c r="L3721" s="871" t="s">
        <v>2822</v>
      </c>
      <c r="M3721" s="468"/>
      <c r="N3721" s="1192">
        <f t="shared" si="1874"/>
        <v>44218</v>
      </c>
      <c r="O3721" s="71" t="s">
        <v>150</v>
      </c>
      <c r="P3721" s="164" t="str">
        <f t="shared" si="1875"/>
        <v>윤전용 세척제(Web 504)</v>
      </c>
      <c r="Q3721" s="71">
        <f t="shared" si="1876"/>
        <v>5</v>
      </c>
      <c r="R3721" s="102">
        <v>115000</v>
      </c>
      <c r="S3721" s="102">
        <f t="shared" si="1870"/>
        <v>632500</v>
      </c>
      <c r="T3721" s="102">
        <f t="shared" si="1871"/>
        <v>575000</v>
      </c>
      <c r="U3721" s="71" t="str">
        <f t="shared" si="1873"/>
        <v>O</v>
      </c>
      <c r="V3721" s="71"/>
      <c r="W3721" s="474">
        <v>285000</v>
      </c>
      <c r="X3721" s="71"/>
      <c r="Y3721" s="71"/>
    </row>
    <row r="3722" spans="1:25" s="209" customFormat="1" ht="30" hidden="1" customHeight="1" x14ac:dyDescent="0.2">
      <c r="A3722" s="1145">
        <v>44218</v>
      </c>
      <c r="B3722" s="664" t="s">
        <v>2155</v>
      </c>
      <c r="C3722" s="71" t="s">
        <v>231</v>
      </c>
      <c r="D3722" s="71">
        <v>10</v>
      </c>
      <c r="E3722" s="102">
        <v>120000</v>
      </c>
      <c r="F3722" s="102">
        <f t="shared" si="1867"/>
        <v>1320000</v>
      </c>
      <c r="G3722" s="102">
        <f t="shared" si="1868"/>
        <v>1200000</v>
      </c>
      <c r="H3722" s="165" t="s">
        <v>172</v>
      </c>
      <c r="I3722" s="71" t="s">
        <v>109</v>
      </c>
      <c r="J3722" s="53">
        <f t="shared" si="1872"/>
        <v>80000</v>
      </c>
      <c r="K3722" s="63">
        <f t="shared" si="1856"/>
        <v>6.6666666666666666E-2</v>
      </c>
      <c r="L3722" s="871" t="s">
        <v>2822</v>
      </c>
      <c r="M3722" s="468"/>
      <c r="N3722" s="1192">
        <f t="shared" si="1874"/>
        <v>44218</v>
      </c>
      <c r="O3722" s="71" t="s">
        <v>151</v>
      </c>
      <c r="P3722" s="164" t="str">
        <f t="shared" si="1875"/>
        <v>Blanket(990*725)</v>
      </c>
      <c r="Q3722" s="71">
        <f t="shared" si="1876"/>
        <v>10</v>
      </c>
      <c r="R3722" s="102">
        <v>112000</v>
      </c>
      <c r="S3722" s="102">
        <f t="shared" si="1870"/>
        <v>1232000</v>
      </c>
      <c r="T3722" s="102">
        <f t="shared" si="1871"/>
        <v>1120000</v>
      </c>
      <c r="U3722" s="71" t="str">
        <f t="shared" si="1873"/>
        <v>O</v>
      </c>
      <c r="V3722" s="71"/>
      <c r="W3722" s="474">
        <v>80000</v>
      </c>
      <c r="X3722" s="71"/>
      <c r="Y3722" s="71"/>
    </row>
    <row r="3723" spans="1:25" ht="30" hidden="1" customHeight="1" x14ac:dyDescent="0.2">
      <c r="A3723" s="1145">
        <v>44221</v>
      </c>
      <c r="B3723" s="664" t="s">
        <v>548</v>
      </c>
      <c r="C3723" s="71" t="s">
        <v>107</v>
      </c>
      <c r="D3723" s="71">
        <v>10</v>
      </c>
      <c r="E3723" s="102">
        <v>90000</v>
      </c>
      <c r="F3723" s="102">
        <f t="shared" si="1867"/>
        <v>990000.00000000012</v>
      </c>
      <c r="G3723" s="102">
        <f t="shared" si="1868"/>
        <v>900000</v>
      </c>
      <c r="H3723" s="165" t="s">
        <v>172</v>
      </c>
      <c r="I3723" s="71" t="s">
        <v>109</v>
      </c>
      <c r="J3723" s="53">
        <f t="shared" si="1872"/>
        <v>95000</v>
      </c>
      <c r="K3723" s="63">
        <f t="shared" si="1856"/>
        <v>0.10555555555555554</v>
      </c>
      <c r="L3723" s="871" t="s">
        <v>2822</v>
      </c>
      <c r="M3723" s="468"/>
      <c r="N3723" s="1192">
        <f t="shared" si="1874"/>
        <v>44221</v>
      </c>
      <c r="O3723" s="71" t="s">
        <v>147</v>
      </c>
      <c r="P3723" s="164" t="str">
        <f t="shared" si="1875"/>
        <v>Blanket(1050*840)</v>
      </c>
      <c r="Q3723" s="71">
        <f t="shared" si="1876"/>
        <v>10</v>
      </c>
      <c r="R3723" s="102">
        <v>80500</v>
      </c>
      <c r="S3723" s="102">
        <f t="shared" si="1870"/>
        <v>885500.00000000012</v>
      </c>
      <c r="T3723" s="102">
        <f t="shared" si="1871"/>
        <v>805000</v>
      </c>
      <c r="U3723" s="71" t="str">
        <f t="shared" si="1873"/>
        <v>O</v>
      </c>
      <c r="V3723" s="71"/>
      <c r="W3723" s="474">
        <f>(G3723-T3723)</f>
        <v>95000</v>
      </c>
      <c r="X3723" s="71"/>
      <c r="Y3723" s="71"/>
    </row>
    <row r="3724" spans="1:25" ht="30" hidden="1" customHeight="1" x14ac:dyDescent="0.25">
      <c r="A3724" s="1145">
        <v>44221</v>
      </c>
      <c r="B3724" s="664" t="s">
        <v>446</v>
      </c>
      <c r="C3724" s="71" t="s">
        <v>2028</v>
      </c>
      <c r="D3724" s="71">
        <v>20</v>
      </c>
      <c r="E3724" s="102">
        <v>105000</v>
      </c>
      <c r="F3724" s="102">
        <f t="shared" si="1867"/>
        <v>2310000</v>
      </c>
      <c r="G3724" s="102">
        <f t="shared" si="1868"/>
        <v>2100000</v>
      </c>
      <c r="H3724" s="690" t="s">
        <v>2029</v>
      </c>
      <c r="I3724" s="71" t="s">
        <v>2231</v>
      </c>
      <c r="J3724" s="53">
        <f t="shared" si="1872"/>
        <v>380000</v>
      </c>
      <c r="K3724" s="63">
        <f t="shared" si="1856"/>
        <v>0.18095238095238095</v>
      </c>
      <c r="L3724" s="871" t="s">
        <v>2822</v>
      </c>
      <c r="M3724" s="468" t="s">
        <v>3068</v>
      </c>
      <c r="N3724" s="1192">
        <f t="shared" si="1874"/>
        <v>44221</v>
      </c>
      <c r="O3724" s="71" t="s">
        <v>2030</v>
      </c>
      <c r="P3724" s="164" t="str">
        <f t="shared" si="1875"/>
        <v>실리콘 에멀전</v>
      </c>
      <c r="Q3724" s="71">
        <f t="shared" si="1876"/>
        <v>20</v>
      </c>
      <c r="R3724" s="102">
        <v>86000</v>
      </c>
      <c r="S3724" s="102">
        <f t="shared" si="1870"/>
        <v>1892000.0000000002</v>
      </c>
      <c r="T3724" s="102">
        <f t="shared" si="1871"/>
        <v>1720000</v>
      </c>
      <c r="U3724" s="71" t="str">
        <f t="shared" si="1873"/>
        <v>O</v>
      </c>
      <c r="V3724" s="71">
        <f>7000*Q3724</f>
        <v>140000</v>
      </c>
      <c r="W3724" s="474">
        <f>(G3724-T3724)</f>
        <v>380000</v>
      </c>
      <c r="X3724" s="71"/>
      <c r="Y3724" s="71"/>
    </row>
    <row r="3725" spans="1:25" ht="30" customHeight="1" x14ac:dyDescent="0.2">
      <c r="A3725" s="1145">
        <v>44222</v>
      </c>
      <c r="B3725" s="664" t="s">
        <v>565</v>
      </c>
      <c r="C3725" s="71" t="s">
        <v>2081</v>
      </c>
      <c r="D3725" s="71">
        <v>60</v>
      </c>
      <c r="E3725" s="102">
        <v>69000</v>
      </c>
      <c r="F3725" s="102">
        <f t="shared" si="1867"/>
        <v>4554000</v>
      </c>
      <c r="G3725" s="102">
        <f t="shared" si="1868"/>
        <v>4140000</v>
      </c>
      <c r="H3725" s="165" t="s">
        <v>173</v>
      </c>
      <c r="I3725" s="71" t="s">
        <v>108</v>
      </c>
      <c r="J3725" s="53">
        <f t="shared" si="1872"/>
        <v>2340000</v>
      </c>
      <c r="K3725" s="63">
        <f t="shared" si="1856"/>
        <v>0.56521739130434778</v>
      </c>
      <c r="L3725" s="871" t="s">
        <v>2822</v>
      </c>
      <c r="M3725" s="468"/>
      <c r="N3725" s="1192">
        <f t="shared" si="1874"/>
        <v>44222</v>
      </c>
      <c r="O3725" s="71" t="s">
        <v>939</v>
      </c>
      <c r="P3725" s="164" t="str">
        <f t="shared" si="1875"/>
        <v>GOSS 신문윤전 습식세정포</v>
      </c>
      <c r="Q3725" s="71">
        <f t="shared" si="1876"/>
        <v>60</v>
      </c>
      <c r="R3725" s="102">
        <v>30000</v>
      </c>
      <c r="S3725" s="102">
        <f t="shared" si="1870"/>
        <v>1980000.0000000002</v>
      </c>
      <c r="T3725" s="102">
        <f t="shared" si="1871"/>
        <v>1800000</v>
      </c>
      <c r="U3725" s="71" t="str">
        <f t="shared" si="1873"/>
        <v>X</v>
      </c>
      <c r="V3725" s="71"/>
      <c r="W3725" s="474"/>
      <c r="X3725" s="71"/>
      <c r="Y3725" s="71"/>
    </row>
    <row r="3726" spans="1:25" s="209" customFormat="1" ht="30" hidden="1" customHeight="1" x14ac:dyDescent="0.2">
      <c r="A3726" s="1145">
        <v>44222</v>
      </c>
      <c r="B3726" s="664" t="s">
        <v>764</v>
      </c>
      <c r="C3726" s="71" t="s">
        <v>236</v>
      </c>
      <c r="D3726" s="71">
        <v>10</v>
      </c>
      <c r="E3726" s="102">
        <v>100000</v>
      </c>
      <c r="F3726" s="163">
        <f t="shared" si="1867"/>
        <v>1100000</v>
      </c>
      <c r="G3726" s="102">
        <f t="shared" si="1868"/>
        <v>1000000</v>
      </c>
      <c r="H3726" s="690" t="s">
        <v>173</v>
      </c>
      <c r="I3726" s="71" t="s">
        <v>2231</v>
      </c>
      <c r="J3726" s="53">
        <f t="shared" si="1872"/>
        <v>500000</v>
      </c>
      <c r="K3726" s="63">
        <f t="shared" si="1856"/>
        <v>0.5</v>
      </c>
      <c r="L3726" s="871" t="s">
        <v>2822</v>
      </c>
      <c r="M3726" s="468"/>
      <c r="N3726" s="1192">
        <f t="shared" si="1874"/>
        <v>44222</v>
      </c>
      <c r="O3726" s="71" t="s">
        <v>153</v>
      </c>
      <c r="P3726" s="164" t="str">
        <f t="shared" si="1875"/>
        <v>아스테이지(국전)</v>
      </c>
      <c r="Q3726" s="71">
        <f t="shared" si="1876"/>
        <v>10</v>
      </c>
      <c r="R3726" s="102">
        <v>50000</v>
      </c>
      <c r="S3726" s="102">
        <f t="shared" si="1870"/>
        <v>550000</v>
      </c>
      <c r="T3726" s="102">
        <f t="shared" si="1871"/>
        <v>500000</v>
      </c>
      <c r="U3726" s="71" t="str">
        <f t="shared" si="1873"/>
        <v>O</v>
      </c>
      <c r="V3726" s="71"/>
      <c r="W3726" s="474">
        <v>500000</v>
      </c>
      <c r="X3726" s="71"/>
      <c r="Y3726" s="71"/>
    </row>
    <row r="3727" spans="1:25" ht="30" hidden="1" customHeight="1" x14ac:dyDescent="0.25">
      <c r="A3727" s="1145">
        <v>44223</v>
      </c>
      <c r="B3727" s="664" t="s">
        <v>856</v>
      </c>
      <c r="C3727" s="71" t="s">
        <v>2489</v>
      </c>
      <c r="D3727" s="71">
        <v>5</v>
      </c>
      <c r="E3727" s="102">
        <v>890000</v>
      </c>
      <c r="F3727" s="102">
        <f t="shared" si="1867"/>
        <v>4895000</v>
      </c>
      <c r="G3727" s="102">
        <f t="shared" si="1868"/>
        <v>4450000</v>
      </c>
      <c r="H3727" s="690" t="s">
        <v>173</v>
      </c>
      <c r="I3727" s="71" t="s">
        <v>2184</v>
      </c>
      <c r="J3727" s="53">
        <f t="shared" si="1872"/>
        <v>1950000</v>
      </c>
      <c r="K3727" s="63">
        <f t="shared" si="1856"/>
        <v>0.43820224719101125</v>
      </c>
      <c r="L3727" s="871" t="s">
        <v>2822</v>
      </c>
      <c r="M3727" s="468"/>
      <c r="N3727" s="1192">
        <f t="shared" si="1874"/>
        <v>44223</v>
      </c>
      <c r="O3727" s="71" t="s">
        <v>2472</v>
      </c>
      <c r="P3727" s="164" t="str">
        <f t="shared" si="1875"/>
        <v>료비 UV lamp</v>
      </c>
      <c r="Q3727" s="71">
        <f t="shared" si="1876"/>
        <v>5</v>
      </c>
      <c r="R3727" s="102">
        <v>500000</v>
      </c>
      <c r="S3727" s="102">
        <f t="shared" si="1870"/>
        <v>2750000</v>
      </c>
      <c r="T3727" s="102">
        <f t="shared" si="1871"/>
        <v>2500000</v>
      </c>
      <c r="U3727" s="71"/>
      <c r="V3727" s="71"/>
      <c r="W3727" s="474"/>
      <c r="X3727" s="71"/>
      <c r="Y3727" s="71"/>
    </row>
    <row r="3728" spans="1:25" ht="30" hidden="1" customHeight="1" x14ac:dyDescent="0.2">
      <c r="A3728" s="1145">
        <v>44224</v>
      </c>
      <c r="B3728" s="664" t="s">
        <v>2353</v>
      </c>
      <c r="C3728" s="71" t="s">
        <v>129</v>
      </c>
      <c r="D3728" s="71">
        <v>7</v>
      </c>
      <c r="E3728" s="102">
        <v>272000</v>
      </c>
      <c r="F3728" s="102">
        <f>(E3728*D3728)*1.1</f>
        <v>2094400.0000000002</v>
      </c>
      <c r="G3728" s="102">
        <f>(E3728*D3728)</f>
        <v>1904000</v>
      </c>
      <c r="H3728" s="165" t="s">
        <v>142</v>
      </c>
      <c r="I3728" s="71" t="s">
        <v>142</v>
      </c>
      <c r="J3728" s="53">
        <f t="shared" si="1872"/>
        <v>414400</v>
      </c>
      <c r="K3728" s="63">
        <f t="shared" ref="K3728:K3748" si="1877">(J3728/(F3728/11*10))</f>
        <v>0.21764705882352939</v>
      </c>
      <c r="L3728" s="871" t="s">
        <v>2822</v>
      </c>
      <c r="M3728" s="468" t="s">
        <v>2050</v>
      </c>
      <c r="N3728" s="1192">
        <f t="shared" si="1874"/>
        <v>44224</v>
      </c>
      <c r="O3728" s="71" t="s">
        <v>149</v>
      </c>
      <c r="P3728" s="164" t="str">
        <f t="shared" si="1875"/>
        <v>세정포-XL106</v>
      </c>
      <c r="Q3728" s="71">
        <f t="shared" si="1876"/>
        <v>7</v>
      </c>
      <c r="R3728" s="102">
        <v>212800</v>
      </c>
      <c r="S3728" s="102">
        <f t="shared" si="1870"/>
        <v>1638560.0000000002</v>
      </c>
      <c r="T3728" s="102">
        <f t="shared" si="1871"/>
        <v>1489600</v>
      </c>
      <c r="U3728" s="71" t="str">
        <f>IF(J3728=W3728,"O", "X")</f>
        <v>O</v>
      </c>
      <c r="V3728" s="71"/>
      <c r="W3728" s="474">
        <f>(G3728-T3728)</f>
        <v>414400</v>
      </c>
      <c r="X3728" s="71"/>
      <c r="Y3728" s="71"/>
    </row>
    <row r="3729" spans="1:25" s="209" customFormat="1" ht="30" hidden="1" customHeight="1" x14ac:dyDescent="0.2">
      <c r="A3729" s="1145">
        <v>44224</v>
      </c>
      <c r="B3729" s="664" t="s">
        <v>2353</v>
      </c>
      <c r="C3729" s="71" t="s">
        <v>130</v>
      </c>
      <c r="D3729" s="71">
        <v>20</v>
      </c>
      <c r="E3729" s="102">
        <v>125000</v>
      </c>
      <c r="F3729" s="102">
        <f>(E3729*D3729)*1.1</f>
        <v>2750000</v>
      </c>
      <c r="G3729" s="102">
        <f>(E3729*D3729)</f>
        <v>2500000</v>
      </c>
      <c r="H3729" s="165" t="s">
        <v>142</v>
      </c>
      <c r="I3729" s="71" t="s">
        <v>142</v>
      </c>
      <c r="J3729" s="53">
        <f t="shared" si="1872"/>
        <v>520000</v>
      </c>
      <c r="K3729" s="63">
        <f t="shared" si="1877"/>
        <v>0.20799999999999999</v>
      </c>
      <c r="L3729" s="871" t="s">
        <v>2822</v>
      </c>
      <c r="M3729" s="468" t="s">
        <v>2050</v>
      </c>
      <c r="N3729" s="1192">
        <f t="shared" si="1874"/>
        <v>44224</v>
      </c>
      <c r="O3729" s="71" t="s">
        <v>150</v>
      </c>
      <c r="P3729" s="164" t="str">
        <f t="shared" si="1875"/>
        <v>XL106 Blanket(1077*885)</v>
      </c>
      <c r="Q3729" s="71">
        <f t="shared" si="1876"/>
        <v>20</v>
      </c>
      <c r="R3729" s="102">
        <v>99000</v>
      </c>
      <c r="S3729" s="102">
        <f t="shared" si="1870"/>
        <v>2178000</v>
      </c>
      <c r="T3729" s="102">
        <f t="shared" si="1871"/>
        <v>1980000</v>
      </c>
      <c r="U3729" s="71" t="str">
        <f>IF(J3729=W3729,"O", "X")</f>
        <v>O</v>
      </c>
      <c r="V3729" s="71"/>
      <c r="W3729" s="474">
        <f>(G3729-T3729)</f>
        <v>520000</v>
      </c>
      <c r="X3729" s="71"/>
      <c r="Y3729" s="71"/>
    </row>
    <row r="3730" spans="1:25" ht="30" hidden="1" customHeight="1" x14ac:dyDescent="0.25">
      <c r="A3730" s="1145">
        <v>44224</v>
      </c>
      <c r="B3730" s="664" t="s">
        <v>2353</v>
      </c>
      <c r="C3730" s="71" t="s">
        <v>2648</v>
      </c>
      <c r="D3730" s="71">
        <v>3</v>
      </c>
      <c r="E3730" s="102">
        <v>35000</v>
      </c>
      <c r="F3730" s="102">
        <f>(E3730*D3730)*1.1</f>
        <v>115500.00000000001</v>
      </c>
      <c r="G3730" s="102">
        <f>(E3730*D3730)</f>
        <v>105000</v>
      </c>
      <c r="H3730" s="690" t="s">
        <v>142</v>
      </c>
      <c r="I3730" s="71" t="s">
        <v>142</v>
      </c>
      <c r="J3730" s="53">
        <f t="shared" si="1872"/>
        <v>33000</v>
      </c>
      <c r="K3730" s="63">
        <f t="shared" si="1877"/>
        <v>0.31428571428571422</v>
      </c>
      <c r="L3730" s="871" t="s">
        <v>2822</v>
      </c>
      <c r="M3730" s="468"/>
      <c r="N3730" s="1192">
        <f t="shared" si="1874"/>
        <v>44224</v>
      </c>
      <c r="O3730" s="71" t="s">
        <v>94</v>
      </c>
      <c r="P3730" s="164" t="str">
        <f t="shared" si="1875"/>
        <v>주머니 필터백</v>
      </c>
      <c r="Q3730" s="71">
        <f t="shared" si="1876"/>
        <v>3</v>
      </c>
      <c r="R3730" s="102">
        <v>24000</v>
      </c>
      <c r="S3730" s="102">
        <f t="shared" si="1870"/>
        <v>79200</v>
      </c>
      <c r="T3730" s="102">
        <f t="shared" si="1871"/>
        <v>72000</v>
      </c>
      <c r="U3730" s="71"/>
      <c r="V3730" s="71"/>
      <c r="W3730" s="474"/>
      <c r="X3730" s="71"/>
      <c r="Y3730" s="71"/>
    </row>
    <row r="3731" spans="1:25" ht="30" hidden="1" customHeight="1" x14ac:dyDescent="0.2">
      <c r="A3731" s="1145">
        <v>44224</v>
      </c>
      <c r="B3731" s="664" t="s">
        <v>2579</v>
      </c>
      <c r="C3731" s="71" t="s">
        <v>2408</v>
      </c>
      <c r="D3731" s="71">
        <v>3</v>
      </c>
      <c r="E3731" s="102">
        <v>248600</v>
      </c>
      <c r="F3731" s="102">
        <f>(E3731*D3731)*1.1</f>
        <v>820380.00000000012</v>
      </c>
      <c r="G3731" s="102">
        <f>(E3731*D3731)</f>
        <v>745800</v>
      </c>
      <c r="H3731" s="165" t="s">
        <v>142</v>
      </c>
      <c r="I3731" s="71" t="s">
        <v>142</v>
      </c>
      <c r="J3731" s="53">
        <f t="shared" si="1872"/>
        <v>145800</v>
      </c>
      <c r="K3731" s="63">
        <f t="shared" si="1877"/>
        <v>0.19549477071600962</v>
      </c>
      <c r="L3731" s="871" t="s">
        <v>2822</v>
      </c>
      <c r="M3731" s="468"/>
      <c r="N3731" s="1192">
        <f t="shared" si="1874"/>
        <v>44224</v>
      </c>
      <c r="O3731" s="71" t="s">
        <v>150</v>
      </c>
      <c r="P3731" s="164" t="str">
        <f t="shared" si="1875"/>
        <v>판걸이 실린더 안쪽</v>
      </c>
      <c r="Q3731" s="71">
        <f t="shared" si="1876"/>
        <v>3</v>
      </c>
      <c r="R3731" s="102">
        <v>200000</v>
      </c>
      <c r="S3731" s="102">
        <f t="shared" si="1870"/>
        <v>660000</v>
      </c>
      <c r="T3731" s="102">
        <f t="shared" si="1871"/>
        <v>600000</v>
      </c>
      <c r="U3731" s="71"/>
      <c r="V3731" s="71"/>
      <c r="W3731" s="474"/>
      <c r="X3731" s="71"/>
      <c r="Y3731" s="71"/>
    </row>
    <row r="3732" spans="1:25" ht="30" hidden="1" customHeight="1" x14ac:dyDescent="0.25">
      <c r="A3732" s="1145">
        <v>44224</v>
      </c>
      <c r="B3732" s="664" t="s">
        <v>1051</v>
      </c>
      <c r="C3732" s="71" t="s">
        <v>1294</v>
      </c>
      <c r="D3732" s="71">
        <v>1200</v>
      </c>
      <c r="E3732" s="102">
        <v>5640</v>
      </c>
      <c r="F3732" s="102">
        <f t="shared" ref="F3732:F3750" si="1878">(E3732*D3732)*1.1</f>
        <v>7444800.0000000009</v>
      </c>
      <c r="G3732" s="102">
        <f t="shared" ref="G3732:G3750" si="1879">(E3732*D3732)</f>
        <v>6768000</v>
      </c>
      <c r="H3732" s="690" t="s">
        <v>142</v>
      </c>
      <c r="I3732" s="71" t="s">
        <v>2273</v>
      </c>
      <c r="J3732" s="53">
        <f t="shared" si="1872"/>
        <v>1728000</v>
      </c>
      <c r="K3732" s="63">
        <f t="shared" si="1877"/>
        <v>0.25531914893617019</v>
      </c>
      <c r="L3732" s="871" t="s">
        <v>2822</v>
      </c>
      <c r="M3732" s="468"/>
      <c r="N3732" s="1192">
        <f t="shared" si="1874"/>
        <v>44224</v>
      </c>
      <c r="O3732" s="71" t="s">
        <v>145</v>
      </c>
      <c r="P3732" s="164" t="str">
        <f t="shared" si="1875"/>
        <v>ENGAGE 1030*790</v>
      </c>
      <c r="Q3732" s="71">
        <f t="shared" si="1876"/>
        <v>1200</v>
      </c>
      <c r="R3732" s="102">
        <v>4200</v>
      </c>
      <c r="S3732" s="102">
        <f t="shared" si="1870"/>
        <v>5544000</v>
      </c>
      <c r="T3732" s="102">
        <f t="shared" si="1871"/>
        <v>5040000</v>
      </c>
      <c r="U3732" s="71" t="str">
        <f t="shared" ref="U3732:U3751" si="1880">IF(J3732=W3732,"O", "X")</f>
        <v>O</v>
      </c>
      <c r="V3732" s="71"/>
      <c r="W3732" s="474">
        <f t="shared" ref="W3732:W3750" si="1881">(G3732-T3732)</f>
        <v>1728000</v>
      </c>
      <c r="X3732" s="71"/>
      <c r="Y3732" s="71"/>
    </row>
    <row r="3733" spans="1:25" ht="30" hidden="1" customHeight="1" x14ac:dyDescent="0.25">
      <c r="A3733" s="1145">
        <v>44224</v>
      </c>
      <c r="B3733" s="664" t="s">
        <v>1051</v>
      </c>
      <c r="C3733" s="71" t="s">
        <v>1384</v>
      </c>
      <c r="D3733" s="71">
        <v>2600</v>
      </c>
      <c r="E3733" s="102">
        <v>3550</v>
      </c>
      <c r="F3733" s="102">
        <f t="shared" si="1878"/>
        <v>10153000</v>
      </c>
      <c r="G3733" s="102">
        <f t="shared" si="1879"/>
        <v>9230000</v>
      </c>
      <c r="H3733" s="690" t="s">
        <v>142</v>
      </c>
      <c r="I3733" s="71" t="s">
        <v>2273</v>
      </c>
      <c r="J3733" s="53">
        <f t="shared" si="1872"/>
        <v>2333369.7923067473</v>
      </c>
      <c r="K3733" s="63">
        <f t="shared" si="1877"/>
        <v>0.25280279439943093</v>
      </c>
      <c r="L3733" s="871" t="s">
        <v>2822</v>
      </c>
      <c r="M3733" s="468"/>
      <c r="N3733" s="1192">
        <f t="shared" si="1874"/>
        <v>44224</v>
      </c>
      <c r="O3733" s="71" t="s">
        <v>145</v>
      </c>
      <c r="P3733" s="164" t="str">
        <f t="shared" si="1875"/>
        <v>ENGAGE 900X571 - 27RO</v>
      </c>
      <c r="Q3733" s="71">
        <f t="shared" si="1876"/>
        <v>2600</v>
      </c>
      <c r="R3733" s="102">
        <f>R3732/1030/790*900*571</f>
        <v>2652.5500798820203</v>
      </c>
      <c r="S3733" s="102">
        <f t="shared" si="1870"/>
        <v>7586293.2284625787</v>
      </c>
      <c r="T3733" s="102">
        <f t="shared" si="1871"/>
        <v>6896630.2076932527</v>
      </c>
      <c r="U3733" s="71" t="str">
        <f t="shared" si="1880"/>
        <v>O</v>
      </c>
      <c r="V3733" s="71"/>
      <c r="W3733" s="474">
        <f t="shared" si="1881"/>
        <v>2333369.7923067473</v>
      </c>
      <c r="X3733" s="71"/>
      <c r="Y3733" s="71"/>
    </row>
    <row r="3734" spans="1:25" ht="30" hidden="1" customHeight="1" x14ac:dyDescent="0.25">
      <c r="A3734" s="1145">
        <v>44224</v>
      </c>
      <c r="B3734" s="664" t="s">
        <v>1051</v>
      </c>
      <c r="C3734" s="71" t="s">
        <v>951</v>
      </c>
      <c r="D3734" s="71">
        <v>3400</v>
      </c>
      <c r="E3734" s="102">
        <v>3380</v>
      </c>
      <c r="F3734" s="102">
        <f t="shared" si="1878"/>
        <v>12641200.000000002</v>
      </c>
      <c r="G3734" s="102">
        <f t="shared" si="1879"/>
        <v>11492000</v>
      </c>
      <c r="H3734" s="690" t="s">
        <v>142</v>
      </c>
      <c r="I3734" s="71" t="s">
        <v>2273</v>
      </c>
      <c r="J3734" s="53">
        <f t="shared" si="1872"/>
        <v>2938109.7701855712</v>
      </c>
      <c r="K3734" s="63">
        <f t="shared" si="1877"/>
        <v>0.25566566047559786</v>
      </c>
      <c r="L3734" s="871" t="s">
        <v>2822</v>
      </c>
      <c r="M3734" s="468"/>
      <c r="N3734" s="1192">
        <f t="shared" si="1874"/>
        <v>44224</v>
      </c>
      <c r="O3734" s="71" t="s">
        <v>145</v>
      </c>
      <c r="P3734" s="164" t="str">
        <f t="shared" si="1875"/>
        <v>ENGAGE 30WEB(883*552)</v>
      </c>
      <c r="Q3734" s="71">
        <f t="shared" si="1876"/>
        <v>3400</v>
      </c>
      <c r="R3734" s="102">
        <f>R3732/1030/790*883*552</f>
        <v>2515.8500675924788</v>
      </c>
      <c r="S3734" s="102">
        <f t="shared" ref="S3734:S3751" si="1882">R3734*Q3734*1.1</f>
        <v>9409279.2527958732</v>
      </c>
      <c r="T3734" s="102">
        <f t="shared" ref="T3734:T3751" si="1883">R3734*Q3734</f>
        <v>8553890.2298144288</v>
      </c>
      <c r="U3734" s="71" t="str">
        <f t="shared" si="1880"/>
        <v>O</v>
      </c>
      <c r="V3734" s="71"/>
      <c r="W3734" s="474">
        <f t="shared" si="1881"/>
        <v>2938109.7701855712</v>
      </c>
      <c r="X3734" s="71"/>
      <c r="Y3734" s="71"/>
    </row>
    <row r="3735" spans="1:25" ht="30" hidden="1" customHeight="1" x14ac:dyDescent="0.25">
      <c r="A3735" s="1145">
        <v>44224</v>
      </c>
      <c r="B3735" s="664" t="s">
        <v>1051</v>
      </c>
      <c r="C3735" s="71" t="s">
        <v>2219</v>
      </c>
      <c r="D3735" s="71">
        <v>200</v>
      </c>
      <c r="E3735" s="102">
        <v>5710</v>
      </c>
      <c r="F3735" s="102">
        <f t="shared" si="1878"/>
        <v>1256200</v>
      </c>
      <c r="G3735" s="102">
        <f t="shared" si="1879"/>
        <v>1142000</v>
      </c>
      <c r="H3735" s="690" t="s">
        <v>142</v>
      </c>
      <c r="I3735" s="71" t="s">
        <v>2273</v>
      </c>
      <c r="J3735" s="53">
        <f t="shared" si="1872"/>
        <v>291367.08860759495</v>
      </c>
      <c r="K3735" s="63">
        <f t="shared" si="1877"/>
        <v>0.25513755569841939</v>
      </c>
      <c r="L3735" s="871" t="s">
        <v>2822</v>
      </c>
      <c r="M3735" s="468"/>
      <c r="N3735" s="1192">
        <f t="shared" si="1874"/>
        <v>44224</v>
      </c>
      <c r="O3735" s="71" t="s">
        <v>145</v>
      </c>
      <c r="P3735" s="164" t="str">
        <f t="shared" si="1875"/>
        <v>ENGAGE 1030*800</v>
      </c>
      <c r="Q3735" s="71">
        <f t="shared" si="1876"/>
        <v>200</v>
      </c>
      <c r="R3735" s="102">
        <f>R3732/1030/790*1030*800</f>
        <v>4253.164556962025</v>
      </c>
      <c r="S3735" s="102">
        <f t="shared" si="1882"/>
        <v>935696.20253164566</v>
      </c>
      <c r="T3735" s="102">
        <f t="shared" si="1883"/>
        <v>850632.91139240505</v>
      </c>
      <c r="U3735" s="71" t="str">
        <f t="shared" si="1880"/>
        <v>O</v>
      </c>
      <c r="V3735" s="71"/>
      <c r="W3735" s="474">
        <f t="shared" si="1881"/>
        <v>291367.08860759495</v>
      </c>
      <c r="X3735" s="71"/>
      <c r="Y3735" s="71"/>
    </row>
    <row r="3736" spans="1:25" ht="30" hidden="1" customHeight="1" x14ac:dyDescent="0.25">
      <c r="A3736" s="1145">
        <v>44224</v>
      </c>
      <c r="B3736" s="664" t="s">
        <v>1051</v>
      </c>
      <c r="C3736" s="71" t="s">
        <v>1383</v>
      </c>
      <c r="D3736" s="71">
        <v>2200</v>
      </c>
      <c r="E3736" s="102">
        <v>5920</v>
      </c>
      <c r="F3736" s="102">
        <f t="shared" si="1878"/>
        <v>14326400.000000002</v>
      </c>
      <c r="G3736" s="102">
        <f t="shared" si="1879"/>
        <v>13024000</v>
      </c>
      <c r="H3736" s="690" t="s">
        <v>142</v>
      </c>
      <c r="I3736" s="71" t="s">
        <v>2273</v>
      </c>
      <c r="J3736" s="53">
        <f t="shared" si="1872"/>
        <v>3308146.2455450427</v>
      </c>
      <c r="K3736" s="63">
        <f t="shared" si="1877"/>
        <v>0.25400385791961322</v>
      </c>
      <c r="L3736" s="871" t="s">
        <v>2822</v>
      </c>
      <c r="M3736" s="468"/>
      <c r="N3736" s="1192">
        <f t="shared" si="1874"/>
        <v>44224</v>
      </c>
      <c r="O3736" s="71" t="s">
        <v>145</v>
      </c>
      <c r="P3736" s="164" t="str">
        <f t="shared" si="1875"/>
        <v>ENGAGE 1055*811</v>
      </c>
      <c r="Q3736" s="71">
        <f t="shared" si="1876"/>
        <v>2200</v>
      </c>
      <c r="R3736" s="102">
        <f>R3732/1030/790*1055*811</f>
        <v>4416.29716111589</v>
      </c>
      <c r="S3736" s="102">
        <f t="shared" si="1882"/>
        <v>10687439.129900454</v>
      </c>
      <c r="T3736" s="102">
        <f t="shared" si="1883"/>
        <v>9715853.7544549573</v>
      </c>
      <c r="U3736" s="71" t="str">
        <f t="shared" si="1880"/>
        <v>O</v>
      </c>
      <c r="V3736" s="71"/>
      <c r="W3736" s="474">
        <f t="shared" si="1881"/>
        <v>3308146.2455450427</v>
      </c>
      <c r="X3736" s="71"/>
      <c r="Y3736" s="71"/>
    </row>
    <row r="3737" spans="1:25" ht="30" hidden="1" customHeight="1" x14ac:dyDescent="0.25">
      <c r="A3737" s="1145">
        <v>44224</v>
      </c>
      <c r="B3737" s="664" t="s">
        <v>1051</v>
      </c>
      <c r="C3737" s="71" t="s">
        <v>1650</v>
      </c>
      <c r="D3737" s="71">
        <v>1600</v>
      </c>
      <c r="E3737" s="102">
        <v>4230</v>
      </c>
      <c r="F3737" s="102">
        <f t="shared" si="1878"/>
        <v>7444800.0000000009</v>
      </c>
      <c r="G3737" s="102">
        <f t="shared" si="1879"/>
        <v>6768000</v>
      </c>
      <c r="H3737" s="690" t="s">
        <v>142</v>
      </c>
      <c r="I3737" s="71" t="s">
        <v>2273</v>
      </c>
      <c r="J3737" s="53">
        <f t="shared" si="1872"/>
        <v>1723598.1811478436</v>
      </c>
      <c r="K3737" s="63">
        <f t="shared" si="1877"/>
        <v>0.25466876198992955</v>
      </c>
      <c r="L3737" s="871" t="s">
        <v>2822</v>
      </c>
      <c r="M3737" s="468"/>
      <c r="N3737" s="1192">
        <f t="shared" si="1874"/>
        <v>44224</v>
      </c>
      <c r="O3737" s="71" t="s">
        <v>145</v>
      </c>
      <c r="P3737" s="164" t="str">
        <f t="shared" si="1875"/>
        <v>ENGAGE 968*631</v>
      </c>
      <c r="Q3737" s="71">
        <f t="shared" si="1876"/>
        <v>1600</v>
      </c>
      <c r="R3737" s="102">
        <f>R3732/1030/790*968*631</f>
        <v>3152.7511367825978</v>
      </c>
      <c r="S3737" s="102">
        <f t="shared" si="1882"/>
        <v>5548842.0007373728</v>
      </c>
      <c r="T3737" s="102">
        <f t="shared" si="1883"/>
        <v>5044401.8188521564</v>
      </c>
      <c r="U3737" s="71" t="str">
        <f t="shared" si="1880"/>
        <v>O</v>
      </c>
      <c r="V3737" s="71"/>
      <c r="W3737" s="474">
        <f t="shared" si="1881"/>
        <v>1723598.1811478436</v>
      </c>
      <c r="X3737" s="71"/>
      <c r="Y3737" s="71"/>
    </row>
    <row r="3738" spans="1:25" ht="30" hidden="1" customHeight="1" x14ac:dyDescent="0.25">
      <c r="A3738" s="1145">
        <v>44224</v>
      </c>
      <c r="B3738" s="664" t="s">
        <v>1051</v>
      </c>
      <c r="C3738" s="71" t="s">
        <v>2619</v>
      </c>
      <c r="D3738" s="71"/>
      <c r="E3738" s="102">
        <v>6230</v>
      </c>
      <c r="F3738" s="102">
        <f t="shared" si="1878"/>
        <v>0</v>
      </c>
      <c r="G3738" s="102">
        <f t="shared" si="1879"/>
        <v>0</v>
      </c>
      <c r="H3738" s="690" t="s">
        <v>142</v>
      </c>
      <c r="I3738" s="71" t="s">
        <v>2273</v>
      </c>
      <c r="J3738" s="53">
        <f t="shared" si="1872"/>
        <v>0</v>
      </c>
      <c r="K3738" s="63" t="e">
        <f t="shared" si="1877"/>
        <v>#DIV/0!</v>
      </c>
      <c r="L3738" s="871" t="s">
        <v>2822</v>
      </c>
      <c r="M3738" s="468"/>
      <c r="N3738" s="1192">
        <f t="shared" si="1874"/>
        <v>44224</v>
      </c>
      <c r="O3738" s="71" t="s">
        <v>145</v>
      </c>
      <c r="P3738" s="164" t="str">
        <f t="shared" si="1875"/>
        <v>ENGAGE 1092*800</v>
      </c>
      <c r="Q3738" s="71">
        <f t="shared" si="1876"/>
        <v>0</v>
      </c>
      <c r="R3738" s="102">
        <v>5510</v>
      </c>
      <c r="S3738" s="102">
        <f t="shared" si="1882"/>
        <v>0</v>
      </c>
      <c r="T3738" s="102">
        <f t="shared" si="1883"/>
        <v>0</v>
      </c>
      <c r="U3738" s="71" t="str">
        <f t="shared" si="1880"/>
        <v>O</v>
      </c>
      <c r="V3738" s="71"/>
      <c r="W3738" s="474">
        <f t="shared" si="1881"/>
        <v>0</v>
      </c>
      <c r="X3738" s="71"/>
      <c r="Y3738" s="71"/>
    </row>
    <row r="3739" spans="1:25" ht="30" hidden="1" customHeight="1" x14ac:dyDescent="0.25">
      <c r="A3739" s="1145">
        <v>44224</v>
      </c>
      <c r="B3739" s="664" t="s">
        <v>1051</v>
      </c>
      <c r="C3739" s="67" t="s">
        <v>1386</v>
      </c>
      <c r="D3739" s="71">
        <v>55</v>
      </c>
      <c r="E3739" s="102">
        <v>52000</v>
      </c>
      <c r="F3739" s="102">
        <f t="shared" si="1878"/>
        <v>3146000.0000000005</v>
      </c>
      <c r="G3739" s="102">
        <f t="shared" si="1879"/>
        <v>2860000</v>
      </c>
      <c r="H3739" s="690" t="s">
        <v>142</v>
      </c>
      <c r="I3739" s="71" t="s">
        <v>2273</v>
      </c>
      <c r="J3739" s="53">
        <f t="shared" si="1872"/>
        <v>935000</v>
      </c>
      <c r="K3739" s="63">
        <f t="shared" si="1877"/>
        <v>0.32692307692307687</v>
      </c>
      <c r="L3739" s="871" t="s">
        <v>2822</v>
      </c>
      <c r="M3739" s="468"/>
      <c r="N3739" s="1192">
        <f t="shared" si="1874"/>
        <v>44224</v>
      </c>
      <c r="O3739" s="71" t="s">
        <v>145</v>
      </c>
      <c r="P3739" s="164" t="str">
        <f t="shared" si="1875"/>
        <v>THR200(20L)보충액</v>
      </c>
      <c r="Q3739" s="71">
        <f t="shared" si="1876"/>
        <v>55</v>
      </c>
      <c r="R3739" s="102">
        <v>35000</v>
      </c>
      <c r="S3739" s="102">
        <f t="shared" si="1882"/>
        <v>2117500</v>
      </c>
      <c r="T3739" s="102">
        <f t="shared" si="1883"/>
        <v>1925000</v>
      </c>
      <c r="U3739" s="71" t="str">
        <f t="shared" si="1880"/>
        <v>O</v>
      </c>
      <c r="V3739" s="71"/>
      <c r="W3739" s="474">
        <f t="shared" si="1881"/>
        <v>935000</v>
      </c>
      <c r="X3739" s="71"/>
      <c r="Y3739" s="71"/>
    </row>
    <row r="3740" spans="1:25" ht="30" hidden="1" customHeight="1" x14ac:dyDescent="0.25">
      <c r="A3740" s="1145">
        <v>44224</v>
      </c>
      <c r="B3740" s="664" t="s">
        <v>1051</v>
      </c>
      <c r="C3740" s="71" t="s">
        <v>1387</v>
      </c>
      <c r="D3740" s="71">
        <v>5</v>
      </c>
      <c r="E3740" s="102">
        <v>52000</v>
      </c>
      <c r="F3740" s="102">
        <f t="shared" si="1878"/>
        <v>286000</v>
      </c>
      <c r="G3740" s="102">
        <f t="shared" si="1879"/>
        <v>260000</v>
      </c>
      <c r="H3740" s="690" t="s">
        <v>142</v>
      </c>
      <c r="I3740" s="71" t="s">
        <v>2273</v>
      </c>
      <c r="J3740" s="53">
        <f t="shared" si="1872"/>
        <v>85000</v>
      </c>
      <c r="K3740" s="63">
        <f t="shared" si="1877"/>
        <v>0.32692307692307693</v>
      </c>
      <c r="L3740" s="871" t="s">
        <v>2822</v>
      </c>
      <c r="M3740" s="468"/>
      <c r="N3740" s="1192">
        <f t="shared" si="1874"/>
        <v>44224</v>
      </c>
      <c r="O3740" s="71" t="s">
        <v>145</v>
      </c>
      <c r="P3740" s="164" t="str">
        <f t="shared" si="1875"/>
        <v>THD200(20L)현상액</v>
      </c>
      <c r="Q3740" s="71">
        <f t="shared" si="1876"/>
        <v>5</v>
      </c>
      <c r="R3740" s="102">
        <v>35000</v>
      </c>
      <c r="S3740" s="102">
        <f t="shared" si="1882"/>
        <v>192500.00000000003</v>
      </c>
      <c r="T3740" s="102">
        <f t="shared" si="1883"/>
        <v>175000</v>
      </c>
      <c r="U3740" s="71" t="str">
        <f t="shared" si="1880"/>
        <v>O</v>
      </c>
      <c r="V3740" s="71"/>
      <c r="W3740" s="474">
        <f t="shared" si="1881"/>
        <v>85000</v>
      </c>
      <c r="X3740" s="71"/>
      <c r="Y3740" s="71"/>
    </row>
    <row r="3741" spans="1:25" ht="30" hidden="1" customHeight="1" x14ac:dyDescent="0.25">
      <c r="A3741" s="1145">
        <v>44224</v>
      </c>
      <c r="B3741" s="664" t="s">
        <v>1061</v>
      </c>
      <c r="C3741" s="71" t="s">
        <v>616</v>
      </c>
      <c r="D3741" s="71">
        <v>400</v>
      </c>
      <c r="E3741" s="102">
        <v>5600</v>
      </c>
      <c r="F3741" s="102">
        <f t="shared" si="1878"/>
        <v>2464000</v>
      </c>
      <c r="G3741" s="102">
        <f t="shared" si="1879"/>
        <v>2240000</v>
      </c>
      <c r="H3741" s="690" t="s">
        <v>142</v>
      </c>
      <c r="I3741" s="71" t="s">
        <v>144</v>
      </c>
      <c r="J3741" s="53">
        <f t="shared" si="1872"/>
        <v>204000</v>
      </c>
      <c r="K3741" s="63">
        <f t="shared" si="1877"/>
        <v>9.1071428571428567E-2</v>
      </c>
      <c r="L3741" s="871" t="s">
        <v>2822</v>
      </c>
      <c r="M3741" s="468"/>
      <c r="N3741" s="1192">
        <f t="shared" si="1874"/>
        <v>44224</v>
      </c>
      <c r="O3741" s="71" t="s">
        <v>147</v>
      </c>
      <c r="P3741" s="164" t="str">
        <f t="shared" si="1875"/>
        <v>프리미어(먹)</v>
      </c>
      <c r="Q3741" s="71">
        <f t="shared" si="1876"/>
        <v>400</v>
      </c>
      <c r="R3741" s="102">
        <v>5090</v>
      </c>
      <c r="S3741" s="102">
        <f t="shared" si="1882"/>
        <v>2239600</v>
      </c>
      <c r="T3741" s="102">
        <f t="shared" si="1883"/>
        <v>2036000</v>
      </c>
      <c r="U3741" s="71" t="str">
        <f t="shared" si="1880"/>
        <v>O</v>
      </c>
      <c r="V3741" s="71"/>
      <c r="W3741" s="474">
        <f t="shared" si="1881"/>
        <v>204000</v>
      </c>
      <c r="X3741" s="71"/>
      <c r="Y3741" s="71"/>
    </row>
    <row r="3742" spans="1:25" ht="30" hidden="1" customHeight="1" x14ac:dyDescent="0.25">
      <c r="A3742" s="1145">
        <v>44224</v>
      </c>
      <c r="B3742" s="664" t="s">
        <v>1052</v>
      </c>
      <c r="C3742" s="71" t="s">
        <v>585</v>
      </c>
      <c r="D3742" s="71">
        <v>400</v>
      </c>
      <c r="E3742" s="102">
        <v>6000</v>
      </c>
      <c r="F3742" s="102">
        <f t="shared" si="1878"/>
        <v>2640000</v>
      </c>
      <c r="G3742" s="102">
        <f t="shared" si="1879"/>
        <v>2400000</v>
      </c>
      <c r="H3742" s="690" t="s">
        <v>142</v>
      </c>
      <c r="I3742" s="71" t="s">
        <v>144</v>
      </c>
      <c r="J3742" s="53">
        <f t="shared" si="1872"/>
        <v>220000</v>
      </c>
      <c r="K3742" s="63">
        <f t="shared" si="1877"/>
        <v>9.166666666666666E-2</v>
      </c>
      <c r="L3742" s="871" t="s">
        <v>2822</v>
      </c>
      <c r="M3742" s="468"/>
      <c r="N3742" s="1192">
        <f t="shared" si="1874"/>
        <v>44224</v>
      </c>
      <c r="O3742" s="71" t="s">
        <v>147</v>
      </c>
      <c r="P3742" s="164" t="str">
        <f t="shared" si="1875"/>
        <v>프리미어(적)</v>
      </c>
      <c r="Q3742" s="71">
        <f t="shared" si="1876"/>
        <v>400</v>
      </c>
      <c r="R3742" s="102">
        <v>5450</v>
      </c>
      <c r="S3742" s="102">
        <f t="shared" si="1882"/>
        <v>2398000</v>
      </c>
      <c r="T3742" s="102">
        <f t="shared" si="1883"/>
        <v>2180000</v>
      </c>
      <c r="U3742" s="71" t="str">
        <f t="shared" si="1880"/>
        <v>O</v>
      </c>
      <c r="V3742" s="71"/>
      <c r="W3742" s="474">
        <f t="shared" si="1881"/>
        <v>220000</v>
      </c>
      <c r="X3742" s="71"/>
      <c r="Y3742" s="71"/>
    </row>
    <row r="3743" spans="1:25" ht="30" hidden="1" customHeight="1" x14ac:dyDescent="0.25">
      <c r="A3743" s="1145">
        <v>44224</v>
      </c>
      <c r="B3743" s="664" t="s">
        <v>1061</v>
      </c>
      <c r="C3743" s="71" t="s">
        <v>586</v>
      </c>
      <c r="D3743" s="71">
        <v>600</v>
      </c>
      <c r="E3743" s="102">
        <v>5750</v>
      </c>
      <c r="F3743" s="102">
        <f t="shared" si="1878"/>
        <v>3795000.0000000005</v>
      </c>
      <c r="G3743" s="102">
        <f t="shared" si="1879"/>
        <v>3450000</v>
      </c>
      <c r="H3743" s="690" t="s">
        <v>142</v>
      </c>
      <c r="I3743" s="71" t="s">
        <v>144</v>
      </c>
      <c r="J3743" s="53">
        <f t="shared" si="1872"/>
        <v>318000</v>
      </c>
      <c r="K3743" s="63">
        <f t="shared" si="1877"/>
        <v>9.2173913043478245E-2</v>
      </c>
      <c r="L3743" s="871" t="s">
        <v>2822</v>
      </c>
      <c r="M3743" s="468"/>
      <c r="N3743" s="1192">
        <f t="shared" si="1874"/>
        <v>44224</v>
      </c>
      <c r="O3743" s="71" t="s">
        <v>147</v>
      </c>
      <c r="P3743" s="164" t="str">
        <f t="shared" si="1875"/>
        <v>프리미어(황)</v>
      </c>
      <c r="Q3743" s="71">
        <f t="shared" si="1876"/>
        <v>600</v>
      </c>
      <c r="R3743" s="102">
        <v>5220</v>
      </c>
      <c r="S3743" s="102">
        <f t="shared" si="1882"/>
        <v>3445200.0000000005</v>
      </c>
      <c r="T3743" s="102">
        <f t="shared" si="1883"/>
        <v>3132000</v>
      </c>
      <c r="U3743" s="71" t="str">
        <f t="shared" si="1880"/>
        <v>O</v>
      </c>
      <c r="V3743" s="71"/>
      <c r="W3743" s="474">
        <f t="shared" si="1881"/>
        <v>318000</v>
      </c>
      <c r="X3743" s="71"/>
      <c r="Y3743" s="71"/>
    </row>
    <row r="3744" spans="1:25" ht="30" hidden="1" customHeight="1" x14ac:dyDescent="0.25">
      <c r="A3744" s="1145">
        <v>44224</v>
      </c>
      <c r="B3744" s="664" t="s">
        <v>1061</v>
      </c>
      <c r="C3744" s="71" t="s">
        <v>587</v>
      </c>
      <c r="D3744" s="71">
        <v>600</v>
      </c>
      <c r="E3744" s="102">
        <v>7000</v>
      </c>
      <c r="F3744" s="102">
        <f t="shared" si="1878"/>
        <v>4620000</v>
      </c>
      <c r="G3744" s="102">
        <f t="shared" si="1879"/>
        <v>4200000</v>
      </c>
      <c r="H3744" s="690" t="s">
        <v>142</v>
      </c>
      <c r="I3744" s="71" t="s">
        <v>144</v>
      </c>
      <c r="J3744" s="53">
        <f t="shared" si="1872"/>
        <v>384000</v>
      </c>
      <c r="K3744" s="63">
        <f t="shared" si="1877"/>
        <v>9.1428571428571428E-2</v>
      </c>
      <c r="L3744" s="871" t="s">
        <v>2822</v>
      </c>
      <c r="M3744" s="468"/>
      <c r="N3744" s="1192">
        <f t="shared" si="1874"/>
        <v>44224</v>
      </c>
      <c r="O3744" s="71" t="s">
        <v>147</v>
      </c>
      <c r="P3744" s="164" t="str">
        <f t="shared" si="1875"/>
        <v>프리미어(청)</v>
      </c>
      <c r="Q3744" s="71">
        <f t="shared" ref="Q3744:Q3750" si="1884">D3744</f>
        <v>600</v>
      </c>
      <c r="R3744" s="102">
        <v>6360</v>
      </c>
      <c r="S3744" s="102">
        <f t="shared" si="1882"/>
        <v>4197600</v>
      </c>
      <c r="T3744" s="102">
        <f t="shared" si="1883"/>
        <v>3816000</v>
      </c>
      <c r="U3744" s="71" t="str">
        <f t="shared" si="1880"/>
        <v>O</v>
      </c>
      <c r="V3744" s="71"/>
      <c r="W3744" s="474">
        <f t="shared" si="1881"/>
        <v>384000</v>
      </c>
      <c r="X3744" s="71"/>
      <c r="Y3744" s="71"/>
    </row>
    <row r="3745" spans="1:25" ht="30" hidden="1" customHeight="1" x14ac:dyDescent="0.25">
      <c r="A3745" s="1145">
        <v>44224</v>
      </c>
      <c r="B3745" s="664" t="s">
        <v>1052</v>
      </c>
      <c r="C3745" s="71" t="s">
        <v>1115</v>
      </c>
      <c r="D3745" s="71">
        <v>50</v>
      </c>
      <c r="E3745" s="102">
        <v>6200</v>
      </c>
      <c r="F3745" s="102">
        <f t="shared" si="1878"/>
        <v>341000</v>
      </c>
      <c r="G3745" s="102">
        <f t="shared" si="1879"/>
        <v>310000</v>
      </c>
      <c r="H3745" s="690" t="s">
        <v>142</v>
      </c>
      <c r="I3745" s="71" t="s">
        <v>144</v>
      </c>
      <c r="J3745" s="53">
        <f t="shared" si="1872"/>
        <v>15000</v>
      </c>
      <c r="K3745" s="63">
        <f t="shared" si="1877"/>
        <v>4.8387096774193547E-2</v>
      </c>
      <c r="L3745" s="871" t="s">
        <v>2822</v>
      </c>
      <c r="M3745" s="468"/>
      <c r="N3745" s="1192">
        <f t="shared" si="1874"/>
        <v>44224</v>
      </c>
      <c r="O3745" s="71" t="s">
        <v>2459</v>
      </c>
      <c r="P3745" s="164" t="str">
        <f t="shared" si="1875"/>
        <v>한특 잉크(적)</v>
      </c>
      <c r="Q3745" s="71">
        <f t="shared" si="1884"/>
        <v>50</v>
      </c>
      <c r="R3745" s="102">
        <v>5900</v>
      </c>
      <c r="S3745" s="102">
        <f t="shared" si="1882"/>
        <v>324500</v>
      </c>
      <c r="T3745" s="102">
        <f t="shared" si="1883"/>
        <v>295000</v>
      </c>
      <c r="U3745" s="71" t="str">
        <f t="shared" si="1880"/>
        <v>O</v>
      </c>
      <c r="V3745" s="71"/>
      <c r="W3745" s="474">
        <f t="shared" si="1881"/>
        <v>15000</v>
      </c>
      <c r="X3745" s="71"/>
      <c r="Y3745" s="71"/>
    </row>
    <row r="3746" spans="1:25" ht="30" hidden="1" customHeight="1" x14ac:dyDescent="0.25">
      <c r="A3746" s="1145">
        <v>44224</v>
      </c>
      <c r="B3746" s="664" t="s">
        <v>1052</v>
      </c>
      <c r="C3746" s="71" t="s">
        <v>1116</v>
      </c>
      <c r="D3746" s="71">
        <v>50</v>
      </c>
      <c r="E3746" s="102">
        <v>6000</v>
      </c>
      <c r="F3746" s="102">
        <f t="shared" si="1878"/>
        <v>330000</v>
      </c>
      <c r="G3746" s="102">
        <f t="shared" si="1879"/>
        <v>300000</v>
      </c>
      <c r="H3746" s="690" t="s">
        <v>142</v>
      </c>
      <c r="I3746" s="71" t="s">
        <v>144</v>
      </c>
      <c r="J3746" s="53">
        <f t="shared" si="1872"/>
        <v>25000</v>
      </c>
      <c r="K3746" s="63">
        <f t="shared" si="1877"/>
        <v>8.3333333333333329E-2</v>
      </c>
      <c r="L3746" s="871" t="s">
        <v>2822</v>
      </c>
      <c r="M3746" s="468"/>
      <c r="N3746" s="1192">
        <f t="shared" si="1874"/>
        <v>44224</v>
      </c>
      <c r="O3746" s="71" t="s">
        <v>2459</v>
      </c>
      <c r="P3746" s="164" t="str">
        <f t="shared" si="1875"/>
        <v>한특 잉크(황)</v>
      </c>
      <c r="Q3746" s="71">
        <f t="shared" si="1884"/>
        <v>50</v>
      </c>
      <c r="R3746" s="102">
        <v>5500</v>
      </c>
      <c r="S3746" s="102">
        <f t="shared" si="1882"/>
        <v>302500</v>
      </c>
      <c r="T3746" s="102">
        <f t="shared" si="1883"/>
        <v>275000</v>
      </c>
      <c r="U3746" s="71" t="str">
        <f t="shared" si="1880"/>
        <v>O</v>
      </c>
      <c r="V3746" s="71"/>
      <c r="W3746" s="474">
        <f t="shared" si="1881"/>
        <v>25000</v>
      </c>
      <c r="X3746" s="71"/>
      <c r="Y3746" s="71"/>
    </row>
    <row r="3747" spans="1:25" ht="30" hidden="1" customHeight="1" x14ac:dyDescent="0.25">
      <c r="A3747" s="1145">
        <v>44224</v>
      </c>
      <c r="B3747" s="664" t="s">
        <v>1052</v>
      </c>
      <c r="C3747" s="71" t="s">
        <v>1117</v>
      </c>
      <c r="D3747" s="71">
        <v>50</v>
      </c>
      <c r="E3747" s="102">
        <v>6500</v>
      </c>
      <c r="F3747" s="102">
        <f t="shared" si="1878"/>
        <v>357500</v>
      </c>
      <c r="G3747" s="102">
        <f t="shared" si="1879"/>
        <v>325000</v>
      </c>
      <c r="H3747" s="690" t="s">
        <v>142</v>
      </c>
      <c r="I3747" s="71" t="s">
        <v>144</v>
      </c>
      <c r="J3747" s="53">
        <f t="shared" si="1872"/>
        <v>25000</v>
      </c>
      <c r="K3747" s="63">
        <f t="shared" si="1877"/>
        <v>7.6923076923076927E-2</v>
      </c>
      <c r="L3747" s="871" t="s">
        <v>2822</v>
      </c>
      <c r="M3747" s="468"/>
      <c r="N3747" s="1192">
        <f t="shared" si="1874"/>
        <v>44224</v>
      </c>
      <c r="O3747" s="71" t="s">
        <v>2459</v>
      </c>
      <c r="P3747" s="164" t="str">
        <f t="shared" si="1875"/>
        <v>한특 잉크(청)</v>
      </c>
      <c r="Q3747" s="71">
        <f t="shared" si="1884"/>
        <v>50</v>
      </c>
      <c r="R3747" s="102">
        <v>6000</v>
      </c>
      <c r="S3747" s="102">
        <f t="shared" si="1882"/>
        <v>330000</v>
      </c>
      <c r="T3747" s="102">
        <f t="shared" si="1883"/>
        <v>300000</v>
      </c>
      <c r="U3747" s="71" t="str">
        <f t="shared" si="1880"/>
        <v>O</v>
      </c>
      <c r="V3747" s="71"/>
      <c r="W3747" s="474">
        <f t="shared" si="1881"/>
        <v>25000</v>
      </c>
      <c r="X3747" s="71"/>
      <c r="Y3747" s="71"/>
    </row>
    <row r="3748" spans="1:25" ht="30" hidden="1" customHeight="1" x14ac:dyDescent="0.25">
      <c r="A3748" s="1145">
        <v>44224</v>
      </c>
      <c r="B3748" s="664" t="s">
        <v>1052</v>
      </c>
      <c r="C3748" s="71" t="s">
        <v>1118</v>
      </c>
      <c r="D3748" s="71">
        <v>50</v>
      </c>
      <c r="E3748" s="102">
        <v>5600</v>
      </c>
      <c r="F3748" s="102">
        <f t="shared" si="1878"/>
        <v>308000</v>
      </c>
      <c r="G3748" s="102">
        <f t="shared" si="1879"/>
        <v>280000</v>
      </c>
      <c r="H3748" s="690" t="s">
        <v>142</v>
      </c>
      <c r="I3748" s="71" t="s">
        <v>144</v>
      </c>
      <c r="J3748" s="53">
        <f t="shared" si="1872"/>
        <v>20000</v>
      </c>
      <c r="K3748" s="63">
        <f t="shared" si="1877"/>
        <v>7.1428571428571425E-2</v>
      </c>
      <c r="L3748" s="871" t="s">
        <v>2822</v>
      </c>
      <c r="M3748" s="468"/>
      <c r="N3748" s="1192">
        <f t="shared" si="1874"/>
        <v>44224</v>
      </c>
      <c r="O3748" s="71" t="s">
        <v>2459</v>
      </c>
      <c r="P3748" s="164" t="str">
        <f>(C3748)</f>
        <v>한특 잉크(먹)</v>
      </c>
      <c r="Q3748" s="71">
        <f t="shared" si="1884"/>
        <v>50</v>
      </c>
      <c r="R3748" s="102">
        <v>5200</v>
      </c>
      <c r="S3748" s="102">
        <f t="shared" si="1882"/>
        <v>286000</v>
      </c>
      <c r="T3748" s="102">
        <f t="shared" si="1883"/>
        <v>260000</v>
      </c>
      <c r="U3748" s="71" t="str">
        <f t="shared" si="1880"/>
        <v>O</v>
      </c>
      <c r="V3748" s="71"/>
      <c r="W3748" s="474">
        <f t="shared" si="1881"/>
        <v>20000</v>
      </c>
      <c r="X3748" s="71"/>
      <c r="Y3748" s="71"/>
    </row>
    <row r="3749" spans="1:25" ht="30" hidden="1" customHeight="1" x14ac:dyDescent="0.25">
      <c r="A3749" s="1145">
        <v>44224</v>
      </c>
      <c r="B3749" s="664" t="s">
        <v>545</v>
      </c>
      <c r="C3749" s="71" t="s">
        <v>952</v>
      </c>
      <c r="D3749" s="71">
        <v>1</v>
      </c>
      <c r="E3749" s="102">
        <v>630000</v>
      </c>
      <c r="F3749" s="102">
        <f t="shared" si="1878"/>
        <v>693000</v>
      </c>
      <c r="G3749" s="102">
        <f t="shared" si="1879"/>
        <v>630000</v>
      </c>
      <c r="H3749" s="690" t="s">
        <v>173</v>
      </c>
      <c r="I3749" s="71" t="s">
        <v>108</v>
      </c>
      <c r="J3749" s="53">
        <f t="shared" si="1872"/>
        <v>190000</v>
      </c>
      <c r="K3749" s="63">
        <f>(J3749/(F3749/11*10))</f>
        <v>0.30158730158730157</v>
      </c>
      <c r="L3749" s="871" t="s">
        <v>2656</v>
      </c>
      <c r="M3749" s="468"/>
      <c r="N3749" s="1192">
        <f t="shared" si="1874"/>
        <v>44224</v>
      </c>
      <c r="O3749" s="71" t="s">
        <v>599</v>
      </c>
      <c r="P3749" s="164" t="str">
        <f>(C3749)</f>
        <v>점보롤 세정포</v>
      </c>
      <c r="Q3749" s="71">
        <f t="shared" si="1884"/>
        <v>1</v>
      </c>
      <c r="R3749" s="102">
        <v>440000</v>
      </c>
      <c r="S3749" s="102">
        <f t="shared" si="1882"/>
        <v>484000.00000000006</v>
      </c>
      <c r="T3749" s="102">
        <f t="shared" si="1883"/>
        <v>440000</v>
      </c>
      <c r="U3749" s="71" t="str">
        <f t="shared" si="1880"/>
        <v>O</v>
      </c>
      <c r="V3749" s="71" t="s">
        <v>1228</v>
      </c>
      <c r="W3749" s="474">
        <f t="shared" si="1881"/>
        <v>190000</v>
      </c>
      <c r="X3749" s="71"/>
      <c r="Y3749" s="71"/>
    </row>
    <row r="3750" spans="1:25" ht="30" hidden="1" customHeight="1" x14ac:dyDescent="0.25">
      <c r="A3750" s="1145">
        <v>44224</v>
      </c>
      <c r="B3750" s="664" t="s">
        <v>545</v>
      </c>
      <c r="C3750" s="71" t="s">
        <v>227</v>
      </c>
      <c r="D3750" s="71">
        <v>10</v>
      </c>
      <c r="E3750" s="102">
        <v>110000</v>
      </c>
      <c r="F3750" s="102">
        <f t="shared" si="1878"/>
        <v>1210000</v>
      </c>
      <c r="G3750" s="102">
        <f t="shared" si="1879"/>
        <v>1100000</v>
      </c>
      <c r="H3750" s="690" t="s">
        <v>173</v>
      </c>
      <c r="I3750" s="71" t="s">
        <v>109</v>
      </c>
      <c r="J3750" s="53">
        <f t="shared" si="1872"/>
        <v>271000</v>
      </c>
      <c r="K3750" s="63">
        <f>(J3750/(F3750/11*10))</f>
        <v>0.24636363636363637</v>
      </c>
      <c r="L3750" s="871" t="s">
        <v>2656</v>
      </c>
      <c r="M3750" s="468"/>
      <c r="N3750" s="1192">
        <f t="shared" si="1874"/>
        <v>44224</v>
      </c>
      <c r="O3750" s="71" t="s">
        <v>147</v>
      </c>
      <c r="P3750" s="164" t="str">
        <f>(C3750)</f>
        <v>Blanket(1060*860)</v>
      </c>
      <c r="Q3750" s="71">
        <f t="shared" si="1884"/>
        <v>10</v>
      </c>
      <c r="R3750" s="102">
        <v>82900</v>
      </c>
      <c r="S3750" s="102">
        <f t="shared" si="1882"/>
        <v>911900.00000000012</v>
      </c>
      <c r="T3750" s="102">
        <f t="shared" si="1883"/>
        <v>829000</v>
      </c>
      <c r="U3750" s="71" t="str">
        <f t="shared" si="1880"/>
        <v>O</v>
      </c>
      <c r="V3750" s="71"/>
      <c r="W3750" s="474">
        <f t="shared" si="1881"/>
        <v>271000</v>
      </c>
      <c r="X3750" s="71"/>
      <c r="Y3750" s="71"/>
    </row>
    <row r="3751" spans="1:25" ht="30" hidden="1" customHeight="1" x14ac:dyDescent="0.25">
      <c r="A3751" s="1145">
        <v>44224</v>
      </c>
      <c r="B3751" s="664" t="s">
        <v>545</v>
      </c>
      <c r="C3751" s="71" t="s">
        <v>1441</v>
      </c>
      <c r="D3751" s="71">
        <v>2</v>
      </c>
      <c r="E3751" s="102">
        <v>210000</v>
      </c>
      <c r="F3751" s="102">
        <f>(E3751*D3751)*1.1</f>
        <v>462000.00000000006</v>
      </c>
      <c r="G3751" s="102">
        <f>(E3751*D3751)</f>
        <v>420000</v>
      </c>
      <c r="H3751" s="690" t="s">
        <v>173</v>
      </c>
      <c r="I3751" s="71" t="s">
        <v>2231</v>
      </c>
      <c r="J3751" s="53">
        <f t="shared" si="1872"/>
        <v>90000</v>
      </c>
      <c r="K3751" s="63">
        <f>(J3751/(F3751/11*10))</f>
        <v>0.21428571428571425</v>
      </c>
      <c r="L3751" s="871" t="s">
        <v>2656</v>
      </c>
      <c r="M3751" s="468"/>
      <c r="N3751" s="1192">
        <f>A3751</f>
        <v>44224</v>
      </c>
      <c r="O3751" s="71" t="s">
        <v>1555</v>
      </c>
      <c r="P3751" s="164" t="str">
        <f>(C3751)</f>
        <v xml:space="preserve"> OKS340 체인구리스</v>
      </c>
      <c r="Q3751" s="71">
        <f>D3751</f>
        <v>2</v>
      </c>
      <c r="R3751" s="102">
        <v>165000</v>
      </c>
      <c r="S3751" s="102">
        <f t="shared" si="1882"/>
        <v>363000.00000000006</v>
      </c>
      <c r="T3751" s="102">
        <f t="shared" si="1883"/>
        <v>330000</v>
      </c>
      <c r="U3751" s="71" t="str">
        <f t="shared" si="1880"/>
        <v>X</v>
      </c>
      <c r="V3751" s="71"/>
      <c r="W3751" s="474"/>
      <c r="X3751" s="71"/>
      <c r="Y3751" s="71"/>
    </row>
    <row r="3752" spans="1:25" s="978" customFormat="1" ht="45" hidden="1" customHeight="1" x14ac:dyDescent="0.25">
      <c r="A3752" s="982" t="s">
        <v>2837</v>
      </c>
      <c r="B3752" s="976" t="s">
        <v>544</v>
      </c>
      <c r="C3752" s="453"/>
      <c r="D3752" s="453"/>
      <c r="E3752" s="454"/>
      <c r="F3752" s="454"/>
      <c r="G3752" s="454"/>
      <c r="H3752" s="455"/>
      <c r="I3752" s="453"/>
      <c r="J3752" s="417"/>
      <c r="K3752" s="418"/>
      <c r="L3752" s="983" t="s">
        <v>2828</v>
      </c>
      <c r="M3752" s="643"/>
      <c r="N3752" s="724" t="str">
        <f>A3752</f>
        <v>2021,2</v>
      </c>
      <c r="O3752" s="453" t="s">
        <v>154</v>
      </c>
      <c r="P3752" s="728"/>
      <c r="Q3752" s="420"/>
      <c r="R3752" s="420"/>
      <c r="S3752" s="417"/>
      <c r="T3752" s="417"/>
      <c r="U3752" s="421"/>
      <c r="V3752" s="421"/>
      <c r="W3752" s="479">
        <f>(G3752-T3752)</f>
        <v>0</v>
      </c>
      <c r="X3752" s="421"/>
      <c r="Y3752" s="421"/>
    </row>
    <row r="3753" spans="1:25" ht="30" hidden="1" customHeight="1" x14ac:dyDescent="0.25">
      <c r="A3753" s="1145">
        <v>44224</v>
      </c>
      <c r="B3753" s="664" t="s">
        <v>442</v>
      </c>
      <c r="C3753" s="71" t="s">
        <v>773</v>
      </c>
      <c r="D3753" s="71">
        <v>6</v>
      </c>
      <c r="E3753" s="102">
        <v>192000</v>
      </c>
      <c r="F3753" s="102">
        <f>(E3753*D3753)*1.1</f>
        <v>1267200</v>
      </c>
      <c r="G3753" s="102">
        <f>(E3753*D3753)</f>
        <v>1152000</v>
      </c>
      <c r="H3753" s="690" t="s">
        <v>173</v>
      </c>
      <c r="I3753" s="71" t="s">
        <v>109</v>
      </c>
      <c r="J3753" s="53">
        <f>G3753-T3753</f>
        <v>144000</v>
      </c>
      <c r="K3753" s="63">
        <f>(J3753/(F3753/11*10))</f>
        <v>0.125</v>
      </c>
      <c r="L3753" s="871" t="s">
        <v>2828</v>
      </c>
      <c r="M3753" s="468"/>
      <c r="N3753" s="1192">
        <f>A3753</f>
        <v>44224</v>
      </c>
      <c r="O3753" s="71" t="s">
        <v>151</v>
      </c>
      <c r="P3753" s="164" t="str">
        <f>(C3753)</f>
        <v>로랜드 전지 블랑켓(1460*1165)bar</v>
      </c>
      <c r="Q3753" s="71">
        <f>D3753</f>
        <v>6</v>
      </c>
      <c r="R3753" s="102">
        <v>168000</v>
      </c>
      <c r="S3753" s="102">
        <f t="shared" ref="S3753:S3784" si="1885">R3753*Q3753*1.1</f>
        <v>1108800</v>
      </c>
      <c r="T3753" s="102">
        <f t="shared" ref="T3753:T3784" si="1886">R3753*Q3753</f>
        <v>1008000</v>
      </c>
      <c r="U3753" s="71" t="str">
        <f t="shared" ref="U3753:U3764" si="1887">IF(J3753=W3753,"O", "X")</f>
        <v>X</v>
      </c>
      <c r="V3753" s="71"/>
      <c r="W3753" s="474">
        <v>120000</v>
      </c>
      <c r="X3753" s="71"/>
      <c r="Y3753" s="71"/>
    </row>
    <row r="3754" spans="1:25" ht="30" hidden="1" customHeight="1" x14ac:dyDescent="0.25">
      <c r="A3754" s="1145">
        <v>44228</v>
      </c>
      <c r="B3754" s="664" t="s">
        <v>690</v>
      </c>
      <c r="C3754" s="71" t="s">
        <v>1186</v>
      </c>
      <c r="D3754" s="71">
        <v>500</v>
      </c>
      <c r="E3754" s="102">
        <v>3420</v>
      </c>
      <c r="F3754" s="102">
        <f t="shared" ref="F3754:F3762" si="1888">(E3754*D3754)*1.1</f>
        <v>1881000.0000000002</v>
      </c>
      <c r="G3754" s="102">
        <f t="shared" ref="G3754:G3762" si="1889">(E3754*D3754)</f>
        <v>1710000</v>
      </c>
      <c r="H3754" s="690" t="s">
        <v>173</v>
      </c>
      <c r="I3754" s="71" t="s">
        <v>2230</v>
      </c>
      <c r="J3754" s="53">
        <f>G3754-T3754</f>
        <v>-190000</v>
      </c>
      <c r="K3754" s="63">
        <f t="shared" ref="K3754:K3762" si="1890">(J3754/(F3754/11*10))</f>
        <v>-0.11111111111111109</v>
      </c>
      <c r="L3754" s="871" t="s">
        <v>2828</v>
      </c>
      <c r="M3754" s="468" t="s">
        <v>1393</v>
      </c>
      <c r="N3754" s="1192">
        <f t="shared" ref="N3754:N3762" si="1891">A3754</f>
        <v>44228</v>
      </c>
      <c r="O3754" s="71" t="s">
        <v>145</v>
      </c>
      <c r="P3754" s="164" t="str">
        <f t="shared" ref="P3754:P3762" si="1892">(C3754)</f>
        <v>CTP 판(1030*790mm)</v>
      </c>
      <c r="Q3754" s="71">
        <f t="shared" ref="Q3754:Q3816" si="1893">D3754</f>
        <v>500</v>
      </c>
      <c r="R3754" s="102">
        <v>3800</v>
      </c>
      <c r="S3754" s="102">
        <f t="shared" si="1885"/>
        <v>2090000.0000000002</v>
      </c>
      <c r="T3754" s="102">
        <f t="shared" si="1886"/>
        <v>1900000</v>
      </c>
      <c r="U3754" s="71" t="str">
        <f t="shared" si="1887"/>
        <v>X</v>
      </c>
      <c r="V3754" s="71"/>
      <c r="W3754" s="474">
        <v>-200000</v>
      </c>
      <c r="X3754" s="71"/>
      <c r="Y3754" s="71"/>
    </row>
    <row r="3755" spans="1:25" ht="30" hidden="1" customHeight="1" x14ac:dyDescent="0.25">
      <c r="A3755" s="1145">
        <v>44228</v>
      </c>
      <c r="B3755" s="664" t="s">
        <v>690</v>
      </c>
      <c r="C3755" s="71" t="s">
        <v>197</v>
      </c>
      <c r="D3755" s="71">
        <v>4</v>
      </c>
      <c r="E3755" s="102">
        <v>46000</v>
      </c>
      <c r="F3755" s="102">
        <f t="shared" si="1888"/>
        <v>202400.00000000003</v>
      </c>
      <c r="G3755" s="102">
        <f t="shared" si="1889"/>
        <v>184000</v>
      </c>
      <c r="H3755" s="690" t="s">
        <v>173</v>
      </c>
      <c r="I3755" s="71" t="s">
        <v>2230</v>
      </c>
      <c r="J3755" s="53">
        <f>G3755-T3755</f>
        <v>44000</v>
      </c>
      <c r="K3755" s="63">
        <f t="shared" si="1890"/>
        <v>0.23913043478260865</v>
      </c>
      <c r="L3755" s="871" t="s">
        <v>2838</v>
      </c>
      <c r="M3755" s="468" t="s">
        <v>1394</v>
      </c>
      <c r="N3755" s="1192">
        <f t="shared" si="1891"/>
        <v>44228</v>
      </c>
      <c r="O3755" s="71" t="s">
        <v>145</v>
      </c>
      <c r="P3755" s="164" t="str">
        <f t="shared" si="1892"/>
        <v>THR200(20L)</v>
      </c>
      <c r="Q3755" s="71">
        <f t="shared" si="1893"/>
        <v>4</v>
      </c>
      <c r="R3755" s="102">
        <v>35000</v>
      </c>
      <c r="S3755" s="102">
        <f t="shared" si="1885"/>
        <v>154000</v>
      </c>
      <c r="T3755" s="102">
        <f t="shared" si="1886"/>
        <v>140000</v>
      </c>
      <c r="U3755" s="71" t="str">
        <f t="shared" si="1887"/>
        <v>X</v>
      </c>
      <c r="V3755" s="71"/>
      <c r="W3755" s="474"/>
      <c r="X3755" s="71"/>
      <c r="Y3755" s="71"/>
    </row>
    <row r="3756" spans="1:25" ht="30" hidden="1" customHeight="1" x14ac:dyDescent="0.25">
      <c r="A3756" s="1145">
        <v>44228</v>
      </c>
      <c r="B3756" s="664" t="s">
        <v>442</v>
      </c>
      <c r="C3756" s="71" t="s">
        <v>206</v>
      </c>
      <c r="D3756" s="71">
        <v>2</v>
      </c>
      <c r="E3756" s="102">
        <v>327000</v>
      </c>
      <c r="F3756" s="102">
        <f t="shared" si="1888"/>
        <v>719400</v>
      </c>
      <c r="G3756" s="102">
        <f t="shared" si="1889"/>
        <v>654000</v>
      </c>
      <c r="H3756" s="690" t="s">
        <v>2029</v>
      </c>
      <c r="I3756" s="71" t="s">
        <v>195</v>
      </c>
      <c r="J3756" s="53">
        <f>(G3756-(VLOOKUP(C3756,[5]Price!B$1:D$65536,3,FALSE)*D3756))</f>
        <v>115800</v>
      </c>
      <c r="K3756" s="63">
        <f t="shared" si="1890"/>
        <v>0.17706422018348625</v>
      </c>
      <c r="L3756" s="871" t="s">
        <v>2838</v>
      </c>
      <c r="M3756" s="468"/>
      <c r="N3756" s="1192">
        <f t="shared" si="1891"/>
        <v>44228</v>
      </c>
      <c r="O3756" s="71" t="s">
        <v>194</v>
      </c>
      <c r="P3756" s="164" t="str">
        <f t="shared" si="1892"/>
        <v>Agfa Film(24inch)</v>
      </c>
      <c r="Q3756" s="71">
        <f t="shared" si="1893"/>
        <v>2</v>
      </c>
      <c r="R3756" s="102">
        <v>269100</v>
      </c>
      <c r="S3756" s="102">
        <f t="shared" si="1885"/>
        <v>592020</v>
      </c>
      <c r="T3756" s="102">
        <f t="shared" si="1886"/>
        <v>538200</v>
      </c>
      <c r="U3756" s="71" t="str">
        <f t="shared" si="1887"/>
        <v>O</v>
      </c>
      <c r="V3756" s="71"/>
      <c r="W3756" s="474">
        <f>(G3756-T3756)</f>
        <v>115800</v>
      </c>
      <c r="X3756" s="71"/>
      <c r="Y3756" s="71"/>
    </row>
    <row r="3757" spans="1:25" ht="30" hidden="1" customHeight="1" x14ac:dyDescent="0.25">
      <c r="A3757" s="1145">
        <v>44228</v>
      </c>
      <c r="B3757" s="664" t="s">
        <v>442</v>
      </c>
      <c r="C3757" s="71" t="s">
        <v>207</v>
      </c>
      <c r="D3757" s="71">
        <v>2</v>
      </c>
      <c r="E3757" s="102">
        <v>401000</v>
      </c>
      <c r="F3757" s="102">
        <f t="shared" si="1888"/>
        <v>882200.00000000012</v>
      </c>
      <c r="G3757" s="102">
        <f t="shared" si="1889"/>
        <v>802000</v>
      </c>
      <c r="H3757" s="690" t="s">
        <v>2029</v>
      </c>
      <c r="I3757" s="71" t="s">
        <v>195</v>
      </c>
      <c r="J3757" s="53">
        <f>(G3757-(VLOOKUP(C3757,[5]Price!B$1:D$65536,3,FALSE)*D3757))</f>
        <v>174080</v>
      </c>
      <c r="K3757" s="63">
        <f t="shared" si="1890"/>
        <v>0.21705735660847877</v>
      </c>
      <c r="L3757" s="871" t="s">
        <v>2838</v>
      </c>
      <c r="M3757" s="468"/>
      <c r="N3757" s="1192">
        <f t="shared" si="1891"/>
        <v>44228</v>
      </c>
      <c r="O3757" s="71" t="s">
        <v>194</v>
      </c>
      <c r="P3757" s="164" t="str">
        <f t="shared" si="1892"/>
        <v>Agfa Film(28inch)</v>
      </c>
      <c r="Q3757" s="71">
        <f t="shared" si="1893"/>
        <v>2</v>
      </c>
      <c r="R3757" s="102">
        <f>VLOOKUP(P3757,[5]Price!B$1:D$65536,3,FALSE)</f>
        <v>313960</v>
      </c>
      <c r="S3757" s="102">
        <f t="shared" si="1885"/>
        <v>690712</v>
      </c>
      <c r="T3757" s="102">
        <f t="shared" si="1886"/>
        <v>627920</v>
      </c>
      <c r="U3757" s="71" t="str">
        <f t="shared" si="1887"/>
        <v>O</v>
      </c>
      <c r="V3757" s="71"/>
      <c r="W3757" s="474">
        <f>(G3757-T3757)</f>
        <v>174080</v>
      </c>
      <c r="X3757" s="71"/>
      <c r="Y3757" s="71"/>
    </row>
    <row r="3758" spans="1:25" ht="30" hidden="1" customHeight="1" x14ac:dyDescent="0.25">
      <c r="A3758" s="1145">
        <v>44228</v>
      </c>
      <c r="B3758" s="664" t="s">
        <v>442</v>
      </c>
      <c r="C3758" s="71" t="s">
        <v>208</v>
      </c>
      <c r="D3758" s="71">
        <v>2</v>
      </c>
      <c r="E3758" s="102">
        <v>448000</v>
      </c>
      <c r="F3758" s="102">
        <f t="shared" si="1888"/>
        <v>985600.00000000012</v>
      </c>
      <c r="G3758" s="102">
        <f t="shared" si="1889"/>
        <v>896000</v>
      </c>
      <c r="H3758" s="690" t="s">
        <v>2029</v>
      </c>
      <c r="I3758" s="71" t="s">
        <v>195</v>
      </c>
      <c r="J3758" s="53">
        <f>(G3758-(VLOOKUP(C3758,[5]Price!B$1:D$65536,3,FALSE)*D3758))</f>
        <v>155980</v>
      </c>
      <c r="K3758" s="63">
        <f t="shared" si="1890"/>
        <v>0.1740848214285714</v>
      </c>
      <c r="L3758" s="871" t="s">
        <v>2838</v>
      </c>
      <c r="M3758" s="468"/>
      <c r="N3758" s="1192">
        <f t="shared" si="1891"/>
        <v>44228</v>
      </c>
      <c r="O3758" s="71" t="s">
        <v>194</v>
      </c>
      <c r="P3758" s="164" t="str">
        <f t="shared" si="1892"/>
        <v>Agfa Film(32inch)</v>
      </c>
      <c r="Q3758" s="71">
        <f t="shared" si="1893"/>
        <v>2</v>
      </c>
      <c r="R3758" s="102">
        <f>VLOOKUP(P3758,[5]Price!B$1:D$65536,3,FALSE)</f>
        <v>370010</v>
      </c>
      <c r="S3758" s="102">
        <f t="shared" si="1885"/>
        <v>814022.00000000012</v>
      </c>
      <c r="T3758" s="102">
        <f t="shared" si="1886"/>
        <v>740020</v>
      </c>
      <c r="U3758" s="71" t="str">
        <f t="shared" si="1887"/>
        <v>O</v>
      </c>
      <c r="V3758" s="71"/>
      <c r="W3758" s="474">
        <f>(G3758-T3758)</f>
        <v>155980</v>
      </c>
      <c r="X3758" s="71"/>
      <c r="Y3758" s="71"/>
    </row>
    <row r="3759" spans="1:25" ht="30" hidden="1" customHeight="1" x14ac:dyDescent="0.2">
      <c r="A3759" s="1145">
        <v>44228</v>
      </c>
      <c r="B3759" s="664" t="s">
        <v>442</v>
      </c>
      <c r="C3759" s="71" t="s">
        <v>650</v>
      </c>
      <c r="D3759" s="71">
        <v>1</v>
      </c>
      <c r="E3759" s="102">
        <v>93000</v>
      </c>
      <c r="F3759" s="102">
        <f t="shared" si="1888"/>
        <v>102300.00000000001</v>
      </c>
      <c r="G3759" s="102">
        <f t="shared" si="1889"/>
        <v>93000</v>
      </c>
      <c r="H3759" s="165" t="s">
        <v>172</v>
      </c>
      <c r="I3759" s="71" t="s">
        <v>141</v>
      </c>
      <c r="J3759" s="53">
        <f t="shared" ref="J3759:J3765" si="1894">G3759-T3759</f>
        <v>33000</v>
      </c>
      <c r="K3759" s="63">
        <f t="shared" si="1890"/>
        <v>0.35483870967741932</v>
      </c>
      <c r="L3759" s="871" t="s">
        <v>2838</v>
      </c>
      <c r="M3759" s="468"/>
      <c r="N3759" s="1192">
        <f t="shared" si="1891"/>
        <v>44228</v>
      </c>
      <c r="O3759" s="71" t="s">
        <v>145</v>
      </c>
      <c r="P3759" s="164" t="str">
        <f t="shared" si="1892"/>
        <v>Agfa 정착액 G333C(20L)</v>
      </c>
      <c r="Q3759" s="71">
        <f t="shared" si="1893"/>
        <v>1</v>
      </c>
      <c r="R3759" s="102">
        <f>VLOOKUP(P3759,Price!B:D,3,FALSE)</f>
        <v>60000</v>
      </c>
      <c r="S3759" s="102">
        <f t="shared" si="1885"/>
        <v>66000</v>
      </c>
      <c r="T3759" s="102">
        <f t="shared" si="1886"/>
        <v>60000</v>
      </c>
      <c r="U3759" s="71" t="str">
        <f t="shared" si="1887"/>
        <v>O</v>
      </c>
      <c r="V3759" s="71"/>
      <c r="W3759" s="474">
        <f>(G3759-T3759)</f>
        <v>33000</v>
      </c>
      <c r="X3759" s="71"/>
      <c r="Y3759" s="71"/>
    </row>
    <row r="3760" spans="1:25" s="209" customFormat="1" ht="30" hidden="1" customHeight="1" x14ac:dyDescent="0.25">
      <c r="A3760" s="1145">
        <v>44228</v>
      </c>
      <c r="B3760" s="664" t="s">
        <v>2155</v>
      </c>
      <c r="C3760" s="71" t="s">
        <v>138</v>
      </c>
      <c r="D3760" s="71">
        <v>10</v>
      </c>
      <c r="E3760" s="102">
        <v>47600</v>
      </c>
      <c r="F3760" s="102">
        <f t="shared" si="1888"/>
        <v>523600.00000000006</v>
      </c>
      <c r="G3760" s="102">
        <f t="shared" si="1889"/>
        <v>476000</v>
      </c>
      <c r="H3760" s="1129" t="s">
        <v>172</v>
      </c>
      <c r="I3760" s="71" t="s">
        <v>108</v>
      </c>
      <c r="J3760" s="53">
        <f t="shared" si="1894"/>
        <v>68000</v>
      </c>
      <c r="K3760" s="63">
        <f t="shared" si="1890"/>
        <v>0.14285714285714285</v>
      </c>
      <c r="L3760" s="871" t="s">
        <v>2828</v>
      </c>
      <c r="M3760" s="468" t="s">
        <v>2214</v>
      </c>
      <c r="N3760" s="1192">
        <f t="shared" si="1891"/>
        <v>44228</v>
      </c>
      <c r="O3760" s="71" t="s">
        <v>150</v>
      </c>
      <c r="P3760" s="164" t="str">
        <f t="shared" si="1892"/>
        <v>매엽용 세척제(Wash 562)</v>
      </c>
      <c r="Q3760" s="71">
        <f t="shared" si="1893"/>
        <v>10</v>
      </c>
      <c r="R3760" s="102">
        <v>40800</v>
      </c>
      <c r="S3760" s="102">
        <f t="shared" si="1885"/>
        <v>448800.00000000006</v>
      </c>
      <c r="T3760" s="102">
        <f t="shared" si="1886"/>
        <v>408000</v>
      </c>
      <c r="U3760" s="71" t="str">
        <f t="shared" si="1887"/>
        <v>X</v>
      </c>
      <c r="V3760" s="71"/>
      <c r="W3760" s="474">
        <v>85000</v>
      </c>
      <c r="X3760" s="71"/>
      <c r="Y3760" s="71"/>
    </row>
    <row r="3761" spans="1:25" ht="30" hidden="1" customHeight="1" x14ac:dyDescent="0.25">
      <c r="A3761" s="1145">
        <v>44228</v>
      </c>
      <c r="B3761" s="664" t="s">
        <v>2155</v>
      </c>
      <c r="C3761" s="71" t="s">
        <v>137</v>
      </c>
      <c r="D3761" s="71">
        <v>5</v>
      </c>
      <c r="E3761" s="102">
        <v>172000</v>
      </c>
      <c r="F3761" s="102">
        <f t="shared" si="1888"/>
        <v>946000.00000000012</v>
      </c>
      <c r="G3761" s="102">
        <f t="shared" si="1889"/>
        <v>860000</v>
      </c>
      <c r="H3761" s="690" t="s">
        <v>173</v>
      </c>
      <c r="I3761" s="71" t="s">
        <v>108</v>
      </c>
      <c r="J3761" s="53">
        <f t="shared" si="1894"/>
        <v>285000</v>
      </c>
      <c r="K3761" s="63">
        <f t="shared" si="1890"/>
        <v>0.33139534883720928</v>
      </c>
      <c r="L3761" s="871" t="s">
        <v>2828</v>
      </c>
      <c r="M3761" s="468"/>
      <c r="N3761" s="1192">
        <f t="shared" si="1891"/>
        <v>44228</v>
      </c>
      <c r="O3761" s="71" t="s">
        <v>150</v>
      </c>
      <c r="P3761" s="164" t="str">
        <f t="shared" si="1892"/>
        <v>윤전용 세척제(Web 504)</v>
      </c>
      <c r="Q3761" s="71">
        <f t="shared" si="1893"/>
        <v>5</v>
      </c>
      <c r="R3761" s="102">
        <v>115000</v>
      </c>
      <c r="S3761" s="102">
        <f t="shared" si="1885"/>
        <v>632500</v>
      </c>
      <c r="T3761" s="102">
        <f t="shared" si="1886"/>
        <v>575000</v>
      </c>
      <c r="U3761" s="71" t="str">
        <f t="shared" si="1887"/>
        <v>O</v>
      </c>
      <c r="V3761" s="71"/>
      <c r="W3761" s="474">
        <v>285000</v>
      </c>
      <c r="X3761" s="71"/>
      <c r="Y3761" s="71"/>
    </row>
    <row r="3762" spans="1:25" s="209" customFormat="1" ht="30" hidden="1" customHeight="1" x14ac:dyDescent="0.2">
      <c r="A3762" s="1145">
        <v>44228</v>
      </c>
      <c r="B3762" s="664" t="s">
        <v>2261</v>
      </c>
      <c r="C3762" s="71" t="s">
        <v>107</v>
      </c>
      <c r="D3762" s="71">
        <v>10</v>
      </c>
      <c r="E3762" s="102">
        <v>108000</v>
      </c>
      <c r="F3762" s="102">
        <f t="shared" si="1888"/>
        <v>1188000</v>
      </c>
      <c r="G3762" s="102">
        <f t="shared" si="1889"/>
        <v>1080000</v>
      </c>
      <c r="H3762" s="165" t="s">
        <v>172</v>
      </c>
      <c r="I3762" s="71" t="s">
        <v>109</v>
      </c>
      <c r="J3762" s="53">
        <f t="shared" si="1894"/>
        <v>275000</v>
      </c>
      <c r="K3762" s="63">
        <f t="shared" si="1890"/>
        <v>0.25462962962962965</v>
      </c>
      <c r="L3762" s="871" t="s">
        <v>2828</v>
      </c>
      <c r="M3762" s="468"/>
      <c r="N3762" s="1192">
        <f t="shared" si="1891"/>
        <v>44228</v>
      </c>
      <c r="O3762" s="71" t="s">
        <v>147</v>
      </c>
      <c r="P3762" s="164" t="str">
        <f t="shared" si="1892"/>
        <v>Blanket(1050*840)</v>
      </c>
      <c r="Q3762" s="71">
        <f t="shared" si="1893"/>
        <v>10</v>
      </c>
      <c r="R3762" s="102">
        <v>80500</v>
      </c>
      <c r="S3762" s="102">
        <f t="shared" si="1885"/>
        <v>885500.00000000012</v>
      </c>
      <c r="T3762" s="102">
        <f t="shared" si="1886"/>
        <v>805000</v>
      </c>
      <c r="U3762" s="71" t="str">
        <f t="shared" si="1887"/>
        <v>O</v>
      </c>
      <c r="V3762" s="71"/>
      <c r="W3762" s="474">
        <v>275000</v>
      </c>
      <c r="X3762" s="71"/>
      <c r="Y3762" s="71"/>
    </row>
    <row r="3763" spans="1:25" ht="30" hidden="1" customHeight="1" x14ac:dyDescent="0.25">
      <c r="A3763" s="1145">
        <v>44228</v>
      </c>
      <c r="B3763" s="664" t="s">
        <v>2155</v>
      </c>
      <c r="C3763" s="760" t="s">
        <v>218</v>
      </c>
      <c r="D3763" s="71">
        <v>5</v>
      </c>
      <c r="E3763" s="102">
        <v>192500</v>
      </c>
      <c r="F3763" s="102">
        <f>(E3763*D3763)*1.1</f>
        <v>1058750</v>
      </c>
      <c r="G3763" s="102">
        <f>(E3763*D3763)</f>
        <v>962500</v>
      </c>
      <c r="H3763" s="690" t="s">
        <v>173</v>
      </c>
      <c r="I3763" s="71" t="s">
        <v>120</v>
      </c>
      <c r="J3763" s="53">
        <f t="shared" si="1894"/>
        <v>400000</v>
      </c>
      <c r="K3763" s="63">
        <f>(J3763/(F3763/11*10))</f>
        <v>0.41558441558441561</v>
      </c>
      <c r="L3763" s="871" t="s">
        <v>2828</v>
      </c>
      <c r="M3763" s="468"/>
      <c r="N3763" s="1192">
        <f>A3763</f>
        <v>44228</v>
      </c>
      <c r="O3763" s="71" t="s">
        <v>150</v>
      </c>
      <c r="P3763" s="164" t="str">
        <f>(C3763)</f>
        <v>Fount Web 551AF</v>
      </c>
      <c r="Q3763" s="71">
        <f t="shared" si="1893"/>
        <v>5</v>
      </c>
      <c r="R3763" s="102">
        <v>112500</v>
      </c>
      <c r="S3763" s="102">
        <f t="shared" si="1885"/>
        <v>618750</v>
      </c>
      <c r="T3763" s="102">
        <f t="shared" si="1886"/>
        <v>562500</v>
      </c>
      <c r="U3763" s="71" t="str">
        <f t="shared" si="1887"/>
        <v>X</v>
      </c>
      <c r="V3763" s="71"/>
      <c r="W3763" s="474">
        <v>640000</v>
      </c>
      <c r="X3763" s="71"/>
      <c r="Y3763" s="71"/>
    </row>
    <row r="3764" spans="1:25" ht="30" hidden="1" customHeight="1" x14ac:dyDescent="0.25">
      <c r="A3764" s="1145">
        <v>44229</v>
      </c>
      <c r="B3764" s="664" t="s">
        <v>575</v>
      </c>
      <c r="C3764" s="71" t="s">
        <v>1367</v>
      </c>
      <c r="D3764" s="71">
        <v>16</v>
      </c>
      <c r="E3764" s="102">
        <v>218000</v>
      </c>
      <c r="F3764" s="102">
        <f>(E3764*D3764)*1.1</f>
        <v>3836800.0000000005</v>
      </c>
      <c r="G3764" s="102">
        <f>(E3764*D3764)</f>
        <v>3488000</v>
      </c>
      <c r="H3764" s="690" t="s">
        <v>173</v>
      </c>
      <c r="I3764" s="71" t="s">
        <v>109</v>
      </c>
      <c r="J3764" s="53">
        <f t="shared" si="1894"/>
        <v>1563840</v>
      </c>
      <c r="K3764" s="63">
        <f>(J3764/(F3764/11*10))</f>
        <v>0.44834862385321095</v>
      </c>
      <c r="L3764" s="871" t="s">
        <v>2828</v>
      </c>
      <c r="M3764" s="468"/>
      <c r="N3764" s="1192">
        <f t="shared" ref="N3764:N3797" si="1895">A3764</f>
        <v>44229</v>
      </c>
      <c r="O3764" s="71" t="s">
        <v>1443</v>
      </c>
      <c r="P3764" s="164" t="str">
        <f t="shared" ref="P3764:P3797" si="1896">(C3764)</f>
        <v>M600 윤전 블랑켓 995*742</v>
      </c>
      <c r="Q3764" s="71">
        <f t="shared" si="1893"/>
        <v>16</v>
      </c>
      <c r="R3764" s="102">
        <v>120260</v>
      </c>
      <c r="S3764" s="102">
        <f t="shared" si="1885"/>
        <v>2116576</v>
      </c>
      <c r="T3764" s="102">
        <f t="shared" si="1886"/>
        <v>1924160</v>
      </c>
      <c r="U3764" s="71" t="str">
        <f t="shared" si="1887"/>
        <v>X</v>
      </c>
      <c r="V3764" s="71"/>
      <c r="W3764" s="474"/>
      <c r="X3764" s="71"/>
      <c r="Y3764" s="71"/>
    </row>
    <row r="3765" spans="1:25" ht="30" hidden="1" customHeight="1" x14ac:dyDescent="0.25">
      <c r="A3765" s="1145">
        <v>44229</v>
      </c>
      <c r="B3765" s="664" t="s">
        <v>627</v>
      </c>
      <c r="C3765" s="71" t="s">
        <v>2843</v>
      </c>
      <c r="D3765" s="71">
        <v>1</v>
      </c>
      <c r="E3765" s="102">
        <f>G3765</f>
        <v>17272727.272727273</v>
      </c>
      <c r="F3765" s="102">
        <v>19000000</v>
      </c>
      <c r="G3765" s="102">
        <f>F3765/11*10</f>
        <v>17272727.272727273</v>
      </c>
      <c r="H3765" s="690" t="s">
        <v>1431</v>
      </c>
      <c r="I3765" s="71" t="s">
        <v>1431</v>
      </c>
      <c r="J3765" s="53">
        <f t="shared" si="1894"/>
        <v>10464327.272727273</v>
      </c>
      <c r="K3765" s="63">
        <f>(J3765/(F3765/11*10))</f>
        <v>0.60582947368421058</v>
      </c>
      <c r="L3765" s="871" t="s">
        <v>2838</v>
      </c>
      <c r="M3765" s="468"/>
      <c r="N3765" s="1192">
        <f t="shared" si="1895"/>
        <v>44229</v>
      </c>
      <c r="O3765" s="71" t="s">
        <v>1431</v>
      </c>
      <c r="P3765" s="164" t="str">
        <f t="shared" si="1896"/>
        <v>Backplane Assy</v>
      </c>
      <c r="Q3765" s="71">
        <f t="shared" si="1893"/>
        <v>1</v>
      </c>
      <c r="R3765" s="102">
        <f>5558400+1250000</f>
        <v>6808400</v>
      </c>
      <c r="S3765" s="102">
        <f t="shared" si="1885"/>
        <v>7489240.0000000009</v>
      </c>
      <c r="T3765" s="102">
        <f t="shared" si="1886"/>
        <v>6808400</v>
      </c>
      <c r="U3765" s="71"/>
      <c r="V3765" s="71"/>
      <c r="W3765" s="474"/>
      <c r="X3765" s="71"/>
      <c r="Y3765" s="71"/>
    </row>
    <row r="3766" spans="1:25" ht="30" hidden="1" customHeight="1" x14ac:dyDescent="0.25">
      <c r="A3766" s="1145">
        <v>44229</v>
      </c>
      <c r="B3766" s="664" t="s">
        <v>627</v>
      </c>
      <c r="C3766" s="71" t="s">
        <v>2844</v>
      </c>
      <c r="D3766" s="71">
        <v>1</v>
      </c>
      <c r="E3766" s="102"/>
      <c r="F3766" s="102">
        <f t="shared" ref="F3766:F3790" si="1897">(E3766*D3766)*1.1</f>
        <v>0</v>
      </c>
      <c r="G3766" s="102">
        <f t="shared" ref="G3766:G3790" si="1898">(E3766*D3766)</f>
        <v>0</v>
      </c>
      <c r="H3766" s="690" t="s">
        <v>1431</v>
      </c>
      <c r="I3766" s="71" t="s">
        <v>1431</v>
      </c>
      <c r="J3766" s="53">
        <v>0</v>
      </c>
      <c r="K3766" s="63"/>
      <c r="L3766" s="871" t="s">
        <v>2838</v>
      </c>
      <c r="M3766" s="468"/>
      <c r="N3766" s="1192">
        <f t="shared" si="1895"/>
        <v>44229</v>
      </c>
      <c r="O3766" s="71" t="s">
        <v>1431</v>
      </c>
      <c r="P3766" s="164" t="str">
        <f t="shared" si="1896"/>
        <v>Oper Panel</v>
      </c>
      <c r="Q3766" s="71">
        <f t="shared" si="1893"/>
        <v>1</v>
      </c>
      <c r="R3766" s="102">
        <v>0</v>
      </c>
      <c r="S3766" s="102">
        <f t="shared" si="1885"/>
        <v>0</v>
      </c>
      <c r="T3766" s="102">
        <f t="shared" si="1886"/>
        <v>0</v>
      </c>
      <c r="U3766" s="71"/>
      <c r="V3766" s="71"/>
      <c r="W3766" s="474"/>
      <c r="X3766" s="71"/>
      <c r="Y3766" s="71"/>
    </row>
    <row r="3767" spans="1:25" ht="30" hidden="1" customHeight="1" x14ac:dyDescent="0.25">
      <c r="A3767" s="1145">
        <v>44229</v>
      </c>
      <c r="B3767" s="664" t="s">
        <v>627</v>
      </c>
      <c r="C3767" s="71" t="s">
        <v>2845</v>
      </c>
      <c r="D3767" s="71">
        <v>1</v>
      </c>
      <c r="E3767" s="102"/>
      <c r="F3767" s="102">
        <f t="shared" si="1897"/>
        <v>0</v>
      </c>
      <c r="G3767" s="102">
        <f t="shared" si="1898"/>
        <v>0</v>
      </c>
      <c r="H3767" s="690" t="s">
        <v>1431</v>
      </c>
      <c r="I3767" s="71" t="s">
        <v>1431</v>
      </c>
      <c r="J3767" s="53">
        <v>0</v>
      </c>
      <c r="K3767" s="63"/>
      <c r="L3767" s="871" t="s">
        <v>2838</v>
      </c>
      <c r="M3767" s="468"/>
      <c r="N3767" s="1192">
        <f t="shared" si="1895"/>
        <v>44229</v>
      </c>
      <c r="O3767" s="71" t="s">
        <v>1431</v>
      </c>
      <c r="P3767" s="164" t="str">
        <f t="shared" si="1896"/>
        <v>롤러 브라켓(D.S)</v>
      </c>
      <c r="Q3767" s="71">
        <f t="shared" si="1893"/>
        <v>1</v>
      </c>
      <c r="R3767" s="102">
        <v>0</v>
      </c>
      <c r="S3767" s="102">
        <f t="shared" si="1885"/>
        <v>0</v>
      </c>
      <c r="T3767" s="102">
        <f t="shared" si="1886"/>
        <v>0</v>
      </c>
      <c r="U3767" s="71"/>
      <c r="V3767" s="71"/>
      <c r="W3767" s="474"/>
      <c r="X3767" s="71"/>
      <c r="Y3767" s="71"/>
    </row>
    <row r="3768" spans="1:25" ht="30" hidden="1" customHeight="1" x14ac:dyDescent="0.25">
      <c r="A3768" s="1145">
        <v>44229</v>
      </c>
      <c r="B3768" s="664" t="s">
        <v>627</v>
      </c>
      <c r="C3768" s="71" t="s">
        <v>2846</v>
      </c>
      <c r="D3768" s="71">
        <v>1</v>
      </c>
      <c r="E3768" s="102"/>
      <c r="F3768" s="102">
        <f t="shared" si="1897"/>
        <v>0</v>
      </c>
      <c r="G3768" s="102">
        <f t="shared" si="1898"/>
        <v>0</v>
      </c>
      <c r="H3768" s="690" t="s">
        <v>1431</v>
      </c>
      <c r="I3768" s="71" t="s">
        <v>1431</v>
      </c>
      <c r="J3768" s="53">
        <v>0</v>
      </c>
      <c r="K3768" s="63"/>
      <c r="L3768" s="871" t="s">
        <v>2838</v>
      </c>
      <c r="M3768" s="468"/>
      <c r="N3768" s="1192">
        <f t="shared" si="1895"/>
        <v>44229</v>
      </c>
      <c r="O3768" s="71" t="s">
        <v>1431</v>
      </c>
      <c r="P3768" s="164" t="str">
        <f t="shared" si="1896"/>
        <v>롤러 브라켓(O.S)</v>
      </c>
      <c r="Q3768" s="71">
        <f t="shared" si="1893"/>
        <v>1</v>
      </c>
      <c r="R3768" s="102">
        <v>0</v>
      </c>
      <c r="S3768" s="102">
        <f t="shared" si="1885"/>
        <v>0</v>
      </c>
      <c r="T3768" s="102">
        <f t="shared" si="1886"/>
        <v>0</v>
      </c>
      <c r="U3768" s="71"/>
      <c r="V3768" s="71"/>
      <c r="W3768" s="474"/>
      <c r="X3768" s="71"/>
      <c r="Y3768" s="71"/>
    </row>
    <row r="3769" spans="1:25" ht="30" hidden="1" customHeight="1" x14ac:dyDescent="0.25">
      <c r="A3769" s="1145">
        <v>44229</v>
      </c>
      <c r="B3769" s="664" t="s">
        <v>446</v>
      </c>
      <c r="C3769" s="71" t="s">
        <v>2028</v>
      </c>
      <c r="D3769" s="71">
        <v>20</v>
      </c>
      <c r="E3769" s="102">
        <v>105000</v>
      </c>
      <c r="F3769" s="102">
        <f t="shared" si="1897"/>
        <v>2310000</v>
      </c>
      <c r="G3769" s="102">
        <f t="shared" si="1898"/>
        <v>2100000</v>
      </c>
      <c r="H3769" s="690" t="s">
        <v>2029</v>
      </c>
      <c r="I3769" s="71" t="s">
        <v>2231</v>
      </c>
      <c r="J3769" s="53">
        <f t="shared" ref="J3769:J3782" si="1899">G3769-T3769</f>
        <v>380000</v>
      </c>
      <c r="K3769" s="63">
        <f t="shared" ref="K3769:K3776" si="1900">(J3769/(F3769/11*10))</f>
        <v>0.18095238095238095</v>
      </c>
      <c r="L3769" s="871" t="s">
        <v>2838</v>
      </c>
      <c r="M3769" s="468" t="s">
        <v>3068</v>
      </c>
      <c r="N3769" s="1192">
        <f t="shared" si="1895"/>
        <v>44229</v>
      </c>
      <c r="O3769" s="71" t="s">
        <v>2030</v>
      </c>
      <c r="P3769" s="164" t="str">
        <f t="shared" si="1896"/>
        <v>실리콘 에멀전</v>
      </c>
      <c r="Q3769" s="71">
        <f t="shared" si="1893"/>
        <v>20</v>
      </c>
      <c r="R3769" s="102">
        <v>86000</v>
      </c>
      <c r="S3769" s="102">
        <f t="shared" si="1885"/>
        <v>1892000.0000000002</v>
      </c>
      <c r="T3769" s="102">
        <f t="shared" si="1886"/>
        <v>1720000</v>
      </c>
      <c r="U3769" s="71" t="str">
        <f>IF(J3769=W3769,"O", "X")</f>
        <v>O</v>
      </c>
      <c r="V3769" s="71">
        <f>7000*Q3769</f>
        <v>140000</v>
      </c>
      <c r="W3769" s="474">
        <f>(G3769-T3769)</f>
        <v>380000</v>
      </c>
      <c r="X3769" s="71"/>
      <c r="Y3769" s="71"/>
    </row>
    <row r="3770" spans="1:25" ht="30" hidden="1" customHeight="1" x14ac:dyDescent="0.25">
      <c r="A3770" s="1145">
        <v>44229</v>
      </c>
      <c r="B3770" s="664" t="s">
        <v>1155</v>
      </c>
      <c r="C3770" s="71" t="s">
        <v>2848</v>
      </c>
      <c r="D3770" s="71">
        <v>10</v>
      </c>
      <c r="E3770" s="102">
        <v>60000</v>
      </c>
      <c r="F3770" s="102">
        <f t="shared" si="1897"/>
        <v>660000</v>
      </c>
      <c r="G3770" s="102">
        <f t="shared" si="1898"/>
        <v>600000</v>
      </c>
      <c r="H3770" s="690" t="s">
        <v>1431</v>
      </c>
      <c r="I3770" s="71" t="s">
        <v>1431</v>
      </c>
      <c r="J3770" s="53">
        <f t="shared" si="1899"/>
        <v>250000</v>
      </c>
      <c r="K3770" s="63">
        <f t="shared" si="1900"/>
        <v>0.41666666666666669</v>
      </c>
      <c r="L3770" s="871" t="s">
        <v>2838</v>
      </c>
      <c r="M3770" s="468"/>
      <c r="N3770" s="1192">
        <f t="shared" si="1895"/>
        <v>44229</v>
      </c>
      <c r="O3770" s="71" t="s">
        <v>1431</v>
      </c>
      <c r="P3770" s="164" t="str">
        <f t="shared" si="1896"/>
        <v>재단칼 받침</v>
      </c>
      <c r="Q3770" s="71">
        <f t="shared" si="1893"/>
        <v>10</v>
      </c>
      <c r="R3770" s="102">
        <v>35000</v>
      </c>
      <c r="S3770" s="102">
        <f t="shared" si="1885"/>
        <v>385000.00000000006</v>
      </c>
      <c r="T3770" s="102">
        <f t="shared" si="1886"/>
        <v>350000</v>
      </c>
      <c r="U3770" s="71"/>
      <c r="V3770" s="71"/>
      <c r="W3770" s="474"/>
      <c r="X3770" s="71"/>
      <c r="Y3770" s="71"/>
    </row>
    <row r="3771" spans="1:25" ht="30" hidden="1" customHeight="1" x14ac:dyDescent="0.25">
      <c r="A3771" s="1145">
        <v>44229</v>
      </c>
      <c r="B3771" s="664" t="s">
        <v>1155</v>
      </c>
      <c r="C3771" s="71" t="s">
        <v>2849</v>
      </c>
      <c r="D3771" s="71">
        <v>4</v>
      </c>
      <c r="E3771" s="102">
        <v>60000</v>
      </c>
      <c r="F3771" s="102">
        <f t="shared" si="1897"/>
        <v>264000</v>
      </c>
      <c r="G3771" s="102">
        <f t="shared" si="1898"/>
        <v>240000</v>
      </c>
      <c r="H3771" s="690" t="s">
        <v>1431</v>
      </c>
      <c r="I3771" s="71" t="s">
        <v>1431</v>
      </c>
      <c r="J3771" s="53">
        <f t="shared" si="1899"/>
        <v>100000</v>
      </c>
      <c r="K3771" s="63">
        <f t="shared" si="1900"/>
        <v>0.41666666666666669</v>
      </c>
      <c r="L3771" s="871" t="s">
        <v>2838</v>
      </c>
      <c r="M3771" s="468"/>
      <c r="N3771" s="1192">
        <f t="shared" si="1895"/>
        <v>44229</v>
      </c>
      <c r="O3771" s="71" t="s">
        <v>1431</v>
      </c>
      <c r="P3771" s="164" t="str">
        <f t="shared" si="1896"/>
        <v>스트립 폼</v>
      </c>
      <c r="Q3771" s="71">
        <f t="shared" si="1893"/>
        <v>4</v>
      </c>
      <c r="R3771" s="102">
        <v>35000</v>
      </c>
      <c r="S3771" s="102">
        <f t="shared" si="1885"/>
        <v>154000</v>
      </c>
      <c r="T3771" s="102">
        <f t="shared" si="1886"/>
        <v>140000</v>
      </c>
      <c r="U3771" s="71"/>
      <c r="V3771" s="71"/>
      <c r="W3771" s="474"/>
      <c r="X3771" s="71"/>
      <c r="Y3771" s="71"/>
    </row>
    <row r="3772" spans="1:25" ht="30" hidden="1" customHeight="1" x14ac:dyDescent="0.25">
      <c r="A3772" s="1145">
        <v>44229</v>
      </c>
      <c r="B3772" s="664" t="s">
        <v>748</v>
      </c>
      <c r="C3772" s="71" t="s">
        <v>2852</v>
      </c>
      <c r="D3772" s="71">
        <v>1</v>
      </c>
      <c r="E3772" s="102">
        <v>950000</v>
      </c>
      <c r="F3772" s="102">
        <f t="shared" si="1897"/>
        <v>1045000.0000000001</v>
      </c>
      <c r="G3772" s="102">
        <f t="shared" si="1898"/>
        <v>950000</v>
      </c>
      <c r="H3772" s="690" t="s">
        <v>1431</v>
      </c>
      <c r="I3772" s="71" t="s">
        <v>1431</v>
      </c>
      <c r="J3772" s="53">
        <f t="shared" si="1899"/>
        <v>530000</v>
      </c>
      <c r="K3772" s="63">
        <f t="shared" si="1900"/>
        <v>0.55789473684210522</v>
      </c>
      <c r="L3772" s="871" t="s">
        <v>2838</v>
      </c>
      <c r="M3772" s="468"/>
      <c r="N3772" s="1192">
        <f t="shared" si="1895"/>
        <v>44229</v>
      </c>
      <c r="O3772" s="71" t="s">
        <v>1431</v>
      </c>
      <c r="P3772" s="164" t="str">
        <f t="shared" si="1896"/>
        <v>밸브 3개</v>
      </c>
      <c r="Q3772" s="71">
        <f t="shared" si="1893"/>
        <v>1</v>
      </c>
      <c r="R3772" s="102">
        <f>140000*3</f>
        <v>420000</v>
      </c>
      <c r="S3772" s="102">
        <f t="shared" si="1885"/>
        <v>462000.00000000006</v>
      </c>
      <c r="T3772" s="102">
        <f t="shared" si="1886"/>
        <v>420000</v>
      </c>
      <c r="U3772" s="71"/>
      <c r="V3772" s="71"/>
      <c r="W3772" s="474"/>
      <c r="X3772" s="71"/>
      <c r="Y3772" s="71"/>
    </row>
    <row r="3773" spans="1:25" ht="30" hidden="1" customHeight="1" x14ac:dyDescent="0.25">
      <c r="A3773" s="1145">
        <v>44229</v>
      </c>
      <c r="B3773" s="664" t="s">
        <v>748</v>
      </c>
      <c r="C3773" s="71" t="s">
        <v>2851</v>
      </c>
      <c r="D3773" s="71">
        <v>1</v>
      </c>
      <c r="E3773" s="102">
        <v>1500000</v>
      </c>
      <c r="F3773" s="102">
        <f t="shared" si="1897"/>
        <v>1650000.0000000002</v>
      </c>
      <c r="G3773" s="102">
        <f t="shared" si="1898"/>
        <v>1500000</v>
      </c>
      <c r="H3773" s="690" t="s">
        <v>1431</v>
      </c>
      <c r="I3773" s="71" t="s">
        <v>1431</v>
      </c>
      <c r="J3773" s="53">
        <f t="shared" si="1899"/>
        <v>1500000</v>
      </c>
      <c r="K3773" s="63">
        <f t="shared" si="1900"/>
        <v>0.99999999999999989</v>
      </c>
      <c r="L3773" s="871" t="s">
        <v>2838</v>
      </c>
      <c r="M3773" s="468" t="s">
        <v>687</v>
      </c>
      <c r="N3773" s="1192">
        <f t="shared" si="1895"/>
        <v>44229</v>
      </c>
      <c r="O3773" s="71" t="s">
        <v>1431</v>
      </c>
      <c r="P3773" s="164" t="str">
        <f t="shared" si="1896"/>
        <v>16채널 드라이버</v>
      </c>
      <c r="Q3773" s="71">
        <f t="shared" si="1893"/>
        <v>1</v>
      </c>
      <c r="R3773" s="102">
        <v>0</v>
      </c>
      <c r="S3773" s="102">
        <f t="shared" si="1885"/>
        <v>0</v>
      </c>
      <c r="T3773" s="102">
        <f t="shared" si="1886"/>
        <v>0</v>
      </c>
      <c r="U3773" s="71"/>
      <c r="V3773" s="71"/>
      <c r="W3773" s="474"/>
      <c r="X3773" s="71"/>
      <c r="Y3773" s="71"/>
    </row>
    <row r="3774" spans="1:25" s="209" customFormat="1" ht="30" hidden="1" customHeight="1" x14ac:dyDescent="0.25">
      <c r="A3774" s="1145">
        <v>44230</v>
      </c>
      <c r="B3774" s="664" t="s">
        <v>442</v>
      </c>
      <c r="C3774" s="71" t="s">
        <v>138</v>
      </c>
      <c r="D3774" s="71">
        <v>30</v>
      </c>
      <c r="E3774" s="102">
        <v>55200</v>
      </c>
      <c r="F3774" s="102">
        <f t="shared" si="1897"/>
        <v>1821600.0000000002</v>
      </c>
      <c r="G3774" s="102">
        <f t="shared" si="1898"/>
        <v>1656000</v>
      </c>
      <c r="H3774" s="690" t="s">
        <v>173</v>
      </c>
      <c r="I3774" s="71" t="s">
        <v>108</v>
      </c>
      <c r="J3774" s="53">
        <f t="shared" si="1899"/>
        <v>432000</v>
      </c>
      <c r="K3774" s="63">
        <f t="shared" si="1900"/>
        <v>0.26086956521739124</v>
      </c>
      <c r="L3774" s="871" t="s">
        <v>2838</v>
      </c>
      <c r="M3774" s="468" t="s">
        <v>2388</v>
      </c>
      <c r="N3774" s="1192">
        <f t="shared" si="1895"/>
        <v>44230</v>
      </c>
      <c r="O3774" s="71" t="s">
        <v>150</v>
      </c>
      <c r="P3774" s="164" t="str">
        <f t="shared" si="1896"/>
        <v>매엽용 세척제(Wash 562)</v>
      </c>
      <c r="Q3774" s="71">
        <f t="shared" si="1893"/>
        <v>30</v>
      </c>
      <c r="R3774" s="102">
        <v>40800</v>
      </c>
      <c r="S3774" s="102">
        <f t="shared" si="1885"/>
        <v>1346400</v>
      </c>
      <c r="T3774" s="102">
        <f t="shared" si="1886"/>
        <v>1224000</v>
      </c>
      <c r="U3774" s="71" t="str">
        <f>IF(J3774=W3774,"O", "X")</f>
        <v>X</v>
      </c>
      <c r="V3774" s="71"/>
      <c r="W3774" s="474">
        <v>396000</v>
      </c>
      <c r="X3774" s="71"/>
      <c r="Y3774" s="71"/>
    </row>
    <row r="3775" spans="1:25" ht="30" hidden="1" customHeight="1" x14ac:dyDescent="0.25">
      <c r="A3775" s="1145">
        <v>44230</v>
      </c>
      <c r="B3775" s="664" t="s">
        <v>690</v>
      </c>
      <c r="C3775" s="71" t="s">
        <v>217</v>
      </c>
      <c r="D3775" s="71">
        <v>3</v>
      </c>
      <c r="E3775" s="102">
        <v>137000</v>
      </c>
      <c r="F3775" s="102">
        <f t="shared" si="1897"/>
        <v>452100.00000000006</v>
      </c>
      <c r="G3775" s="102">
        <f t="shared" si="1898"/>
        <v>411000</v>
      </c>
      <c r="H3775" s="690" t="s">
        <v>173</v>
      </c>
      <c r="I3775" s="71" t="s">
        <v>108</v>
      </c>
      <c r="J3775" s="53">
        <f t="shared" si="1899"/>
        <v>171000</v>
      </c>
      <c r="K3775" s="63">
        <f t="shared" si="1900"/>
        <v>0.41605839416058388</v>
      </c>
      <c r="L3775" s="871" t="s">
        <v>2838</v>
      </c>
      <c r="M3775" s="468"/>
      <c r="N3775" s="1192">
        <f t="shared" si="1895"/>
        <v>44230</v>
      </c>
      <c r="O3775" s="71" t="s">
        <v>150</v>
      </c>
      <c r="P3775" s="164" t="str">
        <f t="shared" si="1896"/>
        <v>Fount 511</v>
      </c>
      <c r="Q3775" s="71">
        <f t="shared" si="1893"/>
        <v>3</v>
      </c>
      <c r="R3775" s="102">
        <v>80000</v>
      </c>
      <c r="S3775" s="102">
        <f t="shared" si="1885"/>
        <v>264000</v>
      </c>
      <c r="T3775" s="102">
        <f t="shared" si="1886"/>
        <v>240000</v>
      </c>
      <c r="U3775" s="71" t="str">
        <f>IF(J3775=W3775,"O", "X")</f>
        <v>X</v>
      </c>
      <c r="V3775" s="71"/>
      <c r="W3775" s="474">
        <v>130000</v>
      </c>
      <c r="X3775" s="71"/>
      <c r="Y3775" s="71"/>
    </row>
    <row r="3776" spans="1:25" ht="30" hidden="1" customHeight="1" x14ac:dyDescent="0.25">
      <c r="A3776" s="1145">
        <v>44230</v>
      </c>
      <c r="B3776" s="664" t="s">
        <v>546</v>
      </c>
      <c r="C3776" s="71" t="s">
        <v>920</v>
      </c>
      <c r="D3776" s="71">
        <v>2</v>
      </c>
      <c r="E3776" s="102">
        <v>260000</v>
      </c>
      <c r="F3776" s="102">
        <f t="shared" si="1897"/>
        <v>572000</v>
      </c>
      <c r="G3776" s="102">
        <f t="shared" si="1898"/>
        <v>520000</v>
      </c>
      <c r="H3776" s="690" t="s">
        <v>1431</v>
      </c>
      <c r="I3776" s="71" t="s">
        <v>1431</v>
      </c>
      <c r="J3776" s="53">
        <f t="shared" si="1899"/>
        <v>220000</v>
      </c>
      <c r="K3776" s="63">
        <f t="shared" si="1900"/>
        <v>0.42307692307692307</v>
      </c>
      <c r="L3776" s="871" t="s">
        <v>2838</v>
      </c>
      <c r="M3776" s="468"/>
      <c r="N3776" s="1192">
        <f t="shared" si="1895"/>
        <v>44230</v>
      </c>
      <c r="O3776" s="71" t="s">
        <v>1431</v>
      </c>
      <c r="P3776" s="164" t="str">
        <f t="shared" si="1896"/>
        <v>에어 실린더</v>
      </c>
      <c r="Q3776" s="71">
        <f t="shared" si="1893"/>
        <v>2</v>
      </c>
      <c r="R3776" s="102">
        <v>150000</v>
      </c>
      <c r="S3776" s="102">
        <f t="shared" si="1885"/>
        <v>330000</v>
      </c>
      <c r="T3776" s="102">
        <f t="shared" si="1886"/>
        <v>300000</v>
      </c>
      <c r="U3776" s="71"/>
      <c r="V3776" s="71"/>
      <c r="W3776" s="474"/>
      <c r="X3776" s="71"/>
      <c r="Y3776" s="71"/>
    </row>
    <row r="3777" spans="1:25" s="209" customFormat="1" ht="30" hidden="1" customHeight="1" x14ac:dyDescent="0.25">
      <c r="A3777" s="1145">
        <v>44231</v>
      </c>
      <c r="B3777" s="664" t="s">
        <v>567</v>
      </c>
      <c r="C3777" s="71" t="s">
        <v>236</v>
      </c>
      <c r="D3777" s="71">
        <v>5</v>
      </c>
      <c r="E3777" s="102">
        <v>65000</v>
      </c>
      <c r="F3777" s="102">
        <f t="shared" si="1897"/>
        <v>357500</v>
      </c>
      <c r="G3777" s="102">
        <f t="shared" si="1898"/>
        <v>325000</v>
      </c>
      <c r="H3777" s="690" t="s">
        <v>173</v>
      </c>
      <c r="I3777" s="71" t="s">
        <v>2231</v>
      </c>
      <c r="J3777" s="53">
        <f t="shared" si="1899"/>
        <v>75000</v>
      </c>
      <c r="K3777" s="63">
        <f t="shared" ref="K3777:K3784" si="1901">(J3777/(F3777/11*10))</f>
        <v>0.23076923076923078</v>
      </c>
      <c r="L3777" s="871" t="s">
        <v>2838</v>
      </c>
      <c r="M3777" s="468"/>
      <c r="N3777" s="1192">
        <f t="shared" si="1895"/>
        <v>44231</v>
      </c>
      <c r="O3777" s="71" t="s">
        <v>153</v>
      </c>
      <c r="P3777" s="164" t="str">
        <f t="shared" si="1896"/>
        <v>아스테이지(국전)</v>
      </c>
      <c r="Q3777" s="71">
        <f t="shared" si="1893"/>
        <v>5</v>
      </c>
      <c r="R3777" s="102">
        <v>50000</v>
      </c>
      <c r="S3777" s="102">
        <f t="shared" si="1885"/>
        <v>275000</v>
      </c>
      <c r="T3777" s="102">
        <f t="shared" si="1886"/>
        <v>250000</v>
      </c>
      <c r="U3777" s="71" t="str">
        <f>IF(J3777=W3777,"O", "X")</f>
        <v>X</v>
      </c>
      <c r="V3777" s="71"/>
      <c r="W3777" s="474">
        <v>150000</v>
      </c>
      <c r="X3777" s="71"/>
      <c r="Y3777" s="71"/>
    </row>
    <row r="3778" spans="1:25" s="209" customFormat="1" ht="30" hidden="1" customHeight="1" x14ac:dyDescent="0.25">
      <c r="A3778" s="1145">
        <v>44232</v>
      </c>
      <c r="B3778" s="664" t="s">
        <v>2155</v>
      </c>
      <c r="C3778" s="71" t="s">
        <v>138</v>
      </c>
      <c r="D3778" s="71">
        <v>10</v>
      </c>
      <c r="E3778" s="102">
        <v>47600</v>
      </c>
      <c r="F3778" s="102">
        <f t="shared" si="1897"/>
        <v>523600.00000000006</v>
      </c>
      <c r="G3778" s="102">
        <f t="shared" si="1898"/>
        <v>476000</v>
      </c>
      <c r="H3778" s="1129" t="s">
        <v>172</v>
      </c>
      <c r="I3778" s="71" t="s">
        <v>108</v>
      </c>
      <c r="J3778" s="53">
        <f t="shared" si="1899"/>
        <v>68000</v>
      </c>
      <c r="K3778" s="63">
        <f t="shared" si="1901"/>
        <v>0.14285714285714285</v>
      </c>
      <c r="L3778" s="871" t="s">
        <v>2828</v>
      </c>
      <c r="M3778" s="468" t="s">
        <v>2214</v>
      </c>
      <c r="N3778" s="1192">
        <f t="shared" si="1895"/>
        <v>44232</v>
      </c>
      <c r="O3778" s="71" t="s">
        <v>150</v>
      </c>
      <c r="P3778" s="164" t="str">
        <f t="shared" si="1896"/>
        <v>매엽용 세척제(Wash 562)</v>
      </c>
      <c r="Q3778" s="71">
        <f t="shared" si="1893"/>
        <v>10</v>
      </c>
      <c r="R3778" s="102">
        <v>40800</v>
      </c>
      <c r="S3778" s="102">
        <f t="shared" si="1885"/>
        <v>448800.00000000006</v>
      </c>
      <c r="T3778" s="102">
        <f t="shared" si="1886"/>
        <v>408000</v>
      </c>
      <c r="U3778" s="71" t="str">
        <f>IF(J3778=W3778,"O", "X")</f>
        <v>X</v>
      </c>
      <c r="V3778" s="71"/>
      <c r="W3778" s="474">
        <v>85000</v>
      </c>
      <c r="X3778" s="71"/>
      <c r="Y3778" s="71"/>
    </row>
    <row r="3779" spans="1:25" ht="30" hidden="1" customHeight="1" x14ac:dyDescent="0.25">
      <c r="A3779" s="1145">
        <v>44232</v>
      </c>
      <c r="B3779" s="664" t="s">
        <v>2155</v>
      </c>
      <c r="C3779" s="71" t="s">
        <v>277</v>
      </c>
      <c r="D3779" s="71">
        <v>5</v>
      </c>
      <c r="E3779" s="102">
        <v>172000</v>
      </c>
      <c r="F3779" s="102">
        <f t="shared" si="1897"/>
        <v>946000.00000000012</v>
      </c>
      <c r="G3779" s="102">
        <f t="shared" si="1898"/>
        <v>860000</v>
      </c>
      <c r="H3779" s="690" t="s">
        <v>173</v>
      </c>
      <c r="I3779" s="71" t="s">
        <v>108</v>
      </c>
      <c r="J3779" s="53">
        <f t="shared" si="1899"/>
        <v>285000</v>
      </c>
      <c r="K3779" s="63">
        <f t="shared" si="1901"/>
        <v>0.33139534883720928</v>
      </c>
      <c r="L3779" s="871" t="s">
        <v>2828</v>
      </c>
      <c r="M3779" s="468"/>
      <c r="N3779" s="1192">
        <f t="shared" si="1895"/>
        <v>44232</v>
      </c>
      <c r="O3779" s="71" t="s">
        <v>150</v>
      </c>
      <c r="P3779" s="164" t="str">
        <f t="shared" si="1896"/>
        <v>윤전용 세척제(Web 504)</v>
      </c>
      <c r="Q3779" s="71">
        <f t="shared" si="1893"/>
        <v>5</v>
      </c>
      <c r="R3779" s="102">
        <v>115000</v>
      </c>
      <c r="S3779" s="102">
        <f t="shared" si="1885"/>
        <v>632500</v>
      </c>
      <c r="T3779" s="102">
        <f t="shared" si="1886"/>
        <v>575000</v>
      </c>
      <c r="U3779" s="71" t="str">
        <f>IF(J3779=W3779,"O", "X")</f>
        <v>O</v>
      </c>
      <c r="V3779" s="71"/>
      <c r="W3779" s="474">
        <v>285000</v>
      </c>
      <c r="X3779" s="71"/>
      <c r="Y3779" s="71"/>
    </row>
    <row r="3780" spans="1:25" ht="30" hidden="1" customHeight="1" x14ac:dyDescent="0.25">
      <c r="A3780" s="1145">
        <v>44232</v>
      </c>
      <c r="B3780" s="664" t="s">
        <v>2155</v>
      </c>
      <c r="C3780" s="760" t="s">
        <v>218</v>
      </c>
      <c r="D3780" s="71">
        <v>5</v>
      </c>
      <c r="E3780" s="102">
        <v>192500</v>
      </c>
      <c r="F3780" s="102">
        <f t="shared" si="1897"/>
        <v>1058750</v>
      </c>
      <c r="G3780" s="102">
        <f t="shared" si="1898"/>
        <v>962500</v>
      </c>
      <c r="H3780" s="690" t="s">
        <v>173</v>
      </c>
      <c r="I3780" s="71" t="s">
        <v>120</v>
      </c>
      <c r="J3780" s="53">
        <f t="shared" si="1899"/>
        <v>400000</v>
      </c>
      <c r="K3780" s="63">
        <f t="shared" si="1901"/>
        <v>0.41558441558441561</v>
      </c>
      <c r="L3780" s="871" t="s">
        <v>2828</v>
      </c>
      <c r="M3780" s="468"/>
      <c r="N3780" s="1192">
        <f t="shared" si="1895"/>
        <v>44232</v>
      </c>
      <c r="O3780" s="71" t="s">
        <v>150</v>
      </c>
      <c r="P3780" s="164" t="str">
        <f t="shared" si="1896"/>
        <v>Fount Web 551AF</v>
      </c>
      <c r="Q3780" s="71">
        <f t="shared" si="1893"/>
        <v>5</v>
      </c>
      <c r="R3780" s="102">
        <v>112500</v>
      </c>
      <c r="S3780" s="102">
        <f t="shared" si="1885"/>
        <v>618750</v>
      </c>
      <c r="T3780" s="102">
        <f t="shared" si="1886"/>
        <v>562500</v>
      </c>
      <c r="U3780" s="71" t="str">
        <f>IF(J3780=W3780,"O", "X")</f>
        <v>X</v>
      </c>
      <c r="V3780" s="71"/>
      <c r="W3780" s="474">
        <v>640000</v>
      </c>
      <c r="X3780" s="71"/>
      <c r="Y3780" s="71"/>
    </row>
    <row r="3781" spans="1:25" ht="30" customHeight="1" x14ac:dyDescent="0.25">
      <c r="A3781" s="1145">
        <v>44235</v>
      </c>
      <c r="B3781" s="664" t="s">
        <v>2352</v>
      </c>
      <c r="C3781" s="760" t="s">
        <v>218</v>
      </c>
      <c r="D3781" s="71">
        <v>5</v>
      </c>
      <c r="E3781" s="102">
        <v>235000</v>
      </c>
      <c r="F3781" s="102">
        <f t="shared" si="1897"/>
        <v>1292500</v>
      </c>
      <c r="G3781" s="102">
        <f t="shared" si="1898"/>
        <v>1175000</v>
      </c>
      <c r="H3781" s="690" t="s">
        <v>142</v>
      </c>
      <c r="I3781" s="71" t="s">
        <v>142</v>
      </c>
      <c r="J3781" s="53">
        <f t="shared" si="1899"/>
        <v>612500</v>
      </c>
      <c r="K3781" s="63">
        <f t="shared" si="1901"/>
        <v>0.52127659574468088</v>
      </c>
      <c r="L3781" s="871" t="s">
        <v>2838</v>
      </c>
      <c r="M3781" s="468" t="s">
        <v>2053</v>
      </c>
      <c r="N3781" s="1192">
        <f t="shared" si="1895"/>
        <v>44235</v>
      </c>
      <c r="O3781" s="71" t="s">
        <v>150</v>
      </c>
      <c r="P3781" s="164" t="str">
        <f t="shared" si="1896"/>
        <v>Fount Web 551AF</v>
      </c>
      <c r="Q3781" s="71">
        <f t="shared" si="1893"/>
        <v>5</v>
      </c>
      <c r="R3781" s="102">
        <v>112500</v>
      </c>
      <c r="S3781" s="102">
        <f t="shared" si="1885"/>
        <v>618750</v>
      </c>
      <c r="T3781" s="102">
        <f t="shared" si="1886"/>
        <v>562500</v>
      </c>
      <c r="U3781" s="71" t="str">
        <f>IF(J3781=W3781,"O", "X")</f>
        <v>O</v>
      </c>
      <c r="V3781" s="71"/>
      <c r="W3781" s="474">
        <f>(G3781-T3781)</f>
        <v>612500</v>
      </c>
      <c r="X3781" s="71"/>
      <c r="Y3781" s="71"/>
    </row>
    <row r="3782" spans="1:25" ht="30" hidden="1" customHeight="1" x14ac:dyDescent="0.2">
      <c r="A3782" s="1145">
        <v>44236</v>
      </c>
      <c r="B3782" s="664" t="s">
        <v>746</v>
      </c>
      <c r="C3782" s="71" t="s">
        <v>123</v>
      </c>
      <c r="D3782" s="71">
        <v>10</v>
      </c>
      <c r="E3782" s="102">
        <v>30000</v>
      </c>
      <c r="F3782" s="163">
        <f t="shared" si="1897"/>
        <v>330000</v>
      </c>
      <c r="G3782" s="163">
        <f t="shared" si="1898"/>
        <v>300000</v>
      </c>
      <c r="H3782" s="165" t="s">
        <v>1432</v>
      </c>
      <c r="I3782" s="71" t="s">
        <v>1432</v>
      </c>
      <c r="J3782" s="53">
        <f t="shared" si="1899"/>
        <v>75000</v>
      </c>
      <c r="K3782" s="63">
        <f t="shared" si="1901"/>
        <v>0.25</v>
      </c>
      <c r="L3782" s="871" t="s">
        <v>2838</v>
      </c>
      <c r="M3782" s="468"/>
      <c r="N3782" s="1192">
        <f t="shared" si="1895"/>
        <v>44236</v>
      </c>
      <c r="O3782" s="71" t="s">
        <v>94</v>
      </c>
      <c r="P3782" s="164" t="str">
        <f t="shared" si="1896"/>
        <v>필터백</v>
      </c>
      <c r="Q3782" s="71">
        <f t="shared" si="1893"/>
        <v>10</v>
      </c>
      <c r="R3782" s="102">
        <v>22500</v>
      </c>
      <c r="S3782" s="102">
        <f t="shared" si="1885"/>
        <v>247500.00000000003</v>
      </c>
      <c r="T3782" s="102">
        <f t="shared" si="1886"/>
        <v>225000</v>
      </c>
      <c r="U3782" s="71"/>
      <c r="V3782" s="71"/>
      <c r="W3782" s="474"/>
      <c r="X3782" s="71"/>
      <c r="Y3782" s="71"/>
    </row>
    <row r="3783" spans="1:25" ht="30" hidden="1" customHeight="1" x14ac:dyDescent="0.25">
      <c r="A3783" s="1145">
        <v>44242</v>
      </c>
      <c r="B3783" s="664" t="s">
        <v>442</v>
      </c>
      <c r="C3783" s="71" t="s">
        <v>651</v>
      </c>
      <c r="D3783" s="71">
        <v>4</v>
      </c>
      <c r="E3783" s="102">
        <v>41000</v>
      </c>
      <c r="F3783" s="102">
        <f t="shared" si="1897"/>
        <v>180400.00000000003</v>
      </c>
      <c r="G3783" s="102">
        <f t="shared" si="1898"/>
        <v>164000</v>
      </c>
      <c r="H3783" s="690" t="s">
        <v>2029</v>
      </c>
      <c r="I3783" s="71" t="s">
        <v>195</v>
      </c>
      <c r="J3783" s="53">
        <f>(G3783-(VLOOKUP(C3783,[5]Price!B$1:D$65536,3,FALSE)*D3783))</f>
        <v>64000</v>
      </c>
      <c r="K3783" s="63">
        <f t="shared" si="1901"/>
        <v>0.39024390243902435</v>
      </c>
      <c r="L3783" s="871" t="s">
        <v>2838</v>
      </c>
      <c r="M3783" s="468"/>
      <c r="N3783" s="1192">
        <f t="shared" si="1895"/>
        <v>44242</v>
      </c>
      <c r="O3783" s="71" t="s">
        <v>194</v>
      </c>
      <c r="P3783" s="164" t="str">
        <f t="shared" si="1896"/>
        <v>Agfa 현상액 G101C(10L)</v>
      </c>
      <c r="Q3783" s="71">
        <f t="shared" si="1893"/>
        <v>4</v>
      </c>
      <c r="R3783" s="102">
        <f>VLOOKUP(P3783,[5]Price!B$1:D$65536,3,FALSE)</f>
        <v>25000</v>
      </c>
      <c r="S3783" s="102">
        <f t="shared" si="1885"/>
        <v>110000.00000000001</v>
      </c>
      <c r="T3783" s="102">
        <f t="shared" si="1886"/>
        <v>100000</v>
      </c>
      <c r="U3783" s="71" t="str">
        <f>IF(J3783=W3783,"O", "X")</f>
        <v>O</v>
      </c>
      <c r="V3783" s="71"/>
      <c r="W3783" s="474">
        <f>(G3783-T3783)</f>
        <v>64000</v>
      </c>
      <c r="X3783" s="71"/>
      <c r="Y3783" s="71"/>
    </row>
    <row r="3784" spans="1:25" ht="30" hidden="1" customHeight="1" x14ac:dyDescent="0.25">
      <c r="A3784" s="1145">
        <v>44243</v>
      </c>
      <c r="B3784" s="664" t="s">
        <v>1155</v>
      </c>
      <c r="C3784" s="71" t="s">
        <v>2847</v>
      </c>
      <c r="D3784" s="71">
        <v>1</v>
      </c>
      <c r="E3784" s="102">
        <v>2300000</v>
      </c>
      <c r="F3784" s="102">
        <f t="shared" si="1897"/>
        <v>2530000</v>
      </c>
      <c r="G3784" s="102">
        <f t="shared" si="1898"/>
        <v>2300000</v>
      </c>
      <c r="H3784" s="690" t="s">
        <v>173</v>
      </c>
      <c r="I3784" s="71" t="s">
        <v>2231</v>
      </c>
      <c r="J3784" s="53">
        <f>G3784-T3784</f>
        <v>400000</v>
      </c>
      <c r="K3784" s="63">
        <f t="shared" si="1901"/>
        <v>0.17391304347826086</v>
      </c>
      <c r="L3784" s="871" t="s">
        <v>2838</v>
      </c>
      <c r="M3784" s="468"/>
      <c r="N3784" s="1192">
        <f t="shared" si="1895"/>
        <v>44243</v>
      </c>
      <c r="O3784" s="71" t="s">
        <v>2879</v>
      </c>
      <c r="P3784" s="164" t="str">
        <f t="shared" si="1896"/>
        <v>X-rite 농도계 수리 및 교정</v>
      </c>
      <c r="Q3784" s="71">
        <f t="shared" si="1893"/>
        <v>1</v>
      </c>
      <c r="R3784" s="102">
        <v>1900000</v>
      </c>
      <c r="S3784" s="102">
        <f t="shared" si="1885"/>
        <v>2090000.0000000002</v>
      </c>
      <c r="T3784" s="102">
        <f t="shared" si="1886"/>
        <v>1900000</v>
      </c>
      <c r="U3784" s="71"/>
      <c r="V3784" s="71"/>
      <c r="W3784" s="474"/>
      <c r="X3784" s="71"/>
      <c r="Y3784" s="71"/>
    </row>
    <row r="3785" spans="1:25" ht="30" hidden="1" customHeight="1" x14ac:dyDescent="0.25">
      <c r="A3785" s="1192">
        <v>44244</v>
      </c>
      <c r="B3785" s="664" t="s">
        <v>442</v>
      </c>
      <c r="C3785" s="71" t="s">
        <v>206</v>
      </c>
      <c r="D3785" s="71">
        <v>2</v>
      </c>
      <c r="E3785" s="102">
        <v>327000</v>
      </c>
      <c r="F3785" s="102">
        <f t="shared" si="1897"/>
        <v>719400</v>
      </c>
      <c r="G3785" s="102">
        <f t="shared" si="1898"/>
        <v>654000</v>
      </c>
      <c r="H3785" s="690" t="s">
        <v>2029</v>
      </c>
      <c r="I3785" s="71" t="s">
        <v>195</v>
      </c>
      <c r="J3785" s="53">
        <f>(G3785-(VLOOKUP(C3785,[5]Price!B$1:D$65536,3,FALSE)*D3785))</f>
        <v>115800</v>
      </c>
      <c r="K3785" s="63">
        <f>(J3785/(F3785/11*10))</f>
        <v>0.17706422018348625</v>
      </c>
      <c r="L3785" s="871" t="s">
        <v>2838</v>
      </c>
      <c r="M3785" s="468"/>
      <c r="N3785" s="1192">
        <f t="shared" si="1895"/>
        <v>44244</v>
      </c>
      <c r="O3785" s="71" t="s">
        <v>194</v>
      </c>
      <c r="P3785" s="164" t="str">
        <f t="shared" si="1896"/>
        <v>Agfa Film(24inch)</v>
      </c>
      <c r="Q3785" s="71">
        <f t="shared" si="1893"/>
        <v>2</v>
      </c>
      <c r="R3785" s="102">
        <v>269100</v>
      </c>
      <c r="S3785" s="102">
        <f t="shared" ref="S3785:S3816" si="1902">R3785*Q3785*1.1</f>
        <v>592020</v>
      </c>
      <c r="T3785" s="102">
        <f t="shared" ref="T3785:T3816" si="1903">R3785*Q3785</f>
        <v>538200</v>
      </c>
      <c r="U3785" s="71" t="str">
        <f>IF(J3785=W3785,"O", "X")</f>
        <v>O</v>
      </c>
      <c r="V3785" s="71"/>
      <c r="W3785" s="474">
        <f>(G3785-T3785)</f>
        <v>115800</v>
      </c>
      <c r="X3785" s="71"/>
      <c r="Y3785" s="71"/>
    </row>
    <row r="3786" spans="1:25" ht="30" hidden="1" customHeight="1" x14ac:dyDescent="0.25">
      <c r="A3786" s="1192">
        <v>44244</v>
      </c>
      <c r="B3786" s="664" t="s">
        <v>442</v>
      </c>
      <c r="C3786" s="71" t="s">
        <v>207</v>
      </c>
      <c r="D3786" s="71">
        <v>2</v>
      </c>
      <c r="E3786" s="102">
        <v>401000</v>
      </c>
      <c r="F3786" s="102">
        <f t="shared" si="1897"/>
        <v>882200.00000000012</v>
      </c>
      <c r="G3786" s="102">
        <f t="shared" si="1898"/>
        <v>802000</v>
      </c>
      <c r="H3786" s="690" t="s">
        <v>2029</v>
      </c>
      <c r="I3786" s="71" t="s">
        <v>195</v>
      </c>
      <c r="J3786" s="53">
        <f>(G3786-(VLOOKUP(C3786,[5]Price!B$1:D$65536,3,FALSE)*D3786))</f>
        <v>174080</v>
      </c>
      <c r="K3786" s="63">
        <f>(J3786/(F3786/11*10))</f>
        <v>0.21705735660847877</v>
      </c>
      <c r="L3786" s="871" t="s">
        <v>2838</v>
      </c>
      <c r="M3786" s="468"/>
      <c r="N3786" s="1192">
        <f t="shared" si="1895"/>
        <v>44244</v>
      </c>
      <c r="O3786" s="71" t="s">
        <v>194</v>
      </c>
      <c r="P3786" s="164" t="str">
        <f t="shared" si="1896"/>
        <v>Agfa Film(28inch)</v>
      </c>
      <c r="Q3786" s="71">
        <f t="shared" si="1893"/>
        <v>2</v>
      </c>
      <c r="R3786" s="102">
        <f>VLOOKUP(P3786,[5]Price!B$1:D$65536,3,FALSE)</f>
        <v>313960</v>
      </c>
      <c r="S3786" s="102">
        <f t="shared" si="1902"/>
        <v>690712</v>
      </c>
      <c r="T3786" s="102">
        <f t="shared" si="1903"/>
        <v>627920</v>
      </c>
      <c r="U3786" s="71" t="str">
        <f>IF(J3786=W3786,"O", "X")</f>
        <v>O</v>
      </c>
      <c r="V3786" s="71"/>
      <c r="W3786" s="474">
        <f>(G3786-T3786)</f>
        <v>174080</v>
      </c>
      <c r="X3786" s="71"/>
      <c r="Y3786" s="71"/>
    </row>
    <row r="3787" spans="1:25" ht="30" hidden="1" customHeight="1" x14ac:dyDescent="0.25">
      <c r="A3787" s="1192">
        <v>44244</v>
      </c>
      <c r="B3787" s="664" t="s">
        <v>442</v>
      </c>
      <c r="C3787" s="71" t="s">
        <v>208</v>
      </c>
      <c r="D3787" s="71">
        <v>2</v>
      </c>
      <c r="E3787" s="102">
        <v>448000</v>
      </c>
      <c r="F3787" s="102">
        <f t="shared" si="1897"/>
        <v>985600.00000000012</v>
      </c>
      <c r="G3787" s="102">
        <f t="shared" si="1898"/>
        <v>896000</v>
      </c>
      <c r="H3787" s="690" t="s">
        <v>2029</v>
      </c>
      <c r="I3787" s="71" t="s">
        <v>195</v>
      </c>
      <c r="J3787" s="53">
        <f>(G3787-(VLOOKUP(C3787,[5]Price!B$1:D$65536,3,FALSE)*D3787))</f>
        <v>155980</v>
      </c>
      <c r="K3787" s="63">
        <f>(J3787/(F3787/11*10))</f>
        <v>0.1740848214285714</v>
      </c>
      <c r="L3787" s="871" t="s">
        <v>2838</v>
      </c>
      <c r="M3787" s="468"/>
      <c r="N3787" s="1192">
        <f t="shared" si="1895"/>
        <v>44244</v>
      </c>
      <c r="O3787" s="71" t="s">
        <v>194</v>
      </c>
      <c r="P3787" s="164" t="str">
        <f t="shared" si="1896"/>
        <v>Agfa Film(32inch)</v>
      </c>
      <c r="Q3787" s="71">
        <f t="shared" si="1893"/>
        <v>2</v>
      </c>
      <c r="R3787" s="102">
        <f>VLOOKUP(P3787,[5]Price!B$1:D$65536,3,FALSE)</f>
        <v>370010</v>
      </c>
      <c r="S3787" s="102">
        <f t="shared" si="1902"/>
        <v>814022.00000000012</v>
      </c>
      <c r="T3787" s="102">
        <f t="shared" si="1903"/>
        <v>740020</v>
      </c>
      <c r="U3787" s="71" t="str">
        <f>IF(J3787=W3787,"O", "X")</f>
        <v>O</v>
      </c>
      <c r="V3787" s="71"/>
      <c r="W3787" s="474">
        <f>(G3787-T3787)</f>
        <v>155980</v>
      </c>
      <c r="X3787" s="71"/>
      <c r="Y3787" s="71"/>
    </row>
    <row r="3788" spans="1:25" ht="30" hidden="1" customHeight="1" x14ac:dyDescent="0.25">
      <c r="A3788" s="1192">
        <v>44244</v>
      </c>
      <c r="B3788" s="1192" t="s">
        <v>2850</v>
      </c>
      <c r="C3788" s="71" t="s">
        <v>231</v>
      </c>
      <c r="D3788" s="71">
        <v>2</v>
      </c>
      <c r="E3788" s="102">
        <v>120000</v>
      </c>
      <c r="F3788" s="102">
        <f t="shared" si="1897"/>
        <v>264000</v>
      </c>
      <c r="G3788" s="102">
        <f t="shared" si="1898"/>
        <v>240000</v>
      </c>
      <c r="H3788" s="690" t="s">
        <v>173</v>
      </c>
      <c r="I3788" s="71" t="s">
        <v>109</v>
      </c>
      <c r="J3788" s="53">
        <f t="shared" ref="J3788:J3795" si="1904">G3788-T3788</f>
        <v>16000</v>
      </c>
      <c r="K3788" s="63">
        <f>(J3788/(F3788/11*10))</f>
        <v>6.6666666666666666E-2</v>
      </c>
      <c r="L3788" s="871" t="s">
        <v>2838</v>
      </c>
      <c r="M3788" s="468"/>
      <c r="N3788" s="1192">
        <f t="shared" si="1895"/>
        <v>44244</v>
      </c>
      <c r="O3788" s="71" t="s">
        <v>151</v>
      </c>
      <c r="P3788" s="164" t="str">
        <f t="shared" si="1896"/>
        <v>Blanket(990*725)</v>
      </c>
      <c r="Q3788" s="71">
        <f t="shared" si="1893"/>
        <v>2</v>
      </c>
      <c r="R3788" s="102">
        <v>112000</v>
      </c>
      <c r="S3788" s="102">
        <f t="shared" si="1902"/>
        <v>246400.00000000003</v>
      </c>
      <c r="T3788" s="102">
        <f t="shared" si="1903"/>
        <v>224000</v>
      </c>
      <c r="U3788" s="71"/>
      <c r="V3788" s="71"/>
      <c r="W3788" s="474"/>
      <c r="X3788" s="71"/>
      <c r="Y3788" s="71"/>
    </row>
    <row r="3789" spans="1:25" s="209" customFormat="1" ht="30" hidden="1" customHeight="1" x14ac:dyDescent="0.2">
      <c r="A3789" s="1145">
        <v>44244</v>
      </c>
      <c r="B3789" s="664" t="s">
        <v>2261</v>
      </c>
      <c r="C3789" s="71" t="s">
        <v>107</v>
      </c>
      <c r="D3789" s="71">
        <v>2</v>
      </c>
      <c r="E3789" s="102">
        <v>108000</v>
      </c>
      <c r="F3789" s="102">
        <f t="shared" si="1897"/>
        <v>237600.00000000003</v>
      </c>
      <c r="G3789" s="102">
        <f t="shared" si="1898"/>
        <v>216000</v>
      </c>
      <c r="H3789" s="165" t="s">
        <v>172</v>
      </c>
      <c r="I3789" s="71" t="s">
        <v>109</v>
      </c>
      <c r="J3789" s="53">
        <f t="shared" si="1904"/>
        <v>55000</v>
      </c>
      <c r="K3789" s="63">
        <f t="shared" ref="K3789:K3796" si="1905">(J3789/(F3789/11*10))</f>
        <v>0.25462962962962959</v>
      </c>
      <c r="L3789" s="871" t="s">
        <v>2828</v>
      </c>
      <c r="M3789" s="468"/>
      <c r="N3789" s="1192">
        <f t="shared" si="1895"/>
        <v>44244</v>
      </c>
      <c r="O3789" s="71" t="s">
        <v>147</v>
      </c>
      <c r="P3789" s="164" t="str">
        <f t="shared" si="1896"/>
        <v>Blanket(1050*840)</v>
      </c>
      <c r="Q3789" s="71">
        <f t="shared" si="1893"/>
        <v>2</v>
      </c>
      <c r="R3789" s="102">
        <v>80500</v>
      </c>
      <c r="S3789" s="102">
        <f t="shared" si="1902"/>
        <v>177100</v>
      </c>
      <c r="T3789" s="102">
        <f t="shared" si="1903"/>
        <v>161000</v>
      </c>
      <c r="U3789" s="71" t="str">
        <f t="shared" ref="U3789:U3795" si="1906">IF(J3789=W3789,"O", "X")</f>
        <v>X</v>
      </c>
      <c r="V3789" s="71"/>
      <c r="W3789" s="474">
        <v>275000</v>
      </c>
      <c r="X3789" s="71"/>
      <c r="Y3789" s="71"/>
    </row>
    <row r="3790" spans="1:25" s="209" customFormat="1" ht="30" hidden="1" customHeight="1" x14ac:dyDescent="0.25">
      <c r="A3790" s="1145">
        <v>44245</v>
      </c>
      <c r="B3790" s="664" t="s">
        <v>2155</v>
      </c>
      <c r="C3790" s="71" t="s">
        <v>138</v>
      </c>
      <c r="D3790" s="71">
        <v>10</v>
      </c>
      <c r="E3790" s="102">
        <v>47600</v>
      </c>
      <c r="F3790" s="102">
        <f t="shared" si="1897"/>
        <v>523600.00000000006</v>
      </c>
      <c r="G3790" s="102">
        <f t="shared" si="1898"/>
        <v>476000</v>
      </c>
      <c r="H3790" s="1129" t="s">
        <v>172</v>
      </c>
      <c r="I3790" s="71" t="s">
        <v>108</v>
      </c>
      <c r="J3790" s="53">
        <f t="shared" si="1904"/>
        <v>68000</v>
      </c>
      <c r="K3790" s="63">
        <f t="shared" si="1905"/>
        <v>0.14285714285714285</v>
      </c>
      <c r="L3790" s="871" t="s">
        <v>2828</v>
      </c>
      <c r="M3790" s="468" t="s">
        <v>2214</v>
      </c>
      <c r="N3790" s="1192">
        <f t="shared" si="1895"/>
        <v>44245</v>
      </c>
      <c r="O3790" s="71" t="s">
        <v>150</v>
      </c>
      <c r="P3790" s="164" t="str">
        <f t="shared" si="1896"/>
        <v>매엽용 세척제(Wash 562)</v>
      </c>
      <c r="Q3790" s="71">
        <f t="shared" si="1893"/>
        <v>10</v>
      </c>
      <c r="R3790" s="102">
        <v>40800</v>
      </c>
      <c r="S3790" s="102">
        <f t="shared" si="1902"/>
        <v>448800.00000000006</v>
      </c>
      <c r="T3790" s="102">
        <f t="shared" si="1903"/>
        <v>408000</v>
      </c>
      <c r="U3790" s="71" t="str">
        <f t="shared" si="1906"/>
        <v>X</v>
      </c>
      <c r="V3790" s="71"/>
      <c r="W3790" s="474">
        <v>85000</v>
      </c>
      <c r="X3790" s="71"/>
      <c r="Y3790" s="71"/>
    </row>
    <row r="3791" spans="1:25" ht="27.6" hidden="1" customHeight="1" x14ac:dyDescent="0.25">
      <c r="A3791" s="1145">
        <v>44245</v>
      </c>
      <c r="B3791" s="664" t="s">
        <v>567</v>
      </c>
      <c r="C3791" s="71" t="s">
        <v>1652</v>
      </c>
      <c r="D3791" s="71">
        <v>5</v>
      </c>
      <c r="E3791" s="102">
        <v>45000</v>
      </c>
      <c r="F3791" s="102">
        <f t="shared" ref="F3791:F3796" si="1907">(E3791*D3791)*1.1</f>
        <v>247500.00000000003</v>
      </c>
      <c r="G3791" s="102">
        <f t="shared" ref="G3791:G3796" si="1908">(E3791*D3791)</f>
        <v>225000</v>
      </c>
      <c r="H3791" s="690" t="s">
        <v>173</v>
      </c>
      <c r="I3791" s="71" t="s">
        <v>2231</v>
      </c>
      <c r="J3791" s="53">
        <f t="shared" si="1904"/>
        <v>25000</v>
      </c>
      <c r="K3791" s="63">
        <f t="shared" si="1905"/>
        <v>0.11111111111111109</v>
      </c>
      <c r="L3791" s="871" t="s">
        <v>2838</v>
      </c>
      <c r="M3791" s="468"/>
      <c r="N3791" s="1192">
        <f t="shared" si="1895"/>
        <v>44245</v>
      </c>
      <c r="O3791" s="71" t="s">
        <v>153</v>
      </c>
      <c r="P3791" s="164" t="str">
        <f t="shared" si="1896"/>
        <v>아스테이지(CD74용)</v>
      </c>
      <c r="Q3791" s="71">
        <f t="shared" si="1893"/>
        <v>5</v>
      </c>
      <c r="R3791" s="102">
        <v>40000</v>
      </c>
      <c r="S3791" s="102">
        <f t="shared" si="1902"/>
        <v>220000.00000000003</v>
      </c>
      <c r="T3791" s="102">
        <f t="shared" si="1903"/>
        <v>200000</v>
      </c>
      <c r="U3791" s="71" t="str">
        <f t="shared" si="1906"/>
        <v>X</v>
      </c>
      <c r="V3791" s="71"/>
      <c r="W3791" s="474"/>
      <c r="X3791" s="71"/>
      <c r="Y3791" s="71"/>
    </row>
    <row r="3792" spans="1:25" ht="30" customHeight="1" x14ac:dyDescent="0.25">
      <c r="A3792" s="1145">
        <v>44245</v>
      </c>
      <c r="B3792" s="664" t="s">
        <v>2352</v>
      </c>
      <c r="C3792" s="760" t="s">
        <v>218</v>
      </c>
      <c r="D3792" s="71">
        <v>5</v>
      </c>
      <c r="E3792" s="102">
        <v>235000</v>
      </c>
      <c r="F3792" s="102">
        <f t="shared" si="1907"/>
        <v>1292500</v>
      </c>
      <c r="G3792" s="102">
        <f t="shared" si="1908"/>
        <v>1175000</v>
      </c>
      <c r="H3792" s="690" t="s">
        <v>142</v>
      </c>
      <c r="I3792" s="71" t="s">
        <v>142</v>
      </c>
      <c r="J3792" s="53">
        <f t="shared" si="1904"/>
        <v>612500</v>
      </c>
      <c r="K3792" s="63">
        <f t="shared" si="1905"/>
        <v>0.52127659574468088</v>
      </c>
      <c r="L3792" s="871" t="s">
        <v>2838</v>
      </c>
      <c r="M3792" s="468" t="s">
        <v>2053</v>
      </c>
      <c r="N3792" s="1192">
        <f t="shared" si="1895"/>
        <v>44245</v>
      </c>
      <c r="O3792" s="71" t="s">
        <v>150</v>
      </c>
      <c r="P3792" s="164" t="str">
        <f t="shared" si="1896"/>
        <v>Fount Web 551AF</v>
      </c>
      <c r="Q3792" s="71">
        <f t="shared" si="1893"/>
        <v>5</v>
      </c>
      <c r="R3792" s="102">
        <v>112500</v>
      </c>
      <c r="S3792" s="102">
        <f t="shared" si="1902"/>
        <v>618750</v>
      </c>
      <c r="T3792" s="102">
        <f t="shared" si="1903"/>
        <v>562500</v>
      </c>
      <c r="U3792" s="71" t="str">
        <f t="shared" si="1906"/>
        <v>O</v>
      </c>
      <c r="V3792" s="71"/>
      <c r="W3792" s="474">
        <f>(G3792-T3792)</f>
        <v>612500</v>
      </c>
      <c r="X3792" s="71"/>
      <c r="Y3792" s="71"/>
    </row>
    <row r="3793" spans="1:25" ht="30" hidden="1" customHeight="1" x14ac:dyDescent="0.2">
      <c r="A3793" s="1145">
        <v>44246</v>
      </c>
      <c r="B3793" s="664" t="s">
        <v>2353</v>
      </c>
      <c r="C3793" s="71" t="s">
        <v>129</v>
      </c>
      <c r="D3793" s="71">
        <v>7</v>
      </c>
      <c r="E3793" s="102">
        <v>272000</v>
      </c>
      <c r="F3793" s="102">
        <f t="shared" si="1907"/>
        <v>2094400.0000000002</v>
      </c>
      <c r="G3793" s="102">
        <f t="shared" si="1908"/>
        <v>1904000</v>
      </c>
      <c r="H3793" s="165" t="s">
        <v>142</v>
      </c>
      <c r="I3793" s="71" t="s">
        <v>142</v>
      </c>
      <c r="J3793" s="53">
        <f t="shared" si="1904"/>
        <v>414400</v>
      </c>
      <c r="K3793" s="63">
        <f t="shared" si="1905"/>
        <v>0.21764705882352939</v>
      </c>
      <c r="L3793" s="871" t="s">
        <v>2838</v>
      </c>
      <c r="M3793" s="468" t="s">
        <v>2050</v>
      </c>
      <c r="N3793" s="1192">
        <f t="shared" si="1895"/>
        <v>44246</v>
      </c>
      <c r="O3793" s="71" t="s">
        <v>149</v>
      </c>
      <c r="P3793" s="164" t="str">
        <f t="shared" si="1896"/>
        <v>세정포-XL106</v>
      </c>
      <c r="Q3793" s="71">
        <f t="shared" si="1893"/>
        <v>7</v>
      </c>
      <c r="R3793" s="102">
        <v>212800</v>
      </c>
      <c r="S3793" s="102">
        <f t="shared" si="1902"/>
        <v>1638560.0000000002</v>
      </c>
      <c r="T3793" s="102">
        <f t="shared" si="1903"/>
        <v>1489600</v>
      </c>
      <c r="U3793" s="71" t="str">
        <f t="shared" si="1906"/>
        <v>O</v>
      </c>
      <c r="V3793" s="71"/>
      <c r="W3793" s="474">
        <f>(G3793-T3793)</f>
        <v>414400</v>
      </c>
      <c r="X3793" s="71"/>
      <c r="Y3793" s="71"/>
    </row>
    <row r="3794" spans="1:25" s="209" customFormat="1" ht="30" hidden="1" customHeight="1" x14ac:dyDescent="0.2">
      <c r="A3794" s="1145">
        <v>44246</v>
      </c>
      <c r="B3794" s="664" t="s">
        <v>2353</v>
      </c>
      <c r="C3794" s="71" t="s">
        <v>138</v>
      </c>
      <c r="D3794" s="71">
        <v>10</v>
      </c>
      <c r="E3794" s="102">
        <v>54400</v>
      </c>
      <c r="F3794" s="102">
        <f t="shared" si="1907"/>
        <v>598400</v>
      </c>
      <c r="G3794" s="102">
        <f t="shared" si="1908"/>
        <v>544000</v>
      </c>
      <c r="H3794" s="165" t="s">
        <v>142</v>
      </c>
      <c r="I3794" s="71" t="s">
        <v>142</v>
      </c>
      <c r="J3794" s="53">
        <f t="shared" si="1904"/>
        <v>136000</v>
      </c>
      <c r="K3794" s="63">
        <f t="shared" si="1905"/>
        <v>0.25</v>
      </c>
      <c r="L3794" s="871" t="s">
        <v>2838</v>
      </c>
      <c r="M3794" s="468" t="s">
        <v>2214</v>
      </c>
      <c r="N3794" s="1192">
        <f t="shared" si="1895"/>
        <v>44246</v>
      </c>
      <c r="O3794" s="71" t="s">
        <v>2030</v>
      </c>
      <c r="P3794" s="164" t="str">
        <f t="shared" si="1896"/>
        <v>매엽용 세척제(Wash 562)</v>
      </c>
      <c r="Q3794" s="71">
        <f t="shared" si="1893"/>
        <v>10</v>
      </c>
      <c r="R3794" s="102">
        <v>40800</v>
      </c>
      <c r="S3794" s="102">
        <f t="shared" si="1902"/>
        <v>448800.00000000006</v>
      </c>
      <c r="T3794" s="102">
        <f t="shared" si="1903"/>
        <v>408000</v>
      </c>
      <c r="U3794" s="71" t="str">
        <f t="shared" si="1906"/>
        <v>O</v>
      </c>
      <c r="V3794" s="71"/>
      <c r="W3794" s="474">
        <f>(G3794-T3794)</f>
        <v>136000</v>
      </c>
      <c r="X3794" s="71"/>
      <c r="Y3794" s="71"/>
    </row>
    <row r="3795" spans="1:25" ht="30" hidden="1" customHeight="1" x14ac:dyDescent="0.2">
      <c r="A3795" s="1145">
        <v>44246</v>
      </c>
      <c r="B3795" s="664" t="s">
        <v>2353</v>
      </c>
      <c r="C3795" s="71" t="s">
        <v>584</v>
      </c>
      <c r="D3795" s="71">
        <v>3</v>
      </c>
      <c r="E3795" s="102">
        <v>270000</v>
      </c>
      <c r="F3795" s="102">
        <f t="shared" si="1907"/>
        <v>891000.00000000012</v>
      </c>
      <c r="G3795" s="102">
        <f t="shared" si="1908"/>
        <v>810000</v>
      </c>
      <c r="H3795" s="165" t="s">
        <v>142</v>
      </c>
      <c r="I3795" s="71" t="s">
        <v>142</v>
      </c>
      <c r="J3795" s="53">
        <f t="shared" si="1904"/>
        <v>162000</v>
      </c>
      <c r="K3795" s="63">
        <f t="shared" si="1905"/>
        <v>0.19999999999999998</v>
      </c>
      <c r="L3795" s="871" t="s">
        <v>2838</v>
      </c>
      <c r="M3795" s="468"/>
      <c r="N3795" s="1192">
        <f t="shared" si="1895"/>
        <v>44246</v>
      </c>
      <c r="O3795" s="71" t="s">
        <v>150</v>
      </c>
      <c r="P3795" s="164" t="str">
        <f t="shared" si="1896"/>
        <v>데리바리 석션벨트</v>
      </c>
      <c r="Q3795" s="71">
        <f t="shared" si="1893"/>
        <v>3</v>
      </c>
      <c r="R3795" s="102">
        <v>216000</v>
      </c>
      <c r="S3795" s="102">
        <f t="shared" si="1902"/>
        <v>712800</v>
      </c>
      <c r="T3795" s="102">
        <f t="shared" si="1903"/>
        <v>648000</v>
      </c>
      <c r="U3795" s="71" t="str">
        <f t="shared" si="1906"/>
        <v>O</v>
      </c>
      <c r="V3795" s="71"/>
      <c r="W3795" s="474">
        <f>(G3795-T3795)</f>
        <v>162000</v>
      </c>
      <c r="X3795" s="71"/>
      <c r="Y3795" s="71"/>
    </row>
    <row r="3796" spans="1:25" ht="30" hidden="1" customHeight="1" x14ac:dyDescent="0.25">
      <c r="A3796" s="1145">
        <v>44249</v>
      </c>
      <c r="B3796" s="664" t="s">
        <v>2155</v>
      </c>
      <c r="C3796" s="71" t="s">
        <v>2102</v>
      </c>
      <c r="D3796" s="71">
        <v>1</v>
      </c>
      <c r="E3796" s="102">
        <v>1600000</v>
      </c>
      <c r="F3796" s="102">
        <f t="shared" si="1907"/>
        <v>1760000.0000000002</v>
      </c>
      <c r="G3796" s="102">
        <f t="shared" si="1908"/>
        <v>1600000</v>
      </c>
      <c r="H3796" s="690" t="s">
        <v>985</v>
      </c>
      <c r="I3796" s="71" t="s">
        <v>985</v>
      </c>
      <c r="J3796" s="53"/>
      <c r="K3796" s="63">
        <f t="shared" si="1905"/>
        <v>0</v>
      </c>
      <c r="L3796" s="871" t="s">
        <v>2838</v>
      </c>
      <c r="M3796" s="468"/>
      <c r="N3796" s="1192">
        <f t="shared" si="1895"/>
        <v>44249</v>
      </c>
      <c r="O3796" s="71"/>
      <c r="P3796" s="164" t="str">
        <f t="shared" si="1896"/>
        <v>판걸이 튜브 교체 서비스</v>
      </c>
      <c r="Q3796" s="71">
        <f t="shared" si="1893"/>
        <v>1</v>
      </c>
      <c r="R3796" s="102"/>
      <c r="S3796" s="102">
        <f t="shared" si="1902"/>
        <v>0</v>
      </c>
      <c r="T3796" s="102">
        <f t="shared" si="1903"/>
        <v>0</v>
      </c>
      <c r="U3796" s="71"/>
      <c r="V3796" s="71"/>
      <c r="W3796" s="474"/>
      <c r="X3796" s="71"/>
      <c r="Y3796" s="71"/>
    </row>
    <row r="3797" spans="1:25" ht="30" hidden="1" customHeight="1" x14ac:dyDescent="0.25">
      <c r="A3797" s="1145">
        <v>44249</v>
      </c>
      <c r="B3797" s="664" t="s">
        <v>446</v>
      </c>
      <c r="C3797" s="71" t="s">
        <v>2028</v>
      </c>
      <c r="D3797" s="71">
        <v>16</v>
      </c>
      <c r="E3797" s="102">
        <v>105000</v>
      </c>
      <c r="F3797" s="102">
        <f t="shared" ref="F3797:F3808" si="1909">(E3797*D3797)*1.1</f>
        <v>1848000.0000000002</v>
      </c>
      <c r="G3797" s="102">
        <f t="shared" ref="G3797:G3808" si="1910">(E3797*D3797)</f>
        <v>1680000</v>
      </c>
      <c r="H3797" s="690" t="s">
        <v>2029</v>
      </c>
      <c r="I3797" s="71" t="s">
        <v>2231</v>
      </c>
      <c r="J3797" s="53">
        <f>G3797-T3797</f>
        <v>304000</v>
      </c>
      <c r="K3797" s="63">
        <f t="shared" ref="K3797:K3805" si="1911">(J3797/(F3797/11*10))</f>
        <v>0.18095238095238092</v>
      </c>
      <c r="L3797" s="871" t="s">
        <v>2838</v>
      </c>
      <c r="M3797" s="468" t="s">
        <v>3068</v>
      </c>
      <c r="N3797" s="1192">
        <f t="shared" si="1895"/>
        <v>44249</v>
      </c>
      <c r="O3797" s="71" t="s">
        <v>2030</v>
      </c>
      <c r="P3797" s="164" t="str">
        <f t="shared" si="1896"/>
        <v>실리콘 에멀전</v>
      </c>
      <c r="Q3797" s="71">
        <f t="shared" si="1893"/>
        <v>16</v>
      </c>
      <c r="R3797" s="102">
        <v>86000</v>
      </c>
      <c r="S3797" s="102">
        <f t="shared" si="1902"/>
        <v>1513600.0000000002</v>
      </c>
      <c r="T3797" s="102">
        <f t="shared" si="1903"/>
        <v>1376000</v>
      </c>
      <c r="U3797" s="71" t="str">
        <f>IF(J3797=W3797,"O", "X")</f>
        <v>O</v>
      </c>
      <c r="V3797" s="71">
        <f>7000*Q3797</f>
        <v>112000</v>
      </c>
      <c r="W3797" s="474">
        <f>(G3797-T3797)</f>
        <v>304000</v>
      </c>
      <c r="X3797" s="71"/>
      <c r="Y3797" s="71"/>
    </row>
    <row r="3798" spans="1:25" ht="30" hidden="1" customHeight="1" x14ac:dyDescent="0.25">
      <c r="A3798" s="1145">
        <v>44250</v>
      </c>
      <c r="B3798" s="664" t="s">
        <v>673</v>
      </c>
      <c r="C3798" s="71" t="s">
        <v>1261</v>
      </c>
      <c r="D3798" s="71">
        <v>2</v>
      </c>
      <c r="E3798" s="102">
        <v>110000</v>
      </c>
      <c r="F3798" s="102">
        <f t="shared" si="1909"/>
        <v>242000.00000000003</v>
      </c>
      <c r="G3798" s="102">
        <f t="shared" si="1910"/>
        <v>220000</v>
      </c>
      <c r="H3798" s="690" t="s">
        <v>173</v>
      </c>
      <c r="I3798" s="71" t="s">
        <v>108</v>
      </c>
      <c r="J3798" s="53">
        <f>G3798-T3798</f>
        <v>30000</v>
      </c>
      <c r="K3798" s="63">
        <f t="shared" si="1911"/>
        <v>0.13636363636363635</v>
      </c>
      <c r="L3798" s="871" t="s">
        <v>2828</v>
      </c>
      <c r="M3798" s="468"/>
      <c r="N3798" s="1192">
        <f t="shared" ref="N3798:N3834" si="1912">A3798</f>
        <v>44250</v>
      </c>
      <c r="O3798" s="71" t="s">
        <v>150</v>
      </c>
      <c r="P3798" s="164" t="str">
        <f t="shared" ref="P3798:P3834" si="1913">(C3798)</f>
        <v>아스테이지</v>
      </c>
      <c r="Q3798" s="71">
        <f t="shared" si="1893"/>
        <v>2</v>
      </c>
      <c r="R3798" s="102">
        <v>95000</v>
      </c>
      <c r="S3798" s="102">
        <f t="shared" si="1902"/>
        <v>209000.00000000003</v>
      </c>
      <c r="T3798" s="102">
        <f t="shared" si="1903"/>
        <v>190000</v>
      </c>
      <c r="U3798" s="71" t="str">
        <f>IF(J3798=W3798,"O", "X")</f>
        <v>X</v>
      </c>
      <c r="V3798" s="71"/>
      <c r="W3798" s="474"/>
      <c r="X3798" s="71"/>
      <c r="Y3798" s="71"/>
    </row>
    <row r="3799" spans="1:25" ht="30" hidden="1" customHeight="1" x14ac:dyDescent="0.25">
      <c r="A3799" s="1145">
        <v>44250</v>
      </c>
      <c r="B3799" s="664" t="s">
        <v>1155</v>
      </c>
      <c r="C3799" s="71" t="s">
        <v>123</v>
      </c>
      <c r="D3799" s="71">
        <v>10</v>
      </c>
      <c r="E3799" s="102">
        <v>30000</v>
      </c>
      <c r="F3799" s="102">
        <f t="shared" si="1909"/>
        <v>330000</v>
      </c>
      <c r="G3799" s="102">
        <f t="shared" si="1910"/>
        <v>300000</v>
      </c>
      <c r="H3799" s="690" t="s">
        <v>1432</v>
      </c>
      <c r="I3799" s="71" t="s">
        <v>1432</v>
      </c>
      <c r="J3799" s="53">
        <f>G3799-T3799</f>
        <v>60000</v>
      </c>
      <c r="K3799" s="63">
        <f t="shared" si="1911"/>
        <v>0.2</v>
      </c>
      <c r="L3799" s="871" t="s">
        <v>2838</v>
      </c>
      <c r="M3799" s="468"/>
      <c r="N3799" s="1192">
        <f t="shared" si="1912"/>
        <v>44250</v>
      </c>
      <c r="O3799" s="71" t="s">
        <v>94</v>
      </c>
      <c r="P3799" s="164" t="str">
        <f t="shared" si="1913"/>
        <v>필터백</v>
      </c>
      <c r="Q3799" s="71">
        <f t="shared" si="1893"/>
        <v>10</v>
      </c>
      <c r="R3799" s="102">
        <v>24000</v>
      </c>
      <c r="S3799" s="102">
        <f t="shared" si="1902"/>
        <v>264000</v>
      </c>
      <c r="T3799" s="102">
        <f t="shared" si="1903"/>
        <v>240000</v>
      </c>
      <c r="U3799" s="71"/>
      <c r="V3799" s="71"/>
      <c r="W3799" s="474"/>
      <c r="X3799" s="71"/>
      <c r="Y3799" s="71"/>
    </row>
    <row r="3800" spans="1:25" ht="30" hidden="1" customHeight="1" x14ac:dyDescent="0.25">
      <c r="A3800" s="1145">
        <v>44250</v>
      </c>
      <c r="B3800" s="664" t="s">
        <v>2840</v>
      </c>
      <c r="C3800" s="71" t="s">
        <v>2841</v>
      </c>
      <c r="D3800" s="71">
        <v>2</v>
      </c>
      <c r="E3800" s="102">
        <v>1100000</v>
      </c>
      <c r="F3800" s="102">
        <f t="shared" si="1909"/>
        <v>2420000</v>
      </c>
      <c r="G3800" s="102">
        <f t="shared" si="1910"/>
        <v>2200000</v>
      </c>
      <c r="H3800" s="690" t="s">
        <v>1432</v>
      </c>
      <c r="I3800" s="71" t="s">
        <v>1432</v>
      </c>
      <c r="J3800" s="53">
        <f>G3800-T3800</f>
        <v>600000</v>
      </c>
      <c r="K3800" s="63">
        <f t="shared" si="1911"/>
        <v>0.27272727272727271</v>
      </c>
      <c r="L3800" s="871" t="s">
        <v>2838</v>
      </c>
      <c r="M3800" s="468" t="s">
        <v>2842</v>
      </c>
      <c r="N3800" s="1192">
        <f t="shared" si="1912"/>
        <v>44250</v>
      </c>
      <c r="O3800" s="71" t="s">
        <v>94</v>
      </c>
      <c r="P3800" s="164" t="str">
        <f t="shared" si="1913"/>
        <v>Valve block</v>
      </c>
      <c r="Q3800" s="71">
        <f t="shared" si="1893"/>
        <v>2</v>
      </c>
      <c r="R3800" s="102">
        <v>800000</v>
      </c>
      <c r="S3800" s="102">
        <f t="shared" si="1902"/>
        <v>1760000.0000000002</v>
      </c>
      <c r="T3800" s="102">
        <f t="shared" si="1903"/>
        <v>1600000</v>
      </c>
      <c r="U3800" s="71"/>
      <c r="V3800" s="71"/>
      <c r="W3800" s="474"/>
      <c r="X3800" s="71"/>
      <c r="Y3800" s="71"/>
    </row>
    <row r="3801" spans="1:25" ht="30" hidden="1" customHeight="1" x14ac:dyDescent="0.25">
      <c r="A3801" s="1145">
        <v>44251</v>
      </c>
      <c r="B3801" s="664" t="s">
        <v>567</v>
      </c>
      <c r="C3801" s="71" t="s">
        <v>123</v>
      </c>
      <c r="D3801" s="71">
        <v>10</v>
      </c>
      <c r="E3801" s="102">
        <v>40000</v>
      </c>
      <c r="F3801" s="102">
        <f t="shared" si="1909"/>
        <v>440000.00000000006</v>
      </c>
      <c r="G3801" s="102">
        <f t="shared" si="1910"/>
        <v>400000</v>
      </c>
      <c r="H3801" s="1010" t="s">
        <v>39</v>
      </c>
      <c r="I3801" s="71" t="s">
        <v>1432</v>
      </c>
      <c r="J3801" s="53">
        <f>(G3801-(VLOOKUP(C3801,Price!B:D,3,FALSE)*D3801))</f>
        <v>175390</v>
      </c>
      <c r="K3801" s="63">
        <f t="shared" si="1911"/>
        <v>0.43847499999999995</v>
      </c>
      <c r="L3801" s="871" t="s">
        <v>2838</v>
      </c>
      <c r="M3801" s="468"/>
      <c r="N3801" s="1192">
        <f t="shared" si="1912"/>
        <v>44251</v>
      </c>
      <c r="O3801" s="991" t="s">
        <v>39</v>
      </c>
      <c r="P3801" s="164" t="str">
        <f t="shared" si="1913"/>
        <v>필터백</v>
      </c>
      <c r="Q3801" s="71">
        <f t="shared" si="1893"/>
        <v>10</v>
      </c>
      <c r="R3801" s="102">
        <v>22054</v>
      </c>
      <c r="S3801" s="102">
        <f t="shared" si="1902"/>
        <v>242594.00000000003</v>
      </c>
      <c r="T3801" s="102">
        <f t="shared" si="1903"/>
        <v>220540</v>
      </c>
      <c r="U3801" s="71" t="str">
        <f>IF(J3801=W3801,"O", "X")</f>
        <v>X</v>
      </c>
      <c r="V3801" s="71"/>
      <c r="W3801" s="474">
        <f>(G3801-T3801)</f>
        <v>179460</v>
      </c>
      <c r="X3801" s="71"/>
      <c r="Y3801" s="71"/>
    </row>
    <row r="3802" spans="1:25" ht="30" hidden="1" customHeight="1" x14ac:dyDescent="0.25">
      <c r="A3802" s="1145">
        <v>44251</v>
      </c>
      <c r="B3802" s="664" t="s">
        <v>1287</v>
      </c>
      <c r="C3802" s="71" t="s">
        <v>2487</v>
      </c>
      <c r="D3802" s="71">
        <v>1</v>
      </c>
      <c r="E3802" s="102">
        <v>1200000</v>
      </c>
      <c r="F3802" s="102">
        <f t="shared" si="1909"/>
        <v>1320000</v>
      </c>
      <c r="G3802" s="102">
        <f t="shared" si="1910"/>
        <v>1200000</v>
      </c>
      <c r="H3802" s="690" t="s">
        <v>173</v>
      </c>
      <c r="I3802" s="71" t="s">
        <v>2184</v>
      </c>
      <c r="J3802" s="53">
        <f>G3802-T3802</f>
        <v>1200000</v>
      </c>
      <c r="K3802" s="63">
        <f t="shared" si="1911"/>
        <v>1</v>
      </c>
      <c r="L3802" s="871" t="s">
        <v>2838</v>
      </c>
      <c r="M3802" s="468"/>
      <c r="N3802" s="1192">
        <f t="shared" si="1912"/>
        <v>44251</v>
      </c>
      <c r="O3802" s="71" t="s">
        <v>2498</v>
      </c>
      <c r="P3802" s="164" t="str">
        <f t="shared" si="1913"/>
        <v>IR Lamp</v>
      </c>
      <c r="Q3802" s="71">
        <f t="shared" si="1893"/>
        <v>1</v>
      </c>
      <c r="R3802" s="102">
        <v>0</v>
      </c>
      <c r="S3802" s="102">
        <f t="shared" si="1902"/>
        <v>0</v>
      </c>
      <c r="T3802" s="102">
        <f t="shared" si="1903"/>
        <v>0</v>
      </c>
      <c r="U3802" s="71"/>
      <c r="V3802" s="71"/>
      <c r="W3802" s="474"/>
      <c r="X3802" s="71"/>
      <c r="Y3802" s="71"/>
    </row>
    <row r="3803" spans="1:25" ht="30" hidden="1" customHeight="1" x14ac:dyDescent="0.25">
      <c r="A3803" s="1145">
        <v>44251</v>
      </c>
      <c r="B3803" s="664" t="s">
        <v>690</v>
      </c>
      <c r="C3803" s="71" t="s">
        <v>1186</v>
      </c>
      <c r="D3803" s="71">
        <v>500</v>
      </c>
      <c r="E3803" s="102">
        <v>3420</v>
      </c>
      <c r="F3803" s="102">
        <f t="shared" si="1909"/>
        <v>1881000.0000000002</v>
      </c>
      <c r="G3803" s="102">
        <f t="shared" si="1910"/>
        <v>1710000</v>
      </c>
      <c r="H3803" s="690" t="s">
        <v>173</v>
      </c>
      <c r="I3803" s="71" t="s">
        <v>2230</v>
      </c>
      <c r="J3803" s="53">
        <f>G3803-T3803</f>
        <v>-190000</v>
      </c>
      <c r="K3803" s="63">
        <f t="shared" si="1911"/>
        <v>-0.11111111111111109</v>
      </c>
      <c r="L3803" s="871" t="s">
        <v>2828</v>
      </c>
      <c r="M3803" s="468" t="s">
        <v>1393</v>
      </c>
      <c r="N3803" s="1192">
        <f t="shared" si="1912"/>
        <v>44251</v>
      </c>
      <c r="O3803" s="71" t="s">
        <v>145</v>
      </c>
      <c r="P3803" s="164" t="str">
        <f t="shared" si="1913"/>
        <v>CTP 판(1030*790mm)</v>
      </c>
      <c r="Q3803" s="71">
        <f t="shared" si="1893"/>
        <v>500</v>
      </c>
      <c r="R3803" s="102">
        <v>3800</v>
      </c>
      <c r="S3803" s="102">
        <f t="shared" si="1902"/>
        <v>2090000.0000000002</v>
      </c>
      <c r="T3803" s="102">
        <f t="shared" si="1903"/>
        <v>1900000</v>
      </c>
      <c r="U3803" s="71" t="str">
        <f t="shared" ref="U3803:U3811" si="1914">IF(J3803=W3803,"O", "X")</f>
        <v>X</v>
      </c>
      <c r="V3803" s="71"/>
      <c r="W3803" s="474">
        <v>-200000</v>
      </c>
      <c r="X3803" s="71"/>
      <c r="Y3803" s="71"/>
    </row>
    <row r="3804" spans="1:25" ht="30" hidden="1" customHeight="1" x14ac:dyDescent="0.25">
      <c r="A3804" s="1145">
        <v>44251</v>
      </c>
      <c r="B3804" s="664" t="s">
        <v>690</v>
      </c>
      <c r="C3804" s="71" t="s">
        <v>197</v>
      </c>
      <c r="D3804" s="71">
        <v>3</v>
      </c>
      <c r="E3804" s="102">
        <v>46000</v>
      </c>
      <c r="F3804" s="102">
        <f t="shared" si="1909"/>
        <v>151800</v>
      </c>
      <c r="G3804" s="102">
        <f t="shared" si="1910"/>
        <v>138000</v>
      </c>
      <c r="H3804" s="690" t="s">
        <v>173</v>
      </c>
      <c r="I3804" s="71" t="s">
        <v>2230</v>
      </c>
      <c r="J3804" s="53">
        <f>G3804-T3804</f>
        <v>33000</v>
      </c>
      <c r="K3804" s="63">
        <f t="shared" si="1911"/>
        <v>0.2391304347826087</v>
      </c>
      <c r="L3804" s="871" t="s">
        <v>2838</v>
      </c>
      <c r="M3804" s="468" t="s">
        <v>1394</v>
      </c>
      <c r="N3804" s="1192">
        <f t="shared" si="1912"/>
        <v>44251</v>
      </c>
      <c r="O3804" s="71" t="s">
        <v>145</v>
      </c>
      <c r="P3804" s="164" t="str">
        <f t="shared" si="1913"/>
        <v>THR200(20L)</v>
      </c>
      <c r="Q3804" s="71">
        <f t="shared" si="1893"/>
        <v>3</v>
      </c>
      <c r="R3804" s="102">
        <v>35000</v>
      </c>
      <c r="S3804" s="102">
        <f t="shared" si="1902"/>
        <v>115500.00000000001</v>
      </c>
      <c r="T3804" s="102">
        <f t="shared" si="1903"/>
        <v>105000</v>
      </c>
      <c r="U3804" s="71" t="str">
        <f t="shared" si="1914"/>
        <v>X</v>
      </c>
      <c r="V3804" s="71"/>
      <c r="W3804" s="474"/>
      <c r="X3804" s="71"/>
      <c r="Y3804" s="71"/>
    </row>
    <row r="3805" spans="1:25" ht="30" hidden="1" customHeight="1" x14ac:dyDescent="0.25">
      <c r="A3805" s="1145">
        <v>44251</v>
      </c>
      <c r="B3805" s="664" t="s">
        <v>690</v>
      </c>
      <c r="C3805" s="71" t="s">
        <v>752</v>
      </c>
      <c r="D3805" s="71">
        <v>1</v>
      </c>
      <c r="E3805" s="102">
        <v>79000</v>
      </c>
      <c r="F3805" s="102">
        <f t="shared" si="1909"/>
        <v>86900</v>
      </c>
      <c r="G3805" s="102">
        <f t="shared" si="1910"/>
        <v>79000</v>
      </c>
      <c r="H3805" s="690" t="s">
        <v>173</v>
      </c>
      <c r="I3805" s="71" t="s">
        <v>2230</v>
      </c>
      <c r="J3805" s="53">
        <f>(G3805-(VLOOKUP(C3805,Price!B:D,3,FALSE)*D3805))</f>
        <v>14000</v>
      </c>
      <c r="K3805" s="63">
        <f t="shared" si="1911"/>
        <v>0.17721518987341772</v>
      </c>
      <c r="L3805" s="871" t="s">
        <v>2838</v>
      </c>
      <c r="M3805" s="468"/>
      <c r="N3805" s="1192">
        <f t="shared" si="1912"/>
        <v>44251</v>
      </c>
      <c r="O3805" s="71" t="s">
        <v>145</v>
      </c>
      <c r="P3805" s="164" t="str">
        <f t="shared" si="1913"/>
        <v>RC795(20L)</v>
      </c>
      <c r="Q3805" s="71">
        <f t="shared" si="1893"/>
        <v>1</v>
      </c>
      <c r="R3805" s="102">
        <v>65000</v>
      </c>
      <c r="S3805" s="102">
        <f t="shared" si="1902"/>
        <v>71500</v>
      </c>
      <c r="T3805" s="102">
        <f t="shared" si="1903"/>
        <v>65000</v>
      </c>
      <c r="U3805" s="71" t="str">
        <f t="shared" si="1914"/>
        <v>O</v>
      </c>
      <c r="V3805" s="71"/>
      <c r="W3805" s="474">
        <f>(G3805-T3805)</f>
        <v>14000</v>
      </c>
      <c r="X3805" s="71"/>
      <c r="Y3805" s="71"/>
    </row>
    <row r="3806" spans="1:25" ht="30" customHeight="1" x14ac:dyDescent="0.2">
      <c r="A3806" s="1145">
        <v>44252</v>
      </c>
      <c r="B3806" s="664" t="s">
        <v>2352</v>
      </c>
      <c r="C3806" s="71" t="s">
        <v>692</v>
      </c>
      <c r="D3806" s="71">
        <v>10</v>
      </c>
      <c r="E3806" s="102">
        <v>218000</v>
      </c>
      <c r="F3806" s="102">
        <f t="shared" si="1909"/>
        <v>2398000</v>
      </c>
      <c r="G3806" s="102">
        <f t="shared" si="1910"/>
        <v>2180000</v>
      </c>
      <c r="H3806" s="165" t="s">
        <v>142</v>
      </c>
      <c r="I3806" s="71" t="s">
        <v>142</v>
      </c>
      <c r="J3806" s="53">
        <f>(G3806-(VLOOKUP(C3806,Price!B:D,3,FALSE)*D3806))</f>
        <v>580000</v>
      </c>
      <c r="K3806" s="63">
        <f t="shared" ref="K3806:K3811" si="1915">(J3806/(F3806/11*10))</f>
        <v>0.26605504587155965</v>
      </c>
      <c r="L3806" s="871" t="s">
        <v>2838</v>
      </c>
      <c r="M3806" s="468" t="s">
        <v>2052</v>
      </c>
      <c r="N3806" s="1192">
        <f t="shared" si="1912"/>
        <v>44252</v>
      </c>
      <c r="O3806" s="71" t="s">
        <v>150</v>
      </c>
      <c r="P3806" s="164" t="str">
        <f t="shared" si="1913"/>
        <v>윤전 블랑켓</v>
      </c>
      <c r="Q3806" s="71">
        <f t="shared" si="1893"/>
        <v>10</v>
      </c>
      <c r="R3806" s="102">
        <v>160000</v>
      </c>
      <c r="S3806" s="102">
        <f t="shared" si="1902"/>
        <v>1760000.0000000002</v>
      </c>
      <c r="T3806" s="102">
        <f t="shared" si="1903"/>
        <v>1600000</v>
      </c>
      <c r="U3806" s="71" t="str">
        <f t="shared" si="1914"/>
        <v>O</v>
      </c>
      <c r="V3806" s="71" t="s">
        <v>784</v>
      </c>
      <c r="W3806" s="474">
        <f>(G3806-T3806)</f>
        <v>580000</v>
      </c>
      <c r="X3806" s="71"/>
      <c r="Y3806" s="71"/>
    </row>
    <row r="3807" spans="1:25" ht="30" hidden="1" customHeight="1" x14ac:dyDescent="0.2">
      <c r="A3807" s="1145">
        <v>44252</v>
      </c>
      <c r="B3807" s="664" t="s">
        <v>545</v>
      </c>
      <c r="C3807" s="71" t="s">
        <v>2728</v>
      </c>
      <c r="D3807" s="71">
        <v>6</v>
      </c>
      <c r="E3807" s="102">
        <v>610000</v>
      </c>
      <c r="F3807" s="163">
        <f t="shared" si="1909"/>
        <v>4026000.0000000005</v>
      </c>
      <c r="G3807" s="102">
        <f t="shared" si="1910"/>
        <v>3660000</v>
      </c>
      <c r="H3807" s="690" t="s">
        <v>173</v>
      </c>
      <c r="I3807" s="71" t="s">
        <v>2184</v>
      </c>
      <c r="J3807" s="53">
        <f>G3807-T3807</f>
        <v>2664000</v>
      </c>
      <c r="K3807" s="63">
        <f t="shared" si="1915"/>
        <v>0.72786885245901634</v>
      </c>
      <c r="L3807" s="871" t="s">
        <v>2838</v>
      </c>
      <c r="M3807" s="468" t="s">
        <v>2778</v>
      </c>
      <c r="N3807" s="1192">
        <f t="shared" si="1912"/>
        <v>44252</v>
      </c>
      <c r="O3807" s="71" t="s">
        <v>2897</v>
      </c>
      <c r="P3807" s="164" t="str">
        <f t="shared" si="1913"/>
        <v>UV 램프 - 전선타입(Primarc)</v>
      </c>
      <c r="Q3807" s="71">
        <f t="shared" si="1893"/>
        <v>6</v>
      </c>
      <c r="R3807" s="102">
        <v>166000</v>
      </c>
      <c r="S3807" s="102">
        <f t="shared" si="1902"/>
        <v>1095600</v>
      </c>
      <c r="T3807" s="102">
        <f t="shared" si="1903"/>
        <v>996000</v>
      </c>
      <c r="U3807" s="71" t="str">
        <f t="shared" si="1914"/>
        <v>X</v>
      </c>
      <c r="V3807" s="71"/>
      <c r="W3807" s="474"/>
      <c r="X3807" s="71"/>
      <c r="Y3807" s="71"/>
    </row>
    <row r="3808" spans="1:25" ht="30" hidden="1" customHeight="1" x14ac:dyDescent="0.2">
      <c r="A3808" s="1145">
        <v>44252</v>
      </c>
      <c r="B3808" s="664" t="s">
        <v>545</v>
      </c>
      <c r="C3808" s="71" t="s">
        <v>2729</v>
      </c>
      <c r="D3808" s="71">
        <v>2</v>
      </c>
      <c r="E3808" s="102">
        <v>610000</v>
      </c>
      <c r="F3808" s="163">
        <f t="shared" si="1909"/>
        <v>1342000</v>
      </c>
      <c r="G3808" s="102">
        <f t="shared" si="1910"/>
        <v>1220000</v>
      </c>
      <c r="H3808" s="690" t="s">
        <v>173</v>
      </c>
      <c r="I3808" s="71" t="s">
        <v>2184</v>
      </c>
      <c r="J3808" s="53">
        <f>G3808-T3808</f>
        <v>465095.76799999992</v>
      </c>
      <c r="K3808" s="63">
        <f t="shared" si="1915"/>
        <v>0.38122603934426225</v>
      </c>
      <c r="L3808" s="871" t="s">
        <v>2838</v>
      </c>
      <c r="M3808" s="468" t="s">
        <v>2776</v>
      </c>
      <c r="N3808" s="1192">
        <f t="shared" si="1912"/>
        <v>44252</v>
      </c>
      <c r="O3808" s="71" t="s">
        <v>1458</v>
      </c>
      <c r="P3808" s="164" t="str">
        <f t="shared" si="1913"/>
        <v>UV 램프 - 똑딱이타입(Honle)</v>
      </c>
      <c r="Q3808" s="71">
        <f t="shared" si="1893"/>
        <v>2</v>
      </c>
      <c r="R3808" s="102">
        <f>3494927/10*1.08</f>
        <v>377452.11600000004</v>
      </c>
      <c r="S3808" s="102">
        <f t="shared" si="1902"/>
        <v>830394.65520000015</v>
      </c>
      <c r="T3808" s="102">
        <f t="shared" si="1903"/>
        <v>754904.23200000008</v>
      </c>
      <c r="U3808" s="71" t="str">
        <f t="shared" si="1914"/>
        <v>X</v>
      </c>
      <c r="V3808" s="71"/>
      <c r="W3808" s="474"/>
      <c r="X3808" s="71"/>
      <c r="Y3808" s="71"/>
    </row>
    <row r="3809" spans="1:25" ht="30" hidden="1" customHeight="1" x14ac:dyDescent="0.2">
      <c r="A3809" s="1145">
        <v>44252</v>
      </c>
      <c r="B3809" s="663" t="s">
        <v>545</v>
      </c>
      <c r="C3809" s="73" t="s">
        <v>2853</v>
      </c>
      <c r="D3809" s="73">
        <v>1</v>
      </c>
      <c r="E3809" s="147">
        <v>100000</v>
      </c>
      <c r="F3809" s="163">
        <f t="shared" ref="F3809:F3814" si="1916">(E3809*D3809)*1.1</f>
        <v>110000.00000000001</v>
      </c>
      <c r="G3809" s="102">
        <f t="shared" ref="G3809:G3814" si="1917">(E3809*D3809)</f>
        <v>100000</v>
      </c>
      <c r="H3809" s="689" t="s">
        <v>173</v>
      </c>
      <c r="I3809" s="71" t="s">
        <v>2231</v>
      </c>
      <c r="J3809" s="53">
        <f>G3809-T3809</f>
        <v>50000</v>
      </c>
      <c r="K3809" s="63">
        <f t="shared" si="1915"/>
        <v>0.49999999999999994</v>
      </c>
      <c r="L3809" s="871" t="s">
        <v>2838</v>
      </c>
      <c r="M3809" s="584"/>
      <c r="N3809" s="1192">
        <f t="shared" si="1912"/>
        <v>44252</v>
      </c>
      <c r="O3809" s="73" t="s">
        <v>2855</v>
      </c>
      <c r="P3809" s="164" t="str">
        <f t="shared" si="1913"/>
        <v>아스테이지 일반용</v>
      </c>
      <c r="Q3809" s="71">
        <f t="shared" si="1893"/>
        <v>1</v>
      </c>
      <c r="R3809" s="147">
        <v>50000</v>
      </c>
      <c r="S3809" s="102">
        <f t="shared" si="1902"/>
        <v>55000.000000000007</v>
      </c>
      <c r="T3809" s="102">
        <f t="shared" si="1903"/>
        <v>50000</v>
      </c>
      <c r="U3809" s="71" t="str">
        <f t="shared" si="1914"/>
        <v>X</v>
      </c>
      <c r="V3809" s="73"/>
      <c r="W3809" s="473">
        <v>30000</v>
      </c>
      <c r="X3809" s="73"/>
      <c r="Y3809" s="73"/>
    </row>
    <row r="3810" spans="1:25" ht="30" hidden="1" customHeight="1" x14ac:dyDescent="0.2">
      <c r="A3810" s="1145">
        <v>44252</v>
      </c>
      <c r="B3810" s="663" t="s">
        <v>545</v>
      </c>
      <c r="C3810" s="73" t="s">
        <v>2854</v>
      </c>
      <c r="D3810" s="73">
        <v>1</v>
      </c>
      <c r="E3810" s="147">
        <v>100000</v>
      </c>
      <c r="F3810" s="163">
        <f t="shared" si="1916"/>
        <v>110000.00000000001</v>
      </c>
      <c r="G3810" s="102">
        <f t="shared" si="1917"/>
        <v>100000</v>
      </c>
      <c r="H3810" s="689" t="s">
        <v>173</v>
      </c>
      <c r="I3810" s="71" t="s">
        <v>2231</v>
      </c>
      <c r="J3810" s="53">
        <f>G3810-T3810</f>
        <v>45000</v>
      </c>
      <c r="K3810" s="63">
        <f t="shared" si="1915"/>
        <v>0.44999999999999996</v>
      </c>
      <c r="L3810" s="871" t="s">
        <v>2838</v>
      </c>
      <c r="M3810" s="584"/>
      <c r="N3810" s="1192">
        <f t="shared" si="1912"/>
        <v>44252</v>
      </c>
      <c r="O3810" s="73" t="s">
        <v>2855</v>
      </c>
      <c r="P3810" s="164" t="str">
        <f t="shared" si="1913"/>
        <v>아스테이지 UV용</v>
      </c>
      <c r="Q3810" s="71">
        <f t="shared" si="1893"/>
        <v>1</v>
      </c>
      <c r="R3810" s="147">
        <v>55000</v>
      </c>
      <c r="S3810" s="102">
        <f t="shared" si="1902"/>
        <v>60500.000000000007</v>
      </c>
      <c r="T3810" s="102">
        <f t="shared" si="1903"/>
        <v>55000</v>
      </c>
      <c r="U3810" s="71" t="str">
        <f t="shared" si="1914"/>
        <v>X</v>
      </c>
      <c r="V3810" s="73"/>
      <c r="W3810" s="473">
        <v>30000</v>
      </c>
      <c r="X3810" s="73"/>
      <c r="Y3810" s="73"/>
    </row>
    <row r="3811" spans="1:25" s="209" customFormat="1" ht="30" hidden="1" customHeight="1" x14ac:dyDescent="0.2">
      <c r="A3811" s="1145">
        <v>44253</v>
      </c>
      <c r="B3811" s="664" t="s">
        <v>764</v>
      </c>
      <c r="C3811" s="71" t="s">
        <v>236</v>
      </c>
      <c r="D3811" s="71">
        <v>10</v>
      </c>
      <c r="E3811" s="102">
        <v>100000</v>
      </c>
      <c r="F3811" s="163">
        <f t="shared" si="1916"/>
        <v>1100000</v>
      </c>
      <c r="G3811" s="102">
        <f t="shared" si="1917"/>
        <v>1000000</v>
      </c>
      <c r="H3811" s="690" t="s">
        <v>173</v>
      </c>
      <c r="I3811" s="71" t="s">
        <v>2231</v>
      </c>
      <c r="J3811" s="53">
        <f>G3811-T3811</f>
        <v>500000</v>
      </c>
      <c r="K3811" s="63">
        <f t="shared" si="1915"/>
        <v>0.5</v>
      </c>
      <c r="L3811" s="871" t="s">
        <v>2838</v>
      </c>
      <c r="M3811" s="468"/>
      <c r="N3811" s="1192">
        <f t="shared" si="1912"/>
        <v>44253</v>
      </c>
      <c r="O3811" s="71" t="s">
        <v>153</v>
      </c>
      <c r="P3811" s="164" t="str">
        <f t="shared" si="1913"/>
        <v>아스테이지(국전)</v>
      </c>
      <c r="Q3811" s="71">
        <f t="shared" si="1893"/>
        <v>10</v>
      </c>
      <c r="R3811" s="102">
        <v>50000</v>
      </c>
      <c r="S3811" s="102">
        <f t="shared" si="1902"/>
        <v>550000</v>
      </c>
      <c r="T3811" s="102">
        <f t="shared" si="1903"/>
        <v>500000</v>
      </c>
      <c r="U3811" s="71" t="str">
        <f t="shared" si="1914"/>
        <v>O</v>
      </c>
      <c r="V3811" s="71"/>
      <c r="W3811" s="474">
        <v>500000</v>
      </c>
      <c r="X3811" s="71"/>
      <c r="Y3811" s="71"/>
    </row>
    <row r="3812" spans="1:25" ht="30" hidden="1" customHeight="1" x14ac:dyDescent="0.25">
      <c r="A3812" s="1145">
        <v>44253</v>
      </c>
      <c r="B3812" s="664" t="s">
        <v>2858</v>
      </c>
      <c r="C3812" s="71" t="s">
        <v>2839</v>
      </c>
      <c r="D3812" s="71">
        <v>1</v>
      </c>
      <c r="E3812" s="102">
        <v>940000</v>
      </c>
      <c r="F3812" s="102">
        <f t="shared" si="1916"/>
        <v>1034000.0000000001</v>
      </c>
      <c r="G3812" s="102">
        <f t="shared" si="1917"/>
        <v>940000</v>
      </c>
      <c r="H3812" s="690" t="s">
        <v>985</v>
      </c>
      <c r="I3812" s="71" t="s">
        <v>985</v>
      </c>
      <c r="J3812" s="53">
        <v>0</v>
      </c>
      <c r="K3812" s="63">
        <v>0</v>
      </c>
      <c r="L3812" s="871" t="s">
        <v>2838</v>
      </c>
      <c r="M3812" s="468"/>
      <c r="N3812" s="1192">
        <f t="shared" si="1912"/>
        <v>44253</v>
      </c>
      <c r="O3812" s="71"/>
      <c r="P3812" s="164" t="str">
        <f t="shared" si="1913"/>
        <v>프린피아 윤전기 점검 보상건</v>
      </c>
      <c r="Q3812" s="71">
        <f t="shared" si="1893"/>
        <v>1</v>
      </c>
      <c r="R3812" s="102"/>
      <c r="S3812" s="102">
        <f t="shared" si="1902"/>
        <v>0</v>
      </c>
      <c r="T3812" s="102">
        <f t="shared" si="1903"/>
        <v>0</v>
      </c>
      <c r="U3812" s="71"/>
      <c r="V3812" s="71"/>
      <c r="W3812" s="474"/>
      <c r="X3812" s="71"/>
      <c r="Y3812" s="71"/>
    </row>
    <row r="3813" spans="1:25" ht="30" customHeight="1" x14ac:dyDescent="0.2">
      <c r="A3813" s="1145">
        <v>44253</v>
      </c>
      <c r="B3813" s="664" t="s">
        <v>565</v>
      </c>
      <c r="C3813" s="71" t="s">
        <v>2081</v>
      </c>
      <c r="D3813" s="71">
        <v>60</v>
      </c>
      <c r="E3813" s="102">
        <v>69000</v>
      </c>
      <c r="F3813" s="102">
        <f t="shared" si="1916"/>
        <v>4554000</v>
      </c>
      <c r="G3813" s="102">
        <f t="shared" si="1917"/>
        <v>4140000</v>
      </c>
      <c r="H3813" s="165" t="s">
        <v>173</v>
      </c>
      <c r="I3813" s="71" t="s">
        <v>108</v>
      </c>
      <c r="J3813" s="53">
        <f t="shared" ref="J3813:J3833" si="1918">G3813-T3813</f>
        <v>2340000</v>
      </c>
      <c r="K3813" s="63">
        <f>(J3813/(F3813/11*10))</f>
        <v>0.56521739130434778</v>
      </c>
      <c r="L3813" s="871" t="s">
        <v>2838</v>
      </c>
      <c r="M3813" s="468"/>
      <c r="N3813" s="1192">
        <f t="shared" si="1912"/>
        <v>44253</v>
      </c>
      <c r="O3813" s="71" t="s">
        <v>939</v>
      </c>
      <c r="P3813" s="164" t="str">
        <f t="shared" si="1913"/>
        <v>GOSS 신문윤전 습식세정포</v>
      </c>
      <c r="Q3813" s="71">
        <f t="shared" si="1893"/>
        <v>60</v>
      </c>
      <c r="R3813" s="102">
        <v>30000</v>
      </c>
      <c r="S3813" s="102">
        <f t="shared" si="1902"/>
        <v>1980000.0000000002</v>
      </c>
      <c r="T3813" s="102">
        <f t="shared" si="1903"/>
        <v>1800000</v>
      </c>
      <c r="U3813" s="71" t="str">
        <f>IF(J3813=W3813,"O", "X")</f>
        <v>X</v>
      </c>
      <c r="V3813" s="71"/>
      <c r="W3813" s="474"/>
      <c r="X3813" s="71"/>
      <c r="Y3813" s="71"/>
    </row>
    <row r="3814" spans="1:25" ht="30" hidden="1" customHeight="1" x14ac:dyDescent="0.2">
      <c r="A3814" s="1145">
        <v>44253</v>
      </c>
      <c r="B3814" s="664" t="s">
        <v>2103</v>
      </c>
      <c r="C3814" s="71" t="s">
        <v>2378</v>
      </c>
      <c r="D3814" s="71">
        <v>1525</v>
      </c>
      <c r="E3814" s="102">
        <v>1000</v>
      </c>
      <c r="F3814" s="102">
        <f t="shared" si="1916"/>
        <v>1677500.0000000002</v>
      </c>
      <c r="G3814" s="102">
        <f t="shared" si="1917"/>
        <v>1525000</v>
      </c>
      <c r="H3814" s="165" t="s">
        <v>173</v>
      </c>
      <c r="I3814" s="71" t="s">
        <v>2231</v>
      </c>
      <c r="J3814" s="53">
        <f t="shared" si="1918"/>
        <v>1525000</v>
      </c>
      <c r="K3814" s="63">
        <f>(J3814/(F3814/11*10))</f>
        <v>0.99999999999999989</v>
      </c>
      <c r="L3814" s="871" t="s">
        <v>2838</v>
      </c>
      <c r="M3814" s="468"/>
      <c r="N3814" s="1192">
        <f t="shared" si="1912"/>
        <v>44253</v>
      </c>
      <c r="O3814" s="71" t="s">
        <v>690</v>
      </c>
      <c r="P3814" s="164" t="str">
        <f t="shared" si="1913"/>
        <v>폐판 수거</v>
      </c>
      <c r="Q3814" s="71">
        <f t="shared" si="1893"/>
        <v>1525</v>
      </c>
      <c r="R3814" s="102"/>
      <c r="S3814" s="102">
        <f t="shared" si="1902"/>
        <v>0</v>
      </c>
      <c r="T3814" s="102">
        <f t="shared" si="1903"/>
        <v>0</v>
      </c>
      <c r="U3814" s="71"/>
      <c r="V3814" s="71"/>
      <c r="W3814" s="474"/>
      <c r="X3814" s="71"/>
      <c r="Y3814" s="71"/>
    </row>
    <row r="3815" spans="1:25" ht="30" hidden="1" customHeight="1" x14ac:dyDescent="0.25">
      <c r="A3815" s="1145">
        <v>44254</v>
      </c>
      <c r="B3815" s="664" t="s">
        <v>545</v>
      </c>
      <c r="C3815" s="71" t="s">
        <v>952</v>
      </c>
      <c r="D3815" s="71">
        <v>1</v>
      </c>
      <c r="E3815" s="102">
        <v>630000</v>
      </c>
      <c r="F3815" s="102">
        <f>(E3815*D3815)*1.1</f>
        <v>693000</v>
      </c>
      <c r="G3815" s="102">
        <f>(E3815*D3815)</f>
        <v>630000</v>
      </c>
      <c r="H3815" s="690" t="s">
        <v>173</v>
      </c>
      <c r="I3815" s="71" t="s">
        <v>108</v>
      </c>
      <c r="J3815" s="53">
        <f t="shared" si="1918"/>
        <v>190000</v>
      </c>
      <c r="K3815" s="63">
        <f>(J3815/(F3815/11*10))</f>
        <v>0.30158730158730157</v>
      </c>
      <c r="L3815" s="871" t="s">
        <v>2838</v>
      </c>
      <c r="M3815" s="468"/>
      <c r="N3815" s="1192">
        <f t="shared" si="1912"/>
        <v>44254</v>
      </c>
      <c r="O3815" s="71" t="s">
        <v>599</v>
      </c>
      <c r="P3815" s="164" t="str">
        <f t="shared" si="1913"/>
        <v>점보롤 세정포</v>
      </c>
      <c r="Q3815" s="71">
        <f t="shared" si="1893"/>
        <v>1</v>
      </c>
      <c r="R3815" s="102">
        <v>440000</v>
      </c>
      <c r="S3815" s="102">
        <f t="shared" si="1902"/>
        <v>484000.00000000006</v>
      </c>
      <c r="T3815" s="102">
        <f t="shared" si="1903"/>
        <v>440000</v>
      </c>
      <c r="U3815" s="71" t="str">
        <f t="shared" ref="U3815:U3832" si="1919">IF(J3815=W3815,"O", "X")</f>
        <v>O</v>
      </c>
      <c r="V3815" s="71" t="s">
        <v>1228</v>
      </c>
      <c r="W3815" s="474">
        <f t="shared" ref="W3815:W3832" si="1920">(G3815-T3815)</f>
        <v>190000</v>
      </c>
      <c r="X3815" s="71"/>
      <c r="Y3815" s="71"/>
    </row>
    <row r="3816" spans="1:25" ht="30" hidden="1" customHeight="1" x14ac:dyDescent="0.25">
      <c r="A3816" s="1145">
        <v>44255</v>
      </c>
      <c r="B3816" s="664" t="s">
        <v>1051</v>
      </c>
      <c r="C3816" s="71" t="s">
        <v>1294</v>
      </c>
      <c r="D3816" s="71">
        <v>1900</v>
      </c>
      <c r="E3816" s="102">
        <v>5640</v>
      </c>
      <c r="F3816" s="102">
        <f t="shared" ref="F3816:F3832" si="1921">(E3816*D3816)*1.1</f>
        <v>11787600.000000002</v>
      </c>
      <c r="G3816" s="102">
        <f t="shared" ref="G3816:G3832" si="1922">(E3816*D3816)</f>
        <v>10716000</v>
      </c>
      <c r="H3816" s="690" t="s">
        <v>142</v>
      </c>
      <c r="I3816" s="71" t="s">
        <v>2273</v>
      </c>
      <c r="J3816" s="53">
        <f t="shared" si="1918"/>
        <v>2736000</v>
      </c>
      <c r="K3816" s="63">
        <f t="shared" ref="K3816:K3832" si="1923">(J3816/(F3816/11*10))</f>
        <v>0.25531914893617019</v>
      </c>
      <c r="L3816" s="871" t="s">
        <v>2838</v>
      </c>
      <c r="M3816" s="468"/>
      <c r="N3816" s="1192">
        <f t="shared" si="1912"/>
        <v>44255</v>
      </c>
      <c r="O3816" s="71" t="s">
        <v>145</v>
      </c>
      <c r="P3816" s="164" t="str">
        <f t="shared" si="1913"/>
        <v>ENGAGE 1030*790</v>
      </c>
      <c r="Q3816" s="71">
        <f t="shared" si="1893"/>
        <v>1900</v>
      </c>
      <c r="R3816" s="102">
        <v>4200</v>
      </c>
      <c r="S3816" s="102">
        <f t="shared" si="1902"/>
        <v>8778000</v>
      </c>
      <c r="T3816" s="102">
        <f t="shared" si="1903"/>
        <v>7980000</v>
      </c>
      <c r="U3816" s="71" t="str">
        <f t="shared" si="1919"/>
        <v>O</v>
      </c>
      <c r="V3816" s="71"/>
      <c r="W3816" s="474">
        <f t="shared" si="1920"/>
        <v>2736000</v>
      </c>
      <c r="X3816" s="71"/>
      <c r="Y3816" s="71"/>
    </row>
    <row r="3817" spans="1:25" ht="30" hidden="1" customHeight="1" x14ac:dyDescent="0.25">
      <c r="A3817" s="1145">
        <v>44255</v>
      </c>
      <c r="B3817" s="664" t="s">
        <v>1051</v>
      </c>
      <c r="C3817" s="71" t="s">
        <v>1384</v>
      </c>
      <c r="D3817" s="71">
        <v>2100</v>
      </c>
      <c r="E3817" s="102">
        <v>3550</v>
      </c>
      <c r="F3817" s="102">
        <f t="shared" si="1921"/>
        <v>8200500.0000000009</v>
      </c>
      <c r="G3817" s="102">
        <f t="shared" si="1922"/>
        <v>7455000</v>
      </c>
      <c r="H3817" s="690" t="s">
        <v>142</v>
      </c>
      <c r="I3817" s="71" t="s">
        <v>2273</v>
      </c>
      <c r="J3817" s="53">
        <f t="shared" si="1918"/>
        <v>1884644.8322477574</v>
      </c>
      <c r="K3817" s="63">
        <f t="shared" si="1923"/>
        <v>0.25280279439943087</v>
      </c>
      <c r="L3817" s="871" t="s">
        <v>2838</v>
      </c>
      <c r="M3817" s="468"/>
      <c r="N3817" s="1192">
        <f t="shared" si="1912"/>
        <v>44255</v>
      </c>
      <c r="O3817" s="71" t="s">
        <v>145</v>
      </c>
      <c r="P3817" s="164" t="str">
        <f t="shared" si="1913"/>
        <v>ENGAGE 900X571 - 27RO</v>
      </c>
      <c r="Q3817" s="71">
        <f t="shared" ref="Q3817:Q3834" si="1924">D3817</f>
        <v>2100</v>
      </c>
      <c r="R3817" s="102">
        <f>R3816/1030/790*900*571</f>
        <v>2652.5500798820203</v>
      </c>
      <c r="S3817" s="102">
        <f t="shared" ref="S3817:S3834" si="1925">R3817*Q3817*1.1</f>
        <v>6127390.684527467</v>
      </c>
      <c r="T3817" s="102">
        <f t="shared" ref="T3817:T3834" si="1926">R3817*Q3817</f>
        <v>5570355.1677522426</v>
      </c>
      <c r="U3817" s="71" t="str">
        <f t="shared" si="1919"/>
        <v>O</v>
      </c>
      <c r="V3817" s="71"/>
      <c r="W3817" s="474">
        <f t="shared" si="1920"/>
        <v>1884644.8322477574</v>
      </c>
      <c r="X3817" s="71"/>
      <c r="Y3817" s="71"/>
    </row>
    <row r="3818" spans="1:25" ht="30" hidden="1" customHeight="1" x14ac:dyDescent="0.25">
      <c r="A3818" s="1145">
        <v>44255</v>
      </c>
      <c r="B3818" s="664" t="s">
        <v>1051</v>
      </c>
      <c r="C3818" s="71" t="s">
        <v>951</v>
      </c>
      <c r="D3818" s="71">
        <v>3100</v>
      </c>
      <c r="E3818" s="102">
        <v>3380</v>
      </c>
      <c r="F3818" s="102">
        <f t="shared" si="1921"/>
        <v>11525800</v>
      </c>
      <c r="G3818" s="102">
        <f t="shared" si="1922"/>
        <v>10478000</v>
      </c>
      <c r="H3818" s="690" t="s">
        <v>142</v>
      </c>
      <c r="I3818" s="71" t="s">
        <v>2273</v>
      </c>
      <c r="J3818" s="53">
        <f t="shared" si="1918"/>
        <v>2678864.7904633153</v>
      </c>
      <c r="K3818" s="63">
        <f t="shared" si="1923"/>
        <v>0.25566566047559797</v>
      </c>
      <c r="L3818" s="871" t="s">
        <v>2838</v>
      </c>
      <c r="M3818" s="468"/>
      <c r="N3818" s="1192">
        <f t="shared" si="1912"/>
        <v>44255</v>
      </c>
      <c r="O3818" s="71" t="s">
        <v>145</v>
      </c>
      <c r="P3818" s="164" t="str">
        <f t="shared" si="1913"/>
        <v>ENGAGE 30WEB(883*552)</v>
      </c>
      <c r="Q3818" s="71">
        <f t="shared" si="1924"/>
        <v>3100</v>
      </c>
      <c r="R3818" s="102">
        <f>R3816/1030/790*883*552</f>
        <v>2515.8500675924788</v>
      </c>
      <c r="S3818" s="102">
        <f t="shared" si="1925"/>
        <v>8579048.730490353</v>
      </c>
      <c r="T3818" s="102">
        <f t="shared" si="1926"/>
        <v>7799135.2095366847</v>
      </c>
      <c r="U3818" s="71" t="str">
        <f t="shared" si="1919"/>
        <v>O</v>
      </c>
      <c r="V3818" s="71"/>
      <c r="W3818" s="474">
        <f t="shared" si="1920"/>
        <v>2678864.7904633153</v>
      </c>
      <c r="X3818" s="71"/>
      <c r="Y3818" s="71"/>
    </row>
    <row r="3819" spans="1:25" ht="30" hidden="1" customHeight="1" x14ac:dyDescent="0.25">
      <c r="A3819" s="1145">
        <v>44255</v>
      </c>
      <c r="B3819" s="664" t="s">
        <v>1051</v>
      </c>
      <c r="C3819" s="71" t="s">
        <v>2219</v>
      </c>
      <c r="D3819" s="71">
        <v>900</v>
      </c>
      <c r="E3819" s="102">
        <v>5710</v>
      </c>
      <c r="F3819" s="102">
        <f t="shared" si="1921"/>
        <v>5652900</v>
      </c>
      <c r="G3819" s="102">
        <f t="shared" si="1922"/>
        <v>5139000</v>
      </c>
      <c r="H3819" s="690" t="s">
        <v>142</v>
      </c>
      <c r="I3819" s="71" t="s">
        <v>2273</v>
      </c>
      <c r="J3819" s="53">
        <f t="shared" si="1918"/>
        <v>1311151.8987341775</v>
      </c>
      <c r="K3819" s="63">
        <f t="shared" si="1923"/>
        <v>0.25513755569841945</v>
      </c>
      <c r="L3819" s="871" t="s">
        <v>2838</v>
      </c>
      <c r="M3819" s="468"/>
      <c r="N3819" s="1192">
        <f t="shared" si="1912"/>
        <v>44255</v>
      </c>
      <c r="O3819" s="71" t="s">
        <v>145</v>
      </c>
      <c r="P3819" s="164" t="str">
        <f t="shared" si="1913"/>
        <v>ENGAGE 1030*800</v>
      </c>
      <c r="Q3819" s="71">
        <f t="shared" si="1924"/>
        <v>900</v>
      </c>
      <c r="R3819" s="102">
        <f>R3816/1030/790*1030*800</f>
        <v>4253.164556962025</v>
      </c>
      <c r="S3819" s="102">
        <f t="shared" si="1925"/>
        <v>4210632.9113924047</v>
      </c>
      <c r="T3819" s="102">
        <f t="shared" si="1926"/>
        <v>3827848.1012658225</v>
      </c>
      <c r="U3819" s="71" t="str">
        <f t="shared" si="1919"/>
        <v>O</v>
      </c>
      <c r="V3819" s="71"/>
      <c r="W3819" s="474">
        <f t="shared" si="1920"/>
        <v>1311151.8987341775</v>
      </c>
      <c r="X3819" s="71"/>
      <c r="Y3819" s="71"/>
    </row>
    <row r="3820" spans="1:25" ht="30" hidden="1" customHeight="1" x14ac:dyDescent="0.25">
      <c r="A3820" s="1145">
        <v>44255</v>
      </c>
      <c r="B3820" s="664" t="s">
        <v>1051</v>
      </c>
      <c r="C3820" s="71" t="s">
        <v>1383</v>
      </c>
      <c r="D3820" s="71">
        <v>1550</v>
      </c>
      <c r="E3820" s="102">
        <v>5920</v>
      </c>
      <c r="F3820" s="102">
        <f t="shared" si="1921"/>
        <v>10093600</v>
      </c>
      <c r="G3820" s="102">
        <f t="shared" si="1922"/>
        <v>9176000</v>
      </c>
      <c r="H3820" s="690" t="s">
        <v>142</v>
      </c>
      <c r="I3820" s="71" t="s">
        <v>2273</v>
      </c>
      <c r="J3820" s="53">
        <f t="shared" si="1918"/>
        <v>2330739.4002703708</v>
      </c>
      <c r="K3820" s="63">
        <f t="shared" si="1923"/>
        <v>0.25400385791961322</v>
      </c>
      <c r="L3820" s="871" t="s">
        <v>2838</v>
      </c>
      <c r="M3820" s="468"/>
      <c r="N3820" s="1192">
        <f t="shared" si="1912"/>
        <v>44255</v>
      </c>
      <c r="O3820" s="71" t="s">
        <v>145</v>
      </c>
      <c r="P3820" s="164" t="str">
        <f t="shared" si="1913"/>
        <v>ENGAGE 1055*811</v>
      </c>
      <c r="Q3820" s="71">
        <f t="shared" si="1924"/>
        <v>1550</v>
      </c>
      <c r="R3820" s="102">
        <f>R3816/1030/790*1055*811</f>
        <v>4416.29716111589</v>
      </c>
      <c r="S3820" s="102">
        <f t="shared" si="1925"/>
        <v>7529786.6597025925</v>
      </c>
      <c r="T3820" s="102">
        <f t="shared" si="1926"/>
        <v>6845260.5997296292</v>
      </c>
      <c r="U3820" s="71" t="str">
        <f t="shared" si="1919"/>
        <v>O</v>
      </c>
      <c r="V3820" s="71"/>
      <c r="W3820" s="474">
        <f t="shared" si="1920"/>
        <v>2330739.4002703708</v>
      </c>
      <c r="X3820" s="71"/>
      <c r="Y3820" s="71"/>
    </row>
    <row r="3821" spans="1:25" ht="30" hidden="1" customHeight="1" x14ac:dyDescent="0.25">
      <c r="A3821" s="1145">
        <v>44255</v>
      </c>
      <c r="B3821" s="664" t="s">
        <v>1051</v>
      </c>
      <c r="C3821" s="71" t="s">
        <v>1650</v>
      </c>
      <c r="D3821" s="71">
        <v>1700</v>
      </c>
      <c r="E3821" s="102">
        <v>4230</v>
      </c>
      <c r="F3821" s="102">
        <f t="shared" si="1921"/>
        <v>7910100.0000000009</v>
      </c>
      <c r="G3821" s="102">
        <f t="shared" si="1922"/>
        <v>7191000</v>
      </c>
      <c r="H3821" s="690" t="s">
        <v>142</v>
      </c>
      <c r="I3821" s="71" t="s">
        <v>2273</v>
      </c>
      <c r="J3821" s="53">
        <f t="shared" si="1918"/>
        <v>1831323.0674695838</v>
      </c>
      <c r="K3821" s="63">
        <f t="shared" si="1923"/>
        <v>0.2546687619899296</v>
      </c>
      <c r="L3821" s="871" t="s">
        <v>2838</v>
      </c>
      <c r="M3821" s="468"/>
      <c r="N3821" s="1192">
        <f t="shared" si="1912"/>
        <v>44255</v>
      </c>
      <c r="O3821" s="71" t="s">
        <v>145</v>
      </c>
      <c r="P3821" s="164" t="str">
        <f t="shared" si="1913"/>
        <v>ENGAGE 968*631</v>
      </c>
      <c r="Q3821" s="71">
        <f t="shared" si="1924"/>
        <v>1700</v>
      </c>
      <c r="R3821" s="102">
        <f>R3816/1030/790*968*631</f>
        <v>3152.7511367825978</v>
      </c>
      <c r="S3821" s="102">
        <f t="shared" si="1925"/>
        <v>5895644.6257834584</v>
      </c>
      <c r="T3821" s="102">
        <f t="shared" si="1926"/>
        <v>5359676.9325304162</v>
      </c>
      <c r="U3821" s="71" t="str">
        <f t="shared" si="1919"/>
        <v>O</v>
      </c>
      <c r="V3821" s="71"/>
      <c r="W3821" s="474">
        <f t="shared" si="1920"/>
        <v>1831323.0674695838</v>
      </c>
      <c r="X3821" s="71"/>
      <c r="Y3821" s="71"/>
    </row>
    <row r="3822" spans="1:25" ht="30" hidden="1" customHeight="1" x14ac:dyDescent="0.25">
      <c r="A3822" s="1145">
        <v>44255</v>
      </c>
      <c r="B3822" s="664" t="s">
        <v>1051</v>
      </c>
      <c r="C3822" s="71" t="s">
        <v>2619</v>
      </c>
      <c r="D3822" s="71"/>
      <c r="E3822" s="102">
        <v>6230</v>
      </c>
      <c r="F3822" s="102">
        <f t="shared" si="1921"/>
        <v>0</v>
      </c>
      <c r="G3822" s="102">
        <f t="shared" si="1922"/>
        <v>0</v>
      </c>
      <c r="H3822" s="690" t="s">
        <v>142</v>
      </c>
      <c r="I3822" s="71" t="s">
        <v>2273</v>
      </c>
      <c r="J3822" s="53">
        <f t="shared" si="1918"/>
        <v>0</v>
      </c>
      <c r="K3822" s="63" t="e">
        <f t="shared" si="1923"/>
        <v>#DIV/0!</v>
      </c>
      <c r="L3822" s="871" t="s">
        <v>2838</v>
      </c>
      <c r="M3822" s="468"/>
      <c r="N3822" s="1192">
        <f t="shared" si="1912"/>
        <v>44255</v>
      </c>
      <c r="O3822" s="71" t="s">
        <v>145</v>
      </c>
      <c r="P3822" s="164" t="str">
        <f t="shared" si="1913"/>
        <v>ENGAGE 1092*800</v>
      </c>
      <c r="Q3822" s="71">
        <f t="shared" si="1924"/>
        <v>0</v>
      </c>
      <c r="R3822" s="102">
        <v>5510</v>
      </c>
      <c r="S3822" s="102">
        <f t="shared" si="1925"/>
        <v>0</v>
      </c>
      <c r="T3822" s="102">
        <f t="shared" si="1926"/>
        <v>0</v>
      </c>
      <c r="U3822" s="71" t="str">
        <f t="shared" si="1919"/>
        <v>O</v>
      </c>
      <c r="V3822" s="71"/>
      <c r="W3822" s="474">
        <f t="shared" si="1920"/>
        <v>0</v>
      </c>
      <c r="X3822" s="71"/>
      <c r="Y3822" s="71"/>
    </row>
    <row r="3823" spans="1:25" ht="30" hidden="1" customHeight="1" x14ac:dyDescent="0.25">
      <c r="A3823" s="1145">
        <v>44255</v>
      </c>
      <c r="B3823" s="664" t="s">
        <v>1051</v>
      </c>
      <c r="C3823" s="67" t="s">
        <v>1386</v>
      </c>
      <c r="D3823" s="71">
        <v>55</v>
      </c>
      <c r="E3823" s="102">
        <v>52000</v>
      </c>
      <c r="F3823" s="102">
        <f t="shared" si="1921"/>
        <v>3146000.0000000005</v>
      </c>
      <c r="G3823" s="102">
        <f t="shared" si="1922"/>
        <v>2860000</v>
      </c>
      <c r="H3823" s="690" t="s">
        <v>142</v>
      </c>
      <c r="I3823" s="71" t="s">
        <v>2273</v>
      </c>
      <c r="J3823" s="53">
        <f t="shared" si="1918"/>
        <v>935000</v>
      </c>
      <c r="K3823" s="63">
        <f t="shared" si="1923"/>
        <v>0.32692307692307687</v>
      </c>
      <c r="L3823" s="871" t="s">
        <v>2838</v>
      </c>
      <c r="M3823" s="468"/>
      <c r="N3823" s="1192">
        <f t="shared" si="1912"/>
        <v>44255</v>
      </c>
      <c r="O3823" s="71" t="s">
        <v>145</v>
      </c>
      <c r="P3823" s="164" t="str">
        <f t="shared" si="1913"/>
        <v>THR200(20L)보충액</v>
      </c>
      <c r="Q3823" s="71">
        <f t="shared" si="1924"/>
        <v>55</v>
      </c>
      <c r="R3823" s="102">
        <v>35000</v>
      </c>
      <c r="S3823" s="102">
        <f t="shared" si="1925"/>
        <v>2117500</v>
      </c>
      <c r="T3823" s="102">
        <f t="shared" si="1926"/>
        <v>1925000</v>
      </c>
      <c r="U3823" s="71" t="str">
        <f t="shared" si="1919"/>
        <v>O</v>
      </c>
      <c r="V3823" s="71"/>
      <c r="W3823" s="474">
        <f t="shared" si="1920"/>
        <v>935000</v>
      </c>
      <c r="X3823" s="71"/>
      <c r="Y3823" s="71"/>
    </row>
    <row r="3824" spans="1:25" ht="30" hidden="1" customHeight="1" x14ac:dyDescent="0.25">
      <c r="A3824" s="1145">
        <v>44255</v>
      </c>
      <c r="B3824" s="664" t="s">
        <v>1051</v>
      </c>
      <c r="C3824" s="71" t="s">
        <v>1387</v>
      </c>
      <c r="D3824" s="71">
        <v>10</v>
      </c>
      <c r="E3824" s="102">
        <v>52000</v>
      </c>
      <c r="F3824" s="102">
        <f t="shared" si="1921"/>
        <v>572000</v>
      </c>
      <c r="G3824" s="102">
        <f t="shared" si="1922"/>
        <v>520000</v>
      </c>
      <c r="H3824" s="690" t="s">
        <v>142</v>
      </c>
      <c r="I3824" s="71" t="s">
        <v>2273</v>
      </c>
      <c r="J3824" s="53">
        <f t="shared" si="1918"/>
        <v>170000</v>
      </c>
      <c r="K3824" s="63">
        <f t="shared" si="1923"/>
        <v>0.32692307692307693</v>
      </c>
      <c r="L3824" s="871" t="s">
        <v>2838</v>
      </c>
      <c r="M3824" s="468"/>
      <c r="N3824" s="1192">
        <f t="shared" si="1912"/>
        <v>44255</v>
      </c>
      <c r="O3824" s="71" t="s">
        <v>145</v>
      </c>
      <c r="P3824" s="164" t="str">
        <f t="shared" si="1913"/>
        <v>THD200(20L)현상액</v>
      </c>
      <c r="Q3824" s="71">
        <f t="shared" si="1924"/>
        <v>10</v>
      </c>
      <c r="R3824" s="102">
        <v>35000</v>
      </c>
      <c r="S3824" s="102">
        <f t="shared" si="1925"/>
        <v>385000.00000000006</v>
      </c>
      <c r="T3824" s="102">
        <f t="shared" si="1926"/>
        <v>350000</v>
      </c>
      <c r="U3824" s="71" t="str">
        <f t="shared" si="1919"/>
        <v>O</v>
      </c>
      <c r="V3824" s="71"/>
      <c r="W3824" s="474">
        <f t="shared" si="1920"/>
        <v>170000</v>
      </c>
      <c r="X3824" s="71"/>
      <c r="Y3824" s="71"/>
    </row>
    <row r="3825" spans="1:25" ht="30" hidden="1" customHeight="1" x14ac:dyDescent="0.25">
      <c r="A3825" s="1145">
        <v>44255</v>
      </c>
      <c r="B3825" s="664" t="s">
        <v>1061</v>
      </c>
      <c r="C3825" s="71" t="s">
        <v>616</v>
      </c>
      <c r="D3825" s="71">
        <v>424</v>
      </c>
      <c r="E3825" s="102">
        <v>5600</v>
      </c>
      <c r="F3825" s="102">
        <f t="shared" si="1921"/>
        <v>2611840</v>
      </c>
      <c r="G3825" s="102">
        <f t="shared" si="1922"/>
        <v>2374400</v>
      </c>
      <c r="H3825" s="690" t="s">
        <v>142</v>
      </c>
      <c r="I3825" s="71" t="s">
        <v>144</v>
      </c>
      <c r="J3825" s="53">
        <f t="shared" si="1918"/>
        <v>216240</v>
      </c>
      <c r="K3825" s="63">
        <f t="shared" si="1923"/>
        <v>9.1071428571428567E-2</v>
      </c>
      <c r="L3825" s="871" t="s">
        <v>2838</v>
      </c>
      <c r="M3825" s="468"/>
      <c r="N3825" s="1192">
        <f t="shared" si="1912"/>
        <v>44255</v>
      </c>
      <c r="O3825" s="71" t="s">
        <v>147</v>
      </c>
      <c r="P3825" s="164" t="str">
        <f t="shared" si="1913"/>
        <v>프리미어(먹)</v>
      </c>
      <c r="Q3825" s="71">
        <f t="shared" si="1924"/>
        <v>424</v>
      </c>
      <c r="R3825" s="102">
        <v>5090</v>
      </c>
      <c r="S3825" s="102">
        <f t="shared" si="1925"/>
        <v>2373976</v>
      </c>
      <c r="T3825" s="102">
        <f t="shared" si="1926"/>
        <v>2158160</v>
      </c>
      <c r="U3825" s="71" t="str">
        <f t="shared" si="1919"/>
        <v>O</v>
      </c>
      <c r="V3825" s="71"/>
      <c r="W3825" s="474">
        <f t="shared" si="1920"/>
        <v>216240</v>
      </c>
      <c r="X3825" s="71"/>
      <c r="Y3825" s="71"/>
    </row>
    <row r="3826" spans="1:25" ht="30" hidden="1" customHeight="1" x14ac:dyDescent="0.25">
      <c r="A3826" s="1145">
        <v>44255</v>
      </c>
      <c r="B3826" s="664" t="s">
        <v>1052</v>
      </c>
      <c r="C3826" s="71" t="s">
        <v>585</v>
      </c>
      <c r="D3826" s="71">
        <v>400</v>
      </c>
      <c r="E3826" s="102">
        <v>6000</v>
      </c>
      <c r="F3826" s="102">
        <f t="shared" si="1921"/>
        <v>2640000</v>
      </c>
      <c r="G3826" s="102">
        <f t="shared" si="1922"/>
        <v>2400000</v>
      </c>
      <c r="H3826" s="690" t="s">
        <v>142</v>
      </c>
      <c r="I3826" s="71" t="s">
        <v>144</v>
      </c>
      <c r="J3826" s="53">
        <f t="shared" si="1918"/>
        <v>220000</v>
      </c>
      <c r="K3826" s="63">
        <f t="shared" si="1923"/>
        <v>9.166666666666666E-2</v>
      </c>
      <c r="L3826" s="871" t="s">
        <v>2838</v>
      </c>
      <c r="M3826" s="468"/>
      <c r="N3826" s="1192">
        <f t="shared" si="1912"/>
        <v>44255</v>
      </c>
      <c r="O3826" s="71" t="s">
        <v>147</v>
      </c>
      <c r="P3826" s="164" t="str">
        <f t="shared" si="1913"/>
        <v>프리미어(적)</v>
      </c>
      <c r="Q3826" s="71">
        <f t="shared" si="1924"/>
        <v>400</v>
      </c>
      <c r="R3826" s="102">
        <v>5450</v>
      </c>
      <c r="S3826" s="102">
        <f t="shared" si="1925"/>
        <v>2398000</v>
      </c>
      <c r="T3826" s="102">
        <f t="shared" si="1926"/>
        <v>2180000</v>
      </c>
      <c r="U3826" s="71" t="str">
        <f t="shared" si="1919"/>
        <v>O</v>
      </c>
      <c r="V3826" s="71"/>
      <c r="W3826" s="474">
        <f t="shared" si="1920"/>
        <v>220000</v>
      </c>
      <c r="X3826" s="71"/>
      <c r="Y3826" s="71"/>
    </row>
    <row r="3827" spans="1:25" ht="30" hidden="1" customHeight="1" x14ac:dyDescent="0.25">
      <c r="A3827" s="1145">
        <v>44255</v>
      </c>
      <c r="B3827" s="664" t="s">
        <v>1061</v>
      </c>
      <c r="C3827" s="71" t="s">
        <v>586</v>
      </c>
      <c r="D3827" s="71">
        <v>600</v>
      </c>
      <c r="E3827" s="102">
        <v>5750</v>
      </c>
      <c r="F3827" s="102">
        <f t="shared" si="1921"/>
        <v>3795000.0000000005</v>
      </c>
      <c r="G3827" s="102">
        <f t="shared" si="1922"/>
        <v>3450000</v>
      </c>
      <c r="H3827" s="690" t="s">
        <v>142</v>
      </c>
      <c r="I3827" s="71" t="s">
        <v>144</v>
      </c>
      <c r="J3827" s="53">
        <f t="shared" si="1918"/>
        <v>318000</v>
      </c>
      <c r="K3827" s="63">
        <f t="shared" si="1923"/>
        <v>9.2173913043478245E-2</v>
      </c>
      <c r="L3827" s="871" t="s">
        <v>2838</v>
      </c>
      <c r="M3827" s="468"/>
      <c r="N3827" s="1192">
        <f t="shared" si="1912"/>
        <v>44255</v>
      </c>
      <c r="O3827" s="71" t="s">
        <v>147</v>
      </c>
      <c r="P3827" s="164" t="str">
        <f t="shared" si="1913"/>
        <v>프리미어(황)</v>
      </c>
      <c r="Q3827" s="71">
        <f t="shared" si="1924"/>
        <v>600</v>
      </c>
      <c r="R3827" s="102">
        <v>5220</v>
      </c>
      <c r="S3827" s="102">
        <f t="shared" si="1925"/>
        <v>3445200.0000000005</v>
      </c>
      <c r="T3827" s="102">
        <f t="shared" si="1926"/>
        <v>3132000</v>
      </c>
      <c r="U3827" s="71" t="str">
        <f t="shared" si="1919"/>
        <v>O</v>
      </c>
      <c r="V3827" s="71"/>
      <c r="W3827" s="474">
        <f t="shared" si="1920"/>
        <v>318000</v>
      </c>
      <c r="X3827" s="71"/>
      <c r="Y3827" s="71"/>
    </row>
    <row r="3828" spans="1:25" ht="30" hidden="1" customHeight="1" x14ac:dyDescent="0.25">
      <c r="A3828" s="1145">
        <v>44255</v>
      </c>
      <c r="B3828" s="664" t="s">
        <v>1061</v>
      </c>
      <c r="C3828" s="71" t="s">
        <v>587</v>
      </c>
      <c r="D3828" s="71">
        <v>400</v>
      </c>
      <c r="E3828" s="102">
        <v>7000</v>
      </c>
      <c r="F3828" s="102">
        <f t="shared" si="1921"/>
        <v>3080000.0000000005</v>
      </c>
      <c r="G3828" s="102">
        <f t="shared" si="1922"/>
        <v>2800000</v>
      </c>
      <c r="H3828" s="690" t="s">
        <v>142</v>
      </c>
      <c r="I3828" s="71" t="s">
        <v>144</v>
      </c>
      <c r="J3828" s="53">
        <f t="shared" si="1918"/>
        <v>256000</v>
      </c>
      <c r="K3828" s="63">
        <f t="shared" si="1923"/>
        <v>9.1428571428571415E-2</v>
      </c>
      <c r="L3828" s="871" t="s">
        <v>2838</v>
      </c>
      <c r="M3828" s="468"/>
      <c r="N3828" s="1192">
        <f t="shared" si="1912"/>
        <v>44255</v>
      </c>
      <c r="O3828" s="71" t="s">
        <v>147</v>
      </c>
      <c r="P3828" s="164" t="str">
        <f t="shared" si="1913"/>
        <v>프리미어(청)</v>
      </c>
      <c r="Q3828" s="71">
        <f t="shared" si="1924"/>
        <v>400</v>
      </c>
      <c r="R3828" s="102">
        <v>6360</v>
      </c>
      <c r="S3828" s="102">
        <f t="shared" si="1925"/>
        <v>2798400</v>
      </c>
      <c r="T3828" s="102">
        <f t="shared" si="1926"/>
        <v>2544000</v>
      </c>
      <c r="U3828" s="71" t="str">
        <f t="shared" si="1919"/>
        <v>O</v>
      </c>
      <c r="V3828" s="71"/>
      <c r="W3828" s="474">
        <f t="shared" si="1920"/>
        <v>256000</v>
      </c>
      <c r="X3828" s="71"/>
      <c r="Y3828" s="71"/>
    </row>
    <row r="3829" spans="1:25" ht="30" hidden="1" customHeight="1" x14ac:dyDescent="0.25">
      <c r="A3829" s="1145">
        <v>44255</v>
      </c>
      <c r="B3829" s="664" t="s">
        <v>1052</v>
      </c>
      <c r="C3829" s="71" t="s">
        <v>1115</v>
      </c>
      <c r="D3829" s="71"/>
      <c r="E3829" s="102">
        <v>6200</v>
      </c>
      <c r="F3829" s="102">
        <f t="shared" si="1921"/>
        <v>0</v>
      </c>
      <c r="G3829" s="102">
        <f t="shared" si="1922"/>
        <v>0</v>
      </c>
      <c r="H3829" s="690" t="s">
        <v>142</v>
      </c>
      <c r="I3829" s="71" t="s">
        <v>144</v>
      </c>
      <c r="J3829" s="53">
        <f t="shared" si="1918"/>
        <v>0</v>
      </c>
      <c r="K3829" s="63" t="e">
        <f t="shared" si="1923"/>
        <v>#DIV/0!</v>
      </c>
      <c r="L3829" s="871" t="s">
        <v>2838</v>
      </c>
      <c r="M3829" s="468"/>
      <c r="N3829" s="1192">
        <f t="shared" si="1912"/>
        <v>44255</v>
      </c>
      <c r="O3829" s="71" t="s">
        <v>2459</v>
      </c>
      <c r="P3829" s="164" t="str">
        <f t="shared" si="1913"/>
        <v>한특 잉크(적)</v>
      </c>
      <c r="Q3829" s="71">
        <f t="shared" si="1924"/>
        <v>0</v>
      </c>
      <c r="R3829" s="102">
        <v>5900</v>
      </c>
      <c r="S3829" s="102">
        <f t="shared" si="1925"/>
        <v>0</v>
      </c>
      <c r="T3829" s="102">
        <f t="shared" si="1926"/>
        <v>0</v>
      </c>
      <c r="U3829" s="71" t="str">
        <f t="shared" si="1919"/>
        <v>O</v>
      </c>
      <c r="V3829" s="71"/>
      <c r="W3829" s="474">
        <f t="shared" si="1920"/>
        <v>0</v>
      </c>
      <c r="X3829" s="71"/>
      <c r="Y3829" s="71"/>
    </row>
    <row r="3830" spans="1:25" ht="30" hidden="1" customHeight="1" x14ac:dyDescent="0.25">
      <c r="A3830" s="1145">
        <v>44255</v>
      </c>
      <c r="B3830" s="664" t="s">
        <v>1052</v>
      </c>
      <c r="C3830" s="71" t="s">
        <v>1116</v>
      </c>
      <c r="D3830" s="71"/>
      <c r="E3830" s="102">
        <v>6000</v>
      </c>
      <c r="F3830" s="102">
        <f t="shared" si="1921"/>
        <v>0</v>
      </c>
      <c r="G3830" s="102">
        <f t="shared" si="1922"/>
        <v>0</v>
      </c>
      <c r="H3830" s="690" t="s">
        <v>142</v>
      </c>
      <c r="I3830" s="71" t="s">
        <v>144</v>
      </c>
      <c r="J3830" s="53">
        <f t="shared" si="1918"/>
        <v>0</v>
      </c>
      <c r="K3830" s="63" t="e">
        <f t="shared" si="1923"/>
        <v>#DIV/0!</v>
      </c>
      <c r="L3830" s="871" t="s">
        <v>2838</v>
      </c>
      <c r="M3830" s="468"/>
      <c r="N3830" s="1192">
        <f t="shared" si="1912"/>
        <v>44255</v>
      </c>
      <c r="O3830" s="71" t="s">
        <v>2459</v>
      </c>
      <c r="P3830" s="164" t="str">
        <f t="shared" si="1913"/>
        <v>한특 잉크(황)</v>
      </c>
      <c r="Q3830" s="71">
        <f t="shared" si="1924"/>
        <v>0</v>
      </c>
      <c r="R3830" s="102">
        <v>5500</v>
      </c>
      <c r="S3830" s="102">
        <f t="shared" si="1925"/>
        <v>0</v>
      </c>
      <c r="T3830" s="102">
        <f t="shared" si="1926"/>
        <v>0</v>
      </c>
      <c r="U3830" s="71" t="str">
        <f t="shared" si="1919"/>
        <v>O</v>
      </c>
      <c r="V3830" s="71"/>
      <c r="W3830" s="474">
        <f t="shared" si="1920"/>
        <v>0</v>
      </c>
      <c r="X3830" s="71"/>
      <c r="Y3830" s="71"/>
    </row>
    <row r="3831" spans="1:25" ht="30" hidden="1" customHeight="1" x14ac:dyDescent="0.25">
      <c r="A3831" s="1145">
        <v>44255</v>
      </c>
      <c r="B3831" s="664" t="s">
        <v>1052</v>
      </c>
      <c r="C3831" s="71" t="s">
        <v>1117</v>
      </c>
      <c r="D3831" s="71"/>
      <c r="E3831" s="102">
        <v>6500</v>
      </c>
      <c r="F3831" s="102">
        <f t="shared" si="1921"/>
        <v>0</v>
      </c>
      <c r="G3831" s="102">
        <f t="shared" si="1922"/>
        <v>0</v>
      </c>
      <c r="H3831" s="690" t="s">
        <v>142</v>
      </c>
      <c r="I3831" s="71" t="s">
        <v>144</v>
      </c>
      <c r="J3831" s="53">
        <f t="shared" si="1918"/>
        <v>0</v>
      </c>
      <c r="K3831" s="63" t="e">
        <f t="shared" si="1923"/>
        <v>#DIV/0!</v>
      </c>
      <c r="L3831" s="871" t="s">
        <v>2838</v>
      </c>
      <c r="M3831" s="468"/>
      <c r="N3831" s="1192">
        <f t="shared" si="1912"/>
        <v>44255</v>
      </c>
      <c r="O3831" s="71" t="s">
        <v>2459</v>
      </c>
      <c r="P3831" s="164" t="str">
        <f t="shared" si="1913"/>
        <v>한특 잉크(청)</v>
      </c>
      <c r="Q3831" s="71">
        <f t="shared" si="1924"/>
        <v>0</v>
      </c>
      <c r="R3831" s="102">
        <v>6000</v>
      </c>
      <c r="S3831" s="102">
        <f t="shared" si="1925"/>
        <v>0</v>
      </c>
      <c r="T3831" s="102">
        <f t="shared" si="1926"/>
        <v>0</v>
      </c>
      <c r="U3831" s="71" t="str">
        <f t="shared" si="1919"/>
        <v>O</v>
      </c>
      <c r="V3831" s="71"/>
      <c r="W3831" s="474">
        <f t="shared" si="1920"/>
        <v>0</v>
      </c>
      <c r="X3831" s="71"/>
      <c r="Y3831" s="71"/>
    </row>
    <row r="3832" spans="1:25" ht="30" hidden="1" customHeight="1" x14ac:dyDescent="0.25">
      <c r="A3832" s="1145">
        <v>44255</v>
      </c>
      <c r="B3832" s="664" t="s">
        <v>1052</v>
      </c>
      <c r="C3832" s="71" t="s">
        <v>1118</v>
      </c>
      <c r="D3832" s="71"/>
      <c r="E3832" s="102">
        <v>5600</v>
      </c>
      <c r="F3832" s="102">
        <f t="shared" si="1921"/>
        <v>0</v>
      </c>
      <c r="G3832" s="102">
        <f t="shared" si="1922"/>
        <v>0</v>
      </c>
      <c r="H3832" s="690" t="s">
        <v>142</v>
      </c>
      <c r="I3832" s="71" t="s">
        <v>144</v>
      </c>
      <c r="J3832" s="53">
        <f t="shared" si="1918"/>
        <v>0</v>
      </c>
      <c r="K3832" s="63" t="e">
        <f t="shared" si="1923"/>
        <v>#DIV/0!</v>
      </c>
      <c r="L3832" s="871" t="s">
        <v>2838</v>
      </c>
      <c r="M3832" s="468"/>
      <c r="N3832" s="1192">
        <f t="shared" si="1912"/>
        <v>44255</v>
      </c>
      <c r="O3832" s="71" t="s">
        <v>2459</v>
      </c>
      <c r="P3832" s="164" t="str">
        <f t="shared" si="1913"/>
        <v>한특 잉크(먹)</v>
      </c>
      <c r="Q3832" s="71">
        <f t="shared" si="1924"/>
        <v>0</v>
      </c>
      <c r="R3832" s="102">
        <v>5200</v>
      </c>
      <c r="S3832" s="102">
        <f t="shared" si="1925"/>
        <v>0</v>
      </c>
      <c r="T3832" s="102">
        <f t="shared" si="1926"/>
        <v>0</v>
      </c>
      <c r="U3832" s="71" t="str">
        <f t="shared" si="1919"/>
        <v>O</v>
      </c>
      <c r="V3832" s="71"/>
      <c r="W3832" s="474">
        <f t="shared" si="1920"/>
        <v>0</v>
      </c>
      <c r="X3832" s="71"/>
      <c r="Y3832" s="71"/>
    </row>
    <row r="3833" spans="1:25" ht="30" customHeight="1" x14ac:dyDescent="0.25">
      <c r="A3833" s="1145">
        <v>44255</v>
      </c>
      <c r="B3833" s="664" t="s">
        <v>565</v>
      </c>
      <c r="C3833" s="71" t="s">
        <v>2856</v>
      </c>
      <c r="D3833" s="71">
        <v>1</v>
      </c>
      <c r="E3833" s="102">
        <v>6810000</v>
      </c>
      <c r="F3833" s="102">
        <f>(E3833*D3833)*1.1</f>
        <v>7491000.0000000009</v>
      </c>
      <c r="G3833" s="102">
        <f>(E3833*D3833)</f>
        <v>6810000</v>
      </c>
      <c r="H3833" s="690" t="s">
        <v>142</v>
      </c>
      <c r="I3833" s="690" t="s">
        <v>142</v>
      </c>
      <c r="J3833" s="53">
        <f t="shared" si="1918"/>
        <v>1831710</v>
      </c>
      <c r="K3833" s="63">
        <f>(J3833/(F3833/11*10))</f>
        <v>0.2689735682819383</v>
      </c>
      <c r="L3833" s="871" t="s">
        <v>2838</v>
      </c>
      <c r="M3833" s="468"/>
      <c r="N3833" s="1192">
        <f t="shared" si="1912"/>
        <v>44255</v>
      </c>
      <c r="O3833" s="71" t="s">
        <v>1431</v>
      </c>
      <c r="P3833" s="164" t="str">
        <f t="shared" si="1913"/>
        <v>신문윤전 기어 부품</v>
      </c>
      <c r="Q3833" s="71">
        <f t="shared" si="1924"/>
        <v>1</v>
      </c>
      <c r="R3833" s="102">
        <v>4978290</v>
      </c>
      <c r="S3833" s="102">
        <f t="shared" si="1925"/>
        <v>5476119</v>
      </c>
      <c r="T3833" s="102">
        <f t="shared" si="1926"/>
        <v>4978290</v>
      </c>
      <c r="U3833" s="71"/>
      <c r="V3833" s="71"/>
      <c r="W3833" s="474"/>
      <c r="X3833" s="71"/>
      <c r="Y3833" s="71"/>
    </row>
    <row r="3834" spans="1:25" ht="30" hidden="1" customHeight="1" x14ac:dyDescent="0.25">
      <c r="A3834" s="1145">
        <v>44255</v>
      </c>
      <c r="B3834" s="664" t="s">
        <v>2857</v>
      </c>
      <c r="C3834" s="71" t="s">
        <v>3203</v>
      </c>
      <c r="D3834" s="71">
        <v>1</v>
      </c>
      <c r="E3834" s="102">
        <v>16110000</v>
      </c>
      <c r="F3834" s="102">
        <f>(E3834*D3834)*1.1</f>
        <v>17721000</v>
      </c>
      <c r="G3834" s="102">
        <f>(E3834*D3834)</f>
        <v>16110000</v>
      </c>
      <c r="H3834" s="690" t="s">
        <v>985</v>
      </c>
      <c r="I3834" s="690" t="s">
        <v>985</v>
      </c>
      <c r="J3834" s="53"/>
      <c r="K3834" s="63">
        <f>(J3834/(F3834/11*10))</f>
        <v>0</v>
      </c>
      <c r="L3834" s="871" t="s">
        <v>2838</v>
      </c>
      <c r="M3834" s="468"/>
      <c r="N3834" s="1192">
        <f t="shared" si="1912"/>
        <v>44255</v>
      </c>
      <c r="O3834" s="71" t="s">
        <v>1431</v>
      </c>
      <c r="P3834" s="164" t="str">
        <f t="shared" si="1913"/>
        <v>Rotoman 오버홀 &lt;독일엔지니어 정비시 교체 필요 부품(총 76종)&gt; 선금(30%)</v>
      </c>
      <c r="Q3834" s="71">
        <f t="shared" si="1924"/>
        <v>1</v>
      </c>
      <c r="R3834" s="102"/>
      <c r="S3834" s="102">
        <f t="shared" si="1925"/>
        <v>0</v>
      </c>
      <c r="T3834" s="102">
        <f t="shared" si="1926"/>
        <v>0</v>
      </c>
      <c r="U3834" s="71"/>
      <c r="V3834" s="71"/>
      <c r="W3834" s="474"/>
      <c r="X3834" s="71"/>
      <c r="Y3834" s="71"/>
    </row>
    <row r="3835" spans="1:25" s="978" customFormat="1" ht="45" hidden="1" customHeight="1" x14ac:dyDescent="0.25">
      <c r="A3835" s="982" t="s">
        <v>2896</v>
      </c>
      <c r="B3835" s="976" t="s">
        <v>544</v>
      </c>
      <c r="C3835" s="453"/>
      <c r="D3835" s="453"/>
      <c r="E3835" s="454"/>
      <c r="F3835" s="454"/>
      <c r="G3835" s="454"/>
      <c r="H3835" s="455"/>
      <c r="I3835" s="453"/>
      <c r="J3835" s="417"/>
      <c r="K3835" s="418"/>
      <c r="L3835" s="983" t="s">
        <v>2881</v>
      </c>
      <c r="M3835" s="643"/>
      <c r="N3835" s="724" t="str">
        <f>A3835</f>
        <v>2021,3</v>
      </c>
      <c r="O3835" s="453" t="s">
        <v>154</v>
      </c>
      <c r="P3835" s="728"/>
      <c r="Q3835" s="420"/>
      <c r="R3835" s="420"/>
      <c r="S3835" s="417"/>
      <c r="T3835" s="417"/>
      <c r="U3835" s="421"/>
      <c r="V3835" s="421"/>
      <c r="W3835" s="479">
        <f>(G3835-T3835)</f>
        <v>0</v>
      </c>
      <c r="X3835" s="421"/>
      <c r="Y3835" s="421"/>
    </row>
    <row r="3836" spans="1:25" ht="30" hidden="1" customHeight="1" x14ac:dyDescent="0.25">
      <c r="A3836" s="1145">
        <v>44257</v>
      </c>
      <c r="B3836" s="664" t="s">
        <v>1220</v>
      </c>
      <c r="C3836" s="71" t="s">
        <v>2911</v>
      </c>
      <c r="D3836" s="71">
        <v>1</v>
      </c>
      <c r="E3836" s="102">
        <v>1095000</v>
      </c>
      <c r="F3836" s="102">
        <f t="shared" ref="F3836:F3852" si="1927">(E3836*D3836)*1.1</f>
        <v>1204500</v>
      </c>
      <c r="G3836" s="102">
        <f t="shared" ref="G3836:G3852" si="1928">(E3836*D3836)</f>
        <v>1095000</v>
      </c>
      <c r="H3836" s="690" t="s">
        <v>1431</v>
      </c>
      <c r="I3836" s="71" t="s">
        <v>1431</v>
      </c>
      <c r="J3836" s="53">
        <f t="shared" ref="J3836:J3867" si="1929">G3836-T3836</f>
        <v>410000</v>
      </c>
      <c r="K3836" s="63">
        <f>(J3836/(F3836/11*10))</f>
        <v>0.37442922374429222</v>
      </c>
      <c r="L3836" s="871" t="s">
        <v>2881</v>
      </c>
      <c r="M3836" s="468"/>
      <c r="N3836" s="1192">
        <f>A3836</f>
        <v>44257</v>
      </c>
      <c r="O3836" s="71" t="s">
        <v>1431</v>
      </c>
      <c r="P3836" s="164" t="str">
        <f>(C3836)</f>
        <v>Cutoff bar Vulkollan 등 Rotoman 부품 4건</v>
      </c>
      <c r="Q3836" s="71">
        <f>D3836</f>
        <v>1</v>
      </c>
      <c r="R3836" s="102">
        <v>685000</v>
      </c>
      <c r="S3836" s="102">
        <f t="shared" ref="S3836:S3867" si="1930">R3836*Q3836*1.1</f>
        <v>753500.00000000012</v>
      </c>
      <c r="T3836" s="102">
        <f t="shared" ref="T3836:T3867" si="1931">R3836*Q3836</f>
        <v>685000</v>
      </c>
      <c r="U3836" s="71"/>
      <c r="V3836" s="71"/>
      <c r="W3836" s="474"/>
      <c r="X3836" s="71"/>
      <c r="Y3836" s="71"/>
    </row>
    <row r="3837" spans="1:25" ht="30" hidden="1" customHeight="1" x14ac:dyDescent="0.25">
      <c r="A3837" s="1145">
        <v>44257</v>
      </c>
      <c r="B3837" s="664" t="s">
        <v>575</v>
      </c>
      <c r="C3837" s="71" t="s">
        <v>2919</v>
      </c>
      <c r="D3837" s="71">
        <v>1</v>
      </c>
      <c r="E3837" s="102">
        <v>5880000</v>
      </c>
      <c r="F3837" s="102">
        <f>(E3837*D3837)*1.1</f>
        <v>6468000.0000000009</v>
      </c>
      <c r="G3837" s="102">
        <f>(E3837*D3837)</f>
        <v>5880000</v>
      </c>
      <c r="H3837" s="690" t="s">
        <v>2029</v>
      </c>
      <c r="I3837" s="71" t="s">
        <v>143</v>
      </c>
      <c r="J3837" s="53">
        <f t="shared" si="1929"/>
        <v>1500000</v>
      </c>
      <c r="K3837" s="63">
        <f t="shared" ref="K3837:K3842" si="1932">(J3837/(F3837/11*10))</f>
        <v>0.25510204081632648</v>
      </c>
      <c r="L3837" s="871" t="s">
        <v>2881</v>
      </c>
      <c r="M3837" s="468"/>
      <c r="N3837" s="1192">
        <f t="shared" ref="N3837:N3842" si="1933">A3837</f>
        <v>44257</v>
      </c>
      <c r="O3837" s="71" t="s">
        <v>612</v>
      </c>
      <c r="P3837" s="164" t="str">
        <f t="shared" ref="P3837:P3842" si="1934">(C3837)</f>
        <v>윤전 롤라 15개</v>
      </c>
      <c r="Q3837" s="71">
        <f t="shared" ref="Q3837:Q3842" si="1935">D3837</f>
        <v>1</v>
      </c>
      <c r="R3837" s="102">
        <f>(3784000/11*10)+940000</f>
        <v>4380000</v>
      </c>
      <c r="S3837" s="102">
        <f t="shared" si="1930"/>
        <v>4818000</v>
      </c>
      <c r="T3837" s="102">
        <f t="shared" si="1931"/>
        <v>4380000</v>
      </c>
      <c r="U3837" s="71"/>
      <c r="V3837" s="71"/>
      <c r="W3837" s="474"/>
      <c r="X3837" s="71"/>
      <c r="Y3837" s="71"/>
    </row>
    <row r="3838" spans="1:25" ht="30" hidden="1" customHeight="1" x14ac:dyDescent="0.25">
      <c r="A3838" s="1145">
        <v>44257</v>
      </c>
      <c r="B3838" s="664" t="s">
        <v>1178</v>
      </c>
      <c r="C3838" s="71" t="s">
        <v>2912</v>
      </c>
      <c r="D3838" s="71">
        <v>1</v>
      </c>
      <c r="E3838" s="102">
        <v>11703636</v>
      </c>
      <c r="F3838" s="102">
        <f t="shared" si="1927"/>
        <v>12873999.600000001</v>
      </c>
      <c r="G3838" s="102">
        <f t="shared" si="1928"/>
        <v>11703636</v>
      </c>
      <c r="H3838" s="690" t="s">
        <v>142</v>
      </c>
      <c r="I3838" s="71" t="s">
        <v>142</v>
      </c>
      <c r="J3838" s="53">
        <f t="shared" si="1929"/>
        <v>4596771</v>
      </c>
      <c r="K3838" s="63">
        <f>(J3838/(F3838/11*10))</f>
        <v>0.39276435118112013</v>
      </c>
      <c r="L3838" s="871" t="s">
        <v>2881</v>
      </c>
      <c r="M3838" s="468"/>
      <c r="N3838" s="1192">
        <f t="shared" si="1933"/>
        <v>44257</v>
      </c>
      <c r="O3838" s="71" t="s">
        <v>2470</v>
      </c>
      <c r="P3838" s="164" t="str">
        <f t="shared" si="1934"/>
        <v>ESI 부품 등</v>
      </c>
      <c r="Q3838" s="71">
        <f t="shared" si="1935"/>
        <v>1</v>
      </c>
      <c r="R3838" s="102">
        <v>7106865</v>
      </c>
      <c r="S3838" s="102">
        <f t="shared" si="1930"/>
        <v>7817551.5000000009</v>
      </c>
      <c r="T3838" s="102">
        <f t="shared" si="1931"/>
        <v>7106865</v>
      </c>
      <c r="U3838" s="71"/>
      <c r="V3838" s="71"/>
      <c r="W3838" s="474"/>
      <c r="X3838" s="71"/>
      <c r="Y3838" s="71"/>
    </row>
    <row r="3839" spans="1:25" ht="30" hidden="1" customHeight="1" x14ac:dyDescent="0.25">
      <c r="A3839" s="1145">
        <v>44257</v>
      </c>
      <c r="B3839" s="664" t="s">
        <v>575</v>
      </c>
      <c r="C3839" s="71" t="s">
        <v>2913</v>
      </c>
      <c r="D3839" s="71">
        <v>5</v>
      </c>
      <c r="E3839" s="102">
        <v>96000</v>
      </c>
      <c r="F3839" s="102">
        <f t="shared" si="1927"/>
        <v>528000</v>
      </c>
      <c r="G3839" s="102">
        <f t="shared" si="1928"/>
        <v>480000</v>
      </c>
      <c r="H3839" s="690" t="s">
        <v>1431</v>
      </c>
      <c r="I3839" s="71" t="s">
        <v>1431</v>
      </c>
      <c r="J3839" s="53">
        <f t="shared" si="1929"/>
        <v>165000</v>
      </c>
      <c r="K3839" s="63">
        <f t="shared" si="1932"/>
        <v>0.34375</v>
      </c>
      <c r="L3839" s="871" t="s">
        <v>2907</v>
      </c>
      <c r="M3839" s="468"/>
      <c r="N3839" s="1192">
        <f t="shared" si="1933"/>
        <v>44257</v>
      </c>
      <c r="O3839" s="71" t="s">
        <v>2929</v>
      </c>
      <c r="P3839" s="164" t="str">
        <f t="shared" si="1934"/>
        <v>압력스위치</v>
      </c>
      <c r="Q3839" s="71">
        <f t="shared" si="1935"/>
        <v>5</v>
      </c>
      <c r="R3839" s="102">
        <v>63000</v>
      </c>
      <c r="S3839" s="102">
        <f t="shared" si="1930"/>
        <v>346500</v>
      </c>
      <c r="T3839" s="102">
        <f t="shared" si="1931"/>
        <v>315000</v>
      </c>
      <c r="U3839" s="71"/>
      <c r="V3839" s="71"/>
      <c r="W3839" s="474"/>
      <c r="X3839" s="71"/>
      <c r="Y3839" s="71"/>
    </row>
    <row r="3840" spans="1:25" s="209" customFormat="1" ht="30" hidden="1" customHeight="1" x14ac:dyDescent="0.25">
      <c r="A3840" s="1145">
        <v>44257</v>
      </c>
      <c r="B3840" s="664" t="s">
        <v>2155</v>
      </c>
      <c r="C3840" s="71" t="s">
        <v>138</v>
      </c>
      <c r="D3840" s="71">
        <v>10</v>
      </c>
      <c r="E3840" s="102">
        <v>47600</v>
      </c>
      <c r="F3840" s="102">
        <f t="shared" si="1927"/>
        <v>523600.00000000006</v>
      </c>
      <c r="G3840" s="102">
        <f t="shared" si="1928"/>
        <v>476000</v>
      </c>
      <c r="H3840" s="1129" t="s">
        <v>172</v>
      </c>
      <c r="I3840" s="71" t="s">
        <v>108</v>
      </c>
      <c r="J3840" s="53">
        <f t="shared" si="1929"/>
        <v>68000</v>
      </c>
      <c r="K3840" s="63">
        <f t="shared" si="1932"/>
        <v>0.14285714285714285</v>
      </c>
      <c r="L3840" s="871" t="s">
        <v>2907</v>
      </c>
      <c r="M3840" s="468" t="s">
        <v>2214</v>
      </c>
      <c r="N3840" s="1192">
        <f t="shared" si="1933"/>
        <v>44257</v>
      </c>
      <c r="O3840" s="71" t="s">
        <v>150</v>
      </c>
      <c r="P3840" s="164" t="str">
        <f t="shared" si="1934"/>
        <v>매엽용 세척제(Wash 562)</v>
      </c>
      <c r="Q3840" s="71">
        <f t="shared" si="1935"/>
        <v>10</v>
      </c>
      <c r="R3840" s="102">
        <v>40800</v>
      </c>
      <c r="S3840" s="102">
        <f t="shared" si="1930"/>
        <v>448800.00000000006</v>
      </c>
      <c r="T3840" s="102">
        <f t="shared" si="1931"/>
        <v>408000</v>
      </c>
      <c r="U3840" s="71" t="str">
        <f>IF(J3840=W3840,"O", "X")</f>
        <v>X</v>
      </c>
      <c r="V3840" s="71"/>
      <c r="W3840" s="474">
        <v>85000</v>
      </c>
      <c r="X3840" s="71"/>
      <c r="Y3840" s="71"/>
    </row>
    <row r="3841" spans="1:25" ht="30" hidden="1" customHeight="1" x14ac:dyDescent="0.25">
      <c r="A3841" s="1145">
        <v>44257</v>
      </c>
      <c r="B3841" s="664" t="s">
        <v>2155</v>
      </c>
      <c r="C3841" s="71" t="s">
        <v>277</v>
      </c>
      <c r="D3841" s="71">
        <v>5</v>
      </c>
      <c r="E3841" s="102">
        <v>172000</v>
      </c>
      <c r="F3841" s="102">
        <f t="shared" si="1927"/>
        <v>946000.00000000012</v>
      </c>
      <c r="G3841" s="102">
        <f t="shared" si="1928"/>
        <v>860000</v>
      </c>
      <c r="H3841" s="690" t="s">
        <v>173</v>
      </c>
      <c r="I3841" s="71" t="s">
        <v>108</v>
      </c>
      <c r="J3841" s="53">
        <f t="shared" si="1929"/>
        <v>285000</v>
      </c>
      <c r="K3841" s="63">
        <f t="shared" si="1932"/>
        <v>0.33139534883720928</v>
      </c>
      <c r="L3841" s="871" t="s">
        <v>2907</v>
      </c>
      <c r="M3841" s="468"/>
      <c r="N3841" s="1192">
        <f t="shared" si="1933"/>
        <v>44257</v>
      </c>
      <c r="O3841" s="71" t="s">
        <v>150</v>
      </c>
      <c r="P3841" s="164" t="str">
        <f t="shared" si="1934"/>
        <v>윤전용 세척제(Web 504)</v>
      </c>
      <c r="Q3841" s="71">
        <f t="shared" si="1935"/>
        <v>5</v>
      </c>
      <c r="R3841" s="102">
        <v>115000</v>
      </c>
      <c r="S3841" s="102">
        <f t="shared" si="1930"/>
        <v>632500</v>
      </c>
      <c r="T3841" s="102">
        <f t="shared" si="1931"/>
        <v>575000</v>
      </c>
      <c r="U3841" s="71" t="str">
        <f>IF(J3841=W3841,"O", "X")</f>
        <v>O</v>
      </c>
      <c r="V3841" s="71"/>
      <c r="W3841" s="474">
        <v>285000</v>
      </c>
      <c r="X3841" s="71"/>
      <c r="Y3841" s="71"/>
    </row>
    <row r="3842" spans="1:25" ht="30" hidden="1" customHeight="1" x14ac:dyDescent="0.25">
      <c r="A3842" s="1145">
        <v>44258</v>
      </c>
      <c r="B3842" s="664" t="s">
        <v>545</v>
      </c>
      <c r="C3842" s="71" t="s">
        <v>952</v>
      </c>
      <c r="D3842" s="71">
        <v>1</v>
      </c>
      <c r="E3842" s="102">
        <v>630000</v>
      </c>
      <c r="F3842" s="102">
        <f>(E3842*D3842)*1.1</f>
        <v>693000</v>
      </c>
      <c r="G3842" s="102">
        <f>(E3842*D3842)</f>
        <v>630000</v>
      </c>
      <c r="H3842" s="690" t="s">
        <v>173</v>
      </c>
      <c r="I3842" s="71" t="s">
        <v>108</v>
      </c>
      <c r="J3842" s="53">
        <f t="shared" si="1929"/>
        <v>168000</v>
      </c>
      <c r="K3842" s="63">
        <f t="shared" si="1932"/>
        <v>0.26666666666666666</v>
      </c>
      <c r="L3842" s="871" t="s">
        <v>2907</v>
      </c>
      <c r="M3842" s="468"/>
      <c r="N3842" s="1192">
        <f t="shared" si="1933"/>
        <v>44258</v>
      </c>
      <c r="O3842" s="71" t="s">
        <v>599</v>
      </c>
      <c r="P3842" s="164" t="str">
        <f t="shared" si="1934"/>
        <v>점보롤 세정포</v>
      </c>
      <c r="Q3842" s="71">
        <f t="shared" si="1935"/>
        <v>1</v>
      </c>
      <c r="R3842" s="102">
        <v>462000</v>
      </c>
      <c r="S3842" s="102">
        <f t="shared" si="1930"/>
        <v>508200.00000000006</v>
      </c>
      <c r="T3842" s="102">
        <f t="shared" si="1931"/>
        <v>462000</v>
      </c>
      <c r="U3842" s="71" t="str">
        <f>IF(J3842=W3842,"O", "X")</f>
        <v>O</v>
      </c>
      <c r="V3842" s="71" t="s">
        <v>1228</v>
      </c>
      <c r="W3842" s="474">
        <f>(G3842-T3842)</f>
        <v>168000</v>
      </c>
      <c r="X3842" s="71"/>
      <c r="Y3842" s="71"/>
    </row>
    <row r="3843" spans="1:25" ht="30" hidden="1" customHeight="1" x14ac:dyDescent="0.25">
      <c r="A3843" s="1145">
        <v>44259</v>
      </c>
      <c r="B3843" s="664" t="s">
        <v>2155</v>
      </c>
      <c r="C3843" s="71" t="s">
        <v>2899</v>
      </c>
      <c r="D3843" s="71">
        <v>2</v>
      </c>
      <c r="E3843" s="102">
        <v>1125000</v>
      </c>
      <c r="F3843" s="102">
        <f t="shared" si="1927"/>
        <v>2475000</v>
      </c>
      <c r="G3843" s="102">
        <f t="shared" si="1928"/>
        <v>2250000</v>
      </c>
      <c r="H3843" s="690" t="s">
        <v>1431</v>
      </c>
      <c r="I3843" s="71" t="s">
        <v>1431</v>
      </c>
      <c r="J3843" s="53">
        <f t="shared" si="1929"/>
        <v>250000</v>
      </c>
      <c r="K3843" s="63">
        <f t="shared" ref="K3843:K3906" si="1936">(J3843/(F3843/11*10))</f>
        <v>0.1111111111111111</v>
      </c>
      <c r="L3843" s="871" t="s">
        <v>2907</v>
      </c>
      <c r="M3843" s="468"/>
      <c r="N3843" s="1192">
        <f t="shared" ref="N3843:N3906" si="1937">A3843</f>
        <v>44259</v>
      </c>
      <c r="O3843" s="71" t="s">
        <v>2363</v>
      </c>
      <c r="P3843" s="164" t="str">
        <f t="shared" ref="P3843:P3906" si="1938">(C3843)</f>
        <v>쵸퍼 롤러 가공</v>
      </c>
      <c r="Q3843" s="71">
        <v>1</v>
      </c>
      <c r="R3843" s="102">
        <v>2000000</v>
      </c>
      <c r="S3843" s="102">
        <f t="shared" si="1930"/>
        <v>2200000</v>
      </c>
      <c r="T3843" s="102">
        <f t="shared" si="1931"/>
        <v>2000000</v>
      </c>
      <c r="U3843" s="71"/>
      <c r="V3843" s="71"/>
      <c r="W3843" s="474"/>
      <c r="X3843" s="71"/>
      <c r="Y3843" s="71"/>
    </row>
    <row r="3844" spans="1:25" ht="30" hidden="1" customHeight="1" x14ac:dyDescent="0.25">
      <c r="A3844" s="1145">
        <v>44260</v>
      </c>
      <c r="B3844" s="664" t="s">
        <v>1220</v>
      </c>
      <c r="C3844" s="71" t="s">
        <v>2901</v>
      </c>
      <c r="D3844" s="71">
        <v>1</v>
      </c>
      <c r="E3844" s="102">
        <v>26815000</v>
      </c>
      <c r="F3844" s="102">
        <f t="shared" si="1927"/>
        <v>29496500.000000004</v>
      </c>
      <c r="G3844" s="102">
        <f t="shared" si="1928"/>
        <v>26815000</v>
      </c>
      <c r="H3844" s="690" t="s">
        <v>1431</v>
      </c>
      <c r="I3844" s="71" t="s">
        <v>1431</v>
      </c>
      <c r="J3844" s="53">
        <f t="shared" si="1929"/>
        <v>4485000</v>
      </c>
      <c r="K3844" s="63">
        <f t="shared" si="1936"/>
        <v>0.16725713220212565</v>
      </c>
      <c r="L3844" s="871" t="s">
        <v>2907</v>
      </c>
      <c r="M3844" s="468"/>
      <c r="N3844" s="1192">
        <f t="shared" si="1937"/>
        <v>44260</v>
      </c>
      <c r="O3844" s="71" t="s">
        <v>1431</v>
      </c>
      <c r="P3844" s="164" t="str">
        <f t="shared" si="1938"/>
        <v>Slide Plate 3rd 2개</v>
      </c>
      <c r="Q3844" s="71">
        <f t="shared" ref="Q3844:Q3906" si="1939">D3844</f>
        <v>1</v>
      </c>
      <c r="R3844" s="102">
        <v>22330000</v>
      </c>
      <c r="S3844" s="102">
        <f t="shared" si="1930"/>
        <v>24563000.000000004</v>
      </c>
      <c r="T3844" s="102">
        <f t="shared" si="1931"/>
        <v>22330000</v>
      </c>
      <c r="U3844" s="71"/>
      <c r="V3844" s="71"/>
      <c r="W3844" s="474"/>
      <c r="X3844" s="71"/>
      <c r="Y3844" s="71"/>
    </row>
    <row r="3845" spans="1:25" ht="30" hidden="1" customHeight="1" x14ac:dyDescent="0.25">
      <c r="A3845" s="1145">
        <v>44260</v>
      </c>
      <c r="B3845" s="664" t="s">
        <v>1220</v>
      </c>
      <c r="C3845" s="71" t="s">
        <v>2900</v>
      </c>
      <c r="D3845" s="71">
        <v>1</v>
      </c>
      <c r="E3845" s="102"/>
      <c r="F3845" s="102">
        <f t="shared" si="1927"/>
        <v>0</v>
      </c>
      <c r="G3845" s="102">
        <f t="shared" si="1928"/>
        <v>0</v>
      </c>
      <c r="H3845" s="690" t="s">
        <v>1431</v>
      </c>
      <c r="I3845" s="71" t="s">
        <v>1431</v>
      </c>
      <c r="J3845" s="53">
        <f t="shared" si="1929"/>
        <v>0</v>
      </c>
      <c r="K3845" s="63" t="e">
        <f t="shared" si="1936"/>
        <v>#DIV/0!</v>
      </c>
      <c r="L3845" s="871" t="s">
        <v>2907</v>
      </c>
      <c r="M3845" s="468"/>
      <c r="N3845" s="1192">
        <f t="shared" si="1937"/>
        <v>44260</v>
      </c>
      <c r="O3845" s="71" t="s">
        <v>1431</v>
      </c>
      <c r="P3845" s="164" t="str">
        <f t="shared" si="1938"/>
        <v>Actuator Assembly C/W bracket</v>
      </c>
      <c r="Q3845" s="71">
        <f t="shared" si="1939"/>
        <v>1</v>
      </c>
      <c r="R3845" s="102"/>
      <c r="S3845" s="102">
        <f t="shared" si="1930"/>
        <v>0</v>
      </c>
      <c r="T3845" s="102">
        <f t="shared" si="1931"/>
        <v>0</v>
      </c>
      <c r="U3845" s="71"/>
      <c r="V3845" s="71"/>
      <c r="W3845" s="474"/>
      <c r="X3845" s="71"/>
      <c r="Y3845" s="71"/>
    </row>
    <row r="3846" spans="1:25" ht="30" hidden="1" customHeight="1" x14ac:dyDescent="0.25">
      <c r="A3846" s="1145">
        <v>44263</v>
      </c>
      <c r="B3846" s="664" t="s">
        <v>442</v>
      </c>
      <c r="C3846" s="71" t="s">
        <v>773</v>
      </c>
      <c r="D3846" s="71">
        <v>6</v>
      </c>
      <c r="E3846" s="102">
        <v>192000</v>
      </c>
      <c r="F3846" s="102">
        <f>(E3846*D3846)*1.1</f>
        <v>1267200</v>
      </c>
      <c r="G3846" s="102">
        <f>(E3846*D3846)</f>
        <v>1152000</v>
      </c>
      <c r="H3846" s="690" t="s">
        <v>173</v>
      </c>
      <c r="I3846" s="71" t="s">
        <v>109</v>
      </c>
      <c r="J3846" s="53">
        <f t="shared" si="1929"/>
        <v>144000</v>
      </c>
      <c r="K3846" s="63">
        <f t="shared" si="1936"/>
        <v>0.125</v>
      </c>
      <c r="L3846" s="871" t="s">
        <v>2907</v>
      </c>
      <c r="M3846" s="468"/>
      <c r="N3846" s="1192">
        <f t="shared" si="1937"/>
        <v>44263</v>
      </c>
      <c r="O3846" s="71" t="s">
        <v>151</v>
      </c>
      <c r="P3846" s="164" t="str">
        <f t="shared" si="1938"/>
        <v>로랜드 전지 블랑켓(1460*1165)bar</v>
      </c>
      <c r="Q3846" s="71">
        <f t="shared" si="1939"/>
        <v>6</v>
      </c>
      <c r="R3846" s="102">
        <v>168000</v>
      </c>
      <c r="S3846" s="102">
        <f t="shared" si="1930"/>
        <v>1108800</v>
      </c>
      <c r="T3846" s="102">
        <f t="shared" si="1931"/>
        <v>1008000</v>
      </c>
      <c r="U3846" s="71" t="str">
        <f>IF(J3846=W3846,"O", "X")</f>
        <v>X</v>
      </c>
      <c r="V3846" s="71"/>
      <c r="W3846" s="474">
        <v>120000</v>
      </c>
      <c r="X3846" s="71"/>
      <c r="Y3846" s="71"/>
    </row>
    <row r="3847" spans="1:25" ht="30" hidden="1" customHeight="1" x14ac:dyDescent="0.25">
      <c r="A3847" s="1145">
        <v>44263</v>
      </c>
      <c r="B3847" s="664" t="s">
        <v>442</v>
      </c>
      <c r="C3847" s="71" t="s">
        <v>206</v>
      </c>
      <c r="D3847" s="71">
        <v>2</v>
      </c>
      <c r="E3847" s="102">
        <v>327000</v>
      </c>
      <c r="F3847" s="102">
        <f>(E3847*D3847)*1.1</f>
        <v>719400</v>
      </c>
      <c r="G3847" s="102">
        <f>(E3847*D3847)</f>
        <v>654000</v>
      </c>
      <c r="H3847" s="690" t="s">
        <v>2029</v>
      </c>
      <c r="I3847" s="71" t="s">
        <v>195</v>
      </c>
      <c r="J3847" s="53">
        <f t="shared" si="1929"/>
        <v>115800</v>
      </c>
      <c r="K3847" s="63">
        <f t="shared" si="1936"/>
        <v>0.17706422018348625</v>
      </c>
      <c r="L3847" s="871" t="s">
        <v>2907</v>
      </c>
      <c r="M3847" s="468"/>
      <c r="N3847" s="1192">
        <f t="shared" si="1937"/>
        <v>44263</v>
      </c>
      <c r="O3847" s="71" t="s">
        <v>194</v>
      </c>
      <c r="P3847" s="164" t="str">
        <f t="shared" si="1938"/>
        <v>Agfa Film(24inch)</v>
      </c>
      <c r="Q3847" s="71">
        <f t="shared" si="1939"/>
        <v>2</v>
      </c>
      <c r="R3847" s="102">
        <v>269100</v>
      </c>
      <c r="S3847" s="102">
        <f t="shared" si="1930"/>
        <v>592020</v>
      </c>
      <c r="T3847" s="102">
        <f t="shared" si="1931"/>
        <v>538200</v>
      </c>
      <c r="U3847" s="71" t="str">
        <f>IF(J3847=W3847,"O", "X")</f>
        <v>O</v>
      </c>
      <c r="V3847" s="71"/>
      <c r="W3847" s="474">
        <f>(G3847-T3847)</f>
        <v>115800</v>
      </c>
      <c r="X3847" s="71"/>
      <c r="Y3847" s="71"/>
    </row>
    <row r="3848" spans="1:25" ht="30" hidden="1" customHeight="1" x14ac:dyDescent="0.25">
      <c r="A3848" s="1145">
        <v>44263</v>
      </c>
      <c r="B3848" s="664" t="s">
        <v>442</v>
      </c>
      <c r="C3848" s="71" t="s">
        <v>207</v>
      </c>
      <c r="D3848" s="71">
        <v>2</v>
      </c>
      <c r="E3848" s="102">
        <v>401000</v>
      </c>
      <c r="F3848" s="102">
        <f>(E3848*D3848)*1.1</f>
        <v>882200.00000000012</v>
      </c>
      <c r="G3848" s="102">
        <f>(E3848*D3848)</f>
        <v>802000</v>
      </c>
      <c r="H3848" s="690" t="s">
        <v>2029</v>
      </c>
      <c r="I3848" s="71" t="s">
        <v>195</v>
      </c>
      <c r="J3848" s="53">
        <f t="shared" si="1929"/>
        <v>174080</v>
      </c>
      <c r="K3848" s="63">
        <f t="shared" si="1936"/>
        <v>0.21705735660847877</v>
      </c>
      <c r="L3848" s="871" t="s">
        <v>2907</v>
      </c>
      <c r="M3848" s="468"/>
      <c r="N3848" s="1192">
        <f t="shared" si="1937"/>
        <v>44263</v>
      </c>
      <c r="O3848" s="71" t="s">
        <v>194</v>
      </c>
      <c r="P3848" s="164" t="str">
        <f t="shared" si="1938"/>
        <v>Agfa Film(28inch)</v>
      </c>
      <c r="Q3848" s="71">
        <f t="shared" si="1939"/>
        <v>2</v>
      </c>
      <c r="R3848" s="102">
        <f>VLOOKUP(P3848,[5]Price!B$1:D$65536,3,FALSE)</f>
        <v>313960</v>
      </c>
      <c r="S3848" s="102">
        <f t="shared" si="1930"/>
        <v>690712</v>
      </c>
      <c r="T3848" s="102">
        <f t="shared" si="1931"/>
        <v>627920</v>
      </c>
      <c r="U3848" s="71" t="str">
        <f>IF(J3848=W3848,"O", "X")</f>
        <v>O</v>
      </c>
      <c r="V3848" s="71"/>
      <c r="W3848" s="474">
        <f>(G3848-T3848)</f>
        <v>174080</v>
      </c>
      <c r="X3848" s="71"/>
      <c r="Y3848" s="71"/>
    </row>
    <row r="3849" spans="1:25" ht="30" hidden="1" customHeight="1" x14ac:dyDescent="0.25">
      <c r="A3849" s="1145">
        <v>44263</v>
      </c>
      <c r="B3849" s="664" t="s">
        <v>442</v>
      </c>
      <c r="C3849" s="71" t="s">
        <v>208</v>
      </c>
      <c r="D3849" s="71">
        <v>2</v>
      </c>
      <c r="E3849" s="102">
        <v>448000</v>
      </c>
      <c r="F3849" s="102">
        <f>(E3849*D3849)*1.1</f>
        <v>985600.00000000012</v>
      </c>
      <c r="G3849" s="102">
        <f>(E3849*D3849)</f>
        <v>896000</v>
      </c>
      <c r="H3849" s="690" t="s">
        <v>2029</v>
      </c>
      <c r="I3849" s="71" t="s">
        <v>195</v>
      </c>
      <c r="J3849" s="53">
        <f t="shared" si="1929"/>
        <v>155980</v>
      </c>
      <c r="K3849" s="63">
        <f t="shared" si="1936"/>
        <v>0.1740848214285714</v>
      </c>
      <c r="L3849" s="871" t="s">
        <v>2907</v>
      </c>
      <c r="M3849" s="468"/>
      <c r="N3849" s="1192">
        <f t="shared" si="1937"/>
        <v>44263</v>
      </c>
      <c r="O3849" s="71" t="s">
        <v>194</v>
      </c>
      <c r="P3849" s="164" t="str">
        <f t="shared" si="1938"/>
        <v>Agfa Film(32inch)</v>
      </c>
      <c r="Q3849" s="71">
        <f t="shared" si="1939"/>
        <v>2</v>
      </c>
      <c r="R3849" s="102">
        <f>VLOOKUP(P3849,[5]Price!B$1:D$65536,3,FALSE)</f>
        <v>370010</v>
      </c>
      <c r="S3849" s="102">
        <f t="shared" si="1930"/>
        <v>814022.00000000012</v>
      </c>
      <c r="T3849" s="102">
        <f t="shared" si="1931"/>
        <v>740020</v>
      </c>
      <c r="U3849" s="71" t="str">
        <f>IF(J3849=W3849,"O", "X")</f>
        <v>O</v>
      </c>
      <c r="V3849" s="71"/>
      <c r="W3849" s="474">
        <f>(G3849-T3849)</f>
        <v>155980</v>
      </c>
      <c r="X3849" s="71"/>
      <c r="Y3849" s="71"/>
    </row>
    <row r="3850" spans="1:25" ht="30" hidden="1" customHeight="1" x14ac:dyDescent="0.25">
      <c r="A3850" s="1145">
        <v>44263</v>
      </c>
      <c r="B3850" s="664" t="s">
        <v>446</v>
      </c>
      <c r="C3850" s="71" t="s">
        <v>2028</v>
      </c>
      <c r="D3850" s="71">
        <v>20</v>
      </c>
      <c r="E3850" s="102">
        <v>105000</v>
      </c>
      <c r="F3850" s="102">
        <f>(E3850*D3850)*1.1</f>
        <v>2310000</v>
      </c>
      <c r="G3850" s="102">
        <f>(E3850*D3850)</f>
        <v>2100000</v>
      </c>
      <c r="H3850" s="690" t="s">
        <v>2029</v>
      </c>
      <c r="I3850" s="71" t="s">
        <v>2231</v>
      </c>
      <c r="J3850" s="53">
        <f t="shared" si="1929"/>
        <v>380000</v>
      </c>
      <c r="K3850" s="63">
        <f t="shared" si="1936"/>
        <v>0.18095238095238095</v>
      </c>
      <c r="L3850" s="871" t="s">
        <v>2907</v>
      </c>
      <c r="M3850" s="468" t="s">
        <v>3068</v>
      </c>
      <c r="N3850" s="1192">
        <f t="shared" si="1937"/>
        <v>44263</v>
      </c>
      <c r="O3850" s="71" t="s">
        <v>2030</v>
      </c>
      <c r="P3850" s="164" t="str">
        <f t="shared" si="1938"/>
        <v>실리콘 에멀전</v>
      </c>
      <c r="Q3850" s="71">
        <f t="shared" si="1939"/>
        <v>20</v>
      </c>
      <c r="R3850" s="102">
        <v>86000</v>
      </c>
      <c r="S3850" s="102">
        <f t="shared" si="1930"/>
        <v>1892000.0000000002</v>
      </c>
      <c r="T3850" s="102">
        <f t="shared" si="1931"/>
        <v>1720000</v>
      </c>
      <c r="U3850" s="71" t="str">
        <f>IF(J3850=W3850,"O", "X")</f>
        <v>O</v>
      </c>
      <c r="V3850" s="71">
        <f>7000*Q3850</f>
        <v>140000</v>
      </c>
      <c r="W3850" s="474">
        <f>(G3850-T3850)</f>
        <v>380000</v>
      </c>
      <c r="X3850" s="71"/>
      <c r="Y3850" s="71"/>
    </row>
    <row r="3851" spans="1:25" ht="30" hidden="1" customHeight="1" x14ac:dyDescent="0.25">
      <c r="A3851" s="1145">
        <v>44263</v>
      </c>
      <c r="B3851" s="664" t="s">
        <v>2155</v>
      </c>
      <c r="C3851" s="71" t="s">
        <v>2902</v>
      </c>
      <c r="D3851" s="71">
        <v>1</v>
      </c>
      <c r="E3851" s="102">
        <v>2600000</v>
      </c>
      <c r="F3851" s="102">
        <f t="shared" si="1927"/>
        <v>2860000</v>
      </c>
      <c r="G3851" s="102">
        <f t="shared" si="1928"/>
        <v>2600000</v>
      </c>
      <c r="H3851" s="690" t="s">
        <v>985</v>
      </c>
      <c r="I3851" s="71" t="s">
        <v>985</v>
      </c>
      <c r="J3851" s="53">
        <f t="shared" si="1929"/>
        <v>2600000</v>
      </c>
      <c r="K3851" s="63">
        <f t="shared" si="1936"/>
        <v>1</v>
      </c>
      <c r="L3851" s="871" t="s">
        <v>2907</v>
      </c>
      <c r="M3851" s="468"/>
      <c r="N3851" s="1192">
        <f t="shared" si="1937"/>
        <v>44263</v>
      </c>
      <c r="O3851" s="71"/>
      <c r="P3851" s="164" t="str">
        <f t="shared" si="1938"/>
        <v>드라이어 감리작업</v>
      </c>
      <c r="Q3851" s="71">
        <f t="shared" si="1939"/>
        <v>1</v>
      </c>
      <c r="R3851" s="102"/>
      <c r="S3851" s="102">
        <f t="shared" si="1930"/>
        <v>0</v>
      </c>
      <c r="T3851" s="102">
        <f t="shared" si="1931"/>
        <v>0</v>
      </c>
      <c r="U3851" s="71"/>
      <c r="V3851" s="71"/>
      <c r="W3851" s="474"/>
      <c r="X3851" s="71"/>
      <c r="Y3851" s="71"/>
    </row>
    <row r="3852" spans="1:25" ht="30" customHeight="1" x14ac:dyDescent="0.25">
      <c r="A3852" s="1145">
        <v>44263</v>
      </c>
      <c r="B3852" s="664" t="s">
        <v>565</v>
      </c>
      <c r="C3852" s="71" t="s">
        <v>2908</v>
      </c>
      <c r="D3852" s="71">
        <v>1</v>
      </c>
      <c r="E3852" s="102">
        <v>6100000</v>
      </c>
      <c r="F3852" s="102">
        <f t="shared" si="1927"/>
        <v>6710000.0000000009</v>
      </c>
      <c r="G3852" s="102">
        <f t="shared" si="1928"/>
        <v>6100000</v>
      </c>
      <c r="H3852" s="690" t="s">
        <v>142</v>
      </c>
      <c r="I3852" s="71" t="s">
        <v>142</v>
      </c>
      <c r="J3852" s="53">
        <f t="shared" si="1929"/>
        <v>1018582</v>
      </c>
      <c r="K3852" s="63">
        <f t="shared" si="1936"/>
        <v>0.1669806557377049</v>
      </c>
      <c r="L3852" s="871" t="s">
        <v>2907</v>
      </c>
      <c r="M3852" s="468"/>
      <c r="N3852" s="1192">
        <f t="shared" si="1937"/>
        <v>44263</v>
      </c>
      <c r="O3852" s="71" t="s">
        <v>1431</v>
      </c>
      <c r="P3852" s="164" t="str">
        <f t="shared" si="1938"/>
        <v>INK OCILLATION ROLLER</v>
      </c>
      <c r="Q3852" s="71">
        <f t="shared" si="1939"/>
        <v>1</v>
      </c>
      <c r="R3852" s="102">
        <v>5081418</v>
      </c>
      <c r="S3852" s="102">
        <f t="shared" si="1930"/>
        <v>5589559.8000000007</v>
      </c>
      <c r="T3852" s="102">
        <f t="shared" si="1931"/>
        <v>5081418</v>
      </c>
      <c r="U3852" s="71"/>
      <c r="V3852" s="71"/>
      <c r="W3852" s="474"/>
      <c r="X3852" s="71"/>
      <c r="Y3852" s="71"/>
    </row>
    <row r="3853" spans="1:25" s="209" customFormat="1" ht="30" hidden="1" customHeight="1" x14ac:dyDescent="0.25">
      <c r="A3853" s="1145">
        <v>44265</v>
      </c>
      <c r="B3853" s="664" t="s">
        <v>2155</v>
      </c>
      <c r="C3853" s="71" t="s">
        <v>138</v>
      </c>
      <c r="D3853" s="71">
        <v>10</v>
      </c>
      <c r="E3853" s="102">
        <v>47600</v>
      </c>
      <c r="F3853" s="102">
        <f>(E3853*D3853)*1.1</f>
        <v>523600.00000000006</v>
      </c>
      <c r="G3853" s="102">
        <f>(E3853*D3853)</f>
        <v>476000</v>
      </c>
      <c r="H3853" s="1129" t="s">
        <v>172</v>
      </c>
      <c r="I3853" s="71" t="s">
        <v>108</v>
      </c>
      <c r="J3853" s="53">
        <f t="shared" si="1929"/>
        <v>68000</v>
      </c>
      <c r="K3853" s="63">
        <f t="shared" si="1936"/>
        <v>0.14285714285714285</v>
      </c>
      <c r="L3853" s="871" t="s">
        <v>2907</v>
      </c>
      <c r="M3853" s="468" t="s">
        <v>2214</v>
      </c>
      <c r="N3853" s="1192">
        <f t="shared" si="1937"/>
        <v>44265</v>
      </c>
      <c r="O3853" s="71" t="s">
        <v>150</v>
      </c>
      <c r="P3853" s="164" t="str">
        <f t="shared" si="1938"/>
        <v>매엽용 세척제(Wash 562)</v>
      </c>
      <c r="Q3853" s="71">
        <f t="shared" si="1939"/>
        <v>10</v>
      </c>
      <c r="R3853" s="102">
        <v>40800</v>
      </c>
      <c r="S3853" s="102">
        <f t="shared" si="1930"/>
        <v>448800.00000000006</v>
      </c>
      <c r="T3853" s="102">
        <f t="shared" si="1931"/>
        <v>408000</v>
      </c>
      <c r="U3853" s="71" t="str">
        <f t="shared" ref="U3853:U3866" si="1940">IF(J3853=W3853,"O", "X")</f>
        <v>X</v>
      </c>
      <c r="V3853" s="71"/>
      <c r="W3853" s="474">
        <v>85000</v>
      </c>
      <c r="X3853" s="71"/>
      <c r="Y3853" s="71"/>
    </row>
    <row r="3854" spans="1:25" ht="30" hidden="1" customHeight="1" x14ac:dyDescent="0.25">
      <c r="A3854" s="1145">
        <v>44265</v>
      </c>
      <c r="B3854" s="664" t="s">
        <v>2155</v>
      </c>
      <c r="C3854" s="760" t="s">
        <v>218</v>
      </c>
      <c r="D3854" s="71">
        <v>5</v>
      </c>
      <c r="E3854" s="102">
        <v>192500</v>
      </c>
      <c r="F3854" s="102">
        <f>(E3854*D3854)*1.1</f>
        <v>1058750</v>
      </c>
      <c r="G3854" s="102">
        <f>(E3854*D3854)</f>
        <v>962500</v>
      </c>
      <c r="H3854" s="690" t="s">
        <v>173</v>
      </c>
      <c r="I3854" s="71" t="s">
        <v>120</v>
      </c>
      <c r="J3854" s="53">
        <f t="shared" si="1929"/>
        <v>400000</v>
      </c>
      <c r="K3854" s="63">
        <f t="shared" si="1936"/>
        <v>0.41558441558441561</v>
      </c>
      <c r="L3854" s="871" t="s">
        <v>2907</v>
      </c>
      <c r="M3854" s="468"/>
      <c r="N3854" s="1192">
        <f t="shared" si="1937"/>
        <v>44265</v>
      </c>
      <c r="O3854" s="71" t="s">
        <v>150</v>
      </c>
      <c r="P3854" s="164" t="str">
        <f t="shared" si="1938"/>
        <v>Fount Web 551AF</v>
      </c>
      <c r="Q3854" s="71">
        <f t="shared" si="1939"/>
        <v>5</v>
      </c>
      <c r="R3854" s="102">
        <v>112500</v>
      </c>
      <c r="S3854" s="102">
        <f t="shared" si="1930"/>
        <v>618750</v>
      </c>
      <c r="T3854" s="102">
        <f t="shared" si="1931"/>
        <v>562500</v>
      </c>
      <c r="U3854" s="71" t="str">
        <f t="shared" si="1940"/>
        <v>X</v>
      </c>
      <c r="V3854" s="71"/>
      <c r="W3854" s="474">
        <v>640000</v>
      </c>
      <c r="X3854" s="71"/>
      <c r="Y3854" s="71"/>
    </row>
    <row r="3855" spans="1:25" s="209" customFormat="1" ht="30" hidden="1" customHeight="1" x14ac:dyDescent="0.25">
      <c r="A3855" s="1145">
        <v>44265</v>
      </c>
      <c r="B3855" s="664" t="s">
        <v>567</v>
      </c>
      <c r="C3855" s="71" t="s">
        <v>236</v>
      </c>
      <c r="D3855" s="71">
        <v>10</v>
      </c>
      <c r="E3855" s="102">
        <v>65000</v>
      </c>
      <c r="F3855" s="102">
        <f t="shared" ref="F3855:F3877" si="1941">(E3855*D3855)*1.1</f>
        <v>715000</v>
      </c>
      <c r="G3855" s="102">
        <f t="shared" ref="G3855:G3877" si="1942">(E3855*D3855)</f>
        <v>650000</v>
      </c>
      <c r="H3855" s="690" t="s">
        <v>173</v>
      </c>
      <c r="I3855" s="71" t="s">
        <v>2231</v>
      </c>
      <c r="J3855" s="53">
        <f t="shared" si="1929"/>
        <v>150000</v>
      </c>
      <c r="K3855" s="63">
        <f t="shared" si="1936"/>
        <v>0.23076923076923078</v>
      </c>
      <c r="L3855" s="871" t="s">
        <v>2907</v>
      </c>
      <c r="M3855" s="468"/>
      <c r="N3855" s="1192">
        <f t="shared" si="1937"/>
        <v>44265</v>
      </c>
      <c r="O3855" s="71" t="s">
        <v>153</v>
      </c>
      <c r="P3855" s="164" t="str">
        <f t="shared" si="1938"/>
        <v>아스테이지(국전)</v>
      </c>
      <c r="Q3855" s="71">
        <f t="shared" si="1939"/>
        <v>10</v>
      </c>
      <c r="R3855" s="102">
        <v>50000</v>
      </c>
      <c r="S3855" s="102">
        <f t="shared" si="1930"/>
        <v>550000</v>
      </c>
      <c r="T3855" s="102">
        <f t="shared" si="1931"/>
        <v>500000</v>
      </c>
      <c r="U3855" s="71" t="str">
        <f t="shared" si="1940"/>
        <v>O</v>
      </c>
      <c r="V3855" s="71"/>
      <c r="W3855" s="474">
        <v>150000</v>
      </c>
      <c r="X3855" s="71"/>
      <c r="Y3855" s="71"/>
    </row>
    <row r="3856" spans="1:25" ht="30" customHeight="1" x14ac:dyDescent="0.25">
      <c r="A3856" s="1145">
        <v>44266</v>
      </c>
      <c r="B3856" s="664" t="s">
        <v>2352</v>
      </c>
      <c r="C3856" s="760" t="s">
        <v>218</v>
      </c>
      <c r="D3856" s="71">
        <v>4</v>
      </c>
      <c r="E3856" s="102">
        <v>235000</v>
      </c>
      <c r="F3856" s="102">
        <f t="shared" si="1941"/>
        <v>1034000.0000000001</v>
      </c>
      <c r="G3856" s="102">
        <f t="shared" si="1942"/>
        <v>940000</v>
      </c>
      <c r="H3856" s="690" t="s">
        <v>142</v>
      </c>
      <c r="I3856" s="71" t="s">
        <v>142</v>
      </c>
      <c r="J3856" s="53">
        <f t="shared" si="1929"/>
        <v>490000</v>
      </c>
      <c r="K3856" s="63">
        <f t="shared" si="1936"/>
        <v>0.52127659574468077</v>
      </c>
      <c r="L3856" s="871" t="s">
        <v>2907</v>
      </c>
      <c r="M3856" s="468" t="s">
        <v>2053</v>
      </c>
      <c r="N3856" s="1192">
        <f t="shared" si="1937"/>
        <v>44266</v>
      </c>
      <c r="O3856" s="71" t="s">
        <v>150</v>
      </c>
      <c r="P3856" s="164" t="str">
        <f t="shared" si="1938"/>
        <v>Fount Web 551AF</v>
      </c>
      <c r="Q3856" s="71">
        <f t="shared" si="1939"/>
        <v>4</v>
      </c>
      <c r="R3856" s="102">
        <v>112500</v>
      </c>
      <c r="S3856" s="102">
        <f t="shared" si="1930"/>
        <v>495000.00000000006</v>
      </c>
      <c r="T3856" s="102">
        <f t="shared" si="1931"/>
        <v>450000</v>
      </c>
      <c r="U3856" s="71" t="str">
        <f t="shared" si="1940"/>
        <v>O</v>
      </c>
      <c r="V3856" s="71"/>
      <c r="W3856" s="474">
        <f>(G3856-T3856)</f>
        <v>490000</v>
      </c>
      <c r="X3856" s="71"/>
      <c r="Y3856" s="71"/>
    </row>
    <row r="3857" spans="1:25" s="209" customFormat="1" ht="30" customHeight="1" x14ac:dyDescent="0.25">
      <c r="A3857" s="1145">
        <v>44266</v>
      </c>
      <c r="B3857" s="664" t="s">
        <v>2352</v>
      </c>
      <c r="C3857" s="71" t="s">
        <v>583</v>
      </c>
      <c r="D3857" s="71">
        <v>16</v>
      </c>
      <c r="E3857" s="102">
        <v>89000</v>
      </c>
      <c r="F3857" s="102">
        <f t="shared" si="1941"/>
        <v>1566400.0000000002</v>
      </c>
      <c r="G3857" s="102">
        <f t="shared" si="1942"/>
        <v>1424000</v>
      </c>
      <c r="H3857" s="690" t="s">
        <v>142</v>
      </c>
      <c r="I3857" s="71" t="s">
        <v>142</v>
      </c>
      <c r="J3857" s="53">
        <f t="shared" si="1929"/>
        <v>720000</v>
      </c>
      <c r="K3857" s="63">
        <f t="shared" si="1936"/>
        <v>0.50561797752808979</v>
      </c>
      <c r="L3857" s="871" t="s">
        <v>2907</v>
      </c>
      <c r="M3857" s="468" t="s">
        <v>2053</v>
      </c>
      <c r="N3857" s="1192">
        <f t="shared" si="1937"/>
        <v>44266</v>
      </c>
      <c r="O3857" s="71" t="s">
        <v>599</v>
      </c>
      <c r="P3857" s="164" t="str">
        <f t="shared" si="1938"/>
        <v>M600 윤전 세정포</v>
      </c>
      <c r="Q3857" s="71">
        <f t="shared" si="1939"/>
        <v>16</v>
      </c>
      <c r="R3857" s="102">
        <v>44000</v>
      </c>
      <c r="S3857" s="102">
        <f t="shared" si="1930"/>
        <v>774400.00000000012</v>
      </c>
      <c r="T3857" s="102">
        <f t="shared" si="1931"/>
        <v>704000</v>
      </c>
      <c r="U3857" s="71" t="str">
        <f t="shared" si="1940"/>
        <v>O</v>
      </c>
      <c r="V3857" s="71"/>
      <c r="W3857" s="474">
        <f>(G3857-T3857)</f>
        <v>720000</v>
      </c>
      <c r="X3857" s="71"/>
      <c r="Y3857" s="71"/>
    </row>
    <row r="3858" spans="1:25" ht="30" hidden="1" customHeight="1" x14ac:dyDescent="0.2">
      <c r="A3858" s="1145">
        <v>44266</v>
      </c>
      <c r="B3858" s="664" t="s">
        <v>2353</v>
      </c>
      <c r="C3858" s="71" t="s">
        <v>129</v>
      </c>
      <c r="D3858" s="71">
        <v>7</v>
      </c>
      <c r="E3858" s="102">
        <v>272000</v>
      </c>
      <c r="F3858" s="102">
        <f t="shared" si="1941"/>
        <v>2094400.0000000002</v>
      </c>
      <c r="G3858" s="102">
        <f t="shared" si="1942"/>
        <v>1904000</v>
      </c>
      <c r="H3858" s="165" t="s">
        <v>142</v>
      </c>
      <c r="I3858" s="71" t="s">
        <v>142</v>
      </c>
      <c r="J3858" s="53">
        <f t="shared" si="1929"/>
        <v>414400</v>
      </c>
      <c r="K3858" s="63">
        <f t="shared" si="1936"/>
        <v>0.21764705882352939</v>
      </c>
      <c r="L3858" s="871" t="s">
        <v>2907</v>
      </c>
      <c r="M3858" s="468" t="s">
        <v>2050</v>
      </c>
      <c r="N3858" s="1192">
        <f t="shared" si="1937"/>
        <v>44266</v>
      </c>
      <c r="O3858" s="71" t="s">
        <v>149</v>
      </c>
      <c r="P3858" s="164" t="str">
        <f t="shared" si="1938"/>
        <v>세정포-XL106</v>
      </c>
      <c r="Q3858" s="71">
        <f t="shared" si="1939"/>
        <v>7</v>
      </c>
      <c r="R3858" s="102">
        <v>212800</v>
      </c>
      <c r="S3858" s="102">
        <f t="shared" si="1930"/>
        <v>1638560.0000000002</v>
      </c>
      <c r="T3858" s="102">
        <f t="shared" si="1931"/>
        <v>1489600</v>
      </c>
      <c r="U3858" s="71" t="str">
        <f t="shared" si="1940"/>
        <v>O</v>
      </c>
      <c r="V3858" s="71"/>
      <c r="W3858" s="474">
        <f>(G3858-T3858)</f>
        <v>414400</v>
      </c>
      <c r="X3858" s="71"/>
      <c r="Y3858" s="71"/>
    </row>
    <row r="3859" spans="1:25" ht="30" hidden="1" customHeight="1" x14ac:dyDescent="0.25">
      <c r="A3859" s="1145">
        <v>44267</v>
      </c>
      <c r="B3859" s="664" t="s">
        <v>690</v>
      </c>
      <c r="C3859" s="71" t="s">
        <v>1186</v>
      </c>
      <c r="D3859" s="71">
        <v>500</v>
      </c>
      <c r="E3859" s="102">
        <v>3420</v>
      </c>
      <c r="F3859" s="102">
        <f t="shared" si="1941"/>
        <v>1881000.0000000002</v>
      </c>
      <c r="G3859" s="102">
        <f t="shared" si="1942"/>
        <v>1710000</v>
      </c>
      <c r="H3859" s="690" t="s">
        <v>173</v>
      </c>
      <c r="I3859" s="71" t="s">
        <v>2230</v>
      </c>
      <c r="J3859" s="53">
        <f t="shared" si="1929"/>
        <v>-190000</v>
      </c>
      <c r="K3859" s="63">
        <f t="shared" si="1936"/>
        <v>-0.11111111111111109</v>
      </c>
      <c r="L3859" s="871" t="s">
        <v>2907</v>
      </c>
      <c r="M3859" s="468" t="s">
        <v>1393</v>
      </c>
      <c r="N3859" s="1192">
        <f t="shared" si="1937"/>
        <v>44267</v>
      </c>
      <c r="O3859" s="71" t="s">
        <v>145</v>
      </c>
      <c r="P3859" s="164" t="str">
        <f t="shared" si="1938"/>
        <v>CTP 판(1030*790mm)</v>
      </c>
      <c r="Q3859" s="71">
        <f t="shared" si="1939"/>
        <v>500</v>
      </c>
      <c r="R3859" s="102">
        <v>3800</v>
      </c>
      <c r="S3859" s="102">
        <f t="shared" si="1930"/>
        <v>2090000.0000000002</v>
      </c>
      <c r="T3859" s="102">
        <f t="shared" si="1931"/>
        <v>1900000</v>
      </c>
      <c r="U3859" s="71" t="str">
        <f t="shared" si="1940"/>
        <v>X</v>
      </c>
      <c r="V3859" s="71"/>
      <c r="W3859" s="474">
        <v>-200000</v>
      </c>
      <c r="X3859" s="71"/>
      <c r="Y3859" s="71"/>
    </row>
    <row r="3860" spans="1:25" ht="30" hidden="1" customHeight="1" x14ac:dyDescent="0.25">
      <c r="A3860" s="1145">
        <v>44267</v>
      </c>
      <c r="B3860" s="664" t="s">
        <v>690</v>
      </c>
      <c r="C3860" s="71" t="s">
        <v>197</v>
      </c>
      <c r="D3860" s="71">
        <v>3</v>
      </c>
      <c r="E3860" s="102">
        <v>46000</v>
      </c>
      <c r="F3860" s="102">
        <f t="shared" si="1941"/>
        <v>151800</v>
      </c>
      <c r="G3860" s="102">
        <f t="shared" si="1942"/>
        <v>138000</v>
      </c>
      <c r="H3860" s="690" t="s">
        <v>173</v>
      </c>
      <c r="I3860" s="71" t="s">
        <v>2230</v>
      </c>
      <c r="J3860" s="53">
        <f t="shared" si="1929"/>
        <v>33000</v>
      </c>
      <c r="K3860" s="63">
        <f t="shared" si="1936"/>
        <v>0.2391304347826087</v>
      </c>
      <c r="L3860" s="871" t="s">
        <v>2907</v>
      </c>
      <c r="M3860" s="468" t="s">
        <v>1394</v>
      </c>
      <c r="N3860" s="1192">
        <f t="shared" si="1937"/>
        <v>44267</v>
      </c>
      <c r="O3860" s="71" t="s">
        <v>145</v>
      </c>
      <c r="P3860" s="164" t="str">
        <f t="shared" si="1938"/>
        <v>THR200(20L)</v>
      </c>
      <c r="Q3860" s="71">
        <f t="shared" si="1939"/>
        <v>3</v>
      </c>
      <c r="R3860" s="102">
        <v>35000</v>
      </c>
      <c r="S3860" s="102">
        <f t="shared" si="1930"/>
        <v>115500.00000000001</v>
      </c>
      <c r="T3860" s="102">
        <f t="shared" si="1931"/>
        <v>105000</v>
      </c>
      <c r="U3860" s="71" t="str">
        <f t="shared" si="1940"/>
        <v>X</v>
      </c>
      <c r="V3860" s="71"/>
      <c r="W3860" s="474"/>
      <c r="X3860" s="71"/>
      <c r="Y3860" s="71"/>
    </row>
    <row r="3861" spans="1:25" ht="30" hidden="1" customHeight="1" x14ac:dyDescent="0.25">
      <c r="A3861" s="1145">
        <v>44267</v>
      </c>
      <c r="B3861" s="664" t="s">
        <v>690</v>
      </c>
      <c r="C3861" s="71" t="s">
        <v>752</v>
      </c>
      <c r="D3861" s="71">
        <v>1</v>
      </c>
      <c r="E3861" s="102">
        <v>79000</v>
      </c>
      <c r="F3861" s="102">
        <f t="shared" si="1941"/>
        <v>86900</v>
      </c>
      <c r="G3861" s="102">
        <f t="shared" si="1942"/>
        <v>79000</v>
      </c>
      <c r="H3861" s="690" t="s">
        <v>173</v>
      </c>
      <c r="I3861" s="71" t="s">
        <v>2230</v>
      </c>
      <c r="J3861" s="53">
        <f t="shared" si="1929"/>
        <v>14000</v>
      </c>
      <c r="K3861" s="63">
        <f t="shared" si="1936"/>
        <v>0.17721518987341772</v>
      </c>
      <c r="L3861" s="871" t="s">
        <v>2907</v>
      </c>
      <c r="M3861" s="468"/>
      <c r="N3861" s="1192">
        <f t="shared" si="1937"/>
        <v>44267</v>
      </c>
      <c r="O3861" s="71" t="s">
        <v>145</v>
      </c>
      <c r="P3861" s="164" t="str">
        <f t="shared" si="1938"/>
        <v>RC795(20L)</v>
      </c>
      <c r="Q3861" s="71">
        <f t="shared" si="1939"/>
        <v>1</v>
      </c>
      <c r="R3861" s="102">
        <v>65000</v>
      </c>
      <c r="S3861" s="102">
        <f t="shared" si="1930"/>
        <v>71500</v>
      </c>
      <c r="T3861" s="102">
        <f t="shared" si="1931"/>
        <v>65000</v>
      </c>
      <c r="U3861" s="71" t="str">
        <f t="shared" si="1940"/>
        <v>O</v>
      </c>
      <c r="V3861" s="71"/>
      <c r="W3861" s="474">
        <f>(G3861-T3861)</f>
        <v>14000</v>
      </c>
      <c r="X3861" s="71"/>
      <c r="Y3861" s="71"/>
    </row>
    <row r="3862" spans="1:25" ht="30" hidden="1" customHeight="1" x14ac:dyDescent="0.25">
      <c r="A3862" s="1145">
        <v>44268</v>
      </c>
      <c r="B3862" s="664" t="s">
        <v>545</v>
      </c>
      <c r="C3862" s="71" t="s">
        <v>227</v>
      </c>
      <c r="D3862" s="71">
        <v>10</v>
      </c>
      <c r="E3862" s="102">
        <v>110000</v>
      </c>
      <c r="F3862" s="102">
        <f t="shared" si="1941"/>
        <v>1210000</v>
      </c>
      <c r="G3862" s="102">
        <f t="shared" si="1942"/>
        <v>1100000</v>
      </c>
      <c r="H3862" s="690" t="s">
        <v>173</v>
      </c>
      <c r="I3862" s="71" t="s">
        <v>109</v>
      </c>
      <c r="J3862" s="53">
        <f t="shared" si="1929"/>
        <v>271000</v>
      </c>
      <c r="K3862" s="63">
        <f t="shared" si="1936"/>
        <v>0.24636363636363637</v>
      </c>
      <c r="L3862" s="871" t="s">
        <v>2907</v>
      </c>
      <c r="M3862" s="468"/>
      <c r="N3862" s="1192">
        <f t="shared" si="1937"/>
        <v>44268</v>
      </c>
      <c r="O3862" s="71" t="s">
        <v>147</v>
      </c>
      <c r="P3862" s="164" t="str">
        <f t="shared" si="1938"/>
        <v>Blanket(1060*860)</v>
      </c>
      <c r="Q3862" s="71">
        <f t="shared" si="1939"/>
        <v>10</v>
      </c>
      <c r="R3862" s="102">
        <v>82900</v>
      </c>
      <c r="S3862" s="102">
        <f t="shared" si="1930"/>
        <v>911900.00000000012</v>
      </c>
      <c r="T3862" s="102">
        <f t="shared" si="1931"/>
        <v>829000</v>
      </c>
      <c r="U3862" s="71" t="str">
        <f t="shared" si="1940"/>
        <v>O</v>
      </c>
      <c r="V3862" s="71"/>
      <c r="W3862" s="474">
        <f>(G3862-T3862)</f>
        <v>271000</v>
      </c>
      <c r="X3862" s="71"/>
      <c r="Y3862" s="71"/>
    </row>
    <row r="3863" spans="1:25" s="209" customFormat="1" ht="30" hidden="1" customHeight="1" x14ac:dyDescent="0.2">
      <c r="A3863" s="1145">
        <v>44270</v>
      </c>
      <c r="B3863" s="664" t="s">
        <v>2155</v>
      </c>
      <c r="C3863" s="71" t="s">
        <v>231</v>
      </c>
      <c r="D3863" s="71">
        <v>10</v>
      </c>
      <c r="E3863" s="102">
        <v>120000</v>
      </c>
      <c r="F3863" s="102">
        <f t="shared" si="1941"/>
        <v>1320000</v>
      </c>
      <c r="G3863" s="102">
        <f t="shared" si="1942"/>
        <v>1200000</v>
      </c>
      <c r="H3863" s="165" t="s">
        <v>172</v>
      </c>
      <c r="I3863" s="71" t="s">
        <v>109</v>
      </c>
      <c r="J3863" s="53">
        <f t="shared" si="1929"/>
        <v>80000</v>
      </c>
      <c r="K3863" s="63">
        <f t="shared" si="1936"/>
        <v>6.6666666666666666E-2</v>
      </c>
      <c r="L3863" s="871" t="s">
        <v>2907</v>
      </c>
      <c r="M3863" s="468"/>
      <c r="N3863" s="1192">
        <f t="shared" si="1937"/>
        <v>44270</v>
      </c>
      <c r="O3863" s="71" t="s">
        <v>151</v>
      </c>
      <c r="P3863" s="164" t="str">
        <f t="shared" si="1938"/>
        <v>Blanket(990*725)</v>
      </c>
      <c r="Q3863" s="71">
        <f t="shared" si="1939"/>
        <v>10</v>
      </c>
      <c r="R3863" s="102">
        <v>112000</v>
      </c>
      <c r="S3863" s="102">
        <f t="shared" si="1930"/>
        <v>1232000</v>
      </c>
      <c r="T3863" s="102">
        <f t="shared" si="1931"/>
        <v>1120000</v>
      </c>
      <c r="U3863" s="71" t="str">
        <f t="shared" si="1940"/>
        <v>O</v>
      </c>
      <c r="V3863" s="71"/>
      <c r="W3863" s="474">
        <v>80000</v>
      </c>
      <c r="X3863" s="71"/>
      <c r="Y3863" s="71"/>
    </row>
    <row r="3864" spans="1:25" s="209" customFormat="1" ht="30" hidden="1" customHeight="1" x14ac:dyDescent="0.2">
      <c r="A3864" s="1145">
        <v>44270</v>
      </c>
      <c r="B3864" s="664" t="s">
        <v>2261</v>
      </c>
      <c r="C3864" s="71" t="s">
        <v>107</v>
      </c>
      <c r="D3864" s="71">
        <v>10</v>
      </c>
      <c r="E3864" s="102">
        <v>108000</v>
      </c>
      <c r="F3864" s="102">
        <f t="shared" si="1941"/>
        <v>1188000</v>
      </c>
      <c r="G3864" s="102">
        <f t="shared" si="1942"/>
        <v>1080000</v>
      </c>
      <c r="H3864" s="165" t="s">
        <v>172</v>
      </c>
      <c r="I3864" s="71" t="s">
        <v>109</v>
      </c>
      <c r="J3864" s="53">
        <f t="shared" si="1929"/>
        <v>275000</v>
      </c>
      <c r="K3864" s="63">
        <f t="shared" si="1936"/>
        <v>0.25462962962962965</v>
      </c>
      <c r="L3864" s="871" t="s">
        <v>2907</v>
      </c>
      <c r="M3864" s="468"/>
      <c r="N3864" s="1192">
        <f t="shared" si="1937"/>
        <v>44270</v>
      </c>
      <c r="O3864" s="71" t="s">
        <v>147</v>
      </c>
      <c r="P3864" s="164" t="str">
        <f t="shared" si="1938"/>
        <v>Blanket(1050*840)</v>
      </c>
      <c r="Q3864" s="71">
        <f t="shared" si="1939"/>
        <v>10</v>
      </c>
      <c r="R3864" s="102">
        <v>80500</v>
      </c>
      <c r="S3864" s="102">
        <f t="shared" si="1930"/>
        <v>885500.00000000012</v>
      </c>
      <c r="T3864" s="102">
        <f t="shared" si="1931"/>
        <v>805000</v>
      </c>
      <c r="U3864" s="71" t="str">
        <f t="shared" si="1940"/>
        <v>O</v>
      </c>
      <c r="V3864" s="71"/>
      <c r="W3864" s="474">
        <v>275000</v>
      </c>
      <c r="X3864" s="71"/>
      <c r="Y3864" s="71"/>
    </row>
    <row r="3865" spans="1:25" s="209" customFormat="1" ht="30" hidden="1" customHeight="1" x14ac:dyDescent="0.25">
      <c r="A3865" s="1145">
        <v>44270</v>
      </c>
      <c r="B3865" s="664" t="s">
        <v>2155</v>
      </c>
      <c r="C3865" s="71" t="s">
        <v>138</v>
      </c>
      <c r="D3865" s="71">
        <v>5</v>
      </c>
      <c r="E3865" s="102">
        <v>47600</v>
      </c>
      <c r="F3865" s="102">
        <f t="shared" si="1941"/>
        <v>261800.00000000003</v>
      </c>
      <c r="G3865" s="102">
        <f t="shared" si="1942"/>
        <v>238000</v>
      </c>
      <c r="H3865" s="1129" t="s">
        <v>172</v>
      </c>
      <c r="I3865" s="71" t="s">
        <v>108</v>
      </c>
      <c r="J3865" s="53">
        <f t="shared" si="1929"/>
        <v>34000</v>
      </c>
      <c r="K3865" s="63">
        <f t="shared" si="1936"/>
        <v>0.14285714285714285</v>
      </c>
      <c r="L3865" s="871" t="s">
        <v>2907</v>
      </c>
      <c r="M3865" s="468" t="s">
        <v>2214</v>
      </c>
      <c r="N3865" s="1192">
        <f t="shared" si="1937"/>
        <v>44270</v>
      </c>
      <c r="O3865" s="71" t="s">
        <v>150</v>
      </c>
      <c r="P3865" s="164" t="str">
        <f t="shared" si="1938"/>
        <v>매엽용 세척제(Wash 562)</v>
      </c>
      <c r="Q3865" s="71">
        <f t="shared" si="1939"/>
        <v>5</v>
      </c>
      <c r="R3865" s="102">
        <v>40800</v>
      </c>
      <c r="S3865" s="102">
        <f t="shared" si="1930"/>
        <v>224400.00000000003</v>
      </c>
      <c r="T3865" s="102">
        <f t="shared" si="1931"/>
        <v>204000</v>
      </c>
      <c r="U3865" s="71" t="str">
        <f t="shared" si="1940"/>
        <v>X</v>
      </c>
      <c r="V3865" s="71"/>
      <c r="W3865" s="474">
        <v>85000</v>
      </c>
      <c r="X3865" s="71"/>
      <c r="Y3865" s="71"/>
    </row>
    <row r="3866" spans="1:25" ht="30" hidden="1" customHeight="1" x14ac:dyDescent="0.25">
      <c r="A3866" s="1145">
        <v>44270</v>
      </c>
      <c r="B3866" s="664" t="s">
        <v>2155</v>
      </c>
      <c r="C3866" s="71" t="s">
        <v>277</v>
      </c>
      <c r="D3866" s="71">
        <v>5</v>
      </c>
      <c r="E3866" s="102">
        <v>172000</v>
      </c>
      <c r="F3866" s="102">
        <f t="shared" si="1941"/>
        <v>946000.00000000012</v>
      </c>
      <c r="G3866" s="102">
        <f t="shared" si="1942"/>
        <v>860000</v>
      </c>
      <c r="H3866" s="690" t="s">
        <v>173</v>
      </c>
      <c r="I3866" s="71" t="s">
        <v>108</v>
      </c>
      <c r="J3866" s="53">
        <f t="shared" si="1929"/>
        <v>285000</v>
      </c>
      <c r="K3866" s="63">
        <f t="shared" si="1936"/>
        <v>0.33139534883720928</v>
      </c>
      <c r="L3866" s="871" t="s">
        <v>2907</v>
      </c>
      <c r="M3866" s="468"/>
      <c r="N3866" s="1192">
        <f t="shared" si="1937"/>
        <v>44270</v>
      </c>
      <c r="O3866" s="71" t="s">
        <v>150</v>
      </c>
      <c r="P3866" s="164" t="str">
        <f t="shared" si="1938"/>
        <v>윤전용 세척제(Web 504)</v>
      </c>
      <c r="Q3866" s="71">
        <f t="shared" si="1939"/>
        <v>5</v>
      </c>
      <c r="R3866" s="102">
        <v>115000</v>
      </c>
      <c r="S3866" s="102">
        <f t="shared" si="1930"/>
        <v>632500</v>
      </c>
      <c r="T3866" s="102">
        <f t="shared" si="1931"/>
        <v>575000</v>
      </c>
      <c r="U3866" s="71" t="str">
        <f t="shared" si="1940"/>
        <v>O</v>
      </c>
      <c r="V3866" s="71"/>
      <c r="W3866" s="474">
        <v>285000</v>
      </c>
      <c r="X3866" s="71"/>
      <c r="Y3866" s="71"/>
    </row>
    <row r="3867" spans="1:25" ht="30" hidden="1" customHeight="1" x14ac:dyDescent="0.25">
      <c r="A3867" s="1145">
        <v>44270</v>
      </c>
      <c r="B3867" s="664" t="s">
        <v>575</v>
      </c>
      <c r="C3867" s="71" t="s">
        <v>2914</v>
      </c>
      <c r="D3867" s="71">
        <v>6</v>
      </c>
      <c r="E3867" s="102">
        <v>5000</v>
      </c>
      <c r="F3867" s="102">
        <f t="shared" si="1941"/>
        <v>33000</v>
      </c>
      <c r="G3867" s="102">
        <f t="shared" si="1942"/>
        <v>30000</v>
      </c>
      <c r="H3867" s="690" t="s">
        <v>1431</v>
      </c>
      <c r="I3867" s="71" t="s">
        <v>113</v>
      </c>
      <c r="J3867" s="53">
        <f t="shared" si="1929"/>
        <v>-20000</v>
      </c>
      <c r="K3867" s="63">
        <f t="shared" si="1936"/>
        <v>-0.66666666666666663</v>
      </c>
      <c r="L3867" s="871" t="s">
        <v>2881</v>
      </c>
      <c r="M3867" s="468"/>
      <c r="N3867" s="1192">
        <f t="shared" si="1937"/>
        <v>44270</v>
      </c>
      <c r="O3867" s="71" t="s">
        <v>2122</v>
      </c>
      <c r="P3867" s="164" t="str">
        <f t="shared" si="1938"/>
        <v>광 케이블 커넥터</v>
      </c>
      <c r="Q3867" s="71">
        <v>1</v>
      </c>
      <c r="R3867" s="102">
        <v>50000</v>
      </c>
      <c r="S3867" s="102">
        <f t="shared" si="1930"/>
        <v>55000.000000000007</v>
      </c>
      <c r="T3867" s="102">
        <f t="shared" si="1931"/>
        <v>50000</v>
      </c>
      <c r="U3867" s="71"/>
      <c r="V3867" s="71"/>
      <c r="W3867" s="474"/>
      <c r="X3867" s="71"/>
      <c r="Y3867" s="71"/>
    </row>
    <row r="3868" spans="1:25" ht="30" hidden="1" customHeight="1" x14ac:dyDescent="0.25">
      <c r="A3868" s="1145">
        <v>44270</v>
      </c>
      <c r="B3868" s="664" t="s">
        <v>575</v>
      </c>
      <c r="C3868" s="71" t="s">
        <v>2119</v>
      </c>
      <c r="D3868" s="71">
        <v>1</v>
      </c>
      <c r="E3868" s="102">
        <v>50000</v>
      </c>
      <c r="F3868" s="102">
        <f t="shared" si="1941"/>
        <v>55000.000000000007</v>
      </c>
      <c r="G3868" s="102">
        <f t="shared" si="1942"/>
        <v>50000</v>
      </c>
      <c r="H3868" s="690" t="s">
        <v>1431</v>
      </c>
      <c r="I3868" s="71" t="s">
        <v>113</v>
      </c>
      <c r="J3868" s="53">
        <f t="shared" ref="J3868:J3899" si="1943">G3868-T3868</f>
        <v>30000</v>
      </c>
      <c r="K3868" s="63">
        <f t="shared" si="1936"/>
        <v>0.59999999999999987</v>
      </c>
      <c r="L3868" s="871" t="s">
        <v>2881</v>
      </c>
      <c r="M3868" s="468"/>
      <c r="N3868" s="1192">
        <f t="shared" si="1937"/>
        <v>44270</v>
      </c>
      <c r="O3868" s="71" t="s">
        <v>2122</v>
      </c>
      <c r="P3868" s="164" t="str">
        <f t="shared" si="1938"/>
        <v>콘덴서</v>
      </c>
      <c r="Q3868" s="71">
        <f t="shared" si="1939"/>
        <v>1</v>
      </c>
      <c r="R3868" s="102">
        <v>20000</v>
      </c>
      <c r="S3868" s="102">
        <f t="shared" ref="S3868:S3899" si="1944">R3868*Q3868*1.1</f>
        <v>22000</v>
      </c>
      <c r="T3868" s="102">
        <f t="shared" ref="T3868:T3899" si="1945">R3868*Q3868</f>
        <v>20000</v>
      </c>
      <c r="U3868" s="71"/>
      <c r="V3868" s="71"/>
      <c r="W3868" s="474"/>
      <c r="X3868" s="71"/>
      <c r="Y3868" s="71"/>
    </row>
    <row r="3869" spans="1:25" ht="30" hidden="1" customHeight="1" x14ac:dyDescent="0.25">
      <c r="A3869" s="1145">
        <v>44270</v>
      </c>
      <c r="B3869" s="664" t="s">
        <v>575</v>
      </c>
      <c r="C3869" s="71" t="s">
        <v>1849</v>
      </c>
      <c r="D3869" s="71">
        <v>1</v>
      </c>
      <c r="E3869" s="102">
        <v>380000</v>
      </c>
      <c r="F3869" s="102">
        <f t="shared" si="1941"/>
        <v>418000.00000000006</v>
      </c>
      <c r="G3869" s="102">
        <f t="shared" si="1942"/>
        <v>380000</v>
      </c>
      <c r="H3869" s="690" t="s">
        <v>1431</v>
      </c>
      <c r="I3869" s="71" t="s">
        <v>113</v>
      </c>
      <c r="J3869" s="53">
        <f t="shared" si="1943"/>
        <v>60000</v>
      </c>
      <c r="K3869" s="63">
        <f t="shared" si="1936"/>
        <v>0.15789473684210523</v>
      </c>
      <c r="L3869" s="871" t="s">
        <v>2907</v>
      </c>
      <c r="M3869" s="468"/>
      <c r="N3869" s="1192">
        <f t="shared" si="1937"/>
        <v>44270</v>
      </c>
      <c r="O3869" s="71" t="s">
        <v>2122</v>
      </c>
      <c r="P3869" s="164" t="str">
        <f t="shared" si="1938"/>
        <v>냉각 팬 모터</v>
      </c>
      <c r="Q3869" s="71">
        <f t="shared" si="1939"/>
        <v>1</v>
      </c>
      <c r="R3869" s="102">
        <v>320000</v>
      </c>
      <c r="S3869" s="102">
        <f t="shared" si="1944"/>
        <v>352000</v>
      </c>
      <c r="T3869" s="102">
        <f t="shared" si="1945"/>
        <v>320000</v>
      </c>
      <c r="U3869" s="71"/>
      <c r="V3869" s="71"/>
      <c r="W3869" s="474"/>
      <c r="X3869" s="71"/>
      <c r="Y3869" s="71"/>
    </row>
    <row r="3870" spans="1:25" ht="30" hidden="1" customHeight="1" x14ac:dyDescent="0.25">
      <c r="A3870" s="1145">
        <v>44270</v>
      </c>
      <c r="B3870" s="664" t="s">
        <v>575</v>
      </c>
      <c r="C3870" s="71" t="s">
        <v>1793</v>
      </c>
      <c r="D3870" s="71">
        <v>1</v>
      </c>
      <c r="E3870" s="102">
        <v>600000</v>
      </c>
      <c r="F3870" s="102">
        <f t="shared" si="1941"/>
        <v>660000</v>
      </c>
      <c r="G3870" s="102">
        <f t="shared" si="1942"/>
        <v>600000</v>
      </c>
      <c r="H3870" s="690" t="s">
        <v>1431</v>
      </c>
      <c r="I3870" s="71" t="s">
        <v>113</v>
      </c>
      <c r="J3870" s="53">
        <f t="shared" si="1943"/>
        <v>214000</v>
      </c>
      <c r="K3870" s="63">
        <f t="shared" si="1936"/>
        <v>0.35666666666666669</v>
      </c>
      <c r="L3870" s="871" t="s">
        <v>2907</v>
      </c>
      <c r="M3870" s="468"/>
      <c r="N3870" s="1192">
        <f t="shared" si="1937"/>
        <v>44270</v>
      </c>
      <c r="O3870" s="71" t="s">
        <v>2122</v>
      </c>
      <c r="P3870" s="164" t="str">
        <f t="shared" si="1938"/>
        <v>파워 서플라이</v>
      </c>
      <c r="Q3870" s="71">
        <f t="shared" si="1939"/>
        <v>1</v>
      </c>
      <c r="R3870" s="102">
        <v>386000</v>
      </c>
      <c r="S3870" s="102">
        <f t="shared" si="1944"/>
        <v>424600.00000000006</v>
      </c>
      <c r="T3870" s="102">
        <f t="shared" si="1945"/>
        <v>386000</v>
      </c>
      <c r="U3870" s="71"/>
      <c r="V3870" s="71"/>
      <c r="W3870" s="474"/>
      <c r="X3870" s="71"/>
      <c r="Y3870" s="71"/>
    </row>
    <row r="3871" spans="1:25" s="209" customFormat="1" ht="30" hidden="1" customHeight="1" x14ac:dyDescent="0.2">
      <c r="A3871" s="1145">
        <v>44272</v>
      </c>
      <c r="B3871" s="664" t="s">
        <v>564</v>
      </c>
      <c r="C3871" s="71" t="s">
        <v>805</v>
      </c>
      <c r="D3871" s="71">
        <v>2</v>
      </c>
      <c r="E3871" s="102">
        <v>270000</v>
      </c>
      <c r="F3871" s="163">
        <f t="shared" si="1941"/>
        <v>594000</v>
      </c>
      <c r="G3871" s="102">
        <f t="shared" si="1942"/>
        <v>540000</v>
      </c>
      <c r="H3871" s="165" t="s">
        <v>173</v>
      </c>
      <c r="I3871" s="71" t="s">
        <v>120</v>
      </c>
      <c r="J3871" s="53">
        <f t="shared" si="1943"/>
        <v>260000</v>
      </c>
      <c r="K3871" s="63">
        <f t="shared" si="1936"/>
        <v>0.48148148148148145</v>
      </c>
      <c r="L3871" s="871" t="s">
        <v>2907</v>
      </c>
      <c r="M3871" s="468"/>
      <c r="N3871" s="1192">
        <f t="shared" si="1937"/>
        <v>44272</v>
      </c>
      <c r="O3871" s="71" t="s">
        <v>150</v>
      </c>
      <c r="P3871" s="164" t="str">
        <f t="shared" si="1938"/>
        <v>Fount 554</v>
      </c>
      <c r="Q3871" s="71">
        <f t="shared" si="1939"/>
        <v>2</v>
      </c>
      <c r="R3871" s="102">
        <v>140000</v>
      </c>
      <c r="S3871" s="102">
        <f t="shared" si="1944"/>
        <v>308000</v>
      </c>
      <c r="T3871" s="102">
        <f t="shared" si="1945"/>
        <v>280000</v>
      </c>
      <c r="U3871" s="71" t="s">
        <v>859</v>
      </c>
      <c r="V3871" s="71"/>
      <c r="W3871" s="474">
        <v>260000</v>
      </c>
      <c r="X3871" s="71"/>
      <c r="Y3871" s="71"/>
    </row>
    <row r="3872" spans="1:25" ht="30" hidden="1" customHeight="1" x14ac:dyDescent="0.2">
      <c r="A3872" s="1145">
        <v>44272</v>
      </c>
      <c r="B3872" s="664" t="s">
        <v>564</v>
      </c>
      <c r="C3872" s="71" t="s">
        <v>1608</v>
      </c>
      <c r="D3872" s="71">
        <v>2</v>
      </c>
      <c r="E3872" s="102">
        <v>165000</v>
      </c>
      <c r="F3872" s="163">
        <f t="shared" si="1941"/>
        <v>363000.00000000006</v>
      </c>
      <c r="G3872" s="102">
        <f t="shared" si="1942"/>
        <v>330000</v>
      </c>
      <c r="H3872" s="690" t="s">
        <v>173</v>
      </c>
      <c r="I3872" s="71" t="s">
        <v>109</v>
      </c>
      <c r="J3872" s="53">
        <f t="shared" si="1943"/>
        <v>60000</v>
      </c>
      <c r="K3872" s="63">
        <f t="shared" si="1936"/>
        <v>0.1818181818181818</v>
      </c>
      <c r="L3872" s="871" t="s">
        <v>2907</v>
      </c>
      <c r="M3872" s="468"/>
      <c r="N3872" s="1192">
        <f t="shared" si="1937"/>
        <v>44272</v>
      </c>
      <c r="O3872" s="71" t="s">
        <v>151</v>
      </c>
      <c r="P3872" s="164" t="str">
        <f t="shared" si="1938"/>
        <v>1050*840 블랑켓</v>
      </c>
      <c r="Q3872" s="71">
        <f t="shared" si="1939"/>
        <v>2</v>
      </c>
      <c r="R3872" s="102">
        <v>135000</v>
      </c>
      <c r="S3872" s="102">
        <f t="shared" si="1944"/>
        <v>297000</v>
      </c>
      <c r="T3872" s="102">
        <f t="shared" si="1945"/>
        <v>270000</v>
      </c>
      <c r="U3872" s="71"/>
      <c r="V3872" s="71"/>
      <c r="W3872" s="474"/>
      <c r="X3872" s="71"/>
      <c r="Y3872" s="71"/>
    </row>
    <row r="3873" spans="1:25" ht="30" hidden="1" customHeight="1" x14ac:dyDescent="0.25">
      <c r="A3873" s="1145">
        <v>44272</v>
      </c>
      <c r="B3873" s="664" t="s">
        <v>690</v>
      </c>
      <c r="C3873" s="71" t="s">
        <v>217</v>
      </c>
      <c r="D3873" s="71">
        <v>3</v>
      </c>
      <c r="E3873" s="102">
        <v>137000</v>
      </c>
      <c r="F3873" s="102">
        <f t="shared" si="1941"/>
        <v>452100.00000000006</v>
      </c>
      <c r="G3873" s="102">
        <f t="shared" si="1942"/>
        <v>411000</v>
      </c>
      <c r="H3873" s="690" t="s">
        <v>173</v>
      </c>
      <c r="I3873" s="71" t="s">
        <v>108</v>
      </c>
      <c r="J3873" s="53">
        <f t="shared" si="1943"/>
        <v>171000</v>
      </c>
      <c r="K3873" s="63">
        <f t="shared" si="1936"/>
        <v>0.41605839416058388</v>
      </c>
      <c r="L3873" s="871" t="s">
        <v>2907</v>
      </c>
      <c r="M3873" s="468"/>
      <c r="N3873" s="1192">
        <f t="shared" si="1937"/>
        <v>44272</v>
      </c>
      <c r="O3873" s="71" t="s">
        <v>150</v>
      </c>
      <c r="P3873" s="164" t="str">
        <f t="shared" si="1938"/>
        <v>Fount 511</v>
      </c>
      <c r="Q3873" s="71">
        <f t="shared" si="1939"/>
        <v>3</v>
      </c>
      <c r="R3873" s="102">
        <v>80000</v>
      </c>
      <c r="S3873" s="102">
        <f t="shared" si="1944"/>
        <v>264000</v>
      </c>
      <c r="T3873" s="102">
        <f t="shared" si="1945"/>
        <v>240000</v>
      </c>
      <c r="U3873" s="71" t="str">
        <f>IF(J3873=W3873,"O", "X")</f>
        <v>X</v>
      </c>
      <c r="V3873" s="71"/>
      <c r="W3873" s="474">
        <v>130000</v>
      </c>
      <c r="X3873" s="71"/>
      <c r="Y3873" s="71"/>
    </row>
    <row r="3874" spans="1:25" ht="30" hidden="1" customHeight="1" x14ac:dyDescent="0.25">
      <c r="A3874" s="1145">
        <v>44272</v>
      </c>
      <c r="B3874" s="664" t="s">
        <v>690</v>
      </c>
      <c r="C3874" s="71" t="s">
        <v>825</v>
      </c>
      <c r="D3874" s="71">
        <v>2</v>
      </c>
      <c r="E3874" s="102">
        <v>142000</v>
      </c>
      <c r="F3874" s="102">
        <f t="shared" si="1941"/>
        <v>312400</v>
      </c>
      <c r="G3874" s="102">
        <f t="shared" si="1942"/>
        <v>284000</v>
      </c>
      <c r="H3874" s="690" t="s">
        <v>173</v>
      </c>
      <c r="I3874" s="71" t="s">
        <v>2231</v>
      </c>
      <c r="J3874" s="53">
        <f t="shared" si="1943"/>
        <v>94000</v>
      </c>
      <c r="K3874" s="63">
        <f t="shared" si="1936"/>
        <v>0.33098591549295775</v>
      </c>
      <c r="L3874" s="871" t="s">
        <v>2907</v>
      </c>
      <c r="M3874" s="468"/>
      <c r="N3874" s="1192">
        <f t="shared" si="1937"/>
        <v>44272</v>
      </c>
      <c r="O3874" s="71" t="s">
        <v>150</v>
      </c>
      <c r="P3874" s="164" t="str">
        <f t="shared" si="1938"/>
        <v>독일제 정품 잉크호일 아스테이지</v>
      </c>
      <c r="Q3874" s="71">
        <f t="shared" si="1939"/>
        <v>2</v>
      </c>
      <c r="R3874" s="102">
        <v>95000</v>
      </c>
      <c r="S3874" s="102">
        <f t="shared" si="1944"/>
        <v>209000.00000000003</v>
      </c>
      <c r="T3874" s="102">
        <f t="shared" si="1945"/>
        <v>190000</v>
      </c>
      <c r="U3874" s="71" t="s">
        <v>859</v>
      </c>
      <c r="V3874" s="71"/>
      <c r="W3874" s="474">
        <v>110000</v>
      </c>
      <c r="X3874" s="71"/>
      <c r="Y3874" s="71"/>
    </row>
    <row r="3875" spans="1:25" ht="30" hidden="1" customHeight="1" x14ac:dyDescent="0.25">
      <c r="A3875" s="1145">
        <v>44274</v>
      </c>
      <c r="B3875" s="664" t="s">
        <v>546</v>
      </c>
      <c r="C3875" s="71" t="s">
        <v>114</v>
      </c>
      <c r="D3875" s="71">
        <v>50</v>
      </c>
      <c r="E3875" s="102">
        <v>18000</v>
      </c>
      <c r="F3875" s="102">
        <f t="shared" si="1941"/>
        <v>990000.00000000012</v>
      </c>
      <c r="G3875" s="102">
        <f t="shared" si="1942"/>
        <v>900000</v>
      </c>
      <c r="H3875" s="690" t="s">
        <v>1431</v>
      </c>
      <c r="I3875" s="71" t="s">
        <v>113</v>
      </c>
      <c r="J3875" s="53">
        <f t="shared" si="1943"/>
        <v>450000</v>
      </c>
      <c r="K3875" s="63">
        <f t="shared" si="1936"/>
        <v>0.49999999999999994</v>
      </c>
      <c r="L3875" s="871" t="s">
        <v>2907</v>
      </c>
      <c r="M3875" s="468"/>
      <c r="N3875" s="1192">
        <f t="shared" si="1937"/>
        <v>44274</v>
      </c>
      <c r="O3875" s="71" t="s">
        <v>1431</v>
      </c>
      <c r="P3875" s="164" t="str">
        <f t="shared" si="1938"/>
        <v>스트리퍼</v>
      </c>
      <c r="Q3875" s="71">
        <f t="shared" si="1939"/>
        <v>50</v>
      </c>
      <c r="R3875" s="102">
        <v>9000</v>
      </c>
      <c r="S3875" s="102">
        <f t="shared" si="1944"/>
        <v>495000.00000000006</v>
      </c>
      <c r="T3875" s="102">
        <f t="shared" si="1945"/>
        <v>450000</v>
      </c>
      <c r="U3875" s="71"/>
      <c r="V3875" s="71"/>
      <c r="W3875" s="474"/>
      <c r="X3875" s="71"/>
      <c r="Y3875" s="71"/>
    </row>
    <row r="3876" spans="1:25" ht="30" hidden="1" customHeight="1" x14ac:dyDescent="0.25">
      <c r="A3876" s="1145">
        <v>44274</v>
      </c>
      <c r="B3876" s="664" t="s">
        <v>546</v>
      </c>
      <c r="C3876" s="71" t="s">
        <v>990</v>
      </c>
      <c r="D3876" s="71">
        <v>30</v>
      </c>
      <c r="E3876" s="102">
        <v>27000</v>
      </c>
      <c r="F3876" s="102">
        <f t="shared" si="1941"/>
        <v>891000.00000000012</v>
      </c>
      <c r="G3876" s="102">
        <f t="shared" si="1942"/>
        <v>810000</v>
      </c>
      <c r="H3876" s="690" t="s">
        <v>1431</v>
      </c>
      <c r="I3876" s="71" t="s">
        <v>113</v>
      </c>
      <c r="J3876" s="53">
        <f t="shared" si="1943"/>
        <v>360000</v>
      </c>
      <c r="K3876" s="63">
        <f t="shared" si="1936"/>
        <v>0.44444444444444436</v>
      </c>
      <c r="L3876" s="871" t="s">
        <v>2907</v>
      </c>
      <c r="M3876" s="468"/>
      <c r="N3876" s="1192">
        <f t="shared" si="1937"/>
        <v>44274</v>
      </c>
      <c r="O3876" s="71" t="s">
        <v>1431</v>
      </c>
      <c r="P3876" s="164" t="str">
        <f t="shared" si="1938"/>
        <v>브러쉬, 헤드 스톱</v>
      </c>
      <c r="Q3876" s="71">
        <f t="shared" si="1939"/>
        <v>30</v>
      </c>
      <c r="R3876" s="102">
        <v>15000</v>
      </c>
      <c r="S3876" s="102">
        <f t="shared" si="1944"/>
        <v>495000.00000000006</v>
      </c>
      <c r="T3876" s="102">
        <f t="shared" si="1945"/>
        <v>450000</v>
      </c>
      <c r="U3876" s="71"/>
      <c r="V3876" s="71"/>
      <c r="W3876" s="474"/>
      <c r="X3876" s="71"/>
      <c r="Y3876" s="71"/>
    </row>
    <row r="3877" spans="1:25" ht="30" hidden="1" customHeight="1" x14ac:dyDescent="0.2">
      <c r="A3877" s="1145">
        <v>44274</v>
      </c>
      <c r="B3877" s="664" t="s">
        <v>548</v>
      </c>
      <c r="C3877" s="71" t="s">
        <v>107</v>
      </c>
      <c r="D3877" s="71">
        <v>10</v>
      </c>
      <c r="E3877" s="102">
        <v>90000</v>
      </c>
      <c r="F3877" s="102">
        <f t="shared" si="1941"/>
        <v>990000.00000000012</v>
      </c>
      <c r="G3877" s="102">
        <f t="shared" si="1942"/>
        <v>900000</v>
      </c>
      <c r="H3877" s="165" t="s">
        <v>172</v>
      </c>
      <c r="I3877" s="71" t="s">
        <v>109</v>
      </c>
      <c r="J3877" s="53">
        <f t="shared" si="1943"/>
        <v>95000</v>
      </c>
      <c r="K3877" s="63">
        <f t="shared" si="1936"/>
        <v>0.10555555555555554</v>
      </c>
      <c r="L3877" s="871" t="s">
        <v>2881</v>
      </c>
      <c r="M3877" s="468"/>
      <c r="N3877" s="1192">
        <f t="shared" si="1937"/>
        <v>44274</v>
      </c>
      <c r="O3877" s="71" t="s">
        <v>147</v>
      </c>
      <c r="P3877" s="164" t="str">
        <f t="shared" si="1938"/>
        <v>Blanket(1050*840)</v>
      </c>
      <c r="Q3877" s="71">
        <f t="shared" si="1939"/>
        <v>10</v>
      </c>
      <c r="R3877" s="102">
        <v>80500</v>
      </c>
      <c r="S3877" s="102">
        <f t="shared" si="1944"/>
        <v>885500.00000000012</v>
      </c>
      <c r="T3877" s="102">
        <f t="shared" si="1945"/>
        <v>805000</v>
      </c>
      <c r="U3877" s="71" t="str">
        <f t="shared" ref="U3877:U3886" si="1946">IF(J3877=W3877,"O", "X")</f>
        <v>O</v>
      </c>
      <c r="V3877" s="71"/>
      <c r="W3877" s="474">
        <f>(G3877-T3877)</f>
        <v>95000</v>
      </c>
      <c r="X3877" s="71"/>
      <c r="Y3877" s="71"/>
    </row>
    <row r="3878" spans="1:25" ht="30" hidden="1" customHeight="1" x14ac:dyDescent="0.25">
      <c r="A3878" s="1145">
        <v>44277</v>
      </c>
      <c r="B3878" s="664" t="s">
        <v>446</v>
      </c>
      <c r="C3878" s="71" t="s">
        <v>2028</v>
      </c>
      <c r="D3878" s="71">
        <v>20</v>
      </c>
      <c r="E3878" s="102">
        <v>105000</v>
      </c>
      <c r="F3878" s="102">
        <f>(E3878*D3878)*1.1</f>
        <v>2310000</v>
      </c>
      <c r="G3878" s="102">
        <f>(E3878*D3878)</f>
        <v>2100000</v>
      </c>
      <c r="H3878" s="690" t="s">
        <v>2029</v>
      </c>
      <c r="I3878" s="71" t="s">
        <v>2231</v>
      </c>
      <c r="J3878" s="53">
        <f t="shared" si="1943"/>
        <v>380000</v>
      </c>
      <c r="K3878" s="63">
        <f t="shared" si="1936"/>
        <v>0.18095238095238095</v>
      </c>
      <c r="L3878" s="871" t="s">
        <v>2907</v>
      </c>
      <c r="M3878" s="468" t="s">
        <v>3068</v>
      </c>
      <c r="N3878" s="1192">
        <f t="shared" si="1937"/>
        <v>44277</v>
      </c>
      <c r="O3878" s="71" t="s">
        <v>2030</v>
      </c>
      <c r="P3878" s="164" t="str">
        <f t="shared" si="1938"/>
        <v>실리콘 에멀전</v>
      </c>
      <c r="Q3878" s="71">
        <f t="shared" si="1939"/>
        <v>20</v>
      </c>
      <c r="R3878" s="102">
        <v>86000</v>
      </c>
      <c r="S3878" s="102">
        <f t="shared" si="1944"/>
        <v>1892000.0000000002</v>
      </c>
      <c r="T3878" s="102">
        <f t="shared" si="1945"/>
        <v>1720000</v>
      </c>
      <c r="U3878" s="71" t="str">
        <f t="shared" si="1946"/>
        <v>O</v>
      </c>
      <c r="V3878" s="71">
        <f>7000*Q3878</f>
        <v>140000</v>
      </c>
      <c r="W3878" s="474">
        <f>(G3878-T3878)</f>
        <v>380000</v>
      </c>
      <c r="X3878" s="71"/>
      <c r="Y3878" s="71"/>
    </row>
    <row r="3879" spans="1:25" s="209" customFormat="1" ht="30" hidden="1" customHeight="1" x14ac:dyDescent="0.2">
      <c r="A3879" s="1145">
        <v>44277</v>
      </c>
      <c r="B3879" s="664" t="s">
        <v>2155</v>
      </c>
      <c r="C3879" s="71" t="s">
        <v>231</v>
      </c>
      <c r="D3879" s="71">
        <v>10</v>
      </c>
      <c r="E3879" s="102">
        <v>120000</v>
      </c>
      <c r="F3879" s="102">
        <f>(E3879*D3879)*1.1</f>
        <v>1320000</v>
      </c>
      <c r="G3879" s="102">
        <f>(E3879*D3879)</f>
        <v>1200000</v>
      </c>
      <c r="H3879" s="165" t="s">
        <v>172</v>
      </c>
      <c r="I3879" s="71" t="s">
        <v>109</v>
      </c>
      <c r="J3879" s="53">
        <f t="shared" si="1943"/>
        <v>80000</v>
      </c>
      <c r="K3879" s="63">
        <f t="shared" si="1936"/>
        <v>6.6666666666666666E-2</v>
      </c>
      <c r="L3879" s="871" t="s">
        <v>2907</v>
      </c>
      <c r="M3879" s="468"/>
      <c r="N3879" s="1192">
        <f t="shared" si="1937"/>
        <v>44277</v>
      </c>
      <c r="O3879" s="71" t="s">
        <v>151</v>
      </c>
      <c r="P3879" s="164" t="str">
        <f t="shared" si="1938"/>
        <v>Blanket(990*725)</v>
      </c>
      <c r="Q3879" s="71">
        <f t="shared" si="1939"/>
        <v>10</v>
      </c>
      <c r="R3879" s="102">
        <v>112000</v>
      </c>
      <c r="S3879" s="102">
        <f t="shared" si="1944"/>
        <v>1232000</v>
      </c>
      <c r="T3879" s="102">
        <f t="shared" si="1945"/>
        <v>1120000</v>
      </c>
      <c r="U3879" s="71" t="str">
        <f t="shared" si="1946"/>
        <v>O</v>
      </c>
      <c r="V3879" s="71"/>
      <c r="W3879" s="474">
        <v>80000</v>
      </c>
      <c r="X3879" s="71"/>
      <c r="Y3879" s="71"/>
    </row>
    <row r="3880" spans="1:25" ht="30" customHeight="1" x14ac:dyDescent="0.2">
      <c r="A3880" s="1145">
        <v>44279</v>
      </c>
      <c r="B3880" s="664" t="s">
        <v>565</v>
      </c>
      <c r="C3880" s="71" t="s">
        <v>2081</v>
      </c>
      <c r="D3880" s="71">
        <v>100</v>
      </c>
      <c r="E3880" s="102">
        <v>69000</v>
      </c>
      <c r="F3880" s="102">
        <f>(E3880*D3880)*1.1</f>
        <v>7590000.0000000009</v>
      </c>
      <c r="G3880" s="102">
        <f>(E3880*D3880)</f>
        <v>6900000</v>
      </c>
      <c r="H3880" s="165" t="s">
        <v>173</v>
      </c>
      <c r="I3880" s="71" t="s">
        <v>108</v>
      </c>
      <c r="J3880" s="53">
        <f t="shared" si="1943"/>
        <v>2808000</v>
      </c>
      <c r="K3880" s="63">
        <f t="shared" si="1936"/>
        <v>0.40695652173913038</v>
      </c>
      <c r="L3880" s="871" t="s">
        <v>2907</v>
      </c>
      <c r="M3880" s="468" t="s">
        <v>2939</v>
      </c>
      <c r="N3880" s="1192">
        <f t="shared" si="1937"/>
        <v>44279</v>
      </c>
      <c r="O3880" s="71" t="s">
        <v>939</v>
      </c>
      <c r="P3880" s="164" t="str">
        <f t="shared" si="1938"/>
        <v>GOSS 신문윤전 습식세정포</v>
      </c>
      <c r="Q3880" s="71">
        <v>1</v>
      </c>
      <c r="R3880" s="102">
        <f>30000*48+51000*52</f>
        <v>4092000</v>
      </c>
      <c r="S3880" s="102">
        <f t="shared" si="1944"/>
        <v>4501200</v>
      </c>
      <c r="T3880" s="102">
        <f t="shared" si="1945"/>
        <v>4092000</v>
      </c>
      <c r="U3880" s="71" t="str">
        <f t="shared" si="1946"/>
        <v>X</v>
      </c>
      <c r="V3880" s="71"/>
      <c r="W3880" s="474"/>
      <c r="X3880" s="71"/>
      <c r="Y3880" s="71"/>
    </row>
    <row r="3881" spans="1:25" ht="30" hidden="1" customHeight="1" x14ac:dyDescent="0.25">
      <c r="A3881" s="1145">
        <v>44279</v>
      </c>
      <c r="B3881" s="664" t="s">
        <v>690</v>
      </c>
      <c r="C3881" s="71" t="s">
        <v>1186</v>
      </c>
      <c r="D3881" s="71">
        <v>500</v>
      </c>
      <c r="E3881" s="102">
        <v>3420</v>
      </c>
      <c r="F3881" s="102">
        <f t="shared" ref="F3881:F3886" si="1947">(E3881*D3881)*1.1</f>
        <v>1881000.0000000002</v>
      </c>
      <c r="G3881" s="102">
        <f t="shared" ref="G3881:G3886" si="1948">(E3881*D3881)</f>
        <v>1710000</v>
      </c>
      <c r="H3881" s="690" t="s">
        <v>173</v>
      </c>
      <c r="I3881" s="71" t="s">
        <v>2230</v>
      </c>
      <c r="J3881" s="53">
        <f t="shared" si="1943"/>
        <v>-190000</v>
      </c>
      <c r="K3881" s="63">
        <f t="shared" si="1936"/>
        <v>-0.11111111111111109</v>
      </c>
      <c r="L3881" s="871" t="s">
        <v>2907</v>
      </c>
      <c r="M3881" s="468" t="s">
        <v>1393</v>
      </c>
      <c r="N3881" s="1192">
        <f t="shared" si="1937"/>
        <v>44279</v>
      </c>
      <c r="O3881" s="71" t="s">
        <v>145</v>
      </c>
      <c r="P3881" s="164" t="str">
        <f t="shared" si="1938"/>
        <v>CTP 판(1030*790mm)</v>
      </c>
      <c r="Q3881" s="71">
        <f t="shared" si="1939"/>
        <v>500</v>
      </c>
      <c r="R3881" s="102">
        <v>3800</v>
      </c>
      <c r="S3881" s="102">
        <f t="shared" si="1944"/>
        <v>2090000.0000000002</v>
      </c>
      <c r="T3881" s="102">
        <f t="shared" si="1945"/>
        <v>1900000</v>
      </c>
      <c r="U3881" s="71" t="str">
        <f t="shared" si="1946"/>
        <v>X</v>
      </c>
      <c r="V3881" s="71"/>
      <c r="W3881" s="474">
        <v>-200000</v>
      </c>
      <c r="X3881" s="71"/>
      <c r="Y3881" s="71"/>
    </row>
    <row r="3882" spans="1:25" ht="30" hidden="1" customHeight="1" x14ac:dyDescent="0.25">
      <c r="A3882" s="1145">
        <v>44279</v>
      </c>
      <c r="B3882" s="664" t="s">
        <v>690</v>
      </c>
      <c r="C3882" s="71" t="s">
        <v>197</v>
      </c>
      <c r="D3882" s="71">
        <v>4</v>
      </c>
      <c r="E3882" s="102">
        <v>46000</v>
      </c>
      <c r="F3882" s="102">
        <f t="shared" si="1947"/>
        <v>202400.00000000003</v>
      </c>
      <c r="G3882" s="102">
        <f t="shared" si="1948"/>
        <v>184000</v>
      </c>
      <c r="H3882" s="690" t="s">
        <v>173</v>
      </c>
      <c r="I3882" s="71" t="s">
        <v>2230</v>
      </c>
      <c r="J3882" s="53">
        <f t="shared" si="1943"/>
        <v>44000</v>
      </c>
      <c r="K3882" s="63">
        <f t="shared" si="1936"/>
        <v>0.23913043478260865</v>
      </c>
      <c r="L3882" s="871" t="s">
        <v>2907</v>
      </c>
      <c r="M3882" s="468" t="s">
        <v>1394</v>
      </c>
      <c r="N3882" s="1192">
        <f t="shared" si="1937"/>
        <v>44279</v>
      </c>
      <c r="O3882" s="71" t="s">
        <v>145</v>
      </c>
      <c r="P3882" s="164" t="str">
        <f t="shared" si="1938"/>
        <v>THR200(20L)</v>
      </c>
      <c r="Q3882" s="71">
        <f t="shared" si="1939"/>
        <v>4</v>
      </c>
      <c r="R3882" s="102">
        <v>35000</v>
      </c>
      <c r="S3882" s="102">
        <f t="shared" si="1944"/>
        <v>154000</v>
      </c>
      <c r="T3882" s="102">
        <f t="shared" si="1945"/>
        <v>140000</v>
      </c>
      <c r="U3882" s="71" t="str">
        <f t="shared" si="1946"/>
        <v>X</v>
      </c>
      <c r="V3882" s="71"/>
      <c r="W3882" s="474"/>
      <c r="X3882" s="71"/>
      <c r="Y3882" s="71"/>
    </row>
    <row r="3883" spans="1:25" ht="30" customHeight="1" x14ac:dyDescent="0.25">
      <c r="A3883" s="1145">
        <v>44280</v>
      </c>
      <c r="B3883" s="664" t="s">
        <v>2352</v>
      </c>
      <c r="C3883" s="760" t="s">
        <v>218</v>
      </c>
      <c r="D3883" s="71">
        <v>4</v>
      </c>
      <c r="E3883" s="102">
        <v>235000</v>
      </c>
      <c r="F3883" s="102">
        <f t="shared" si="1947"/>
        <v>1034000.0000000001</v>
      </c>
      <c r="G3883" s="102">
        <f t="shared" si="1948"/>
        <v>940000</v>
      </c>
      <c r="H3883" s="690" t="s">
        <v>142</v>
      </c>
      <c r="I3883" s="71" t="s">
        <v>142</v>
      </c>
      <c r="J3883" s="53">
        <f t="shared" si="1943"/>
        <v>490000</v>
      </c>
      <c r="K3883" s="63">
        <f t="shared" si="1936"/>
        <v>0.52127659574468077</v>
      </c>
      <c r="L3883" s="871" t="s">
        <v>2907</v>
      </c>
      <c r="M3883" s="468" t="s">
        <v>2053</v>
      </c>
      <c r="N3883" s="1192">
        <f t="shared" si="1937"/>
        <v>44280</v>
      </c>
      <c r="O3883" s="71" t="s">
        <v>150</v>
      </c>
      <c r="P3883" s="164" t="str">
        <f t="shared" si="1938"/>
        <v>Fount Web 551AF</v>
      </c>
      <c r="Q3883" s="71">
        <f t="shared" si="1939"/>
        <v>4</v>
      </c>
      <c r="R3883" s="102">
        <v>112500</v>
      </c>
      <c r="S3883" s="102">
        <f t="shared" si="1944"/>
        <v>495000.00000000006</v>
      </c>
      <c r="T3883" s="102">
        <f t="shared" si="1945"/>
        <v>450000</v>
      </c>
      <c r="U3883" s="71" t="str">
        <f t="shared" si="1946"/>
        <v>O</v>
      </c>
      <c r="V3883" s="71"/>
      <c r="W3883" s="474">
        <f>(G3883-T3883)</f>
        <v>490000</v>
      </c>
      <c r="X3883" s="71"/>
      <c r="Y3883" s="71"/>
    </row>
    <row r="3884" spans="1:25" s="209" customFormat="1" ht="30" hidden="1" customHeight="1" x14ac:dyDescent="0.25">
      <c r="A3884" s="1145">
        <v>44280</v>
      </c>
      <c r="B3884" s="664" t="s">
        <v>2155</v>
      </c>
      <c r="C3884" s="71" t="s">
        <v>138</v>
      </c>
      <c r="D3884" s="71">
        <v>10</v>
      </c>
      <c r="E3884" s="102">
        <v>47600</v>
      </c>
      <c r="F3884" s="102">
        <f t="shared" si="1947"/>
        <v>523600.00000000006</v>
      </c>
      <c r="G3884" s="102">
        <f t="shared" si="1948"/>
        <v>476000</v>
      </c>
      <c r="H3884" s="1129" t="s">
        <v>172</v>
      </c>
      <c r="I3884" s="71" t="s">
        <v>108</v>
      </c>
      <c r="J3884" s="53">
        <f t="shared" si="1943"/>
        <v>68000</v>
      </c>
      <c r="K3884" s="63">
        <f t="shared" si="1936"/>
        <v>0.14285714285714285</v>
      </c>
      <c r="L3884" s="871" t="s">
        <v>2907</v>
      </c>
      <c r="M3884" s="468" t="s">
        <v>2214</v>
      </c>
      <c r="N3884" s="1192">
        <f t="shared" si="1937"/>
        <v>44280</v>
      </c>
      <c r="O3884" s="71" t="s">
        <v>150</v>
      </c>
      <c r="P3884" s="164" t="str">
        <f t="shared" si="1938"/>
        <v>매엽용 세척제(Wash 562)</v>
      </c>
      <c r="Q3884" s="71">
        <f t="shared" si="1939"/>
        <v>10</v>
      </c>
      <c r="R3884" s="102">
        <v>40800</v>
      </c>
      <c r="S3884" s="102">
        <f t="shared" si="1944"/>
        <v>448800.00000000006</v>
      </c>
      <c r="T3884" s="102">
        <f t="shared" si="1945"/>
        <v>408000</v>
      </c>
      <c r="U3884" s="71" t="str">
        <f t="shared" si="1946"/>
        <v>X</v>
      </c>
      <c r="V3884" s="71"/>
      <c r="W3884" s="474">
        <v>85000</v>
      </c>
      <c r="X3884" s="71"/>
      <c r="Y3884" s="71"/>
    </row>
    <row r="3885" spans="1:25" ht="30" hidden="1" customHeight="1" x14ac:dyDescent="0.25">
      <c r="A3885" s="1145">
        <v>44280</v>
      </c>
      <c r="B3885" s="664" t="s">
        <v>2155</v>
      </c>
      <c r="C3885" s="71" t="s">
        <v>277</v>
      </c>
      <c r="D3885" s="71">
        <v>5</v>
      </c>
      <c r="E3885" s="102">
        <v>172000</v>
      </c>
      <c r="F3885" s="102">
        <f t="shared" si="1947"/>
        <v>946000.00000000012</v>
      </c>
      <c r="G3885" s="102">
        <f t="shared" si="1948"/>
        <v>860000</v>
      </c>
      <c r="H3885" s="690" t="s">
        <v>173</v>
      </c>
      <c r="I3885" s="71" t="s">
        <v>108</v>
      </c>
      <c r="J3885" s="53">
        <f t="shared" si="1943"/>
        <v>285000</v>
      </c>
      <c r="K3885" s="63">
        <f t="shared" si="1936"/>
        <v>0.33139534883720928</v>
      </c>
      <c r="L3885" s="871" t="s">
        <v>2907</v>
      </c>
      <c r="M3885" s="468"/>
      <c r="N3885" s="1192">
        <f t="shared" si="1937"/>
        <v>44280</v>
      </c>
      <c r="O3885" s="71" t="s">
        <v>150</v>
      </c>
      <c r="P3885" s="164" t="str">
        <f t="shared" si="1938"/>
        <v>윤전용 세척제(Web 504)</v>
      </c>
      <c r="Q3885" s="71">
        <f t="shared" si="1939"/>
        <v>5</v>
      </c>
      <c r="R3885" s="102">
        <v>115000</v>
      </c>
      <c r="S3885" s="102">
        <f t="shared" si="1944"/>
        <v>632500</v>
      </c>
      <c r="T3885" s="102">
        <f t="shared" si="1945"/>
        <v>575000</v>
      </c>
      <c r="U3885" s="71" t="str">
        <f t="shared" si="1946"/>
        <v>O</v>
      </c>
      <c r="V3885" s="71"/>
      <c r="W3885" s="474">
        <v>285000</v>
      </c>
      <c r="X3885" s="71"/>
      <c r="Y3885" s="71"/>
    </row>
    <row r="3886" spans="1:25" ht="30" hidden="1" customHeight="1" x14ac:dyDescent="0.25">
      <c r="A3886" s="1145">
        <v>44280</v>
      </c>
      <c r="B3886" s="664" t="s">
        <v>2155</v>
      </c>
      <c r="C3886" s="760" t="s">
        <v>218</v>
      </c>
      <c r="D3886" s="71">
        <v>5</v>
      </c>
      <c r="E3886" s="102">
        <v>192500</v>
      </c>
      <c r="F3886" s="102">
        <f t="shared" si="1947"/>
        <v>1058750</v>
      </c>
      <c r="G3886" s="102">
        <f t="shared" si="1948"/>
        <v>962500</v>
      </c>
      <c r="H3886" s="690" t="s">
        <v>173</v>
      </c>
      <c r="I3886" s="71" t="s">
        <v>120</v>
      </c>
      <c r="J3886" s="53">
        <f t="shared" si="1943"/>
        <v>400000</v>
      </c>
      <c r="K3886" s="63">
        <f t="shared" si="1936"/>
        <v>0.41558441558441561</v>
      </c>
      <c r="L3886" s="871" t="s">
        <v>2907</v>
      </c>
      <c r="M3886" s="468"/>
      <c r="N3886" s="1192">
        <f t="shared" si="1937"/>
        <v>44280</v>
      </c>
      <c r="O3886" s="71" t="s">
        <v>150</v>
      </c>
      <c r="P3886" s="164" t="str">
        <f t="shared" si="1938"/>
        <v>Fount Web 551AF</v>
      </c>
      <c r="Q3886" s="71">
        <f t="shared" si="1939"/>
        <v>5</v>
      </c>
      <c r="R3886" s="102">
        <v>112500</v>
      </c>
      <c r="S3886" s="102">
        <f t="shared" si="1944"/>
        <v>618750</v>
      </c>
      <c r="T3886" s="102">
        <f t="shared" si="1945"/>
        <v>562500</v>
      </c>
      <c r="U3886" s="71" t="str">
        <f t="shared" si="1946"/>
        <v>X</v>
      </c>
      <c r="V3886" s="71"/>
      <c r="W3886" s="474">
        <v>640000</v>
      </c>
      <c r="X3886" s="71"/>
      <c r="Y3886" s="71"/>
    </row>
    <row r="3887" spans="1:25" ht="30" hidden="1" customHeight="1" x14ac:dyDescent="0.25">
      <c r="A3887" s="1145">
        <v>44280</v>
      </c>
      <c r="B3887" s="664" t="s">
        <v>2569</v>
      </c>
      <c r="C3887" s="71" t="s">
        <v>2570</v>
      </c>
      <c r="D3887" s="71">
        <v>5</v>
      </c>
      <c r="E3887" s="102">
        <v>650000</v>
      </c>
      <c r="F3887" s="102">
        <f>(E3887*D3887)*1.1</f>
        <v>3575000.0000000005</v>
      </c>
      <c r="G3887" s="102">
        <f>(E3887*D3887)</f>
        <v>3250000</v>
      </c>
      <c r="H3887" s="690" t="s">
        <v>142</v>
      </c>
      <c r="I3887" s="71" t="s">
        <v>142</v>
      </c>
      <c r="J3887" s="53">
        <f t="shared" si="1943"/>
        <v>2132825</v>
      </c>
      <c r="K3887" s="63">
        <f t="shared" si="1936"/>
        <v>0.65625384615384608</v>
      </c>
      <c r="L3887" s="871" t="s">
        <v>2907</v>
      </c>
      <c r="M3887" s="468"/>
      <c r="N3887" s="1192">
        <f t="shared" si="1937"/>
        <v>44280</v>
      </c>
      <c r="O3887" s="71" t="s">
        <v>2542</v>
      </c>
      <c r="P3887" s="164" t="str">
        <f t="shared" si="1938"/>
        <v>Baldwin UV 램프 T-3절용</v>
      </c>
      <c r="Q3887" s="71">
        <f t="shared" si="1939"/>
        <v>5</v>
      </c>
      <c r="R3887" s="102">
        <v>223435</v>
      </c>
      <c r="S3887" s="102">
        <f t="shared" si="1944"/>
        <v>1228892.5</v>
      </c>
      <c r="T3887" s="102">
        <f t="shared" si="1945"/>
        <v>1117175</v>
      </c>
      <c r="U3887" s="71"/>
      <c r="V3887" s="71"/>
      <c r="W3887" s="474"/>
      <c r="X3887" s="71"/>
      <c r="Y3887" s="71"/>
    </row>
    <row r="3888" spans="1:25" ht="30" hidden="1" customHeight="1" x14ac:dyDescent="0.2">
      <c r="A3888" s="1145">
        <v>44280</v>
      </c>
      <c r="B3888" s="664" t="s">
        <v>548</v>
      </c>
      <c r="C3888" s="71" t="s">
        <v>1754</v>
      </c>
      <c r="D3888" s="71">
        <v>5</v>
      </c>
      <c r="E3888" s="102">
        <v>144000</v>
      </c>
      <c r="F3888" s="163">
        <f>(E3888*D3888)*1.1</f>
        <v>792000.00000000012</v>
      </c>
      <c r="G3888" s="102">
        <f>(E3888*D3888)</f>
        <v>720000</v>
      </c>
      <c r="H3888" s="690" t="s">
        <v>173</v>
      </c>
      <c r="I3888" s="71" t="s">
        <v>108</v>
      </c>
      <c r="J3888" s="53">
        <f t="shared" si="1943"/>
        <v>180000</v>
      </c>
      <c r="K3888" s="63">
        <f t="shared" si="1936"/>
        <v>0.24999999999999997</v>
      </c>
      <c r="L3888" s="871" t="s">
        <v>2881</v>
      </c>
      <c r="M3888" s="468"/>
      <c r="N3888" s="1192">
        <f t="shared" si="1937"/>
        <v>44280</v>
      </c>
      <c r="O3888" s="71" t="s">
        <v>149</v>
      </c>
      <c r="P3888" s="164" t="str">
        <f t="shared" si="1938"/>
        <v>판 클리너(12개)</v>
      </c>
      <c r="Q3888" s="71">
        <f t="shared" si="1939"/>
        <v>5</v>
      </c>
      <c r="R3888" s="102">
        <v>108000</v>
      </c>
      <c r="S3888" s="102">
        <f t="shared" si="1944"/>
        <v>594000</v>
      </c>
      <c r="T3888" s="102">
        <f t="shared" si="1945"/>
        <v>540000</v>
      </c>
      <c r="U3888" s="71" t="str">
        <f>IF(J3888=W3888,"O", "X")</f>
        <v>X</v>
      </c>
      <c r="V3888" s="71"/>
      <c r="W3888" s="474"/>
      <c r="X3888" s="71"/>
      <c r="Y3888" s="71"/>
    </row>
    <row r="3889" spans="1:25" ht="30" hidden="1" customHeight="1" x14ac:dyDescent="0.25">
      <c r="A3889" s="1145">
        <v>44281</v>
      </c>
      <c r="B3889" s="664" t="s">
        <v>2915</v>
      </c>
      <c r="C3889" s="71" t="s">
        <v>2916</v>
      </c>
      <c r="D3889" s="71">
        <v>3</v>
      </c>
      <c r="E3889" s="102">
        <v>225000</v>
      </c>
      <c r="F3889" s="102">
        <f>(E3889*D3889)*1.1</f>
        <v>742500.00000000012</v>
      </c>
      <c r="G3889" s="102">
        <f>(E3889*D3889)</f>
        <v>675000</v>
      </c>
      <c r="H3889" s="690" t="s">
        <v>1432</v>
      </c>
      <c r="I3889" s="71" t="s">
        <v>39</v>
      </c>
      <c r="J3889" s="53">
        <f t="shared" si="1943"/>
        <v>-27000</v>
      </c>
      <c r="K3889" s="63">
        <f t="shared" si="1936"/>
        <v>-3.9999999999999994E-2</v>
      </c>
      <c r="L3889" s="871" t="s">
        <v>2907</v>
      </c>
      <c r="M3889" s="468"/>
      <c r="N3889" s="1192">
        <f t="shared" si="1937"/>
        <v>44281</v>
      </c>
      <c r="O3889" s="71" t="s">
        <v>1432</v>
      </c>
      <c r="P3889" s="164" t="str">
        <f t="shared" si="1938"/>
        <v>Ejector PP compl</v>
      </c>
      <c r="Q3889" s="71">
        <f t="shared" si="1939"/>
        <v>3</v>
      </c>
      <c r="R3889" s="102">
        <f>1170000/5</f>
        <v>234000</v>
      </c>
      <c r="S3889" s="102">
        <f t="shared" si="1944"/>
        <v>772200.00000000012</v>
      </c>
      <c r="T3889" s="102">
        <f t="shared" si="1945"/>
        <v>702000</v>
      </c>
      <c r="U3889" s="71"/>
      <c r="V3889" s="71"/>
      <c r="W3889" s="474"/>
      <c r="X3889" s="71"/>
      <c r="Y3889" s="71"/>
    </row>
    <row r="3890" spans="1:25" ht="30" hidden="1" customHeight="1" x14ac:dyDescent="0.25">
      <c r="A3890" s="1145">
        <v>44281</v>
      </c>
      <c r="B3890" s="664" t="s">
        <v>2915</v>
      </c>
      <c r="C3890" s="71" t="s">
        <v>2917</v>
      </c>
      <c r="D3890" s="71">
        <v>2</v>
      </c>
      <c r="E3890" s="102">
        <v>515000</v>
      </c>
      <c r="F3890" s="102">
        <f>(E3890*D3890)*1.1</f>
        <v>1133000</v>
      </c>
      <c r="G3890" s="102">
        <f>(E3890*D3890)</f>
        <v>1030000</v>
      </c>
      <c r="H3890" s="690" t="s">
        <v>1432</v>
      </c>
      <c r="I3890" s="71" t="s">
        <v>39</v>
      </c>
      <c r="J3890" s="53">
        <f t="shared" si="1943"/>
        <v>562000</v>
      </c>
      <c r="K3890" s="63">
        <f t="shared" si="1936"/>
        <v>0.54563106796116501</v>
      </c>
      <c r="L3890" s="871" t="s">
        <v>2907</v>
      </c>
      <c r="M3890" s="468"/>
      <c r="N3890" s="1192">
        <f t="shared" si="1937"/>
        <v>44281</v>
      </c>
      <c r="O3890" s="71" t="s">
        <v>1432</v>
      </c>
      <c r="P3890" s="164" t="str">
        <f t="shared" si="1938"/>
        <v>spare parts for mechanical floater ball</v>
      </c>
      <c r="Q3890" s="71">
        <f t="shared" si="1939"/>
        <v>2</v>
      </c>
      <c r="R3890" s="102">
        <f>1170000/5</f>
        <v>234000</v>
      </c>
      <c r="S3890" s="102">
        <f t="shared" si="1944"/>
        <v>514800.00000000006</v>
      </c>
      <c r="T3890" s="102">
        <f t="shared" si="1945"/>
        <v>468000</v>
      </c>
      <c r="U3890" s="71"/>
      <c r="V3890" s="71"/>
      <c r="W3890" s="474"/>
      <c r="X3890" s="71"/>
      <c r="Y3890" s="71"/>
    </row>
    <row r="3891" spans="1:25" ht="30" hidden="1" customHeight="1" x14ac:dyDescent="0.25">
      <c r="A3891" s="1145">
        <v>44281</v>
      </c>
      <c r="B3891" s="664" t="s">
        <v>1155</v>
      </c>
      <c r="C3891" s="71" t="s">
        <v>2918</v>
      </c>
      <c r="D3891" s="71">
        <v>1</v>
      </c>
      <c r="E3891" s="102">
        <v>16500000</v>
      </c>
      <c r="F3891" s="102">
        <f>(E3891*D3891)*1.1</f>
        <v>18150000</v>
      </c>
      <c r="G3891" s="102">
        <f>(E3891*D3891)</f>
        <v>16500000</v>
      </c>
      <c r="H3891" s="690" t="s">
        <v>1432</v>
      </c>
      <c r="I3891" s="71" t="s">
        <v>39</v>
      </c>
      <c r="J3891" s="53">
        <f t="shared" si="1943"/>
        <v>6286000</v>
      </c>
      <c r="K3891" s="63">
        <f t="shared" si="1936"/>
        <v>0.38096969696969696</v>
      </c>
      <c r="L3891" s="871" t="s">
        <v>2907</v>
      </c>
      <c r="M3891" s="468"/>
      <c r="N3891" s="1192">
        <f t="shared" si="1937"/>
        <v>44281</v>
      </c>
      <c r="O3891" s="71" t="s">
        <v>1432</v>
      </c>
      <c r="P3891" s="164" t="str">
        <f t="shared" si="1938"/>
        <v>technotrans beta.f 습수정화장치</v>
      </c>
      <c r="Q3891" s="71">
        <f t="shared" si="1939"/>
        <v>1</v>
      </c>
      <c r="R3891" s="102">
        <v>10214000</v>
      </c>
      <c r="S3891" s="102">
        <f t="shared" si="1944"/>
        <v>11235400</v>
      </c>
      <c r="T3891" s="102">
        <f t="shared" si="1945"/>
        <v>10214000</v>
      </c>
      <c r="U3891" s="71"/>
      <c r="V3891" s="71"/>
      <c r="W3891" s="474"/>
      <c r="X3891" s="71"/>
      <c r="Y3891" s="71"/>
    </row>
    <row r="3892" spans="1:25" ht="31.5" hidden="1" customHeight="1" x14ac:dyDescent="0.25">
      <c r="A3892" s="1145">
        <v>44284</v>
      </c>
      <c r="B3892" s="664" t="s">
        <v>545</v>
      </c>
      <c r="C3892" s="71" t="s">
        <v>911</v>
      </c>
      <c r="D3892" s="71">
        <v>1</v>
      </c>
      <c r="E3892" s="102">
        <v>250000</v>
      </c>
      <c r="F3892" s="102">
        <f t="shared" ref="F3892:F3915" si="1949">(E3892*D3892)*1.1</f>
        <v>275000</v>
      </c>
      <c r="G3892" s="102">
        <f t="shared" ref="G3892:G3915" si="1950">(E3892*D3892)</f>
        <v>250000</v>
      </c>
      <c r="H3892" s="690" t="s">
        <v>173</v>
      </c>
      <c r="I3892" s="71" t="s">
        <v>2231</v>
      </c>
      <c r="J3892" s="53">
        <f t="shared" si="1943"/>
        <v>175000</v>
      </c>
      <c r="K3892" s="63">
        <f t="shared" si="1936"/>
        <v>0.7</v>
      </c>
      <c r="L3892" s="871" t="s">
        <v>2907</v>
      </c>
      <c r="M3892" s="468"/>
      <c r="N3892" s="1192">
        <f t="shared" si="1937"/>
        <v>44284</v>
      </c>
      <c r="O3892" s="71" t="s">
        <v>994</v>
      </c>
      <c r="P3892" s="164" t="str">
        <f t="shared" si="1938"/>
        <v>콤푸레샤 에어필터</v>
      </c>
      <c r="Q3892" s="71">
        <f t="shared" si="1939"/>
        <v>1</v>
      </c>
      <c r="R3892" s="102">
        <v>75000</v>
      </c>
      <c r="S3892" s="102">
        <f t="shared" si="1944"/>
        <v>82500</v>
      </c>
      <c r="T3892" s="102">
        <f t="shared" si="1945"/>
        <v>75000</v>
      </c>
      <c r="U3892" s="71" t="str">
        <f>IF(J3892=W3892,"O", "X")</f>
        <v>O</v>
      </c>
      <c r="V3892" s="71"/>
      <c r="W3892" s="474">
        <f>(G3892-T3892)</f>
        <v>175000</v>
      </c>
      <c r="X3892" s="71"/>
      <c r="Y3892" s="71"/>
    </row>
    <row r="3893" spans="1:25" ht="30" hidden="1" customHeight="1" x14ac:dyDescent="0.25">
      <c r="A3893" s="1145">
        <v>44284</v>
      </c>
      <c r="B3893" s="664" t="s">
        <v>545</v>
      </c>
      <c r="C3893" s="71" t="s">
        <v>1441</v>
      </c>
      <c r="D3893" s="71">
        <v>2</v>
      </c>
      <c r="E3893" s="102">
        <v>210000</v>
      </c>
      <c r="F3893" s="102">
        <f t="shared" si="1949"/>
        <v>462000.00000000006</v>
      </c>
      <c r="G3893" s="102">
        <f t="shared" si="1950"/>
        <v>420000</v>
      </c>
      <c r="H3893" s="690" t="s">
        <v>173</v>
      </c>
      <c r="I3893" s="71" t="s">
        <v>2231</v>
      </c>
      <c r="J3893" s="53">
        <f t="shared" si="1943"/>
        <v>90000</v>
      </c>
      <c r="K3893" s="63">
        <f t="shared" si="1936"/>
        <v>0.21428571428571425</v>
      </c>
      <c r="L3893" s="871" t="s">
        <v>2907</v>
      </c>
      <c r="M3893" s="468"/>
      <c r="N3893" s="1192">
        <f t="shared" si="1937"/>
        <v>44284</v>
      </c>
      <c r="O3893" s="71" t="s">
        <v>1555</v>
      </c>
      <c r="P3893" s="164" t="str">
        <f t="shared" si="1938"/>
        <v xml:space="preserve"> OKS340 체인구리스</v>
      </c>
      <c r="Q3893" s="71">
        <f t="shared" si="1939"/>
        <v>2</v>
      </c>
      <c r="R3893" s="102">
        <v>165000</v>
      </c>
      <c r="S3893" s="102">
        <f t="shared" si="1944"/>
        <v>363000.00000000006</v>
      </c>
      <c r="T3893" s="102">
        <f t="shared" si="1945"/>
        <v>330000</v>
      </c>
      <c r="U3893" s="71" t="str">
        <f>IF(J3893=W3893,"O", "X")</f>
        <v>X</v>
      </c>
      <c r="V3893" s="71"/>
      <c r="W3893" s="474"/>
      <c r="X3893" s="71"/>
      <c r="Y3893" s="71"/>
    </row>
    <row r="3894" spans="1:25" s="209" customFormat="1" ht="30" hidden="1" customHeight="1" x14ac:dyDescent="0.2">
      <c r="A3894" s="1145">
        <v>44284</v>
      </c>
      <c r="B3894" s="664" t="s">
        <v>2353</v>
      </c>
      <c r="C3894" s="71" t="s">
        <v>138</v>
      </c>
      <c r="D3894" s="71">
        <v>10</v>
      </c>
      <c r="E3894" s="102">
        <v>54400</v>
      </c>
      <c r="F3894" s="102">
        <f t="shared" si="1949"/>
        <v>598400</v>
      </c>
      <c r="G3894" s="102">
        <f t="shared" si="1950"/>
        <v>544000</v>
      </c>
      <c r="H3894" s="165" t="s">
        <v>142</v>
      </c>
      <c r="I3894" s="71" t="s">
        <v>142</v>
      </c>
      <c r="J3894" s="53">
        <f t="shared" si="1943"/>
        <v>136000</v>
      </c>
      <c r="K3894" s="63">
        <f t="shared" si="1936"/>
        <v>0.25</v>
      </c>
      <c r="L3894" s="871" t="s">
        <v>2907</v>
      </c>
      <c r="M3894" s="468" t="s">
        <v>2214</v>
      </c>
      <c r="N3894" s="1192">
        <f t="shared" si="1937"/>
        <v>44284</v>
      </c>
      <c r="O3894" s="71" t="s">
        <v>2030</v>
      </c>
      <c r="P3894" s="164" t="str">
        <f t="shared" si="1938"/>
        <v>매엽용 세척제(Wash 562)</v>
      </c>
      <c r="Q3894" s="71">
        <f t="shared" si="1939"/>
        <v>10</v>
      </c>
      <c r="R3894" s="102">
        <v>40800</v>
      </c>
      <c r="S3894" s="102">
        <f t="shared" si="1944"/>
        <v>448800.00000000006</v>
      </c>
      <c r="T3894" s="102">
        <f t="shared" si="1945"/>
        <v>408000</v>
      </c>
      <c r="U3894" s="71" t="str">
        <f>IF(J3894=W3894,"O", "X")</f>
        <v>O</v>
      </c>
      <c r="V3894" s="71"/>
      <c r="W3894" s="474">
        <f>(G3894-T3894)</f>
        <v>136000</v>
      </c>
      <c r="X3894" s="71"/>
      <c r="Y3894" s="71"/>
    </row>
    <row r="3895" spans="1:25" ht="30" hidden="1" customHeight="1" x14ac:dyDescent="0.2">
      <c r="A3895" s="1145">
        <v>44284</v>
      </c>
      <c r="B3895" s="664" t="s">
        <v>2353</v>
      </c>
      <c r="C3895" s="71" t="s">
        <v>129</v>
      </c>
      <c r="D3895" s="71">
        <v>7</v>
      </c>
      <c r="E3895" s="102">
        <v>272000</v>
      </c>
      <c r="F3895" s="102">
        <f t="shared" si="1949"/>
        <v>2094400.0000000002</v>
      </c>
      <c r="G3895" s="102">
        <f t="shared" si="1950"/>
        <v>1904000</v>
      </c>
      <c r="H3895" s="165" t="s">
        <v>142</v>
      </c>
      <c r="I3895" s="71" t="s">
        <v>142</v>
      </c>
      <c r="J3895" s="53">
        <f t="shared" si="1943"/>
        <v>414400</v>
      </c>
      <c r="K3895" s="63">
        <f t="shared" si="1936"/>
        <v>0.21764705882352939</v>
      </c>
      <c r="L3895" s="871" t="s">
        <v>2907</v>
      </c>
      <c r="M3895" s="468" t="s">
        <v>2050</v>
      </c>
      <c r="N3895" s="1192">
        <f t="shared" si="1937"/>
        <v>44284</v>
      </c>
      <c r="O3895" s="71" t="s">
        <v>149</v>
      </c>
      <c r="P3895" s="164" t="str">
        <f t="shared" si="1938"/>
        <v>세정포-XL106</v>
      </c>
      <c r="Q3895" s="71">
        <f t="shared" si="1939"/>
        <v>7</v>
      </c>
      <c r="R3895" s="102">
        <v>212800</v>
      </c>
      <c r="S3895" s="102">
        <f t="shared" si="1944"/>
        <v>1638560.0000000002</v>
      </c>
      <c r="T3895" s="102">
        <f t="shared" si="1945"/>
        <v>1489600</v>
      </c>
      <c r="U3895" s="71" t="str">
        <f>IF(J3895=W3895,"O", "X")</f>
        <v>O</v>
      </c>
      <c r="V3895" s="71"/>
      <c r="W3895" s="474">
        <f>(G3895-T3895)</f>
        <v>414400</v>
      </c>
      <c r="X3895" s="71"/>
      <c r="Y3895" s="71"/>
    </row>
    <row r="3896" spans="1:25" s="209" customFormat="1" ht="30" hidden="1" customHeight="1" x14ac:dyDescent="0.2">
      <c r="A3896" s="1145">
        <v>44284</v>
      </c>
      <c r="B3896" s="664" t="s">
        <v>2353</v>
      </c>
      <c r="C3896" s="71" t="s">
        <v>130</v>
      </c>
      <c r="D3896" s="71">
        <v>10</v>
      </c>
      <c r="E3896" s="102">
        <v>125000</v>
      </c>
      <c r="F3896" s="102">
        <f t="shared" si="1949"/>
        <v>1375000</v>
      </c>
      <c r="G3896" s="102">
        <f t="shared" si="1950"/>
        <v>1250000</v>
      </c>
      <c r="H3896" s="165" t="s">
        <v>142</v>
      </c>
      <c r="I3896" s="71" t="s">
        <v>142</v>
      </c>
      <c r="J3896" s="53">
        <f t="shared" si="1943"/>
        <v>260000</v>
      </c>
      <c r="K3896" s="63">
        <f t="shared" si="1936"/>
        <v>0.20799999999999999</v>
      </c>
      <c r="L3896" s="871" t="s">
        <v>2907</v>
      </c>
      <c r="M3896" s="468" t="s">
        <v>2050</v>
      </c>
      <c r="N3896" s="1192">
        <f t="shared" si="1937"/>
        <v>44284</v>
      </c>
      <c r="O3896" s="71" t="s">
        <v>150</v>
      </c>
      <c r="P3896" s="164" t="str">
        <f t="shared" si="1938"/>
        <v>XL106 Blanket(1077*885)</v>
      </c>
      <c r="Q3896" s="71">
        <f t="shared" si="1939"/>
        <v>10</v>
      </c>
      <c r="R3896" s="102">
        <v>99000</v>
      </c>
      <c r="S3896" s="102">
        <f t="shared" si="1944"/>
        <v>1089000</v>
      </c>
      <c r="T3896" s="102">
        <f t="shared" si="1945"/>
        <v>990000</v>
      </c>
      <c r="U3896" s="71" t="str">
        <f>IF(J3896=W3896,"O", "X")</f>
        <v>O</v>
      </c>
      <c r="V3896" s="71"/>
      <c r="W3896" s="474">
        <f>(G3896-T3896)</f>
        <v>260000</v>
      </c>
      <c r="X3896" s="71"/>
      <c r="Y3896" s="71"/>
    </row>
    <row r="3897" spans="1:25" ht="30" hidden="1" customHeight="1" x14ac:dyDescent="0.2">
      <c r="A3897" s="1145">
        <v>44284</v>
      </c>
      <c r="B3897" s="664" t="s">
        <v>2579</v>
      </c>
      <c r="C3897" s="71" t="s">
        <v>2651</v>
      </c>
      <c r="D3897" s="71">
        <v>2</v>
      </c>
      <c r="E3897" s="102">
        <v>596000</v>
      </c>
      <c r="F3897" s="102">
        <f t="shared" si="1949"/>
        <v>1311200</v>
      </c>
      <c r="G3897" s="102">
        <f t="shared" si="1950"/>
        <v>1192000</v>
      </c>
      <c r="H3897" s="165" t="s">
        <v>142</v>
      </c>
      <c r="I3897" s="71" t="s">
        <v>142</v>
      </c>
      <c r="J3897" s="53">
        <f t="shared" si="1943"/>
        <v>312000</v>
      </c>
      <c r="K3897" s="63">
        <f t="shared" si="1936"/>
        <v>0.26174496644295303</v>
      </c>
      <c r="L3897" s="871" t="s">
        <v>2907</v>
      </c>
      <c r="M3897" s="468"/>
      <c r="N3897" s="1192">
        <f t="shared" si="1937"/>
        <v>44284</v>
      </c>
      <c r="O3897" s="71" t="s">
        <v>150</v>
      </c>
      <c r="P3897" s="164" t="str">
        <f t="shared" si="1938"/>
        <v>자동 판걸이용 오버러닝 클러치</v>
      </c>
      <c r="Q3897" s="71">
        <f t="shared" si="1939"/>
        <v>2</v>
      </c>
      <c r="R3897" s="102">
        <v>440000</v>
      </c>
      <c r="S3897" s="102">
        <f t="shared" si="1944"/>
        <v>968000.00000000012</v>
      </c>
      <c r="T3897" s="102">
        <f t="shared" si="1945"/>
        <v>880000</v>
      </c>
      <c r="U3897" s="71"/>
      <c r="V3897" s="71"/>
      <c r="W3897" s="474"/>
      <c r="X3897" s="71"/>
      <c r="Y3897" s="71"/>
    </row>
    <row r="3898" spans="1:25" s="209" customFormat="1" ht="30" hidden="1" customHeight="1" x14ac:dyDescent="0.2">
      <c r="A3898" s="1145">
        <v>44285</v>
      </c>
      <c r="B3898" s="664" t="s">
        <v>764</v>
      </c>
      <c r="C3898" s="71" t="s">
        <v>236</v>
      </c>
      <c r="D3898" s="71">
        <v>10</v>
      </c>
      <c r="E3898" s="102">
        <v>100000</v>
      </c>
      <c r="F3898" s="163">
        <f t="shared" si="1949"/>
        <v>1100000</v>
      </c>
      <c r="G3898" s="102">
        <f t="shared" si="1950"/>
        <v>1000000</v>
      </c>
      <c r="H3898" s="690" t="s">
        <v>173</v>
      </c>
      <c r="I3898" s="71" t="s">
        <v>2231</v>
      </c>
      <c r="J3898" s="53">
        <f t="shared" si="1943"/>
        <v>500000</v>
      </c>
      <c r="K3898" s="63">
        <f t="shared" si="1936"/>
        <v>0.5</v>
      </c>
      <c r="L3898" s="871" t="s">
        <v>2907</v>
      </c>
      <c r="M3898" s="468"/>
      <c r="N3898" s="1192">
        <f t="shared" si="1937"/>
        <v>44285</v>
      </c>
      <c r="O3898" s="71" t="s">
        <v>153</v>
      </c>
      <c r="P3898" s="164" t="str">
        <f t="shared" si="1938"/>
        <v>아스테이지(국전)</v>
      </c>
      <c r="Q3898" s="71">
        <f t="shared" si="1939"/>
        <v>10</v>
      </c>
      <c r="R3898" s="102">
        <v>50000</v>
      </c>
      <c r="S3898" s="102">
        <f t="shared" si="1944"/>
        <v>550000</v>
      </c>
      <c r="T3898" s="102">
        <f t="shared" si="1945"/>
        <v>500000</v>
      </c>
      <c r="U3898" s="71" t="str">
        <f t="shared" ref="U3898:U3915" si="1951">IF(J3898=W3898,"O", "X")</f>
        <v>O</v>
      </c>
      <c r="V3898" s="71"/>
      <c r="W3898" s="474">
        <v>500000</v>
      </c>
      <c r="X3898" s="71"/>
      <c r="Y3898" s="71"/>
    </row>
    <row r="3899" spans="1:25" ht="30" hidden="1" customHeight="1" x14ac:dyDescent="0.25">
      <c r="A3899" s="1145">
        <v>44286</v>
      </c>
      <c r="B3899" s="664" t="s">
        <v>1051</v>
      </c>
      <c r="C3899" s="71" t="s">
        <v>1294</v>
      </c>
      <c r="D3899" s="71">
        <v>800</v>
      </c>
      <c r="E3899" s="102">
        <v>5690</v>
      </c>
      <c r="F3899" s="102">
        <f t="shared" si="1949"/>
        <v>5007200</v>
      </c>
      <c r="G3899" s="102">
        <f t="shared" si="1950"/>
        <v>4552000</v>
      </c>
      <c r="H3899" s="690" t="s">
        <v>142</v>
      </c>
      <c r="I3899" s="71" t="s">
        <v>2273</v>
      </c>
      <c r="J3899" s="53">
        <f t="shared" si="1943"/>
        <v>1192000</v>
      </c>
      <c r="K3899" s="63">
        <f t="shared" si="1936"/>
        <v>0.26186291739894552</v>
      </c>
      <c r="L3899" s="871" t="s">
        <v>2907</v>
      </c>
      <c r="M3899" s="468"/>
      <c r="N3899" s="1192">
        <f t="shared" si="1937"/>
        <v>44286</v>
      </c>
      <c r="O3899" s="71" t="s">
        <v>145</v>
      </c>
      <c r="P3899" s="164" t="str">
        <f t="shared" si="1938"/>
        <v>ENGAGE 1030*790</v>
      </c>
      <c r="Q3899" s="71">
        <f t="shared" si="1939"/>
        <v>800</v>
      </c>
      <c r="R3899" s="102">
        <v>4200</v>
      </c>
      <c r="S3899" s="102">
        <f t="shared" si="1944"/>
        <v>3696000.0000000005</v>
      </c>
      <c r="T3899" s="102">
        <f t="shared" si="1945"/>
        <v>3360000</v>
      </c>
      <c r="U3899" s="71" t="str">
        <f t="shared" si="1951"/>
        <v>O</v>
      </c>
      <c r="V3899" s="71"/>
      <c r="W3899" s="474">
        <f t="shared" ref="W3899:W3916" si="1952">(G3899-T3899)</f>
        <v>1192000</v>
      </c>
      <c r="X3899" s="71"/>
      <c r="Y3899" s="71"/>
    </row>
    <row r="3900" spans="1:25" ht="30" hidden="1" customHeight="1" x14ac:dyDescent="0.25">
      <c r="A3900" s="1145">
        <v>44286</v>
      </c>
      <c r="B3900" s="664" t="s">
        <v>1051</v>
      </c>
      <c r="C3900" s="71" t="s">
        <v>1384</v>
      </c>
      <c r="D3900" s="71">
        <v>1700</v>
      </c>
      <c r="E3900" s="102">
        <v>3580</v>
      </c>
      <c r="F3900" s="102">
        <f t="shared" si="1949"/>
        <v>6694600.0000000009</v>
      </c>
      <c r="G3900" s="102">
        <f t="shared" si="1950"/>
        <v>6086000</v>
      </c>
      <c r="H3900" s="690" t="s">
        <v>142</v>
      </c>
      <c r="I3900" s="71" t="s">
        <v>2273</v>
      </c>
      <c r="J3900" s="53">
        <f t="shared" ref="J3900:J3915" si="1953">G3900-T3900</f>
        <v>1576664.864200565</v>
      </c>
      <c r="K3900" s="63">
        <f t="shared" si="1936"/>
        <v>0.25906422349664227</v>
      </c>
      <c r="L3900" s="871" t="s">
        <v>2907</v>
      </c>
      <c r="M3900" s="468"/>
      <c r="N3900" s="1192">
        <f t="shared" si="1937"/>
        <v>44286</v>
      </c>
      <c r="O3900" s="71" t="s">
        <v>145</v>
      </c>
      <c r="P3900" s="164" t="str">
        <f t="shared" si="1938"/>
        <v>ENGAGE 900X571 - 27RO</v>
      </c>
      <c r="Q3900" s="71">
        <f t="shared" si="1939"/>
        <v>1700</v>
      </c>
      <c r="R3900" s="102">
        <f>R3899/1030/790*900*571</f>
        <v>2652.5500798820203</v>
      </c>
      <c r="S3900" s="102">
        <f t="shared" ref="S3900:S3915" si="1954">R3900*Q3900*1.1</f>
        <v>4960268.6493793791</v>
      </c>
      <c r="T3900" s="102">
        <f t="shared" ref="T3900:T3915" si="1955">R3900*Q3900</f>
        <v>4509335.135799435</v>
      </c>
      <c r="U3900" s="71" t="str">
        <f t="shared" si="1951"/>
        <v>O</v>
      </c>
      <c r="V3900" s="71"/>
      <c r="W3900" s="474">
        <f t="shared" si="1952"/>
        <v>1576664.864200565</v>
      </c>
      <c r="X3900" s="71"/>
      <c r="Y3900" s="71"/>
    </row>
    <row r="3901" spans="1:25" ht="30" hidden="1" customHeight="1" x14ac:dyDescent="0.25">
      <c r="A3901" s="1145">
        <v>44286</v>
      </c>
      <c r="B3901" s="664" t="s">
        <v>1051</v>
      </c>
      <c r="C3901" s="71" t="s">
        <v>951</v>
      </c>
      <c r="D3901" s="71">
        <v>5200</v>
      </c>
      <c r="E3901" s="102">
        <v>3410</v>
      </c>
      <c r="F3901" s="102">
        <f t="shared" si="1949"/>
        <v>19505200</v>
      </c>
      <c r="G3901" s="102">
        <f t="shared" si="1950"/>
        <v>17732000</v>
      </c>
      <c r="H3901" s="690" t="s">
        <v>142</v>
      </c>
      <c r="I3901" s="71" t="s">
        <v>2273</v>
      </c>
      <c r="J3901" s="53">
        <f t="shared" si="1953"/>
        <v>4649579.6485191099</v>
      </c>
      <c r="K3901" s="63">
        <f t="shared" si="1936"/>
        <v>0.26221405642449302</v>
      </c>
      <c r="L3901" s="871" t="s">
        <v>2907</v>
      </c>
      <c r="M3901" s="468"/>
      <c r="N3901" s="1192">
        <f t="shared" si="1937"/>
        <v>44286</v>
      </c>
      <c r="O3901" s="71" t="s">
        <v>145</v>
      </c>
      <c r="P3901" s="164" t="str">
        <f t="shared" si="1938"/>
        <v>ENGAGE 30WEB(883*552)</v>
      </c>
      <c r="Q3901" s="71">
        <f t="shared" si="1939"/>
        <v>5200</v>
      </c>
      <c r="R3901" s="102">
        <f>R3899/1030/790*883*552</f>
        <v>2515.8500675924788</v>
      </c>
      <c r="S3901" s="102">
        <f t="shared" si="1954"/>
        <v>14390662.38662898</v>
      </c>
      <c r="T3901" s="102">
        <f t="shared" si="1955"/>
        <v>13082420.35148089</v>
      </c>
      <c r="U3901" s="71" t="str">
        <f t="shared" si="1951"/>
        <v>O</v>
      </c>
      <c r="V3901" s="71"/>
      <c r="W3901" s="474">
        <f t="shared" si="1952"/>
        <v>4649579.6485191099</v>
      </c>
      <c r="X3901" s="71"/>
      <c r="Y3901" s="71"/>
    </row>
    <row r="3902" spans="1:25" ht="30" hidden="1" customHeight="1" x14ac:dyDescent="0.25">
      <c r="A3902" s="1145">
        <v>44286</v>
      </c>
      <c r="B3902" s="664" t="s">
        <v>1051</v>
      </c>
      <c r="C3902" s="71" t="s">
        <v>2219</v>
      </c>
      <c r="D3902" s="71">
        <v>400</v>
      </c>
      <c r="E3902" s="102">
        <v>5760</v>
      </c>
      <c r="F3902" s="102">
        <f t="shared" si="1949"/>
        <v>2534400</v>
      </c>
      <c r="G3902" s="102">
        <f t="shared" si="1950"/>
        <v>2304000</v>
      </c>
      <c r="H3902" s="690" t="s">
        <v>142</v>
      </c>
      <c r="I3902" s="71" t="s">
        <v>2273</v>
      </c>
      <c r="J3902" s="53">
        <f t="shared" si="1953"/>
        <v>602734.17721518991</v>
      </c>
      <c r="K3902" s="63">
        <f t="shared" si="1936"/>
        <v>0.26160337552742619</v>
      </c>
      <c r="L3902" s="871" t="s">
        <v>2907</v>
      </c>
      <c r="M3902" s="468"/>
      <c r="N3902" s="1192">
        <f t="shared" si="1937"/>
        <v>44286</v>
      </c>
      <c r="O3902" s="71" t="s">
        <v>145</v>
      </c>
      <c r="P3902" s="164" t="str">
        <f t="shared" si="1938"/>
        <v>ENGAGE 1030*800</v>
      </c>
      <c r="Q3902" s="71">
        <f t="shared" si="1939"/>
        <v>400</v>
      </c>
      <c r="R3902" s="102">
        <f>R3899/1030/790*1030*800</f>
        <v>4253.164556962025</v>
      </c>
      <c r="S3902" s="102">
        <f t="shared" si="1954"/>
        <v>1871392.4050632913</v>
      </c>
      <c r="T3902" s="102">
        <f t="shared" si="1955"/>
        <v>1701265.8227848101</v>
      </c>
      <c r="U3902" s="71" t="str">
        <f t="shared" si="1951"/>
        <v>O</v>
      </c>
      <c r="V3902" s="71"/>
      <c r="W3902" s="474">
        <f t="shared" si="1952"/>
        <v>602734.17721518991</v>
      </c>
      <c r="X3902" s="71"/>
      <c r="Y3902" s="71"/>
    </row>
    <row r="3903" spans="1:25" ht="30" hidden="1" customHeight="1" x14ac:dyDescent="0.25">
      <c r="A3903" s="1145">
        <v>44286</v>
      </c>
      <c r="B3903" s="664" t="s">
        <v>1051</v>
      </c>
      <c r="C3903" s="71" t="s">
        <v>1383</v>
      </c>
      <c r="D3903" s="71">
        <v>1700</v>
      </c>
      <c r="E3903" s="102">
        <v>5970</v>
      </c>
      <c r="F3903" s="102">
        <f t="shared" si="1949"/>
        <v>11163900</v>
      </c>
      <c r="G3903" s="102">
        <f t="shared" si="1950"/>
        <v>10149000</v>
      </c>
      <c r="H3903" s="690" t="s">
        <v>142</v>
      </c>
      <c r="I3903" s="71" t="s">
        <v>2273</v>
      </c>
      <c r="J3903" s="53">
        <f t="shared" si="1953"/>
        <v>2641294.8261029869</v>
      </c>
      <c r="K3903" s="63">
        <f t="shared" si="1936"/>
        <v>0.26025173180638356</v>
      </c>
      <c r="L3903" s="871" t="s">
        <v>2907</v>
      </c>
      <c r="M3903" s="468"/>
      <c r="N3903" s="1192">
        <f t="shared" si="1937"/>
        <v>44286</v>
      </c>
      <c r="O3903" s="71" t="s">
        <v>145</v>
      </c>
      <c r="P3903" s="164" t="str">
        <f t="shared" si="1938"/>
        <v>ENGAGE 1055*811</v>
      </c>
      <c r="Q3903" s="71">
        <f t="shared" si="1939"/>
        <v>1700</v>
      </c>
      <c r="R3903" s="102">
        <f>R3899/1030/790*1055*811</f>
        <v>4416.29716111589</v>
      </c>
      <c r="S3903" s="102">
        <f t="shared" si="1954"/>
        <v>8258475.6912867147</v>
      </c>
      <c r="T3903" s="102">
        <f t="shared" si="1955"/>
        <v>7507705.1738970131</v>
      </c>
      <c r="U3903" s="71" t="str">
        <f t="shared" si="1951"/>
        <v>O</v>
      </c>
      <c r="V3903" s="71"/>
      <c r="W3903" s="474">
        <f t="shared" si="1952"/>
        <v>2641294.8261029869</v>
      </c>
      <c r="X3903" s="71"/>
      <c r="Y3903" s="71"/>
    </row>
    <row r="3904" spans="1:25" ht="30" hidden="1" customHeight="1" x14ac:dyDescent="0.25">
      <c r="A3904" s="1145">
        <v>44286</v>
      </c>
      <c r="B3904" s="664" t="s">
        <v>1051</v>
      </c>
      <c r="C3904" s="71" t="s">
        <v>1650</v>
      </c>
      <c r="D3904" s="71">
        <v>3746</v>
      </c>
      <c r="E3904" s="102">
        <v>4270</v>
      </c>
      <c r="F3904" s="102">
        <f t="shared" si="1949"/>
        <v>17594962</v>
      </c>
      <c r="G3904" s="102">
        <f t="shared" si="1950"/>
        <v>15995420</v>
      </c>
      <c r="H3904" s="690" t="s">
        <v>142</v>
      </c>
      <c r="I3904" s="71" t="s">
        <v>2273</v>
      </c>
      <c r="J3904" s="53">
        <f t="shared" si="1953"/>
        <v>4185214.2416123897</v>
      </c>
      <c r="K3904" s="63">
        <f t="shared" si="1936"/>
        <v>0.26165078763873595</v>
      </c>
      <c r="L3904" s="871" t="s">
        <v>2907</v>
      </c>
      <c r="M3904" s="468"/>
      <c r="N3904" s="1192">
        <f t="shared" si="1937"/>
        <v>44286</v>
      </c>
      <c r="O3904" s="71" t="s">
        <v>145</v>
      </c>
      <c r="P3904" s="164" t="str">
        <f t="shared" si="1938"/>
        <v>ENGAGE 968*631</v>
      </c>
      <c r="Q3904" s="71">
        <f t="shared" si="1939"/>
        <v>3746</v>
      </c>
      <c r="R3904" s="102">
        <f>R3899/1030/790*968*631</f>
        <v>3152.7511367825978</v>
      </c>
      <c r="S3904" s="102">
        <f t="shared" si="1954"/>
        <v>12991226.334226372</v>
      </c>
      <c r="T3904" s="102">
        <f t="shared" si="1955"/>
        <v>11810205.75838761</v>
      </c>
      <c r="U3904" s="71" t="str">
        <f t="shared" si="1951"/>
        <v>O</v>
      </c>
      <c r="V3904" s="71"/>
      <c r="W3904" s="474">
        <f t="shared" si="1952"/>
        <v>4185214.2416123897</v>
      </c>
      <c r="X3904" s="71"/>
      <c r="Y3904" s="71"/>
    </row>
    <row r="3905" spans="1:25" ht="30" hidden="1" customHeight="1" x14ac:dyDescent="0.25">
      <c r="A3905" s="1145">
        <v>44286</v>
      </c>
      <c r="B3905" s="664" t="s">
        <v>1051</v>
      </c>
      <c r="C3905" s="71" t="s">
        <v>2619</v>
      </c>
      <c r="D3905" s="71"/>
      <c r="E3905" s="102"/>
      <c r="F3905" s="102">
        <f t="shared" si="1949"/>
        <v>0</v>
      </c>
      <c r="G3905" s="102">
        <f t="shared" si="1950"/>
        <v>0</v>
      </c>
      <c r="H3905" s="690" t="s">
        <v>142</v>
      </c>
      <c r="I3905" s="71" t="s">
        <v>2273</v>
      </c>
      <c r="J3905" s="53">
        <f t="shared" si="1953"/>
        <v>0</v>
      </c>
      <c r="K3905" s="63" t="e">
        <f t="shared" si="1936"/>
        <v>#DIV/0!</v>
      </c>
      <c r="L3905" s="871" t="s">
        <v>2907</v>
      </c>
      <c r="M3905" s="468"/>
      <c r="N3905" s="1192">
        <f t="shared" si="1937"/>
        <v>44286</v>
      </c>
      <c r="O3905" s="71" t="s">
        <v>145</v>
      </c>
      <c r="P3905" s="164" t="str">
        <f t="shared" si="1938"/>
        <v>ENGAGE 1092*800</v>
      </c>
      <c r="Q3905" s="71">
        <f t="shared" si="1939"/>
        <v>0</v>
      </c>
      <c r="R3905" s="102">
        <v>5510</v>
      </c>
      <c r="S3905" s="102">
        <f t="shared" si="1954"/>
        <v>0</v>
      </c>
      <c r="T3905" s="102">
        <f t="shared" si="1955"/>
        <v>0</v>
      </c>
      <c r="U3905" s="71" t="str">
        <f t="shared" si="1951"/>
        <v>O</v>
      </c>
      <c r="V3905" s="71"/>
      <c r="W3905" s="474">
        <f t="shared" si="1952"/>
        <v>0</v>
      </c>
      <c r="X3905" s="71"/>
      <c r="Y3905" s="71"/>
    </row>
    <row r="3906" spans="1:25" ht="30" hidden="1" customHeight="1" x14ac:dyDescent="0.25">
      <c r="A3906" s="1145">
        <v>44286</v>
      </c>
      <c r="B3906" s="664" t="s">
        <v>1051</v>
      </c>
      <c r="C3906" s="67" t="s">
        <v>1386</v>
      </c>
      <c r="D3906" s="71">
        <v>55</v>
      </c>
      <c r="E3906" s="102">
        <v>52500</v>
      </c>
      <c r="F3906" s="102">
        <f t="shared" si="1949"/>
        <v>3176250.0000000005</v>
      </c>
      <c r="G3906" s="102">
        <f t="shared" si="1950"/>
        <v>2887500</v>
      </c>
      <c r="H3906" s="690" t="s">
        <v>142</v>
      </c>
      <c r="I3906" s="71" t="s">
        <v>2273</v>
      </c>
      <c r="J3906" s="53">
        <f t="shared" si="1953"/>
        <v>962500</v>
      </c>
      <c r="K3906" s="63">
        <f t="shared" si="1936"/>
        <v>0.33333333333333326</v>
      </c>
      <c r="L3906" s="871" t="s">
        <v>2907</v>
      </c>
      <c r="M3906" s="468"/>
      <c r="N3906" s="1192">
        <f t="shared" si="1937"/>
        <v>44286</v>
      </c>
      <c r="O3906" s="71" t="s">
        <v>145</v>
      </c>
      <c r="P3906" s="164" t="str">
        <f t="shared" si="1938"/>
        <v>THR200(20L)보충액</v>
      </c>
      <c r="Q3906" s="71">
        <f t="shared" si="1939"/>
        <v>55</v>
      </c>
      <c r="R3906" s="102">
        <v>35000</v>
      </c>
      <c r="S3906" s="102">
        <f t="shared" si="1954"/>
        <v>2117500</v>
      </c>
      <c r="T3906" s="102">
        <f t="shared" si="1955"/>
        <v>1925000</v>
      </c>
      <c r="U3906" s="71" t="str">
        <f t="shared" si="1951"/>
        <v>O</v>
      </c>
      <c r="V3906" s="71"/>
      <c r="W3906" s="474">
        <f t="shared" si="1952"/>
        <v>962500</v>
      </c>
      <c r="X3906" s="71"/>
      <c r="Y3906" s="71"/>
    </row>
    <row r="3907" spans="1:25" ht="30" hidden="1" customHeight="1" x14ac:dyDescent="0.25">
      <c r="A3907" s="1145">
        <v>44286</v>
      </c>
      <c r="B3907" s="664" t="s">
        <v>1051</v>
      </c>
      <c r="C3907" s="71" t="s">
        <v>1387</v>
      </c>
      <c r="D3907" s="71">
        <v>5</v>
      </c>
      <c r="E3907" s="102">
        <v>52500</v>
      </c>
      <c r="F3907" s="102">
        <f t="shared" si="1949"/>
        <v>288750</v>
      </c>
      <c r="G3907" s="102">
        <f t="shared" si="1950"/>
        <v>262500</v>
      </c>
      <c r="H3907" s="690" t="s">
        <v>142</v>
      </c>
      <c r="I3907" s="71" t="s">
        <v>2273</v>
      </c>
      <c r="J3907" s="53">
        <f t="shared" si="1953"/>
        <v>87500</v>
      </c>
      <c r="K3907" s="63">
        <f t="shared" ref="K3907:K3915" si="1956">(J3907/(F3907/11*10))</f>
        <v>0.33333333333333331</v>
      </c>
      <c r="L3907" s="871" t="s">
        <v>2907</v>
      </c>
      <c r="M3907" s="468"/>
      <c r="N3907" s="1192">
        <f t="shared" ref="N3907:N3915" si="1957">A3907</f>
        <v>44286</v>
      </c>
      <c r="O3907" s="71" t="s">
        <v>145</v>
      </c>
      <c r="P3907" s="164" t="str">
        <f t="shared" ref="P3907:P3915" si="1958">(C3907)</f>
        <v>THD200(20L)현상액</v>
      </c>
      <c r="Q3907" s="71">
        <f t="shared" ref="Q3907:Q3914" si="1959">D3907</f>
        <v>5</v>
      </c>
      <c r="R3907" s="102">
        <v>35000</v>
      </c>
      <c r="S3907" s="102">
        <f t="shared" si="1954"/>
        <v>192500.00000000003</v>
      </c>
      <c r="T3907" s="102">
        <f t="shared" si="1955"/>
        <v>175000</v>
      </c>
      <c r="U3907" s="71" t="str">
        <f t="shared" si="1951"/>
        <v>O</v>
      </c>
      <c r="V3907" s="71"/>
      <c r="W3907" s="474">
        <f t="shared" si="1952"/>
        <v>87500</v>
      </c>
      <c r="X3907" s="71"/>
      <c r="Y3907" s="71"/>
    </row>
    <row r="3908" spans="1:25" ht="30" hidden="1" customHeight="1" x14ac:dyDescent="0.25">
      <c r="A3908" s="1145">
        <v>44286</v>
      </c>
      <c r="B3908" s="664" t="s">
        <v>1061</v>
      </c>
      <c r="C3908" s="71" t="s">
        <v>616</v>
      </c>
      <c r="D3908" s="71">
        <v>1000</v>
      </c>
      <c r="E3908" s="102">
        <v>5600</v>
      </c>
      <c r="F3908" s="102">
        <f t="shared" si="1949"/>
        <v>6160000.0000000009</v>
      </c>
      <c r="G3908" s="102">
        <f t="shared" si="1950"/>
        <v>5600000</v>
      </c>
      <c r="H3908" s="690" t="s">
        <v>142</v>
      </c>
      <c r="I3908" s="71" t="s">
        <v>144</v>
      </c>
      <c r="J3908" s="53">
        <f t="shared" si="1953"/>
        <v>510000</v>
      </c>
      <c r="K3908" s="63">
        <f t="shared" si="1956"/>
        <v>9.1071428571428553E-2</v>
      </c>
      <c r="L3908" s="871" t="s">
        <v>2907</v>
      </c>
      <c r="M3908" s="468"/>
      <c r="N3908" s="1192">
        <f t="shared" si="1957"/>
        <v>44286</v>
      </c>
      <c r="O3908" s="71" t="s">
        <v>147</v>
      </c>
      <c r="P3908" s="164" t="str">
        <f t="shared" si="1958"/>
        <v>프리미어(먹)</v>
      </c>
      <c r="Q3908" s="71">
        <f t="shared" si="1959"/>
        <v>1000</v>
      </c>
      <c r="R3908" s="102">
        <v>5090</v>
      </c>
      <c r="S3908" s="102">
        <f t="shared" si="1954"/>
        <v>5599000</v>
      </c>
      <c r="T3908" s="102">
        <f t="shared" si="1955"/>
        <v>5090000</v>
      </c>
      <c r="U3908" s="71" t="str">
        <f t="shared" si="1951"/>
        <v>O</v>
      </c>
      <c r="V3908" s="71"/>
      <c r="W3908" s="474">
        <f t="shared" si="1952"/>
        <v>510000</v>
      </c>
      <c r="X3908" s="71"/>
      <c r="Y3908" s="71"/>
    </row>
    <row r="3909" spans="1:25" ht="30" hidden="1" customHeight="1" x14ac:dyDescent="0.25">
      <c r="A3909" s="1145">
        <v>44286</v>
      </c>
      <c r="B3909" s="664" t="s">
        <v>1052</v>
      </c>
      <c r="C3909" s="71" t="s">
        <v>585</v>
      </c>
      <c r="D3909" s="71">
        <v>400</v>
      </c>
      <c r="E3909" s="102">
        <v>6000</v>
      </c>
      <c r="F3909" s="102">
        <f t="shared" si="1949"/>
        <v>2640000</v>
      </c>
      <c r="G3909" s="102">
        <f t="shared" si="1950"/>
        <v>2400000</v>
      </c>
      <c r="H3909" s="690" t="s">
        <v>142</v>
      </c>
      <c r="I3909" s="71" t="s">
        <v>144</v>
      </c>
      <c r="J3909" s="53">
        <f t="shared" si="1953"/>
        <v>220000</v>
      </c>
      <c r="K3909" s="63">
        <f t="shared" si="1956"/>
        <v>9.166666666666666E-2</v>
      </c>
      <c r="L3909" s="871" t="s">
        <v>2907</v>
      </c>
      <c r="M3909" s="468"/>
      <c r="N3909" s="1192">
        <f t="shared" si="1957"/>
        <v>44286</v>
      </c>
      <c r="O3909" s="71" t="s">
        <v>147</v>
      </c>
      <c r="P3909" s="164" t="str">
        <f t="shared" si="1958"/>
        <v>프리미어(적)</v>
      </c>
      <c r="Q3909" s="71">
        <f t="shared" si="1959"/>
        <v>400</v>
      </c>
      <c r="R3909" s="102">
        <v>5450</v>
      </c>
      <c r="S3909" s="102">
        <f t="shared" si="1954"/>
        <v>2398000</v>
      </c>
      <c r="T3909" s="102">
        <f t="shared" si="1955"/>
        <v>2180000</v>
      </c>
      <c r="U3909" s="71" t="str">
        <f t="shared" si="1951"/>
        <v>O</v>
      </c>
      <c r="V3909" s="71"/>
      <c r="W3909" s="474">
        <f t="shared" si="1952"/>
        <v>220000</v>
      </c>
      <c r="X3909" s="71"/>
      <c r="Y3909" s="71"/>
    </row>
    <row r="3910" spans="1:25" ht="30" hidden="1" customHeight="1" x14ac:dyDescent="0.25">
      <c r="A3910" s="1145">
        <v>44286</v>
      </c>
      <c r="B3910" s="664" t="s">
        <v>1061</v>
      </c>
      <c r="C3910" s="71" t="s">
        <v>586</v>
      </c>
      <c r="D3910" s="71">
        <v>600</v>
      </c>
      <c r="E3910" s="102">
        <v>5750</v>
      </c>
      <c r="F3910" s="102">
        <f t="shared" si="1949"/>
        <v>3795000.0000000005</v>
      </c>
      <c r="G3910" s="102">
        <f t="shared" si="1950"/>
        <v>3450000</v>
      </c>
      <c r="H3910" s="690" t="s">
        <v>142</v>
      </c>
      <c r="I3910" s="71" t="s">
        <v>144</v>
      </c>
      <c r="J3910" s="53">
        <f t="shared" si="1953"/>
        <v>318000</v>
      </c>
      <c r="K3910" s="63">
        <f t="shared" si="1956"/>
        <v>9.2173913043478245E-2</v>
      </c>
      <c r="L3910" s="871" t="s">
        <v>2907</v>
      </c>
      <c r="M3910" s="468"/>
      <c r="N3910" s="1192">
        <f t="shared" si="1957"/>
        <v>44286</v>
      </c>
      <c r="O3910" s="71" t="s">
        <v>147</v>
      </c>
      <c r="P3910" s="164" t="str">
        <f t="shared" si="1958"/>
        <v>프리미어(황)</v>
      </c>
      <c r="Q3910" s="71">
        <f t="shared" si="1959"/>
        <v>600</v>
      </c>
      <c r="R3910" s="102">
        <v>5220</v>
      </c>
      <c r="S3910" s="102">
        <f t="shared" si="1954"/>
        <v>3445200.0000000005</v>
      </c>
      <c r="T3910" s="102">
        <f t="shared" si="1955"/>
        <v>3132000</v>
      </c>
      <c r="U3910" s="71" t="str">
        <f t="shared" si="1951"/>
        <v>O</v>
      </c>
      <c r="V3910" s="71"/>
      <c r="W3910" s="474">
        <f t="shared" si="1952"/>
        <v>318000</v>
      </c>
      <c r="X3910" s="71"/>
      <c r="Y3910" s="71"/>
    </row>
    <row r="3911" spans="1:25" ht="30" hidden="1" customHeight="1" x14ac:dyDescent="0.25">
      <c r="A3911" s="1145">
        <v>44286</v>
      </c>
      <c r="B3911" s="664" t="s">
        <v>1061</v>
      </c>
      <c r="C3911" s="71" t="s">
        <v>587</v>
      </c>
      <c r="D3911" s="71">
        <v>400</v>
      </c>
      <c r="E3911" s="102">
        <v>7000</v>
      </c>
      <c r="F3911" s="102">
        <f t="shared" si="1949"/>
        <v>3080000.0000000005</v>
      </c>
      <c r="G3911" s="102">
        <f t="shared" si="1950"/>
        <v>2800000</v>
      </c>
      <c r="H3911" s="690" t="s">
        <v>142</v>
      </c>
      <c r="I3911" s="71" t="s">
        <v>144</v>
      </c>
      <c r="J3911" s="53">
        <f t="shared" si="1953"/>
        <v>256000</v>
      </c>
      <c r="K3911" s="63">
        <f t="shared" si="1956"/>
        <v>9.1428571428571415E-2</v>
      </c>
      <c r="L3911" s="871" t="s">
        <v>2907</v>
      </c>
      <c r="M3911" s="468"/>
      <c r="N3911" s="1192">
        <f t="shared" si="1957"/>
        <v>44286</v>
      </c>
      <c r="O3911" s="71" t="s">
        <v>147</v>
      </c>
      <c r="P3911" s="164" t="str">
        <f t="shared" si="1958"/>
        <v>프리미어(청)</v>
      </c>
      <c r="Q3911" s="71">
        <f t="shared" si="1959"/>
        <v>400</v>
      </c>
      <c r="R3911" s="102">
        <v>6360</v>
      </c>
      <c r="S3911" s="102">
        <f t="shared" si="1954"/>
        <v>2798400</v>
      </c>
      <c r="T3911" s="102">
        <f t="shared" si="1955"/>
        <v>2544000</v>
      </c>
      <c r="U3911" s="71" t="str">
        <f t="shared" si="1951"/>
        <v>O</v>
      </c>
      <c r="V3911" s="71"/>
      <c r="W3911" s="474">
        <f t="shared" si="1952"/>
        <v>256000</v>
      </c>
      <c r="X3911" s="71"/>
      <c r="Y3911" s="71"/>
    </row>
    <row r="3912" spans="1:25" ht="30" hidden="1" customHeight="1" x14ac:dyDescent="0.25">
      <c r="A3912" s="1145">
        <v>44286</v>
      </c>
      <c r="B3912" s="664" t="s">
        <v>1052</v>
      </c>
      <c r="C3912" s="71" t="s">
        <v>1115</v>
      </c>
      <c r="D3912" s="71"/>
      <c r="E3912" s="102">
        <v>6200</v>
      </c>
      <c r="F3912" s="102">
        <f t="shared" si="1949"/>
        <v>0</v>
      </c>
      <c r="G3912" s="102">
        <f t="shared" si="1950"/>
        <v>0</v>
      </c>
      <c r="H3912" s="690" t="s">
        <v>142</v>
      </c>
      <c r="I3912" s="71" t="s">
        <v>144</v>
      </c>
      <c r="J3912" s="53">
        <f t="shared" si="1953"/>
        <v>0</v>
      </c>
      <c r="K3912" s="63" t="e">
        <f t="shared" si="1956"/>
        <v>#DIV/0!</v>
      </c>
      <c r="L3912" s="871" t="s">
        <v>2907</v>
      </c>
      <c r="M3912" s="468"/>
      <c r="N3912" s="1192">
        <f t="shared" si="1957"/>
        <v>44286</v>
      </c>
      <c r="O3912" s="71" t="s">
        <v>2459</v>
      </c>
      <c r="P3912" s="164" t="str">
        <f t="shared" si="1958"/>
        <v>한특 잉크(적)</v>
      </c>
      <c r="Q3912" s="71">
        <f t="shared" si="1959"/>
        <v>0</v>
      </c>
      <c r="R3912" s="102">
        <v>5900</v>
      </c>
      <c r="S3912" s="102">
        <f t="shared" si="1954"/>
        <v>0</v>
      </c>
      <c r="T3912" s="102">
        <f t="shared" si="1955"/>
        <v>0</v>
      </c>
      <c r="U3912" s="71" t="str">
        <f t="shared" si="1951"/>
        <v>O</v>
      </c>
      <c r="V3912" s="71"/>
      <c r="W3912" s="474">
        <f t="shared" si="1952"/>
        <v>0</v>
      </c>
      <c r="X3912" s="71"/>
      <c r="Y3912" s="71"/>
    </row>
    <row r="3913" spans="1:25" ht="30" hidden="1" customHeight="1" x14ac:dyDescent="0.25">
      <c r="A3913" s="1145">
        <v>44286</v>
      </c>
      <c r="B3913" s="664" t="s">
        <v>1052</v>
      </c>
      <c r="C3913" s="71" t="s">
        <v>1116</v>
      </c>
      <c r="D3913" s="71">
        <v>50</v>
      </c>
      <c r="E3913" s="102">
        <v>6000</v>
      </c>
      <c r="F3913" s="102">
        <f t="shared" si="1949"/>
        <v>330000</v>
      </c>
      <c r="G3913" s="102">
        <f t="shared" si="1950"/>
        <v>300000</v>
      </c>
      <c r="H3913" s="690" t="s">
        <v>142</v>
      </c>
      <c r="I3913" s="71" t="s">
        <v>144</v>
      </c>
      <c r="J3913" s="53">
        <f t="shared" si="1953"/>
        <v>25000</v>
      </c>
      <c r="K3913" s="63">
        <f t="shared" si="1956"/>
        <v>8.3333333333333329E-2</v>
      </c>
      <c r="L3913" s="871" t="s">
        <v>2907</v>
      </c>
      <c r="M3913" s="468"/>
      <c r="N3913" s="1192">
        <f t="shared" si="1957"/>
        <v>44286</v>
      </c>
      <c r="O3913" s="71" t="s">
        <v>2459</v>
      </c>
      <c r="P3913" s="164" t="str">
        <f t="shared" si="1958"/>
        <v>한특 잉크(황)</v>
      </c>
      <c r="Q3913" s="71">
        <f t="shared" si="1959"/>
        <v>50</v>
      </c>
      <c r="R3913" s="102">
        <v>5500</v>
      </c>
      <c r="S3913" s="102">
        <f t="shared" si="1954"/>
        <v>302500</v>
      </c>
      <c r="T3913" s="102">
        <f t="shared" si="1955"/>
        <v>275000</v>
      </c>
      <c r="U3913" s="71" t="str">
        <f t="shared" si="1951"/>
        <v>O</v>
      </c>
      <c r="V3913" s="71"/>
      <c r="W3913" s="474">
        <f t="shared" si="1952"/>
        <v>25000</v>
      </c>
      <c r="X3913" s="71"/>
      <c r="Y3913" s="71"/>
    </row>
    <row r="3914" spans="1:25" ht="30" hidden="1" customHeight="1" x14ac:dyDescent="0.25">
      <c r="A3914" s="1145">
        <v>44286</v>
      </c>
      <c r="B3914" s="664" t="s">
        <v>1052</v>
      </c>
      <c r="C3914" s="71" t="s">
        <v>1117</v>
      </c>
      <c r="D3914" s="71"/>
      <c r="E3914" s="102">
        <v>6500</v>
      </c>
      <c r="F3914" s="102">
        <f t="shared" si="1949"/>
        <v>0</v>
      </c>
      <c r="G3914" s="102">
        <f t="shared" si="1950"/>
        <v>0</v>
      </c>
      <c r="H3914" s="690" t="s">
        <v>142</v>
      </c>
      <c r="I3914" s="71" t="s">
        <v>144</v>
      </c>
      <c r="J3914" s="53">
        <f t="shared" si="1953"/>
        <v>0</v>
      </c>
      <c r="K3914" s="63" t="e">
        <f t="shared" si="1956"/>
        <v>#DIV/0!</v>
      </c>
      <c r="L3914" s="871" t="s">
        <v>2907</v>
      </c>
      <c r="M3914" s="468"/>
      <c r="N3914" s="1192">
        <f t="shared" si="1957"/>
        <v>44286</v>
      </c>
      <c r="O3914" s="71" t="s">
        <v>2459</v>
      </c>
      <c r="P3914" s="164" t="str">
        <f t="shared" si="1958"/>
        <v>한특 잉크(청)</v>
      </c>
      <c r="Q3914" s="71">
        <f t="shared" si="1959"/>
        <v>0</v>
      </c>
      <c r="R3914" s="102">
        <v>6000</v>
      </c>
      <c r="S3914" s="102">
        <f t="shared" si="1954"/>
        <v>0</v>
      </c>
      <c r="T3914" s="102">
        <f t="shared" si="1955"/>
        <v>0</v>
      </c>
      <c r="U3914" s="71" t="str">
        <f t="shared" si="1951"/>
        <v>O</v>
      </c>
      <c r="V3914" s="71"/>
      <c r="W3914" s="474">
        <f t="shared" si="1952"/>
        <v>0</v>
      </c>
      <c r="X3914" s="71"/>
      <c r="Y3914" s="71"/>
    </row>
    <row r="3915" spans="1:25" ht="30" hidden="1" customHeight="1" x14ac:dyDescent="0.25">
      <c r="A3915" s="1145">
        <v>44286</v>
      </c>
      <c r="B3915" s="664" t="s">
        <v>1052</v>
      </c>
      <c r="C3915" s="71" t="s">
        <v>1118</v>
      </c>
      <c r="D3915" s="71"/>
      <c r="E3915" s="102">
        <v>5600</v>
      </c>
      <c r="F3915" s="102">
        <f t="shared" si="1949"/>
        <v>0</v>
      </c>
      <c r="G3915" s="102">
        <f t="shared" si="1950"/>
        <v>0</v>
      </c>
      <c r="H3915" s="690" t="s">
        <v>142</v>
      </c>
      <c r="I3915" s="71" t="s">
        <v>144</v>
      </c>
      <c r="J3915" s="53">
        <f t="shared" si="1953"/>
        <v>0</v>
      </c>
      <c r="K3915" s="63" t="e">
        <f t="shared" si="1956"/>
        <v>#DIV/0!</v>
      </c>
      <c r="L3915" s="871" t="s">
        <v>2907</v>
      </c>
      <c r="M3915" s="468"/>
      <c r="N3915" s="1192">
        <f t="shared" si="1957"/>
        <v>44286</v>
      </c>
      <c r="O3915" s="71" t="s">
        <v>2459</v>
      </c>
      <c r="P3915" s="164" t="str">
        <f t="shared" si="1958"/>
        <v>한특 잉크(먹)</v>
      </c>
      <c r="Q3915" s="71">
        <f>D3915</f>
        <v>0</v>
      </c>
      <c r="R3915" s="102">
        <v>5200</v>
      </c>
      <c r="S3915" s="102">
        <f t="shared" si="1954"/>
        <v>0</v>
      </c>
      <c r="T3915" s="102">
        <f t="shared" si="1955"/>
        <v>0</v>
      </c>
      <c r="U3915" s="71" t="str">
        <f t="shared" si="1951"/>
        <v>O</v>
      </c>
      <c r="V3915" s="71"/>
      <c r="W3915" s="474">
        <f t="shared" si="1952"/>
        <v>0</v>
      </c>
      <c r="X3915" s="71"/>
      <c r="Y3915" s="71"/>
    </row>
    <row r="3916" spans="1:25" s="978" customFormat="1" ht="45" hidden="1" customHeight="1" x14ac:dyDescent="0.25">
      <c r="A3916" s="982" t="s">
        <v>2909</v>
      </c>
      <c r="B3916" s="976" t="s">
        <v>544</v>
      </c>
      <c r="C3916" s="453"/>
      <c r="D3916" s="453"/>
      <c r="E3916" s="454"/>
      <c r="F3916" s="454"/>
      <c r="G3916" s="454"/>
      <c r="H3916" s="455"/>
      <c r="I3916" s="455"/>
      <c r="J3916" s="417"/>
      <c r="K3916" s="418"/>
      <c r="L3916" s="983" t="s">
        <v>2910</v>
      </c>
      <c r="M3916" s="643"/>
      <c r="N3916" s="724" t="str">
        <f>A3916</f>
        <v>2021,4</v>
      </c>
      <c r="O3916" s="453" t="s">
        <v>154</v>
      </c>
      <c r="P3916" s="728"/>
      <c r="Q3916" s="420"/>
      <c r="R3916" s="420"/>
      <c r="S3916" s="417"/>
      <c r="T3916" s="417"/>
      <c r="U3916" s="421"/>
      <c r="V3916" s="421"/>
      <c r="W3916" s="479">
        <f t="shared" si="1952"/>
        <v>0</v>
      </c>
      <c r="X3916" s="421"/>
      <c r="Y3916" s="421"/>
    </row>
    <row r="3917" spans="1:25" ht="30" hidden="1" customHeight="1" x14ac:dyDescent="0.25">
      <c r="A3917" s="1145">
        <v>44257</v>
      </c>
      <c r="B3917" s="664" t="s">
        <v>575</v>
      </c>
      <c r="C3917" s="71" t="s">
        <v>2903</v>
      </c>
      <c r="D3917" s="71">
        <v>1</v>
      </c>
      <c r="E3917" s="102">
        <v>6500000</v>
      </c>
      <c r="F3917" s="102">
        <f t="shared" ref="F3917:F3966" si="1960">(E3917*D3917)*1.1</f>
        <v>7150000.0000000009</v>
      </c>
      <c r="G3917" s="102">
        <f t="shared" ref="G3917:G3966" si="1961">(E3917*D3917)</f>
        <v>6500000</v>
      </c>
      <c r="H3917" s="690" t="s">
        <v>1431</v>
      </c>
      <c r="I3917" s="71" t="s">
        <v>1431</v>
      </c>
      <c r="J3917" s="53">
        <f t="shared" ref="J3917:J3928" si="1962">G3917-T3917</f>
        <v>2200000</v>
      </c>
      <c r="K3917" s="63">
        <f t="shared" ref="K3917:K3928" si="1963">(J3917/(F3917/11*10))</f>
        <v>0.33846153846153842</v>
      </c>
      <c r="L3917" s="871" t="s">
        <v>2910</v>
      </c>
      <c r="M3917" s="468"/>
      <c r="N3917" s="1192">
        <f>A3917</f>
        <v>44257</v>
      </c>
      <c r="O3917" s="71" t="s">
        <v>1431</v>
      </c>
      <c r="P3917" s="164" t="str">
        <f>(C3917)</f>
        <v>국윤전 CPU</v>
      </c>
      <c r="Q3917" s="71">
        <f>D3917</f>
        <v>1</v>
      </c>
      <c r="R3917" s="102">
        <v>4300000</v>
      </c>
      <c r="S3917" s="102">
        <f t="shared" ref="S3917:S3948" si="1964">R3917*Q3917*1.1</f>
        <v>4730000</v>
      </c>
      <c r="T3917" s="102">
        <f t="shared" ref="T3917:T3948" si="1965">R3917*Q3917</f>
        <v>4300000</v>
      </c>
      <c r="U3917" s="71"/>
      <c r="V3917" s="71"/>
      <c r="W3917" s="474"/>
      <c r="X3917" s="71"/>
      <c r="Y3917" s="71"/>
    </row>
    <row r="3918" spans="1:25" ht="30" hidden="1" customHeight="1" x14ac:dyDescent="0.25">
      <c r="A3918" s="1145">
        <v>44257</v>
      </c>
      <c r="B3918" s="664" t="s">
        <v>575</v>
      </c>
      <c r="C3918" s="71" t="s">
        <v>2904</v>
      </c>
      <c r="D3918" s="71">
        <v>5</v>
      </c>
      <c r="E3918" s="102">
        <v>80000</v>
      </c>
      <c r="F3918" s="102">
        <f t="shared" si="1960"/>
        <v>440000.00000000006</v>
      </c>
      <c r="G3918" s="102">
        <f t="shared" si="1961"/>
        <v>400000</v>
      </c>
      <c r="H3918" s="690" t="s">
        <v>1431</v>
      </c>
      <c r="I3918" s="71" t="s">
        <v>1431</v>
      </c>
      <c r="J3918" s="53">
        <f t="shared" si="1962"/>
        <v>100000</v>
      </c>
      <c r="K3918" s="63">
        <f t="shared" si="1963"/>
        <v>0.24999999999999997</v>
      </c>
      <c r="L3918" s="871" t="s">
        <v>2910</v>
      </c>
      <c r="M3918" s="468"/>
      <c r="N3918" s="1192">
        <f t="shared" ref="N3918:N3982" si="1966">A3918</f>
        <v>44257</v>
      </c>
      <c r="O3918" s="71" t="s">
        <v>1431</v>
      </c>
      <c r="P3918" s="164" t="str">
        <f t="shared" ref="P3918:P3982" si="1967">(C3918)</f>
        <v>퓨즈</v>
      </c>
      <c r="Q3918" s="71">
        <f t="shared" ref="Q3918:Q3982" si="1968">D3918</f>
        <v>5</v>
      </c>
      <c r="R3918" s="102">
        <v>60000</v>
      </c>
      <c r="S3918" s="102">
        <f t="shared" si="1964"/>
        <v>330000</v>
      </c>
      <c r="T3918" s="102">
        <f t="shared" si="1965"/>
        <v>300000</v>
      </c>
      <c r="U3918" s="71"/>
      <c r="V3918" s="71"/>
      <c r="W3918" s="474"/>
      <c r="X3918" s="71"/>
      <c r="Y3918" s="71"/>
    </row>
    <row r="3919" spans="1:25" ht="30" hidden="1" customHeight="1" x14ac:dyDescent="0.25">
      <c r="A3919" s="1145">
        <v>44257</v>
      </c>
      <c r="B3919" s="664" t="s">
        <v>575</v>
      </c>
      <c r="C3919" s="71" t="s">
        <v>2905</v>
      </c>
      <c r="D3919" s="71">
        <v>1</v>
      </c>
      <c r="E3919" s="102">
        <v>1500000</v>
      </c>
      <c r="F3919" s="102">
        <f t="shared" si="1960"/>
        <v>1650000.0000000002</v>
      </c>
      <c r="G3919" s="102">
        <f t="shared" si="1961"/>
        <v>1500000</v>
      </c>
      <c r="H3919" s="690" t="s">
        <v>1431</v>
      </c>
      <c r="I3919" s="71" t="s">
        <v>1431</v>
      </c>
      <c r="J3919" s="53">
        <f t="shared" si="1962"/>
        <v>300000</v>
      </c>
      <c r="K3919" s="63">
        <f t="shared" si="1963"/>
        <v>0.19999999999999996</v>
      </c>
      <c r="L3919" s="871" t="s">
        <v>2910</v>
      </c>
      <c r="M3919" s="468"/>
      <c r="N3919" s="1192">
        <f t="shared" si="1966"/>
        <v>44257</v>
      </c>
      <c r="O3919" s="71" t="s">
        <v>1431</v>
      </c>
      <c r="P3919" s="164" t="str">
        <f t="shared" si="1967"/>
        <v>파워 보드</v>
      </c>
      <c r="Q3919" s="71">
        <f t="shared" si="1968"/>
        <v>1</v>
      </c>
      <c r="R3919" s="102">
        <v>1200000</v>
      </c>
      <c r="S3919" s="102">
        <f t="shared" si="1964"/>
        <v>1320000</v>
      </c>
      <c r="T3919" s="102">
        <f t="shared" si="1965"/>
        <v>1200000</v>
      </c>
      <c r="U3919" s="71"/>
      <c r="V3919" s="71"/>
      <c r="W3919" s="474"/>
      <c r="X3919" s="71"/>
      <c r="Y3919" s="71"/>
    </row>
    <row r="3920" spans="1:25" ht="30" hidden="1" customHeight="1" x14ac:dyDescent="0.25">
      <c r="A3920" s="1145">
        <v>44257</v>
      </c>
      <c r="B3920" s="664" t="s">
        <v>575</v>
      </c>
      <c r="C3920" s="71" t="s">
        <v>2906</v>
      </c>
      <c r="D3920" s="71">
        <v>1</v>
      </c>
      <c r="E3920" s="102">
        <v>250000</v>
      </c>
      <c r="F3920" s="102">
        <f t="shared" si="1960"/>
        <v>275000</v>
      </c>
      <c r="G3920" s="102">
        <f t="shared" si="1961"/>
        <v>250000</v>
      </c>
      <c r="H3920" s="690" t="s">
        <v>1431</v>
      </c>
      <c r="I3920" s="71" t="s">
        <v>1431</v>
      </c>
      <c r="J3920" s="53">
        <f t="shared" si="1962"/>
        <v>0</v>
      </c>
      <c r="K3920" s="63">
        <f t="shared" si="1963"/>
        <v>0</v>
      </c>
      <c r="L3920" s="871" t="s">
        <v>2910</v>
      </c>
      <c r="M3920" s="468"/>
      <c r="N3920" s="1192">
        <f t="shared" si="1966"/>
        <v>44257</v>
      </c>
      <c r="O3920" s="71" t="s">
        <v>1431</v>
      </c>
      <c r="P3920" s="164" t="str">
        <f t="shared" si="1967"/>
        <v>용달비</v>
      </c>
      <c r="Q3920" s="71">
        <f t="shared" si="1968"/>
        <v>1</v>
      </c>
      <c r="R3920" s="102">
        <v>250000</v>
      </c>
      <c r="S3920" s="102">
        <f t="shared" si="1964"/>
        <v>275000</v>
      </c>
      <c r="T3920" s="102">
        <f t="shared" si="1965"/>
        <v>250000</v>
      </c>
      <c r="U3920" s="71"/>
      <c r="V3920" s="71"/>
      <c r="W3920" s="474"/>
      <c r="X3920" s="71"/>
      <c r="Y3920" s="71"/>
    </row>
    <row r="3921" spans="1:25" s="209" customFormat="1" ht="30" hidden="1" customHeight="1" x14ac:dyDescent="0.25">
      <c r="A3921" s="1145">
        <v>44284</v>
      </c>
      <c r="B3921" s="664" t="s">
        <v>442</v>
      </c>
      <c r="C3921" s="71" t="s">
        <v>138</v>
      </c>
      <c r="D3921" s="71">
        <v>20</v>
      </c>
      <c r="E3921" s="102">
        <v>55200</v>
      </c>
      <c r="F3921" s="102">
        <f t="shared" si="1960"/>
        <v>1214400</v>
      </c>
      <c r="G3921" s="102">
        <f t="shared" si="1961"/>
        <v>1104000</v>
      </c>
      <c r="H3921" s="690" t="s">
        <v>173</v>
      </c>
      <c r="I3921" s="71" t="s">
        <v>2231</v>
      </c>
      <c r="J3921" s="53">
        <f t="shared" si="1962"/>
        <v>288000</v>
      </c>
      <c r="K3921" s="63">
        <f t="shared" si="1963"/>
        <v>0.2608695652173913</v>
      </c>
      <c r="L3921" s="871" t="s">
        <v>2910</v>
      </c>
      <c r="M3921" s="468"/>
      <c r="N3921" s="1192">
        <f t="shared" si="1966"/>
        <v>44284</v>
      </c>
      <c r="O3921" s="71" t="s">
        <v>150</v>
      </c>
      <c r="P3921" s="164" t="str">
        <f t="shared" si="1967"/>
        <v>매엽용 세척제(Wash 562)</v>
      </c>
      <c r="Q3921" s="71">
        <f t="shared" si="1968"/>
        <v>20</v>
      </c>
      <c r="R3921" s="102">
        <v>40800</v>
      </c>
      <c r="S3921" s="102">
        <f t="shared" si="1964"/>
        <v>897600.00000000012</v>
      </c>
      <c r="T3921" s="102">
        <f t="shared" si="1965"/>
        <v>816000</v>
      </c>
      <c r="U3921" s="71" t="str">
        <f>IF(J3921=W3921,"O", "X")</f>
        <v>X</v>
      </c>
      <c r="V3921" s="71"/>
      <c r="W3921" s="474">
        <v>396000</v>
      </c>
      <c r="X3921" s="71"/>
      <c r="Y3921" s="71"/>
    </row>
    <row r="3922" spans="1:25" s="209" customFormat="1" ht="30" hidden="1" customHeight="1" x14ac:dyDescent="0.25">
      <c r="A3922" s="1145">
        <v>44286</v>
      </c>
      <c r="B3922" s="664" t="s">
        <v>567</v>
      </c>
      <c r="C3922" s="71" t="s">
        <v>236</v>
      </c>
      <c r="D3922" s="71">
        <v>10</v>
      </c>
      <c r="E3922" s="102">
        <v>65000</v>
      </c>
      <c r="F3922" s="102">
        <f t="shared" si="1960"/>
        <v>715000</v>
      </c>
      <c r="G3922" s="102">
        <f t="shared" si="1961"/>
        <v>650000</v>
      </c>
      <c r="H3922" s="690" t="s">
        <v>173</v>
      </c>
      <c r="I3922" s="71" t="s">
        <v>2231</v>
      </c>
      <c r="J3922" s="53">
        <f t="shared" si="1962"/>
        <v>150000</v>
      </c>
      <c r="K3922" s="63">
        <f t="shared" si="1963"/>
        <v>0.23076923076923078</v>
      </c>
      <c r="L3922" s="871" t="s">
        <v>2910</v>
      </c>
      <c r="M3922" s="468"/>
      <c r="N3922" s="1192">
        <f t="shared" si="1966"/>
        <v>44286</v>
      </c>
      <c r="O3922" s="71" t="s">
        <v>153</v>
      </c>
      <c r="P3922" s="164" t="str">
        <f t="shared" si="1967"/>
        <v>아스테이지(국전)</v>
      </c>
      <c r="Q3922" s="71">
        <f t="shared" si="1968"/>
        <v>10</v>
      </c>
      <c r="R3922" s="102">
        <v>50000</v>
      </c>
      <c r="S3922" s="102">
        <f t="shared" si="1964"/>
        <v>550000</v>
      </c>
      <c r="T3922" s="102">
        <f t="shared" si="1965"/>
        <v>500000</v>
      </c>
      <c r="U3922" s="71" t="str">
        <f>IF(J3922=W3922,"O", "X")</f>
        <v>O</v>
      </c>
      <c r="V3922" s="71"/>
      <c r="W3922" s="474">
        <v>150000</v>
      </c>
      <c r="X3922" s="71"/>
      <c r="Y3922" s="71"/>
    </row>
    <row r="3923" spans="1:25" ht="27.6" hidden="1" customHeight="1" x14ac:dyDescent="0.25">
      <c r="A3923" s="1145">
        <v>44286</v>
      </c>
      <c r="B3923" s="664" t="s">
        <v>567</v>
      </c>
      <c r="C3923" s="71" t="s">
        <v>1652</v>
      </c>
      <c r="D3923" s="71">
        <v>5</v>
      </c>
      <c r="E3923" s="102">
        <v>45000</v>
      </c>
      <c r="F3923" s="102">
        <f t="shared" si="1960"/>
        <v>247500.00000000003</v>
      </c>
      <c r="G3923" s="102">
        <f t="shared" si="1961"/>
        <v>225000</v>
      </c>
      <c r="H3923" s="690" t="s">
        <v>173</v>
      </c>
      <c r="I3923" s="71" t="s">
        <v>2231</v>
      </c>
      <c r="J3923" s="53">
        <f t="shared" si="1962"/>
        <v>25000</v>
      </c>
      <c r="K3923" s="63">
        <f t="shared" si="1963"/>
        <v>0.11111111111111109</v>
      </c>
      <c r="L3923" s="871" t="s">
        <v>2910</v>
      </c>
      <c r="M3923" s="468"/>
      <c r="N3923" s="1192">
        <f t="shared" si="1966"/>
        <v>44286</v>
      </c>
      <c r="O3923" s="71" t="s">
        <v>153</v>
      </c>
      <c r="P3923" s="164" t="str">
        <f t="shared" si="1967"/>
        <v>아스테이지(CD74용)</v>
      </c>
      <c r="Q3923" s="71">
        <f t="shared" si="1968"/>
        <v>5</v>
      </c>
      <c r="R3923" s="102">
        <v>40000</v>
      </c>
      <c r="S3923" s="102">
        <f t="shared" si="1964"/>
        <v>220000.00000000003</v>
      </c>
      <c r="T3923" s="102">
        <f t="shared" si="1965"/>
        <v>200000</v>
      </c>
      <c r="U3923" s="71" t="str">
        <f>IF(J3923=W3923,"O", "X")</f>
        <v>X</v>
      </c>
      <c r="V3923" s="71"/>
      <c r="W3923" s="474"/>
      <c r="X3923" s="71"/>
      <c r="Y3923" s="71"/>
    </row>
    <row r="3924" spans="1:25" ht="30" customHeight="1" x14ac:dyDescent="0.25">
      <c r="A3924" s="1145">
        <v>44287</v>
      </c>
      <c r="B3924" s="664" t="s">
        <v>2352</v>
      </c>
      <c r="C3924" s="71" t="s">
        <v>1148</v>
      </c>
      <c r="D3924" s="71">
        <v>8</v>
      </c>
      <c r="E3924" s="102">
        <v>320000</v>
      </c>
      <c r="F3924" s="102">
        <f t="shared" si="1960"/>
        <v>2816000</v>
      </c>
      <c r="G3924" s="102">
        <f t="shared" si="1961"/>
        <v>2560000</v>
      </c>
      <c r="H3924" s="690" t="s">
        <v>1431</v>
      </c>
      <c r="I3924" s="71" t="s">
        <v>1431</v>
      </c>
      <c r="J3924" s="53">
        <f t="shared" si="1962"/>
        <v>1080000</v>
      </c>
      <c r="K3924" s="63">
        <f t="shared" si="1963"/>
        <v>0.421875</v>
      </c>
      <c r="L3924" s="871" t="s">
        <v>2937</v>
      </c>
      <c r="M3924" s="468"/>
      <c r="N3924" s="1192">
        <f t="shared" si="1966"/>
        <v>44287</v>
      </c>
      <c r="O3924" s="71" t="s">
        <v>1431</v>
      </c>
      <c r="P3924" s="164" t="str">
        <f t="shared" si="1967"/>
        <v>브레이크 라이닝</v>
      </c>
      <c r="Q3924" s="71">
        <f t="shared" si="1968"/>
        <v>8</v>
      </c>
      <c r="R3924" s="102">
        <v>185000</v>
      </c>
      <c r="S3924" s="102">
        <f t="shared" si="1964"/>
        <v>1628000.0000000002</v>
      </c>
      <c r="T3924" s="102">
        <f t="shared" si="1965"/>
        <v>1480000</v>
      </c>
      <c r="U3924" s="71"/>
      <c r="V3924" s="71"/>
      <c r="W3924" s="474"/>
      <c r="X3924" s="71"/>
      <c r="Y3924" s="71"/>
    </row>
    <row r="3925" spans="1:25" ht="30" customHeight="1" x14ac:dyDescent="0.25">
      <c r="A3925" s="1145">
        <v>44287</v>
      </c>
      <c r="B3925" s="664" t="s">
        <v>2352</v>
      </c>
      <c r="C3925" s="71" t="s">
        <v>1752</v>
      </c>
      <c r="D3925" s="71">
        <v>5</v>
      </c>
      <c r="E3925" s="102">
        <v>300000</v>
      </c>
      <c r="F3925" s="102">
        <f t="shared" si="1960"/>
        <v>1650000.0000000002</v>
      </c>
      <c r="G3925" s="102">
        <f t="shared" si="1961"/>
        <v>1500000</v>
      </c>
      <c r="H3925" s="690" t="s">
        <v>1431</v>
      </c>
      <c r="I3925" s="71" t="s">
        <v>1431</v>
      </c>
      <c r="J3925" s="53">
        <f t="shared" si="1962"/>
        <v>421000</v>
      </c>
      <c r="K3925" s="63">
        <f t="shared" si="1963"/>
        <v>0.28066666666666662</v>
      </c>
      <c r="L3925" s="871" t="s">
        <v>2937</v>
      </c>
      <c r="M3925" s="468"/>
      <c r="N3925" s="1192">
        <f t="shared" si="1966"/>
        <v>44287</v>
      </c>
      <c r="O3925" s="71" t="s">
        <v>2030</v>
      </c>
      <c r="P3925" s="164" t="str">
        <f t="shared" si="1967"/>
        <v>잉크 키 모터</v>
      </c>
      <c r="Q3925" s="71">
        <f t="shared" si="1968"/>
        <v>5</v>
      </c>
      <c r="R3925" s="102">
        <v>215800</v>
      </c>
      <c r="S3925" s="102">
        <f t="shared" si="1964"/>
        <v>1186900</v>
      </c>
      <c r="T3925" s="102">
        <f t="shared" si="1965"/>
        <v>1079000</v>
      </c>
      <c r="U3925" s="71"/>
      <c r="V3925" s="71"/>
      <c r="W3925" s="474"/>
      <c r="X3925" s="71"/>
      <c r="Y3925" s="71"/>
    </row>
    <row r="3926" spans="1:25" ht="30" hidden="1" customHeight="1" x14ac:dyDescent="0.25">
      <c r="A3926" s="1145">
        <v>44287</v>
      </c>
      <c r="B3926" s="664" t="s">
        <v>545</v>
      </c>
      <c r="C3926" s="71" t="s">
        <v>227</v>
      </c>
      <c r="D3926" s="71">
        <v>10</v>
      </c>
      <c r="E3926" s="102">
        <v>110000</v>
      </c>
      <c r="F3926" s="102">
        <f t="shared" si="1960"/>
        <v>1210000</v>
      </c>
      <c r="G3926" s="102">
        <f t="shared" si="1961"/>
        <v>1100000</v>
      </c>
      <c r="H3926" s="690" t="s">
        <v>173</v>
      </c>
      <c r="I3926" s="71" t="s">
        <v>109</v>
      </c>
      <c r="J3926" s="53">
        <f t="shared" si="1962"/>
        <v>271000</v>
      </c>
      <c r="K3926" s="63">
        <f t="shared" si="1963"/>
        <v>0.24636363636363637</v>
      </c>
      <c r="L3926" s="871" t="s">
        <v>2910</v>
      </c>
      <c r="M3926" s="468"/>
      <c r="N3926" s="1192">
        <f t="shared" si="1966"/>
        <v>44287</v>
      </c>
      <c r="O3926" s="71" t="s">
        <v>147</v>
      </c>
      <c r="P3926" s="164" t="str">
        <f t="shared" si="1967"/>
        <v>Blanket(1060*860)</v>
      </c>
      <c r="Q3926" s="71">
        <f t="shared" si="1968"/>
        <v>10</v>
      </c>
      <c r="R3926" s="102">
        <v>82900</v>
      </c>
      <c r="S3926" s="102">
        <f t="shared" si="1964"/>
        <v>911900.00000000012</v>
      </c>
      <c r="T3926" s="102">
        <f t="shared" si="1965"/>
        <v>829000</v>
      </c>
      <c r="U3926" s="71" t="str">
        <f>IF(J3926=W3926,"O", "X")</f>
        <v>O</v>
      </c>
      <c r="V3926" s="71"/>
      <c r="W3926" s="474">
        <f>(G3926-T3926)</f>
        <v>271000</v>
      </c>
      <c r="X3926" s="71"/>
      <c r="Y3926" s="71"/>
    </row>
    <row r="3927" spans="1:25" ht="30" hidden="1" customHeight="1" x14ac:dyDescent="0.25">
      <c r="A3927" s="1145">
        <v>44287</v>
      </c>
      <c r="B3927" s="664" t="s">
        <v>575</v>
      </c>
      <c r="C3927" s="71" t="s">
        <v>950</v>
      </c>
      <c r="D3927" s="71">
        <v>2</v>
      </c>
      <c r="E3927" s="102">
        <v>5000000</v>
      </c>
      <c r="F3927" s="102">
        <f t="shared" si="1960"/>
        <v>11000000</v>
      </c>
      <c r="G3927" s="102">
        <f t="shared" si="1961"/>
        <v>10000000</v>
      </c>
      <c r="H3927" s="690" t="s">
        <v>1431</v>
      </c>
      <c r="I3927" s="71" t="s">
        <v>1431</v>
      </c>
      <c r="J3927" s="53">
        <f t="shared" si="1962"/>
        <v>2440000</v>
      </c>
      <c r="K3927" s="63">
        <f t="shared" si="1963"/>
        <v>0.24399999999999999</v>
      </c>
      <c r="L3927" s="871" t="s">
        <v>2937</v>
      </c>
      <c r="M3927" s="468"/>
      <c r="N3927" s="1192">
        <f t="shared" si="1966"/>
        <v>44287</v>
      </c>
      <c r="O3927" s="71" t="s">
        <v>1431</v>
      </c>
      <c r="P3927" s="164" t="str">
        <f t="shared" si="1967"/>
        <v>상하 핀맞춤 모터</v>
      </c>
      <c r="Q3927" s="71">
        <f t="shared" si="1968"/>
        <v>2</v>
      </c>
      <c r="R3927" s="102">
        <v>3780000</v>
      </c>
      <c r="S3927" s="102">
        <f t="shared" si="1964"/>
        <v>8316000.0000000009</v>
      </c>
      <c r="T3927" s="102">
        <f t="shared" si="1965"/>
        <v>7560000</v>
      </c>
      <c r="U3927" s="71"/>
      <c r="V3927" s="71"/>
      <c r="W3927" s="474"/>
      <c r="X3927" s="71"/>
      <c r="Y3927" s="71"/>
    </row>
    <row r="3928" spans="1:25" ht="30" hidden="1" customHeight="1" x14ac:dyDescent="0.25">
      <c r="A3928" s="1145">
        <v>44291</v>
      </c>
      <c r="B3928" s="664" t="s">
        <v>2155</v>
      </c>
      <c r="C3928" s="71" t="s">
        <v>1121</v>
      </c>
      <c r="D3928" s="71">
        <v>5</v>
      </c>
      <c r="E3928" s="102">
        <v>65000</v>
      </c>
      <c r="F3928" s="102">
        <f t="shared" si="1960"/>
        <v>357500</v>
      </c>
      <c r="G3928" s="102">
        <f t="shared" si="1961"/>
        <v>325000</v>
      </c>
      <c r="H3928" s="690" t="s">
        <v>1431</v>
      </c>
      <c r="I3928" s="71" t="s">
        <v>1431</v>
      </c>
      <c r="J3928" s="53">
        <f t="shared" si="1962"/>
        <v>208595</v>
      </c>
      <c r="K3928" s="63">
        <f t="shared" si="1963"/>
        <v>0.6418307692307692</v>
      </c>
      <c r="L3928" s="871" t="s">
        <v>2910</v>
      </c>
      <c r="M3928" s="468"/>
      <c r="N3928" s="1192">
        <f t="shared" si="1966"/>
        <v>44291</v>
      </c>
      <c r="O3928" s="71" t="s">
        <v>1431</v>
      </c>
      <c r="P3928" s="164" t="str">
        <f t="shared" si="1967"/>
        <v>포텐시오미터</v>
      </c>
      <c r="Q3928" s="71">
        <f t="shared" si="1968"/>
        <v>5</v>
      </c>
      <c r="R3928" s="102">
        <v>23281</v>
      </c>
      <c r="S3928" s="102">
        <f t="shared" si="1964"/>
        <v>128045.50000000001</v>
      </c>
      <c r="T3928" s="102">
        <f t="shared" si="1965"/>
        <v>116405</v>
      </c>
      <c r="U3928" s="71"/>
      <c r="V3928" s="71"/>
      <c r="W3928" s="474"/>
      <c r="X3928" s="71"/>
      <c r="Y3928" s="71"/>
    </row>
    <row r="3929" spans="1:25" ht="30" hidden="1" customHeight="1" x14ac:dyDescent="0.2">
      <c r="A3929" s="1145">
        <v>44292</v>
      </c>
      <c r="B3929" s="664" t="s">
        <v>548</v>
      </c>
      <c r="C3929" s="71" t="s">
        <v>107</v>
      </c>
      <c r="D3929" s="71">
        <v>10</v>
      </c>
      <c r="E3929" s="102">
        <v>90000</v>
      </c>
      <c r="F3929" s="163">
        <f t="shared" si="1960"/>
        <v>990000.00000000012</v>
      </c>
      <c r="G3929" s="102">
        <f t="shared" si="1961"/>
        <v>900000</v>
      </c>
      <c r="H3929" s="165" t="s">
        <v>172</v>
      </c>
      <c r="I3929" s="71" t="s">
        <v>109</v>
      </c>
      <c r="J3929" s="53">
        <f>(G3929-(VLOOKUP(C3929,Price!B:D,3,FALSE)*D3929))</f>
        <v>95000</v>
      </c>
      <c r="K3929" s="63">
        <f t="shared" ref="K3929:K3942" si="1969">(J3929/(F3929/11*10))</f>
        <v>0.10555555555555554</v>
      </c>
      <c r="L3929" s="871" t="s">
        <v>2910</v>
      </c>
      <c r="M3929" s="468"/>
      <c r="N3929" s="1192">
        <f t="shared" si="1966"/>
        <v>44292</v>
      </c>
      <c r="O3929" s="71" t="s">
        <v>147</v>
      </c>
      <c r="P3929" s="164" t="str">
        <f t="shared" si="1967"/>
        <v>Blanket(1050*840)</v>
      </c>
      <c r="Q3929" s="71">
        <f t="shared" si="1968"/>
        <v>10</v>
      </c>
      <c r="R3929" s="102">
        <v>80500</v>
      </c>
      <c r="S3929" s="102">
        <f t="shared" si="1964"/>
        <v>885500.00000000012</v>
      </c>
      <c r="T3929" s="102">
        <f t="shared" si="1965"/>
        <v>805000</v>
      </c>
      <c r="U3929" s="71" t="str">
        <f>IF(J3929=W3929,"O", "X")</f>
        <v>O</v>
      </c>
      <c r="V3929" s="71"/>
      <c r="W3929" s="474">
        <f>(G3929-T3929)</f>
        <v>95000</v>
      </c>
      <c r="X3929" s="71"/>
      <c r="Y3929" s="71"/>
    </row>
    <row r="3930" spans="1:25" s="209" customFormat="1" ht="30" hidden="1" customHeight="1" x14ac:dyDescent="0.25">
      <c r="A3930" s="1145">
        <v>44292</v>
      </c>
      <c r="B3930" s="664" t="s">
        <v>2155</v>
      </c>
      <c r="C3930" s="71" t="s">
        <v>138</v>
      </c>
      <c r="D3930" s="71">
        <v>10</v>
      </c>
      <c r="E3930" s="102">
        <v>47600</v>
      </c>
      <c r="F3930" s="102">
        <f t="shared" ref="F3930:F3936" si="1970">(E3930*D3930)*1.1</f>
        <v>523600.00000000006</v>
      </c>
      <c r="G3930" s="102">
        <f t="shared" ref="G3930:G3936" si="1971">(E3930*D3930)</f>
        <v>476000</v>
      </c>
      <c r="H3930" s="1129" t="s">
        <v>172</v>
      </c>
      <c r="I3930" s="71" t="s">
        <v>108</v>
      </c>
      <c r="J3930" s="53">
        <f t="shared" ref="J3930:J3946" si="1972">G3930-T3930</f>
        <v>68000</v>
      </c>
      <c r="K3930" s="63">
        <f t="shared" si="1969"/>
        <v>0.14285714285714285</v>
      </c>
      <c r="L3930" s="871" t="s">
        <v>2910</v>
      </c>
      <c r="M3930" s="468" t="s">
        <v>2214</v>
      </c>
      <c r="N3930" s="1192">
        <f t="shared" si="1966"/>
        <v>44292</v>
      </c>
      <c r="O3930" s="71" t="s">
        <v>150</v>
      </c>
      <c r="P3930" s="164" t="str">
        <f t="shared" si="1967"/>
        <v>매엽용 세척제(Wash 562)</v>
      </c>
      <c r="Q3930" s="71">
        <f t="shared" si="1968"/>
        <v>10</v>
      </c>
      <c r="R3930" s="102">
        <v>40800</v>
      </c>
      <c r="S3930" s="102">
        <f t="shared" si="1964"/>
        <v>448800.00000000006</v>
      </c>
      <c r="T3930" s="102">
        <f t="shared" si="1965"/>
        <v>408000</v>
      </c>
      <c r="U3930" s="71" t="str">
        <f>IF(J3930=W3930,"O", "X")</f>
        <v>X</v>
      </c>
      <c r="V3930" s="71"/>
      <c r="W3930" s="474">
        <v>85000</v>
      </c>
      <c r="X3930" s="71"/>
      <c r="Y3930" s="71"/>
    </row>
    <row r="3931" spans="1:25" ht="30" hidden="1" customHeight="1" x14ac:dyDescent="0.25">
      <c r="A3931" s="1145">
        <v>44292</v>
      </c>
      <c r="B3931" s="664" t="s">
        <v>2155</v>
      </c>
      <c r="C3931" s="71" t="s">
        <v>277</v>
      </c>
      <c r="D3931" s="71">
        <v>5</v>
      </c>
      <c r="E3931" s="102">
        <v>172000</v>
      </c>
      <c r="F3931" s="102">
        <f t="shared" si="1970"/>
        <v>946000.00000000012</v>
      </c>
      <c r="G3931" s="102">
        <f t="shared" si="1971"/>
        <v>860000</v>
      </c>
      <c r="H3931" s="690" t="s">
        <v>173</v>
      </c>
      <c r="I3931" s="71" t="s">
        <v>108</v>
      </c>
      <c r="J3931" s="53">
        <f t="shared" si="1972"/>
        <v>285000</v>
      </c>
      <c r="K3931" s="63">
        <f t="shared" si="1969"/>
        <v>0.33139534883720928</v>
      </c>
      <c r="L3931" s="871" t="s">
        <v>2910</v>
      </c>
      <c r="M3931" s="468"/>
      <c r="N3931" s="1192">
        <f t="shared" si="1966"/>
        <v>44292</v>
      </c>
      <c r="O3931" s="71" t="s">
        <v>150</v>
      </c>
      <c r="P3931" s="164" t="str">
        <f t="shared" si="1967"/>
        <v>윤전용 세척제(Web 504)</v>
      </c>
      <c r="Q3931" s="71">
        <f t="shared" si="1968"/>
        <v>5</v>
      </c>
      <c r="R3931" s="102">
        <v>115000</v>
      </c>
      <c r="S3931" s="102">
        <f t="shared" si="1964"/>
        <v>632500</v>
      </c>
      <c r="T3931" s="102">
        <f t="shared" si="1965"/>
        <v>575000</v>
      </c>
      <c r="U3931" s="71" t="str">
        <f>IF(J3931=W3931,"O", "X")</f>
        <v>O</v>
      </c>
      <c r="V3931" s="71"/>
      <c r="W3931" s="474">
        <v>285000</v>
      </c>
      <c r="X3931" s="71"/>
      <c r="Y3931" s="71"/>
    </row>
    <row r="3932" spans="1:25" ht="30" hidden="1" customHeight="1" x14ac:dyDescent="0.25">
      <c r="A3932" s="1145">
        <v>44293</v>
      </c>
      <c r="B3932" s="664" t="s">
        <v>2943</v>
      </c>
      <c r="C3932" s="71" t="s">
        <v>2944</v>
      </c>
      <c r="D3932" s="71">
        <v>1</v>
      </c>
      <c r="E3932" s="102">
        <v>7300000</v>
      </c>
      <c r="F3932" s="102">
        <f t="shared" si="1970"/>
        <v>8030000.0000000009</v>
      </c>
      <c r="G3932" s="102">
        <f t="shared" si="1971"/>
        <v>7300000</v>
      </c>
      <c r="H3932" s="690" t="s">
        <v>173</v>
      </c>
      <c r="I3932" s="71" t="s">
        <v>942</v>
      </c>
      <c r="J3932" s="53">
        <f t="shared" si="1972"/>
        <v>1100000</v>
      </c>
      <c r="K3932" s="63">
        <f>(J3932/(F3932/11*10))</f>
        <v>0.15068493150684931</v>
      </c>
      <c r="L3932" s="871" t="s">
        <v>2910</v>
      </c>
      <c r="M3932" s="468"/>
      <c r="N3932" s="1192">
        <f t="shared" si="1966"/>
        <v>44293</v>
      </c>
      <c r="O3932" s="71" t="s">
        <v>2951</v>
      </c>
      <c r="P3932" s="164" t="str">
        <f t="shared" si="1967"/>
        <v>독일제 측색기 Techkon Spectrodens</v>
      </c>
      <c r="Q3932" s="71">
        <f t="shared" si="1968"/>
        <v>1</v>
      </c>
      <c r="R3932" s="102">
        <v>6200000</v>
      </c>
      <c r="S3932" s="102">
        <f t="shared" si="1964"/>
        <v>6820000.0000000009</v>
      </c>
      <c r="T3932" s="102">
        <f t="shared" si="1965"/>
        <v>6200000</v>
      </c>
      <c r="U3932" s="71"/>
      <c r="V3932" s="71"/>
      <c r="W3932" s="474"/>
      <c r="X3932" s="71"/>
      <c r="Y3932" s="71"/>
    </row>
    <row r="3933" spans="1:25" ht="30" hidden="1" customHeight="1" x14ac:dyDescent="0.25">
      <c r="A3933" s="1145">
        <v>44293</v>
      </c>
      <c r="B3933" s="664" t="s">
        <v>690</v>
      </c>
      <c r="C3933" s="71" t="s">
        <v>1186</v>
      </c>
      <c r="D3933" s="71">
        <v>500</v>
      </c>
      <c r="E3933" s="102">
        <v>3420</v>
      </c>
      <c r="F3933" s="102">
        <f t="shared" si="1970"/>
        <v>1881000.0000000002</v>
      </c>
      <c r="G3933" s="102">
        <f t="shared" si="1971"/>
        <v>1710000</v>
      </c>
      <c r="H3933" s="690" t="s">
        <v>173</v>
      </c>
      <c r="I3933" s="71" t="s">
        <v>2230</v>
      </c>
      <c r="J3933" s="53">
        <f t="shared" si="1972"/>
        <v>-190000</v>
      </c>
      <c r="K3933" s="63">
        <f t="shared" si="1969"/>
        <v>-0.11111111111111109</v>
      </c>
      <c r="L3933" s="871" t="s">
        <v>2910</v>
      </c>
      <c r="M3933" s="468" t="s">
        <v>1393</v>
      </c>
      <c r="N3933" s="1192">
        <f t="shared" si="1966"/>
        <v>44293</v>
      </c>
      <c r="O3933" s="71" t="s">
        <v>145</v>
      </c>
      <c r="P3933" s="164" t="str">
        <f t="shared" si="1967"/>
        <v>CTP 판(1030*790mm)</v>
      </c>
      <c r="Q3933" s="71">
        <f t="shared" si="1968"/>
        <v>500</v>
      </c>
      <c r="R3933" s="102">
        <v>3800</v>
      </c>
      <c r="S3933" s="102">
        <f t="shared" si="1964"/>
        <v>2090000.0000000002</v>
      </c>
      <c r="T3933" s="102">
        <f t="shared" si="1965"/>
        <v>1900000</v>
      </c>
      <c r="U3933" s="71" t="str">
        <f t="shared" ref="U3933:U3942" si="1973">IF(J3933=W3933,"O", "X")</f>
        <v>X</v>
      </c>
      <c r="V3933" s="71"/>
      <c r="W3933" s="474">
        <v>-200000</v>
      </c>
      <c r="X3933" s="71"/>
      <c r="Y3933" s="71"/>
    </row>
    <row r="3934" spans="1:25" ht="30" hidden="1" customHeight="1" x14ac:dyDescent="0.25">
      <c r="A3934" s="1145">
        <v>44293</v>
      </c>
      <c r="B3934" s="664" t="s">
        <v>690</v>
      </c>
      <c r="C3934" s="71" t="s">
        <v>197</v>
      </c>
      <c r="D3934" s="71">
        <v>2</v>
      </c>
      <c r="E3934" s="102">
        <v>46000</v>
      </c>
      <c r="F3934" s="102">
        <f t="shared" si="1970"/>
        <v>101200.00000000001</v>
      </c>
      <c r="G3934" s="102">
        <f t="shared" si="1971"/>
        <v>92000</v>
      </c>
      <c r="H3934" s="690" t="s">
        <v>173</v>
      </c>
      <c r="I3934" s="71" t="s">
        <v>2230</v>
      </c>
      <c r="J3934" s="53">
        <f t="shared" si="1972"/>
        <v>22000</v>
      </c>
      <c r="K3934" s="63">
        <f t="shared" si="1969"/>
        <v>0.23913043478260865</v>
      </c>
      <c r="L3934" s="871" t="s">
        <v>2910</v>
      </c>
      <c r="M3934" s="468" t="s">
        <v>1394</v>
      </c>
      <c r="N3934" s="1192">
        <f t="shared" si="1966"/>
        <v>44293</v>
      </c>
      <c r="O3934" s="71" t="s">
        <v>145</v>
      </c>
      <c r="P3934" s="164" t="str">
        <f t="shared" si="1967"/>
        <v>THR200(20L)</v>
      </c>
      <c r="Q3934" s="71">
        <f t="shared" si="1968"/>
        <v>2</v>
      </c>
      <c r="R3934" s="102">
        <v>35000</v>
      </c>
      <c r="S3934" s="102">
        <f t="shared" si="1964"/>
        <v>77000</v>
      </c>
      <c r="T3934" s="102">
        <f t="shared" si="1965"/>
        <v>70000</v>
      </c>
      <c r="U3934" s="71" t="str">
        <f t="shared" si="1973"/>
        <v>X</v>
      </c>
      <c r="V3934" s="71"/>
      <c r="W3934" s="474"/>
      <c r="X3934" s="71"/>
      <c r="Y3934" s="71"/>
    </row>
    <row r="3935" spans="1:25" ht="30" hidden="1" customHeight="1" x14ac:dyDescent="0.25">
      <c r="A3935" s="1145">
        <v>44293</v>
      </c>
      <c r="B3935" s="664" t="s">
        <v>690</v>
      </c>
      <c r="C3935" s="71" t="s">
        <v>752</v>
      </c>
      <c r="D3935" s="71">
        <v>1</v>
      </c>
      <c r="E3935" s="102">
        <v>79000</v>
      </c>
      <c r="F3935" s="102">
        <f t="shared" si="1970"/>
        <v>86900</v>
      </c>
      <c r="G3935" s="102">
        <f t="shared" si="1971"/>
        <v>79000</v>
      </c>
      <c r="H3935" s="690" t="s">
        <v>173</v>
      </c>
      <c r="I3935" s="71" t="s">
        <v>2230</v>
      </c>
      <c r="J3935" s="53">
        <f t="shared" si="1972"/>
        <v>14000</v>
      </c>
      <c r="K3935" s="63">
        <f t="shared" si="1969"/>
        <v>0.17721518987341772</v>
      </c>
      <c r="L3935" s="871" t="s">
        <v>2910</v>
      </c>
      <c r="M3935" s="468"/>
      <c r="N3935" s="1192">
        <f t="shared" si="1966"/>
        <v>44293</v>
      </c>
      <c r="O3935" s="71" t="s">
        <v>145</v>
      </c>
      <c r="P3935" s="164" t="str">
        <f t="shared" si="1967"/>
        <v>RC795(20L)</v>
      </c>
      <c r="Q3935" s="71">
        <f t="shared" si="1968"/>
        <v>1</v>
      </c>
      <c r="R3935" s="102">
        <v>65000</v>
      </c>
      <c r="S3935" s="102">
        <f t="shared" si="1964"/>
        <v>71500</v>
      </c>
      <c r="T3935" s="102">
        <f t="shared" si="1965"/>
        <v>65000</v>
      </c>
      <c r="U3935" s="71" t="str">
        <f t="shared" si="1973"/>
        <v>O</v>
      </c>
      <c r="V3935" s="71"/>
      <c r="W3935" s="474">
        <f>(G3935-T3935)</f>
        <v>14000</v>
      </c>
      <c r="X3935" s="71"/>
      <c r="Y3935" s="71"/>
    </row>
    <row r="3936" spans="1:25" ht="30" hidden="1" customHeight="1" x14ac:dyDescent="0.25">
      <c r="A3936" s="1145">
        <v>44293</v>
      </c>
      <c r="B3936" s="664" t="s">
        <v>690</v>
      </c>
      <c r="C3936" s="71" t="s">
        <v>750</v>
      </c>
      <c r="D3936" s="71">
        <v>5</v>
      </c>
      <c r="E3936" s="102">
        <v>46000</v>
      </c>
      <c r="F3936" s="102">
        <f t="shared" si="1970"/>
        <v>253000.00000000003</v>
      </c>
      <c r="G3936" s="102">
        <f t="shared" si="1971"/>
        <v>230000</v>
      </c>
      <c r="H3936" s="690" t="s">
        <v>173</v>
      </c>
      <c r="I3936" s="71" t="s">
        <v>2230</v>
      </c>
      <c r="J3936" s="53">
        <f t="shared" si="1972"/>
        <v>55000</v>
      </c>
      <c r="K3936" s="63">
        <f t="shared" si="1969"/>
        <v>0.23913043478260868</v>
      </c>
      <c r="L3936" s="871" t="s">
        <v>2910</v>
      </c>
      <c r="M3936" s="468" t="s">
        <v>1394</v>
      </c>
      <c r="N3936" s="1192">
        <f t="shared" si="1966"/>
        <v>44293</v>
      </c>
      <c r="O3936" s="71" t="s">
        <v>145</v>
      </c>
      <c r="P3936" s="164" t="str">
        <f t="shared" si="1967"/>
        <v>THD200(20L)</v>
      </c>
      <c r="Q3936" s="71">
        <f t="shared" si="1968"/>
        <v>5</v>
      </c>
      <c r="R3936" s="102">
        <v>35000</v>
      </c>
      <c r="S3936" s="102">
        <f t="shared" si="1964"/>
        <v>192500.00000000003</v>
      </c>
      <c r="T3936" s="102">
        <f t="shared" si="1965"/>
        <v>175000</v>
      </c>
      <c r="U3936" s="71" t="str">
        <f t="shared" si="1973"/>
        <v>O</v>
      </c>
      <c r="V3936" s="71"/>
      <c r="W3936" s="474">
        <f>(G3936-T3936)</f>
        <v>55000</v>
      </c>
      <c r="X3936" s="71"/>
      <c r="Y3936" s="71"/>
    </row>
    <row r="3937" spans="1:25" ht="30" hidden="1" customHeight="1" x14ac:dyDescent="0.25">
      <c r="A3937" s="1145">
        <v>44295</v>
      </c>
      <c r="B3937" s="664" t="s">
        <v>446</v>
      </c>
      <c r="C3937" s="71" t="s">
        <v>2028</v>
      </c>
      <c r="D3937" s="71">
        <v>20</v>
      </c>
      <c r="E3937" s="102">
        <v>105000</v>
      </c>
      <c r="F3937" s="102">
        <f t="shared" ref="F3937:F3942" si="1974">(E3937*D3937)*1.1</f>
        <v>2310000</v>
      </c>
      <c r="G3937" s="102">
        <f t="shared" ref="G3937:G3942" si="1975">(E3937*D3937)</f>
        <v>2100000</v>
      </c>
      <c r="H3937" s="690" t="s">
        <v>2029</v>
      </c>
      <c r="I3937" s="71" t="s">
        <v>2231</v>
      </c>
      <c r="J3937" s="53">
        <f t="shared" si="1972"/>
        <v>380000</v>
      </c>
      <c r="K3937" s="63">
        <f t="shared" si="1969"/>
        <v>0.18095238095238095</v>
      </c>
      <c r="L3937" s="871" t="s">
        <v>2910</v>
      </c>
      <c r="M3937" s="468" t="s">
        <v>3068</v>
      </c>
      <c r="N3937" s="1192">
        <f t="shared" si="1966"/>
        <v>44295</v>
      </c>
      <c r="O3937" s="71" t="s">
        <v>2030</v>
      </c>
      <c r="P3937" s="164" t="str">
        <f t="shared" si="1967"/>
        <v>실리콘 에멀전</v>
      </c>
      <c r="Q3937" s="71">
        <f t="shared" si="1968"/>
        <v>20</v>
      </c>
      <c r="R3937" s="102">
        <v>86000</v>
      </c>
      <c r="S3937" s="102">
        <f t="shared" si="1964"/>
        <v>1892000.0000000002</v>
      </c>
      <c r="T3937" s="102">
        <f t="shared" si="1965"/>
        <v>1720000</v>
      </c>
      <c r="U3937" s="71" t="str">
        <f t="shared" si="1973"/>
        <v>O</v>
      </c>
      <c r="V3937" s="71">
        <f>7000*Q3937</f>
        <v>140000</v>
      </c>
      <c r="W3937" s="474">
        <f>(G3937-T3937)</f>
        <v>380000</v>
      </c>
      <c r="X3937" s="71"/>
      <c r="Y3937" s="71"/>
    </row>
    <row r="3938" spans="1:25" ht="27.6" hidden="1" customHeight="1" x14ac:dyDescent="0.25">
      <c r="A3938" s="1145">
        <v>44296</v>
      </c>
      <c r="B3938" s="664" t="s">
        <v>567</v>
      </c>
      <c r="C3938" s="71" t="s">
        <v>1652</v>
      </c>
      <c r="D3938" s="71">
        <v>5</v>
      </c>
      <c r="E3938" s="102">
        <v>45000</v>
      </c>
      <c r="F3938" s="102">
        <f t="shared" si="1974"/>
        <v>247500.00000000003</v>
      </c>
      <c r="G3938" s="102">
        <f t="shared" si="1975"/>
        <v>225000</v>
      </c>
      <c r="H3938" s="690" t="s">
        <v>173</v>
      </c>
      <c r="I3938" s="71" t="s">
        <v>2231</v>
      </c>
      <c r="J3938" s="53">
        <f t="shared" si="1972"/>
        <v>25000</v>
      </c>
      <c r="K3938" s="63">
        <f t="shared" si="1969"/>
        <v>0.11111111111111109</v>
      </c>
      <c r="L3938" s="871" t="s">
        <v>2910</v>
      </c>
      <c r="M3938" s="468"/>
      <c r="N3938" s="1192">
        <f t="shared" si="1966"/>
        <v>44296</v>
      </c>
      <c r="O3938" s="71" t="s">
        <v>153</v>
      </c>
      <c r="P3938" s="164" t="str">
        <f t="shared" si="1967"/>
        <v>아스테이지(CD74용)</v>
      </c>
      <c r="Q3938" s="71">
        <f t="shared" si="1968"/>
        <v>5</v>
      </c>
      <c r="R3938" s="102">
        <v>40000</v>
      </c>
      <c r="S3938" s="102">
        <f t="shared" si="1964"/>
        <v>220000.00000000003</v>
      </c>
      <c r="T3938" s="102">
        <f t="shared" si="1965"/>
        <v>200000</v>
      </c>
      <c r="U3938" s="71" t="str">
        <f t="shared" si="1973"/>
        <v>X</v>
      </c>
      <c r="V3938" s="71"/>
      <c r="W3938" s="474"/>
      <c r="X3938" s="71"/>
      <c r="Y3938" s="71"/>
    </row>
    <row r="3939" spans="1:25" ht="30" hidden="1" customHeight="1" x14ac:dyDescent="0.25">
      <c r="A3939" s="1145">
        <v>44299</v>
      </c>
      <c r="B3939" s="664" t="s">
        <v>442</v>
      </c>
      <c r="C3939" s="71" t="s">
        <v>206</v>
      </c>
      <c r="D3939" s="71">
        <v>2</v>
      </c>
      <c r="E3939" s="102">
        <v>327000</v>
      </c>
      <c r="F3939" s="102">
        <f t="shared" si="1974"/>
        <v>719400</v>
      </c>
      <c r="G3939" s="102">
        <f t="shared" si="1975"/>
        <v>654000</v>
      </c>
      <c r="H3939" s="690" t="s">
        <v>2029</v>
      </c>
      <c r="I3939" s="71" t="s">
        <v>195</v>
      </c>
      <c r="J3939" s="53">
        <f t="shared" si="1972"/>
        <v>115800</v>
      </c>
      <c r="K3939" s="63">
        <f t="shared" si="1969"/>
        <v>0.17706422018348625</v>
      </c>
      <c r="L3939" s="871" t="s">
        <v>2910</v>
      </c>
      <c r="M3939" s="468"/>
      <c r="N3939" s="1192">
        <f t="shared" si="1966"/>
        <v>44299</v>
      </c>
      <c r="O3939" s="71" t="s">
        <v>194</v>
      </c>
      <c r="P3939" s="164" t="str">
        <f t="shared" si="1967"/>
        <v>Agfa Film(24inch)</v>
      </c>
      <c r="Q3939" s="71">
        <f t="shared" si="1968"/>
        <v>2</v>
      </c>
      <c r="R3939" s="102">
        <v>269100</v>
      </c>
      <c r="S3939" s="102">
        <f t="shared" si="1964"/>
        <v>592020</v>
      </c>
      <c r="T3939" s="102">
        <f t="shared" si="1965"/>
        <v>538200</v>
      </c>
      <c r="U3939" s="71" t="str">
        <f t="shared" si="1973"/>
        <v>O</v>
      </c>
      <c r="V3939" s="71"/>
      <c r="W3939" s="474">
        <f>(G3939-T3939)</f>
        <v>115800</v>
      </c>
      <c r="X3939" s="71"/>
      <c r="Y3939" s="71"/>
    </row>
    <row r="3940" spans="1:25" ht="30" hidden="1" customHeight="1" x14ac:dyDescent="0.25">
      <c r="A3940" s="1145">
        <v>44299</v>
      </c>
      <c r="B3940" s="664" t="s">
        <v>442</v>
      </c>
      <c r="C3940" s="71" t="s">
        <v>207</v>
      </c>
      <c r="D3940" s="71">
        <v>2</v>
      </c>
      <c r="E3940" s="102">
        <v>401000</v>
      </c>
      <c r="F3940" s="102">
        <f t="shared" si="1974"/>
        <v>882200.00000000012</v>
      </c>
      <c r="G3940" s="102">
        <f t="shared" si="1975"/>
        <v>802000</v>
      </c>
      <c r="H3940" s="690" t="s">
        <v>2029</v>
      </c>
      <c r="I3940" s="71" t="s">
        <v>195</v>
      </c>
      <c r="J3940" s="53">
        <f t="shared" si="1972"/>
        <v>174080</v>
      </c>
      <c r="K3940" s="63">
        <f t="shared" si="1969"/>
        <v>0.21705735660847877</v>
      </c>
      <c r="L3940" s="871" t="s">
        <v>2910</v>
      </c>
      <c r="M3940" s="468"/>
      <c r="N3940" s="1192">
        <f t="shared" si="1966"/>
        <v>44299</v>
      </c>
      <c r="O3940" s="71" t="s">
        <v>194</v>
      </c>
      <c r="P3940" s="164" t="str">
        <f t="shared" si="1967"/>
        <v>Agfa Film(28inch)</v>
      </c>
      <c r="Q3940" s="71">
        <f t="shared" si="1968"/>
        <v>2</v>
      </c>
      <c r="R3940" s="102">
        <f>VLOOKUP(P3940,[5]Price!B$1:D$65536,3,FALSE)</f>
        <v>313960</v>
      </c>
      <c r="S3940" s="102">
        <f t="shared" si="1964"/>
        <v>690712</v>
      </c>
      <c r="T3940" s="102">
        <f t="shared" si="1965"/>
        <v>627920</v>
      </c>
      <c r="U3940" s="71" t="str">
        <f t="shared" si="1973"/>
        <v>O</v>
      </c>
      <c r="V3940" s="71"/>
      <c r="W3940" s="474">
        <f>(G3940-T3940)</f>
        <v>174080</v>
      </c>
      <c r="X3940" s="71"/>
      <c r="Y3940" s="71"/>
    </row>
    <row r="3941" spans="1:25" ht="30" hidden="1" customHeight="1" x14ac:dyDescent="0.25">
      <c r="A3941" s="1145">
        <v>44299</v>
      </c>
      <c r="B3941" s="664" t="s">
        <v>442</v>
      </c>
      <c r="C3941" s="71" t="s">
        <v>208</v>
      </c>
      <c r="D3941" s="71">
        <v>2</v>
      </c>
      <c r="E3941" s="102">
        <v>448000</v>
      </c>
      <c r="F3941" s="102">
        <f t="shared" si="1974"/>
        <v>985600.00000000012</v>
      </c>
      <c r="G3941" s="102">
        <f t="shared" si="1975"/>
        <v>896000</v>
      </c>
      <c r="H3941" s="690" t="s">
        <v>2029</v>
      </c>
      <c r="I3941" s="71" t="s">
        <v>195</v>
      </c>
      <c r="J3941" s="53">
        <f t="shared" si="1972"/>
        <v>155980</v>
      </c>
      <c r="K3941" s="63">
        <f t="shared" si="1969"/>
        <v>0.1740848214285714</v>
      </c>
      <c r="L3941" s="871" t="s">
        <v>2910</v>
      </c>
      <c r="M3941" s="468"/>
      <c r="N3941" s="1192">
        <f t="shared" si="1966"/>
        <v>44299</v>
      </c>
      <c r="O3941" s="71" t="s">
        <v>194</v>
      </c>
      <c r="P3941" s="164" t="str">
        <f t="shared" si="1967"/>
        <v>Agfa Film(32inch)</v>
      </c>
      <c r="Q3941" s="71">
        <f t="shared" si="1968"/>
        <v>2</v>
      </c>
      <c r="R3941" s="102">
        <f>VLOOKUP(P3941,[5]Price!B$1:D$65536,3,FALSE)</f>
        <v>370010</v>
      </c>
      <c r="S3941" s="102">
        <f t="shared" si="1964"/>
        <v>814022.00000000012</v>
      </c>
      <c r="T3941" s="102">
        <f t="shared" si="1965"/>
        <v>740020</v>
      </c>
      <c r="U3941" s="71" t="str">
        <f t="shared" si="1973"/>
        <v>O</v>
      </c>
      <c r="V3941" s="71"/>
      <c r="W3941" s="474">
        <f>(G3941-T3941)</f>
        <v>155980</v>
      </c>
      <c r="X3941" s="71"/>
      <c r="Y3941" s="71"/>
    </row>
    <row r="3942" spans="1:25" ht="30" hidden="1" customHeight="1" x14ac:dyDescent="0.2">
      <c r="A3942" s="1145">
        <v>44299</v>
      </c>
      <c r="B3942" s="664" t="s">
        <v>442</v>
      </c>
      <c r="C3942" s="71" t="s">
        <v>650</v>
      </c>
      <c r="D3942" s="71">
        <v>1</v>
      </c>
      <c r="E3942" s="102">
        <v>93000</v>
      </c>
      <c r="F3942" s="102">
        <f t="shared" si="1974"/>
        <v>102300.00000000001</v>
      </c>
      <c r="G3942" s="102">
        <f t="shared" si="1975"/>
        <v>93000</v>
      </c>
      <c r="H3942" s="165" t="s">
        <v>172</v>
      </c>
      <c r="I3942" s="71" t="s">
        <v>141</v>
      </c>
      <c r="J3942" s="53">
        <f t="shared" si="1972"/>
        <v>33000</v>
      </c>
      <c r="K3942" s="63">
        <f t="shared" si="1969"/>
        <v>0.35483870967741932</v>
      </c>
      <c r="L3942" s="871" t="s">
        <v>2937</v>
      </c>
      <c r="M3942" s="468"/>
      <c r="N3942" s="1192">
        <f t="shared" si="1966"/>
        <v>44299</v>
      </c>
      <c r="O3942" s="71" t="s">
        <v>145</v>
      </c>
      <c r="P3942" s="164" t="str">
        <f t="shared" si="1967"/>
        <v>Agfa 정착액 G333C(20L)</v>
      </c>
      <c r="Q3942" s="71">
        <f t="shared" si="1968"/>
        <v>1</v>
      </c>
      <c r="R3942" s="102">
        <f>VLOOKUP(P3942,Price!B:D,3,FALSE)</f>
        <v>60000</v>
      </c>
      <c r="S3942" s="102">
        <f t="shared" si="1964"/>
        <v>66000</v>
      </c>
      <c r="T3942" s="102">
        <f t="shared" si="1965"/>
        <v>60000</v>
      </c>
      <c r="U3942" s="71" t="str">
        <f t="shared" si="1973"/>
        <v>O</v>
      </c>
      <c r="V3942" s="71"/>
      <c r="W3942" s="474">
        <f>(G3942-T3942)</f>
        <v>33000</v>
      </c>
      <c r="X3942" s="71"/>
      <c r="Y3942" s="71"/>
    </row>
    <row r="3943" spans="1:25" ht="30" hidden="1" customHeight="1" x14ac:dyDescent="0.25">
      <c r="A3943" s="1145">
        <v>44299</v>
      </c>
      <c r="B3943" s="664" t="s">
        <v>809</v>
      </c>
      <c r="C3943" s="71" t="s">
        <v>1261</v>
      </c>
      <c r="D3943" s="71">
        <v>1</v>
      </c>
      <c r="E3943" s="102">
        <v>100000</v>
      </c>
      <c r="F3943" s="102">
        <f t="shared" si="1960"/>
        <v>110000.00000000001</v>
      </c>
      <c r="G3943" s="102">
        <f t="shared" si="1961"/>
        <v>100000</v>
      </c>
      <c r="H3943" s="690" t="s">
        <v>2029</v>
      </c>
      <c r="I3943" s="71" t="s">
        <v>2231</v>
      </c>
      <c r="J3943" s="53">
        <f t="shared" si="1972"/>
        <v>50000</v>
      </c>
      <c r="K3943" s="63">
        <f>(J3943/(F3943/11*10))</f>
        <v>0.49999999999999994</v>
      </c>
      <c r="L3943" s="871" t="s">
        <v>2937</v>
      </c>
      <c r="M3943" s="468"/>
      <c r="N3943" s="1192">
        <f t="shared" si="1966"/>
        <v>44299</v>
      </c>
      <c r="O3943" s="71" t="s">
        <v>149</v>
      </c>
      <c r="P3943" s="164" t="str">
        <f t="shared" si="1967"/>
        <v>아스테이지</v>
      </c>
      <c r="Q3943" s="71">
        <f t="shared" si="1968"/>
        <v>1</v>
      </c>
      <c r="R3943" s="102">
        <v>50000</v>
      </c>
      <c r="S3943" s="102">
        <f t="shared" si="1964"/>
        <v>55000.000000000007</v>
      </c>
      <c r="T3943" s="102">
        <f t="shared" si="1965"/>
        <v>50000</v>
      </c>
      <c r="U3943" s="71"/>
      <c r="V3943" s="71"/>
      <c r="W3943" s="474"/>
      <c r="X3943" s="71"/>
      <c r="Y3943" s="71"/>
    </row>
    <row r="3944" spans="1:25" ht="30" hidden="1" customHeight="1" x14ac:dyDescent="0.25">
      <c r="A3944" s="1145">
        <v>44299</v>
      </c>
      <c r="B3944" s="664" t="s">
        <v>548</v>
      </c>
      <c r="C3944" s="71" t="s">
        <v>111</v>
      </c>
      <c r="D3944" s="71">
        <v>100</v>
      </c>
      <c r="E3944" s="102">
        <v>450</v>
      </c>
      <c r="F3944" s="102">
        <f t="shared" si="1960"/>
        <v>49500.000000000007</v>
      </c>
      <c r="G3944" s="102">
        <f t="shared" si="1961"/>
        <v>45000</v>
      </c>
      <c r="H3944" s="690" t="s">
        <v>173</v>
      </c>
      <c r="I3944" s="71" t="s">
        <v>2231</v>
      </c>
      <c r="J3944" s="53">
        <f t="shared" si="1972"/>
        <v>13000</v>
      </c>
      <c r="K3944" s="63">
        <f>(J3944/(F3944/11*10))</f>
        <v>0.28888888888888886</v>
      </c>
      <c r="L3944" s="871" t="s">
        <v>2937</v>
      </c>
      <c r="M3944" s="468"/>
      <c r="N3944" s="1192">
        <f t="shared" si="1966"/>
        <v>44299</v>
      </c>
      <c r="O3944" s="71" t="s">
        <v>2030</v>
      </c>
      <c r="P3944" s="164" t="str">
        <f t="shared" si="1967"/>
        <v>고무사카 빨간색</v>
      </c>
      <c r="Q3944" s="71">
        <f t="shared" si="1968"/>
        <v>100</v>
      </c>
      <c r="R3944" s="102">
        <v>320</v>
      </c>
      <c r="S3944" s="102">
        <f t="shared" si="1964"/>
        <v>35200</v>
      </c>
      <c r="T3944" s="102">
        <f t="shared" si="1965"/>
        <v>32000</v>
      </c>
      <c r="U3944" s="71"/>
      <c r="V3944" s="71"/>
      <c r="W3944" s="474"/>
      <c r="X3944" s="71"/>
      <c r="Y3944" s="71"/>
    </row>
    <row r="3945" spans="1:25" ht="30" hidden="1" customHeight="1" x14ac:dyDescent="0.25">
      <c r="A3945" s="1145">
        <v>44300</v>
      </c>
      <c r="B3945" s="664" t="s">
        <v>690</v>
      </c>
      <c r="C3945" s="71" t="s">
        <v>1186</v>
      </c>
      <c r="D3945" s="71">
        <v>500</v>
      </c>
      <c r="E3945" s="102">
        <v>3420</v>
      </c>
      <c r="F3945" s="102">
        <f t="shared" si="1960"/>
        <v>1881000.0000000002</v>
      </c>
      <c r="G3945" s="102">
        <f t="shared" si="1961"/>
        <v>1710000</v>
      </c>
      <c r="H3945" s="690" t="s">
        <v>173</v>
      </c>
      <c r="I3945" s="71" t="s">
        <v>2230</v>
      </c>
      <c r="J3945" s="53">
        <f t="shared" si="1972"/>
        <v>-190000</v>
      </c>
      <c r="K3945" s="63">
        <f>(J3945/(F3945/11*10))</f>
        <v>-0.11111111111111109</v>
      </c>
      <c r="L3945" s="871" t="s">
        <v>2937</v>
      </c>
      <c r="M3945" s="468" t="s">
        <v>1393</v>
      </c>
      <c r="N3945" s="1192">
        <f t="shared" si="1966"/>
        <v>44300</v>
      </c>
      <c r="O3945" s="71" t="s">
        <v>145</v>
      </c>
      <c r="P3945" s="164" t="str">
        <f t="shared" si="1967"/>
        <v>CTP 판(1030*790mm)</v>
      </c>
      <c r="Q3945" s="71">
        <f t="shared" si="1968"/>
        <v>500</v>
      </c>
      <c r="R3945" s="102">
        <v>3800</v>
      </c>
      <c r="S3945" s="102">
        <f t="shared" si="1964"/>
        <v>2090000.0000000002</v>
      </c>
      <c r="T3945" s="102">
        <f t="shared" si="1965"/>
        <v>1900000</v>
      </c>
      <c r="U3945" s="71" t="str">
        <f>IF(J3945=W3945,"O", "X")</f>
        <v>X</v>
      </c>
      <c r="V3945" s="71"/>
      <c r="W3945" s="474">
        <v>-200000</v>
      </c>
      <c r="X3945" s="71"/>
      <c r="Y3945" s="71"/>
    </row>
    <row r="3946" spans="1:25" ht="30" hidden="1" customHeight="1" x14ac:dyDescent="0.25">
      <c r="A3946" s="1145">
        <v>44300</v>
      </c>
      <c r="B3946" s="664" t="s">
        <v>690</v>
      </c>
      <c r="C3946" s="71" t="s">
        <v>197</v>
      </c>
      <c r="D3946" s="71">
        <v>3</v>
      </c>
      <c r="E3946" s="102">
        <v>46000</v>
      </c>
      <c r="F3946" s="102">
        <f t="shared" si="1960"/>
        <v>151800</v>
      </c>
      <c r="G3946" s="102">
        <f t="shared" si="1961"/>
        <v>138000</v>
      </c>
      <c r="H3946" s="690" t="s">
        <v>173</v>
      </c>
      <c r="I3946" s="71" t="s">
        <v>2230</v>
      </c>
      <c r="J3946" s="53">
        <f t="shared" si="1972"/>
        <v>33000</v>
      </c>
      <c r="K3946" s="63">
        <f>(J3946/(F3946/11*10))</f>
        <v>0.2391304347826087</v>
      </c>
      <c r="L3946" s="871" t="s">
        <v>2937</v>
      </c>
      <c r="M3946" s="468" t="s">
        <v>1394</v>
      </c>
      <c r="N3946" s="1192">
        <f t="shared" si="1966"/>
        <v>44300</v>
      </c>
      <c r="O3946" s="71" t="s">
        <v>145</v>
      </c>
      <c r="P3946" s="164" t="str">
        <f t="shared" si="1967"/>
        <v>THR200(20L)</v>
      </c>
      <c r="Q3946" s="71">
        <f t="shared" si="1968"/>
        <v>3</v>
      </c>
      <c r="R3946" s="102">
        <v>35000</v>
      </c>
      <c r="S3946" s="102">
        <f t="shared" si="1964"/>
        <v>115500.00000000001</v>
      </c>
      <c r="T3946" s="102">
        <f t="shared" si="1965"/>
        <v>105000</v>
      </c>
      <c r="U3946" s="71" t="str">
        <f>IF(J3946=W3946,"O", "X")</f>
        <v>X</v>
      </c>
      <c r="V3946" s="71"/>
      <c r="W3946" s="474"/>
      <c r="X3946" s="71"/>
      <c r="Y3946" s="71"/>
    </row>
    <row r="3947" spans="1:25" ht="30" hidden="1" customHeight="1" x14ac:dyDescent="0.25">
      <c r="A3947" s="1145">
        <v>44301</v>
      </c>
      <c r="B3947" s="664" t="s">
        <v>575</v>
      </c>
      <c r="C3947" s="71" t="s">
        <v>1806</v>
      </c>
      <c r="D3947" s="71">
        <v>1</v>
      </c>
      <c r="E3947" s="102">
        <v>2625000</v>
      </c>
      <c r="F3947" s="102">
        <f t="shared" si="1960"/>
        <v>2887500.0000000005</v>
      </c>
      <c r="G3947" s="102">
        <f t="shared" si="1961"/>
        <v>2625000</v>
      </c>
      <c r="H3947" s="690" t="s">
        <v>985</v>
      </c>
      <c r="I3947" s="690" t="s">
        <v>985</v>
      </c>
      <c r="J3947" s="53"/>
      <c r="K3947" s="63"/>
      <c r="L3947" s="871" t="s">
        <v>2937</v>
      </c>
      <c r="M3947" s="468"/>
      <c r="N3947" s="1192">
        <f t="shared" si="1966"/>
        <v>44301</v>
      </c>
      <c r="O3947" s="71"/>
      <c r="P3947" s="164" t="str">
        <f t="shared" si="1967"/>
        <v>M600 서비스 계약(1회차)</v>
      </c>
      <c r="Q3947" s="71">
        <f t="shared" si="1968"/>
        <v>1</v>
      </c>
      <c r="R3947" s="102"/>
      <c r="S3947" s="102">
        <f t="shared" si="1964"/>
        <v>0</v>
      </c>
      <c r="T3947" s="102">
        <f t="shared" si="1965"/>
        <v>0</v>
      </c>
      <c r="U3947" s="71"/>
      <c r="V3947" s="71"/>
      <c r="W3947" s="474"/>
      <c r="X3947" s="71"/>
      <c r="Y3947" s="71"/>
    </row>
    <row r="3948" spans="1:25" ht="30" hidden="1" customHeight="1" x14ac:dyDescent="0.25">
      <c r="A3948" s="1145">
        <v>44301</v>
      </c>
      <c r="B3948" s="664" t="s">
        <v>546</v>
      </c>
      <c r="C3948" s="71" t="s">
        <v>881</v>
      </c>
      <c r="D3948" s="71">
        <v>40</v>
      </c>
      <c r="E3948" s="102">
        <v>18000</v>
      </c>
      <c r="F3948" s="102">
        <f t="shared" si="1960"/>
        <v>792000.00000000012</v>
      </c>
      <c r="G3948" s="102">
        <f t="shared" si="1961"/>
        <v>720000</v>
      </c>
      <c r="H3948" s="690" t="s">
        <v>1431</v>
      </c>
      <c r="I3948" s="71" t="s">
        <v>1431</v>
      </c>
      <c r="J3948" s="53">
        <f>G3948-T3948</f>
        <v>360000</v>
      </c>
      <c r="K3948" s="63">
        <f>(J3948/(F3948/11*10))</f>
        <v>0.49999999999999994</v>
      </c>
      <c r="L3948" s="871" t="s">
        <v>2910</v>
      </c>
      <c r="M3948" s="468"/>
      <c r="N3948" s="1192">
        <f t="shared" si="1966"/>
        <v>44301</v>
      </c>
      <c r="O3948" s="71" t="s">
        <v>1431</v>
      </c>
      <c r="P3948" s="164" t="str">
        <f t="shared" si="1967"/>
        <v>스트리퍼(대)</v>
      </c>
      <c r="Q3948" s="71">
        <f t="shared" si="1968"/>
        <v>40</v>
      </c>
      <c r="R3948" s="102">
        <v>9000</v>
      </c>
      <c r="S3948" s="102">
        <f t="shared" si="1964"/>
        <v>396000.00000000006</v>
      </c>
      <c r="T3948" s="102">
        <f t="shared" si="1965"/>
        <v>360000</v>
      </c>
      <c r="U3948" s="71"/>
      <c r="V3948" s="71"/>
      <c r="W3948" s="474"/>
      <c r="X3948" s="71"/>
      <c r="Y3948" s="71"/>
    </row>
    <row r="3949" spans="1:25" ht="30" hidden="1" customHeight="1" x14ac:dyDescent="0.25">
      <c r="A3949" s="1145">
        <v>44301</v>
      </c>
      <c r="B3949" s="664" t="s">
        <v>546</v>
      </c>
      <c r="C3949" s="71" t="s">
        <v>882</v>
      </c>
      <c r="D3949" s="71">
        <v>10</v>
      </c>
      <c r="E3949" s="102">
        <v>18000</v>
      </c>
      <c r="F3949" s="102">
        <f t="shared" si="1960"/>
        <v>198000.00000000003</v>
      </c>
      <c r="G3949" s="102">
        <f t="shared" si="1961"/>
        <v>180000</v>
      </c>
      <c r="H3949" s="690" t="s">
        <v>1431</v>
      </c>
      <c r="I3949" s="71" t="s">
        <v>1431</v>
      </c>
      <c r="J3949" s="53">
        <f>G3949-T3949</f>
        <v>90000</v>
      </c>
      <c r="K3949" s="63">
        <f>(J3949/(F3949/11*10))</f>
        <v>0.49999999999999994</v>
      </c>
      <c r="L3949" s="871" t="s">
        <v>2910</v>
      </c>
      <c r="M3949" s="468"/>
      <c r="N3949" s="1192">
        <f t="shared" si="1966"/>
        <v>44301</v>
      </c>
      <c r="O3949" s="71" t="s">
        <v>1431</v>
      </c>
      <c r="P3949" s="164" t="str">
        <f t="shared" si="1967"/>
        <v>스트리퍼(소)</v>
      </c>
      <c r="Q3949" s="71">
        <f t="shared" si="1968"/>
        <v>10</v>
      </c>
      <c r="R3949" s="102">
        <v>9000</v>
      </c>
      <c r="S3949" s="102">
        <f t="shared" ref="S3949:S3980" si="1976">R3949*Q3949*1.1</f>
        <v>99000.000000000015</v>
      </c>
      <c r="T3949" s="102">
        <f t="shared" ref="T3949:T3980" si="1977">R3949*Q3949</f>
        <v>90000</v>
      </c>
      <c r="U3949" s="71"/>
      <c r="V3949" s="71"/>
      <c r="W3949" s="474"/>
      <c r="X3949" s="71"/>
      <c r="Y3949" s="71"/>
    </row>
    <row r="3950" spans="1:25" ht="30" hidden="1" customHeight="1" x14ac:dyDescent="0.25">
      <c r="A3950" s="1145">
        <v>44302</v>
      </c>
      <c r="B3950" s="664" t="s">
        <v>442</v>
      </c>
      <c r="C3950" s="71" t="s">
        <v>651</v>
      </c>
      <c r="D3950" s="71">
        <v>6</v>
      </c>
      <c r="E3950" s="102">
        <v>41000</v>
      </c>
      <c r="F3950" s="102">
        <f t="shared" si="1960"/>
        <v>270600</v>
      </c>
      <c r="G3950" s="102">
        <f t="shared" si="1961"/>
        <v>246000</v>
      </c>
      <c r="H3950" s="690" t="s">
        <v>2029</v>
      </c>
      <c r="I3950" s="71" t="s">
        <v>195</v>
      </c>
      <c r="J3950" s="53">
        <f>(G3950-(VLOOKUP(C3950,[5]Price!B$1:D$65536,3,FALSE)*D3950))</f>
        <v>96000</v>
      </c>
      <c r="K3950" s="63">
        <f>(J3950/(F3950/11*10))</f>
        <v>0.3902439024390244</v>
      </c>
      <c r="L3950" s="871" t="s">
        <v>2910</v>
      </c>
      <c r="M3950" s="468"/>
      <c r="N3950" s="1192">
        <f t="shared" si="1966"/>
        <v>44302</v>
      </c>
      <c r="O3950" s="71" t="s">
        <v>194</v>
      </c>
      <c r="P3950" s="164" t="str">
        <f t="shared" si="1967"/>
        <v>Agfa 현상액 G101C(10L)</v>
      </c>
      <c r="Q3950" s="71">
        <f t="shared" si="1968"/>
        <v>6</v>
      </c>
      <c r="R3950" s="102">
        <f>VLOOKUP(P3950,[5]Price!B$1:D$65536,3,FALSE)</f>
        <v>25000</v>
      </c>
      <c r="S3950" s="102">
        <f t="shared" si="1976"/>
        <v>165000</v>
      </c>
      <c r="T3950" s="102">
        <f t="shared" si="1977"/>
        <v>150000</v>
      </c>
      <c r="U3950" s="71" t="str">
        <f t="shared" ref="U3950:U3955" si="1978">IF(J3950=W3950,"O", "X")</f>
        <v>O</v>
      </c>
      <c r="V3950" s="71"/>
      <c r="W3950" s="474">
        <f>(G3950-T3950)</f>
        <v>96000</v>
      </c>
      <c r="X3950" s="71"/>
      <c r="Y3950" s="71"/>
    </row>
    <row r="3951" spans="1:25" s="209" customFormat="1" ht="30" hidden="1" customHeight="1" x14ac:dyDescent="0.25">
      <c r="A3951" s="1145">
        <v>44305</v>
      </c>
      <c r="B3951" s="664" t="s">
        <v>2155</v>
      </c>
      <c r="C3951" s="71" t="s">
        <v>138</v>
      </c>
      <c r="D3951" s="71">
        <v>10</v>
      </c>
      <c r="E3951" s="102">
        <v>47600</v>
      </c>
      <c r="F3951" s="102">
        <f t="shared" si="1960"/>
        <v>523600.00000000006</v>
      </c>
      <c r="G3951" s="102">
        <f t="shared" si="1961"/>
        <v>476000</v>
      </c>
      <c r="H3951" s="1129" t="s">
        <v>172</v>
      </c>
      <c r="I3951" s="71" t="s">
        <v>108</v>
      </c>
      <c r="J3951" s="53">
        <f t="shared" ref="J3951:J3960" si="1979">G3951-T3951</f>
        <v>68000</v>
      </c>
      <c r="K3951" s="63">
        <f t="shared" ref="K3951:K3964" si="1980">(J3951/(F3951/11*10))</f>
        <v>0.14285714285714285</v>
      </c>
      <c r="L3951" s="871" t="s">
        <v>2910</v>
      </c>
      <c r="M3951" s="468" t="s">
        <v>2214</v>
      </c>
      <c r="N3951" s="1192">
        <f t="shared" si="1966"/>
        <v>44305</v>
      </c>
      <c r="O3951" s="71" t="s">
        <v>150</v>
      </c>
      <c r="P3951" s="164" t="str">
        <f t="shared" si="1967"/>
        <v>매엽용 세척제(Wash 562)</v>
      </c>
      <c r="Q3951" s="71">
        <f t="shared" si="1968"/>
        <v>10</v>
      </c>
      <c r="R3951" s="102">
        <v>40800</v>
      </c>
      <c r="S3951" s="102">
        <f t="shared" si="1976"/>
        <v>448800.00000000006</v>
      </c>
      <c r="T3951" s="102">
        <f t="shared" si="1977"/>
        <v>408000</v>
      </c>
      <c r="U3951" s="71" t="str">
        <f t="shared" si="1978"/>
        <v>X</v>
      </c>
      <c r="V3951" s="71"/>
      <c r="W3951" s="474">
        <v>85000</v>
      </c>
      <c r="X3951" s="71"/>
      <c r="Y3951" s="71"/>
    </row>
    <row r="3952" spans="1:25" ht="30" hidden="1" customHeight="1" x14ac:dyDescent="0.25">
      <c r="A3952" s="1145">
        <v>44305</v>
      </c>
      <c r="B3952" s="664" t="s">
        <v>2155</v>
      </c>
      <c r="C3952" s="71" t="s">
        <v>277</v>
      </c>
      <c r="D3952" s="71">
        <v>5</v>
      </c>
      <c r="E3952" s="102">
        <v>172000</v>
      </c>
      <c r="F3952" s="102">
        <f t="shared" si="1960"/>
        <v>946000.00000000012</v>
      </c>
      <c r="G3952" s="102">
        <f t="shared" si="1961"/>
        <v>860000</v>
      </c>
      <c r="H3952" s="690" t="s">
        <v>173</v>
      </c>
      <c r="I3952" s="71" t="s">
        <v>108</v>
      </c>
      <c r="J3952" s="53">
        <f t="shared" si="1979"/>
        <v>285000</v>
      </c>
      <c r="K3952" s="63">
        <f t="shared" si="1980"/>
        <v>0.33139534883720928</v>
      </c>
      <c r="L3952" s="871" t="s">
        <v>2910</v>
      </c>
      <c r="M3952" s="468"/>
      <c r="N3952" s="1192">
        <f t="shared" si="1966"/>
        <v>44305</v>
      </c>
      <c r="O3952" s="71" t="s">
        <v>150</v>
      </c>
      <c r="P3952" s="164" t="str">
        <f t="shared" si="1967"/>
        <v>윤전용 세척제(Web 504)</v>
      </c>
      <c r="Q3952" s="71">
        <f t="shared" si="1968"/>
        <v>5</v>
      </c>
      <c r="R3952" s="102">
        <v>115000</v>
      </c>
      <c r="S3952" s="102">
        <f t="shared" si="1976"/>
        <v>632500</v>
      </c>
      <c r="T3952" s="102">
        <f t="shared" si="1977"/>
        <v>575000</v>
      </c>
      <c r="U3952" s="71" t="str">
        <f t="shared" si="1978"/>
        <v>O</v>
      </c>
      <c r="V3952" s="71"/>
      <c r="W3952" s="474">
        <v>285000</v>
      </c>
      <c r="X3952" s="71"/>
      <c r="Y3952" s="71"/>
    </row>
    <row r="3953" spans="1:25" ht="30" hidden="1" customHeight="1" x14ac:dyDescent="0.25">
      <c r="A3953" s="1145">
        <v>44305</v>
      </c>
      <c r="B3953" s="664" t="s">
        <v>2155</v>
      </c>
      <c r="C3953" s="760" t="s">
        <v>218</v>
      </c>
      <c r="D3953" s="71">
        <v>3</v>
      </c>
      <c r="E3953" s="102">
        <v>192500</v>
      </c>
      <c r="F3953" s="102">
        <f t="shared" si="1960"/>
        <v>635250</v>
      </c>
      <c r="G3953" s="102">
        <f t="shared" si="1961"/>
        <v>577500</v>
      </c>
      <c r="H3953" s="690" t="s">
        <v>173</v>
      </c>
      <c r="I3953" s="71" t="s">
        <v>120</v>
      </c>
      <c r="J3953" s="53">
        <f t="shared" si="1979"/>
        <v>240000</v>
      </c>
      <c r="K3953" s="63">
        <f t="shared" si="1980"/>
        <v>0.41558441558441561</v>
      </c>
      <c r="L3953" s="871" t="s">
        <v>2910</v>
      </c>
      <c r="M3953" s="468"/>
      <c r="N3953" s="1192">
        <f t="shared" si="1966"/>
        <v>44305</v>
      </c>
      <c r="O3953" s="71" t="s">
        <v>150</v>
      </c>
      <c r="P3953" s="164" t="str">
        <f t="shared" si="1967"/>
        <v>Fount Web 551AF</v>
      </c>
      <c r="Q3953" s="71">
        <f t="shared" si="1968"/>
        <v>3</v>
      </c>
      <c r="R3953" s="102">
        <v>112500</v>
      </c>
      <c r="S3953" s="102">
        <f t="shared" si="1976"/>
        <v>371250.00000000006</v>
      </c>
      <c r="T3953" s="102">
        <f t="shared" si="1977"/>
        <v>337500</v>
      </c>
      <c r="U3953" s="71" t="str">
        <f t="shared" si="1978"/>
        <v>X</v>
      </c>
      <c r="V3953" s="71"/>
      <c r="W3953" s="474">
        <v>640000</v>
      </c>
      <c r="X3953" s="71"/>
      <c r="Y3953" s="71"/>
    </row>
    <row r="3954" spans="1:25" ht="30" hidden="1" customHeight="1" x14ac:dyDescent="0.25">
      <c r="A3954" s="1145">
        <v>44307</v>
      </c>
      <c r="B3954" s="664" t="s">
        <v>545</v>
      </c>
      <c r="C3954" s="71" t="s">
        <v>952</v>
      </c>
      <c r="D3954" s="71">
        <v>1</v>
      </c>
      <c r="E3954" s="102">
        <v>630000</v>
      </c>
      <c r="F3954" s="102">
        <f>(E3954*D3954)*1.1</f>
        <v>693000</v>
      </c>
      <c r="G3954" s="102">
        <f>(E3954*D3954)</f>
        <v>630000</v>
      </c>
      <c r="H3954" s="690" t="s">
        <v>173</v>
      </c>
      <c r="I3954" s="71" t="s">
        <v>108</v>
      </c>
      <c r="J3954" s="53">
        <f t="shared" si="1979"/>
        <v>168000</v>
      </c>
      <c r="K3954" s="63">
        <f>(J3954/(F3954/11*10))</f>
        <v>0.26666666666666666</v>
      </c>
      <c r="L3954" s="871" t="s">
        <v>2910</v>
      </c>
      <c r="M3954" s="468"/>
      <c r="N3954" s="1192">
        <f t="shared" si="1966"/>
        <v>44307</v>
      </c>
      <c r="O3954" s="71" t="s">
        <v>599</v>
      </c>
      <c r="P3954" s="164" t="str">
        <f t="shared" si="1967"/>
        <v>점보롤 세정포</v>
      </c>
      <c r="Q3954" s="71">
        <f t="shared" si="1968"/>
        <v>1</v>
      </c>
      <c r="R3954" s="102">
        <v>462000</v>
      </c>
      <c r="S3954" s="102">
        <f t="shared" si="1976"/>
        <v>508200.00000000006</v>
      </c>
      <c r="T3954" s="102">
        <f t="shared" si="1977"/>
        <v>462000</v>
      </c>
      <c r="U3954" s="71" t="str">
        <f t="shared" si="1978"/>
        <v>O</v>
      </c>
      <c r="V3954" s="71" t="s">
        <v>1228</v>
      </c>
      <c r="W3954" s="474">
        <f>(G3954-T3954)</f>
        <v>168000</v>
      </c>
      <c r="X3954" s="71"/>
      <c r="Y3954" s="71"/>
    </row>
    <row r="3955" spans="1:25" ht="30" hidden="1" customHeight="1" x14ac:dyDescent="0.25">
      <c r="A3955" s="1145">
        <v>44307</v>
      </c>
      <c r="B3955" s="664" t="s">
        <v>545</v>
      </c>
      <c r="C3955" s="71" t="s">
        <v>227</v>
      </c>
      <c r="D3955" s="71">
        <v>10</v>
      </c>
      <c r="E3955" s="102">
        <v>110000</v>
      </c>
      <c r="F3955" s="102">
        <f>(E3955*D3955)*1.1</f>
        <v>1210000</v>
      </c>
      <c r="G3955" s="102">
        <f>(E3955*D3955)</f>
        <v>1100000</v>
      </c>
      <c r="H3955" s="690" t="s">
        <v>173</v>
      </c>
      <c r="I3955" s="71" t="s">
        <v>109</v>
      </c>
      <c r="J3955" s="53">
        <f t="shared" si="1979"/>
        <v>271000</v>
      </c>
      <c r="K3955" s="63">
        <f>(J3955/(F3955/11*10))</f>
        <v>0.24636363636363637</v>
      </c>
      <c r="L3955" s="871" t="s">
        <v>2910</v>
      </c>
      <c r="M3955" s="468"/>
      <c r="N3955" s="1192">
        <f t="shared" si="1966"/>
        <v>44307</v>
      </c>
      <c r="O3955" s="71" t="s">
        <v>147</v>
      </c>
      <c r="P3955" s="164" t="str">
        <f t="shared" si="1967"/>
        <v>Blanket(1060*860)</v>
      </c>
      <c r="Q3955" s="71">
        <f t="shared" si="1968"/>
        <v>10</v>
      </c>
      <c r="R3955" s="102">
        <v>82900</v>
      </c>
      <c r="S3955" s="102">
        <f t="shared" si="1976"/>
        <v>911900.00000000012</v>
      </c>
      <c r="T3955" s="102">
        <f t="shared" si="1977"/>
        <v>829000</v>
      </c>
      <c r="U3955" s="71" t="str">
        <f t="shared" si="1978"/>
        <v>O</v>
      </c>
      <c r="V3955" s="71"/>
      <c r="W3955" s="474">
        <f>(G3955-T3955)</f>
        <v>271000</v>
      </c>
      <c r="X3955" s="71"/>
      <c r="Y3955" s="71"/>
    </row>
    <row r="3956" spans="1:25" ht="30" hidden="1" customHeight="1" x14ac:dyDescent="0.25">
      <c r="A3956" s="1145">
        <v>44308</v>
      </c>
      <c r="B3956" s="664" t="s">
        <v>2941</v>
      </c>
      <c r="C3956" s="71" t="s">
        <v>2942</v>
      </c>
      <c r="D3956" s="71">
        <v>1</v>
      </c>
      <c r="E3956" s="102">
        <v>450000</v>
      </c>
      <c r="F3956" s="102">
        <f>(E3956*D3956)*1.1</f>
        <v>495000.00000000006</v>
      </c>
      <c r="G3956" s="102">
        <f>(E3956*D3956)</f>
        <v>450000</v>
      </c>
      <c r="H3956" s="690" t="s">
        <v>142</v>
      </c>
      <c r="I3956" s="71" t="s">
        <v>142</v>
      </c>
      <c r="J3956" s="53">
        <f t="shared" si="1979"/>
        <v>250000</v>
      </c>
      <c r="K3956" s="63">
        <f>(J3956/(F3956/11*10))</f>
        <v>0.55555555555555547</v>
      </c>
      <c r="L3956" s="871" t="s">
        <v>2910</v>
      </c>
      <c r="M3956" s="468"/>
      <c r="N3956" s="1192">
        <f t="shared" si="1966"/>
        <v>44308</v>
      </c>
      <c r="O3956" s="71" t="s">
        <v>1431</v>
      </c>
      <c r="P3956" s="164" t="str">
        <f t="shared" si="1967"/>
        <v>synchronous motor</v>
      </c>
      <c r="Q3956" s="71">
        <f t="shared" si="1968"/>
        <v>1</v>
      </c>
      <c r="R3956" s="102">
        <v>200000</v>
      </c>
      <c r="S3956" s="102">
        <f t="shared" si="1976"/>
        <v>220000.00000000003</v>
      </c>
      <c r="T3956" s="102">
        <f t="shared" si="1977"/>
        <v>200000</v>
      </c>
      <c r="U3956" s="71"/>
      <c r="V3956" s="71"/>
      <c r="W3956" s="474"/>
      <c r="X3956" s="71"/>
      <c r="Y3956" s="71"/>
    </row>
    <row r="3957" spans="1:25" s="209" customFormat="1" ht="30" hidden="1" customHeight="1" x14ac:dyDescent="0.2">
      <c r="A3957" s="1145">
        <v>44308</v>
      </c>
      <c r="B3957" s="664" t="s">
        <v>2353</v>
      </c>
      <c r="C3957" s="71" t="s">
        <v>130</v>
      </c>
      <c r="D3957" s="71">
        <v>10</v>
      </c>
      <c r="E3957" s="102">
        <v>125000</v>
      </c>
      <c r="F3957" s="102">
        <f t="shared" si="1960"/>
        <v>1375000</v>
      </c>
      <c r="G3957" s="102">
        <f t="shared" si="1961"/>
        <v>1250000</v>
      </c>
      <c r="H3957" s="165" t="s">
        <v>142</v>
      </c>
      <c r="I3957" s="71" t="s">
        <v>142</v>
      </c>
      <c r="J3957" s="53">
        <f t="shared" si="1979"/>
        <v>260000</v>
      </c>
      <c r="K3957" s="63">
        <f t="shared" si="1980"/>
        <v>0.20799999999999999</v>
      </c>
      <c r="L3957" s="871" t="s">
        <v>2910</v>
      </c>
      <c r="M3957" s="468" t="s">
        <v>2050</v>
      </c>
      <c r="N3957" s="1192">
        <f t="shared" si="1966"/>
        <v>44308</v>
      </c>
      <c r="O3957" s="71" t="s">
        <v>150</v>
      </c>
      <c r="P3957" s="164" t="str">
        <f t="shared" si="1967"/>
        <v>XL106 Blanket(1077*885)</v>
      </c>
      <c r="Q3957" s="71">
        <f t="shared" si="1968"/>
        <v>10</v>
      </c>
      <c r="R3957" s="102">
        <v>99000</v>
      </c>
      <c r="S3957" s="102">
        <f t="shared" si="1976"/>
        <v>1089000</v>
      </c>
      <c r="T3957" s="102">
        <f t="shared" si="1977"/>
        <v>990000</v>
      </c>
      <c r="U3957" s="71" t="str">
        <f>IF(J3957=W3957,"O", "X")</f>
        <v>O</v>
      </c>
      <c r="V3957" s="71"/>
      <c r="W3957" s="474">
        <f>(G3957-T3957)</f>
        <v>260000</v>
      </c>
      <c r="X3957" s="71"/>
      <c r="Y3957" s="71"/>
    </row>
    <row r="3958" spans="1:25" ht="30" hidden="1" customHeight="1" x14ac:dyDescent="0.2">
      <c r="A3958" s="1145">
        <v>44308</v>
      </c>
      <c r="B3958" s="664" t="s">
        <v>2353</v>
      </c>
      <c r="C3958" s="71" t="s">
        <v>129</v>
      </c>
      <c r="D3958" s="71">
        <v>5</v>
      </c>
      <c r="E3958" s="102">
        <v>272000</v>
      </c>
      <c r="F3958" s="102">
        <f t="shared" si="1960"/>
        <v>1496000.0000000002</v>
      </c>
      <c r="G3958" s="102">
        <f t="shared" si="1961"/>
        <v>1360000</v>
      </c>
      <c r="H3958" s="165" t="s">
        <v>142</v>
      </c>
      <c r="I3958" s="71" t="s">
        <v>142</v>
      </c>
      <c r="J3958" s="53">
        <f t="shared" si="1979"/>
        <v>296000</v>
      </c>
      <c r="K3958" s="63">
        <f t="shared" si="1980"/>
        <v>0.21764705882352939</v>
      </c>
      <c r="L3958" s="871" t="s">
        <v>2910</v>
      </c>
      <c r="M3958" s="468" t="s">
        <v>2050</v>
      </c>
      <c r="N3958" s="1192">
        <f t="shared" si="1966"/>
        <v>44308</v>
      </c>
      <c r="O3958" s="71" t="s">
        <v>149</v>
      </c>
      <c r="P3958" s="164" t="str">
        <f t="shared" si="1967"/>
        <v>세정포-XL106</v>
      </c>
      <c r="Q3958" s="71">
        <f t="shared" si="1968"/>
        <v>5</v>
      </c>
      <c r="R3958" s="102">
        <v>212800</v>
      </c>
      <c r="S3958" s="102">
        <f t="shared" si="1976"/>
        <v>1170400</v>
      </c>
      <c r="T3958" s="102">
        <f t="shared" si="1977"/>
        <v>1064000</v>
      </c>
      <c r="U3958" s="71" t="str">
        <f>IF(J3958=W3958,"O", "X")</f>
        <v>O</v>
      </c>
      <c r="V3958" s="71"/>
      <c r="W3958" s="474">
        <f>(G3958-T3958)</f>
        <v>296000</v>
      </c>
      <c r="X3958" s="71"/>
      <c r="Y3958" s="71"/>
    </row>
    <row r="3959" spans="1:25" ht="30" hidden="1" customHeight="1" x14ac:dyDescent="0.2">
      <c r="A3959" s="1145">
        <v>44308</v>
      </c>
      <c r="B3959" s="664" t="s">
        <v>2353</v>
      </c>
      <c r="C3959" s="71" t="s">
        <v>584</v>
      </c>
      <c r="D3959" s="71">
        <v>3</v>
      </c>
      <c r="E3959" s="102">
        <v>270000</v>
      </c>
      <c r="F3959" s="102">
        <f t="shared" si="1960"/>
        <v>891000.00000000012</v>
      </c>
      <c r="G3959" s="102">
        <f t="shared" si="1961"/>
        <v>810000</v>
      </c>
      <c r="H3959" s="165" t="s">
        <v>142</v>
      </c>
      <c r="I3959" s="71" t="s">
        <v>142</v>
      </c>
      <c r="J3959" s="53">
        <f t="shared" si="1979"/>
        <v>162000</v>
      </c>
      <c r="K3959" s="63">
        <f t="shared" si="1980"/>
        <v>0.19999999999999998</v>
      </c>
      <c r="L3959" s="871" t="s">
        <v>2910</v>
      </c>
      <c r="M3959" s="468"/>
      <c r="N3959" s="1192">
        <f t="shared" si="1966"/>
        <v>44308</v>
      </c>
      <c r="O3959" s="71" t="s">
        <v>150</v>
      </c>
      <c r="P3959" s="164" t="str">
        <f t="shared" si="1967"/>
        <v>데리바리 석션벨트</v>
      </c>
      <c r="Q3959" s="71">
        <f t="shared" si="1968"/>
        <v>3</v>
      </c>
      <c r="R3959" s="102">
        <v>216000</v>
      </c>
      <c r="S3959" s="102">
        <f t="shared" si="1976"/>
        <v>712800</v>
      </c>
      <c r="T3959" s="102">
        <f t="shared" si="1977"/>
        <v>648000</v>
      </c>
      <c r="U3959" s="71" t="str">
        <f>IF(J3959=W3959,"O", "X")</f>
        <v>O</v>
      </c>
      <c r="V3959" s="71"/>
      <c r="W3959" s="474">
        <f>(G3959-T3959)</f>
        <v>162000</v>
      </c>
      <c r="X3959" s="71"/>
      <c r="Y3959" s="71"/>
    </row>
    <row r="3960" spans="1:25" ht="30" hidden="1" customHeight="1" x14ac:dyDescent="0.25">
      <c r="A3960" s="1145">
        <v>44308</v>
      </c>
      <c r="B3960" s="674" t="s">
        <v>575</v>
      </c>
      <c r="C3960" s="409" t="s">
        <v>2945</v>
      </c>
      <c r="D3960" s="409">
        <v>1</v>
      </c>
      <c r="E3960" s="208">
        <v>16329000</v>
      </c>
      <c r="F3960" s="102">
        <f>(E3960*D3960)*1.1</f>
        <v>17961900</v>
      </c>
      <c r="G3960" s="102">
        <f>(E3960*D3960)</f>
        <v>16329000</v>
      </c>
      <c r="H3960" s="690" t="s">
        <v>142</v>
      </c>
      <c r="I3960" s="71" t="s">
        <v>142</v>
      </c>
      <c r="J3960" s="53">
        <f t="shared" si="1979"/>
        <v>1803259</v>
      </c>
      <c r="K3960" s="63">
        <f>(J3960/(F3960/11*10))</f>
        <v>0.11043291077224569</v>
      </c>
      <c r="L3960" s="871" t="s">
        <v>2910</v>
      </c>
      <c r="M3960" s="583"/>
      <c r="N3960" s="1192">
        <f t="shared" si="1966"/>
        <v>44308</v>
      </c>
      <c r="O3960" s="409" t="s">
        <v>2952</v>
      </c>
      <c r="P3960" s="164" t="str">
        <f t="shared" si="1967"/>
        <v>Apogee 서버 PC 및 X-rite i1 iSis 측색장비</v>
      </c>
      <c r="Q3960" s="71">
        <f t="shared" si="1968"/>
        <v>1</v>
      </c>
      <c r="R3960" s="524">
        <f>8700000+953681+4872060</f>
        <v>14525741</v>
      </c>
      <c r="S3960" s="102">
        <f t="shared" si="1976"/>
        <v>15978315.100000001</v>
      </c>
      <c r="T3960" s="102">
        <f t="shared" si="1977"/>
        <v>14525741</v>
      </c>
      <c r="U3960" s="209"/>
      <c r="V3960" s="209"/>
      <c r="W3960" s="515"/>
      <c r="X3960" s="209"/>
      <c r="Y3960" s="209"/>
    </row>
    <row r="3961" spans="1:25" s="209" customFormat="1" ht="30" hidden="1" customHeight="1" x14ac:dyDescent="0.25">
      <c r="A3961" s="1145">
        <v>44309</v>
      </c>
      <c r="B3961" s="671" t="s">
        <v>442</v>
      </c>
      <c r="C3961" s="682" t="s">
        <v>107</v>
      </c>
      <c r="D3961" s="682">
        <v>6</v>
      </c>
      <c r="E3961" s="702">
        <v>105000</v>
      </c>
      <c r="F3961" s="702">
        <f t="shared" si="1960"/>
        <v>693000</v>
      </c>
      <c r="G3961" s="702">
        <f t="shared" si="1961"/>
        <v>630000</v>
      </c>
      <c r="H3961" s="690" t="s">
        <v>173</v>
      </c>
      <c r="I3961" s="71" t="s">
        <v>109</v>
      </c>
      <c r="J3961" s="53">
        <f>(G3961-(VLOOKUP(C3961,Price!B:D,3,FALSE)*D3961))</f>
        <v>147000</v>
      </c>
      <c r="K3961" s="63">
        <f t="shared" si="1980"/>
        <v>0.23333333333333334</v>
      </c>
      <c r="L3961" s="871" t="s">
        <v>2910</v>
      </c>
      <c r="M3961" s="579"/>
      <c r="N3961" s="1192">
        <f t="shared" si="1966"/>
        <v>44309</v>
      </c>
      <c r="O3961" s="682" t="s">
        <v>147</v>
      </c>
      <c r="P3961" s="164" t="str">
        <f t="shared" si="1967"/>
        <v>Blanket(1050*840)</v>
      </c>
      <c r="Q3961" s="71">
        <f t="shared" si="1968"/>
        <v>6</v>
      </c>
      <c r="R3961" s="202">
        <v>80500</v>
      </c>
      <c r="S3961" s="102">
        <f t="shared" si="1976"/>
        <v>531300</v>
      </c>
      <c r="T3961" s="102">
        <f t="shared" si="1977"/>
        <v>483000</v>
      </c>
      <c r="U3961" s="209" t="str">
        <f>IF(J3961=W3961,"O", "X")</f>
        <v>O</v>
      </c>
      <c r="W3961" s="482">
        <f>(G3961-T3961)</f>
        <v>147000</v>
      </c>
    </row>
    <row r="3962" spans="1:25" ht="30" customHeight="1" x14ac:dyDescent="0.2">
      <c r="A3962" s="1145">
        <v>44312</v>
      </c>
      <c r="B3962" s="664" t="s">
        <v>565</v>
      </c>
      <c r="C3962" s="71" t="s">
        <v>2081</v>
      </c>
      <c r="D3962" s="71">
        <v>148</v>
      </c>
      <c r="E3962" s="102">
        <v>69000</v>
      </c>
      <c r="F3962" s="102">
        <f>(E3962*D3962)*1.1</f>
        <v>11233200</v>
      </c>
      <c r="G3962" s="102">
        <f>(E3962*D3962)</f>
        <v>10212000</v>
      </c>
      <c r="H3962" s="165" t="s">
        <v>173</v>
      </c>
      <c r="I3962" s="71" t="s">
        <v>108</v>
      </c>
      <c r="J3962" s="53">
        <f>G3962-T3962</f>
        <v>2664000</v>
      </c>
      <c r="K3962" s="63">
        <f t="shared" si="1980"/>
        <v>0.2608695652173913</v>
      </c>
      <c r="L3962" s="871" t="s">
        <v>2910</v>
      </c>
      <c r="M3962" s="468"/>
      <c r="N3962" s="1192">
        <f t="shared" si="1966"/>
        <v>44312</v>
      </c>
      <c r="O3962" s="71" t="s">
        <v>599</v>
      </c>
      <c r="P3962" s="164" t="str">
        <f t="shared" si="1967"/>
        <v>GOSS 신문윤전 습식세정포</v>
      </c>
      <c r="Q3962" s="71">
        <f t="shared" si="1968"/>
        <v>148</v>
      </c>
      <c r="R3962" s="102">
        <v>51000</v>
      </c>
      <c r="S3962" s="102">
        <f t="shared" si="1976"/>
        <v>8302800.0000000009</v>
      </c>
      <c r="T3962" s="102">
        <f t="shared" si="1977"/>
        <v>7548000</v>
      </c>
      <c r="U3962" s="71" t="str">
        <f>IF(J3962=W3962,"O", "X")</f>
        <v>X</v>
      </c>
      <c r="V3962" s="71"/>
      <c r="W3962" s="474"/>
      <c r="X3962" s="71"/>
      <c r="Y3962" s="71"/>
    </row>
    <row r="3963" spans="1:25" ht="30" hidden="1" customHeight="1" x14ac:dyDescent="0.2">
      <c r="A3963" s="1145">
        <v>44312</v>
      </c>
      <c r="B3963" s="664" t="s">
        <v>2857</v>
      </c>
      <c r="C3963" s="71" t="s">
        <v>3202</v>
      </c>
      <c r="D3963" s="71">
        <v>1</v>
      </c>
      <c r="E3963" s="102">
        <v>10000000</v>
      </c>
      <c r="F3963" s="102">
        <f>(E3963*D3963)*1.1</f>
        <v>11000000</v>
      </c>
      <c r="G3963" s="102">
        <f>(E3963*D3963)</f>
        <v>10000000</v>
      </c>
      <c r="H3963" s="165" t="s">
        <v>985</v>
      </c>
      <c r="I3963" s="71" t="s">
        <v>985</v>
      </c>
      <c r="J3963" s="53"/>
      <c r="K3963" s="63"/>
      <c r="L3963" s="871" t="s">
        <v>2910</v>
      </c>
      <c r="M3963" s="468"/>
      <c r="N3963" s="1192">
        <f t="shared" si="1966"/>
        <v>44312</v>
      </c>
      <c r="O3963" s="71" t="s">
        <v>1431</v>
      </c>
      <c r="P3963" s="164" t="str">
        <f t="shared" si="1967"/>
        <v>Rotoman 스플라이서 점검 부품(선금)</v>
      </c>
      <c r="Q3963" s="71">
        <f t="shared" si="1968"/>
        <v>1</v>
      </c>
      <c r="R3963" s="102"/>
      <c r="S3963" s="102">
        <f t="shared" si="1976"/>
        <v>0</v>
      </c>
      <c r="T3963" s="102">
        <f t="shared" si="1977"/>
        <v>0</v>
      </c>
      <c r="U3963" s="71"/>
      <c r="V3963" s="71"/>
      <c r="W3963" s="474"/>
      <c r="X3963" s="71"/>
      <c r="Y3963" s="71"/>
    </row>
    <row r="3964" spans="1:25" ht="30" hidden="1" customHeight="1" x14ac:dyDescent="0.2">
      <c r="A3964" s="1145">
        <v>44313</v>
      </c>
      <c r="B3964" s="664" t="s">
        <v>1220</v>
      </c>
      <c r="C3964" s="71" t="s">
        <v>2940</v>
      </c>
      <c r="D3964" s="71">
        <v>10</v>
      </c>
      <c r="E3964" s="102">
        <v>320000</v>
      </c>
      <c r="F3964" s="102">
        <f>(E3964*D3964)*1.1</f>
        <v>3520000.0000000005</v>
      </c>
      <c r="G3964" s="102">
        <f>(E3964*D3964)</f>
        <v>3200000</v>
      </c>
      <c r="H3964" s="165" t="s">
        <v>1431</v>
      </c>
      <c r="I3964" s="71" t="s">
        <v>1431</v>
      </c>
      <c r="J3964" s="53">
        <f>G3964-T3964</f>
        <v>1000000</v>
      </c>
      <c r="K3964" s="63">
        <f t="shared" si="1980"/>
        <v>0.31249999999999994</v>
      </c>
      <c r="L3964" s="871" t="s">
        <v>2910</v>
      </c>
      <c r="M3964" s="468"/>
      <c r="N3964" s="1192">
        <f t="shared" si="1966"/>
        <v>44313</v>
      </c>
      <c r="O3964" s="71" t="s">
        <v>1431</v>
      </c>
      <c r="P3964" s="164" t="str">
        <f t="shared" si="1967"/>
        <v>Double acting pneumatic cylinder</v>
      </c>
      <c r="Q3964" s="71">
        <f t="shared" si="1968"/>
        <v>10</v>
      </c>
      <c r="R3964" s="102">
        <v>220000</v>
      </c>
      <c r="S3964" s="102">
        <f t="shared" si="1976"/>
        <v>2420000</v>
      </c>
      <c r="T3964" s="102">
        <f t="shared" si="1977"/>
        <v>2200000</v>
      </c>
      <c r="U3964" s="71" t="str">
        <f>IF(J3964=W3964,"O", "X")</f>
        <v>X</v>
      </c>
      <c r="V3964" s="71"/>
      <c r="W3964" s="474"/>
      <c r="X3964" s="71"/>
      <c r="Y3964" s="71"/>
    </row>
    <row r="3965" spans="1:25" ht="30" hidden="1" customHeight="1" x14ac:dyDescent="0.25">
      <c r="A3965" s="1145">
        <v>44314</v>
      </c>
      <c r="B3965" s="664" t="s">
        <v>809</v>
      </c>
      <c r="C3965" s="71" t="s">
        <v>1081</v>
      </c>
      <c r="D3965" s="71">
        <v>5</v>
      </c>
      <c r="E3965" s="102">
        <v>156000</v>
      </c>
      <c r="F3965" s="102">
        <f t="shared" si="1960"/>
        <v>858000.00000000012</v>
      </c>
      <c r="G3965" s="102">
        <f t="shared" si="1961"/>
        <v>780000</v>
      </c>
      <c r="H3965" s="690" t="s">
        <v>173</v>
      </c>
      <c r="I3965" s="71" t="s">
        <v>2231</v>
      </c>
      <c r="J3965" s="53">
        <f>G3965-T3965</f>
        <v>180000</v>
      </c>
      <c r="K3965" s="63">
        <f t="shared" ref="K3965:K3972" si="1981">(J3965/(F3965/11*10))</f>
        <v>0.23076923076923073</v>
      </c>
      <c r="L3965" s="871" t="s">
        <v>2910</v>
      </c>
      <c r="M3965" s="468"/>
      <c r="N3965" s="1192">
        <f t="shared" si="1966"/>
        <v>44314</v>
      </c>
      <c r="O3965" s="71" t="s">
        <v>147</v>
      </c>
      <c r="P3965" s="164" t="str">
        <f t="shared" si="1967"/>
        <v>파우더</v>
      </c>
      <c r="Q3965" s="71">
        <f t="shared" si="1968"/>
        <v>5</v>
      </c>
      <c r="R3965" s="102">
        <v>120000</v>
      </c>
      <c r="S3965" s="102">
        <f t="shared" si="1976"/>
        <v>660000</v>
      </c>
      <c r="T3965" s="102">
        <f t="shared" si="1977"/>
        <v>600000</v>
      </c>
      <c r="U3965" s="71" t="str">
        <f>IF(J3965=W3965,"O", "X")</f>
        <v>O</v>
      </c>
      <c r="V3965" s="71"/>
      <c r="W3965" s="474">
        <f>(G3965-T3965)</f>
        <v>180000</v>
      </c>
      <c r="X3965" s="71"/>
      <c r="Y3965" s="71"/>
    </row>
    <row r="3966" spans="1:25" ht="30" hidden="1" customHeight="1" x14ac:dyDescent="0.25">
      <c r="A3966" s="1145">
        <v>44314</v>
      </c>
      <c r="B3966" s="664" t="s">
        <v>548</v>
      </c>
      <c r="C3966" s="71" t="s">
        <v>1804</v>
      </c>
      <c r="D3966" s="71">
        <v>200</v>
      </c>
      <c r="E3966" s="102">
        <v>400</v>
      </c>
      <c r="F3966" s="102">
        <f t="shared" si="1960"/>
        <v>88000</v>
      </c>
      <c r="G3966" s="102">
        <f t="shared" si="1961"/>
        <v>80000</v>
      </c>
      <c r="H3966" s="690" t="s">
        <v>173</v>
      </c>
      <c r="I3966" s="71" t="s">
        <v>2231</v>
      </c>
      <c r="J3966" s="53">
        <f>G3966-T3966</f>
        <v>20000</v>
      </c>
      <c r="K3966" s="63">
        <f t="shared" si="1981"/>
        <v>0.25</v>
      </c>
      <c r="L3966" s="871" t="s">
        <v>2910</v>
      </c>
      <c r="M3966" s="468"/>
      <c r="N3966" s="1192">
        <f t="shared" si="1966"/>
        <v>44314</v>
      </c>
      <c r="O3966" s="71" t="s">
        <v>149</v>
      </c>
      <c r="P3966" s="164" t="str">
        <f t="shared" si="1967"/>
        <v>고무사카 노란색</v>
      </c>
      <c r="Q3966" s="71">
        <f t="shared" si="1968"/>
        <v>200</v>
      </c>
      <c r="R3966" s="102">
        <v>300</v>
      </c>
      <c r="S3966" s="102">
        <f t="shared" si="1976"/>
        <v>66000</v>
      </c>
      <c r="T3966" s="102">
        <f t="shared" si="1977"/>
        <v>60000</v>
      </c>
      <c r="U3966" s="71"/>
      <c r="V3966" s="71"/>
      <c r="W3966" s="474"/>
      <c r="X3966" s="71"/>
      <c r="Y3966" s="71"/>
    </row>
    <row r="3967" spans="1:25" ht="30" hidden="1" customHeight="1" x14ac:dyDescent="0.2">
      <c r="A3967" s="1145">
        <v>44315</v>
      </c>
      <c r="B3967" s="664" t="s">
        <v>548</v>
      </c>
      <c r="C3967" s="71" t="s">
        <v>107</v>
      </c>
      <c r="D3967" s="71">
        <v>10</v>
      </c>
      <c r="E3967" s="102">
        <v>90000</v>
      </c>
      <c r="F3967" s="163">
        <f t="shared" ref="F3967:F3974" si="1982">(E3967*D3967)*1.1</f>
        <v>990000.00000000012</v>
      </c>
      <c r="G3967" s="102">
        <f t="shared" ref="G3967:G3974" si="1983">(E3967*D3967)</f>
        <v>900000</v>
      </c>
      <c r="H3967" s="165" t="s">
        <v>172</v>
      </c>
      <c r="I3967" s="71" t="s">
        <v>109</v>
      </c>
      <c r="J3967" s="53">
        <f>(G3967-(VLOOKUP(C3967,Price!B:D,3,FALSE)*D3967))</f>
        <v>95000</v>
      </c>
      <c r="K3967" s="63">
        <f t="shared" si="1981"/>
        <v>0.10555555555555554</v>
      </c>
      <c r="L3967" s="871" t="s">
        <v>2910</v>
      </c>
      <c r="M3967" s="468"/>
      <c r="N3967" s="1192">
        <f t="shared" si="1966"/>
        <v>44315</v>
      </c>
      <c r="O3967" s="71" t="s">
        <v>147</v>
      </c>
      <c r="P3967" s="164" t="str">
        <f t="shared" si="1967"/>
        <v>Blanket(1050*840)</v>
      </c>
      <c r="Q3967" s="71">
        <f t="shared" si="1968"/>
        <v>10</v>
      </c>
      <c r="R3967" s="102">
        <v>80500</v>
      </c>
      <c r="S3967" s="102">
        <f t="shared" si="1976"/>
        <v>885500.00000000012</v>
      </c>
      <c r="T3967" s="102">
        <f t="shared" si="1977"/>
        <v>805000</v>
      </c>
      <c r="U3967" s="71" t="str">
        <f>IF(J3967=W3967,"O", "X")</f>
        <v>O</v>
      </c>
      <c r="V3967" s="71"/>
      <c r="W3967" s="474">
        <f>(G3967-T3967)</f>
        <v>95000</v>
      </c>
      <c r="X3967" s="71"/>
      <c r="Y3967" s="71"/>
    </row>
    <row r="3968" spans="1:25" ht="30" hidden="1" customHeight="1" x14ac:dyDescent="0.2">
      <c r="A3968" s="1145">
        <v>44315</v>
      </c>
      <c r="B3968" s="664" t="s">
        <v>631</v>
      </c>
      <c r="C3968" s="71" t="s">
        <v>201</v>
      </c>
      <c r="D3968" s="71">
        <v>10</v>
      </c>
      <c r="E3968" s="102">
        <v>75000</v>
      </c>
      <c r="F3968" s="163">
        <f t="shared" si="1982"/>
        <v>825000.00000000012</v>
      </c>
      <c r="G3968" s="102">
        <f t="shared" si="1983"/>
        <v>750000</v>
      </c>
      <c r="H3968" s="690" t="s">
        <v>173</v>
      </c>
      <c r="I3968" s="71" t="s">
        <v>109</v>
      </c>
      <c r="J3968" s="53">
        <f t="shared" ref="J3968:J3995" si="1984">G3968-T3968</f>
        <v>200000</v>
      </c>
      <c r="K3968" s="63">
        <f t="shared" si="1981"/>
        <v>0.26666666666666661</v>
      </c>
      <c r="L3968" s="871" t="s">
        <v>2910</v>
      </c>
      <c r="M3968" s="468"/>
      <c r="N3968" s="1192">
        <f t="shared" si="1966"/>
        <v>44315</v>
      </c>
      <c r="O3968" s="71" t="s">
        <v>149</v>
      </c>
      <c r="P3968" s="164" t="str">
        <f t="shared" si="1967"/>
        <v>Bar블랑켓 730*710</v>
      </c>
      <c r="Q3968" s="71">
        <f t="shared" si="1968"/>
        <v>10</v>
      </c>
      <c r="R3968" s="102">
        <v>55000</v>
      </c>
      <c r="S3968" s="102">
        <f t="shared" si="1976"/>
        <v>605000</v>
      </c>
      <c r="T3968" s="102">
        <f t="shared" si="1977"/>
        <v>550000</v>
      </c>
      <c r="U3968" s="71" t="str">
        <f>IF(J3968=W3968,"O", "X")</f>
        <v>O</v>
      </c>
      <c r="V3968" s="71"/>
      <c r="W3968" s="474">
        <f>(G3968-T3968)</f>
        <v>200000</v>
      </c>
      <c r="X3968" s="71"/>
      <c r="Y3968" s="71"/>
    </row>
    <row r="3969" spans="1:25" ht="30" customHeight="1" x14ac:dyDescent="0.25">
      <c r="A3969" s="1145">
        <v>44316</v>
      </c>
      <c r="B3969" s="664" t="s">
        <v>565</v>
      </c>
      <c r="C3969" s="71" t="s">
        <v>2605</v>
      </c>
      <c r="D3969" s="71">
        <v>3</v>
      </c>
      <c r="E3969" s="102">
        <v>120000</v>
      </c>
      <c r="F3969" s="102">
        <f t="shared" si="1982"/>
        <v>396000.00000000006</v>
      </c>
      <c r="G3969" s="102">
        <f t="shared" si="1983"/>
        <v>360000</v>
      </c>
      <c r="H3969" s="690" t="s">
        <v>142</v>
      </c>
      <c r="I3969" s="71" t="s">
        <v>142</v>
      </c>
      <c r="J3969" s="53">
        <f t="shared" si="1984"/>
        <v>30000</v>
      </c>
      <c r="K3969" s="63">
        <f t="shared" si="1981"/>
        <v>8.3333333333333315E-2</v>
      </c>
      <c r="L3969" s="871" t="s">
        <v>2910</v>
      </c>
      <c r="M3969" s="468"/>
      <c r="N3969" s="1192">
        <f t="shared" si="1966"/>
        <v>44316</v>
      </c>
      <c r="O3969" s="71" t="s">
        <v>145</v>
      </c>
      <c r="P3969" s="164" t="str">
        <f t="shared" si="1967"/>
        <v>CTP 서비스 비용</v>
      </c>
      <c r="Q3969" s="71">
        <f t="shared" si="1968"/>
        <v>3</v>
      </c>
      <c r="R3969" s="102">
        <v>110000</v>
      </c>
      <c r="S3969" s="102">
        <f t="shared" si="1976"/>
        <v>363000.00000000006</v>
      </c>
      <c r="T3969" s="102">
        <f t="shared" si="1977"/>
        <v>330000</v>
      </c>
      <c r="U3969" s="71"/>
      <c r="V3969" s="71"/>
      <c r="W3969" s="474"/>
      <c r="X3969" s="71"/>
      <c r="Y3969" s="71"/>
    </row>
    <row r="3970" spans="1:25" ht="30" hidden="1" customHeight="1" x14ac:dyDescent="0.25">
      <c r="A3970" s="1145">
        <v>44316</v>
      </c>
      <c r="B3970" s="664" t="s">
        <v>569</v>
      </c>
      <c r="C3970" s="71" t="s">
        <v>123</v>
      </c>
      <c r="D3970" s="71">
        <v>20</v>
      </c>
      <c r="E3970" s="102">
        <v>40000</v>
      </c>
      <c r="F3970" s="102">
        <f t="shared" si="1982"/>
        <v>880000.00000000012</v>
      </c>
      <c r="G3970" s="102">
        <f t="shared" si="1983"/>
        <v>800000</v>
      </c>
      <c r="H3970" s="690" t="s">
        <v>1432</v>
      </c>
      <c r="I3970" s="71" t="s">
        <v>1432</v>
      </c>
      <c r="J3970" s="53">
        <f t="shared" si="1984"/>
        <v>320000</v>
      </c>
      <c r="K3970" s="63">
        <f t="shared" si="1981"/>
        <v>0.39999999999999997</v>
      </c>
      <c r="L3970" s="871" t="s">
        <v>2910</v>
      </c>
      <c r="M3970" s="468"/>
      <c r="N3970" s="1192">
        <f t="shared" si="1966"/>
        <v>44316</v>
      </c>
      <c r="O3970" s="71" t="s">
        <v>1432</v>
      </c>
      <c r="P3970" s="164" t="str">
        <f t="shared" si="1967"/>
        <v>필터백</v>
      </c>
      <c r="Q3970" s="71">
        <f t="shared" si="1968"/>
        <v>20</v>
      </c>
      <c r="R3970" s="102">
        <v>24000</v>
      </c>
      <c r="S3970" s="102">
        <f t="shared" si="1976"/>
        <v>528000</v>
      </c>
      <c r="T3970" s="102">
        <f t="shared" si="1977"/>
        <v>480000</v>
      </c>
      <c r="U3970" s="71"/>
      <c r="V3970" s="71"/>
      <c r="W3970" s="474"/>
      <c r="X3970" s="71"/>
      <c r="Y3970" s="71"/>
    </row>
    <row r="3971" spans="1:25" ht="26.25" hidden="1" customHeight="1" x14ac:dyDescent="0.25">
      <c r="A3971" s="1145">
        <v>44316</v>
      </c>
      <c r="B3971" s="664" t="s">
        <v>545</v>
      </c>
      <c r="C3971" s="71" t="s">
        <v>123</v>
      </c>
      <c r="D3971" s="71">
        <v>20</v>
      </c>
      <c r="E3971" s="102">
        <v>42000</v>
      </c>
      <c r="F3971" s="102">
        <f t="shared" si="1982"/>
        <v>924000.00000000012</v>
      </c>
      <c r="G3971" s="102">
        <f t="shared" si="1983"/>
        <v>840000</v>
      </c>
      <c r="H3971" s="690" t="s">
        <v>1432</v>
      </c>
      <c r="I3971" s="71" t="s">
        <v>1432</v>
      </c>
      <c r="J3971" s="53">
        <f t="shared" si="1984"/>
        <v>350920</v>
      </c>
      <c r="K3971" s="63">
        <f t="shared" si="1981"/>
        <v>0.41776190476190472</v>
      </c>
      <c r="L3971" s="871" t="s">
        <v>2910</v>
      </c>
      <c r="M3971" s="468"/>
      <c r="N3971" s="1192">
        <f t="shared" si="1966"/>
        <v>44316</v>
      </c>
      <c r="O3971" s="71" t="s">
        <v>1432</v>
      </c>
      <c r="P3971" s="164" t="str">
        <f t="shared" si="1967"/>
        <v>필터백</v>
      </c>
      <c r="Q3971" s="71">
        <f t="shared" si="1968"/>
        <v>20</v>
      </c>
      <c r="R3971" s="102">
        <v>24454</v>
      </c>
      <c r="S3971" s="102">
        <f t="shared" si="1976"/>
        <v>537988</v>
      </c>
      <c r="T3971" s="102">
        <f t="shared" si="1977"/>
        <v>489080</v>
      </c>
      <c r="U3971" s="71" t="str">
        <f>IF(J3971=W3971,"O", "X")</f>
        <v>O</v>
      </c>
      <c r="V3971" s="71"/>
      <c r="W3971" s="474">
        <f>(G3971-T3971)</f>
        <v>350920</v>
      </c>
      <c r="X3971" s="71"/>
      <c r="Y3971" s="71"/>
    </row>
    <row r="3972" spans="1:25" ht="30" hidden="1" customHeight="1" x14ac:dyDescent="0.25">
      <c r="A3972" s="1145">
        <v>44316</v>
      </c>
      <c r="B3972" s="664" t="s">
        <v>2103</v>
      </c>
      <c r="C3972" s="71" t="s">
        <v>2378</v>
      </c>
      <c r="D3972" s="71">
        <v>2190</v>
      </c>
      <c r="E3972" s="102">
        <v>1050</v>
      </c>
      <c r="F3972" s="102">
        <f t="shared" si="1982"/>
        <v>2529450</v>
      </c>
      <c r="G3972" s="102">
        <f t="shared" si="1983"/>
        <v>2299500</v>
      </c>
      <c r="H3972" s="690" t="s">
        <v>173</v>
      </c>
      <c r="I3972" s="71" t="s">
        <v>2230</v>
      </c>
      <c r="J3972" s="53">
        <f t="shared" si="1984"/>
        <v>2299500</v>
      </c>
      <c r="K3972" s="63">
        <f t="shared" si="1981"/>
        <v>1</v>
      </c>
      <c r="L3972" s="871" t="s">
        <v>2910</v>
      </c>
      <c r="M3972" s="468"/>
      <c r="N3972" s="1192">
        <f t="shared" si="1966"/>
        <v>44316</v>
      </c>
      <c r="O3972" s="71" t="s">
        <v>690</v>
      </c>
      <c r="P3972" s="164" t="str">
        <f t="shared" si="1967"/>
        <v>폐판 수거</v>
      </c>
      <c r="Q3972" s="71">
        <f t="shared" si="1968"/>
        <v>2190</v>
      </c>
      <c r="R3972" s="102">
        <v>0</v>
      </c>
      <c r="S3972" s="102">
        <f t="shared" si="1976"/>
        <v>0</v>
      </c>
      <c r="T3972" s="102">
        <f t="shared" si="1977"/>
        <v>0</v>
      </c>
      <c r="U3972" s="71"/>
      <c r="V3972" s="71"/>
      <c r="W3972" s="474"/>
      <c r="X3972" s="71"/>
      <c r="Y3972" s="71"/>
    </row>
    <row r="3973" spans="1:25" s="209" customFormat="1" ht="30" hidden="1" customHeight="1" x14ac:dyDescent="0.2">
      <c r="A3973" s="1145">
        <v>44316</v>
      </c>
      <c r="B3973" s="664" t="s">
        <v>764</v>
      </c>
      <c r="C3973" s="71" t="s">
        <v>236</v>
      </c>
      <c r="D3973" s="71">
        <v>10</v>
      </c>
      <c r="E3973" s="102">
        <v>100000</v>
      </c>
      <c r="F3973" s="163">
        <f t="shared" si="1982"/>
        <v>1100000</v>
      </c>
      <c r="G3973" s="102">
        <f t="shared" si="1983"/>
        <v>1000000</v>
      </c>
      <c r="H3973" s="690" t="s">
        <v>173</v>
      </c>
      <c r="I3973" s="71" t="s">
        <v>2231</v>
      </c>
      <c r="J3973" s="53">
        <f t="shared" si="1984"/>
        <v>500000</v>
      </c>
      <c r="K3973" s="63">
        <f t="shared" ref="K3973:K3995" si="1985">(J3973/(F3973/11*10))</f>
        <v>0.5</v>
      </c>
      <c r="L3973" s="871" t="s">
        <v>2910</v>
      </c>
      <c r="M3973" s="468"/>
      <c r="N3973" s="1192">
        <f t="shared" si="1966"/>
        <v>44316</v>
      </c>
      <c r="O3973" s="71" t="s">
        <v>153</v>
      </c>
      <c r="P3973" s="164" t="str">
        <f t="shared" si="1967"/>
        <v>아스테이지(국전)</v>
      </c>
      <c r="Q3973" s="71">
        <f t="shared" si="1968"/>
        <v>10</v>
      </c>
      <c r="R3973" s="102">
        <v>50000</v>
      </c>
      <c r="S3973" s="102">
        <f t="shared" si="1976"/>
        <v>550000</v>
      </c>
      <c r="T3973" s="102">
        <f t="shared" si="1977"/>
        <v>500000</v>
      </c>
      <c r="U3973" s="71" t="str">
        <f>IF(J3973=W3973,"O", "X")</f>
        <v>O</v>
      </c>
      <c r="V3973" s="71"/>
      <c r="W3973" s="474">
        <v>500000</v>
      </c>
      <c r="X3973" s="71"/>
      <c r="Y3973" s="71"/>
    </row>
    <row r="3974" spans="1:25" ht="30" hidden="1" customHeight="1" x14ac:dyDescent="0.25">
      <c r="A3974" s="1145">
        <v>44316</v>
      </c>
      <c r="B3974" s="664" t="s">
        <v>2569</v>
      </c>
      <c r="C3974" s="71" t="s">
        <v>2570</v>
      </c>
      <c r="D3974" s="71">
        <v>5</v>
      </c>
      <c r="E3974" s="102">
        <v>650000</v>
      </c>
      <c r="F3974" s="102">
        <f t="shared" si="1982"/>
        <v>3575000.0000000005</v>
      </c>
      <c r="G3974" s="102">
        <f t="shared" si="1983"/>
        <v>3250000</v>
      </c>
      <c r="H3974" s="690" t="s">
        <v>142</v>
      </c>
      <c r="I3974" s="71" t="s">
        <v>142</v>
      </c>
      <c r="J3974" s="53">
        <f t="shared" si="1984"/>
        <v>2132825</v>
      </c>
      <c r="K3974" s="63">
        <f t="shared" si="1985"/>
        <v>0.65625384615384608</v>
      </c>
      <c r="L3974" s="871" t="s">
        <v>2910</v>
      </c>
      <c r="M3974" s="468"/>
      <c r="N3974" s="1192">
        <f t="shared" si="1966"/>
        <v>44316</v>
      </c>
      <c r="O3974" s="71" t="s">
        <v>2542</v>
      </c>
      <c r="P3974" s="164" t="str">
        <f t="shared" si="1967"/>
        <v>Baldwin UV 램프 T-3절용</v>
      </c>
      <c r="Q3974" s="71">
        <f t="shared" si="1968"/>
        <v>5</v>
      </c>
      <c r="R3974" s="102">
        <v>223435</v>
      </c>
      <c r="S3974" s="102">
        <f t="shared" si="1976"/>
        <v>1228892.5</v>
      </c>
      <c r="T3974" s="102">
        <f t="shared" si="1977"/>
        <v>1117175</v>
      </c>
      <c r="U3974" s="71"/>
      <c r="V3974" s="71"/>
      <c r="W3974" s="474"/>
      <c r="X3974" s="71"/>
      <c r="Y3974" s="71"/>
    </row>
    <row r="3975" spans="1:25" ht="30" hidden="1" customHeight="1" x14ac:dyDescent="0.25">
      <c r="A3975" s="1145">
        <v>44316</v>
      </c>
      <c r="B3975" s="664" t="s">
        <v>575</v>
      </c>
      <c r="C3975" s="71" t="s">
        <v>1367</v>
      </c>
      <c r="D3975" s="71">
        <v>8</v>
      </c>
      <c r="E3975" s="102">
        <v>218000</v>
      </c>
      <c r="F3975" s="102">
        <f>(E3975*D3975)*1.1</f>
        <v>1918400.0000000002</v>
      </c>
      <c r="G3975" s="102">
        <f>(E3975*D3975)</f>
        <v>1744000</v>
      </c>
      <c r="H3975" s="690" t="s">
        <v>173</v>
      </c>
      <c r="I3975" s="71" t="s">
        <v>109</v>
      </c>
      <c r="J3975" s="53">
        <f t="shared" si="1984"/>
        <v>781920</v>
      </c>
      <c r="K3975" s="63">
        <f>(J3975/(F3975/11*10))</f>
        <v>0.44834862385321095</v>
      </c>
      <c r="L3975" s="871" t="s">
        <v>2937</v>
      </c>
      <c r="M3975" s="468"/>
      <c r="N3975" s="1192">
        <f>A3975</f>
        <v>44316</v>
      </c>
      <c r="O3975" s="71" t="s">
        <v>1443</v>
      </c>
      <c r="P3975" s="164" t="str">
        <f>(C3975)</f>
        <v>M600 윤전 블랑켓 995*742</v>
      </c>
      <c r="Q3975" s="71">
        <f>D3975</f>
        <v>8</v>
      </c>
      <c r="R3975" s="102">
        <v>120260</v>
      </c>
      <c r="S3975" s="102">
        <f t="shared" si="1976"/>
        <v>1058288</v>
      </c>
      <c r="T3975" s="102">
        <f t="shared" si="1977"/>
        <v>962080</v>
      </c>
      <c r="U3975" s="71" t="str">
        <f t="shared" ref="U3975:U3995" si="1986">IF(J3975=W3975,"O", "X")</f>
        <v>X</v>
      </c>
      <c r="V3975" s="71"/>
      <c r="W3975" s="474"/>
      <c r="X3975" s="71"/>
      <c r="Y3975" s="71"/>
    </row>
    <row r="3976" spans="1:25" ht="30" hidden="1" customHeight="1" x14ac:dyDescent="0.25">
      <c r="A3976" s="1145">
        <v>44316</v>
      </c>
      <c r="B3976" s="664" t="s">
        <v>1051</v>
      </c>
      <c r="C3976" s="71" t="s">
        <v>1294</v>
      </c>
      <c r="D3976" s="71">
        <v>1200</v>
      </c>
      <c r="E3976" s="102">
        <v>5750</v>
      </c>
      <c r="F3976" s="102">
        <f t="shared" ref="F3976:F3992" si="1987">(E3976*D3976)*1.1</f>
        <v>7590000.0000000009</v>
      </c>
      <c r="G3976" s="102">
        <f t="shared" ref="G3976:G3992" si="1988">(E3976*D3976)</f>
        <v>6900000</v>
      </c>
      <c r="H3976" s="690" t="s">
        <v>142</v>
      </c>
      <c r="I3976" s="71" t="s">
        <v>2273</v>
      </c>
      <c r="J3976" s="53">
        <f t="shared" si="1984"/>
        <v>1860000</v>
      </c>
      <c r="K3976" s="63">
        <f t="shared" si="1985"/>
        <v>0.26956521739130429</v>
      </c>
      <c r="L3976" s="871" t="s">
        <v>2937</v>
      </c>
      <c r="M3976" s="468"/>
      <c r="N3976" s="1192">
        <f t="shared" si="1966"/>
        <v>44316</v>
      </c>
      <c r="O3976" s="71" t="s">
        <v>145</v>
      </c>
      <c r="P3976" s="164" t="str">
        <f t="shared" si="1967"/>
        <v>ENGAGE 1030*790</v>
      </c>
      <c r="Q3976" s="71">
        <f t="shared" si="1968"/>
        <v>1200</v>
      </c>
      <c r="R3976" s="102">
        <v>4200</v>
      </c>
      <c r="S3976" s="102">
        <f t="shared" si="1976"/>
        <v>5544000</v>
      </c>
      <c r="T3976" s="102">
        <f t="shared" si="1977"/>
        <v>5040000</v>
      </c>
      <c r="U3976" s="71" t="str">
        <f t="shared" si="1986"/>
        <v>O</v>
      </c>
      <c r="V3976" s="71"/>
      <c r="W3976" s="474">
        <f t="shared" ref="W3976:W3996" si="1989">(G3976-T3976)</f>
        <v>1860000</v>
      </c>
      <c r="X3976" s="71"/>
      <c r="Y3976" s="71"/>
    </row>
    <row r="3977" spans="1:25" ht="30" hidden="1" customHeight="1" x14ac:dyDescent="0.25">
      <c r="A3977" s="1145">
        <v>44316</v>
      </c>
      <c r="B3977" s="664" t="s">
        <v>1051</v>
      </c>
      <c r="C3977" s="71" t="s">
        <v>1384</v>
      </c>
      <c r="D3977" s="71">
        <v>2600</v>
      </c>
      <c r="E3977" s="102">
        <v>3610</v>
      </c>
      <c r="F3977" s="102">
        <f t="shared" si="1987"/>
        <v>10324600</v>
      </c>
      <c r="G3977" s="102">
        <f t="shared" si="1988"/>
        <v>9386000</v>
      </c>
      <c r="H3977" s="690" t="s">
        <v>142</v>
      </c>
      <c r="I3977" s="71" t="s">
        <v>2273</v>
      </c>
      <c r="J3977" s="53">
        <f t="shared" si="1984"/>
        <v>2489369.7923067473</v>
      </c>
      <c r="K3977" s="63">
        <f t="shared" si="1985"/>
        <v>0.26522158452021599</v>
      </c>
      <c r="L3977" s="871" t="s">
        <v>2937</v>
      </c>
      <c r="M3977" s="468"/>
      <c r="N3977" s="1192">
        <f t="shared" si="1966"/>
        <v>44316</v>
      </c>
      <c r="O3977" s="71" t="s">
        <v>145</v>
      </c>
      <c r="P3977" s="164" t="str">
        <f t="shared" si="1967"/>
        <v>ENGAGE 900X571 - 27RO</v>
      </c>
      <c r="Q3977" s="71">
        <f t="shared" si="1968"/>
        <v>2600</v>
      </c>
      <c r="R3977" s="102">
        <f>R3976/1030/790*900*571</f>
        <v>2652.5500798820203</v>
      </c>
      <c r="S3977" s="102">
        <f t="shared" si="1976"/>
        <v>7586293.2284625787</v>
      </c>
      <c r="T3977" s="102">
        <f t="shared" si="1977"/>
        <v>6896630.2076932527</v>
      </c>
      <c r="U3977" s="71" t="str">
        <f t="shared" si="1986"/>
        <v>O</v>
      </c>
      <c r="V3977" s="71"/>
      <c r="W3977" s="474">
        <f t="shared" si="1989"/>
        <v>2489369.7923067473</v>
      </c>
      <c r="X3977" s="71"/>
      <c r="Y3977" s="71"/>
    </row>
    <row r="3978" spans="1:25" ht="30" hidden="1" customHeight="1" x14ac:dyDescent="0.25">
      <c r="A3978" s="1145">
        <v>44316</v>
      </c>
      <c r="B3978" s="664" t="s">
        <v>1051</v>
      </c>
      <c r="C3978" s="71" t="s">
        <v>951</v>
      </c>
      <c r="D3978" s="71">
        <v>3200</v>
      </c>
      <c r="E3978" s="102">
        <v>3450</v>
      </c>
      <c r="F3978" s="102">
        <f t="shared" si="1987"/>
        <v>12144000.000000002</v>
      </c>
      <c r="G3978" s="102">
        <f t="shared" si="1988"/>
        <v>11040000</v>
      </c>
      <c r="H3978" s="690" t="s">
        <v>142</v>
      </c>
      <c r="I3978" s="71" t="s">
        <v>2273</v>
      </c>
      <c r="J3978" s="53">
        <f t="shared" si="1984"/>
        <v>2989279.7837040676</v>
      </c>
      <c r="K3978" s="63">
        <f t="shared" si="1985"/>
        <v>0.27076809635000609</v>
      </c>
      <c r="L3978" s="871" t="s">
        <v>2937</v>
      </c>
      <c r="M3978" s="468"/>
      <c r="N3978" s="1192">
        <f t="shared" si="1966"/>
        <v>44316</v>
      </c>
      <c r="O3978" s="71" t="s">
        <v>145</v>
      </c>
      <c r="P3978" s="164" t="str">
        <f t="shared" si="1967"/>
        <v>ENGAGE 30WEB(883*552)</v>
      </c>
      <c r="Q3978" s="71">
        <f t="shared" si="1968"/>
        <v>3200</v>
      </c>
      <c r="R3978" s="102">
        <f>R3976/1030/790*883*552</f>
        <v>2515.8500675924788</v>
      </c>
      <c r="S3978" s="102">
        <f t="shared" si="1976"/>
        <v>8855792.2379255258</v>
      </c>
      <c r="T3978" s="102">
        <f t="shared" si="1977"/>
        <v>8050720.2162959324</v>
      </c>
      <c r="U3978" s="71" t="str">
        <f t="shared" si="1986"/>
        <v>O</v>
      </c>
      <c r="V3978" s="71"/>
      <c r="W3978" s="474">
        <f t="shared" si="1989"/>
        <v>2989279.7837040676</v>
      </c>
      <c r="X3978" s="71"/>
      <c r="Y3978" s="71"/>
    </row>
    <row r="3979" spans="1:25" ht="30" hidden="1" customHeight="1" x14ac:dyDescent="0.25">
      <c r="A3979" s="1145">
        <v>44316</v>
      </c>
      <c r="B3979" s="664" t="s">
        <v>1051</v>
      </c>
      <c r="C3979" s="71" t="s">
        <v>2219</v>
      </c>
      <c r="D3979" s="71">
        <v>0</v>
      </c>
      <c r="E3979" s="102">
        <v>5820</v>
      </c>
      <c r="F3979" s="102">
        <f t="shared" si="1987"/>
        <v>0</v>
      </c>
      <c r="G3979" s="102">
        <f t="shared" si="1988"/>
        <v>0</v>
      </c>
      <c r="H3979" s="690" t="s">
        <v>142</v>
      </c>
      <c r="I3979" s="71" t="s">
        <v>2273</v>
      </c>
      <c r="J3979" s="53">
        <f t="shared" si="1984"/>
        <v>0</v>
      </c>
      <c r="K3979" s="63" t="e">
        <f t="shared" si="1985"/>
        <v>#DIV/0!</v>
      </c>
      <c r="L3979" s="871" t="s">
        <v>2937</v>
      </c>
      <c r="M3979" s="468"/>
      <c r="N3979" s="1192">
        <f t="shared" si="1966"/>
        <v>44316</v>
      </c>
      <c r="O3979" s="71" t="s">
        <v>145</v>
      </c>
      <c r="P3979" s="164" t="str">
        <f t="shared" si="1967"/>
        <v>ENGAGE 1030*800</v>
      </c>
      <c r="Q3979" s="71">
        <f t="shared" si="1968"/>
        <v>0</v>
      </c>
      <c r="R3979" s="102">
        <f>R3976/1030/790*1030*800</f>
        <v>4253.164556962025</v>
      </c>
      <c r="S3979" s="102">
        <f t="shared" si="1976"/>
        <v>0</v>
      </c>
      <c r="T3979" s="102">
        <f t="shared" si="1977"/>
        <v>0</v>
      </c>
      <c r="U3979" s="71" t="str">
        <f t="shared" si="1986"/>
        <v>O</v>
      </c>
      <c r="V3979" s="71"/>
      <c r="W3979" s="474">
        <f t="shared" si="1989"/>
        <v>0</v>
      </c>
      <c r="X3979" s="71"/>
      <c r="Y3979" s="71"/>
    </row>
    <row r="3980" spans="1:25" ht="30" hidden="1" customHeight="1" x14ac:dyDescent="0.25">
      <c r="A3980" s="1145">
        <v>44316</v>
      </c>
      <c r="B3980" s="664" t="s">
        <v>1051</v>
      </c>
      <c r="C3980" s="71" t="s">
        <v>1383</v>
      </c>
      <c r="D3980" s="71">
        <v>2300</v>
      </c>
      <c r="E3980" s="102">
        <v>6030</v>
      </c>
      <c r="F3980" s="102">
        <f t="shared" si="1987"/>
        <v>15255900.000000002</v>
      </c>
      <c r="G3980" s="102">
        <f t="shared" si="1988"/>
        <v>13869000</v>
      </c>
      <c r="H3980" s="690" t="s">
        <v>142</v>
      </c>
      <c r="I3980" s="71" t="s">
        <v>2273</v>
      </c>
      <c r="J3980" s="53">
        <f t="shared" si="1984"/>
        <v>3711516.5294334535</v>
      </c>
      <c r="K3980" s="63">
        <f t="shared" si="1985"/>
        <v>0.26761241109189221</v>
      </c>
      <c r="L3980" s="871" t="s">
        <v>2937</v>
      </c>
      <c r="M3980" s="468"/>
      <c r="N3980" s="1192">
        <f t="shared" si="1966"/>
        <v>44316</v>
      </c>
      <c r="O3980" s="71" t="s">
        <v>145</v>
      </c>
      <c r="P3980" s="164" t="str">
        <f t="shared" si="1967"/>
        <v>ENGAGE 1055*811</v>
      </c>
      <c r="Q3980" s="71">
        <f t="shared" si="1968"/>
        <v>2300</v>
      </c>
      <c r="R3980" s="102">
        <f>R3976/1030/790*1055*811</f>
        <v>4416.29716111589</v>
      </c>
      <c r="S3980" s="102">
        <f t="shared" si="1976"/>
        <v>11173231.817623202</v>
      </c>
      <c r="T3980" s="102">
        <f t="shared" si="1977"/>
        <v>10157483.470566547</v>
      </c>
      <c r="U3980" s="71" t="str">
        <f t="shared" si="1986"/>
        <v>O</v>
      </c>
      <c r="V3980" s="71"/>
      <c r="W3980" s="474">
        <f t="shared" si="1989"/>
        <v>3711516.5294334535</v>
      </c>
      <c r="X3980" s="71"/>
      <c r="Y3980" s="71"/>
    </row>
    <row r="3981" spans="1:25" ht="30" hidden="1" customHeight="1" x14ac:dyDescent="0.25">
      <c r="A3981" s="1145">
        <v>44316</v>
      </c>
      <c r="B3981" s="664" t="s">
        <v>1051</v>
      </c>
      <c r="C3981" s="71" t="s">
        <v>1650</v>
      </c>
      <c r="D3981" s="71">
        <v>1750</v>
      </c>
      <c r="E3981" s="102">
        <v>4310</v>
      </c>
      <c r="F3981" s="102">
        <f t="shared" si="1987"/>
        <v>8296750.0000000009</v>
      </c>
      <c r="G3981" s="102">
        <f t="shared" si="1988"/>
        <v>7542500</v>
      </c>
      <c r="H3981" s="690" t="s">
        <v>142</v>
      </c>
      <c r="I3981" s="71" t="s">
        <v>2273</v>
      </c>
      <c r="J3981" s="53">
        <f t="shared" si="1984"/>
        <v>2025185.5106304539</v>
      </c>
      <c r="K3981" s="63">
        <f t="shared" si="1985"/>
        <v>0.26850321652375919</v>
      </c>
      <c r="L3981" s="871" t="s">
        <v>2937</v>
      </c>
      <c r="M3981" s="468"/>
      <c r="N3981" s="1192">
        <f t="shared" si="1966"/>
        <v>44316</v>
      </c>
      <c r="O3981" s="71" t="s">
        <v>145</v>
      </c>
      <c r="P3981" s="164" t="str">
        <f t="shared" si="1967"/>
        <v>ENGAGE 968*631</v>
      </c>
      <c r="Q3981" s="71">
        <f t="shared" si="1968"/>
        <v>1750</v>
      </c>
      <c r="R3981" s="102">
        <f>R3976/1030/790*968*631</f>
        <v>3152.7511367825978</v>
      </c>
      <c r="S3981" s="102">
        <f t="shared" ref="S3981:S3995" si="1990">R3981*Q3981*1.1</f>
        <v>6069045.9383065011</v>
      </c>
      <c r="T3981" s="102">
        <f t="shared" ref="T3981:T3995" si="1991">R3981*Q3981</f>
        <v>5517314.4893695461</v>
      </c>
      <c r="U3981" s="71" t="str">
        <f t="shared" si="1986"/>
        <v>O</v>
      </c>
      <c r="V3981" s="71"/>
      <c r="W3981" s="474">
        <f t="shared" si="1989"/>
        <v>2025185.5106304539</v>
      </c>
      <c r="X3981" s="71"/>
      <c r="Y3981" s="71"/>
    </row>
    <row r="3982" spans="1:25" ht="30" hidden="1" customHeight="1" x14ac:dyDescent="0.25">
      <c r="A3982" s="1145">
        <v>44316</v>
      </c>
      <c r="B3982" s="664" t="s">
        <v>1051</v>
      </c>
      <c r="C3982" s="71" t="s">
        <v>2619</v>
      </c>
      <c r="D3982" s="71"/>
      <c r="E3982" s="102"/>
      <c r="F3982" s="102">
        <f t="shared" si="1987"/>
        <v>0</v>
      </c>
      <c r="G3982" s="102">
        <f t="shared" si="1988"/>
        <v>0</v>
      </c>
      <c r="H3982" s="690" t="s">
        <v>142</v>
      </c>
      <c r="I3982" s="71" t="s">
        <v>2273</v>
      </c>
      <c r="J3982" s="53">
        <f t="shared" si="1984"/>
        <v>0</v>
      </c>
      <c r="K3982" s="63" t="e">
        <f t="shared" si="1985"/>
        <v>#DIV/0!</v>
      </c>
      <c r="L3982" s="871" t="s">
        <v>2937</v>
      </c>
      <c r="M3982" s="468"/>
      <c r="N3982" s="1192">
        <f t="shared" si="1966"/>
        <v>44316</v>
      </c>
      <c r="O3982" s="71" t="s">
        <v>145</v>
      </c>
      <c r="P3982" s="164" t="str">
        <f t="shared" si="1967"/>
        <v>ENGAGE 1092*800</v>
      </c>
      <c r="Q3982" s="71">
        <f t="shared" si="1968"/>
        <v>0</v>
      </c>
      <c r="R3982" s="102">
        <v>5510</v>
      </c>
      <c r="S3982" s="102">
        <f t="shared" si="1990"/>
        <v>0</v>
      </c>
      <c r="T3982" s="102">
        <f t="shared" si="1991"/>
        <v>0</v>
      </c>
      <c r="U3982" s="71" t="str">
        <f t="shared" si="1986"/>
        <v>O</v>
      </c>
      <c r="V3982" s="71"/>
      <c r="W3982" s="474">
        <f t="shared" si="1989"/>
        <v>0</v>
      </c>
      <c r="X3982" s="71"/>
      <c r="Y3982" s="71"/>
    </row>
    <row r="3983" spans="1:25" ht="30" hidden="1" customHeight="1" x14ac:dyDescent="0.25">
      <c r="A3983" s="1145">
        <v>44316</v>
      </c>
      <c r="B3983" s="664" t="s">
        <v>1051</v>
      </c>
      <c r="C3983" s="67" t="s">
        <v>1386</v>
      </c>
      <c r="D3983" s="71">
        <v>60</v>
      </c>
      <c r="E3983" s="102">
        <v>53000</v>
      </c>
      <c r="F3983" s="102">
        <f t="shared" si="1987"/>
        <v>3498000.0000000005</v>
      </c>
      <c r="G3983" s="102">
        <f t="shared" si="1988"/>
        <v>3180000</v>
      </c>
      <c r="H3983" s="690" t="s">
        <v>142</v>
      </c>
      <c r="I3983" s="71" t="s">
        <v>2273</v>
      </c>
      <c r="J3983" s="53">
        <f t="shared" si="1984"/>
        <v>1080000</v>
      </c>
      <c r="K3983" s="63">
        <f t="shared" si="1985"/>
        <v>0.33962264150943389</v>
      </c>
      <c r="L3983" s="871" t="s">
        <v>2937</v>
      </c>
      <c r="M3983" s="468"/>
      <c r="N3983" s="1192">
        <f t="shared" ref="N3983:N3992" si="1992">A3983</f>
        <v>44316</v>
      </c>
      <c r="O3983" s="71" t="s">
        <v>145</v>
      </c>
      <c r="P3983" s="164" t="str">
        <f t="shared" ref="P3983:P3995" si="1993">(C3983)</f>
        <v>THR200(20L)보충액</v>
      </c>
      <c r="Q3983" s="71">
        <f t="shared" ref="Q3983:Q3995" si="1994">D3983</f>
        <v>60</v>
      </c>
      <c r="R3983" s="102">
        <v>35000</v>
      </c>
      <c r="S3983" s="102">
        <f t="shared" si="1990"/>
        <v>2310000</v>
      </c>
      <c r="T3983" s="102">
        <f t="shared" si="1991"/>
        <v>2100000</v>
      </c>
      <c r="U3983" s="71" t="str">
        <f t="shared" si="1986"/>
        <v>O</v>
      </c>
      <c r="V3983" s="71"/>
      <c r="W3983" s="474">
        <f t="shared" si="1989"/>
        <v>1080000</v>
      </c>
      <c r="X3983" s="71"/>
      <c r="Y3983" s="71"/>
    </row>
    <row r="3984" spans="1:25" ht="30" hidden="1" customHeight="1" x14ac:dyDescent="0.25">
      <c r="A3984" s="1145">
        <v>44316</v>
      </c>
      <c r="B3984" s="664" t="s">
        <v>1051</v>
      </c>
      <c r="C3984" s="71" t="s">
        <v>1387</v>
      </c>
      <c r="D3984" s="71">
        <v>10</v>
      </c>
      <c r="E3984" s="102">
        <v>53000</v>
      </c>
      <c r="F3984" s="102">
        <f t="shared" si="1987"/>
        <v>583000</v>
      </c>
      <c r="G3984" s="102">
        <f t="shared" si="1988"/>
        <v>530000</v>
      </c>
      <c r="H3984" s="690" t="s">
        <v>142</v>
      </c>
      <c r="I3984" s="71" t="s">
        <v>2273</v>
      </c>
      <c r="J3984" s="53">
        <f t="shared" si="1984"/>
        <v>180000</v>
      </c>
      <c r="K3984" s="63">
        <f t="shared" si="1985"/>
        <v>0.33962264150943394</v>
      </c>
      <c r="L3984" s="871" t="s">
        <v>2937</v>
      </c>
      <c r="M3984" s="468"/>
      <c r="N3984" s="1192">
        <f t="shared" si="1992"/>
        <v>44316</v>
      </c>
      <c r="O3984" s="71" t="s">
        <v>145</v>
      </c>
      <c r="P3984" s="164" t="str">
        <f t="shared" si="1993"/>
        <v>THD200(20L)현상액</v>
      </c>
      <c r="Q3984" s="71">
        <f t="shared" si="1994"/>
        <v>10</v>
      </c>
      <c r="R3984" s="102">
        <v>35000</v>
      </c>
      <c r="S3984" s="102">
        <f t="shared" si="1990"/>
        <v>385000.00000000006</v>
      </c>
      <c r="T3984" s="102">
        <f t="shared" si="1991"/>
        <v>350000</v>
      </c>
      <c r="U3984" s="71" t="str">
        <f t="shared" si="1986"/>
        <v>O</v>
      </c>
      <c r="V3984" s="71"/>
      <c r="W3984" s="474">
        <f t="shared" si="1989"/>
        <v>180000</v>
      </c>
      <c r="X3984" s="71"/>
      <c r="Y3984" s="71"/>
    </row>
    <row r="3985" spans="1:25" ht="30" hidden="1" customHeight="1" x14ac:dyDescent="0.25">
      <c r="A3985" s="1145">
        <v>44316</v>
      </c>
      <c r="B3985" s="664" t="s">
        <v>1061</v>
      </c>
      <c r="C3985" s="71" t="s">
        <v>616</v>
      </c>
      <c r="D3985" s="71"/>
      <c r="E3985" s="102">
        <v>5600</v>
      </c>
      <c r="F3985" s="102">
        <f t="shared" si="1987"/>
        <v>0</v>
      </c>
      <c r="G3985" s="102">
        <f t="shared" si="1988"/>
        <v>0</v>
      </c>
      <c r="H3985" s="690" t="s">
        <v>142</v>
      </c>
      <c r="I3985" s="71" t="s">
        <v>144</v>
      </c>
      <c r="J3985" s="53">
        <f t="shared" si="1984"/>
        <v>0</v>
      </c>
      <c r="K3985" s="63" t="e">
        <f t="shared" si="1985"/>
        <v>#DIV/0!</v>
      </c>
      <c r="L3985" s="871" t="s">
        <v>2937</v>
      </c>
      <c r="M3985" s="468"/>
      <c r="N3985" s="1192">
        <f t="shared" si="1992"/>
        <v>44316</v>
      </c>
      <c r="O3985" s="71" t="s">
        <v>147</v>
      </c>
      <c r="P3985" s="164" t="str">
        <f t="shared" si="1993"/>
        <v>프리미어(먹)</v>
      </c>
      <c r="Q3985" s="71">
        <f t="shared" si="1994"/>
        <v>0</v>
      </c>
      <c r="R3985" s="102">
        <v>5090</v>
      </c>
      <c r="S3985" s="102">
        <f t="shared" si="1990"/>
        <v>0</v>
      </c>
      <c r="T3985" s="102">
        <f t="shared" si="1991"/>
        <v>0</v>
      </c>
      <c r="U3985" s="71" t="str">
        <f t="shared" si="1986"/>
        <v>O</v>
      </c>
      <c r="V3985" s="71"/>
      <c r="W3985" s="474">
        <f t="shared" si="1989"/>
        <v>0</v>
      </c>
      <c r="X3985" s="71"/>
      <c r="Y3985" s="71"/>
    </row>
    <row r="3986" spans="1:25" ht="30" hidden="1" customHeight="1" x14ac:dyDescent="0.25">
      <c r="A3986" s="1145">
        <v>44316</v>
      </c>
      <c r="B3986" s="664" t="s">
        <v>1052</v>
      </c>
      <c r="C3986" s="71" t="s">
        <v>585</v>
      </c>
      <c r="D3986" s="71">
        <v>400</v>
      </c>
      <c r="E3986" s="102">
        <v>6000</v>
      </c>
      <c r="F3986" s="102">
        <f t="shared" si="1987"/>
        <v>2640000</v>
      </c>
      <c r="G3986" s="102">
        <f t="shared" si="1988"/>
        <v>2400000</v>
      </c>
      <c r="H3986" s="690" t="s">
        <v>142</v>
      </c>
      <c r="I3986" s="71" t="s">
        <v>144</v>
      </c>
      <c r="J3986" s="53">
        <f t="shared" si="1984"/>
        <v>220000</v>
      </c>
      <c r="K3986" s="63">
        <f t="shared" si="1985"/>
        <v>9.166666666666666E-2</v>
      </c>
      <c r="L3986" s="871" t="s">
        <v>2937</v>
      </c>
      <c r="M3986" s="468"/>
      <c r="N3986" s="1192">
        <f t="shared" si="1992"/>
        <v>44316</v>
      </c>
      <c r="O3986" s="71" t="s">
        <v>147</v>
      </c>
      <c r="P3986" s="164" t="str">
        <f t="shared" si="1993"/>
        <v>프리미어(적)</v>
      </c>
      <c r="Q3986" s="71">
        <f t="shared" si="1994"/>
        <v>400</v>
      </c>
      <c r="R3986" s="102">
        <v>5450</v>
      </c>
      <c r="S3986" s="102">
        <f t="shared" si="1990"/>
        <v>2398000</v>
      </c>
      <c r="T3986" s="102">
        <f t="shared" si="1991"/>
        <v>2180000</v>
      </c>
      <c r="U3986" s="71" t="str">
        <f t="shared" si="1986"/>
        <v>O</v>
      </c>
      <c r="V3986" s="71"/>
      <c r="W3986" s="474">
        <f t="shared" si="1989"/>
        <v>220000</v>
      </c>
      <c r="X3986" s="71"/>
      <c r="Y3986" s="71"/>
    </row>
    <row r="3987" spans="1:25" ht="30" hidden="1" customHeight="1" x14ac:dyDescent="0.25">
      <c r="A3987" s="1145">
        <v>44316</v>
      </c>
      <c r="B3987" s="664" t="s">
        <v>1061</v>
      </c>
      <c r="C3987" s="71" t="s">
        <v>586</v>
      </c>
      <c r="D3987" s="71">
        <v>600</v>
      </c>
      <c r="E3987" s="102">
        <v>5750</v>
      </c>
      <c r="F3987" s="102">
        <f t="shared" si="1987"/>
        <v>3795000.0000000005</v>
      </c>
      <c r="G3987" s="102">
        <f t="shared" si="1988"/>
        <v>3450000</v>
      </c>
      <c r="H3987" s="690" t="s">
        <v>142</v>
      </c>
      <c r="I3987" s="71" t="s">
        <v>144</v>
      </c>
      <c r="J3987" s="53">
        <f t="shared" si="1984"/>
        <v>318000</v>
      </c>
      <c r="K3987" s="63">
        <f t="shared" si="1985"/>
        <v>9.2173913043478245E-2</v>
      </c>
      <c r="L3987" s="871" t="s">
        <v>2937</v>
      </c>
      <c r="M3987" s="468"/>
      <c r="N3987" s="1192">
        <f t="shared" si="1992"/>
        <v>44316</v>
      </c>
      <c r="O3987" s="71" t="s">
        <v>147</v>
      </c>
      <c r="P3987" s="164" t="str">
        <f t="shared" si="1993"/>
        <v>프리미어(황)</v>
      </c>
      <c r="Q3987" s="71">
        <f t="shared" si="1994"/>
        <v>600</v>
      </c>
      <c r="R3987" s="102">
        <v>5220</v>
      </c>
      <c r="S3987" s="102">
        <f t="shared" si="1990"/>
        <v>3445200.0000000005</v>
      </c>
      <c r="T3987" s="102">
        <f t="shared" si="1991"/>
        <v>3132000</v>
      </c>
      <c r="U3987" s="71" t="str">
        <f t="shared" si="1986"/>
        <v>O</v>
      </c>
      <c r="V3987" s="71"/>
      <c r="W3987" s="474">
        <f t="shared" si="1989"/>
        <v>318000</v>
      </c>
      <c r="X3987" s="71"/>
      <c r="Y3987" s="71"/>
    </row>
    <row r="3988" spans="1:25" ht="30" hidden="1" customHeight="1" x14ac:dyDescent="0.25">
      <c r="A3988" s="1145">
        <v>44316</v>
      </c>
      <c r="B3988" s="664" t="s">
        <v>1061</v>
      </c>
      <c r="C3988" s="71" t="s">
        <v>587</v>
      </c>
      <c r="D3988" s="71">
        <v>600</v>
      </c>
      <c r="E3988" s="102">
        <v>7000</v>
      </c>
      <c r="F3988" s="102">
        <f t="shared" si="1987"/>
        <v>4620000</v>
      </c>
      <c r="G3988" s="102">
        <f t="shared" si="1988"/>
        <v>4200000</v>
      </c>
      <c r="H3988" s="690" t="s">
        <v>142</v>
      </c>
      <c r="I3988" s="71" t="s">
        <v>144</v>
      </c>
      <c r="J3988" s="53">
        <f t="shared" si="1984"/>
        <v>384000</v>
      </c>
      <c r="K3988" s="63">
        <f t="shared" si="1985"/>
        <v>9.1428571428571428E-2</v>
      </c>
      <c r="L3988" s="871" t="s">
        <v>2937</v>
      </c>
      <c r="M3988" s="468"/>
      <c r="N3988" s="1192">
        <f t="shared" si="1992"/>
        <v>44316</v>
      </c>
      <c r="O3988" s="71" t="s">
        <v>147</v>
      </c>
      <c r="P3988" s="164" t="str">
        <f t="shared" si="1993"/>
        <v>프리미어(청)</v>
      </c>
      <c r="Q3988" s="71">
        <f t="shared" si="1994"/>
        <v>600</v>
      </c>
      <c r="R3988" s="102">
        <v>6360</v>
      </c>
      <c r="S3988" s="102">
        <f t="shared" si="1990"/>
        <v>4197600</v>
      </c>
      <c r="T3988" s="102">
        <f t="shared" si="1991"/>
        <v>3816000</v>
      </c>
      <c r="U3988" s="71" t="str">
        <f t="shared" si="1986"/>
        <v>O</v>
      </c>
      <c r="V3988" s="71"/>
      <c r="W3988" s="474">
        <f t="shared" si="1989"/>
        <v>384000</v>
      </c>
      <c r="X3988" s="71"/>
      <c r="Y3988" s="71"/>
    </row>
    <row r="3989" spans="1:25" ht="30" hidden="1" customHeight="1" x14ac:dyDescent="0.25">
      <c r="A3989" s="1145">
        <v>44316</v>
      </c>
      <c r="B3989" s="664" t="s">
        <v>1052</v>
      </c>
      <c r="C3989" s="71" t="s">
        <v>1115</v>
      </c>
      <c r="D3989" s="71">
        <v>50</v>
      </c>
      <c r="E3989" s="102">
        <v>6200</v>
      </c>
      <c r="F3989" s="102">
        <f t="shared" si="1987"/>
        <v>341000</v>
      </c>
      <c r="G3989" s="102">
        <f t="shared" si="1988"/>
        <v>310000</v>
      </c>
      <c r="H3989" s="690" t="s">
        <v>142</v>
      </c>
      <c r="I3989" s="71" t="s">
        <v>144</v>
      </c>
      <c r="J3989" s="53">
        <f t="shared" si="1984"/>
        <v>15000</v>
      </c>
      <c r="K3989" s="63">
        <f t="shared" si="1985"/>
        <v>4.8387096774193547E-2</v>
      </c>
      <c r="L3989" s="871" t="s">
        <v>2937</v>
      </c>
      <c r="M3989" s="468"/>
      <c r="N3989" s="1192">
        <f t="shared" si="1992"/>
        <v>44316</v>
      </c>
      <c r="O3989" s="71" t="s">
        <v>2459</v>
      </c>
      <c r="P3989" s="164" t="str">
        <f t="shared" si="1993"/>
        <v>한특 잉크(적)</v>
      </c>
      <c r="Q3989" s="71">
        <f t="shared" si="1994"/>
        <v>50</v>
      </c>
      <c r="R3989" s="102">
        <v>5900</v>
      </c>
      <c r="S3989" s="102">
        <f t="shared" si="1990"/>
        <v>324500</v>
      </c>
      <c r="T3989" s="102">
        <f t="shared" si="1991"/>
        <v>295000</v>
      </c>
      <c r="U3989" s="71" t="str">
        <f t="shared" si="1986"/>
        <v>O</v>
      </c>
      <c r="V3989" s="71"/>
      <c r="W3989" s="474">
        <f t="shared" si="1989"/>
        <v>15000</v>
      </c>
      <c r="X3989" s="71"/>
      <c r="Y3989" s="71"/>
    </row>
    <row r="3990" spans="1:25" ht="30" hidden="1" customHeight="1" x14ac:dyDescent="0.25">
      <c r="A3990" s="1145">
        <v>44316</v>
      </c>
      <c r="B3990" s="664" t="s">
        <v>1052</v>
      </c>
      <c r="C3990" s="71" t="s">
        <v>1116</v>
      </c>
      <c r="D3990" s="71">
        <v>50</v>
      </c>
      <c r="E3990" s="102">
        <v>6000</v>
      </c>
      <c r="F3990" s="102">
        <f t="shared" si="1987"/>
        <v>330000</v>
      </c>
      <c r="G3990" s="102">
        <f t="shared" si="1988"/>
        <v>300000</v>
      </c>
      <c r="H3990" s="690" t="s">
        <v>142</v>
      </c>
      <c r="I3990" s="71" t="s">
        <v>144</v>
      </c>
      <c r="J3990" s="53">
        <f t="shared" si="1984"/>
        <v>25000</v>
      </c>
      <c r="K3990" s="63">
        <f t="shared" si="1985"/>
        <v>8.3333333333333329E-2</v>
      </c>
      <c r="L3990" s="871" t="s">
        <v>2937</v>
      </c>
      <c r="M3990" s="468"/>
      <c r="N3990" s="1192">
        <f t="shared" si="1992"/>
        <v>44316</v>
      </c>
      <c r="O3990" s="71" t="s">
        <v>2459</v>
      </c>
      <c r="P3990" s="164" t="str">
        <f t="shared" si="1993"/>
        <v>한특 잉크(황)</v>
      </c>
      <c r="Q3990" s="71">
        <f t="shared" si="1994"/>
        <v>50</v>
      </c>
      <c r="R3990" s="102">
        <v>5500</v>
      </c>
      <c r="S3990" s="102">
        <f t="shared" si="1990"/>
        <v>302500</v>
      </c>
      <c r="T3990" s="102">
        <f t="shared" si="1991"/>
        <v>275000</v>
      </c>
      <c r="U3990" s="71" t="str">
        <f t="shared" si="1986"/>
        <v>O</v>
      </c>
      <c r="V3990" s="71"/>
      <c r="W3990" s="474">
        <f t="shared" si="1989"/>
        <v>25000</v>
      </c>
      <c r="X3990" s="71"/>
      <c r="Y3990" s="71"/>
    </row>
    <row r="3991" spans="1:25" ht="30" hidden="1" customHeight="1" x14ac:dyDescent="0.25">
      <c r="A3991" s="1145">
        <v>44316</v>
      </c>
      <c r="B3991" s="664" t="s">
        <v>1052</v>
      </c>
      <c r="C3991" s="71" t="s">
        <v>1117</v>
      </c>
      <c r="D3991" s="71">
        <v>50</v>
      </c>
      <c r="E3991" s="102">
        <v>6500</v>
      </c>
      <c r="F3991" s="102">
        <f t="shared" si="1987"/>
        <v>357500</v>
      </c>
      <c r="G3991" s="102">
        <f t="shared" si="1988"/>
        <v>325000</v>
      </c>
      <c r="H3991" s="690" t="s">
        <v>142</v>
      </c>
      <c r="I3991" s="71" t="s">
        <v>144</v>
      </c>
      <c r="J3991" s="53">
        <f t="shared" si="1984"/>
        <v>35000</v>
      </c>
      <c r="K3991" s="63">
        <f t="shared" si="1985"/>
        <v>0.1076923076923077</v>
      </c>
      <c r="L3991" s="871" t="s">
        <v>2937</v>
      </c>
      <c r="M3991" s="468"/>
      <c r="N3991" s="1192">
        <f t="shared" si="1992"/>
        <v>44316</v>
      </c>
      <c r="O3991" s="71" t="s">
        <v>2459</v>
      </c>
      <c r="P3991" s="164" t="str">
        <f t="shared" si="1993"/>
        <v>한특 잉크(청)</v>
      </c>
      <c r="Q3991" s="71">
        <f t="shared" si="1994"/>
        <v>50</v>
      </c>
      <c r="R3991" s="102">
        <v>5800</v>
      </c>
      <c r="S3991" s="102">
        <f t="shared" si="1990"/>
        <v>319000</v>
      </c>
      <c r="T3991" s="102">
        <f t="shared" si="1991"/>
        <v>290000</v>
      </c>
      <c r="U3991" s="71" t="str">
        <f t="shared" si="1986"/>
        <v>O</v>
      </c>
      <c r="V3991" s="71"/>
      <c r="W3991" s="474">
        <f t="shared" si="1989"/>
        <v>35000</v>
      </c>
      <c r="X3991" s="71"/>
      <c r="Y3991" s="71"/>
    </row>
    <row r="3992" spans="1:25" ht="30" hidden="1" customHeight="1" x14ac:dyDescent="0.25">
      <c r="A3992" s="1145">
        <v>44316</v>
      </c>
      <c r="B3992" s="664" t="s">
        <v>1052</v>
      </c>
      <c r="C3992" s="71" t="s">
        <v>1118</v>
      </c>
      <c r="D3992" s="71">
        <v>50</v>
      </c>
      <c r="E3992" s="102">
        <v>5600</v>
      </c>
      <c r="F3992" s="102">
        <f t="shared" si="1987"/>
        <v>308000</v>
      </c>
      <c r="G3992" s="102">
        <f t="shared" si="1988"/>
        <v>280000</v>
      </c>
      <c r="H3992" s="690" t="s">
        <v>142</v>
      </c>
      <c r="I3992" s="71" t="s">
        <v>144</v>
      </c>
      <c r="J3992" s="53">
        <f t="shared" si="1984"/>
        <v>30000</v>
      </c>
      <c r="K3992" s="63">
        <f t="shared" si="1985"/>
        <v>0.10714285714285714</v>
      </c>
      <c r="L3992" s="871" t="s">
        <v>2937</v>
      </c>
      <c r="M3992" s="468"/>
      <c r="N3992" s="1192">
        <f t="shared" si="1992"/>
        <v>44316</v>
      </c>
      <c r="O3992" s="71" t="s">
        <v>2459</v>
      </c>
      <c r="P3992" s="164" t="str">
        <f t="shared" si="1993"/>
        <v>한특 잉크(먹)</v>
      </c>
      <c r="Q3992" s="71">
        <f t="shared" si="1994"/>
        <v>50</v>
      </c>
      <c r="R3992" s="102">
        <v>5000</v>
      </c>
      <c r="S3992" s="102">
        <f t="shared" si="1990"/>
        <v>275000</v>
      </c>
      <c r="T3992" s="102">
        <f t="shared" si="1991"/>
        <v>250000</v>
      </c>
      <c r="U3992" s="71" t="str">
        <f t="shared" si="1986"/>
        <v>O</v>
      </c>
      <c r="V3992" s="71"/>
      <c r="W3992" s="474">
        <f t="shared" si="1989"/>
        <v>30000</v>
      </c>
      <c r="X3992" s="71"/>
      <c r="Y3992" s="71"/>
    </row>
    <row r="3993" spans="1:25" ht="30" hidden="1" customHeight="1" x14ac:dyDescent="0.25">
      <c r="A3993" s="1145">
        <v>44316</v>
      </c>
      <c r="B3993" s="664" t="s">
        <v>1052</v>
      </c>
      <c r="C3993" s="71" t="s">
        <v>2946</v>
      </c>
      <c r="D3993" s="71">
        <v>50</v>
      </c>
      <c r="E3993" s="102">
        <v>8200</v>
      </c>
      <c r="F3993" s="102">
        <f>(E3993*D3993)*1.1</f>
        <v>451000.00000000006</v>
      </c>
      <c r="G3993" s="102">
        <f>(E3993*D3993)</f>
        <v>410000</v>
      </c>
      <c r="H3993" s="690" t="s">
        <v>142</v>
      </c>
      <c r="I3993" s="71" t="s">
        <v>144</v>
      </c>
      <c r="J3993" s="53">
        <f t="shared" si="1984"/>
        <v>17500</v>
      </c>
      <c r="K3993" s="63">
        <f t="shared" si="1985"/>
        <v>4.2682926829268289E-2</v>
      </c>
      <c r="L3993" s="871" t="s">
        <v>2937</v>
      </c>
      <c r="M3993" s="468"/>
      <c r="N3993" s="1192">
        <f>A3993</f>
        <v>44316</v>
      </c>
      <c r="O3993" s="71" t="s">
        <v>147</v>
      </c>
      <c r="P3993" s="164" t="str">
        <f t="shared" si="1993"/>
        <v>아라니아 분홍 190c</v>
      </c>
      <c r="Q3993" s="71">
        <f t="shared" si="1994"/>
        <v>50</v>
      </c>
      <c r="R3993" s="102">
        <v>7850</v>
      </c>
      <c r="S3993" s="102">
        <f t="shared" si="1990"/>
        <v>431750.00000000006</v>
      </c>
      <c r="T3993" s="102">
        <f t="shared" si="1991"/>
        <v>392500</v>
      </c>
      <c r="U3993" s="71" t="str">
        <f t="shared" si="1986"/>
        <v>O</v>
      </c>
      <c r="V3993" s="71"/>
      <c r="W3993" s="474">
        <f t="shared" si="1989"/>
        <v>17500</v>
      </c>
      <c r="X3993" s="71"/>
      <c r="Y3993" s="71"/>
    </row>
    <row r="3994" spans="1:25" ht="30" hidden="1" customHeight="1" x14ac:dyDescent="0.25">
      <c r="A3994" s="1145">
        <v>44316</v>
      </c>
      <c r="B3994" s="664" t="s">
        <v>1052</v>
      </c>
      <c r="C3994" s="71" t="s">
        <v>2947</v>
      </c>
      <c r="D3994" s="71">
        <v>15</v>
      </c>
      <c r="E3994" s="102">
        <v>7700</v>
      </c>
      <c r="F3994" s="102">
        <f>(E3994*D3994)*1.1</f>
        <v>127050.00000000001</v>
      </c>
      <c r="G3994" s="102">
        <f>(E3994*D3994)</f>
        <v>115500</v>
      </c>
      <c r="H3994" s="690" t="s">
        <v>142</v>
      </c>
      <c r="I3994" s="71" t="s">
        <v>144</v>
      </c>
      <c r="J3994" s="53">
        <f t="shared" si="1984"/>
        <v>6000</v>
      </c>
      <c r="K3994" s="63">
        <f t="shared" si="1985"/>
        <v>5.1948051948051945E-2</v>
      </c>
      <c r="L3994" s="871" t="s">
        <v>2937</v>
      </c>
      <c r="M3994" s="468"/>
      <c r="N3994" s="1192">
        <f>A3994</f>
        <v>44316</v>
      </c>
      <c r="O3994" s="71" t="s">
        <v>147</v>
      </c>
      <c r="P3994" s="164" t="str">
        <f t="shared" si="1993"/>
        <v>아라니아 진분홍 1905c</v>
      </c>
      <c r="Q3994" s="71">
        <f t="shared" si="1994"/>
        <v>15</v>
      </c>
      <c r="R3994" s="102">
        <v>7300</v>
      </c>
      <c r="S3994" s="102">
        <f t="shared" si="1990"/>
        <v>120450.00000000001</v>
      </c>
      <c r="T3994" s="102">
        <f t="shared" si="1991"/>
        <v>109500</v>
      </c>
      <c r="U3994" s="71" t="str">
        <f t="shared" si="1986"/>
        <v>O</v>
      </c>
      <c r="V3994" s="71"/>
      <c r="W3994" s="474">
        <f t="shared" si="1989"/>
        <v>6000</v>
      </c>
      <c r="X3994" s="71"/>
      <c r="Y3994" s="71"/>
    </row>
    <row r="3995" spans="1:25" ht="30" hidden="1" customHeight="1" x14ac:dyDescent="0.25">
      <c r="A3995" s="1145">
        <v>44316</v>
      </c>
      <c r="B3995" s="664" t="s">
        <v>1052</v>
      </c>
      <c r="C3995" s="71" t="s">
        <v>1840</v>
      </c>
      <c r="D3995" s="71">
        <v>15</v>
      </c>
      <c r="E3995" s="102">
        <v>8000</v>
      </c>
      <c r="F3995" s="102">
        <f>(E3995*D3995)*1.1</f>
        <v>132000</v>
      </c>
      <c r="G3995" s="102">
        <f>(E3995*D3995)</f>
        <v>120000</v>
      </c>
      <c r="H3995" s="690" t="s">
        <v>142</v>
      </c>
      <c r="I3995" s="71" t="s">
        <v>144</v>
      </c>
      <c r="J3995" s="53">
        <f t="shared" si="1984"/>
        <v>6000</v>
      </c>
      <c r="K3995" s="63">
        <f t="shared" si="1985"/>
        <v>0.05</v>
      </c>
      <c r="L3995" s="871" t="s">
        <v>2937</v>
      </c>
      <c r="M3995" s="468"/>
      <c r="N3995" s="1192">
        <f>A3995</f>
        <v>44316</v>
      </c>
      <c r="O3995" s="71" t="s">
        <v>147</v>
      </c>
      <c r="P3995" s="164" t="str">
        <f t="shared" si="1993"/>
        <v>아라니아 연청 304c</v>
      </c>
      <c r="Q3995" s="71">
        <f t="shared" si="1994"/>
        <v>15</v>
      </c>
      <c r="R3995" s="102">
        <v>7600</v>
      </c>
      <c r="S3995" s="102">
        <f t="shared" si="1990"/>
        <v>125400.00000000001</v>
      </c>
      <c r="T3995" s="102">
        <f t="shared" si="1991"/>
        <v>114000</v>
      </c>
      <c r="U3995" s="71" t="str">
        <f t="shared" si="1986"/>
        <v>O</v>
      </c>
      <c r="V3995" s="71"/>
      <c r="W3995" s="474">
        <f t="shared" si="1989"/>
        <v>6000</v>
      </c>
      <c r="X3995" s="71"/>
      <c r="Y3995" s="71"/>
    </row>
    <row r="3996" spans="1:25" s="978" customFormat="1" ht="45" hidden="1" customHeight="1" x14ac:dyDescent="0.25">
      <c r="A3996" s="982" t="s">
        <v>2948</v>
      </c>
      <c r="B3996" s="976" t="s">
        <v>544</v>
      </c>
      <c r="C3996" s="453"/>
      <c r="D3996" s="453"/>
      <c r="E3996" s="454"/>
      <c r="F3996" s="454"/>
      <c r="G3996" s="454"/>
      <c r="H3996" s="455"/>
      <c r="I3996" s="453"/>
      <c r="J3996" s="417"/>
      <c r="K3996" s="418"/>
      <c r="L3996" s="983" t="s">
        <v>2950</v>
      </c>
      <c r="M3996" s="643"/>
      <c r="N3996" s="724" t="str">
        <f>A3996</f>
        <v>2021,5</v>
      </c>
      <c r="O3996" s="453" t="s">
        <v>154</v>
      </c>
      <c r="P3996" s="728"/>
      <c r="Q3996" s="420"/>
      <c r="R3996" s="420"/>
      <c r="S3996" s="417"/>
      <c r="T3996" s="417"/>
      <c r="U3996" s="421"/>
      <c r="V3996" s="421"/>
      <c r="W3996" s="479">
        <f t="shared" si="1989"/>
        <v>0</v>
      </c>
      <c r="X3996" s="421"/>
      <c r="Y3996" s="421"/>
    </row>
    <row r="3997" spans="1:25" ht="30" hidden="1" customHeight="1" x14ac:dyDescent="0.25">
      <c r="A3997" s="1145">
        <v>44287</v>
      </c>
      <c r="B3997" s="664" t="s">
        <v>575</v>
      </c>
      <c r="C3997" s="71" t="s">
        <v>2978</v>
      </c>
      <c r="D3997" s="71">
        <v>1</v>
      </c>
      <c r="E3997" s="102">
        <v>220000</v>
      </c>
      <c r="F3997" s="102">
        <f>(E3997*D3997)*1.1</f>
        <v>242000.00000000003</v>
      </c>
      <c r="G3997" s="102">
        <f>(E3997*D3997)</f>
        <v>220000</v>
      </c>
      <c r="H3997" s="690" t="s">
        <v>1431</v>
      </c>
      <c r="I3997" s="71" t="s">
        <v>1431</v>
      </c>
      <c r="J3997" s="53">
        <f>G3997-T3997</f>
        <v>58000</v>
      </c>
      <c r="K3997" s="63">
        <f t="shared" ref="K3997:K4012" si="1995">(J3997/(F3997/11*10))</f>
        <v>0.26363636363636361</v>
      </c>
      <c r="L3997" s="871" t="s">
        <v>2950</v>
      </c>
      <c r="M3997" s="468"/>
      <c r="N3997" s="1192">
        <f>A3997</f>
        <v>44287</v>
      </c>
      <c r="O3997" s="71" t="s">
        <v>2983</v>
      </c>
      <c r="P3997" s="164" t="str">
        <f>(C3997)</f>
        <v>컨택터 LUCA32BL</v>
      </c>
      <c r="Q3997" s="71">
        <f>D3997</f>
        <v>1</v>
      </c>
      <c r="R3997" s="102">
        <v>162000</v>
      </c>
      <c r="S3997" s="102">
        <f t="shared" ref="S3997:S4009" si="1996">R3997*Q3997*1.1</f>
        <v>178200</v>
      </c>
      <c r="T3997" s="102">
        <f t="shared" ref="T3997:T4009" si="1997">R3997*Q3997</f>
        <v>162000</v>
      </c>
      <c r="U3997" s="71"/>
      <c r="V3997" s="71"/>
      <c r="W3997" s="474"/>
      <c r="X3997" s="71"/>
      <c r="Y3997" s="71"/>
    </row>
    <row r="3998" spans="1:25" ht="30" hidden="1" customHeight="1" x14ac:dyDescent="0.25">
      <c r="A3998" s="1145">
        <v>44287</v>
      </c>
      <c r="B3998" s="664" t="s">
        <v>575</v>
      </c>
      <c r="C3998" s="71" t="s">
        <v>2979</v>
      </c>
      <c r="D3998" s="71">
        <v>7</v>
      </c>
      <c r="E3998" s="102">
        <v>160000</v>
      </c>
      <c r="F3998" s="102">
        <f>(E3998*D3998)*1.1</f>
        <v>1232000</v>
      </c>
      <c r="G3998" s="102">
        <f>(E3998*D3998)</f>
        <v>1120000</v>
      </c>
      <c r="H3998" s="690" t="s">
        <v>1431</v>
      </c>
      <c r="I3998" s="71" t="s">
        <v>1431</v>
      </c>
      <c r="J3998" s="53">
        <f>G3998-T3998-55000</f>
        <v>463700</v>
      </c>
      <c r="K3998" s="63">
        <f t="shared" si="1995"/>
        <v>0.41401785714285716</v>
      </c>
      <c r="L3998" s="871" t="s">
        <v>2950</v>
      </c>
      <c r="M3998" s="468" t="s">
        <v>2986</v>
      </c>
      <c r="N3998" s="1192">
        <f t="shared" ref="N3998:N4060" si="1998">A3998</f>
        <v>44287</v>
      </c>
      <c r="O3998" s="71" t="s">
        <v>2983</v>
      </c>
      <c r="P3998" s="164" t="str">
        <f t="shared" ref="P3998:P4060" si="1999">(C3998)</f>
        <v>파워 베이스 LUB32</v>
      </c>
      <c r="Q3998" s="71">
        <f t="shared" ref="Q3998:Q4060" si="2000">D3998</f>
        <v>7</v>
      </c>
      <c r="R3998" s="102">
        <v>85900</v>
      </c>
      <c r="S3998" s="102">
        <f t="shared" si="1996"/>
        <v>661430</v>
      </c>
      <c r="T3998" s="102">
        <f t="shared" si="1997"/>
        <v>601300</v>
      </c>
      <c r="U3998" s="71"/>
      <c r="V3998" s="71"/>
      <c r="W3998" s="474"/>
      <c r="X3998" s="71"/>
      <c r="Y3998" s="71"/>
    </row>
    <row r="3999" spans="1:25" ht="30" hidden="1" customHeight="1" x14ac:dyDescent="0.25">
      <c r="A3999" s="1145">
        <v>44287</v>
      </c>
      <c r="B3999" s="664" t="s">
        <v>575</v>
      </c>
      <c r="C3999" s="71" t="s">
        <v>2984</v>
      </c>
      <c r="D3999" s="71">
        <v>7</v>
      </c>
      <c r="E3999" s="102">
        <v>160000</v>
      </c>
      <c r="F3999" s="102">
        <f>(E3999*D3999)*1.1</f>
        <v>1232000</v>
      </c>
      <c r="G3999" s="102">
        <f>(E3999*D3999)</f>
        <v>1120000</v>
      </c>
      <c r="H3999" s="690" t="s">
        <v>1431</v>
      </c>
      <c r="I3999" s="71" t="s">
        <v>1431</v>
      </c>
      <c r="J3999" s="53">
        <f>G3999-T3999-55000</f>
        <v>506400</v>
      </c>
      <c r="K3999" s="63">
        <f t="shared" si="1995"/>
        <v>0.45214285714285712</v>
      </c>
      <c r="L3999" s="871" t="s">
        <v>2950</v>
      </c>
      <c r="M3999" s="468"/>
      <c r="N3999" s="1192">
        <f t="shared" si="1998"/>
        <v>44287</v>
      </c>
      <c r="O3999" s="71" t="s">
        <v>2983</v>
      </c>
      <c r="P3999" s="164" t="str">
        <f t="shared" si="1999"/>
        <v>파워 베이스 LUB12</v>
      </c>
      <c r="Q3999" s="71">
        <f t="shared" si="2000"/>
        <v>7</v>
      </c>
      <c r="R3999" s="102">
        <v>79800</v>
      </c>
      <c r="S3999" s="102">
        <f t="shared" si="1996"/>
        <v>614460</v>
      </c>
      <c r="T3999" s="102">
        <f t="shared" si="1997"/>
        <v>558600</v>
      </c>
      <c r="U3999" s="71"/>
      <c r="V3999" s="71"/>
      <c r="W3999" s="474"/>
      <c r="X3999" s="71"/>
      <c r="Y3999" s="71"/>
    </row>
    <row r="4000" spans="1:25" ht="30" hidden="1" customHeight="1" x14ac:dyDescent="0.25">
      <c r="A4000" s="1145">
        <v>44287</v>
      </c>
      <c r="B4000" s="664" t="s">
        <v>575</v>
      </c>
      <c r="C4000" s="71" t="s">
        <v>2980</v>
      </c>
      <c r="D4000" s="71">
        <v>6</v>
      </c>
      <c r="E4000" s="102">
        <v>70000</v>
      </c>
      <c r="F4000" s="102">
        <f>(E4000*D4000)*1.1</f>
        <v>462000.00000000006</v>
      </c>
      <c r="G4000" s="102">
        <f>(E4000*D4000)</f>
        <v>420000</v>
      </c>
      <c r="H4000" s="690" t="s">
        <v>1431</v>
      </c>
      <c r="I4000" s="71" t="s">
        <v>1431</v>
      </c>
      <c r="J4000" s="53">
        <f>G4000-T4000</f>
        <v>216000</v>
      </c>
      <c r="K4000" s="63">
        <f t="shared" si="1995"/>
        <v>0.51428571428571423</v>
      </c>
      <c r="L4000" s="871" t="s">
        <v>2950</v>
      </c>
      <c r="M4000" s="468"/>
      <c r="N4000" s="1192">
        <f t="shared" si="1998"/>
        <v>44287</v>
      </c>
      <c r="O4000" s="71" t="s">
        <v>2985</v>
      </c>
      <c r="P4000" s="164" t="str">
        <f t="shared" si="1999"/>
        <v>마그네트 3RT2016</v>
      </c>
      <c r="Q4000" s="71">
        <f t="shared" si="2000"/>
        <v>6</v>
      </c>
      <c r="R4000" s="102">
        <v>34000</v>
      </c>
      <c r="S4000" s="102">
        <f t="shared" si="1996"/>
        <v>224400.00000000003</v>
      </c>
      <c r="T4000" s="102">
        <f t="shared" si="1997"/>
        <v>204000</v>
      </c>
      <c r="U4000" s="71"/>
      <c r="V4000" s="71"/>
      <c r="W4000" s="474"/>
      <c r="X4000" s="71"/>
      <c r="Y4000" s="71"/>
    </row>
    <row r="4001" spans="1:25" ht="30" hidden="1" customHeight="1" x14ac:dyDescent="0.25">
      <c r="A4001" s="1145">
        <v>44287</v>
      </c>
      <c r="B4001" s="664" t="s">
        <v>575</v>
      </c>
      <c r="C4001" s="71" t="s">
        <v>2981</v>
      </c>
      <c r="D4001" s="71">
        <v>1</v>
      </c>
      <c r="E4001" s="102">
        <v>300000</v>
      </c>
      <c r="F4001" s="102">
        <f>(E4001*D4001)*1.1</f>
        <v>330000</v>
      </c>
      <c r="G4001" s="102">
        <f>(E4001*D4001)</f>
        <v>300000</v>
      </c>
      <c r="H4001" s="690" t="s">
        <v>1431</v>
      </c>
      <c r="I4001" s="71" t="s">
        <v>1431</v>
      </c>
      <c r="J4001" s="53">
        <f>G4001-T4001</f>
        <v>0</v>
      </c>
      <c r="K4001" s="63">
        <f t="shared" si="1995"/>
        <v>0</v>
      </c>
      <c r="L4001" s="871" t="s">
        <v>2950</v>
      </c>
      <c r="M4001" s="468"/>
      <c r="N4001" s="1192">
        <f t="shared" si="1998"/>
        <v>44287</v>
      </c>
      <c r="O4001" s="71" t="s">
        <v>1431</v>
      </c>
      <c r="P4001" s="164" t="str">
        <f t="shared" si="1999"/>
        <v>드라이어 배기 팬 모터 대여 수리비(프린피아)</v>
      </c>
      <c r="Q4001" s="71">
        <f t="shared" si="2000"/>
        <v>1</v>
      </c>
      <c r="R4001" s="102">
        <v>300000</v>
      </c>
      <c r="S4001" s="102">
        <f t="shared" si="1996"/>
        <v>330000</v>
      </c>
      <c r="T4001" s="102">
        <f t="shared" si="1997"/>
        <v>300000</v>
      </c>
      <c r="U4001" s="71"/>
      <c r="V4001" s="71"/>
      <c r="W4001" s="474"/>
      <c r="X4001" s="71"/>
      <c r="Y4001" s="71"/>
    </row>
    <row r="4002" spans="1:25" ht="30" hidden="1" customHeight="1" x14ac:dyDescent="0.25">
      <c r="A4002" s="1145">
        <v>44287</v>
      </c>
      <c r="B4002" s="664" t="s">
        <v>575</v>
      </c>
      <c r="C4002" s="71" t="s">
        <v>1792</v>
      </c>
      <c r="D4002" s="71">
        <v>4</v>
      </c>
      <c r="E4002" s="102">
        <v>150000</v>
      </c>
      <c r="F4002" s="102">
        <f t="shared" ref="F4002:F4046" si="2001">(E4002*D4002)*1.1</f>
        <v>660000</v>
      </c>
      <c r="G4002" s="102">
        <f t="shared" ref="G4002:G4046" si="2002">(E4002*D4002)</f>
        <v>600000</v>
      </c>
      <c r="H4002" s="690" t="s">
        <v>1431</v>
      </c>
      <c r="I4002" s="71" t="s">
        <v>1431</v>
      </c>
      <c r="J4002" s="53">
        <f>G4002-T4002</f>
        <v>464000</v>
      </c>
      <c r="K4002" s="63">
        <f t="shared" si="1995"/>
        <v>0.77333333333333332</v>
      </c>
      <c r="L4002" s="871" t="s">
        <v>2950</v>
      </c>
      <c r="M4002" s="468"/>
      <c r="N4002" s="1192">
        <f t="shared" si="1998"/>
        <v>44287</v>
      </c>
      <c r="O4002" s="71" t="s">
        <v>1431</v>
      </c>
      <c r="P4002" s="164" t="str">
        <f t="shared" si="1999"/>
        <v>가스 쇼바</v>
      </c>
      <c r="Q4002" s="71">
        <f t="shared" si="2000"/>
        <v>4</v>
      </c>
      <c r="R4002" s="102">
        <v>34000</v>
      </c>
      <c r="S4002" s="102">
        <f t="shared" si="1996"/>
        <v>149600</v>
      </c>
      <c r="T4002" s="102">
        <f t="shared" si="1997"/>
        <v>136000</v>
      </c>
      <c r="U4002" s="71"/>
      <c r="V4002" s="71"/>
      <c r="W4002" s="474"/>
      <c r="X4002" s="71"/>
      <c r="Y4002" s="71"/>
    </row>
    <row r="4003" spans="1:25" ht="30" hidden="1" customHeight="1" x14ac:dyDescent="0.25">
      <c r="A4003" s="1145">
        <v>44287</v>
      </c>
      <c r="B4003" s="664" t="s">
        <v>575</v>
      </c>
      <c r="C4003" s="71" t="s">
        <v>2403</v>
      </c>
      <c r="D4003" s="71">
        <v>4</v>
      </c>
      <c r="E4003" s="102">
        <v>180000</v>
      </c>
      <c r="F4003" s="102">
        <f t="shared" si="2001"/>
        <v>792000.00000000012</v>
      </c>
      <c r="G4003" s="102">
        <f t="shared" si="2002"/>
        <v>720000</v>
      </c>
      <c r="H4003" s="690" t="s">
        <v>1431</v>
      </c>
      <c r="I4003" s="71" t="s">
        <v>1431</v>
      </c>
      <c r="J4003" s="53">
        <f>G4003-T4003</f>
        <v>260000</v>
      </c>
      <c r="K4003" s="63">
        <f t="shared" si="1995"/>
        <v>0.36111111111111105</v>
      </c>
      <c r="L4003" s="871" t="s">
        <v>2949</v>
      </c>
      <c r="M4003" s="468"/>
      <c r="N4003" s="1192">
        <f t="shared" si="1998"/>
        <v>44287</v>
      </c>
      <c r="O4003" s="71" t="s">
        <v>1431</v>
      </c>
      <c r="P4003" s="164" t="str">
        <f t="shared" si="1999"/>
        <v>압력 스프링</v>
      </c>
      <c r="Q4003" s="71">
        <f t="shared" si="2000"/>
        <v>4</v>
      </c>
      <c r="R4003" s="102">
        <v>115000</v>
      </c>
      <c r="S4003" s="102">
        <f t="shared" si="1996"/>
        <v>506000.00000000006</v>
      </c>
      <c r="T4003" s="102">
        <f t="shared" si="1997"/>
        <v>460000</v>
      </c>
      <c r="U4003" s="71"/>
      <c r="V4003" s="71"/>
      <c r="W4003" s="474"/>
      <c r="X4003" s="71"/>
      <c r="Y4003" s="71"/>
    </row>
    <row r="4004" spans="1:25" ht="30" hidden="1" customHeight="1" x14ac:dyDescent="0.25">
      <c r="A4004" s="1145">
        <v>44287</v>
      </c>
      <c r="B4004" s="664" t="s">
        <v>575</v>
      </c>
      <c r="C4004" s="71" t="s">
        <v>2931</v>
      </c>
      <c r="D4004" s="71">
        <v>100</v>
      </c>
      <c r="E4004" s="102">
        <v>18000</v>
      </c>
      <c r="F4004" s="102">
        <f t="shared" si="2001"/>
        <v>1980000.0000000002</v>
      </c>
      <c r="G4004" s="102">
        <f t="shared" si="2002"/>
        <v>1800000</v>
      </c>
      <c r="H4004" s="690" t="s">
        <v>1431</v>
      </c>
      <c r="I4004" s="71" t="s">
        <v>1431</v>
      </c>
      <c r="J4004" s="53">
        <f>G4004-T4004-55000</f>
        <v>845000</v>
      </c>
      <c r="K4004" s="63">
        <f t="shared" si="1995"/>
        <v>0.46944444444444439</v>
      </c>
      <c r="L4004" s="871" t="s">
        <v>2949</v>
      </c>
      <c r="M4004" s="468"/>
      <c r="N4004" s="1192">
        <f t="shared" si="1998"/>
        <v>44287</v>
      </c>
      <c r="O4004" s="71" t="s">
        <v>1431</v>
      </c>
      <c r="P4004" s="164" t="str">
        <f t="shared" si="1999"/>
        <v>이송 가이드(대)</v>
      </c>
      <c r="Q4004" s="71">
        <f t="shared" si="2000"/>
        <v>100</v>
      </c>
      <c r="R4004" s="102">
        <v>9000</v>
      </c>
      <c r="S4004" s="102">
        <f t="shared" si="1996"/>
        <v>990000.00000000012</v>
      </c>
      <c r="T4004" s="102">
        <f t="shared" si="1997"/>
        <v>900000</v>
      </c>
      <c r="U4004" s="71"/>
      <c r="V4004" s="71"/>
      <c r="W4004" s="474"/>
      <c r="X4004" s="71"/>
      <c r="Y4004" s="71"/>
    </row>
    <row r="4005" spans="1:25" ht="30" hidden="1" customHeight="1" x14ac:dyDescent="0.25">
      <c r="A4005" s="1145">
        <v>44287</v>
      </c>
      <c r="B4005" s="664" t="s">
        <v>575</v>
      </c>
      <c r="C4005" s="71" t="s">
        <v>2932</v>
      </c>
      <c r="D4005" s="71">
        <v>30</v>
      </c>
      <c r="E4005" s="102">
        <v>18000</v>
      </c>
      <c r="F4005" s="102">
        <f t="shared" si="2001"/>
        <v>594000</v>
      </c>
      <c r="G4005" s="102">
        <f t="shared" si="2002"/>
        <v>540000</v>
      </c>
      <c r="H4005" s="690" t="s">
        <v>1431</v>
      </c>
      <c r="I4005" s="71" t="s">
        <v>1431</v>
      </c>
      <c r="J4005" s="53">
        <f t="shared" ref="J4005:J4011" si="2003">G4005-T4005</f>
        <v>270000</v>
      </c>
      <c r="K4005" s="63">
        <f t="shared" si="1995"/>
        <v>0.5</v>
      </c>
      <c r="L4005" s="871" t="s">
        <v>2949</v>
      </c>
      <c r="M4005" s="468"/>
      <c r="N4005" s="1192">
        <f t="shared" si="1998"/>
        <v>44287</v>
      </c>
      <c r="O4005" s="71" t="s">
        <v>1431</v>
      </c>
      <c r="P4005" s="164" t="str">
        <f t="shared" si="1999"/>
        <v>이송 가이드(소)</v>
      </c>
      <c r="Q4005" s="71">
        <f t="shared" si="2000"/>
        <v>30</v>
      </c>
      <c r="R4005" s="102">
        <v>9000</v>
      </c>
      <c r="S4005" s="102">
        <f t="shared" si="1996"/>
        <v>297000</v>
      </c>
      <c r="T4005" s="102">
        <f t="shared" si="1997"/>
        <v>270000</v>
      </c>
      <c r="U4005" s="71"/>
      <c r="V4005" s="71"/>
      <c r="W4005" s="474"/>
      <c r="X4005" s="71"/>
      <c r="Y4005" s="71"/>
    </row>
    <row r="4006" spans="1:25" ht="30" hidden="1" customHeight="1" x14ac:dyDescent="0.25">
      <c r="A4006" s="1145">
        <v>44287</v>
      </c>
      <c r="B4006" s="664" t="s">
        <v>575</v>
      </c>
      <c r="C4006" s="71" t="s">
        <v>2933</v>
      </c>
      <c r="D4006" s="71">
        <v>50</v>
      </c>
      <c r="E4006" s="102">
        <v>22000</v>
      </c>
      <c r="F4006" s="102">
        <f t="shared" si="2001"/>
        <v>1210000</v>
      </c>
      <c r="G4006" s="102">
        <f t="shared" si="2002"/>
        <v>1100000</v>
      </c>
      <c r="H4006" s="690" t="s">
        <v>1431</v>
      </c>
      <c r="I4006" s="71" t="s">
        <v>1431</v>
      </c>
      <c r="J4006" s="53">
        <f t="shared" si="2003"/>
        <v>350000</v>
      </c>
      <c r="K4006" s="63">
        <f t="shared" si="1995"/>
        <v>0.31818181818181818</v>
      </c>
      <c r="L4006" s="871" t="s">
        <v>2949</v>
      </c>
      <c r="M4006" s="468"/>
      <c r="N4006" s="1192">
        <f t="shared" si="1998"/>
        <v>44287</v>
      </c>
      <c r="O4006" s="71" t="s">
        <v>1431</v>
      </c>
      <c r="P4006" s="164" t="str">
        <f t="shared" si="1999"/>
        <v>벨트 25mm</v>
      </c>
      <c r="Q4006" s="71">
        <f t="shared" si="2000"/>
        <v>50</v>
      </c>
      <c r="R4006" s="102">
        <v>15000</v>
      </c>
      <c r="S4006" s="102">
        <f t="shared" si="1996"/>
        <v>825000.00000000012</v>
      </c>
      <c r="T4006" s="102">
        <f t="shared" si="1997"/>
        <v>750000</v>
      </c>
      <c r="U4006" s="71"/>
      <c r="V4006" s="71"/>
      <c r="W4006" s="474"/>
      <c r="X4006" s="71"/>
      <c r="Y4006" s="71"/>
    </row>
    <row r="4007" spans="1:25" ht="30" hidden="1" customHeight="1" x14ac:dyDescent="0.25">
      <c r="A4007" s="1145">
        <v>44287</v>
      </c>
      <c r="B4007" s="664" t="s">
        <v>575</v>
      </c>
      <c r="C4007" s="71" t="s">
        <v>2934</v>
      </c>
      <c r="D4007" s="71">
        <v>50</v>
      </c>
      <c r="E4007" s="102">
        <v>20000</v>
      </c>
      <c r="F4007" s="102">
        <f t="shared" si="2001"/>
        <v>1100000</v>
      </c>
      <c r="G4007" s="102">
        <f t="shared" si="2002"/>
        <v>1000000</v>
      </c>
      <c r="H4007" s="690" t="s">
        <v>1431</v>
      </c>
      <c r="I4007" s="71" t="s">
        <v>1431</v>
      </c>
      <c r="J4007" s="53">
        <f t="shared" si="2003"/>
        <v>442650</v>
      </c>
      <c r="K4007" s="63">
        <f t="shared" si="1995"/>
        <v>0.44264999999999999</v>
      </c>
      <c r="L4007" s="871" t="s">
        <v>2949</v>
      </c>
      <c r="M4007" s="468"/>
      <c r="N4007" s="1192">
        <f t="shared" si="1998"/>
        <v>44287</v>
      </c>
      <c r="O4007" s="71" t="s">
        <v>1431</v>
      </c>
      <c r="P4007" s="164" t="str">
        <f t="shared" si="1999"/>
        <v>벨트 14mm</v>
      </c>
      <c r="Q4007" s="71">
        <f t="shared" si="2000"/>
        <v>50</v>
      </c>
      <c r="R4007" s="102">
        <v>11147</v>
      </c>
      <c r="S4007" s="102">
        <f t="shared" si="1996"/>
        <v>613085</v>
      </c>
      <c r="T4007" s="102">
        <f t="shared" si="1997"/>
        <v>557350</v>
      </c>
      <c r="U4007" s="71"/>
      <c r="V4007" s="71"/>
      <c r="W4007" s="474"/>
      <c r="X4007" s="71"/>
      <c r="Y4007" s="71"/>
    </row>
    <row r="4008" spans="1:25" ht="30" hidden="1" customHeight="1" x14ac:dyDescent="0.25">
      <c r="A4008" s="1145">
        <v>44287</v>
      </c>
      <c r="B4008" s="664" t="s">
        <v>575</v>
      </c>
      <c r="C4008" s="71" t="s">
        <v>887</v>
      </c>
      <c r="D4008" s="71">
        <v>3</v>
      </c>
      <c r="E4008" s="102">
        <v>80000</v>
      </c>
      <c r="F4008" s="102">
        <f t="shared" si="2001"/>
        <v>264000</v>
      </c>
      <c r="G4008" s="102">
        <f t="shared" si="2002"/>
        <v>240000</v>
      </c>
      <c r="H4008" s="690" t="s">
        <v>1431</v>
      </c>
      <c r="I4008" s="71" t="s">
        <v>1431</v>
      </c>
      <c r="J4008" s="53">
        <f t="shared" si="2003"/>
        <v>60000</v>
      </c>
      <c r="K4008" s="63">
        <f t="shared" si="1995"/>
        <v>0.25</v>
      </c>
      <c r="L4008" s="871" t="s">
        <v>2949</v>
      </c>
      <c r="M4008" s="468"/>
      <c r="N4008" s="1192">
        <f t="shared" si="1998"/>
        <v>44287</v>
      </c>
      <c r="O4008" s="71" t="s">
        <v>1431</v>
      </c>
      <c r="P4008" s="164" t="str">
        <f t="shared" si="1999"/>
        <v>벨트 접착제</v>
      </c>
      <c r="Q4008" s="71">
        <f t="shared" si="2000"/>
        <v>3</v>
      </c>
      <c r="R4008" s="102">
        <v>60000</v>
      </c>
      <c r="S4008" s="102">
        <f t="shared" si="1996"/>
        <v>198000.00000000003</v>
      </c>
      <c r="T4008" s="102">
        <f t="shared" si="1997"/>
        <v>180000</v>
      </c>
      <c r="U4008" s="71"/>
      <c r="V4008" s="71"/>
      <c r="W4008" s="474"/>
      <c r="X4008" s="71"/>
      <c r="Y4008" s="71"/>
    </row>
    <row r="4009" spans="1:25" ht="30" hidden="1" customHeight="1" x14ac:dyDescent="0.25">
      <c r="A4009" s="1145">
        <v>44287</v>
      </c>
      <c r="B4009" s="664" t="s">
        <v>575</v>
      </c>
      <c r="C4009" s="71" t="s">
        <v>1297</v>
      </c>
      <c r="D4009" s="71">
        <v>1</v>
      </c>
      <c r="E4009" s="102">
        <v>800000</v>
      </c>
      <c r="F4009" s="102">
        <f t="shared" si="2001"/>
        <v>880000.00000000012</v>
      </c>
      <c r="G4009" s="102">
        <f t="shared" si="2002"/>
        <v>800000</v>
      </c>
      <c r="H4009" s="690" t="s">
        <v>1431</v>
      </c>
      <c r="I4009" s="71" t="s">
        <v>1431</v>
      </c>
      <c r="J4009" s="53">
        <f t="shared" si="2003"/>
        <v>253793</v>
      </c>
      <c r="K4009" s="63">
        <f t="shared" si="1995"/>
        <v>0.31724124999999997</v>
      </c>
      <c r="L4009" s="871" t="s">
        <v>2949</v>
      </c>
      <c r="M4009" s="468"/>
      <c r="N4009" s="1192">
        <f t="shared" si="1998"/>
        <v>44287</v>
      </c>
      <c r="O4009" s="71" t="s">
        <v>1431</v>
      </c>
      <c r="P4009" s="164" t="str">
        <f t="shared" si="1999"/>
        <v>잉크집 호일</v>
      </c>
      <c r="Q4009" s="71">
        <f t="shared" si="2000"/>
        <v>1</v>
      </c>
      <c r="R4009" s="102">
        <v>546207</v>
      </c>
      <c r="S4009" s="102">
        <f t="shared" si="1996"/>
        <v>600827.70000000007</v>
      </c>
      <c r="T4009" s="102">
        <f t="shared" si="1997"/>
        <v>546207</v>
      </c>
      <c r="U4009" s="71"/>
      <c r="V4009" s="71"/>
      <c r="W4009" s="474"/>
      <c r="X4009" s="71"/>
      <c r="Y4009" s="71"/>
    </row>
    <row r="4010" spans="1:25" s="209" customFormat="1" ht="30" hidden="1" customHeight="1" x14ac:dyDescent="0.25">
      <c r="A4010" s="1145">
        <v>44315</v>
      </c>
      <c r="B4010" s="664" t="s">
        <v>442</v>
      </c>
      <c r="C4010" s="71" t="s">
        <v>138</v>
      </c>
      <c r="D4010" s="71">
        <v>20</v>
      </c>
      <c r="E4010" s="102">
        <v>55200</v>
      </c>
      <c r="F4010" s="102">
        <f t="shared" si="2001"/>
        <v>1214400</v>
      </c>
      <c r="G4010" s="102">
        <f t="shared" si="2002"/>
        <v>1104000</v>
      </c>
      <c r="H4010" s="690" t="s">
        <v>173</v>
      </c>
      <c r="I4010" s="71" t="s">
        <v>108</v>
      </c>
      <c r="J4010" s="53">
        <f t="shared" si="2003"/>
        <v>178000</v>
      </c>
      <c r="K4010" s="63">
        <f t="shared" si="1995"/>
        <v>0.16123188405797101</v>
      </c>
      <c r="L4010" s="871" t="s">
        <v>2949</v>
      </c>
      <c r="M4010" s="468" t="s">
        <v>2388</v>
      </c>
      <c r="N4010" s="1192">
        <f t="shared" si="1998"/>
        <v>44315</v>
      </c>
      <c r="O4010" s="71" t="s">
        <v>150</v>
      </c>
      <c r="P4010" s="164" t="str">
        <f t="shared" si="1999"/>
        <v>매엽용 세척제(Wash 562)</v>
      </c>
      <c r="Q4010" s="71">
        <f t="shared" si="2000"/>
        <v>20</v>
      </c>
      <c r="R4010" s="102">
        <v>40800</v>
      </c>
      <c r="S4010" s="102">
        <f>R4010*Q4010*1.1+121000</f>
        <v>1018600.0000000001</v>
      </c>
      <c r="T4010" s="102">
        <f>R4010*Q4010+110000</f>
        <v>926000</v>
      </c>
      <c r="U4010" s="71" t="str">
        <f>IF(J4010=W4010,"O", "X")</f>
        <v>X</v>
      </c>
      <c r="V4010" s="71"/>
      <c r="W4010" s="474">
        <v>396000</v>
      </c>
      <c r="X4010" s="71"/>
      <c r="Y4010" s="71"/>
    </row>
    <row r="4011" spans="1:25" ht="30" hidden="1" customHeight="1" x14ac:dyDescent="0.25">
      <c r="A4011" s="1145">
        <v>44315</v>
      </c>
      <c r="B4011" s="664" t="s">
        <v>690</v>
      </c>
      <c r="C4011" s="71" t="s">
        <v>217</v>
      </c>
      <c r="D4011" s="71">
        <v>3</v>
      </c>
      <c r="E4011" s="102">
        <v>137000</v>
      </c>
      <c r="F4011" s="102">
        <f t="shared" si="2001"/>
        <v>452100.00000000006</v>
      </c>
      <c r="G4011" s="102">
        <f t="shared" si="2002"/>
        <v>411000</v>
      </c>
      <c r="H4011" s="690" t="s">
        <v>173</v>
      </c>
      <c r="I4011" s="71" t="s">
        <v>108</v>
      </c>
      <c r="J4011" s="53">
        <f t="shared" si="2003"/>
        <v>171000</v>
      </c>
      <c r="K4011" s="63">
        <f t="shared" si="1995"/>
        <v>0.41605839416058388</v>
      </c>
      <c r="L4011" s="871" t="s">
        <v>2949</v>
      </c>
      <c r="M4011" s="468"/>
      <c r="N4011" s="1192">
        <f t="shared" si="1998"/>
        <v>44315</v>
      </c>
      <c r="O4011" s="71" t="s">
        <v>150</v>
      </c>
      <c r="P4011" s="164" t="str">
        <f t="shared" si="1999"/>
        <v>Fount 511</v>
      </c>
      <c r="Q4011" s="71">
        <f t="shared" si="2000"/>
        <v>3</v>
      </c>
      <c r="R4011" s="102">
        <v>80000</v>
      </c>
      <c r="S4011" s="102">
        <f t="shared" ref="S4011:S4042" si="2004">R4011*Q4011*1.1</f>
        <v>264000</v>
      </c>
      <c r="T4011" s="102">
        <f t="shared" ref="T4011:T4042" si="2005">R4011*Q4011</f>
        <v>240000</v>
      </c>
      <c r="U4011" s="71" t="str">
        <f>IF(J4011=W4011,"O", "X")</f>
        <v>X</v>
      </c>
      <c r="V4011" s="71"/>
      <c r="W4011" s="474">
        <v>130000</v>
      </c>
      <c r="X4011" s="71"/>
      <c r="Y4011" s="71"/>
    </row>
    <row r="4012" spans="1:25" ht="30" hidden="1" customHeight="1" x14ac:dyDescent="0.25">
      <c r="A4012" s="1145">
        <v>44316</v>
      </c>
      <c r="B4012" s="664" t="s">
        <v>442</v>
      </c>
      <c r="C4012" s="71" t="s">
        <v>123</v>
      </c>
      <c r="D4012" s="71">
        <v>5</v>
      </c>
      <c r="E4012" s="102">
        <v>40000</v>
      </c>
      <c r="F4012" s="102">
        <f t="shared" si="2001"/>
        <v>220000.00000000003</v>
      </c>
      <c r="G4012" s="102">
        <f t="shared" si="2002"/>
        <v>200000</v>
      </c>
      <c r="H4012" s="690" t="s">
        <v>1432</v>
      </c>
      <c r="I4012" s="71" t="s">
        <v>1432</v>
      </c>
      <c r="J4012" s="53">
        <f>G4012-T4012-55000</f>
        <v>20000</v>
      </c>
      <c r="K4012" s="63">
        <f t="shared" si="1995"/>
        <v>9.9999999999999992E-2</v>
      </c>
      <c r="L4012" s="871" t="s">
        <v>2949</v>
      </c>
      <c r="M4012" s="468"/>
      <c r="N4012" s="1192">
        <f t="shared" si="1998"/>
        <v>44316</v>
      </c>
      <c r="O4012" s="71" t="s">
        <v>1432</v>
      </c>
      <c r="P4012" s="164" t="str">
        <f t="shared" si="1999"/>
        <v>필터백</v>
      </c>
      <c r="Q4012" s="71">
        <f t="shared" si="2000"/>
        <v>5</v>
      </c>
      <c r="R4012" s="102">
        <v>25000</v>
      </c>
      <c r="S4012" s="102">
        <f t="shared" si="2004"/>
        <v>137500</v>
      </c>
      <c r="T4012" s="102">
        <f t="shared" si="2005"/>
        <v>125000</v>
      </c>
      <c r="U4012" s="71"/>
      <c r="V4012" s="71"/>
      <c r="W4012" s="474"/>
      <c r="X4012" s="71"/>
      <c r="Y4012" s="71"/>
    </row>
    <row r="4013" spans="1:25" ht="30" hidden="1" customHeight="1" x14ac:dyDescent="0.25">
      <c r="A4013" s="1145">
        <v>44319</v>
      </c>
      <c r="B4013" s="664" t="s">
        <v>2155</v>
      </c>
      <c r="C4013" s="71" t="s">
        <v>2969</v>
      </c>
      <c r="D4013" s="71">
        <v>1</v>
      </c>
      <c r="E4013" s="102">
        <v>5500000</v>
      </c>
      <c r="F4013" s="102">
        <f t="shared" si="2001"/>
        <v>6050000.0000000009</v>
      </c>
      <c r="G4013" s="102">
        <f t="shared" si="2002"/>
        <v>5500000</v>
      </c>
      <c r="H4013" s="690" t="s">
        <v>1431</v>
      </c>
      <c r="I4013" s="690" t="s">
        <v>1431</v>
      </c>
      <c r="J4013" s="53">
        <f t="shared" ref="J4013:J4042" si="2006">G4013-T4013</f>
        <v>2500000</v>
      </c>
      <c r="K4013" s="63">
        <f>(J4013/(F4013/11*10))</f>
        <v>0.45454545454545447</v>
      </c>
      <c r="L4013" s="871" t="s">
        <v>2949</v>
      </c>
      <c r="M4013" s="468"/>
      <c r="N4013" s="1192">
        <f t="shared" si="1998"/>
        <v>44319</v>
      </c>
      <c r="O4013" s="71" t="s">
        <v>2363</v>
      </c>
      <c r="P4013" s="164" t="str">
        <f t="shared" si="1999"/>
        <v>드라이어 IR 카메라</v>
      </c>
      <c r="Q4013" s="71">
        <f t="shared" si="2000"/>
        <v>1</v>
      </c>
      <c r="R4013" s="102">
        <v>3000000</v>
      </c>
      <c r="S4013" s="102">
        <f t="shared" si="2004"/>
        <v>3300000.0000000005</v>
      </c>
      <c r="T4013" s="102">
        <f t="shared" si="2005"/>
        <v>3000000</v>
      </c>
      <c r="U4013" s="71"/>
      <c r="V4013" s="71"/>
      <c r="W4013" s="474"/>
      <c r="X4013" s="71"/>
      <c r="Y4013" s="71"/>
    </row>
    <row r="4014" spans="1:25" ht="30" hidden="1" customHeight="1" x14ac:dyDescent="0.25">
      <c r="A4014" s="1145">
        <v>44319</v>
      </c>
      <c r="B4014" s="664" t="s">
        <v>446</v>
      </c>
      <c r="C4014" s="71" t="s">
        <v>2028</v>
      </c>
      <c r="D4014" s="71">
        <v>20</v>
      </c>
      <c r="E4014" s="102">
        <v>105000</v>
      </c>
      <c r="F4014" s="102">
        <f>(E4014*D4014)*1.1</f>
        <v>2310000</v>
      </c>
      <c r="G4014" s="102">
        <f>(E4014*D4014)</f>
        <v>2100000</v>
      </c>
      <c r="H4014" s="690" t="s">
        <v>2029</v>
      </c>
      <c r="I4014" s="71" t="s">
        <v>2231</v>
      </c>
      <c r="J4014" s="53">
        <f t="shared" si="2006"/>
        <v>380000</v>
      </c>
      <c r="K4014" s="63">
        <f>(J4014/(F4014/11*10))</f>
        <v>0.18095238095238095</v>
      </c>
      <c r="L4014" s="871" t="s">
        <v>2950</v>
      </c>
      <c r="M4014" s="468" t="s">
        <v>3068</v>
      </c>
      <c r="N4014" s="1192">
        <f t="shared" si="1998"/>
        <v>44319</v>
      </c>
      <c r="O4014" s="71" t="s">
        <v>2030</v>
      </c>
      <c r="P4014" s="164" t="str">
        <f t="shared" si="1999"/>
        <v>실리콘 에멀전</v>
      </c>
      <c r="Q4014" s="71">
        <f t="shared" si="2000"/>
        <v>20</v>
      </c>
      <c r="R4014" s="102">
        <v>86000</v>
      </c>
      <c r="S4014" s="102">
        <f t="shared" si="2004"/>
        <v>1892000.0000000002</v>
      </c>
      <c r="T4014" s="102">
        <f t="shared" si="2005"/>
        <v>1720000</v>
      </c>
      <c r="U4014" s="71" t="str">
        <f t="shared" ref="U4014:U4021" si="2007">IF(J4014=W4014,"O", "X")</f>
        <v>O</v>
      </c>
      <c r="V4014" s="71">
        <f>7000*Q4014</f>
        <v>140000</v>
      </c>
      <c r="W4014" s="474">
        <f>(G4014-T4014)</f>
        <v>380000</v>
      </c>
      <c r="X4014" s="71"/>
      <c r="Y4014" s="71"/>
    </row>
    <row r="4015" spans="1:25" s="209" customFormat="1" ht="30" hidden="1" customHeight="1" x14ac:dyDescent="0.25">
      <c r="A4015" s="1145">
        <v>44319</v>
      </c>
      <c r="B4015" s="664" t="s">
        <v>567</v>
      </c>
      <c r="C4015" s="71" t="s">
        <v>236</v>
      </c>
      <c r="D4015" s="71">
        <v>5</v>
      </c>
      <c r="E4015" s="102">
        <v>65000</v>
      </c>
      <c r="F4015" s="102">
        <f t="shared" si="2001"/>
        <v>357500</v>
      </c>
      <c r="G4015" s="102">
        <f t="shared" si="2002"/>
        <v>325000</v>
      </c>
      <c r="H4015" s="690" t="s">
        <v>173</v>
      </c>
      <c r="I4015" s="71" t="s">
        <v>2231</v>
      </c>
      <c r="J4015" s="53">
        <f t="shared" si="2006"/>
        <v>75000</v>
      </c>
      <c r="K4015" s="63">
        <f t="shared" ref="K4015:K4021" si="2008">(J4015/(F4015/11*10))</f>
        <v>0.23076923076923078</v>
      </c>
      <c r="L4015" s="871" t="s">
        <v>2949</v>
      </c>
      <c r="M4015" s="468"/>
      <c r="N4015" s="1192">
        <f t="shared" si="1998"/>
        <v>44319</v>
      </c>
      <c r="O4015" s="71" t="s">
        <v>153</v>
      </c>
      <c r="P4015" s="164" t="str">
        <f t="shared" si="1999"/>
        <v>아스테이지(국전)</v>
      </c>
      <c r="Q4015" s="71">
        <f t="shared" si="2000"/>
        <v>5</v>
      </c>
      <c r="R4015" s="102">
        <v>50000</v>
      </c>
      <c r="S4015" s="102">
        <f t="shared" si="2004"/>
        <v>275000</v>
      </c>
      <c r="T4015" s="102">
        <f t="shared" si="2005"/>
        <v>250000</v>
      </c>
      <c r="U4015" s="71" t="str">
        <f t="shared" si="2007"/>
        <v>X</v>
      </c>
      <c r="V4015" s="71"/>
      <c r="W4015" s="474">
        <v>150000</v>
      </c>
      <c r="X4015" s="71"/>
      <c r="Y4015" s="71"/>
    </row>
    <row r="4016" spans="1:25" ht="30" hidden="1" customHeight="1" x14ac:dyDescent="0.25">
      <c r="A4016" s="1145">
        <v>44319</v>
      </c>
      <c r="B4016" s="664" t="s">
        <v>690</v>
      </c>
      <c r="C4016" s="71" t="s">
        <v>1186</v>
      </c>
      <c r="D4016" s="71">
        <v>500</v>
      </c>
      <c r="E4016" s="102">
        <v>3420</v>
      </c>
      <c r="F4016" s="102">
        <f>(E4016*D4016)*1.1</f>
        <v>1881000.0000000002</v>
      </c>
      <c r="G4016" s="102">
        <f>(E4016*D4016)</f>
        <v>1710000</v>
      </c>
      <c r="H4016" s="690" t="s">
        <v>173</v>
      </c>
      <c r="I4016" s="71" t="s">
        <v>2230</v>
      </c>
      <c r="J4016" s="53">
        <f t="shared" si="2006"/>
        <v>-190000</v>
      </c>
      <c r="K4016" s="63">
        <f t="shared" si="2008"/>
        <v>-0.11111111111111109</v>
      </c>
      <c r="L4016" s="871" t="s">
        <v>2949</v>
      </c>
      <c r="M4016" s="468" t="s">
        <v>1393</v>
      </c>
      <c r="N4016" s="1192">
        <f t="shared" si="1998"/>
        <v>44319</v>
      </c>
      <c r="O4016" s="71" t="s">
        <v>145</v>
      </c>
      <c r="P4016" s="164" t="str">
        <f t="shared" si="1999"/>
        <v>CTP 판(1030*790mm)</v>
      </c>
      <c r="Q4016" s="71">
        <f t="shared" si="2000"/>
        <v>500</v>
      </c>
      <c r="R4016" s="102">
        <v>3800</v>
      </c>
      <c r="S4016" s="102">
        <f t="shared" si="2004"/>
        <v>2090000.0000000002</v>
      </c>
      <c r="T4016" s="102">
        <f t="shared" si="2005"/>
        <v>1900000</v>
      </c>
      <c r="U4016" s="71" t="str">
        <f t="shared" si="2007"/>
        <v>X</v>
      </c>
      <c r="V4016" s="71"/>
      <c r="W4016" s="474">
        <v>-200000</v>
      </c>
      <c r="X4016" s="71"/>
      <c r="Y4016" s="71"/>
    </row>
    <row r="4017" spans="1:25" ht="30" hidden="1" customHeight="1" x14ac:dyDescent="0.25">
      <c r="A4017" s="1145">
        <v>44319</v>
      </c>
      <c r="B4017" s="664" t="s">
        <v>690</v>
      </c>
      <c r="C4017" s="71" t="s">
        <v>197</v>
      </c>
      <c r="D4017" s="71">
        <v>2</v>
      </c>
      <c r="E4017" s="102">
        <v>46000</v>
      </c>
      <c r="F4017" s="102">
        <f>(E4017*D4017)*1.1</f>
        <v>101200.00000000001</v>
      </c>
      <c r="G4017" s="102">
        <f>(E4017*D4017)</f>
        <v>92000</v>
      </c>
      <c r="H4017" s="690" t="s">
        <v>173</v>
      </c>
      <c r="I4017" s="71" t="s">
        <v>2230</v>
      </c>
      <c r="J4017" s="53">
        <f t="shared" si="2006"/>
        <v>22000</v>
      </c>
      <c r="K4017" s="63">
        <f t="shared" si="2008"/>
        <v>0.23913043478260865</v>
      </c>
      <c r="L4017" s="871" t="s">
        <v>2949</v>
      </c>
      <c r="M4017" s="468" t="s">
        <v>1394</v>
      </c>
      <c r="N4017" s="1192">
        <f t="shared" si="1998"/>
        <v>44319</v>
      </c>
      <c r="O4017" s="71" t="s">
        <v>145</v>
      </c>
      <c r="P4017" s="164" t="str">
        <f t="shared" si="1999"/>
        <v>THR200(20L)</v>
      </c>
      <c r="Q4017" s="71">
        <f t="shared" si="2000"/>
        <v>2</v>
      </c>
      <c r="R4017" s="102">
        <v>35000</v>
      </c>
      <c r="S4017" s="102">
        <f t="shared" si="2004"/>
        <v>77000</v>
      </c>
      <c r="T4017" s="102">
        <f t="shared" si="2005"/>
        <v>70000</v>
      </c>
      <c r="U4017" s="71" t="str">
        <f t="shared" si="2007"/>
        <v>X</v>
      </c>
      <c r="V4017" s="71"/>
      <c r="W4017" s="474"/>
      <c r="X4017" s="71"/>
      <c r="Y4017" s="71"/>
    </row>
    <row r="4018" spans="1:25" s="209" customFormat="1" ht="30" hidden="1" customHeight="1" x14ac:dyDescent="0.2">
      <c r="A4018" s="1145">
        <v>44320</v>
      </c>
      <c r="B4018" s="664" t="s">
        <v>764</v>
      </c>
      <c r="C4018" s="71" t="s">
        <v>236</v>
      </c>
      <c r="D4018" s="71">
        <v>10</v>
      </c>
      <c r="E4018" s="102">
        <v>100000</v>
      </c>
      <c r="F4018" s="163">
        <f t="shared" si="2001"/>
        <v>1100000</v>
      </c>
      <c r="G4018" s="102">
        <f t="shared" si="2002"/>
        <v>1000000</v>
      </c>
      <c r="H4018" s="690" t="s">
        <v>173</v>
      </c>
      <c r="I4018" s="71" t="s">
        <v>2231</v>
      </c>
      <c r="J4018" s="53">
        <f t="shared" si="2006"/>
        <v>500000</v>
      </c>
      <c r="K4018" s="63">
        <f t="shared" si="2008"/>
        <v>0.5</v>
      </c>
      <c r="L4018" s="871" t="s">
        <v>2949</v>
      </c>
      <c r="M4018" s="468"/>
      <c r="N4018" s="1192">
        <f t="shared" si="1998"/>
        <v>44320</v>
      </c>
      <c r="O4018" s="71" t="s">
        <v>153</v>
      </c>
      <c r="P4018" s="164" t="str">
        <f t="shared" si="1999"/>
        <v>아스테이지(국전)</v>
      </c>
      <c r="Q4018" s="71">
        <f t="shared" si="2000"/>
        <v>10</v>
      </c>
      <c r="R4018" s="102">
        <v>50000</v>
      </c>
      <c r="S4018" s="102">
        <f t="shared" si="2004"/>
        <v>550000</v>
      </c>
      <c r="T4018" s="102">
        <f t="shared" si="2005"/>
        <v>500000</v>
      </c>
      <c r="U4018" s="71" t="str">
        <f t="shared" si="2007"/>
        <v>O</v>
      </c>
      <c r="V4018" s="71"/>
      <c r="W4018" s="474">
        <v>500000</v>
      </c>
      <c r="X4018" s="71"/>
      <c r="Y4018" s="71"/>
    </row>
    <row r="4019" spans="1:25" s="209" customFormat="1" ht="30" hidden="1" customHeight="1" x14ac:dyDescent="0.25">
      <c r="A4019" s="1145">
        <v>44320</v>
      </c>
      <c r="B4019" s="664" t="s">
        <v>2155</v>
      </c>
      <c r="C4019" s="71" t="s">
        <v>138</v>
      </c>
      <c r="D4019" s="71">
        <v>10</v>
      </c>
      <c r="E4019" s="102">
        <v>47600</v>
      </c>
      <c r="F4019" s="102">
        <f t="shared" si="2001"/>
        <v>523600.00000000006</v>
      </c>
      <c r="G4019" s="102">
        <f t="shared" si="2002"/>
        <v>476000</v>
      </c>
      <c r="H4019" s="1129" t="s">
        <v>172</v>
      </c>
      <c r="I4019" s="71" t="s">
        <v>108</v>
      </c>
      <c r="J4019" s="53">
        <f t="shared" si="2006"/>
        <v>68000</v>
      </c>
      <c r="K4019" s="63">
        <f t="shared" si="2008"/>
        <v>0.14285714285714285</v>
      </c>
      <c r="L4019" s="871" t="s">
        <v>2949</v>
      </c>
      <c r="M4019" s="468" t="s">
        <v>2214</v>
      </c>
      <c r="N4019" s="1192">
        <f t="shared" si="1998"/>
        <v>44320</v>
      </c>
      <c r="O4019" s="71" t="s">
        <v>150</v>
      </c>
      <c r="P4019" s="164" t="str">
        <f t="shared" si="1999"/>
        <v>매엽용 세척제(Wash 562)</v>
      </c>
      <c r="Q4019" s="71">
        <f t="shared" si="2000"/>
        <v>10</v>
      </c>
      <c r="R4019" s="102">
        <v>40800</v>
      </c>
      <c r="S4019" s="102">
        <f t="shared" si="2004"/>
        <v>448800.00000000006</v>
      </c>
      <c r="T4019" s="102">
        <f t="shared" si="2005"/>
        <v>408000</v>
      </c>
      <c r="U4019" s="71" t="str">
        <f t="shared" si="2007"/>
        <v>X</v>
      </c>
      <c r="V4019" s="71"/>
      <c r="W4019" s="474">
        <v>85000</v>
      </c>
      <c r="X4019" s="71"/>
      <c r="Y4019" s="71"/>
    </row>
    <row r="4020" spans="1:25" ht="30" hidden="1" customHeight="1" x14ac:dyDescent="0.25">
      <c r="A4020" s="1145">
        <v>44320</v>
      </c>
      <c r="B4020" s="664" t="s">
        <v>2155</v>
      </c>
      <c r="C4020" s="71" t="s">
        <v>277</v>
      </c>
      <c r="D4020" s="71">
        <v>5</v>
      </c>
      <c r="E4020" s="102">
        <v>172000</v>
      </c>
      <c r="F4020" s="102">
        <f t="shared" si="2001"/>
        <v>946000.00000000012</v>
      </c>
      <c r="G4020" s="102">
        <f t="shared" si="2002"/>
        <v>860000</v>
      </c>
      <c r="H4020" s="690" t="s">
        <v>173</v>
      </c>
      <c r="I4020" s="71" t="s">
        <v>108</v>
      </c>
      <c r="J4020" s="53">
        <f t="shared" si="2006"/>
        <v>285000</v>
      </c>
      <c r="K4020" s="63">
        <f t="shared" si="2008"/>
        <v>0.33139534883720928</v>
      </c>
      <c r="L4020" s="871" t="s">
        <v>2949</v>
      </c>
      <c r="M4020" s="468"/>
      <c r="N4020" s="1192">
        <f t="shared" si="1998"/>
        <v>44320</v>
      </c>
      <c r="O4020" s="71" t="s">
        <v>150</v>
      </c>
      <c r="P4020" s="164" t="str">
        <f t="shared" si="1999"/>
        <v>윤전용 세척제(Web 504)</v>
      </c>
      <c r="Q4020" s="71">
        <f t="shared" si="2000"/>
        <v>5</v>
      </c>
      <c r="R4020" s="102">
        <v>115000</v>
      </c>
      <c r="S4020" s="102">
        <f t="shared" si="2004"/>
        <v>632500</v>
      </c>
      <c r="T4020" s="102">
        <f t="shared" si="2005"/>
        <v>575000</v>
      </c>
      <c r="U4020" s="71" t="str">
        <f t="shared" si="2007"/>
        <v>O</v>
      </c>
      <c r="V4020" s="71"/>
      <c r="W4020" s="474">
        <v>285000</v>
      </c>
      <c r="X4020" s="71"/>
      <c r="Y4020" s="71"/>
    </row>
    <row r="4021" spans="1:25" ht="30" hidden="1" customHeight="1" x14ac:dyDescent="0.25">
      <c r="A4021" s="1145">
        <v>44320</v>
      </c>
      <c r="B4021" s="664" t="s">
        <v>2155</v>
      </c>
      <c r="C4021" s="760" t="s">
        <v>218</v>
      </c>
      <c r="D4021" s="71">
        <v>5</v>
      </c>
      <c r="E4021" s="102">
        <v>192500</v>
      </c>
      <c r="F4021" s="102">
        <f t="shared" si="2001"/>
        <v>1058750</v>
      </c>
      <c r="G4021" s="102">
        <f t="shared" si="2002"/>
        <v>962500</v>
      </c>
      <c r="H4021" s="690" t="s">
        <v>173</v>
      </c>
      <c r="I4021" s="71" t="s">
        <v>120</v>
      </c>
      <c r="J4021" s="53">
        <f t="shared" si="2006"/>
        <v>400000</v>
      </c>
      <c r="K4021" s="63">
        <f t="shared" si="2008"/>
        <v>0.41558441558441561</v>
      </c>
      <c r="L4021" s="871" t="s">
        <v>2949</v>
      </c>
      <c r="M4021" s="468"/>
      <c r="N4021" s="1192">
        <f t="shared" si="1998"/>
        <v>44320</v>
      </c>
      <c r="O4021" s="71" t="s">
        <v>150</v>
      </c>
      <c r="P4021" s="164" t="str">
        <f t="shared" si="1999"/>
        <v>Fount Web 551AF</v>
      </c>
      <c r="Q4021" s="71">
        <f t="shared" si="2000"/>
        <v>5</v>
      </c>
      <c r="R4021" s="102">
        <v>112500</v>
      </c>
      <c r="S4021" s="102">
        <f t="shared" si="2004"/>
        <v>618750</v>
      </c>
      <c r="T4021" s="102">
        <f t="shared" si="2005"/>
        <v>562500</v>
      </c>
      <c r="U4021" s="71" t="str">
        <f t="shared" si="2007"/>
        <v>X</v>
      </c>
      <c r="V4021" s="71"/>
      <c r="W4021" s="474">
        <v>640000</v>
      </c>
      <c r="X4021" s="71"/>
      <c r="Y4021" s="71"/>
    </row>
    <row r="4022" spans="1:25" ht="30" hidden="1" customHeight="1" x14ac:dyDescent="0.25">
      <c r="A4022" s="1145">
        <v>44322</v>
      </c>
      <c r="B4022" s="664" t="s">
        <v>819</v>
      </c>
      <c r="C4022" s="71" t="s">
        <v>2870</v>
      </c>
      <c r="D4022" s="71">
        <v>3</v>
      </c>
      <c r="E4022" s="102">
        <v>7300000</v>
      </c>
      <c r="F4022" s="102">
        <f t="shared" ref="F4022:F4027" si="2009">(E4022*D4022)*1.1</f>
        <v>24090000.000000004</v>
      </c>
      <c r="G4022" s="102">
        <f t="shared" ref="G4022:G4027" si="2010">(E4022*D4022)</f>
        <v>21900000</v>
      </c>
      <c r="H4022" s="690" t="s">
        <v>173</v>
      </c>
      <c r="I4022" s="71" t="s">
        <v>2184</v>
      </c>
      <c r="J4022" s="53">
        <f t="shared" si="2006"/>
        <v>4800000</v>
      </c>
      <c r="K4022" s="63">
        <f t="shared" ref="K4022:K4037" si="2011">(J4022/(F4022/11*10))</f>
        <v>0.21917808219178078</v>
      </c>
      <c r="L4022" s="871" t="s">
        <v>2949</v>
      </c>
      <c r="M4022" s="468" t="s">
        <v>2869</v>
      </c>
      <c r="N4022" s="1192">
        <f t="shared" si="1998"/>
        <v>44322</v>
      </c>
      <c r="O4022" s="71" t="s">
        <v>150</v>
      </c>
      <c r="P4022" s="164" t="str">
        <f t="shared" si="1999"/>
        <v>IST 리플렉터</v>
      </c>
      <c r="Q4022" s="71">
        <f t="shared" si="2000"/>
        <v>3</v>
      </c>
      <c r="R4022" s="102">
        <v>5700000</v>
      </c>
      <c r="S4022" s="102">
        <f t="shared" si="2004"/>
        <v>18810000</v>
      </c>
      <c r="T4022" s="102">
        <f t="shared" si="2005"/>
        <v>17100000</v>
      </c>
      <c r="U4022" s="71"/>
      <c r="V4022" s="71"/>
      <c r="W4022" s="474"/>
      <c r="X4022" s="71"/>
      <c r="Y4022" s="71"/>
    </row>
    <row r="4023" spans="1:25" ht="30" hidden="1" customHeight="1" x14ac:dyDescent="0.25">
      <c r="A4023" s="1145">
        <v>44322</v>
      </c>
      <c r="B4023" s="664" t="s">
        <v>819</v>
      </c>
      <c r="C4023" s="71" t="s">
        <v>2971</v>
      </c>
      <c r="D4023" s="71">
        <v>10</v>
      </c>
      <c r="E4023" s="102">
        <v>900000</v>
      </c>
      <c r="F4023" s="102">
        <f t="shared" si="2009"/>
        <v>9900000</v>
      </c>
      <c r="G4023" s="102">
        <f t="shared" si="2010"/>
        <v>9000000</v>
      </c>
      <c r="H4023" s="690" t="s">
        <v>173</v>
      </c>
      <c r="I4023" s="71" t="s">
        <v>2184</v>
      </c>
      <c r="J4023" s="53">
        <f t="shared" si="2006"/>
        <v>1100000</v>
      </c>
      <c r="K4023" s="63">
        <f t="shared" si="2011"/>
        <v>0.12222222222222222</v>
      </c>
      <c r="L4023" s="871" t="s">
        <v>2949</v>
      </c>
      <c r="M4023" s="468"/>
      <c r="N4023" s="1192">
        <f t="shared" si="1998"/>
        <v>44322</v>
      </c>
      <c r="O4023" s="71" t="s">
        <v>150</v>
      </c>
      <c r="P4023" s="164" t="str">
        <f t="shared" si="1999"/>
        <v>IST 수은등 UV lamp</v>
      </c>
      <c r="Q4023" s="71">
        <f t="shared" si="2000"/>
        <v>10</v>
      </c>
      <c r="R4023" s="102">
        <v>790000</v>
      </c>
      <c r="S4023" s="102">
        <f t="shared" si="2004"/>
        <v>8690000</v>
      </c>
      <c r="T4023" s="102">
        <f t="shared" si="2005"/>
        <v>7900000</v>
      </c>
      <c r="U4023" s="71" t="str">
        <f>IF(J4023=W4023,"O", "X")</f>
        <v>X</v>
      </c>
      <c r="V4023" s="71"/>
      <c r="W4023" s="474"/>
      <c r="X4023" s="71"/>
      <c r="Y4023" s="71"/>
    </row>
    <row r="4024" spans="1:25" ht="30" customHeight="1" x14ac:dyDescent="0.25">
      <c r="A4024" s="1145">
        <v>44322</v>
      </c>
      <c r="B4024" s="664" t="s">
        <v>565</v>
      </c>
      <c r="C4024" s="71" t="s">
        <v>2972</v>
      </c>
      <c r="D4024" s="71">
        <v>30</v>
      </c>
      <c r="E4024" s="102">
        <v>185000</v>
      </c>
      <c r="F4024" s="102">
        <f t="shared" si="2009"/>
        <v>6105000.0000000009</v>
      </c>
      <c r="G4024" s="102">
        <f t="shared" si="2010"/>
        <v>5550000</v>
      </c>
      <c r="H4024" s="690" t="s">
        <v>142</v>
      </c>
      <c r="I4024" s="690" t="s">
        <v>142</v>
      </c>
      <c r="J4024" s="53">
        <f t="shared" si="2006"/>
        <v>1410000</v>
      </c>
      <c r="K4024" s="63">
        <f t="shared" si="2011"/>
        <v>0.25405405405405401</v>
      </c>
      <c r="L4024" s="871" t="s">
        <v>2949</v>
      </c>
      <c r="M4024" s="468"/>
      <c r="N4024" s="1192">
        <f t="shared" si="1998"/>
        <v>44322</v>
      </c>
      <c r="O4024" s="71" t="s">
        <v>1431</v>
      </c>
      <c r="P4024" s="164" t="str">
        <f t="shared" si="1999"/>
        <v>HYDRAULIC CYLINDER</v>
      </c>
      <c r="Q4024" s="71">
        <f t="shared" si="2000"/>
        <v>30</v>
      </c>
      <c r="R4024" s="102">
        <v>138000</v>
      </c>
      <c r="S4024" s="102">
        <f t="shared" si="2004"/>
        <v>4554000</v>
      </c>
      <c r="T4024" s="102">
        <f t="shared" si="2005"/>
        <v>4140000</v>
      </c>
      <c r="U4024" s="71"/>
      <c r="V4024" s="71"/>
      <c r="W4024" s="474"/>
      <c r="X4024" s="71"/>
      <c r="Y4024" s="71"/>
    </row>
    <row r="4025" spans="1:25" ht="27.6" hidden="1" customHeight="1" x14ac:dyDescent="0.25">
      <c r="A4025" s="1145">
        <v>44323</v>
      </c>
      <c r="B4025" s="664" t="s">
        <v>567</v>
      </c>
      <c r="C4025" s="71" t="s">
        <v>1652</v>
      </c>
      <c r="D4025" s="71">
        <v>5</v>
      </c>
      <c r="E4025" s="102">
        <v>45000</v>
      </c>
      <c r="F4025" s="102">
        <f t="shared" si="2009"/>
        <v>247500.00000000003</v>
      </c>
      <c r="G4025" s="102">
        <f t="shared" si="2010"/>
        <v>225000</v>
      </c>
      <c r="H4025" s="690" t="s">
        <v>173</v>
      </c>
      <c r="I4025" s="71" t="s">
        <v>2231</v>
      </c>
      <c r="J4025" s="53">
        <f t="shared" si="2006"/>
        <v>25000</v>
      </c>
      <c r="K4025" s="63">
        <f t="shared" si="2011"/>
        <v>0.11111111111111109</v>
      </c>
      <c r="L4025" s="871" t="s">
        <v>2949</v>
      </c>
      <c r="M4025" s="468"/>
      <c r="N4025" s="1192">
        <f t="shared" si="1998"/>
        <v>44323</v>
      </c>
      <c r="O4025" s="71" t="s">
        <v>153</v>
      </c>
      <c r="P4025" s="164" t="str">
        <f t="shared" si="1999"/>
        <v>아스테이지(CD74용)</v>
      </c>
      <c r="Q4025" s="71">
        <f t="shared" si="2000"/>
        <v>5</v>
      </c>
      <c r="R4025" s="102">
        <v>40000</v>
      </c>
      <c r="S4025" s="102">
        <f t="shared" si="2004"/>
        <v>220000.00000000003</v>
      </c>
      <c r="T4025" s="102">
        <f t="shared" si="2005"/>
        <v>200000</v>
      </c>
      <c r="U4025" s="71" t="str">
        <f>IF(J4025=W4025,"O", "X")</f>
        <v>X</v>
      </c>
      <c r="V4025" s="71"/>
      <c r="W4025" s="474"/>
      <c r="X4025" s="71"/>
      <c r="Y4025" s="71"/>
    </row>
    <row r="4026" spans="1:25" ht="30" hidden="1" customHeight="1" x14ac:dyDescent="0.25">
      <c r="A4026" s="1145">
        <v>44323</v>
      </c>
      <c r="B4026" s="664" t="s">
        <v>548</v>
      </c>
      <c r="C4026" s="71" t="s">
        <v>2973</v>
      </c>
      <c r="D4026" s="71">
        <v>10</v>
      </c>
      <c r="E4026" s="102">
        <v>100000</v>
      </c>
      <c r="F4026" s="102">
        <f t="shared" si="2009"/>
        <v>1100000</v>
      </c>
      <c r="G4026" s="102">
        <f t="shared" si="2010"/>
        <v>1000000</v>
      </c>
      <c r="H4026" s="690" t="s">
        <v>173</v>
      </c>
      <c r="I4026" s="71" t="s">
        <v>2231</v>
      </c>
      <c r="J4026" s="53">
        <f t="shared" si="2006"/>
        <v>138000</v>
      </c>
      <c r="K4026" s="63">
        <f t="shared" si="2011"/>
        <v>0.13800000000000001</v>
      </c>
      <c r="L4026" s="871" t="s">
        <v>2949</v>
      </c>
      <c r="M4026" s="468"/>
      <c r="N4026" s="1192">
        <f t="shared" si="1998"/>
        <v>44323</v>
      </c>
      <c r="O4026" s="71" t="s">
        <v>147</v>
      </c>
      <c r="P4026" s="164" t="str">
        <f t="shared" si="1999"/>
        <v>1077*885 하이델 bar 블랑켓</v>
      </c>
      <c r="Q4026" s="71">
        <f t="shared" si="2000"/>
        <v>10</v>
      </c>
      <c r="R4026" s="102">
        <v>86200</v>
      </c>
      <c r="S4026" s="102">
        <f t="shared" si="2004"/>
        <v>948200.00000000012</v>
      </c>
      <c r="T4026" s="102">
        <f t="shared" si="2005"/>
        <v>862000</v>
      </c>
      <c r="U4026" s="71"/>
      <c r="V4026" s="71"/>
      <c r="W4026" s="474"/>
      <c r="X4026" s="71"/>
      <c r="Y4026" s="71"/>
    </row>
    <row r="4027" spans="1:25" ht="30" customHeight="1" x14ac:dyDescent="0.25">
      <c r="A4027" s="1145">
        <v>44323</v>
      </c>
      <c r="B4027" s="664" t="s">
        <v>2352</v>
      </c>
      <c r="C4027" s="760" t="s">
        <v>218</v>
      </c>
      <c r="D4027" s="71">
        <v>4</v>
      </c>
      <c r="E4027" s="102">
        <v>235000</v>
      </c>
      <c r="F4027" s="102">
        <f t="shared" si="2009"/>
        <v>1034000.0000000001</v>
      </c>
      <c r="G4027" s="102">
        <f t="shared" si="2010"/>
        <v>940000</v>
      </c>
      <c r="H4027" s="690" t="s">
        <v>142</v>
      </c>
      <c r="I4027" s="690" t="s">
        <v>142</v>
      </c>
      <c r="J4027" s="53">
        <f t="shared" si="2006"/>
        <v>490000</v>
      </c>
      <c r="K4027" s="63">
        <f t="shared" si="2011"/>
        <v>0.52127659574468077</v>
      </c>
      <c r="L4027" s="871" t="s">
        <v>2949</v>
      </c>
      <c r="M4027" s="468" t="s">
        <v>2053</v>
      </c>
      <c r="N4027" s="1192">
        <f t="shared" si="1998"/>
        <v>44323</v>
      </c>
      <c r="O4027" s="71" t="s">
        <v>150</v>
      </c>
      <c r="P4027" s="164" t="str">
        <f t="shared" si="1999"/>
        <v>Fount Web 551AF</v>
      </c>
      <c r="Q4027" s="71">
        <f t="shared" si="2000"/>
        <v>4</v>
      </c>
      <c r="R4027" s="102">
        <v>112500</v>
      </c>
      <c r="S4027" s="102">
        <f t="shared" si="2004"/>
        <v>495000.00000000006</v>
      </c>
      <c r="T4027" s="102">
        <f t="shared" si="2005"/>
        <v>450000</v>
      </c>
      <c r="U4027" s="71" t="str">
        <f>IF(J4027=W4027,"O", "X")</f>
        <v>O</v>
      </c>
      <c r="V4027" s="71"/>
      <c r="W4027" s="474">
        <f>(G4027-T4027)</f>
        <v>490000</v>
      </c>
      <c r="X4027" s="71"/>
      <c r="Y4027" s="71"/>
    </row>
    <row r="4028" spans="1:25" ht="30" hidden="1" customHeight="1" x14ac:dyDescent="0.25">
      <c r="A4028" s="1145">
        <v>44328</v>
      </c>
      <c r="B4028" s="664" t="s">
        <v>575</v>
      </c>
      <c r="C4028" s="71" t="s">
        <v>2204</v>
      </c>
      <c r="D4028" s="71">
        <v>1</v>
      </c>
      <c r="E4028" s="102">
        <v>6500000</v>
      </c>
      <c r="F4028" s="102">
        <f t="shared" si="2001"/>
        <v>7150000.0000000009</v>
      </c>
      <c r="G4028" s="102">
        <f t="shared" si="2002"/>
        <v>6500000</v>
      </c>
      <c r="H4028" s="690" t="s">
        <v>1431</v>
      </c>
      <c r="I4028" s="690" t="s">
        <v>1431</v>
      </c>
      <c r="J4028" s="53">
        <f t="shared" si="2006"/>
        <v>1980385</v>
      </c>
      <c r="K4028" s="63">
        <f t="shared" si="2011"/>
        <v>0.30467461538461532</v>
      </c>
      <c r="L4028" s="871" t="s">
        <v>2949</v>
      </c>
      <c r="M4028" s="468"/>
      <c r="N4028" s="1192">
        <f t="shared" si="1998"/>
        <v>44328</v>
      </c>
      <c r="O4028" s="71" t="s">
        <v>1431</v>
      </c>
      <c r="P4028" s="164" t="str">
        <f t="shared" si="1999"/>
        <v>판걸이 튜브(상부)</v>
      </c>
      <c r="Q4028" s="71">
        <f t="shared" si="2000"/>
        <v>1</v>
      </c>
      <c r="R4028" s="102">
        <v>4519615</v>
      </c>
      <c r="S4028" s="102">
        <f t="shared" si="2004"/>
        <v>4971576.5</v>
      </c>
      <c r="T4028" s="102">
        <f t="shared" si="2005"/>
        <v>4519615</v>
      </c>
      <c r="U4028" s="71"/>
      <c r="V4028" s="71"/>
      <c r="W4028" s="474"/>
      <c r="X4028" s="71"/>
      <c r="Y4028" s="71"/>
    </row>
    <row r="4029" spans="1:25" ht="30" hidden="1" customHeight="1" x14ac:dyDescent="0.25">
      <c r="A4029" s="1145">
        <v>44328</v>
      </c>
      <c r="B4029" s="664" t="s">
        <v>575</v>
      </c>
      <c r="C4029" s="71" t="s">
        <v>2205</v>
      </c>
      <c r="D4029" s="71">
        <v>1</v>
      </c>
      <c r="E4029" s="102">
        <v>6500000</v>
      </c>
      <c r="F4029" s="102">
        <f t="shared" si="2001"/>
        <v>7150000.0000000009</v>
      </c>
      <c r="G4029" s="102">
        <f t="shared" si="2002"/>
        <v>6500000</v>
      </c>
      <c r="H4029" s="690" t="s">
        <v>1431</v>
      </c>
      <c r="I4029" s="690" t="s">
        <v>1431</v>
      </c>
      <c r="J4029" s="53">
        <f t="shared" si="2006"/>
        <v>1980385</v>
      </c>
      <c r="K4029" s="63">
        <f t="shared" si="2011"/>
        <v>0.30467461538461532</v>
      </c>
      <c r="L4029" s="871" t="s">
        <v>2949</v>
      </c>
      <c r="M4029" s="468"/>
      <c r="N4029" s="1192">
        <f t="shared" si="1998"/>
        <v>44328</v>
      </c>
      <c r="O4029" s="71" t="s">
        <v>1431</v>
      </c>
      <c r="P4029" s="164" t="str">
        <f t="shared" si="1999"/>
        <v>판걸이 튜브(하부)</v>
      </c>
      <c r="Q4029" s="71">
        <f t="shared" si="2000"/>
        <v>1</v>
      </c>
      <c r="R4029" s="102">
        <v>4519615</v>
      </c>
      <c r="S4029" s="102">
        <f t="shared" si="2004"/>
        <v>4971576.5</v>
      </c>
      <c r="T4029" s="102">
        <f t="shared" si="2005"/>
        <v>4519615</v>
      </c>
      <c r="U4029" s="71"/>
      <c r="V4029" s="71"/>
      <c r="W4029" s="474"/>
      <c r="X4029" s="71"/>
      <c r="Y4029" s="71"/>
    </row>
    <row r="4030" spans="1:25" ht="30" hidden="1" customHeight="1" x14ac:dyDescent="0.25">
      <c r="A4030" s="1145">
        <v>44328</v>
      </c>
      <c r="B4030" s="664" t="s">
        <v>856</v>
      </c>
      <c r="C4030" s="71" t="s">
        <v>2489</v>
      </c>
      <c r="D4030" s="71">
        <v>5</v>
      </c>
      <c r="E4030" s="102">
        <v>890000</v>
      </c>
      <c r="F4030" s="102">
        <f t="shared" si="2001"/>
        <v>4895000</v>
      </c>
      <c r="G4030" s="102">
        <f t="shared" si="2002"/>
        <v>4450000</v>
      </c>
      <c r="H4030" s="690" t="s">
        <v>173</v>
      </c>
      <c r="I4030" s="71" t="s">
        <v>2184</v>
      </c>
      <c r="J4030" s="53">
        <f t="shared" si="2006"/>
        <v>1950000</v>
      </c>
      <c r="K4030" s="63">
        <f t="shared" si="2011"/>
        <v>0.43820224719101125</v>
      </c>
      <c r="L4030" s="871" t="s">
        <v>2949</v>
      </c>
      <c r="M4030" s="468"/>
      <c r="N4030" s="1192">
        <f t="shared" si="1998"/>
        <v>44328</v>
      </c>
      <c r="O4030" s="71" t="s">
        <v>2472</v>
      </c>
      <c r="P4030" s="164" t="str">
        <f t="shared" si="1999"/>
        <v>료비 UV lamp</v>
      </c>
      <c r="Q4030" s="71">
        <f t="shared" si="2000"/>
        <v>5</v>
      </c>
      <c r="R4030" s="102">
        <v>500000</v>
      </c>
      <c r="S4030" s="102">
        <f t="shared" si="2004"/>
        <v>2750000</v>
      </c>
      <c r="T4030" s="102">
        <f t="shared" si="2005"/>
        <v>2500000</v>
      </c>
      <c r="U4030" s="71"/>
      <c r="V4030" s="71"/>
      <c r="W4030" s="474"/>
      <c r="X4030" s="71"/>
      <c r="Y4030" s="71"/>
    </row>
    <row r="4031" spans="1:25" s="209" customFormat="1" ht="30" hidden="1" customHeight="1" x14ac:dyDescent="0.2">
      <c r="A4031" s="1145">
        <v>44328</v>
      </c>
      <c r="B4031" s="664" t="s">
        <v>2353</v>
      </c>
      <c r="C4031" s="71" t="s">
        <v>130</v>
      </c>
      <c r="D4031" s="71">
        <v>10</v>
      </c>
      <c r="E4031" s="102">
        <v>125000</v>
      </c>
      <c r="F4031" s="102">
        <f t="shared" si="2001"/>
        <v>1375000</v>
      </c>
      <c r="G4031" s="102">
        <f t="shared" si="2002"/>
        <v>1250000</v>
      </c>
      <c r="H4031" s="165" t="s">
        <v>142</v>
      </c>
      <c r="I4031" s="690" t="s">
        <v>142</v>
      </c>
      <c r="J4031" s="53">
        <f t="shared" si="2006"/>
        <v>260000</v>
      </c>
      <c r="K4031" s="63">
        <f t="shared" si="2011"/>
        <v>0.20799999999999999</v>
      </c>
      <c r="L4031" s="871" t="s">
        <v>2949</v>
      </c>
      <c r="M4031" s="468" t="s">
        <v>2050</v>
      </c>
      <c r="N4031" s="1192">
        <f t="shared" si="1998"/>
        <v>44328</v>
      </c>
      <c r="O4031" s="71" t="s">
        <v>150</v>
      </c>
      <c r="P4031" s="164" t="str">
        <f t="shared" si="1999"/>
        <v>XL106 Blanket(1077*885)</v>
      </c>
      <c r="Q4031" s="71">
        <f t="shared" si="2000"/>
        <v>10</v>
      </c>
      <c r="R4031" s="102">
        <v>99000</v>
      </c>
      <c r="S4031" s="102">
        <f t="shared" si="2004"/>
        <v>1089000</v>
      </c>
      <c r="T4031" s="102">
        <f t="shared" si="2005"/>
        <v>990000</v>
      </c>
      <c r="U4031" s="71" t="str">
        <f>IF(J4031=W4031,"O", "X")</f>
        <v>O</v>
      </c>
      <c r="V4031" s="71"/>
      <c r="W4031" s="474">
        <f>(G4031-T4031)</f>
        <v>260000</v>
      </c>
      <c r="X4031" s="71"/>
      <c r="Y4031" s="71"/>
    </row>
    <row r="4032" spans="1:25" ht="30" hidden="1" customHeight="1" x14ac:dyDescent="0.2">
      <c r="A4032" s="1145">
        <v>44328</v>
      </c>
      <c r="B4032" s="664" t="s">
        <v>2353</v>
      </c>
      <c r="C4032" s="71" t="s">
        <v>129</v>
      </c>
      <c r="D4032" s="71">
        <v>7</v>
      </c>
      <c r="E4032" s="102">
        <v>272000</v>
      </c>
      <c r="F4032" s="102">
        <f t="shared" si="2001"/>
        <v>2094400.0000000002</v>
      </c>
      <c r="G4032" s="102">
        <f t="shared" si="2002"/>
        <v>1904000</v>
      </c>
      <c r="H4032" s="165" t="s">
        <v>142</v>
      </c>
      <c r="I4032" s="690" t="s">
        <v>142</v>
      </c>
      <c r="J4032" s="53">
        <f t="shared" si="2006"/>
        <v>414400</v>
      </c>
      <c r="K4032" s="63">
        <f t="shared" si="2011"/>
        <v>0.21764705882352939</v>
      </c>
      <c r="L4032" s="871" t="s">
        <v>2949</v>
      </c>
      <c r="M4032" s="468" t="s">
        <v>2050</v>
      </c>
      <c r="N4032" s="1192">
        <f t="shared" si="1998"/>
        <v>44328</v>
      </c>
      <c r="O4032" s="71" t="s">
        <v>149</v>
      </c>
      <c r="P4032" s="164" t="str">
        <f t="shared" si="1999"/>
        <v>세정포-XL106</v>
      </c>
      <c r="Q4032" s="71">
        <f t="shared" si="2000"/>
        <v>7</v>
      </c>
      <c r="R4032" s="102">
        <v>212800</v>
      </c>
      <c r="S4032" s="102">
        <f t="shared" si="2004"/>
        <v>1638560.0000000002</v>
      </c>
      <c r="T4032" s="102">
        <f t="shared" si="2005"/>
        <v>1489600</v>
      </c>
      <c r="U4032" s="71" t="str">
        <f>IF(J4032=W4032,"O", "X")</f>
        <v>O</v>
      </c>
      <c r="V4032" s="71"/>
      <c r="W4032" s="474">
        <f>(G4032-T4032)</f>
        <v>414400</v>
      </c>
      <c r="X4032" s="71"/>
      <c r="Y4032" s="71"/>
    </row>
    <row r="4033" spans="1:25" s="209" customFormat="1" ht="30" hidden="1" customHeight="1" x14ac:dyDescent="0.2">
      <c r="A4033" s="1145">
        <v>44328</v>
      </c>
      <c r="B4033" s="664" t="s">
        <v>2353</v>
      </c>
      <c r="C4033" s="71" t="s">
        <v>138</v>
      </c>
      <c r="D4033" s="71">
        <v>10</v>
      </c>
      <c r="E4033" s="102">
        <v>54400</v>
      </c>
      <c r="F4033" s="102">
        <f t="shared" si="2001"/>
        <v>598400</v>
      </c>
      <c r="G4033" s="102">
        <f t="shared" si="2002"/>
        <v>544000</v>
      </c>
      <c r="H4033" s="165" t="s">
        <v>142</v>
      </c>
      <c r="I4033" s="690" t="s">
        <v>142</v>
      </c>
      <c r="J4033" s="53">
        <f t="shared" si="2006"/>
        <v>136000</v>
      </c>
      <c r="K4033" s="63">
        <f t="shared" si="2011"/>
        <v>0.25</v>
      </c>
      <c r="L4033" s="871" t="s">
        <v>2949</v>
      </c>
      <c r="M4033" s="468" t="s">
        <v>2214</v>
      </c>
      <c r="N4033" s="1192">
        <f t="shared" si="1998"/>
        <v>44328</v>
      </c>
      <c r="O4033" s="71" t="s">
        <v>2030</v>
      </c>
      <c r="P4033" s="164" t="str">
        <f t="shared" si="1999"/>
        <v>매엽용 세척제(Wash 562)</v>
      </c>
      <c r="Q4033" s="71">
        <f t="shared" si="2000"/>
        <v>10</v>
      </c>
      <c r="R4033" s="102">
        <v>40800</v>
      </c>
      <c r="S4033" s="102">
        <f t="shared" si="2004"/>
        <v>448800.00000000006</v>
      </c>
      <c r="T4033" s="102">
        <f t="shared" si="2005"/>
        <v>408000</v>
      </c>
      <c r="U4033" s="71" t="str">
        <f>IF(J4033=W4033,"O", "X")</f>
        <v>O</v>
      </c>
      <c r="V4033" s="71"/>
      <c r="W4033" s="474">
        <f>(G4033-T4033)</f>
        <v>136000</v>
      </c>
      <c r="X4033" s="71"/>
      <c r="Y4033" s="71"/>
    </row>
    <row r="4034" spans="1:25" s="209" customFormat="1" ht="30" hidden="1" customHeight="1" x14ac:dyDescent="0.2">
      <c r="A4034" s="1145">
        <v>44330</v>
      </c>
      <c r="B4034" s="664" t="s">
        <v>2941</v>
      </c>
      <c r="C4034" s="71" t="s">
        <v>2982</v>
      </c>
      <c r="D4034" s="71">
        <v>1</v>
      </c>
      <c r="E4034" s="102">
        <v>3550000</v>
      </c>
      <c r="F4034" s="102">
        <f t="shared" si="2001"/>
        <v>3905000.0000000005</v>
      </c>
      <c r="G4034" s="102">
        <f t="shared" si="2002"/>
        <v>3550000</v>
      </c>
      <c r="H4034" s="165" t="s">
        <v>142</v>
      </c>
      <c r="I4034" s="690" t="s">
        <v>142</v>
      </c>
      <c r="J4034" s="53">
        <f t="shared" si="2006"/>
        <v>1830000</v>
      </c>
      <c r="K4034" s="63">
        <f t="shared" si="2011"/>
        <v>0.51549295774647885</v>
      </c>
      <c r="L4034" s="871" t="s">
        <v>2949</v>
      </c>
      <c r="M4034" s="468"/>
      <c r="N4034" s="1192">
        <f t="shared" si="1998"/>
        <v>44330</v>
      </c>
      <c r="O4034" s="71" t="s">
        <v>1431</v>
      </c>
      <c r="P4034" s="164" t="str">
        <f t="shared" si="1999"/>
        <v>synchronous motor RSM 36/8 F 9개</v>
      </c>
      <c r="Q4034" s="71">
        <f t="shared" si="2000"/>
        <v>1</v>
      </c>
      <c r="R4034" s="102">
        <v>1720000</v>
      </c>
      <c r="S4034" s="102">
        <f t="shared" si="2004"/>
        <v>1892000.0000000002</v>
      </c>
      <c r="T4034" s="102">
        <f t="shared" si="2005"/>
        <v>1720000</v>
      </c>
      <c r="U4034" s="71"/>
      <c r="V4034" s="71"/>
      <c r="W4034" s="474"/>
      <c r="X4034" s="71"/>
      <c r="Y4034" s="71"/>
    </row>
    <row r="4035" spans="1:25" ht="30" hidden="1" customHeight="1" x14ac:dyDescent="0.25">
      <c r="A4035" s="1145">
        <v>44330</v>
      </c>
      <c r="B4035" s="664" t="s">
        <v>690</v>
      </c>
      <c r="C4035" s="71" t="s">
        <v>1186</v>
      </c>
      <c r="D4035" s="71">
        <v>500</v>
      </c>
      <c r="E4035" s="102">
        <v>3420</v>
      </c>
      <c r="F4035" s="102">
        <f t="shared" si="2001"/>
        <v>1881000.0000000002</v>
      </c>
      <c r="G4035" s="102">
        <f t="shared" si="2002"/>
        <v>1710000</v>
      </c>
      <c r="H4035" s="690" t="s">
        <v>173</v>
      </c>
      <c r="I4035" s="71" t="s">
        <v>2230</v>
      </c>
      <c r="J4035" s="53">
        <f t="shared" si="2006"/>
        <v>-190000</v>
      </c>
      <c r="K4035" s="63">
        <f t="shared" si="2011"/>
        <v>-0.11111111111111109</v>
      </c>
      <c r="L4035" s="871" t="s">
        <v>2949</v>
      </c>
      <c r="M4035" s="468" t="s">
        <v>1393</v>
      </c>
      <c r="N4035" s="1192">
        <f t="shared" si="1998"/>
        <v>44330</v>
      </c>
      <c r="O4035" s="71" t="s">
        <v>145</v>
      </c>
      <c r="P4035" s="164" t="str">
        <f t="shared" si="1999"/>
        <v>CTP 판(1030*790mm)</v>
      </c>
      <c r="Q4035" s="71">
        <f t="shared" si="2000"/>
        <v>500</v>
      </c>
      <c r="R4035" s="102">
        <v>3800</v>
      </c>
      <c r="S4035" s="102">
        <f t="shared" si="2004"/>
        <v>2090000.0000000002</v>
      </c>
      <c r="T4035" s="102">
        <f t="shared" si="2005"/>
        <v>1900000</v>
      </c>
      <c r="U4035" s="71" t="str">
        <f>IF(J4035=W4035,"O", "X")</f>
        <v>X</v>
      </c>
      <c r="V4035" s="71"/>
      <c r="W4035" s="474">
        <v>-200000</v>
      </c>
      <c r="X4035" s="71"/>
      <c r="Y4035" s="71"/>
    </row>
    <row r="4036" spans="1:25" ht="30" hidden="1" customHeight="1" x14ac:dyDescent="0.25">
      <c r="A4036" s="1145">
        <v>44330</v>
      </c>
      <c r="B4036" s="664" t="s">
        <v>690</v>
      </c>
      <c r="C4036" s="71" t="s">
        <v>197</v>
      </c>
      <c r="D4036" s="71">
        <v>2</v>
      </c>
      <c r="E4036" s="102">
        <v>46000</v>
      </c>
      <c r="F4036" s="102">
        <f t="shared" si="2001"/>
        <v>101200.00000000001</v>
      </c>
      <c r="G4036" s="102">
        <f t="shared" si="2002"/>
        <v>92000</v>
      </c>
      <c r="H4036" s="690" t="s">
        <v>173</v>
      </c>
      <c r="I4036" s="71" t="s">
        <v>2230</v>
      </c>
      <c r="J4036" s="53">
        <f t="shared" si="2006"/>
        <v>22000</v>
      </c>
      <c r="K4036" s="63">
        <f t="shared" si="2011"/>
        <v>0.23913043478260865</v>
      </c>
      <c r="L4036" s="871" t="s">
        <v>2949</v>
      </c>
      <c r="M4036" s="468" t="s">
        <v>1394</v>
      </c>
      <c r="N4036" s="1192">
        <f t="shared" si="1998"/>
        <v>44330</v>
      </c>
      <c r="O4036" s="71" t="s">
        <v>145</v>
      </c>
      <c r="P4036" s="164" t="str">
        <f t="shared" si="1999"/>
        <v>THR200(20L)</v>
      </c>
      <c r="Q4036" s="71">
        <f t="shared" si="2000"/>
        <v>2</v>
      </c>
      <c r="R4036" s="102">
        <v>35000</v>
      </c>
      <c r="S4036" s="102">
        <f t="shared" si="2004"/>
        <v>77000</v>
      </c>
      <c r="T4036" s="102">
        <f t="shared" si="2005"/>
        <v>70000</v>
      </c>
      <c r="U4036" s="71" t="str">
        <f>IF(J4036=W4036,"O", "X")</f>
        <v>X</v>
      </c>
      <c r="V4036" s="71"/>
      <c r="W4036" s="474"/>
      <c r="X4036" s="71"/>
      <c r="Y4036" s="71"/>
    </row>
    <row r="4037" spans="1:25" ht="30" customHeight="1" x14ac:dyDescent="0.25">
      <c r="A4037" s="1145">
        <v>44330</v>
      </c>
      <c r="B4037" s="664" t="s">
        <v>2352</v>
      </c>
      <c r="C4037" s="71" t="s">
        <v>920</v>
      </c>
      <c r="D4037" s="71">
        <v>1</v>
      </c>
      <c r="E4037" s="102">
        <v>1000000</v>
      </c>
      <c r="F4037" s="102">
        <f t="shared" si="2001"/>
        <v>1100000</v>
      </c>
      <c r="G4037" s="102">
        <f t="shared" si="2002"/>
        <v>1000000</v>
      </c>
      <c r="H4037" s="690" t="s">
        <v>1431</v>
      </c>
      <c r="I4037" s="71" t="s">
        <v>1431</v>
      </c>
      <c r="J4037" s="53">
        <f t="shared" si="2006"/>
        <v>379000</v>
      </c>
      <c r="K4037" s="63">
        <f t="shared" si="2011"/>
        <v>0.379</v>
      </c>
      <c r="L4037" s="871" t="s">
        <v>2949</v>
      </c>
      <c r="M4037" s="468"/>
      <c r="N4037" s="1192">
        <f t="shared" si="1998"/>
        <v>44330</v>
      </c>
      <c r="O4037" s="71" t="s">
        <v>1431</v>
      </c>
      <c r="P4037" s="164" t="str">
        <f t="shared" si="1999"/>
        <v>에어 실린더</v>
      </c>
      <c r="Q4037" s="71">
        <f t="shared" si="2000"/>
        <v>1</v>
      </c>
      <c r="R4037" s="102">
        <v>621000</v>
      </c>
      <c r="S4037" s="102">
        <f t="shared" si="2004"/>
        <v>683100</v>
      </c>
      <c r="T4037" s="102">
        <f t="shared" si="2005"/>
        <v>621000</v>
      </c>
      <c r="U4037" s="71"/>
      <c r="V4037" s="71"/>
      <c r="W4037" s="474"/>
      <c r="X4037" s="71"/>
      <c r="Y4037" s="71"/>
    </row>
    <row r="4038" spans="1:25" ht="30" hidden="1" customHeight="1" x14ac:dyDescent="0.25">
      <c r="A4038" s="1145">
        <v>44330</v>
      </c>
      <c r="B4038" s="664" t="s">
        <v>545</v>
      </c>
      <c r="C4038" s="71" t="s">
        <v>952</v>
      </c>
      <c r="D4038" s="71">
        <v>1</v>
      </c>
      <c r="E4038" s="102">
        <v>630000</v>
      </c>
      <c r="F4038" s="102">
        <f>(E4038*D4038)*1.1</f>
        <v>693000</v>
      </c>
      <c r="G4038" s="102">
        <f>(E4038*D4038)</f>
        <v>630000</v>
      </c>
      <c r="H4038" s="690" t="s">
        <v>173</v>
      </c>
      <c r="I4038" s="71" t="s">
        <v>108</v>
      </c>
      <c r="J4038" s="53">
        <f t="shared" si="2006"/>
        <v>168000</v>
      </c>
      <c r="K4038" s="63">
        <f t="shared" ref="K4038:K4044" si="2012">(J4038/(F4038/11*10))</f>
        <v>0.26666666666666666</v>
      </c>
      <c r="L4038" s="871" t="s">
        <v>2949</v>
      </c>
      <c r="M4038" s="468"/>
      <c r="N4038" s="1192">
        <f t="shared" si="1998"/>
        <v>44330</v>
      </c>
      <c r="O4038" s="71" t="s">
        <v>599</v>
      </c>
      <c r="P4038" s="164" t="str">
        <f t="shared" si="1999"/>
        <v>점보롤 세정포</v>
      </c>
      <c r="Q4038" s="71">
        <f t="shared" si="2000"/>
        <v>1</v>
      </c>
      <c r="R4038" s="102">
        <v>462000</v>
      </c>
      <c r="S4038" s="102">
        <f t="shared" si="2004"/>
        <v>508200.00000000006</v>
      </c>
      <c r="T4038" s="102">
        <f t="shared" si="2005"/>
        <v>462000</v>
      </c>
      <c r="U4038" s="71" t="str">
        <f t="shared" ref="U4038:U4043" si="2013">IF(J4038=W4038,"O", "X")</f>
        <v>O</v>
      </c>
      <c r="V4038" s="71" t="s">
        <v>1228</v>
      </c>
      <c r="W4038" s="474">
        <f>(G4038-T4038)</f>
        <v>168000</v>
      </c>
      <c r="X4038" s="71"/>
      <c r="Y4038" s="71"/>
    </row>
    <row r="4039" spans="1:25" s="209" customFormat="1" ht="30" hidden="1" customHeight="1" x14ac:dyDescent="0.25">
      <c r="A4039" s="1145">
        <v>44330</v>
      </c>
      <c r="B4039" s="664" t="s">
        <v>2155</v>
      </c>
      <c r="C4039" s="71" t="s">
        <v>138</v>
      </c>
      <c r="D4039" s="71">
        <v>10</v>
      </c>
      <c r="E4039" s="102">
        <v>47600</v>
      </c>
      <c r="F4039" s="102">
        <f t="shared" si="2001"/>
        <v>523600.00000000006</v>
      </c>
      <c r="G4039" s="102">
        <f t="shared" si="2002"/>
        <v>476000</v>
      </c>
      <c r="H4039" s="1129" t="s">
        <v>172</v>
      </c>
      <c r="I4039" s="71" t="s">
        <v>108</v>
      </c>
      <c r="J4039" s="53">
        <f t="shared" si="2006"/>
        <v>68000</v>
      </c>
      <c r="K4039" s="63">
        <f t="shared" si="2012"/>
        <v>0.14285714285714285</v>
      </c>
      <c r="L4039" s="871" t="s">
        <v>2949</v>
      </c>
      <c r="M4039" s="468" t="s">
        <v>2214</v>
      </c>
      <c r="N4039" s="1192">
        <f t="shared" si="1998"/>
        <v>44330</v>
      </c>
      <c r="O4039" s="71" t="s">
        <v>150</v>
      </c>
      <c r="P4039" s="164" t="str">
        <f t="shared" si="1999"/>
        <v>매엽용 세척제(Wash 562)</v>
      </c>
      <c r="Q4039" s="71">
        <f t="shared" si="2000"/>
        <v>10</v>
      </c>
      <c r="R4039" s="102">
        <v>40800</v>
      </c>
      <c r="S4039" s="102">
        <f t="shared" si="2004"/>
        <v>448800.00000000006</v>
      </c>
      <c r="T4039" s="102">
        <f t="shared" si="2005"/>
        <v>408000</v>
      </c>
      <c r="U4039" s="71" t="str">
        <f t="shared" si="2013"/>
        <v>X</v>
      </c>
      <c r="V4039" s="71"/>
      <c r="W4039" s="474">
        <v>85000</v>
      </c>
      <c r="X4039" s="71"/>
      <c r="Y4039" s="71"/>
    </row>
    <row r="4040" spans="1:25" ht="30" hidden="1" customHeight="1" x14ac:dyDescent="0.25">
      <c r="A4040" s="1145">
        <v>44330</v>
      </c>
      <c r="B4040" s="664" t="s">
        <v>2155</v>
      </c>
      <c r="C4040" s="71" t="s">
        <v>277</v>
      </c>
      <c r="D4040" s="71">
        <v>5</v>
      </c>
      <c r="E4040" s="102">
        <v>172000</v>
      </c>
      <c r="F4040" s="102">
        <f t="shared" si="2001"/>
        <v>946000.00000000012</v>
      </c>
      <c r="G4040" s="102">
        <f t="shared" si="2002"/>
        <v>860000</v>
      </c>
      <c r="H4040" s="690" t="s">
        <v>173</v>
      </c>
      <c r="I4040" s="71" t="s">
        <v>108</v>
      </c>
      <c r="J4040" s="53">
        <f t="shared" si="2006"/>
        <v>285000</v>
      </c>
      <c r="K4040" s="63">
        <f t="shared" si="2012"/>
        <v>0.33139534883720928</v>
      </c>
      <c r="L4040" s="871" t="s">
        <v>2949</v>
      </c>
      <c r="M4040" s="468"/>
      <c r="N4040" s="1192">
        <f t="shared" si="1998"/>
        <v>44330</v>
      </c>
      <c r="O4040" s="71" t="s">
        <v>150</v>
      </c>
      <c r="P4040" s="164" t="str">
        <f t="shared" si="1999"/>
        <v>윤전용 세척제(Web 504)</v>
      </c>
      <c r="Q4040" s="71">
        <f t="shared" si="2000"/>
        <v>5</v>
      </c>
      <c r="R4040" s="102">
        <v>115000</v>
      </c>
      <c r="S4040" s="102">
        <f t="shared" si="2004"/>
        <v>632500</v>
      </c>
      <c r="T4040" s="102">
        <f t="shared" si="2005"/>
        <v>575000</v>
      </c>
      <c r="U4040" s="71" t="str">
        <f t="shared" si="2013"/>
        <v>O</v>
      </c>
      <c r="V4040" s="71"/>
      <c r="W4040" s="474">
        <v>285000</v>
      </c>
      <c r="X4040" s="71"/>
      <c r="Y4040" s="71"/>
    </row>
    <row r="4041" spans="1:25" ht="30" hidden="1" customHeight="1" x14ac:dyDescent="0.25">
      <c r="A4041" s="1145">
        <v>44330</v>
      </c>
      <c r="B4041" s="664" t="s">
        <v>2155</v>
      </c>
      <c r="C4041" s="760" t="s">
        <v>218</v>
      </c>
      <c r="D4041" s="71">
        <v>5</v>
      </c>
      <c r="E4041" s="102">
        <v>192500</v>
      </c>
      <c r="F4041" s="102">
        <f t="shared" si="2001"/>
        <v>1058750</v>
      </c>
      <c r="G4041" s="102">
        <f t="shared" si="2002"/>
        <v>962500</v>
      </c>
      <c r="H4041" s="690" t="s">
        <v>173</v>
      </c>
      <c r="I4041" s="71" t="s">
        <v>120</v>
      </c>
      <c r="J4041" s="53">
        <f t="shared" si="2006"/>
        <v>400000</v>
      </c>
      <c r="K4041" s="63">
        <f t="shared" si="2012"/>
        <v>0.41558441558441561</v>
      </c>
      <c r="L4041" s="871" t="s">
        <v>2949</v>
      </c>
      <c r="M4041" s="468"/>
      <c r="N4041" s="1192">
        <f t="shared" si="1998"/>
        <v>44330</v>
      </c>
      <c r="O4041" s="71" t="s">
        <v>150</v>
      </c>
      <c r="P4041" s="164" t="str">
        <f t="shared" si="1999"/>
        <v>Fount Web 551AF</v>
      </c>
      <c r="Q4041" s="71">
        <f t="shared" si="2000"/>
        <v>5</v>
      </c>
      <c r="R4041" s="102">
        <v>112500</v>
      </c>
      <c r="S4041" s="102">
        <f t="shared" si="2004"/>
        <v>618750</v>
      </c>
      <c r="T4041" s="102">
        <f t="shared" si="2005"/>
        <v>562500</v>
      </c>
      <c r="U4041" s="71" t="str">
        <f t="shared" si="2013"/>
        <v>X</v>
      </c>
      <c r="V4041" s="71"/>
      <c r="W4041" s="474">
        <v>640000</v>
      </c>
      <c r="X4041" s="71"/>
      <c r="Y4041" s="71"/>
    </row>
    <row r="4042" spans="1:25" s="209" customFormat="1" ht="30" hidden="1" customHeight="1" x14ac:dyDescent="0.2">
      <c r="A4042" s="1145">
        <v>44330</v>
      </c>
      <c r="B4042" s="664" t="s">
        <v>2155</v>
      </c>
      <c r="C4042" s="71" t="s">
        <v>231</v>
      </c>
      <c r="D4042" s="71">
        <v>10</v>
      </c>
      <c r="E4042" s="102">
        <v>120000</v>
      </c>
      <c r="F4042" s="102">
        <f>(E4042*D4042)*1.1</f>
        <v>1320000</v>
      </c>
      <c r="G4042" s="102">
        <f>(E4042*D4042)</f>
        <v>1200000</v>
      </c>
      <c r="H4042" s="165" t="s">
        <v>172</v>
      </c>
      <c r="I4042" s="71" t="s">
        <v>109</v>
      </c>
      <c r="J4042" s="53">
        <f t="shared" si="2006"/>
        <v>80000</v>
      </c>
      <c r="K4042" s="63">
        <f t="shared" si="2012"/>
        <v>6.6666666666666666E-2</v>
      </c>
      <c r="L4042" s="871" t="s">
        <v>2949</v>
      </c>
      <c r="M4042" s="468"/>
      <c r="N4042" s="1192">
        <f t="shared" si="1998"/>
        <v>44330</v>
      </c>
      <c r="O4042" s="71" t="s">
        <v>151</v>
      </c>
      <c r="P4042" s="164" t="str">
        <f t="shared" si="1999"/>
        <v>Blanket(990*725)</v>
      </c>
      <c r="Q4042" s="71">
        <f t="shared" si="2000"/>
        <v>10</v>
      </c>
      <c r="R4042" s="102">
        <v>112000</v>
      </c>
      <c r="S4042" s="102">
        <f t="shared" si="2004"/>
        <v>1232000</v>
      </c>
      <c r="T4042" s="102">
        <f t="shared" si="2005"/>
        <v>1120000</v>
      </c>
      <c r="U4042" s="71" t="str">
        <f t="shared" si="2013"/>
        <v>O</v>
      </c>
      <c r="V4042" s="71"/>
      <c r="W4042" s="474">
        <v>80000</v>
      </c>
      <c r="X4042" s="71"/>
      <c r="Y4042" s="71"/>
    </row>
    <row r="4043" spans="1:25" ht="30" hidden="1" customHeight="1" x14ac:dyDescent="0.2">
      <c r="A4043" s="1145">
        <v>44333</v>
      </c>
      <c r="B4043" s="664" t="s">
        <v>548</v>
      </c>
      <c r="C4043" s="71" t="s">
        <v>107</v>
      </c>
      <c r="D4043" s="71">
        <v>10</v>
      </c>
      <c r="E4043" s="102">
        <v>90000</v>
      </c>
      <c r="F4043" s="163">
        <f t="shared" si="2001"/>
        <v>990000.00000000012</v>
      </c>
      <c r="G4043" s="102">
        <f t="shared" si="2002"/>
        <v>900000</v>
      </c>
      <c r="H4043" s="165" t="s">
        <v>172</v>
      </c>
      <c r="I4043" s="71" t="s">
        <v>109</v>
      </c>
      <c r="J4043" s="53">
        <f>(G4043-(VLOOKUP(C4043,Price!B:D,3,FALSE)*D4043))</f>
        <v>95000</v>
      </c>
      <c r="K4043" s="63">
        <f t="shared" si="2012"/>
        <v>0.10555555555555554</v>
      </c>
      <c r="L4043" s="871" t="s">
        <v>2949</v>
      </c>
      <c r="M4043" s="468"/>
      <c r="N4043" s="1192">
        <f t="shared" si="1998"/>
        <v>44333</v>
      </c>
      <c r="O4043" s="71" t="s">
        <v>147</v>
      </c>
      <c r="P4043" s="164" t="str">
        <f t="shared" si="1999"/>
        <v>Blanket(1050*840)</v>
      </c>
      <c r="Q4043" s="71">
        <f t="shared" si="2000"/>
        <v>10</v>
      </c>
      <c r="R4043" s="102">
        <v>80500</v>
      </c>
      <c r="S4043" s="102">
        <f t="shared" ref="S4043:S4074" si="2014">R4043*Q4043*1.1</f>
        <v>885500.00000000012</v>
      </c>
      <c r="T4043" s="102">
        <f t="shared" ref="T4043:T4074" si="2015">R4043*Q4043</f>
        <v>805000</v>
      </c>
      <c r="U4043" s="71" t="str">
        <f t="shared" si="2013"/>
        <v>O</v>
      </c>
      <c r="V4043" s="71"/>
      <c r="W4043" s="474">
        <f>(G4043-T4043)</f>
        <v>95000</v>
      </c>
      <c r="X4043" s="71"/>
      <c r="Y4043" s="71"/>
    </row>
    <row r="4044" spans="1:25" ht="30" hidden="1" customHeight="1" x14ac:dyDescent="0.25">
      <c r="A4044" s="1145">
        <v>44333</v>
      </c>
      <c r="B4044" s="664" t="s">
        <v>2569</v>
      </c>
      <c r="C4044" s="71" t="s">
        <v>2974</v>
      </c>
      <c r="D4044" s="71">
        <v>5</v>
      </c>
      <c r="E4044" s="102">
        <v>650000</v>
      </c>
      <c r="F4044" s="102">
        <f t="shared" si="2001"/>
        <v>3575000.0000000005</v>
      </c>
      <c r="G4044" s="102">
        <f t="shared" si="2002"/>
        <v>3250000</v>
      </c>
      <c r="H4044" s="690" t="s">
        <v>142</v>
      </c>
      <c r="I4044" s="690" t="s">
        <v>142</v>
      </c>
      <c r="J4044" s="53">
        <f>G4044-T4044</f>
        <v>2132825</v>
      </c>
      <c r="K4044" s="63">
        <f t="shared" si="2012"/>
        <v>0.65625384615384608</v>
      </c>
      <c r="L4044" s="871" t="s">
        <v>2949</v>
      </c>
      <c r="M4044" s="468"/>
      <c r="N4044" s="1192">
        <f t="shared" si="1998"/>
        <v>44333</v>
      </c>
      <c r="O4044" s="71" t="s">
        <v>2542</v>
      </c>
      <c r="P4044" s="164" t="str">
        <f t="shared" si="1999"/>
        <v>Baldwin UV 램프 국전</v>
      </c>
      <c r="Q4044" s="71">
        <f t="shared" si="2000"/>
        <v>5</v>
      </c>
      <c r="R4044" s="102">
        <v>223435</v>
      </c>
      <c r="S4044" s="102">
        <f t="shared" si="2014"/>
        <v>1228892.5</v>
      </c>
      <c r="T4044" s="102">
        <f t="shared" si="2015"/>
        <v>1117175</v>
      </c>
      <c r="U4044" s="71"/>
      <c r="V4044" s="71"/>
      <c r="W4044" s="474"/>
      <c r="X4044" s="71"/>
      <c r="Y4044" s="71"/>
    </row>
    <row r="4045" spans="1:25" ht="30" hidden="1" customHeight="1" x14ac:dyDescent="0.25">
      <c r="A4045" s="1145">
        <v>44334</v>
      </c>
      <c r="B4045" s="664" t="s">
        <v>1155</v>
      </c>
      <c r="C4045" s="71" t="s">
        <v>114</v>
      </c>
      <c r="D4045" s="71">
        <v>50</v>
      </c>
      <c r="E4045" s="102">
        <v>22000</v>
      </c>
      <c r="F4045" s="102">
        <f t="shared" si="2001"/>
        <v>1210000</v>
      </c>
      <c r="G4045" s="102">
        <f t="shared" si="2002"/>
        <v>1100000</v>
      </c>
      <c r="H4045" s="690" t="s">
        <v>1431</v>
      </c>
      <c r="I4045" s="71" t="s">
        <v>1431</v>
      </c>
      <c r="J4045" s="53">
        <f>G4045-T4045</f>
        <v>603150</v>
      </c>
      <c r="K4045" s="63">
        <f>(J4045/(F4045/11*10))</f>
        <v>0.54831818181818182</v>
      </c>
      <c r="L4045" s="871" t="s">
        <v>2949</v>
      </c>
      <c r="M4045" s="468"/>
      <c r="N4045" s="1192">
        <f t="shared" si="1998"/>
        <v>44334</v>
      </c>
      <c r="O4045" s="71" t="s">
        <v>1431</v>
      </c>
      <c r="P4045" s="164" t="str">
        <f t="shared" si="1999"/>
        <v>스트리퍼</v>
      </c>
      <c r="Q4045" s="71">
        <f t="shared" si="2000"/>
        <v>50</v>
      </c>
      <c r="R4045" s="102">
        <v>9937</v>
      </c>
      <c r="S4045" s="102">
        <f t="shared" si="2014"/>
        <v>546535</v>
      </c>
      <c r="T4045" s="102">
        <f t="shared" si="2015"/>
        <v>496850</v>
      </c>
      <c r="U4045" s="71"/>
      <c r="V4045" s="71"/>
      <c r="W4045" s="474"/>
      <c r="X4045" s="71"/>
      <c r="Y4045" s="71"/>
    </row>
    <row r="4046" spans="1:25" ht="30" hidden="1" customHeight="1" x14ac:dyDescent="0.25">
      <c r="A4046" s="1145">
        <v>44334</v>
      </c>
      <c r="B4046" s="664" t="s">
        <v>2155</v>
      </c>
      <c r="C4046" s="71" t="s">
        <v>2970</v>
      </c>
      <c r="D4046" s="71">
        <v>1</v>
      </c>
      <c r="E4046" s="102">
        <v>4800000</v>
      </c>
      <c r="F4046" s="102">
        <f t="shared" si="2001"/>
        <v>5280000</v>
      </c>
      <c r="G4046" s="102">
        <f t="shared" si="2002"/>
        <v>4800000</v>
      </c>
      <c r="H4046" s="690" t="s">
        <v>985</v>
      </c>
      <c r="I4046" s="71" t="s">
        <v>985</v>
      </c>
      <c r="J4046" s="53"/>
      <c r="K4046" s="63"/>
      <c r="L4046" s="871" t="s">
        <v>2949</v>
      </c>
      <c r="M4046" s="468"/>
      <c r="N4046" s="1192">
        <f t="shared" si="1998"/>
        <v>44334</v>
      </c>
      <c r="O4046" s="71"/>
      <c r="P4046" s="164" t="str">
        <f t="shared" si="1999"/>
        <v>드라이어 수리 감리 서비스 비용</v>
      </c>
      <c r="Q4046" s="71">
        <f t="shared" si="2000"/>
        <v>1</v>
      </c>
      <c r="R4046" s="102"/>
      <c r="S4046" s="102">
        <f t="shared" si="2014"/>
        <v>0</v>
      </c>
      <c r="T4046" s="102">
        <f t="shared" si="2015"/>
        <v>0</v>
      </c>
      <c r="U4046" s="71"/>
      <c r="V4046" s="71"/>
      <c r="W4046" s="474"/>
      <c r="X4046" s="71"/>
      <c r="Y4046" s="71"/>
    </row>
    <row r="4047" spans="1:25" ht="30" hidden="1" customHeight="1" x14ac:dyDescent="0.25">
      <c r="A4047" s="1145">
        <v>44340</v>
      </c>
      <c r="B4047" s="664" t="s">
        <v>446</v>
      </c>
      <c r="C4047" s="71" t="s">
        <v>2028</v>
      </c>
      <c r="D4047" s="71">
        <v>20</v>
      </c>
      <c r="E4047" s="102">
        <v>105000</v>
      </c>
      <c r="F4047" s="102">
        <f t="shared" ref="F4047:F4054" si="2016">(E4047*D4047)*1.1</f>
        <v>2310000</v>
      </c>
      <c r="G4047" s="102">
        <f t="shared" ref="G4047:G4054" si="2017">(E4047*D4047)</f>
        <v>2100000</v>
      </c>
      <c r="H4047" s="690" t="s">
        <v>2029</v>
      </c>
      <c r="I4047" s="71" t="s">
        <v>2231</v>
      </c>
      <c r="J4047" s="53">
        <f t="shared" ref="J4047:J4074" si="2018">G4047-T4047</f>
        <v>380000</v>
      </c>
      <c r="K4047" s="63">
        <f t="shared" ref="K4047:K4054" si="2019">(J4047/(F4047/11*10))</f>
        <v>0.18095238095238095</v>
      </c>
      <c r="L4047" s="871" t="s">
        <v>2950</v>
      </c>
      <c r="M4047" s="468" t="s">
        <v>3068</v>
      </c>
      <c r="N4047" s="1192">
        <f t="shared" si="1998"/>
        <v>44340</v>
      </c>
      <c r="O4047" s="71" t="s">
        <v>2030</v>
      </c>
      <c r="P4047" s="164" t="str">
        <f t="shared" si="1999"/>
        <v>실리콘 에멀전</v>
      </c>
      <c r="Q4047" s="71">
        <f t="shared" si="2000"/>
        <v>20</v>
      </c>
      <c r="R4047" s="102">
        <v>86000</v>
      </c>
      <c r="S4047" s="102">
        <f t="shared" si="2014"/>
        <v>1892000.0000000002</v>
      </c>
      <c r="T4047" s="102">
        <f t="shared" si="2015"/>
        <v>1720000</v>
      </c>
      <c r="U4047" s="71" t="str">
        <f>IF(J4047=W4047,"O", "X")</f>
        <v>O</v>
      </c>
      <c r="V4047" s="71">
        <f>7000*Q4047</f>
        <v>140000</v>
      </c>
      <c r="W4047" s="474">
        <f>(G4047-T4047)</f>
        <v>380000</v>
      </c>
      <c r="X4047" s="71"/>
      <c r="Y4047" s="71"/>
    </row>
    <row r="4048" spans="1:25" ht="30" hidden="1" customHeight="1" x14ac:dyDescent="0.25">
      <c r="A4048" s="1145">
        <v>44340</v>
      </c>
      <c r="B4048" s="664" t="s">
        <v>2155</v>
      </c>
      <c r="C4048" s="71" t="s">
        <v>114</v>
      </c>
      <c r="D4048" s="71">
        <v>50</v>
      </c>
      <c r="E4048" s="102">
        <v>18000</v>
      </c>
      <c r="F4048" s="102">
        <f t="shared" si="2016"/>
        <v>990000.00000000012</v>
      </c>
      <c r="G4048" s="102">
        <f t="shared" si="2017"/>
        <v>900000</v>
      </c>
      <c r="H4048" s="690" t="s">
        <v>1431</v>
      </c>
      <c r="I4048" s="71" t="s">
        <v>1431</v>
      </c>
      <c r="J4048" s="53">
        <f t="shared" si="2018"/>
        <v>403150</v>
      </c>
      <c r="K4048" s="63">
        <f t="shared" si="2019"/>
        <v>0.44794444444444437</v>
      </c>
      <c r="L4048" s="871" t="s">
        <v>2950</v>
      </c>
      <c r="M4048" s="468"/>
      <c r="N4048" s="1192">
        <f t="shared" si="1998"/>
        <v>44340</v>
      </c>
      <c r="O4048" s="71"/>
      <c r="P4048" s="164" t="str">
        <f t="shared" si="1999"/>
        <v>스트리퍼</v>
      </c>
      <c r="Q4048" s="71">
        <f t="shared" si="2000"/>
        <v>50</v>
      </c>
      <c r="R4048" s="102">
        <v>9937</v>
      </c>
      <c r="S4048" s="102">
        <f t="shared" si="2014"/>
        <v>546535</v>
      </c>
      <c r="T4048" s="102">
        <f t="shared" si="2015"/>
        <v>496850</v>
      </c>
      <c r="U4048" s="71"/>
      <c r="V4048" s="71"/>
      <c r="W4048" s="474"/>
      <c r="X4048" s="71"/>
      <c r="Y4048" s="71"/>
    </row>
    <row r="4049" spans="1:25" ht="30" hidden="1" customHeight="1" x14ac:dyDescent="0.25">
      <c r="A4049" s="1145">
        <v>44341</v>
      </c>
      <c r="B4049" s="664" t="s">
        <v>2975</v>
      </c>
      <c r="C4049" s="71" t="s">
        <v>2976</v>
      </c>
      <c r="D4049" s="71">
        <v>3</v>
      </c>
      <c r="E4049" s="102">
        <v>13500000</v>
      </c>
      <c r="F4049" s="102">
        <f t="shared" si="2016"/>
        <v>44550000</v>
      </c>
      <c r="G4049" s="102">
        <f t="shared" si="2017"/>
        <v>40500000</v>
      </c>
      <c r="H4049" s="690" t="s">
        <v>1432</v>
      </c>
      <c r="I4049" s="71" t="s">
        <v>1432</v>
      </c>
      <c r="J4049" s="53">
        <f t="shared" si="2018"/>
        <v>10350000</v>
      </c>
      <c r="K4049" s="63">
        <f t="shared" si="2019"/>
        <v>0.25555555555555554</v>
      </c>
      <c r="L4049" s="871" t="s">
        <v>2950</v>
      </c>
      <c r="M4049" s="468" t="s">
        <v>2987</v>
      </c>
      <c r="N4049" s="1192">
        <f t="shared" si="1998"/>
        <v>44341</v>
      </c>
      <c r="O4049" s="71" t="s">
        <v>1432</v>
      </c>
      <c r="P4049" s="164" t="str">
        <f t="shared" si="1999"/>
        <v>습수정화장치</v>
      </c>
      <c r="Q4049" s="71">
        <f t="shared" si="2000"/>
        <v>3</v>
      </c>
      <c r="R4049" s="102">
        <f>9600000+450000</f>
        <v>10050000</v>
      </c>
      <c r="S4049" s="102">
        <f t="shared" si="2014"/>
        <v>33165000.000000004</v>
      </c>
      <c r="T4049" s="102">
        <f t="shared" si="2015"/>
        <v>30150000</v>
      </c>
      <c r="U4049" s="71"/>
      <c r="V4049" s="71"/>
      <c r="W4049" s="474"/>
      <c r="X4049" s="71"/>
      <c r="Y4049" s="71"/>
    </row>
    <row r="4050" spans="1:25" s="209" customFormat="1" ht="30" hidden="1" customHeight="1" x14ac:dyDescent="0.2">
      <c r="A4050" s="1145">
        <v>44343</v>
      </c>
      <c r="B4050" s="664" t="s">
        <v>764</v>
      </c>
      <c r="C4050" s="71" t="s">
        <v>236</v>
      </c>
      <c r="D4050" s="71">
        <v>10</v>
      </c>
      <c r="E4050" s="102">
        <v>100000</v>
      </c>
      <c r="F4050" s="163">
        <f t="shared" si="2016"/>
        <v>1100000</v>
      </c>
      <c r="G4050" s="102">
        <f t="shared" si="2017"/>
        <v>1000000</v>
      </c>
      <c r="H4050" s="690" t="s">
        <v>173</v>
      </c>
      <c r="I4050" s="71" t="s">
        <v>2231</v>
      </c>
      <c r="J4050" s="53">
        <f t="shared" si="2018"/>
        <v>500000</v>
      </c>
      <c r="K4050" s="63">
        <f t="shared" si="2019"/>
        <v>0.5</v>
      </c>
      <c r="L4050" s="871" t="s">
        <v>2949</v>
      </c>
      <c r="M4050" s="468"/>
      <c r="N4050" s="1192">
        <f t="shared" si="1998"/>
        <v>44343</v>
      </c>
      <c r="O4050" s="71" t="s">
        <v>153</v>
      </c>
      <c r="P4050" s="164" t="str">
        <f t="shared" si="1999"/>
        <v>아스테이지(국전)</v>
      </c>
      <c r="Q4050" s="71">
        <f t="shared" si="2000"/>
        <v>10</v>
      </c>
      <c r="R4050" s="102">
        <v>50000</v>
      </c>
      <c r="S4050" s="102">
        <f t="shared" si="2014"/>
        <v>550000</v>
      </c>
      <c r="T4050" s="102">
        <f t="shared" si="2015"/>
        <v>500000</v>
      </c>
      <c r="U4050" s="71" t="str">
        <f t="shared" ref="U4050:U4074" si="2020">IF(J4050=W4050,"O", "X")</f>
        <v>O</v>
      </c>
      <c r="V4050" s="71"/>
      <c r="W4050" s="474">
        <v>500000</v>
      </c>
      <c r="X4050" s="71"/>
      <c r="Y4050" s="71"/>
    </row>
    <row r="4051" spans="1:25" ht="30" hidden="1" customHeight="1" x14ac:dyDescent="0.25">
      <c r="A4051" s="1145">
        <v>44343</v>
      </c>
      <c r="B4051" s="664" t="s">
        <v>545</v>
      </c>
      <c r="C4051" s="71" t="s">
        <v>1441</v>
      </c>
      <c r="D4051" s="71">
        <v>2</v>
      </c>
      <c r="E4051" s="102">
        <v>210000</v>
      </c>
      <c r="F4051" s="102">
        <f t="shared" si="2016"/>
        <v>462000.00000000006</v>
      </c>
      <c r="G4051" s="102">
        <f t="shared" si="2017"/>
        <v>420000</v>
      </c>
      <c r="H4051" s="690" t="s">
        <v>173</v>
      </c>
      <c r="I4051" s="71" t="s">
        <v>2231</v>
      </c>
      <c r="J4051" s="53">
        <f t="shared" si="2018"/>
        <v>90000</v>
      </c>
      <c r="K4051" s="63">
        <f t="shared" si="2019"/>
        <v>0.21428571428571425</v>
      </c>
      <c r="L4051" s="871" t="s">
        <v>2949</v>
      </c>
      <c r="M4051" s="468"/>
      <c r="N4051" s="1192">
        <f t="shared" si="1998"/>
        <v>44343</v>
      </c>
      <c r="O4051" s="71" t="s">
        <v>1555</v>
      </c>
      <c r="P4051" s="164" t="str">
        <f t="shared" si="1999"/>
        <v xml:space="preserve"> OKS340 체인구리스</v>
      </c>
      <c r="Q4051" s="71">
        <f t="shared" si="2000"/>
        <v>2</v>
      </c>
      <c r="R4051" s="102">
        <v>165000</v>
      </c>
      <c r="S4051" s="102">
        <f t="shared" si="2014"/>
        <v>363000.00000000006</v>
      </c>
      <c r="T4051" s="102">
        <f t="shared" si="2015"/>
        <v>330000</v>
      </c>
      <c r="U4051" s="71" t="str">
        <f t="shared" si="2020"/>
        <v>X</v>
      </c>
      <c r="V4051" s="71"/>
      <c r="W4051" s="474"/>
      <c r="X4051" s="71"/>
      <c r="Y4051" s="71"/>
    </row>
    <row r="4052" spans="1:25" ht="30" customHeight="1" x14ac:dyDescent="0.2">
      <c r="A4052" s="1145">
        <v>44344</v>
      </c>
      <c r="B4052" s="664" t="s">
        <v>565</v>
      </c>
      <c r="C4052" s="71" t="s">
        <v>2081</v>
      </c>
      <c r="D4052" s="71">
        <v>48</v>
      </c>
      <c r="E4052" s="102">
        <v>69000</v>
      </c>
      <c r="F4052" s="102">
        <f>(E4052*D4052)*1.1</f>
        <v>3643200.0000000005</v>
      </c>
      <c r="G4052" s="102">
        <f>(E4052*D4052)</f>
        <v>3312000</v>
      </c>
      <c r="H4052" s="165" t="s">
        <v>173</v>
      </c>
      <c r="I4052" s="71" t="s">
        <v>108</v>
      </c>
      <c r="J4052" s="53">
        <f t="shared" si="2018"/>
        <v>864000</v>
      </c>
      <c r="K4052" s="63">
        <f t="shared" si="2019"/>
        <v>0.26086956521739124</v>
      </c>
      <c r="L4052" s="871" t="s">
        <v>2949</v>
      </c>
      <c r="M4052" s="468"/>
      <c r="N4052" s="1192">
        <f t="shared" si="1998"/>
        <v>44344</v>
      </c>
      <c r="O4052" s="71" t="s">
        <v>599</v>
      </c>
      <c r="P4052" s="164" t="str">
        <f t="shared" si="1999"/>
        <v>GOSS 신문윤전 습식세정포</v>
      </c>
      <c r="Q4052" s="71">
        <f t="shared" si="2000"/>
        <v>48</v>
      </c>
      <c r="R4052" s="102">
        <v>51000</v>
      </c>
      <c r="S4052" s="102">
        <f t="shared" si="2014"/>
        <v>2692800</v>
      </c>
      <c r="T4052" s="102">
        <f t="shared" si="2015"/>
        <v>2448000</v>
      </c>
      <c r="U4052" s="71" t="str">
        <f t="shared" si="2020"/>
        <v>X</v>
      </c>
      <c r="V4052" s="71"/>
      <c r="W4052" s="474"/>
      <c r="X4052" s="71"/>
      <c r="Y4052" s="71"/>
    </row>
    <row r="4053" spans="1:25" ht="30" hidden="1" customHeight="1" x14ac:dyDescent="0.25">
      <c r="A4053" s="1145">
        <v>44345</v>
      </c>
      <c r="B4053" s="664" t="s">
        <v>545</v>
      </c>
      <c r="C4053" s="71" t="s">
        <v>227</v>
      </c>
      <c r="D4053" s="71">
        <v>10</v>
      </c>
      <c r="E4053" s="102">
        <v>110000</v>
      </c>
      <c r="F4053" s="102">
        <f t="shared" si="2016"/>
        <v>1210000</v>
      </c>
      <c r="G4053" s="102">
        <f t="shared" si="2017"/>
        <v>1100000</v>
      </c>
      <c r="H4053" s="690" t="s">
        <v>173</v>
      </c>
      <c r="I4053" s="71" t="s">
        <v>109</v>
      </c>
      <c r="J4053" s="53">
        <f t="shared" si="2018"/>
        <v>271000</v>
      </c>
      <c r="K4053" s="63">
        <f t="shared" si="2019"/>
        <v>0.24636363636363637</v>
      </c>
      <c r="L4053" s="871" t="s">
        <v>2949</v>
      </c>
      <c r="M4053" s="468"/>
      <c r="N4053" s="1192">
        <f t="shared" si="1998"/>
        <v>44345</v>
      </c>
      <c r="O4053" s="71" t="s">
        <v>147</v>
      </c>
      <c r="P4053" s="164" t="str">
        <f t="shared" si="1999"/>
        <v>Blanket(1060*860)</v>
      </c>
      <c r="Q4053" s="71">
        <f t="shared" si="2000"/>
        <v>10</v>
      </c>
      <c r="R4053" s="102">
        <v>82900</v>
      </c>
      <c r="S4053" s="102">
        <f t="shared" si="2014"/>
        <v>911900.00000000012</v>
      </c>
      <c r="T4053" s="102">
        <f t="shared" si="2015"/>
        <v>829000</v>
      </c>
      <c r="U4053" s="71" t="str">
        <f t="shared" si="2020"/>
        <v>O</v>
      </c>
      <c r="V4053" s="71"/>
      <c r="W4053" s="474">
        <f>(G4053-T4053)</f>
        <v>271000</v>
      </c>
      <c r="X4053" s="71"/>
      <c r="Y4053" s="71"/>
    </row>
    <row r="4054" spans="1:25" ht="30" hidden="1" customHeight="1" x14ac:dyDescent="0.25">
      <c r="A4054" s="1145">
        <v>44347</v>
      </c>
      <c r="B4054" s="664" t="s">
        <v>575</v>
      </c>
      <c r="C4054" s="71" t="s">
        <v>1367</v>
      </c>
      <c r="D4054" s="71">
        <v>8</v>
      </c>
      <c r="E4054" s="102">
        <v>218000</v>
      </c>
      <c r="F4054" s="102">
        <f t="shared" si="2016"/>
        <v>1918400.0000000002</v>
      </c>
      <c r="G4054" s="102">
        <f t="shared" si="2017"/>
        <v>1744000</v>
      </c>
      <c r="H4054" s="690" t="s">
        <v>173</v>
      </c>
      <c r="I4054" s="71" t="s">
        <v>109</v>
      </c>
      <c r="J4054" s="53">
        <f t="shared" si="2018"/>
        <v>781920</v>
      </c>
      <c r="K4054" s="63">
        <f t="shared" si="2019"/>
        <v>0.44834862385321095</v>
      </c>
      <c r="L4054" s="871" t="s">
        <v>2949</v>
      </c>
      <c r="M4054" s="468"/>
      <c r="N4054" s="1192">
        <f t="shared" si="1998"/>
        <v>44347</v>
      </c>
      <c r="O4054" s="71" t="s">
        <v>1443</v>
      </c>
      <c r="P4054" s="164" t="str">
        <f t="shared" si="1999"/>
        <v>M600 윤전 블랑켓 995*742</v>
      </c>
      <c r="Q4054" s="71">
        <f t="shared" si="2000"/>
        <v>8</v>
      </c>
      <c r="R4054" s="102">
        <v>120260</v>
      </c>
      <c r="S4054" s="102">
        <f t="shared" si="2014"/>
        <v>1058288</v>
      </c>
      <c r="T4054" s="102">
        <f t="shared" si="2015"/>
        <v>962080</v>
      </c>
      <c r="U4054" s="71" t="str">
        <f t="shared" si="2020"/>
        <v>X</v>
      </c>
      <c r="V4054" s="71"/>
      <c r="W4054" s="474"/>
      <c r="X4054" s="71"/>
      <c r="Y4054" s="71"/>
    </row>
    <row r="4055" spans="1:25" ht="30" hidden="1" customHeight="1" x14ac:dyDescent="0.25">
      <c r="A4055" s="1145">
        <v>44347</v>
      </c>
      <c r="B4055" s="664" t="s">
        <v>1051</v>
      </c>
      <c r="C4055" s="71" t="s">
        <v>1294</v>
      </c>
      <c r="D4055" s="71">
        <v>1600</v>
      </c>
      <c r="E4055" s="102">
        <v>5690</v>
      </c>
      <c r="F4055" s="102">
        <f t="shared" ref="F4055:F4071" si="2021">(E4055*D4055)*1.1</f>
        <v>10014400</v>
      </c>
      <c r="G4055" s="102">
        <f t="shared" ref="G4055:G4071" si="2022">(E4055*D4055)</f>
        <v>9104000</v>
      </c>
      <c r="H4055" s="690" t="s">
        <v>142</v>
      </c>
      <c r="I4055" s="71" t="s">
        <v>2273</v>
      </c>
      <c r="J4055" s="53">
        <f t="shared" si="2018"/>
        <v>2384000</v>
      </c>
      <c r="K4055" s="63">
        <f t="shared" ref="K4055:K4074" si="2023">(J4055/(F4055/11*10))</f>
        <v>0.26186291739894552</v>
      </c>
      <c r="L4055" s="871" t="s">
        <v>2949</v>
      </c>
      <c r="M4055" s="468"/>
      <c r="N4055" s="1192">
        <f t="shared" si="1998"/>
        <v>44347</v>
      </c>
      <c r="O4055" s="71" t="s">
        <v>145</v>
      </c>
      <c r="P4055" s="164" t="str">
        <f t="shared" si="1999"/>
        <v>ENGAGE 1030*790</v>
      </c>
      <c r="Q4055" s="71">
        <f t="shared" si="2000"/>
        <v>1600</v>
      </c>
      <c r="R4055" s="102">
        <v>4200</v>
      </c>
      <c r="S4055" s="102">
        <f t="shared" si="2014"/>
        <v>7392000.0000000009</v>
      </c>
      <c r="T4055" s="102">
        <f t="shared" si="2015"/>
        <v>6720000</v>
      </c>
      <c r="U4055" s="71" t="str">
        <f t="shared" si="2020"/>
        <v>O</v>
      </c>
      <c r="V4055" s="71"/>
      <c r="W4055" s="474">
        <f t="shared" ref="W4055:W4075" si="2024">(G4055-T4055)</f>
        <v>2384000</v>
      </c>
      <c r="X4055" s="71"/>
      <c r="Y4055" s="71"/>
    </row>
    <row r="4056" spans="1:25" ht="30" hidden="1" customHeight="1" x14ac:dyDescent="0.25">
      <c r="A4056" s="1145">
        <v>44347</v>
      </c>
      <c r="B4056" s="664" t="s">
        <v>1051</v>
      </c>
      <c r="C4056" s="71" t="s">
        <v>1384</v>
      </c>
      <c r="D4056" s="71">
        <v>2300</v>
      </c>
      <c r="E4056" s="102">
        <v>3580</v>
      </c>
      <c r="F4056" s="102">
        <f t="shared" si="2021"/>
        <v>9057400</v>
      </c>
      <c r="G4056" s="102">
        <f t="shared" si="2022"/>
        <v>8234000</v>
      </c>
      <c r="H4056" s="690" t="s">
        <v>142</v>
      </c>
      <c r="I4056" s="71" t="s">
        <v>2273</v>
      </c>
      <c r="J4056" s="53">
        <f t="shared" si="2018"/>
        <v>2133134.8162713535</v>
      </c>
      <c r="K4056" s="63">
        <f t="shared" si="2023"/>
        <v>0.25906422349664238</v>
      </c>
      <c r="L4056" s="871" t="s">
        <v>2949</v>
      </c>
      <c r="M4056" s="468"/>
      <c r="N4056" s="1192">
        <f t="shared" si="1998"/>
        <v>44347</v>
      </c>
      <c r="O4056" s="71" t="s">
        <v>145</v>
      </c>
      <c r="P4056" s="164" t="str">
        <f t="shared" si="1999"/>
        <v>ENGAGE 900X571 - 27RO</v>
      </c>
      <c r="Q4056" s="71">
        <f t="shared" si="2000"/>
        <v>2300</v>
      </c>
      <c r="R4056" s="102">
        <f>R4055/1030/790*900*571</f>
        <v>2652.5500798820203</v>
      </c>
      <c r="S4056" s="102">
        <f t="shared" si="2014"/>
        <v>6710951.7021015119</v>
      </c>
      <c r="T4056" s="102">
        <f t="shared" si="2015"/>
        <v>6100865.1837286465</v>
      </c>
      <c r="U4056" s="71" t="str">
        <f t="shared" si="2020"/>
        <v>O</v>
      </c>
      <c r="V4056" s="71"/>
      <c r="W4056" s="474">
        <f t="shared" si="2024"/>
        <v>2133134.8162713535</v>
      </c>
      <c r="X4056" s="71"/>
      <c r="Y4056" s="71"/>
    </row>
    <row r="4057" spans="1:25" ht="30" hidden="1" customHeight="1" x14ac:dyDescent="0.25">
      <c r="A4057" s="1145">
        <v>44347</v>
      </c>
      <c r="B4057" s="664" t="s">
        <v>1051</v>
      </c>
      <c r="C4057" s="71" t="s">
        <v>951</v>
      </c>
      <c r="D4057" s="71">
        <v>3500</v>
      </c>
      <c r="E4057" s="102">
        <v>3410</v>
      </c>
      <c r="F4057" s="102">
        <f t="shared" si="2021"/>
        <v>13128500.000000002</v>
      </c>
      <c r="G4057" s="102">
        <f t="shared" si="2022"/>
        <v>11935000</v>
      </c>
      <c r="H4057" s="690" t="s">
        <v>142</v>
      </c>
      <c r="I4057" s="71" t="s">
        <v>2273</v>
      </c>
      <c r="J4057" s="53">
        <f t="shared" si="2018"/>
        <v>3129524.7634263244</v>
      </c>
      <c r="K4057" s="63">
        <f t="shared" si="2023"/>
        <v>0.26221405642449297</v>
      </c>
      <c r="L4057" s="871" t="s">
        <v>2949</v>
      </c>
      <c r="M4057" s="468"/>
      <c r="N4057" s="1192">
        <f t="shared" si="1998"/>
        <v>44347</v>
      </c>
      <c r="O4057" s="71" t="s">
        <v>145</v>
      </c>
      <c r="P4057" s="164" t="str">
        <f t="shared" si="1999"/>
        <v>ENGAGE 30WEB(883*552)</v>
      </c>
      <c r="Q4057" s="71">
        <f t="shared" si="2000"/>
        <v>3500</v>
      </c>
      <c r="R4057" s="102">
        <f>R4055/1030/790*883*552</f>
        <v>2515.8500675924788</v>
      </c>
      <c r="S4057" s="102">
        <f t="shared" si="2014"/>
        <v>9686022.7602310441</v>
      </c>
      <c r="T4057" s="102">
        <f t="shared" si="2015"/>
        <v>8805475.2365736756</v>
      </c>
      <c r="U4057" s="71" t="str">
        <f t="shared" si="2020"/>
        <v>O</v>
      </c>
      <c r="V4057" s="71"/>
      <c r="W4057" s="474">
        <f t="shared" si="2024"/>
        <v>3129524.7634263244</v>
      </c>
      <c r="X4057" s="71"/>
      <c r="Y4057" s="71"/>
    </row>
    <row r="4058" spans="1:25" ht="30" hidden="1" customHeight="1" x14ac:dyDescent="0.25">
      <c r="A4058" s="1145">
        <v>44347</v>
      </c>
      <c r="B4058" s="664" t="s">
        <v>1051</v>
      </c>
      <c r="C4058" s="71" t="s">
        <v>2219</v>
      </c>
      <c r="D4058" s="71">
        <v>300</v>
      </c>
      <c r="E4058" s="102">
        <v>5760</v>
      </c>
      <c r="F4058" s="102">
        <f t="shared" si="2021"/>
        <v>1900800.0000000002</v>
      </c>
      <c r="G4058" s="102">
        <f t="shared" si="2022"/>
        <v>1728000</v>
      </c>
      <c r="H4058" s="690" t="s">
        <v>142</v>
      </c>
      <c r="I4058" s="71" t="s">
        <v>2273</v>
      </c>
      <c r="J4058" s="53">
        <f t="shared" si="2018"/>
        <v>452050.63291139249</v>
      </c>
      <c r="K4058" s="63">
        <f t="shared" si="2023"/>
        <v>0.26160337552742619</v>
      </c>
      <c r="L4058" s="871" t="s">
        <v>2949</v>
      </c>
      <c r="M4058" s="468"/>
      <c r="N4058" s="1192">
        <f t="shared" si="1998"/>
        <v>44347</v>
      </c>
      <c r="O4058" s="71" t="s">
        <v>145</v>
      </c>
      <c r="P4058" s="164" t="str">
        <f t="shared" si="1999"/>
        <v>ENGAGE 1030*800</v>
      </c>
      <c r="Q4058" s="71">
        <f t="shared" si="2000"/>
        <v>300</v>
      </c>
      <c r="R4058" s="102">
        <f>R4055/1030/790*1030*800</f>
        <v>4253.164556962025</v>
      </c>
      <c r="S4058" s="102">
        <f t="shared" si="2014"/>
        <v>1403544.3037974683</v>
      </c>
      <c r="T4058" s="102">
        <f t="shared" si="2015"/>
        <v>1275949.3670886075</v>
      </c>
      <c r="U4058" s="71" t="str">
        <f t="shared" si="2020"/>
        <v>O</v>
      </c>
      <c r="V4058" s="71"/>
      <c r="W4058" s="474">
        <f t="shared" si="2024"/>
        <v>452050.63291139249</v>
      </c>
      <c r="X4058" s="71"/>
      <c r="Y4058" s="71"/>
    </row>
    <row r="4059" spans="1:25" ht="30" hidden="1" customHeight="1" x14ac:dyDescent="0.25">
      <c r="A4059" s="1145">
        <v>44347</v>
      </c>
      <c r="B4059" s="664" t="s">
        <v>1051</v>
      </c>
      <c r="C4059" s="71" t="s">
        <v>1383</v>
      </c>
      <c r="D4059" s="71">
        <v>2300</v>
      </c>
      <c r="E4059" s="102">
        <v>5970</v>
      </c>
      <c r="F4059" s="102">
        <f t="shared" si="2021"/>
        <v>15104100.000000002</v>
      </c>
      <c r="G4059" s="102">
        <f t="shared" si="2022"/>
        <v>13731000</v>
      </c>
      <c r="H4059" s="690" t="s">
        <v>142</v>
      </c>
      <c r="I4059" s="71" t="s">
        <v>2273</v>
      </c>
      <c r="J4059" s="53">
        <f t="shared" si="2018"/>
        <v>3573516.5294334535</v>
      </c>
      <c r="K4059" s="63">
        <f t="shared" si="2023"/>
        <v>0.26025173180638356</v>
      </c>
      <c r="L4059" s="871" t="s">
        <v>2949</v>
      </c>
      <c r="M4059" s="468"/>
      <c r="N4059" s="1192">
        <f t="shared" si="1998"/>
        <v>44347</v>
      </c>
      <c r="O4059" s="71" t="s">
        <v>145</v>
      </c>
      <c r="P4059" s="164" t="str">
        <f t="shared" si="1999"/>
        <v>ENGAGE 1055*811</v>
      </c>
      <c r="Q4059" s="71">
        <f t="shared" si="2000"/>
        <v>2300</v>
      </c>
      <c r="R4059" s="102">
        <f>R4055/1030/790*1055*811</f>
        <v>4416.29716111589</v>
      </c>
      <c r="S4059" s="102">
        <f t="shared" si="2014"/>
        <v>11173231.817623202</v>
      </c>
      <c r="T4059" s="102">
        <f t="shared" si="2015"/>
        <v>10157483.470566547</v>
      </c>
      <c r="U4059" s="71" t="str">
        <f t="shared" si="2020"/>
        <v>O</v>
      </c>
      <c r="V4059" s="71"/>
      <c r="W4059" s="474">
        <f t="shared" si="2024"/>
        <v>3573516.5294334535</v>
      </c>
      <c r="X4059" s="71"/>
      <c r="Y4059" s="71"/>
    </row>
    <row r="4060" spans="1:25" ht="30" hidden="1" customHeight="1" x14ac:dyDescent="0.25">
      <c r="A4060" s="1145">
        <v>44347</v>
      </c>
      <c r="B4060" s="664" t="s">
        <v>1051</v>
      </c>
      <c r="C4060" s="71" t="s">
        <v>1650</v>
      </c>
      <c r="D4060" s="71">
        <v>1400</v>
      </c>
      <c r="E4060" s="102">
        <v>4270</v>
      </c>
      <c r="F4060" s="102">
        <f t="shared" si="2021"/>
        <v>6575800.0000000009</v>
      </c>
      <c r="G4060" s="102">
        <f t="shared" si="2022"/>
        <v>5978000</v>
      </c>
      <c r="H4060" s="690" t="s">
        <v>142</v>
      </c>
      <c r="I4060" s="71" t="s">
        <v>2273</v>
      </c>
      <c r="J4060" s="53">
        <f t="shared" si="2018"/>
        <v>1564148.4085043631</v>
      </c>
      <c r="K4060" s="63">
        <f t="shared" si="2023"/>
        <v>0.26165078763873584</v>
      </c>
      <c r="L4060" s="871" t="s">
        <v>2949</v>
      </c>
      <c r="M4060" s="468"/>
      <c r="N4060" s="1192">
        <f t="shared" si="1998"/>
        <v>44347</v>
      </c>
      <c r="O4060" s="71" t="s">
        <v>145</v>
      </c>
      <c r="P4060" s="164" t="str">
        <f t="shared" si="1999"/>
        <v>ENGAGE 968*631</v>
      </c>
      <c r="Q4060" s="71">
        <f t="shared" si="2000"/>
        <v>1400</v>
      </c>
      <c r="R4060" s="102">
        <f>R4055/1030/790*968*631</f>
        <v>3152.7511367825978</v>
      </c>
      <c r="S4060" s="102">
        <f t="shared" si="2014"/>
        <v>4855236.7506452007</v>
      </c>
      <c r="T4060" s="102">
        <f t="shared" si="2015"/>
        <v>4413851.5914956369</v>
      </c>
      <c r="U4060" s="71" t="str">
        <f t="shared" si="2020"/>
        <v>O</v>
      </c>
      <c r="V4060" s="71"/>
      <c r="W4060" s="474">
        <f t="shared" si="2024"/>
        <v>1564148.4085043631</v>
      </c>
      <c r="X4060" s="71"/>
      <c r="Y4060" s="71"/>
    </row>
    <row r="4061" spans="1:25" ht="30" hidden="1" customHeight="1" x14ac:dyDescent="0.25">
      <c r="A4061" s="1145">
        <v>44347</v>
      </c>
      <c r="B4061" s="664" t="s">
        <v>1051</v>
      </c>
      <c r="C4061" s="71" t="s">
        <v>2619</v>
      </c>
      <c r="D4061" s="71"/>
      <c r="E4061" s="102"/>
      <c r="F4061" s="102">
        <f t="shared" si="2021"/>
        <v>0</v>
      </c>
      <c r="G4061" s="102">
        <f t="shared" si="2022"/>
        <v>0</v>
      </c>
      <c r="H4061" s="690" t="s">
        <v>142</v>
      </c>
      <c r="I4061" s="71" t="s">
        <v>2273</v>
      </c>
      <c r="J4061" s="53">
        <f t="shared" si="2018"/>
        <v>0</v>
      </c>
      <c r="K4061" s="63" t="e">
        <f t="shared" si="2023"/>
        <v>#DIV/0!</v>
      </c>
      <c r="L4061" s="871" t="s">
        <v>2949</v>
      </c>
      <c r="M4061" s="468"/>
      <c r="N4061" s="1192">
        <f t="shared" ref="N4061:N4069" si="2025">A4061</f>
        <v>44347</v>
      </c>
      <c r="O4061" s="71" t="s">
        <v>145</v>
      </c>
      <c r="P4061" s="164" t="str">
        <f t="shared" ref="P4061:P4073" si="2026">(C4061)</f>
        <v>ENGAGE 1092*800</v>
      </c>
      <c r="Q4061" s="71">
        <f>D4061</f>
        <v>0</v>
      </c>
      <c r="R4061" s="102">
        <v>5510</v>
      </c>
      <c r="S4061" s="102">
        <f t="shared" si="2014"/>
        <v>0</v>
      </c>
      <c r="T4061" s="102">
        <f t="shared" si="2015"/>
        <v>0</v>
      </c>
      <c r="U4061" s="71" t="str">
        <f t="shared" si="2020"/>
        <v>O</v>
      </c>
      <c r="V4061" s="71"/>
      <c r="W4061" s="474">
        <f t="shared" si="2024"/>
        <v>0</v>
      </c>
      <c r="X4061" s="71"/>
      <c r="Y4061" s="71"/>
    </row>
    <row r="4062" spans="1:25" ht="30" hidden="1" customHeight="1" x14ac:dyDescent="0.25">
      <c r="A4062" s="1145">
        <v>44347</v>
      </c>
      <c r="B4062" s="664" t="s">
        <v>1051</v>
      </c>
      <c r="C4062" s="71" t="s">
        <v>1386</v>
      </c>
      <c r="D4062" s="71">
        <v>50</v>
      </c>
      <c r="E4062" s="102">
        <v>52500</v>
      </c>
      <c r="F4062" s="102">
        <f t="shared" si="2021"/>
        <v>2887500.0000000005</v>
      </c>
      <c r="G4062" s="102">
        <f t="shared" si="2022"/>
        <v>2625000</v>
      </c>
      <c r="H4062" s="690" t="s">
        <v>142</v>
      </c>
      <c r="I4062" s="71" t="s">
        <v>2273</v>
      </c>
      <c r="J4062" s="53">
        <f t="shared" si="2018"/>
        <v>875000</v>
      </c>
      <c r="K4062" s="63">
        <f t="shared" si="2023"/>
        <v>0.33333333333333326</v>
      </c>
      <c r="L4062" s="871" t="s">
        <v>2949</v>
      </c>
      <c r="M4062" s="468"/>
      <c r="N4062" s="1192">
        <f t="shared" si="2025"/>
        <v>44347</v>
      </c>
      <c r="O4062" s="71" t="s">
        <v>145</v>
      </c>
      <c r="P4062" s="164" t="str">
        <f t="shared" si="2026"/>
        <v>THR200(20L)보충액</v>
      </c>
      <c r="Q4062" s="71">
        <f>D4062</f>
        <v>50</v>
      </c>
      <c r="R4062" s="102">
        <v>35000</v>
      </c>
      <c r="S4062" s="102">
        <f t="shared" si="2014"/>
        <v>1925000.0000000002</v>
      </c>
      <c r="T4062" s="102">
        <f t="shared" si="2015"/>
        <v>1750000</v>
      </c>
      <c r="U4062" s="71" t="str">
        <f t="shared" si="2020"/>
        <v>O</v>
      </c>
      <c r="V4062" s="71"/>
      <c r="W4062" s="474">
        <f t="shared" si="2024"/>
        <v>875000</v>
      </c>
      <c r="X4062" s="71"/>
      <c r="Y4062" s="71"/>
    </row>
    <row r="4063" spans="1:25" ht="30" hidden="1" customHeight="1" x14ac:dyDescent="0.25">
      <c r="A4063" s="1145">
        <v>44347</v>
      </c>
      <c r="B4063" s="664" t="s">
        <v>1051</v>
      </c>
      <c r="C4063" s="71" t="s">
        <v>1387</v>
      </c>
      <c r="D4063" s="71">
        <v>5</v>
      </c>
      <c r="E4063" s="102">
        <v>52500</v>
      </c>
      <c r="F4063" s="102">
        <f t="shared" si="2021"/>
        <v>288750</v>
      </c>
      <c r="G4063" s="102">
        <f t="shared" si="2022"/>
        <v>262500</v>
      </c>
      <c r="H4063" s="690" t="s">
        <v>142</v>
      </c>
      <c r="I4063" s="71" t="s">
        <v>2273</v>
      </c>
      <c r="J4063" s="53">
        <f t="shared" si="2018"/>
        <v>87500</v>
      </c>
      <c r="K4063" s="63">
        <f t="shared" si="2023"/>
        <v>0.33333333333333331</v>
      </c>
      <c r="L4063" s="871" t="s">
        <v>2949</v>
      </c>
      <c r="M4063" s="468"/>
      <c r="N4063" s="1192">
        <f t="shared" si="2025"/>
        <v>44347</v>
      </c>
      <c r="O4063" s="71" t="s">
        <v>145</v>
      </c>
      <c r="P4063" s="164" t="str">
        <f t="shared" si="2026"/>
        <v>THD200(20L)현상액</v>
      </c>
      <c r="Q4063" s="71">
        <f>D4063</f>
        <v>5</v>
      </c>
      <c r="R4063" s="102">
        <v>35000</v>
      </c>
      <c r="S4063" s="102">
        <f t="shared" si="2014"/>
        <v>192500.00000000003</v>
      </c>
      <c r="T4063" s="102">
        <f t="shared" si="2015"/>
        <v>175000</v>
      </c>
      <c r="U4063" s="71" t="str">
        <f t="shared" si="2020"/>
        <v>O</v>
      </c>
      <c r="V4063" s="71"/>
      <c r="W4063" s="474">
        <f t="shared" si="2024"/>
        <v>87500</v>
      </c>
      <c r="X4063" s="71"/>
      <c r="Y4063" s="71"/>
    </row>
    <row r="4064" spans="1:25" ht="30" hidden="1" customHeight="1" x14ac:dyDescent="0.25">
      <c r="A4064" s="1145">
        <v>44347</v>
      </c>
      <c r="B4064" s="664" t="s">
        <v>1061</v>
      </c>
      <c r="C4064" s="71" t="s">
        <v>616</v>
      </c>
      <c r="D4064" s="71">
        <v>200</v>
      </c>
      <c r="E4064" s="102">
        <v>5600</v>
      </c>
      <c r="F4064" s="102">
        <f t="shared" si="2021"/>
        <v>1232000</v>
      </c>
      <c r="G4064" s="102">
        <f t="shared" si="2022"/>
        <v>1120000</v>
      </c>
      <c r="H4064" s="690" t="s">
        <v>142</v>
      </c>
      <c r="I4064" s="71" t="s">
        <v>144</v>
      </c>
      <c r="J4064" s="53">
        <f t="shared" si="2018"/>
        <v>102000</v>
      </c>
      <c r="K4064" s="63">
        <f t="shared" si="2023"/>
        <v>9.1071428571428567E-2</v>
      </c>
      <c r="L4064" s="871" t="s">
        <v>2949</v>
      </c>
      <c r="M4064" s="468"/>
      <c r="N4064" s="1192">
        <f t="shared" si="2025"/>
        <v>44347</v>
      </c>
      <c r="O4064" s="71" t="s">
        <v>147</v>
      </c>
      <c r="P4064" s="164" t="str">
        <f t="shared" si="2026"/>
        <v>프리미어(먹)</v>
      </c>
      <c r="Q4064" s="71">
        <f>D4064</f>
        <v>200</v>
      </c>
      <c r="R4064" s="102">
        <v>5090</v>
      </c>
      <c r="S4064" s="102">
        <f t="shared" si="2014"/>
        <v>1119800</v>
      </c>
      <c r="T4064" s="102">
        <f t="shared" si="2015"/>
        <v>1018000</v>
      </c>
      <c r="U4064" s="71" t="str">
        <f t="shared" si="2020"/>
        <v>O</v>
      </c>
      <c r="V4064" s="71"/>
      <c r="W4064" s="474">
        <f t="shared" si="2024"/>
        <v>102000</v>
      </c>
      <c r="X4064" s="71"/>
      <c r="Y4064" s="71"/>
    </row>
    <row r="4065" spans="1:25" ht="30" hidden="1" customHeight="1" x14ac:dyDescent="0.25">
      <c r="A4065" s="1145">
        <v>44347</v>
      </c>
      <c r="B4065" s="664" t="s">
        <v>1052</v>
      </c>
      <c r="C4065" s="71" t="s">
        <v>585</v>
      </c>
      <c r="D4065" s="71">
        <v>400</v>
      </c>
      <c r="E4065" s="102">
        <v>6000</v>
      </c>
      <c r="F4065" s="102">
        <f t="shared" si="2021"/>
        <v>2640000</v>
      </c>
      <c r="G4065" s="102">
        <f t="shared" si="2022"/>
        <v>2400000</v>
      </c>
      <c r="H4065" s="690" t="s">
        <v>142</v>
      </c>
      <c r="I4065" s="71" t="s">
        <v>144</v>
      </c>
      <c r="J4065" s="53">
        <f t="shared" si="2018"/>
        <v>220000</v>
      </c>
      <c r="K4065" s="63">
        <f t="shared" si="2023"/>
        <v>9.166666666666666E-2</v>
      </c>
      <c r="L4065" s="871" t="s">
        <v>2949</v>
      </c>
      <c r="M4065" s="468"/>
      <c r="N4065" s="1192">
        <f t="shared" si="2025"/>
        <v>44347</v>
      </c>
      <c r="O4065" s="71" t="s">
        <v>147</v>
      </c>
      <c r="P4065" s="164" t="str">
        <f t="shared" si="2026"/>
        <v>프리미어(적)</v>
      </c>
      <c r="Q4065" s="71">
        <f>D4065</f>
        <v>400</v>
      </c>
      <c r="R4065" s="102">
        <v>5450</v>
      </c>
      <c r="S4065" s="102">
        <f t="shared" si="2014"/>
        <v>2398000</v>
      </c>
      <c r="T4065" s="102">
        <f t="shared" si="2015"/>
        <v>2180000</v>
      </c>
      <c r="U4065" s="71" t="str">
        <f t="shared" si="2020"/>
        <v>O</v>
      </c>
      <c r="V4065" s="71"/>
      <c r="W4065" s="474">
        <f t="shared" si="2024"/>
        <v>220000</v>
      </c>
      <c r="X4065" s="71"/>
      <c r="Y4065" s="71"/>
    </row>
    <row r="4066" spans="1:25" ht="30" hidden="1" customHeight="1" x14ac:dyDescent="0.25">
      <c r="A4066" s="1145">
        <v>44347</v>
      </c>
      <c r="B4066" s="664" t="s">
        <v>1061</v>
      </c>
      <c r="C4066" s="71" t="s">
        <v>586</v>
      </c>
      <c r="D4066" s="71">
        <v>600</v>
      </c>
      <c r="E4066" s="102">
        <v>5750</v>
      </c>
      <c r="F4066" s="102">
        <f t="shared" si="2021"/>
        <v>3795000.0000000005</v>
      </c>
      <c r="G4066" s="102">
        <f t="shared" si="2022"/>
        <v>3450000</v>
      </c>
      <c r="H4066" s="690" t="s">
        <v>142</v>
      </c>
      <c r="I4066" s="71" t="s">
        <v>144</v>
      </c>
      <c r="J4066" s="53">
        <f t="shared" si="2018"/>
        <v>318000</v>
      </c>
      <c r="K4066" s="63">
        <f t="shared" si="2023"/>
        <v>9.2173913043478245E-2</v>
      </c>
      <c r="L4066" s="871" t="s">
        <v>2949</v>
      </c>
      <c r="M4066" s="468"/>
      <c r="N4066" s="1192">
        <f t="shared" si="2025"/>
        <v>44347</v>
      </c>
      <c r="O4066" s="71" t="s">
        <v>147</v>
      </c>
      <c r="P4066" s="164" t="str">
        <f t="shared" si="2026"/>
        <v>프리미어(황)</v>
      </c>
      <c r="Q4066" s="71">
        <f t="shared" ref="Q4066:Q4074" si="2027">D4066</f>
        <v>600</v>
      </c>
      <c r="R4066" s="102">
        <v>5220</v>
      </c>
      <c r="S4066" s="102">
        <f t="shared" si="2014"/>
        <v>3445200.0000000005</v>
      </c>
      <c r="T4066" s="102">
        <f t="shared" si="2015"/>
        <v>3132000</v>
      </c>
      <c r="U4066" s="71" t="str">
        <f t="shared" si="2020"/>
        <v>O</v>
      </c>
      <c r="V4066" s="71"/>
      <c r="W4066" s="474">
        <f t="shared" si="2024"/>
        <v>318000</v>
      </c>
      <c r="X4066" s="71"/>
      <c r="Y4066" s="71"/>
    </row>
    <row r="4067" spans="1:25" ht="30" hidden="1" customHeight="1" x14ac:dyDescent="0.25">
      <c r="A4067" s="1145">
        <v>44347</v>
      </c>
      <c r="B4067" s="664" t="s">
        <v>1061</v>
      </c>
      <c r="C4067" s="71" t="s">
        <v>587</v>
      </c>
      <c r="D4067" s="71">
        <v>400</v>
      </c>
      <c r="E4067" s="102">
        <v>7000</v>
      </c>
      <c r="F4067" s="102">
        <f t="shared" si="2021"/>
        <v>3080000.0000000005</v>
      </c>
      <c r="G4067" s="102">
        <f t="shared" si="2022"/>
        <v>2800000</v>
      </c>
      <c r="H4067" s="690" t="s">
        <v>142</v>
      </c>
      <c r="I4067" s="71" t="s">
        <v>144</v>
      </c>
      <c r="J4067" s="53">
        <f t="shared" si="2018"/>
        <v>256000</v>
      </c>
      <c r="K4067" s="63">
        <f t="shared" si="2023"/>
        <v>9.1428571428571415E-2</v>
      </c>
      <c r="L4067" s="871" t="s">
        <v>2949</v>
      </c>
      <c r="M4067" s="468"/>
      <c r="N4067" s="1192">
        <f t="shared" si="2025"/>
        <v>44347</v>
      </c>
      <c r="O4067" s="71" t="s">
        <v>147</v>
      </c>
      <c r="P4067" s="164" t="str">
        <f t="shared" si="2026"/>
        <v>프리미어(청)</v>
      </c>
      <c r="Q4067" s="71">
        <f t="shared" si="2027"/>
        <v>400</v>
      </c>
      <c r="R4067" s="102">
        <v>6360</v>
      </c>
      <c r="S4067" s="102">
        <f t="shared" si="2014"/>
        <v>2798400</v>
      </c>
      <c r="T4067" s="102">
        <f t="shared" si="2015"/>
        <v>2544000</v>
      </c>
      <c r="U4067" s="71" t="str">
        <f t="shared" si="2020"/>
        <v>O</v>
      </c>
      <c r="V4067" s="71"/>
      <c r="W4067" s="474">
        <f t="shared" si="2024"/>
        <v>256000</v>
      </c>
      <c r="X4067" s="71"/>
      <c r="Y4067" s="71"/>
    </row>
    <row r="4068" spans="1:25" ht="30" hidden="1" customHeight="1" x14ac:dyDescent="0.25">
      <c r="A4068" s="1145">
        <v>44347</v>
      </c>
      <c r="B4068" s="664" t="s">
        <v>1052</v>
      </c>
      <c r="C4068" s="71" t="s">
        <v>1115</v>
      </c>
      <c r="D4068" s="71">
        <v>50</v>
      </c>
      <c r="E4068" s="102">
        <v>6200</v>
      </c>
      <c r="F4068" s="102">
        <f t="shared" si="2021"/>
        <v>341000</v>
      </c>
      <c r="G4068" s="102">
        <f t="shared" si="2022"/>
        <v>310000</v>
      </c>
      <c r="H4068" s="690" t="s">
        <v>142</v>
      </c>
      <c r="I4068" s="71" t="s">
        <v>144</v>
      </c>
      <c r="J4068" s="53">
        <f t="shared" si="2018"/>
        <v>15000</v>
      </c>
      <c r="K4068" s="63">
        <f t="shared" si="2023"/>
        <v>4.8387096774193547E-2</v>
      </c>
      <c r="L4068" s="871" t="s">
        <v>2949</v>
      </c>
      <c r="M4068" s="1197"/>
      <c r="N4068" s="1192">
        <f t="shared" si="2025"/>
        <v>44347</v>
      </c>
      <c r="O4068" s="71" t="s">
        <v>2459</v>
      </c>
      <c r="P4068" s="164" t="str">
        <f t="shared" si="2026"/>
        <v>한특 잉크(적)</v>
      </c>
      <c r="Q4068" s="71">
        <f t="shared" si="2027"/>
        <v>50</v>
      </c>
      <c r="R4068" s="102">
        <v>5900</v>
      </c>
      <c r="S4068" s="102">
        <f t="shared" si="2014"/>
        <v>324500</v>
      </c>
      <c r="T4068" s="102">
        <f t="shared" si="2015"/>
        <v>295000</v>
      </c>
      <c r="U4068" s="71" t="str">
        <f t="shared" si="2020"/>
        <v>O</v>
      </c>
      <c r="V4068" s="918"/>
      <c r="W4068" s="474">
        <f t="shared" si="2024"/>
        <v>15000</v>
      </c>
      <c r="X4068" s="71"/>
      <c r="Y4068" s="71"/>
    </row>
    <row r="4069" spans="1:25" ht="30" hidden="1" customHeight="1" x14ac:dyDescent="0.25">
      <c r="A4069" s="1145">
        <v>44347</v>
      </c>
      <c r="B4069" s="664" t="s">
        <v>1052</v>
      </c>
      <c r="C4069" s="71" t="s">
        <v>1116</v>
      </c>
      <c r="D4069" s="71">
        <v>50</v>
      </c>
      <c r="E4069" s="102">
        <v>6000</v>
      </c>
      <c r="F4069" s="102">
        <f t="shared" si="2021"/>
        <v>330000</v>
      </c>
      <c r="G4069" s="102">
        <f t="shared" si="2022"/>
        <v>300000</v>
      </c>
      <c r="H4069" s="690" t="s">
        <v>142</v>
      </c>
      <c r="I4069" s="71" t="s">
        <v>144</v>
      </c>
      <c r="J4069" s="53">
        <f t="shared" si="2018"/>
        <v>25000</v>
      </c>
      <c r="K4069" s="63">
        <f t="shared" si="2023"/>
        <v>8.3333333333333329E-2</v>
      </c>
      <c r="L4069" s="871" t="s">
        <v>2949</v>
      </c>
      <c r="M4069" s="1197"/>
      <c r="N4069" s="1192">
        <f t="shared" si="2025"/>
        <v>44347</v>
      </c>
      <c r="O4069" s="71" t="s">
        <v>2459</v>
      </c>
      <c r="P4069" s="164" t="str">
        <f t="shared" si="2026"/>
        <v>한특 잉크(황)</v>
      </c>
      <c r="Q4069" s="71">
        <f t="shared" si="2027"/>
        <v>50</v>
      </c>
      <c r="R4069" s="102">
        <v>5500</v>
      </c>
      <c r="S4069" s="102">
        <f t="shared" si="2014"/>
        <v>302500</v>
      </c>
      <c r="T4069" s="102">
        <f t="shared" si="2015"/>
        <v>275000</v>
      </c>
      <c r="U4069" s="71" t="str">
        <f t="shared" si="2020"/>
        <v>O</v>
      </c>
      <c r="V4069" s="918"/>
      <c r="W4069" s="474">
        <f t="shared" si="2024"/>
        <v>25000</v>
      </c>
      <c r="X4069" s="71"/>
      <c r="Y4069" s="71"/>
    </row>
    <row r="4070" spans="1:25" ht="30" hidden="1" customHeight="1" x14ac:dyDescent="0.25">
      <c r="A4070" s="1145">
        <v>44347</v>
      </c>
      <c r="B4070" s="664" t="s">
        <v>1052</v>
      </c>
      <c r="C4070" s="71" t="s">
        <v>1117</v>
      </c>
      <c r="D4070" s="71">
        <v>50</v>
      </c>
      <c r="E4070" s="102">
        <v>6500</v>
      </c>
      <c r="F4070" s="102">
        <f t="shared" si="2021"/>
        <v>357500</v>
      </c>
      <c r="G4070" s="102">
        <f t="shared" si="2022"/>
        <v>325000</v>
      </c>
      <c r="H4070" s="690" t="s">
        <v>142</v>
      </c>
      <c r="I4070" s="71" t="s">
        <v>144</v>
      </c>
      <c r="J4070" s="53">
        <f t="shared" si="2018"/>
        <v>35000</v>
      </c>
      <c r="K4070" s="63">
        <f t="shared" si="2023"/>
        <v>0.1076923076923077</v>
      </c>
      <c r="L4070" s="871" t="s">
        <v>2949</v>
      </c>
      <c r="M4070" s="1197"/>
      <c r="N4070" s="1192">
        <f>A4070</f>
        <v>44347</v>
      </c>
      <c r="O4070" s="71" t="s">
        <v>2459</v>
      </c>
      <c r="P4070" s="164" t="str">
        <f t="shared" si="2026"/>
        <v>한특 잉크(청)</v>
      </c>
      <c r="Q4070" s="71">
        <f t="shared" si="2027"/>
        <v>50</v>
      </c>
      <c r="R4070" s="102">
        <v>5800</v>
      </c>
      <c r="S4070" s="102">
        <f t="shared" si="2014"/>
        <v>319000</v>
      </c>
      <c r="T4070" s="102">
        <f t="shared" si="2015"/>
        <v>290000</v>
      </c>
      <c r="U4070" s="71" t="str">
        <f t="shared" si="2020"/>
        <v>O</v>
      </c>
      <c r="V4070" s="918"/>
      <c r="W4070" s="474">
        <f t="shared" si="2024"/>
        <v>35000</v>
      </c>
      <c r="X4070" s="71"/>
      <c r="Y4070" s="71"/>
    </row>
    <row r="4071" spans="1:25" ht="30" hidden="1" customHeight="1" x14ac:dyDescent="0.25">
      <c r="A4071" s="1145">
        <v>44347</v>
      </c>
      <c r="B4071" s="664" t="s">
        <v>1052</v>
      </c>
      <c r="C4071" s="71" t="s">
        <v>1118</v>
      </c>
      <c r="D4071" s="71">
        <v>100</v>
      </c>
      <c r="E4071" s="102">
        <v>5600</v>
      </c>
      <c r="F4071" s="102">
        <f t="shared" si="2021"/>
        <v>616000</v>
      </c>
      <c r="G4071" s="102">
        <f t="shared" si="2022"/>
        <v>560000</v>
      </c>
      <c r="H4071" s="690" t="s">
        <v>142</v>
      </c>
      <c r="I4071" s="71" t="s">
        <v>144</v>
      </c>
      <c r="J4071" s="53">
        <f t="shared" si="2018"/>
        <v>60000</v>
      </c>
      <c r="K4071" s="63">
        <f t="shared" si="2023"/>
        <v>0.10714285714285714</v>
      </c>
      <c r="L4071" s="871" t="s">
        <v>2949</v>
      </c>
      <c r="M4071" s="1197"/>
      <c r="N4071" s="1192">
        <f>A4071</f>
        <v>44347</v>
      </c>
      <c r="O4071" s="71" t="s">
        <v>2459</v>
      </c>
      <c r="P4071" s="164" t="str">
        <f t="shared" si="2026"/>
        <v>한특 잉크(먹)</v>
      </c>
      <c r="Q4071" s="71">
        <f t="shared" si="2027"/>
        <v>100</v>
      </c>
      <c r="R4071" s="102">
        <v>5000</v>
      </c>
      <c r="S4071" s="102">
        <f t="shared" si="2014"/>
        <v>550000</v>
      </c>
      <c r="T4071" s="102">
        <f t="shared" si="2015"/>
        <v>500000</v>
      </c>
      <c r="U4071" s="71" t="str">
        <f t="shared" si="2020"/>
        <v>O</v>
      </c>
      <c r="V4071" s="918"/>
      <c r="W4071" s="474">
        <f t="shared" si="2024"/>
        <v>60000</v>
      </c>
      <c r="X4071" s="71"/>
      <c r="Y4071" s="71"/>
    </row>
    <row r="4072" spans="1:25" ht="30" hidden="1" customHeight="1" x14ac:dyDescent="0.25">
      <c r="A4072" s="1145">
        <v>44347</v>
      </c>
      <c r="B4072" s="664" t="s">
        <v>1052</v>
      </c>
      <c r="C4072" s="71" t="s">
        <v>2946</v>
      </c>
      <c r="D4072" s="71">
        <v>0</v>
      </c>
      <c r="E4072" s="102">
        <v>8200</v>
      </c>
      <c r="F4072" s="102">
        <f>(E4072*D4072)*1.1</f>
        <v>0</v>
      </c>
      <c r="G4072" s="102">
        <f>(E4072*D4072)</f>
        <v>0</v>
      </c>
      <c r="H4072" s="690" t="s">
        <v>142</v>
      </c>
      <c r="I4072" s="71" t="s">
        <v>144</v>
      </c>
      <c r="J4072" s="53">
        <f t="shared" si="2018"/>
        <v>0</v>
      </c>
      <c r="K4072" s="63" t="e">
        <f t="shared" si="2023"/>
        <v>#DIV/0!</v>
      </c>
      <c r="L4072" s="871" t="s">
        <v>2949</v>
      </c>
      <c r="M4072" s="468"/>
      <c r="N4072" s="1192">
        <f t="shared" ref="N4072:N4079" si="2028">A4072</f>
        <v>44347</v>
      </c>
      <c r="O4072" s="71" t="s">
        <v>147</v>
      </c>
      <c r="P4072" s="164" t="str">
        <f t="shared" si="2026"/>
        <v>아라니아 분홍 190c</v>
      </c>
      <c r="Q4072" s="71">
        <f t="shared" si="2027"/>
        <v>0</v>
      </c>
      <c r="R4072" s="102">
        <v>7850</v>
      </c>
      <c r="S4072" s="102">
        <f t="shared" si="2014"/>
        <v>0</v>
      </c>
      <c r="T4072" s="102">
        <f t="shared" si="2015"/>
        <v>0</v>
      </c>
      <c r="U4072" s="71" t="str">
        <f t="shared" si="2020"/>
        <v>O</v>
      </c>
      <c r="V4072" s="71"/>
      <c r="W4072" s="474">
        <f t="shared" si="2024"/>
        <v>0</v>
      </c>
      <c r="X4072" s="71"/>
      <c r="Y4072" s="71"/>
    </row>
    <row r="4073" spans="1:25" ht="30" hidden="1" customHeight="1" x14ac:dyDescent="0.25">
      <c r="A4073" s="1145">
        <v>44347</v>
      </c>
      <c r="B4073" s="664" t="s">
        <v>1052</v>
      </c>
      <c r="C4073" s="71" t="s">
        <v>2947</v>
      </c>
      <c r="D4073" s="71">
        <v>0</v>
      </c>
      <c r="E4073" s="102">
        <v>7700</v>
      </c>
      <c r="F4073" s="102">
        <f>(E4073*D4073)*1.1</f>
        <v>0</v>
      </c>
      <c r="G4073" s="102">
        <f>(E4073*D4073)</f>
        <v>0</v>
      </c>
      <c r="H4073" s="690" t="s">
        <v>142</v>
      </c>
      <c r="I4073" s="71" t="s">
        <v>144</v>
      </c>
      <c r="J4073" s="53">
        <f t="shared" si="2018"/>
        <v>0</v>
      </c>
      <c r="K4073" s="63" t="e">
        <f t="shared" si="2023"/>
        <v>#DIV/0!</v>
      </c>
      <c r="L4073" s="871" t="s">
        <v>2949</v>
      </c>
      <c r="M4073" s="468"/>
      <c r="N4073" s="1192">
        <f t="shared" si="2028"/>
        <v>44347</v>
      </c>
      <c r="O4073" s="71" t="s">
        <v>147</v>
      </c>
      <c r="P4073" s="164" t="str">
        <f t="shared" si="2026"/>
        <v>아라니아 진분홍 1905c</v>
      </c>
      <c r="Q4073" s="71">
        <f t="shared" si="2027"/>
        <v>0</v>
      </c>
      <c r="R4073" s="102">
        <v>7300</v>
      </c>
      <c r="S4073" s="102">
        <f t="shared" si="2014"/>
        <v>0</v>
      </c>
      <c r="T4073" s="102">
        <f t="shared" si="2015"/>
        <v>0</v>
      </c>
      <c r="U4073" s="71" t="str">
        <f t="shared" si="2020"/>
        <v>O</v>
      </c>
      <c r="V4073" s="71"/>
      <c r="W4073" s="474">
        <f t="shared" si="2024"/>
        <v>0</v>
      </c>
      <c r="X4073" s="71"/>
      <c r="Y4073" s="71"/>
    </row>
    <row r="4074" spans="1:25" ht="30" hidden="1" customHeight="1" x14ac:dyDescent="0.25">
      <c r="A4074" s="1145">
        <v>44347</v>
      </c>
      <c r="B4074" s="664" t="s">
        <v>1052</v>
      </c>
      <c r="C4074" s="71" t="s">
        <v>1840</v>
      </c>
      <c r="D4074" s="71">
        <v>0</v>
      </c>
      <c r="E4074" s="102">
        <v>8000</v>
      </c>
      <c r="F4074" s="102">
        <f>(E4074*D4074)*1.1</f>
        <v>0</v>
      </c>
      <c r="G4074" s="102">
        <f>(E4074*D4074)</f>
        <v>0</v>
      </c>
      <c r="H4074" s="690" t="s">
        <v>142</v>
      </c>
      <c r="I4074" s="71" t="s">
        <v>144</v>
      </c>
      <c r="J4074" s="53">
        <f t="shared" si="2018"/>
        <v>0</v>
      </c>
      <c r="K4074" s="63" t="e">
        <f t="shared" si="2023"/>
        <v>#DIV/0!</v>
      </c>
      <c r="L4074" s="871" t="s">
        <v>2949</v>
      </c>
      <c r="M4074" s="468"/>
      <c r="N4074" s="1192">
        <f t="shared" si="2028"/>
        <v>44347</v>
      </c>
      <c r="O4074" s="71" t="s">
        <v>147</v>
      </c>
      <c r="P4074" s="164" t="str">
        <f>(C4074)</f>
        <v>아라니아 연청 304c</v>
      </c>
      <c r="Q4074" s="71">
        <f t="shared" si="2027"/>
        <v>0</v>
      </c>
      <c r="R4074" s="102">
        <v>7600</v>
      </c>
      <c r="S4074" s="102">
        <f t="shared" si="2014"/>
        <v>0</v>
      </c>
      <c r="T4074" s="102">
        <f t="shared" si="2015"/>
        <v>0</v>
      </c>
      <c r="U4074" s="71" t="str">
        <f t="shared" si="2020"/>
        <v>O</v>
      </c>
      <c r="V4074" s="71"/>
      <c r="W4074" s="474">
        <f t="shared" si="2024"/>
        <v>0</v>
      </c>
      <c r="X4074" s="71"/>
      <c r="Y4074" s="71"/>
    </row>
    <row r="4075" spans="1:25" s="978" customFormat="1" ht="45" hidden="1" customHeight="1" x14ac:dyDescent="0.25">
      <c r="A4075" s="982" t="s">
        <v>3003</v>
      </c>
      <c r="B4075" s="976" t="s">
        <v>544</v>
      </c>
      <c r="C4075" s="453"/>
      <c r="D4075" s="453"/>
      <c r="E4075" s="454"/>
      <c r="F4075" s="454"/>
      <c r="G4075" s="454"/>
      <c r="H4075" s="455"/>
      <c r="I4075" s="453"/>
      <c r="J4075" s="417"/>
      <c r="K4075" s="418"/>
      <c r="L4075" s="983" t="s">
        <v>2977</v>
      </c>
      <c r="M4075" s="643"/>
      <c r="N4075" s="724" t="str">
        <f t="shared" si="2028"/>
        <v>2021,6</v>
      </c>
      <c r="O4075" s="453" t="s">
        <v>154</v>
      </c>
      <c r="P4075" s="728"/>
      <c r="Q4075" s="420"/>
      <c r="R4075" s="420"/>
      <c r="S4075" s="417"/>
      <c r="T4075" s="417"/>
      <c r="U4075" s="421"/>
      <c r="V4075" s="421"/>
      <c r="W4075" s="479">
        <f t="shared" si="2024"/>
        <v>0</v>
      </c>
      <c r="X4075" s="421"/>
      <c r="Y4075" s="421"/>
    </row>
    <row r="4076" spans="1:25" s="209" customFormat="1" ht="30" hidden="1" customHeight="1" x14ac:dyDescent="0.25">
      <c r="A4076" s="1145">
        <v>44344</v>
      </c>
      <c r="B4076" s="664" t="s">
        <v>2155</v>
      </c>
      <c r="C4076" s="71" t="s">
        <v>138</v>
      </c>
      <c r="D4076" s="71">
        <v>10</v>
      </c>
      <c r="E4076" s="102">
        <v>47600</v>
      </c>
      <c r="F4076" s="102">
        <f t="shared" ref="F4076:F4081" si="2029">(E4076*D4076)*1.1</f>
        <v>523600.00000000006</v>
      </c>
      <c r="G4076" s="102">
        <f t="shared" ref="G4076:G4081" si="2030">(E4076*D4076)</f>
        <v>476000</v>
      </c>
      <c r="H4076" s="1129" t="s">
        <v>172</v>
      </c>
      <c r="I4076" s="71" t="s">
        <v>108</v>
      </c>
      <c r="J4076" s="53">
        <f>G4076-T4076</f>
        <v>68000</v>
      </c>
      <c r="K4076" s="63">
        <f>(J4076/(F4076/11*10))</f>
        <v>0.14285714285714285</v>
      </c>
      <c r="L4076" s="871" t="s">
        <v>2977</v>
      </c>
      <c r="M4076" s="468" t="s">
        <v>2214</v>
      </c>
      <c r="N4076" s="1192">
        <f t="shared" si="2028"/>
        <v>44344</v>
      </c>
      <c r="O4076" s="71" t="s">
        <v>150</v>
      </c>
      <c r="P4076" s="164" t="str">
        <f t="shared" ref="P4076:P4089" si="2031">(C4076)</f>
        <v>매엽용 세척제(Wash 562)</v>
      </c>
      <c r="Q4076" s="71">
        <f t="shared" ref="Q4076:Q4105" si="2032">D4076</f>
        <v>10</v>
      </c>
      <c r="R4076" s="102">
        <v>40800</v>
      </c>
      <c r="S4076" s="102">
        <f t="shared" ref="S4076:S4092" si="2033">R4076*Q4076*1.1</f>
        <v>448800.00000000006</v>
      </c>
      <c r="T4076" s="102">
        <f t="shared" ref="T4076:T4092" si="2034">R4076*Q4076</f>
        <v>408000</v>
      </c>
      <c r="U4076" s="71" t="str">
        <f>IF(J4076=W4076,"O", "X")</f>
        <v>X</v>
      </c>
      <c r="V4076" s="71"/>
      <c r="W4076" s="474">
        <v>85000</v>
      </c>
      <c r="X4076" s="71"/>
      <c r="Y4076" s="71"/>
    </row>
    <row r="4077" spans="1:25" ht="30" hidden="1" customHeight="1" x14ac:dyDescent="0.25">
      <c r="A4077" s="1145">
        <v>44344</v>
      </c>
      <c r="B4077" s="664" t="s">
        <v>2155</v>
      </c>
      <c r="C4077" s="71" t="s">
        <v>277</v>
      </c>
      <c r="D4077" s="71">
        <v>5</v>
      </c>
      <c r="E4077" s="102">
        <v>172000</v>
      </c>
      <c r="F4077" s="102">
        <f t="shared" si="2029"/>
        <v>946000.00000000012</v>
      </c>
      <c r="G4077" s="102">
        <f t="shared" si="2030"/>
        <v>860000</v>
      </c>
      <c r="H4077" s="690" t="s">
        <v>173</v>
      </c>
      <c r="I4077" s="71" t="s">
        <v>108</v>
      </c>
      <c r="J4077" s="53">
        <f>G4077-T4077</f>
        <v>285000</v>
      </c>
      <c r="K4077" s="63">
        <f>(J4077/(F4077/11*10))</f>
        <v>0.33139534883720928</v>
      </c>
      <c r="L4077" s="871" t="s">
        <v>2977</v>
      </c>
      <c r="M4077" s="468"/>
      <c r="N4077" s="1192">
        <f t="shared" si="2028"/>
        <v>44344</v>
      </c>
      <c r="O4077" s="71" t="s">
        <v>150</v>
      </c>
      <c r="P4077" s="164" t="str">
        <f t="shared" si="2031"/>
        <v>윤전용 세척제(Web 504)</v>
      </c>
      <c r="Q4077" s="71">
        <f t="shared" si="2032"/>
        <v>5</v>
      </c>
      <c r="R4077" s="102">
        <v>115000</v>
      </c>
      <c r="S4077" s="102">
        <f t="shared" si="2033"/>
        <v>632500</v>
      </c>
      <c r="T4077" s="102">
        <f t="shared" si="2034"/>
        <v>575000</v>
      </c>
      <c r="U4077" s="71" t="str">
        <f>IF(J4077=W4077,"O", "X")</f>
        <v>O</v>
      </c>
      <c r="V4077" s="71"/>
      <c r="W4077" s="474">
        <v>285000</v>
      </c>
      <c r="X4077" s="71"/>
      <c r="Y4077" s="71"/>
    </row>
    <row r="4078" spans="1:25" ht="30" hidden="1" customHeight="1" x14ac:dyDescent="0.25">
      <c r="A4078" s="1145">
        <v>44344</v>
      </c>
      <c r="B4078" s="664" t="s">
        <v>2155</v>
      </c>
      <c r="C4078" s="760" t="s">
        <v>218</v>
      </c>
      <c r="D4078" s="71">
        <v>5</v>
      </c>
      <c r="E4078" s="102">
        <v>192500</v>
      </c>
      <c r="F4078" s="102">
        <f t="shared" si="2029"/>
        <v>1058750</v>
      </c>
      <c r="G4078" s="102">
        <f t="shared" si="2030"/>
        <v>962500</v>
      </c>
      <c r="H4078" s="690" t="s">
        <v>173</v>
      </c>
      <c r="I4078" s="71" t="s">
        <v>120</v>
      </c>
      <c r="J4078" s="53">
        <f>G4078-T4078</f>
        <v>400000</v>
      </c>
      <c r="K4078" s="63">
        <f>(J4078/(F4078/11*10))</f>
        <v>0.41558441558441561</v>
      </c>
      <c r="L4078" s="871" t="s">
        <v>2977</v>
      </c>
      <c r="M4078" s="468"/>
      <c r="N4078" s="1192">
        <f t="shared" si="2028"/>
        <v>44344</v>
      </c>
      <c r="O4078" s="71" t="s">
        <v>150</v>
      </c>
      <c r="P4078" s="164" t="str">
        <f t="shared" si="2031"/>
        <v>Fount Web 551AF</v>
      </c>
      <c r="Q4078" s="71">
        <f t="shared" si="2032"/>
        <v>5</v>
      </c>
      <c r="R4078" s="102">
        <v>112500</v>
      </c>
      <c r="S4078" s="102">
        <f t="shared" si="2033"/>
        <v>618750</v>
      </c>
      <c r="T4078" s="102">
        <f t="shared" si="2034"/>
        <v>562500</v>
      </c>
      <c r="U4078" s="71" t="str">
        <f>IF(J4078=W4078,"O", "X")</f>
        <v>X</v>
      </c>
      <c r="V4078" s="71"/>
      <c r="W4078" s="474">
        <v>640000</v>
      </c>
      <c r="X4078" s="71"/>
      <c r="Y4078" s="71"/>
    </row>
    <row r="4079" spans="1:25" s="209" customFormat="1" ht="30" hidden="1" customHeight="1" x14ac:dyDescent="0.2">
      <c r="A4079" s="1145">
        <v>44344</v>
      </c>
      <c r="B4079" s="664" t="s">
        <v>2261</v>
      </c>
      <c r="C4079" s="71" t="s">
        <v>107</v>
      </c>
      <c r="D4079" s="71">
        <v>10</v>
      </c>
      <c r="E4079" s="102">
        <v>108000</v>
      </c>
      <c r="F4079" s="102">
        <f t="shared" si="2029"/>
        <v>1188000</v>
      </c>
      <c r="G4079" s="102">
        <f t="shared" si="2030"/>
        <v>1080000</v>
      </c>
      <c r="H4079" s="165" t="s">
        <v>172</v>
      </c>
      <c r="I4079" s="71" t="s">
        <v>109</v>
      </c>
      <c r="J4079" s="53">
        <f>G4079-T4079</f>
        <v>275000</v>
      </c>
      <c r="K4079" s="63">
        <f>(J4079/(F4079/11*10))</f>
        <v>0.25462962962962965</v>
      </c>
      <c r="L4079" s="871" t="s">
        <v>2977</v>
      </c>
      <c r="M4079" s="468"/>
      <c r="N4079" s="1192">
        <f t="shared" si="2028"/>
        <v>44344</v>
      </c>
      <c r="O4079" s="71" t="s">
        <v>147</v>
      </c>
      <c r="P4079" s="164" t="str">
        <f t="shared" si="2031"/>
        <v>Blanket(1050*840)</v>
      </c>
      <c r="Q4079" s="71">
        <f t="shared" si="2032"/>
        <v>10</v>
      </c>
      <c r="R4079" s="102">
        <v>80500</v>
      </c>
      <c r="S4079" s="102">
        <f t="shared" si="2033"/>
        <v>885500.00000000012</v>
      </c>
      <c r="T4079" s="102">
        <f t="shared" si="2034"/>
        <v>805000</v>
      </c>
      <c r="U4079" s="71" t="str">
        <f>IF(J4079=W4079,"O", "X")</f>
        <v>O</v>
      </c>
      <c r="V4079" s="71"/>
      <c r="W4079" s="474">
        <v>275000</v>
      </c>
      <c r="X4079" s="71"/>
      <c r="Y4079" s="71"/>
    </row>
    <row r="4080" spans="1:25" ht="30" hidden="1" customHeight="1" x14ac:dyDescent="0.25">
      <c r="A4080" s="1145">
        <v>44317</v>
      </c>
      <c r="B4080" s="664" t="s">
        <v>1178</v>
      </c>
      <c r="C4080" s="71" t="s">
        <v>3005</v>
      </c>
      <c r="D4080" s="71">
        <v>1</v>
      </c>
      <c r="E4080" s="102">
        <v>13370000</v>
      </c>
      <c r="F4080" s="102">
        <f t="shared" si="2029"/>
        <v>14707000.000000002</v>
      </c>
      <c r="G4080" s="102">
        <f t="shared" si="2030"/>
        <v>13370000</v>
      </c>
      <c r="H4080" s="690" t="s">
        <v>985</v>
      </c>
      <c r="I4080" s="690" t="s">
        <v>985</v>
      </c>
      <c r="J4080" s="53"/>
      <c r="K4080" s="63"/>
      <c r="L4080" s="871" t="s">
        <v>2977</v>
      </c>
      <c r="M4080" s="468" t="s">
        <v>3004</v>
      </c>
      <c r="N4080" s="1192">
        <f t="shared" ref="N4080:N4089" si="2035">A4080</f>
        <v>44317</v>
      </c>
      <c r="O4080" s="71" t="s">
        <v>2470</v>
      </c>
      <c r="P4080" s="164" t="str">
        <f t="shared" si="2031"/>
        <v>ESI 서비스 선금 50%</v>
      </c>
      <c r="Q4080" s="71">
        <f t="shared" si="2032"/>
        <v>1</v>
      </c>
      <c r="R4080" s="102"/>
      <c r="S4080" s="102">
        <f t="shared" si="2033"/>
        <v>0</v>
      </c>
      <c r="T4080" s="102">
        <f t="shared" si="2034"/>
        <v>0</v>
      </c>
      <c r="U4080" s="71"/>
      <c r="V4080" s="71"/>
      <c r="W4080" s="474"/>
      <c r="X4080" s="71"/>
      <c r="Y4080" s="71"/>
    </row>
    <row r="4081" spans="1:25" ht="30" hidden="1" customHeight="1" x14ac:dyDescent="0.25">
      <c r="A4081" s="1145">
        <v>44317</v>
      </c>
      <c r="B4081" s="664" t="s">
        <v>1178</v>
      </c>
      <c r="C4081" s="71" t="s">
        <v>3006</v>
      </c>
      <c r="D4081" s="71">
        <v>1</v>
      </c>
      <c r="E4081" s="102">
        <v>2550000</v>
      </c>
      <c r="F4081" s="102">
        <f t="shared" si="2029"/>
        <v>2805000</v>
      </c>
      <c r="G4081" s="102">
        <f t="shared" si="2030"/>
        <v>2550000</v>
      </c>
      <c r="H4081" s="690" t="s">
        <v>1431</v>
      </c>
      <c r="I4081" s="690" t="s">
        <v>1431</v>
      </c>
      <c r="J4081" s="53">
        <f>G4081-T4081</f>
        <v>1462089</v>
      </c>
      <c r="K4081" s="63">
        <f>(J4081/(F4081/11*10))</f>
        <v>0.57336823529411762</v>
      </c>
      <c r="L4081" s="871" t="s">
        <v>2977</v>
      </c>
      <c r="M4081" s="468"/>
      <c r="N4081" s="1192">
        <f t="shared" si="2035"/>
        <v>44317</v>
      </c>
      <c r="O4081" s="71" t="s">
        <v>2224</v>
      </c>
      <c r="P4081" s="164" t="str">
        <f t="shared" si="2031"/>
        <v>플렉소 나이프</v>
      </c>
      <c r="Q4081" s="71">
        <f t="shared" si="2032"/>
        <v>1</v>
      </c>
      <c r="R4081" s="102">
        <f>923771+164140</f>
        <v>1087911</v>
      </c>
      <c r="S4081" s="102">
        <f t="shared" si="2033"/>
        <v>1196702.1000000001</v>
      </c>
      <c r="T4081" s="102">
        <f t="shared" si="2034"/>
        <v>1087911</v>
      </c>
      <c r="U4081" s="71"/>
      <c r="V4081" s="71"/>
      <c r="W4081" s="474"/>
      <c r="X4081" s="71"/>
      <c r="Y4081" s="71"/>
    </row>
    <row r="4082" spans="1:25" ht="30" hidden="1" customHeight="1" x14ac:dyDescent="0.25">
      <c r="A4082" s="1145">
        <v>44317</v>
      </c>
      <c r="B4082" s="664" t="s">
        <v>1178</v>
      </c>
      <c r="C4082" s="71" t="s">
        <v>3007</v>
      </c>
      <c r="D4082" s="71">
        <v>1</v>
      </c>
      <c r="E4082" s="102">
        <v>2000000</v>
      </c>
      <c r="F4082" s="102">
        <f t="shared" ref="F4082:F4100" si="2036">(E4082*D4082)*1.1</f>
        <v>2200000</v>
      </c>
      <c r="G4082" s="102">
        <f t="shared" ref="G4082:G4100" si="2037">(E4082*D4082)</f>
        <v>2000000</v>
      </c>
      <c r="H4082" s="690" t="s">
        <v>142</v>
      </c>
      <c r="I4082" s="690" t="s">
        <v>142</v>
      </c>
      <c r="J4082" s="53">
        <f>G4082-T4082</f>
        <v>324866</v>
      </c>
      <c r="K4082" s="63">
        <f>(J4082/(F4082/11*10))</f>
        <v>0.16243299999999999</v>
      </c>
      <c r="L4082" s="871" t="s">
        <v>2977</v>
      </c>
      <c r="M4082" s="468"/>
      <c r="N4082" s="1192">
        <f t="shared" si="2035"/>
        <v>44317</v>
      </c>
      <c r="O4082" s="71" t="s">
        <v>3035</v>
      </c>
      <c r="P4082" s="164" t="str">
        <f t="shared" si="2031"/>
        <v>Sun chemical 약물 3통 항공발주</v>
      </c>
      <c r="Q4082" s="71">
        <f t="shared" si="2032"/>
        <v>1</v>
      </c>
      <c r="R4082" s="102">
        <v>1675134</v>
      </c>
      <c r="S4082" s="102">
        <f t="shared" si="2033"/>
        <v>1842647.4000000001</v>
      </c>
      <c r="T4082" s="102">
        <f t="shared" si="2034"/>
        <v>1675134</v>
      </c>
      <c r="U4082" s="71"/>
      <c r="V4082" s="71"/>
      <c r="W4082" s="474"/>
      <c r="X4082" s="71"/>
      <c r="Y4082" s="71"/>
    </row>
    <row r="4083" spans="1:25" ht="30" hidden="1" customHeight="1" x14ac:dyDescent="0.25">
      <c r="A4083" s="1145">
        <v>44317</v>
      </c>
      <c r="B4083" s="664" t="s">
        <v>1178</v>
      </c>
      <c r="C4083" s="71" t="s">
        <v>3008</v>
      </c>
      <c r="D4083" s="71">
        <v>1</v>
      </c>
      <c r="E4083" s="102">
        <v>85000</v>
      </c>
      <c r="F4083" s="102">
        <f t="shared" si="2036"/>
        <v>93500.000000000015</v>
      </c>
      <c r="G4083" s="102">
        <f t="shared" si="2037"/>
        <v>85000</v>
      </c>
      <c r="H4083" s="690" t="s">
        <v>142</v>
      </c>
      <c r="I4083" s="690" t="s">
        <v>142</v>
      </c>
      <c r="J4083" s="53">
        <f>G4083-T4083</f>
        <v>14000</v>
      </c>
      <c r="K4083" s="63">
        <f>(J4083/(F4083/11*10))</f>
        <v>0.16470588235294115</v>
      </c>
      <c r="L4083" s="871" t="s">
        <v>2977</v>
      </c>
      <c r="M4083" s="468"/>
      <c r="N4083" s="1192">
        <f t="shared" si="2035"/>
        <v>44317</v>
      </c>
      <c r="O4083" s="71" t="s">
        <v>145</v>
      </c>
      <c r="P4083" s="164" t="str">
        <f t="shared" si="2031"/>
        <v>CTP 베어링</v>
      </c>
      <c r="Q4083" s="71">
        <f t="shared" si="2032"/>
        <v>1</v>
      </c>
      <c r="R4083" s="102">
        <v>71000</v>
      </c>
      <c r="S4083" s="102">
        <f t="shared" si="2033"/>
        <v>78100</v>
      </c>
      <c r="T4083" s="102">
        <f t="shared" si="2034"/>
        <v>71000</v>
      </c>
      <c r="U4083" s="71"/>
      <c r="V4083" s="71"/>
      <c r="W4083" s="474"/>
      <c r="X4083" s="71"/>
      <c r="Y4083" s="71"/>
    </row>
    <row r="4084" spans="1:25" ht="30" hidden="1" customHeight="1" x14ac:dyDescent="0.25">
      <c r="A4084" s="1145">
        <v>44317</v>
      </c>
      <c r="B4084" s="664" t="s">
        <v>1178</v>
      </c>
      <c r="C4084" s="71" t="s">
        <v>3009</v>
      </c>
      <c r="D4084" s="71">
        <v>1</v>
      </c>
      <c r="E4084" s="102">
        <v>546000</v>
      </c>
      <c r="F4084" s="102">
        <f t="shared" si="2036"/>
        <v>600600</v>
      </c>
      <c r="G4084" s="102">
        <f t="shared" si="2037"/>
        <v>546000</v>
      </c>
      <c r="H4084" s="690" t="s">
        <v>142</v>
      </c>
      <c r="I4084" s="690" t="s">
        <v>142</v>
      </c>
      <c r="J4084" s="53"/>
      <c r="K4084" s="63"/>
      <c r="L4084" s="871" t="s">
        <v>2977</v>
      </c>
      <c r="M4084" s="468"/>
      <c r="N4084" s="1192">
        <f t="shared" si="2035"/>
        <v>44317</v>
      </c>
      <c r="O4084" s="71" t="s">
        <v>2470</v>
      </c>
      <c r="P4084" s="164" t="str">
        <f t="shared" si="2031"/>
        <v>ESI 부품 부가세 미지급 건</v>
      </c>
      <c r="Q4084" s="71">
        <f t="shared" si="2032"/>
        <v>1</v>
      </c>
      <c r="R4084" s="102"/>
      <c r="S4084" s="102">
        <f t="shared" si="2033"/>
        <v>0</v>
      </c>
      <c r="T4084" s="102">
        <f t="shared" si="2034"/>
        <v>0</v>
      </c>
      <c r="U4084" s="71"/>
      <c r="V4084" s="71"/>
      <c r="W4084" s="474"/>
      <c r="X4084" s="71"/>
      <c r="Y4084" s="71"/>
    </row>
    <row r="4085" spans="1:25" ht="30" hidden="1" customHeight="1" x14ac:dyDescent="0.25">
      <c r="A4085" s="1145">
        <v>44317</v>
      </c>
      <c r="B4085" s="664" t="s">
        <v>1178</v>
      </c>
      <c r="C4085" s="71" t="s">
        <v>3010</v>
      </c>
      <c r="D4085" s="71">
        <v>1</v>
      </c>
      <c r="E4085" s="102">
        <v>1616273</v>
      </c>
      <c r="F4085" s="102">
        <f t="shared" si="2036"/>
        <v>1777900.3</v>
      </c>
      <c r="G4085" s="102">
        <f t="shared" si="2037"/>
        <v>1616273</v>
      </c>
      <c r="H4085" s="690" t="s">
        <v>142</v>
      </c>
      <c r="I4085" s="690" t="s">
        <v>142</v>
      </c>
      <c r="J4085" s="53"/>
      <c r="K4085" s="63"/>
      <c r="L4085" s="871" t="s">
        <v>2977</v>
      </c>
      <c r="M4085" s="468"/>
      <c r="N4085" s="1192">
        <f t="shared" si="2035"/>
        <v>44317</v>
      </c>
      <c r="O4085" s="71"/>
      <c r="P4085" s="164" t="str">
        <f t="shared" si="2031"/>
        <v>정산 후 잔금</v>
      </c>
      <c r="Q4085" s="71">
        <f t="shared" si="2032"/>
        <v>1</v>
      </c>
      <c r="R4085" s="102"/>
      <c r="S4085" s="102">
        <f t="shared" si="2033"/>
        <v>0</v>
      </c>
      <c r="T4085" s="102">
        <f t="shared" si="2034"/>
        <v>0</v>
      </c>
      <c r="U4085" s="71"/>
      <c r="V4085" s="71"/>
      <c r="W4085" s="474"/>
      <c r="X4085" s="71"/>
      <c r="Y4085" s="71"/>
    </row>
    <row r="4086" spans="1:25" ht="30" hidden="1" customHeight="1" x14ac:dyDescent="0.25">
      <c r="A4086" s="1145">
        <v>44343</v>
      </c>
      <c r="B4086" s="664" t="s">
        <v>442</v>
      </c>
      <c r="C4086" s="71" t="s">
        <v>206</v>
      </c>
      <c r="D4086" s="71">
        <v>2</v>
      </c>
      <c r="E4086" s="102">
        <v>327000</v>
      </c>
      <c r="F4086" s="102">
        <f t="shared" si="2036"/>
        <v>719400</v>
      </c>
      <c r="G4086" s="102">
        <f t="shared" si="2037"/>
        <v>654000</v>
      </c>
      <c r="H4086" s="690" t="s">
        <v>2029</v>
      </c>
      <c r="I4086" s="71" t="s">
        <v>195</v>
      </c>
      <c r="J4086" s="53">
        <f t="shared" ref="J4086:J4096" si="2038">G4086-T4086</f>
        <v>115800</v>
      </c>
      <c r="K4086" s="63">
        <f>(J4086/(F4086/11*10))</f>
        <v>0.17706422018348625</v>
      </c>
      <c r="L4086" s="871" t="s">
        <v>2977</v>
      </c>
      <c r="M4086" s="468"/>
      <c r="N4086" s="1192">
        <f t="shared" si="2035"/>
        <v>44343</v>
      </c>
      <c r="O4086" s="71" t="s">
        <v>194</v>
      </c>
      <c r="P4086" s="164" t="str">
        <f t="shared" si="2031"/>
        <v>Agfa Film(24inch)</v>
      </c>
      <c r="Q4086" s="71">
        <f t="shared" si="2032"/>
        <v>2</v>
      </c>
      <c r="R4086" s="102">
        <v>269100</v>
      </c>
      <c r="S4086" s="102">
        <f t="shared" si="2033"/>
        <v>592020</v>
      </c>
      <c r="T4086" s="102">
        <f t="shared" si="2034"/>
        <v>538200</v>
      </c>
      <c r="U4086" s="71" t="str">
        <f t="shared" ref="U4086:U4095" si="2039">IF(J4086=W4086,"O", "X")</f>
        <v>O</v>
      </c>
      <c r="V4086" s="71"/>
      <c r="W4086" s="474">
        <f>(G4086-T4086)</f>
        <v>115800</v>
      </c>
      <c r="X4086" s="71"/>
      <c r="Y4086" s="71"/>
    </row>
    <row r="4087" spans="1:25" ht="30" hidden="1" customHeight="1" x14ac:dyDescent="0.25">
      <c r="A4087" s="1145">
        <v>44343</v>
      </c>
      <c r="B4087" s="664" t="s">
        <v>442</v>
      </c>
      <c r="C4087" s="71" t="s">
        <v>207</v>
      </c>
      <c r="D4087" s="71">
        <v>2</v>
      </c>
      <c r="E4087" s="102">
        <v>401000</v>
      </c>
      <c r="F4087" s="102">
        <f t="shared" si="2036"/>
        <v>882200.00000000012</v>
      </c>
      <c r="G4087" s="102">
        <f t="shared" si="2037"/>
        <v>802000</v>
      </c>
      <c r="H4087" s="690" t="s">
        <v>2029</v>
      </c>
      <c r="I4087" s="71" t="s">
        <v>195</v>
      </c>
      <c r="J4087" s="53">
        <f t="shared" si="2038"/>
        <v>174080</v>
      </c>
      <c r="K4087" s="63">
        <f>(J4087/(F4087/11*10))</f>
        <v>0.21705735660847877</v>
      </c>
      <c r="L4087" s="871" t="s">
        <v>2977</v>
      </c>
      <c r="M4087" s="468"/>
      <c r="N4087" s="1192">
        <f t="shared" si="2035"/>
        <v>44343</v>
      </c>
      <c r="O4087" s="71" t="s">
        <v>194</v>
      </c>
      <c r="P4087" s="164" t="str">
        <f t="shared" si="2031"/>
        <v>Agfa Film(28inch)</v>
      </c>
      <c r="Q4087" s="71">
        <f t="shared" si="2032"/>
        <v>2</v>
      </c>
      <c r="R4087" s="102">
        <f>VLOOKUP(P4087,[5]Price!B$1:D$65536,3,FALSE)</f>
        <v>313960</v>
      </c>
      <c r="S4087" s="102">
        <f t="shared" si="2033"/>
        <v>690712</v>
      </c>
      <c r="T4087" s="102">
        <f t="shared" si="2034"/>
        <v>627920</v>
      </c>
      <c r="U4087" s="71" t="str">
        <f t="shared" si="2039"/>
        <v>O</v>
      </c>
      <c r="V4087" s="71"/>
      <c r="W4087" s="474">
        <f>(G4087-T4087)</f>
        <v>174080</v>
      </c>
      <c r="X4087" s="71"/>
      <c r="Y4087" s="71"/>
    </row>
    <row r="4088" spans="1:25" ht="30" hidden="1" customHeight="1" x14ac:dyDescent="0.25">
      <c r="A4088" s="1145">
        <v>44343</v>
      </c>
      <c r="B4088" s="664" t="s">
        <v>442</v>
      </c>
      <c r="C4088" s="71" t="s">
        <v>208</v>
      </c>
      <c r="D4088" s="71">
        <v>2</v>
      </c>
      <c r="E4088" s="102">
        <v>448000</v>
      </c>
      <c r="F4088" s="102">
        <f t="shared" si="2036"/>
        <v>985600.00000000012</v>
      </c>
      <c r="G4088" s="102">
        <f t="shared" si="2037"/>
        <v>896000</v>
      </c>
      <c r="H4088" s="690" t="s">
        <v>2029</v>
      </c>
      <c r="I4088" s="71" t="s">
        <v>195</v>
      </c>
      <c r="J4088" s="53">
        <f t="shared" si="2038"/>
        <v>525990</v>
      </c>
      <c r="K4088" s="63">
        <f>(J4088/(F4088/11*10))</f>
        <v>0.58704241071428565</v>
      </c>
      <c r="L4088" s="871" t="s">
        <v>2977</v>
      </c>
      <c r="M4088" s="468" t="s">
        <v>3019</v>
      </c>
      <c r="N4088" s="1192">
        <f t="shared" si="2035"/>
        <v>44343</v>
      </c>
      <c r="O4088" s="71" t="s">
        <v>194</v>
      </c>
      <c r="P4088" s="164" t="str">
        <f t="shared" si="2031"/>
        <v>Agfa Film(32inch)</v>
      </c>
      <c r="Q4088" s="71">
        <v>1</v>
      </c>
      <c r="R4088" s="102">
        <f>VLOOKUP(P4088,[5]Price!B$1:D$65536,3,FALSE)</f>
        <v>370010</v>
      </c>
      <c r="S4088" s="102">
        <f t="shared" si="2033"/>
        <v>407011.00000000006</v>
      </c>
      <c r="T4088" s="102">
        <f t="shared" si="2034"/>
        <v>370010</v>
      </c>
      <c r="U4088" s="71" t="str">
        <f t="shared" si="2039"/>
        <v>O</v>
      </c>
      <c r="V4088" s="71"/>
      <c r="W4088" s="474">
        <f>(G4088-T4088)</f>
        <v>525990</v>
      </c>
      <c r="X4088" s="71"/>
      <c r="Y4088" s="71"/>
    </row>
    <row r="4089" spans="1:25" ht="30" hidden="1" customHeight="1" x14ac:dyDescent="0.2">
      <c r="A4089" s="1145">
        <v>44343</v>
      </c>
      <c r="B4089" s="664" t="s">
        <v>442</v>
      </c>
      <c r="C4089" s="71" t="s">
        <v>650</v>
      </c>
      <c r="D4089" s="71">
        <v>1</v>
      </c>
      <c r="E4089" s="102">
        <v>93000</v>
      </c>
      <c r="F4089" s="102">
        <f t="shared" si="2036"/>
        <v>102300.00000000001</v>
      </c>
      <c r="G4089" s="102">
        <f t="shared" si="2037"/>
        <v>93000</v>
      </c>
      <c r="H4089" s="165" t="s">
        <v>172</v>
      </c>
      <c r="I4089" s="71" t="s">
        <v>141</v>
      </c>
      <c r="J4089" s="53">
        <f t="shared" si="2038"/>
        <v>33000</v>
      </c>
      <c r="K4089" s="63">
        <f>(J4089/(F4089/11*10))</f>
        <v>0.35483870967741932</v>
      </c>
      <c r="L4089" s="871" t="s">
        <v>2977</v>
      </c>
      <c r="M4089" s="468"/>
      <c r="N4089" s="1192">
        <f t="shared" si="2035"/>
        <v>44343</v>
      </c>
      <c r="O4089" s="71" t="s">
        <v>145</v>
      </c>
      <c r="P4089" s="164" t="str">
        <f t="shared" si="2031"/>
        <v>Agfa 정착액 G333C(20L)</v>
      </c>
      <c r="Q4089" s="71">
        <f>D4089</f>
        <v>1</v>
      </c>
      <c r="R4089" s="102">
        <f>VLOOKUP(P4089,Price!B:D,3,FALSE)</f>
        <v>60000</v>
      </c>
      <c r="S4089" s="102">
        <f t="shared" si="2033"/>
        <v>66000</v>
      </c>
      <c r="T4089" s="102">
        <f t="shared" si="2034"/>
        <v>60000</v>
      </c>
      <c r="U4089" s="71" t="str">
        <f t="shared" si="2039"/>
        <v>O</v>
      </c>
      <c r="V4089" s="71"/>
      <c r="W4089" s="474">
        <f>(G4089-T4089)</f>
        <v>33000</v>
      </c>
      <c r="X4089" s="71"/>
      <c r="Y4089" s="71"/>
    </row>
    <row r="4090" spans="1:25" ht="30" hidden="1" customHeight="1" x14ac:dyDescent="0.25">
      <c r="A4090" s="1145">
        <v>44347</v>
      </c>
      <c r="B4090" s="664" t="s">
        <v>809</v>
      </c>
      <c r="C4090" s="71" t="s">
        <v>1081</v>
      </c>
      <c r="D4090" s="71">
        <v>5</v>
      </c>
      <c r="E4090" s="102">
        <v>156000</v>
      </c>
      <c r="F4090" s="102">
        <f t="shared" si="2036"/>
        <v>858000.00000000012</v>
      </c>
      <c r="G4090" s="102">
        <f t="shared" si="2037"/>
        <v>780000</v>
      </c>
      <c r="H4090" s="690" t="s">
        <v>173</v>
      </c>
      <c r="I4090" s="71" t="s">
        <v>2231</v>
      </c>
      <c r="J4090" s="53">
        <f t="shared" si="2038"/>
        <v>180000</v>
      </c>
      <c r="K4090" s="63">
        <f t="shared" ref="K4090:K4096" si="2040">(J4090/(F4090/11*10))</f>
        <v>0.23076923076923073</v>
      </c>
      <c r="L4090" s="871" t="s">
        <v>2977</v>
      </c>
      <c r="M4090" s="468"/>
      <c r="N4090" s="1192">
        <f t="shared" ref="N4090:N4096" si="2041">A4090</f>
        <v>44347</v>
      </c>
      <c r="O4090" s="71" t="s">
        <v>147</v>
      </c>
      <c r="P4090" s="164" t="str">
        <f t="shared" ref="P4090:P4096" si="2042">(C4090)</f>
        <v>파우더</v>
      </c>
      <c r="Q4090" s="71">
        <f t="shared" si="2032"/>
        <v>5</v>
      </c>
      <c r="R4090" s="102">
        <v>120000</v>
      </c>
      <c r="S4090" s="102">
        <f t="shared" si="2033"/>
        <v>660000</v>
      </c>
      <c r="T4090" s="102">
        <f t="shared" si="2034"/>
        <v>600000</v>
      </c>
      <c r="U4090" s="71" t="str">
        <f t="shared" si="2039"/>
        <v>O</v>
      </c>
      <c r="V4090" s="71"/>
      <c r="W4090" s="474">
        <f>(G4090-T4090)</f>
        <v>180000</v>
      </c>
      <c r="X4090" s="71"/>
      <c r="Y4090" s="71"/>
    </row>
    <row r="4091" spans="1:25" ht="30" hidden="1" customHeight="1" x14ac:dyDescent="0.25">
      <c r="A4091" s="1145">
        <v>44348</v>
      </c>
      <c r="B4091" s="664" t="s">
        <v>690</v>
      </c>
      <c r="C4091" s="71" t="s">
        <v>1186</v>
      </c>
      <c r="D4091" s="71">
        <v>500</v>
      </c>
      <c r="E4091" s="102">
        <v>3420</v>
      </c>
      <c r="F4091" s="102">
        <f>(E4091*D4091)*1.1</f>
        <v>1881000.0000000002</v>
      </c>
      <c r="G4091" s="102">
        <f>(E4091*D4091)</f>
        <v>1710000</v>
      </c>
      <c r="H4091" s="690" t="s">
        <v>173</v>
      </c>
      <c r="I4091" s="71" t="s">
        <v>2230</v>
      </c>
      <c r="J4091" s="53">
        <f t="shared" si="2038"/>
        <v>-190000</v>
      </c>
      <c r="K4091" s="63">
        <f t="shared" si="2040"/>
        <v>-0.11111111111111109</v>
      </c>
      <c r="L4091" s="871" t="s">
        <v>2977</v>
      </c>
      <c r="M4091" s="468" t="s">
        <v>1393</v>
      </c>
      <c r="N4091" s="1192">
        <f t="shared" si="2041"/>
        <v>44348</v>
      </c>
      <c r="O4091" s="71" t="s">
        <v>145</v>
      </c>
      <c r="P4091" s="164" t="str">
        <f t="shared" si="2042"/>
        <v>CTP 판(1030*790mm)</v>
      </c>
      <c r="Q4091" s="71">
        <f t="shared" si="2032"/>
        <v>500</v>
      </c>
      <c r="R4091" s="102">
        <v>3800</v>
      </c>
      <c r="S4091" s="102">
        <f t="shared" si="2033"/>
        <v>2090000.0000000002</v>
      </c>
      <c r="T4091" s="102">
        <f t="shared" si="2034"/>
        <v>1900000</v>
      </c>
      <c r="U4091" s="71" t="str">
        <f t="shared" si="2039"/>
        <v>X</v>
      </c>
      <c r="V4091" s="71"/>
      <c r="W4091" s="474">
        <v>-200000</v>
      </c>
      <c r="X4091" s="71"/>
      <c r="Y4091" s="71"/>
    </row>
    <row r="4092" spans="1:25" ht="30" hidden="1" customHeight="1" x14ac:dyDescent="0.25">
      <c r="A4092" s="1145">
        <v>44348</v>
      </c>
      <c r="B4092" s="664" t="s">
        <v>690</v>
      </c>
      <c r="C4092" s="71" t="s">
        <v>197</v>
      </c>
      <c r="D4092" s="71">
        <v>4</v>
      </c>
      <c r="E4092" s="102">
        <v>46000</v>
      </c>
      <c r="F4092" s="102">
        <f>(E4092*D4092)*1.1</f>
        <v>202400.00000000003</v>
      </c>
      <c r="G4092" s="102">
        <f>(E4092*D4092)</f>
        <v>184000</v>
      </c>
      <c r="H4092" s="690" t="s">
        <v>173</v>
      </c>
      <c r="I4092" s="71" t="s">
        <v>2230</v>
      </c>
      <c r="J4092" s="53">
        <f t="shared" si="2038"/>
        <v>149000</v>
      </c>
      <c r="K4092" s="63">
        <f t="shared" si="2040"/>
        <v>0.809782608695652</v>
      </c>
      <c r="L4092" s="871" t="s">
        <v>2977</v>
      </c>
      <c r="M4092" s="468" t="s">
        <v>3020</v>
      </c>
      <c r="N4092" s="1192">
        <f t="shared" si="2041"/>
        <v>44348</v>
      </c>
      <c r="O4092" s="71" t="s">
        <v>145</v>
      </c>
      <c r="P4092" s="164" t="str">
        <f t="shared" si="2042"/>
        <v>THR200(20L)</v>
      </c>
      <c r="Q4092" s="71">
        <v>1</v>
      </c>
      <c r="R4092" s="102">
        <v>35000</v>
      </c>
      <c r="S4092" s="102">
        <f t="shared" si="2033"/>
        <v>38500</v>
      </c>
      <c r="T4092" s="102">
        <f t="shared" si="2034"/>
        <v>35000</v>
      </c>
      <c r="U4092" s="71" t="str">
        <f t="shared" si="2039"/>
        <v>X</v>
      </c>
      <c r="V4092" s="71"/>
      <c r="W4092" s="474"/>
      <c r="X4092" s="71"/>
      <c r="Y4092" s="71"/>
    </row>
    <row r="4093" spans="1:25" s="209" customFormat="1" ht="30" hidden="1" customHeight="1" x14ac:dyDescent="0.25">
      <c r="A4093" s="1145">
        <v>44348</v>
      </c>
      <c r="B4093" s="664" t="s">
        <v>442</v>
      </c>
      <c r="C4093" s="71" t="s">
        <v>138</v>
      </c>
      <c r="D4093" s="71">
        <v>20</v>
      </c>
      <c r="E4093" s="102">
        <v>55200</v>
      </c>
      <c r="F4093" s="102">
        <f>(E4093*D4093)*1.1</f>
        <v>1214400</v>
      </c>
      <c r="G4093" s="102">
        <f>(E4093*D4093)</f>
        <v>1104000</v>
      </c>
      <c r="H4093" s="690" t="s">
        <v>173</v>
      </c>
      <c r="I4093" s="71" t="s">
        <v>108</v>
      </c>
      <c r="J4093" s="53">
        <f t="shared" si="2038"/>
        <v>178000</v>
      </c>
      <c r="K4093" s="63">
        <f t="shared" si="2040"/>
        <v>0.16123188405797101</v>
      </c>
      <c r="L4093" s="871" t="s">
        <v>2977</v>
      </c>
      <c r="M4093" s="468" t="s">
        <v>2388</v>
      </c>
      <c r="N4093" s="1192">
        <f t="shared" si="2041"/>
        <v>44348</v>
      </c>
      <c r="O4093" s="71" t="s">
        <v>150</v>
      </c>
      <c r="P4093" s="164" t="str">
        <f t="shared" si="2042"/>
        <v>매엽용 세척제(Wash 562)</v>
      </c>
      <c r="Q4093" s="71">
        <f>D4093</f>
        <v>20</v>
      </c>
      <c r="R4093" s="102">
        <v>40800</v>
      </c>
      <c r="S4093" s="102">
        <f>R4093*Q4093*1.1+121000</f>
        <v>1018600.0000000001</v>
      </c>
      <c r="T4093" s="102">
        <f>R4093*Q4093+110000</f>
        <v>926000</v>
      </c>
      <c r="U4093" s="71" t="str">
        <f t="shared" si="2039"/>
        <v>X</v>
      </c>
      <c r="V4093" s="71"/>
      <c r="W4093" s="474">
        <v>396000</v>
      </c>
      <c r="X4093" s="71"/>
      <c r="Y4093" s="71"/>
    </row>
    <row r="4094" spans="1:25" ht="30" hidden="1" customHeight="1" x14ac:dyDescent="0.25">
      <c r="A4094" s="1145">
        <v>44348</v>
      </c>
      <c r="B4094" s="664" t="s">
        <v>690</v>
      </c>
      <c r="C4094" s="71" t="s">
        <v>217</v>
      </c>
      <c r="D4094" s="71">
        <v>3</v>
      </c>
      <c r="E4094" s="102">
        <v>137000</v>
      </c>
      <c r="F4094" s="102">
        <f>(E4094*D4094)*1.1</f>
        <v>452100.00000000006</v>
      </c>
      <c r="G4094" s="102">
        <f>(E4094*D4094)</f>
        <v>411000</v>
      </c>
      <c r="H4094" s="690" t="s">
        <v>173</v>
      </c>
      <c r="I4094" s="71" t="s">
        <v>108</v>
      </c>
      <c r="J4094" s="53">
        <f t="shared" si="2038"/>
        <v>171000</v>
      </c>
      <c r="K4094" s="63">
        <f t="shared" si="2040"/>
        <v>0.41605839416058388</v>
      </c>
      <c r="L4094" s="871" t="s">
        <v>2977</v>
      </c>
      <c r="M4094" s="468"/>
      <c r="N4094" s="1192">
        <f t="shared" si="2041"/>
        <v>44348</v>
      </c>
      <c r="O4094" s="71" t="s">
        <v>150</v>
      </c>
      <c r="P4094" s="164" t="str">
        <f t="shared" si="2042"/>
        <v>Fount 511</v>
      </c>
      <c r="Q4094" s="71">
        <f>D4094</f>
        <v>3</v>
      </c>
      <c r="R4094" s="102">
        <v>80000</v>
      </c>
      <c r="S4094" s="102">
        <f t="shared" ref="S4094:S4125" si="2043">R4094*Q4094*1.1</f>
        <v>264000</v>
      </c>
      <c r="T4094" s="102">
        <f t="shared" ref="T4094:T4125" si="2044">R4094*Q4094</f>
        <v>240000</v>
      </c>
      <c r="U4094" s="71" t="str">
        <f t="shared" si="2039"/>
        <v>X</v>
      </c>
      <c r="V4094" s="71"/>
      <c r="W4094" s="474">
        <v>130000</v>
      </c>
      <c r="X4094" s="71"/>
      <c r="Y4094" s="71"/>
    </row>
    <row r="4095" spans="1:25" ht="30" hidden="1" customHeight="1" x14ac:dyDescent="0.25">
      <c r="A4095" s="1145">
        <v>44348</v>
      </c>
      <c r="B4095" s="664" t="s">
        <v>442</v>
      </c>
      <c r="C4095" s="71" t="s">
        <v>773</v>
      </c>
      <c r="D4095" s="71">
        <v>5</v>
      </c>
      <c r="E4095" s="102">
        <v>192000</v>
      </c>
      <c r="F4095" s="102">
        <f>(E4095*D4095)*1.1</f>
        <v>1056000</v>
      </c>
      <c r="G4095" s="102">
        <f>(E4095*D4095)</f>
        <v>960000</v>
      </c>
      <c r="H4095" s="690" t="s">
        <v>173</v>
      </c>
      <c r="I4095" s="71" t="s">
        <v>109</v>
      </c>
      <c r="J4095" s="53">
        <f t="shared" si="2038"/>
        <v>120000</v>
      </c>
      <c r="K4095" s="63">
        <f t="shared" si="2040"/>
        <v>0.125</v>
      </c>
      <c r="L4095" s="871" t="s">
        <v>2977</v>
      </c>
      <c r="M4095" s="468"/>
      <c r="N4095" s="1192">
        <f t="shared" si="2041"/>
        <v>44348</v>
      </c>
      <c r="O4095" s="71" t="s">
        <v>151</v>
      </c>
      <c r="P4095" s="164" t="str">
        <f t="shared" si="2042"/>
        <v>로랜드 전지 블랑켓(1460*1165)bar</v>
      </c>
      <c r="Q4095" s="71">
        <f>D4095</f>
        <v>5</v>
      </c>
      <c r="R4095" s="102">
        <v>168000</v>
      </c>
      <c r="S4095" s="102">
        <f t="shared" si="2043"/>
        <v>924000.00000000012</v>
      </c>
      <c r="T4095" s="102">
        <f t="shared" si="2044"/>
        <v>840000</v>
      </c>
      <c r="U4095" s="71" t="str">
        <f t="shared" si="2039"/>
        <v>O</v>
      </c>
      <c r="V4095" s="71"/>
      <c r="W4095" s="474">
        <v>120000</v>
      </c>
      <c r="X4095" s="71"/>
      <c r="Y4095" s="71"/>
    </row>
    <row r="4096" spans="1:25" ht="30" hidden="1" customHeight="1" x14ac:dyDescent="0.25">
      <c r="A4096" s="1145">
        <v>44349</v>
      </c>
      <c r="B4096" s="664" t="s">
        <v>548</v>
      </c>
      <c r="C4096" s="71" t="s">
        <v>2973</v>
      </c>
      <c r="D4096" s="71">
        <v>10</v>
      </c>
      <c r="E4096" s="102">
        <v>100000</v>
      </c>
      <c r="F4096" s="102">
        <f t="shared" si="2036"/>
        <v>1100000</v>
      </c>
      <c r="G4096" s="102">
        <f t="shared" si="2037"/>
        <v>1000000</v>
      </c>
      <c r="H4096" s="690" t="s">
        <v>173</v>
      </c>
      <c r="I4096" s="71" t="s">
        <v>2231</v>
      </c>
      <c r="J4096" s="53">
        <f t="shared" si="2038"/>
        <v>138000</v>
      </c>
      <c r="K4096" s="63">
        <f t="shared" si="2040"/>
        <v>0.13800000000000001</v>
      </c>
      <c r="L4096" s="871" t="s">
        <v>2977</v>
      </c>
      <c r="M4096" s="468"/>
      <c r="N4096" s="1192">
        <f t="shared" si="2041"/>
        <v>44349</v>
      </c>
      <c r="O4096" s="71" t="s">
        <v>147</v>
      </c>
      <c r="P4096" s="164" t="str">
        <f t="shared" si="2042"/>
        <v>1077*885 하이델 bar 블랑켓</v>
      </c>
      <c r="Q4096" s="71">
        <f t="shared" si="2032"/>
        <v>10</v>
      </c>
      <c r="R4096" s="102">
        <v>86200</v>
      </c>
      <c r="S4096" s="102">
        <f t="shared" si="2043"/>
        <v>948200.00000000012</v>
      </c>
      <c r="T4096" s="102">
        <f t="shared" si="2044"/>
        <v>862000</v>
      </c>
      <c r="U4096" s="71"/>
      <c r="V4096" s="71"/>
      <c r="W4096" s="474"/>
      <c r="X4096" s="71"/>
      <c r="Y4096" s="71"/>
    </row>
    <row r="4097" spans="1:25" ht="30" hidden="1" customHeight="1" x14ac:dyDescent="0.2">
      <c r="A4097" s="1145">
        <v>44349</v>
      </c>
      <c r="B4097" s="664" t="s">
        <v>548</v>
      </c>
      <c r="C4097" s="71" t="s">
        <v>107</v>
      </c>
      <c r="D4097" s="71">
        <v>10</v>
      </c>
      <c r="E4097" s="102">
        <v>90000</v>
      </c>
      <c r="F4097" s="163">
        <f>(E4097*D4097)*1.1</f>
        <v>990000.00000000012</v>
      </c>
      <c r="G4097" s="102">
        <f>(E4097*D4097)</f>
        <v>900000</v>
      </c>
      <c r="H4097" s="165" t="s">
        <v>172</v>
      </c>
      <c r="I4097" s="71" t="s">
        <v>109</v>
      </c>
      <c r="J4097" s="53">
        <f>(G4097-(VLOOKUP(C4097,Price!B:D,3,FALSE)*D4097))</f>
        <v>95000</v>
      </c>
      <c r="K4097" s="63">
        <f t="shared" ref="K4097:K4103" si="2045">(J4097/(F4097/11*10))</f>
        <v>0.10555555555555554</v>
      </c>
      <c r="L4097" s="871" t="s">
        <v>2977</v>
      </c>
      <c r="M4097" s="468"/>
      <c r="N4097" s="1192">
        <f>A4097</f>
        <v>44349</v>
      </c>
      <c r="O4097" s="71" t="s">
        <v>147</v>
      </c>
      <c r="P4097" s="164" t="str">
        <f>(C4097)</f>
        <v>Blanket(1050*840)</v>
      </c>
      <c r="Q4097" s="71">
        <f>D4097</f>
        <v>10</v>
      </c>
      <c r="R4097" s="102">
        <v>80500</v>
      </c>
      <c r="S4097" s="102">
        <f t="shared" si="2043"/>
        <v>885500.00000000012</v>
      </c>
      <c r="T4097" s="102">
        <f t="shared" si="2044"/>
        <v>805000</v>
      </c>
      <c r="U4097" s="71" t="str">
        <f>IF(J4097=W4097,"O", "X")</f>
        <v>O</v>
      </c>
      <c r="V4097" s="71"/>
      <c r="W4097" s="474">
        <f>(G4097-T4097)</f>
        <v>95000</v>
      </c>
      <c r="X4097" s="71"/>
      <c r="Y4097" s="71"/>
    </row>
    <row r="4098" spans="1:25" ht="30" customHeight="1" x14ac:dyDescent="0.2">
      <c r="A4098" s="1145">
        <v>44350</v>
      </c>
      <c r="B4098" s="664" t="s">
        <v>565</v>
      </c>
      <c r="C4098" s="71" t="s">
        <v>3025</v>
      </c>
      <c r="D4098" s="71">
        <v>1</v>
      </c>
      <c r="E4098" s="102">
        <v>8200000</v>
      </c>
      <c r="F4098" s="163">
        <f>(E4098*D4098)*1.1</f>
        <v>9020000</v>
      </c>
      <c r="G4098" s="102">
        <f>(E4098*D4098)</f>
        <v>8200000</v>
      </c>
      <c r="H4098" s="165" t="s">
        <v>142</v>
      </c>
      <c r="I4098" s="165" t="s">
        <v>142</v>
      </c>
      <c r="J4098" s="53">
        <f t="shared" ref="J4098:J4118" si="2046">G4098-T4098</f>
        <v>1340000</v>
      </c>
      <c r="K4098" s="63">
        <f t="shared" si="2045"/>
        <v>0.16341463414634147</v>
      </c>
      <c r="L4098" s="871" t="s">
        <v>2977</v>
      </c>
      <c r="M4098" s="468"/>
      <c r="N4098" s="1192">
        <f>A4098</f>
        <v>44350</v>
      </c>
      <c r="O4098" s="71" t="s">
        <v>1431</v>
      </c>
      <c r="P4098" s="164" t="str">
        <f>(C4098)</f>
        <v>Ink Pickup Roller</v>
      </c>
      <c r="Q4098" s="71">
        <f>D4098</f>
        <v>1</v>
      </c>
      <c r="R4098" s="102">
        <v>6860000</v>
      </c>
      <c r="S4098" s="102">
        <f t="shared" si="2043"/>
        <v>7546000.0000000009</v>
      </c>
      <c r="T4098" s="102">
        <f t="shared" si="2044"/>
        <v>6860000</v>
      </c>
      <c r="U4098" s="71"/>
      <c r="V4098" s="71"/>
      <c r="W4098" s="474"/>
      <c r="X4098" s="71"/>
      <c r="Y4098" s="71"/>
    </row>
    <row r="4099" spans="1:25" s="209" customFormat="1" ht="30" hidden="1" customHeight="1" x14ac:dyDescent="0.2">
      <c r="A4099" s="1145">
        <v>44351</v>
      </c>
      <c r="B4099" s="664" t="s">
        <v>2353</v>
      </c>
      <c r="C4099" s="71" t="s">
        <v>130</v>
      </c>
      <c r="D4099" s="71">
        <v>10</v>
      </c>
      <c r="E4099" s="102">
        <v>125000</v>
      </c>
      <c r="F4099" s="102">
        <f t="shared" si="2036"/>
        <v>1375000</v>
      </c>
      <c r="G4099" s="102">
        <f t="shared" si="2037"/>
        <v>1250000</v>
      </c>
      <c r="H4099" s="165" t="s">
        <v>142</v>
      </c>
      <c r="I4099" s="71" t="s">
        <v>142</v>
      </c>
      <c r="J4099" s="53">
        <f t="shared" si="2046"/>
        <v>260000</v>
      </c>
      <c r="K4099" s="63">
        <f t="shared" si="2045"/>
        <v>0.20799999999999999</v>
      </c>
      <c r="L4099" s="871" t="s">
        <v>2977</v>
      </c>
      <c r="M4099" s="468" t="s">
        <v>2050</v>
      </c>
      <c r="N4099" s="1192">
        <f>A4099</f>
        <v>44351</v>
      </c>
      <c r="O4099" s="71" t="s">
        <v>150</v>
      </c>
      <c r="P4099" s="164" t="str">
        <f>(C4099)</f>
        <v>XL106 Blanket(1077*885)</v>
      </c>
      <c r="Q4099" s="71">
        <f t="shared" si="2032"/>
        <v>10</v>
      </c>
      <c r="R4099" s="102">
        <v>99000</v>
      </c>
      <c r="S4099" s="102">
        <f t="shared" si="2043"/>
        <v>1089000</v>
      </c>
      <c r="T4099" s="102">
        <f t="shared" si="2044"/>
        <v>990000</v>
      </c>
      <c r="U4099" s="71" t="str">
        <f>IF(J4099=W4099,"O", "X")</f>
        <v>O</v>
      </c>
      <c r="V4099" s="71"/>
      <c r="W4099" s="474">
        <f>(G4099-T4099)</f>
        <v>260000</v>
      </c>
      <c r="X4099" s="71"/>
      <c r="Y4099" s="71"/>
    </row>
    <row r="4100" spans="1:25" ht="30" hidden="1" customHeight="1" x14ac:dyDescent="0.2">
      <c r="A4100" s="1145">
        <v>44351</v>
      </c>
      <c r="B4100" s="664" t="s">
        <v>2353</v>
      </c>
      <c r="C4100" s="71" t="s">
        <v>129</v>
      </c>
      <c r="D4100" s="71">
        <v>7</v>
      </c>
      <c r="E4100" s="102">
        <v>272000</v>
      </c>
      <c r="F4100" s="102">
        <f t="shared" si="2036"/>
        <v>2094400.0000000002</v>
      </c>
      <c r="G4100" s="102">
        <f t="shared" si="2037"/>
        <v>1904000</v>
      </c>
      <c r="H4100" s="165" t="s">
        <v>142</v>
      </c>
      <c r="I4100" s="71" t="s">
        <v>142</v>
      </c>
      <c r="J4100" s="53">
        <f t="shared" si="2046"/>
        <v>414400</v>
      </c>
      <c r="K4100" s="63">
        <f t="shared" si="2045"/>
        <v>0.21764705882352939</v>
      </c>
      <c r="L4100" s="871" t="s">
        <v>2977</v>
      </c>
      <c r="M4100" s="468" t="s">
        <v>2050</v>
      </c>
      <c r="N4100" s="1192">
        <f>A4100</f>
        <v>44351</v>
      </c>
      <c r="O4100" s="71" t="s">
        <v>149</v>
      </c>
      <c r="P4100" s="164" t="str">
        <f>(C4100)</f>
        <v>세정포-XL106</v>
      </c>
      <c r="Q4100" s="71">
        <f t="shared" si="2032"/>
        <v>7</v>
      </c>
      <c r="R4100" s="102">
        <v>212800</v>
      </c>
      <c r="S4100" s="102">
        <f t="shared" si="2043"/>
        <v>1638560.0000000002</v>
      </c>
      <c r="T4100" s="102">
        <f t="shared" si="2044"/>
        <v>1489600</v>
      </c>
      <c r="U4100" s="71" t="str">
        <f>IF(J4100=W4100,"O", "X")</f>
        <v>O</v>
      </c>
      <c r="V4100" s="71"/>
      <c r="W4100" s="474">
        <f>(G4100-T4100)</f>
        <v>414400</v>
      </c>
      <c r="X4100" s="71"/>
      <c r="Y4100" s="71"/>
    </row>
    <row r="4101" spans="1:25" ht="30" hidden="1" customHeight="1" x14ac:dyDescent="0.25">
      <c r="A4101" s="1145">
        <v>44354</v>
      </c>
      <c r="B4101" s="664" t="s">
        <v>690</v>
      </c>
      <c r="C4101" s="71" t="s">
        <v>1186</v>
      </c>
      <c r="D4101" s="71">
        <v>500</v>
      </c>
      <c r="E4101" s="102">
        <v>3420</v>
      </c>
      <c r="F4101" s="102">
        <f t="shared" ref="F4101:F4126" si="2047">(E4101*D4101)*1.1</f>
        <v>1881000.0000000002</v>
      </c>
      <c r="G4101" s="102">
        <f t="shared" ref="G4101:G4126" si="2048">(E4101*D4101)</f>
        <v>1710000</v>
      </c>
      <c r="H4101" s="690" t="s">
        <v>173</v>
      </c>
      <c r="I4101" s="71" t="s">
        <v>2230</v>
      </c>
      <c r="J4101" s="53">
        <f t="shared" si="2046"/>
        <v>-190000</v>
      </c>
      <c r="K4101" s="63">
        <f t="shared" si="2045"/>
        <v>-0.11111111111111109</v>
      </c>
      <c r="L4101" s="871" t="s">
        <v>2977</v>
      </c>
      <c r="M4101" s="468" t="s">
        <v>1393</v>
      </c>
      <c r="N4101" s="1192">
        <f t="shared" ref="N4101:N4109" si="2049">A4101</f>
        <v>44354</v>
      </c>
      <c r="O4101" s="71" t="s">
        <v>145</v>
      </c>
      <c r="P4101" s="164" t="str">
        <f t="shared" ref="P4101:P4108" si="2050">(C4101)</f>
        <v>CTP 판(1030*790mm)</v>
      </c>
      <c r="Q4101" s="71">
        <f>D4101</f>
        <v>500</v>
      </c>
      <c r="R4101" s="102">
        <v>3800</v>
      </c>
      <c r="S4101" s="102">
        <f t="shared" si="2043"/>
        <v>2090000.0000000002</v>
      </c>
      <c r="T4101" s="102">
        <f t="shared" si="2044"/>
        <v>1900000</v>
      </c>
      <c r="U4101" s="71" t="str">
        <f>IF(J4101=W4101,"O", "X")</f>
        <v>X</v>
      </c>
      <c r="V4101" s="71"/>
      <c r="W4101" s="474">
        <v>-200000</v>
      </c>
      <c r="X4101" s="71"/>
      <c r="Y4101" s="71"/>
    </row>
    <row r="4102" spans="1:25" ht="30" hidden="1" customHeight="1" x14ac:dyDescent="0.25">
      <c r="A4102" s="1145">
        <v>44354</v>
      </c>
      <c r="B4102" s="664" t="s">
        <v>690</v>
      </c>
      <c r="C4102" s="71" t="s">
        <v>197</v>
      </c>
      <c r="D4102" s="71">
        <v>3</v>
      </c>
      <c r="E4102" s="102">
        <v>46000</v>
      </c>
      <c r="F4102" s="102">
        <f t="shared" si="2047"/>
        <v>151800</v>
      </c>
      <c r="G4102" s="102">
        <f t="shared" si="2048"/>
        <v>138000</v>
      </c>
      <c r="H4102" s="690" t="s">
        <v>173</v>
      </c>
      <c r="I4102" s="71" t="s">
        <v>2230</v>
      </c>
      <c r="J4102" s="53">
        <f t="shared" si="2046"/>
        <v>33000</v>
      </c>
      <c r="K4102" s="63">
        <f t="shared" si="2045"/>
        <v>0.2391304347826087</v>
      </c>
      <c r="L4102" s="871" t="s">
        <v>2977</v>
      </c>
      <c r="M4102" s="468"/>
      <c r="N4102" s="1192">
        <f t="shared" si="2049"/>
        <v>44354</v>
      </c>
      <c r="O4102" s="71" t="s">
        <v>145</v>
      </c>
      <c r="P4102" s="164" t="str">
        <f t="shared" si="2050"/>
        <v>THR200(20L)</v>
      </c>
      <c r="Q4102" s="71">
        <v>3</v>
      </c>
      <c r="R4102" s="102">
        <v>35000</v>
      </c>
      <c r="S4102" s="102">
        <f t="shared" si="2043"/>
        <v>115500.00000000001</v>
      </c>
      <c r="T4102" s="102">
        <f t="shared" si="2044"/>
        <v>105000</v>
      </c>
      <c r="U4102" s="71" t="str">
        <f>IF(J4102=W4102,"O", "X")</f>
        <v>X</v>
      </c>
      <c r="V4102" s="71"/>
      <c r="W4102" s="474"/>
      <c r="X4102" s="71"/>
      <c r="Y4102" s="71"/>
    </row>
    <row r="4103" spans="1:25" ht="30" hidden="1" customHeight="1" x14ac:dyDescent="0.25">
      <c r="A4103" s="1145">
        <v>44354</v>
      </c>
      <c r="B4103" s="664" t="s">
        <v>690</v>
      </c>
      <c r="C4103" s="71" t="s">
        <v>750</v>
      </c>
      <c r="D4103" s="71">
        <v>3</v>
      </c>
      <c r="E4103" s="102">
        <v>46000</v>
      </c>
      <c r="F4103" s="102">
        <f t="shared" si="2047"/>
        <v>151800</v>
      </c>
      <c r="G4103" s="102">
        <f t="shared" si="2048"/>
        <v>138000</v>
      </c>
      <c r="H4103" s="690" t="s">
        <v>173</v>
      </c>
      <c r="I4103" s="71" t="s">
        <v>2230</v>
      </c>
      <c r="J4103" s="53">
        <f t="shared" si="2046"/>
        <v>33000</v>
      </c>
      <c r="K4103" s="63">
        <f t="shared" si="2045"/>
        <v>0.2391304347826087</v>
      </c>
      <c r="L4103" s="871" t="s">
        <v>2977</v>
      </c>
      <c r="M4103" s="468" t="s">
        <v>1394</v>
      </c>
      <c r="N4103" s="1192">
        <f t="shared" si="2049"/>
        <v>44354</v>
      </c>
      <c r="O4103" s="71" t="s">
        <v>145</v>
      </c>
      <c r="P4103" s="164" t="str">
        <f t="shared" si="2050"/>
        <v>THD200(20L)</v>
      </c>
      <c r="Q4103" s="71">
        <f>D4103</f>
        <v>3</v>
      </c>
      <c r="R4103" s="102">
        <v>35000</v>
      </c>
      <c r="S4103" s="102">
        <f t="shared" si="2043"/>
        <v>115500.00000000001</v>
      </c>
      <c r="T4103" s="102">
        <f t="shared" si="2044"/>
        <v>105000</v>
      </c>
      <c r="U4103" s="71" t="str">
        <f>IF(J4103=W4103,"O", "X")</f>
        <v>O</v>
      </c>
      <c r="V4103" s="71"/>
      <c r="W4103" s="474">
        <f>(G4103-T4103)</f>
        <v>33000</v>
      </c>
      <c r="X4103" s="71"/>
      <c r="Y4103" s="71"/>
    </row>
    <row r="4104" spans="1:25" ht="30" hidden="1" customHeight="1" x14ac:dyDescent="0.25">
      <c r="A4104" s="1145">
        <v>44354</v>
      </c>
      <c r="B4104" s="664" t="s">
        <v>591</v>
      </c>
      <c r="C4104" s="71" t="s">
        <v>3011</v>
      </c>
      <c r="D4104" s="71">
        <v>1</v>
      </c>
      <c r="E4104" s="102">
        <v>8540000</v>
      </c>
      <c r="F4104" s="102">
        <f t="shared" si="2047"/>
        <v>9394000</v>
      </c>
      <c r="G4104" s="102">
        <f t="shared" si="2048"/>
        <v>8540000</v>
      </c>
      <c r="H4104" s="690" t="s">
        <v>173</v>
      </c>
      <c r="I4104" s="71" t="s">
        <v>143</v>
      </c>
      <c r="J4104" s="53">
        <f t="shared" si="2046"/>
        <v>2180000</v>
      </c>
      <c r="K4104" s="63">
        <f t="shared" ref="K4104:K4117" si="2051">(J4104/(F4104/11*10))</f>
        <v>0.25526932084309134</v>
      </c>
      <c r="L4104" s="871" t="s">
        <v>2977</v>
      </c>
      <c r="M4104" s="468"/>
      <c r="N4104" s="1192">
        <f t="shared" si="2049"/>
        <v>44354</v>
      </c>
      <c r="O4104" s="71" t="s">
        <v>612</v>
      </c>
      <c r="P4104" s="164" t="str">
        <f t="shared" si="2050"/>
        <v>윤전용 롤라 21개 set</v>
      </c>
      <c r="Q4104" s="71">
        <f t="shared" si="2032"/>
        <v>1</v>
      </c>
      <c r="R4104" s="102">
        <v>6360000</v>
      </c>
      <c r="S4104" s="102">
        <f t="shared" si="2043"/>
        <v>6996000.0000000009</v>
      </c>
      <c r="T4104" s="102">
        <f t="shared" si="2044"/>
        <v>6360000</v>
      </c>
      <c r="U4104" s="71"/>
      <c r="V4104" s="71"/>
      <c r="W4104" s="474"/>
      <c r="X4104" s="71"/>
      <c r="Y4104" s="71"/>
    </row>
    <row r="4105" spans="1:25" ht="30" hidden="1" customHeight="1" x14ac:dyDescent="0.25">
      <c r="A4105" s="1145">
        <v>44354</v>
      </c>
      <c r="B4105" s="664" t="s">
        <v>446</v>
      </c>
      <c r="C4105" s="71" t="s">
        <v>2028</v>
      </c>
      <c r="D4105" s="71">
        <v>20</v>
      </c>
      <c r="E4105" s="102">
        <v>105000</v>
      </c>
      <c r="F4105" s="102">
        <f t="shared" si="2047"/>
        <v>2310000</v>
      </c>
      <c r="G4105" s="102">
        <f t="shared" si="2048"/>
        <v>2100000</v>
      </c>
      <c r="H4105" s="690" t="s">
        <v>2029</v>
      </c>
      <c r="I4105" s="71" t="s">
        <v>2231</v>
      </c>
      <c r="J4105" s="53">
        <f t="shared" si="2046"/>
        <v>380000</v>
      </c>
      <c r="K4105" s="63">
        <f t="shared" si="2051"/>
        <v>0.18095238095238095</v>
      </c>
      <c r="L4105" s="871" t="s">
        <v>2977</v>
      </c>
      <c r="M4105" s="468" t="s">
        <v>3068</v>
      </c>
      <c r="N4105" s="1192">
        <f t="shared" si="2049"/>
        <v>44354</v>
      </c>
      <c r="O4105" s="71" t="s">
        <v>2030</v>
      </c>
      <c r="P4105" s="164" t="str">
        <f t="shared" si="2050"/>
        <v>실리콘 에멀전</v>
      </c>
      <c r="Q4105" s="71">
        <f t="shared" si="2032"/>
        <v>20</v>
      </c>
      <c r="R4105" s="102">
        <v>86000</v>
      </c>
      <c r="S4105" s="102">
        <f t="shared" si="2043"/>
        <v>1892000.0000000002</v>
      </c>
      <c r="T4105" s="102">
        <f t="shared" si="2044"/>
        <v>1720000</v>
      </c>
      <c r="U4105" s="71" t="str">
        <f>IF(J4105=W4105,"O", "X")</f>
        <v>O</v>
      </c>
      <c r="V4105" s="71">
        <f>7000*Q4105</f>
        <v>140000</v>
      </c>
      <c r="W4105" s="474">
        <f>(G4105-T4105)</f>
        <v>380000</v>
      </c>
      <c r="X4105" s="71"/>
      <c r="Y4105" s="71"/>
    </row>
    <row r="4106" spans="1:25" s="209" customFormat="1" ht="30" hidden="1" customHeight="1" x14ac:dyDescent="0.25">
      <c r="A4106" s="1145">
        <v>44354</v>
      </c>
      <c r="B4106" s="664" t="s">
        <v>2155</v>
      </c>
      <c r="C4106" s="71" t="s">
        <v>138</v>
      </c>
      <c r="D4106" s="71">
        <v>10</v>
      </c>
      <c r="E4106" s="102">
        <v>47600</v>
      </c>
      <c r="F4106" s="102">
        <f t="shared" si="2047"/>
        <v>523600.00000000006</v>
      </c>
      <c r="G4106" s="102">
        <f t="shared" si="2048"/>
        <v>476000</v>
      </c>
      <c r="H4106" s="1129" t="s">
        <v>172</v>
      </c>
      <c r="I4106" s="71" t="s">
        <v>108</v>
      </c>
      <c r="J4106" s="53">
        <f t="shared" si="2046"/>
        <v>68000</v>
      </c>
      <c r="K4106" s="63">
        <f t="shared" si="2051"/>
        <v>0.14285714285714285</v>
      </c>
      <c r="L4106" s="871" t="s">
        <v>2977</v>
      </c>
      <c r="M4106" s="468" t="s">
        <v>2214</v>
      </c>
      <c r="N4106" s="1192">
        <f t="shared" si="2049"/>
        <v>44354</v>
      </c>
      <c r="O4106" s="71" t="s">
        <v>150</v>
      </c>
      <c r="P4106" s="164" t="str">
        <f t="shared" si="2050"/>
        <v>매엽용 세척제(Wash 562)</v>
      </c>
      <c r="Q4106" s="71">
        <f t="shared" ref="Q4106:Q4112" si="2052">D4106</f>
        <v>10</v>
      </c>
      <c r="R4106" s="102">
        <v>40800</v>
      </c>
      <c r="S4106" s="102">
        <f t="shared" si="2043"/>
        <v>448800.00000000006</v>
      </c>
      <c r="T4106" s="102">
        <f t="shared" si="2044"/>
        <v>408000</v>
      </c>
      <c r="U4106" s="71" t="str">
        <f>IF(J4106=W4106,"O", "X")</f>
        <v>X</v>
      </c>
      <c r="V4106" s="71"/>
      <c r="W4106" s="474">
        <v>85000</v>
      </c>
      <c r="X4106" s="71"/>
      <c r="Y4106" s="71"/>
    </row>
    <row r="4107" spans="1:25" ht="30" hidden="1" customHeight="1" x14ac:dyDescent="0.25">
      <c r="A4107" s="1145">
        <v>44354</v>
      </c>
      <c r="B4107" s="664" t="s">
        <v>2155</v>
      </c>
      <c r="C4107" s="760" t="s">
        <v>218</v>
      </c>
      <c r="D4107" s="71">
        <v>5</v>
      </c>
      <c r="E4107" s="102">
        <v>192500</v>
      </c>
      <c r="F4107" s="102">
        <f t="shared" si="2047"/>
        <v>1058750</v>
      </c>
      <c r="G4107" s="102">
        <f t="shared" si="2048"/>
        <v>962500</v>
      </c>
      <c r="H4107" s="690" t="s">
        <v>173</v>
      </c>
      <c r="I4107" s="71" t="s">
        <v>120</v>
      </c>
      <c r="J4107" s="53">
        <f t="shared" si="2046"/>
        <v>400000</v>
      </c>
      <c r="K4107" s="63">
        <f t="shared" si="2051"/>
        <v>0.41558441558441561</v>
      </c>
      <c r="L4107" s="871" t="s">
        <v>2977</v>
      </c>
      <c r="M4107" s="468"/>
      <c r="N4107" s="1192">
        <f t="shared" si="2049"/>
        <v>44354</v>
      </c>
      <c r="O4107" s="71" t="s">
        <v>150</v>
      </c>
      <c r="P4107" s="164" t="str">
        <f t="shared" si="2050"/>
        <v>Fount Web 551AF</v>
      </c>
      <c r="Q4107" s="71">
        <f t="shared" si="2052"/>
        <v>5</v>
      </c>
      <c r="R4107" s="102">
        <v>112500</v>
      </c>
      <c r="S4107" s="102">
        <f t="shared" si="2043"/>
        <v>618750</v>
      </c>
      <c r="T4107" s="102">
        <f t="shared" si="2044"/>
        <v>562500</v>
      </c>
      <c r="U4107" s="71" t="str">
        <f>IF(J4107=W4107,"O", "X")</f>
        <v>X</v>
      </c>
      <c r="V4107" s="71"/>
      <c r="W4107" s="474">
        <v>640000</v>
      </c>
      <c r="X4107" s="71"/>
      <c r="Y4107" s="71"/>
    </row>
    <row r="4108" spans="1:25" ht="30" hidden="1" customHeight="1" x14ac:dyDescent="0.25">
      <c r="A4108" s="1145">
        <v>44355</v>
      </c>
      <c r="B4108" s="664" t="s">
        <v>2155</v>
      </c>
      <c r="C4108" s="71" t="s">
        <v>277</v>
      </c>
      <c r="D4108" s="71">
        <v>10</v>
      </c>
      <c r="E4108" s="102">
        <v>172000</v>
      </c>
      <c r="F4108" s="102">
        <f t="shared" si="2047"/>
        <v>1892000.0000000002</v>
      </c>
      <c r="G4108" s="102">
        <f t="shared" si="2048"/>
        <v>1720000</v>
      </c>
      <c r="H4108" s="690" t="s">
        <v>173</v>
      </c>
      <c r="I4108" s="71" t="s">
        <v>108</v>
      </c>
      <c r="J4108" s="53">
        <f t="shared" si="2046"/>
        <v>570000</v>
      </c>
      <c r="K4108" s="63">
        <f t="shared" si="2051"/>
        <v>0.33139534883720928</v>
      </c>
      <c r="L4108" s="871" t="s">
        <v>2977</v>
      </c>
      <c r="M4108" s="468"/>
      <c r="N4108" s="1192">
        <f t="shared" si="2049"/>
        <v>44355</v>
      </c>
      <c r="O4108" s="71" t="s">
        <v>150</v>
      </c>
      <c r="P4108" s="164" t="str">
        <f t="shared" si="2050"/>
        <v>윤전용 세척제(Web 504)</v>
      </c>
      <c r="Q4108" s="71">
        <f t="shared" si="2052"/>
        <v>10</v>
      </c>
      <c r="R4108" s="102">
        <v>115000</v>
      </c>
      <c r="S4108" s="102">
        <f t="shared" si="2043"/>
        <v>1265000</v>
      </c>
      <c r="T4108" s="102">
        <f t="shared" si="2044"/>
        <v>1150000</v>
      </c>
      <c r="U4108" s="71" t="str">
        <f>IF(J4108=W4108,"O", "X")</f>
        <v>X</v>
      </c>
      <c r="V4108" s="71"/>
      <c r="W4108" s="474">
        <v>285000</v>
      </c>
      <c r="X4108" s="71"/>
      <c r="Y4108" s="71"/>
    </row>
    <row r="4109" spans="1:25" ht="30" hidden="1" customHeight="1" x14ac:dyDescent="0.25">
      <c r="A4109" s="1145">
        <v>44355</v>
      </c>
      <c r="B4109" s="664" t="s">
        <v>2155</v>
      </c>
      <c r="C4109" s="71" t="s">
        <v>114</v>
      </c>
      <c r="D4109" s="71">
        <v>50</v>
      </c>
      <c r="E4109" s="102">
        <v>14000</v>
      </c>
      <c r="F4109" s="102">
        <f t="shared" si="2047"/>
        <v>770000.00000000012</v>
      </c>
      <c r="G4109" s="102">
        <f t="shared" si="2048"/>
        <v>700000</v>
      </c>
      <c r="H4109" s="690" t="s">
        <v>1431</v>
      </c>
      <c r="I4109" s="690" t="s">
        <v>1431</v>
      </c>
      <c r="J4109" s="53">
        <f t="shared" si="2046"/>
        <v>211500</v>
      </c>
      <c r="K4109" s="63">
        <f t="shared" si="2051"/>
        <v>0.3021428571428571</v>
      </c>
      <c r="L4109" s="871" t="s">
        <v>2977</v>
      </c>
      <c r="M4109" s="468"/>
      <c r="N4109" s="1192">
        <f t="shared" si="2049"/>
        <v>44355</v>
      </c>
      <c r="O4109" s="71" t="s">
        <v>1431</v>
      </c>
      <c r="P4109" s="164" t="str">
        <f t="shared" ref="P4109:P4117" si="2053">(C4109)</f>
        <v>스트리퍼</v>
      </c>
      <c r="Q4109" s="71">
        <f t="shared" si="2052"/>
        <v>50</v>
      </c>
      <c r="R4109" s="102">
        <v>9770</v>
      </c>
      <c r="S4109" s="102">
        <f t="shared" si="2043"/>
        <v>537350</v>
      </c>
      <c r="T4109" s="102">
        <f t="shared" si="2044"/>
        <v>488500</v>
      </c>
      <c r="U4109" s="71"/>
      <c r="V4109" s="71"/>
      <c r="W4109" s="474"/>
      <c r="X4109" s="71"/>
      <c r="Y4109" s="71"/>
    </row>
    <row r="4110" spans="1:25" ht="27.6" hidden="1" customHeight="1" x14ac:dyDescent="0.25">
      <c r="A4110" s="1145">
        <v>44355</v>
      </c>
      <c r="B4110" s="664" t="s">
        <v>567</v>
      </c>
      <c r="C4110" s="71" t="s">
        <v>1652</v>
      </c>
      <c r="D4110" s="71">
        <v>5</v>
      </c>
      <c r="E4110" s="102">
        <v>45000</v>
      </c>
      <c r="F4110" s="102">
        <f t="shared" si="2047"/>
        <v>247500.00000000003</v>
      </c>
      <c r="G4110" s="102">
        <f t="shared" si="2048"/>
        <v>225000</v>
      </c>
      <c r="H4110" s="690" t="s">
        <v>173</v>
      </c>
      <c r="I4110" s="71" t="s">
        <v>2231</v>
      </c>
      <c r="J4110" s="53">
        <f t="shared" si="2046"/>
        <v>25000</v>
      </c>
      <c r="K4110" s="63">
        <f t="shared" si="2051"/>
        <v>0.11111111111111109</v>
      </c>
      <c r="L4110" s="871" t="s">
        <v>2977</v>
      </c>
      <c r="M4110" s="468"/>
      <c r="N4110" s="1192">
        <f t="shared" ref="N4110:N4117" si="2054">A4110</f>
        <v>44355</v>
      </c>
      <c r="O4110" s="71" t="s">
        <v>153</v>
      </c>
      <c r="P4110" s="164" t="str">
        <f t="shared" si="2053"/>
        <v>아스테이지(CD74용)</v>
      </c>
      <c r="Q4110" s="71">
        <f t="shared" si="2052"/>
        <v>5</v>
      </c>
      <c r="R4110" s="102">
        <v>40000</v>
      </c>
      <c r="S4110" s="102">
        <f t="shared" si="2043"/>
        <v>220000.00000000003</v>
      </c>
      <c r="T4110" s="102">
        <f t="shared" si="2044"/>
        <v>200000</v>
      </c>
      <c r="U4110" s="71" t="str">
        <f>IF(J4110=W4110,"O", "X")</f>
        <v>X</v>
      </c>
      <c r="V4110" s="71"/>
      <c r="W4110" s="474"/>
      <c r="X4110" s="71"/>
      <c r="Y4110" s="71"/>
    </row>
    <row r="4111" spans="1:25" ht="30" hidden="1" customHeight="1" x14ac:dyDescent="0.25">
      <c r="A4111" s="1145">
        <v>44355</v>
      </c>
      <c r="B4111" s="664" t="s">
        <v>567</v>
      </c>
      <c r="C4111" s="71" t="s">
        <v>123</v>
      </c>
      <c r="D4111" s="71">
        <v>10</v>
      </c>
      <c r="E4111" s="102">
        <v>40000</v>
      </c>
      <c r="F4111" s="102">
        <f t="shared" si="2047"/>
        <v>440000.00000000006</v>
      </c>
      <c r="G4111" s="102">
        <f t="shared" si="2048"/>
        <v>400000</v>
      </c>
      <c r="H4111" s="1010" t="s">
        <v>39</v>
      </c>
      <c r="I4111" s="71" t="s">
        <v>1432</v>
      </c>
      <c r="J4111" s="53">
        <f t="shared" si="2046"/>
        <v>159300</v>
      </c>
      <c r="K4111" s="63">
        <f t="shared" si="2051"/>
        <v>0.39824999999999994</v>
      </c>
      <c r="L4111" s="871" t="s">
        <v>2977</v>
      </c>
      <c r="M4111" s="468"/>
      <c r="N4111" s="1192">
        <f t="shared" si="2054"/>
        <v>44355</v>
      </c>
      <c r="O4111" s="991" t="s">
        <v>39</v>
      </c>
      <c r="P4111" s="164" t="str">
        <f t="shared" si="2053"/>
        <v>필터백</v>
      </c>
      <c r="Q4111" s="71">
        <f t="shared" si="2052"/>
        <v>10</v>
      </c>
      <c r="R4111" s="102">
        <v>24070</v>
      </c>
      <c r="S4111" s="102">
        <f t="shared" si="2043"/>
        <v>264770</v>
      </c>
      <c r="T4111" s="102">
        <f t="shared" si="2044"/>
        <v>240700</v>
      </c>
      <c r="U4111" s="71" t="str">
        <f>IF(J4111=W4111,"O", "X")</f>
        <v>O</v>
      </c>
      <c r="V4111" s="71"/>
      <c r="W4111" s="474">
        <f>(G4111-T4111)</f>
        <v>159300</v>
      </c>
      <c r="X4111" s="71"/>
      <c r="Y4111" s="71"/>
    </row>
    <row r="4112" spans="1:25" ht="30" hidden="1" customHeight="1" x14ac:dyDescent="0.25">
      <c r="A4112" s="1145">
        <v>44357</v>
      </c>
      <c r="B4112" s="664" t="s">
        <v>442</v>
      </c>
      <c r="C4112" s="71" t="s">
        <v>206</v>
      </c>
      <c r="D4112" s="71">
        <v>2</v>
      </c>
      <c r="E4112" s="102">
        <v>327000</v>
      </c>
      <c r="F4112" s="102">
        <f t="shared" si="2047"/>
        <v>719400</v>
      </c>
      <c r="G4112" s="102">
        <f t="shared" si="2048"/>
        <v>654000</v>
      </c>
      <c r="H4112" s="690" t="s">
        <v>2029</v>
      </c>
      <c r="I4112" s="71" t="s">
        <v>195</v>
      </c>
      <c r="J4112" s="53">
        <f t="shared" si="2046"/>
        <v>115800</v>
      </c>
      <c r="K4112" s="63">
        <f t="shared" si="2051"/>
        <v>0.17706422018348625</v>
      </c>
      <c r="L4112" s="871" t="s">
        <v>2977</v>
      </c>
      <c r="M4112" s="468"/>
      <c r="N4112" s="1192">
        <f t="shared" si="2054"/>
        <v>44357</v>
      </c>
      <c r="O4112" s="71" t="s">
        <v>194</v>
      </c>
      <c r="P4112" s="164" t="str">
        <f t="shared" si="2053"/>
        <v>Agfa Film(24inch)</v>
      </c>
      <c r="Q4112" s="71">
        <f t="shared" si="2052"/>
        <v>2</v>
      </c>
      <c r="R4112" s="102">
        <v>269100</v>
      </c>
      <c r="S4112" s="102">
        <f t="shared" si="2043"/>
        <v>592020</v>
      </c>
      <c r="T4112" s="102">
        <f t="shared" si="2044"/>
        <v>538200</v>
      </c>
      <c r="U4112" s="71" t="str">
        <f>IF(J4112=W4112,"O", "X")</f>
        <v>O</v>
      </c>
      <c r="V4112" s="71"/>
      <c r="W4112" s="474">
        <f>(G4112-T4112)</f>
        <v>115800</v>
      </c>
      <c r="X4112" s="71"/>
      <c r="Y4112" s="71"/>
    </row>
    <row r="4113" spans="1:25" ht="30" hidden="1" customHeight="1" x14ac:dyDescent="0.25">
      <c r="A4113" s="1145">
        <v>44357</v>
      </c>
      <c r="B4113" s="664" t="s">
        <v>442</v>
      </c>
      <c r="C4113" s="71" t="s">
        <v>207</v>
      </c>
      <c r="D4113" s="71">
        <v>2</v>
      </c>
      <c r="E4113" s="102">
        <v>401000</v>
      </c>
      <c r="F4113" s="102">
        <f t="shared" si="2047"/>
        <v>882200.00000000012</v>
      </c>
      <c r="G4113" s="102">
        <f t="shared" si="2048"/>
        <v>802000</v>
      </c>
      <c r="H4113" s="690" t="s">
        <v>2029</v>
      </c>
      <c r="I4113" s="71" t="s">
        <v>195</v>
      </c>
      <c r="J4113" s="53">
        <f t="shared" si="2046"/>
        <v>488040</v>
      </c>
      <c r="K4113" s="63">
        <f t="shared" si="2051"/>
        <v>0.60852867830423929</v>
      </c>
      <c r="L4113" s="871" t="s">
        <v>2977</v>
      </c>
      <c r="M4113" s="468" t="s">
        <v>3019</v>
      </c>
      <c r="N4113" s="1192">
        <f t="shared" si="2054"/>
        <v>44357</v>
      </c>
      <c r="O4113" s="71" t="s">
        <v>194</v>
      </c>
      <c r="P4113" s="164" t="str">
        <f t="shared" si="2053"/>
        <v>Agfa Film(28inch)</v>
      </c>
      <c r="Q4113" s="71">
        <v>1</v>
      </c>
      <c r="R4113" s="102">
        <f>VLOOKUP(P4113,[5]Price!B$1:D$65536,3,FALSE)</f>
        <v>313960</v>
      </c>
      <c r="S4113" s="102">
        <f t="shared" si="2043"/>
        <v>345356</v>
      </c>
      <c r="T4113" s="102">
        <f t="shared" si="2044"/>
        <v>313960</v>
      </c>
      <c r="U4113" s="71" t="str">
        <f>IF(J4113=W4113,"O", "X")</f>
        <v>O</v>
      </c>
      <c r="V4113" s="71"/>
      <c r="W4113" s="474">
        <f>(G4113-T4113)</f>
        <v>488040</v>
      </c>
      <c r="X4113" s="71"/>
      <c r="Y4113" s="71"/>
    </row>
    <row r="4114" spans="1:25" ht="30" hidden="1" customHeight="1" x14ac:dyDescent="0.25">
      <c r="A4114" s="1145">
        <v>44357</v>
      </c>
      <c r="B4114" s="664" t="s">
        <v>442</v>
      </c>
      <c r="C4114" s="71" t="s">
        <v>208</v>
      </c>
      <c r="D4114" s="71">
        <v>2</v>
      </c>
      <c r="E4114" s="102">
        <v>448000</v>
      </c>
      <c r="F4114" s="102">
        <f t="shared" si="2047"/>
        <v>985600.00000000012</v>
      </c>
      <c r="G4114" s="102">
        <f t="shared" si="2048"/>
        <v>896000</v>
      </c>
      <c r="H4114" s="690" t="s">
        <v>2029</v>
      </c>
      <c r="I4114" s="71" t="s">
        <v>195</v>
      </c>
      <c r="J4114" s="53">
        <f t="shared" si="2046"/>
        <v>155980</v>
      </c>
      <c r="K4114" s="63">
        <f t="shared" si="2051"/>
        <v>0.1740848214285714</v>
      </c>
      <c r="L4114" s="871" t="s">
        <v>2977</v>
      </c>
      <c r="M4114" s="468"/>
      <c r="N4114" s="1192">
        <f t="shared" si="2054"/>
        <v>44357</v>
      </c>
      <c r="O4114" s="71" t="s">
        <v>194</v>
      </c>
      <c r="P4114" s="164" t="str">
        <f t="shared" si="2053"/>
        <v>Agfa Film(32inch)</v>
      </c>
      <c r="Q4114" s="71">
        <v>2</v>
      </c>
      <c r="R4114" s="102">
        <f>VLOOKUP(P4114,[5]Price!B$1:D$65536,3,FALSE)</f>
        <v>370010</v>
      </c>
      <c r="S4114" s="102">
        <f t="shared" si="2043"/>
        <v>814022.00000000012</v>
      </c>
      <c r="T4114" s="102">
        <f t="shared" si="2044"/>
        <v>740020</v>
      </c>
      <c r="U4114" s="71" t="str">
        <f>IF(J4114=W4114,"O", "X")</f>
        <v>O</v>
      </c>
      <c r="V4114" s="71"/>
      <c r="W4114" s="474">
        <f>(G4114-T4114)</f>
        <v>155980</v>
      </c>
      <c r="X4114" s="71"/>
      <c r="Y4114" s="71"/>
    </row>
    <row r="4115" spans="1:25" ht="30" hidden="1" customHeight="1" x14ac:dyDescent="0.25">
      <c r="A4115" s="1145">
        <v>44357</v>
      </c>
      <c r="B4115" s="664" t="s">
        <v>627</v>
      </c>
      <c r="C4115" s="71" t="s">
        <v>3018</v>
      </c>
      <c r="D4115" s="71">
        <v>1</v>
      </c>
      <c r="E4115" s="102">
        <v>6500000</v>
      </c>
      <c r="F4115" s="102">
        <f t="shared" si="2047"/>
        <v>7150000.0000000009</v>
      </c>
      <c r="G4115" s="102">
        <f t="shared" si="2048"/>
        <v>6500000</v>
      </c>
      <c r="H4115" s="690" t="s">
        <v>1431</v>
      </c>
      <c r="I4115" s="690" t="s">
        <v>1431</v>
      </c>
      <c r="J4115" s="53">
        <f t="shared" si="2046"/>
        <v>3120000</v>
      </c>
      <c r="K4115" s="63">
        <f t="shared" si="2051"/>
        <v>0.47999999999999993</v>
      </c>
      <c r="L4115" s="871" t="s">
        <v>2977</v>
      </c>
      <c r="M4115" s="468"/>
      <c r="N4115" s="1192">
        <f t="shared" si="2054"/>
        <v>44357</v>
      </c>
      <c r="O4115" s="71" t="s">
        <v>1431</v>
      </c>
      <c r="P4115" s="164" t="str">
        <f t="shared" si="2053"/>
        <v>메인모터 카본 브러쉬 12개</v>
      </c>
      <c r="Q4115" s="71">
        <f t="shared" ref="Q4115:Q4123" si="2055">D4115</f>
        <v>1</v>
      </c>
      <c r="R4115" s="102">
        <v>3380000</v>
      </c>
      <c r="S4115" s="102">
        <f t="shared" si="2043"/>
        <v>3718000.0000000005</v>
      </c>
      <c r="T4115" s="102">
        <f t="shared" si="2044"/>
        <v>3380000</v>
      </c>
      <c r="U4115" s="71"/>
      <c r="V4115" s="71"/>
      <c r="W4115" s="474"/>
      <c r="X4115" s="71"/>
      <c r="Y4115" s="71"/>
    </row>
    <row r="4116" spans="1:25" ht="30" hidden="1" customHeight="1" x14ac:dyDescent="0.25">
      <c r="A4116" s="1145">
        <v>44357</v>
      </c>
      <c r="B4116" s="664" t="s">
        <v>627</v>
      </c>
      <c r="C4116" s="71" t="s">
        <v>1792</v>
      </c>
      <c r="D4116" s="71">
        <v>8</v>
      </c>
      <c r="E4116" s="102">
        <v>130000</v>
      </c>
      <c r="F4116" s="102">
        <f t="shared" si="2047"/>
        <v>1144000</v>
      </c>
      <c r="G4116" s="102">
        <f t="shared" si="2048"/>
        <v>1040000</v>
      </c>
      <c r="H4116" s="690" t="s">
        <v>1431</v>
      </c>
      <c r="I4116" s="690" t="s">
        <v>1431</v>
      </c>
      <c r="J4116" s="53">
        <f t="shared" si="2046"/>
        <v>744000</v>
      </c>
      <c r="K4116" s="63">
        <f t="shared" si="2051"/>
        <v>0.7153846153846154</v>
      </c>
      <c r="L4116" s="871" t="s">
        <v>2977</v>
      </c>
      <c r="M4116" s="468"/>
      <c r="N4116" s="1192">
        <f t="shared" si="2054"/>
        <v>44357</v>
      </c>
      <c r="O4116" s="71" t="s">
        <v>1431</v>
      </c>
      <c r="P4116" s="164" t="str">
        <f t="shared" si="2053"/>
        <v>가스 쇼바</v>
      </c>
      <c r="Q4116" s="71">
        <f t="shared" si="2055"/>
        <v>8</v>
      </c>
      <c r="R4116" s="102">
        <v>37000</v>
      </c>
      <c r="S4116" s="102">
        <f t="shared" si="2043"/>
        <v>325600</v>
      </c>
      <c r="T4116" s="102">
        <f t="shared" si="2044"/>
        <v>296000</v>
      </c>
      <c r="U4116" s="71"/>
      <c r="V4116" s="71"/>
      <c r="W4116" s="474"/>
      <c r="X4116" s="71"/>
      <c r="Y4116" s="71"/>
    </row>
    <row r="4117" spans="1:25" ht="30" hidden="1" customHeight="1" x14ac:dyDescent="0.25">
      <c r="A4117" s="1145">
        <v>44358</v>
      </c>
      <c r="B4117" s="664" t="s">
        <v>546</v>
      </c>
      <c r="C4117" s="71" t="s">
        <v>3016</v>
      </c>
      <c r="D4117" s="71">
        <v>1</v>
      </c>
      <c r="E4117" s="102">
        <v>3300000</v>
      </c>
      <c r="F4117" s="102">
        <f t="shared" si="2047"/>
        <v>3630000.0000000005</v>
      </c>
      <c r="G4117" s="102">
        <f t="shared" si="2048"/>
        <v>3300000</v>
      </c>
      <c r="H4117" s="690" t="s">
        <v>1431</v>
      </c>
      <c r="I4117" s="690" t="s">
        <v>1431</v>
      </c>
      <c r="J4117" s="53">
        <f t="shared" si="2046"/>
        <v>1500000</v>
      </c>
      <c r="K4117" s="63">
        <f t="shared" si="2051"/>
        <v>0.45454545454545447</v>
      </c>
      <c r="L4117" s="871" t="s">
        <v>2977</v>
      </c>
      <c r="M4117" s="468"/>
      <c r="N4117" s="1192">
        <f t="shared" si="2054"/>
        <v>44358</v>
      </c>
      <c r="O4117" s="71" t="s">
        <v>1439</v>
      </c>
      <c r="P4117" s="164" t="str">
        <f t="shared" si="2053"/>
        <v>잉크 키 콘트롤 보드</v>
      </c>
      <c r="Q4117" s="71">
        <f t="shared" si="2055"/>
        <v>1</v>
      </c>
      <c r="R4117" s="102">
        <v>1800000</v>
      </c>
      <c r="S4117" s="102">
        <f t="shared" si="2043"/>
        <v>1980000.0000000002</v>
      </c>
      <c r="T4117" s="102">
        <f t="shared" si="2044"/>
        <v>1800000</v>
      </c>
      <c r="U4117" s="71"/>
      <c r="V4117" s="71"/>
      <c r="W4117" s="474"/>
      <c r="X4117" s="71"/>
      <c r="Y4117" s="71"/>
    </row>
    <row r="4118" spans="1:25" ht="30" hidden="1" customHeight="1" x14ac:dyDescent="0.25">
      <c r="A4118" s="1145">
        <v>44358</v>
      </c>
      <c r="B4118" s="664" t="s">
        <v>545</v>
      </c>
      <c r="C4118" s="71" t="s">
        <v>952</v>
      </c>
      <c r="D4118" s="71">
        <v>1</v>
      </c>
      <c r="E4118" s="102">
        <v>630000</v>
      </c>
      <c r="F4118" s="102">
        <f t="shared" si="2047"/>
        <v>693000</v>
      </c>
      <c r="G4118" s="102">
        <f t="shared" si="2048"/>
        <v>630000</v>
      </c>
      <c r="H4118" s="690" t="s">
        <v>173</v>
      </c>
      <c r="I4118" s="71" t="s">
        <v>108</v>
      </c>
      <c r="J4118" s="53">
        <f t="shared" si="2046"/>
        <v>168000</v>
      </c>
      <c r="K4118" s="63">
        <f t="shared" ref="K4118:K4126" si="2056">(J4118/(F4118/11*10))</f>
        <v>0.26666666666666666</v>
      </c>
      <c r="L4118" s="871" t="s">
        <v>2977</v>
      </c>
      <c r="M4118" s="468"/>
      <c r="N4118" s="1192">
        <f t="shared" ref="N4118:N4126" si="2057">A4118</f>
        <v>44358</v>
      </c>
      <c r="O4118" s="71" t="s">
        <v>599</v>
      </c>
      <c r="P4118" s="164" t="str">
        <f t="shared" ref="P4118:P4125" si="2058">(C4118)</f>
        <v>점보롤 세정포</v>
      </c>
      <c r="Q4118" s="71">
        <f t="shared" si="2055"/>
        <v>1</v>
      </c>
      <c r="R4118" s="102">
        <v>462000</v>
      </c>
      <c r="S4118" s="102">
        <f t="shared" si="2043"/>
        <v>508200.00000000006</v>
      </c>
      <c r="T4118" s="102">
        <f t="shared" si="2044"/>
        <v>462000</v>
      </c>
      <c r="U4118" s="71" t="str">
        <f>IF(J4118=W4118,"O", "X")</f>
        <v>O</v>
      </c>
      <c r="V4118" s="71" t="s">
        <v>1228</v>
      </c>
      <c r="W4118" s="474">
        <f>(G4118-T4118)</f>
        <v>168000</v>
      </c>
      <c r="X4118" s="71"/>
      <c r="Y4118" s="71"/>
    </row>
    <row r="4119" spans="1:25" ht="30" hidden="1" customHeight="1" x14ac:dyDescent="0.2">
      <c r="A4119" s="1145">
        <v>44358</v>
      </c>
      <c r="B4119" s="664" t="s">
        <v>548</v>
      </c>
      <c r="C4119" s="71" t="s">
        <v>107</v>
      </c>
      <c r="D4119" s="71">
        <v>10</v>
      </c>
      <c r="E4119" s="102">
        <v>90000</v>
      </c>
      <c r="F4119" s="163">
        <f t="shared" si="2047"/>
        <v>990000.00000000012</v>
      </c>
      <c r="G4119" s="102">
        <f t="shared" si="2048"/>
        <v>900000</v>
      </c>
      <c r="H4119" s="165" t="s">
        <v>172</v>
      </c>
      <c r="I4119" s="71" t="s">
        <v>109</v>
      </c>
      <c r="J4119" s="53">
        <f>(G4119-(VLOOKUP(C4119,Price!B:D,3,FALSE)*D4119))</f>
        <v>95000</v>
      </c>
      <c r="K4119" s="63">
        <f t="shared" si="2056"/>
        <v>0.10555555555555554</v>
      </c>
      <c r="L4119" s="871" t="s">
        <v>2977</v>
      </c>
      <c r="M4119" s="468"/>
      <c r="N4119" s="1192">
        <f t="shared" si="2057"/>
        <v>44358</v>
      </c>
      <c r="O4119" s="71" t="s">
        <v>147</v>
      </c>
      <c r="P4119" s="164" t="str">
        <f t="shared" si="2058"/>
        <v>Blanket(1050*840)</v>
      </c>
      <c r="Q4119" s="71">
        <f t="shared" si="2055"/>
        <v>10</v>
      </c>
      <c r="R4119" s="102">
        <v>80500</v>
      </c>
      <c r="S4119" s="102">
        <f t="shared" si="2043"/>
        <v>885500.00000000012</v>
      </c>
      <c r="T4119" s="102">
        <f t="shared" si="2044"/>
        <v>805000</v>
      </c>
      <c r="U4119" s="71" t="str">
        <f>IF(J4119=W4119,"O", "X")</f>
        <v>O</v>
      </c>
      <c r="V4119" s="71"/>
      <c r="W4119" s="474">
        <f>(G4119-T4119)</f>
        <v>95000</v>
      </c>
      <c r="X4119" s="71"/>
      <c r="Y4119" s="71"/>
    </row>
    <row r="4120" spans="1:25" ht="30" hidden="1" customHeight="1" x14ac:dyDescent="0.25">
      <c r="A4120" s="1145">
        <v>44361</v>
      </c>
      <c r="B4120" s="664" t="s">
        <v>442</v>
      </c>
      <c r="C4120" s="71" t="s">
        <v>651</v>
      </c>
      <c r="D4120" s="71">
        <v>6</v>
      </c>
      <c r="E4120" s="102">
        <v>41000</v>
      </c>
      <c r="F4120" s="102">
        <f t="shared" si="2047"/>
        <v>270600</v>
      </c>
      <c r="G4120" s="102">
        <f t="shared" si="2048"/>
        <v>246000</v>
      </c>
      <c r="H4120" s="690" t="s">
        <v>2029</v>
      </c>
      <c r="I4120" s="71" t="s">
        <v>195</v>
      </c>
      <c r="J4120" s="53">
        <f>(G4120-(VLOOKUP(C4120,[5]Price!B$1:D$65536,3,FALSE)*D4120))</f>
        <v>96000</v>
      </c>
      <c r="K4120" s="63">
        <f t="shared" si="2056"/>
        <v>0.3902439024390244</v>
      </c>
      <c r="L4120" s="871" t="s">
        <v>2977</v>
      </c>
      <c r="M4120" s="468"/>
      <c r="N4120" s="1192">
        <f t="shared" si="2057"/>
        <v>44361</v>
      </c>
      <c r="O4120" s="71" t="s">
        <v>194</v>
      </c>
      <c r="P4120" s="164" t="str">
        <f t="shared" si="2058"/>
        <v>Agfa 현상액 G101C(10L)</v>
      </c>
      <c r="Q4120" s="71">
        <f t="shared" si="2055"/>
        <v>6</v>
      </c>
      <c r="R4120" s="102">
        <f>VLOOKUP(P4120,[5]Price!B$1:D$65536,3,FALSE)</f>
        <v>25000</v>
      </c>
      <c r="S4120" s="102">
        <f t="shared" si="2043"/>
        <v>165000</v>
      </c>
      <c r="T4120" s="102">
        <f t="shared" si="2044"/>
        <v>150000</v>
      </c>
      <c r="U4120" s="71" t="str">
        <f>IF(J4120=W4120,"O", "X")</f>
        <v>O</v>
      </c>
      <c r="V4120" s="71"/>
      <c r="W4120" s="474">
        <f>(G4120-T4120)</f>
        <v>96000</v>
      </c>
      <c r="X4120" s="71"/>
      <c r="Y4120" s="71"/>
    </row>
    <row r="4121" spans="1:25" s="209" customFormat="1" ht="30" hidden="1" customHeight="1" x14ac:dyDescent="0.25">
      <c r="A4121" s="1145">
        <v>44362</v>
      </c>
      <c r="B4121" s="664" t="s">
        <v>567</v>
      </c>
      <c r="C4121" s="71" t="s">
        <v>236</v>
      </c>
      <c r="D4121" s="71">
        <v>5</v>
      </c>
      <c r="E4121" s="102">
        <v>65000</v>
      </c>
      <c r="F4121" s="102">
        <f t="shared" si="2047"/>
        <v>357500</v>
      </c>
      <c r="G4121" s="102">
        <f t="shared" si="2048"/>
        <v>325000</v>
      </c>
      <c r="H4121" s="690" t="s">
        <v>173</v>
      </c>
      <c r="I4121" s="71" t="s">
        <v>2231</v>
      </c>
      <c r="J4121" s="53">
        <f>G4121-T4121</f>
        <v>75000</v>
      </c>
      <c r="K4121" s="63">
        <f t="shared" si="2056"/>
        <v>0.23076923076923078</v>
      </c>
      <c r="L4121" s="871" t="s">
        <v>2977</v>
      </c>
      <c r="M4121" s="468"/>
      <c r="N4121" s="1192">
        <f t="shared" si="2057"/>
        <v>44362</v>
      </c>
      <c r="O4121" s="71" t="s">
        <v>153</v>
      </c>
      <c r="P4121" s="164" t="str">
        <f t="shared" si="2058"/>
        <v>아스테이지(국전)</v>
      </c>
      <c r="Q4121" s="71">
        <f t="shared" si="2055"/>
        <v>5</v>
      </c>
      <c r="R4121" s="102">
        <v>50000</v>
      </c>
      <c r="S4121" s="102">
        <f t="shared" si="2043"/>
        <v>275000</v>
      </c>
      <c r="T4121" s="102">
        <f t="shared" si="2044"/>
        <v>250000</v>
      </c>
      <c r="U4121" s="71" t="str">
        <f>IF(J4121=W4121,"O", "X")</f>
        <v>X</v>
      </c>
      <c r="V4121" s="71"/>
      <c r="W4121" s="474">
        <v>150000</v>
      </c>
      <c r="X4121" s="71"/>
      <c r="Y4121" s="71"/>
    </row>
    <row r="4122" spans="1:25" ht="30" hidden="1" customHeight="1" x14ac:dyDescent="0.25">
      <c r="A4122" s="1145">
        <v>44362</v>
      </c>
      <c r="B4122" s="664" t="s">
        <v>575</v>
      </c>
      <c r="C4122" s="71" t="s">
        <v>1256</v>
      </c>
      <c r="D4122" s="71">
        <v>1</v>
      </c>
      <c r="E4122" s="102">
        <v>2625000</v>
      </c>
      <c r="F4122" s="102">
        <f t="shared" si="2047"/>
        <v>2887500.0000000005</v>
      </c>
      <c r="G4122" s="102">
        <f t="shared" si="2048"/>
        <v>2625000</v>
      </c>
      <c r="H4122" s="690" t="s">
        <v>985</v>
      </c>
      <c r="I4122" s="690" t="s">
        <v>985</v>
      </c>
      <c r="J4122" s="53"/>
      <c r="K4122" s="63"/>
      <c r="L4122" s="871" t="s">
        <v>2977</v>
      </c>
      <c r="M4122" s="468"/>
      <c r="N4122" s="1192">
        <f t="shared" si="2057"/>
        <v>44362</v>
      </c>
      <c r="O4122" s="71"/>
      <c r="P4122" s="164" t="str">
        <f t="shared" si="2058"/>
        <v>M600 서비스 계약(2회차)</v>
      </c>
      <c r="Q4122" s="71">
        <f t="shared" si="2055"/>
        <v>1</v>
      </c>
      <c r="R4122" s="102"/>
      <c r="S4122" s="102">
        <f t="shared" si="2043"/>
        <v>0</v>
      </c>
      <c r="T4122" s="102">
        <f t="shared" si="2044"/>
        <v>0</v>
      </c>
      <c r="U4122" s="71"/>
      <c r="V4122" s="71"/>
      <c r="W4122" s="474"/>
      <c r="X4122" s="71"/>
      <c r="Y4122" s="71"/>
    </row>
    <row r="4123" spans="1:25" ht="30" hidden="1" customHeight="1" x14ac:dyDescent="0.25">
      <c r="A4123" s="1145">
        <v>44363</v>
      </c>
      <c r="B4123" s="664" t="s">
        <v>690</v>
      </c>
      <c r="C4123" s="71" t="s">
        <v>1186</v>
      </c>
      <c r="D4123" s="71">
        <v>1000</v>
      </c>
      <c r="E4123" s="102">
        <v>3420</v>
      </c>
      <c r="F4123" s="102">
        <f t="shared" si="2047"/>
        <v>3762000.0000000005</v>
      </c>
      <c r="G4123" s="102">
        <f t="shared" si="2048"/>
        <v>3420000</v>
      </c>
      <c r="H4123" s="690" t="s">
        <v>173</v>
      </c>
      <c r="I4123" s="71" t="s">
        <v>2230</v>
      </c>
      <c r="J4123" s="53">
        <f t="shared" ref="J4123:J4137" si="2059">G4123-T4123</f>
        <v>-380000</v>
      </c>
      <c r="K4123" s="63">
        <f t="shared" si="2056"/>
        <v>-0.11111111111111109</v>
      </c>
      <c r="L4123" s="871" t="s">
        <v>2977</v>
      </c>
      <c r="M4123" s="468" t="s">
        <v>1393</v>
      </c>
      <c r="N4123" s="1192">
        <f t="shared" si="2057"/>
        <v>44363</v>
      </c>
      <c r="O4123" s="71" t="s">
        <v>145</v>
      </c>
      <c r="P4123" s="164" t="str">
        <f t="shared" si="2058"/>
        <v>CTP 판(1030*790mm)</v>
      </c>
      <c r="Q4123" s="71">
        <f t="shared" si="2055"/>
        <v>1000</v>
      </c>
      <c r="R4123" s="102">
        <v>3800</v>
      </c>
      <c r="S4123" s="102">
        <f t="shared" si="2043"/>
        <v>4180000.0000000005</v>
      </c>
      <c r="T4123" s="102">
        <f t="shared" si="2044"/>
        <v>3800000</v>
      </c>
      <c r="U4123" s="71" t="str">
        <f>IF(J4123=W4123,"O", "X")</f>
        <v>X</v>
      </c>
      <c r="V4123" s="71"/>
      <c r="W4123" s="474">
        <v>-200000</v>
      </c>
      <c r="X4123" s="71"/>
      <c r="Y4123" s="71"/>
    </row>
    <row r="4124" spans="1:25" ht="30" hidden="1" customHeight="1" x14ac:dyDescent="0.25">
      <c r="A4124" s="1145">
        <v>44363</v>
      </c>
      <c r="B4124" s="664" t="s">
        <v>690</v>
      </c>
      <c r="C4124" s="71" t="s">
        <v>197</v>
      </c>
      <c r="D4124" s="71">
        <v>5</v>
      </c>
      <c r="E4124" s="102">
        <v>46000</v>
      </c>
      <c r="F4124" s="102">
        <f t="shared" si="2047"/>
        <v>253000.00000000003</v>
      </c>
      <c r="G4124" s="102">
        <f t="shared" si="2048"/>
        <v>230000</v>
      </c>
      <c r="H4124" s="690" t="s">
        <v>173</v>
      </c>
      <c r="I4124" s="71" t="s">
        <v>2230</v>
      </c>
      <c r="J4124" s="53">
        <f t="shared" si="2059"/>
        <v>55000</v>
      </c>
      <c r="K4124" s="63">
        <f t="shared" si="2056"/>
        <v>0.23913043478260868</v>
      </c>
      <c r="L4124" s="871" t="s">
        <v>2977</v>
      </c>
      <c r="M4124" s="468"/>
      <c r="N4124" s="1192">
        <f t="shared" si="2057"/>
        <v>44363</v>
      </c>
      <c r="O4124" s="71" t="s">
        <v>145</v>
      </c>
      <c r="P4124" s="164" t="str">
        <f t="shared" si="2058"/>
        <v>THR200(20L)</v>
      </c>
      <c r="Q4124" s="71">
        <v>5</v>
      </c>
      <c r="R4124" s="102">
        <v>35000</v>
      </c>
      <c r="S4124" s="102">
        <f t="shared" si="2043"/>
        <v>192500.00000000003</v>
      </c>
      <c r="T4124" s="102">
        <f t="shared" si="2044"/>
        <v>175000</v>
      </c>
      <c r="U4124" s="71" t="str">
        <f>IF(J4124=W4124,"O", "X")</f>
        <v>X</v>
      </c>
      <c r="V4124" s="71"/>
      <c r="W4124" s="474"/>
      <c r="X4124" s="71"/>
      <c r="Y4124" s="71"/>
    </row>
    <row r="4125" spans="1:25" ht="30" hidden="1" customHeight="1" x14ac:dyDescent="0.25">
      <c r="A4125" s="1145">
        <v>44363</v>
      </c>
      <c r="B4125" s="664" t="s">
        <v>690</v>
      </c>
      <c r="C4125" s="71" t="s">
        <v>752</v>
      </c>
      <c r="D4125" s="71">
        <v>1</v>
      </c>
      <c r="E4125" s="102">
        <v>79000</v>
      </c>
      <c r="F4125" s="102">
        <f t="shared" si="2047"/>
        <v>86900</v>
      </c>
      <c r="G4125" s="102">
        <f t="shared" si="2048"/>
        <v>79000</v>
      </c>
      <c r="H4125" s="690" t="s">
        <v>173</v>
      </c>
      <c r="I4125" s="71" t="s">
        <v>2230</v>
      </c>
      <c r="J4125" s="53">
        <f t="shared" si="2059"/>
        <v>14000</v>
      </c>
      <c r="K4125" s="63">
        <f t="shared" si="2056"/>
        <v>0.17721518987341772</v>
      </c>
      <c r="L4125" s="871" t="s">
        <v>2977</v>
      </c>
      <c r="M4125" s="468"/>
      <c r="N4125" s="1192">
        <f t="shared" si="2057"/>
        <v>44363</v>
      </c>
      <c r="O4125" s="71" t="s">
        <v>145</v>
      </c>
      <c r="P4125" s="164" t="str">
        <f t="shared" si="2058"/>
        <v>RC795(20L)</v>
      </c>
      <c r="Q4125" s="71">
        <f>D4125</f>
        <v>1</v>
      </c>
      <c r="R4125" s="102">
        <v>65000</v>
      </c>
      <c r="S4125" s="102">
        <f t="shared" si="2043"/>
        <v>71500</v>
      </c>
      <c r="T4125" s="102">
        <f t="shared" si="2044"/>
        <v>65000</v>
      </c>
      <c r="U4125" s="71" t="str">
        <f>IF(J4125=W4125,"O", "X")</f>
        <v>O</v>
      </c>
      <c r="V4125" s="71"/>
      <c r="W4125" s="474">
        <f>(G4125-T4125)</f>
        <v>14000</v>
      </c>
      <c r="X4125" s="71"/>
      <c r="Y4125" s="71"/>
    </row>
    <row r="4126" spans="1:25" ht="30" hidden="1" customHeight="1" x14ac:dyDescent="0.25">
      <c r="A4126" s="1145">
        <v>44363</v>
      </c>
      <c r="B4126" s="664" t="s">
        <v>1220</v>
      </c>
      <c r="C4126" s="71" t="s">
        <v>3017</v>
      </c>
      <c r="D4126" s="71">
        <v>1</v>
      </c>
      <c r="E4126" s="102">
        <v>1755000</v>
      </c>
      <c r="F4126" s="102">
        <f t="shared" si="2047"/>
        <v>1930500.0000000002</v>
      </c>
      <c r="G4126" s="102">
        <f t="shared" si="2048"/>
        <v>1755000</v>
      </c>
      <c r="H4126" s="690" t="s">
        <v>1431</v>
      </c>
      <c r="I4126" s="690" t="s">
        <v>1431</v>
      </c>
      <c r="J4126" s="53">
        <f t="shared" si="2059"/>
        <v>245000</v>
      </c>
      <c r="K4126" s="63">
        <f t="shared" si="2056"/>
        <v>0.1396011396011396</v>
      </c>
      <c r="L4126" s="871" t="s">
        <v>2977</v>
      </c>
      <c r="M4126" s="468"/>
      <c r="N4126" s="1192">
        <f t="shared" si="2057"/>
        <v>44363</v>
      </c>
      <c r="O4126" s="71" t="s">
        <v>1431</v>
      </c>
      <c r="P4126" s="164" t="str">
        <f>(C4126)</f>
        <v>Flockband adhesive tape</v>
      </c>
      <c r="Q4126" s="71">
        <f>D4126</f>
        <v>1</v>
      </c>
      <c r="R4126" s="102">
        <v>1510000</v>
      </c>
      <c r="S4126" s="102">
        <f t="shared" ref="S4126:S4157" si="2060">R4126*Q4126*1.1</f>
        <v>1661000.0000000002</v>
      </c>
      <c r="T4126" s="102">
        <f t="shared" ref="T4126:T4157" si="2061">R4126*Q4126</f>
        <v>1510000</v>
      </c>
      <c r="U4126" s="71"/>
      <c r="V4126" s="71"/>
      <c r="W4126" s="474"/>
      <c r="X4126" s="71"/>
      <c r="Y4126" s="71"/>
    </row>
    <row r="4127" spans="1:25" ht="30" hidden="1" customHeight="1" x14ac:dyDescent="0.25">
      <c r="A4127" s="1145">
        <v>44363</v>
      </c>
      <c r="B4127" s="664" t="s">
        <v>2155</v>
      </c>
      <c r="C4127" s="71" t="s">
        <v>277</v>
      </c>
      <c r="D4127" s="71">
        <v>5</v>
      </c>
      <c r="E4127" s="102">
        <v>172000</v>
      </c>
      <c r="F4127" s="102">
        <f t="shared" ref="F4127:F4136" si="2062">(E4127*D4127)*1.1</f>
        <v>946000.00000000012</v>
      </c>
      <c r="G4127" s="102">
        <f t="shared" ref="G4127:G4136" si="2063">(E4127*D4127)</f>
        <v>860000</v>
      </c>
      <c r="H4127" s="690" t="s">
        <v>173</v>
      </c>
      <c r="I4127" s="71" t="s">
        <v>108</v>
      </c>
      <c r="J4127" s="53">
        <f t="shared" si="2059"/>
        <v>285000</v>
      </c>
      <c r="K4127" s="63">
        <f t="shared" ref="K4127:K4137" si="2064">(J4127/(F4127/11*10))</f>
        <v>0.33139534883720928</v>
      </c>
      <c r="L4127" s="871" t="s">
        <v>2977</v>
      </c>
      <c r="M4127" s="468"/>
      <c r="N4127" s="1192">
        <f t="shared" ref="N4127:N4137" si="2065">A4127</f>
        <v>44363</v>
      </c>
      <c r="O4127" s="71" t="s">
        <v>150</v>
      </c>
      <c r="P4127" s="164" t="str">
        <f t="shared" ref="P4127:P4137" si="2066">(C4127)</f>
        <v>윤전용 세척제(Web 504)</v>
      </c>
      <c r="Q4127" s="71">
        <f t="shared" ref="Q4127:Q4137" si="2067">D4127</f>
        <v>5</v>
      </c>
      <c r="R4127" s="102">
        <v>115000</v>
      </c>
      <c r="S4127" s="102">
        <f t="shared" si="2060"/>
        <v>632500</v>
      </c>
      <c r="T4127" s="102">
        <f t="shared" si="2061"/>
        <v>575000</v>
      </c>
      <c r="U4127" s="71" t="str">
        <f t="shared" ref="U4127:U4132" si="2068">IF(J4127=W4127,"O", "X")</f>
        <v>O</v>
      </c>
      <c r="V4127" s="71"/>
      <c r="W4127" s="474">
        <v>285000</v>
      </c>
      <c r="X4127" s="71"/>
      <c r="Y4127" s="71"/>
    </row>
    <row r="4128" spans="1:25" s="209" customFormat="1" ht="30" hidden="1" customHeight="1" x14ac:dyDescent="0.2">
      <c r="A4128" s="1145">
        <v>44363</v>
      </c>
      <c r="B4128" s="664" t="s">
        <v>2155</v>
      </c>
      <c r="C4128" s="71" t="s">
        <v>231</v>
      </c>
      <c r="D4128" s="71">
        <v>10</v>
      </c>
      <c r="E4128" s="102">
        <v>120000</v>
      </c>
      <c r="F4128" s="102">
        <f t="shared" si="2062"/>
        <v>1320000</v>
      </c>
      <c r="G4128" s="102">
        <f t="shared" si="2063"/>
        <v>1200000</v>
      </c>
      <c r="H4128" s="165" t="s">
        <v>172</v>
      </c>
      <c r="I4128" s="71" t="s">
        <v>109</v>
      </c>
      <c r="J4128" s="53">
        <f t="shared" si="2059"/>
        <v>80000</v>
      </c>
      <c r="K4128" s="63">
        <f t="shared" si="2064"/>
        <v>6.6666666666666666E-2</v>
      </c>
      <c r="L4128" s="871" t="s">
        <v>2977</v>
      </c>
      <c r="M4128" s="468"/>
      <c r="N4128" s="1192">
        <f t="shared" si="2065"/>
        <v>44363</v>
      </c>
      <c r="O4128" s="71" t="s">
        <v>151</v>
      </c>
      <c r="P4128" s="164" t="str">
        <f t="shared" si="2066"/>
        <v>Blanket(990*725)</v>
      </c>
      <c r="Q4128" s="71">
        <f t="shared" si="2067"/>
        <v>10</v>
      </c>
      <c r="R4128" s="102">
        <v>112000</v>
      </c>
      <c r="S4128" s="102">
        <f t="shared" si="2060"/>
        <v>1232000</v>
      </c>
      <c r="T4128" s="102">
        <f t="shared" si="2061"/>
        <v>1120000</v>
      </c>
      <c r="U4128" s="71" t="str">
        <f t="shared" si="2068"/>
        <v>O</v>
      </c>
      <c r="V4128" s="71"/>
      <c r="W4128" s="474">
        <v>80000</v>
      </c>
      <c r="X4128" s="71"/>
      <c r="Y4128" s="71"/>
    </row>
    <row r="4129" spans="1:25" s="209" customFormat="1" ht="30" hidden="1" customHeight="1" x14ac:dyDescent="0.2">
      <c r="A4129" s="1145">
        <v>44364</v>
      </c>
      <c r="B4129" s="664" t="s">
        <v>2353</v>
      </c>
      <c r="C4129" s="71" t="s">
        <v>130</v>
      </c>
      <c r="D4129" s="71">
        <v>10</v>
      </c>
      <c r="E4129" s="102">
        <v>125000</v>
      </c>
      <c r="F4129" s="102">
        <f t="shared" si="2062"/>
        <v>1375000</v>
      </c>
      <c r="G4129" s="102">
        <f t="shared" si="2063"/>
        <v>1250000</v>
      </c>
      <c r="H4129" s="165" t="s">
        <v>142</v>
      </c>
      <c r="I4129" s="71" t="s">
        <v>142</v>
      </c>
      <c r="J4129" s="53">
        <f t="shared" si="2059"/>
        <v>260000</v>
      </c>
      <c r="K4129" s="63">
        <f t="shared" si="2064"/>
        <v>0.20799999999999999</v>
      </c>
      <c r="L4129" s="871" t="s">
        <v>2977</v>
      </c>
      <c r="M4129" s="468" t="s">
        <v>2050</v>
      </c>
      <c r="N4129" s="1192">
        <f t="shared" si="2065"/>
        <v>44364</v>
      </c>
      <c r="O4129" s="71" t="s">
        <v>150</v>
      </c>
      <c r="P4129" s="164" t="str">
        <f t="shared" si="2066"/>
        <v>XL106 Blanket(1077*885)</v>
      </c>
      <c r="Q4129" s="71">
        <f t="shared" si="2067"/>
        <v>10</v>
      </c>
      <c r="R4129" s="102">
        <v>99000</v>
      </c>
      <c r="S4129" s="102">
        <f t="shared" si="2060"/>
        <v>1089000</v>
      </c>
      <c r="T4129" s="102">
        <f t="shared" si="2061"/>
        <v>990000</v>
      </c>
      <c r="U4129" s="71" t="str">
        <f t="shared" si="2068"/>
        <v>O</v>
      </c>
      <c r="V4129" s="71"/>
      <c r="W4129" s="474">
        <f>(G4129-T4129)</f>
        <v>260000</v>
      </c>
      <c r="X4129" s="71"/>
      <c r="Y4129" s="71"/>
    </row>
    <row r="4130" spans="1:25" ht="30" hidden="1" customHeight="1" x14ac:dyDescent="0.2">
      <c r="A4130" s="1145">
        <v>44364</v>
      </c>
      <c r="B4130" s="664" t="s">
        <v>2353</v>
      </c>
      <c r="C4130" s="71" t="s">
        <v>129</v>
      </c>
      <c r="D4130" s="71">
        <v>7</v>
      </c>
      <c r="E4130" s="102">
        <v>272000</v>
      </c>
      <c r="F4130" s="102">
        <f t="shared" si="2062"/>
        <v>2094400.0000000002</v>
      </c>
      <c r="G4130" s="102">
        <f t="shared" si="2063"/>
        <v>1904000</v>
      </c>
      <c r="H4130" s="165" t="s">
        <v>142</v>
      </c>
      <c r="I4130" s="71" t="s">
        <v>142</v>
      </c>
      <c r="J4130" s="53">
        <f t="shared" si="2059"/>
        <v>414400</v>
      </c>
      <c r="K4130" s="63">
        <f t="shared" si="2064"/>
        <v>0.21764705882352939</v>
      </c>
      <c r="L4130" s="871" t="s">
        <v>2977</v>
      </c>
      <c r="M4130" s="468" t="s">
        <v>2050</v>
      </c>
      <c r="N4130" s="1192">
        <f t="shared" si="2065"/>
        <v>44364</v>
      </c>
      <c r="O4130" s="71" t="s">
        <v>149</v>
      </c>
      <c r="P4130" s="164" t="str">
        <f t="shared" si="2066"/>
        <v>세정포-XL106</v>
      </c>
      <c r="Q4130" s="71">
        <f t="shared" si="2067"/>
        <v>7</v>
      </c>
      <c r="R4130" s="102">
        <v>212800</v>
      </c>
      <c r="S4130" s="102">
        <f t="shared" si="2060"/>
        <v>1638560.0000000002</v>
      </c>
      <c r="T4130" s="102">
        <f t="shared" si="2061"/>
        <v>1489600</v>
      </c>
      <c r="U4130" s="71" t="str">
        <f t="shared" si="2068"/>
        <v>O</v>
      </c>
      <c r="V4130" s="71"/>
      <c r="W4130" s="474">
        <f>(G4130-T4130)</f>
        <v>414400</v>
      </c>
      <c r="X4130" s="71"/>
      <c r="Y4130" s="71"/>
    </row>
    <row r="4131" spans="1:25" s="209" customFormat="1" ht="30" hidden="1" customHeight="1" x14ac:dyDescent="0.2">
      <c r="A4131" s="1145">
        <v>44364</v>
      </c>
      <c r="B4131" s="664" t="s">
        <v>2353</v>
      </c>
      <c r="C4131" s="71" t="s">
        <v>138</v>
      </c>
      <c r="D4131" s="71">
        <v>10</v>
      </c>
      <c r="E4131" s="102">
        <v>54400</v>
      </c>
      <c r="F4131" s="102">
        <f t="shared" si="2062"/>
        <v>598400</v>
      </c>
      <c r="G4131" s="102">
        <f t="shared" si="2063"/>
        <v>544000</v>
      </c>
      <c r="H4131" s="165" t="s">
        <v>142</v>
      </c>
      <c r="I4131" s="71" t="s">
        <v>142</v>
      </c>
      <c r="J4131" s="53">
        <f t="shared" si="2059"/>
        <v>136000</v>
      </c>
      <c r="K4131" s="63">
        <f t="shared" si="2064"/>
        <v>0.25</v>
      </c>
      <c r="L4131" s="871" t="s">
        <v>2977</v>
      </c>
      <c r="M4131" s="468" t="s">
        <v>2214</v>
      </c>
      <c r="N4131" s="1192">
        <f t="shared" si="2065"/>
        <v>44364</v>
      </c>
      <c r="O4131" s="71" t="s">
        <v>2030</v>
      </c>
      <c r="P4131" s="164" t="str">
        <f t="shared" si="2066"/>
        <v>매엽용 세척제(Wash 562)</v>
      </c>
      <c r="Q4131" s="71">
        <f t="shared" si="2067"/>
        <v>10</v>
      </c>
      <c r="R4131" s="102">
        <v>40800</v>
      </c>
      <c r="S4131" s="102">
        <f t="shared" si="2060"/>
        <v>448800.00000000006</v>
      </c>
      <c r="T4131" s="102">
        <f t="shared" si="2061"/>
        <v>408000</v>
      </c>
      <c r="U4131" s="71" t="str">
        <f t="shared" si="2068"/>
        <v>O</v>
      </c>
      <c r="V4131" s="71"/>
      <c r="W4131" s="474">
        <f>(G4131-T4131)</f>
        <v>136000</v>
      </c>
      <c r="X4131" s="71"/>
      <c r="Y4131" s="71"/>
    </row>
    <row r="4132" spans="1:25" ht="30" hidden="1" customHeight="1" x14ac:dyDescent="0.2">
      <c r="A4132" s="1145">
        <v>44364</v>
      </c>
      <c r="B4132" s="664" t="s">
        <v>2353</v>
      </c>
      <c r="C4132" s="71" t="s">
        <v>584</v>
      </c>
      <c r="D4132" s="71">
        <v>3</v>
      </c>
      <c r="E4132" s="102">
        <v>270000</v>
      </c>
      <c r="F4132" s="102">
        <f t="shared" si="2062"/>
        <v>891000.00000000012</v>
      </c>
      <c r="G4132" s="102">
        <f t="shared" si="2063"/>
        <v>810000</v>
      </c>
      <c r="H4132" s="165" t="s">
        <v>142</v>
      </c>
      <c r="I4132" s="71" t="s">
        <v>142</v>
      </c>
      <c r="J4132" s="53">
        <f t="shared" si="2059"/>
        <v>162000</v>
      </c>
      <c r="K4132" s="63">
        <f t="shared" si="2064"/>
        <v>0.19999999999999998</v>
      </c>
      <c r="L4132" s="871" t="s">
        <v>2977</v>
      </c>
      <c r="M4132" s="468"/>
      <c r="N4132" s="1192">
        <f t="shared" si="2065"/>
        <v>44364</v>
      </c>
      <c r="O4132" s="71" t="s">
        <v>150</v>
      </c>
      <c r="P4132" s="164" t="str">
        <f t="shared" si="2066"/>
        <v>데리바리 석션벨트</v>
      </c>
      <c r="Q4132" s="71">
        <f t="shared" si="2067"/>
        <v>3</v>
      </c>
      <c r="R4132" s="102">
        <v>216000</v>
      </c>
      <c r="S4132" s="102">
        <f t="shared" si="2060"/>
        <v>712800</v>
      </c>
      <c r="T4132" s="102">
        <f t="shared" si="2061"/>
        <v>648000</v>
      </c>
      <c r="U4132" s="71" t="str">
        <f t="shared" si="2068"/>
        <v>O</v>
      </c>
      <c r="V4132" s="71"/>
      <c r="W4132" s="474">
        <f>(G4132-T4132)</f>
        <v>162000</v>
      </c>
      <c r="X4132" s="71"/>
      <c r="Y4132" s="71"/>
    </row>
    <row r="4133" spans="1:25" ht="30" hidden="1" customHeight="1" x14ac:dyDescent="0.25">
      <c r="A4133" s="1145">
        <v>44364</v>
      </c>
      <c r="B4133" s="664" t="s">
        <v>2353</v>
      </c>
      <c r="C4133" s="71" t="s">
        <v>2648</v>
      </c>
      <c r="D4133" s="71">
        <v>4</v>
      </c>
      <c r="E4133" s="102">
        <v>35000</v>
      </c>
      <c r="F4133" s="102">
        <f t="shared" si="2062"/>
        <v>154000</v>
      </c>
      <c r="G4133" s="102">
        <f t="shared" si="2063"/>
        <v>140000</v>
      </c>
      <c r="H4133" s="690" t="s">
        <v>142</v>
      </c>
      <c r="I4133" s="71" t="s">
        <v>142</v>
      </c>
      <c r="J4133" s="53">
        <f t="shared" si="2059"/>
        <v>44000</v>
      </c>
      <c r="K4133" s="63">
        <f t="shared" si="2064"/>
        <v>0.31428571428571428</v>
      </c>
      <c r="L4133" s="871" t="s">
        <v>2977</v>
      </c>
      <c r="M4133" s="468"/>
      <c r="N4133" s="1192">
        <f t="shared" si="2065"/>
        <v>44364</v>
      </c>
      <c r="O4133" s="71" t="s">
        <v>94</v>
      </c>
      <c r="P4133" s="164" t="str">
        <f t="shared" si="2066"/>
        <v>주머니 필터백</v>
      </c>
      <c r="Q4133" s="71">
        <f t="shared" si="2067"/>
        <v>4</v>
      </c>
      <c r="R4133" s="102">
        <v>24000</v>
      </c>
      <c r="S4133" s="102">
        <f t="shared" si="2060"/>
        <v>105600.00000000001</v>
      </c>
      <c r="T4133" s="102">
        <f t="shared" si="2061"/>
        <v>96000</v>
      </c>
      <c r="U4133" s="71"/>
      <c r="V4133" s="71"/>
      <c r="W4133" s="474"/>
      <c r="X4133" s="71"/>
      <c r="Y4133" s="71"/>
    </row>
    <row r="4134" spans="1:25" ht="30" hidden="1" customHeight="1" x14ac:dyDescent="0.25">
      <c r="A4134" s="1145">
        <v>44368</v>
      </c>
      <c r="B4134" s="664" t="s">
        <v>3021</v>
      </c>
      <c r="C4134" s="71" t="s">
        <v>123</v>
      </c>
      <c r="D4134" s="71">
        <v>10</v>
      </c>
      <c r="E4134" s="102">
        <v>45000</v>
      </c>
      <c r="F4134" s="102">
        <f t="shared" si="2062"/>
        <v>495000.00000000006</v>
      </c>
      <c r="G4134" s="102">
        <f t="shared" si="2063"/>
        <v>450000</v>
      </c>
      <c r="H4134" s="690" t="s">
        <v>1432</v>
      </c>
      <c r="I4134" s="690" t="s">
        <v>1432</v>
      </c>
      <c r="J4134" s="53">
        <f t="shared" si="2059"/>
        <v>209300</v>
      </c>
      <c r="K4134" s="63">
        <f>(J4134/(F4134/11*10))</f>
        <v>0.46511111111111103</v>
      </c>
      <c r="L4134" s="871" t="s">
        <v>2977</v>
      </c>
      <c r="M4134" s="468"/>
      <c r="N4134" s="1192">
        <f t="shared" si="2065"/>
        <v>44368</v>
      </c>
      <c r="O4134" s="71" t="s">
        <v>1432</v>
      </c>
      <c r="P4134" s="164" t="str">
        <f t="shared" si="2066"/>
        <v>필터백</v>
      </c>
      <c r="Q4134" s="71">
        <f t="shared" si="2067"/>
        <v>10</v>
      </c>
      <c r="R4134" s="102">
        <v>24070</v>
      </c>
      <c r="S4134" s="102">
        <f t="shared" si="2060"/>
        <v>264770</v>
      </c>
      <c r="T4134" s="102">
        <f t="shared" si="2061"/>
        <v>240700</v>
      </c>
      <c r="U4134" s="71"/>
      <c r="V4134" s="71"/>
      <c r="W4134" s="474"/>
      <c r="X4134" s="71"/>
      <c r="Y4134" s="71"/>
    </row>
    <row r="4135" spans="1:25" s="209" customFormat="1" ht="30" hidden="1" customHeight="1" x14ac:dyDescent="0.25">
      <c r="A4135" s="1145">
        <v>44369</v>
      </c>
      <c r="B4135" s="664" t="s">
        <v>2155</v>
      </c>
      <c r="C4135" s="71" t="s">
        <v>138</v>
      </c>
      <c r="D4135" s="71">
        <v>10</v>
      </c>
      <c r="E4135" s="102">
        <v>47600</v>
      </c>
      <c r="F4135" s="102">
        <f t="shared" si="2062"/>
        <v>523600.00000000006</v>
      </c>
      <c r="G4135" s="102">
        <f t="shared" si="2063"/>
        <v>476000</v>
      </c>
      <c r="H4135" s="1129" t="s">
        <v>172</v>
      </c>
      <c r="I4135" s="71" t="s">
        <v>108</v>
      </c>
      <c r="J4135" s="53">
        <f t="shared" si="2059"/>
        <v>68000</v>
      </c>
      <c r="K4135" s="63">
        <f t="shared" si="2064"/>
        <v>0.14285714285714285</v>
      </c>
      <c r="L4135" s="871" t="s">
        <v>2977</v>
      </c>
      <c r="M4135" s="468" t="s">
        <v>2214</v>
      </c>
      <c r="N4135" s="1192">
        <f t="shared" si="2065"/>
        <v>44369</v>
      </c>
      <c r="O4135" s="71" t="s">
        <v>150</v>
      </c>
      <c r="P4135" s="164" t="str">
        <f t="shared" si="2066"/>
        <v>매엽용 세척제(Wash 562)</v>
      </c>
      <c r="Q4135" s="71">
        <f t="shared" si="2067"/>
        <v>10</v>
      </c>
      <c r="R4135" s="102">
        <v>40800</v>
      </c>
      <c r="S4135" s="102">
        <f t="shared" si="2060"/>
        <v>448800.00000000006</v>
      </c>
      <c r="T4135" s="102">
        <f t="shared" si="2061"/>
        <v>408000</v>
      </c>
      <c r="U4135" s="71" t="str">
        <f t="shared" ref="U4135:U4169" si="2069">IF(J4135=W4135,"O", "X")</f>
        <v>X</v>
      </c>
      <c r="V4135" s="71"/>
      <c r="W4135" s="474">
        <v>85000</v>
      </c>
      <c r="X4135" s="71"/>
      <c r="Y4135" s="71"/>
    </row>
    <row r="4136" spans="1:25" ht="30" hidden="1" customHeight="1" x14ac:dyDescent="0.25">
      <c r="A4136" s="1145">
        <v>44369</v>
      </c>
      <c r="B4136" s="664" t="s">
        <v>2155</v>
      </c>
      <c r="C4136" s="760" t="s">
        <v>218</v>
      </c>
      <c r="D4136" s="71">
        <v>5</v>
      </c>
      <c r="E4136" s="102">
        <v>192500</v>
      </c>
      <c r="F4136" s="102">
        <f t="shared" si="2062"/>
        <v>1058750</v>
      </c>
      <c r="G4136" s="102">
        <f t="shared" si="2063"/>
        <v>962500</v>
      </c>
      <c r="H4136" s="690" t="s">
        <v>173</v>
      </c>
      <c r="I4136" s="71" t="s">
        <v>120</v>
      </c>
      <c r="J4136" s="53">
        <f t="shared" si="2059"/>
        <v>400000</v>
      </c>
      <c r="K4136" s="63">
        <f t="shared" si="2064"/>
        <v>0.41558441558441561</v>
      </c>
      <c r="L4136" s="871" t="s">
        <v>2977</v>
      </c>
      <c r="M4136" s="468"/>
      <c r="N4136" s="1192">
        <f t="shared" si="2065"/>
        <v>44369</v>
      </c>
      <c r="O4136" s="71" t="s">
        <v>150</v>
      </c>
      <c r="P4136" s="164" t="str">
        <f t="shared" si="2066"/>
        <v>Fount Web 551AF</v>
      </c>
      <c r="Q4136" s="71">
        <f t="shared" si="2067"/>
        <v>5</v>
      </c>
      <c r="R4136" s="102">
        <v>112500</v>
      </c>
      <c r="S4136" s="102">
        <f t="shared" si="2060"/>
        <v>618750</v>
      </c>
      <c r="T4136" s="102">
        <f t="shared" si="2061"/>
        <v>562500</v>
      </c>
      <c r="U4136" s="71" t="str">
        <f t="shared" si="2069"/>
        <v>X</v>
      </c>
      <c r="V4136" s="71"/>
      <c r="W4136" s="474">
        <v>640000</v>
      </c>
      <c r="X4136" s="71"/>
      <c r="Y4136" s="71"/>
    </row>
    <row r="4137" spans="1:25" ht="30" customHeight="1" x14ac:dyDescent="0.2">
      <c r="A4137" s="1145">
        <v>44370</v>
      </c>
      <c r="B4137" s="664" t="s">
        <v>565</v>
      </c>
      <c r="C4137" s="71" t="s">
        <v>2081</v>
      </c>
      <c r="D4137" s="71">
        <v>60</v>
      </c>
      <c r="E4137" s="102">
        <v>69000</v>
      </c>
      <c r="F4137" s="102">
        <f t="shared" ref="F4137:F4162" si="2070">(E4137*D4137)*1.1</f>
        <v>4554000</v>
      </c>
      <c r="G4137" s="102">
        <f t="shared" ref="G4137:G4162" si="2071">(E4137*D4137)</f>
        <v>4140000</v>
      </c>
      <c r="H4137" s="165" t="s">
        <v>173</v>
      </c>
      <c r="I4137" s="71" t="s">
        <v>108</v>
      </c>
      <c r="J4137" s="53">
        <f t="shared" si="2059"/>
        <v>1080000</v>
      </c>
      <c r="K4137" s="63">
        <f t="shared" si="2064"/>
        <v>0.2608695652173913</v>
      </c>
      <c r="L4137" s="871" t="s">
        <v>2977</v>
      </c>
      <c r="M4137" s="468"/>
      <c r="N4137" s="1192">
        <f t="shared" si="2065"/>
        <v>44370</v>
      </c>
      <c r="O4137" s="71" t="s">
        <v>599</v>
      </c>
      <c r="P4137" s="164" t="str">
        <f t="shared" si="2066"/>
        <v>GOSS 신문윤전 습식세정포</v>
      </c>
      <c r="Q4137" s="71">
        <f t="shared" si="2067"/>
        <v>60</v>
      </c>
      <c r="R4137" s="102">
        <v>51000</v>
      </c>
      <c r="S4137" s="102">
        <f t="shared" si="2060"/>
        <v>3366000.0000000005</v>
      </c>
      <c r="T4137" s="102">
        <f t="shared" si="2061"/>
        <v>3060000</v>
      </c>
      <c r="U4137" s="71" t="str">
        <f t="shared" si="2069"/>
        <v>X</v>
      </c>
      <c r="V4137" s="71"/>
      <c r="W4137" s="474"/>
      <c r="X4137" s="71"/>
      <c r="Y4137" s="71"/>
    </row>
    <row r="4138" spans="1:25" ht="30" hidden="1" customHeight="1" x14ac:dyDescent="0.2">
      <c r="A4138" s="1145">
        <v>44370</v>
      </c>
      <c r="B4138" s="664" t="s">
        <v>548</v>
      </c>
      <c r="C4138" s="71" t="s">
        <v>107</v>
      </c>
      <c r="D4138" s="71">
        <v>10</v>
      </c>
      <c r="E4138" s="102">
        <v>90000</v>
      </c>
      <c r="F4138" s="163">
        <f t="shared" si="2070"/>
        <v>990000.00000000012</v>
      </c>
      <c r="G4138" s="102">
        <f t="shared" si="2071"/>
        <v>900000</v>
      </c>
      <c r="H4138" s="165" t="s">
        <v>172</v>
      </c>
      <c r="I4138" s="71" t="s">
        <v>109</v>
      </c>
      <c r="J4138" s="53">
        <f>(G4138-(VLOOKUP(C4138,Price!B:D,3,FALSE)*D4138))</f>
        <v>95000</v>
      </c>
      <c r="K4138" s="63">
        <f t="shared" ref="K4138:K4162" si="2072">(J4138/(F4138/11*10))</f>
        <v>0.10555555555555554</v>
      </c>
      <c r="L4138" s="871" t="s">
        <v>2977</v>
      </c>
      <c r="M4138" s="468"/>
      <c r="N4138" s="1192">
        <f t="shared" ref="N4138:N4160" si="2073">A4138</f>
        <v>44370</v>
      </c>
      <c r="O4138" s="71" t="s">
        <v>147</v>
      </c>
      <c r="P4138" s="164" t="str">
        <f t="shared" ref="P4138:P4164" si="2074">(C4138)</f>
        <v>Blanket(1050*840)</v>
      </c>
      <c r="Q4138" s="71">
        <f>D4138</f>
        <v>10</v>
      </c>
      <c r="R4138" s="102">
        <v>80500</v>
      </c>
      <c r="S4138" s="102">
        <f t="shared" si="2060"/>
        <v>885500.00000000012</v>
      </c>
      <c r="T4138" s="102">
        <f t="shared" si="2061"/>
        <v>805000</v>
      </c>
      <c r="U4138" s="71" t="str">
        <f t="shared" si="2069"/>
        <v>O</v>
      </c>
      <c r="V4138" s="71"/>
      <c r="W4138" s="474">
        <f>(G4138-T4138)</f>
        <v>95000</v>
      </c>
      <c r="X4138" s="71"/>
      <c r="Y4138" s="71"/>
    </row>
    <row r="4139" spans="1:25" ht="30" hidden="1" customHeight="1" x14ac:dyDescent="0.25">
      <c r="A4139" s="1145">
        <v>44372</v>
      </c>
      <c r="B4139" s="664" t="s">
        <v>690</v>
      </c>
      <c r="C4139" s="71" t="s">
        <v>1186</v>
      </c>
      <c r="D4139" s="71">
        <v>500</v>
      </c>
      <c r="E4139" s="102">
        <v>3420</v>
      </c>
      <c r="F4139" s="102">
        <f t="shared" si="2070"/>
        <v>1881000.0000000002</v>
      </c>
      <c r="G4139" s="102">
        <f t="shared" si="2071"/>
        <v>1710000</v>
      </c>
      <c r="H4139" s="690" t="s">
        <v>173</v>
      </c>
      <c r="I4139" s="71" t="s">
        <v>2230</v>
      </c>
      <c r="J4139" s="53">
        <f t="shared" ref="J4139:J4169" si="2075">G4139-T4139</f>
        <v>-190000</v>
      </c>
      <c r="K4139" s="63">
        <f t="shared" si="2072"/>
        <v>-0.11111111111111109</v>
      </c>
      <c r="L4139" s="871" t="s">
        <v>2977</v>
      </c>
      <c r="M4139" s="468" t="s">
        <v>1393</v>
      </c>
      <c r="N4139" s="1192">
        <f t="shared" si="2073"/>
        <v>44372</v>
      </c>
      <c r="O4139" s="71" t="s">
        <v>145</v>
      </c>
      <c r="P4139" s="164" t="str">
        <f t="shared" si="2074"/>
        <v>CTP 판(1030*790mm)</v>
      </c>
      <c r="Q4139" s="71">
        <f>D4139</f>
        <v>500</v>
      </c>
      <c r="R4139" s="102">
        <v>3800</v>
      </c>
      <c r="S4139" s="102">
        <f t="shared" si="2060"/>
        <v>2090000.0000000002</v>
      </c>
      <c r="T4139" s="102">
        <f t="shared" si="2061"/>
        <v>1900000</v>
      </c>
      <c r="U4139" s="71" t="str">
        <f t="shared" si="2069"/>
        <v>X</v>
      </c>
      <c r="V4139" s="71"/>
      <c r="W4139" s="474">
        <v>-200000</v>
      </c>
      <c r="X4139" s="71"/>
      <c r="Y4139" s="71"/>
    </row>
    <row r="4140" spans="1:25" ht="30" hidden="1" customHeight="1" x14ac:dyDescent="0.25">
      <c r="A4140" s="1145">
        <v>44372</v>
      </c>
      <c r="B4140" s="664" t="s">
        <v>690</v>
      </c>
      <c r="C4140" s="71" t="s">
        <v>197</v>
      </c>
      <c r="D4140" s="71">
        <v>3</v>
      </c>
      <c r="E4140" s="102">
        <v>46000</v>
      </c>
      <c r="F4140" s="102">
        <f t="shared" si="2070"/>
        <v>151800</v>
      </c>
      <c r="G4140" s="102">
        <f t="shared" si="2071"/>
        <v>138000</v>
      </c>
      <c r="H4140" s="690" t="s">
        <v>173</v>
      </c>
      <c r="I4140" s="71" t="s">
        <v>2230</v>
      </c>
      <c r="J4140" s="53">
        <f t="shared" si="2075"/>
        <v>33000</v>
      </c>
      <c r="K4140" s="63">
        <f t="shared" si="2072"/>
        <v>0.2391304347826087</v>
      </c>
      <c r="L4140" s="871" t="s">
        <v>2977</v>
      </c>
      <c r="M4140" s="468"/>
      <c r="N4140" s="1192">
        <f t="shared" si="2073"/>
        <v>44372</v>
      </c>
      <c r="O4140" s="71" t="s">
        <v>145</v>
      </c>
      <c r="P4140" s="164" t="str">
        <f t="shared" si="2074"/>
        <v>THR200(20L)</v>
      </c>
      <c r="Q4140" s="71">
        <v>3</v>
      </c>
      <c r="R4140" s="102">
        <v>35000</v>
      </c>
      <c r="S4140" s="102">
        <f t="shared" si="2060"/>
        <v>115500.00000000001</v>
      </c>
      <c r="T4140" s="102">
        <f t="shared" si="2061"/>
        <v>105000</v>
      </c>
      <c r="U4140" s="71" t="str">
        <f t="shared" si="2069"/>
        <v>X</v>
      </c>
      <c r="V4140" s="71"/>
      <c r="W4140" s="474"/>
      <c r="X4140" s="71"/>
      <c r="Y4140" s="71"/>
    </row>
    <row r="4141" spans="1:25" ht="30" hidden="1" customHeight="1" x14ac:dyDescent="0.25">
      <c r="A4141" s="1145">
        <v>44372</v>
      </c>
      <c r="B4141" s="664" t="s">
        <v>690</v>
      </c>
      <c r="C4141" s="71" t="s">
        <v>750</v>
      </c>
      <c r="D4141" s="71">
        <v>2</v>
      </c>
      <c r="E4141" s="102">
        <v>46000</v>
      </c>
      <c r="F4141" s="102">
        <f t="shared" si="2070"/>
        <v>101200.00000000001</v>
      </c>
      <c r="G4141" s="102">
        <f t="shared" si="2071"/>
        <v>92000</v>
      </c>
      <c r="H4141" s="690" t="s">
        <v>173</v>
      </c>
      <c r="I4141" s="71" t="s">
        <v>2230</v>
      </c>
      <c r="J4141" s="53">
        <f t="shared" si="2075"/>
        <v>22000</v>
      </c>
      <c r="K4141" s="63">
        <f t="shared" si="2072"/>
        <v>0.23913043478260865</v>
      </c>
      <c r="L4141" s="871" t="s">
        <v>2977</v>
      </c>
      <c r="M4141" s="468" t="s">
        <v>1394</v>
      </c>
      <c r="N4141" s="1192">
        <f t="shared" si="2073"/>
        <v>44372</v>
      </c>
      <c r="O4141" s="71" t="s">
        <v>145</v>
      </c>
      <c r="P4141" s="164" t="str">
        <f t="shared" si="2074"/>
        <v>THD200(20L)</v>
      </c>
      <c r="Q4141" s="71">
        <f t="shared" ref="Q4141:Q4156" si="2076">D4141</f>
        <v>2</v>
      </c>
      <c r="R4141" s="102">
        <v>35000</v>
      </c>
      <c r="S4141" s="102">
        <f t="shared" si="2060"/>
        <v>77000</v>
      </c>
      <c r="T4141" s="102">
        <f t="shared" si="2061"/>
        <v>70000</v>
      </c>
      <c r="U4141" s="71" t="str">
        <f t="shared" si="2069"/>
        <v>O</v>
      </c>
      <c r="V4141" s="71"/>
      <c r="W4141" s="474">
        <f>(G4141-T4141)</f>
        <v>22000</v>
      </c>
      <c r="X4141" s="71"/>
      <c r="Y4141" s="71"/>
    </row>
    <row r="4142" spans="1:25" s="209" customFormat="1" ht="30" hidden="1" customHeight="1" x14ac:dyDescent="0.25">
      <c r="A4142" s="1145">
        <v>44373</v>
      </c>
      <c r="B4142" s="664" t="s">
        <v>567</v>
      </c>
      <c r="C4142" s="71" t="s">
        <v>236</v>
      </c>
      <c r="D4142" s="71">
        <v>5</v>
      </c>
      <c r="E4142" s="102">
        <v>65000</v>
      </c>
      <c r="F4142" s="102">
        <f t="shared" si="2070"/>
        <v>357500</v>
      </c>
      <c r="G4142" s="102">
        <f t="shared" si="2071"/>
        <v>325000</v>
      </c>
      <c r="H4142" s="690" t="s">
        <v>173</v>
      </c>
      <c r="I4142" s="71" t="s">
        <v>2231</v>
      </c>
      <c r="J4142" s="53">
        <f t="shared" si="2075"/>
        <v>75000</v>
      </c>
      <c r="K4142" s="63">
        <f t="shared" si="2072"/>
        <v>0.23076923076923078</v>
      </c>
      <c r="L4142" s="871" t="s">
        <v>2977</v>
      </c>
      <c r="M4142" s="468"/>
      <c r="N4142" s="1192">
        <f t="shared" si="2073"/>
        <v>44373</v>
      </c>
      <c r="O4142" s="71" t="s">
        <v>153</v>
      </c>
      <c r="P4142" s="164" t="str">
        <f t="shared" si="2074"/>
        <v>아스테이지(국전)</v>
      </c>
      <c r="Q4142" s="71">
        <f t="shared" si="2076"/>
        <v>5</v>
      </c>
      <c r="R4142" s="102">
        <v>50000</v>
      </c>
      <c r="S4142" s="102">
        <f t="shared" si="2060"/>
        <v>275000</v>
      </c>
      <c r="T4142" s="102">
        <f t="shared" si="2061"/>
        <v>250000</v>
      </c>
      <c r="U4142" s="71" t="str">
        <f t="shared" si="2069"/>
        <v>X</v>
      </c>
      <c r="V4142" s="71"/>
      <c r="W4142" s="474">
        <v>150000</v>
      </c>
      <c r="X4142" s="71"/>
      <c r="Y4142" s="71"/>
    </row>
    <row r="4143" spans="1:25" ht="30" hidden="1" customHeight="1" x14ac:dyDescent="0.25">
      <c r="A4143" s="1145">
        <v>44377</v>
      </c>
      <c r="B4143" s="664" t="s">
        <v>545</v>
      </c>
      <c r="C4143" s="71" t="s">
        <v>227</v>
      </c>
      <c r="D4143" s="71">
        <v>10</v>
      </c>
      <c r="E4143" s="102">
        <v>110000</v>
      </c>
      <c r="F4143" s="102">
        <f t="shared" si="2070"/>
        <v>1210000</v>
      </c>
      <c r="G4143" s="102">
        <f t="shared" si="2071"/>
        <v>1100000</v>
      </c>
      <c r="H4143" s="690" t="s">
        <v>173</v>
      </c>
      <c r="I4143" s="71" t="s">
        <v>109</v>
      </c>
      <c r="J4143" s="53">
        <f t="shared" si="2075"/>
        <v>271000</v>
      </c>
      <c r="K4143" s="63">
        <f t="shared" si="2072"/>
        <v>0.24636363636363637</v>
      </c>
      <c r="L4143" s="871" t="s">
        <v>2977</v>
      </c>
      <c r="M4143" s="468"/>
      <c r="N4143" s="1192">
        <f t="shared" si="2073"/>
        <v>44377</v>
      </c>
      <c r="O4143" s="71" t="s">
        <v>147</v>
      </c>
      <c r="P4143" s="164" t="str">
        <f t="shared" si="2074"/>
        <v>Blanket(1060*860)</v>
      </c>
      <c r="Q4143" s="71">
        <f t="shared" si="2076"/>
        <v>10</v>
      </c>
      <c r="R4143" s="102">
        <v>82900</v>
      </c>
      <c r="S4143" s="102">
        <f t="shared" si="2060"/>
        <v>911900.00000000012</v>
      </c>
      <c r="T4143" s="102">
        <f t="shared" si="2061"/>
        <v>829000</v>
      </c>
      <c r="U4143" s="71" t="str">
        <f t="shared" si="2069"/>
        <v>O</v>
      </c>
      <c r="V4143" s="71"/>
      <c r="W4143" s="474">
        <f>(G4143-T4143)</f>
        <v>271000</v>
      </c>
      <c r="X4143" s="71"/>
      <c r="Y4143" s="71"/>
    </row>
    <row r="4144" spans="1:25" ht="30" hidden="1" customHeight="1" x14ac:dyDescent="0.25">
      <c r="A4144" s="1145">
        <v>44377</v>
      </c>
      <c r="B4144" s="664" t="s">
        <v>545</v>
      </c>
      <c r="C4144" s="71" t="s">
        <v>952</v>
      </c>
      <c r="D4144" s="71">
        <v>1</v>
      </c>
      <c r="E4144" s="102">
        <v>630000</v>
      </c>
      <c r="F4144" s="102">
        <f t="shared" si="2070"/>
        <v>693000</v>
      </c>
      <c r="G4144" s="102">
        <f t="shared" si="2071"/>
        <v>630000</v>
      </c>
      <c r="H4144" s="690" t="s">
        <v>173</v>
      </c>
      <c r="I4144" s="71" t="s">
        <v>108</v>
      </c>
      <c r="J4144" s="53">
        <f t="shared" si="2075"/>
        <v>168000</v>
      </c>
      <c r="K4144" s="63">
        <f t="shared" si="2072"/>
        <v>0.26666666666666666</v>
      </c>
      <c r="L4144" s="871" t="s">
        <v>3028</v>
      </c>
      <c r="M4144" s="468"/>
      <c r="N4144" s="1192">
        <f t="shared" si="2073"/>
        <v>44377</v>
      </c>
      <c r="O4144" s="71" t="s">
        <v>599</v>
      </c>
      <c r="P4144" s="164" t="str">
        <f t="shared" si="2074"/>
        <v>점보롤 세정포</v>
      </c>
      <c r="Q4144" s="71">
        <f t="shared" si="2076"/>
        <v>1</v>
      </c>
      <c r="R4144" s="102">
        <v>462000</v>
      </c>
      <c r="S4144" s="102">
        <f t="shared" si="2060"/>
        <v>508200.00000000006</v>
      </c>
      <c r="T4144" s="102">
        <f t="shared" si="2061"/>
        <v>462000</v>
      </c>
      <c r="U4144" s="71" t="str">
        <f t="shared" si="2069"/>
        <v>O</v>
      </c>
      <c r="V4144" s="71" t="s">
        <v>1228</v>
      </c>
      <c r="W4144" s="474">
        <f>(G4144-T4144)</f>
        <v>168000</v>
      </c>
      <c r="X4144" s="71"/>
      <c r="Y4144" s="71"/>
    </row>
    <row r="4145" spans="1:25" ht="30" hidden="1" customHeight="1" x14ac:dyDescent="0.25">
      <c r="A4145" s="1145">
        <v>44377</v>
      </c>
      <c r="B4145" s="664" t="s">
        <v>575</v>
      </c>
      <c r="C4145" s="71" t="s">
        <v>1367</v>
      </c>
      <c r="D4145" s="71">
        <v>8</v>
      </c>
      <c r="E4145" s="102">
        <v>218000</v>
      </c>
      <c r="F4145" s="102">
        <f t="shared" si="2070"/>
        <v>1918400.0000000002</v>
      </c>
      <c r="G4145" s="102">
        <f t="shared" si="2071"/>
        <v>1744000</v>
      </c>
      <c r="H4145" s="690" t="s">
        <v>173</v>
      </c>
      <c r="I4145" s="71" t="s">
        <v>109</v>
      </c>
      <c r="J4145" s="53">
        <f t="shared" si="2075"/>
        <v>781920</v>
      </c>
      <c r="K4145" s="63">
        <f t="shared" si="2072"/>
        <v>0.44834862385321095</v>
      </c>
      <c r="L4145" s="871" t="s">
        <v>3028</v>
      </c>
      <c r="M4145" s="468"/>
      <c r="N4145" s="1192">
        <f t="shared" si="2073"/>
        <v>44377</v>
      </c>
      <c r="O4145" s="71" t="s">
        <v>1443</v>
      </c>
      <c r="P4145" s="164" t="str">
        <f t="shared" si="2074"/>
        <v>M600 윤전 블랑켓 995*742</v>
      </c>
      <c r="Q4145" s="71">
        <f t="shared" si="2076"/>
        <v>8</v>
      </c>
      <c r="R4145" s="102">
        <v>120260</v>
      </c>
      <c r="S4145" s="102">
        <f t="shared" si="2060"/>
        <v>1058288</v>
      </c>
      <c r="T4145" s="102">
        <f t="shared" si="2061"/>
        <v>962080</v>
      </c>
      <c r="U4145" s="71" t="str">
        <f t="shared" si="2069"/>
        <v>X</v>
      </c>
      <c r="V4145" s="71"/>
      <c r="W4145" s="474"/>
      <c r="X4145" s="71"/>
      <c r="Y4145" s="71"/>
    </row>
    <row r="4146" spans="1:25" ht="30" hidden="1" customHeight="1" x14ac:dyDescent="0.25">
      <c r="A4146" s="1145">
        <v>44377</v>
      </c>
      <c r="B4146" s="664" t="s">
        <v>1051</v>
      </c>
      <c r="C4146" s="71" t="s">
        <v>1294</v>
      </c>
      <c r="D4146" s="71">
        <v>1200</v>
      </c>
      <c r="E4146" s="102">
        <v>5750</v>
      </c>
      <c r="F4146" s="102">
        <f t="shared" si="2070"/>
        <v>7590000.0000000009</v>
      </c>
      <c r="G4146" s="102">
        <f t="shared" si="2071"/>
        <v>6900000</v>
      </c>
      <c r="H4146" s="690" t="s">
        <v>142</v>
      </c>
      <c r="I4146" s="71" t="s">
        <v>2273</v>
      </c>
      <c r="J4146" s="53">
        <f t="shared" si="2075"/>
        <v>1860000</v>
      </c>
      <c r="K4146" s="63">
        <f t="shared" si="2072"/>
        <v>0.26956521739130429</v>
      </c>
      <c r="L4146" s="871" t="s">
        <v>3028</v>
      </c>
      <c r="M4146" s="468"/>
      <c r="N4146" s="1192">
        <f t="shared" si="2073"/>
        <v>44377</v>
      </c>
      <c r="O4146" s="71" t="s">
        <v>145</v>
      </c>
      <c r="P4146" s="164" t="str">
        <f t="shared" si="2074"/>
        <v>ENGAGE 1030*790</v>
      </c>
      <c r="Q4146" s="71">
        <f t="shared" si="2076"/>
        <v>1200</v>
      </c>
      <c r="R4146" s="102">
        <v>4200</v>
      </c>
      <c r="S4146" s="102">
        <f t="shared" si="2060"/>
        <v>5544000</v>
      </c>
      <c r="T4146" s="102">
        <f t="shared" si="2061"/>
        <v>5040000</v>
      </c>
      <c r="U4146" s="71" t="str">
        <f t="shared" si="2069"/>
        <v>O</v>
      </c>
      <c r="V4146" s="71"/>
      <c r="W4146" s="474">
        <f t="shared" ref="W4146:W4170" si="2077">(G4146-T4146)</f>
        <v>1860000</v>
      </c>
      <c r="X4146" s="71"/>
      <c r="Y4146" s="71"/>
    </row>
    <row r="4147" spans="1:25" ht="30" hidden="1" customHeight="1" x14ac:dyDescent="0.25">
      <c r="A4147" s="1145">
        <v>44377</v>
      </c>
      <c r="B4147" s="664" t="s">
        <v>1051</v>
      </c>
      <c r="C4147" s="71" t="s">
        <v>1384</v>
      </c>
      <c r="D4147" s="71">
        <v>2900</v>
      </c>
      <c r="E4147" s="102">
        <v>3610</v>
      </c>
      <c r="F4147" s="102">
        <f t="shared" si="2070"/>
        <v>11515900</v>
      </c>
      <c r="G4147" s="102">
        <f t="shared" si="2071"/>
        <v>10469000</v>
      </c>
      <c r="H4147" s="690" t="s">
        <v>142</v>
      </c>
      <c r="I4147" s="71" t="s">
        <v>2273</v>
      </c>
      <c r="J4147" s="53">
        <f t="shared" si="2075"/>
        <v>2776604.7683421411</v>
      </c>
      <c r="K4147" s="63">
        <f t="shared" si="2072"/>
        <v>0.26522158452021599</v>
      </c>
      <c r="L4147" s="871" t="s">
        <v>3028</v>
      </c>
      <c r="M4147" s="468"/>
      <c r="N4147" s="1192">
        <f t="shared" si="2073"/>
        <v>44377</v>
      </c>
      <c r="O4147" s="71" t="s">
        <v>145</v>
      </c>
      <c r="P4147" s="164" t="str">
        <f t="shared" si="2074"/>
        <v>ENGAGE 900X571 - 27RO</v>
      </c>
      <c r="Q4147" s="71">
        <f t="shared" si="2076"/>
        <v>2900</v>
      </c>
      <c r="R4147" s="102">
        <f>R4146/1030/790*900*571</f>
        <v>2652.5500798820203</v>
      </c>
      <c r="S4147" s="102">
        <f t="shared" si="2060"/>
        <v>8461634.7548236456</v>
      </c>
      <c r="T4147" s="102">
        <f t="shared" si="2061"/>
        <v>7692395.2316578589</v>
      </c>
      <c r="U4147" s="71" t="str">
        <f t="shared" si="2069"/>
        <v>O</v>
      </c>
      <c r="V4147" s="71"/>
      <c r="W4147" s="474">
        <f t="shared" si="2077"/>
        <v>2776604.7683421411</v>
      </c>
      <c r="X4147" s="71"/>
      <c r="Y4147" s="71"/>
    </row>
    <row r="4148" spans="1:25" ht="30" hidden="1" customHeight="1" x14ac:dyDescent="0.25">
      <c r="A4148" s="1145">
        <v>44377</v>
      </c>
      <c r="B4148" s="664" t="s">
        <v>1051</v>
      </c>
      <c r="C4148" s="71" t="s">
        <v>951</v>
      </c>
      <c r="D4148" s="71">
        <v>3000</v>
      </c>
      <c r="E4148" s="102">
        <v>3450</v>
      </c>
      <c r="F4148" s="102">
        <f t="shared" si="2070"/>
        <v>11385000</v>
      </c>
      <c r="G4148" s="102">
        <f t="shared" si="2071"/>
        <v>10350000</v>
      </c>
      <c r="H4148" s="690" t="s">
        <v>142</v>
      </c>
      <c r="I4148" s="71" t="s">
        <v>2273</v>
      </c>
      <c r="J4148" s="53">
        <f t="shared" si="2075"/>
        <v>2802449.797222564</v>
      </c>
      <c r="K4148" s="63">
        <f t="shared" si="2072"/>
        <v>0.2707680963500062</v>
      </c>
      <c r="L4148" s="871" t="s">
        <v>3028</v>
      </c>
      <c r="M4148" s="468"/>
      <c r="N4148" s="1192">
        <f t="shared" si="2073"/>
        <v>44377</v>
      </c>
      <c r="O4148" s="71" t="s">
        <v>145</v>
      </c>
      <c r="P4148" s="164" t="str">
        <f t="shared" si="2074"/>
        <v>ENGAGE 30WEB(883*552)</v>
      </c>
      <c r="Q4148" s="71">
        <f t="shared" si="2076"/>
        <v>3000</v>
      </c>
      <c r="R4148" s="102">
        <f>R4146/1030/790*883*552</f>
        <v>2515.8500675924788</v>
      </c>
      <c r="S4148" s="102">
        <f t="shared" si="2060"/>
        <v>8302305.2230551802</v>
      </c>
      <c r="T4148" s="102">
        <f t="shared" si="2061"/>
        <v>7547550.202777436</v>
      </c>
      <c r="U4148" s="71" t="str">
        <f t="shared" si="2069"/>
        <v>O</v>
      </c>
      <c r="V4148" s="71"/>
      <c r="W4148" s="474">
        <f t="shared" si="2077"/>
        <v>2802449.797222564</v>
      </c>
      <c r="X4148" s="71"/>
      <c r="Y4148" s="71"/>
    </row>
    <row r="4149" spans="1:25" ht="30" hidden="1" customHeight="1" x14ac:dyDescent="0.25">
      <c r="A4149" s="1145">
        <v>44377</v>
      </c>
      <c r="B4149" s="664" t="s">
        <v>1051</v>
      </c>
      <c r="C4149" s="71" t="s">
        <v>2219</v>
      </c>
      <c r="D4149" s="71">
        <v>1400</v>
      </c>
      <c r="E4149" s="102">
        <v>5820</v>
      </c>
      <c r="F4149" s="102">
        <f t="shared" si="2070"/>
        <v>8962800</v>
      </c>
      <c r="G4149" s="102">
        <f t="shared" si="2071"/>
        <v>8148000</v>
      </c>
      <c r="H4149" s="690" t="s">
        <v>142</v>
      </c>
      <c r="I4149" s="71" t="s">
        <v>2273</v>
      </c>
      <c r="J4149" s="53">
        <f t="shared" si="2075"/>
        <v>2193569.6202531653</v>
      </c>
      <c r="K4149" s="63">
        <f t="shared" si="2072"/>
        <v>0.26921571186219506</v>
      </c>
      <c r="L4149" s="871" t="s">
        <v>3028</v>
      </c>
      <c r="M4149" s="468"/>
      <c r="N4149" s="1192">
        <f t="shared" si="2073"/>
        <v>44377</v>
      </c>
      <c r="O4149" s="71" t="s">
        <v>145</v>
      </c>
      <c r="P4149" s="164" t="str">
        <f t="shared" si="2074"/>
        <v>ENGAGE 1030*800</v>
      </c>
      <c r="Q4149" s="71">
        <f t="shared" si="2076"/>
        <v>1400</v>
      </c>
      <c r="R4149" s="102">
        <f>R4146/1030/790*1030*800</f>
        <v>4253.164556962025</v>
      </c>
      <c r="S4149" s="102">
        <f t="shared" si="2060"/>
        <v>6549873.4177215183</v>
      </c>
      <c r="T4149" s="102">
        <f t="shared" si="2061"/>
        <v>5954430.3797468347</v>
      </c>
      <c r="U4149" s="71" t="str">
        <f t="shared" si="2069"/>
        <v>O</v>
      </c>
      <c r="V4149" s="71"/>
      <c r="W4149" s="474">
        <f t="shared" si="2077"/>
        <v>2193569.6202531653</v>
      </c>
      <c r="X4149" s="71"/>
      <c r="Y4149" s="71"/>
    </row>
    <row r="4150" spans="1:25" ht="30" hidden="1" customHeight="1" x14ac:dyDescent="0.25">
      <c r="A4150" s="1145">
        <v>44377</v>
      </c>
      <c r="B4150" s="664" t="s">
        <v>1051</v>
      </c>
      <c r="C4150" s="71" t="s">
        <v>1383</v>
      </c>
      <c r="D4150" s="71">
        <v>2100</v>
      </c>
      <c r="E4150" s="102">
        <v>6030</v>
      </c>
      <c r="F4150" s="102">
        <f t="shared" si="2070"/>
        <v>13929300.000000002</v>
      </c>
      <c r="G4150" s="102">
        <f t="shared" si="2071"/>
        <v>12663000</v>
      </c>
      <c r="H4150" s="690" t="s">
        <v>142</v>
      </c>
      <c r="I4150" s="71" t="s">
        <v>2273</v>
      </c>
      <c r="J4150" s="53">
        <f t="shared" si="2075"/>
        <v>3388775.96165663</v>
      </c>
      <c r="K4150" s="63">
        <f t="shared" si="2072"/>
        <v>0.2676124110918921</v>
      </c>
      <c r="L4150" s="871" t="s">
        <v>3028</v>
      </c>
      <c r="M4150" s="468"/>
      <c r="N4150" s="1192">
        <f t="shared" si="2073"/>
        <v>44377</v>
      </c>
      <c r="O4150" s="71" t="s">
        <v>145</v>
      </c>
      <c r="P4150" s="164" t="str">
        <f t="shared" si="2074"/>
        <v>ENGAGE 1055*811</v>
      </c>
      <c r="Q4150" s="71">
        <f t="shared" si="2076"/>
        <v>2100</v>
      </c>
      <c r="R4150" s="102">
        <f>R4146/1030/790*1055*811</f>
        <v>4416.29716111589</v>
      </c>
      <c r="S4150" s="102">
        <f t="shared" si="2060"/>
        <v>10201646.442177707</v>
      </c>
      <c r="T4150" s="102">
        <f t="shared" si="2061"/>
        <v>9274224.03834337</v>
      </c>
      <c r="U4150" s="71" t="str">
        <f t="shared" si="2069"/>
        <v>O</v>
      </c>
      <c r="V4150" s="71"/>
      <c r="W4150" s="474">
        <f t="shared" si="2077"/>
        <v>3388775.96165663</v>
      </c>
      <c r="X4150" s="71"/>
      <c r="Y4150" s="71"/>
    </row>
    <row r="4151" spans="1:25" ht="30" hidden="1" customHeight="1" x14ac:dyDescent="0.25">
      <c r="A4151" s="1145">
        <v>44377</v>
      </c>
      <c r="B4151" s="664" t="s">
        <v>1051</v>
      </c>
      <c r="C4151" s="71" t="s">
        <v>1650</v>
      </c>
      <c r="D4151" s="71">
        <v>0</v>
      </c>
      <c r="E4151" s="102">
        <v>4270</v>
      </c>
      <c r="F4151" s="102">
        <f t="shared" si="2070"/>
        <v>0</v>
      </c>
      <c r="G4151" s="102">
        <f t="shared" si="2071"/>
        <v>0</v>
      </c>
      <c r="H4151" s="690" t="s">
        <v>142</v>
      </c>
      <c r="I4151" s="71" t="s">
        <v>2273</v>
      </c>
      <c r="J4151" s="53">
        <f t="shared" si="2075"/>
        <v>0</v>
      </c>
      <c r="K4151" s="63" t="e">
        <f t="shared" si="2072"/>
        <v>#DIV/0!</v>
      </c>
      <c r="L4151" s="871" t="s">
        <v>3028</v>
      </c>
      <c r="M4151" s="468"/>
      <c r="N4151" s="1192">
        <f t="shared" si="2073"/>
        <v>44377</v>
      </c>
      <c r="O4151" s="71" t="s">
        <v>145</v>
      </c>
      <c r="P4151" s="164" t="str">
        <f t="shared" si="2074"/>
        <v>ENGAGE 968*631</v>
      </c>
      <c r="Q4151" s="71">
        <f t="shared" si="2076"/>
        <v>0</v>
      </c>
      <c r="R4151" s="102">
        <f>R4146/1030/790*968*631</f>
        <v>3152.7511367825978</v>
      </c>
      <c r="S4151" s="102">
        <f t="shared" si="2060"/>
        <v>0</v>
      </c>
      <c r="T4151" s="102">
        <f t="shared" si="2061"/>
        <v>0</v>
      </c>
      <c r="U4151" s="71" t="str">
        <f t="shared" si="2069"/>
        <v>O</v>
      </c>
      <c r="V4151" s="71"/>
      <c r="W4151" s="474">
        <f t="shared" si="2077"/>
        <v>0</v>
      </c>
      <c r="X4151" s="71"/>
      <c r="Y4151" s="71"/>
    </row>
    <row r="4152" spans="1:25" ht="30" hidden="1" customHeight="1" x14ac:dyDescent="0.25">
      <c r="A4152" s="1145">
        <v>44377</v>
      </c>
      <c r="B4152" s="664" t="s">
        <v>1051</v>
      </c>
      <c r="C4152" s="71" t="s">
        <v>2619</v>
      </c>
      <c r="D4152" s="71"/>
      <c r="E4152" s="102"/>
      <c r="F4152" s="102">
        <f t="shared" si="2070"/>
        <v>0</v>
      </c>
      <c r="G4152" s="102">
        <f t="shared" si="2071"/>
        <v>0</v>
      </c>
      <c r="H4152" s="690" t="s">
        <v>142</v>
      </c>
      <c r="I4152" s="71" t="s">
        <v>2273</v>
      </c>
      <c r="J4152" s="53">
        <f t="shared" si="2075"/>
        <v>0</v>
      </c>
      <c r="K4152" s="63" t="e">
        <f t="shared" si="2072"/>
        <v>#DIV/0!</v>
      </c>
      <c r="L4152" s="871" t="s">
        <v>3028</v>
      </c>
      <c r="M4152" s="468"/>
      <c r="N4152" s="1192">
        <f t="shared" si="2073"/>
        <v>44377</v>
      </c>
      <c r="O4152" s="71" t="s">
        <v>145</v>
      </c>
      <c r="P4152" s="164" t="str">
        <f t="shared" si="2074"/>
        <v>ENGAGE 1092*800</v>
      </c>
      <c r="Q4152" s="71">
        <f t="shared" si="2076"/>
        <v>0</v>
      </c>
      <c r="R4152" s="102">
        <v>5510</v>
      </c>
      <c r="S4152" s="102">
        <f t="shared" si="2060"/>
        <v>0</v>
      </c>
      <c r="T4152" s="102">
        <f t="shared" si="2061"/>
        <v>0</v>
      </c>
      <c r="U4152" s="71" t="str">
        <f t="shared" si="2069"/>
        <v>O</v>
      </c>
      <c r="V4152" s="71"/>
      <c r="W4152" s="474">
        <f t="shared" si="2077"/>
        <v>0</v>
      </c>
      <c r="X4152" s="71"/>
      <c r="Y4152" s="71"/>
    </row>
    <row r="4153" spans="1:25" ht="30" hidden="1" customHeight="1" x14ac:dyDescent="0.25">
      <c r="A4153" s="1145">
        <v>44377</v>
      </c>
      <c r="B4153" s="664" t="s">
        <v>1051</v>
      </c>
      <c r="C4153" s="71" t="s">
        <v>1386</v>
      </c>
      <c r="D4153" s="71">
        <v>65</v>
      </c>
      <c r="E4153" s="102">
        <v>53000</v>
      </c>
      <c r="F4153" s="102">
        <f t="shared" si="2070"/>
        <v>3789500.0000000005</v>
      </c>
      <c r="G4153" s="102">
        <f t="shared" si="2071"/>
        <v>3445000</v>
      </c>
      <c r="H4153" s="690" t="s">
        <v>142</v>
      </c>
      <c r="I4153" s="71" t="s">
        <v>2273</v>
      </c>
      <c r="J4153" s="53">
        <f t="shared" si="2075"/>
        <v>1170000</v>
      </c>
      <c r="K4153" s="63">
        <f t="shared" si="2072"/>
        <v>0.33962264150943394</v>
      </c>
      <c r="L4153" s="871" t="s">
        <v>3028</v>
      </c>
      <c r="M4153" s="468"/>
      <c r="N4153" s="1192">
        <f t="shared" si="2073"/>
        <v>44377</v>
      </c>
      <c r="O4153" s="71" t="s">
        <v>145</v>
      </c>
      <c r="P4153" s="164" t="str">
        <f t="shared" si="2074"/>
        <v>THR200(20L)보충액</v>
      </c>
      <c r="Q4153" s="71">
        <f t="shared" si="2076"/>
        <v>65</v>
      </c>
      <c r="R4153" s="102">
        <v>35000</v>
      </c>
      <c r="S4153" s="102">
        <f t="shared" si="2060"/>
        <v>2502500</v>
      </c>
      <c r="T4153" s="102">
        <f t="shared" si="2061"/>
        <v>2275000</v>
      </c>
      <c r="U4153" s="71" t="str">
        <f t="shared" si="2069"/>
        <v>O</v>
      </c>
      <c r="V4153" s="71"/>
      <c r="W4153" s="474">
        <f t="shared" si="2077"/>
        <v>1170000</v>
      </c>
      <c r="X4153" s="71"/>
      <c r="Y4153" s="71"/>
    </row>
    <row r="4154" spans="1:25" ht="30" hidden="1" customHeight="1" x14ac:dyDescent="0.25">
      <c r="A4154" s="1145">
        <v>44377</v>
      </c>
      <c r="B4154" s="664" t="s">
        <v>1051</v>
      </c>
      <c r="C4154" s="71" t="s">
        <v>1387</v>
      </c>
      <c r="D4154" s="71">
        <v>10</v>
      </c>
      <c r="E4154" s="102">
        <v>53000</v>
      </c>
      <c r="F4154" s="102">
        <f t="shared" si="2070"/>
        <v>583000</v>
      </c>
      <c r="G4154" s="102">
        <f t="shared" si="2071"/>
        <v>530000</v>
      </c>
      <c r="H4154" s="690" t="s">
        <v>142</v>
      </c>
      <c r="I4154" s="71" t="s">
        <v>2273</v>
      </c>
      <c r="J4154" s="53">
        <f t="shared" si="2075"/>
        <v>180000</v>
      </c>
      <c r="K4154" s="63">
        <f t="shared" si="2072"/>
        <v>0.33962264150943394</v>
      </c>
      <c r="L4154" s="871" t="s">
        <v>3028</v>
      </c>
      <c r="M4154" s="468"/>
      <c r="N4154" s="1192">
        <f t="shared" si="2073"/>
        <v>44377</v>
      </c>
      <c r="O4154" s="71" t="s">
        <v>145</v>
      </c>
      <c r="P4154" s="164" t="str">
        <f t="shared" si="2074"/>
        <v>THD200(20L)현상액</v>
      </c>
      <c r="Q4154" s="71">
        <f t="shared" si="2076"/>
        <v>10</v>
      </c>
      <c r="R4154" s="102">
        <v>35000</v>
      </c>
      <c r="S4154" s="102">
        <f t="shared" si="2060"/>
        <v>385000.00000000006</v>
      </c>
      <c r="T4154" s="102">
        <f t="shared" si="2061"/>
        <v>350000</v>
      </c>
      <c r="U4154" s="71" t="str">
        <f t="shared" si="2069"/>
        <v>O</v>
      </c>
      <c r="V4154" s="71"/>
      <c r="W4154" s="474">
        <f t="shared" si="2077"/>
        <v>180000</v>
      </c>
      <c r="X4154" s="71"/>
      <c r="Y4154" s="71"/>
    </row>
    <row r="4155" spans="1:25" ht="30" hidden="1" customHeight="1" x14ac:dyDescent="0.25">
      <c r="A4155" s="1145">
        <v>44377</v>
      </c>
      <c r="B4155" s="664" t="s">
        <v>1061</v>
      </c>
      <c r="C4155" s="71" t="s">
        <v>616</v>
      </c>
      <c r="D4155" s="71">
        <v>0</v>
      </c>
      <c r="E4155" s="102">
        <v>5600</v>
      </c>
      <c r="F4155" s="102">
        <f t="shared" si="2070"/>
        <v>0</v>
      </c>
      <c r="G4155" s="102">
        <f t="shared" si="2071"/>
        <v>0</v>
      </c>
      <c r="H4155" s="690" t="s">
        <v>142</v>
      </c>
      <c r="I4155" s="71" t="s">
        <v>144</v>
      </c>
      <c r="J4155" s="53">
        <f t="shared" si="2075"/>
        <v>0</v>
      </c>
      <c r="K4155" s="63" t="e">
        <f t="shared" si="2072"/>
        <v>#DIV/0!</v>
      </c>
      <c r="L4155" s="871" t="s">
        <v>3028</v>
      </c>
      <c r="M4155" s="468"/>
      <c r="N4155" s="1192">
        <f t="shared" si="2073"/>
        <v>44377</v>
      </c>
      <c r="O4155" s="71" t="s">
        <v>147</v>
      </c>
      <c r="P4155" s="164" t="str">
        <f t="shared" si="2074"/>
        <v>프리미어(먹)</v>
      </c>
      <c r="Q4155" s="71">
        <f t="shared" si="2076"/>
        <v>0</v>
      </c>
      <c r="R4155" s="102">
        <v>5090</v>
      </c>
      <c r="S4155" s="102">
        <f t="shared" si="2060"/>
        <v>0</v>
      </c>
      <c r="T4155" s="102">
        <f t="shared" si="2061"/>
        <v>0</v>
      </c>
      <c r="U4155" s="71" t="str">
        <f t="shared" si="2069"/>
        <v>O</v>
      </c>
      <c r="V4155" s="71"/>
      <c r="W4155" s="474">
        <f t="shared" si="2077"/>
        <v>0</v>
      </c>
      <c r="X4155" s="71"/>
      <c r="Y4155" s="71"/>
    </row>
    <row r="4156" spans="1:25" ht="30" hidden="1" customHeight="1" x14ac:dyDescent="0.25">
      <c r="A4156" s="1145">
        <v>44377</v>
      </c>
      <c r="B4156" s="664" t="s">
        <v>1052</v>
      </c>
      <c r="C4156" s="71" t="s">
        <v>585</v>
      </c>
      <c r="D4156" s="71">
        <v>400</v>
      </c>
      <c r="E4156" s="102">
        <v>6000</v>
      </c>
      <c r="F4156" s="102">
        <f t="shared" si="2070"/>
        <v>2640000</v>
      </c>
      <c r="G4156" s="102">
        <f t="shared" si="2071"/>
        <v>2400000</v>
      </c>
      <c r="H4156" s="690" t="s">
        <v>142</v>
      </c>
      <c r="I4156" s="71" t="s">
        <v>144</v>
      </c>
      <c r="J4156" s="53">
        <f t="shared" si="2075"/>
        <v>220000</v>
      </c>
      <c r="K4156" s="63">
        <f t="shared" si="2072"/>
        <v>9.166666666666666E-2</v>
      </c>
      <c r="L4156" s="871" t="s">
        <v>3028</v>
      </c>
      <c r="M4156" s="468"/>
      <c r="N4156" s="1192">
        <f t="shared" si="2073"/>
        <v>44377</v>
      </c>
      <c r="O4156" s="71" t="s">
        <v>147</v>
      </c>
      <c r="P4156" s="164" t="str">
        <f t="shared" si="2074"/>
        <v>프리미어(적)</v>
      </c>
      <c r="Q4156" s="71">
        <f t="shared" si="2076"/>
        <v>400</v>
      </c>
      <c r="R4156" s="102">
        <v>5450</v>
      </c>
      <c r="S4156" s="102">
        <f t="shared" si="2060"/>
        <v>2398000</v>
      </c>
      <c r="T4156" s="102">
        <f t="shared" si="2061"/>
        <v>2180000</v>
      </c>
      <c r="U4156" s="71" t="str">
        <f t="shared" si="2069"/>
        <v>O</v>
      </c>
      <c r="V4156" s="71"/>
      <c r="W4156" s="474">
        <f t="shared" si="2077"/>
        <v>220000</v>
      </c>
      <c r="X4156" s="71"/>
      <c r="Y4156" s="71"/>
    </row>
    <row r="4157" spans="1:25" ht="30" hidden="1" customHeight="1" x14ac:dyDescent="0.25">
      <c r="A4157" s="1145">
        <v>44377</v>
      </c>
      <c r="B4157" s="664" t="s">
        <v>1061</v>
      </c>
      <c r="C4157" s="71" t="s">
        <v>586</v>
      </c>
      <c r="D4157" s="71">
        <v>600</v>
      </c>
      <c r="E4157" s="102">
        <v>5750</v>
      </c>
      <c r="F4157" s="102">
        <f t="shared" si="2070"/>
        <v>3795000.0000000005</v>
      </c>
      <c r="G4157" s="102">
        <f t="shared" si="2071"/>
        <v>3450000</v>
      </c>
      <c r="H4157" s="690" t="s">
        <v>142</v>
      </c>
      <c r="I4157" s="71" t="s">
        <v>144</v>
      </c>
      <c r="J4157" s="53">
        <f t="shared" si="2075"/>
        <v>318000</v>
      </c>
      <c r="K4157" s="63">
        <f t="shared" si="2072"/>
        <v>9.2173913043478245E-2</v>
      </c>
      <c r="L4157" s="871" t="s">
        <v>3028</v>
      </c>
      <c r="M4157" s="468"/>
      <c r="N4157" s="1192">
        <f t="shared" si="2073"/>
        <v>44377</v>
      </c>
      <c r="O4157" s="71" t="s">
        <v>147</v>
      </c>
      <c r="P4157" s="164" t="str">
        <f t="shared" si="2074"/>
        <v>프리미어(황)</v>
      </c>
      <c r="Q4157" s="71">
        <f t="shared" ref="Q4157:Q4165" si="2078">D4157</f>
        <v>600</v>
      </c>
      <c r="R4157" s="102">
        <v>5220</v>
      </c>
      <c r="S4157" s="102">
        <f t="shared" si="2060"/>
        <v>3445200.0000000005</v>
      </c>
      <c r="T4157" s="102">
        <f t="shared" si="2061"/>
        <v>3132000</v>
      </c>
      <c r="U4157" s="71" t="str">
        <f t="shared" si="2069"/>
        <v>O</v>
      </c>
      <c r="V4157" s="71"/>
      <c r="W4157" s="474">
        <f t="shared" si="2077"/>
        <v>318000</v>
      </c>
      <c r="X4157" s="71"/>
      <c r="Y4157" s="71"/>
    </row>
    <row r="4158" spans="1:25" ht="30" hidden="1" customHeight="1" x14ac:dyDescent="0.25">
      <c r="A4158" s="1145">
        <v>44377</v>
      </c>
      <c r="B4158" s="664" t="s">
        <v>1061</v>
      </c>
      <c r="C4158" s="71" t="s">
        <v>587</v>
      </c>
      <c r="D4158" s="71">
        <v>600</v>
      </c>
      <c r="E4158" s="102">
        <v>7000</v>
      </c>
      <c r="F4158" s="102">
        <f t="shared" si="2070"/>
        <v>4620000</v>
      </c>
      <c r="G4158" s="102">
        <f t="shared" si="2071"/>
        <v>4200000</v>
      </c>
      <c r="H4158" s="690" t="s">
        <v>142</v>
      </c>
      <c r="I4158" s="71" t="s">
        <v>144</v>
      </c>
      <c r="J4158" s="53">
        <f t="shared" si="2075"/>
        <v>384000</v>
      </c>
      <c r="K4158" s="63">
        <f t="shared" si="2072"/>
        <v>9.1428571428571428E-2</v>
      </c>
      <c r="L4158" s="871" t="s">
        <v>3028</v>
      </c>
      <c r="M4158" s="468"/>
      <c r="N4158" s="1192">
        <f t="shared" si="2073"/>
        <v>44377</v>
      </c>
      <c r="O4158" s="71" t="s">
        <v>147</v>
      </c>
      <c r="P4158" s="164" t="str">
        <f t="shared" si="2074"/>
        <v>프리미어(청)</v>
      </c>
      <c r="Q4158" s="71">
        <f t="shared" si="2078"/>
        <v>600</v>
      </c>
      <c r="R4158" s="102">
        <v>6360</v>
      </c>
      <c r="S4158" s="102">
        <f t="shared" ref="S4158:S4169" si="2079">R4158*Q4158*1.1</f>
        <v>4197600</v>
      </c>
      <c r="T4158" s="102">
        <f t="shared" ref="T4158:T4169" si="2080">R4158*Q4158</f>
        <v>3816000</v>
      </c>
      <c r="U4158" s="71" t="str">
        <f t="shared" si="2069"/>
        <v>O</v>
      </c>
      <c r="V4158" s="71"/>
      <c r="W4158" s="474">
        <f t="shared" si="2077"/>
        <v>384000</v>
      </c>
      <c r="X4158" s="71"/>
      <c r="Y4158" s="71"/>
    </row>
    <row r="4159" spans="1:25" ht="30" hidden="1" customHeight="1" x14ac:dyDescent="0.25">
      <c r="A4159" s="1145">
        <v>44377</v>
      </c>
      <c r="B4159" s="664" t="s">
        <v>1052</v>
      </c>
      <c r="C4159" s="71" t="s">
        <v>1115</v>
      </c>
      <c r="D4159" s="71">
        <v>50</v>
      </c>
      <c r="E4159" s="102">
        <v>6200</v>
      </c>
      <c r="F4159" s="102">
        <f t="shared" si="2070"/>
        <v>341000</v>
      </c>
      <c r="G4159" s="102">
        <f t="shared" si="2071"/>
        <v>310000</v>
      </c>
      <c r="H4159" s="690" t="s">
        <v>142</v>
      </c>
      <c r="I4159" s="71" t="s">
        <v>144</v>
      </c>
      <c r="J4159" s="53">
        <f t="shared" si="2075"/>
        <v>15000</v>
      </c>
      <c r="K4159" s="63">
        <f t="shared" si="2072"/>
        <v>4.8387096774193547E-2</v>
      </c>
      <c r="L4159" s="871" t="s">
        <v>3028</v>
      </c>
      <c r="M4159" s="1197"/>
      <c r="N4159" s="1192">
        <f t="shared" si="2073"/>
        <v>44377</v>
      </c>
      <c r="O4159" s="71" t="s">
        <v>2459</v>
      </c>
      <c r="P4159" s="164" t="str">
        <f t="shared" si="2074"/>
        <v>한특 잉크(적)</v>
      </c>
      <c r="Q4159" s="71">
        <f t="shared" si="2078"/>
        <v>50</v>
      </c>
      <c r="R4159" s="102">
        <v>5900</v>
      </c>
      <c r="S4159" s="102">
        <f t="shared" si="2079"/>
        <v>324500</v>
      </c>
      <c r="T4159" s="102">
        <f t="shared" si="2080"/>
        <v>295000</v>
      </c>
      <c r="U4159" s="71" t="str">
        <f t="shared" si="2069"/>
        <v>O</v>
      </c>
      <c r="V4159" s="918"/>
      <c r="W4159" s="474">
        <f t="shared" si="2077"/>
        <v>15000</v>
      </c>
      <c r="X4159" s="71"/>
      <c r="Y4159" s="71"/>
    </row>
    <row r="4160" spans="1:25" ht="30" hidden="1" customHeight="1" x14ac:dyDescent="0.25">
      <c r="A4160" s="1145">
        <v>44377</v>
      </c>
      <c r="B4160" s="664" t="s">
        <v>1052</v>
      </c>
      <c r="C4160" s="71" t="s">
        <v>1116</v>
      </c>
      <c r="D4160" s="71">
        <v>100</v>
      </c>
      <c r="E4160" s="102">
        <v>6000</v>
      </c>
      <c r="F4160" s="102">
        <f t="shared" si="2070"/>
        <v>660000</v>
      </c>
      <c r="G4160" s="102">
        <f t="shared" si="2071"/>
        <v>600000</v>
      </c>
      <c r="H4160" s="690" t="s">
        <v>142</v>
      </c>
      <c r="I4160" s="71" t="s">
        <v>144</v>
      </c>
      <c r="J4160" s="53">
        <f t="shared" si="2075"/>
        <v>50000</v>
      </c>
      <c r="K4160" s="63">
        <f t="shared" si="2072"/>
        <v>8.3333333333333329E-2</v>
      </c>
      <c r="L4160" s="871" t="s">
        <v>3028</v>
      </c>
      <c r="M4160" s="1197"/>
      <c r="N4160" s="1192">
        <f t="shared" si="2073"/>
        <v>44377</v>
      </c>
      <c r="O4160" s="71" t="s">
        <v>2459</v>
      </c>
      <c r="P4160" s="164" t="str">
        <f t="shared" si="2074"/>
        <v>한특 잉크(황)</v>
      </c>
      <c r="Q4160" s="71">
        <f t="shared" si="2078"/>
        <v>100</v>
      </c>
      <c r="R4160" s="102">
        <v>5500</v>
      </c>
      <c r="S4160" s="102">
        <f t="shared" si="2079"/>
        <v>605000</v>
      </c>
      <c r="T4160" s="102">
        <f t="shared" si="2080"/>
        <v>550000</v>
      </c>
      <c r="U4160" s="71" t="str">
        <f t="shared" si="2069"/>
        <v>O</v>
      </c>
      <c r="V4160" s="918"/>
      <c r="W4160" s="474">
        <f t="shared" si="2077"/>
        <v>50000</v>
      </c>
      <c r="X4160" s="71"/>
      <c r="Y4160" s="71"/>
    </row>
    <row r="4161" spans="1:25" ht="30" hidden="1" customHeight="1" x14ac:dyDescent="0.25">
      <c r="A4161" s="1145">
        <v>44377</v>
      </c>
      <c r="B4161" s="664" t="s">
        <v>1052</v>
      </c>
      <c r="C4161" s="71" t="s">
        <v>1117</v>
      </c>
      <c r="D4161" s="71">
        <v>50</v>
      </c>
      <c r="E4161" s="102">
        <v>6500</v>
      </c>
      <c r="F4161" s="102">
        <f t="shared" si="2070"/>
        <v>357500</v>
      </c>
      <c r="G4161" s="102">
        <f t="shared" si="2071"/>
        <v>325000</v>
      </c>
      <c r="H4161" s="690" t="s">
        <v>142</v>
      </c>
      <c r="I4161" s="71" t="s">
        <v>144</v>
      </c>
      <c r="J4161" s="53">
        <f t="shared" si="2075"/>
        <v>35000</v>
      </c>
      <c r="K4161" s="63">
        <f t="shared" si="2072"/>
        <v>0.1076923076923077</v>
      </c>
      <c r="L4161" s="871" t="s">
        <v>3028</v>
      </c>
      <c r="M4161" s="1197"/>
      <c r="N4161" s="1192">
        <f t="shared" ref="N4161:N4169" si="2081">A4161</f>
        <v>44377</v>
      </c>
      <c r="O4161" s="71" t="s">
        <v>2459</v>
      </c>
      <c r="P4161" s="164" t="str">
        <f t="shared" si="2074"/>
        <v>한특 잉크(청)</v>
      </c>
      <c r="Q4161" s="71">
        <f t="shared" si="2078"/>
        <v>50</v>
      </c>
      <c r="R4161" s="102">
        <v>5800</v>
      </c>
      <c r="S4161" s="102">
        <f t="shared" si="2079"/>
        <v>319000</v>
      </c>
      <c r="T4161" s="102">
        <f t="shared" si="2080"/>
        <v>290000</v>
      </c>
      <c r="U4161" s="71" t="str">
        <f t="shared" si="2069"/>
        <v>O</v>
      </c>
      <c r="V4161" s="918"/>
      <c r="W4161" s="474">
        <f t="shared" si="2077"/>
        <v>35000</v>
      </c>
      <c r="X4161" s="71"/>
      <c r="Y4161" s="71"/>
    </row>
    <row r="4162" spans="1:25" ht="30" hidden="1" customHeight="1" x14ac:dyDescent="0.25">
      <c r="A4162" s="1145">
        <v>44377</v>
      </c>
      <c r="B4162" s="664" t="s">
        <v>1052</v>
      </c>
      <c r="C4162" s="71" t="s">
        <v>1118</v>
      </c>
      <c r="D4162" s="71">
        <v>100</v>
      </c>
      <c r="E4162" s="102">
        <v>5600</v>
      </c>
      <c r="F4162" s="102">
        <f t="shared" si="2070"/>
        <v>616000</v>
      </c>
      <c r="G4162" s="102">
        <f t="shared" si="2071"/>
        <v>560000</v>
      </c>
      <c r="H4162" s="690" t="s">
        <v>142</v>
      </c>
      <c r="I4162" s="71" t="s">
        <v>144</v>
      </c>
      <c r="J4162" s="53">
        <f t="shared" si="2075"/>
        <v>60000</v>
      </c>
      <c r="K4162" s="63">
        <f t="shared" si="2072"/>
        <v>0.10714285714285714</v>
      </c>
      <c r="L4162" s="871" t="s">
        <v>3028</v>
      </c>
      <c r="M4162" s="1197"/>
      <c r="N4162" s="1192">
        <f t="shared" si="2081"/>
        <v>44377</v>
      </c>
      <c r="O4162" s="71" t="s">
        <v>2459</v>
      </c>
      <c r="P4162" s="164" t="str">
        <f t="shared" si="2074"/>
        <v>한특 잉크(먹)</v>
      </c>
      <c r="Q4162" s="71">
        <f t="shared" si="2078"/>
        <v>100</v>
      </c>
      <c r="R4162" s="102">
        <v>5000</v>
      </c>
      <c r="S4162" s="102">
        <f t="shared" si="2079"/>
        <v>550000</v>
      </c>
      <c r="T4162" s="102">
        <f t="shared" si="2080"/>
        <v>500000</v>
      </c>
      <c r="U4162" s="71" t="str">
        <f t="shared" si="2069"/>
        <v>O</v>
      </c>
      <c r="V4162" s="918"/>
      <c r="W4162" s="474">
        <f t="shared" si="2077"/>
        <v>60000</v>
      </c>
      <c r="X4162" s="71"/>
      <c r="Y4162" s="71"/>
    </row>
    <row r="4163" spans="1:25" ht="30" hidden="1" customHeight="1" x14ac:dyDescent="0.25">
      <c r="A4163" s="1145">
        <v>44377</v>
      </c>
      <c r="B4163" s="664" t="s">
        <v>1052</v>
      </c>
      <c r="C4163" s="71" t="s">
        <v>2946</v>
      </c>
      <c r="D4163" s="71">
        <v>30</v>
      </c>
      <c r="E4163" s="102">
        <v>8200</v>
      </c>
      <c r="F4163" s="102">
        <f t="shared" ref="F4163:F4169" si="2082">(E4163*D4163)*1.1</f>
        <v>270600</v>
      </c>
      <c r="G4163" s="102">
        <f t="shared" ref="G4163:G4169" si="2083">(E4163*D4163)</f>
        <v>246000</v>
      </c>
      <c r="H4163" s="690" t="s">
        <v>142</v>
      </c>
      <c r="I4163" s="71" t="s">
        <v>144</v>
      </c>
      <c r="J4163" s="53">
        <f t="shared" si="2075"/>
        <v>-15000</v>
      </c>
      <c r="K4163" s="63">
        <f t="shared" ref="K4163:K4169" si="2084">(J4163/(F4163/11*10))</f>
        <v>-6.097560975609756E-2</v>
      </c>
      <c r="L4163" s="871" t="s">
        <v>3028</v>
      </c>
      <c r="M4163" s="468"/>
      <c r="N4163" s="1192">
        <f t="shared" si="2081"/>
        <v>44377</v>
      </c>
      <c r="O4163" s="71" t="s">
        <v>147</v>
      </c>
      <c r="P4163" s="164" t="str">
        <f t="shared" si="2074"/>
        <v>아라니아 분홍 190c</v>
      </c>
      <c r="Q4163" s="71">
        <f t="shared" si="2078"/>
        <v>30</v>
      </c>
      <c r="R4163" s="102">
        <v>8700</v>
      </c>
      <c r="S4163" s="102">
        <f t="shared" si="2079"/>
        <v>287100</v>
      </c>
      <c r="T4163" s="102">
        <f t="shared" si="2080"/>
        <v>261000</v>
      </c>
      <c r="U4163" s="71" t="str">
        <f t="shared" si="2069"/>
        <v>O</v>
      </c>
      <c r="V4163" s="71"/>
      <c r="W4163" s="474">
        <f t="shared" si="2077"/>
        <v>-15000</v>
      </c>
      <c r="X4163" s="71"/>
      <c r="Y4163" s="71"/>
    </row>
    <row r="4164" spans="1:25" ht="30" hidden="1" customHeight="1" x14ac:dyDescent="0.25">
      <c r="A4164" s="1145">
        <v>44377</v>
      </c>
      <c r="B4164" s="664" t="s">
        <v>1052</v>
      </c>
      <c r="C4164" s="71" t="s">
        <v>2947</v>
      </c>
      <c r="D4164" s="71">
        <v>5</v>
      </c>
      <c r="E4164" s="102">
        <v>7700</v>
      </c>
      <c r="F4164" s="102">
        <f t="shared" si="2082"/>
        <v>42350</v>
      </c>
      <c r="G4164" s="102">
        <f t="shared" si="2083"/>
        <v>38500</v>
      </c>
      <c r="H4164" s="690" t="s">
        <v>142</v>
      </c>
      <c r="I4164" s="71" t="s">
        <v>144</v>
      </c>
      <c r="J4164" s="53">
        <f t="shared" si="2075"/>
        <v>-2000</v>
      </c>
      <c r="K4164" s="63">
        <f t="shared" si="2084"/>
        <v>-5.1948051948051951E-2</v>
      </c>
      <c r="L4164" s="871" t="s">
        <v>3028</v>
      </c>
      <c r="M4164" s="468"/>
      <c r="N4164" s="1192">
        <f t="shared" si="2081"/>
        <v>44377</v>
      </c>
      <c r="O4164" s="71" t="s">
        <v>147</v>
      </c>
      <c r="P4164" s="164" t="str">
        <f t="shared" si="2074"/>
        <v>아라니아 진분홍 1905c</v>
      </c>
      <c r="Q4164" s="71">
        <f t="shared" si="2078"/>
        <v>5</v>
      </c>
      <c r="R4164" s="102">
        <v>8100</v>
      </c>
      <c r="S4164" s="102">
        <f t="shared" si="2079"/>
        <v>44550</v>
      </c>
      <c r="T4164" s="102">
        <f t="shared" si="2080"/>
        <v>40500</v>
      </c>
      <c r="U4164" s="71" t="str">
        <f t="shared" si="2069"/>
        <v>O</v>
      </c>
      <c r="V4164" s="71"/>
      <c r="W4164" s="474">
        <f t="shared" si="2077"/>
        <v>-2000</v>
      </c>
      <c r="X4164" s="71"/>
      <c r="Y4164" s="71"/>
    </row>
    <row r="4165" spans="1:25" ht="30" hidden="1" customHeight="1" x14ac:dyDescent="0.25">
      <c r="A4165" s="1145">
        <v>44377</v>
      </c>
      <c r="B4165" s="664" t="s">
        <v>1052</v>
      </c>
      <c r="C4165" s="71" t="s">
        <v>1840</v>
      </c>
      <c r="D4165" s="71"/>
      <c r="E4165" s="102">
        <v>8000</v>
      </c>
      <c r="F4165" s="102">
        <f t="shared" si="2082"/>
        <v>0</v>
      </c>
      <c r="G4165" s="102">
        <f t="shared" si="2083"/>
        <v>0</v>
      </c>
      <c r="H4165" s="690" t="s">
        <v>142</v>
      </c>
      <c r="I4165" s="71" t="s">
        <v>144</v>
      </c>
      <c r="J4165" s="53">
        <f t="shared" si="2075"/>
        <v>0</v>
      </c>
      <c r="K4165" s="63" t="e">
        <f t="shared" si="2084"/>
        <v>#DIV/0!</v>
      </c>
      <c r="L4165" s="871" t="s">
        <v>3028</v>
      </c>
      <c r="M4165" s="468"/>
      <c r="N4165" s="1192">
        <f t="shared" si="2081"/>
        <v>44377</v>
      </c>
      <c r="O4165" s="71" t="s">
        <v>147</v>
      </c>
      <c r="P4165" s="164" t="str">
        <f>(C4165)</f>
        <v>아라니아 연청 304c</v>
      </c>
      <c r="Q4165" s="71">
        <f t="shared" si="2078"/>
        <v>0</v>
      </c>
      <c r="R4165" s="102"/>
      <c r="S4165" s="102">
        <f t="shared" si="2079"/>
        <v>0</v>
      </c>
      <c r="T4165" s="102">
        <f t="shared" si="2080"/>
        <v>0</v>
      </c>
      <c r="U4165" s="71" t="str">
        <f t="shared" si="2069"/>
        <v>O</v>
      </c>
      <c r="V4165" s="71"/>
      <c r="W4165" s="474">
        <f t="shared" si="2077"/>
        <v>0</v>
      </c>
      <c r="X4165" s="71"/>
      <c r="Y4165" s="71"/>
    </row>
    <row r="4166" spans="1:25" ht="30" hidden="1" customHeight="1" x14ac:dyDescent="0.25">
      <c r="A4166" s="1145">
        <v>44377</v>
      </c>
      <c r="B4166" s="664" t="s">
        <v>1052</v>
      </c>
      <c r="C4166" s="71" t="s">
        <v>3026</v>
      </c>
      <c r="D4166" s="71">
        <v>10</v>
      </c>
      <c r="E4166" s="102">
        <v>8600</v>
      </c>
      <c r="F4166" s="102">
        <f t="shared" si="2082"/>
        <v>94600.000000000015</v>
      </c>
      <c r="G4166" s="102">
        <f t="shared" si="2083"/>
        <v>86000</v>
      </c>
      <c r="H4166" s="690" t="s">
        <v>142</v>
      </c>
      <c r="I4166" s="71" t="s">
        <v>144</v>
      </c>
      <c r="J4166" s="53">
        <f t="shared" si="2075"/>
        <v>1000</v>
      </c>
      <c r="K4166" s="63">
        <f t="shared" si="2084"/>
        <v>1.1627906976744184E-2</v>
      </c>
      <c r="L4166" s="871" t="s">
        <v>3028</v>
      </c>
      <c r="M4166" s="468"/>
      <c r="N4166" s="1192">
        <f t="shared" si="2081"/>
        <v>44377</v>
      </c>
      <c r="O4166" s="71" t="s">
        <v>147</v>
      </c>
      <c r="P4166" s="164" t="str">
        <f>(C4166)</f>
        <v>아라니아 연분홍</v>
      </c>
      <c r="Q4166" s="71">
        <f>D4166</f>
        <v>10</v>
      </c>
      <c r="R4166" s="102">
        <v>8500</v>
      </c>
      <c r="S4166" s="102">
        <f t="shared" si="2079"/>
        <v>93500.000000000015</v>
      </c>
      <c r="T4166" s="102">
        <f t="shared" si="2080"/>
        <v>85000</v>
      </c>
      <c r="U4166" s="71" t="str">
        <f t="shared" si="2069"/>
        <v>O</v>
      </c>
      <c r="V4166" s="71"/>
      <c r="W4166" s="474">
        <f t="shared" si="2077"/>
        <v>1000</v>
      </c>
      <c r="X4166" s="71"/>
      <c r="Y4166" s="71"/>
    </row>
    <row r="4167" spans="1:25" ht="30" hidden="1" customHeight="1" x14ac:dyDescent="0.25">
      <c r="A4167" s="1145">
        <v>44377</v>
      </c>
      <c r="B4167" s="664" t="s">
        <v>1052</v>
      </c>
      <c r="C4167" s="71" t="s">
        <v>3027</v>
      </c>
      <c r="D4167" s="71">
        <v>10</v>
      </c>
      <c r="E4167" s="102">
        <v>8000</v>
      </c>
      <c r="F4167" s="102">
        <f t="shared" si="2082"/>
        <v>88000</v>
      </c>
      <c r="G4167" s="102">
        <f t="shared" si="2083"/>
        <v>80000</v>
      </c>
      <c r="H4167" s="690" t="s">
        <v>142</v>
      </c>
      <c r="I4167" s="71" t="s">
        <v>144</v>
      </c>
      <c r="J4167" s="53">
        <f t="shared" si="2075"/>
        <v>-5000</v>
      </c>
      <c r="K4167" s="63">
        <f t="shared" si="2084"/>
        <v>-6.25E-2</v>
      </c>
      <c r="L4167" s="871" t="s">
        <v>3028</v>
      </c>
      <c r="M4167" s="468"/>
      <c r="N4167" s="1192">
        <f t="shared" si="2081"/>
        <v>44377</v>
      </c>
      <c r="O4167" s="71" t="s">
        <v>147</v>
      </c>
      <c r="P4167" s="164" t="str">
        <f>(C4167)</f>
        <v>아라니아 핑크</v>
      </c>
      <c r="Q4167" s="71">
        <f>D4167</f>
        <v>10</v>
      </c>
      <c r="R4167" s="102">
        <v>8500</v>
      </c>
      <c r="S4167" s="102">
        <f t="shared" si="2079"/>
        <v>93500.000000000015</v>
      </c>
      <c r="T4167" s="102">
        <f t="shared" si="2080"/>
        <v>85000</v>
      </c>
      <c r="U4167" s="71" t="str">
        <f t="shared" si="2069"/>
        <v>O</v>
      </c>
      <c r="V4167" s="71"/>
      <c r="W4167" s="474">
        <f t="shared" si="2077"/>
        <v>-5000</v>
      </c>
      <c r="X4167" s="71"/>
      <c r="Y4167" s="71"/>
    </row>
    <row r="4168" spans="1:25" ht="30" hidden="1" customHeight="1" x14ac:dyDescent="0.25">
      <c r="A4168" s="1145">
        <v>44377</v>
      </c>
      <c r="B4168" s="664" t="s">
        <v>3029</v>
      </c>
      <c r="C4168" s="71" t="s">
        <v>2577</v>
      </c>
      <c r="D4168" s="71">
        <v>1</v>
      </c>
      <c r="E4168" s="102">
        <v>2037000</v>
      </c>
      <c r="F4168" s="102">
        <f t="shared" si="2082"/>
        <v>2240700</v>
      </c>
      <c r="G4168" s="102">
        <f t="shared" si="2083"/>
        <v>2037000</v>
      </c>
      <c r="H4168" s="690" t="s">
        <v>173</v>
      </c>
      <c r="I4168" s="71" t="s">
        <v>2230</v>
      </c>
      <c r="J4168" s="53">
        <f t="shared" si="2075"/>
        <v>2037000</v>
      </c>
      <c r="K4168" s="63">
        <f>(J4168/(F4168/11*10))</f>
        <v>1</v>
      </c>
      <c r="L4168" s="871" t="s">
        <v>3028</v>
      </c>
      <c r="M4168" s="468"/>
      <c r="N4168" s="1192">
        <f t="shared" si="2081"/>
        <v>44377</v>
      </c>
      <c r="O4168" s="71"/>
      <c r="P4168" s="103" t="str">
        <f>(C4168)</f>
        <v>CTP 폐판</v>
      </c>
      <c r="Q4168" s="71">
        <f>D4168</f>
        <v>1</v>
      </c>
      <c r="R4168" s="102"/>
      <c r="S4168" s="102">
        <f t="shared" si="2079"/>
        <v>0</v>
      </c>
      <c r="T4168" s="102">
        <f t="shared" si="2080"/>
        <v>0</v>
      </c>
      <c r="U4168" s="71" t="str">
        <f t="shared" si="2069"/>
        <v>O</v>
      </c>
      <c r="V4168" s="71"/>
      <c r="W4168" s="474">
        <f t="shared" si="2077"/>
        <v>2037000</v>
      </c>
      <c r="X4168" s="71"/>
      <c r="Y4168" s="71"/>
    </row>
    <row r="4169" spans="1:25" ht="30" hidden="1" customHeight="1" x14ac:dyDescent="0.25">
      <c r="A4169" s="1145">
        <v>44377</v>
      </c>
      <c r="B4169" s="664" t="s">
        <v>442</v>
      </c>
      <c r="C4169" s="71" t="s">
        <v>3030</v>
      </c>
      <c r="D4169" s="71">
        <v>1</v>
      </c>
      <c r="E4169" s="102">
        <v>1800000</v>
      </c>
      <c r="F4169" s="102">
        <f t="shared" si="2082"/>
        <v>1980000.0000000002</v>
      </c>
      <c r="G4169" s="102">
        <f t="shared" si="2083"/>
        <v>1800000</v>
      </c>
      <c r="H4169" s="690" t="s">
        <v>173</v>
      </c>
      <c r="I4169" s="71" t="s">
        <v>942</v>
      </c>
      <c r="J4169" s="53">
        <f t="shared" si="2075"/>
        <v>100000</v>
      </c>
      <c r="K4169" s="63">
        <f t="shared" si="2084"/>
        <v>5.5555555555555546E-2</v>
      </c>
      <c r="L4169" s="871" t="s">
        <v>3028</v>
      </c>
      <c r="M4169" s="468"/>
      <c r="N4169" s="1192">
        <f t="shared" si="2081"/>
        <v>44377</v>
      </c>
      <c r="O4169" s="71" t="s">
        <v>3036</v>
      </c>
      <c r="P4169" s="103" t="str">
        <f>(C4169)</f>
        <v>X-rite Exact 농도계 수리비용</v>
      </c>
      <c r="Q4169" s="71">
        <f>D4169</f>
        <v>1</v>
      </c>
      <c r="R4169" s="102">
        <v>1700000</v>
      </c>
      <c r="S4169" s="102">
        <f t="shared" si="2079"/>
        <v>1870000.0000000002</v>
      </c>
      <c r="T4169" s="102">
        <f t="shared" si="2080"/>
        <v>1700000</v>
      </c>
      <c r="U4169" s="71" t="str">
        <f t="shared" si="2069"/>
        <v>O</v>
      </c>
      <c r="V4169" s="71"/>
      <c r="W4169" s="474">
        <f t="shared" si="2077"/>
        <v>100000</v>
      </c>
      <c r="X4169" s="71"/>
      <c r="Y4169" s="71"/>
    </row>
    <row r="4170" spans="1:25" s="978" customFormat="1" ht="45" hidden="1" customHeight="1" x14ac:dyDescent="0.25">
      <c r="A4170" s="982" t="s">
        <v>3012</v>
      </c>
      <c r="B4170" s="976" t="s">
        <v>544</v>
      </c>
      <c r="C4170" s="453"/>
      <c r="D4170" s="453"/>
      <c r="E4170" s="454"/>
      <c r="F4170" s="454"/>
      <c r="G4170" s="454"/>
      <c r="H4170" s="455"/>
      <c r="I4170" s="453"/>
      <c r="J4170" s="417"/>
      <c r="K4170" s="418"/>
      <c r="L4170" s="983" t="s">
        <v>3013</v>
      </c>
      <c r="M4170" s="643"/>
      <c r="N4170" s="724" t="str">
        <f>A4170</f>
        <v>2021,7</v>
      </c>
      <c r="O4170" s="453" t="s">
        <v>154</v>
      </c>
      <c r="P4170" s="728"/>
      <c r="Q4170" s="420"/>
      <c r="R4170" s="420"/>
      <c r="S4170" s="417"/>
      <c r="T4170" s="417"/>
      <c r="U4170" s="421"/>
      <c r="V4170" s="421"/>
      <c r="W4170" s="479">
        <f t="shared" si="2077"/>
        <v>0</v>
      </c>
      <c r="X4170" s="421"/>
      <c r="Y4170" s="421"/>
    </row>
    <row r="4171" spans="1:25" ht="30" hidden="1" customHeight="1" x14ac:dyDescent="0.25">
      <c r="A4171" s="1145">
        <v>44351</v>
      </c>
      <c r="B4171" s="664" t="s">
        <v>575</v>
      </c>
      <c r="C4171" s="71" t="s">
        <v>3015</v>
      </c>
      <c r="D4171" s="71">
        <v>1</v>
      </c>
      <c r="E4171" s="102">
        <v>2500000</v>
      </c>
      <c r="F4171" s="102">
        <f t="shared" ref="F4171:F4177" si="2085">(E4171*D4171)*1.1</f>
        <v>2750000</v>
      </c>
      <c r="G4171" s="102">
        <f t="shared" ref="G4171:G4177" si="2086">(E4171*D4171)</f>
        <v>2500000</v>
      </c>
      <c r="H4171" s="690" t="s">
        <v>1431</v>
      </c>
      <c r="I4171" s="71" t="s">
        <v>1431</v>
      </c>
      <c r="J4171" s="53">
        <f t="shared" ref="J4171:J4202" si="2087">G4171-T4171</f>
        <v>1043653</v>
      </c>
      <c r="K4171" s="63">
        <f>(J4171/(F4171/11*10))</f>
        <v>0.41746119999999998</v>
      </c>
      <c r="L4171" s="871" t="s">
        <v>3013</v>
      </c>
      <c r="M4171" s="468"/>
      <c r="N4171" s="1192">
        <f>A4171</f>
        <v>44351</v>
      </c>
      <c r="O4171" s="71" t="s">
        <v>1431</v>
      </c>
      <c r="P4171" s="164" t="str">
        <f t="shared" ref="P4171:P4234" si="2088">(C4171)</f>
        <v>축</v>
      </c>
      <c r="Q4171" s="71">
        <f t="shared" ref="Q4171:Q4177" si="2089">D4171</f>
        <v>1</v>
      </c>
      <c r="R4171" s="102">
        <v>1456347</v>
      </c>
      <c r="S4171" s="102">
        <f t="shared" ref="S4171:S4192" si="2090">R4171*Q4171*1.1</f>
        <v>1601981.7000000002</v>
      </c>
      <c r="T4171" s="102">
        <f t="shared" ref="T4171:T4192" si="2091">R4171*Q4171</f>
        <v>1456347</v>
      </c>
      <c r="U4171" s="71"/>
      <c r="V4171" s="71"/>
      <c r="W4171" s="474"/>
      <c r="X4171" s="71"/>
      <c r="Y4171" s="71"/>
    </row>
    <row r="4172" spans="1:25" ht="30" hidden="1" customHeight="1" x14ac:dyDescent="0.25">
      <c r="A4172" s="1145">
        <v>44351</v>
      </c>
      <c r="B4172" s="664" t="s">
        <v>575</v>
      </c>
      <c r="C4172" s="71" t="s">
        <v>1507</v>
      </c>
      <c r="D4172" s="71">
        <v>5</v>
      </c>
      <c r="E4172" s="102">
        <v>170000</v>
      </c>
      <c r="F4172" s="102">
        <f t="shared" si="2085"/>
        <v>935000.00000000012</v>
      </c>
      <c r="G4172" s="102">
        <f t="shared" si="2086"/>
        <v>850000</v>
      </c>
      <c r="H4172" s="690" t="s">
        <v>1431</v>
      </c>
      <c r="I4172" s="690" t="s">
        <v>1431</v>
      </c>
      <c r="J4172" s="53">
        <f t="shared" si="2087"/>
        <v>100000</v>
      </c>
      <c r="K4172" s="63">
        <f t="shared" ref="K4172:K4235" si="2092">(J4172/(F4172/11*10))</f>
        <v>0.1176470588235294</v>
      </c>
      <c r="L4172" s="871" t="s">
        <v>3013</v>
      </c>
      <c r="M4172" s="468"/>
      <c r="N4172" s="1192">
        <f>A4172</f>
        <v>44351</v>
      </c>
      <c r="O4172" s="71" t="s">
        <v>1130</v>
      </c>
      <c r="P4172" s="164" t="str">
        <f t="shared" si="2088"/>
        <v>아지노 칼</v>
      </c>
      <c r="Q4172" s="71">
        <f t="shared" si="2089"/>
        <v>5</v>
      </c>
      <c r="R4172" s="102">
        <v>150000</v>
      </c>
      <c r="S4172" s="102">
        <f t="shared" si="2090"/>
        <v>825000.00000000012</v>
      </c>
      <c r="T4172" s="102">
        <f t="shared" si="2091"/>
        <v>750000</v>
      </c>
      <c r="U4172" s="71"/>
      <c r="V4172" s="71"/>
      <c r="W4172" s="474"/>
      <c r="X4172" s="71"/>
      <c r="Y4172" s="71"/>
    </row>
    <row r="4173" spans="1:25" ht="30" hidden="1" customHeight="1" x14ac:dyDescent="0.25">
      <c r="A4173" s="1145">
        <v>44368</v>
      </c>
      <c r="B4173" s="664" t="s">
        <v>575</v>
      </c>
      <c r="C4173" s="71" t="s">
        <v>3014</v>
      </c>
      <c r="D4173" s="71">
        <v>1</v>
      </c>
      <c r="E4173" s="102">
        <v>18310000</v>
      </c>
      <c r="F4173" s="102">
        <f t="shared" si="2085"/>
        <v>20141000</v>
      </c>
      <c r="G4173" s="102">
        <f t="shared" si="2086"/>
        <v>18310000</v>
      </c>
      <c r="H4173" s="690" t="s">
        <v>173</v>
      </c>
      <c r="I4173" s="71" t="s">
        <v>143</v>
      </c>
      <c r="J4173" s="53">
        <f t="shared" si="2087"/>
        <v>3300000</v>
      </c>
      <c r="K4173" s="63">
        <f t="shared" si="2092"/>
        <v>0.18022938285090115</v>
      </c>
      <c r="L4173" s="871" t="s">
        <v>3013</v>
      </c>
      <c r="M4173" s="468"/>
      <c r="N4173" s="1192">
        <f t="shared" ref="N4173:N4236" si="2093">A4173</f>
        <v>44368</v>
      </c>
      <c r="O4173" s="71" t="s">
        <v>612</v>
      </c>
      <c r="P4173" s="164" t="str">
        <f t="shared" si="2088"/>
        <v>매엽용 롤라 60개 set</v>
      </c>
      <c r="Q4173" s="71">
        <f t="shared" si="2089"/>
        <v>1</v>
      </c>
      <c r="R4173" s="102">
        <v>15010000</v>
      </c>
      <c r="S4173" s="102">
        <f t="shared" si="2090"/>
        <v>16511000.000000002</v>
      </c>
      <c r="T4173" s="102">
        <f t="shared" si="2091"/>
        <v>15010000</v>
      </c>
      <c r="U4173" s="71"/>
      <c r="V4173" s="71"/>
      <c r="W4173" s="474"/>
      <c r="X4173" s="71"/>
      <c r="Y4173" s="71"/>
    </row>
    <row r="4174" spans="1:25" ht="30" customHeight="1" x14ac:dyDescent="0.25">
      <c r="A4174" s="1145">
        <v>44368</v>
      </c>
      <c r="B4174" s="664" t="s">
        <v>2352</v>
      </c>
      <c r="C4174" s="71" t="s">
        <v>3034</v>
      </c>
      <c r="D4174" s="71">
        <v>1</v>
      </c>
      <c r="E4174" s="102">
        <v>1170000</v>
      </c>
      <c r="F4174" s="102">
        <f t="shared" si="2085"/>
        <v>1287000</v>
      </c>
      <c r="G4174" s="102">
        <f t="shared" si="2086"/>
        <v>1170000</v>
      </c>
      <c r="H4174" s="690" t="s">
        <v>985</v>
      </c>
      <c r="I4174" s="71" t="s">
        <v>985</v>
      </c>
      <c r="J4174" s="53">
        <f t="shared" si="2087"/>
        <v>170000</v>
      </c>
      <c r="K4174" s="63">
        <f t="shared" si="2092"/>
        <v>0.14529914529914531</v>
      </c>
      <c r="L4174" s="871" t="s">
        <v>3048</v>
      </c>
      <c r="M4174" s="468"/>
      <c r="N4174" s="1192">
        <f t="shared" si="2093"/>
        <v>44368</v>
      </c>
      <c r="O4174" s="71" t="s">
        <v>678</v>
      </c>
      <c r="P4174" s="164" t="str">
        <f t="shared" si="2088"/>
        <v>M600 스플라이스 수리</v>
      </c>
      <c r="Q4174" s="71">
        <f t="shared" si="2089"/>
        <v>1</v>
      </c>
      <c r="R4174" s="102">
        <v>1000000</v>
      </c>
      <c r="S4174" s="102">
        <f t="shared" si="2090"/>
        <v>1100000</v>
      </c>
      <c r="T4174" s="102">
        <f t="shared" si="2091"/>
        <v>1000000</v>
      </c>
      <c r="U4174" s="71"/>
      <c r="V4174" s="71"/>
      <c r="W4174" s="474"/>
      <c r="X4174" s="71"/>
      <c r="Y4174" s="71"/>
    </row>
    <row r="4175" spans="1:25" s="209" customFormat="1" ht="30" hidden="1" customHeight="1" x14ac:dyDescent="0.2">
      <c r="A4175" s="1145">
        <v>44376</v>
      </c>
      <c r="B4175" s="664" t="s">
        <v>764</v>
      </c>
      <c r="C4175" s="71" t="s">
        <v>236</v>
      </c>
      <c r="D4175" s="71">
        <v>10</v>
      </c>
      <c r="E4175" s="102">
        <v>100000</v>
      </c>
      <c r="F4175" s="163">
        <f t="shared" si="2085"/>
        <v>1100000</v>
      </c>
      <c r="G4175" s="102">
        <f t="shared" si="2086"/>
        <v>1000000</v>
      </c>
      <c r="H4175" s="690" t="s">
        <v>173</v>
      </c>
      <c r="I4175" s="71" t="s">
        <v>2231</v>
      </c>
      <c r="J4175" s="53">
        <f t="shared" si="2087"/>
        <v>500000</v>
      </c>
      <c r="K4175" s="63">
        <f t="shared" si="2092"/>
        <v>0.5</v>
      </c>
      <c r="L4175" s="871" t="s">
        <v>3048</v>
      </c>
      <c r="M4175" s="468"/>
      <c r="N4175" s="1192">
        <f t="shared" si="2093"/>
        <v>44376</v>
      </c>
      <c r="O4175" s="71" t="s">
        <v>153</v>
      </c>
      <c r="P4175" s="164" t="str">
        <f t="shared" si="2088"/>
        <v>아스테이지(국전)</v>
      </c>
      <c r="Q4175" s="71">
        <f t="shared" si="2089"/>
        <v>10</v>
      </c>
      <c r="R4175" s="102">
        <v>50000</v>
      </c>
      <c r="S4175" s="102">
        <f t="shared" si="2090"/>
        <v>550000</v>
      </c>
      <c r="T4175" s="102">
        <f t="shared" si="2091"/>
        <v>500000</v>
      </c>
      <c r="U4175" s="71" t="str">
        <f>IF(J4175=W4175,"O", "X")</f>
        <v>O</v>
      </c>
      <c r="V4175" s="71"/>
      <c r="W4175" s="474">
        <v>500000</v>
      </c>
      <c r="X4175" s="71"/>
      <c r="Y4175" s="71"/>
    </row>
    <row r="4176" spans="1:25" ht="30" hidden="1" customHeight="1" x14ac:dyDescent="0.25">
      <c r="A4176" s="1145">
        <v>44376</v>
      </c>
      <c r="B4176" s="664" t="s">
        <v>748</v>
      </c>
      <c r="C4176" s="71" t="s">
        <v>114</v>
      </c>
      <c r="D4176" s="71">
        <v>50</v>
      </c>
      <c r="E4176" s="102">
        <v>18000</v>
      </c>
      <c r="F4176" s="102">
        <f t="shared" si="2085"/>
        <v>990000.00000000012</v>
      </c>
      <c r="G4176" s="102">
        <f t="shared" si="2086"/>
        <v>900000</v>
      </c>
      <c r="H4176" s="690" t="s">
        <v>1431</v>
      </c>
      <c r="I4176" s="71" t="s">
        <v>1431</v>
      </c>
      <c r="J4176" s="53">
        <f t="shared" si="2087"/>
        <v>403150</v>
      </c>
      <c r="K4176" s="63">
        <f t="shared" si="2092"/>
        <v>0.44794444444444437</v>
      </c>
      <c r="L4176" s="871" t="s">
        <v>3048</v>
      </c>
      <c r="M4176" s="468"/>
      <c r="N4176" s="1192">
        <f t="shared" si="2093"/>
        <v>44376</v>
      </c>
      <c r="O4176" s="71" t="s">
        <v>1431</v>
      </c>
      <c r="P4176" s="164" t="str">
        <f t="shared" si="2088"/>
        <v>스트리퍼</v>
      </c>
      <c r="Q4176" s="71">
        <f t="shared" si="2089"/>
        <v>50</v>
      </c>
      <c r="R4176" s="102">
        <v>9937</v>
      </c>
      <c r="S4176" s="102">
        <f t="shared" si="2090"/>
        <v>546535</v>
      </c>
      <c r="T4176" s="102">
        <f t="shared" si="2091"/>
        <v>496850</v>
      </c>
      <c r="U4176" s="71"/>
      <c r="V4176" s="71"/>
      <c r="W4176" s="474"/>
      <c r="X4176" s="71"/>
      <c r="Y4176" s="71"/>
    </row>
    <row r="4177" spans="1:25" ht="30" hidden="1" customHeight="1" x14ac:dyDescent="0.25">
      <c r="A4177" s="1145">
        <v>44377</v>
      </c>
      <c r="B4177" s="664" t="s">
        <v>442</v>
      </c>
      <c r="C4177" s="71" t="s">
        <v>206</v>
      </c>
      <c r="D4177" s="71">
        <v>2</v>
      </c>
      <c r="E4177" s="102">
        <v>327000</v>
      </c>
      <c r="F4177" s="102">
        <f t="shared" si="2085"/>
        <v>719400</v>
      </c>
      <c r="G4177" s="102">
        <f t="shared" si="2086"/>
        <v>654000</v>
      </c>
      <c r="H4177" s="690" t="s">
        <v>2029</v>
      </c>
      <c r="I4177" s="71" t="s">
        <v>195</v>
      </c>
      <c r="J4177" s="53">
        <f t="shared" si="2087"/>
        <v>115800</v>
      </c>
      <c r="K4177" s="63">
        <f t="shared" si="2092"/>
        <v>0.17706422018348625</v>
      </c>
      <c r="L4177" s="871" t="s">
        <v>3048</v>
      </c>
      <c r="M4177" s="468"/>
      <c r="N4177" s="1192">
        <f t="shared" si="2093"/>
        <v>44377</v>
      </c>
      <c r="O4177" s="71" t="s">
        <v>194</v>
      </c>
      <c r="P4177" s="164" t="str">
        <f t="shared" si="2088"/>
        <v>Agfa Film(24inch)</v>
      </c>
      <c r="Q4177" s="71">
        <f t="shared" si="2089"/>
        <v>2</v>
      </c>
      <c r="R4177" s="102">
        <v>269100</v>
      </c>
      <c r="S4177" s="102">
        <f t="shared" si="2090"/>
        <v>592020</v>
      </c>
      <c r="T4177" s="102">
        <f t="shared" si="2091"/>
        <v>538200</v>
      </c>
      <c r="U4177" s="71" t="str">
        <f t="shared" ref="U4177:U4184" si="2094">IF(J4177=W4177,"O", "X")</f>
        <v>O</v>
      </c>
      <c r="V4177" s="71"/>
      <c r="W4177" s="474">
        <f>(G4177-T4177)</f>
        <v>115800</v>
      </c>
      <c r="X4177" s="71"/>
      <c r="Y4177" s="71"/>
    </row>
    <row r="4178" spans="1:25" ht="30" hidden="1" customHeight="1" x14ac:dyDescent="0.25">
      <c r="A4178" s="1145">
        <v>44377</v>
      </c>
      <c r="B4178" s="664" t="s">
        <v>442</v>
      </c>
      <c r="C4178" s="71" t="s">
        <v>207</v>
      </c>
      <c r="D4178" s="71">
        <v>2</v>
      </c>
      <c r="E4178" s="102">
        <v>401000</v>
      </c>
      <c r="F4178" s="102">
        <f t="shared" ref="F4178:F4183" si="2095">(E4178*D4178)*1.1</f>
        <v>882200.00000000012</v>
      </c>
      <c r="G4178" s="102">
        <f t="shared" ref="G4178:G4183" si="2096">(E4178*D4178)</f>
        <v>802000</v>
      </c>
      <c r="H4178" s="690" t="s">
        <v>2029</v>
      </c>
      <c r="I4178" s="71" t="s">
        <v>195</v>
      </c>
      <c r="J4178" s="53">
        <f t="shared" si="2087"/>
        <v>488040</v>
      </c>
      <c r="K4178" s="63">
        <f t="shared" si="2092"/>
        <v>0.60852867830423929</v>
      </c>
      <c r="L4178" s="871" t="s">
        <v>3048</v>
      </c>
      <c r="M4178" s="468" t="s">
        <v>3033</v>
      </c>
      <c r="N4178" s="1192">
        <f t="shared" si="2093"/>
        <v>44377</v>
      </c>
      <c r="O4178" s="71" t="s">
        <v>194</v>
      </c>
      <c r="P4178" s="164" t="str">
        <f t="shared" si="2088"/>
        <v>Agfa Film(28inch)</v>
      </c>
      <c r="Q4178" s="71">
        <v>1</v>
      </c>
      <c r="R4178" s="102">
        <f>VLOOKUP(P4178,[5]Price!B$1:D$65536,3,FALSE)</f>
        <v>313960</v>
      </c>
      <c r="S4178" s="102">
        <f t="shared" si="2090"/>
        <v>345356</v>
      </c>
      <c r="T4178" s="102">
        <f t="shared" si="2091"/>
        <v>313960</v>
      </c>
      <c r="U4178" s="71" t="str">
        <f t="shared" si="2094"/>
        <v>O</v>
      </c>
      <c r="V4178" s="71"/>
      <c r="W4178" s="474">
        <f>(G4178-T4178)</f>
        <v>488040</v>
      </c>
      <c r="X4178" s="71"/>
      <c r="Y4178" s="71"/>
    </row>
    <row r="4179" spans="1:25" ht="30" hidden="1" customHeight="1" x14ac:dyDescent="0.25">
      <c r="A4179" s="1145">
        <v>44377</v>
      </c>
      <c r="B4179" s="664" t="s">
        <v>442</v>
      </c>
      <c r="C4179" s="71" t="s">
        <v>208</v>
      </c>
      <c r="D4179" s="71">
        <v>2</v>
      </c>
      <c r="E4179" s="102">
        <v>448000</v>
      </c>
      <c r="F4179" s="102">
        <f t="shared" si="2095"/>
        <v>985600.00000000012</v>
      </c>
      <c r="G4179" s="102">
        <f t="shared" si="2096"/>
        <v>896000</v>
      </c>
      <c r="H4179" s="690" t="s">
        <v>2029</v>
      </c>
      <c r="I4179" s="71" t="s">
        <v>195</v>
      </c>
      <c r="J4179" s="53">
        <f t="shared" si="2087"/>
        <v>155980</v>
      </c>
      <c r="K4179" s="63">
        <f t="shared" si="2092"/>
        <v>0.1740848214285714</v>
      </c>
      <c r="L4179" s="871" t="s">
        <v>3048</v>
      </c>
      <c r="M4179" s="468"/>
      <c r="N4179" s="1192">
        <f t="shared" si="2093"/>
        <v>44377</v>
      </c>
      <c r="O4179" s="71" t="s">
        <v>194</v>
      </c>
      <c r="P4179" s="164" t="str">
        <f t="shared" si="2088"/>
        <v>Agfa Film(32inch)</v>
      </c>
      <c r="Q4179" s="71">
        <v>2</v>
      </c>
      <c r="R4179" s="102">
        <f>VLOOKUP(P4179,[5]Price!B$1:D$65536,3,FALSE)</f>
        <v>370010</v>
      </c>
      <c r="S4179" s="102">
        <f t="shared" si="2090"/>
        <v>814022.00000000012</v>
      </c>
      <c r="T4179" s="102">
        <f t="shared" si="2091"/>
        <v>740020</v>
      </c>
      <c r="U4179" s="71" t="str">
        <f t="shared" si="2094"/>
        <v>O</v>
      </c>
      <c r="V4179" s="71"/>
      <c r="W4179" s="474">
        <f>(G4179-T4179)</f>
        <v>155980</v>
      </c>
      <c r="X4179" s="71"/>
      <c r="Y4179" s="71"/>
    </row>
    <row r="4180" spans="1:25" ht="30" hidden="1" customHeight="1" x14ac:dyDescent="0.25">
      <c r="A4180" s="1145">
        <v>44378</v>
      </c>
      <c r="B4180" s="664" t="s">
        <v>2155</v>
      </c>
      <c r="C4180" s="760" t="s">
        <v>218</v>
      </c>
      <c r="D4180" s="71">
        <v>5</v>
      </c>
      <c r="E4180" s="102">
        <v>192500</v>
      </c>
      <c r="F4180" s="102">
        <f t="shared" si="2095"/>
        <v>1058750</v>
      </c>
      <c r="G4180" s="102">
        <f t="shared" si="2096"/>
        <v>962500</v>
      </c>
      <c r="H4180" s="690" t="s">
        <v>173</v>
      </c>
      <c r="I4180" s="71" t="s">
        <v>120</v>
      </c>
      <c r="J4180" s="53">
        <f t="shared" si="2087"/>
        <v>400000</v>
      </c>
      <c r="K4180" s="63">
        <f t="shared" si="2092"/>
        <v>0.41558441558441561</v>
      </c>
      <c r="L4180" s="871" t="s">
        <v>3048</v>
      </c>
      <c r="M4180" s="468"/>
      <c r="N4180" s="1192">
        <f t="shared" si="2093"/>
        <v>44378</v>
      </c>
      <c r="O4180" s="71" t="s">
        <v>150</v>
      </c>
      <c r="P4180" s="164" t="str">
        <f t="shared" si="2088"/>
        <v>Fount Web 551AF</v>
      </c>
      <c r="Q4180" s="71">
        <f>D4180</f>
        <v>5</v>
      </c>
      <c r="R4180" s="102">
        <v>112500</v>
      </c>
      <c r="S4180" s="102">
        <f t="shared" si="2090"/>
        <v>618750</v>
      </c>
      <c r="T4180" s="102">
        <f t="shared" si="2091"/>
        <v>562500</v>
      </c>
      <c r="U4180" s="71" t="str">
        <f t="shared" si="2094"/>
        <v>X</v>
      </c>
      <c r="V4180" s="71"/>
      <c r="W4180" s="474">
        <v>640000</v>
      </c>
      <c r="X4180" s="71"/>
      <c r="Y4180" s="71"/>
    </row>
    <row r="4181" spans="1:25" ht="30" hidden="1" customHeight="1" x14ac:dyDescent="0.25">
      <c r="A4181" s="1145">
        <v>44378</v>
      </c>
      <c r="B4181" s="664" t="s">
        <v>2155</v>
      </c>
      <c r="C4181" s="71" t="s">
        <v>277</v>
      </c>
      <c r="D4181" s="71">
        <v>5</v>
      </c>
      <c r="E4181" s="102">
        <v>172000</v>
      </c>
      <c r="F4181" s="102">
        <f t="shared" si="2095"/>
        <v>946000.00000000012</v>
      </c>
      <c r="G4181" s="102">
        <f t="shared" si="2096"/>
        <v>860000</v>
      </c>
      <c r="H4181" s="690" t="s">
        <v>173</v>
      </c>
      <c r="I4181" s="71" t="s">
        <v>108</v>
      </c>
      <c r="J4181" s="53">
        <f t="shared" si="2087"/>
        <v>285000</v>
      </c>
      <c r="K4181" s="63">
        <f t="shared" si="2092"/>
        <v>0.33139534883720928</v>
      </c>
      <c r="L4181" s="871" t="s">
        <v>3048</v>
      </c>
      <c r="M4181" s="468"/>
      <c r="N4181" s="1192">
        <f t="shared" si="2093"/>
        <v>44378</v>
      </c>
      <c r="O4181" s="71" t="s">
        <v>150</v>
      </c>
      <c r="P4181" s="164" t="str">
        <f t="shared" si="2088"/>
        <v>윤전용 세척제(Web 504)</v>
      </c>
      <c r="Q4181" s="71">
        <f>D4181</f>
        <v>5</v>
      </c>
      <c r="R4181" s="102">
        <v>115000</v>
      </c>
      <c r="S4181" s="102">
        <f t="shared" si="2090"/>
        <v>632500</v>
      </c>
      <c r="T4181" s="102">
        <f t="shared" si="2091"/>
        <v>575000</v>
      </c>
      <c r="U4181" s="71" t="str">
        <f t="shared" si="2094"/>
        <v>O</v>
      </c>
      <c r="V4181" s="71"/>
      <c r="W4181" s="474">
        <v>285000</v>
      </c>
      <c r="X4181" s="71"/>
      <c r="Y4181" s="71"/>
    </row>
    <row r="4182" spans="1:25" s="209" customFormat="1" ht="30" hidden="1" customHeight="1" x14ac:dyDescent="0.2">
      <c r="A4182" s="1145">
        <v>44378</v>
      </c>
      <c r="B4182" s="664" t="s">
        <v>2155</v>
      </c>
      <c r="C4182" s="71" t="s">
        <v>231</v>
      </c>
      <c r="D4182" s="71">
        <v>10</v>
      </c>
      <c r="E4182" s="102">
        <v>120000</v>
      </c>
      <c r="F4182" s="102">
        <f t="shared" si="2095"/>
        <v>1320000</v>
      </c>
      <c r="G4182" s="102">
        <f t="shared" si="2096"/>
        <v>1200000</v>
      </c>
      <c r="H4182" s="165" t="s">
        <v>172</v>
      </c>
      <c r="I4182" s="71" t="s">
        <v>109</v>
      </c>
      <c r="J4182" s="53">
        <f t="shared" si="2087"/>
        <v>80000</v>
      </c>
      <c r="K4182" s="63">
        <f t="shared" si="2092"/>
        <v>6.6666666666666666E-2</v>
      </c>
      <c r="L4182" s="871" t="s">
        <v>3048</v>
      </c>
      <c r="M4182" s="468"/>
      <c r="N4182" s="1192">
        <f t="shared" si="2093"/>
        <v>44378</v>
      </c>
      <c r="O4182" s="71" t="s">
        <v>151</v>
      </c>
      <c r="P4182" s="164" t="str">
        <f t="shared" si="2088"/>
        <v>Blanket(990*725)</v>
      </c>
      <c r="Q4182" s="71">
        <f>D4182</f>
        <v>10</v>
      </c>
      <c r="R4182" s="102">
        <v>112000</v>
      </c>
      <c r="S4182" s="102">
        <f t="shared" si="2090"/>
        <v>1232000</v>
      </c>
      <c r="T4182" s="102">
        <f t="shared" si="2091"/>
        <v>1120000</v>
      </c>
      <c r="U4182" s="71" t="str">
        <f t="shared" si="2094"/>
        <v>O</v>
      </c>
      <c r="V4182" s="71"/>
      <c r="W4182" s="474">
        <v>80000</v>
      </c>
      <c r="X4182" s="71"/>
      <c r="Y4182" s="71"/>
    </row>
    <row r="4183" spans="1:25" ht="27.6" hidden="1" customHeight="1" x14ac:dyDescent="0.25">
      <c r="A4183" s="1145">
        <v>44379</v>
      </c>
      <c r="B4183" s="664" t="s">
        <v>567</v>
      </c>
      <c r="C4183" s="71" t="s">
        <v>1652</v>
      </c>
      <c r="D4183" s="71">
        <v>5</v>
      </c>
      <c r="E4183" s="102">
        <v>45000</v>
      </c>
      <c r="F4183" s="102">
        <f t="shared" si="2095"/>
        <v>247500.00000000003</v>
      </c>
      <c r="G4183" s="102">
        <f t="shared" si="2096"/>
        <v>225000</v>
      </c>
      <c r="H4183" s="690" t="s">
        <v>173</v>
      </c>
      <c r="I4183" s="71" t="s">
        <v>2231</v>
      </c>
      <c r="J4183" s="53">
        <f t="shared" si="2087"/>
        <v>25000</v>
      </c>
      <c r="K4183" s="63">
        <f t="shared" si="2092"/>
        <v>0.11111111111111109</v>
      </c>
      <c r="L4183" s="871" t="s">
        <v>3048</v>
      </c>
      <c r="M4183" s="468"/>
      <c r="N4183" s="1192">
        <f t="shared" si="2093"/>
        <v>44379</v>
      </c>
      <c r="O4183" s="71" t="s">
        <v>153</v>
      </c>
      <c r="P4183" s="164" t="str">
        <f t="shared" si="2088"/>
        <v>아스테이지(CD74용)</v>
      </c>
      <c r="Q4183" s="71">
        <f>D4183</f>
        <v>5</v>
      </c>
      <c r="R4183" s="102">
        <v>40000</v>
      </c>
      <c r="S4183" s="102">
        <f t="shared" si="2090"/>
        <v>220000.00000000003</v>
      </c>
      <c r="T4183" s="102">
        <f t="shared" si="2091"/>
        <v>200000</v>
      </c>
      <c r="U4183" s="71" t="str">
        <f t="shared" si="2094"/>
        <v>X</v>
      </c>
      <c r="V4183" s="71"/>
      <c r="W4183" s="474"/>
      <c r="X4183" s="71"/>
      <c r="Y4183" s="71"/>
    </row>
    <row r="4184" spans="1:25" ht="30" hidden="1" customHeight="1" x14ac:dyDescent="0.25">
      <c r="A4184" s="1145">
        <v>44382</v>
      </c>
      <c r="B4184" s="664" t="s">
        <v>446</v>
      </c>
      <c r="C4184" s="71" t="s">
        <v>2028</v>
      </c>
      <c r="D4184" s="71">
        <v>20</v>
      </c>
      <c r="E4184" s="102">
        <v>105000</v>
      </c>
      <c r="F4184" s="102">
        <f>(E4184*D4184)*1.1</f>
        <v>2310000</v>
      </c>
      <c r="G4184" s="102">
        <f>(E4184*D4184)</f>
        <v>2100000</v>
      </c>
      <c r="H4184" s="690" t="s">
        <v>2029</v>
      </c>
      <c r="I4184" s="71" t="s">
        <v>2231</v>
      </c>
      <c r="J4184" s="53">
        <f t="shared" si="2087"/>
        <v>520000</v>
      </c>
      <c r="K4184" s="63">
        <f t="shared" si="2092"/>
        <v>0.24761904761904763</v>
      </c>
      <c r="L4184" s="871" t="s">
        <v>3048</v>
      </c>
      <c r="M4184" s="468"/>
      <c r="N4184" s="1192">
        <f t="shared" si="2093"/>
        <v>44382</v>
      </c>
      <c r="O4184" s="71" t="s">
        <v>2030</v>
      </c>
      <c r="P4184" s="164" t="str">
        <f t="shared" si="2088"/>
        <v>실리콘 에멀전</v>
      </c>
      <c r="Q4184" s="71">
        <f>D4184</f>
        <v>20</v>
      </c>
      <c r="R4184" s="102">
        <v>79000</v>
      </c>
      <c r="S4184" s="102">
        <f t="shared" si="2090"/>
        <v>1738000.0000000002</v>
      </c>
      <c r="T4184" s="102">
        <f t="shared" si="2091"/>
        <v>1580000</v>
      </c>
      <c r="U4184" s="71" t="str">
        <f t="shared" si="2094"/>
        <v>O</v>
      </c>
      <c r="V4184" s="71">
        <f>7000*Q4184</f>
        <v>140000</v>
      </c>
      <c r="W4184" s="474">
        <f>(G4184-T4184)</f>
        <v>520000</v>
      </c>
      <c r="X4184" s="71"/>
      <c r="Y4184" s="71"/>
    </row>
    <row r="4185" spans="1:25" ht="30" hidden="1" customHeight="1" x14ac:dyDescent="0.25">
      <c r="A4185" s="1145">
        <v>44383</v>
      </c>
      <c r="B4185" s="664" t="s">
        <v>3031</v>
      </c>
      <c r="C4185" s="71" t="s">
        <v>123</v>
      </c>
      <c r="D4185" s="71">
        <v>5</v>
      </c>
      <c r="E4185" s="102">
        <v>40000</v>
      </c>
      <c r="F4185" s="102">
        <f t="shared" ref="F4185:F4200" si="2097">(E4185*D4185)*1.1</f>
        <v>220000.00000000003</v>
      </c>
      <c r="G4185" s="102">
        <f t="shared" ref="G4185:G4200" si="2098">(E4185*D4185)</f>
        <v>200000</v>
      </c>
      <c r="H4185" s="690" t="s">
        <v>1432</v>
      </c>
      <c r="I4185" s="71" t="s">
        <v>1432</v>
      </c>
      <c r="J4185" s="53">
        <f t="shared" si="2087"/>
        <v>80000</v>
      </c>
      <c r="K4185" s="63">
        <f t="shared" si="2092"/>
        <v>0.39999999999999997</v>
      </c>
      <c r="L4185" s="871" t="s">
        <v>3048</v>
      </c>
      <c r="M4185" s="468"/>
      <c r="N4185" s="1192">
        <f t="shared" si="2093"/>
        <v>44383</v>
      </c>
      <c r="O4185" s="71" t="s">
        <v>1432</v>
      </c>
      <c r="P4185" s="164" t="str">
        <f t="shared" si="2088"/>
        <v>필터백</v>
      </c>
      <c r="Q4185" s="71">
        <f t="shared" ref="Q4185:Q4200" si="2099">D4185</f>
        <v>5</v>
      </c>
      <c r="R4185" s="102">
        <v>24000</v>
      </c>
      <c r="S4185" s="102">
        <f t="shared" si="2090"/>
        <v>132000</v>
      </c>
      <c r="T4185" s="102">
        <f t="shared" si="2091"/>
        <v>120000</v>
      </c>
      <c r="U4185" s="71"/>
      <c r="V4185" s="71"/>
      <c r="W4185" s="474"/>
      <c r="X4185" s="71"/>
      <c r="Y4185" s="71"/>
    </row>
    <row r="4186" spans="1:25" ht="30" hidden="1" customHeight="1" x14ac:dyDescent="0.25">
      <c r="A4186" s="1145">
        <v>44383</v>
      </c>
      <c r="B4186" s="664" t="s">
        <v>569</v>
      </c>
      <c r="C4186" s="71" t="s">
        <v>3052</v>
      </c>
      <c r="D4186" s="71">
        <v>1</v>
      </c>
      <c r="E4186" s="102">
        <v>3700000</v>
      </c>
      <c r="F4186" s="102">
        <f t="shared" si="2097"/>
        <v>4070000.0000000005</v>
      </c>
      <c r="G4186" s="102">
        <f t="shared" si="2098"/>
        <v>3700000</v>
      </c>
      <c r="H4186" s="690" t="s">
        <v>173</v>
      </c>
      <c r="I4186" s="71" t="s">
        <v>942</v>
      </c>
      <c r="J4186" s="53">
        <f t="shared" si="2087"/>
        <v>500000</v>
      </c>
      <c r="K4186" s="63">
        <f t="shared" si="2092"/>
        <v>0.13513513513513511</v>
      </c>
      <c r="L4186" s="871" t="s">
        <v>3048</v>
      </c>
      <c r="M4186" s="468"/>
      <c r="N4186" s="1192">
        <f t="shared" si="2093"/>
        <v>44383</v>
      </c>
      <c r="O4186" s="71" t="s">
        <v>3036</v>
      </c>
      <c r="P4186" s="164" t="str">
        <f t="shared" si="2088"/>
        <v>X-rite eXact Basic 기본농도계+배터리</v>
      </c>
      <c r="Q4186" s="71">
        <f t="shared" si="2099"/>
        <v>1</v>
      </c>
      <c r="R4186" s="102">
        <v>3200000</v>
      </c>
      <c r="S4186" s="102">
        <f t="shared" si="2090"/>
        <v>3520000.0000000005</v>
      </c>
      <c r="T4186" s="102">
        <f t="shared" si="2091"/>
        <v>3200000</v>
      </c>
      <c r="U4186" s="71"/>
      <c r="V4186" s="71"/>
      <c r="W4186" s="474"/>
      <c r="X4186" s="71"/>
      <c r="Y4186" s="71"/>
    </row>
    <row r="4187" spans="1:25" ht="30" hidden="1" customHeight="1" x14ac:dyDescent="0.25">
      <c r="A4187" s="1145">
        <v>44383</v>
      </c>
      <c r="B4187" s="664" t="s">
        <v>569</v>
      </c>
      <c r="C4187" s="71" t="s">
        <v>3032</v>
      </c>
      <c r="D4187" s="71">
        <v>1</v>
      </c>
      <c r="E4187" s="102">
        <v>4900000</v>
      </c>
      <c r="F4187" s="102">
        <f t="shared" si="2097"/>
        <v>5390000</v>
      </c>
      <c r="G4187" s="102">
        <f t="shared" si="2098"/>
        <v>4900000</v>
      </c>
      <c r="H4187" s="690" t="s">
        <v>173</v>
      </c>
      <c r="I4187" s="71" t="s">
        <v>942</v>
      </c>
      <c r="J4187" s="53">
        <f t="shared" si="2087"/>
        <v>1100000</v>
      </c>
      <c r="K4187" s="63">
        <f t="shared" si="2092"/>
        <v>0.22448979591836735</v>
      </c>
      <c r="L4187" s="871" t="s">
        <v>3048</v>
      </c>
      <c r="M4187" s="468"/>
      <c r="N4187" s="1192">
        <f t="shared" si="2093"/>
        <v>44383</v>
      </c>
      <c r="O4187" s="71" t="s">
        <v>3036</v>
      </c>
      <c r="P4187" s="164" t="str">
        <f t="shared" si="2088"/>
        <v>X-rite eXact Basic 농도계 2대 수리비용</v>
      </c>
      <c r="Q4187" s="71">
        <f t="shared" si="2099"/>
        <v>1</v>
      </c>
      <c r="R4187" s="102">
        <v>3800000</v>
      </c>
      <c r="S4187" s="102">
        <f t="shared" si="2090"/>
        <v>4180000.0000000005</v>
      </c>
      <c r="T4187" s="102">
        <f t="shared" si="2091"/>
        <v>3800000</v>
      </c>
      <c r="U4187" s="71"/>
      <c r="V4187" s="71"/>
      <c r="W4187" s="474"/>
      <c r="X4187" s="71"/>
      <c r="Y4187" s="71"/>
    </row>
    <row r="4188" spans="1:25" ht="30" hidden="1" customHeight="1" x14ac:dyDescent="0.25">
      <c r="A4188" s="1145">
        <v>44383</v>
      </c>
      <c r="B4188" s="664" t="s">
        <v>1155</v>
      </c>
      <c r="C4188" s="71" t="s">
        <v>2648</v>
      </c>
      <c r="D4188" s="71">
        <v>10</v>
      </c>
      <c r="E4188" s="102">
        <v>33000</v>
      </c>
      <c r="F4188" s="102">
        <f t="shared" si="2097"/>
        <v>363000.00000000006</v>
      </c>
      <c r="G4188" s="102">
        <f t="shared" si="2098"/>
        <v>330000</v>
      </c>
      <c r="H4188" s="690" t="s">
        <v>1432</v>
      </c>
      <c r="I4188" s="71" t="s">
        <v>1432</v>
      </c>
      <c r="J4188" s="53">
        <f t="shared" si="2087"/>
        <v>90000</v>
      </c>
      <c r="K4188" s="63">
        <f t="shared" si="2092"/>
        <v>0.27272727272727265</v>
      </c>
      <c r="L4188" s="871" t="s">
        <v>3048</v>
      </c>
      <c r="M4188" s="468"/>
      <c r="N4188" s="1192">
        <f t="shared" si="2093"/>
        <v>44383</v>
      </c>
      <c r="O4188" s="71" t="s">
        <v>94</v>
      </c>
      <c r="P4188" s="164" t="str">
        <f t="shared" si="2088"/>
        <v>주머니 필터백</v>
      </c>
      <c r="Q4188" s="71">
        <f t="shared" si="2099"/>
        <v>10</v>
      </c>
      <c r="R4188" s="102">
        <v>24000</v>
      </c>
      <c r="S4188" s="102">
        <f t="shared" si="2090"/>
        <v>264000</v>
      </c>
      <c r="T4188" s="102">
        <f t="shared" si="2091"/>
        <v>240000</v>
      </c>
      <c r="U4188" s="71"/>
      <c r="V4188" s="71"/>
      <c r="W4188" s="474"/>
      <c r="X4188" s="71"/>
      <c r="Y4188" s="71"/>
    </row>
    <row r="4189" spans="1:25" ht="30" hidden="1" customHeight="1" x14ac:dyDescent="0.25">
      <c r="A4189" s="1145">
        <v>44383</v>
      </c>
      <c r="B4189" s="664" t="s">
        <v>446</v>
      </c>
      <c r="C4189" s="71" t="s">
        <v>1148</v>
      </c>
      <c r="D4189" s="71">
        <v>8</v>
      </c>
      <c r="E4189" s="102">
        <v>320000</v>
      </c>
      <c r="F4189" s="102">
        <f t="shared" si="2097"/>
        <v>2816000</v>
      </c>
      <c r="G4189" s="102">
        <f t="shared" si="2098"/>
        <v>2560000</v>
      </c>
      <c r="H4189" s="690" t="s">
        <v>1431</v>
      </c>
      <c r="I4189" s="71" t="s">
        <v>1431</v>
      </c>
      <c r="J4189" s="53">
        <f t="shared" si="2087"/>
        <v>962960</v>
      </c>
      <c r="K4189" s="63">
        <f t="shared" si="2092"/>
        <v>0.37615625000000003</v>
      </c>
      <c r="L4189" s="871" t="s">
        <v>3048</v>
      </c>
      <c r="M4189" s="468"/>
      <c r="N4189" s="1192">
        <f t="shared" si="2093"/>
        <v>44383</v>
      </c>
      <c r="O4189" s="71" t="s">
        <v>1431</v>
      </c>
      <c r="P4189" s="164" t="str">
        <f t="shared" si="2088"/>
        <v>브레이크 라이닝</v>
      </c>
      <c r="Q4189" s="71">
        <f t="shared" si="2099"/>
        <v>8</v>
      </c>
      <c r="R4189" s="102">
        <v>199630</v>
      </c>
      <c r="S4189" s="102">
        <f t="shared" si="2090"/>
        <v>1756744.0000000002</v>
      </c>
      <c r="T4189" s="102">
        <f t="shared" si="2091"/>
        <v>1597040</v>
      </c>
      <c r="U4189" s="71"/>
      <c r="V4189" s="71"/>
      <c r="W4189" s="474"/>
      <c r="X4189" s="71"/>
      <c r="Y4189" s="71"/>
    </row>
    <row r="4190" spans="1:25" ht="30" hidden="1" customHeight="1" x14ac:dyDescent="0.25">
      <c r="A4190" s="1145">
        <v>44384</v>
      </c>
      <c r="B4190" s="664" t="s">
        <v>548</v>
      </c>
      <c r="C4190" s="71" t="s">
        <v>111</v>
      </c>
      <c r="D4190" s="71">
        <v>100</v>
      </c>
      <c r="E4190" s="102">
        <v>450</v>
      </c>
      <c r="F4190" s="102">
        <f t="shared" si="2097"/>
        <v>49500.000000000007</v>
      </c>
      <c r="G4190" s="102">
        <f t="shared" si="2098"/>
        <v>45000</v>
      </c>
      <c r="H4190" s="690" t="s">
        <v>173</v>
      </c>
      <c r="I4190" s="71" t="s">
        <v>2231</v>
      </c>
      <c r="J4190" s="53">
        <f t="shared" si="2087"/>
        <v>13000</v>
      </c>
      <c r="K4190" s="63">
        <f t="shared" si="2092"/>
        <v>0.28888888888888886</v>
      </c>
      <c r="L4190" s="871" t="s">
        <v>3048</v>
      </c>
      <c r="M4190" s="468"/>
      <c r="N4190" s="1192">
        <f t="shared" si="2093"/>
        <v>44384</v>
      </c>
      <c r="O4190" s="71" t="s">
        <v>2030</v>
      </c>
      <c r="P4190" s="164" t="str">
        <f t="shared" si="2088"/>
        <v>고무사카 빨간색</v>
      </c>
      <c r="Q4190" s="71">
        <f t="shared" si="2099"/>
        <v>100</v>
      </c>
      <c r="R4190" s="102">
        <v>320</v>
      </c>
      <c r="S4190" s="102">
        <f t="shared" si="2090"/>
        <v>35200</v>
      </c>
      <c r="T4190" s="102">
        <f t="shared" si="2091"/>
        <v>32000</v>
      </c>
      <c r="U4190" s="71"/>
      <c r="V4190" s="71"/>
      <c r="W4190" s="474"/>
      <c r="X4190" s="71"/>
      <c r="Y4190" s="71"/>
    </row>
    <row r="4191" spans="1:25" ht="30" hidden="1" customHeight="1" x14ac:dyDescent="0.2">
      <c r="A4191" s="1145">
        <v>44384</v>
      </c>
      <c r="B4191" s="664" t="s">
        <v>2353</v>
      </c>
      <c r="C4191" s="71" t="s">
        <v>129</v>
      </c>
      <c r="D4191" s="71">
        <v>7</v>
      </c>
      <c r="E4191" s="102">
        <v>272000</v>
      </c>
      <c r="F4191" s="102">
        <f t="shared" si="2097"/>
        <v>2094400.0000000002</v>
      </c>
      <c r="G4191" s="102">
        <f t="shared" si="2098"/>
        <v>1904000</v>
      </c>
      <c r="H4191" s="165" t="s">
        <v>142</v>
      </c>
      <c r="I4191" s="71" t="s">
        <v>142</v>
      </c>
      <c r="J4191" s="53">
        <f t="shared" si="2087"/>
        <v>414400</v>
      </c>
      <c r="K4191" s="63">
        <f t="shared" si="2092"/>
        <v>0.21764705882352939</v>
      </c>
      <c r="L4191" s="871" t="s">
        <v>3048</v>
      </c>
      <c r="M4191" s="468" t="s">
        <v>2050</v>
      </c>
      <c r="N4191" s="1192">
        <f t="shared" si="2093"/>
        <v>44384</v>
      </c>
      <c r="O4191" s="71" t="s">
        <v>149</v>
      </c>
      <c r="P4191" s="164" t="str">
        <f t="shared" si="2088"/>
        <v>세정포-XL106</v>
      </c>
      <c r="Q4191" s="71">
        <f t="shared" si="2099"/>
        <v>7</v>
      </c>
      <c r="R4191" s="102">
        <v>212800</v>
      </c>
      <c r="S4191" s="102">
        <f t="shared" si="2090"/>
        <v>1638560.0000000002</v>
      </c>
      <c r="T4191" s="102">
        <f t="shared" si="2091"/>
        <v>1489600</v>
      </c>
      <c r="U4191" s="71" t="str">
        <f>IF(J4191=W4191,"O", "X")</f>
        <v>O</v>
      </c>
      <c r="V4191" s="71"/>
      <c r="W4191" s="474">
        <f>(G4191-T4191)</f>
        <v>414400</v>
      </c>
      <c r="X4191" s="71"/>
      <c r="Y4191" s="71"/>
    </row>
    <row r="4192" spans="1:25" ht="30" hidden="1" customHeight="1" x14ac:dyDescent="0.25">
      <c r="A4192" s="1145">
        <v>44389</v>
      </c>
      <c r="B4192" s="664" t="s">
        <v>548</v>
      </c>
      <c r="C4192" s="71" t="s">
        <v>1804</v>
      </c>
      <c r="D4192" s="71">
        <v>200</v>
      </c>
      <c r="E4192" s="102">
        <v>400</v>
      </c>
      <c r="F4192" s="102">
        <f t="shared" si="2097"/>
        <v>88000</v>
      </c>
      <c r="G4192" s="102">
        <f t="shared" si="2098"/>
        <v>80000</v>
      </c>
      <c r="H4192" s="690" t="s">
        <v>173</v>
      </c>
      <c r="I4192" s="71" t="s">
        <v>2231</v>
      </c>
      <c r="J4192" s="53">
        <f t="shared" si="2087"/>
        <v>20000</v>
      </c>
      <c r="K4192" s="63">
        <f t="shared" si="2092"/>
        <v>0.25</v>
      </c>
      <c r="L4192" s="871" t="s">
        <v>3048</v>
      </c>
      <c r="M4192" s="468"/>
      <c r="N4192" s="1192">
        <f t="shared" si="2093"/>
        <v>44389</v>
      </c>
      <c r="O4192" s="71" t="s">
        <v>149</v>
      </c>
      <c r="P4192" s="164" t="str">
        <f t="shared" si="2088"/>
        <v>고무사카 노란색</v>
      </c>
      <c r="Q4192" s="71">
        <f t="shared" si="2099"/>
        <v>200</v>
      </c>
      <c r="R4192" s="102">
        <v>300</v>
      </c>
      <c r="S4192" s="102">
        <f t="shared" si="2090"/>
        <v>66000</v>
      </c>
      <c r="T4192" s="102">
        <f t="shared" si="2091"/>
        <v>60000</v>
      </c>
      <c r="U4192" s="71"/>
      <c r="V4192" s="71"/>
      <c r="W4192" s="474"/>
      <c r="X4192" s="71"/>
      <c r="Y4192" s="71"/>
    </row>
    <row r="4193" spans="1:25" s="209" customFormat="1" ht="30" hidden="1" customHeight="1" x14ac:dyDescent="0.25">
      <c r="A4193" s="1145">
        <v>44390</v>
      </c>
      <c r="B4193" s="664" t="s">
        <v>442</v>
      </c>
      <c r="C4193" s="71" t="s">
        <v>138</v>
      </c>
      <c r="D4193" s="71">
        <v>25</v>
      </c>
      <c r="E4193" s="102">
        <v>55200</v>
      </c>
      <c r="F4193" s="102">
        <f t="shared" si="2097"/>
        <v>1518000.0000000002</v>
      </c>
      <c r="G4193" s="102">
        <f t="shared" si="2098"/>
        <v>1380000</v>
      </c>
      <c r="H4193" s="690" t="s">
        <v>173</v>
      </c>
      <c r="I4193" s="71" t="s">
        <v>108</v>
      </c>
      <c r="J4193" s="53">
        <f t="shared" si="2087"/>
        <v>250000</v>
      </c>
      <c r="K4193" s="63">
        <f t="shared" si="2092"/>
        <v>0.18115942028985504</v>
      </c>
      <c r="L4193" s="871" t="s">
        <v>3048</v>
      </c>
      <c r="M4193" s="468" t="s">
        <v>2388</v>
      </c>
      <c r="N4193" s="1192">
        <f t="shared" si="2093"/>
        <v>44390</v>
      </c>
      <c r="O4193" s="71" t="s">
        <v>150</v>
      </c>
      <c r="P4193" s="164" t="str">
        <f t="shared" si="2088"/>
        <v>매엽용 세척제(Wash 562)</v>
      </c>
      <c r="Q4193" s="71">
        <f t="shared" si="2099"/>
        <v>25</v>
      </c>
      <c r="R4193" s="102">
        <v>40800</v>
      </c>
      <c r="S4193" s="102">
        <f>R4193*Q4193*1.1+121000</f>
        <v>1243000</v>
      </c>
      <c r="T4193" s="102">
        <f>R4193*Q4193+110000</f>
        <v>1130000</v>
      </c>
      <c r="U4193" s="71" t="str">
        <f>IF(J4193=W4193,"O", "X")</f>
        <v>X</v>
      </c>
      <c r="V4193" s="71"/>
      <c r="W4193" s="474">
        <v>396000</v>
      </c>
      <c r="X4193" s="71"/>
      <c r="Y4193" s="71"/>
    </row>
    <row r="4194" spans="1:25" ht="30" hidden="1" customHeight="1" x14ac:dyDescent="0.25">
      <c r="A4194" s="1145">
        <v>44390</v>
      </c>
      <c r="B4194" s="664" t="s">
        <v>690</v>
      </c>
      <c r="C4194" s="71" t="s">
        <v>217</v>
      </c>
      <c r="D4194" s="71">
        <v>2</v>
      </c>
      <c r="E4194" s="102">
        <v>137000</v>
      </c>
      <c r="F4194" s="102">
        <f t="shared" si="2097"/>
        <v>301400</v>
      </c>
      <c r="G4194" s="102">
        <f t="shared" si="2098"/>
        <v>274000</v>
      </c>
      <c r="H4194" s="690" t="s">
        <v>173</v>
      </c>
      <c r="I4194" s="71" t="s">
        <v>120</v>
      </c>
      <c r="J4194" s="53">
        <f t="shared" si="2087"/>
        <v>114000</v>
      </c>
      <c r="K4194" s="63">
        <f t="shared" si="2092"/>
        <v>0.41605839416058393</v>
      </c>
      <c r="L4194" s="871" t="s">
        <v>3048</v>
      </c>
      <c r="M4194" s="468"/>
      <c r="N4194" s="1192">
        <f t="shared" si="2093"/>
        <v>44390</v>
      </c>
      <c r="O4194" s="71" t="s">
        <v>150</v>
      </c>
      <c r="P4194" s="164" t="str">
        <f t="shared" si="2088"/>
        <v>Fount 511</v>
      </c>
      <c r="Q4194" s="71">
        <f t="shared" si="2099"/>
        <v>2</v>
      </c>
      <c r="R4194" s="102">
        <v>80000</v>
      </c>
      <c r="S4194" s="102">
        <f t="shared" ref="S4194:S4225" si="2100">R4194*Q4194*1.1</f>
        <v>176000</v>
      </c>
      <c r="T4194" s="102">
        <f t="shared" ref="T4194:T4225" si="2101">R4194*Q4194</f>
        <v>160000</v>
      </c>
      <c r="U4194" s="71" t="str">
        <f>IF(J4194=W4194,"O", "X")</f>
        <v>X</v>
      </c>
      <c r="V4194" s="71"/>
      <c r="W4194" s="474">
        <v>130000</v>
      </c>
      <c r="X4194" s="71"/>
      <c r="Y4194" s="71"/>
    </row>
    <row r="4195" spans="1:25" ht="30" hidden="1" customHeight="1" x14ac:dyDescent="0.25">
      <c r="A4195" s="1145">
        <v>44390</v>
      </c>
      <c r="B4195" s="664" t="s">
        <v>690</v>
      </c>
      <c r="C4195" s="71" t="s">
        <v>825</v>
      </c>
      <c r="D4195" s="71">
        <v>2</v>
      </c>
      <c r="E4195" s="102">
        <v>142000</v>
      </c>
      <c r="F4195" s="102">
        <f t="shared" si="2097"/>
        <v>312400</v>
      </c>
      <c r="G4195" s="102">
        <f t="shared" si="2098"/>
        <v>284000</v>
      </c>
      <c r="H4195" s="690" t="s">
        <v>173</v>
      </c>
      <c r="I4195" s="71" t="s">
        <v>2231</v>
      </c>
      <c r="J4195" s="53">
        <f t="shared" si="2087"/>
        <v>94000</v>
      </c>
      <c r="K4195" s="63">
        <f t="shared" si="2092"/>
        <v>0.33098591549295775</v>
      </c>
      <c r="L4195" s="871" t="s">
        <v>3048</v>
      </c>
      <c r="M4195" s="468"/>
      <c r="N4195" s="1192">
        <f t="shared" si="2093"/>
        <v>44390</v>
      </c>
      <c r="O4195" s="71" t="s">
        <v>150</v>
      </c>
      <c r="P4195" s="164" t="str">
        <f t="shared" si="2088"/>
        <v>독일제 정품 잉크호일 아스테이지</v>
      </c>
      <c r="Q4195" s="71">
        <f t="shared" si="2099"/>
        <v>2</v>
      </c>
      <c r="R4195" s="102">
        <v>95000</v>
      </c>
      <c r="S4195" s="102">
        <f t="shared" si="2100"/>
        <v>209000.00000000003</v>
      </c>
      <c r="T4195" s="102">
        <f t="shared" si="2101"/>
        <v>190000</v>
      </c>
      <c r="U4195" s="71" t="s">
        <v>859</v>
      </c>
      <c r="V4195" s="71"/>
      <c r="W4195" s="474">
        <v>110000</v>
      </c>
      <c r="X4195" s="71"/>
      <c r="Y4195" s="71"/>
    </row>
    <row r="4196" spans="1:25" ht="30" hidden="1" customHeight="1" x14ac:dyDescent="0.25">
      <c r="A4196" s="1145">
        <v>44390</v>
      </c>
      <c r="B4196" s="664" t="s">
        <v>546</v>
      </c>
      <c r="C4196" s="71" t="s">
        <v>920</v>
      </c>
      <c r="D4196" s="71">
        <v>3</v>
      </c>
      <c r="E4196" s="102">
        <v>260000</v>
      </c>
      <c r="F4196" s="102">
        <f t="shared" si="2097"/>
        <v>858000.00000000012</v>
      </c>
      <c r="G4196" s="102">
        <f t="shared" si="2098"/>
        <v>780000</v>
      </c>
      <c r="H4196" s="690" t="s">
        <v>1431</v>
      </c>
      <c r="I4196" s="71" t="s">
        <v>1431</v>
      </c>
      <c r="J4196" s="53">
        <f t="shared" si="2087"/>
        <v>237177</v>
      </c>
      <c r="K4196" s="63">
        <f t="shared" si="2092"/>
        <v>0.30407307692307689</v>
      </c>
      <c r="L4196" s="871" t="s">
        <v>3048</v>
      </c>
      <c r="M4196" s="468"/>
      <c r="N4196" s="1192">
        <f t="shared" si="2093"/>
        <v>44390</v>
      </c>
      <c r="O4196" s="71" t="s">
        <v>1431</v>
      </c>
      <c r="P4196" s="164" t="str">
        <f t="shared" si="2088"/>
        <v>에어 실린더</v>
      </c>
      <c r="Q4196" s="71">
        <f t="shared" si="2099"/>
        <v>3</v>
      </c>
      <c r="R4196" s="102">
        <v>180941</v>
      </c>
      <c r="S4196" s="102">
        <f t="shared" si="2100"/>
        <v>597105.30000000005</v>
      </c>
      <c r="T4196" s="102">
        <f t="shared" si="2101"/>
        <v>542823</v>
      </c>
      <c r="U4196" s="71"/>
      <c r="V4196" s="71"/>
      <c r="W4196" s="474"/>
      <c r="X4196" s="71"/>
      <c r="Y4196" s="71"/>
    </row>
    <row r="4197" spans="1:25" ht="30" hidden="1" customHeight="1" x14ac:dyDescent="0.25">
      <c r="A4197" s="1145">
        <v>44390</v>
      </c>
      <c r="B4197" s="664" t="s">
        <v>2155</v>
      </c>
      <c r="C4197" s="71" t="s">
        <v>920</v>
      </c>
      <c r="D4197" s="71">
        <v>5</v>
      </c>
      <c r="E4197" s="102">
        <v>280000</v>
      </c>
      <c r="F4197" s="102">
        <f t="shared" si="2097"/>
        <v>1540000.0000000002</v>
      </c>
      <c r="G4197" s="102">
        <f t="shared" si="2098"/>
        <v>1400000</v>
      </c>
      <c r="H4197" s="690" t="s">
        <v>1431</v>
      </c>
      <c r="I4197" s="71" t="s">
        <v>1431</v>
      </c>
      <c r="J4197" s="53">
        <f t="shared" si="2087"/>
        <v>654205</v>
      </c>
      <c r="K4197" s="63">
        <f t="shared" si="2092"/>
        <v>0.46728928571428563</v>
      </c>
      <c r="L4197" s="871" t="s">
        <v>3048</v>
      </c>
      <c r="M4197" s="468"/>
      <c r="N4197" s="1192">
        <f t="shared" si="2093"/>
        <v>44390</v>
      </c>
      <c r="O4197" s="71" t="s">
        <v>1431</v>
      </c>
      <c r="P4197" s="164" t="str">
        <f t="shared" si="2088"/>
        <v>에어 실린더</v>
      </c>
      <c r="Q4197" s="71">
        <f t="shared" si="2099"/>
        <v>5</v>
      </c>
      <c r="R4197" s="102">
        <v>149159</v>
      </c>
      <c r="S4197" s="102">
        <f t="shared" si="2100"/>
        <v>820374.50000000012</v>
      </c>
      <c r="T4197" s="102">
        <f t="shared" si="2101"/>
        <v>745795</v>
      </c>
      <c r="U4197" s="71"/>
      <c r="V4197" s="71"/>
      <c r="W4197" s="474"/>
      <c r="X4197" s="71"/>
      <c r="Y4197" s="71"/>
    </row>
    <row r="4198" spans="1:25" ht="30" hidden="1" customHeight="1" x14ac:dyDescent="0.25">
      <c r="A4198" s="1145">
        <v>44390</v>
      </c>
      <c r="B4198" s="664" t="s">
        <v>2155</v>
      </c>
      <c r="C4198" s="760" t="s">
        <v>218</v>
      </c>
      <c r="D4198" s="71">
        <v>5</v>
      </c>
      <c r="E4198" s="102">
        <v>192500</v>
      </c>
      <c r="F4198" s="102">
        <f t="shared" si="2097"/>
        <v>1058750</v>
      </c>
      <c r="G4198" s="102">
        <f t="shared" si="2098"/>
        <v>962500</v>
      </c>
      <c r="H4198" s="690" t="s">
        <v>173</v>
      </c>
      <c r="I4198" s="71" t="s">
        <v>120</v>
      </c>
      <c r="J4198" s="53">
        <f t="shared" si="2087"/>
        <v>400000</v>
      </c>
      <c r="K4198" s="63">
        <f t="shared" si="2092"/>
        <v>0.41558441558441561</v>
      </c>
      <c r="L4198" s="871" t="s">
        <v>3048</v>
      </c>
      <c r="M4198" s="468"/>
      <c r="N4198" s="1192">
        <f t="shared" si="2093"/>
        <v>44390</v>
      </c>
      <c r="O4198" s="71" t="s">
        <v>150</v>
      </c>
      <c r="P4198" s="164" t="str">
        <f t="shared" si="2088"/>
        <v>Fount Web 551AF</v>
      </c>
      <c r="Q4198" s="71">
        <f t="shared" si="2099"/>
        <v>5</v>
      </c>
      <c r="R4198" s="102">
        <v>112500</v>
      </c>
      <c r="S4198" s="102">
        <f t="shared" si="2100"/>
        <v>618750</v>
      </c>
      <c r="T4198" s="102">
        <f t="shared" si="2101"/>
        <v>562500</v>
      </c>
      <c r="U4198" s="71" t="str">
        <f>IF(J4198=W4198,"O", "X")</f>
        <v>X</v>
      </c>
      <c r="V4198" s="71"/>
      <c r="W4198" s="474">
        <v>640000</v>
      </c>
      <c r="X4198" s="71"/>
      <c r="Y4198" s="71"/>
    </row>
    <row r="4199" spans="1:25" s="209" customFormat="1" ht="30" hidden="1" customHeight="1" x14ac:dyDescent="0.25">
      <c r="A4199" s="1145">
        <v>44390</v>
      </c>
      <c r="B4199" s="664" t="s">
        <v>2155</v>
      </c>
      <c r="C4199" s="71" t="s">
        <v>138</v>
      </c>
      <c r="D4199" s="71">
        <v>10</v>
      </c>
      <c r="E4199" s="102">
        <v>47600</v>
      </c>
      <c r="F4199" s="102">
        <f t="shared" si="2097"/>
        <v>523600.00000000006</v>
      </c>
      <c r="G4199" s="102">
        <f t="shared" si="2098"/>
        <v>476000</v>
      </c>
      <c r="H4199" s="1129" t="s">
        <v>172</v>
      </c>
      <c r="I4199" s="71" t="s">
        <v>108</v>
      </c>
      <c r="J4199" s="53">
        <f t="shared" si="2087"/>
        <v>68000</v>
      </c>
      <c r="K4199" s="63">
        <f t="shared" si="2092"/>
        <v>0.14285714285714285</v>
      </c>
      <c r="L4199" s="871" t="s">
        <v>3048</v>
      </c>
      <c r="M4199" s="468" t="s">
        <v>2214</v>
      </c>
      <c r="N4199" s="1192">
        <f t="shared" si="2093"/>
        <v>44390</v>
      </c>
      <c r="O4199" s="71" t="s">
        <v>150</v>
      </c>
      <c r="P4199" s="164" t="str">
        <f t="shared" si="2088"/>
        <v>매엽용 세척제(Wash 562)</v>
      </c>
      <c r="Q4199" s="71">
        <f t="shared" si="2099"/>
        <v>10</v>
      </c>
      <c r="R4199" s="102">
        <v>40800</v>
      </c>
      <c r="S4199" s="102">
        <f t="shared" si="2100"/>
        <v>448800.00000000006</v>
      </c>
      <c r="T4199" s="102">
        <f t="shared" si="2101"/>
        <v>408000</v>
      </c>
      <c r="U4199" s="71" t="str">
        <f>IF(J4199=W4199,"O", "X")</f>
        <v>X</v>
      </c>
      <c r="V4199" s="71"/>
      <c r="W4199" s="474">
        <v>85000</v>
      </c>
      <c r="X4199" s="71"/>
      <c r="Y4199" s="71"/>
    </row>
    <row r="4200" spans="1:25" s="209" customFormat="1" ht="30" hidden="1" customHeight="1" x14ac:dyDescent="0.25">
      <c r="A4200" s="1145">
        <v>44390</v>
      </c>
      <c r="B4200" s="664" t="s">
        <v>567</v>
      </c>
      <c r="C4200" s="71" t="s">
        <v>236</v>
      </c>
      <c r="D4200" s="71">
        <v>5</v>
      </c>
      <c r="E4200" s="102">
        <v>65000</v>
      </c>
      <c r="F4200" s="102">
        <f t="shared" si="2097"/>
        <v>357500</v>
      </c>
      <c r="G4200" s="102">
        <f t="shared" si="2098"/>
        <v>325000</v>
      </c>
      <c r="H4200" s="690" t="s">
        <v>173</v>
      </c>
      <c r="I4200" s="71" t="s">
        <v>2231</v>
      </c>
      <c r="J4200" s="53">
        <f t="shared" si="2087"/>
        <v>75000</v>
      </c>
      <c r="K4200" s="63">
        <f t="shared" si="2092"/>
        <v>0.23076923076923078</v>
      </c>
      <c r="L4200" s="871" t="s">
        <v>3048</v>
      </c>
      <c r="M4200" s="468"/>
      <c r="N4200" s="1192">
        <f t="shared" si="2093"/>
        <v>44390</v>
      </c>
      <c r="O4200" s="71" t="s">
        <v>153</v>
      </c>
      <c r="P4200" s="164" t="str">
        <f t="shared" si="2088"/>
        <v>아스테이지(국전)</v>
      </c>
      <c r="Q4200" s="71">
        <f t="shared" si="2099"/>
        <v>5</v>
      </c>
      <c r="R4200" s="102">
        <v>50000</v>
      </c>
      <c r="S4200" s="102">
        <f t="shared" si="2100"/>
        <v>275000</v>
      </c>
      <c r="T4200" s="102">
        <f t="shared" si="2101"/>
        <v>250000</v>
      </c>
      <c r="U4200" s="71" t="str">
        <f>IF(J4200=W4200,"O", "X")</f>
        <v>X</v>
      </c>
      <c r="V4200" s="71"/>
      <c r="W4200" s="474">
        <v>150000</v>
      </c>
      <c r="X4200" s="71"/>
      <c r="Y4200" s="71"/>
    </row>
    <row r="4201" spans="1:25" ht="30" customHeight="1" x14ac:dyDescent="0.2">
      <c r="A4201" s="1145">
        <v>44390</v>
      </c>
      <c r="B4201" s="664" t="s">
        <v>2536</v>
      </c>
      <c r="C4201" s="71" t="s">
        <v>114</v>
      </c>
      <c r="D4201" s="71">
        <v>30</v>
      </c>
      <c r="E4201" s="102">
        <v>20000</v>
      </c>
      <c r="F4201" s="163">
        <f>(E4201*D4201)*1.1</f>
        <v>660000</v>
      </c>
      <c r="G4201" s="102">
        <f>(E4201*D4201)</f>
        <v>600000</v>
      </c>
      <c r="H4201" s="690" t="s">
        <v>1431</v>
      </c>
      <c r="I4201" s="690" t="s">
        <v>1431</v>
      </c>
      <c r="J4201" s="53">
        <f t="shared" si="2087"/>
        <v>300000</v>
      </c>
      <c r="K4201" s="63">
        <f t="shared" si="2092"/>
        <v>0.5</v>
      </c>
      <c r="L4201" s="871" t="s">
        <v>3048</v>
      </c>
      <c r="M4201" s="468"/>
      <c r="N4201" s="1192">
        <f t="shared" si="2093"/>
        <v>44390</v>
      </c>
      <c r="O4201" s="71" t="s">
        <v>1431</v>
      </c>
      <c r="P4201" s="164" t="str">
        <f t="shared" si="2088"/>
        <v>스트리퍼</v>
      </c>
      <c r="Q4201" s="71">
        <f>D4201</f>
        <v>30</v>
      </c>
      <c r="R4201" s="102">
        <v>10000</v>
      </c>
      <c r="S4201" s="102">
        <f t="shared" si="2100"/>
        <v>330000</v>
      </c>
      <c r="T4201" s="102">
        <f t="shared" si="2101"/>
        <v>300000</v>
      </c>
      <c r="U4201" s="71" t="str">
        <f>IF(J4201=W4201,"O", "X")</f>
        <v>X</v>
      </c>
      <c r="V4201" s="71"/>
      <c r="W4201" s="474"/>
      <c r="X4201" s="71"/>
      <c r="Y4201" s="71"/>
    </row>
    <row r="4202" spans="1:25" ht="30" hidden="1" customHeight="1" x14ac:dyDescent="0.25">
      <c r="A4202" s="1145">
        <v>44391</v>
      </c>
      <c r="B4202" s="664" t="s">
        <v>548</v>
      </c>
      <c r="C4202" s="71" t="s">
        <v>2973</v>
      </c>
      <c r="D4202" s="71">
        <v>10</v>
      </c>
      <c r="E4202" s="102">
        <v>100000</v>
      </c>
      <c r="F4202" s="102">
        <f>(E4202*D4202)*1.1</f>
        <v>1100000</v>
      </c>
      <c r="G4202" s="102">
        <f>(E4202*D4202)</f>
        <v>1000000</v>
      </c>
      <c r="H4202" s="690" t="s">
        <v>173</v>
      </c>
      <c r="I4202" s="71" t="s">
        <v>2231</v>
      </c>
      <c r="J4202" s="53">
        <f t="shared" si="2087"/>
        <v>138000</v>
      </c>
      <c r="K4202" s="63">
        <f t="shared" si="2092"/>
        <v>0.13800000000000001</v>
      </c>
      <c r="L4202" s="871" t="s">
        <v>3048</v>
      </c>
      <c r="M4202" s="468"/>
      <c r="N4202" s="1192">
        <f t="shared" si="2093"/>
        <v>44391</v>
      </c>
      <c r="O4202" s="71" t="s">
        <v>147</v>
      </c>
      <c r="P4202" s="164" t="str">
        <f t="shared" si="2088"/>
        <v>1077*885 하이델 bar 블랑켓</v>
      </c>
      <c r="Q4202" s="71">
        <f>D4202</f>
        <v>10</v>
      </c>
      <c r="R4202" s="102">
        <v>86200</v>
      </c>
      <c r="S4202" s="102">
        <f t="shared" si="2100"/>
        <v>948200.00000000012</v>
      </c>
      <c r="T4202" s="102">
        <f t="shared" si="2101"/>
        <v>862000</v>
      </c>
      <c r="U4202" s="71"/>
      <c r="V4202" s="71"/>
      <c r="W4202" s="474"/>
      <c r="X4202" s="71"/>
      <c r="Y4202" s="71"/>
    </row>
    <row r="4203" spans="1:25" ht="30" hidden="1" customHeight="1" x14ac:dyDescent="0.2">
      <c r="A4203" s="1145">
        <v>44391</v>
      </c>
      <c r="B4203" s="664" t="s">
        <v>548</v>
      </c>
      <c r="C4203" s="71" t="s">
        <v>107</v>
      </c>
      <c r="D4203" s="71">
        <v>20</v>
      </c>
      <c r="E4203" s="102">
        <v>90000</v>
      </c>
      <c r="F4203" s="163">
        <f>(E4203*D4203)*1.1</f>
        <v>1980000.0000000002</v>
      </c>
      <c r="G4203" s="102">
        <f>(E4203*D4203)</f>
        <v>1800000</v>
      </c>
      <c r="H4203" s="165" t="s">
        <v>172</v>
      </c>
      <c r="I4203" s="71" t="s">
        <v>109</v>
      </c>
      <c r="J4203" s="53">
        <f t="shared" ref="J4203:J4234" si="2102">G4203-T4203</f>
        <v>190000</v>
      </c>
      <c r="K4203" s="63">
        <f t="shared" si="2092"/>
        <v>0.10555555555555554</v>
      </c>
      <c r="L4203" s="871" t="s">
        <v>3048</v>
      </c>
      <c r="M4203" s="468"/>
      <c r="N4203" s="1192">
        <f t="shared" si="2093"/>
        <v>44391</v>
      </c>
      <c r="O4203" s="71" t="s">
        <v>147</v>
      </c>
      <c r="P4203" s="164" t="str">
        <f t="shared" si="2088"/>
        <v>Blanket(1050*840)</v>
      </c>
      <c r="Q4203" s="71">
        <f>D4203</f>
        <v>20</v>
      </c>
      <c r="R4203" s="102">
        <v>80500</v>
      </c>
      <c r="S4203" s="102">
        <f t="shared" si="2100"/>
        <v>1771000.0000000002</v>
      </c>
      <c r="T4203" s="102">
        <f t="shared" si="2101"/>
        <v>1610000</v>
      </c>
      <c r="U4203" s="71" t="str">
        <f t="shared" ref="U4203:U4211" si="2103">IF(J4203=W4203,"O", "X")</f>
        <v>O</v>
      </c>
      <c r="V4203" s="71"/>
      <c r="W4203" s="474">
        <f>(G4203-T4203)</f>
        <v>190000</v>
      </c>
      <c r="X4203" s="71"/>
      <c r="Y4203" s="71"/>
    </row>
    <row r="4204" spans="1:25" ht="30" hidden="1" customHeight="1" x14ac:dyDescent="0.25">
      <c r="A4204" s="1145">
        <v>44392</v>
      </c>
      <c r="B4204" s="664" t="s">
        <v>545</v>
      </c>
      <c r="C4204" s="71" t="s">
        <v>227</v>
      </c>
      <c r="D4204" s="71">
        <v>10</v>
      </c>
      <c r="E4204" s="102">
        <v>110000</v>
      </c>
      <c r="F4204" s="102">
        <f>(E4204*D4204)*1.1</f>
        <v>1210000</v>
      </c>
      <c r="G4204" s="102">
        <f>(E4204*D4204)</f>
        <v>1100000</v>
      </c>
      <c r="H4204" s="690" t="s">
        <v>173</v>
      </c>
      <c r="I4204" s="71" t="s">
        <v>109</v>
      </c>
      <c r="J4204" s="53">
        <f t="shared" si="2102"/>
        <v>271000</v>
      </c>
      <c r="K4204" s="63">
        <f t="shared" si="2092"/>
        <v>0.24636363636363637</v>
      </c>
      <c r="L4204" s="871" t="s">
        <v>3048</v>
      </c>
      <c r="M4204" s="468"/>
      <c r="N4204" s="1192">
        <f t="shared" si="2093"/>
        <v>44392</v>
      </c>
      <c r="O4204" s="71" t="s">
        <v>147</v>
      </c>
      <c r="P4204" s="164" t="str">
        <f t="shared" si="2088"/>
        <v>Blanket(1060*860)</v>
      </c>
      <c r="Q4204" s="71">
        <f>D4204</f>
        <v>10</v>
      </c>
      <c r="R4204" s="102">
        <v>82900</v>
      </c>
      <c r="S4204" s="102">
        <f t="shared" si="2100"/>
        <v>911900.00000000012</v>
      </c>
      <c r="T4204" s="102">
        <f t="shared" si="2101"/>
        <v>829000</v>
      </c>
      <c r="U4204" s="71" t="str">
        <f t="shared" si="2103"/>
        <v>O</v>
      </c>
      <c r="V4204" s="71"/>
      <c r="W4204" s="474">
        <f>(G4204-T4204)</f>
        <v>271000</v>
      </c>
      <c r="X4204" s="71"/>
      <c r="Y4204" s="71"/>
    </row>
    <row r="4205" spans="1:25" ht="30" customHeight="1" x14ac:dyDescent="0.25">
      <c r="A4205" s="1145">
        <v>44392</v>
      </c>
      <c r="B4205" s="664" t="s">
        <v>2352</v>
      </c>
      <c r="C4205" s="760" t="s">
        <v>218</v>
      </c>
      <c r="D4205" s="71">
        <v>3</v>
      </c>
      <c r="E4205" s="102">
        <v>235000</v>
      </c>
      <c r="F4205" s="102">
        <f t="shared" ref="F4205:F4224" si="2104">(E4205*D4205)*1.1</f>
        <v>775500.00000000012</v>
      </c>
      <c r="G4205" s="102">
        <f t="shared" ref="G4205:G4224" si="2105">(E4205*D4205)</f>
        <v>705000</v>
      </c>
      <c r="H4205" s="690" t="s">
        <v>142</v>
      </c>
      <c r="I4205" s="690" t="s">
        <v>142</v>
      </c>
      <c r="J4205" s="53">
        <f t="shared" si="2102"/>
        <v>367500</v>
      </c>
      <c r="K4205" s="63">
        <f t="shared" si="2092"/>
        <v>0.52127659574468077</v>
      </c>
      <c r="L4205" s="871" t="s">
        <v>3048</v>
      </c>
      <c r="M4205" s="468" t="s">
        <v>2053</v>
      </c>
      <c r="N4205" s="1192">
        <f t="shared" si="2093"/>
        <v>44392</v>
      </c>
      <c r="O4205" s="71" t="s">
        <v>150</v>
      </c>
      <c r="P4205" s="164" t="str">
        <f t="shared" si="2088"/>
        <v>Fount Web 551AF</v>
      </c>
      <c r="Q4205" s="71">
        <f t="shared" ref="Q4205:Q4226" si="2106">D4205</f>
        <v>3</v>
      </c>
      <c r="R4205" s="102">
        <v>112500</v>
      </c>
      <c r="S4205" s="102">
        <f t="shared" si="2100"/>
        <v>371250.00000000006</v>
      </c>
      <c r="T4205" s="102">
        <f t="shared" si="2101"/>
        <v>337500</v>
      </c>
      <c r="U4205" s="71" t="str">
        <f t="shared" si="2103"/>
        <v>O</v>
      </c>
      <c r="V4205" s="71"/>
      <c r="W4205" s="474">
        <f>(G4205-T4205)</f>
        <v>367500</v>
      </c>
      <c r="X4205" s="71"/>
      <c r="Y4205" s="71"/>
    </row>
    <row r="4206" spans="1:25" s="209" customFormat="1" ht="30" customHeight="1" x14ac:dyDescent="0.25">
      <c r="A4206" s="1145">
        <v>44392</v>
      </c>
      <c r="B4206" s="664" t="s">
        <v>2352</v>
      </c>
      <c r="C4206" s="71" t="s">
        <v>583</v>
      </c>
      <c r="D4206" s="71">
        <v>24</v>
      </c>
      <c r="E4206" s="102">
        <v>89000</v>
      </c>
      <c r="F4206" s="102">
        <f t="shared" si="2104"/>
        <v>2349600</v>
      </c>
      <c r="G4206" s="102">
        <f t="shared" si="2105"/>
        <v>2136000</v>
      </c>
      <c r="H4206" s="690" t="s">
        <v>142</v>
      </c>
      <c r="I4206" s="71" t="s">
        <v>142</v>
      </c>
      <c r="J4206" s="53">
        <f t="shared" si="2102"/>
        <v>1080000</v>
      </c>
      <c r="K4206" s="63">
        <f t="shared" si="2092"/>
        <v>0.5056179775280899</v>
      </c>
      <c r="L4206" s="871" t="s">
        <v>3048</v>
      </c>
      <c r="M4206" s="468" t="s">
        <v>2053</v>
      </c>
      <c r="N4206" s="1192">
        <f t="shared" si="2093"/>
        <v>44392</v>
      </c>
      <c r="O4206" s="71" t="s">
        <v>599</v>
      </c>
      <c r="P4206" s="164" t="str">
        <f t="shared" si="2088"/>
        <v>M600 윤전 세정포</v>
      </c>
      <c r="Q4206" s="71">
        <f t="shared" si="2106"/>
        <v>24</v>
      </c>
      <c r="R4206" s="102">
        <v>44000</v>
      </c>
      <c r="S4206" s="102">
        <f t="shared" si="2100"/>
        <v>1161600</v>
      </c>
      <c r="T4206" s="102">
        <f t="shared" si="2101"/>
        <v>1056000</v>
      </c>
      <c r="U4206" s="71" t="str">
        <f t="shared" si="2103"/>
        <v>O</v>
      </c>
      <c r="V4206" s="71"/>
      <c r="W4206" s="474">
        <f>(G4206-T4206)</f>
        <v>1080000</v>
      </c>
      <c r="X4206" s="71"/>
      <c r="Y4206" s="71"/>
    </row>
    <row r="4207" spans="1:25" ht="30" hidden="1" customHeight="1" x14ac:dyDescent="0.25">
      <c r="A4207" s="1145">
        <v>44396</v>
      </c>
      <c r="B4207" s="664" t="s">
        <v>2155</v>
      </c>
      <c r="C4207" s="71" t="s">
        <v>277</v>
      </c>
      <c r="D4207" s="71">
        <v>10</v>
      </c>
      <c r="E4207" s="102">
        <v>172000</v>
      </c>
      <c r="F4207" s="102">
        <f t="shared" si="2104"/>
        <v>1892000.0000000002</v>
      </c>
      <c r="G4207" s="102">
        <f t="shared" si="2105"/>
        <v>1720000</v>
      </c>
      <c r="H4207" s="690" t="s">
        <v>173</v>
      </c>
      <c r="I4207" s="71" t="s">
        <v>108</v>
      </c>
      <c r="J4207" s="53">
        <f t="shared" si="2102"/>
        <v>570000</v>
      </c>
      <c r="K4207" s="63">
        <f t="shared" si="2092"/>
        <v>0.33139534883720928</v>
      </c>
      <c r="L4207" s="871" t="s">
        <v>3048</v>
      </c>
      <c r="M4207" s="468"/>
      <c r="N4207" s="1192">
        <f t="shared" si="2093"/>
        <v>44396</v>
      </c>
      <c r="O4207" s="71" t="s">
        <v>150</v>
      </c>
      <c r="P4207" s="164" t="str">
        <f t="shared" si="2088"/>
        <v>윤전용 세척제(Web 504)</v>
      </c>
      <c r="Q4207" s="71">
        <f t="shared" si="2106"/>
        <v>10</v>
      </c>
      <c r="R4207" s="102">
        <v>115000</v>
      </c>
      <c r="S4207" s="102">
        <f t="shared" si="2100"/>
        <v>1265000</v>
      </c>
      <c r="T4207" s="102">
        <f t="shared" si="2101"/>
        <v>1150000</v>
      </c>
      <c r="U4207" s="71" t="str">
        <f t="shared" si="2103"/>
        <v>X</v>
      </c>
      <c r="V4207" s="71"/>
      <c r="W4207" s="474">
        <v>285000</v>
      </c>
      <c r="X4207" s="71"/>
      <c r="Y4207" s="71"/>
    </row>
    <row r="4208" spans="1:25" ht="30" hidden="1" customHeight="1" x14ac:dyDescent="0.2">
      <c r="A4208" s="1145">
        <v>44397</v>
      </c>
      <c r="B4208" s="664" t="s">
        <v>2353</v>
      </c>
      <c r="C4208" s="71" t="s">
        <v>129</v>
      </c>
      <c r="D4208" s="71">
        <v>7</v>
      </c>
      <c r="E4208" s="102">
        <v>272000</v>
      </c>
      <c r="F4208" s="102">
        <f t="shared" si="2104"/>
        <v>2094400.0000000002</v>
      </c>
      <c r="G4208" s="102">
        <f t="shared" si="2105"/>
        <v>1904000</v>
      </c>
      <c r="H4208" s="165" t="s">
        <v>142</v>
      </c>
      <c r="I4208" s="71" t="s">
        <v>142</v>
      </c>
      <c r="J4208" s="53">
        <f t="shared" si="2102"/>
        <v>414400</v>
      </c>
      <c r="K4208" s="63">
        <f t="shared" si="2092"/>
        <v>0.21764705882352939</v>
      </c>
      <c r="L4208" s="871" t="s">
        <v>3048</v>
      </c>
      <c r="M4208" s="468" t="s">
        <v>2050</v>
      </c>
      <c r="N4208" s="1192">
        <f t="shared" si="2093"/>
        <v>44397</v>
      </c>
      <c r="O4208" s="71" t="s">
        <v>149</v>
      </c>
      <c r="P4208" s="164" t="str">
        <f t="shared" si="2088"/>
        <v>세정포-XL106</v>
      </c>
      <c r="Q4208" s="71">
        <f t="shared" si="2106"/>
        <v>7</v>
      </c>
      <c r="R4208" s="102">
        <v>212800</v>
      </c>
      <c r="S4208" s="102">
        <f t="shared" si="2100"/>
        <v>1638560.0000000002</v>
      </c>
      <c r="T4208" s="102">
        <f t="shared" si="2101"/>
        <v>1489600</v>
      </c>
      <c r="U4208" s="71" t="str">
        <f t="shared" si="2103"/>
        <v>O</v>
      </c>
      <c r="V4208" s="71"/>
      <c r="W4208" s="474">
        <f>(G4208-T4208)</f>
        <v>414400</v>
      </c>
      <c r="X4208" s="71"/>
      <c r="Y4208" s="71"/>
    </row>
    <row r="4209" spans="1:25" s="209" customFormat="1" ht="30" hidden="1" customHeight="1" x14ac:dyDescent="0.2">
      <c r="A4209" s="1145">
        <v>44397</v>
      </c>
      <c r="B4209" s="664" t="s">
        <v>2353</v>
      </c>
      <c r="C4209" s="71" t="s">
        <v>138</v>
      </c>
      <c r="D4209" s="71">
        <v>10</v>
      </c>
      <c r="E4209" s="102">
        <v>54400</v>
      </c>
      <c r="F4209" s="102">
        <f t="shared" si="2104"/>
        <v>598400</v>
      </c>
      <c r="G4209" s="102">
        <f t="shared" si="2105"/>
        <v>544000</v>
      </c>
      <c r="H4209" s="165" t="s">
        <v>142</v>
      </c>
      <c r="I4209" s="71" t="s">
        <v>142</v>
      </c>
      <c r="J4209" s="53">
        <f t="shared" si="2102"/>
        <v>136000</v>
      </c>
      <c r="K4209" s="63">
        <f t="shared" si="2092"/>
        <v>0.25</v>
      </c>
      <c r="L4209" s="871" t="s">
        <v>3048</v>
      </c>
      <c r="M4209" s="468" t="s">
        <v>2214</v>
      </c>
      <c r="N4209" s="1192">
        <f t="shared" si="2093"/>
        <v>44397</v>
      </c>
      <c r="O4209" s="71" t="s">
        <v>2030</v>
      </c>
      <c r="P4209" s="164" t="str">
        <f t="shared" si="2088"/>
        <v>매엽용 세척제(Wash 562)</v>
      </c>
      <c r="Q4209" s="71">
        <f t="shared" si="2106"/>
        <v>10</v>
      </c>
      <c r="R4209" s="102">
        <v>40800</v>
      </c>
      <c r="S4209" s="102">
        <f t="shared" si="2100"/>
        <v>448800.00000000006</v>
      </c>
      <c r="T4209" s="102">
        <f t="shared" si="2101"/>
        <v>408000</v>
      </c>
      <c r="U4209" s="71" t="str">
        <f t="shared" si="2103"/>
        <v>O</v>
      </c>
      <c r="V4209" s="71"/>
      <c r="W4209" s="474">
        <f>(G4209-T4209)</f>
        <v>136000</v>
      </c>
      <c r="X4209" s="71"/>
      <c r="Y4209" s="71"/>
    </row>
    <row r="4210" spans="1:25" s="209" customFormat="1" ht="30" hidden="1" customHeight="1" x14ac:dyDescent="0.2">
      <c r="A4210" s="1145">
        <v>44397</v>
      </c>
      <c r="B4210" s="664" t="s">
        <v>2353</v>
      </c>
      <c r="C4210" s="71" t="s">
        <v>130</v>
      </c>
      <c r="D4210" s="71">
        <v>10</v>
      </c>
      <c r="E4210" s="102">
        <v>125000</v>
      </c>
      <c r="F4210" s="102">
        <f t="shared" si="2104"/>
        <v>1375000</v>
      </c>
      <c r="G4210" s="102">
        <f t="shared" si="2105"/>
        <v>1250000</v>
      </c>
      <c r="H4210" s="165" t="s">
        <v>142</v>
      </c>
      <c r="I4210" s="71" t="s">
        <v>142</v>
      </c>
      <c r="J4210" s="53">
        <f t="shared" si="2102"/>
        <v>260000</v>
      </c>
      <c r="K4210" s="63">
        <f t="shared" si="2092"/>
        <v>0.20799999999999999</v>
      </c>
      <c r="L4210" s="871" t="s">
        <v>3048</v>
      </c>
      <c r="M4210" s="468" t="s">
        <v>2050</v>
      </c>
      <c r="N4210" s="1192">
        <f t="shared" si="2093"/>
        <v>44397</v>
      </c>
      <c r="O4210" s="71" t="s">
        <v>150</v>
      </c>
      <c r="P4210" s="164" t="str">
        <f t="shared" si="2088"/>
        <v>XL106 Blanket(1077*885)</v>
      </c>
      <c r="Q4210" s="71">
        <f t="shared" si="2106"/>
        <v>10</v>
      </c>
      <c r="R4210" s="102">
        <v>99000</v>
      </c>
      <c r="S4210" s="102">
        <f t="shared" si="2100"/>
        <v>1089000</v>
      </c>
      <c r="T4210" s="102">
        <f t="shared" si="2101"/>
        <v>990000</v>
      </c>
      <c r="U4210" s="71" t="str">
        <f t="shared" si="2103"/>
        <v>O</v>
      </c>
      <c r="V4210" s="71"/>
      <c r="W4210" s="474">
        <f>(G4210-T4210)</f>
        <v>260000</v>
      </c>
      <c r="X4210" s="71"/>
      <c r="Y4210" s="71"/>
    </row>
    <row r="4211" spans="1:25" ht="30" hidden="1" customHeight="1" x14ac:dyDescent="0.2">
      <c r="A4211" s="1145">
        <v>44397</v>
      </c>
      <c r="B4211" s="664" t="s">
        <v>2353</v>
      </c>
      <c r="C4211" s="71" t="s">
        <v>584</v>
      </c>
      <c r="D4211" s="71">
        <v>5</v>
      </c>
      <c r="E4211" s="102">
        <v>270000</v>
      </c>
      <c r="F4211" s="102">
        <f t="shared" si="2104"/>
        <v>1485000.0000000002</v>
      </c>
      <c r="G4211" s="102">
        <f t="shared" si="2105"/>
        <v>1350000</v>
      </c>
      <c r="H4211" s="165" t="s">
        <v>142</v>
      </c>
      <c r="I4211" s="71" t="s">
        <v>142</v>
      </c>
      <c r="J4211" s="53">
        <f t="shared" si="2102"/>
        <v>270000</v>
      </c>
      <c r="K4211" s="63">
        <f t="shared" si="2092"/>
        <v>0.19999999999999996</v>
      </c>
      <c r="L4211" s="871" t="s">
        <v>3048</v>
      </c>
      <c r="M4211" s="468"/>
      <c r="N4211" s="1192">
        <f t="shared" si="2093"/>
        <v>44397</v>
      </c>
      <c r="O4211" s="71" t="s">
        <v>150</v>
      </c>
      <c r="P4211" s="164" t="str">
        <f t="shared" si="2088"/>
        <v>데리바리 석션벨트</v>
      </c>
      <c r="Q4211" s="71">
        <f t="shared" si="2106"/>
        <v>5</v>
      </c>
      <c r="R4211" s="102">
        <v>216000</v>
      </c>
      <c r="S4211" s="102">
        <f t="shared" si="2100"/>
        <v>1188000</v>
      </c>
      <c r="T4211" s="102">
        <f t="shared" si="2101"/>
        <v>1080000</v>
      </c>
      <c r="U4211" s="71" t="str">
        <f t="shared" si="2103"/>
        <v>O</v>
      </c>
      <c r="V4211" s="71"/>
      <c r="W4211" s="474">
        <f>(G4211-T4211)</f>
        <v>270000</v>
      </c>
      <c r="X4211" s="71"/>
      <c r="Y4211" s="71"/>
    </row>
    <row r="4212" spans="1:25" ht="30" hidden="1" customHeight="1" x14ac:dyDescent="0.2">
      <c r="A4212" s="1145">
        <v>44397</v>
      </c>
      <c r="B4212" s="664" t="s">
        <v>2353</v>
      </c>
      <c r="C4212" s="71" t="s">
        <v>2137</v>
      </c>
      <c r="D4212" s="71">
        <v>2</v>
      </c>
      <c r="E4212" s="102">
        <v>110000</v>
      </c>
      <c r="F4212" s="102">
        <f t="shared" si="2104"/>
        <v>242000.00000000003</v>
      </c>
      <c r="G4212" s="102">
        <f t="shared" si="2105"/>
        <v>220000</v>
      </c>
      <c r="H4212" s="165" t="s">
        <v>142</v>
      </c>
      <c r="I4212" s="71" t="s">
        <v>142</v>
      </c>
      <c r="J4212" s="53">
        <f t="shared" si="2102"/>
        <v>30000</v>
      </c>
      <c r="K4212" s="63">
        <f t="shared" si="2092"/>
        <v>0.13636363636363635</v>
      </c>
      <c r="L4212" s="871" t="s">
        <v>3048</v>
      </c>
      <c r="M4212" s="468"/>
      <c r="N4212" s="1192">
        <f t="shared" si="2093"/>
        <v>44397</v>
      </c>
      <c r="O4212" s="71" t="s">
        <v>2030</v>
      </c>
      <c r="P4212" s="164" t="str">
        <f t="shared" si="2088"/>
        <v>잉크집 아스테이지</v>
      </c>
      <c r="Q4212" s="71">
        <f t="shared" si="2106"/>
        <v>2</v>
      </c>
      <c r="R4212" s="102">
        <v>95000</v>
      </c>
      <c r="S4212" s="102">
        <f t="shared" si="2100"/>
        <v>209000.00000000003</v>
      </c>
      <c r="T4212" s="102">
        <f t="shared" si="2101"/>
        <v>190000</v>
      </c>
      <c r="U4212" s="71"/>
      <c r="V4212" s="71"/>
      <c r="W4212" s="474"/>
      <c r="X4212" s="71"/>
      <c r="Y4212" s="71"/>
    </row>
    <row r="4213" spans="1:25" ht="30" hidden="1" customHeight="1" x14ac:dyDescent="0.25">
      <c r="A4213" s="1145">
        <v>44397</v>
      </c>
      <c r="B4213" s="664" t="s">
        <v>446</v>
      </c>
      <c r="C4213" s="71" t="s">
        <v>2028</v>
      </c>
      <c r="D4213" s="71">
        <v>20</v>
      </c>
      <c r="E4213" s="102">
        <v>105000</v>
      </c>
      <c r="F4213" s="102">
        <f t="shared" si="2104"/>
        <v>2310000</v>
      </c>
      <c r="G4213" s="102">
        <f t="shared" si="2105"/>
        <v>2100000</v>
      </c>
      <c r="H4213" s="690" t="s">
        <v>2029</v>
      </c>
      <c r="I4213" s="71" t="s">
        <v>2231</v>
      </c>
      <c r="J4213" s="53">
        <f t="shared" si="2102"/>
        <v>520000</v>
      </c>
      <c r="K4213" s="63">
        <f t="shared" si="2092"/>
        <v>0.24761904761904763</v>
      </c>
      <c r="L4213" s="871" t="s">
        <v>3048</v>
      </c>
      <c r="M4213" s="468"/>
      <c r="N4213" s="1192">
        <f t="shared" si="2093"/>
        <v>44397</v>
      </c>
      <c r="O4213" s="71" t="s">
        <v>2030</v>
      </c>
      <c r="P4213" s="164" t="str">
        <f t="shared" si="2088"/>
        <v>실리콘 에멀전</v>
      </c>
      <c r="Q4213" s="71">
        <f t="shared" si="2106"/>
        <v>20</v>
      </c>
      <c r="R4213" s="102">
        <v>79000</v>
      </c>
      <c r="S4213" s="102">
        <f t="shared" si="2100"/>
        <v>1738000.0000000002</v>
      </c>
      <c r="T4213" s="102">
        <f t="shared" si="2101"/>
        <v>1580000</v>
      </c>
      <c r="U4213" s="71" t="str">
        <f t="shared" ref="U4213:U4219" si="2107">IF(J4213=W4213,"O", "X")</f>
        <v>O</v>
      </c>
      <c r="V4213" s="71">
        <f>7000*Q4213</f>
        <v>140000</v>
      </c>
      <c r="W4213" s="474">
        <f>(G4213-T4213)</f>
        <v>520000</v>
      </c>
      <c r="X4213" s="71"/>
      <c r="Y4213" s="71"/>
    </row>
    <row r="4214" spans="1:25" ht="30" hidden="1" customHeight="1" x14ac:dyDescent="0.25">
      <c r="A4214" s="1145">
        <v>44398</v>
      </c>
      <c r="B4214" s="664" t="s">
        <v>545</v>
      </c>
      <c r="C4214" s="71" t="s">
        <v>227</v>
      </c>
      <c r="D4214" s="71">
        <v>10</v>
      </c>
      <c r="E4214" s="102">
        <v>110000</v>
      </c>
      <c r="F4214" s="102">
        <f t="shared" si="2104"/>
        <v>1210000</v>
      </c>
      <c r="G4214" s="102">
        <f t="shared" si="2105"/>
        <v>1100000</v>
      </c>
      <c r="H4214" s="690" t="s">
        <v>173</v>
      </c>
      <c r="I4214" s="71" t="s">
        <v>109</v>
      </c>
      <c r="J4214" s="53">
        <f t="shared" si="2102"/>
        <v>271000</v>
      </c>
      <c r="K4214" s="63">
        <f t="shared" si="2092"/>
        <v>0.24636363636363637</v>
      </c>
      <c r="L4214" s="871" t="s">
        <v>3048</v>
      </c>
      <c r="M4214" s="468"/>
      <c r="N4214" s="1192">
        <f t="shared" si="2093"/>
        <v>44398</v>
      </c>
      <c r="O4214" s="71" t="s">
        <v>147</v>
      </c>
      <c r="P4214" s="164" t="str">
        <f t="shared" si="2088"/>
        <v>Blanket(1060*860)</v>
      </c>
      <c r="Q4214" s="71">
        <f t="shared" si="2106"/>
        <v>10</v>
      </c>
      <c r="R4214" s="102">
        <v>82900</v>
      </c>
      <c r="S4214" s="102">
        <f t="shared" si="2100"/>
        <v>911900.00000000012</v>
      </c>
      <c r="T4214" s="102">
        <f t="shared" si="2101"/>
        <v>829000</v>
      </c>
      <c r="U4214" s="71" t="str">
        <f t="shared" si="2107"/>
        <v>O</v>
      </c>
      <c r="V4214" s="71"/>
      <c r="W4214" s="474">
        <f>(G4214-T4214)</f>
        <v>271000</v>
      </c>
      <c r="X4214" s="71"/>
      <c r="Y4214" s="71"/>
    </row>
    <row r="4215" spans="1:25" s="209" customFormat="1" ht="30" hidden="1" customHeight="1" x14ac:dyDescent="0.2">
      <c r="A4215" s="1145">
        <v>44398</v>
      </c>
      <c r="B4215" s="664" t="s">
        <v>2261</v>
      </c>
      <c r="C4215" s="71" t="s">
        <v>107</v>
      </c>
      <c r="D4215" s="71">
        <v>10</v>
      </c>
      <c r="E4215" s="102">
        <v>108000</v>
      </c>
      <c r="F4215" s="102">
        <f t="shared" si="2104"/>
        <v>1188000</v>
      </c>
      <c r="G4215" s="102">
        <f t="shared" si="2105"/>
        <v>1080000</v>
      </c>
      <c r="H4215" s="165" t="s">
        <v>172</v>
      </c>
      <c r="I4215" s="71" t="s">
        <v>109</v>
      </c>
      <c r="J4215" s="53">
        <f t="shared" si="2102"/>
        <v>275000</v>
      </c>
      <c r="K4215" s="63">
        <f t="shared" si="2092"/>
        <v>0.25462962962962965</v>
      </c>
      <c r="L4215" s="871" t="s">
        <v>3048</v>
      </c>
      <c r="M4215" s="468"/>
      <c r="N4215" s="1192">
        <f t="shared" si="2093"/>
        <v>44398</v>
      </c>
      <c r="O4215" s="71" t="s">
        <v>147</v>
      </c>
      <c r="P4215" s="164" t="str">
        <f t="shared" si="2088"/>
        <v>Blanket(1050*840)</v>
      </c>
      <c r="Q4215" s="71">
        <f t="shared" si="2106"/>
        <v>10</v>
      </c>
      <c r="R4215" s="102">
        <v>80500</v>
      </c>
      <c r="S4215" s="102">
        <f t="shared" si="2100"/>
        <v>885500.00000000012</v>
      </c>
      <c r="T4215" s="102">
        <f t="shared" si="2101"/>
        <v>805000</v>
      </c>
      <c r="U4215" s="71" t="str">
        <f t="shared" si="2107"/>
        <v>O</v>
      </c>
      <c r="V4215" s="71"/>
      <c r="W4215" s="474">
        <v>275000</v>
      </c>
      <c r="X4215" s="71"/>
      <c r="Y4215" s="71"/>
    </row>
    <row r="4216" spans="1:25" ht="30" customHeight="1" x14ac:dyDescent="0.2">
      <c r="A4216" s="1145">
        <v>44400</v>
      </c>
      <c r="B4216" s="664" t="s">
        <v>565</v>
      </c>
      <c r="C4216" s="71" t="s">
        <v>2081</v>
      </c>
      <c r="D4216" s="71">
        <v>100</v>
      </c>
      <c r="E4216" s="102">
        <v>69000</v>
      </c>
      <c r="F4216" s="102">
        <f t="shared" ref="F4216:F4223" si="2108">(E4216*D4216)*1.1</f>
        <v>7590000.0000000009</v>
      </c>
      <c r="G4216" s="102">
        <f t="shared" ref="G4216:G4223" si="2109">(E4216*D4216)</f>
        <v>6900000</v>
      </c>
      <c r="H4216" s="165" t="s">
        <v>173</v>
      </c>
      <c r="I4216" s="71" t="s">
        <v>108</v>
      </c>
      <c r="J4216" s="53">
        <f t="shared" si="2102"/>
        <v>1800000</v>
      </c>
      <c r="K4216" s="63">
        <f t="shared" si="2092"/>
        <v>0.26086956521739124</v>
      </c>
      <c r="L4216" s="871" t="s">
        <v>3048</v>
      </c>
      <c r="M4216" s="468"/>
      <c r="N4216" s="1192">
        <f t="shared" si="2093"/>
        <v>44400</v>
      </c>
      <c r="O4216" s="71" t="s">
        <v>599</v>
      </c>
      <c r="P4216" s="164" t="str">
        <f t="shared" si="2088"/>
        <v>GOSS 신문윤전 습식세정포</v>
      </c>
      <c r="Q4216" s="71">
        <f t="shared" ref="Q4216:Q4223" si="2110">D4216</f>
        <v>100</v>
      </c>
      <c r="R4216" s="102">
        <v>51000</v>
      </c>
      <c r="S4216" s="102">
        <f t="shared" si="2100"/>
        <v>5610000</v>
      </c>
      <c r="T4216" s="102">
        <f t="shared" si="2101"/>
        <v>5100000</v>
      </c>
      <c r="U4216" s="71" t="str">
        <f t="shared" si="2107"/>
        <v>X</v>
      </c>
      <c r="V4216" s="71"/>
      <c r="W4216" s="474"/>
      <c r="X4216" s="71"/>
      <c r="Y4216" s="71"/>
    </row>
    <row r="4217" spans="1:25" s="209" customFormat="1" ht="30" hidden="1" customHeight="1" x14ac:dyDescent="0.25">
      <c r="A4217" s="1145">
        <v>44404</v>
      </c>
      <c r="B4217" s="664" t="s">
        <v>2155</v>
      </c>
      <c r="C4217" s="71" t="s">
        <v>138</v>
      </c>
      <c r="D4217" s="71">
        <v>10</v>
      </c>
      <c r="E4217" s="102">
        <v>47600</v>
      </c>
      <c r="F4217" s="102">
        <f t="shared" si="2108"/>
        <v>523600.00000000006</v>
      </c>
      <c r="G4217" s="102">
        <f t="shared" si="2109"/>
        <v>476000</v>
      </c>
      <c r="H4217" s="1129" t="s">
        <v>172</v>
      </c>
      <c r="I4217" s="71" t="s">
        <v>108</v>
      </c>
      <c r="J4217" s="53">
        <f t="shared" si="2102"/>
        <v>68000</v>
      </c>
      <c r="K4217" s="63">
        <f t="shared" si="2092"/>
        <v>0.14285714285714285</v>
      </c>
      <c r="L4217" s="871" t="s">
        <v>3048</v>
      </c>
      <c r="M4217" s="468" t="s">
        <v>2214</v>
      </c>
      <c r="N4217" s="1192">
        <f t="shared" si="2093"/>
        <v>44404</v>
      </c>
      <c r="O4217" s="71" t="s">
        <v>150</v>
      </c>
      <c r="P4217" s="164" t="str">
        <f t="shared" si="2088"/>
        <v>매엽용 세척제(Wash 562)</v>
      </c>
      <c r="Q4217" s="71">
        <f t="shared" si="2110"/>
        <v>10</v>
      </c>
      <c r="R4217" s="102">
        <v>40800</v>
      </c>
      <c r="S4217" s="102">
        <f t="shared" si="2100"/>
        <v>448800.00000000006</v>
      </c>
      <c r="T4217" s="102">
        <f t="shared" si="2101"/>
        <v>408000</v>
      </c>
      <c r="U4217" s="71" t="str">
        <f t="shared" si="2107"/>
        <v>X</v>
      </c>
      <c r="V4217" s="71"/>
      <c r="W4217" s="474">
        <v>85000</v>
      </c>
      <c r="X4217" s="71"/>
      <c r="Y4217" s="71"/>
    </row>
    <row r="4218" spans="1:25" ht="30" hidden="1" customHeight="1" x14ac:dyDescent="0.25">
      <c r="A4218" s="1145">
        <v>44404</v>
      </c>
      <c r="B4218" s="664" t="s">
        <v>2155</v>
      </c>
      <c r="C4218" s="71" t="s">
        <v>277</v>
      </c>
      <c r="D4218" s="71">
        <v>5</v>
      </c>
      <c r="E4218" s="102">
        <v>172000</v>
      </c>
      <c r="F4218" s="102">
        <f t="shared" si="2108"/>
        <v>946000.00000000012</v>
      </c>
      <c r="G4218" s="102">
        <f t="shared" si="2109"/>
        <v>860000</v>
      </c>
      <c r="H4218" s="690" t="s">
        <v>173</v>
      </c>
      <c r="I4218" s="71" t="s">
        <v>108</v>
      </c>
      <c r="J4218" s="53">
        <f t="shared" si="2102"/>
        <v>285000</v>
      </c>
      <c r="K4218" s="63">
        <f t="shared" si="2092"/>
        <v>0.33139534883720928</v>
      </c>
      <c r="L4218" s="871" t="s">
        <v>3048</v>
      </c>
      <c r="M4218" s="468"/>
      <c r="N4218" s="1192">
        <f t="shared" si="2093"/>
        <v>44404</v>
      </c>
      <c r="O4218" s="71" t="s">
        <v>150</v>
      </c>
      <c r="P4218" s="164" t="str">
        <f t="shared" si="2088"/>
        <v>윤전용 세척제(Web 504)</v>
      </c>
      <c r="Q4218" s="71">
        <f t="shared" si="2110"/>
        <v>5</v>
      </c>
      <c r="R4218" s="102">
        <v>115000</v>
      </c>
      <c r="S4218" s="102">
        <f t="shared" si="2100"/>
        <v>632500</v>
      </c>
      <c r="T4218" s="102">
        <f t="shared" si="2101"/>
        <v>575000</v>
      </c>
      <c r="U4218" s="71" t="str">
        <f t="shared" si="2107"/>
        <v>O</v>
      </c>
      <c r="V4218" s="71"/>
      <c r="W4218" s="474">
        <v>285000</v>
      </c>
      <c r="X4218" s="71"/>
      <c r="Y4218" s="71"/>
    </row>
    <row r="4219" spans="1:25" ht="30" hidden="1" customHeight="1" x14ac:dyDescent="0.25">
      <c r="A4219" s="1145">
        <v>44404</v>
      </c>
      <c r="B4219" s="664" t="s">
        <v>2155</v>
      </c>
      <c r="C4219" s="760" t="s">
        <v>218</v>
      </c>
      <c r="D4219" s="71">
        <v>5</v>
      </c>
      <c r="E4219" s="102">
        <v>192500</v>
      </c>
      <c r="F4219" s="102">
        <f t="shared" si="2108"/>
        <v>1058750</v>
      </c>
      <c r="G4219" s="102">
        <f t="shared" si="2109"/>
        <v>962500</v>
      </c>
      <c r="H4219" s="690" t="s">
        <v>173</v>
      </c>
      <c r="I4219" s="71" t="s">
        <v>120</v>
      </c>
      <c r="J4219" s="53">
        <f t="shared" si="2102"/>
        <v>400000</v>
      </c>
      <c r="K4219" s="63">
        <f t="shared" si="2092"/>
        <v>0.41558441558441561</v>
      </c>
      <c r="L4219" s="871" t="s">
        <v>3048</v>
      </c>
      <c r="M4219" s="468"/>
      <c r="N4219" s="1192">
        <f t="shared" si="2093"/>
        <v>44404</v>
      </c>
      <c r="O4219" s="71" t="s">
        <v>150</v>
      </c>
      <c r="P4219" s="164" t="str">
        <f t="shared" si="2088"/>
        <v>Fount Web 551AF</v>
      </c>
      <c r="Q4219" s="71">
        <f t="shared" si="2110"/>
        <v>5</v>
      </c>
      <c r="R4219" s="102">
        <v>112500</v>
      </c>
      <c r="S4219" s="102">
        <f t="shared" si="2100"/>
        <v>618750</v>
      </c>
      <c r="T4219" s="102">
        <f t="shared" si="2101"/>
        <v>562500</v>
      </c>
      <c r="U4219" s="71" t="str">
        <f t="shared" si="2107"/>
        <v>X</v>
      </c>
      <c r="V4219" s="71"/>
      <c r="W4219" s="474">
        <v>640000</v>
      </c>
      <c r="X4219" s="71"/>
      <c r="Y4219" s="71"/>
    </row>
    <row r="4220" spans="1:25" ht="30" hidden="1" customHeight="1" x14ac:dyDescent="0.25">
      <c r="A4220" s="1145">
        <v>44404</v>
      </c>
      <c r="B4220" s="664" t="s">
        <v>2155</v>
      </c>
      <c r="C4220" s="760" t="s">
        <v>1261</v>
      </c>
      <c r="D4220" s="71">
        <v>2</v>
      </c>
      <c r="E4220" s="102">
        <v>99000</v>
      </c>
      <c r="F4220" s="102">
        <f t="shared" si="2108"/>
        <v>217800.00000000003</v>
      </c>
      <c r="G4220" s="102">
        <f t="shared" si="2109"/>
        <v>198000</v>
      </c>
      <c r="H4220" s="690" t="s">
        <v>173</v>
      </c>
      <c r="I4220" s="71" t="s">
        <v>2231</v>
      </c>
      <c r="J4220" s="53">
        <f t="shared" si="2102"/>
        <v>98000</v>
      </c>
      <c r="K4220" s="63">
        <f t="shared" si="2092"/>
        <v>0.49494949494949486</v>
      </c>
      <c r="L4220" s="871" t="s">
        <v>3048</v>
      </c>
      <c r="M4220" s="468"/>
      <c r="N4220" s="1192">
        <f t="shared" si="2093"/>
        <v>44404</v>
      </c>
      <c r="O4220" s="71" t="s">
        <v>153</v>
      </c>
      <c r="P4220" s="164" t="str">
        <f t="shared" si="2088"/>
        <v>아스테이지</v>
      </c>
      <c r="Q4220" s="71">
        <f t="shared" si="2110"/>
        <v>2</v>
      </c>
      <c r="R4220" s="102">
        <v>50000</v>
      </c>
      <c r="S4220" s="102">
        <f t="shared" si="2100"/>
        <v>110000.00000000001</v>
      </c>
      <c r="T4220" s="102">
        <f t="shared" si="2101"/>
        <v>100000</v>
      </c>
      <c r="U4220" s="71"/>
      <c r="V4220" s="71"/>
      <c r="W4220" s="474"/>
      <c r="X4220" s="71"/>
      <c r="Y4220" s="71"/>
    </row>
    <row r="4221" spans="1:25" ht="30" hidden="1" customHeight="1" x14ac:dyDescent="0.25">
      <c r="A4221" s="1145">
        <v>44404</v>
      </c>
      <c r="B4221" s="664" t="s">
        <v>1178</v>
      </c>
      <c r="C4221" s="760" t="s">
        <v>3049</v>
      </c>
      <c r="D4221" s="71">
        <v>200</v>
      </c>
      <c r="E4221" s="102">
        <v>22000</v>
      </c>
      <c r="F4221" s="102">
        <f t="shared" si="2108"/>
        <v>4840000</v>
      </c>
      <c r="G4221" s="102">
        <f t="shared" si="2109"/>
        <v>4400000</v>
      </c>
      <c r="H4221" s="690" t="s">
        <v>1431</v>
      </c>
      <c r="I4221" s="71" t="s">
        <v>1431</v>
      </c>
      <c r="J4221" s="53">
        <f t="shared" si="2102"/>
        <v>2756000</v>
      </c>
      <c r="K4221" s="63">
        <f t="shared" si="2092"/>
        <v>0.62636363636363634</v>
      </c>
      <c r="L4221" s="871" t="s">
        <v>3048</v>
      </c>
      <c r="M4221" s="468"/>
      <c r="N4221" s="1192">
        <f t="shared" si="2093"/>
        <v>44404</v>
      </c>
      <c r="O4221" s="71" t="s">
        <v>2224</v>
      </c>
      <c r="P4221" s="164" t="str">
        <f t="shared" si="2088"/>
        <v>습식 엔드 씰</v>
      </c>
      <c r="Q4221" s="71">
        <f t="shared" si="2110"/>
        <v>200</v>
      </c>
      <c r="R4221" s="102">
        <v>8220</v>
      </c>
      <c r="S4221" s="102">
        <f t="shared" si="2100"/>
        <v>1808400.0000000002</v>
      </c>
      <c r="T4221" s="102">
        <f t="shared" si="2101"/>
        <v>1644000</v>
      </c>
      <c r="U4221" s="71"/>
      <c r="V4221" s="71"/>
      <c r="W4221" s="474"/>
      <c r="X4221" s="71"/>
      <c r="Y4221" s="71"/>
    </row>
    <row r="4222" spans="1:25" ht="30" hidden="1" customHeight="1" x14ac:dyDescent="0.2">
      <c r="A4222" s="1145">
        <v>44406</v>
      </c>
      <c r="B4222" s="664" t="s">
        <v>545</v>
      </c>
      <c r="C4222" s="71" t="s">
        <v>2728</v>
      </c>
      <c r="D4222" s="71">
        <v>2</v>
      </c>
      <c r="E4222" s="102">
        <v>610000</v>
      </c>
      <c r="F4222" s="163">
        <f t="shared" si="2108"/>
        <v>1342000</v>
      </c>
      <c r="G4222" s="102">
        <f t="shared" si="2109"/>
        <v>1220000</v>
      </c>
      <c r="H4222" s="690" t="s">
        <v>173</v>
      </c>
      <c r="I4222" s="71" t="s">
        <v>2184</v>
      </c>
      <c r="J4222" s="53">
        <f t="shared" si="2102"/>
        <v>888000</v>
      </c>
      <c r="K4222" s="63">
        <f t="shared" si="2092"/>
        <v>0.72786885245901645</v>
      </c>
      <c r="L4222" s="871" t="s">
        <v>3048</v>
      </c>
      <c r="M4222" s="468" t="s">
        <v>3056</v>
      </c>
      <c r="N4222" s="1192">
        <f t="shared" si="2093"/>
        <v>44406</v>
      </c>
      <c r="O4222" s="71" t="s">
        <v>2897</v>
      </c>
      <c r="P4222" s="164" t="str">
        <f t="shared" si="2088"/>
        <v>UV 램프 - 전선타입(Primarc)</v>
      </c>
      <c r="Q4222" s="71">
        <f t="shared" si="2110"/>
        <v>2</v>
      </c>
      <c r="R4222" s="102">
        <v>166000</v>
      </c>
      <c r="S4222" s="102">
        <f t="shared" si="2100"/>
        <v>365200.00000000006</v>
      </c>
      <c r="T4222" s="102">
        <f t="shared" si="2101"/>
        <v>332000</v>
      </c>
      <c r="U4222" s="71" t="str">
        <f>IF(J4222=W4222,"O", "X")</f>
        <v>X</v>
      </c>
      <c r="V4222" s="71"/>
      <c r="W4222" s="474"/>
      <c r="X4222" s="71"/>
      <c r="Y4222" s="71"/>
    </row>
    <row r="4223" spans="1:25" ht="30" hidden="1" customHeight="1" x14ac:dyDescent="0.2">
      <c r="A4223" s="1145">
        <v>44406</v>
      </c>
      <c r="B4223" s="664" t="s">
        <v>545</v>
      </c>
      <c r="C4223" s="71" t="s">
        <v>3050</v>
      </c>
      <c r="D4223" s="71">
        <v>4</v>
      </c>
      <c r="E4223" s="102">
        <v>860000</v>
      </c>
      <c r="F4223" s="163">
        <f t="shared" si="2108"/>
        <v>3784000.0000000005</v>
      </c>
      <c r="G4223" s="102">
        <f t="shared" si="2109"/>
        <v>3440000</v>
      </c>
      <c r="H4223" s="690" t="s">
        <v>173</v>
      </c>
      <c r="I4223" s="71" t="s">
        <v>2184</v>
      </c>
      <c r="J4223" s="53">
        <f t="shared" si="2102"/>
        <v>1691600</v>
      </c>
      <c r="K4223" s="63">
        <f t="shared" si="2092"/>
        <v>0.49174418604651154</v>
      </c>
      <c r="L4223" s="871" t="s">
        <v>3048</v>
      </c>
      <c r="M4223" s="468"/>
      <c r="N4223" s="1192">
        <f t="shared" si="2093"/>
        <v>44406</v>
      </c>
      <c r="O4223" s="71" t="s">
        <v>2472</v>
      </c>
      <c r="P4223" s="164" t="str">
        <f t="shared" si="2088"/>
        <v>UV 램프 - 전선타입(Honle)</v>
      </c>
      <c r="Q4223" s="71">
        <f t="shared" si="2110"/>
        <v>4</v>
      </c>
      <c r="R4223" s="102">
        <v>437100</v>
      </c>
      <c r="S4223" s="102">
        <f t="shared" si="2100"/>
        <v>1923240.0000000002</v>
      </c>
      <c r="T4223" s="102">
        <f t="shared" si="2101"/>
        <v>1748400</v>
      </c>
      <c r="U4223" s="71"/>
      <c r="V4223" s="71"/>
      <c r="W4223" s="474"/>
      <c r="X4223" s="71"/>
      <c r="Y4223" s="71"/>
    </row>
    <row r="4224" spans="1:25" ht="30" hidden="1" customHeight="1" x14ac:dyDescent="0.25">
      <c r="A4224" s="1145">
        <v>44406</v>
      </c>
      <c r="B4224" s="664" t="s">
        <v>442</v>
      </c>
      <c r="C4224" s="71" t="s">
        <v>206</v>
      </c>
      <c r="D4224" s="71">
        <v>2</v>
      </c>
      <c r="E4224" s="102">
        <v>327000</v>
      </c>
      <c r="F4224" s="102">
        <f t="shared" si="2104"/>
        <v>719400</v>
      </c>
      <c r="G4224" s="102">
        <f t="shared" si="2105"/>
        <v>654000</v>
      </c>
      <c r="H4224" s="690" t="s">
        <v>2029</v>
      </c>
      <c r="I4224" s="71" t="s">
        <v>195</v>
      </c>
      <c r="J4224" s="53">
        <f t="shared" si="2102"/>
        <v>115800</v>
      </c>
      <c r="K4224" s="63">
        <f t="shared" si="2092"/>
        <v>0.17706422018348625</v>
      </c>
      <c r="L4224" s="871" t="s">
        <v>3048</v>
      </c>
      <c r="M4224" s="468"/>
      <c r="N4224" s="1192">
        <f t="shared" si="2093"/>
        <v>44406</v>
      </c>
      <c r="O4224" s="71" t="s">
        <v>194</v>
      </c>
      <c r="P4224" s="164" t="str">
        <f t="shared" si="2088"/>
        <v>Agfa Film(24inch)</v>
      </c>
      <c r="Q4224" s="71">
        <f t="shared" si="2106"/>
        <v>2</v>
      </c>
      <c r="R4224" s="102">
        <v>269100</v>
      </c>
      <c r="S4224" s="102">
        <f t="shared" si="2100"/>
        <v>592020</v>
      </c>
      <c r="T4224" s="102">
        <f t="shared" si="2101"/>
        <v>538200</v>
      </c>
      <c r="U4224" s="71" t="str">
        <f>IF(J4224=W4224,"O", "X")</f>
        <v>O</v>
      </c>
      <c r="V4224" s="71"/>
      <c r="W4224" s="474">
        <f>(G4224-T4224)</f>
        <v>115800</v>
      </c>
      <c r="X4224" s="71"/>
      <c r="Y4224" s="71"/>
    </row>
    <row r="4225" spans="1:25" ht="30" hidden="1" customHeight="1" x14ac:dyDescent="0.25">
      <c r="A4225" s="1145">
        <v>44406</v>
      </c>
      <c r="B4225" s="664" t="s">
        <v>442</v>
      </c>
      <c r="C4225" s="71" t="s">
        <v>207</v>
      </c>
      <c r="D4225" s="71">
        <v>2</v>
      </c>
      <c r="E4225" s="102">
        <v>401000</v>
      </c>
      <c r="F4225" s="102">
        <f t="shared" ref="F4225:F4231" si="2111">(E4225*D4225)*1.1</f>
        <v>882200.00000000012</v>
      </c>
      <c r="G4225" s="102">
        <f t="shared" ref="G4225:G4231" si="2112">(E4225*D4225)</f>
        <v>802000</v>
      </c>
      <c r="H4225" s="690" t="s">
        <v>2029</v>
      </c>
      <c r="I4225" s="71" t="s">
        <v>195</v>
      </c>
      <c r="J4225" s="53">
        <f t="shared" si="2102"/>
        <v>488040</v>
      </c>
      <c r="K4225" s="63">
        <f t="shared" si="2092"/>
        <v>0.60852867830423929</v>
      </c>
      <c r="L4225" s="871" t="s">
        <v>3048</v>
      </c>
      <c r="M4225" s="468" t="s">
        <v>3033</v>
      </c>
      <c r="N4225" s="1192">
        <f t="shared" si="2093"/>
        <v>44406</v>
      </c>
      <c r="O4225" s="71" t="s">
        <v>194</v>
      </c>
      <c r="P4225" s="164" t="str">
        <f t="shared" si="2088"/>
        <v>Agfa Film(28inch)</v>
      </c>
      <c r="Q4225" s="71">
        <v>1</v>
      </c>
      <c r="R4225" s="102">
        <f>VLOOKUP(P4225,[5]Price!B$1:D$65536,3,FALSE)</f>
        <v>313960</v>
      </c>
      <c r="S4225" s="102">
        <f t="shared" si="2100"/>
        <v>345356</v>
      </c>
      <c r="T4225" s="102">
        <f t="shared" si="2101"/>
        <v>313960</v>
      </c>
      <c r="U4225" s="71" t="str">
        <f>IF(J4225=W4225,"O", "X")</f>
        <v>O</v>
      </c>
      <c r="V4225" s="71"/>
      <c r="W4225" s="474">
        <f>(G4225-T4225)</f>
        <v>488040</v>
      </c>
      <c r="X4225" s="71"/>
      <c r="Y4225" s="71"/>
    </row>
    <row r="4226" spans="1:25" ht="30" hidden="1" customHeight="1" x14ac:dyDescent="0.25">
      <c r="A4226" s="1145">
        <v>44406</v>
      </c>
      <c r="B4226" s="664" t="s">
        <v>442</v>
      </c>
      <c r="C4226" s="71" t="s">
        <v>208</v>
      </c>
      <c r="D4226" s="71">
        <v>2</v>
      </c>
      <c r="E4226" s="102">
        <v>448000</v>
      </c>
      <c r="F4226" s="102">
        <f t="shared" si="2111"/>
        <v>985600.00000000012</v>
      </c>
      <c r="G4226" s="102">
        <f t="shared" si="2112"/>
        <v>896000</v>
      </c>
      <c r="H4226" s="690" t="s">
        <v>2029</v>
      </c>
      <c r="I4226" s="71" t="s">
        <v>195</v>
      </c>
      <c r="J4226" s="53">
        <f t="shared" si="2102"/>
        <v>155980</v>
      </c>
      <c r="K4226" s="63">
        <f t="shared" si="2092"/>
        <v>0.1740848214285714</v>
      </c>
      <c r="L4226" s="871" t="s">
        <v>3048</v>
      </c>
      <c r="M4226" s="468"/>
      <c r="N4226" s="1192">
        <f t="shared" si="2093"/>
        <v>44406</v>
      </c>
      <c r="O4226" s="71" t="s">
        <v>194</v>
      </c>
      <c r="P4226" s="164" t="str">
        <f t="shared" si="2088"/>
        <v>Agfa Film(32inch)</v>
      </c>
      <c r="Q4226" s="71">
        <f t="shared" si="2106"/>
        <v>2</v>
      </c>
      <c r="R4226" s="102">
        <f>VLOOKUP(P4226,[5]Price!B$1:D$65536,3,FALSE)</f>
        <v>370010</v>
      </c>
      <c r="S4226" s="102">
        <f t="shared" ref="S4226:S4254" si="2113">R4226*Q4226*1.1</f>
        <v>814022.00000000012</v>
      </c>
      <c r="T4226" s="102">
        <f t="shared" ref="T4226:T4254" si="2114">R4226*Q4226</f>
        <v>740020</v>
      </c>
      <c r="U4226" s="71" t="str">
        <f>IF(J4226=W4226,"O", "X")</f>
        <v>O</v>
      </c>
      <c r="V4226" s="71"/>
      <c r="W4226" s="474">
        <f>(G4226-T4226)</f>
        <v>155980</v>
      </c>
      <c r="X4226" s="71"/>
      <c r="Y4226" s="71"/>
    </row>
    <row r="4227" spans="1:25" ht="30" hidden="1" customHeight="1" x14ac:dyDescent="0.2">
      <c r="A4227" s="1145">
        <v>44406</v>
      </c>
      <c r="B4227" s="664" t="s">
        <v>442</v>
      </c>
      <c r="C4227" s="71" t="s">
        <v>650</v>
      </c>
      <c r="D4227" s="71">
        <v>1</v>
      </c>
      <c r="E4227" s="102">
        <v>93000</v>
      </c>
      <c r="F4227" s="102">
        <f t="shared" si="2111"/>
        <v>102300.00000000001</v>
      </c>
      <c r="G4227" s="102">
        <f t="shared" si="2112"/>
        <v>93000</v>
      </c>
      <c r="H4227" s="165" t="s">
        <v>172</v>
      </c>
      <c r="I4227" s="71" t="s">
        <v>141</v>
      </c>
      <c r="J4227" s="53">
        <f t="shared" si="2102"/>
        <v>33000</v>
      </c>
      <c r="K4227" s="63">
        <f t="shared" si="2092"/>
        <v>0.35483870967741932</v>
      </c>
      <c r="L4227" s="871" t="s">
        <v>3048</v>
      </c>
      <c r="M4227" s="468"/>
      <c r="N4227" s="1192">
        <f t="shared" si="2093"/>
        <v>44406</v>
      </c>
      <c r="O4227" s="71" t="s">
        <v>145</v>
      </c>
      <c r="P4227" s="164" t="str">
        <f t="shared" si="2088"/>
        <v>Agfa 정착액 G333C(20L)</v>
      </c>
      <c r="Q4227" s="71">
        <f>D4227</f>
        <v>1</v>
      </c>
      <c r="R4227" s="102">
        <f>VLOOKUP(P4227,Price!B:D,3,FALSE)</f>
        <v>60000</v>
      </c>
      <c r="S4227" s="102">
        <f t="shared" si="2113"/>
        <v>66000</v>
      </c>
      <c r="T4227" s="102">
        <f t="shared" si="2114"/>
        <v>60000</v>
      </c>
      <c r="U4227" s="71" t="str">
        <f>IF(J4227=W4227,"O", "X")</f>
        <v>O</v>
      </c>
      <c r="V4227" s="71"/>
      <c r="W4227" s="474">
        <f>(G4227-T4227)</f>
        <v>33000</v>
      </c>
      <c r="X4227" s="71"/>
      <c r="Y4227" s="71"/>
    </row>
    <row r="4228" spans="1:25" ht="30" customHeight="1" x14ac:dyDescent="0.25">
      <c r="A4228" s="1145">
        <v>44407</v>
      </c>
      <c r="B4228" s="664" t="s">
        <v>565</v>
      </c>
      <c r="C4228" s="71" t="s">
        <v>3051</v>
      </c>
      <c r="D4228" s="71">
        <v>3</v>
      </c>
      <c r="E4228" s="102">
        <v>120000</v>
      </c>
      <c r="F4228" s="102">
        <f t="shared" si="2111"/>
        <v>396000.00000000006</v>
      </c>
      <c r="G4228" s="102">
        <f t="shared" si="2112"/>
        <v>360000</v>
      </c>
      <c r="H4228" s="690" t="s">
        <v>142</v>
      </c>
      <c r="I4228" s="690" t="s">
        <v>142</v>
      </c>
      <c r="J4228" s="53">
        <f t="shared" si="2102"/>
        <v>30000</v>
      </c>
      <c r="K4228" s="63">
        <f t="shared" si="2092"/>
        <v>8.3333333333333315E-2</v>
      </c>
      <c r="L4228" s="871" t="s">
        <v>3048</v>
      </c>
      <c r="M4228" s="468"/>
      <c r="N4228" s="1192">
        <f t="shared" si="2093"/>
        <v>44407</v>
      </c>
      <c r="O4228" s="71" t="s">
        <v>145</v>
      </c>
      <c r="P4228" s="164" t="str">
        <f t="shared" si="2088"/>
        <v>Agfa CTP 방문 서비스</v>
      </c>
      <c r="Q4228" s="71">
        <f>D4228</f>
        <v>3</v>
      </c>
      <c r="R4228" s="102">
        <v>110000</v>
      </c>
      <c r="S4228" s="102">
        <f t="shared" si="2113"/>
        <v>363000.00000000006</v>
      </c>
      <c r="T4228" s="102">
        <f t="shared" si="2114"/>
        <v>330000</v>
      </c>
      <c r="U4228" s="71"/>
      <c r="V4228" s="71"/>
      <c r="W4228" s="474"/>
      <c r="X4228" s="71"/>
      <c r="Y4228" s="71"/>
    </row>
    <row r="4229" spans="1:25" ht="30" customHeight="1" x14ac:dyDescent="0.25">
      <c r="A4229" s="1145">
        <v>44407</v>
      </c>
      <c r="B4229" s="664" t="s">
        <v>565</v>
      </c>
      <c r="C4229" s="71" t="s">
        <v>3047</v>
      </c>
      <c r="D4229" s="71">
        <v>3</v>
      </c>
      <c r="E4229" s="102">
        <v>520000</v>
      </c>
      <c r="F4229" s="102">
        <f t="shared" si="2111"/>
        <v>1716000.0000000002</v>
      </c>
      <c r="G4229" s="102">
        <f t="shared" si="2112"/>
        <v>1560000</v>
      </c>
      <c r="H4229" s="690" t="s">
        <v>142</v>
      </c>
      <c r="I4229" s="690" t="s">
        <v>142</v>
      </c>
      <c r="J4229" s="53">
        <f t="shared" si="2102"/>
        <v>202191</v>
      </c>
      <c r="K4229" s="63">
        <f t="shared" si="2092"/>
        <v>0.12960961538461538</v>
      </c>
      <c r="L4229" s="871" t="s">
        <v>3048</v>
      </c>
      <c r="M4229" s="468"/>
      <c r="N4229" s="1192">
        <f t="shared" si="2093"/>
        <v>44407</v>
      </c>
      <c r="O4229" s="71" t="s">
        <v>1431</v>
      </c>
      <c r="P4229" s="164" t="str">
        <f t="shared" si="2088"/>
        <v>Gear 47t</v>
      </c>
      <c r="Q4229" s="71">
        <f>D4229</f>
        <v>3</v>
      </c>
      <c r="R4229" s="102">
        <v>452603</v>
      </c>
      <c r="S4229" s="102">
        <f t="shared" si="2113"/>
        <v>1493589.9000000001</v>
      </c>
      <c r="T4229" s="102">
        <f t="shared" si="2114"/>
        <v>1357809</v>
      </c>
      <c r="U4229" s="71"/>
      <c r="V4229" s="71"/>
      <c r="W4229" s="474"/>
      <c r="X4229" s="71"/>
      <c r="Y4229" s="71"/>
    </row>
    <row r="4230" spans="1:25" ht="30" hidden="1" customHeight="1" x14ac:dyDescent="0.25">
      <c r="A4230" s="1145">
        <v>44407</v>
      </c>
      <c r="B4230" s="664" t="s">
        <v>1014</v>
      </c>
      <c r="C4230" s="71" t="s">
        <v>123</v>
      </c>
      <c r="D4230" s="71">
        <v>20</v>
      </c>
      <c r="E4230" s="102">
        <v>45000</v>
      </c>
      <c r="F4230" s="102">
        <f t="shared" si="2111"/>
        <v>990000.00000000012</v>
      </c>
      <c r="G4230" s="102">
        <f t="shared" si="2112"/>
        <v>900000</v>
      </c>
      <c r="H4230" s="690" t="s">
        <v>1432</v>
      </c>
      <c r="I4230" s="71" t="s">
        <v>1432</v>
      </c>
      <c r="J4230" s="53">
        <f t="shared" si="2102"/>
        <v>420000</v>
      </c>
      <c r="K4230" s="63">
        <f t="shared" si="2092"/>
        <v>0.46666666666666662</v>
      </c>
      <c r="L4230" s="871" t="s">
        <v>3048</v>
      </c>
      <c r="M4230" s="468"/>
      <c r="N4230" s="1192">
        <f t="shared" si="2093"/>
        <v>44407</v>
      </c>
      <c r="O4230" s="71" t="s">
        <v>1432</v>
      </c>
      <c r="P4230" s="164" t="str">
        <f t="shared" si="2088"/>
        <v>필터백</v>
      </c>
      <c r="Q4230" s="71">
        <f>D4230</f>
        <v>20</v>
      </c>
      <c r="R4230" s="102">
        <v>24000</v>
      </c>
      <c r="S4230" s="102">
        <f t="shared" si="2113"/>
        <v>528000</v>
      </c>
      <c r="T4230" s="102">
        <f t="shared" si="2114"/>
        <v>480000</v>
      </c>
      <c r="U4230" s="71"/>
      <c r="V4230" s="71"/>
      <c r="W4230" s="474"/>
      <c r="X4230" s="71"/>
      <c r="Y4230" s="71"/>
    </row>
    <row r="4231" spans="1:25" ht="30" hidden="1" customHeight="1" x14ac:dyDescent="0.25">
      <c r="A4231" s="1145">
        <v>44407</v>
      </c>
      <c r="B4231" s="664" t="s">
        <v>575</v>
      </c>
      <c r="C4231" s="71" t="s">
        <v>1367</v>
      </c>
      <c r="D4231" s="71">
        <v>8</v>
      </c>
      <c r="E4231" s="102">
        <v>218000</v>
      </c>
      <c r="F4231" s="102">
        <f t="shared" si="2111"/>
        <v>1918400.0000000002</v>
      </c>
      <c r="G4231" s="102">
        <f t="shared" si="2112"/>
        <v>1744000</v>
      </c>
      <c r="H4231" s="690" t="s">
        <v>173</v>
      </c>
      <c r="I4231" s="71" t="s">
        <v>109</v>
      </c>
      <c r="J4231" s="53">
        <f t="shared" si="2102"/>
        <v>781920</v>
      </c>
      <c r="K4231" s="63">
        <f t="shared" si="2092"/>
        <v>0.44834862385321095</v>
      </c>
      <c r="L4231" s="871" t="s">
        <v>3048</v>
      </c>
      <c r="M4231" s="468"/>
      <c r="N4231" s="1192">
        <f t="shared" si="2093"/>
        <v>44407</v>
      </c>
      <c r="O4231" s="71" t="s">
        <v>1443</v>
      </c>
      <c r="P4231" s="164" t="str">
        <f t="shared" si="2088"/>
        <v>M600 윤전 블랑켓 995*742</v>
      </c>
      <c r="Q4231" s="71">
        <f>D4231</f>
        <v>8</v>
      </c>
      <c r="R4231" s="102">
        <v>120260</v>
      </c>
      <c r="S4231" s="102">
        <f t="shared" si="2113"/>
        <v>1058288</v>
      </c>
      <c r="T4231" s="102">
        <f t="shared" si="2114"/>
        <v>962080</v>
      </c>
      <c r="U4231" s="71" t="str">
        <f t="shared" ref="U4231:U4253" si="2115">IF(J4231=W4231,"O", "X")</f>
        <v>X</v>
      </c>
      <c r="V4231" s="71"/>
      <c r="W4231" s="474"/>
      <c r="X4231" s="71"/>
      <c r="Y4231" s="71"/>
    </row>
    <row r="4232" spans="1:25" ht="30" hidden="1" customHeight="1" x14ac:dyDescent="0.25">
      <c r="A4232" s="1145">
        <v>44407</v>
      </c>
      <c r="B4232" s="664" t="s">
        <v>1051</v>
      </c>
      <c r="C4232" s="71" t="s">
        <v>1294</v>
      </c>
      <c r="D4232" s="71">
        <v>1500</v>
      </c>
      <c r="E4232" s="102">
        <v>5750</v>
      </c>
      <c r="F4232" s="102">
        <f t="shared" ref="F4232:F4253" si="2116">(E4232*D4232)*1.1</f>
        <v>9487500</v>
      </c>
      <c r="G4232" s="102">
        <f t="shared" ref="G4232:G4253" si="2117">(E4232*D4232)</f>
        <v>8625000</v>
      </c>
      <c r="H4232" s="690" t="s">
        <v>142</v>
      </c>
      <c r="I4232" s="71" t="s">
        <v>2273</v>
      </c>
      <c r="J4232" s="53">
        <f t="shared" si="2102"/>
        <v>2325000</v>
      </c>
      <c r="K4232" s="63">
        <f t="shared" si="2092"/>
        <v>0.26956521739130435</v>
      </c>
      <c r="L4232" s="871" t="s">
        <v>3048</v>
      </c>
      <c r="M4232" s="468"/>
      <c r="N4232" s="1192">
        <f t="shared" si="2093"/>
        <v>44407</v>
      </c>
      <c r="O4232" s="71" t="s">
        <v>145</v>
      </c>
      <c r="P4232" s="164" t="str">
        <f t="shared" si="2088"/>
        <v>ENGAGE 1030*790</v>
      </c>
      <c r="Q4232" s="71">
        <f t="shared" ref="Q4232:Q4251" si="2118">D4232</f>
        <v>1500</v>
      </c>
      <c r="R4232" s="102">
        <v>4200</v>
      </c>
      <c r="S4232" s="102">
        <f t="shared" si="2113"/>
        <v>6930000.0000000009</v>
      </c>
      <c r="T4232" s="102">
        <f t="shared" si="2114"/>
        <v>6300000</v>
      </c>
      <c r="U4232" s="71" t="str">
        <f t="shared" si="2115"/>
        <v>O</v>
      </c>
      <c r="V4232" s="71"/>
      <c r="W4232" s="474">
        <f t="shared" ref="W4232:W4253" si="2119">(G4232-T4232)</f>
        <v>2325000</v>
      </c>
      <c r="X4232" s="71"/>
      <c r="Y4232" s="71"/>
    </row>
    <row r="4233" spans="1:25" ht="30" hidden="1" customHeight="1" x14ac:dyDescent="0.25">
      <c r="A4233" s="1145">
        <v>44407</v>
      </c>
      <c r="B4233" s="664" t="s">
        <v>1051</v>
      </c>
      <c r="C4233" s="71" t="s">
        <v>1384</v>
      </c>
      <c r="D4233" s="71">
        <v>3200</v>
      </c>
      <c r="E4233" s="102">
        <v>3610</v>
      </c>
      <c r="F4233" s="102">
        <f t="shared" si="2116"/>
        <v>12707200.000000002</v>
      </c>
      <c r="G4233" s="102">
        <f t="shared" si="2117"/>
        <v>11552000</v>
      </c>
      <c r="H4233" s="690" t="s">
        <v>142</v>
      </c>
      <c r="I4233" s="71" t="s">
        <v>2273</v>
      </c>
      <c r="J4233" s="53">
        <f t="shared" si="2102"/>
        <v>3063839.7443775348</v>
      </c>
      <c r="K4233" s="63">
        <f t="shared" si="2092"/>
        <v>0.26522158452021594</v>
      </c>
      <c r="L4233" s="871" t="s">
        <v>3048</v>
      </c>
      <c r="M4233" s="468"/>
      <c r="N4233" s="1192">
        <f t="shared" si="2093"/>
        <v>44407</v>
      </c>
      <c r="O4233" s="71" t="s">
        <v>145</v>
      </c>
      <c r="P4233" s="164" t="str">
        <f t="shared" si="2088"/>
        <v>ENGAGE 900X571 - 27RO</v>
      </c>
      <c r="Q4233" s="71">
        <f t="shared" si="2118"/>
        <v>3200</v>
      </c>
      <c r="R4233" s="102">
        <f>R4232/1030/790*900*571</f>
        <v>2652.5500798820203</v>
      </c>
      <c r="S4233" s="102">
        <f t="shared" si="2113"/>
        <v>9336976.2811847124</v>
      </c>
      <c r="T4233" s="102">
        <f t="shared" si="2114"/>
        <v>8488160.2556224652</v>
      </c>
      <c r="U4233" s="71" t="str">
        <f t="shared" si="2115"/>
        <v>O</v>
      </c>
      <c r="V4233" s="71"/>
      <c r="W4233" s="474">
        <f t="shared" si="2119"/>
        <v>3063839.7443775348</v>
      </c>
      <c r="X4233" s="71"/>
      <c r="Y4233" s="71"/>
    </row>
    <row r="4234" spans="1:25" ht="30" hidden="1" customHeight="1" x14ac:dyDescent="0.25">
      <c r="A4234" s="1145">
        <v>44407</v>
      </c>
      <c r="B4234" s="664" t="s">
        <v>1051</v>
      </c>
      <c r="C4234" s="71" t="s">
        <v>951</v>
      </c>
      <c r="D4234" s="71">
        <v>3300</v>
      </c>
      <c r="E4234" s="102">
        <v>3450</v>
      </c>
      <c r="F4234" s="102">
        <f t="shared" si="2116"/>
        <v>12523500.000000002</v>
      </c>
      <c r="G4234" s="102">
        <f t="shared" si="2117"/>
        <v>11385000</v>
      </c>
      <c r="H4234" s="690" t="s">
        <v>142</v>
      </c>
      <c r="I4234" s="71" t="s">
        <v>2273</v>
      </c>
      <c r="J4234" s="53">
        <f t="shared" si="2102"/>
        <v>3082694.7769448198</v>
      </c>
      <c r="K4234" s="63">
        <f t="shared" si="2092"/>
        <v>0.27076809635000609</v>
      </c>
      <c r="L4234" s="871" t="s">
        <v>3048</v>
      </c>
      <c r="M4234" s="468"/>
      <c r="N4234" s="1192">
        <f t="shared" si="2093"/>
        <v>44407</v>
      </c>
      <c r="O4234" s="71" t="s">
        <v>145</v>
      </c>
      <c r="P4234" s="164" t="str">
        <f t="shared" si="2088"/>
        <v>ENGAGE 30WEB(883*552)</v>
      </c>
      <c r="Q4234" s="71">
        <f t="shared" si="2118"/>
        <v>3300</v>
      </c>
      <c r="R4234" s="102">
        <f>R4232/1030/790*883*552</f>
        <v>2515.8500675924788</v>
      </c>
      <c r="S4234" s="102">
        <f t="shared" si="2113"/>
        <v>9132535.7453606986</v>
      </c>
      <c r="T4234" s="102">
        <f t="shared" si="2114"/>
        <v>8302305.2230551802</v>
      </c>
      <c r="U4234" s="71" t="str">
        <f t="shared" si="2115"/>
        <v>O</v>
      </c>
      <c r="V4234" s="71"/>
      <c r="W4234" s="474">
        <f t="shared" si="2119"/>
        <v>3082694.7769448198</v>
      </c>
      <c r="X4234" s="71"/>
      <c r="Y4234" s="71"/>
    </row>
    <row r="4235" spans="1:25" ht="30" hidden="1" customHeight="1" x14ac:dyDescent="0.25">
      <c r="A4235" s="1145">
        <v>44407</v>
      </c>
      <c r="B4235" s="664" t="s">
        <v>1051</v>
      </c>
      <c r="C4235" s="71" t="s">
        <v>2219</v>
      </c>
      <c r="D4235" s="71">
        <v>300</v>
      </c>
      <c r="E4235" s="102">
        <v>5820</v>
      </c>
      <c r="F4235" s="102">
        <f t="shared" si="2116"/>
        <v>1920600.0000000002</v>
      </c>
      <c r="G4235" s="102">
        <f t="shared" si="2117"/>
        <v>1746000</v>
      </c>
      <c r="H4235" s="690" t="s">
        <v>142</v>
      </c>
      <c r="I4235" s="71" t="s">
        <v>2273</v>
      </c>
      <c r="J4235" s="53">
        <f t="shared" ref="J4235:J4254" si="2120">G4235-T4235</f>
        <v>470050.63291139249</v>
      </c>
      <c r="K4235" s="63">
        <f t="shared" si="2092"/>
        <v>0.26921571186219495</v>
      </c>
      <c r="L4235" s="871" t="s">
        <v>3048</v>
      </c>
      <c r="M4235" s="468"/>
      <c r="N4235" s="1192">
        <f t="shared" si="2093"/>
        <v>44407</v>
      </c>
      <c r="O4235" s="71" t="s">
        <v>145</v>
      </c>
      <c r="P4235" s="164" t="str">
        <f t="shared" ref="P4235:P4249" si="2121">(C4235)</f>
        <v>ENGAGE 1030*800</v>
      </c>
      <c r="Q4235" s="71">
        <f t="shared" si="2118"/>
        <v>300</v>
      </c>
      <c r="R4235" s="102">
        <f>R4232/1030/790*1030*800</f>
        <v>4253.164556962025</v>
      </c>
      <c r="S4235" s="102">
        <f t="shared" si="2113"/>
        <v>1403544.3037974683</v>
      </c>
      <c r="T4235" s="102">
        <f t="shared" si="2114"/>
        <v>1275949.3670886075</v>
      </c>
      <c r="U4235" s="71" t="str">
        <f t="shared" si="2115"/>
        <v>O</v>
      </c>
      <c r="V4235" s="71"/>
      <c r="W4235" s="474">
        <f t="shared" si="2119"/>
        <v>470050.63291139249</v>
      </c>
      <c r="X4235" s="71"/>
      <c r="Y4235" s="71"/>
    </row>
    <row r="4236" spans="1:25" ht="30" hidden="1" customHeight="1" x14ac:dyDescent="0.25">
      <c r="A4236" s="1145">
        <v>44407</v>
      </c>
      <c r="B4236" s="664" t="s">
        <v>1051</v>
      </c>
      <c r="C4236" s="71" t="s">
        <v>1383</v>
      </c>
      <c r="D4236" s="71">
        <v>2200</v>
      </c>
      <c r="E4236" s="102">
        <v>6030</v>
      </c>
      <c r="F4236" s="102">
        <f t="shared" si="2116"/>
        <v>14592600.000000002</v>
      </c>
      <c r="G4236" s="102">
        <f t="shared" si="2117"/>
        <v>13266000</v>
      </c>
      <c r="H4236" s="690" t="s">
        <v>142</v>
      </c>
      <c r="I4236" s="71" t="s">
        <v>2273</v>
      </c>
      <c r="J4236" s="53">
        <f t="shared" si="2120"/>
        <v>3550146.2455450427</v>
      </c>
      <c r="K4236" s="63">
        <f t="shared" ref="K4236:K4254" si="2122">(J4236/(F4236/11*10))</f>
        <v>0.26761241109189221</v>
      </c>
      <c r="L4236" s="871" t="s">
        <v>3048</v>
      </c>
      <c r="M4236" s="468"/>
      <c r="N4236" s="1192">
        <f t="shared" si="2093"/>
        <v>44407</v>
      </c>
      <c r="O4236" s="71" t="s">
        <v>145</v>
      </c>
      <c r="P4236" s="164" t="str">
        <f t="shared" si="2121"/>
        <v>ENGAGE 1055*811</v>
      </c>
      <c r="Q4236" s="71">
        <f t="shared" si="2118"/>
        <v>2200</v>
      </c>
      <c r="R4236" s="102">
        <f>R4232/1030/790*1055*811</f>
        <v>4416.29716111589</v>
      </c>
      <c r="S4236" s="102">
        <f t="shared" si="2113"/>
        <v>10687439.129900454</v>
      </c>
      <c r="T4236" s="102">
        <f t="shared" si="2114"/>
        <v>9715853.7544549573</v>
      </c>
      <c r="U4236" s="71" t="str">
        <f t="shared" si="2115"/>
        <v>O</v>
      </c>
      <c r="V4236" s="71"/>
      <c r="W4236" s="474">
        <f t="shared" si="2119"/>
        <v>3550146.2455450427</v>
      </c>
      <c r="X4236" s="71"/>
      <c r="Y4236" s="71"/>
    </row>
    <row r="4237" spans="1:25" ht="30" hidden="1" customHeight="1" x14ac:dyDescent="0.25">
      <c r="A4237" s="1145">
        <v>44407</v>
      </c>
      <c r="B4237" s="664" t="s">
        <v>1051</v>
      </c>
      <c r="C4237" s="71" t="s">
        <v>1650</v>
      </c>
      <c r="D4237" s="71"/>
      <c r="E4237" s="102">
        <v>4270</v>
      </c>
      <c r="F4237" s="102">
        <f t="shared" si="2116"/>
        <v>0</v>
      </c>
      <c r="G4237" s="102">
        <f t="shared" si="2117"/>
        <v>0</v>
      </c>
      <c r="H4237" s="690" t="s">
        <v>142</v>
      </c>
      <c r="I4237" s="71" t="s">
        <v>2273</v>
      </c>
      <c r="J4237" s="53">
        <f t="shared" si="2120"/>
        <v>0</v>
      </c>
      <c r="K4237" s="63" t="e">
        <f t="shared" si="2122"/>
        <v>#DIV/0!</v>
      </c>
      <c r="L4237" s="871" t="s">
        <v>3048</v>
      </c>
      <c r="M4237" s="468"/>
      <c r="N4237" s="1192">
        <f t="shared" ref="N4237:N4254" si="2123">A4237</f>
        <v>44407</v>
      </c>
      <c r="O4237" s="71" t="s">
        <v>145</v>
      </c>
      <c r="P4237" s="164" t="str">
        <f t="shared" si="2121"/>
        <v>ENGAGE 968*631</v>
      </c>
      <c r="Q4237" s="71">
        <f t="shared" si="2118"/>
        <v>0</v>
      </c>
      <c r="R4237" s="102">
        <f>R4232/1030/790*968*631</f>
        <v>3152.7511367825978</v>
      </c>
      <c r="S4237" s="102">
        <f t="shared" si="2113"/>
        <v>0</v>
      </c>
      <c r="T4237" s="102">
        <f t="shared" si="2114"/>
        <v>0</v>
      </c>
      <c r="U4237" s="71" t="str">
        <f t="shared" si="2115"/>
        <v>O</v>
      </c>
      <c r="V4237" s="71"/>
      <c r="W4237" s="474">
        <f t="shared" si="2119"/>
        <v>0</v>
      </c>
      <c r="X4237" s="71"/>
      <c r="Y4237" s="71"/>
    </row>
    <row r="4238" spans="1:25" ht="30" hidden="1" customHeight="1" x14ac:dyDescent="0.25">
      <c r="A4238" s="1145">
        <v>44407</v>
      </c>
      <c r="B4238" s="664" t="s">
        <v>1051</v>
      </c>
      <c r="C4238" s="71" t="s">
        <v>2619</v>
      </c>
      <c r="D4238" s="71"/>
      <c r="E4238" s="102"/>
      <c r="F4238" s="102">
        <f t="shared" si="2116"/>
        <v>0</v>
      </c>
      <c r="G4238" s="102">
        <f t="shared" si="2117"/>
        <v>0</v>
      </c>
      <c r="H4238" s="690" t="s">
        <v>142</v>
      </c>
      <c r="I4238" s="71" t="s">
        <v>2273</v>
      </c>
      <c r="J4238" s="53">
        <f t="shared" si="2120"/>
        <v>0</v>
      </c>
      <c r="K4238" s="63" t="e">
        <f t="shared" si="2122"/>
        <v>#DIV/0!</v>
      </c>
      <c r="L4238" s="871" t="s">
        <v>3048</v>
      </c>
      <c r="M4238" s="468"/>
      <c r="N4238" s="1192">
        <f t="shared" si="2123"/>
        <v>44407</v>
      </c>
      <c r="O4238" s="71" t="s">
        <v>145</v>
      </c>
      <c r="P4238" s="164" t="str">
        <f t="shared" si="2121"/>
        <v>ENGAGE 1092*800</v>
      </c>
      <c r="Q4238" s="71">
        <f t="shared" si="2118"/>
        <v>0</v>
      </c>
      <c r="R4238" s="102">
        <v>5510</v>
      </c>
      <c r="S4238" s="102">
        <f t="shared" si="2113"/>
        <v>0</v>
      </c>
      <c r="T4238" s="102">
        <f t="shared" si="2114"/>
        <v>0</v>
      </c>
      <c r="U4238" s="71" t="str">
        <f t="shared" si="2115"/>
        <v>O</v>
      </c>
      <c r="V4238" s="71"/>
      <c r="W4238" s="474">
        <f t="shared" si="2119"/>
        <v>0</v>
      </c>
      <c r="X4238" s="71"/>
      <c r="Y4238" s="71"/>
    </row>
    <row r="4239" spans="1:25" ht="30" hidden="1" customHeight="1" x14ac:dyDescent="0.25">
      <c r="A4239" s="1145">
        <v>44407</v>
      </c>
      <c r="B4239" s="664" t="s">
        <v>1051</v>
      </c>
      <c r="C4239" s="71" t="s">
        <v>1386</v>
      </c>
      <c r="D4239" s="71">
        <v>55</v>
      </c>
      <c r="E4239" s="102">
        <v>53000</v>
      </c>
      <c r="F4239" s="102">
        <f t="shared" si="2116"/>
        <v>3206500.0000000005</v>
      </c>
      <c r="G4239" s="102">
        <f t="shared" si="2117"/>
        <v>2915000</v>
      </c>
      <c r="H4239" s="690" t="s">
        <v>142</v>
      </c>
      <c r="I4239" s="71" t="s">
        <v>2273</v>
      </c>
      <c r="J4239" s="53">
        <f t="shared" si="2120"/>
        <v>990000</v>
      </c>
      <c r="K4239" s="63">
        <f t="shared" si="2122"/>
        <v>0.33962264150943389</v>
      </c>
      <c r="L4239" s="871" t="s">
        <v>3048</v>
      </c>
      <c r="M4239" s="468"/>
      <c r="N4239" s="1192">
        <f t="shared" si="2123"/>
        <v>44407</v>
      </c>
      <c r="O4239" s="71" t="s">
        <v>145</v>
      </c>
      <c r="P4239" s="164" t="str">
        <f t="shared" si="2121"/>
        <v>THR200(20L)보충액</v>
      </c>
      <c r="Q4239" s="71">
        <f t="shared" si="2118"/>
        <v>55</v>
      </c>
      <c r="R4239" s="102">
        <v>35000</v>
      </c>
      <c r="S4239" s="102">
        <f t="shared" si="2113"/>
        <v>2117500</v>
      </c>
      <c r="T4239" s="102">
        <f t="shared" si="2114"/>
        <v>1925000</v>
      </c>
      <c r="U4239" s="71" t="str">
        <f t="shared" si="2115"/>
        <v>O</v>
      </c>
      <c r="V4239" s="71"/>
      <c r="W4239" s="474">
        <f t="shared" si="2119"/>
        <v>990000</v>
      </c>
      <c r="X4239" s="71"/>
      <c r="Y4239" s="71"/>
    </row>
    <row r="4240" spans="1:25" ht="30" hidden="1" customHeight="1" x14ac:dyDescent="0.25">
      <c r="A4240" s="1145">
        <v>44407</v>
      </c>
      <c r="B4240" s="664" t="s">
        <v>1051</v>
      </c>
      <c r="C4240" s="71" t="s">
        <v>1387</v>
      </c>
      <c r="D4240" s="71">
        <v>10</v>
      </c>
      <c r="E4240" s="102">
        <v>53000</v>
      </c>
      <c r="F4240" s="102">
        <f t="shared" si="2116"/>
        <v>583000</v>
      </c>
      <c r="G4240" s="102">
        <f t="shared" si="2117"/>
        <v>530000</v>
      </c>
      <c r="H4240" s="690" t="s">
        <v>142</v>
      </c>
      <c r="I4240" s="71" t="s">
        <v>2273</v>
      </c>
      <c r="J4240" s="53">
        <f t="shared" si="2120"/>
        <v>180000</v>
      </c>
      <c r="K4240" s="63">
        <f t="shared" si="2122"/>
        <v>0.33962264150943394</v>
      </c>
      <c r="L4240" s="871" t="s">
        <v>3048</v>
      </c>
      <c r="M4240" s="468"/>
      <c r="N4240" s="1192">
        <f t="shared" si="2123"/>
        <v>44407</v>
      </c>
      <c r="O4240" s="71" t="s">
        <v>145</v>
      </c>
      <c r="P4240" s="164" t="str">
        <f t="shared" si="2121"/>
        <v>THD200(20L)현상액</v>
      </c>
      <c r="Q4240" s="71">
        <f t="shared" si="2118"/>
        <v>10</v>
      </c>
      <c r="R4240" s="102">
        <v>35000</v>
      </c>
      <c r="S4240" s="102">
        <f t="shared" si="2113"/>
        <v>385000.00000000006</v>
      </c>
      <c r="T4240" s="102">
        <f t="shared" si="2114"/>
        <v>350000</v>
      </c>
      <c r="U4240" s="71" t="str">
        <f t="shared" si="2115"/>
        <v>O</v>
      </c>
      <c r="V4240" s="71"/>
      <c r="W4240" s="474">
        <f t="shared" si="2119"/>
        <v>180000</v>
      </c>
      <c r="X4240" s="71"/>
      <c r="Y4240" s="71"/>
    </row>
    <row r="4241" spans="1:25" ht="30" hidden="1" customHeight="1" x14ac:dyDescent="0.25">
      <c r="A4241" s="1145">
        <v>44407</v>
      </c>
      <c r="B4241" s="664" t="s">
        <v>1061</v>
      </c>
      <c r="C4241" s="71" t="s">
        <v>616</v>
      </c>
      <c r="D4241" s="71">
        <v>800</v>
      </c>
      <c r="E4241" s="102">
        <v>5600</v>
      </c>
      <c r="F4241" s="102">
        <f t="shared" si="2116"/>
        <v>4928000</v>
      </c>
      <c r="G4241" s="102">
        <f t="shared" si="2117"/>
        <v>4480000</v>
      </c>
      <c r="H4241" s="690" t="s">
        <v>142</v>
      </c>
      <c r="I4241" s="71" t="s">
        <v>144</v>
      </c>
      <c r="J4241" s="53">
        <f t="shared" si="2120"/>
        <v>408000</v>
      </c>
      <c r="K4241" s="63">
        <f t="shared" si="2122"/>
        <v>9.1071428571428567E-2</v>
      </c>
      <c r="L4241" s="871" t="s">
        <v>3048</v>
      </c>
      <c r="M4241" s="468"/>
      <c r="N4241" s="1192">
        <f t="shared" si="2123"/>
        <v>44407</v>
      </c>
      <c r="O4241" s="71" t="s">
        <v>147</v>
      </c>
      <c r="P4241" s="164" t="str">
        <f t="shared" si="2121"/>
        <v>프리미어(먹)</v>
      </c>
      <c r="Q4241" s="71">
        <f t="shared" si="2118"/>
        <v>800</v>
      </c>
      <c r="R4241" s="102">
        <v>5090</v>
      </c>
      <c r="S4241" s="102">
        <f t="shared" si="2113"/>
        <v>4479200</v>
      </c>
      <c r="T4241" s="102">
        <f t="shared" si="2114"/>
        <v>4072000</v>
      </c>
      <c r="U4241" s="71" t="str">
        <f t="shared" si="2115"/>
        <v>O</v>
      </c>
      <c r="V4241" s="71"/>
      <c r="W4241" s="474">
        <f t="shared" si="2119"/>
        <v>408000</v>
      </c>
      <c r="X4241" s="71"/>
      <c r="Y4241" s="71"/>
    </row>
    <row r="4242" spans="1:25" ht="30" hidden="1" customHeight="1" x14ac:dyDescent="0.25">
      <c r="A4242" s="1145">
        <v>44407</v>
      </c>
      <c r="B4242" s="664" t="s">
        <v>1052</v>
      </c>
      <c r="C4242" s="71" t="s">
        <v>585</v>
      </c>
      <c r="D4242" s="71">
        <v>400</v>
      </c>
      <c r="E4242" s="102">
        <v>6000</v>
      </c>
      <c r="F4242" s="102">
        <f t="shared" si="2116"/>
        <v>2640000</v>
      </c>
      <c r="G4242" s="102">
        <f t="shared" si="2117"/>
        <v>2400000</v>
      </c>
      <c r="H4242" s="690" t="s">
        <v>142</v>
      </c>
      <c r="I4242" s="71" t="s">
        <v>144</v>
      </c>
      <c r="J4242" s="53">
        <f t="shared" si="2120"/>
        <v>220000</v>
      </c>
      <c r="K4242" s="63">
        <f t="shared" si="2122"/>
        <v>9.166666666666666E-2</v>
      </c>
      <c r="L4242" s="871" t="s">
        <v>3048</v>
      </c>
      <c r="M4242" s="468"/>
      <c r="N4242" s="1192">
        <f t="shared" si="2123"/>
        <v>44407</v>
      </c>
      <c r="O4242" s="71" t="s">
        <v>147</v>
      </c>
      <c r="P4242" s="164" t="str">
        <f t="shared" si="2121"/>
        <v>프리미어(적)</v>
      </c>
      <c r="Q4242" s="71">
        <f t="shared" si="2118"/>
        <v>400</v>
      </c>
      <c r="R4242" s="102">
        <v>5450</v>
      </c>
      <c r="S4242" s="102">
        <f t="shared" si="2113"/>
        <v>2398000</v>
      </c>
      <c r="T4242" s="102">
        <f t="shared" si="2114"/>
        <v>2180000</v>
      </c>
      <c r="U4242" s="71" t="str">
        <f t="shared" si="2115"/>
        <v>O</v>
      </c>
      <c r="V4242" s="71"/>
      <c r="W4242" s="474">
        <f t="shared" si="2119"/>
        <v>220000</v>
      </c>
      <c r="X4242" s="71"/>
      <c r="Y4242" s="71"/>
    </row>
    <row r="4243" spans="1:25" ht="30" hidden="1" customHeight="1" x14ac:dyDescent="0.25">
      <c r="A4243" s="1145">
        <v>44407</v>
      </c>
      <c r="B4243" s="664" t="s">
        <v>1061</v>
      </c>
      <c r="C4243" s="71" t="s">
        <v>586</v>
      </c>
      <c r="D4243" s="71">
        <v>800</v>
      </c>
      <c r="E4243" s="102">
        <v>5750</v>
      </c>
      <c r="F4243" s="102">
        <f t="shared" si="2116"/>
        <v>5060000</v>
      </c>
      <c r="G4243" s="102">
        <f t="shared" si="2117"/>
        <v>4600000</v>
      </c>
      <c r="H4243" s="690" t="s">
        <v>142</v>
      </c>
      <c r="I4243" s="71" t="s">
        <v>144</v>
      </c>
      <c r="J4243" s="53">
        <f t="shared" si="2120"/>
        <v>424000</v>
      </c>
      <c r="K4243" s="63">
        <f t="shared" si="2122"/>
        <v>9.2173913043478259E-2</v>
      </c>
      <c r="L4243" s="871" t="s">
        <v>3048</v>
      </c>
      <c r="M4243" s="468"/>
      <c r="N4243" s="1192">
        <f t="shared" si="2123"/>
        <v>44407</v>
      </c>
      <c r="O4243" s="71" t="s">
        <v>147</v>
      </c>
      <c r="P4243" s="164" t="str">
        <f t="shared" si="2121"/>
        <v>프리미어(황)</v>
      </c>
      <c r="Q4243" s="71">
        <f t="shared" si="2118"/>
        <v>800</v>
      </c>
      <c r="R4243" s="102">
        <v>5220</v>
      </c>
      <c r="S4243" s="102">
        <f t="shared" si="2113"/>
        <v>4593600</v>
      </c>
      <c r="T4243" s="102">
        <f t="shared" si="2114"/>
        <v>4176000</v>
      </c>
      <c r="U4243" s="71" t="str">
        <f t="shared" si="2115"/>
        <v>O</v>
      </c>
      <c r="V4243" s="71"/>
      <c r="W4243" s="474">
        <f t="shared" si="2119"/>
        <v>424000</v>
      </c>
      <c r="X4243" s="71"/>
      <c r="Y4243" s="71"/>
    </row>
    <row r="4244" spans="1:25" ht="30" hidden="1" customHeight="1" x14ac:dyDescent="0.25">
      <c r="A4244" s="1145">
        <v>44407</v>
      </c>
      <c r="B4244" s="664" t="s">
        <v>1061</v>
      </c>
      <c r="C4244" s="71" t="s">
        <v>587</v>
      </c>
      <c r="D4244" s="71">
        <v>600</v>
      </c>
      <c r="E4244" s="102">
        <v>7000</v>
      </c>
      <c r="F4244" s="102">
        <f t="shared" si="2116"/>
        <v>4620000</v>
      </c>
      <c r="G4244" s="102">
        <f t="shared" si="2117"/>
        <v>4200000</v>
      </c>
      <c r="H4244" s="690" t="s">
        <v>142</v>
      </c>
      <c r="I4244" s="71" t="s">
        <v>144</v>
      </c>
      <c r="J4244" s="53">
        <f t="shared" si="2120"/>
        <v>384000</v>
      </c>
      <c r="K4244" s="63">
        <f t="shared" si="2122"/>
        <v>9.1428571428571428E-2</v>
      </c>
      <c r="L4244" s="871" t="s">
        <v>3048</v>
      </c>
      <c r="M4244" s="468"/>
      <c r="N4244" s="1192">
        <f t="shared" si="2123"/>
        <v>44407</v>
      </c>
      <c r="O4244" s="71" t="s">
        <v>147</v>
      </c>
      <c r="P4244" s="164" t="str">
        <f t="shared" si="2121"/>
        <v>프리미어(청)</v>
      </c>
      <c r="Q4244" s="71">
        <f t="shared" si="2118"/>
        <v>600</v>
      </c>
      <c r="R4244" s="102">
        <v>6360</v>
      </c>
      <c r="S4244" s="102">
        <f t="shared" si="2113"/>
        <v>4197600</v>
      </c>
      <c r="T4244" s="102">
        <f t="shared" si="2114"/>
        <v>3816000</v>
      </c>
      <c r="U4244" s="71" t="str">
        <f t="shared" si="2115"/>
        <v>O</v>
      </c>
      <c r="V4244" s="71"/>
      <c r="W4244" s="474">
        <f t="shared" si="2119"/>
        <v>384000</v>
      </c>
      <c r="X4244" s="71"/>
      <c r="Y4244" s="71"/>
    </row>
    <row r="4245" spans="1:25" ht="30" hidden="1" customHeight="1" x14ac:dyDescent="0.25">
      <c r="A4245" s="1145">
        <v>44407</v>
      </c>
      <c r="B4245" s="664" t="s">
        <v>1052</v>
      </c>
      <c r="C4245" s="71" t="s">
        <v>1115</v>
      </c>
      <c r="D4245" s="71">
        <v>100</v>
      </c>
      <c r="E4245" s="102">
        <v>6200</v>
      </c>
      <c r="F4245" s="102">
        <f t="shared" si="2116"/>
        <v>682000</v>
      </c>
      <c r="G4245" s="102">
        <f t="shared" si="2117"/>
        <v>620000</v>
      </c>
      <c r="H4245" s="690" t="s">
        <v>142</v>
      </c>
      <c r="I4245" s="71" t="s">
        <v>144</v>
      </c>
      <c r="J4245" s="53">
        <f t="shared" si="2120"/>
        <v>30000</v>
      </c>
      <c r="K4245" s="63">
        <f t="shared" si="2122"/>
        <v>4.8387096774193547E-2</v>
      </c>
      <c r="L4245" s="871" t="s">
        <v>3048</v>
      </c>
      <c r="M4245" s="1197"/>
      <c r="N4245" s="1192">
        <f t="shared" si="2123"/>
        <v>44407</v>
      </c>
      <c r="O4245" s="71" t="s">
        <v>2459</v>
      </c>
      <c r="P4245" s="164" t="str">
        <f t="shared" si="2121"/>
        <v>한특 잉크(적)</v>
      </c>
      <c r="Q4245" s="71">
        <f t="shared" si="2118"/>
        <v>100</v>
      </c>
      <c r="R4245" s="102">
        <v>5900</v>
      </c>
      <c r="S4245" s="102">
        <f t="shared" si="2113"/>
        <v>649000</v>
      </c>
      <c r="T4245" s="102">
        <f t="shared" si="2114"/>
        <v>590000</v>
      </c>
      <c r="U4245" s="71" t="str">
        <f t="shared" si="2115"/>
        <v>O</v>
      </c>
      <c r="V4245" s="918"/>
      <c r="W4245" s="474">
        <f t="shared" si="2119"/>
        <v>30000</v>
      </c>
      <c r="X4245" s="71"/>
      <c r="Y4245" s="71"/>
    </row>
    <row r="4246" spans="1:25" ht="30" hidden="1" customHeight="1" x14ac:dyDescent="0.25">
      <c r="A4246" s="1145">
        <v>44407</v>
      </c>
      <c r="B4246" s="664" t="s">
        <v>1052</v>
      </c>
      <c r="C4246" s="71" t="s">
        <v>1116</v>
      </c>
      <c r="D4246" s="71"/>
      <c r="E4246" s="102">
        <v>6000</v>
      </c>
      <c r="F4246" s="102">
        <f t="shared" si="2116"/>
        <v>0</v>
      </c>
      <c r="G4246" s="102">
        <f t="shared" si="2117"/>
        <v>0</v>
      </c>
      <c r="H4246" s="690" t="s">
        <v>142</v>
      </c>
      <c r="I4246" s="71" t="s">
        <v>144</v>
      </c>
      <c r="J4246" s="53">
        <f t="shared" si="2120"/>
        <v>0</v>
      </c>
      <c r="K4246" s="63" t="e">
        <f t="shared" si="2122"/>
        <v>#DIV/0!</v>
      </c>
      <c r="L4246" s="871" t="s">
        <v>3048</v>
      </c>
      <c r="M4246" s="1197"/>
      <c r="N4246" s="1192">
        <f t="shared" si="2123"/>
        <v>44407</v>
      </c>
      <c r="O4246" s="71" t="s">
        <v>2459</v>
      </c>
      <c r="P4246" s="164" t="str">
        <f t="shared" si="2121"/>
        <v>한특 잉크(황)</v>
      </c>
      <c r="Q4246" s="71">
        <f t="shared" si="2118"/>
        <v>0</v>
      </c>
      <c r="R4246" s="102">
        <v>5500</v>
      </c>
      <c r="S4246" s="102">
        <f t="shared" si="2113"/>
        <v>0</v>
      </c>
      <c r="T4246" s="102">
        <f t="shared" si="2114"/>
        <v>0</v>
      </c>
      <c r="U4246" s="71" t="str">
        <f t="shared" si="2115"/>
        <v>O</v>
      </c>
      <c r="V4246" s="918"/>
      <c r="W4246" s="474">
        <f t="shared" si="2119"/>
        <v>0</v>
      </c>
      <c r="X4246" s="71"/>
      <c r="Y4246" s="71"/>
    </row>
    <row r="4247" spans="1:25" ht="30" hidden="1" customHeight="1" x14ac:dyDescent="0.25">
      <c r="A4247" s="1145">
        <v>44407</v>
      </c>
      <c r="B4247" s="664" t="s">
        <v>1052</v>
      </c>
      <c r="C4247" s="71" t="s">
        <v>1117</v>
      </c>
      <c r="D4247" s="71"/>
      <c r="E4247" s="102">
        <v>6500</v>
      </c>
      <c r="F4247" s="102">
        <f t="shared" si="2116"/>
        <v>0</v>
      </c>
      <c r="G4247" s="102">
        <f t="shared" si="2117"/>
        <v>0</v>
      </c>
      <c r="H4247" s="690" t="s">
        <v>142</v>
      </c>
      <c r="I4247" s="71" t="s">
        <v>144</v>
      </c>
      <c r="J4247" s="53">
        <f t="shared" si="2120"/>
        <v>0</v>
      </c>
      <c r="K4247" s="63" t="e">
        <f t="shared" si="2122"/>
        <v>#DIV/0!</v>
      </c>
      <c r="L4247" s="871" t="s">
        <v>3048</v>
      </c>
      <c r="M4247" s="1197"/>
      <c r="N4247" s="1192">
        <f t="shared" si="2123"/>
        <v>44407</v>
      </c>
      <c r="O4247" s="71" t="s">
        <v>2459</v>
      </c>
      <c r="P4247" s="164" t="str">
        <f t="shared" si="2121"/>
        <v>한특 잉크(청)</v>
      </c>
      <c r="Q4247" s="71">
        <f t="shared" si="2118"/>
        <v>0</v>
      </c>
      <c r="R4247" s="102">
        <v>5800</v>
      </c>
      <c r="S4247" s="102">
        <f t="shared" si="2113"/>
        <v>0</v>
      </c>
      <c r="T4247" s="102">
        <f t="shared" si="2114"/>
        <v>0</v>
      </c>
      <c r="U4247" s="71" t="str">
        <f t="shared" si="2115"/>
        <v>O</v>
      </c>
      <c r="V4247" s="918"/>
      <c r="W4247" s="474">
        <f t="shared" si="2119"/>
        <v>0</v>
      </c>
      <c r="X4247" s="71"/>
      <c r="Y4247" s="71"/>
    </row>
    <row r="4248" spans="1:25" ht="30" hidden="1" customHeight="1" x14ac:dyDescent="0.25">
      <c r="A4248" s="1145">
        <v>44407</v>
      </c>
      <c r="B4248" s="664" t="s">
        <v>1052</v>
      </c>
      <c r="C4248" s="71" t="s">
        <v>1118</v>
      </c>
      <c r="D4248" s="71"/>
      <c r="E4248" s="102">
        <v>5600</v>
      </c>
      <c r="F4248" s="102">
        <f t="shared" si="2116"/>
        <v>0</v>
      </c>
      <c r="G4248" s="102">
        <f t="shared" si="2117"/>
        <v>0</v>
      </c>
      <c r="H4248" s="690" t="s">
        <v>142</v>
      </c>
      <c r="I4248" s="71" t="s">
        <v>144</v>
      </c>
      <c r="J4248" s="53">
        <f t="shared" si="2120"/>
        <v>0</v>
      </c>
      <c r="K4248" s="63" t="e">
        <f t="shared" si="2122"/>
        <v>#DIV/0!</v>
      </c>
      <c r="L4248" s="871" t="s">
        <v>3048</v>
      </c>
      <c r="M4248" s="1197"/>
      <c r="N4248" s="1192">
        <f t="shared" si="2123"/>
        <v>44407</v>
      </c>
      <c r="O4248" s="71" t="s">
        <v>2459</v>
      </c>
      <c r="P4248" s="164" t="str">
        <f t="shared" si="2121"/>
        <v>한특 잉크(먹)</v>
      </c>
      <c r="Q4248" s="71">
        <f t="shared" si="2118"/>
        <v>0</v>
      </c>
      <c r="R4248" s="102">
        <v>5000</v>
      </c>
      <c r="S4248" s="102">
        <f t="shared" si="2113"/>
        <v>0</v>
      </c>
      <c r="T4248" s="102">
        <f t="shared" si="2114"/>
        <v>0</v>
      </c>
      <c r="U4248" s="71" t="str">
        <f t="shared" si="2115"/>
        <v>O</v>
      </c>
      <c r="V4248" s="918"/>
      <c r="W4248" s="474">
        <f t="shared" si="2119"/>
        <v>0</v>
      </c>
      <c r="X4248" s="71"/>
      <c r="Y4248" s="71"/>
    </row>
    <row r="4249" spans="1:25" ht="30" hidden="1" customHeight="1" x14ac:dyDescent="0.25">
      <c r="A4249" s="1145">
        <v>44407</v>
      </c>
      <c r="B4249" s="664" t="s">
        <v>1052</v>
      </c>
      <c r="C4249" s="71" t="s">
        <v>2946</v>
      </c>
      <c r="D4249" s="71"/>
      <c r="E4249" s="102">
        <v>8200</v>
      </c>
      <c r="F4249" s="102">
        <f t="shared" si="2116"/>
        <v>0</v>
      </c>
      <c r="G4249" s="102">
        <f t="shared" si="2117"/>
        <v>0</v>
      </c>
      <c r="H4249" s="690" t="s">
        <v>142</v>
      </c>
      <c r="I4249" s="71" t="s">
        <v>144</v>
      </c>
      <c r="J4249" s="53">
        <f t="shared" si="2120"/>
        <v>0</v>
      </c>
      <c r="K4249" s="63" t="e">
        <f t="shared" si="2122"/>
        <v>#DIV/0!</v>
      </c>
      <c r="L4249" s="871" t="s">
        <v>3048</v>
      </c>
      <c r="M4249" s="468"/>
      <c r="N4249" s="1192">
        <f t="shared" si="2123"/>
        <v>44407</v>
      </c>
      <c r="O4249" s="71" t="s">
        <v>147</v>
      </c>
      <c r="P4249" s="164" t="str">
        <f t="shared" si="2121"/>
        <v>아라니아 분홍 190c</v>
      </c>
      <c r="Q4249" s="71">
        <f t="shared" si="2118"/>
        <v>0</v>
      </c>
      <c r="R4249" s="102">
        <v>8700</v>
      </c>
      <c r="S4249" s="102">
        <f t="shared" si="2113"/>
        <v>0</v>
      </c>
      <c r="T4249" s="102">
        <f t="shared" si="2114"/>
        <v>0</v>
      </c>
      <c r="U4249" s="71" t="str">
        <f t="shared" si="2115"/>
        <v>O</v>
      </c>
      <c r="V4249" s="71"/>
      <c r="W4249" s="474">
        <f t="shared" si="2119"/>
        <v>0</v>
      </c>
      <c r="X4249" s="71"/>
      <c r="Y4249" s="71"/>
    </row>
    <row r="4250" spans="1:25" ht="30" hidden="1" customHeight="1" x14ac:dyDescent="0.25">
      <c r="A4250" s="1145">
        <v>44407</v>
      </c>
      <c r="B4250" s="664" t="s">
        <v>1052</v>
      </c>
      <c r="C4250" s="71" t="s">
        <v>2947</v>
      </c>
      <c r="D4250" s="71"/>
      <c r="E4250" s="102">
        <v>7700</v>
      </c>
      <c r="F4250" s="102">
        <f t="shared" si="2116"/>
        <v>0</v>
      </c>
      <c r="G4250" s="102">
        <f t="shared" si="2117"/>
        <v>0</v>
      </c>
      <c r="H4250" s="690" t="s">
        <v>142</v>
      </c>
      <c r="I4250" s="71" t="s">
        <v>144</v>
      </c>
      <c r="J4250" s="53">
        <f t="shared" si="2120"/>
        <v>0</v>
      </c>
      <c r="K4250" s="63" t="e">
        <f t="shared" si="2122"/>
        <v>#DIV/0!</v>
      </c>
      <c r="L4250" s="871" t="s">
        <v>3048</v>
      </c>
      <c r="M4250" s="468"/>
      <c r="N4250" s="1192">
        <f t="shared" si="2123"/>
        <v>44407</v>
      </c>
      <c r="O4250" s="71" t="s">
        <v>147</v>
      </c>
      <c r="P4250" s="164" t="str">
        <f>(C4250)</f>
        <v>아라니아 진분홍 1905c</v>
      </c>
      <c r="Q4250" s="71">
        <f t="shared" si="2118"/>
        <v>0</v>
      </c>
      <c r="R4250" s="102">
        <v>8100</v>
      </c>
      <c r="S4250" s="102">
        <f t="shared" si="2113"/>
        <v>0</v>
      </c>
      <c r="T4250" s="102">
        <f t="shared" si="2114"/>
        <v>0</v>
      </c>
      <c r="U4250" s="71" t="str">
        <f t="shared" si="2115"/>
        <v>O</v>
      </c>
      <c r="V4250" s="71"/>
      <c r="W4250" s="474">
        <f t="shared" si="2119"/>
        <v>0</v>
      </c>
      <c r="X4250" s="71"/>
      <c r="Y4250" s="71"/>
    </row>
    <row r="4251" spans="1:25" ht="30" hidden="1" customHeight="1" x14ac:dyDescent="0.25">
      <c r="A4251" s="1145">
        <v>44407</v>
      </c>
      <c r="B4251" s="664" t="s">
        <v>1052</v>
      </c>
      <c r="C4251" s="71" t="s">
        <v>1840</v>
      </c>
      <c r="D4251" s="71"/>
      <c r="E4251" s="102">
        <v>8000</v>
      </c>
      <c r="F4251" s="102">
        <f t="shared" si="2116"/>
        <v>0</v>
      </c>
      <c r="G4251" s="102">
        <f t="shared" si="2117"/>
        <v>0</v>
      </c>
      <c r="H4251" s="690" t="s">
        <v>142</v>
      </c>
      <c r="I4251" s="71" t="s">
        <v>144</v>
      </c>
      <c r="J4251" s="53">
        <f t="shared" si="2120"/>
        <v>0</v>
      </c>
      <c r="K4251" s="63" t="e">
        <f t="shared" si="2122"/>
        <v>#DIV/0!</v>
      </c>
      <c r="L4251" s="871" t="s">
        <v>3048</v>
      </c>
      <c r="M4251" s="468"/>
      <c r="N4251" s="1192">
        <f t="shared" si="2123"/>
        <v>44407</v>
      </c>
      <c r="O4251" s="71" t="s">
        <v>147</v>
      </c>
      <c r="P4251" s="164" t="str">
        <f>(C4251)</f>
        <v>아라니아 연청 304c</v>
      </c>
      <c r="Q4251" s="71">
        <f t="shared" si="2118"/>
        <v>0</v>
      </c>
      <c r="R4251" s="102"/>
      <c r="S4251" s="102">
        <f t="shared" si="2113"/>
        <v>0</v>
      </c>
      <c r="T4251" s="102">
        <f t="shared" si="2114"/>
        <v>0</v>
      </c>
      <c r="U4251" s="71" t="str">
        <f t="shared" si="2115"/>
        <v>O</v>
      </c>
      <c r="V4251" s="71"/>
      <c r="W4251" s="474">
        <f t="shared" si="2119"/>
        <v>0</v>
      </c>
      <c r="X4251" s="71"/>
      <c r="Y4251" s="71"/>
    </row>
    <row r="4252" spans="1:25" ht="30" hidden="1" customHeight="1" x14ac:dyDescent="0.25">
      <c r="A4252" s="1145">
        <v>44407</v>
      </c>
      <c r="B4252" s="664" t="s">
        <v>1052</v>
      </c>
      <c r="C4252" s="71" t="s">
        <v>3026</v>
      </c>
      <c r="D4252" s="71"/>
      <c r="E4252" s="102">
        <v>8600</v>
      </c>
      <c r="F4252" s="102">
        <f t="shared" si="2116"/>
        <v>0</v>
      </c>
      <c r="G4252" s="102">
        <f t="shared" si="2117"/>
        <v>0</v>
      </c>
      <c r="H4252" s="690" t="s">
        <v>142</v>
      </c>
      <c r="I4252" s="71" t="s">
        <v>144</v>
      </c>
      <c r="J4252" s="53">
        <f t="shared" si="2120"/>
        <v>0</v>
      </c>
      <c r="K4252" s="63" t="e">
        <f t="shared" si="2122"/>
        <v>#DIV/0!</v>
      </c>
      <c r="L4252" s="871" t="s">
        <v>3048</v>
      </c>
      <c r="M4252" s="468"/>
      <c r="N4252" s="1192">
        <f t="shared" si="2123"/>
        <v>44407</v>
      </c>
      <c r="O4252" s="71" t="s">
        <v>147</v>
      </c>
      <c r="P4252" s="164" t="str">
        <f>(C4252)</f>
        <v>아라니아 연분홍</v>
      </c>
      <c r="Q4252" s="71">
        <f>D4252</f>
        <v>0</v>
      </c>
      <c r="R4252" s="102">
        <v>8500</v>
      </c>
      <c r="S4252" s="102">
        <f t="shared" si="2113"/>
        <v>0</v>
      </c>
      <c r="T4252" s="102">
        <f t="shared" si="2114"/>
        <v>0</v>
      </c>
      <c r="U4252" s="71" t="str">
        <f t="shared" si="2115"/>
        <v>O</v>
      </c>
      <c r="V4252" s="71"/>
      <c r="W4252" s="474">
        <f t="shared" si="2119"/>
        <v>0</v>
      </c>
      <c r="X4252" s="71"/>
      <c r="Y4252" s="71"/>
    </row>
    <row r="4253" spans="1:25" ht="30" hidden="1" customHeight="1" x14ac:dyDescent="0.25">
      <c r="A4253" s="1145">
        <v>44407</v>
      </c>
      <c r="B4253" s="664" t="s">
        <v>1052</v>
      </c>
      <c r="C4253" s="71" t="s">
        <v>3027</v>
      </c>
      <c r="D4253" s="71"/>
      <c r="E4253" s="102">
        <v>8000</v>
      </c>
      <c r="F4253" s="102">
        <f t="shared" si="2116"/>
        <v>0</v>
      </c>
      <c r="G4253" s="102">
        <f t="shared" si="2117"/>
        <v>0</v>
      </c>
      <c r="H4253" s="690" t="s">
        <v>142</v>
      </c>
      <c r="I4253" s="71" t="s">
        <v>144</v>
      </c>
      <c r="J4253" s="53">
        <f t="shared" si="2120"/>
        <v>0</v>
      </c>
      <c r="K4253" s="63" t="e">
        <f t="shared" si="2122"/>
        <v>#DIV/0!</v>
      </c>
      <c r="L4253" s="871" t="s">
        <v>3048</v>
      </c>
      <c r="M4253" s="468"/>
      <c r="N4253" s="1192">
        <f t="shared" si="2123"/>
        <v>44407</v>
      </c>
      <c r="O4253" s="71" t="s">
        <v>147</v>
      </c>
      <c r="P4253" s="164" t="str">
        <f>(C4253)</f>
        <v>아라니아 핑크</v>
      </c>
      <c r="Q4253" s="71">
        <f>D4253</f>
        <v>0</v>
      </c>
      <c r="R4253" s="102">
        <v>8500</v>
      </c>
      <c r="S4253" s="102">
        <f t="shared" si="2113"/>
        <v>0</v>
      </c>
      <c r="T4253" s="102">
        <f t="shared" si="2114"/>
        <v>0</v>
      </c>
      <c r="U4253" s="71" t="str">
        <f t="shared" si="2115"/>
        <v>O</v>
      </c>
      <c r="V4253" s="71"/>
      <c r="W4253" s="474">
        <f t="shared" si="2119"/>
        <v>0</v>
      </c>
      <c r="X4253" s="71"/>
      <c r="Y4253" s="71"/>
    </row>
    <row r="4254" spans="1:25" ht="30" hidden="1" customHeight="1" x14ac:dyDescent="0.25">
      <c r="A4254" s="1145">
        <v>44407</v>
      </c>
      <c r="B4254" s="664" t="s">
        <v>3029</v>
      </c>
      <c r="C4254" s="71" t="s">
        <v>2577</v>
      </c>
      <c r="D4254" s="71">
        <v>1260</v>
      </c>
      <c r="E4254" s="102">
        <v>2100</v>
      </c>
      <c r="F4254" s="102">
        <f>(E4254*D4254)*1.1</f>
        <v>2910600.0000000005</v>
      </c>
      <c r="G4254" s="102">
        <f>(E4254*D4254)</f>
        <v>2646000</v>
      </c>
      <c r="H4254" s="690" t="s">
        <v>173</v>
      </c>
      <c r="I4254" s="71" t="s">
        <v>2231</v>
      </c>
      <c r="J4254" s="53">
        <f t="shared" si="2120"/>
        <v>2646000</v>
      </c>
      <c r="K4254" s="63">
        <f t="shared" si="2122"/>
        <v>0.99999999999999978</v>
      </c>
      <c r="L4254" s="871" t="s">
        <v>3048</v>
      </c>
      <c r="M4254" s="468"/>
      <c r="N4254" s="1192">
        <f t="shared" si="2123"/>
        <v>44407</v>
      </c>
      <c r="O4254" s="71" t="s">
        <v>690</v>
      </c>
      <c r="P4254" s="103" t="str">
        <f>(C4254)</f>
        <v>CTP 폐판</v>
      </c>
      <c r="Q4254" s="71">
        <f>D4254</f>
        <v>1260</v>
      </c>
      <c r="R4254" s="102">
        <v>0</v>
      </c>
      <c r="S4254" s="102">
        <f t="shared" si="2113"/>
        <v>0</v>
      </c>
      <c r="T4254" s="102">
        <f t="shared" si="2114"/>
        <v>0</v>
      </c>
      <c r="U4254" s="71"/>
      <c r="V4254" s="71"/>
      <c r="W4254" s="474"/>
      <c r="X4254" s="71"/>
      <c r="Y4254" s="71"/>
    </row>
    <row r="4255" spans="1:25" s="978" customFormat="1" ht="45" hidden="1" customHeight="1" x14ac:dyDescent="0.25">
      <c r="A4255" s="982" t="s">
        <v>3070</v>
      </c>
      <c r="B4255" s="976" t="s">
        <v>544</v>
      </c>
      <c r="C4255" s="453"/>
      <c r="D4255" s="453"/>
      <c r="E4255" s="454"/>
      <c r="F4255" s="454"/>
      <c r="G4255" s="454"/>
      <c r="H4255" s="455"/>
      <c r="I4255" s="453"/>
      <c r="J4255" s="417"/>
      <c r="K4255" s="418"/>
      <c r="L4255" s="983" t="s">
        <v>3071</v>
      </c>
      <c r="M4255" s="643"/>
      <c r="N4255" s="724" t="str">
        <f>A4255</f>
        <v>2021,8</v>
      </c>
      <c r="O4255" s="453" t="s">
        <v>154</v>
      </c>
      <c r="P4255" s="728"/>
      <c r="Q4255" s="420"/>
      <c r="R4255" s="420"/>
      <c r="S4255" s="417"/>
      <c r="T4255" s="417"/>
      <c r="U4255" s="421"/>
      <c r="V4255" s="421"/>
      <c r="W4255" s="479">
        <f>(G4255-T4255)</f>
        <v>0</v>
      </c>
      <c r="X4255" s="421"/>
      <c r="Y4255" s="421"/>
    </row>
    <row r="4256" spans="1:25" s="209" customFormat="1" ht="30" hidden="1" customHeight="1" x14ac:dyDescent="0.2">
      <c r="A4256" s="1145">
        <v>44407</v>
      </c>
      <c r="B4256" s="664" t="s">
        <v>764</v>
      </c>
      <c r="C4256" s="71" t="s">
        <v>236</v>
      </c>
      <c r="D4256" s="71">
        <v>10</v>
      </c>
      <c r="E4256" s="102">
        <v>100000</v>
      </c>
      <c r="F4256" s="163">
        <f t="shared" ref="F4256:F4267" si="2124">(E4256*D4256)*1.1</f>
        <v>1100000</v>
      </c>
      <c r="G4256" s="102">
        <f t="shared" ref="G4256:G4267" si="2125">(E4256*D4256)</f>
        <v>1000000</v>
      </c>
      <c r="H4256" s="690" t="s">
        <v>173</v>
      </c>
      <c r="I4256" s="71" t="s">
        <v>2231</v>
      </c>
      <c r="J4256" s="53">
        <f t="shared" ref="J4256:J4278" si="2126">G4256-T4256</f>
        <v>500000</v>
      </c>
      <c r="K4256" s="63">
        <f>(J4256/(F4256/11*10))</f>
        <v>0.5</v>
      </c>
      <c r="L4256" s="871" t="s">
        <v>3071</v>
      </c>
      <c r="M4256" s="468"/>
      <c r="N4256" s="1192">
        <f>A4256</f>
        <v>44407</v>
      </c>
      <c r="O4256" s="71" t="s">
        <v>153</v>
      </c>
      <c r="P4256" s="164" t="str">
        <f>(C4256)</f>
        <v>아스테이지(국전)</v>
      </c>
      <c r="Q4256" s="71">
        <f>D4256</f>
        <v>10</v>
      </c>
      <c r="R4256" s="102">
        <v>50000</v>
      </c>
      <c r="S4256" s="102">
        <f>R4256*Q4256*1.1</f>
        <v>550000</v>
      </c>
      <c r="T4256" s="102">
        <f>R4256*Q4256</f>
        <v>500000</v>
      </c>
      <c r="U4256" s="71" t="str">
        <f>IF(J4256=W4256,"O", "X")</f>
        <v>O</v>
      </c>
      <c r="V4256" s="71"/>
      <c r="W4256" s="474">
        <v>500000</v>
      </c>
      <c r="X4256" s="71"/>
      <c r="Y4256" s="71"/>
    </row>
    <row r="4257" spans="1:25" ht="30" hidden="1" customHeight="1" x14ac:dyDescent="0.25">
      <c r="A4257" s="1145">
        <v>44407</v>
      </c>
      <c r="B4257" s="664" t="s">
        <v>856</v>
      </c>
      <c r="C4257" s="71" t="s">
        <v>3091</v>
      </c>
      <c r="D4257" s="71">
        <v>2</v>
      </c>
      <c r="E4257" s="102">
        <v>650000</v>
      </c>
      <c r="F4257" s="102">
        <f t="shared" si="2124"/>
        <v>1430000</v>
      </c>
      <c r="G4257" s="102">
        <f t="shared" si="2125"/>
        <v>1300000</v>
      </c>
      <c r="H4257" s="690" t="s">
        <v>173</v>
      </c>
      <c r="I4257" s="71" t="s">
        <v>2184</v>
      </c>
      <c r="J4257" s="53">
        <f t="shared" si="2126"/>
        <v>1300000</v>
      </c>
      <c r="K4257" s="63">
        <f>(J4257/(F4257/11*10))</f>
        <v>1</v>
      </c>
      <c r="L4257" s="871" t="s">
        <v>3071</v>
      </c>
      <c r="M4257" s="468" t="s">
        <v>3093</v>
      </c>
      <c r="N4257" s="1192">
        <f>A4257</f>
        <v>44407</v>
      </c>
      <c r="O4257" s="71" t="s">
        <v>2472</v>
      </c>
      <c r="P4257" s="164" t="str">
        <f>(C4257)</f>
        <v>료비 UV lamp 델리바리용</v>
      </c>
      <c r="Q4257" s="71">
        <f>D4257</f>
        <v>2</v>
      </c>
      <c r="R4257" s="102">
        <v>330200</v>
      </c>
      <c r="S4257" s="102"/>
      <c r="T4257" s="102"/>
      <c r="U4257" s="71"/>
      <c r="V4257" s="71"/>
      <c r="W4257" s="474"/>
      <c r="X4257" s="71"/>
      <c r="Y4257" s="71"/>
    </row>
    <row r="4258" spans="1:25" ht="30" hidden="1" customHeight="1" x14ac:dyDescent="0.25">
      <c r="A4258" s="1145">
        <v>44407</v>
      </c>
      <c r="B4258" s="664" t="s">
        <v>856</v>
      </c>
      <c r="C4258" s="71" t="s">
        <v>3092</v>
      </c>
      <c r="D4258" s="71">
        <v>1</v>
      </c>
      <c r="E4258" s="102">
        <v>650000</v>
      </c>
      <c r="F4258" s="102">
        <f t="shared" si="2124"/>
        <v>715000</v>
      </c>
      <c r="G4258" s="102">
        <f t="shared" si="2125"/>
        <v>650000</v>
      </c>
      <c r="H4258" s="690" t="s">
        <v>173</v>
      </c>
      <c r="I4258" s="71" t="s">
        <v>2184</v>
      </c>
      <c r="J4258" s="53">
        <f t="shared" si="2126"/>
        <v>650000</v>
      </c>
      <c r="K4258" s="63">
        <f>(J4258/(F4258/11*10))</f>
        <v>1</v>
      </c>
      <c r="L4258" s="871" t="s">
        <v>3071</v>
      </c>
      <c r="M4258" s="468" t="s">
        <v>3094</v>
      </c>
      <c r="N4258" s="1192">
        <f>A4258</f>
        <v>44407</v>
      </c>
      <c r="O4258" s="71" t="s">
        <v>2472</v>
      </c>
      <c r="P4258" s="164" t="str">
        <f>(C4258)</f>
        <v>료비 UV lamp 인터덱용</v>
      </c>
      <c r="Q4258" s="71">
        <f>D4258</f>
        <v>1</v>
      </c>
      <c r="R4258" s="102">
        <v>330200</v>
      </c>
      <c r="S4258" s="102"/>
      <c r="T4258" s="102"/>
      <c r="U4258" s="71"/>
      <c r="V4258" s="71"/>
      <c r="W4258" s="474"/>
      <c r="X4258" s="71"/>
      <c r="Y4258" s="71"/>
    </row>
    <row r="4259" spans="1:25" ht="30" hidden="1" customHeight="1" x14ac:dyDescent="0.25">
      <c r="A4259" s="1145">
        <v>44410</v>
      </c>
      <c r="B4259" s="664" t="s">
        <v>673</v>
      </c>
      <c r="C4259" s="71" t="s">
        <v>1261</v>
      </c>
      <c r="D4259" s="71">
        <v>2</v>
      </c>
      <c r="E4259" s="102">
        <v>110000</v>
      </c>
      <c r="F4259" s="102">
        <f t="shared" si="2124"/>
        <v>242000.00000000003</v>
      </c>
      <c r="G4259" s="102">
        <f t="shared" si="2125"/>
        <v>220000</v>
      </c>
      <c r="H4259" s="690" t="s">
        <v>173</v>
      </c>
      <c r="I4259" s="71" t="s">
        <v>108</v>
      </c>
      <c r="J4259" s="53">
        <f t="shared" si="2126"/>
        <v>30000</v>
      </c>
      <c r="K4259" s="63">
        <f t="shared" ref="K4259:K4267" si="2127">(J4259/(F4259/11*10))</f>
        <v>0.13636363636363635</v>
      </c>
      <c r="L4259" s="871" t="s">
        <v>3071</v>
      </c>
      <c r="M4259" s="468"/>
      <c r="N4259" s="1192">
        <f t="shared" ref="N4259:N4324" si="2128">A4259</f>
        <v>44410</v>
      </c>
      <c r="O4259" s="71" t="s">
        <v>150</v>
      </c>
      <c r="P4259" s="164" t="str">
        <f t="shared" ref="P4259:P4307" si="2129">(C4259)</f>
        <v>아스테이지</v>
      </c>
      <c r="Q4259" s="71">
        <f t="shared" ref="Q4259:Q4278" si="2130">D4259</f>
        <v>2</v>
      </c>
      <c r="R4259" s="102">
        <v>95000</v>
      </c>
      <c r="S4259" s="102">
        <f t="shared" ref="S4259:S4303" si="2131">R4259*Q4259*1.1</f>
        <v>209000.00000000003</v>
      </c>
      <c r="T4259" s="102">
        <f t="shared" ref="T4259:T4303" si="2132">R4259*Q4259</f>
        <v>190000</v>
      </c>
      <c r="U4259" s="71" t="str">
        <f>IF(J4259=W4259,"O", "X")</f>
        <v>X</v>
      </c>
      <c r="V4259" s="71"/>
      <c r="W4259" s="474"/>
      <c r="X4259" s="71"/>
      <c r="Y4259" s="71"/>
    </row>
    <row r="4260" spans="1:25" ht="30" hidden="1" customHeight="1" x14ac:dyDescent="0.25">
      <c r="A4260" s="1145">
        <v>44411</v>
      </c>
      <c r="B4260" s="664" t="s">
        <v>809</v>
      </c>
      <c r="C4260" s="71" t="s">
        <v>1261</v>
      </c>
      <c r="D4260" s="71">
        <v>4</v>
      </c>
      <c r="E4260" s="102">
        <v>100000</v>
      </c>
      <c r="F4260" s="102">
        <f t="shared" si="2124"/>
        <v>440000.00000000006</v>
      </c>
      <c r="G4260" s="102">
        <f t="shared" si="2125"/>
        <v>400000</v>
      </c>
      <c r="H4260" s="690" t="s">
        <v>2029</v>
      </c>
      <c r="I4260" s="71" t="s">
        <v>2231</v>
      </c>
      <c r="J4260" s="53">
        <f t="shared" si="2126"/>
        <v>160000</v>
      </c>
      <c r="K4260" s="63">
        <f t="shared" si="2127"/>
        <v>0.39999999999999997</v>
      </c>
      <c r="L4260" s="871" t="s">
        <v>3071</v>
      </c>
      <c r="M4260" s="468"/>
      <c r="N4260" s="1192">
        <f t="shared" si="2128"/>
        <v>44411</v>
      </c>
      <c r="O4260" s="71" t="s">
        <v>3021</v>
      </c>
      <c r="P4260" s="164" t="str">
        <f t="shared" si="2129"/>
        <v>아스테이지</v>
      </c>
      <c r="Q4260" s="71">
        <v>4</v>
      </c>
      <c r="R4260" s="102">
        <v>60000</v>
      </c>
      <c r="S4260" s="102">
        <f t="shared" si="2131"/>
        <v>264000</v>
      </c>
      <c r="T4260" s="102">
        <f t="shared" si="2132"/>
        <v>240000</v>
      </c>
      <c r="U4260" s="71"/>
      <c r="V4260" s="71"/>
      <c r="W4260" s="474"/>
      <c r="X4260" s="71"/>
      <c r="Y4260" s="71"/>
    </row>
    <row r="4261" spans="1:25" ht="30" hidden="1" customHeight="1" x14ac:dyDescent="0.25">
      <c r="A4261" s="1145">
        <v>44411</v>
      </c>
      <c r="B4261" s="664" t="s">
        <v>548</v>
      </c>
      <c r="C4261" s="71" t="s">
        <v>2973</v>
      </c>
      <c r="D4261" s="71">
        <v>10</v>
      </c>
      <c r="E4261" s="102">
        <v>100000</v>
      </c>
      <c r="F4261" s="102">
        <f t="shared" si="2124"/>
        <v>1100000</v>
      </c>
      <c r="G4261" s="102">
        <f t="shared" si="2125"/>
        <v>1000000</v>
      </c>
      <c r="H4261" s="690" t="s">
        <v>173</v>
      </c>
      <c r="I4261" s="71" t="s">
        <v>2231</v>
      </c>
      <c r="J4261" s="53">
        <f t="shared" si="2126"/>
        <v>138000</v>
      </c>
      <c r="K4261" s="63">
        <f t="shared" si="2127"/>
        <v>0.13800000000000001</v>
      </c>
      <c r="L4261" s="871" t="s">
        <v>3071</v>
      </c>
      <c r="M4261" s="468"/>
      <c r="N4261" s="1192">
        <f t="shared" si="2128"/>
        <v>44411</v>
      </c>
      <c r="O4261" s="71" t="s">
        <v>147</v>
      </c>
      <c r="P4261" s="164" t="str">
        <f t="shared" si="2129"/>
        <v>1077*885 하이델 bar 블랑켓</v>
      </c>
      <c r="Q4261" s="71">
        <f t="shared" si="2130"/>
        <v>10</v>
      </c>
      <c r="R4261" s="102">
        <v>86200</v>
      </c>
      <c r="S4261" s="102">
        <f t="shared" si="2131"/>
        <v>948200.00000000012</v>
      </c>
      <c r="T4261" s="102">
        <f t="shared" si="2132"/>
        <v>862000</v>
      </c>
      <c r="U4261" s="71"/>
      <c r="V4261" s="71"/>
      <c r="W4261" s="474"/>
      <c r="X4261" s="71"/>
      <c r="Y4261" s="71"/>
    </row>
    <row r="4262" spans="1:25" ht="30" hidden="1" customHeight="1" x14ac:dyDescent="0.2">
      <c r="A4262" s="1145">
        <v>44412</v>
      </c>
      <c r="B4262" s="664" t="s">
        <v>548</v>
      </c>
      <c r="C4262" s="71" t="s">
        <v>107</v>
      </c>
      <c r="D4262" s="71">
        <v>20</v>
      </c>
      <c r="E4262" s="102">
        <v>90000</v>
      </c>
      <c r="F4262" s="163">
        <f t="shared" si="2124"/>
        <v>1980000.0000000002</v>
      </c>
      <c r="G4262" s="102">
        <f t="shared" si="2125"/>
        <v>1800000</v>
      </c>
      <c r="H4262" s="165" t="s">
        <v>172</v>
      </c>
      <c r="I4262" s="71" t="s">
        <v>109</v>
      </c>
      <c r="J4262" s="53">
        <f t="shared" si="2126"/>
        <v>190000</v>
      </c>
      <c r="K4262" s="63">
        <f t="shared" si="2127"/>
        <v>0.10555555555555554</v>
      </c>
      <c r="L4262" s="871" t="s">
        <v>3071</v>
      </c>
      <c r="M4262" s="468"/>
      <c r="N4262" s="1192">
        <f t="shared" si="2128"/>
        <v>44412</v>
      </c>
      <c r="O4262" s="71" t="s">
        <v>147</v>
      </c>
      <c r="P4262" s="164" t="str">
        <f t="shared" si="2129"/>
        <v>Blanket(1050*840)</v>
      </c>
      <c r="Q4262" s="71">
        <f t="shared" si="2130"/>
        <v>20</v>
      </c>
      <c r="R4262" s="102">
        <v>80500</v>
      </c>
      <c r="S4262" s="102">
        <f t="shared" si="2131"/>
        <v>1771000.0000000002</v>
      </c>
      <c r="T4262" s="102">
        <f t="shared" si="2132"/>
        <v>1610000</v>
      </c>
      <c r="U4262" s="71" t="str">
        <f>IF(J4262=W4262,"O", "X")</f>
        <v>O</v>
      </c>
      <c r="V4262" s="71"/>
      <c r="W4262" s="474">
        <f>(G4262-T4262)</f>
        <v>190000</v>
      </c>
      <c r="X4262" s="71"/>
      <c r="Y4262" s="71"/>
    </row>
    <row r="4263" spans="1:25" ht="30" hidden="1" customHeight="1" x14ac:dyDescent="0.25">
      <c r="A4263" s="1145">
        <v>44414</v>
      </c>
      <c r="B4263" s="664" t="s">
        <v>545</v>
      </c>
      <c r="C4263" s="71" t="s">
        <v>227</v>
      </c>
      <c r="D4263" s="71">
        <v>10</v>
      </c>
      <c r="E4263" s="102">
        <v>110000</v>
      </c>
      <c r="F4263" s="102">
        <f t="shared" si="2124"/>
        <v>1210000</v>
      </c>
      <c r="G4263" s="102">
        <f t="shared" si="2125"/>
        <v>1100000</v>
      </c>
      <c r="H4263" s="690" t="s">
        <v>173</v>
      </c>
      <c r="I4263" s="71" t="s">
        <v>109</v>
      </c>
      <c r="J4263" s="53">
        <f t="shared" si="2126"/>
        <v>271000</v>
      </c>
      <c r="K4263" s="63">
        <f t="shared" si="2127"/>
        <v>0.24636363636363637</v>
      </c>
      <c r="L4263" s="871" t="s">
        <v>3071</v>
      </c>
      <c r="M4263" s="468"/>
      <c r="N4263" s="1192">
        <f t="shared" si="2128"/>
        <v>44414</v>
      </c>
      <c r="O4263" s="71" t="s">
        <v>147</v>
      </c>
      <c r="P4263" s="164" t="str">
        <f t="shared" si="2129"/>
        <v>Blanket(1060*860)</v>
      </c>
      <c r="Q4263" s="71">
        <f t="shared" si="2130"/>
        <v>10</v>
      </c>
      <c r="R4263" s="102">
        <v>82900</v>
      </c>
      <c r="S4263" s="102">
        <f t="shared" si="2131"/>
        <v>911900.00000000012</v>
      </c>
      <c r="T4263" s="102">
        <f t="shared" si="2132"/>
        <v>829000</v>
      </c>
      <c r="U4263" s="71" t="str">
        <f>IF(J4263=W4263,"O", "X")</f>
        <v>O</v>
      </c>
      <c r="V4263" s="71"/>
      <c r="W4263" s="474">
        <f>(G4263-T4263)</f>
        <v>271000</v>
      </c>
      <c r="X4263" s="71"/>
      <c r="Y4263" s="71"/>
    </row>
    <row r="4264" spans="1:25" ht="30" hidden="1" customHeight="1" x14ac:dyDescent="0.25">
      <c r="A4264" s="1145">
        <v>44414</v>
      </c>
      <c r="B4264" s="664" t="s">
        <v>1178</v>
      </c>
      <c r="C4264" s="71" t="s">
        <v>3101</v>
      </c>
      <c r="D4264" s="71">
        <v>600</v>
      </c>
      <c r="E4264" s="102">
        <v>4500</v>
      </c>
      <c r="F4264" s="102">
        <f t="shared" si="2124"/>
        <v>2970000.0000000005</v>
      </c>
      <c r="G4264" s="102">
        <f t="shared" si="2125"/>
        <v>2700000</v>
      </c>
      <c r="H4264" s="690" t="s">
        <v>142</v>
      </c>
      <c r="I4264" s="103" t="s">
        <v>2273</v>
      </c>
      <c r="J4264" s="53">
        <f t="shared" si="2126"/>
        <v>984000</v>
      </c>
      <c r="K4264" s="63">
        <f>(J4264/(F4264/11*10))</f>
        <v>0.3644444444444444</v>
      </c>
      <c r="L4264" s="871" t="s">
        <v>3071</v>
      </c>
      <c r="M4264" s="468"/>
      <c r="N4264" s="1192">
        <f t="shared" si="2128"/>
        <v>44414</v>
      </c>
      <c r="O4264" s="71" t="s">
        <v>194</v>
      </c>
      <c r="P4264" s="164" t="str">
        <f t="shared" si="2129"/>
        <v>ENGAGE 27 WEB 850X780M</v>
      </c>
      <c r="Q4264" s="71">
        <f t="shared" si="2130"/>
        <v>600</v>
      </c>
      <c r="R4264" s="102">
        <v>2860</v>
      </c>
      <c r="S4264" s="102">
        <f t="shared" si="2131"/>
        <v>1887600.0000000002</v>
      </c>
      <c r="T4264" s="102">
        <f t="shared" si="2132"/>
        <v>1716000</v>
      </c>
      <c r="U4264" s="71"/>
      <c r="V4264" s="71"/>
      <c r="W4264" s="474"/>
      <c r="X4264" s="71"/>
      <c r="Y4264" s="71"/>
    </row>
    <row r="4265" spans="1:25" ht="30" hidden="1" customHeight="1" x14ac:dyDescent="0.25">
      <c r="A4265" s="1145">
        <v>44414</v>
      </c>
      <c r="B4265" s="664" t="s">
        <v>1178</v>
      </c>
      <c r="C4265" s="71" t="s">
        <v>1852</v>
      </c>
      <c r="D4265" s="71">
        <v>15</v>
      </c>
      <c r="E4265" s="102">
        <v>58000</v>
      </c>
      <c r="F4265" s="102">
        <f t="shared" si="2124"/>
        <v>957000.00000000012</v>
      </c>
      <c r="G4265" s="102">
        <f t="shared" si="2125"/>
        <v>870000</v>
      </c>
      <c r="H4265" s="690" t="s">
        <v>142</v>
      </c>
      <c r="I4265" s="103" t="s">
        <v>2273</v>
      </c>
      <c r="J4265" s="53">
        <f t="shared" si="2126"/>
        <v>266250</v>
      </c>
      <c r="K4265" s="63">
        <f>(J4265/(F4265/11*10))</f>
        <v>0.30603448275862066</v>
      </c>
      <c r="L4265" s="871" t="s">
        <v>3071</v>
      </c>
      <c r="M4265" s="468"/>
      <c r="N4265" s="1192">
        <f t="shared" si="2128"/>
        <v>44414</v>
      </c>
      <c r="O4265" s="71" t="s">
        <v>194</v>
      </c>
      <c r="P4265" s="103" t="str">
        <f t="shared" si="2129"/>
        <v>CTP 보충액</v>
      </c>
      <c r="Q4265" s="71">
        <f t="shared" si="2130"/>
        <v>15</v>
      </c>
      <c r="R4265" s="102">
        <v>40250</v>
      </c>
      <c r="S4265" s="102">
        <f t="shared" si="2131"/>
        <v>664125</v>
      </c>
      <c r="T4265" s="102">
        <f t="shared" si="2132"/>
        <v>603750</v>
      </c>
      <c r="U4265" s="71"/>
      <c r="V4265" s="71"/>
      <c r="W4265" s="474"/>
      <c r="X4265" s="71"/>
      <c r="Y4265" s="71"/>
    </row>
    <row r="4266" spans="1:25" ht="30" hidden="1" customHeight="1" x14ac:dyDescent="0.25">
      <c r="A4266" s="1145">
        <v>44414</v>
      </c>
      <c r="B4266" s="664" t="s">
        <v>1178</v>
      </c>
      <c r="C4266" s="71" t="s">
        <v>984</v>
      </c>
      <c r="D4266" s="71">
        <v>15</v>
      </c>
      <c r="E4266" s="102">
        <v>58000</v>
      </c>
      <c r="F4266" s="102">
        <f t="shared" si="2124"/>
        <v>957000.00000000012</v>
      </c>
      <c r="G4266" s="102">
        <f t="shared" si="2125"/>
        <v>870000</v>
      </c>
      <c r="H4266" s="690" t="s">
        <v>142</v>
      </c>
      <c r="I4266" s="103" t="s">
        <v>2273</v>
      </c>
      <c r="J4266" s="53">
        <f t="shared" si="2126"/>
        <v>266250</v>
      </c>
      <c r="K4266" s="63">
        <f>(J4266/(F4266/11*10))</f>
        <v>0.30603448275862066</v>
      </c>
      <c r="L4266" s="871" t="s">
        <v>3071</v>
      </c>
      <c r="M4266" s="468"/>
      <c r="N4266" s="1192">
        <f t="shared" si="2128"/>
        <v>44414</v>
      </c>
      <c r="O4266" s="71" t="s">
        <v>194</v>
      </c>
      <c r="P4266" s="103" t="str">
        <f t="shared" si="2129"/>
        <v>CTP 현상액</v>
      </c>
      <c r="Q4266" s="71">
        <f t="shared" si="2130"/>
        <v>15</v>
      </c>
      <c r="R4266" s="102">
        <v>40250</v>
      </c>
      <c r="S4266" s="102">
        <f t="shared" si="2131"/>
        <v>664125</v>
      </c>
      <c r="T4266" s="102">
        <f t="shared" si="2132"/>
        <v>603750</v>
      </c>
      <c r="U4266" s="71"/>
      <c r="V4266" s="71"/>
      <c r="W4266" s="474"/>
      <c r="X4266" s="71"/>
      <c r="Y4266" s="71"/>
    </row>
    <row r="4267" spans="1:25" ht="27.6" hidden="1" customHeight="1" x14ac:dyDescent="0.25">
      <c r="A4267" s="1145">
        <v>44415</v>
      </c>
      <c r="B4267" s="664" t="s">
        <v>567</v>
      </c>
      <c r="C4267" s="71" t="s">
        <v>1652</v>
      </c>
      <c r="D4267" s="71">
        <v>5</v>
      </c>
      <c r="E4267" s="102">
        <v>45000</v>
      </c>
      <c r="F4267" s="102">
        <f t="shared" si="2124"/>
        <v>247500.00000000003</v>
      </c>
      <c r="G4267" s="102">
        <f t="shared" si="2125"/>
        <v>225000</v>
      </c>
      <c r="H4267" s="690" t="s">
        <v>173</v>
      </c>
      <c r="I4267" s="71" t="s">
        <v>2231</v>
      </c>
      <c r="J4267" s="53">
        <f t="shared" si="2126"/>
        <v>25000</v>
      </c>
      <c r="K4267" s="63">
        <f t="shared" si="2127"/>
        <v>0.11111111111111109</v>
      </c>
      <c r="L4267" s="871" t="s">
        <v>3071</v>
      </c>
      <c r="M4267" s="468"/>
      <c r="N4267" s="1192">
        <f t="shared" si="2128"/>
        <v>44415</v>
      </c>
      <c r="O4267" s="71" t="s">
        <v>153</v>
      </c>
      <c r="P4267" s="164" t="str">
        <f t="shared" si="2129"/>
        <v>아스테이지(CD74용)</v>
      </c>
      <c r="Q4267" s="71">
        <f t="shared" si="2130"/>
        <v>5</v>
      </c>
      <c r="R4267" s="102">
        <v>40000</v>
      </c>
      <c r="S4267" s="102">
        <f t="shared" si="2131"/>
        <v>220000.00000000003</v>
      </c>
      <c r="T4267" s="102">
        <f t="shared" si="2132"/>
        <v>200000</v>
      </c>
      <c r="U4267" s="71" t="str">
        <f>IF(J4267=W4267,"O", "X")</f>
        <v>X</v>
      </c>
      <c r="V4267" s="71"/>
      <c r="W4267" s="474"/>
      <c r="X4267" s="71"/>
      <c r="Y4267" s="71"/>
    </row>
    <row r="4268" spans="1:25" ht="30" hidden="1" customHeight="1" x14ac:dyDescent="0.25">
      <c r="A4268" s="1145">
        <v>44417</v>
      </c>
      <c r="B4268" s="664" t="s">
        <v>1155</v>
      </c>
      <c r="C4268" s="71" t="s">
        <v>3072</v>
      </c>
      <c r="D4268" s="71">
        <v>1</v>
      </c>
      <c r="E4268" s="102">
        <v>1300000</v>
      </c>
      <c r="F4268" s="102">
        <f t="shared" ref="F4268:F4293" si="2133">(E4268*D4268)*1.1</f>
        <v>1430000</v>
      </c>
      <c r="G4268" s="102">
        <f t="shared" ref="G4268:G4293" si="2134">(E4268*D4268)</f>
        <v>1300000</v>
      </c>
      <c r="H4268" s="690" t="s">
        <v>1431</v>
      </c>
      <c r="I4268" s="71" t="s">
        <v>1431</v>
      </c>
      <c r="J4268" s="53">
        <f t="shared" si="2126"/>
        <v>520000</v>
      </c>
      <c r="K4268" s="63">
        <f>(J4268/(F4268/11*10))</f>
        <v>0.4</v>
      </c>
      <c r="L4268" s="871" t="s">
        <v>3071</v>
      </c>
      <c r="M4268" s="468"/>
      <c r="N4268" s="1192">
        <f t="shared" si="2128"/>
        <v>44417</v>
      </c>
      <c r="O4268" s="71" t="s">
        <v>3100</v>
      </c>
      <c r="P4268" s="164" t="str">
        <f t="shared" si="2129"/>
        <v>가스 누출 검출기</v>
      </c>
      <c r="Q4268" s="71">
        <f t="shared" si="2130"/>
        <v>1</v>
      </c>
      <c r="R4268" s="102">
        <v>780000</v>
      </c>
      <c r="S4268" s="102">
        <f t="shared" si="2131"/>
        <v>858000.00000000012</v>
      </c>
      <c r="T4268" s="102">
        <f t="shared" si="2132"/>
        <v>780000</v>
      </c>
      <c r="U4268" s="71"/>
      <c r="V4268" s="71"/>
      <c r="W4268" s="474"/>
      <c r="X4268" s="71"/>
      <c r="Y4268" s="71"/>
    </row>
    <row r="4269" spans="1:25" ht="30" customHeight="1" x14ac:dyDescent="0.25">
      <c r="A4269" s="1145">
        <v>44418</v>
      </c>
      <c r="B4269" s="664" t="s">
        <v>2352</v>
      </c>
      <c r="C4269" s="71" t="s">
        <v>2009</v>
      </c>
      <c r="D4269" s="71">
        <v>1</v>
      </c>
      <c r="E4269" s="102">
        <v>390000</v>
      </c>
      <c r="F4269" s="102">
        <f t="shared" si="2133"/>
        <v>429000.00000000006</v>
      </c>
      <c r="G4269" s="102">
        <f t="shared" si="2134"/>
        <v>390000</v>
      </c>
      <c r="H4269" s="690" t="s">
        <v>985</v>
      </c>
      <c r="I4269" s="690" t="s">
        <v>985</v>
      </c>
      <c r="J4269" s="53">
        <f t="shared" si="2126"/>
        <v>390000</v>
      </c>
      <c r="K4269" s="63">
        <f>(J4269/(F4269/11*10))</f>
        <v>0.99999999999999989</v>
      </c>
      <c r="L4269" s="871" t="s">
        <v>3071</v>
      </c>
      <c r="M4269" s="468"/>
      <c r="N4269" s="1192">
        <f t="shared" si="2128"/>
        <v>44418</v>
      </c>
      <c r="O4269" s="71"/>
      <c r="P4269" s="164" t="str">
        <f t="shared" si="2129"/>
        <v>M600 서비스 비용</v>
      </c>
      <c r="Q4269" s="71">
        <f t="shared" si="2130"/>
        <v>1</v>
      </c>
      <c r="R4269" s="102"/>
      <c r="S4269" s="102">
        <f t="shared" si="2131"/>
        <v>0</v>
      </c>
      <c r="T4269" s="102">
        <f t="shared" si="2132"/>
        <v>0</v>
      </c>
      <c r="U4269" s="71"/>
      <c r="V4269" s="71"/>
      <c r="W4269" s="474"/>
      <c r="X4269" s="71"/>
      <c r="Y4269" s="71"/>
    </row>
    <row r="4270" spans="1:25" ht="30" hidden="1" customHeight="1" x14ac:dyDescent="0.25">
      <c r="A4270" s="1145">
        <v>44418</v>
      </c>
      <c r="B4270" s="664" t="s">
        <v>748</v>
      </c>
      <c r="C4270" s="71" t="s">
        <v>3073</v>
      </c>
      <c r="D4270" s="71">
        <v>1</v>
      </c>
      <c r="E4270" s="102">
        <v>5500000</v>
      </c>
      <c r="F4270" s="102">
        <f t="shared" si="2133"/>
        <v>6050000.0000000009</v>
      </c>
      <c r="G4270" s="102">
        <f t="shared" si="2134"/>
        <v>5500000</v>
      </c>
      <c r="H4270" s="690" t="s">
        <v>1431</v>
      </c>
      <c r="I4270" s="71" t="s">
        <v>1431</v>
      </c>
      <c r="J4270" s="53">
        <f t="shared" si="2126"/>
        <v>777856</v>
      </c>
      <c r="K4270" s="63">
        <f>(J4270/(F4270/11*10))</f>
        <v>0.1414283636363636</v>
      </c>
      <c r="L4270" s="871" t="s">
        <v>3071</v>
      </c>
      <c r="M4270" s="468"/>
      <c r="N4270" s="1192">
        <f t="shared" si="2128"/>
        <v>44418</v>
      </c>
      <c r="O4270" s="71" t="s">
        <v>1432</v>
      </c>
      <c r="P4270" s="164" t="str">
        <f t="shared" si="2129"/>
        <v>컴프레셔 ZR72</v>
      </c>
      <c r="Q4270" s="71">
        <f t="shared" si="2130"/>
        <v>1</v>
      </c>
      <c r="R4270" s="102">
        <v>4722144</v>
      </c>
      <c r="S4270" s="102">
        <f t="shared" si="2131"/>
        <v>5194358.4000000004</v>
      </c>
      <c r="T4270" s="102">
        <f t="shared" si="2132"/>
        <v>4722144</v>
      </c>
      <c r="U4270" s="71"/>
      <c r="V4270" s="71"/>
      <c r="W4270" s="474"/>
      <c r="X4270" s="71"/>
      <c r="Y4270" s="71"/>
    </row>
    <row r="4271" spans="1:25" ht="30" hidden="1" customHeight="1" x14ac:dyDescent="0.25">
      <c r="A4271" s="1145">
        <v>44418</v>
      </c>
      <c r="B4271" s="664" t="s">
        <v>545</v>
      </c>
      <c r="C4271" s="71" t="s">
        <v>952</v>
      </c>
      <c r="D4271" s="71">
        <v>1</v>
      </c>
      <c r="E4271" s="102">
        <v>630000</v>
      </c>
      <c r="F4271" s="102">
        <f t="shared" si="2133"/>
        <v>693000</v>
      </c>
      <c r="G4271" s="102">
        <f t="shared" si="2134"/>
        <v>630000</v>
      </c>
      <c r="H4271" s="690" t="s">
        <v>173</v>
      </c>
      <c r="I4271" s="71" t="s">
        <v>108</v>
      </c>
      <c r="J4271" s="53">
        <f t="shared" si="2126"/>
        <v>168000</v>
      </c>
      <c r="K4271" s="63">
        <f t="shared" ref="K4271:K4285" si="2135">(J4271/(F4271/11*10))</f>
        <v>0.26666666666666666</v>
      </c>
      <c r="L4271" s="871" t="s">
        <v>3071</v>
      </c>
      <c r="M4271" s="468"/>
      <c r="N4271" s="1192">
        <f t="shared" si="2128"/>
        <v>44418</v>
      </c>
      <c r="O4271" s="71" t="s">
        <v>599</v>
      </c>
      <c r="P4271" s="164" t="str">
        <f t="shared" si="2129"/>
        <v>점보롤 세정포</v>
      </c>
      <c r="Q4271" s="71">
        <f t="shared" si="2130"/>
        <v>1</v>
      </c>
      <c r="R4271" s="102">
        <v>462000</v>
      </c>
      <c r="S4271" s="102">
        <f t="shared" si="2131"/>
        <v>508200.00000000006</v>
      </c>
      <c r="T4271" s="102">
        <f t="shared" si="2132"/>
        <v>462000</v>
      </c>
      <c r="U4271" s="71" t="str">
        <f>IF(J4271=W4271,"O", "X")</f>
        <v>O</v>
      </c>
      <c r="V4271" s="71" t="s">
        <v>1228</v>
      </c>
      <c r="W4271" s="474">
        <f>(G4271-T4271)</f>
        <v>168000</v>
      </c>
      <c r="X4271" s="71"/>
      <c r="Y4271" s="71"/>
    </row>
    <row r="4272" spans="1:25" ht="30" hidden="1" customHeight="1" x14ac:dyDescent="0.25">
      <c r="A4272" s="1145">
        <v>44419</v>
      </c>
      <c r="B4272" s="664" t="s">
        <v>3082</v>
      </c>
      <c r="C4272" s="71" t="s">
        <v>3087</v>
      </c>
      <c r="D4272" s="71">
        <v>3</v>
      </c>
      <c r="E4272" s="102">
        <v>750000</v>
      </c>
      <c r="F4272" s="102">
        <f t="shared" si="2133"/>
        <v>2475000</v>
      </c>
      <c r="G4272" s="102">
        <f t="shared" si="2134"/>
        <v>2250000</v>
      </c>
      <c r="H4272" s="690" t="s">
        <v>173</v>
      </c>
      <c r="I4272" s="71" t="s">
        <v>2184</v>
      </c>
      <c r="J4272" s="53">
        <f t="shared" si="2126"/>
        <v>1259400</v>
      </c>
      <c r="K4272" s="63">
        <f>(J4272/(F4272/11*10))</f>
        <v>0.5597333333333333</v>
      </c>
      <c r="L4272" s="871" t="s">
        <v>3071</v>
      </c>
      <c r="M4272" s="468" t="s">
        <v>3090</v>
      </c>
      <c r="N4272" s="1192">
        <f t="shared" si="2128"/>
        <v>44419</v>
      </c>
      <c r="O4272" s="71" t="s">
        <v>2472</v>
      </c>
      <c r="P4272" s="164" t="str">
        <f t="shared" si="2129"/>
        <v>UV Lamp IST 로랜드인쇄기용</v>
      </c>
      <c r="Q4272" s="71">
        <f t="shared" si="2130"/>
        <v>3</v>
      </c>
      <c r="R4272" s="102">
        <v>330200</v>
      </c>
      <c r="S4272" s="102">
        <f t="shared" si="2131"/>
        <v>1089660</v>
      </c>
      <c r="T4272" s="102">
        <f t="shared" si="2132"/>
        <v>990600</v>
      </c>
      <c r="U4272" s="71"/>
      <c r="V4272" s="71"/>
      <c r="W4272" s="474"/>
      <c r="X4272" s="71"/>
      <c r="Y4272" s="71"/>
    </row>
    <row r="4273" spans="1:25" ht="30" hidden="1" customHeight="1" x14ac:dyDescent="0.25">
      <c r="A4273" s="1145">
        <v>44419</v>
      </c>
      <c r="B4273" s="664" t="s">
        <v>567</v>
      </c>
      <c r="C4273" s="71" t="s">
        <v>3084</v>
      </c>
      <c r="D4273" s="71">
        <v>3</v>
      </c>
      <c r="E4273" s="102">
        <v>650000</v>
      </c>
      <c r="F4273" s="102">
        <f t="shared" si="2133"/>
        <v>2145000</v>
      </c>
      <c r="G4273" s="102">
        <f t="shared" si="2134"/>
        <v>1950000</v>
      </c>
      <c r="H4273" s="690" t="s">
        <v>173</v>
      </c>
      <c r="I4273" s="71" t="s">
        <v>2184</v>
      </c>
      <c r="J4273" s="53">
        <f t="shared" si="2126"/>
        <v>959400</v>
      </c>
      <c r="K4273" s="63">
        <f>(J4273/(F4273/11*10))</f>
        <v>0.49199999999999999</v>
      </c>
      <c r="L4273" s="871" t="s">
        <v>3071</v>
      </c>
      <c r="M4273" s="468" t="s">
        <v>3089</v>
      </c>
      <c r="N4273" s="1192">
        <f t="shared" si="2128"/>
        <v>44419</v>
      </c>
      <c r="O4273" s="71" t="s">
        <v>2472</v>
      </c>
      <c r="P4273" s="164" t="str">
        <f t="shared" si="2129"/>
        <v>UV Lamp 하이델베르그 CD74용</v>
      </c>
      <c r="Q4273" s="71">
        <f t="shared" si="2130"/>
        <v>3</v>
      </c>
      <c r="R4273" s="102">
        <v>330200</v>
      </c>
      <c r="S4273" s="102">
        <f t="shared" si="2131"/>
        <v>1089660</v>
      </c>
      <c r="T4273" s="102">
        <f t="shared" si="2132"/>
        <v>990600</v>
      </c>
      <c r="U4273" s="71"/>
      <c r="V4273" s="71"/>
      <c r="W4273" s="474"/>
      <c r="X4273" s="71"/>
      <c r="Y4273" s="71"/>
    </row>
    <row r="4274" spans="1:25" ht="30" hidden="1" customHeight="1" x14ac:dyDescent="0.25">
      <c r="A4274" s="1145">
        <v>44419</v>
      </c>
      <c r="B4274" s="664" t="s">
        <v>3085</v>
      </c>
      <c r="C4274" s="71" t="s">
        <v>3086</v>
      </c>
      <c r="D4274" s="71">
        <v>3</v>
      </c>
      <c r="E4274" s="102">
        <v>750000</v>
      </c>
      <c r="F4274" s="102">
        <f t="shared" si="2133"/>
        <v>2475000</v>
      </c>
      <c r="G4274" s="102">
        <f t="shared" si="2134"/>
        <v>2250000</v>
      </c>
      <c r="H4274" s="690" t="s">
        <v>173</v>
      </c>
      <c r="I4274" s="71" t="s">
        <v>2184</v>
      </c>
      <c r="J4274" s="53">
        <f t="shared" si="2126"/>
        <v>1259400</v>
      </c>
      <c r="K4274" s="63">
        <f>(J4274/(F4274/11*10))</f>
        <v>0.5597333333333333</v>
      </c>
      <c r="L4274" s="871" t="s">
        <v>3071</v>
      </c>
      <c r="M4274" s="468" t="s">
        <v>3088</v>
      </c>
      <c r="N4274" s="1192">
        <f t="shared" si="2128"/>
        <v>44419</v>
      </c>
      <c r="O4274" s="71" t="s">
        <v>2472</v>
      </c>
      <c r="P4274" s="164" t="str">
        <f t="shared" si="2129"/>
        <v>UV Lamp IST 하이델인쇄기용</v>
      </c>
      <c r="Q4274" s="71">
        <f t="shared" si="2130"/>
        <v>3</v>
      </c>
      <c r="R4274" s="102">
        <v>330200</v>
      </c>
      <c r="S4274" s="102">
        <f t="shared" si="2131"/>
        <v>1089660</v>
      </c>
      <c r="T4274" s="102">
        <f t="shared" si="2132"/>
        <v>990600</v>
      </c>
      <c r="U4274" s="71"/>
      <c r="V4274" s="71"/>
      <c r="W4274" s="474"/>
      <c r="X4274" s="71"/>
      <c r="Y4274" s="71"/>
    </row>
    <row r="4275" spans="1:25" ht="30" hidden="1" customHeight="1" x14ac:dyDescent="0.25">
      <c r="A4275" s="1145">
        <v>44419</v>
      </c>
      <c r="B4275" s="664" t="s">
        <v>548</v>
      </c>
      <c r="C4275" s="71" t="s">
        <v>111</v>
      </c>
      <c r="D4275" s="71">
        <v>200</v>
      </c>
      <c r="E4275" s="102">
        <v>450</v>
      </c>
      <c r="F4275" s="102">
        <f t="shared" ref="F4275:F4282" si="2136">(E4275*D4275)*1.1</f>
        <v>99000.000000000015</v>
      </c>
      <c r="G4275" s="102">
        <f t="shared" ref="G4275:G4282" si="2137">(E4275*D4275)</f>
        <v>90000</v>
      </c>
      <c r="H4275" s="690" t="s">
        <v>173</v>
      </c>
      <c r="I4275" s="71" t="s">
        <v>2231</v>
      </c>
      <c r="J4275" s="53">
        <f t="shared" si="2126"/>
        <v>26000</v>
      </c>
      <c r="K4275" s="63">
        <f t="shared" si="2135"/>
        <v>0.28888888888888886</v>
      </c>
      <c r="L4275" s="871" t="s">
        <v>3071</v>
      </c>
      <c r="M4275" s="468"/>
      <c r="N4275" s="1192">
        <f t="shared" si="2128"/>
        <v>44419</v>
      </c>
      <c r="O4275" s="71" t="s">
        <v>2030</v>
      </c>
      <c r="P4275" s="164" t="str">
        <f t="shared" si="2129"/>
        <v>고무사카 빨간색</v>
      </c>
      <c r="Q4275" s="71">
        <f t="shared" si="2130"/>
        <v>200</v>
      </c>
      <c r="R4275" s="102">
        <v>320</v>
      </c>
      <c r="S4275" s="102">
        <f t="shared" si="2131"/>
        <v>70400</v>
      </c>
      <c r="T4275" s="102">
        <f t="shared" si="2132"/>
        <v>64000</v>
      </c>
      <c r="U4275" s="71"/>
      <c r="V4275" s="71"/>
      <c r="W4275" s="474"/>
      <c r="X4275" s="71"/>
      <c r="Y4275" s="71"/>
    </row>
    <row r="4276" spans="1:25" ht="30" hidden="1" customHeight="1" x14ac:dyDescent="0.25">
      <c r="A4276" s="1145">
        <v>44419</v>
      </c>
      <c r="B4276" s="664" t="s">
        <v>2155</v>
      </c>
      <c r="C4276" s="71" t="s">
        <v>277</v>
      </c>
      <c r="D4276" s="71">
        <v>10</v>
      </c>
      <c r="E4276" s="102">
        <v>172000</v>
      </c>
      <c r="F4276" s="102">
        <f t="shared" si="2136"/>
        <v>1892000.0000000002</v>
      </c>
      <c r="G4276" s="102">
        <f t="shared" si="2137"/>
        <v>1720000</v>
      </c>
      <c r="H4276" s="690" t="s">
        <v>173</v>
      </c>
      <c r="I4276" s="71" t="s">
        <v>108</v>
      </c>
      <c r="J4276" s="53">
        <f t="shared" si="2126"/>
        <v>570000</v>
      </c>
      <c r="K4276" s="63">
        <f t="shared" si="2135"/>
        <v>0.33139534883720928</v>
      </c>
      <c r="L4276" s="871" t="s">
        <v>3071</v>
      </c>
      <c r="M4276" s="468"/>
      <c r="N4276" s="1192">
        <f t="shared" si="2128"/>
        <v>44419</v>
      </c>
      <c r="O4276" s="71" t="s">
        <v>150</v>
      </c>
      <c r="P4276" s="164" t="str">
        <f t="shared" si="2129"/>
        <v>윤전용 세척제(Web 504)</v>
      </c>
      <c r="Q4276" s="71">
        <f t="shared" si="2130"/>
        <v>10</v>
      </c>
      <c r="R4276" s="102">
        <v>115000</v>
      </c>
      <c r="S4276" s="102">
        <f t="shared" si="2131"/>
        <v>1265000</v>
      </c>
      <c r="T4276" s="102">
        <f t="shared" si="2132"/>
        <v>1150000</v>
      </c>
      <c r="U4276" s="71" t="str">
        <f>IF(J4276=W4276,"O", "X")</f>
        <v>X</v>
      </c>
      <c r="V4276" s="71"/>
      <c r="W4276" s="474">
        <v>285000</v>
      </c>
      <c r="X4276" s="71"/>
      <c r="Y4276" s="71"/>
    </row>
    <row r="4277" spans="1:25" ht="30" hidden="1" customHeight="1" x14ac:dyDescent="0.2">
      <c r="A4277" s="1145">
        <v>44420</v>
      </c>
      <c r="B4277" s="664" t="s">
        <v>545</v>
      </c>
      <c r="C4277" s="71" t="s">
        <v>3050</v>
      </c>
      <c r="D4277" s="71">
        <v>6</v>
      </c>
      <c r="E4277" s="102">
        <v>860000</v>
      </c>
      <c r="F4277" s="163">
        <f t="shared" si="2136"/>
        <v>5676000</v>
      </c>
      <c r="G4277" s="102">
        <f t="shared" si="2137"/>
        <v>5160000</v>
      </c>
      <c r="H4277" s="690" t="s">
        <v>173</v>
      </c>
      <c r="I4277" s="71" t="s">
        <v>2184</v>
      </c>
      <c r="J4277" s="53">
        <f t="shared" si="2126"/>
        <v>2537400</v>
      </c>
      <c r="K4277" s="63">
        <f t="shared" si="2135"/>
        <v>0.49174418604651166</v>
      </c>
      <c r="L4277" s="871" t="s">
        <v>3071</v>
      </c>
      <c r="M4277" s="468"/>
      <c r="N4277" s="1192">
        <f t="shared" si="2128"/>
        <v>44420</v>
      </c>
      <c r="O4277" s="71" t="s">
        <v>2472</v>
      </c>
      <c r="P4277" s="164" t="str">
        <f t="shared" si="2129"/>
        <v>UV 램프 - 전선타입(Honle)</v>
      </c>
      <c r="Q4277" s="71">
        <f t="shared" si="2130"/>
        <v>6</v>
      </c>
      <c r="R4277" s="102">
        <v>437100</v>
      </c>
      <c r="S4277" s="102">
        <f t="shared" si="2131"/>
        <v>2884860</v>
      </c>
      <c r="T4277" s="102">
        <f t="shared" si="2132"/>
        <v>2622600</v>
      </c>
      <c r="U4277" s="71"/>
      <c r="V4277" s="71"/>
      <c r="W4277" s="474"/>
      <c r="X4277" s="71"/>
      <c r="Y4277" s="71"/>
    </row>
    <row r="4278" spans="1:25" ht="30" hidden="1" customHeight="1" x14ac:dyDescent="0.25">
      <c r="A4278" s="1145">
        <v>44420</v>
      </c>
      <c r="B4278" s="664" t="s">
        <v>809</v>
      </c>
      <c r="C4278" s="71" t="s">
        <v>1081</v>
      </c>
      <c r="D4278" s="71">
        <v>10</v>
      </c>
      <c r="E4278" s="102">
        <v>78000</v>
      </c>
      <c r="F4278" s="102">
        <f t="shared" si="2136"/>
        <v>858000.00000000012</v>
      </c>
      <c r="G4278" s="102">
        <f t="shared" si="2137"/>
        <v>780000</v>
      </c>
      <c r="H4278" s="690" t="s">
        <v>173</v>
      </c>
      <c r="I4278" s="71" t="s">
        <v>2231</v>
      </c>
      <c r="J4278" s="53">
        <f t="shared" si="2126"/>
        <v>180000</v>
      </c>
      <c r="K4278" s="63">
        <f t="shared" si="2135"/>
        <v>0.23076923076923073</v>
      </c>
      <c r="L4278" s="871" t="s">
        <v>3071</v>
      </c>
      <c r="M4278" s="468" t="s">
        <v>3081</v>
      </c>
      <c r="N4278" s="1192">
        <f t="shared" si="2128"/>
        <v>44420</v>
      </c>
      <c r="O4278" s="71" t="s">
        <v>147</v>
      </c>
      <c r="P4278" s="164" t="str">
        <f t="shared" si="2129"/>
        <v>파우더</v>
      </c>
      <c r="Q4278" s="71">
        <f t="shared" si="2130"/>
        <v>10</v>
      </c>
      <c r="R4278" s="102">
        <v>60000</v>
      </c>
      <c r="S4278" s="102">
        <f t="shared" si="2131"/>
        <v>660000</v>
      </c>
      <c r="T4278" s="102">
        <f t="shared" si="2132"/>
        <v>600000</v>
      </c>
      <c r="U4278" s="71" t="str">
        <f>IF(J4278=W4278,"O", "X")</f>
        <v>O</v>
      </c>
      <c r="V4278" s="71"/>
      <c r="W4278" s="474">
        <f>(G4278-T4278)</f>
        <v>180000</v>
      </c>
      <c r="X4278" s="71"/>
      <c r="Y4278" s="71"/>
    </row>
    <row r="4279" spans="1:25" ht="30" hidden="1" customHeight="1" x14ac:dyDescent="0.25">
      <c r="A4279" s="1145">
        <v>44421</v>
      </c>
      <c r="B4279" s="664" t="s">
        <v>442</v>
      </c>
      <c r="C4279" s="71" t="s">
        <v>651</v>
      </c>
      <c r="D4279" s="71">
        <v>6</v>
      </c>
      <c r="E4279" s="102">
        <v>41000</v>
      </c>
      <c r="F4279" s="102">
        <f t="shared" si="2136"/>
        <v>270600</v>
      </c>
      <c r="G4279" s="102">
        <f t="shared" si="2137"/>
        <v>246000</v>
      </c>
      <c r="H4279" s="690" t="s">
        <v>2029</v>
      </c>
      <c r="I4279" s="71" t="s">
        <v>195</v>
      </c>
      <c r="J4279" s="53">
        <f>(G4279-(VLOOKUP(C4279,[5]Price!B$1:D$65536,3,FALSE)*D4279))</f>
        <v>96000</v>
      </c>
      <c r="K4279" s="63">
        <f t="shared" si="2135"/>
        <v>0.3902439024390244</v>
      </c>
      <c r="L4279" s="871" t="s">
        <v>3071</v>
      </c>
      <c r="M4279" s="468" t="s">
        <v>3077</v>
      </c>
      <c r="N4279" s="1192">
        <f t="shared" si="2128"/>
        <v>44421</v>
      </c>
      <c r="O4279" s="71" t="s">
        <v>194</v>
      </c>
      <c r="P4279" s="164" t="str">
        <f t="shared" si="2129"/>
        <v>Agfa 현상액 G101C(10L)</v>
      </c>
      <c r="Q4279" s="71">
        <v>5</v>
      </c>
      <c r="R4279" s="102">
        <v>27500</v>
      </c>
      <c r="S4279" s="102">
        <f t="shared" si="2131"/>
        <v>151250</v>
      </c>
      <c r="T4279" s="102">
        <f t="shared" si="2132"/>
        <v>137500</v>
      </c>
      <c r="U4279" s="71" t="str">
        <f>IF(J4279=W4279,"O", "X")</f>
        <v>X</v>
      </c>
      <c r="V4279" s="71"/>
      <c r="W4279" s="474">
        <f>(G4279-T4279)</f>
        <v>108500</v>
      </c>
      <c r="X4279" s="71"/>
      <c r="Y4279" s="71"/>
    </row>
    <row r="4280" spans="1:25" ht="30" hidden="1" customHeight="1" x14ac:dyDescent="0.25">
      <c r="A4280" s="1145">
        <v>44421</v>
      </c>
      <c r="B4280" s="664" t="s">
        <v>446</v>
      </c>
      <c r="C4280" s="71" t="s">
        <v>2028</v>
      </c>
      <c r="D4280" s="71">
        <v>20</v>
      </c>
      <c r="E4280" s="102">
        <v>105000</v>
      </c>
      <c r="F4280" s="102">
        <f t="shared" si="2136"/>
        <v>2310000</v>
      </c>
      <c r="G4280" s="102">
        <f t="shared" si="2137"/>
        <v>2100000</v>
      </c>
      <c r="H4280" s="690" t="s">
        <v>2029</v>
      </c>
      <c r="I4280" s="71" t="s">
        <v>2231</v>
      </c>
      <c r="J4280" s="53">
        <f>G4280-T4280</f>
        <v>484000</v>
      </c>
      <c r="K4280" s="63">
        <f t="shared" si="2135"/>
        <v>0.23047619047619047</v>
      </c>
      <c r="L4280" s="871" t="s">
        <v>3071</v>
      </c>
      <c r="M4280" s="468" t="s">
        <v>3079</v>
      </c>
      <c r="N4280" s="1192">
        <f t="shared" si="2128"/>
        <v>44421</v>
      </c>
      <c r="O4280" s="71" t="s">
        <v>2030</v>
      </c>
      <c r="P4280" s="164" t="str">
        <f t="shared" si="2129"/>
        <v>실리콘 에멀전</v>
      </c>
      <c r="Q4280" s="71">
        <v>1</v>
      </c>
      <c r="R4280" s="102">
        <f>17*79000+3*91000</f>
        <v>1616000</v>
      </c>
      <c r="S4280" s="102">
        <f t="shared" si="2131"/>
        <v>1777600.0000000002</v>
      </c>
      <c r="T4280" s="102">
        <f t="shared" si="2132"/>
        <v>1616000</v>
      </c>
      <c r="U4280" s="71" t="str">
        <f>IF(J4280=W4280,"O", "X")</f>
        <v>O</v>
      </c>
      <c r="V4280" s="71"/>
      <c r="W4280" s="474">
        <f>(G4280-T4280)</f>
        <v>484000</v>
      </c>
      <c r="X4280" s="71"/>
      <c r="Y4280" s="71"/>
    </row>
    <row r="4281" spans="1:25" ht="30" hidden="1" customHeight="1" x14ac:dyDescent="0.25">
      <c r="A4281" s="1145">
        <v>44421</v>
      </c>
      <c r="B4281" s="664" t="s">
        <v>2155</v>
      </c>
      <c r="C4281" s="760" t="s">
        <v>218</v>
      </c>
      <c r="D4281" s="71">
        <v>5</v>
      </c>
      <c r="E4281" s="102">
        <v>192500</v>
      </c>
      <c r="F4281" s="102">
        <f t="shared" si="2136"/>
        <v>1058750</v>
      </c>
      <c r="G4281" s="102">
        <f t="shared" si="2137"/>
        <v>962500</v>
      </c>
      <c r="H4281" s="690" t="s">
        <v>173</v>
      </c>
      <c r="I4281" s="71" t="s">
        <v>120</v>
      </c>
      <c r="J4281" s="53">
        <f>G4281-T4281</f>
        <v>400000</v>
      </c>
      <c r="K4281" s="63">
        <f t="shared" si="2135"/>
        <v>0.41558441558441561</v>
      </c>
      <c r="L4281" s="871" t="s">
        <v>3071</v>
      </c>
      <c r="M4281" s="468"/>
      <c r="N4281" s="1192">
        <f t="shared" si="2128"/>
        <v>44421</v>
      </c>
      <c r="O4281" s="71" t="s">
        <v>150</v>
      </c>
      <c r="P4281" s="164" t="str">
        <f t="shared" si="2129"/>
        <v>Fount Web 551AF</v>
      </c>
      <c r="Q4281" s="71">
        <f>D4281</f>
        <v>5</v>
      </c>
      <c r="R4281" s="102">
        <v>112500</v>
      </c>
      <c r="S4281" s="102">
        <f t="shared" si="2131"/>
        <v>618750</v>
      </c>
      <c r="T4281" s="102">
        <f t="shared" si="2132"/>
        <v>562500</v>
      </c>
      <c r="U4281" s="71" t="str">
        <f>IF(J4281=W4281,"O", "X")</f>
        <v>X</v>
      </c>
      <c r="V4281" s="71"/>
      <c r="W4281" s="474">
        <v>640000</v>
      </c>
      <c r="X4281" s="71"/>
      <c r="Y4281" s="71"/>
    </row>
    <row r="4282" spans="1:25" ht="30" hidden="1" customHeight="1" x14ac:dyDescent="0.25">
      <c r="A4282" s="1145">
        <v>44423</v>
      </c>
      <c r="B4282" s="664" t="s">
        <v>575</v>
      </c>
      <c r="C4282" s="71" t="s">
        <v>1423</v>
      </c>
      <c r="D4282" s="71">
        <v>1</v>
      </c>
      <c r="E4282" s="102">
        <v>2625000</v>
      </c>
      <c r="F4282" s="102">
        <f t="shared" si="2136"/>
        <v>2887500.0000000005</v>
      </c>
      <c r="G4282" s="102">
        <f t="shared" si="2137"/>
        <v>2625000</v>
      </c>
      <c r="H4282" s="690" t="s">
        <v>985</v>
      </c>
      <c r="I4282" s="690" t="s">
        <v>985</v>
      </c>
      <c r="J4282" s="53"/>
      <c r="K4282" s="63"/>
      <c r="L4282" s="871" t="s">
        <v>3071</v>
      </c>
      <c r="M4282" s="468"/>
      <c r="N4282" s="1192">
        <f t="shared" si="2128"/>
        <v>44423</v>
      </c>
      <c r="O4282" s="71"/>
      <c r="P4282" s="164" t="str">
        <f t="shared" si="2129"/>
        <v>M600 서비스 계약(3회차)</v>
      </c>
      <c r="Q4282" s="71">
        <f>D4282</f>
        <v>1</v>
      </c>
      <c r="R4282" s="102"/>
      <c r="S4282" s="102">
        <f t="shared" si="2131"/>
        <v>0</v>
      </c>
      <c r="T4282" s="102">
        <f t="shared" si="2132"/>
        <v>0</v>
      </c>
      <c r="U4282" s="71"/>
      <c r="V4282" s="71"/>
      <c r="W4282" s="474"/>
      <c r="X4282" s="71"/>
      <c r="Y4282" s="71"/>
    </row>
    <row r="4283" spans="1:25" ht="30" hidden="1" customHeight="1" x14ac:dyDescent="0.25">
      <c r="A4283" s="1145">
        <v>44425</v>
      </c>
      <c r="B4283" s="664" t="s">
        <v>1178</v>
      </c>
      <c r="C4283" s="71" t="s">
        <v>3074</v>
      </c>
      <c r="D4283" s="71">
        <v>1</v>
      </c>
      <c r="E4283" s="102">
        <v>2272727</v>
      </c>
      <c r="F4283" s="102">
        <f t="shared" si="2133"/>
        <v>2499999.7000000002</v>
      </c>
      <c r="G4283" s="102">
        <f t="shared" si="2134"/>
        <v>2272727</v>
      </c>
      <c r="H4283" s="690" t="s">
        <v>1431</v>
      </c>
      <c r="I4283" s="71" t="s">
        <v>1431</v>
      </c>
      <c r="J4283" s="53">
        <f>G4283-T4283</f>
        <v>472727</v>
      </c>
      <c r="K4283" s="63">
        <f t="shared" si="2135"/>
        <v>0.2079999049599886</v>
      </c>
      <c r="L4283" s="871" t="s">
        <v>3071</v>
      </c>
      <c r="M4283" s="468"/>
      <c r="N4283" s="1192">
        <f t="shared" si="2128"/>
        <v>44425</v>
      </c>
      <c r="O4283" s="71" t="s">
        <v>150</v>
      </c>
      <c r="P4283" s="164" t="str">
        <f t="shared" si="2129"/>
        <v>습수 냉각기 도져</v>
      </c>
      <c r="Q4283" s="71">
        <f>D4283</f>
        <v>1</v>
      </c>
      <c r="R4283" s="102">
        <v>1800000</v>
      </c>
      <c r="S4283" s="102">
        <f t="shared" si="2131"/>
        <v>1980000.0000000002</v>
      </c>
      <c r="T4283" s="102">
        <f t="shared" si="2132"/>
        <v>1800000</v>
      </c>
      <c r="U4283" s="71"/>
      <c r="V4283" s="71"/>
      <c r="W4283" s="474"/>
      <c r="X4283" s="71"/>
      <c r="Y4283" s="71"/>
    </row>
    <row r="4284" spans="1:25" ht="30" customHeight="1" x14ac:dyDescent="0.2">
      <c r="A4284" s="1145">
        <v>44425</v>
      </c>
      <c r="B4284" s="664" t="s">
        <v>2352</v>
      </c>
      <c r="C4284" s="71" t="s">
        <v>692</v>
      </c>
      <c r="D4284" s="71">
        <v>10</v>
      </c>
      <c r="E4284" s="102">
        <v>218000</v>
      </c>
      <c r="F4284" s="102">
        <f t="shared" si="2133"/>
        <v>2398000</v>
      </c>
      <c r="G4284" s="102">
        <f t="shared" si="2134"/>
        <v>2180000</v>
      </c>
      <c r="H4284" s="165" t="s">
        <v>142</v>
      </c>
      <c r="I4284" s="71" t="s">
        <v>142</v>
      </c>
      <c r="J4284" s="53">
        <f>(G4284-(VLOOKUP(C4284,Price!B:D,3,FALSE)*D4284))</f>
        <v>580000</v>
      </c>
      <c r="K4284" s="63">
        <f t="shared" si="2135"/>
        <v>0.26605504587155965</v>
      </c>
      <c r="L4284" s="871" t="s">
        <v>3071</v>
      </c>
      <c r="M4284" s="468" t="s">
        <v>2052</v>
      </c>
      <c r="N4284" s="1192">
        <f t="shared" si="2128"/>
        <v>44425</v>
      </c>
      <c r="O4284" s="71" t="s">
        <v>150</v>
      </c>
      <c r="P4284" s="164" t="str">
        <f t="shared" si="2129"/>
        <v>윤전 블랑켓</v>
      </c>
      <c r="Q4284" s="71">
        <f>D4284</f>
        <v>10</v>
      </c>
      <c r="R4284" s="102">
        <v>160000</v>
      </c>
      <c r="S4284" s="102">
        <f t="shared" si="2131"/>
        <v>1760000.0000000002</v>
      </c>
      <c r="T4284" s="102">
        <f t="shared" si="2132"/>
        <v>1600000</v>
      </c>
      <c r="U4284" s="71" t="str">
        <f>IF(J4284=W4284,"O", "X")</f>
        <v>O</v>
      </c>
      <c r="V4284" s="71" t="s">
        <v>784</v>
      </c>
      <c r="W4284" s="474">
        <f>(G4284-T4284)</f>
        <v>580000</v>
      </c>
      <c r="X4284" s="71"/>
      <c r="Y4284" s="71"/>
    </row>
    <row r="4285" spans="1:25" ht="30" hidden="1" customHeight="1" x14ac:dyDescent="0.2">
      <c r="A4285" s="1145">
        <v>44425</v>
      </c>
      <c r="B4285" s="664" t="s">
        <v>1155</v>
      </c>
      <c r="C4285" s="71" t="s">
        <v>3083</v>
      </c>
      <c r="D4285" s="71">
        <v>1</v>
      </c>
      <c r="E4285" s="102">
        <v>600000</v>
      </c>
      <c r="F4285" s="102">
        <f t="shared" si="2133"/>
        <v>660000</v>
      </c>
      <c r="G4285" s="102">
        <f t="shared" si="2134"/>
        <v>600000</v>
      </c>
      <c r="H4285" s="165" t="s">
        <v>173</v>
      </c>
      <c r="I4285" s="71" t="s">
        <v>2231</v>
      </c>
      <c r="J4285" s="53">
        <f>G4285-T4285</f>
        <v>228000</v>
      </c>
      <c r="K4285" s="63">
        <f t="shared" si="2135"/>
        <v>0.38</v>
      </c>
      <c r="L4285" s="871" t="s">
        <v>3071</v>
      </c>
      <c r="M4285" s="468"/>
      <c r="N4285" s="1192">
        <f t="shared" si="2128"/>
        <v>44425</v>
      </c>
      <c r="O4285" s="71" t="s">
        <v>3105</v>
      </c>
      <c r="P4285" s="164" t="str">
        <f t="shared" si="2129"/>
        <v>X-rite 농도계 배터리 교체+충전 케이블</v>
      </c>
      <c r="Q4285" s="71">
        <f>D4285</f>
        <v>1</v>
      </c>
      <c r="R4285" s="102">
        <f>72000+300000</f>
        <v>372000</v>
      </c>
      <c r="S4285" s="102">
        <f t="shared" si="2131"/>
        <v>409200.00000000006</v>
      </c>
      <c r="T4285" s="102">
        <f t="shared" si="2132"/>
        <v>372000</v>
      </c>
      <c r="U4285" s="71"/>
      <c r="V4285" s="71"/>
      <c r="W4285" s="474"/>
      <c r="X4285" s="71"/>
      <c r="Y4285" s="71"/>
    </row>
    <row r="4286" spans="1:25" ht="30" hidden="1" customHeight="1" x14ac:dyDescent="0.2">
      <c r="A4286" s="1145">
        <v>44426</v>
      </c>
      <c r="B4286" s="664" t="s">
        <v>2353</v>
      </c>
      <c r="C4286" s="71" t="s">
        <v>129</v>
      </c>
      <c r="D4286" s="71">
        <v>7</v>
      </c>
      <c r="E4286" s="102">
        <v>272000</v>
      </c>
      <c r="F4286" s="102">
        <f t="shared" si="2133"/>
        <v>2094400.0000000002</v>
      </c>
      <c r="G4286" s="102">
        <f t="shared" si="2134"/>
        <v>1904000</v>
      </c>
      <c r="H4286" s="165" t="s">
        <v>142</v>
      </c>
      <c r="I4286" s="71" t="s">
        <v>142</v>
      </c>
      <c r="J4286" s="53">
        <f>G4286-T4286</f>
        <v>414400</v>
      </c>
      <c r="K4286" s="63">
        <f t="shared" ref="K4286:K4296" si="2138">(J4286/(F4286/11*10))</f>
        <v>0.21764705882352939</v>
      </c>
      <c r="L4286" s="871" t="s">
        <v>3071</v>
      </c>
      <c r="M4286" s="468" t="s">
        <v>2050</v>
      </c>
      <c r="N4286" s="1192">
        <f t="shared" si="2128"/>
        <v>44426</v>
      </c>
      <c r="O4286" s="71" t="s">
        <v>149</v>
      </c>
      <c r="P4286" s="164" t="str">
        <f t="shared" si="2129"/>
        <v>세정포-XL106</v>
      </c>
      <c r="Q4286" s="71">
        <f t="shared" ref="Q4286:Q4292" si="2139">D4286</f>
        <v>7</v>
      </c>
      <c r="R4286" s="102">
        <v>212800</v>
      </c>
      <c r="S4286" s="102">
        <f t="shared" si="2131"/>
        <v>1638560.0000000002</v>
      </c>
      <c r="T4286" s="102">
        <f t="shared" si="2132"/>
        <v>1489600</v>
      </c>
      <c r="U4286" s="71" t="str">
        <f t="shared" ref="U4286:U4301" si="2140">IF(J4286=W4286,"O", "X")</f>
        <v>O</v>
      </c>
      <c r="V4286" s="71"/>
      <c r="W4286" s="474">
        <f>(G4286-T4286)</f>
        <v>414400</v>
      </c>
      <c r="X4286" s="71"/>
      <c r="Y4286" s="71"/>
    </row>
    <row r="4287" spans="1:25" s="209" customFormat="1" ht="30" hidden="1" customHeight="1" x14ac:dyDescent="0.2">
      <c r="A4287" s="1145">
        <v>44426</v>
      </c>
      <c r="B4287" s="664" t="s">
        <v>2353</v>
      </c>
      <c r="C4287" s="71" t="s">
        <v>138</v>
      </c>
      <c r="D4287" s="71">
        <v>10</v>
      </c>
      <c r="E4287" s="102">
        <v>54400</v>
      </c>
      <c r="F4287" s="102">
        <f t="shared" si="2133"/>
        <v>598400</v>
      </c>
      <c r="G4287" s="102">
        <f t="shared" si="2134"/>
        <v>544000</v>
      </c>
      <c r="H4287" s="165" t="s">
        <v>142</v>
      </c>
      <c r="I4287" s="71" t="s">
        <v>142</v>
      </c>
      <c r="J4287" s="53">
        <f>G4287-T4287</f>
        <v>136000</v>
      </c>
      <c r="K4287" s="63">
        <f t="shared" si="2138"/>
        <v>0.25</v>
      </c>
      <c r="L4287" s="871" t="s">
        <v>3071</v>
      </c>
      <c r="M4287" s="468" t="s">
        <v>2214</v>
      </c>
      <c r="N4287" s="1192">
        <f t="shared" si="2128"/>
        <v>44426</v>
      </c>
      <c r="O4287" s="71" t="s">
        <v>2030</v>
      </c>
      <c r="P4287" s="164" t="str">
        <f t="shared" si="2129"/>
        <v>매엽용 세척제(Wash 562)</v>
      </c>
      <c r="Q4287" s="71">
        <f t="shared" si="2139"/>
        <v>10</v>
      </c>
      <c r="R4287" s="102">
        <v>40800</v>
      </c>
      <c r="S4287" s="102">
        <f t="shared" si="2131"/>
        <v>448800.00000000006</v>
      </c>
      <c r="T4287" s="102">
        <f t="shared" si="2132"/>
        <v>408000</v>
      </c>
      <c r="U4287" s="71" t="str">
        <f t="shared" si="2140"/>
        <v>O</v>
      </c>
      <c r="V4287" s="71"/>
      <c r="W4287" s="474">
        <f>(G4287-T4287)</f>
        <v>136000</v>
      </c>
      <c r="X4287" s="71"/>
      <c r="Y4287" s="71"/>
    </row>
    <row r="4288" spans="1:25" s="209" customFormat="1" ht="30" hidden="1" customHeight="1" x14ac:dyDescent="0.2">
      <c r="A4288" s="1145">
        <v>44426</v>
      </c>
      <c r="B4288" s="664" t="s">
        <v>2353</v>
      </c>
      <c r="C4288" s="71" t="s">
        <v>130</v>
      </c>
      <c r="D4288" s="71">
        <v>20</v>
      </c>
      <c r="E4288" s="102">
        <v>125000</v>
      </c>
      <c r="F4288" s="102">
        <f t="shared" si="2133"/>
        <v>2750000</v>
      </c>
      <c r="G4288" s="102">
        <f t="shared" si="2134"/>
        <v>2500000</v>
      </c>
      <c r="H4288" s="165" t="s">
        <v>142</v>
      </c>
      <c r="I4288" s="71" t="s">
        <v>142</v>
      </c>
      <c r="J4288" s="53">
        <f>G4288-T4288</f>
        <v>520000</v>
      </c>
      <c r="K4288" s="63">
        <f t="shared" si="2138"/>
        <v>0.20799999999999999</v>
      </c>
      <c r="L4288" s="871" t="s">
        <v>3071</v>
      </c>
      <c r="M4288" s="468" t="s">
        <v>2050</v>
      </c>
      <c r="N4288" s="1192">
        <f t="shared" si="2128"/>
        <v>44426</v>
      </c>
      <c r="O4288" s="71" t="s">
        <v>150</v>
      </c>
      <c r="P4288" s="164" t="str">
        <f t="shared" si="2129"/>
        <v>XL106 Blanket(1077*885)</v>
      </c>
      <c r="Q4288" s="71">
        <f t="shared" si="2139"/>
        <v>20</v>
      </c>
      <c r="R4288" s="102">
        <v>99000</v>
      </c>
      <c r="S4288" s="102">
        <f t="shared" si="2131"/>
        <v>2178000</v>
      </c>
      <c r="T4288" s="102">
        <f t="shared" si="2132"/>
        <v>1980000</v>
      </c>
      <c r="U4288" s="71" t="str">
        <f t="shared" si="2140"/>
        <v>O</v>
      </c>
      <c r="V4288" s="71"/>
      <c r="W4288" s="474">
        <f>(G4288-T4288)</f>
        <v>520000</v>
      </c>
      <c r="X4288" s="71"/>
      <c r="Y4288" s="71"/>
    </row>
    <row r="4289" spans="1:25" s="209" customFormat="1" ht="30" hidden="1" customHeight="1" x14ac:dyDescent="0.25">
      <c r="A4289" s="1145">
        <v>44426</v>
      </c>
      <c r="B4289" s="671" t="s">
        <v>442</v>
      </c>
      <c r="C4289" s="682" t="s">
        <v>107</v>
      </c>
      <c r="D4289" s="682">
        <v>6</v>
      </c>
      <c r="E4289" s="702">
        <v>105000</v>
      </c>
      <c r="F4289" s="702">
        <f t="shared" si="2133"/>
        <v>693000</v>
      </c>
      <c r="G4289" s="702">
        <f t="shared" si="2134"/>
        <v>630000</v>
      </c>
      <c r="H4289" s="690" t="s">
        <v>173</v>
      </c>
      <c r="I4289" s="71" t="s">
        <v>109</v>
      </c>
      <c r="J4289" s="53">
        <f>(G4289-(VLOOKUP(C4289,Price!B:D,3,FALSE)*D4289))</f>
        <v>147000</v>
      </c>
      <c r="K4289" s="63">
        <f t="shared" si="2138"/>
        <v>0.23333333333333334</v>
      </c>
      <c r="L4289" s="871" t="s">
        <v>3071</v>
      </c>
      <c r="M4289" s="579"/>
      <c r="N4289" s="1192">
        <f t="shared" si="2128"/>
        <v>44426</v>
      </c>
      <c r="O4289" s="682" t="s">
        <v>147</v>
      </c>
      <c r="P4289" s="164" t="str">
        <f t="shared" si="2129"/>
        <v>Blanket(1050*840)</v>
      </c>
      <c r="Q4289" s="71">
        <f t="shared" si="2139"/>
        <v>6</v>
      </c>
      <c r="R4289" s="202">
        <v>80500</v>
      </c>
      <c r="S4289" s="102">
        <f t="shared" si="2131"/>
        <v>531300</v>
      </c>
      <c r="T4289" s="102">
        <f t="shared" si="2132"/>
        <v>483000</v>
      </c>
      <c r="U4289" s="209" t="str">
        <f t="shared" si="2140"/>
        <v>O</v>
      </c>
      <c r="W4289" s="482">
        <f>(G4289-T4289)</f>
        <v>147000</v>
      </c>
    </row>
    <row r="4290" spans="1:25" ht="30" hidden="1" customHeight="1" x14ac:dyDescent="0.25">
      <c r="A4290" s="1145">
        <v>44427</v>
      </c>
      <c r="B4290" s="664" t="s">
        <v>2155</v>
      </c>
      <c r="C4290" s="71" t="s">
        <v>277</v>
      </c>
      <c r="D4290" s="71">
        <v>10</v>
      </c>
      <c r="E4290" s="102">
        <v>172000</v>
      </c>
      <c r="F4290" s="102">
        <f t="shared" si="2133"/>
        <v>1892000.0000000002</v>
      </c>
      <c r="G4290" s="102">
        <f t="shared" si="2134"/>
        <v>1720000</v>
      </c>
      <c r="H4290" s="690" t="s">
        <v>173</v>
      </c>
      <c r="I4290" s="71" t="s">
        <v>108</v>
      </c>
      <c r="J4290" s="53">
        <f t="shared" ref="J4290:J4301" si="2141">G4290-T4290</f>
        <v>570000</v>
      </c>
      <c r="K4290" s="63">
        <f t="shared" si="2138"/>
        <v>0.33139534883720928</v>
      </c>
      <c r="L4290" s="871" t="s">
        <v>3071</v>
      </c>
      <c r="M4290" s="468"/>
      <c r="N4290" s="1192">
        <f t="shared" si="2128"/>
        <v>44427</v>
      </c>
      <c r="O4290" s="71" t="s">
        <v>150</v>
      </c>
      <c r="P4290" s="164" t="str">
        <f t="shared" si="2129"/>
        <v>윤전용 세척제(Web 504)</v>
      </c>
      <c r="Q4290" s="71">
        <f t="shared" si="2139"/>
        <v>10</v>
      </c>
      <c r="R4290" s="102">
        <v>115000</v>
      </c>
      <c r="S4290" s="102">
        <f t="shared" si="2131"/>
        <v>1265000</v>
      </c>
      <c r="T4290" s="102">
        <f t="shared" si="2132"/>
        <v>1150000</v>
      </c>
      <c r="U4290" s="71" t="str">
        <f t="shared" si="2140"/>
        <v>X</v>
      </c>
      <c r="V4290" s="71"/>
      <c r="W4290" s="474">
        <v>285000</v>
      </c>
      <c r="X4290" s="71"/>
      <c r="Y4290" s="71"/>
    </row>
    <row r="4291" spans="1:25" ht="30" hidden="1" customHeight="1" x14ac:dyDescent="0.25">
      <c r="A4291" s="1145">
        <v>44427</v>
      </c>
      <c r="B4291" s="664" t="s">
        <v>2155</v>
      </c>
      <c r="C4291" s="760" t="s">
        <v>218</v>
      </c>
      <c r="D4291" s="71">
        <v>5</v>
      </c>
      <c r="E4291" s="102">
        <v>192500</v>
      </c>
      <c r="F4291" s="102">
        <f t="shared" si="2133"/>
        <v>1058750</v>
      </c>
      <c r="G4291" s="102">
        <f t="shared" si="2134"/>
        <v>962500</v>
      </c>
      <c r="H4291" s="690" t="s">
        <v>173</v>
      </c>
      <c r="I4291" s="71" t="s">
        <v>120</v>
      </c>
      <c r="J4291" s="53">
        <f t="shared" si="2141"/>
        <v>400000</v>
      </c>
      <c r="K4291" s="63">
        <f t="shared" si="2138"/>
        <v>0.41558441558441561</v>
      </c>
      <c r="L4291" s="871" t="s">
        <v>3071</v>
      </c>
      <c r="M4291" s="468"/>
      <c r="N4291" s="1192">
        <f t="shared" si="2128"/>
        <v>44427</v>
      </c>
      <c r="O4291" s="71" t="s">
        <v>150</v>
      </c>
      <c r="P4291" s="164" t="str">
        <f t="shared" si="2129"/>
        <v>Fount Web 551AF</v>
      </c>
      <c r="Q4291" s="71">
        <f t="shared" si="2139"/>
        <v>5</v>
      </c>
      <c r="R4291" s="102">
        <v>112500</v>
      </c>
      <c r="S4291" s="102">
        <f t="shared" si="2131"/>
        <v>618750</v>
      </c>
      <c r="T4291" s="102">
        <f t="shared" si="2132"/>
        <v>562500</v>
      </c>
      <c r="U4291" s="71" t="str">
        <f t="shared" si="2140"/>
        <v>X</v>
      </c>
      <c r="V4291" s="71"/>
      <c r="W4291" s="474">
        <v>640000</v>
      </c>
      <c r="X4291" s="71"/>
      <c r="Y4291" s="71"/>
    </row>
    <row r="4292" spans="1:25" s="209" customFormat="1" ht="30" hidden="1" customHeight="1" x14ac:dyDescent="0.2">
      <c r="A4292" s="1145">
        <v>44427</v>
      </c>
      <c r="B4292" s="664" t="s">
        <v>2261</v>
      </c>
      <c r="C4292" s="71" t="s">
        <v>107</v>
      </c>
      <c r="D4292" s="71">
        <v>10</v>
      </c>
      <c r="E4292" s="102">
        <v>108000</v>
      </c>
      <c r="F4292" s="102">
        <f t="shared" si="2133"/>
        <v>1188000</v>
      </c>
      <c r="G4292" s="102">
        <f t="shared" si="2134"/>
        <v>1080000</v>
      </c>
      <c r="H4292" s="165" t="s">
        <v>172</v>
      </c>
      <c r="I4292" s="71" t="s">
        <v>109</v>
      </c>
      <c r="J4292" s="53">
        <f t="shared" si="2141"/>
        <v>275000</v>
      </c>
      <c r="K4292" s="63">
        <f t="shared" si="2138"/>
        <v>0.25462962962962965</v>
      </c>
      <c r="L4292" s="871" t="s">
        <v>3071</v>
      </c>
      <c r="M4292" s="468"/>
      <c r="N4292" s="1192">
        <f t="shared" si="2128"/>
        <v>44427</v>
      </c>
      <c r="O4292" s="71" t="s">
        <v>147</v>
      </c>
      <c r="P4292" s="164" t="str">
        <f t="shared" si="2129"/>
        <v>Blanket(1050*840)</v>
      </c>
      <c r="Q4292" s="71">
        <f t="shared" si="2139"/>
        <v>10</v>
      </c>
      <c r="R4292" s="102">
        <v>80500</v>
      </c>
      <c r="S4292" s="102">
        <f t="shared" si="2131"/>
        <v>885500.00000000012</v>
      </c>
      <c r="T4292" s="102">
        <f t="shared" si="2132"/>
        <v>805000</v>
      </c>
      <c r="U4292" s="71" t="str">
        <f t="shared" si="2140"/>
        <v>O</v>
      </c>
      <c r="V4292" s="71"/>
      <c r="W4292" s="474">
        <v>275000</v>
      </c>
      <c r="X4292" s="71"/>
      <c r="Y4292" s="71"/>
    </row>
    <row r="4293" spans="1:25" s="209" customFormat="1" ht="30" hidden="1" customHeight="1" x14ac:dyDescent="0.2">
      <c r="A4293" s="1145">
        <v>44427</v>
      </c>
      <c r="B4293" s="664" t="s">
        <v>2155</v>
      </c>
      <c r="C4293" s="71" t="s">
        <v>231</v>
      </c>
      <c r="D4293" s="71">
        <v>10</v>
      </c>
      <c r="E4293" s="102">
        <v>120000</v>
      </c>
      <c r="F4293" s="102">
        <f t="shared" si="2133"/>
        <v>1320000</v>
      </c>
      <c r="G4293" s="102">
        <f t="shared" si="2134"/>
        <v>1200000</v>
      </c>
      <c r="H4293" s="165" t="s">
        <v>172</v>
      </c>
      <c r="I4293" s="71" t="s">
        <v>109</v>
      </c>
      <c r="J4293" s="53">
        <f t="shared" si="2141"/>
        <v>80000</v>
      </c>
      <c r="K4293" s="63">
        <f t="shared" si="2138"/>
        <v>6.6666666666666666E-2</v>
      </c>
      <c r="L4293" s="871" t="s">
        <v>3071</v>
      </c>
      <c r="M4293" s="468"/>
      <c r="N4293" s="1192">
        <f t="shared" si="2128"/>
        <v>44427</v>
      </c>
      <c r="O4293" s="71" t="s">
        <v>151</v>
      </c>
      <c r="P4293" s="164" t="str">
        <f t="shared" si="2129"/>
        <v>Blanket(990*725)</v>
      </c>
      <c r="Q4293" s="71">
        <f>D4293</f>
        <v>10</v>
      </c>
      <c r="R4293" s="102">
        <v>112000</v>
      </c>
      <c r="S4293" s="102">
        <f t="shared" si="2131"/>
        <v>1232000</v>
      </c>
      <c r="T4293" s="102">
        <f t="shared" si="2132"/>
        <v>1120000</v>
      </c>
      <c r="U4293" s="71" t="str">
        <f t="shared" si="2140"/>
        <v>O</v>
      </c>
      <c r="V4293" s="71"/>
      <c r="W4293" s="474">
        <v>80000</v>
      </c>
      <c r="X4293" s="71"/>
      <c r="Y4293" s="71"/>
    </row>
    <row r="4294" spans="1:25" ht="30" hidden="1" customHeight="1" x14ac:dyDescent="0.25">
      <c r="A4294" s="1145">
        <v>44428</v>
      </c>
      <c r="B4294" s="664" t="s">
        <v>442</v>
      </c>
      <c r="C4294" s="71" t="s">
        <v>773</v>
      </c>
      <c r="D4294" s="71">
        <v>5</v>
      </c>
      <c r="E4294" s="102">
        <v>192000</v>
      </c>
      <c r="F4294" s="102">
        <f t="shared" ref="F4294:F4301" si="2142">(E4294*D4294)*1.1</f>
        <v>1056000</v>
      </c>
      <c r="G4294" s="102">
        <f t="shared" ref="G4294:G4301" si="2143">(E4294*D4294)</f>
        <v>960000</v>
      </c>
      <c r="H4294" s="690" t="s">
        <v>173</v>
      </c>
      <c r="I4294" s="71" t="s">
        <v>109</v>
      </c>
      <c r="J4294" s="53">
        <f t="shared" si="2141"/>
        <v>120000</v>
      </c>
      <c r="K4294" s="63">
        <f t="shared" si="2138"/>
        <v>0.125</v>
      </c>
      <c r="L4294" s="871" t="s">
        <v>3071</v>
      </c>
      <c r="M4294" s="468"/>
      <c r="N4294" s="1192">
        <f t="shared" si="2128"/>
        <v>44428</v>
      </c>
      <c r="O4294" s="71" t="s">
        <v>151</v>
      </c>
      <c r="P4294" s="164" t="str">
        <f t="shared" si="2129"/>
        <v>로랜드 전지 블랑켓(1460*1165)bar</v>
      </c>
      <c r="Q4294" s="71">
        <f>D4294</f>
        <v>5</v>
      </c>
      <c r="R4294" s="102">
        <v>168000</v>
      </c>
      <c r="S4294" s="102">
        <f t="shared" si="2131"/>
        <v>924000.00000000012</v>
      </c>
      <c r="T4294" s="102">
        <f t="shared" si="2132"/>
        <v>840000</v>
      </c>
      <c r="U4294" s="71" t="str">
        <f t="shared" si="2140"/>
        <v>O</v>
      </c>
      <c r="V4294" s="71"/>
      <c r="W4294" s="474">
        <v>120000</v>
      </c>
      <c r="X4294" s="71"/>
      <c r="Y4294" s="71"/>
    </row>
    <row r="4295" spans="1:25" ht="30" hidden="1" customHeight="1" x14ac:dyDescent="0.25">
      <c r="A4295" s="1145">
        <v>44429</v>
      </c>
      <c r="B4295" s="664" t="s">
        <v>690</v>
      </c>
      <c r="C4295" s="71" t="s">
        <v>1186</v>
      </c>
      <c r="D4295" s="71">
        <v>500</v>
      </c>
      <c r="E4295" s="102">
        <v>3860</v>
      </c>
      <c r="F4295" s="102">
        <f t="shared" si="2142"/>
        <v>2123000</v>
      </c>
      <c r="G4295" s="102">
        <f t="shared" si="2143"/>
        <v>1930000</v>
      </c>
      <c r="H4295" s="690" t="s">
        <v>173</v>
      </c>
      <c r="I4295" s="71" t="s">
        <v>2230</v>
      </c>
      <c r="J4295" s="53">
        <f t="shared" si="2141"/>
        <v>175000</v>
      </c>
      <c r="K4295" s="63">
        <f t="shared" si="2138"/>
        <v>9.0673575129533682E-2</v>
      </c>
      <c r="L4295" s="871" t="s">
        <v>3071</v>
      </c>
      <c r="M4295" s="468" t="s">
        <v>3078</v>
      </c>
      <c r="N4295" s="1192">
        <f t="shared" si="2128"/>
        <v>44429</v>
      </c>
      <c r="O4295" s="71" t="s">
        <v>145</v>
      </c>
      <c r="P4295" s="164" t="str">
        <f t="shared" si="2129"/>
        <v>CTP 판(1030*790mm)</v>
      </c>
      <c r="Q4295" s="71">
        <f>D4295</f>
        <v>500</v>
      </c>
      <c r="R4295" s="102">
        <v>3510</v>
      </c>
      <c r="S4295" s="102">
        <f t="shared" si="2131"/>
        <v>1930500.0000000002</v>
      </c>
      <c r="T4295" s="102">
        <f t="shared" si="2132"/>
        <v>1755000</v>
      </c>
      <c r="U4295" s="71" t="str">
        <f t="shared" si="2140"/>
        <v>X</v>
      </c>
      <c r="V4295" s="71"/>
      <c r="W4295" s="474">
        <v>-200000</v>
      </c>
      <c r="X4295" s="71"/>
      <c r="Y4295" s="71"/>
    </row>
    <row r="4296" spans="1:25" ht="30" hidden="1" customHeight="1" x14ac:dyDescent="0.25">
      <c r="A4296" s="1145">
        <v>44429</v>
      </c>
      <c r="B4296" s="664" t="s">
        <v>690</v>
      </c>
      <c r="C4296" s="71" t="s">
        <v>197</v>
      </c>
      <c r="D4296" s="71">
        <v>4</v>
      </c>
      <c r="E4296" s="102">
        <v>52000</v>
      </c>
      <c r="F4296" s="102">
        <f t="shared" si="2142"/>
        <v>228800.00000000003</v>
      </c>
      <c r="G4296" s="102">
        <f t="shared" si="2143"/>
        <v>208000</v>
      </c>
      <c r="H4296" s="690" t="s">
        <v>173</v>
      </c>
      <c r="I4296" s="71" t="s">
        <v>2230</v>
      </c>
      <c r="J4296" s="53">
        <f t="shared" si="2141"/>
        <v>47000</v>
      </c>
      <c r="K4296" s="63">
        <f t="shared" si="2138"/>
        <v>0.22596153846153844</v>
      </c>
      <c r="L4296" s="871" t="s">
        <v>3071</v>
      </c>
      <c r="M4296" s="468"/>
      <c r="N4296" s="1192">
        <f t="shared" si="2128"/>
        <v>44429</v>
      </c>
      <c r="O4296" s="71" t="s">
        <v>145</v>
      </c>
      <c r="P4296" s="164" t="str">
        <f t="shared" si="2129"/>
        <v>THR200(20L)</v>
      </c>
      <c r="Q4296" s="71">
        <f>D4296</f>
        <v>4</v>
      </c>
      <c r="R4296" s="102">
        <v>40250</v>
      </c>
      <c r="S4296" s="102">
        <f t="shared" si="2131"/>
        <v>177100</v>
      </c>
      <c r="T4296" s="102">
        <f t="shared" si="2132"/>
        <v>161000</v>
      </c>
      <c r="U4296" s="71" t="str">
        <f t="shared" si="2140"/>
        <v>X</v>
      </c>
      <c r="V4296" s="71"/>
      <c r="W4296" s="474"/>
      <c r="X4296" s="71"/>
      <c r="Y4296" s="71"/>
    </row>
    <row r="4297" spans="1:25" ht="30" hidden="1" customHeight="1" x14ac:dyDescent="0.25">
      <c r="A4297" s="1145">
        <v>44429</v>
      </c>
      <c r="B4297" s="664" t="s">
        <v>442</v>
      </c>
      <c r="C4297" s="71" t="s">
        <v>206</v>
      </c>
      <c r="D4297" s="71">
        <v>2</v>
      </c>
      <c r="E4297" s="102">
        <v>366500</v>
      </c>
      <c r="F4297" s="102">
        <f t="shared" si="2142"/>
        <v>806300.00000000012</v>
      </c>
      <c r="G4297" s="102">
        <f t="shared" si="2143"/>
        <v>733000</v>
      </c>
      <c r="H4297" s="690" t="s">
        <v>2029</v>
      </c>
      <c r="I4297" s="71" t="s">
        <v>195</v>
      </c>
      <c r="J4297" s="53">
        <f t="shared" si="2141"/>
        <v>170680</v>
      </c>
      <c r="K4297" s="63">
        <f>(J4297/(F4297/11*10))</f>
        <v>0.23285129604365618</v>
      </c>
      <c r="L4297" s="871" t="s">
        <v>3071</v>
      </c>
      <c r="M4297" s="468"/>
      <c r="N4297" s="1192">
        <f t="shared" si="2128"/>
        <v>44429</v>
      </c>
      <c r="O4297" s="71" t="s">
        <v>194</v>
      </c>
      <c r="P4297" s="164" t="str">
        <f t="shared" si="2129"/>
        <v>Agfa Film(24inch)</v>
      </c>
      <c r="Q4297" s="71">
        <f>D4297</f>
        <v>2</v>
      </c>
      <c r="R4297" s="102">
        <v>281160</v>
      </c>
      <c r="S4297" s="102">
        <f t="shared" si="2131"/>
        <v>618552</v>
      </c>
      <c r="T4297" s="102">
        <f t="shared" si="2132"/>
        <v>562320</v>
      </c>
      <c r="U4297" s="71" t="str">
        <f t="shared" si="2140"/>
        <v>O</v>
      </c>
      <c r="V4297" s="71"/>
      <c r="W4297" s="474">
        <f>(G4297-T4297)</f>
        <v>170680</v>
      </c>
      <c r="X4297" s="71"/>
      <c r="Y4297" s="71"/>
    </row>
    <row r="4298" spans="1:25" ht="30" hidden="1" customHeight="1" x14ac:dyDescent="0.25">
      <c r="A4298" s="1145">
        <v>44429</v>
      </c>
      <c r="B4298" s="664" t="s">
        <v>442</v>
      </c>
      <c r="C4298" s="71" t="s">
        <v>207</v>
      </c>
      <c r="D4298" s="71">
        <v>2</v>
      </c>
      <c r="E4298" s="102">
        <v>451000</v>
      </c>
      <c r="F4298" s="102">
        <f t="shared" si="2142"/>
        <v>992200.00000000012</v>
      </c>
      <c r="G4298" s="102">
        <f t="shared" si="2143"/>
        <v>902000</v>
      </c>
      <c r="H4298" s="690" t="s">
        <v>2029</v>
      </c>
      <c r="I4298" s="71" t="s">
        <v>195</v>
      </c>
      <c r="J4298" s="53">
        <f t="shared" si="2141"/>
        <v>246480</v>
      </c>
      <c r="K4298" s="63">
        <f>(J4298/(F4298/11*10))</f>
        <v>0.27325942350332588</v>
      </c>
      <c r="L4298" s="871" t="s">
        <v>3071</v>
      </c>
      <c r="M4298" s="468"/>
      <c r="N4298" s="1192">
        <f t="shared" si="2128"/>
        <v>44429</v>
      </c>
      <c r="O4298" s="71" t="s">
        <v>194</v>
      </c>
      <c r="P4298" s="164" t="str">
        <f t="shared" si="2129"/>
        <v>Agfa Film(28inch)</v>
      </c>
      <c r="Q4298" s="71">
        <v>2</v>
      </c>
      <c r="R4298" s="102">
        <v>327760</v>
      </c>
      <c r="S4298" s="102">
        <f t="shared" si="2131"/>
        <v>721072</v>
      </c>
      <c r="T4298" s="102">
        <f t="shared" si="2132"/>
        <v>655520</v>
      </c>
      <c r="U4298" s="71" t="str">
        <f t="shared" si="2140"/>
        <v>O</v>
      </c>
      <c r="V4298" s="71"/>
      <c r="W4298" s="474">
        <f>(G4298-T4298)</f>
        <v>246480</v>
      </c>
      <c r="X4298" s="71"/>
      <c r="Y4298" s="71"/>
    </row>
    <row r="4299" spans="1:25" ht="30" hidden="1" customHeight="1" x14ac:dyDescent="0.25">
      <c r="A4299" s="1145">
        <v>44429</v>
      </c>
      <c r="B4299" s="664" t="s">
        <v>442</v>
      </c>
      <c r="C4299" s="71" t="s">
        <v>208</v>
      </c>
      <c r="D4299" s="71">
        <v>2</v>
      </c>
      <c r="E4299" s="102">
        <v>505000</v>
      </c>
      <c r="F4299" s="102">
        <f t="shared" si="2142"/>
        <v>1111000</v>
      </c>
      <c r="G4299" s="102">
        <f t="shared" si="2143"/>
        <v>1010000</v>
      </c>
      <c r="H4299" s="690" t="s">
        <v>2029</v>
      </c>
      <c r="I4299" s="71" t="s">
        <v>195</v>
      </c>
      <c r="J4299" s="53">
        <f t="shared" si="2141"/>
        <v>237340</v>
      </c>
      <c r="K4299" s="63">
        <f>(J4299/(F4299/11*10))</f>
        <v>0.23499009900990098</v>
      </c>
      <c r="L4299" s="871" t="s">
        <v>3071</v>
      </c>
      <c r="M4299" s="468"/>
      <c r="N4299" s="1192">
        <f t="shared" si="2128"/>
        <v>44429</v>
      </c>
      <c r="O4299" s="71" t="s">
        <v>194</v>
      </c>
      <c r="P4299" s="164" t="str">
        <f t="shared" si="2129"/>
        <v>Agfa Film(32inch)</v>
      </c>
      <c r="Q4299" s="71">
        <v>2</v>
      </c>
      <c r="R4299" s="102">
        <v>386330</v>
      </c>
      <c r="S4299" s="102">
        <f t="shared" si="2131"/>
        <v>849926.00000000012</v>
      </c>
      <c r="T4299" s="102">
        <f t="shared" si="2132"/>
        <v>772660</v>
      </c>
      <c r="U4299" s="71" t="str">
        <f t="shared" si="2140"/>
        <v>O</v>
      </c>
      <c r="V4299" s="71"/>
      <c r="W4299" s="474">
        <f>(G4299-T4299)</f>
        <v>237340</v>
      </c>
      <c r="X4299" s="71"/>
      <c r="Y4299" s="71"/>
    </row>
    <row r="4300" spans="1:25" ht="30" customHeight="1" x14ac:dyDescent="0.25">
      <c r="A4300" s="1145">
        <v>44431</v>
      </c>
      <c r="B4300" s="664" t="s">
        <v>2352</v>
      </c>
      <c r="C4300" s="760" t="s">
        <v>218</v>
      </c>
      <c r="D4300" s="71">
        <v>5</v>
      </c>
      <c r="E4300" s="102">
        <v>235000</v>
      </c>
      <c r="F4300" s="102">
        <f t="shared" si="2142"/>
        <v>1292500</v>
      </c>
      <c r="G4300" s="102">
        <f t="shared" si="2143"/>
        <v>1175000</v>
      </c>
      <c r="H4300" s="690" t="s">
        <v>142</v>
      </c>
      <c r="I4300" s="690" t="s">
        <v>142</v>
      </c>
      <c r="J4300" s="53">
        <f t="shared" si="2141"/>
        <v>612500</v>
      </c>
      <c r="K4300" s="63">
        <f>(J4300/(F4300/11*10))</f>
        <v>0.52127659574468088</v>
      </c>
      <c r="L4300" s="871" t="s">
        <v>3071</v>
      </c>
      <c r="M4300" s="468" t="s">
        <v>2053</v>
      </c>
      <c r="N4300" s="1192">
        <f t="shared" si="2128"/>
        <v>44431</v>
      </c>
      <c r="O4300" s="71" t="s">
        <v>150</v>
      </c>
      <c r="P4300" s="164" t="str">
        <f t="shared" si="2129"/>
        <v>Fount Web 551AF</v>
      </c>
      <c r="Q4300" s="71">
        <f>D4300</f>
        <v>5</v>
      </c>
      <c r="R4300" s="102">
        <v>112500</v>
      </c>
      <c r="S4300" s="102">
        <f t="shared" si="2131"/>
        <v>618750</v>
      </c>
      <c r="T4300" s="102">
        <f t="shared" si="2132"/>
        <v>562500</v>
      </c>
      <c r="U4300" s="71" t="str">
        <f t="shared" si="2140"/>
        <v>O</v>
      </c>
      <c r="V4300" s="71"/>
      <c r="W4300" s="474">
        <f>(G4300-T4300)</f>
        <v>612500</v>
      </c>
      <c r="X4300" s="71"/>
      <c r="Y4300" s="71"/>
    </row>
    <row r="4301" spans="1:25" ht="30" customHeight="1" x14ac:dyDescent="0.2">
      <c r="A4301" s="1145">
        <v>44433</v>
      </c>
      <c r="B4301" s="664" t="s">
        <v>565</v>
      </c>
      <c r="C4301" s="71" t="s">
        <v>2081</v>
      </c>
      <c r="D4301" s="71">
        <v>60</v>
      </c>
      <c r="E4301" s="102">
        <v>69000</v>
      </c>
      <c r="F4301" s="102">
        <f t="shared" si="2142"/>
        <v>4554000</v>
      </c>
      <c r="G4301" s="102">
        <f t="shared" si="2143"/>
        <v>4140000</v>
      </c>
      <c r="H4301" s="165" t="s">
        <v>173</v>
      </c>
      <c r="I4301" s="71" t="s">
        <v>108</v>
      </c>
      <c r="J4301" s="53">
        <f t="shared" si="2141"/>
        <v>1080000</v>
      </c>
      <c r="K4301" s="63">
        <f>(J4301/(F4301/11*10))</f>
        <v>0.2608695652173913</v>
      </c>
      <c r="L4301" s="871" t="s">
        <v>3071</v>
      </c>
      <c r="M4301" s="468"/>
      <c r="N4301" s="1192">
        <f t="shared" si="2128"/>
        <v>44433</v>
      </c>
      <c r="O4301" s="71" t="s">
        <v>599</v>
      </c>
      <c r="P4301" s="164" t="str">
        <f t="shared" si="2129"/>
        <v>GOSS 신문윤전 습식세정포</v>
      </c>
      <c r="Q4301" s="71">
        <f>D4301</f>
        <v>60</v>
      </c>
      <c r="R4301" s="102">
        <v>51000</v>
      </c>
      <c r="S4301" s="102">
        <f t="shared" si="2131"/>
        <v>3366000.0000000005</v>
      </c>
      <c r="T4301" s="102">
        <f t="shared" si="2132"/>
        <v>3060000</v>
      </c>
      <c r="U4301" s="71" t="str">
        <f t="shared" si="2140"/>
        <v>X</v>
      </c>
      <c r="V4301" s="71"/>
      <c r="W4301" s="474"/>
      <c r="X4301" s="71"/>
      <c r="Y4301" s="71"/>
    </row>
    <row r="4302" spans="1:25" ht="30" hidden="1" customHeight="1" x14ac:dyDescent="0.25">
      <c r="A4302" s="1145">
        <v>44433</v>
      </c>
      <c r="B4302" s="664" t="s">
        <v>1178</v>
      </c>
      <c r="C4302" s="71" t="s">
        <v>3075</v>
      </c>
      <c r="D4302" s="71">
        <v>1</v>
      </c>
      <c r="E4302" s="102">
        <v>4927273</v>
      </c>
      <c r="F4302" s="102">
        <f t="shared" ref="F4302:F4331" si="2144">(E4302*D4302)*1.1</f>
        <v>5420000.3000000007</v>
      </c>
      <c r="G4302" s="102">
        <f t="shared" ref="G4302:G4331" si="2145">(E4302*D4302)</f>
        <v>4927273</v>
      </c>
      <c r="H4302" s="690" t="s">
        <v>142</v>
      </c>
      <c r="I4302" s="71" t="s">
        <v>142</v>
      </c>
      <c r="J4302" s="53"/>
      <c r="K4302" s="63"/>
      <c r="L4302" s="871" t="s">
        <v>3071</v>
      </c>
      <c r="M4302" s="468" t="s">
        <v>3076</v>
      </c>
      <c r="N4302" s="1192">
        <f t="shared" si="2128"/>
        <v>44433</v>
      </c>
      <c r="O4302" s="71"/>
      <c r="P4302" s="164" t="str">
        <f t="shared" si="2129"/>
        <v>ESI 서비스 잔금 일부</v>
      </c>
      <c r="Q4302" s="71">
        <f>D4302</f>
        <v>1</v>
      </c>
      <c r="R4302" s="102"/>
      <c r="S4302" s="102">
        <f t="shared" si="2131"/>
        <v>0</v>
      </c>
      <c r="T4302" s="102">
        <f t="shared" si="2132"/>
        <v>0</v>
      </c>
      <c r="U4302" s="71"/>
      <c r="V4302" s="71"/>
      <c r="W4302" s="474"/>
      <c r="X4302" s="71"/>
      <c r="Y4302" s="71"/>
    </row>
    <row r="4303" spans="1:25" s="209" customFormat="1" ht="30" hidden="1" customHeight="1" x14ac:dyDescent="0.25">
      <c r="A4303" s="1145">
        <v>44433</v>
      </c>
      <c r="B4303" s="664" t="s">
        <v>567</v>
      </c>
      <c r="C4303" s="71" t="s">
        <v>236</v>
      </c>
      <c r="D4303" s="71">
        <v>5</v>
      </c>
      <c r="E4303" s="102">
        <v>65000</v>
      </c>
      <c r="F4303" s="102">
        <f t="shared" si="2144"/>
        <v>357500</v>
      </c>
      <c r="G4303" s="102">
        <f t="shared" si="2145"/>
        <v>325000</v>
      </c>
      <c r="H4303" s="690" t="s">
        <v>173</v>
      </c>
      <c r="I4303" s="71" t="s">
        <v>2231</v>
      </c>
      <c r="J4303" s="53">
        <f t="shared" ref="J4303:J4331" si="2146">G4303-T4303</f>
        <v>75000</v>
      </c>
      <c r="K4303" s="63">
        <f t="shared" ref="K4303:K4331" si="2147">(J4303/(F4303/11*10))</f>
        <v>0.23076923076923078</v>
      </c>
      <c r="L4303" s="871" t="s">
        <v>3071</v>
      </c>
      <c r="M4303" s="468"/>
      <c r="N4303" s="1192">
        <f t="shared" si="2128"/>
        <v>44433</v>
      </c>
      <c r="O4303" s="71" t="s">
        <v>153</v>
      </c>
      <c r="P4303" s="164" t="str">
        <f t="shared" si="2129"/>
        <v>아스테이지(국전)</v>
      </c>
      <c r="Q4303" s="71">
        <f t="shared" ref="Q4303:Q4308" si="2148">D4303</f>
        <v>5</v>
      </c>
      <c r="R4303" s="102">
        <v>50000</v>
      </c>
      <c r="S4303" s="102">
        <f t="shared" si="2131"/>
        <v>275000</v>
      </c>
      <c r="T4303" s="102">
        <f t="shared" si="2132"/>
        <v>250000</v>
      </c>
      <c r="U4303" s="71" t="str">
        <f>IF(J4303=W4303,"O", "X")</f>
        <v>X</v>
      </c>
      <c r="V4303" s="71"/>
      <c r="W4303" s="474">
        <v>150000</v>
      </c>
      <c r="X4303" s="71"/>
      <c r="Y4303" s="71"/>
    </row>
    <row r="4304" spans="1:25" s="209" customFormat="1" ht="30" hidden="1" customHeight="1" x14ac:dyDescent="0.25">
      <c r="A4304" s="1145">
        <v>44434</v>
      </c>
      <c r="B4304" s="664" t="s">
        <v>442</v>
      </c>
      <c r="C4304" s="71" t="s">
        <v>138</v>
      </c>
      <c r="D4304" s="71">
        <v>25</v>
      </c>
      <c r="E4304" s="102">
        <v>62500</v>
      </c>
      <c r="F4304" s="102">
        <f t="shared" si="2144"/>
        <v>1718750.0000000002</v>
      </c>
      <c r="G4304" s="102">
        <f t="shared" si="2145"/>
        <v>1562500</v>
      </c>
      <c r="H4304" s="690" t="s">
        <v>173</v>
      </c>
      <c r="I4304" s="71" t="s">
        <v>108</v>
      </c>
      <c r="J4304" s="53">
        <f t="shared" si="2146"/>
        <v>432500</v>
      </c>
      <c r="K4304" s="63">
        <f t="shared" si="2147"/>
        <v>0.27679999999999993</v>
      </c>
      <c r="L4304" s="871" t="s">
        <v>3071</v>
      </c>
      <c r="M4304" s="468" t="s">
        <v>3080</v>
      </c>
      <c r="N4304" s="1192">
        <f t="shared" si="2128"/>
        <v>44434</v>
      </c>
      <c r="O4304" s="71" t="s">
        <v>150</v>
      </c>
      <c r="P4304" s="164" t="str">
        <f t="shared" si="2129"/>
        <v>매엽용 세척제(Wash 562)</v>
      </c>
      <c r="Q4304" s="71">
        <f t="shared" si="2148"/>
        <v>25</v>
      </c>
      <c r="R4304" s="102">
        <v>40800</v>
      </c>
      <c r="S4304" s="102">
        <f>R4304*Q4304*1.1+121000</f>
        <v>1243000</v>
      </c>
      <c r="T4304" s="102">
        <f>R4304*Q4304+110000</f>
        <v>1130000</v>
      </c>
      <c r="U4304" s="71" t="str">
        <f>IF(J4304=W4304,"O", "X")</f>
        <v>X</v>
      </c>
      <c r="V4304" s="71"/>
      <c r="W4304" s="474">
        <v>396000</v>
      </c>
      <c r="X4304" s="71"/>
      <c r="Y4304" s="71"/>
    </row>
    <row r="4305" spans="1:25" ht="30" hidden="1" customHeight="1" x14ac:dyDescent="0.25">
      <c r="A4305" s="1145">
        <v>44434</v>
      </c>
      <c r="B4305" s="664" t="s">
        <v>690</v>
      </c>
      <c r="C4305" s="71" t="s">
        <v>217</v>
      </c>
      <c r="D4305" s="71">
        <v>2</v>
      </c>
      <c r="E4305" s="102">
        <v>155500</v>
      </c>
      <c r="F4305" s="102">
        <f t="shared" si="2144"/>
        <v>342100</v>
      </c>
      <c r="G4305" s="102">
        <f t="shared" si="2145"/>
        <v>311000</v>
      </c>
      <c r="H4305" s="690" t="s">
        <v>173</v>
      </c>
      <c r="I4305" s="71" t="s">
        <v>120</v>
      </c>
      <c r="J4305" s="53">
        <f t="shared" si="2146"/>
        <v>151000</v>
      </c>
      <c r="K4305" s="63">
        <f t="shared" si="2147"/>
        <v>0.48553054662379419</v>
      </c>
      <c r="L4305" s="871" t="s">
        <v>3071</v>
      </c>
      <c r="M4305" s="468"/>
      <c r="N4305" s="1192">
        <f t="shared" si="2128"/>
        <v>44434</v>
      </c>
      <c r="O4305" s="71" t="s">
        <v>150</v>
      </c>
      <c r="P4305" s="164" t="str">
        <f t="shared" si="2129"/>
        <v>Fount 511</v>
      </c>
      <c r="Q4305" s="71">
        <f t="shared" si="2148"/>
        <v>2</v>
      </c>
      <c r="R4305" s="102">
        <v>80000</v>
      </c>
      <c r="S4305" s="102">
        <f t="shared" ref="S4305:S4333" si="2149">R4305*Q4305*1.1</f>
        <v>176000</v>
      </c>
      <c r="T4305" s="102">
        <f t="shared" ref="T4305:T4333" si="2150">R4305*Q4305</f>
        <v>160000</v>
      </c>
      <c r="U4305" s="71" t="str">
        <f>IF(J4305=W4305,"O", "X")</f>
        <v>X</v>
      </c>
      <c r="V4305" s="71"/>
      <c r="W4305" s="474">
        <v>130000</v>
      </c>
      <c r="X4305" s="71"/>
      <c r="Y4305" s="71"/>
    </row>
    <row r="4306" spans="1:25" ht="30" hidden="1" customHeight="1" x14ac:dyDescent="0.25">
      <c r="A4306" s="1145">
        <v>44435</v>
      </c>
      <c r="B4306" s="664" t="s">
        <v>545</v>
      </c>
      <c r="C4306" s="73" t="s">
        <v>825</v>
      </c>
      <c r="D4306" s="71">
        <v>2</v>
      </c>
      <c r="E4306" s="102">
        <v>110000</v>
      </c>
      <c r="F4306" s="102">
        <f t="shared" si="2144"/>
        <v>242000.00000000003</v>
      </c>
      <c r="G4306" s="102">
        <f t="shared" si="2145"/>
        <v>220000</v>
      </c>
      <c r="H4306" s="690" t="s">
        <v>173</v>
      </c>
      <c r="I4306" s="71" t="s">
        <v>2231</v>
      </c>
      <c r="J4306" s="53">
        <f t="shared" si="2146"/>
        <v>30000</v>
      </c>
      <c r="K4306" s="63">
        <f t="shared" si="2147"/>
        <v>0.13636363636363635</v>
      </c>
      <c r="L4306" s="871" t="s">
        <v>3071</v>
      </c>
      <c r="M4306" s="468"/>
      <c r="N4306" s="1192">
        <f t="shared" si="2128"/>
        <v>44435</v>
      </c>
      <c r="O4306" s="73" t="s">
        <v>150</v>
      </c>
      <c r="P4306" s="103" t="str">
        <f t="shared" si="2129"/>
        <v>독일제 정품 잉크호일 아스테이지</v>
      </c>
      <c r="Q4306" s="71">
        <f t="shared" si="2148"/>
        <v>2</v>
      </c>
      <c r="R4306" s="102">
        <v>95000</v>
      </c>
      <c r="S4306" s="102">
        <f t="shared" si="2149"/>
        <v>209000.00000000003</v>
      </c>
      <c r="T4306" s="102">
        <f t="shared" si="2150"/>
        <v>190000</v>
      </c>
      <c r="U4306" s="71"/>
      <c r="V4306" s="71"/>
      <c r="W4306" s="474"/>
      <c r="X4306" s="71"/>
      <c r="Y4306" s="71"/>
    </row>
    <row r="4307" spans="1:25" ht="30" hidden="1" customHeight="1" x14ac:dyDescent="0.25">
      <c r="A4307" s="1145">
        <v>44438</v>
      </c>
      <c r="B4307" s="664" t="s">
        <v>548</v>
      </c>
      <c r="C4307" s="71" t="s">
        <v>111</v>
      </c>
      <c r="D4307" s="71">
        <v>200</v>
      </c>
      <c r="E4307" s="102">
        <v>450</v>
      </c>
      <c r="F4307" s="102">
        <f t="shared" si="2144"/>
        <v>99000.000000000015</v>
      </c>
      <c r="G4307" s="102">
        <f t="shared" si="2145"/>
        <v>90000</v>
      </c>
      <c r="H4307" s="690" t="s">
        <v>173</v>
      </c>
      <c r="I4307" s="71" t="s">
        <v>2231</v>
      </c>
      <c r="J4307" s="53">
        <f t="shared" si="2146"/>
        <v>26000</v>
      </c>
      <c r="K4307" s="63">
        <f t="shared" si="2147"/>
        <v>0.28888888888888886</v>
      </c>
      <c r="L4307" s="871" t="s">
        <v>3071</v>
      </c>
      <c r="M4307" s="468"/>
      <c r="N4307" s="1192">
        <f t="shared" si="2128"/>
        <v>44438</v>
      </c>
      <c r="O4307" s="71" t="s">
        <v>2030</v>
      </c>
      <c r="P4307" s="164" t="str">
        <f t="shared" si="2129"/>
        <v>고무사카 빨간색</v>
      </c>
      <c r="Q4307" s="71">
        <f t="shared" si="2148"/>
        <v>200</v>
      </c>
      <c r="R4307" s="102">
        <v>320</v>
      </c>
      <c r="S4307" s="102">
        <f t="shared" si="2149"/>
        <v>70400</v>
      </c>
      <c r="T4307" s="102">
        <f t="shared" si="2150"/>
        <v>64000</v>
      </c>
      <c r="U4307" s="71"/>
      <c r="V4307" s="71"/>
      <c r="W4307" s="474"/>
      <c r="X4307" s="71"/>
      <c r="Y4307" s="71"/>
    </row>
    <row r="4308" spans="1:25" ht="30" hidden="1" customHeight="1" x14ac:dyDescent="0.25">
      <c r="A4308" s="1145">
        <v>44439</v>
      </c>
      <c r="B4308" s="664" t="s">
        <v>545</v>
      </c>
      <c r="C4308" s="71" t="s">
        <v>227</v>
      </c>
      <c r="D4308" s="71">
        <v>10</v>
      </c>
      <c r="E4308" s="102">
        <v>110000</v>
      </c>
      <c r="F4308" s="102">
        <f t="shared" si="2144"/>
        <v>1210000</v>
      </c>
      <c r="G4308" s="102">
        <f t="shared" si="2145"/>
        <v>1100000</v>
      </c>
      <c r="H4308" s="690" t="s">
        <v>173</v>
      </c>
      <c r="I4308" s="71" t="s">
        <v>109</v>
      </c>
      <c r="J4308" s="53">
        <f t="shared" si="2146"/>
        <v>271000</v>
      </c>
      <c r="K4308" s="63">
        <f t="shared" si="2147"/>
        <v>0.24636363636363637</v>
      </c>
      <c r="L4308" s="871" t="s">
        <v>3071</v>
      </c>
      <c r="M4308" s="468"/>
      <c r="N4308" s="1192">
        <f t="shared" si="2128"/>
        <v>44439</v>
      </c>
      <c r="O4308" s="71" t="s">
        <v>147</v>
      </c>
      <c r="P4308" s="164" t="str">
        <f>(C4308)</f>
        <v>Blanket(1060*860)</v>
      </c>
      <c r="Q4308" s="71">
        <f t="shared" si="2148"/>
        <v>10</v>
      </c>
      <c r="R4308" s="102">
        <v>82900</v>
      </c>
      <c r="S4308" s="102">
        <f t="shared" si="2149"/>
        <v>911900.00000000012</v>
      </c>
      <c r="T4308" s="102">
        <f t="shared" si="2150"/>
        <v>829000</v>
      </c>
      <c r="U4308" s="71" t="str">
        <f t="shared" ref="U4308:U4333" si="2151">IF(J4308=W4308,"O", "X")</f>
        <v>O</v>
      </c>
      <c r="V4308" s="71"/>
      <c r="W4308" s="474">
        <f>(G4308-T4308)</f>
        <v>271000</v>
      </c>
      <c r="X4308" s="71"/>
      <c r="Y4308" s="71"/>
    </row>
    <row r="4309" spans="1:25" ht="30" hidden="1" customHeight="1" x14ac:dyDescent="0.25">
      <c r="A4309" s="1145">
        <v>44439</v>
      </c>
      <c r="B4309" s="664" t="s">
        <v>575</v>
      </c>
      <c r="C4309" s="71" t="s">
        <v>1367</v>
      </c>
      <c r="D4309" s="71">
        <v>8</v>
      </c>
      <c r="E4309" s="102">
        <v>218000</v>
      </c>
      <c r="F4309" s="102">
        <f t="shared" si="2144"/>
        <v>1918400.0000000002</v>
      </c>
      <c r="G4309" s="102">
        <f t="shared" si="2145"/>
        <v>1744000</v>
      </c>
      <c r="H4309" s="690" t="s">
        <v>173</v>
      </c>
      <c r="I4309" s="71" t="s">
        <v>109</v>
      </c>
      <c r="J4309" s="53">
        <f t="shared" si="2146"/>
        <v>544000</v>
      </c>
      <c r="K4309" s="63">
        <f t="shared" si="2147"/>
        <v>0.31192660550458712</v>
      </c>
      <c r="L4309" s="871" t="s">
        <v>3071</v>
      </c>
      <c r="M4309" s="468"/>
      <c r="N4309" s="1192">
        <f t="shared" si="2128"/>
        <v>44439</v>
      </c>
      <c r="O4309" s="71" t="s">
        <v>1443</v>
      </c>
      <c r="P4309" s="164" t="str">
        <f>(C4309)</f>
        <v>M600 윤전 블랑켓 995*742</v>
      </c>
      <c r="Q4309" s="71">
        <f>D4309</f>
        <v>8</v>
      </c>
      <c r="R4309" s="102">
        <v>150000</v>
      </c>
      <c r="S4309" s="102">
        <f t="shared" si="2149"/>
        <v>1320000</v>
      </c>
      <c r="T4309" s="102">
        <f t="shared" si="2150"/>
        <v>1200000</v>
      </c>
      <c r="U4309" s="71" t="str">
        <f t="shared" si="2151"/>
        <v>X</v>
      </c>
      <c r="V4309" s="71"/>
      <c r="W4309" s="474"/>
      <c r="X4309" s="71"/>
      <c r="Y4309" s="71"/>
    </row>
    <row r="4310" spans="1:25" ht="30" hidden="1" customHeight="1" x14ac:dyDescent="0.25">
      <c r="A4310" s="1145">
        <v>44439</v>
      </c>
      <c r="B4310" s="664" t="s">
        <v>1051</v>
      </c>
      <c r="C4310" s="71" t="s">
        <v>1294</v>
      </c>
      <c r="D4310" s="71">
        <v>700</v>
      </c>
      <c r="E4310" s="102">
        <v>5800</v>
      </c>
      <c r="F4310" s="102">
        <f t="shared" si="2144"/>
        <v>4466000</v>
      </c>
      <c r="G4310" s="102">
        <f t="shared" si="2145"/>
        <v>4060000</v>
      </c>
      <c r="H4310" s="690" t="s">
        <v>142</v>
      </c>
      <c r="I4310" s="71" t="s">
        <v>2273</v>
      </c>
      <c r="J4310" s="53">
        <f t="shared" si="2146"/>
        <v>1603000</v>
      </c>
      <c r="K4310" s="63">
        <f t="shared" si="2147"/>
        <v>0.39482758620689656</v>
      </c>
      <c r="L4310" s="871" t="s">
        <v>3095</v>
      </c>
      <c r="M4310" s="468"/>
      <c r="N4310" s="1192">
        <f t="shared" si="2128"/>
        <v>44439</v>
      </c>
      <c r="O4310" s="71" t="s">
        <v>145</v>
      </c>
      <c r="P4310" s="164" t="str">
        <f t="shared" ref="P4310:P4327" si="2152">(C4310)</f>
        <v>ENGAGE 1030*790</v>
      </c>
      <c r="Q4310" s="71">
        <f t="shared" ref="Q4310:Q4329" si="2153">D4310</f>
        <v>700</v>
      </c>
      <c r="R4310" s="102">
        <v>3510</v>
      </c>
      <c r="S4310" s="102">
        <f t="shared" si="2149"/>
        <v>2702700</v>
      </c>
      <c r="T4310" s="102">
        <f t="shared" si="2150"/>
        <v>2457000</v>
      </c>
      <c r="U4310" s="71" t="str">
        <f t="shared" si="2151"/>
        <v>O</v>
      </c>
      <c r="V4310" s="71"/>
      <c r="W4310" s="474">
        <f t="shared" ref="W4310:W4331" si="2154">(G4310-T4310)</f>
        <v>1603000</v>
      </c>
      <c r="X4310" s="71"/>
      <c r="Y4310" s="71"/>
    </row>
    <row r="4311" spans="1:25" ht="30" hidden="1" customHeight="1" x14ac:dyDescent="0.25">
      <c r="A4311" s="1145">
        <v>44439</v>
      </c>
      <c r="B4311" s="664" t="s">
        <v>1051</v>
      </c>
      <c r="C4311" s="71" t="s">
        <v>1384</v>
      </c>
      <c r="D4311" s="71">
        <v>1800</v>
      </c>
      <c r="E4311" s="102">
        <v>3650</v>
      </c>
      <c r="F4311" s="102">
        <f t="shared" si="2144"/>
        <v>7227000.0000000009</v>
      </c>
      <c r="G4311" s="102">
        <f t="shared" si="2145"/>
        <v>6570000</v>
      </c>
      <c r="H4311" s="690" t="s">
        <v>142</v>
      </c>
      <c r="I4311" s="71" t="s">
        <v>2273</v>
      </c>
      <c r="J4311" s="53">
        <f t="shared" si="2146"/>
        <v>2574000</v>
      </c>
      <c r="K4311" s="63">
        <f t="shared" si="2147"/>
        <v>0.39178082191780816</v>
      </c>
      <c r="L4311" s="871" t="s">
        <v>3095</v>
      </c>
      <c r="M4311" s="468"/>
      <c r="N4311" s="1192">
        <f t="shared" si="2128"/>
        <v>44439</v>
      </c>
      <c r="O4311" s="71" t="s">
        <v>145</v>
      </c>
      <c r="P4311" s="164" t="str">
        <f t="shared" si="2152"/>
        <v>ENGAGE 900X571 - 27RO</v>
      </c>
      <c r="Q4311" s="71">
        <f t="shared" si="2153"/>
        <v>1800</v>
      </c>
      <c r="R4311" s="102">
        <v>2220</v>
      </c>
      <c r="S4311" s="102">
        <f t="shared" si="2149"/>
        <v>4395600</v>
      </c>
      <c r="T4311" s="102">
        <f t="shared" si="2150"/>
        <v>3996000</v>
      </c>
      <c r="U4311" s="71" t="str">
        <f t="shared" si="2151"/>
        <v>O</v>
      </c>
      <c r="V4311" s="71"/>
      <c r="W4311" s="474">
        <f t="shared" si="2154"/>
        <v>2574000</v>
      </c>
      <c r="X4311" s="71"/>
      <c r="Y4311" s="71"/>
    </row>
    <row r="4312" spans="1:25" ht="30" hidden="1" customHeight="1" x14ac:dyDescent="0.25">
      <c r="A4312" s="1145">
        <v>44439</v>
      </c>
      <c r="B4312" s="664" t="s">
        <v>1051</v>
      </c>
      <c r="C4312" s="71" t="s">
        <v>951</v>
      </c>
      <c r="D4312" s="71">
        <v>2600</v>
      </c>
      <c r="E4312" s="102">
        <v>3480</v>
      </c>
      <c r="F4312" s="102">
        <f t="shared" si="2144"/>
        <v>9952800</v>
      </c>
      <c r="G4312" s="102">
        <f t="shared" si="2145"/>
        <v>9048000</v>
      </c>
      <c r="H4312" s="690" t="s">
        <v>142</v>
      </c>
      <c r="I4312" s="71" t="s">
        <v>2273</v>
      </c>
      <c r="J4312" s="53">
        <f t="shared" si="2146"/>
        <v>3588000</v>
      </c>
      <c r="K4312" s="63">
        <f t="shared" si="2147"/>
        <v>0.39655172413793105</v>
      </c>
      <c r="L4312" s="871" t="s">
        <v>3095</v>
      </c>
      <c r="M4312" s="468"/>
      <c r="N4312" s="1192">
        <f t="shared" si="2128"/>
        <v>44439</v>
      </c>
      <c r="O4312" s="71" t="s">
        <v>145</v>
      </c>
      <c r="P4312" s="164" t="str">
        <f t="shared" si="2152"/>
        <v>ENGAGE 30WEB(883*552)</v>
      </c>
      <c r="Q4312" s="71">
        <f t="shared" si="2153"/>
        <v>2600</v>
      </c>
      <c r="R4312" s="102">
        <v>2100</v>
      </c>
      <c r="S4312" s="102">
        <f t="shared" si="2149"/>
        <v>6006000.0000000009</v>
      </c>
      <c r="T4312" s="102">
        <f t="shared" si="2150"/>
        <v>5460000</v>
      </c>
      <c r="U4312" s="71" t="str">
        <f t="shared" si="2151"/>
        <v>O</v>
      </c>
      <c r="V4312" s="71"/>
      <c r="W4312" s="474">
        <f t="shared" si="2154"/>
        <v>3588000</v>
      </c>
      <c r="X4312" s="71"/>
      <c r="Y4312" s="71"/>
    </row>
    <row r="4313" spans="1:25" ht="30" hidden="1" customHeight="1" x14ac:dyDescent="0.25">
      <c r="A4313" s="1145">
        <v>44439</v>
      </c>
      <c r="B4313" s="664" t="s">
        <v>1051</v>
      </c>
      <c r="C4313" s="71" t="s">
        <v>2219</v>
      </c>
      <c r="D4313" s="71">
        <v>300</v>
      </c>
      <c r="E4313" s="102">
        <v>5870</v>
      </c>
      <c r="F4313" s="102">
        <f t="shared" si="2144"/>
        <v>1937100.0000000002</v>
      </c>
      <c r="G4313" s="102">
        <f t="shared" si="2145"/>
        <v>1761000</v>
      </c>
      <c r="H4313" s="690" t="s">
        <v>142</v>
      </c>
      <c r="I4313" s="71" t="s">
        <v>2273</v>
      </c>
      <c r="J4313" s="53">
        <f t="shared" si="2146"/>
        <v>696000</v>
      </c>
      <c r="K4313" s="63">
        <f t="shared" si="2147"/>
        <v>0.39522998296422485</v>
      </c>
      <c r="L4313" s="871" t="s">
        <v>3095</v>
      </c>
      <c r="M4313" s="468"/>
      <c r="N4313" s="1192">
        <f t="shared" si="2128"/>
        <v>44439</v>
      </c>
      <c r="O4313" s="71" t="s">
        <v>145</v>
      </c>
      <c r="P4313" s="164" t="str">
        <f t="shared" si="2152"/>
        <v>ENGAGE 1030*800</v>
      </c>
      <c r="Q4313" s="71">
        <f t="shared" si="2153"/>
        <v>300</v>
      </c>
      <c r="R4313" s="102">
        <v>3550</v>
      </c>
      <c r="S4313" s="102">
        <f t="shared" si="2149"/>
        <v>1171500</v>
      </c>
      <c r="T4313" s="102">
        <f t="shared" si="2150"/>
        <v>1065000</v>
      </c>
      <c r="U4313" s="71" t="str">
        <f t="shared" si="2151"/>
        <v>O</v>
      </c>
      <c r="V4313" s="71"/>
      <c r="W4313" s="474">
        <f t="shared" si="2154"/>
        <v>696000</v>
      </c>
      <c r="X4313" s="71"/>
      <c r="Y4313" s="71"/>
    </row>
    <row r="4314" spans="1:25" ht="30" hidden="1" customHeight="1" x14ac:dyDescent="0.25">
      <c r="A4314" s="1145">
        <v>44439</v>
      </c>
      <c r="B4314" s="664" t="s">
        <v>1051</v>
      </c>
      <c r="C4314" s="71" t="s">
        <v>1383</v>
      </c>
      <c r="D4314" s="71">
        <v>700</v>
      </c>
      <c r="E4314" s="102">
        <v>6090</v>
      </c>
      <c r="F4314" s="102">
        <f t="shared" si="2144"/>
        <v>4689300</v>
      </c>
      <c r="G4314" s="102">
        <f t="shared" si="2145"/>
        <v>4263000</v>
      </c>
      <c r="H4314" s="690" t="s">
        <v>142</v>
      </c>
      <c r="I4314" s="71" t="s">
        <v>2273</v>
      </c>
      <c r="J4314" s="53">
        <f t="shared" si="2146"/>
        <v>1680000</v>
      </c>
      <c r="K4314" s="63">
        <f t="shared" si="2147"/>
        <v>0.39408866995073893</v>
      </c>
      <c r="L4314" s="871" t="s">
        <v>3095</v>
      </c>
      <c r="M4314" s="468"/>
      <c r="N4314" s="1192">
        <f t="shared" si="2128"/>
        <v>44439</v>
      </c>
      <c r="O4314" s="71" t="s">
        <v>145</v>
      </c>
      <c r="P4314" s="164" t="str">
        <f t="shared" si="2152"/>
        <v>ENGAGE 1055*811</v>
      </c>
      <c r="Q4314" s="71">
        <f t="shared" si="2153"/>
        <v>700</v>
      </c>
      <c r="R4314" s="102">
        <v>3690</v>
      </c>
      <c r="S4314" s="102">
        <f t="shared" si="2149"/>
        <v>2841300</v>
      </c>
      <c r="T4314" s="102">
        <f t="shared" si="2150"/>
        <v>2583000</v>
      </c>
      <c r="U4314" s="71" t="str">
        <f t="shared" si="2151"/>
        <v>O</v>
      </c>
      <c r="V4314" s="71"/>
      <c r="W4314" s="474">
        <f t="shared" si="2154"/>
        <v>1680000</v>
      </c>
      <c r="X4314" s="71"/>
      <c r="Y4314" s="71"/>
    </row>
    <row r="4315" spans="1:25" ht="30" hidden="1" customHeight="1" x14ac:dyDescent="0.25">
      <c r="A4315" s="1145">
        <v>44439</v>
      </c>
      <c r="B4315" s="664" t="s">
        <v>1051</v>
      </c>
      <c r="C4315" s="71" t="s">
        <v>1650</v>
      </c>
      <c r="D4315" s="71">
        <v>2000</v>
      </c>
      <c r="E4315" s="102">
        <v>4350</v>
      </c>
      <c r="F4315" s="102">
        <f t="shared" si="2144"/>
        <v>9570000</v>
      </c>
      <c r="G4315" s="102">
        <f t="shared" si="2145"/>
        <v>8700000</v>
      </c>
      <c r="H4315" s="690" t="s">
        <v>142</v>
      </c>
      <c r="I4315" s="71" t="s">
        <v>2273</v>
      </c>
      <c r="J4315" s="53">
        <f t="shared" si="2146"/>
        <v>3440000</v>
      </c>
      <c r="K4315" s="63">
        <f t="shared" si="2147"/>
        <v>0.39540229885057471</v>
      </c>
      <c r="L4315" s="871" t="s">
        <v>3095</v>
      </c>
      <c r="M4315" s="468"/>
      <c r="N4315" s="1192">
        <f t="shared" si="2128"/>
        <v>44439</v>
      </c>
      <c r="O4315" s="71" t="s">
        <v>145</v>
      </c>
      <c r="P4315" s="164" t="str">
        <f t="shared" si="2152"/>
        <v>ENGAGE 968*631</v>
      </c>
      <c r="Q4315" s="71">
        <f t="shared" si="2153"/>
        <v>2000</v>
      </c>
      <c r="R4315" s="102">
        <v>2630</v>
      </c>
      <c r="S4315" s="102">
        <f t="shared" si="2149"/>
        <v>5786000.0000000009</v>
      </c>
      <c r="T4315" s="102">
        <f t="shared" si="2150"/>
        <v>5260000</v>
      </c>
      <c r="U4315" s="71" t="str">
        <f t="shared" si="2151"/>
        <v>O</v>
      </c>
      <c r="V4315" s="71"/>
      <c r="W4315" s="474">
        <f t="shared" si="2154"/>
        <v>3440000</v>
      </c>
      <c r="X4315" s="71"/>
      <c r="Y4315" s="71"/>
    </row>
    <row r="4316" spans="1:25" ht="30" hidden="1" customHeight="1" x14ac:dyDescent="0.25">
      <c r="A4316" s="1145">
        <v>44439</v>
      </c>
      <c r="B4316" s="664" t="s">
        <v>1051</v>
      </c>
      <c r="C4316" s="71" t="s">
        <v>2619</v>
      </c>
      <c r="D4316" s="71"/>
      <c r="E4316" s="102"/>
      <c r="F4316" s="102">
        <f t="shared" si="2144"/>
        <v>0</v>
      </c>
      <c r="G4316" s="102">
        <f t="shared" si="2145"/>
        <v>0</v>
      </c>
      <c r="H4316" s="690" t="s">
        <v>142</v>
      </c>
      <c r="I4316" s="71" t="s">
        <v>2273</v>
      </c>
      <c r="J4316" s="53">
        <f t="shared" si="2146"/>
        <v>0</v>
      </c>
      <c r="K4316" s="63" t="e">
        <f t="shared" si="2147"/>
        <v>#DIV/0!</v>
      </c>
      <c r="L4316" s="871" t="s">
        <v>3095</v>
      </c>
      <c r="M4316" s="468"/>
      <c r="N4316" s="1192">
        <f t="shared" si="2128"/>
        <v>44439</v>
      </c>
      <c r="O4316" s="71" t="s">
        <v>145</v>
      </c>
      <c r="P4316" s="164" t="str">
        <f t="shared" si="2152"/>
        <v>ENGAGE 1092*800</v>
      </c>
      <c r="Q4316" s="71">
        <f t="shared" si="2153"/>
        <v>0</v>
      </c>
      <c r="R4316" s="102">
        <v>5510</v>
      </c>
      <c r="S4316" s="102">
        <f t="shared" si="2149"/>
        <v>0</v>
      </c>
      <c r="T4316" s="102">
        <f t="shared" si="2150"/>
        <v>0</v>
      </c>
      <c r="U4316" s="71" t="str">
        <f t="shared" si="2151"/>
        <v>O</v>
      </c>
      <c r="V4316" s="71"/>
      <c r="W4316" s="474">
        <f t="shared" si="2154"/>
        <v>0</v>
      </c>
      <c r="X4316" s="71"/>
      <c r="Y4316" s="71"/>
    </row>
    <row r="4317" spans="1:25" ht="30" hidden="1" customHeight="1" x14ac:dyDescent="0.25">
      <c r="A4317" s="1145">
        <v>44439</v>
      </c>
      <c r="B4317" s="664" t="s">
        <v>1051</v>
      </c>
      <c r="C4317" s="71" t="s">
        <v>1386</v>
      </c>
      <c r="D4317" s="71">
        <v>35</v>
      </c>
      <c r="E4317" s="102">
        <v>53500</v>
      </c>
      <c r="F4317" s="102">
        <f t="shared" si="2144"/>
        <v>2059750.0000000002</v>
      </c>
      <c r="G4317" s="102">
        <f t="shared" si="2145"/>
        <v>1872500</v>
      </c>
      <c r="H4317" s="690" t="s">
        <v>142</v>
      </c>
      <c r="I4317" s="71" t="s">
        <v>2273</v>
      </c>
      <c r="J4317" s="53">
        <f t="shared" si="2146"/>
        <v>463750</v>
      </c>
      <c r="K4317" s="63">
        <f t="shared" si="2147"/>
        <v>0.24766355140186913</v>
      </c>
      <c r="L4317" s="871" t="s">
        <v>3095</v>
      </c>
      <c r="M4317" s="468"/>
      <c r="N4317" s="1192">
        <f t="shared" si="2128"/>
        <v>44439</v>
      </c>
      <c r="O4317" s="71" t="s">
        <v>145</v>
      </c>
      <c r="P4317" s="164" t="str">
        <f t="shared" si="2152"/>
        <v>THR200(20L)보충액</v>
      </c>
      <c r="Q4317" s="71">
        <f t="shared" si="2153"/>
        <v>35</v>
      </c>
      <c r="R4317" s="102">
        <v>40250</v>
      </c>
      <c r="S4317" s="102">
        <f t="shared" si="2149"/>
        <v>1549625.0000000002</v>
      </c>
      <c r="T4317" s="102">
        <f t="shared" si="2150"/>
        <v>1408750</v>
      </c>
      <c r="U4317" s="71" t="str">
        <f t="shared" si="2151"/>
        <v>O</v>
      </c>
      <c r="V4317" s="71"/>
      <c r="W4317" s="474">
        <f t="shared" si="2154"/>
        <v>463750</v>
      </c>
      <c r="X4317" s="71"/>
      <c r="Y4317" s="71"/>
    </row>
    <row r="4318" spans="1:25" ht="30" hidden="1" customHeight="1" x14ac:dyDescent="0.25">
      <c r="A4318" s="1145">
        <v>44439</v>
      </c>
      <c r="B4318" s="664" t="s">
        <v>1051</v>
      </c>
      <c r="C4318" s="71" t="s">
        <v>1387</v>
      </c>
      <c r="D4318" s="71">
        <v>5</v>
      </c>
      <c r="E4318" s="102">
        <v>53500</v>
      </c>
      <c r="F4318" s="102">
        <f t="shared" si="2144"/>
        <v>294250</v>
      </c>
      <c r="G4318" s="102">
        <f t="shared" si="2145"/>
        <v>267500</v>
      </c>
      <c r="H4318" s="690" t="s">
        <v>142</v>
      </c>
      <c r="I4318" s="71" t="s">
        <v>2273</v>
      </c>
      <c r="J4318" s="53">
        <f t="shared" si="2146"/>
        <v>66250</v>
      </c>
      <c r="K4318" s="63">
        <f t="shared" si="2147"/>
        <v>0.24766355140186916</v>
      </c>
      <c r="L4318" s="871" t="s">
        <v>3095</v>
      </c>
      <c r="M4318" s="468"/>
      <c r="N4318" s="1192">
        <f t="shared" si="2128"/>
        <v>44439</v>
      </c>
      <c r="O4318" s="71" t="s">
        <v>145</v>
      </c>
      <c r="P4318" s="164" t="str">
        <f t="shared" si="2152"/>
        <v>THD200(20L)현상액</v>
      </c>
      <c r="Q4318" s="71">
        <f t="shared" si="2153"/>
        <v>5</v>
      </c>
      <c r="R4318" s="102">
        <v>40250</v>
      </c>
      <c r="S4318" s="102">
        <f t="shared" si="2149"/>
        <v>221375.00000000003</v>
      </c>
      <c r="T4318" s="102">
        <f t="shared" si="2150"/>
        <v>201250</v>
      </c>
      <c r="U4318" s="71" t="str">
        <f t="shared" si="2151"/>
        <v>O</v>
      </c>
      <c r="V4318" s="71"/>
      <c r="W4318" s="474">
        <f t="shared" si="2154"/>
        <v>66250</v>
      </c>
      <c r="X4318" s="71"/>
      <c r="Y4318" s="71"/>
    </row>
    <row r="4319" spans="1:25" ht="30" hidden="1" customHeight="1" x14ac:dyDescent="0.25">
      <c r="A4319" s="1145">
        <v>44439</v>
      </c>
      <c r="B4319" s="664" t="s">
        <v>1061</v>
      </c>
      <c r="C4319" s="71" t="s">
        <v>616</v>
      </c>
      <c r="D4319" s="71"/>
      <c r="E4319" s="102">
        <v>5600</v>
      </c>
      <c r="F4319" s="102">
        <f t="shared" si="2144"/>
        <v>0</v>
      </c>
      <c r="G4319" s="102">
        <f t="shared" si="2145"/>
        <v>0</v>
      </c>
      <c r="H4319" s="690" t="s">
        <v>142</v>
      </c>
      <c r="I4319" s="71" t="s">
        <v>144</v>
      </c>
      <c r="J4319" s="53">
        <f t="shared" si="2146"/>
        <v>0</v>
      </c>
      <c r="K4319" s="63" t="e">
        <f t="shared" si="2147"/>
        <v>#DIV/0!</v>
      </c>
      <c r="L4319" s="871" t="s">
        <v>3095</v>
      </c>
      <c r="M4319" s="468"/>
      <c r="N4319" s="1192">
        <f t="shared" si="2128"/>
        <v>44439</v>
      </c>
      <c r="O4319" s="71" t="s">
        <v>147</v>
      </c>
      <c r="P4319" s="164" t="str">
        <f t="shared" si="2152"/>
        <v>프리미어(먹)</v>
      </c>
      <c r="Q4319" s="71">
        <f t="shared" si="2153"/>
        <v>0</v>
      </c>
      <c r="R4319" s="102">
        <v>5090</v>
      </c>
      <c r="S4319" s="102">
        <f t="shared" si="2149"/>
        <v>0</v>
      </c>
      <c r="T4319" s="102">
        <f t="shared" si="2150"/>
        <v>0</v>
      </c>
      <c r="U4319" s="71" t="str">
        <f t="shared" si="2151"/>
        <v>O</v>
      </c>
      <c r="V4319" s="71"/>
      <c r="W4319" s="474">
        <f t="shared" si="2154"/>
        <v>0</v>
      </c>
      <c r="X4319" s="71"/>
      <c r="Y4319" s="71"/>
    </row>
    <row r="4320" spans="1:25" ht="30" hidden="1" customHeight="1" x14ac:dyDescent="0.25">
      <c r="A4320" s="1145">
        <v>44439</v>
      </c>
      <c r="B4320" s="664" t="s">
        <v>1052</v>
      </c>
      <c r="C4320" s="71" t="s">
        <v>585</v>
      </c>
      <c r="D4320" s="71">
        <v>400</v>
      </c>
      <c r="E4320" s="102">
        <v>6000</v>
      </c>
      <c r="F4320" s="102">
        <f t="shared" si="2144"/>
        <v>2640000</v>
      </c>
      <c r="G4320" s="102">
        <f t="shared" si="2145"/>
        <v>2400000</v>
      </c>
      <c r="H4320" s="690" t="s">
        <v>142</v>
      </c>
      <c r="I4320" s="71" t="s">
        <v>144</v>
      </c>
      <c r="J4320" s="53">
        <f t="shared" si="2146"/>
        <v>0</v>
      </c>
      <c r="K4320" s="63">
        <f t="shared" si="2147"/>
        <v>0</v>
      </c>
      <c r="L4320" s="871" t="s">
        <v>3095</v>
      </c>
      <c r="M4320" s="468"/>
      <c r="N4320" s="1192">
        <f t="shared" si="2128"/>
        <v>44439</v>
      </c>
      <c r="O4320" s="71" t="s">
        <v>147</v>
      </c>
      <c r="P4320" s="164" t="str">
        <f t="shared" si="2152"/>
        <v>프리미어(적)</v>
      </c>
      <c r="Q4320" s="71">
        <f t="shared" si="2153"/>
        <v>400</v>
      </c>
      <c r="R4320" s="102">
        <v>6000</v>
      </c>
      <c r="S4320" s="102">
        <f t="shared" si="2149"/>
        <v>2640000</v>
      </c>
      <c r="T4320" s="102">
        <f t="shared" si="2150"/>
        <v>2400000</v>
      </c>
      <c r="U4320" s="71" t="str">
        <f t="shared" si="2151"/>
        <v>O</v>
      </c>
      <c r="V4320" s="71"/>
      <c r="W4320" s="474">
        <f t="shared" si="2154"/>
        <v>0</v>
      </c>
      <c r="X4320" s="71"/>
      <c r="Y4320" s="71"/>
    </row>
    <row r="4321" spans="1:25" ht="30" hidden="1" customHeight="1" x14ac:dyDescent="0.25">
      <c r="A4321" s="1145">
        <v>44439</v>
      </c>
      <c r="B4321" s="664" t="s">
        <v>1061</v>
      </c>
      <c r="C4321" s="71" t="s">
        <v>586</v>
      </c>
      <c r="D4321" s="71">
        <v>800</v>
      </c>
      <c r="E4321" s="102">
        <v>5750</v>
      </c>
      <c r="F4321" s="102">
        <f t="shared" si="2144"/>
        <v>5060000</v>
      </c>
      <c r="G4321" s="102">
        <f t="shared" si="2145"/>
        <v>4600000</v>
      </c>
      <c r="H4321" s="690" t="s">
        <v>142</v>
      </c>
      <c r="I4321" s="71" t="s">
        <v>144</v>
      </c>
      <c r="J4321" s="53">
        <f t="shared" si="2146"/>
        <v>0</v>
      </c>
      <c r="K4321" s="63">
        <f t="shared" si="2147"/>
        <v>0</v>
      </c>
      <c r="L4321" s="871" t="s">
        <v>3095</v>
      </c>
      <c r="M4321" s="468"/>
      <c r="N4321" s="1192">
        <f t="shared" si="2128"/>
        <v>44439</v>
      </c>
      <c r="O4321" s="71" t="s">
        <v>147</v>
      </c>
      <c r="P4321" s="164" t="str">
        <f t="shared" si="2152"/>
        <v>프리미어(황)</v>
      </c>
      <c r="Q4321" s="71">
        <f t="shared" si="2153"/>
        <v>800</v>
      </c>
      <c r="R4321" s="102">
        <v>5750</v>
      </c>
      <c r="S4321" s="102">
        <f t="shared" si="2149"/>
        <v>5060000</v>
      </c>
      <c r="T4321" s="102">
        <f t="shared" si="2150"/>
        <v>4600000</v>
      </c>
      <c r="U4321" s="71" t="str">
        <f t="shared" si="2151"/>
        <v>O</v>
      </c>
      <c r="V4321" s="71"/>
      <c r="W4321" s="474">
        <f t="shared" si="2154"/>
        <v>0</v>
      </c>
      <c r="X4321" s="71"/>
      <c r="Y4321" s="71"/>
    </row>
    <row r="4322" spans="1:25" ht="30" hidden="1" customHeight="1" x14ac:dyDescent="0.25">
      <c r="A4322" s="1145">
        <v>44439</v>
      </c>
      <c r="B4322" s="664" t="s">
        <v>1061</v>
      </c>
      <c r="C4322" s="71" t="s">
        <v>587</v>
      </c>
      <c r="D4322" s="71">
        <v>600</v>
      </c>
      <c r="E4322" s="102">
        <v>7000</v>
      </c>
      <c r="F4322" s="102">
        <f t="shared" si="2144"/>
        <v>4620000</v>
      </c>
      <c r="G4322" s="102">
        <f t="shared" si="2145"/>
        <v>4200000</v>
      </c>
      <c r="H4322" s="690" t="s">
        <v>142</v>
      </c>
      <c r="I4322" s="71" t="s">
        <v>144</v>
      </c>
      <c r="J4322" s="53">
        <f t="shared" si="2146"/>
        <v>0</v>
      </c>
      <c r="K4322" s="63">
        <f t="shared" si="2147"/>
        <v>0</v>
      </c>
      <c r="L4322" s="871" t="s">
        <v>3095</v>
      </c>
      <c r="M4322" s="468"/>
      <c r="N4322" s="1192">
        <f t="shared" si="2128"/>
        <v>44439</v>
      </c>
      <c r="O4322" s="71" t="s">
        <v>147</v>
      </c>
      <c r="P4322" s="164" t="str">
        <f t="shared" si="2152"/>
        <v>프리미어(청)</v>
      </c>
      <c r="Q4322" s="71">
        <f t="shared" si="2153"/>
        <v>600</v>
      </c>
      <c r="R4322" s="102">
        <v>7000</v>
      </c>
      <c r="S4322" s="102">
        <f t="shared" si="2149"/>
        <v>4620000</v>
      </c>
      <c r="T4322" s="102">
        <f t="shared" si="2150"/>
        <v>4200000</v>
      </c>
      <c r="U4322" s="71" t="str">
        <f t="shared" si="2151"/>
        <v>O</v>
      </c>
      <c r="V4322" s="71"/>
      <c r="W4322" s="474">
        <f t="shared" si="2154"/>
        <v>0</v>
      </c>
      <c r="X4322" s="71"/>
      <c r="Y4322" s="71"/>
    </row>
    <row r="4323" spans="1:25" ht="30" hidden="1" customHeight="1" x14ac:dyDescent="0.25">
      <c r="A4323" s="1145">
        <v>44439</v>
      </c>
      <c r="B4323" s="664" t="s">
        <v>1052</v>
      </c>
      <c r="C4323" s="71" t="s">
        <v>1115</v>
      </c>
      <c r="D4323" s="71">
        <v>50</v>
      </c>
      <c r="E4323" s="102">
        <v>6200</v>
      </c>
      <c r="F4323" s="102">
        <f t="shared" si="2144"/>
        <v>341000</v>
      </c>
      <c r="G4323" s="102">
        <f t="shared" si="2145"/>
        <v>310000</v>
      </c>
      <c r="H4323" s="690" t="s">
        <v>142</v>
      </c>
      <c r="I4323" s="71" t="s">
        <v>144</v>
      </c>
      <c r="J4323" s="53">
        <f t="shared" si="2146"/>
        <v>15000</v>
      </c>
      <c r="K4323" s="63">
        <f t="shared" si="2147"/>
        <v>4.8387096774193547E-2</v>
      </c>
      <c r="L4323" s="871" t="s">
        <v>3095</v>
      </c>
      <c r="M4323" s="1197"/>
      <c r="N4323" s="1192">
        <f t="shared" si="2128"/>
        <v>44439</v>
      </c>
      <c r="O4323" s="71" t="s">
        <v>2459</v>
      </c>
      <c r="P4323" s="164" t="str">
        <f t="shared" si="2152"/>
        <v>한특 잉크(적)</v>
      </c>
      <c r="Q4323" s="71">
        <f t="shared" si="2153"/>
        <v>50</v>
      </c>
      <c r="R4323" s="102">
        <v>5900</v>
      </c>
      <c r="S4323" s="102">
        <f t="shared" si="2149"/>
        <v>324500</v>
      </c>
      <c r="T4323" s="102">
        <f t="shared" si="2150"/>
        <v>295000</v>
      </c>
      <c r="U4323" s="71" t="str">
        <f t="shared" si="2151"/>
        <v>O</v>
      </c>
      <c r="V4323" s="918"/>
      <c r="W4323" s="474">
        <f t="shared" si="2154"/>
        <v>15000</v>
      </c>
      <c r="X4323" s="71"/>
      <c r="Y4323" s="71"/>
    </row>
    <row r="4324" spans="1:25" ht="30" hidden="1" customHeight="1" x14ac:dyDescent="0.25">
      <c r="A4324" s="1145">
        <v>44439</v>
      </c>
      <c r="B4324" s="664" t="s">
        <v>1052</v>
      </c>
      <c r="C4324" s="71" t="s">
        <v>1116</v>
      </c>
      <c r="D4324" s="71">
        <v>50</v>
      </c>
      <c r="E4324" s="102">
        <v>6000</v>
      </c>
      <c r="F4324" s="102">
        <f t="shared" si="2144"/>
        <v>330000</v>
      </c>
      <c r="G4324" s="102">
        <f t="shared" si="2145"/>
        <v>300000</v>
      </c>
      <c r="H4324" s="690" t="s">
        <v>142</v>
      </c>
      <c r="I4324" s="71" t="s">
        <v>144</v>
      </c>
      <c r="J4324" s="53">
        <f t="shared" si="2146"/>
        <v>25000</v>
      </c>
      <c r="K4324" s="63">
        <f t="shared" si="2147"/>
        <v>8.3333333333333329E-2</v>
      </c>
      <c r="L4324" s="871" t="s">
        <v>3095</v>
      </c>
      <c r="M4324" s="1197"/>
      <c r="N4324" s="1192">
        <f t="shared" si="2128"/>
        <v>44439</v>
      </c>
      <c r="O4324" s="71" t="s">
        <v>2459</v>
      </c>
      <c r="P4324" s="164" t="str">
        <f t="shared" si="2152"/>
        <v>한특 잉크(황)</v>
      </c>
      <c r="Q4324" s="71">
        <f t="shared" si="2153"/>
        <v>50</v>
      </c>
      <c r="R4324" s="102">
        <v>5500</v>
      </c>
      <c r="S4324" s="102">
        <f t="shared" si="2149"/>
        <v>302500</v>
      </c>
      <c r="T4324" s="102">
        <f t="shared" si="2150"/>
        <v>275000</v>
      </c>
      <c r="U4324" s="71" t="str">
        <f t="shared" si="2151"/>
        <v>O</v>
      </c>
      <c r="V4324" s="918"/>
      <c r="W4324" s="474">
        <f t="shared" si="2154"/>
        <v>25000</v>
      </c>
      <c r="X4324" s="71"/>
      <c r="Y4324" s="71"/>
    </row>
    <row r="4325" spans="1:25" ht="30" hidden="1" customHeight="1" x14ac:dyDescent="0.25">
      <c r="A4325" s="1145">
        <v>44439</v>
      </c>
      <c r="B4325" s="664" t="s">
        <v>1052</v>
      </c>
      <c r="C4325" s="71" t="s">
        <v>1117</v>
      </c>
      <c r="D4325" s="71">
        <v>20</v>
      </c>
      <c r="E4325" s="102">
        <v>6500</v>
      </c>
      <c r="F4325" s="102">
        <f t="shared" si="2144"/>
        <v>143000</v>
      </c>
      <c r="G4325" s="102">
        <f t="shared" si="2145"/>
        <v>130000</v>
      </c>
      <c r="H4325" s="690" t="s">
        <v>142</v>
      </c>
      <c r="I4325" s="71" t="s">
        <v>144</v>
      </c>
      <c r="J4325" s="53">
        <f t="shared" si="2146"/>
        <v>14000</v>
      </c>
      <c r="K4325" s="63">
        <f t="shared" si="2147"/>
        <v>0.1076923076923077</v>
      </c>
      <c r="L4325" s="871" t="s">
        <v>3095</v>
      </c>
      <c r="M4325" s="1197"/>
      <c r="N4325" s="1192">
        <f t="shared" ref="N4325:N4333" si="2155">A4325</f>
        <v>44439</v>
      </c>
      <c r="O4325" s="71" t="s">
        <v>2459</v>
      </c>
      <c r="P4325" s="164" t="str">
        <f t="shared" si="2152"/>
        <v>한특 잉크(청)</v>
      </c>
      <c r="Q4325" s="71">
        <f t="shared" si="2153"/>
        <v>20</v>
      </c>
      <c r="R4325" s="102">
        <v>5800</v>
      </c>
      <c r="S4325" s="102">
        <f t="shared" si="2149"/>
        <v>127600.00000000001</v>
      </c>
      <c r="T4325" s="102">
        <f t="shared" si="2150"/>
        <v>116000</v>
      </c>
      <c r="U4325" s="71" t="str">
        <f t="shared" si="2151"/>
        <v>O</v>
      </c>
      <c r="V4325" s="918"/>
      <c r="W4325" s="474">
        <f t="shared" si="2154"/>
        <v>14000</v>
      </c>
      <c r="X4325" s="71"/>
      <c r="Y4325" s="71"/>
    </row>
    <row r="4326" spans="1:25" ht="30" hidden="1" customHeight="1" x14ac:dyDescent="0.25">
      <c r="A4326" s="1145">
        <v>44439</v>
      </c>
      <c r="B4326" s="664" t="s">
        <v>1052</v>
      </c>
      <c r="C4326" s="71" t="s">
        <v>1118</v>
      </c>
      <c r="D4326" s="71">
        <v>100</v>
      </c>
      <c r="E4326" s="102">
        <v>5600</v>
      </c>
      <c r="F4326" s="102">
        <f t="shared" si="2144"/>
        <v>616000</v>
      </c>
      <c r="G4326" s="102">
        <f t="shared" si="2145"/>
        <v>560000</v>
      </c>
      <c r="H4326" s="690" t="s">
        <v>142</v>
      </c>
      <c r="I4326" s="71" t="s">
        <v>144</v>
      </c>
      <c r="J4326" s="53">
        <f t="shared" si="2146"/>
        <v>60000</v>
      </c>
      <c r="K4326" s="63">
        <f t="shared" si="2147"/>
        <v>0.10714285714285714</v>
      </c>
      <c r="L4326" s="871" t="s">
        <v>3095</v>
      </c>
      <c r="M4326" s="1197"/>
      <c r="N4326" s="1192">
        <f t="shared" si="2155"/>
        <v>44439</v>
      </c>
      <c r="O4326" s="71" t="s">
        <v>2459</v>
      </c>
      <c r="P4326" s="164" t="str">
        <f t="shared" si="2152"/>
        <v>한특 잉크(먹)</v>
      </c>
      <c r="Q4326" s="71">
        <f t="shared" si="2153"/>
        <v>100</v>
      </c>
      <c r="R4326" s="102">
        <v>5000</v>
      </c>
      <c r="S4326" s="102">
        <f t="shared" si="2149"/>
        <v>550000</v>
      </c>
      <c r="T4326" s="102">
        <f t="shared" si="2150"/>
        <v>500000</v>
      </c>
      <c r="U4326" s="71" t="str">
        <f t="shared" si="2151"/>
        <v>O</v>
      </c>
      <c r="V4326" s="918"/>
      <c r="W4326" s="474">
        <f t="shared" si="2154"/>
        <v>60000</v>
      </c>
      <c r="X4326" s="71"/>
      <c r="Y4326" s="71"/>
    </row>
    <row r="4327" spans="1:25" ht="30" hidden="1" customHeight="1" x14ac:dyDescent="0.25">
      <c r="A4327" s="1145">
        <v>44439</v>
      </c>
      <c r="B4327" s="664" t="s">
        <v>1052</v>
      </c>
      <c r="C4327" s="71" t="s">
        <v>2946</v>
      </c>
      <c r="D4327" s="71"/>
      <c r="E4327" s="102">
        <v>8200</v>
      </c>
      <c r="F4327" s="102">
        <f t="shared" si="2144"/>
        <v>0</v>
      </c>
      <c r="G4327" s="102">
        <f t="shared" si="2145"/>
        <v>0</v>
      </c>
      <c r="H4327" s="690" t="s">
        <v>142</v>
      </c>
      <c r="I4327" s="71" t="s">
        <v>144</v>
      </c>
      <c r="J4327" s="53">
        <f t="shared" si="2146"/>
        <v>0</v>
      </c>
      <c r="K4327" s="63" t="e">
        <f t="shared" si="2147"/>
        <v>#DIV/0!</v>
      </c>
      <c r="L4327" s="871" t="s">
        <v>3095</v>
      </c>
      <c r="M4327" s="468"/>
      <c r="N4327" s="1192">
        <f t="shared" si="2155"/>
        <v>44439</v>
      </c>
      <c r="O4327" s="71" t="s">
        <v>147</v>
      </c>
      <c r="P4327" s="164" t="str">
        <f t="shared" si="2152"/>
        <v>아라니아 분홍 190c</v>
      </c>
      <c r="Q4327" s="71">
        <f t="shared" si="2153"/>
        <v>0</v>
      </c>
      <c r="R4327" s="102">
        <v>8700</v>
      </c>
      <c r="S4327" s="102">
        <f t="shared" si="2149"/>
        <v>0</v>
      </c>
      <c r="T4327" s="102">
        <f t="shared" si="2150"/>
        <v>0</v>
      </c>
      <c r="U4327" s="71" t="str">
        <f t="shared" si="2151"/>
        <v>O</v>
      </c>
      <c r="V4327" s="71"/>
      <c r="W4327" s="474">
        <f t="shared" si="2154"/>
        <v>0</v>
      </c>
      <c r="X4327" s="71"/>
      <c r="Y4327" s="71"/>
    </row>
    <row r="4328" spans="1:25" ht="30" hidden="1" customHeight="1" x14ac:dyDescent="0.25">
      <c r="A4328" s="1145">
        <v>44439</v>
      </c>
      <c r="B4328" s="664" t="s">
        <v>1052</v>
      </c>
      <c r="C4328" s="71" t="s">
        <v>2947</v>
      </c>
      <c r="D4328" s="71"/>
      <c r="E4328" s="102">
        <v>7700</v>
      </c>
      <c r="F4328" s="102">
        <f t="shared" si="2144"/>
        <v>0</v>
      </c>
      <c r="G4328" s="102">
        <f t="shared" si="2145"/>
        <v>0</v>
      </c>
      <c r="H4328" s="690" t="s">
        <v>142</v>
      </c>
      <c r="I4328" s="71" t="s">
        <v>144</v>
      </c>
      <c r="J4328" s="53">
        <f t="shared" si="2146"/>
        <v>0</v>
      </c>
      <c r="K4328" s="63" t="e">
        <f t="shared" si="2147"/>
        <v>#DIV/0!</v>
      </c>
      <c r="L4328" s="871" t="s">
        <v>3095</v>
      </c>
      <c r="M4328" s="468"/>
      <c r="N4328" s="1192">
        <f t="shared" si="2155"/>
        <v>44439</v>
      </c>
      <c r="O4328" s="71" t="s">
        <v>147</v>
      </c>
      <c r="P4328" s="164" t="str">
        <f t="shared" ref="P4328:P4333" si="2156">(C4328)</f>
        <v>아라니아 진분홍 1905c</v>
      </c>
      <c r="Q4328" s="71">
        <f t="shared" si="2153"/>
        <v>0</v>
      </c>
      <c r="R4328" s="102">
        <v>8100</v>
      </c>
      <c r="S4328" s="102">
        <f t="shared" si="2149"/>
        <v>0</v>
      </c>
      <c r="T4328" s="102">
        <f t="shared" si="2150"/>
        <v>0</v>
      </c>
      <c r="U4328" s="71" t="str">
        <f t="shared" si="2151"/>
        <v>O</v>
      </c>
      <c r="V4328" s="71"/>
      <c r="W4328" s="474">
        <f t="shared" si="2154"/>
        <v>0</v>
      </c>
      <c r="X4328" s="71"/>
      <c r="Y4328" s="71"/>
    </row>
    <row r="4329" spans="1:25" ht="30" hidden="1" customHeight="1" x14ac:dyDescent="0.25">
      <c r="A4329" s="1145">
        <v>44439</v>
      </c>
      <c r="B4329" s="664" t="s">
        <v>1052</v>
      </c>
      <c r="C4329" s="71" t="s">
        <v>1840</v>
      </c>
      <c r="D4329" s="71"/>
      <c r="E4329" s="102">
        <v>8000</v>
      </c>
      <c r="F4329" s="102">
        <f t="shared" si="2144"/>
        <v>0</v>
      </c>
      <c r="G4329" s="102">
        <f t="shared" si="2145"/>
        <v>0</v>
      </c>
      <c r="H4329" s="690" t="s">
        <v>142</v>
      </c>
      <c r="I4329" s="71" t="s">
        <v>144</v>
      </c>
      <c r="J4329" s="53">
        <f t="shared" si="2146"/>
        <v>0</v>
      </c>
      <c r="K4329" s="63" t="e">
        <f t="shared" si="2147"/>
        <v>#DIV/0!</v>
      </c>
      <c r="L4329" s="871" t="s">
        <v>3095</v>
      </c>
      <c r="M4329" s="468"/>
      <c r="N4329" s="1192">
        <f t="shared" si="2155"/>
        <v>44439</v>
      </c>
      <c r="O4329" s="71" t="s">
        <v>147</v>
      </c>
      <c r="P4329" s="164" t="str">
        <f t="shared" si="2156"/>
        <v>아라니아 연청 304c</v>
      </c>
      <c r="Q4329" s="71">
        <f t="shared" si="2153"/>
        <v>0</v>
      </c>
      <c r="R4329" s="102"/>
      <c r="S4329" s="102">
        <f t="shared" si="2149"/>
        <v>0</v>
      </c>
      <c r="T4329" s="102">
        <f t="shared" si="2150"/>
        <v>0</v>
      </c>
      <c r="U4329" s="71" t="str">
        <f t="shared" si="2151"/>
        <v>O</v>
      </c>
      <c r="V4329" s="71"/>
      <c r="W4329" s="474">
        <f t="shared" si="2154"/>
        <v>0</v>
      </c>
      <c r="X4329" s="71"/>
      <c r="Y4329" s="71"/>
    </row>
    <row r="4330" spans="1:25" ht="30" hidden="1" customHeight="1" x14ac:dyDescent="0.25">
      <c r="A4330" s="1145">
        <v>44439</v>
      </c>
      <c r="B4330" s="664" t="s">
        <v>1052</v>
      </c>
      <c r="C4330" s="71" t="s">
        <v>3026</v>
      </c>
      <c r="D4330" s="71"/>
      <c r="E4330" s="102">
        <v>8600</v>
      </c>
      <c r="F4330" s="102">
        <f t="shared" si="2144"/>
        <v>0</v>
      </c>
      <c r="G4330" s="102">
        <f t="shared" si="2145"/>
        <v>0</v>
      </c>
      <c r="H4330" s="690" t="s">
        <v>142</v>
      </c>
      <c r="I4330" s="71" t="s">
        <v>144</v>
      </c>
      <c r="J4330" s="53">
        <f t="shared" si="2146"/>
        <v>0</v>
      </c>
      <c r="K4330" s="63" t="e">
        <f t="shared" si="2147"/>
        <v>#DIV/0!</v>
      </c>
      <c r="L4330" s="871" t="s">
        <v>3095</v>
      </c>
      <c r="M4330" s="468"/>
      <c r="N4330" s="1192">
        <f t="shared" si="2155"/>
        <v>44439</v>
      </c>
      <c r="O4330" s="71" t="s">
        <v>147</v>
      </c>
      <c r="P4330" s="164" t="str">
        <f t="shared" si="2156"/>
        <v>아라니아 연분홍</v>
      </c>
      <c r="Q4330" s="71">
        <f>D4330</f>
        <v>0</v>
      </c>
      <c r="R4330" s="102">
        <v>8500</v>
      </c>
      <c r="S4330" s="102">
        <f t="shared" si="2149"/>
        <v>0</v>
      </c>
      <c r="T4330" s="102">
        <f t="shared" si="2150"/>
        <v>0</v>
      </c>
      <c r="U4330" s="71" t="str">
        <f t="shared" si="2151"/>
        <v>O</v>
      </c>
      <c r="V4330" s="71"/>
      <c r="W4330" s="474">
        <f t="shared" si="2154"/>
        <v>0</v>
      </c>
      <c r="X4330" s="71"/>
      <c r="Y4330" s="71"/>
    </row>
    <row r="4331" spans="1:25" ht="30" hidden="1" customHeight="1" x14ac:dyDescent="0.25">
      <c r="A4331" s="1145">
        <v>44439</v>
      </c>
      <c r="B4331" s="664" t="s">
        <v>1052</v>
      </c>
      <c r="C4331" s="71" t="s">
        <v>3027</v>
      </c>
      <c r="D4331" s="71"/>
      <c r="E4331" s="102">
        <v>8000</v>
      </c>
      <c r="F4331" s="102">
        <f t="shared" si="2144"/>
        <v>0</v>
      </c>
      <c r="G4331" s="102">
        <f t="shared" si="2145"/>
        <v>0</v>
      </c>
      <c r="H4331" s="690" t="s">
        <v>142</v>
      </c>
      <c r="I4331" s="71" t="s">
        <v>144</v>
      </c>
      <c r="J4331" s="53">
        <f t="shared" si="2146"/>
        <v>0</v>
      </c>
      <c r="K4331" s="63" t="e">
        <f t="shared" si="2147"/>
        <v>#DIV/0!</v>
      </c>
      <c r="L4331" s="871" t="s">
        <v>3095</v>
      </c>
      <c r="M4331" s="468"/>
      <c r="N4331" s="1192">
        <f t="shared" si="2155"/>
        <v>44439</v>
      </c>
      <c r="O4331" s="71" t="s">
        <v>147</v>
      </c>
      <c r="P4331" s="164" t="str">
        <f t="shared" si="2156"/>
        <v>아라니아 핑크</v>
      </c>
      <c r="Q4331" s="71">
        <f>D4331</f>
        <v>0</v>
      </c>
      <c r="R4331" s="102">
        <v>8500</v>
      </c>
      <c r="S4331" s="102">
        <f t="shared" si="2149"/>
        <v>0</v>
      </c>
      <c r="T4331" s="102">
        <f t="shared" si="2150"/>
        <v>0</v>
      </c>
      <c r="U4331" s="71" t="str">
        <f t="shared" si="2151"/>
        <v>O</v>
      </c>
      <c r="V4331" s="71"/>
      <c r="W4331" s="474">
        <f t="shared" si="2154"/>
        <v>0</v>
      </c>
      <c r="X4331" s="71"/>
      <c r="Y4331" s="71"/>
    </row>
    <row r="4332" spans="1:25" ht="30" hidden="1" customHeight="1" x14ac:dyDescent="0.25">
      <c r="A4332" s="1145">
        <v>44439</v>
      </c>
      <c r="B4332" s="664" t="s">
        <v>546</v>
      </c>
      <c r="C4332" s="71" t="s">
        <v>3096</v>
      </c>
      <c r="D4332" s="71">
        <v>1</v>
      </c>
      <c r="E4332" s="102">
        <v>80000000</v>
      </c>
      <c r="F4332" s="102">
        <f>(E4332*D4332)*1.1</f>
        <v>88000000</v>
      </c>
      <c r="G4332" s="102">
        <f>(E4332*D4332)</f>
        <v>80000000</v>
      </c>
      <c r="H4332" s="690" t="s">
        <v>142</v>
      </c>
      <c r="I4332" s="71" t="s">
        <v>1431</v>
      </c>
      <c r="J4332" s="53"/>
      <c r="K4332" s="63"/>
      <c r="L4332" s="871" t="s">
        <v>3095</v>
      </c>
      <c r="M4332" s="468"/>
      <c r="N4332" s="1192">
        <f t="shared" si="2155"/>
        <v>44439</v>
      </c>
      <c r="O4332" s="71" t="s">
        <v>1431</v>
      </c>
      <c r="P4332" s="103" t="str">
        <f t="shared" si="2156"/>
        <v>Rotoman 레지스터 시스템 선금 50%</v>
      </c>
      <c r="Q4332" s="71">
        <f>D4332</f>
        <v>1</v>
      </c>
      <c r="R4332" s="102"/>
      <c r="S4332" s="102">
        <f t="shared" si="2149"/>
        <v>0</v>
      </c>
      <c r="T4332" s="102">
        <f t="shared" si="2150"/>
        <v>0</v>
      </c>
      <c r="U4332" s="71" t="str">
        <f t="shared" si="2151"/>
        <v>O</v>
      </c>
      <c r="V4332" s="71"/>
      <c r="W4332" s="474"/>
      <c r="X4332" s="71"/>
      <c r="Y4332" s="71"/>
    </row>
    <row r="4333" spans="1:25" ht="30" hidden="1" customHeight="1" x14ac:dyDescent="0.25">
      <c r="A4333" s="1145">
        <v>44439</v>
      </c>
      <c r="B4333" s="664" t="s">
        <v>575</v>
      </c>
      <c r="C4333" s="71" t="s">
        <v>3097</v>
      </c>
      <c r="D4333" s="71">
        <v>1</v>
      </c>
      <c r="E4333" s="102">
        <v>6270000</v>
      </c>
      <c r="F4333" s="102">
        <f>(E4333*D4333)*1.1</f>
        <v>6897000.0000000009</v>
      </c>
      <c r="G4333" s="102">
        <f>(E4333*D4333)</f>
        <v>6270000</v>
      </c>
      <c r="H4333" s="690" t="s">
        <v>142</v>
      </c>
      <c r="I4333" s="71" t="s">
        <v>142</v>
      </c>
      <c r="J4333" s="53">
        <f>G4333-T4333</f>
        <v>3000000</v>
      </c>
      <c r="K4333" s="63">
        <f>(J4333/(F4333/11*10))</f>
        <v>0.47846889952153104</v>
      </c>
      <c r="L4333" s="871" t="s">
        <v>3095</v>
      </c>
      <c r="M4333" s="468"/>
      <c r="N4333" s="1192">
        <f t="shared" si="2155"/>
        <v>44439</v>
      </c>
      <c r="O4333" s="71" t="s">
        <v>145</v>
      </c>
      <c r="P4333" s="103" t="str">
        <f t="shared" si="2156"/>
        <v>Agfa Apogee 제품 설치&amp;교육비</v>
      </c>
      <c r="Q4333" s="71">
        <f>D4333</f>
        <v>1</v>
      </c>
      <c r="R4333" s="102">
        <v>3270000</v>
      </c>
      <c r="S4333" s="102">
        <f t="shared" si="2149"/>
        <v>3597000.0000000005</v>
      </c>
      <c r="T4333" s="102">
        <f t="shared" si="2150"/>
        <v>3270000</v>
      </c>
      <c r="U4333" s="71" t="str">
        <f t="shared" si="2151"/>
        <v>X</v>
      </c>
      <c r="V4333" s="71"/>
      <c r="W4333" s="474"/>
      <c r="X4333" s="71"/>
      <c r="Y4333" s="71"/>
    </row>
    <row r="4334" spans="1:25" s="978" customFormat="1" ht="45" hidden="1" customHeight="1" x14ac:dyDescent="0.25">
      <c r="A4334" s="982" t="s">
        <v>3099</v>
      </c>
      <c r="B4334" s="976" t="s">
        <v>544</v>
      </c>
      <c r="C4334" s="453"/>
      <c r="D4334" s="453"/>
      <c r="E4334" s="454"/>
      <c r="F4334" s="454"/>
      <c r="G4334" s="454"/>
      <c r="H4334" s="455"/>
      <c r="I4334" s="453"/>
      <c r="J4334" s="417"/>
      <c r="K4334" s="418"/>
      <c r="L4334" s="983" t="s">
        <v>3098</v>
      </c>
      <c r="M4334" s="643"/>
      <c r="N4334" s="724" t="str">
        <f t="shared" ref="N4334:N4382" si="2157">A4334</f>
        <v>2021,9</v>
      </c>
      <c r="O4334" s="453" t="s">
        <v>154</v>
      </c>
      <c r="P4334" s="728"/>
      <c r="Q4334" s="420"/>
      <c r="R4334" s="420"/>
      <c r="S4334" s="417"/>
      <c r="T4334" s="417"/>
      <c r="U4334" s="421"/>
      <c r="V4334" s="421"/>
      <c r="W4334" s="479">
        <f>(G4334-T4334)</f>
        <v>0</v>
      </c>
      <c r="X4334" s="421"/>
      <c r="Y4334" s="421"/>
    </row>
    <row r="4335" spans="1:25" ht="30" hidden="1" customHeight="1" x14ac:dyDescent="0.25">
      <c r="A4335" s="1145">
        <v>44440</v>
      </c>
      <c r="B4335" s="664" t="s">
        <v>2155</v>
      </c>
      <c r="C4335" s="71" t="s">
        <v>579</v>
      </c>
      <c r="D4335" s="71">
        <v>1</v>
      </c>
      <c r="E4335" s="102">
        <v>280000</v>
      </c>
      <c r="F4335" s="102">
        <f t="shared" ref="F4335:F4382" si="2158">(E4335*D4335)*1.1</f>
        <v>308000</v>
      </c>
      <c r="G4335" s="102">
        <f t="shared" ref="G4335:G4382" si="2159">(E4335*D4335)</f>
        <v>280000</v>
      </c>
      <c r="H4335" s="690" t="s">
        <v>985</v>
      </c>
      <c r="I4335" s="71" t="s">
        <v>985</v>
      </c>
      <c r="J4335" s="53">
        <f t="shared" ref="J4335:J4369" si="2160">G4335-T4335</f>
        <v>280000</v>
      </c>
      <c r="K4335" s="63">
        <f>(J4335/(F4335/11*10))</f>
        <v>1</v>
      </c>
      <c r="L4335" s="871" t="s">
        <v>3098</v>
      </c>
      <c r="M4335" s="468"/>
      <c r="N4335" s="1192">
        <f t="shared" si="2157"/>
        <v>44440</v>
      </c>
      <c r="O4335" s="71"/>
      <c r="P4335" s="103" t="str">
        <f t="shared" ref="P4335:P4382" si="2161">(C4335)</f>
        <v>M-600 서비스 비용</v>
      </c>
      <c r="Q4335" s="71">
        <f>D4335</f>
        <v>1</v>
      </c>
      <c r="R4335" s="102"/>
      <c r="S4335" s="102">
        <f t="shared" ref="S4335:S4366" si="2162">R4335*Q4335*1.1</f>
        <v>0</v>
      </c>
      <c r="T4335" s="102">
        <f t="shared" ref="T4335:T4366" si="2163">R4335*Q4335</f>
        <v>0</v>
      </c>
      <c r="U4335" s="71"/>
      <c r="V4335" s="71"/>
      <c r="W4335" s="474"/>
      <c r="X4335" s="71"/>
      <c r="Y4335" s="71"/>
    </row>
    <row r="4336" spans="1:25" ht="30" hidden="1" customHeight="1" x14ac:dyDescent="0.25">
      <c r="A4336" s="1145">
        <v>44440</v>
      </c>
      <c r="B4336" s="664" t="s">
        <v>2155</v>
      </c>
      <c r="C4336" s="71" t="s">
        <v>277</v>
      </c>
      <c r="D4336" s="71">
        <v>10</v>
      </c>
      <c r="E4336" s="102">
        <v>172000</v>
      </c>
      <c r="F4336" s="102">
        <f t="shared" si="2158"/>
        <v>1892000.0000000002</v>
      </c>
      <c r="G4336" s="102">
        <f t="shared" si="2159"/>
        <v>1720000</v>
      </c>
      <c r="H4336" s="690" t="s">
        <v>173</v>
      </c>
      <c r="I4336" s="71" t="s">
        <v>108</v>
      </c>
      <c r="J4336" s="53">
        <f t="shared" si="2160"/>
        <v>570000</v>
      </c>
      <c r="K4336" s="63">
        <f t="shared" ref="K4336:K4399" si="2164">(J4336/(F4336/11*10))</f>
        <v>0.33139534883720928</v>
      </c>
      <c r="L4336" s="871" t="s">
        <v>3098</v>
      </c>
      <c r="M4336" s="468"/>
      <c r="N4336" s="1192">
        <f t="shared" si="2157"/>
        <v>44440</v>
      </c>
      <c r="O4336" s="71" t="s">
        <v>150</v>
      </c>
      <c r="P4336" s="164" t="str">
        <f t="shared" si="2161"/>
        <v>윤전용 세척제(Web 504)</v>
      </c>
      <c r="Q4336" s="71">
        <f>D4336</f>
        <v>10</v>
      </c>
      <c r="R4336" s="102">
        <v>115000</v>
      </c>
      <c r="S4336" s="102">
        <f t="shared" si="2162"/>
        <v>1265000</v>
      </c>
      <c r="T4336" s="102">
        <f t="shared" si="2163"/>
        <v>1150000</v>
      </c>
      <c r="U4336" s="71" t="str">
        <f t="shared" ref="U4336:U4342" si="2165">IF(J4336=W4336,"O", "X")</f>
        <v>X</v>
      </c>
      <c r="V4336" s="71"/>
      <c r="W4336" s="474">
        <v>285000</v>
      </c>
      <c r="X4336" s="71"/>
      <c r="Y4336" s="71"/>
    </row>
    <row r="4337" spans="1:25" ht="30" hidden="1" customHeight="1" x14ac:dyDescent="0.25">
      <c r="A4337" s="1145">
        <v>44440</v>
      </c>
      <c r="B4337" s="664" t="s">
        <v>2155</v>
      </c>
      <c r="C4337" s="760" t="s">
        <v>218</v>
      </c>
      <c r="D4337" s="71">
        <v>10</v>
      </c>
      <c r="E4337" s="102">
        <v>192500</v>
      </c>
      <c r="F4337" s="102">
        <f t="shared" si="2158"/>
        <v>2117500</v>
      </c>
      <c r="G4337" s="102">
        <f t="shared" si="2159"/>
        <v>1925000</v>
      </c>
      <c r="H4337" s="690" t="s">
        <v>173</v>
      </c>
      <c r="I4337" s="71" t="s">
        <v>120</v>
      </c>
      <c r="J4337" s="53">
        <f t="shared" si="2160"/>
        <v>800000</v>
      </c>
      <c r="K4337" s="63">
        <f t="shared" si="2164"/>
        <v>0.41558441558441561</v>
      </c>
      <c r="L4337" s="871" t="s">
        <v>3098</v>
      </c>
      <c r="M4337" s="468"/>
      <c r="N4337" s="1192">
        <f t="shared" si="2157"/>
        <v>44440</v>
      </c>
      <c r="O4337" s="71" t="s">
        <v>150</v>
      </c>
      <c r="P4337" s="164" t="str">
        <f t="shared" si="2161"/>
        <v>Fount Web 551AF</v>
      </c>
      <c r="Q4337" s="71">
        <f>D4337</f>
        <v>10</v>
      </c>
      <c r="R4337" s="102">
        <v>112500</v>
      </c>
      <c r="S4337" s="102">
        <f t="shared" si="2162"/>
        <v>1237500</v>
      </c>
      <c r="T4337" s="102">
        <f t="shared" si="2163"/>
        <v>1125000</v>
      </c>
      <c r="U4337" s="71" t="str">
        <f t="shared" si="2165"/>
        <v>X</v>
      </c>
      <c r="V4337" s="71"/>
      <c r="W4337" s="474">
        <v>640000</v>
      </c>
      <c r="X4337" s="71"/>
      <c r="Y4337" s="71"/>
    </row>
    <row r="4338" spans="1:25" s="209" customFormat="1" ht="30" hidden="1" customHeight="1" x14ac:dyDescent="0.25">
      <c r="A4338" s="1145">
        <v>44440</v>
      </c>
      <c r="B4338" s="664" t="s">
        <v>2155</v>
      </c>
      <c r="C4338" s="71" t="s">
        <v>138</v>
      </c>
      <c r="D4338" s="71">
        <v>10</v>
      </c>
      <c r="E4338" s="102">
        <v>47600</v>
      </c>
      <c r="F4338" s="102">
        <f t="shared" si="2158"/>
        <v>523600.00000000006</v>
      </c>
      <c r="G4338" s="102">
        <f t="shared" si="2159"/>
        <v>476000</v>
      </c>
      <c r="H4338" s="1129" t="s">
        <v>172</v>
      </c>
      <c r="I4338" s="71" t="s">
        <v>108</v>
      </c>
      <c r="J4338" s="53">
        <f t="shared" si="2160"/>
        <v>68000</v>
      </c>
      <c r="K4338" s="63">
        <f t="shared" si="2164"/>
        <v>0.14285714285714285</v>
      </c>
      <c r="L4338" s="871" t="s">
        <v>3136</v>
      </c>
      <c r="M4338" s="468" t="s">
        <v>2214</v>
      </c>
      <c r="N4338" s="1192">
        <f t="shared" si="2157"/>
        <v>44440</v>
      </c>
      <c r="O4338" s="71" t="s">
        <v>150</v>
      </c>
      <c r="P4338" s="164" t="str">
        <f t="shared" si="2161"/>
        <v>매엽용 세척제(Wash 562)</v>
      </c>
      <c r="Q4338" s="71">
        <f>D4338</f>
        <v>10</v>
      </c>
      <c r="R4338" s="102">
        <v>40800</v>
      </c>
      <c r="S4338" s="102">
        <f t="shared" si="2162"/>
        <v>448800.00000000006</v>
      </c>
      <c r="T4338" s="102">
        <f t="shared" si="2163"/>
        <v>408000</v>
      </c>
      <c r="U4338" s="71" t="str">
        <f t="shared" si="2165"/>
        <v>X</v>
      </c>
      <c r="V4338" s="71"/>
      <c r="W4338" s="474">
        <v>85000</v>
      </c>
      <c r="X4338" s="71"/>
      <c r="Y4338" s="71"/>
    </row>
    <row r="4339" spans="1:25" s="209" customFormat="1" ht="30" hidden="1" customHeight="1" x14ac:dyDescent="0.2">
      <c r="A4339" s="1145">
        <v>44440</v>
      </c>
      <c r="B4339" s="664" t="s">
        <v>2155</v>
      </c>
      <c r="C4339" s="71" t="s">
        <v>231</v>
      </c>
      <c r="D4339" s="71">
        <v>10</v>
      </c>
      <c r="E4339" s="102">
        <v>120000</v>
      </c>
      <c r="F4339" s="102">
        <f t="shared" si="2158"/>
        <v>1320000</v>
      </c>
      <c r="G4339" s="102">
        <f t="shared" si="2159"/>
        <v>1200000</v>
      </c>
      <c r="H4339" s="165" t="s">
        <v>172</v>
      </c>
      <c r="I4339" s="71" t="s">
        <v>109</v>
      </c>
      <c r="J4339" s="53">
        <f t="shared" si="2160"/>
        <v>80000</v>
      </c>
      <c r="K4339" s="63">
        <f t="shared" si="2164"/>
        <v>6.6666666666666666E-2</v>
      </c>
      <c r="L4339" s="871" t="s">
        <v>3136</v>
      </c>
      <c r="M4339" s="468"/>
      <c r="N4339" s="1192">
        <f t="shared" si="2157"/>
        <v>44440</v>
      </c>
      <c r="O4339" s="71" t="s">
        <v>151</v>
      </c>
      <c r="P4339" s="164" t="str">
        <f t="shared" si="2161"/>
        <v>Blanket(990*725)</v>
      </c>
      <c r="Q4339" s="71">
        <f>D4339</f>
        <v>10</v>
      </c>
      <c r="R4339" s="102">
        <v>112000</v>
      </c>
      <c r="S4339" s="102">
        <f t="shared" si="2162"/>
        <v>1232000</v>
      </c>
      <c r="T4339" s="102">
        <f t="shared" si="2163"/>
        <v>1120000</v>
      </c>
      <c r="U4339" s="71" t="str">
        <f t="shared" si="2165"/>
        <v>O</v>
      </c>
      <c r="V4339" s="71"/>
      <c r="W4339" s="474">
        <v>80000</v>
      </c>
      <c r="X4339" s="71"/>
      <c r="Y4339" s="71"/>
    </row>
    <row r="4340" spans="1:25" ht="30" hidden="1" customHeight="1" x14ac:dyDescent="0.25">
      <c r="A4340" s="1145">
        <v>44440</v>
      </c>
      <c r="B4340" s="664" t="s">
        <v>446</v>
      </c>
      <c r="C4340" s="71" t="s">
        <v>2028</v>
      </c>
      <c r="D4340" s="71">
        <v>10</v>
      </c>
      <c r="E4340" s="102">
        <v>105000</v>
      </c>
      <c r="F4340" s="102">
        <f t="shared" si="2158"/>
        <v>1155000</v>
      </c>
      <c r="G4340" s="102">
        <f t="shared" si="2159"/>
        <v>1050000</v>
      </c>
      <c r="H4340" s="690" t="s">
        <v>2029</v>
      </c>
      <c r="I4340" s="71" t="s">
        <v>2231</v>
      </c>
      <c r="J4340" s="53">
        <f t="shared" si="2160"/>
        <v>140000</v>
      </c>
      <c r="K4340" s="63">
        <f t="shared" si="2164"/>
        <v>0.13333333333333333</v>
      </c>
      <c r="L4340" s="871" t="s">
        <v>3136</v>
      </c>
      <c r="M4340" s="468"/>
      <c r="N4340" s="1192">
        <f t="shared" si="2157"/>
        <v>44440</v>
      </c>
      <c r="O4340" s="71" t="s">
        <v>2030</v>
      </c>
      <c r="P4340" s="164" t="str">
        <f t="shared" si="2161"/>
        <v>실리콘 에멀전</v>
      </c>
      <c r="Q4340" s="71">
        <v>10</v>
      </c>
      <c r="R4340" s="102">
        <v>91000</v>
      </c>
      <c r="S4340" s="102">
        <f t="shared" si="2162"/>
        <v>1001000.0000000001</v>
      </c>
      <c r="T4340" s="102">
        <f t="shared" si="2163"/>
        <v>910000</v>
      </c>
      <c r="U4340" s="71" t="str">
        <f t="shared" si="2165"/>
        <v>O</v>
      </c>
      <c r="V4340" s="71"/>
      <c r="W4340" s="474">
        <f>(G4340-T4340)</f>
        <v>140000</v>
      </c>
      <c r="X4340" s="71"/>
      <c r="Y4340" s="71"/>
    </row>
    <row r="4341" spans="1:25" ht="30" hidden="1" customHeight="1" x14ac:dyDescent="0.25">
      <c r="A4341" s="1145">
        <v>44440</v>
      </c>
      <c r="B4341" s="664" t="s">
        <v>690</v>
      </c>
      <c r="C4341" s="71" t="s">
        <v>1186</v>
      </c>
      <c r="D4341" s="71">
        <v>500</v>
      </c>
      <c r="E4341" s="102">
        <v>3860</v>
      </c>
      <c r="F4341" s="102">
        <f t="shared" si="2158"/>
        <v>2123000</v>
      </c>
      <c r="G4341" s="102">
        <f t="shared" si="2159"/>
        <v>1930000</v>
      </c>
      <c r="H4341" s="690" t="s">
        <v>173</v>
      </c>
      <c r="I4341" s="71" t="s">
        <v>2230</v>
      </c>
      <c r="J4341" s="53">
        <f t="shared" si="2160"/>
        <v>175000</v>
      </c>
      <c r="K4341" s="63">
        <f t="shared" si="2164"/>
        <v>9.0673575129533682E-2</v>
      </c>
      <c r="L4341" s="871" t="s">
        <v>3136</v>
      </c>
      <c r="M4341" s="468" t="s">
        <v>3078</v>
      </c>
      <c r="N4341" s="1192">
        <f t="shared" si="2157"/>
        <v>44440</v>
      </c>
      <c r="O4341" s="71" t="s">
        <v>145</v>
      </c>
      <c r="P4341" s="164" t="str">
        <f t="shared" si="2161"/>
        <v>CTP 판(1030*790mm)</v>
      </c>
      <c r="Q4341" s="71">
        <f t="shared" ref="Q4341:Q4353" si="2166">D4341</f>
        <v>500</v>
      </c>
      <c r="R4341" s="102">
        <v>3510</v>
      </c>
      <c r="S4341" s="102">
        <f t="shared" si="2162"/>
        <v>1930500.0000000002</v>
      </c>
      <c r="T4341" s="102">
        <f t="shared" si="2163"/>
        <v>1755000</v>
      </c>
      <c r="U4341" s="71" t="str">
        <f t="shared" si="2165"/>
        <v>X</v>
      </c>
      <c r="V4341" s="71"/>
      <c r="W4341" s="474">
        <v>-200000</v>
      </c>
      <c r="X4341" s="71"/>
      <c r="Y4341" s="71"/>
    </row>
    <row r="4342" spans="1:25" ht="30" hidden="1" customHeight="1" x14ac:dyDescent="0.25">
      <c r="A4342" s="1145">
        <v>44440</v>
      </c>
      <c r="B4342" s="664" t="s">
        <v>690</v>
      </c>
      <c r="C4342" s="71" t="s">
        <v>197</v>
      </c>
      <c r="D4342" s="71">
        <v>4</v>
      </c>
      <c r="E4342" s="102">
        <v>52000</v>
      </c>
      <c r="F4342" s="102">
        <f t="shared" si="2158"/>
        <v>228800.00000000003</v>
      </c>
      <c r="G4342" s="102">
        <f t="shared" si="2159"/>
        <v>208000</v>
      </c>
      <c r="H4342" s="690" t="s">
        <v>173</v>
      </c>
      <c r="I4342" s="71" t="s">
        <v>2230</v>
      </c>
      <c r="J4342" s="53">
        <f t="shared" si="2160"/>
        <v>47000</v>
      </c>
      <c r="K4342" s="63">
        <f t="shared" si="2164"/>
        <v>0.22596153846153844</v>
      </c>
      <c r="L4342" s="871" t="s">
        <v>3136</v>
      </c>
      <c r="M4342" s="468"/>
      <c r="N4342" s="1192">
        <f t="shared" si="2157"/>
        <v>44440</v>
      </c>
      <c r="O4342" s="71" t="s">
        <v>145</v>
      </c>
      <c r="P4342" s="164" t="str">
        <f t="shared" si="2161"/>
        <v>THR200(20L)</v>
      </c>
      <c r="Q4342" s="71">
        <f t="shared" si="2166"/>
        <v>4</v>
      </c>
      <c r="R4342" s="102">
        <v>40250</v>
      </c>
      <c r="S4342" s="102">
        <f t="shared" si="2162"/>
        <v>177100</v>
      </c>
      <c r="T4342" s="102">
        <f t="shared" si="2163"/>
        <v>161000</v>
      </c>
      <c r="U4342" s="71" t="str">
        <f t="shared" si="2165"/>
        <v>X</v>
      </c>
      <c r="V4342" s="71"/>
      <c r="W4342" s="474"/>
      <c r="X4342" s="71"/>
      <c r="Y4342" s="71"/>
    </row>
    <row r="4343" spans="1:25" ht="30" hidden="1" customHeight="1" x14ac:dyDescent="0.25">
      <c r="A4343" s="1145">
        <v>44440</v>
      </c>
      <c r="B4343" s="664" t="s">
        <v>442</v>
      </c>
      <c r="C4343" s="71" t="s">
        <v>3139</v>
      </c>
      <c r="D4343" s="71">
        <v>1</v>
      </c>
      <c r="E4343" s="102">
        <v>300000</v>
      </c>
      <c r="F4343" s="102">
        <f t="shared" si="2158"/>
        <v>330000</v>
      </c>
      <c r="G4343" s="102">
        <f t="shared" si="2159"/>
        <v>300000</v>
      </c>
      <c r="H4343" s="690" t="s">
        <v>173</v>
      </c>
      <c r="I4343" s="71" t="s">
        <v>2231</v>
      </c>
      <c r="J4343" s="53">
        <f t="shared" si="2160"/>
        <v>-200000</v>
      </c>
      <c r="K4343" s="63">
        <f t="shared" si="2164"/>
        <v>-0.66666666666666663</v>
      </c>
      <c r="L4343" s="871" t="s">
        <v>3136</v>
      </c>
      <c r="M4343" s="468"/>
      <c r="N4343" s="1192">
        <f t="shared" si="2157"/>
        <v>44440</v>
      </c>
      <c r="O4343" s="71" t="s">
        <v>242</v>
      </c>
      <c r="P4343" s="103" t="str">
        <f t="shared" si="2161"/>
        <v>필름출력기 서비스비용(출장비 포함)</v>
      </c>
      <c r="Q4343" s="71">
        <f t="shared" si="2166"/>
        <v>1</v>
      </c>
      <c r="R4343" s="102">
        <v>500000</v>
      </c>
      <c r="S4343" s="102">
        <f t="shared" si="2162"/>
        <v>550000</v>
      </c>
      <c r="T4343" s="102">
        <f t="shared" si="2163"/>
        <v>500000</v>
      </c>
      <c r="U4343" s="71"/>
      <c r="V4343" s="71"/>
      <c r="W4343" s="474"/>
      <c r="X4343" s="71"/>
      <c r="Y4343" s="71"/>
    </row>
    <row r="4344" spans="1:25" ht="30" hidden="1" customHeight="1" x14ac:dyDescent="0.25">
      <c r="A4344" s="1145">
        <v>44440</v>
      </c>
      <c r="B4344" s="664" t="s">
        <v>442</v>
      </c>
      <c r="C4344" s="71" t="s">
        <v>3137</v>
      </c>
      <c r="D4344" s="71">
        <v>1</v>
      </c>
      <c r="E4344" s="102">
        <v>750000</v>
      </c>
      <c r="F4344" s="102">
        <f t="shared" si="2158"/>
        <v>825000.00000000012</v>
      </c>
      <c r="G4344" s="102">
        <f t="shared" si="2159"/>
        <v>750000</v>
      </c>
      <c r="H4344" s="690" t="s">
        <v>173</v>
      </c>
      <c r="I4344" s="71" t="s">
        <v>2231</v>
      </c>
      <c r="J4344" s="53">
        <f t="shared" si="2160"/>
        <v>-750000</v>
      </c>
      <c r="K4344" s="63">
        <f t="shared" si="2164"/>
        <v>-0.99999999999999989</v>
      </c>
      <c r="L4344" s="871" t="s">
        <v>3136</v>
      </c>
      <c r="M4344" s="468"/>
      <c r="N4344" s="1192">
        <f t="shared" si="2157"/>
        <v>44440</v>
      </c>
      <c r="O4344" s="71" t="s">
        <v>242</v>
      </c>
      <c r="P4344" s="103" t="str">
        <f t="shared" si="2161"/>
        <v>필름출력기 Discharge Unit</v>
      </c>
      <c r="Q4344" s="71">
        <f t="shared" si="2166"/>
        <v>1</v>
      </c>
      <c r="R4344" s="102">
        <v>1500000</v>
      </c>
      <c r="S4344" s="102">
        <f t="shared" si="2162"/>
        <v>1650000.0000000002</v>
      </c>
      <c r="T4344" s="102">
        <f t="shared" si="2163"/>
        <v>1500000</v>
      </c>
      <c r="U4344" s="71"/>
      <c r="V4344" s="71"/>
      <c r="W4344" s="474"/>
      <c r="X4344" s="71"/>
      <c r="Y4344" s="71"/>
    </row>
    <row r="4345" spans="1:25" ht="30" hidden="1" customHeight="1" x14ac:dyDescent="0.25">
      <c r="A4345" s="1145">
        <v>44440</v>
      </c>
      <c r="B4345" s="664" t="s">
        <v>442</v>
      </c>
      <c r="C4345" s="71" t="s">
        <v>3138</v>
      </c>
      <c r="D4345" s="71">
        <v>1</v>
      </c>
      <c r="E4345" s="102">
        <v>250000</v>
      </c>
      <c r="F4345" s="102">
        <f t="shared" si="2158"/>
        <v>275000</v>
      </c>
      <c r="G4345" s="102">
        <f t="shared" si="2159"/>
        <v>250000</v>
      </c>
      <c r="H4345" s="690" t="s">
        <v>173</v>
      </c>
      <c r="I4345" s="71" t="s">
        <v>2231</v>
      </c>
      <c r="J4345" s="53">
        <f t="shared" si="2160"/>
        <v>-250000</v>
      </c>
      <c r="K4345" s="63">
        <f t="shared" si="2164"/>
        <v>-1</v>
      </c>
      <c r="L4345" s="871" t="s">
        <v>3136</v>
      </c>
      <c r="M4345" s="468"/>
      <c r="N4345" s="1192">
        <f t="shared" si="2157"/>
        <v>44440</v>
      </c>
      <c r="O4345" s="71" t="s">
        <v>242</v>
      </c>
      <c r="P4345" s="103" t="str">
        <f t="shared" si="2161"/>
        <v>필름출력기 Gear</v>
      </c>
      <c r="Q4345" s="71">
        <f t="shared" si="2166"/>
        <v>1</v>
      </c>
      <c r="R4345" s="102">
        <v>500000</v>
      </c>
      <c r="S4345" s="102">
        <f t="shared" si="2162"/>
        <v>550000</v>
      </c>
      <c r="T4345" s="102">
        <f t="shared" si="2163"/>
        <v>500000</v>
      </c>
      <c r="U4345" s="71"/>
      <c r="V4345" s="71"/>
      <c r="W4345" s="474"/>
      <c r="X4345" s="71"/>
      <c r="Y4345" s="71"/>
    </row>
    <row r="4346" spans="1:25" s="209" customFormat="1" ht="30" hidden="1" customHeight="1" x14ac:dyDescent="0.25">
      <c r="A4346" s="1145">
        <v>44441</v>
      </c>
      <c r="B4346" s="664" t="s">
        <v>567</v>
      </c>
      <c r="C4346" s="71" t="s">
        <v>236</v>
      </c>
      <c r="D4346" s="71">
        <v>5</v>
      </c>
      <c r="E4346" s="102">
        <v>65000</v>
      </c>
      <c r="F4346" s="102">
        <f t="shared" si="2158"/>
        <v>357500</v>
      </c>
      <c r="G4346" s="102">
        <f t="shared" si="2159"/>
        <v>325000</v>
      </c>
      <c r="H4346" s="690" t="s">
        <v>173</v>
      </c>
      <c r="I4346" s="71" t="s">
        <v>2231</v>
      </c>
      <c r="J4346" s="53">
        <f t="shared" si="2160"/>
        <v>75000</v>
      </c>
      <c r="K4346" s="63">
        <f t="shared" si="2164"/>
        <v>0.23076923076923078</v>
      </c>
      <c r="L4346" s="871" t="s">
        <v>3136</v>
      </c>
      <c r="M4346" s="468"/>
      <c r="N4346" s="1192">
        <f>A4346</f>
        <v>44441</v>
      </c>
      <c r="O4346" s="71" t="s">
        <v>153</v>
      </c>
      <c r="P4346" s="164" t="str">
        <f t="shared" si="2161"/>
        <v>아스테이지(국전)</v>
      </c>
      <c r="Q4346" s="71">
        <f t="shared" si="2166"/>
        <v>5</v>
      </c>
      <c r="R4346" s="102">
        <v>50000</v>
      </c>
      <c r="S4346" s="102">
        <f t="shared" si="2162"/>
        <v>275000</v>
      </c>
      <c r="T4346" s="102">
        <f t="shared" si="2163"/>
        <v>250000</v>
      </c>
      <c r="U4346" s="71" t="str">
        <f>IF(J4346=W4346,"O", "X")</f>
        <v>X</v>
      </c>
      <c r="V4346" s="71"/>
      <c r="W4346" s="474">
        <v>150000</v>
      </c>
      <c r="X4346" s="71"/>
      <c r="Y4346" s="71"/>
    </row>
    <row r="4347" spans="1:25" ht="30" hidden="1" customHeight="1" x14ac:dyDescent="0.25">
      <c r="A4347" s="1145">
        <v>44441</v>
      </c>
      <c r="B4347" s="664" t="s">
        <v>2155</v>
      </c>
      <c r="C4347" s="71" t="s">
        <v>114</v>
      </c>
      <c r="D4347" s="71">
        <v>50</v>
      </c>
      <c r="E4347" s="102">
        <v>18000</v>
      </c>
      <c r="F4347" s="102">
        <f t="shared" si="2158"/>
        <v>990000.00000000012</v>
      </c>
      <c r="G4347" s="102">
        <f t="shared" si="2159"/>
        <v>900000</v>
      </c>
      <c r="H4347" s="690" t="s">
        <v>1431</v>
      </c>
      <c r="I4347" s="690" t="s">
        <v>1431</v>
      </c>
      <c r="J4347" s="53">
        <f t="shared" si="2160"/>
        <v>411500</v>
      </c>
      <c r="K4347" s="63">
        <f t="shared" si="2164"/>
        <v>0.45722222222222214</v>
      </c>
      <c r="L4347" s="871" t="s">
        <v>3136</v>
      </c>
      <c r="M4347" s="468"/>
      <c r="N4347" s="1192">
        <f t="shared" si="2157"/>
        <v>44441</v>
      </c>
      <c r="O4347" s="71" t="s">
        <v>1431</v>
      </c>
      <c r="P4347" s="103" t="str">
        <f t="shared" si="2161"/>
        <v>스트리퍼</v>
      </c>
      <c r="Q4347" s="71">
        <f t="shared" si="2166"/>
        <v>50</v>
      </c>
      <c r="R4347" s="102">
        <v>9770</v>
      </c>
      <c r="S4347" s="102">
        <f t="shared" si="2162"/>
        <v>537350</v>
      </c>
      <c r="T4347" s="102">
        <f t="shared" si="2163"/>
        <v>488500</v>
      </c>
      <c r="U4347" s="71"/>
      <c r="V4347" s="71"/>
      <c r="W4347" s="474"/>
      <c r="X4347" s="71"/>
      <c r="Y4347" s="71"/>
    </row>
    <row r="4348" spans="1:25" s="209" customFormat="1" ht="30" hidden="1" customHeight="1" x14ac:dyDescent="0.2">
      <c r="A4348" s="1145">
        <v>44445</v>
      </c>
      <c r="B4348" s="664" t="s">
        <v>764</v>
      </c>
      <c r="C4348" s="71" t="s">
        <v>236</v>
      </c>
      <c r="D4348" s="71">
        <v>10</v>
      </c>
      <c r="E4348" s="102">
        <v>100000</v>
      </c>
      <c r="F4348" s="163">
        <f t="shared" si="2158"/>
        <v>1100000</v>
      </c>
      <c r="G4348" s="102">
        <f t="shared" si="2159"/>
        <v>1000000</v>
      </c>
      <c r="H4348" s="690" t="s">
        <v>173</v>
      </c>
      <c r="I4348" s="71" t="s">
        <v>2231</v>
      </c>
      <c r="J4348" s="53">
        <f t="shared" si="2160"/>
        <v>500000</v>
      </c>
      <c r="K4348" s="63">
        <f t="shared" si="2164"/>
        <v>0.5</v>
      </c>
      <c r="L4348" s="871" t="s">
        <v>3136</v>
      </c>
      <c r="M4348" s="468"/>
      <c r="N4348" s="1192">
        <f>A4348</f>
        <v>44445</v>
      </c>
      <c r="O4348" s="71" t="s">
        <v>153</v>
      </c>
      <c r="P4348" s="164" t="str">
        <f>(C4348)</f>
        <v>아스테이지(국전)</v>
      </c>
      <c r="Q4348" s="71">
        <f t="shared" si="2166"/>
        <v>10</v>
      </c>
      <c r="R4348" s="102">
        <v>50000</v>
      </c>
      <c r="S4348" s="102">
        <f t="shared" si="2162"/>
        <v>550000</v>
      </c>
      <c r="T4348" s="102">
        <f t="shared" si="2163"/>
        <v>500000</v>
      </c>
      <c r="U4348" s="71" t="str">
        <f>IF(J4348=W4348,"O", "X")</f>
        <v>O</v>
      </c>
      <c r="V4348" s="71"/>
      <c r="W4348" s="474">
        <v>500000</v>
      </c>
      <c r="X4348" s="71"/>
      <c r="Y4348" s="71"/>
    </row>
    <row r="4349" spans="1:25" ht="27.6" hidden="1" customHeight="1" x14ac:dyDescent="0.25">
      <c r="A4349" s="1145">
        <v>44446</v>
      </c>
      <c r="B4349" s="664" t="s">
        <v>567</v>
      </c>
      <c r="C4349" s="71" t="s">
        <v>1652</v>
      </c>
      <c r="D4349" s="71">
        <v>5</v>
      </c>
      <c r="E4349" s="102">
        <v>45000</v>
      </c>
      <c r="F4349" s="102">
        <f t="shared" si="2158"/>
        <v>247500.00000000003</v>
      </c>
      <c r="G4349" s="102">
        <f t="shared" si="2159"/>
        <v>225000</v>
      </c>
      <c r="H4349" s="690" t="s">
        <v>173</v>
      </c>
      <c r="I4349" s="71" t="s">
        <v>2231</v>
      </c>
      <c r="J4349" s="53">
        <f t="shared" si="2160"/>
        <v>25000</v>
      </c>
      <c r="K4349" s="63">
        <f t="shared" si="2164"/>
        <v>0.11111111111111109</v>
      </c>
      <c r="L4349" s="871" t="s">
        <v>3136</v>
      </c>
      <c r="M4349" s="468"/>
      <c r="N4349" s="1192">
        <f>A4349</f>
        <v>44446</v>
      </c>
      <c r="O4349" s="71" t="s">
        <v>153</v>
      </c>
      <c r="P4349" s="164" t="str">
        <f>(C4349)</f>
        <v>아스테이지(CD74용)</v>
      </c>
      <c r="Q4349" s="71">
        <f t="shared" si="2166"/>
        <v>5</v>
      </c>
      <c r="R4349" s="102">
        <v>40000</v>
      </c>
      <c r="S4349" s="102">
        <f t="shared" si="2162"/>
        <v>220000.00000000003</v>
      </c>
      <c r="T4349" s="102">
        <f t="shared" si="2163"/>
        <v>200000</v>
      </c>
      <c r="U4349" s="71" t="str">
        <f>IF(J4349=W4349,"O", "X")</f>
        <v>X</v>
      </c>
      <c r="V4349" s="71"/>
      <c r="W4349" s="474"/>
      <c r="X4349" s="71"/>
      <c r="Y4349" s="71"/>
    </row>
    <row r="4350" spans="1:25" ht="30" hidden="1" customHeight="1" x14ac:dyDescent="0.25">
      <c r="A4350" s="1145">
        <v>44446</v>
      </c>
      <c r="B4350" s="664" t="s">
        <v>545</v>
      </c>
      <c r="C4350" s="71" t="s">
        <v>227</v>
      </c>
      <c r="D4350" s="71">
        <v>10</v>
      </c>
      <c r="E4350" s="102">
        <v>110000</v>
      </c>
      <c r="F4350" s="102">
        <f t="shared" si="2158"/>
        <v>1210000</v>
      </c>
      <c r="G4350" s="102">
        <f t="shared" si="2159"/>
        <v>1100000</v>
      </c>
      <c r="H4350" s="690" t="s">
        <v>173</v>
      </c>
      <c r="I4350" s="71" t="s">
        <v>109</v>
      </c>
      <c r="J4350" s="53">
        <f t="shared" si="2160"/>
        <v>271000</v>
      </c>
      <c r="K4350" s="63">
        <f t="shared" si="2164"/>
        <v>0.24636363636363637</v>
      </c>
      <c r="L4350" s="871" t="s">
        <v>3136</v>
      </c>
      <c r="M4350" s="468"/>
      <c r="N4350" s="1192">
        <f>A4350</f>
        <v>44446</v>
      </c>
      <c r="O4350" s="71" t="s">
        <v>147</v>
      </c>
      <c r="P4350" s="164" t="str">
        <f>(C4350)</f>
        <v>Blanket(1060*860)</v>
      </c>
      <c r="Q4350" s="71">
        <f t="shared" si="2166"/>
        <v>10</v>
      </c>
      <c r="R4350" s="102">
        <v>82900</v>
      </c>
      <c r="S4350" s="102">
        <f t="shared" si="2162"/>
        <v>911900.00000000012</v>
      </c>
      <c r="T4350" s="102">
        <f t="shared" si="2163"/>
        <v>829000</v>
      </c>
      <c r="U4350" s="71" t="str">
        <f>IF(J4350=W4350,"O", "X")</f>
        <v>O</v>
      </c>
      <c r="V4350" s="71"/>
      <c r="W4350" s="474">
        <f>(G4350-T4350)</f>
        <v>271000</v>
      </c>
      <c r="X4350" s="71"/>
      <c r="Y4350" s="71"/>
    </row>
    <row r="4351" spans="1:25" ht="31.5" hidden="1" customHeight="1" x14ac:dyDescent="0.25">
      <c r="A4351" s="1145">
        <v>44446</v>
      </c>
      <c r="B4351" s="664" t="s">
        <v>545</v>
      </c>
      <c r="C4351" s="71" t="s">
        <v>911</v>
      </c>
      <c r="D4351" s="71">
        <v>1</v>
      </c>
      <c r="E4351" s="102">
        <v>250000</v>
      </c>
      <c r="F4351" s="102">
        <f t="shared" si="2158"/>
        <v>275000</v>
      </c>
      <c r="G4351" s="102">
        <f t="shared" si="2159"/>
        <v>250000</v>
      </c>
      <c r="H4351" s="690" t="s">
        <v>173</v>
      </c>
      <c r="I4351" s="71" t="s">
        <v>2231</v>
      </c>
      <c r="J4351" s="53">
        <f t="shared" si="2160"/>
        <v>175000</v>
      </c>
      <c r="K4351" s="63">
        <f t="shared" si="2164"/>
        <v>0.7</v>
      </c>
      <c r="L4351" s="871" t="s">
        <v>3136</v>
      </c>
      <c r="M4351" s="468"/>
      <c r="N4351" s="1192">
        <f>A4351</f>
        <v>44446</v>
      </c>
      <c r="O4351" s="71" t="s">
        <v>994</v>
      </c>
      <c r="P4351" s="164" t="str">
        <f>(C4351)</f>
        <v>콤푸레샤 에어필터</v>
      </c>
      <c r="Q4351" s="71">
        <f t="shared" si="2166"/>
        <v>1</v>
      </c>
      <c r="R4351" s="102">
        <v>75000</v>
      </c>
      <c r="S4351" s="102">
        <f t="shared" si="2162"/>
        <v>82500</v>
      </c>
      <c r="T4351" s="102">
        <f t="shared" si="2163"/>
        <v>75000</v>
      </c>
      <c r="U4351" s="71" t="str">
        <f>IF(J4351=W4351,"O", "X")</f>
        <v>O</v>
      </c>
      <c r="V4351" s="71"/>
      <c r="W4351" s="474">
        <f>(G4351-T4351)</f>
        <v>175000</v>
      </c>
      <c r="X4351" s="71"/>
      <c r="Y4351" s="71"/>
    </row>
    <row r="4352" spans="1:25" ht="30" hidden="1" customHeight="1" x14ac:dyDescent="0.25">
      <c r="A4352" s="1145">
        <v>44448</v>
      </c>
      <c r="B4352" s="664" t="s">
        <v>575</v>
      </c>
      <c r="C4352" s="71" t="s">
        <v>3118</v>
      </c>
      <c r="D4352" s="71">
        <v>1</v>
      </c>
      <c r="E4352" s="102">
        <v>500000</v>
      </c>
      <c r="F4352" s="102">
        <f t="shared" si="2158"/>
        <v>550000</v>
      </c>
      <c r="G4352" s="102">
        <f t="shared" si="2159"/>
        <v>500000</v>
      </c>
      <c r="H4352" s="690" t="s">
        <v>985</v>
      </c>
      <c r="I4352" s="690" t="s">
        <v>985</v>
      </c>
      <c r="J4352" s="53">
        <f t="shared" si="2160"/>
        <v>0</v>
      </c>
      <c r="K4352" s="63">
        <f t="shared" si="2164"/>
        <v>0</v>
      </c>
      <c r="L4352" s="871" t="s">
        <v>3136</v>
      </c>
      <c r="M4352" s="468"/>
      <c r="N4352" s="1192">
        <f t="shared" si="2157"/>
        <v>44448</v>
      </c>
      <c r="O4352" s="71" t="s">
        <v>678</v>
      </c>
      <c r="P4352" s="103" t="str">
        <f t="shared" si="2161"/>
        <v>인피드 모터 컨트롤러 수리</v>
      </c>
      <c r="Q4352" s="71">
        <f t="shared" si="2166"/>
        <v>1</v>
      </c>
      <c r="R4352" s="102">
        <v>500000</v>
      </c>
      <c r="S4352" s="102">
        <f t="shared" si="2162"/>
        <v>550000</v>
      </c>
      <c r="T4352" s="102">
        <f t="shared" si="2163"/>
        <v>500000</v>
      </c>
      <c r="U4352" s="71"/>
      <c r="V4352" s="71"/>
      <c r="W4352" s="474"/>
      <c r="X4352" s="71"/>
      <c r="Y4352" s="71"/>
    </row>
    <row r="4353" spans="1:25" ht="30" hidden="1" customHeight="1" x14ac:dyDescent="0.25">
      <c r="A4353" s="1145">
        <v>44448</v>
      </c>
      <c r="B4353" s="664" t="s">
        <v>442</v>
      </c>
      <c r="C4353" s="71" t="s">
        <v>206</v>
      </c>
      <c r="D4353" s="71">
        <v>2</v>
      </c>
      <c r="E4353" s="102">
        <v>366500</v>
      </c>
      <c r="F4353" s="102">
        <f t="shared" si="2158"/>
        <v>806300.00000000012</v>
      </c>
      <c r="G4353" s="102">
        <f t="shared" si="2159"/>
        <v>733000</v>
      </c>
      <c r="H4353" s="690" t="s">
        <v>2029</v>
      </c>
      <c r="I4353" s="71" t="s">
        <v>195</v>
      </c>
      <c r="J4353" s="53">
        <f t="shared" si="2160"/>
        <v>194800</v>
      </c>
      <c r="K4353" s="63">
        <f t="shared" si="2164"/>
        <v>0.26575716234652108</v>
      </c>
      <c r="L4353" s="871" t="s">
        <v>3136</v>
      </c>
      <c r="M4353" s="468"/>
      <c r="N4353" s="1192">
        <f t="shared" si="2157"/>
        <v>44448</v>
      </c>
      <c r="O4353" s="71" t="s">
        <v>194</v>
      </c>
      <c r="P4353" s="164" t="str">
        <f t="shared" si="2161"/>
        <v>Agfa Film(24inch)</v>
      </c>
      <c r="Q4353" s="71">
        <f t="shared" si="2166"/>
        <v>2</v>
      </c>
      <c r="R4353" s="102">
        <v>269100</v>
      </c>
      <c r="S4353" s="102">
        <f t="shared" si="2162"/>
        <v>592020</v>
      </c>
      <c r="T4353" s="102">
        <f t="shared" si="2163"/>
        <v>538200</v>
      </c>
      <c r="U4353" s="71" t="str">
        <f>IF(J4353=W4353,"O", "X")</f>
        <v>O</v>
      </c>
      <c r="V4353" s="71"/>
      <c r="W4353" s="474">
        <f>(G4353-T4353)</f>
        <v>194800</v>
      </c>
      <c r="X4353" s="71"/>
      <c r="Y4353" s="71"/>
    </row>
    <row r="4354" spans="1:25" ht="30" hidden="1" customHeight="1" x14ac:dyDescent="0.25">
      <c r="A4354" s="1145">
        <v>44448</v>
      </c>
      <c r="B4354" s="664" t="s">
        <v>442</v>
      </c>
      <c r="C4354" s="71" t="s">
        <v>207</v>
      </c>
      <c r="D4354" s="71">
        <v>2</v>
      </c>
      <c r="E4354" s="102">
        <v>451000</v>
      </c>
      <c r="F4354" s="102">
        <f t="shared" si="2158"/>
        <v>992200.00000000012</v>
      </c>
      <c r="G4354" s="102">
        <f t="shared" si="2159"/>
        <v>902000</v>
      </c>
      <c r="H4354" s="690" t="s">
        <v>2029</v>
      </c>
      <c r="I4354" s="71" t="s">
        <v>195</v>
      </c>
      <c r="J4354" s="53">
        <f t="shared" si="2160"/>
        <v>588040</v>
      </c>
      <c r="K4354" s="63">
        <f t="shared" si="2164"/>
        <v>0.65192904656319284</v>
      </c>
      <c r="L4354" s="871" t="s">
        <v>3136</v>
      </c>
      <c r="M4354" s="468" t="s">
        <v>3140</v>
      </c>
      <c r="N4354" s="1192">
        <f t="shared" si="2157"/>
        <v>44448</v>
      </c>
      <c r="O4354" s="71" t="s">
        <v>194</v>
      </c>
      <c r="P4354" s="164" t="str">
        <f t="shared" si="2161"/>
        <v>Agfa Film(28inch)</v>
      </c>
      <c r="Q4354" s="71">
        <v>1</v>
      </c>
      <c r="R4354" s="102">
        <f>VLOOKUP(P4354,[5]Price!B$1:D$65536,3,FALSE)</f>
        <v>313960</v>
      </c>
      <c r="S4354" s="102">
        <f t="shared" si="2162"/>
        <v>345356</v>
      </c>
      <c r="T4354" s="102">
        <f t="shared" si="2163"/>
        <v>313960</v>
      </c>
      <c r="U4354" s="71" t="str">
        <f>IF(J4354=W4354,"O", "X")</f>
        <v>O</v>
      </c>
      <c r="V4354" s="71"/>
      <c r="W4354" s="474">
        <f>(G4354-T4354)</f>
        <v>588040</v>
      </c>
      <c r="X4354" s="71"/>
      <c r="Y4354" s="71"/>
    </row>
    <row r="4355" spans="1:25" ht="30" hidden="1" customHeight="1" x14ac:dyDescent="0.25">
      <c r="A4355" s="1145">
        <v>44448</v>
      </c>
      <c r="B4355" s="664" t="s">
        <v>442</v>
      </c>
      <c r="C4355" s="71" t="s">
        <v>208</v>
      </c>
      <c r="D4355" s="71">
        <v>2</v>
      </c>
      <c r="E4355" s="102">
        <v>505000</v>
      </c>
      <c r="F4355" s="102">
        <f t="shared" si="2158"/>
        <v>1111000</v>
      </c>
      <c r="G4355" s="102">
        <f t="shared" si="2159"/>
        <v>1010000</v>
      </c>
      <c r="H4355" s="690" t="s">
        <v>2029</v>
      </c>
      <c r="I4355" s="71" t="s">
        <v>195</v>
      </c>
      <c r="J4355" s="53">
        <f t="shared" si="2160"/>
        <v>269980</v>
      </c>
      <c r="K4355" s="63">
        <f t="shared" si="2164"/>
        <v>0.26730693069306932</v>
      </c>
      <c r="L4355" s="871" t="s">
        <v>3136</v>
      </c>
      <c r="M4355" s="468"/>
      <c r="N4355" s="1192">
        <f t="shared" si="2157"/>
        <v>44448</v>
      </c>
      <c r="O4355" s="71" t="s">
        <v>194</v>
      </c>
      <c r="P4355" s="164" t="str">
        <f t="shared" si="2161"/>
        <v>Agfa Film(32inch)</v>
      </c>
      <c r="Q4355" s="71">
        <f t="shared" ref="Q4355:Q4366" si="2167">D4355</f>
        <v>2</v>
      </c>
      <c r="R4355" s="102">
        <f>VLOOKUP(P4355,[5]Price!B$1:D$65536,3,FALSE)</f>
        <v>370010</v>
      </c>
      <c r="S4355" s="102">
        <f t="shared" si="2162"/>
        <v>814022.00000000012</v>
      </c>
      <c r="T4355" s="102">
        <f t="shared" si="2163"/>
        <v>740020</v>
      </c>
      <c r="U4355" s="71" t="str">
        <f>IF(J4355=W4355,"O", "X")</f>
        <v>O</v>
      </c>
      <c r="V4355" s="71"/>
      <c r="W4355" s="474">
        <f>(G4355-T4355)</f>
        <v>269980</v>
      </c>
      <c r="X4355" s="71"/>
      <c r="Y4355" s="71"/>
    </row>
    <row r="4356" spans="1:25" ht="30" hidden="1" customHeight="1" x14ac:dyDescent="0.2">
      <c r="A4356" s="1145">
        <v>44448</v>
      </c>
      <c r="B4356" s="664" t="s">
        <v>442</v>
      </c>
      <c r="C4356" s="71" t="s">
        <v>650</v>
      </c>
      <c r="D4356" s="71">
        <v>1</v>
      </c>
      <c r="E4356" s="102">
        <v>93000</v>
      </c>
      <c r="F4356" s="102">
        <f t="shared" si="2158"/>
        <v>102300.00000000001</v>
      </c>
      <c r="G4356" s="102">
        <f t="shared" si="2159"/>
        <v>93000</v>
      </c>
      <c r="H4356" s="165" t="s">
        <v>172</v>
      </c>
      <c r="I4356" s="71" t="s">
        <v>141</v>
      </c>
      <c r="J4356" s="53">
        <f t="shared" si="2160"/>
        <v>33000</v>
      </c>
      <c r="K4356" s="63">
        <f t="shared" si="2164"/>
        <v>0.35483870967741932</v>
      </c>
      <c r="L4356" s="871" t="s">
        <v>3136</v>
      </c>
      <c r="M4356" s="468"/>
      <c r="N4356" s="1192">
        <f t="shared" si="2157"/>
        <v>44448</v>
      </c>
      <c r="O4356" s="71" t="s">
        <v>145</v>
      </c>
      <c r="P4356" s="164" t="str">
        <f t="shared" si="2161"/>
        <v>Agfa 정착액 G333C(20L)</v>
      </c>
      <c r="Q4356" s="71">
        <f t="shared" si="2167"/>
        <v>1</v>
      </c>
      <c r="R4356" s="102">
        <f>VLOOKUP(P4356,Price!B:D,3,FALSE)</f>
        <v>60000</v>
      </c>
      <c r="S4356" s="102">
        <f t="shared" si="2162"/>
        <v>66000</v>
      </c>
      <c r="T4356" s="102">
        <f t="shared" si="2163"/>
        <v>60000</v>
      </c>
      <c r="U4356" s="71" t="str">
        <f>IF(J4356=W4356,"O", "X")</f>
        <v>O</v>
      </c>
      <c r="V4356" s="71"/>
      <c r="W4356" s="474">
        <f>(G4356-T4356)</f>
        <v>33000</v>
      </c>
      <c r="X4356" s="71"/>
      <c r="Y4356" s="71"/>
    </row>
    <row r="4357" spans="1:25" ht="30" hidden="1" customHeight="1" x14ac:dyDescent="0.25">
      <c r="A4357" s="1145">
        <v>44449</v>
      </c>
      <c r="B4357" s="664" t="s">
        <v>2353</v>
      </c>
      <c r="C4357" s="71" t="s">
        <v>2648</v>
      </c>
      <c r="D4357" s="71">
        <v>5</v>
      </c>
      <c r="E4357" s="102">
        <v>35000</v>
      </c>
      <c r="F4357" s="102">
        <f t="shared" si="2158"/>
        <v>192500.00000000003</v>
      </c>
      <c r="G4357" s="102">
        <f t="shared" si="2159"/>
        <v>175000</v>
      </c>
      <c r="H4357" s="690" t="s">
        <v>142</v>
      </c>
      <c r="I4357" s="71" t="s">
        <v>142</v>
      </c>
      <c r="J4357" s="53">
        <f t="shared" si="2160"/>
        <v>55000</v>
      </c>
      <c r="K4357" s="63">
        <f t="shared" si="2164"/>
        <v>0.31428571428571422</v>
      </c>
      <c r="L4357" s="871" t="s">
        <v>3136</v>
      </c>
      <c r="M4357" s="468"/>
      <c r="N4357" s="1192">
        <f t="shared" si="2157"/>
        <v>44449</v>
      </c>
      <c r="O4357" s="71" t="s">
        <v>94</v>
      </c>
      <c r="P4357" s="164" t="str">
        <f t="shared" si="2161"/>
        <v>주머니 필터백</v>
      </c>
      <c r="Q4357" s="71">
        <f t="shared" si="2167"/>
        <v>5</v>
      </c>
      <c r="R4357" s="102">
        <v>24000</v>
      </c>
      <c r="S4357" s="102">
        <f t="shared" si="2162"/>
        <v>132000</v>
      </c>
      <c r="T4357" s="102">
        <f t="shared" si="2163"/>
        <v>120000</v>
      </c>
      <c r="U4357" s="71"/>
      <c r="V4357" s="71"/>
      <c r="W4357" s="474"/>
      <c r="X4357" s="71"/>
      <c r="Y4357" s="71"/>
    </row>
    <row r="4358" spans="1:25" s="209" customFormat="1" ht="30" hidden="1" customHeight="1" x14ac:dyDescent="0.2">
      <c r="A4358" s="1145">
        <v>44449</v>
      </c>
      <c r="B4358" s="664" t="s">
        <v>2353</v>
      </c>
      <c r="C4358" s="71" t="s">
        <v>130</v>
      </c>
      <c r="D4358" s="71">
        <v>10</v>
      </c>
      <c r="E4358" s="102">
        <v>125000</v>
      </c>
      <c r="F4358" s="102">
        <f t="shared" si="2158"/>
        <v>1375000</v>
      </c>
      <c r="G4358" s="102">
        <f t="shared" si="2159"/>
        <v>1250000</v>
      </c>
      <c r="H4358" s="165" t="s">
        <v>142</v>
      </c>
      <c r="I4358" s="71" t="s">
        <v>142</v>
      </c>
      <c r="J4358" s="53">
        <f t="shared" si="2160"/>
        <v>260000</v>
      </c>
      <c r="K4358" s="63">
        <f t="shared" si="2164"/>
        <v>0.20799999999999999</v>
      </c>
      <c r="L4358" s="871" t="s">
        <v>3136</v>
      </c>
      <c r="M4358" s="468" t="s">
        <v>2050</v>
      </c>
      <c r="N4358" s="1192">
        <f t="shared" si="2157"/>
        <v>44449</v>
      </c>
      <c r="O4358" s="71" t="s">
        <v>150</v>
      </c>
      <c r="P4358" s="164" t="str">
        <f t="shared" si="2161"/>
        <v>XL106 Blanket(1077*885)</v>
      </c>
      <c r="Q4358" s="71">
        <f t="shared" si="2167"/>
        <v>10</v>
      </c>
      <c r="R4358" s="102">
        <v>99000</v>
      </c>
      <c r="S4358" s="102">
        <f t="shared" si="2162"/>
        <v>1089000</v>
      </c>
      <c r="T4358" s="102">
        <f t="shared" si="2163"/>
        <v>990000</v>
      </c>
      <c r="U4358" s="71" t="str">
        <f>IF(J4358=W4358,"O", "X")</f>
        <v>O</v>
      </c>
      <c r="V4358" s="71"/>
      <c r="W4358" s="474">
        <f>(G4358-T4358)</f>
        <v>260000</v>
      </c>
      <c r="X4358" s="71"/>
      <c r="Y4358" s="71"/>
    </row>
    <row r="4359" spans="1:25" ht="30" hidden="1" customHeight="1" x14ac:dyDescent="0.2">
      <c r="A4359" s="1145">
        <v>44449</v>
      </c>
      <c r="B4359" s="664" t="s">
        <v>2353</v>
      </c>
      <c r="C4359" s="71" t="s">
        <v>129</v>
      </c>
      <c r="D4359" s="71">
        <v>7</v>
      </c>
      <c r="E4359" s="102">
        <v>272000</v>
      </c>
      <c r="F4359" s="102">
        <f t="shared" si="2158"/>
        <v>2094400.0000000002</v>
      </c>
      <c r="G4359" s="102">
        <f t="shared" si="2159"/>
        <v>1904000</v>
      </c>
      <c r="H4359" s="165" t="s">
        <v>142</v>
      </c>
      <c r="I4359" s="71" t="s">
        <v>142</v>
      </c>
      <c r="J4359" s="53">
        <f t="shared" si="2160"/>
        <v>414400</v>
      </c>
      <c r="K4359" s="63">
        <f t="shared" si="2164"/>
        <v>0.21764705882352939</v>
      </c>
      <c r="L4359" s="871" t="s">
        <v>3136</v>
      </c>
      <c r="M4359" s="468" t="s">
        <v>2050</v>
      </c>
      <c r="N4359" s="1192">
        <f t="shared" si="2157"/>
        <v>44449</v>
      </c>
      <c r="O4359" s="71" t="s">
        <v>149</v>
      </c>
      <c r="P4359" s="164" t="str">
        <f t="shared" si="2161"/>
        <v>세정포-XL106</v>
      </c>
      <c r="Q4359" s="71">
        <f t="shared" si="2167"/>
        <v>7</v>
      </c>
      <c r="R4359" s="102">
        <v>212800</v>
      </c>
      <c r="S4359" s="102">
        <f t="shared" si="2162"/>
        <v>1638560.0000000002</v>
      </c>
      <c r="T4359" s="102">
        <f t="shared" si="2163"/>
        <v>1489600</v>
      </c>
      <c r="U4359" s="71" t="str">
        <f>IF(J4359=W4359,"O", "X")</f>
        <v>O</v>
      </c>
      <c r="V4359" s="71"/>
      <c r="W4359" s="474">
        <f>(G4359-T4359)</f>
        <v>414400</v>
      </c>
      <c r="X4359" s="71"/>
      <c r="Y4359" s="71"/>
    </row>
    <row r="4360" spans="1:25" ht="30" hidden="1" customHeight="1" x14ac:dyDescent="0.25">
      <c r="A4360" s="1145">
        <v>44453</v>
      </c>
      <c r="B4360" s="664" t="s">
        <v>548</v>
      </c>
      <c r="C4360" s="71" t="s">
        <v>111</v>
      </c>
      <c r="D4360" s="71">
        <v>200</v>
      </c>
      <c r="E4360" s="102">
        <v>450</v>
      </c>
      <c r="F4360" s="102">
        <f t="shared" si="2158"/>
        <v>99000.000000000015</v>
      </c>
      <c r="G4360" s="102">
        <f t="shared" si="2159"/>
        <v>90000</v>
      </c>
      <c r="H4360" s="690" t="s">
        <v>173</v>
      </c>
      <c r="I4360" s="71" t="s">
        <v>2231</v>
      </c>
      <c r="J4360" s="53">
        <f t="shared" si="2160"/>
        <v>26000</v>
      </c>
      <c r="K4360" s="63">
        <f t="shared" si="2164"/>
        <v>0.28888888888888886</v>
      </c>
      <c r="L4360" s="871" t="s">
        <v>3136</v>
      </c>
      <c r="M4360" s="468"/>
      <c r="N4360" s="1192">
        <f t="shared" si="2157"/>
        <v>44453</v>
      </c>
      <c r="O4360" s="71" t="s">
        <v>2030</v>
      </c>
      <c r="P4360" s="164" t="str">
        <f t="shared" si="2161"/>
        <v>고무사카 빨간색</v>
      </c>
      <c r="Q4360" s="71">
        <f t="shared" si="2167"/>
        <v>200</v>
      </c>
      <c r="R4360" s="102">
        <v>320</v>
      </c>
      <c r="S4360" s="102">
        <f t="shared" si="2162"/>
        <v>70400</v>
      </c>
      <c r="T4360" s="102">
        <f t="shared" si="2163"/>
        <v>64000</v>
      </c>
      <c r="U4360" s="71"/>
      <c r="V4360" s="71"/>
      <c r="W4360" s="474"/>
      <c r="X4360" s="71"/>
      <c r="Y4360" s="71"/>
    </row>
    <row r="4361" spans="1:25" ht="30" hidden="1" customHeight="1" x14ac:dyDescent="0.25">
      <c r="A4361" s="1145">
        <v>44453</v>
      </c>
      <c r="B4361" s="664" t="s">
        <v>548</v>
      </c>
      <c r="C4361" s="71" t="s">
        <v>1804</v>
      </c>
      <c r="D4361" s="71">
        <v>200</v>
      </c>
      <c r="E4361" s="102">
        <v>400</v>
      </c>
      <c r="F4361" s="102">
        <f t="shared" si="2158"/>
        <v>88000</v>
      </c>
      <c r="G4361" s="102">
        <f t="shared" si="2159"/>
        <v>80000</v>
      </c>
      <c r="H4361" s="690" t="s">
        <v>173</v>
      </c>
      <c r="I4361" s="71" t="s">
        <v>2231</v>
      </c>
      <c r="J4361" s="53">
        <f t="shared" si="2160"/>
        <v>20000</v>
      </c>
      <c r="K4361" s="63">
        <f t="shared" si="2164"/>
        <v>0.25</v>
      </c>
      <c r="L4361" s="871" t="s">
        <v>3136</v>
      </c>
      <c r="M4361" s="468"/>
      <c r="N4361" s="1192">
        <f t="shared" si="2157"/>
        <v>44453</v>
      </c>
      <c r="O4361" s="71" t="s">
        <v>149</v>
      </c>
      <c r="P4361" s="164" t="str">
        <f t="shared" si="2161"/>
        <v>고무사카 노란색</v>
      </c>
      <c r="Q4361" s="71">
        <f t="shared" si="2167"/>
        <v>200</v>
      </c>
      <c r="R4361" s="102">
        <v>300</v>
      </c>
      <c r="S4361" s="102">
        <f t="shared" si="2162"/>
        <v>66000</v>
      </c>
      <c r="T4361" s="102">
        <f t="shared" si="2163"/>
        <v>60000</v>
      </c>
      <c r="U4361" s="71"/>
      <c r="V4361" s="71"/>
      <c r="W4361" s="474"/>
      <c r="X4361" s="71"/>
      <c r="Y4361" s="71"/>
    </row>
    <row r="4362" spans="1:25" ht="30" hidden="1" customHeight="1" x14ac:dyDescent="0.25">
      <c r="A4362" s="1145">
        <v>44453</v>
      </c>
      <c r="B4362" s="664" t="s">
        <v>809</v>
      </c>
      <c r="C4362" s="71" t="s">
        <v>1261</v>
      </c>
      <c r="D4362" s="71">
        <v>3</v>
      </c>
      <c r="E4362" s="102">
        <v>100000</v>
      </c>
      <c r="F4362" s="102">
        <f t="shared" si="2158"/>
        <v>330000</v>
      </c>
      <c r="G4362" s="102">
        <f t="shared" si="2159"/>
        <v>300000</v>
      </c>
      <c r="H4362" s="690" t="s">
        <v>2029</v>
      </c>
      <c r="I4362" s="71" t="s">
        <v>2231</v>
      </c>
      <c r="J4362" s="53">
        <f t="shared" si="2160"/>
        <v>60000</v>
      </c>
      <c r="K4362" s="63">
        <f t="shared" si="2164"/>
        <v>0.2</v>
      </c>
      <c r="L4362" s="871" t="s">
        <v>3136</v>
      </c>
      <c r="M4362" s="468"/>
      <c r="N4362" s="1192">
        <f t="shared" si="2157"/>
        <v>44453</v>
      </c>
      <c r="O4362" s="71" t="s">
        <v>3021</v>
      </c>
      <c r="P4362" s="164" t="str">
        <f t="shared" si="2161"/>
        <v>아스테이지</v>
      </c>
      <c r="Q4362" s="71">
        <v>4</v>
      </c>
      <c r="R4362" s="102">
        <v>60000</v>
      </c>
      <c r="S4362" s="102">
        <f t="shared" si="2162"/>
        <v>264000</v>
      </c>
      <c r="T4362" s="102">
        <f t="shared" si="2163"/>
        <v>240000</v>
      </c>
      <c r="U4362" s="71"/>
      <c r="V4362" s="71"/>
      <c r="W4362" s="474"/>
      <c r="X4362" s="71"/>
      <c r="Y4362" s="71"/>
    </row>
    <row r="4363" spans="1:25" s="209" customFormat="1" ht="30" hidden="1" customHeight="1" x14ac:dyDescent="0.2">
      <c r="A4363" s="1145">
        <v>44453</v>
      </c>
      <c r="B4363" s="664" t="s">
        <v>2261</v>
      </c>
      <c r="C4363" s="71" t="s">
        <v>107</v>
      </c>
      <c r="D4363" s="71">
        <v>10</v>
      </c>
      <c r="E4363" s="102">
        <v>108000</v>
      </c>
      <c r="F4363" s="102">
        <f t="shared" si="2158"/>
        <v>1188000</v>
      </c>
      <c r="G4363" s="102">
        <f t="shared" si="2159"/>
        <v>1080000</v>
      </c>
      <c r="H4363" s="165" t="s">
        <v>172</v>
      </c>
      <c r="I4363" s="71" t="s">
        <v>109</v>
      </c>
      <c r="J4363" s="53">
        <f t="shared" si="2160"/>
        <v>275000</v>
      </c>
      <c r="K4363" s="63">
        <f t="shared" si="2164"/>
        <v>0.25462962962962965</v>
      </c>
      <c r="L4363" s="871" t="s">
        <v>3136</v>
      </c>
      <c r="M4363" s="468"/>
      <c r="N4363" s="1192">
        <f t="shared" si="2157"/>
        <v>44453</v>
      </c>
      <c r="O4363" s="71" t="s">
        <v>147</v>
      </c>
      <c r="P4363" s="164" t="str">
        <f t="shared" si="2161"/>
        <v>Blanket(1050*840)</v>
      </c>
      <c r="Q4363" s="71">
        <f t="shared" si="2167"/>
        <v>10</v>
      </c>
      <c r="R4363" s="102">
        <v>80500</v>
      </c>
      <c r="S4363" s="102">
        <f t="shared" si="2162"/>
        <v>885500.00000000012</v>
      </c>
      <c r="T4363" s="102">
        <f t="shared" si="2163"/>
        <v>805000</v>
      </c>
      <c r="U4363" s="71" t="str">
        <f>IF(J4363=W4363,"O", "X")</f>
        <v>O</v>
      </c>
      <c r="V4363" s="71"/>
      <c r="W4363" s="474">
        <v>275000</v>
      </c>
      <c r="X4363" s="71"/>
      <c r="Y4363" s="71"/>
    </row>
    <row r="4364" spans="1:25" ht="30" hidden="1" customHeight="1" x14ac:dyDescent="0.25">
      <c r="A4364" s="1145">
        <v>44454</v>
      </c>
      <c r="B4364" s="664" t="s">
        <v>2103</v>
      </c>
      <c r="C4364" s="71" t="s">
        <v>3131</v>
      </c>
      <c r="D4364" s="71">
        <v>1</v>
      </c>
      <c r="E4364" s="102">
        <v>2965600</v>
      </c>
      <c r="F4364" s="102">
        <f t="shared" si="2158"/>
        <v>3262160.0000000005</v>
      </c>
      <c r="G4364" s="102">
        <f t="shared" si="2159"/>
        <v>2965600</v>
      </c>
      <c r="H4364" s="690" t="s">
        <v>173</v>
      </c>
      <c r="I4364" s="71" t="s">
        <v>2230</v>
      </c>
      <c r="J4364" s="53">
        <f t="shared" si="2160"/>
        <v>2965600</v>
      </c>
      <c r="K4364" s="63">
        <f t="shared" si="2164"/>
        <v>0.99999999999999989</v>
      </c>
      <c r="L4364" s="871" t="s">
        <v>3136</v>
      </c>
      <c r="M4364" s="468"/>
      <c r="N4364" s="1192">
        <f t="shared" si="2157"/>
        <v>44454</v>
      </c>
      <c r="O4364" s="71"/>
      <c r="P4364" s="103" t="str">
        <f t="shared" si="2161"/>
        <v>세흥인쇄 폐판</v>
      </c>
      <c r="Q4364" s="71">
        <f t="shared" si="2167"/>
        <v>1</v>
      </c>
      <c r="R4364" s="102"/>
      <c r="S4364" s="102">
        <f t="shared" si="2162"/>
        <v>0</v>
      </c>
      <c r="T4364" s="102">
        <f t="shared" si="2163"/>
        <v>0</v>
      </c>
      <c r="U4364" s="71"/>
      <c r="V4364" s="71"/>
      <c r="W4364" s="474"/>
      <c r="X4364" s="71"/>
      <c r="Y4364" s="71"/>
    </row>
    <row r="4365" spans="1:25" ht="30" hidden="1" customHeight="1" x14ac:dyDescent="0.25">
      <c r="A4365" s="1145">
        <v>44454</v>
      </c>
      <c r="B4365" s="664" t="s">
        <v>690</v>
      </c>
      <c r="C4365" s="71" t="s">
        <v>1186</v>
      </c>
      <c r="D4365" s="71">
        <v>500</v>
      </c>
      <c r="E4365" s="102">
        <v>3860</v>
      </c>
      <c r="F4365" s="102">
        <f>(E4365*D4365)*1.1</f>
        <v>2123000</v>
      </c>
      <c r="G4365" s="102">
        <f>(E4365*D4365)</f>
        <v>1930000</v>
      </c>
      <c r="H4365" s="690" t="s">
        <v>173</v>
      </c>
      <c r="I4365" s="71" t="s">
        <v>2230</v>
      </c>
      <c r="J4365" s="53">
        <f t="shared" si="2160"/>
        <v>175000</v>
      </c>
      <c r="K4365" s="63">
        <f t="shared" si="2164"/>
        <v>9.0673575129533682E-2</v>
      </c>
      <c r="L4365" s="871" t="s">
        <v>3136</v>
      </c>
      <c r="M4365" s="468" t="s">
        <v>3078</v>
      </c>
      <c r="N4365" s="1192">
        <f>A4365</f>
        <v>44454</v>
      </c>
      <c r="O4365" s="71" t="s">
        <v>145</v>
      </c>
      <c r="P4365" s="164" t="str">
        <f>(C4365)</f>
        <v>CTP 판(1030*790mm)</v>
      </c>
      <c r="Q4365" s="71">
        <f t="shared" si="2167"/>
        <v>500</v>
      </c>
      <c r="R4365" s="102">
        <v>3510</v>
      </c>
      <c r="S4365" s="102">
        <f t="shared" si="2162"/>
        <v>1930500.0000000002</v>
      </c>
      <c r="T4365" s="102">
        <f t="shared" si="2163"/>
        <v>1755000</v>
      </c>
      <c r="U4365" s="71" t="str">
        <f>IF(J4365=W4365,"O", "X")</f>
        <v>X</v>
      </c>
      <c r="V4365" s="71"/>
      <c r="W4365" s="474">
        <v>-200000</v>
      </c>
      <c r="X4365" s="71"/>
      <c r="Y4365" s="71"/>
    </row>
    <row r="4366" spans="1:25" ht="30" hidden="1" customHeight="1" x14ac:dyDescent="0.25">
      <c r="A4366" s="1145">
        <v>44454</v>
      </c>
      <c r="B4366" s="664" t="s">
        <v>690</v>
      </c>
      <c r="C4366" s="71" t="s">
        <v>197</v>
      </c>
      <c r="D4366" s="71">
        <v>3</v>
      </c>
      <c r="E4366" s="102">
        <v>52000</v>
      </c>
      <c r="F4366" s="102">
        <f>(E4366*D4366)*1.1</f>
        <v>171600</v>
      </c>
      <c r="G4366" s="102">
        <f>(E4366*D4366)</f>
        <v>156000</v>
      </c>
      <c r="H4366" s="690" t="s">
        <v>173</v>
      </c>
      <c r="I4366" s="71" t="s">
        <v>2230</v>
      </c>
      <c r="J4366" s="53">
        <f t="shared" si="2160"/>
        <v>35250</v>
      </c>
      <c r="K4366" s="63">
        <f t="shared" si="2164"/>
        <v>0.22596153846153846</v>
      </c>
      <c r="L4366" s="871" t="s">
        <v>3136</v>
      </c>
      <c r="M4366" s="468"/>
      <c r="N4366" s="1192">
        <f>A4366</f>
        <v>44454</v>
      </c>
      <c r="O4366" s="71" t="s">
        <v>145</v>
      </c>
      <c r="P4366" s="164" t="str">
        <f>(C4366)</f>
        <v>THR200(20L)</v>
      </c>
      <c r="Q4366" s="71">
        <f t="shared" si="2167"/>
        <v>3</v>
      </c>
      <c r="R4366" s="102">
        <v>40250</v>
      </c>
      <c r="S4366" s="102">
        <f t="shared" si="2162"/>
        <v>132825</v>
      </c>
      <c r="T4366" s="102">
        <f t="shared" si="2163"/>
        <v>120750</v>
      </c>
      <c r="U4366" s="71" t="str">
        <f>IF(J4366=W4366,"O", "X")</f>
        <v>X</v>
      </c>
      <c r="V4366" s="71"/>
      <c r="W4366" s="474"/>
      <c r="X4366" s="71"/>
      <c r="Y4366" s="71"/>
    </row>
    <row r="4367" spans="1:25" ht="30" hidden="1" customHeight="1" x14ac:dyDescent="0.25">
      <c r="A4367" s="1145">
        <v>44454</v>
      </c>
      <c r="B4367" s="664" t="s">
        <v>446</v>
      </c>
      <c r="C4367" s="71" t="s">
        <v>2028</v>
      </c>
      <c r="D4367" s="71">
        <v>20</v>
      </c>
      <c r="E4367" s="102">
        <v>105000</v>
      </c>
      <c r="F4367" s="102">
        <f>(E4367*D4367)*1.1</f>
        <v>2310000</v>
      </c>
      <c r="G4367" s="102">
        <f>(E4367*D4367)</f>
        <v>2100000</v>
      </c>
      <c r="H4367" s="690" t="s">
        <v>2029</v>
      </c>
      <c r="I4367" s="71" t="s">
        <v>2231</v>
      </c>
      <c r="J4367" s="53">
        <f t="shared" si="2160"/>
        <v>280000</v>
      </c>
      <c r="K4367" s="63">
        <f t="shared" si="2164"/>
        <v>0.13333333333333333</v>
      </c>
      <c r="L4367" s="871" t="s">
        <v>3136</v>
      </c>
      <c r="M4367" s="468"/>
      <c r="N4367" s="1192">
        <f>A4367</f>
        <v>44454</v>
      </c>
      <c r="O4367" s="71" t="s">
        <v>2030</v>
      </c>
      <c r="P4367" s="164" t="str">
        <f>(C4367)</f>
        <v>실리콘 에멀전</v>
      </c>
      <c r="Q4367" s="71">
        <v>20</v>
      </c>
      <c r="R4367" s="102">
        <v>91000</v>
      </c>
      <c r="S4367" s="102">
        <f t="shared" ref="S4367:S4398" si="2168">R4367*Q4367*1.1</f>
        <v>2002000.0000000002</v>
      </c>
      <c r="T4367" s="102">
        <f t="shared" ref="T4367:T4398" si="2169">R4367*Q4367</f>
        <v>1820000</v>
      </c>
      <c r="U4367" s="71" t="str">
        <f>IF(J4367=W4367,"O", "X")</f>
        <v>O</v>
      </c>
      <c r="V4367" s="71"/>
      <c r="W4367" s="474">
        <f>(G4367-T4367)</f>
        <v>280000</v>
      </c>
      <c r="X4367" s="71"/>
      <c r="Y4367" s="71"/>
    </row>
    <row r="4368" spans="1:25" ht="30" hidden="1" customHeight="1" x14ac:dyDescent="0.25">
      <c r="A4368" s="1145">
        <v>44456</v>
      </c>
      <c r="B4368" s="664" t="s">
        <v>690</v>
      </c>
      <c r="C4368" s="71" t="s">
        <v>825</v>
      </c>
      <c r="D4368" s="71">
        <v>2</v>
      </c>
      <c r="E4368" s="102">
        <v>142000</v>
      </c>
      <c r="F4368" s="102">
        <f>(E4368*D4368)*1.1</f>
        <v>312400</v>
      </c>
      <c r="G4368" s="102">
        <f>(E4368*D4368)</f>
        <v>284000</v>
      </c>
      <c r="H4368" s="690" t="s">
        <v>173</v>
      </c>
      <c r="I4368" s="71" t="s">
        <v>2231</v>
      </c>
      <c r="J4368" s="53">
        <f t="shared" si="2160"/>
        <v>94000</v>
      </c>
      <c r="K4368" s="63">
        <f t="shared" si="2164"/>
        <v>0.33098591549295775</v>
      </c>
      <c r="L4368" s="871" t="s">
        <v>3136</v>
      </c>
      <c r="M4368" s="468"/>
      <c r="N4368" s="1192">
        <f>A4368</f>
        <v>44456</v>
      </c>
      <c r="O4368" s="71" t="s">
        <v>150</v>
      </c>
      <c r="P4368" s="164" t="str">
        <f>(C4368)</f>
        <v>독일제 정품 잉크호일 아스테이지</v>
      </c>
      <c r="Q4368" s="71">
        <f t="shared" ref="Q4368:Q4377" si="2170">D4368</f>
        <v>2</v>
      </c>
      <c r="R4368" s="102">
        <v>95000</v>
      </c>
      <c r="S4368" s="102">
        <f t="shared" si="2168"/>
        <v>209000.00000000003</v>
      </c>
      <c r="T4368" s="102">
        <f t="shared" si="2169"/>
        <v>190000</v>
      </c>
      <c r="U4368" s="71" t="s">
        <v>859</v>
      </c>
      <c r="V4368" s="71"/>
      <c r="W4368" s="474">
        <v>110000</v>
      </c>
      <c r="X4368" s="71"/>
      <c r="Y4368" s="71"/>
    </row>
    <row r="4369" spans="1:25" ht="30" hidden="1" customHeight="1" x14ac:dyDescent="0.25">
      <c r="A4369" s="1145">
        <v>44456</v>
      </c>
      <c r="B4369" s="664" t="s">
        <v>545</v>
      </c>
      <c r="C4369" s="71" t="s">
        <v>227</v>
      </c>
      <c r="D4369" s="71">
        <v>10</v>
      </c>
      <c r="E4369" s="102">
        <v>110000</v>
      </c>
      <c r="F4369" s="102">
        <f t="shared" si="2158"/>
        <v>1210000</v>
      </c>
      <c r="G4369" s="102">
        <f t="shared" si="2159"/>
        <v>1100000</v>
      </c>
      <c r="H4369" s="690" t="s">
        <v>173</v>
      </c>
      <c r="I4369" s="71" t="s">
        <v>109</v>
      </c>
      <c r="J4369" s="53">
        <f t="shared" si="2160"/>
        <v>271000</v>
      </c>
      <c r="K4369" s="63">
        <f t="shared" si="2164"/>
        <v>0.24636363636363637</v>
      </c>
      <c r="L4369" s="871" t="s">
        <v>3136</v>
      </c>
      <c r="M4369" s="468"/>
      <c r="N4369" s="1192">
        <f t="shared" si="2157"/>
        <v>44456</v>
      </c>
      <c r="O4369" s="71" t="s">
        <v>147</v>
      </c>
      <c r="P4369" s="164" t="str">
        <f>(C4369)</f>
        <v>Blanket(1060*860)</v>
      </c>
      <c r="Q4369" s="71">
        <f t="shared" si="2170"/>
        <v>10</v>
      </c>
      <c r="R4369" s="102">
        <v>82900</v>
      </c>
      <c r="S4369" s="102">
        <f t="shared" si="2168"/>
        <v>911900.00000000012</v>
      </c>
      <c r="T4369" s="102">
        <f t="shared" si="2169"/>
        <v>829000</v>
      </c>
      <c r="U4369" s="71" t="str">
        <f>IF(J4369=W4369,"O", "X")</f>
        <v>O</v>
      </c>
      <c r="V4369" s="71"/>
      <c r="W4369" s="474">
        <f>(G4369-T4369)</f>
        <v>271000</v>
      </c>
      <c r="X4369" s="71"/>
      <c r="Y4369" s="71"/>
    </row>
    <row r="4370" spans="1:25" ht="30" hidden="1" customHeight="1" x14ac:dyDescent="0.2">
      <c r="A4370" s="1145">
        <v>44456</v>
      </c>
      <c r="B4370" s="664" t="s">
        <v>1178</v>
      </c>
      <c r="C4370" s="71" t="s">
        <v>3134</v>
      </c>
      <c r="D4370" s="71">
        <v>1</v>
      </c>
      <c r="E4370" s="102">
        <v>4932061</v>
      </c>
      <c r="F4370" s="102">
        <f t="shared" si="2158"/>
        <v>5425267.1000000006</v>
      </c>
      <c r="G4370" s="102">
        <f t="shared" si="2159"/>
        <v>4932061</v>
      </c>
      <c r="H4370" s="165" t="s">
        <v>142</v>
      </c>
      <c r="I4370" s="71" t="s">
        <v>142</v>
      </c>
      <c r="J4370" s="53"/>
      <c r="K4370" s="63"/>
      <c r="L4370" s="871" t="s">
        <v>3136</v>
      </c>
      <c r="M4370" s="468"/>
      <c r="N4370" s="1192">
        <f t="shared" si="2157"/>
        <v>44456</v>
      </c>
      <c r="O4370" s="71" t="s">
        <v>2470</v>
      </c>
      <c r="P4370" s="103" t="str">
        <f t="shared" si="2161"/>
        <v>ESI 서비스 잔금</v>
      </c>
      <c r="Q4370" s="71">
        <f t="shared" si="2170"/>
        <v>1</v>
      </c>
      <c r="R4370" s="102"/>
      <c r="S4370" s="102">
        <f t="shared" si="2168"/>
        <v>0</v>
      </c>
      <c r="T4370" s="102">
        <f t="shared" si="2169"/>
        <v>0</v>
      </c>
      <c r="U4370" s="71"/>
      <c r="V4370" s="71"/>
      <c r="W4370" s="474"/>
      <c r="X4370" s="71"/>
      <c r="Y4370" s="71"/>
    </row>
    <row r="4371" spans="1:25" ht="30" hidden="1" customHeight="1" x14ac:dyDescent="0.2">
      <c r="A4371" s="1145">
        <v>44456</v>
      </c>
      <c r="B4371" s="664" t="s">
        <v>1178</v>
      </c>
      <c r="C4371" s="71" t="s">
        <v>3135</v>
      </c>
      <c r="D4371" s="71">
        <v>1</v>
      </c>
      <c r="E4371" s="102">
        <v>7200000</v>
      </c>
      <c r="F4371" s="102">
        <f t="shared" si="2158"/>
        <v>7920000.0000000009</v>
      </c>
      <c r="G4371" s="102">
        <f t="shared" si="2159"/>
        <v>7200000</v>
      </c>
      <c r="H4371" s="165" t="s">
        <v>142</v>
      </c>
      <c r="I4371" s="71" t="s">
        <v>142</v>
      </c>
      <c r="J4371" s="53">
        <f>G4371-T4371</f>
        <v>1325845</v>
      </c>
      <c r="K4371" s="63">
        <f t="shared" si="2164"/>
        <v>0.18414513888888887</v>
      </c>
      <c r="L4371" s="871" t="s">
        <v>3136</v>
      </c>
      <c r="M4371" s="468"/>
      <c r="N4371" s="1192">
        <f t="shared" si="2157"/>
        <v>44456</v>
      </c>
      <c r="O4371" s="71" t="s">
        <v>3035</v>
      </c>
      <c r="P4371" s="103" t="str">
        <f t="shared" si="2161"/>
        <v>습수액</v>
      </c>
      <c r="Q4371" s="71">
        <f t="shared" si="2170"/>
        <v>1</v>
      </c>
      <c r="R4371" s="102">
        <f>4374155+1500000</f>
        <v>5874155</v>
      </c>
      <c r="S4371" s="102">
        <f t="shared" si="2168"/>
        <v>6461570.5000000009</v>
      </c>
      <c r="T4371" s="102">
        <f t="shared" si="2169"/>
        <v>5874155</v>
      </c>
      <c r="U4371" s="71"/>
      <c r="V4371" s="71"/>
      <c r="W4371" s="474"/>
      <c r="X4371" s="71"/>
      <c r="Y4371" s="71"/>
    </row>
    <row r="4372" spans="1:25" ht="30" customHeight="1" x14ac:dyDescent="0.25">
      <c r="A4372" s="1145">
        <v>44462</v>
      </c>
      <c r="B4372" s="664" t="s">
        <v>2352</v>
      </c>
      <c r="C4372" s="760" t="s">
        <v>218</v>
      </c>
      <c r="D4372" s="71">
        <v>4</v>
      </c>
      <c r="E4372" s="102">
        <v>235000</v>
      </c>
      <c r="F4372" s="102">
        <f t="shared" si="2158"/>
        <v>1034000.0000000001</v>
      </c>
      <c r="G4372" s="102">
        <f t="shared" si="2159"/>
        <v>940000</v>
      </c>
      <c r="H4372" s="690" t="s">
        <v>142</v>
      </c>
      <c r="I4372" s="690" t="s">
        <v>142</v>
      </c>
      <c r="J4372" s="53">
        <f>G4372-T4372</f>
        <v>490000</v>
      </c>
      <c r="K4372" s="63">
        <f t="shared" si="2164"/>
        <v>0.52127659574468077</v>
      </c>
      <c r="L4372" s="871" t="s">
        <v>3136</v>
      </c>
      <c r="M4372" s="468" t="s">
        <v>2053</v>
      </c>
      <c r="N4372" s="1192">
        <f>A4372</f>
        <v>44462</v>
      </c>
      <c r="O4372" s="71" t="s">
        <v>150</v>
      </c>
      <c r="P4372" s="164" t="str">
        <f>(C4372)</f>
        <v>Fount Web 551AF</v>
      </c>
      <c r="Q4372" s="71">
        <f t="shared" si="2170"/>
        <v>4</v>
      </c>
      <c r="R4372" s="102">
        <v>112500</v>
      </c>
      <c r="S4372" s="102">
        <f t="shared" si="2168"/>
        <v>495000.00000000006</v>
      </c>
      <c r="T4372" s="102">
        <f t="shared" si="2169"/>
        <v>450000</v>
      </c>
      <c r="U4372" s="71" t="str">
        <f>IF(J4372=W4372,"O", "X")</f>
        <v>O</v>
      </c>
      <c r="V4372" s="71"/>
      <c r="W4372" s="474">
        <f>(G4372-T4372)</f>
        <v>490000</v>
      </c>
      <c r="X4372" s="71"/>
      <c r="Y4372" s="71"/>
    </row>
    <row r="4373" spans="1:25" s="209" customFormat="1" ht="30" customHeight="1" x14ac:dyDescent="0.25">
      <c r="A4373" s="1145">
        <v>44462</v>
      </c>
      <c r="B4373" s="664" t="s">
        <v>2352</v>
      </c>
      <c r="C4373" s="71" t="s">
        <v>583</v>
      </c>
      <c r="D4373" s="71">
        <v>16</v>
      </c>
      <c r="E4373" s="102">
        <v>89000</v>
      </c>
      <c r="F4373" s="102">
        <f>(E4373*D4373)*1.1</f>
        <v>1566400.0000000002</v>
      </c>
      <c r="G4373" s="102">
        <f>(E4373*D4373)</f>
        <v>1424000</v>
      </c>
      <c r="H4373" s="690" t="s">
        <v>142</v>
      </c>
      <c r="I4373" s="71" t="s">
        <v>142</v>
      </c>
      <c r="J4373" s="53">
        <f>G4373-T4373</f>
        <v>720000</v>
      </c>
      <c r="K4373" s="63">
        <f t="shared" si="2164"/>
        <v>0.50561797752808979</v>
      </c>
      <c r="L4373" s="871" t="s">
        <v>3136</v>
      </c>
      <c r="M4373" s="468" t="s">
        <v>2053</v>
      </c>
      <c r="N4373" s="1192">
        <f>A4373</f>
        <v>44462</v>
      </c>
      <c r="O4373" s="71" t="s">
        <v>599</v>
      </c>
      <c r="P4373" s="164" t="str">
        <f>(C4373)</f>
        <v>M600 윤전 세정포</v>
      </c>
      <c r="Q4373" s="71">
        <f t="shared" si="2170"/>
        <v>16</v>
      </c>
      <c r="R4373" s="102">
        <v>44000</v>
      </c>
      <c r="S4373" s="102">
        <f t="shared" si="2168"/>
        <v>774400.00000000012</v>
      </c>
      <c r="T4373" s="102">
        <f t="shared" si="2169"/>
        <v>704000</v>
      </c>
      <c r="U4373" s="71" t="str">
        <f>IF(J4373=W4373,"O", "X")</f>
        <v>O</v>
      </c>
      <c r="V4373" s="71"/>
      <c r="W4373" s="474">
        <f>(G4373-T4373)</f>
        <v>720000</v>
      </c>
      <c r="X4373" s="71"/>
      <c r="Y4373" s="71"/>
    </row>
    <row r="4374" spans="1:25" ht="30" hidden="1" customHeight="1" x14ac:dyDescent="0.25">
      <c r="A4374" s="1145">
        <v>44463</v>
      </c>
      <c r="B4374" s="664" t="s">
        <v>2155</v>
      </c>
      <c r="C4374" s="71" t="s">
        <v>3130</v>
      </c>
      <c r="D4374" s="71">
        <v>1</v>
      </c>
      <c r="E4374" s="102">
        <v>840000</v>
      </c>
      <c r="F4374" s="102">
        <f t="shared" si="2158"/>
        <v>924000.00000000012</v>
      </c>
      <c r="G4374" s="102">
        <f t="shared" si="2159"/>
        <v>840000</v>
      </c>
      <c r="H4374" s="690" t="s">
        <v>985</v>
      </c>
      <c r="I4374" s="690" t="s">
        <v>985</v>
      </c>
      <c r="J4374" s="53"/>
      <c r="K4374" s="63"/>
      <c r="L4374" s="871" t="s">
        <v>3136</v>
      </c>
      <c r="M4374" s="468"/>
      <c r="N4374" s="1192">
        <f t="shared" si="2157"/>
        <v>44463</v>
      </c>
      <c r="O4374" s="71"/>
      <c r="P4374" s="103" t="str">
        <f t="shared" si="2161"/>
        <v>M-600 서비스 비용(핀맞춤장치 수리)</v>
      </c>
      <c r="Q4374" s="71">
        <f t="shared" si="2170"/>
        <v>1</v>
      </c>
      <c r="R4374" s="102"/>
      <c r="S4374" s="102">
        <f t="shared" si="2168"/>
        <v>0</v>
      </c>
      <c r="T4374" s="102">
        <f t="shared" si="2169"/>
        <v>0</v>
      </c>
      <c r="U4374" s="71"/>
      <c r="V4374" s="71"/>
      <c r="W4374" s="474"/>
      <c r="X4374" s="71"/>
      <c r="Y4374" s="71"/>
    </row>
    <row r="4375" spans="1:25" ht="30" hidden="1" customHeight="1" x14ac:dyDescent="0.25">
      <c r="A4375" s="1145">
        <v>44464</v>
      </c>
      <c r="B4375" s="664" t="s">
        <v>545</v>
      </c>
      <c r="C4375" s="71" t="s">
        <v>952</v>
      </c>
      <c r="D4375" s="71">
        <v>1</v>
      </c>
      <c r="E4375" s="102">
        <v>630000</v>
      </c>
      <c r="F4375" s="102">
        <f t="shared" si="2158"/>
        <v>693000</v>
      </c>
      <c r="G4375" s="102">
        <f t="shared" si="2159"/>
        <v>630000</v>
      </c>
      <c r="H4375" s="690" t="s">
        <v>173</v>
      </c>
      <c r="I4375" s="71" t="s">
        <v>108</v>
      </c>
      <c r="J4375" s="53">
        <f>G4375-T4375</f>
        <v>168000</v>
      </c>
      <c r="K4375" s="63">
        <f t="shared" si="2164"/>
        <v>0.26666666666666666</v>
      </c>
      <c r="L4375" s="871" t="s">
        <v>3136</v>
      </c>
      <c r="M4375" s="468"/>
      <c r="N4375" s="1192">
        <f t="shared" si="2157"/>
        <v>44464</v>
      </c>
      <c r="O4375" s="71" t="s">
        <v>599</v>
      </c>
      <c r="P4375" s="164" t="str">
        <f t="shared" si="2161"/>
        <v>점보롤 세정포</v>
      </c>
      <c r="Q4375" s="71">
        <f t="shared" si="2170"/>
        <v>1</v>
      </c>
      <c r="R4375" s="102">
        <v>462000</v>
      </c>
      <c r="S4375" s="102">
        <f t="shared" si="2168"/>
        <v>508200.00000000006</v>
      </c>
      <c r="T4375" s="102">
        <f t="shared" si="2169"/>
        <v>462000</v>
      </c>
      <c r="U4375" s="71" t="str">
        <f>IF(J4375=W4375,"O", "X")</f>
        <v>O</v>
      </c>
      <c r="V4375" s="71" t="s">
        <v>1228</v>
      </c>
      <c r="W4375" s="474">
        <f>(G4375-T4375)</f>
        <v>168000</v>
      </c>
      <c r="X4375" s="71"/>
      <c r="Y4375" s="71"/>
    </row>
    <row r="4376" spans="1:25" ht="30" customHeight="1" x14ac:dyDescent="0.2">
      <c r="A4376" s="1145">
        <v>44465</v>
      </c>
      <c r="B4376" s="664" t="s">
        <v>565</v>
      </c>
      <c r="C4376" s="71" t="s">
        <v>2081</v>
      </c>
      <c r="D4376" s="71">
        <v>60</v>
      </c>
      <c r="E4376" s="102">
        <v>69000</v>
      </c>
      <c r="F4376" s="102">
        <f t="shared" si="2158"/>
        <v>4554000</v>
      </c>
      <c r="G4376" s="102">
        <f t="shared" si="2159"/>
        <v>4140000</v>
      </c>
      <c r="H4376" s="165" t="s">
        <v>173</v>
      </c>
      <c r="I4376" s="71" t="s">
        <v>108</v>
      </c>
      <c r="J4376" s="53">
        <f>G4376-T4376</f>
        <v>1080000</v>
      </c>
      <c r="K4376" s="63">
        <f t="shared" si="2164"/>
        <v>0.2608695652173913</v>
      </c>
      <c r="L4376" s="871" t="s">
        <v>3136</v>
      </c>
      <c r="M4376" s="468"/>
      <c r="N4376" s="1192">
        <f t="shared" si="2157"/>
        <v>44465</v>
      </c>
      <c r="O4376" s="71" t="s">
        <v>599</v>
      </c>
      <c r="P4376" s="164" t="str">
        <f t="shared" si="2161"/>
        <v>GOSS 신문윤전 습식세정포</v>
      </c>
      <c r="Q4376" s="71">
        <f t="shared" si="2170"/>
        <v>60</v>
      </c>
      <c r="R4376" s="102">
        <v>51000</v>
      </c>
      <c r="S4376" s="102">
        <f t="shared" si="2168"/>
        <v>3366000.0000000005</v>
      </c>
      <c r="T4376" s="102">
        <f t="shared" si="2169"/>
        <v>3060000</v>
      </c>
      <c r="U4376" s="71" t="str">
        <f>IF(J4376=W4376,"O", "X")</f>
        <v>X</v>
      </c>
      <c r="V4376" s="71"/>
      <c r="W4376" s="474"/>
      <c r="X4376" s="71"/>
      <c r="Y4376" s="71"/>
    </row>
    <row r="4377" spans="1:25" ht="30" hidden="1" customHeight="1" x14ac:dyDescent="0.25">
      <c r="A4377" s="1145">
        <v>44466</v>
      </c>
      <c r="B4377" s="664" t="s">
        <v>548</v>
      </c>
      <c r="C4377" s="71" t="s">
        <v>2973</v>
      </c>
      <c r="D4377" s="71">
        <v>10</v>
      </c>
      <c r="E4377" s="102">
        <v>100000</v>
      </c>
      <c r="F4377" s="102">
        <f t="shared" si="2158"/>
        <v>1100000</v>
      </c>
      <c r="G4377" s="102">
        <f t="shared" si="2159"/>
        <v>1000000</v>
      </c>
      <c r="H4377" s="690" t="s">
        <v>173</v>
      </c>
      <c r="I4377" s="71" t="s">
        <v>2231</v>
      </c>
      <c r="J4377" s="53">
        <f>G4377-T4377</f>
        <v>138000</v>
      </c>
      <c r="K4377" s="63">
        <f t="shared" si="2164"/>
        <v>0.13800000000000001</v>
      </c>
      <c r="L4377" s="871" t="s">
        <v>3136</v>
      </c>
      <c r="M4377" s="468"/>
      <c r="N4377" s="1192">
        <f t="shared" si="2157"/>
        <v>44466</v>
      </c>
      <c r="O4377" s="71" t="s">
        <v>147</v>
      </c>
      <c r="P4377" s="164" t="str">
        <f t="shared" si="2161"/>
        <v>1077*885 하이델 bar 블랑켓</v>
      </c>
      <c r="Q4377" s="71">
        <f t="shared" si="2170"/>
        <v>10</v>
      </c>
      <c r="R4377" s="102">
        <v>86200</v>
      </c>
      <c r="S4377" s="102">
        <f t="shared" si="2168"/>
        <v>948200.00000000012</v>
      </c>
      <c r="T4377" s="102">
        <f t="shared" si="2169"/>
        <v>862000</v>
      </c>
      <c r="U4377" s="71"/>
      <c r="V4377" s="71"/>
      <c r="W4377" s="474"/>
      <c r="X4377" s="71"/>
      <c r="Y4377" s="71"/>
    </row>
    <row r="4378" spans="1:25" ht="30" hidden="1" customHeight="1" x14ac:dyDescent="0.25">
      <c r="A4378" s="1145">
        <v>44468</v>
      </c>
      <c r="B4378" s="664" t="s">
        <v>546</v>
      </c>
      <c r="C4378" s="71" t="s">
        <v>3127</v>
      </c>
      <c r="D4378" s="71">
        <v>1</v>
      </c>
      <c r="E4378" s="102">
        <v>3900000</v>
      </c>
      <c r="F4378" s="102">
        <f t="shared" si="2158"/>
        <v>4290000</v>
      </c>
      <c r="G4378" s="102">
        <f t="shared" si="2159"/>
        <v>3900000</v>
      </c>
      <c r="H4378" s="690" t="s">
        <v>142</v>
      </c>
      <c r="I4378" s="690" t="s">
        <v>142</v>
      </c>
      <c r="J4378" s="53">
        <f>G4378-T4378</f>
        <v>661158</v>
      </c>
      <c r="K4378" s="63">
        <f t="shared" si="2164"/>
        <v>0.1695276923076923</v>
      </c>
      <c r="L4378" s="871" t="s">
        <v>3136</v>
      </c>
      <c r="M4378" s="468"/>
      <c r="N4378" s="1192">
        <f t="shared" si="2157"/>
        <v>44468</v>
      </c>
      <c r="O4378" s="71" t="s">
        <v>1431</v>
      </c>
      <c r="P4378" s="103" t="str">
        <f t="shared" si="2161"/>
        <v>Mice Switch(총 6구)</v>
      </c>
      <c r="Q4378" s="71">
        <f t="shared" ref="Q4378:Q4405" si="2171">D4378</f>
        <v>1</v>
      </c>
      <c r="R4378" s="102">
        <v>3238842</v>
      </c>
      <c r="S4378" s="102">
        <f t="shared" si="2168"/>
        <v>3562726.2</v>
      </c>
      <c r="T4378" s="102">
        <f t="shared" si="2169"/>
        <v>3238842</v>
      </c>
      <c r="U4378" s="71"/>
      <c r="V4378" s="71"/>
      <c r="W4378" s="474"/>
      <c r="X4378" s="71"/>
      <c r="Y4378" s="71"/>
    </row>
    <row r="4379" spans="1:25" ht="30" hidden="1" customHeight="1" x14ac:dyDescent="0.25">
      <c r="A4379" s="1145">
        <v>44469</v>
      </c>
      <c r="B4379" s="664" t="s">
        <v>546</v>
      </c>
      <c r="C4379" s="71" t="s">
        <v>3204</v>
      </c>
      <c r="D4379" s="71">
        <v>1</v>
      </c>
      <c r="E4379" s="102">
        <v>24507000</v>
      </c>
      <c r="F4379" s="102">
        <f t="shared" si="2158"/>
        <v>26957700.000000004</v>
      </c>
      <c r="G4379" s="102">
        <f t="shared" si="2159"/>
        <v>24507000</v>
      </c>
      <c r="H4379" s="690" t="s">
        <v>985</v>
      </c>
      <c r="I4379" s="690" t="s">
        <v>985</v>
      </c>
      <c r="J4379" s="53"/>
      <c r="K4379" s="63"/>
      <c r="L4379" s="871" t="s">
        <v>3136</v>
      </c>
      <c r="M4379" s="468"/>
      <c r="N4379" s="1192">
        <f t="shared" si="2157"/>
        <v>44469</v>
      </c>
      <c r="O4379" s="71" t="s">
        <v>1431</v>
      </c>
      <c r="P4379" s="103" t="str">
        <f t="shared" si="2161"/>
        <v>Rotoman 오버홀 &lt;독일엔지니어 정비시 교체 필요 부품(총 76종)&gt; 잔금(70%)</v>
      </c>
      <c r="Q4379" s="71">
        <f t="shared" si="2171"/>
        <v>1</v>
      </c>
      <c r="R4379" s="102"/>
      <c r="S4379" s="102">
        <f t="shared" si="2168"/>
        <v>0</v>
      </c>
      <c r="T4379" s="102">
        <f t="shared" si="2169"/>
        <v>0</v>
      </c>
      <c r="U4379" s="71"/>
      <c r="V4379" s="71"/>
      <c r="W4379" s="474"/>
      <c r="X4379" s="71"/>
      <c r="Y4379" s="71"/>
    </row>
    <row r="4380" spans="1:25" ht="30" hidden="1" customHeight="1" x14ac:dyDescent="0.25">
      <c r="A4380" s="1145">
        <v>44469</v>
      </c>
      <c r="B4380" s="664" t="s">
        <v>546</v>
      </c>
      <c r="C4380" s="71" t="s">
        <v>3128</v>
      </c>
      <c r="D4380" s="71">
        <v>1</v>
      </c>
      <c r="E4380" s="102">
        <v>4000000</v>
      </c>
      <c r="F4380" s="102">
        <f t="shared" si="2158"/>
        <v>4400000</v>
      </c>
      <c r="G4380" s="102">
        <f t="shared" si="2159"/>
        <v>4000000</v>
      </c>
      <c r="H4380" s="690" t="s">
        <v>985</v>
      </c>
      <c r="I4380" s="690" t="s">
        <v>985</v>
      </c>
      <c r="J4380" s="53"/>
      <c r="K4380" s="63"/>
      <c r="L4380" s="871" t="s">
        <v>3136</v>
      </c>
      <c r="M4380" s="468"/>
      <c r="N4380" s="1192">
        <f t="shared" si="2157"/>
        <v>44469</v>
      </c>
      <c r="O4380" s="71" t="s">
        <v>1431</v>
      </c>
      <c r="P4380" s="103" t="str">
        <f t="shared" si="2161"/>
        <v>Rotoman 스플라이서 점검 알레스 비용</v>
      </c>
      <c r="Q4380" s="71">
        <f t="shared" si="2171"/>
        <v>1</v>
      </c>
      <c r="R4380" s="102"/>
      <c r="S4380" s="102">
        <f t="shared" si="2168"/>
        <v>0</v>
      </c>
      <c r="T4380" s="102">
        <f t="shared" si="2169"/>
        <v>0</v>
      </c>
      <c r="U4380" s="71"/>
      <c r="V4380" s="71"/>
      <c r="W4380" s="474"/>
      <c r="X4380" s="71"/>
      <c r="Y4380" s="71"/>
    </row>
    <row r="4381" spans="1:25" ht="30" hidden="1" customHeight="1" x14ac:dyDescent="0.25">
      <c r="A4381" s="1145">
        <v>44469</v>
      </c>
      <c r="B4381" s="664" t="s">
        <v>546</v>
      </c>
      <c r="C4381" s="71" t="s">
        <v>3141</v>
      </c>
      <c r="D4381" s="71">
        <v>1</v>
      </c>
      <c r="E4381" s="102">
        <v>8500000</v>
      </c>
      <c r="F4381" s="102">
        <f t="shared" si="2158"/>
        <v>9350000</v>
      </c>
      <c r="G4381" s="102">
        <f t="shared" si="2159"/>
        <v>8500000</v>
      </c>
      <c r="H4381" s="690" t="s">
        <v>1431</v>
      </c>
      <c r="I4381" s="690" t="s">
        <v>1431</v>
      </c>
      <c r="J4381" s="53"/>
      <c r="K4381" s="63"/>
      <c r="L4381" s="871" t="s">
        <v>3136</v>
      </c>
      <c r="M4381" s="468"/>
      <c r="N4381" s="1192">
        <f t="shared" si="2157"/>
        <v>44469</v>
      </c>
      <c r="O4381" s="71" t="s">
        <v>1431</v>
      </c>
      <c r="P4381" s="103" t="str">
        <f t="shared" si="2161"/>
        <v>Rotoman 스플라이서 점검 부품(잔금)</v>
      </c>
      <c r="Q4381" s="71">
        <f t="shared" si="2171"/>
        <v>1</v>
      </c>
      <c r="R4381" s="102"/>
      <c r="S4381" s="102">
        <f t="shared" si="2168"/>
        <v>0</v>
      </c>
      <c r="T4381" s="102">
        <f t="shared" si="2169"/>
        <v>0</v>
      </c>
      <c r="U4381" s="71"/>
      <c r="V4381" s="71"/>
      <c r="W4381" s="474"/>
      <c r="X4381" s="71"/>
      <c r="Y4381" s="71"/>
    </row>
    <row r="4382" spans="1:25" ht="30" hidden="1" customHeight="1" x14ac:dyDescent="0.25">
      <c r="A4382" s="1145">
        <v>44469</v>
      </c>
      <c r="B4382" s="664" t="s">
        <v>546</v>
      </c>
      <c r="C4382" s="71" t="s">
        <v>3129</v>
      </c>
      <c r="D4382" s="71">
        <v>1</v>
      </c>
      <c r="E4382" s="102">
        <v>2000000</v>
      </c>
      <c r="F4382" s="102">
        <f t="shared" si="2158"/>
        <v>2200000</v>
      </c>
      <c r="G4382" s="102">
        <f t="shared" si="2159"/>
        <v>2000000</v>
      </c>
      <c r="H4382" s="690" t="s">
        <v>1431</v>
      </c>
      <c r="I4382" s="690" t="s">
        <v>1431</v>
      </c>
      <c r="J4382" s="53"/>
      <c r="K4382" s="63"/>
      <c r="L4382" s="871" t="s">
        <v>3136</v>
      </c>
      <c r="M4382" s="468"/>
      <c r="N4382" s="1192">
        <f t="shared" si="2157"/>
        <v>44469</v>
      </c>
      <c r="O4382" s="71" t="s">
        <v>1431</v>
      </c>
      <c r="P4382" s="103" t="str">
        <f t="shared" si="2161"/>
        <v>Rotoman 스플라이서 점검 공구대여비</v>
      </c>
      <c r="Q4382" s="71">
        <f t="shared" si="2171"/>
        <v>1</v>
      </c>
      <c r="R4382" s="102"/>
      <c r="S4382" s="102">
        <f t="shared" si="2168"/>
        <v>0</v>
      </c>
      <c r="T4382" s="102">
        <f t="shared" si="2169"/>
        <v>0</v>
      </c>
      <c r="U4382" s="71"/>
      <c r="V4382" s="71"/>
      <c r="W4382" s="474"/>
      <c r="X4382" s="71"/>
      <c r="Y4382" s="71"/>
    </row>
    <row r="4383" spans="1:25" s="209" customFormat="1" ht="30" hidden="1" customHeight="1" x14ac:dyDescent="0.2">
      <c r="A4383" s="1145">
        <v>44469</v>
      </c>
      <c r="B4383" s="664" t="s">
        <v>2353</v>
      </c>
      <c r="C4383" s="71" t="s">
        <v>130</v>
      </c>
      <c r="D4383" s="71">
        <v>10</v>
      </c>
      <c r="E4383" s="102">
        <v>125000</v>
      </c>
      <c r="F4383" s="102">
        <f t="shared" ref="F4383:F4406" si="2172">(E4383*D4383)*1.1</f>
        <v>1375000</v>
      </c>
      <c r="G4383" s="102">
        <f t="shared" ref="G4383:G4406" si="2173">(E4383*D4383)</f>
        <v>1250000</v>
      </c>
      <c r="H4383" s="165" t="s">
        <v>142</v>
      </c>
      <c r="I4383" s="71" t="s">
        <v>142</v>
      </c>
      <c r="J4383" s="53">
        <f t="shared" ref="J4383:J4406" si="2174">G4383-T4383</f>
        <v>260000</v>
      </c>
      <c r="K4383" s="63">
        <f t="shared" si="2164"/>
        <v>0.20799999999999999</v>
      </c>
      <c r="L4383" s="871" t="s">
        <v>3136</v>
      </c>
      <c r="M4383" s="468" t="s">
        <v>2050</v>
      </c>
      <c r="N4383" s="1192">
        <f t="shared" ref="N4383:N4388" si="2175">A4383</f>
        <v>44469</v>
      </c>
      <c r="O4383" s="71" t="s">
        <v>150</v>
      </c>
      <c r="P4383" s="164" t="str">
        <f t="shared" ref="P4383:P4405" si="2176">(C4383)</f>
        <v>XL106 Blanket(1077*885)</v>
      </c>
      <c r="Q4383" s="71">
        <f t="shared" si="2171"/>
        <v>10</v>
      </c>
      <c r="R4383" s="102">
        <v>99000</v>
      </c>
      <c r="S4383" s="102">
        <f t="shared" si="2168"/>
        <v>1089000</v>
      </c>
      <c r="T4383" s="102">
        <f t="shared" si="2169"/>
        <v>990000</v>
      </c>
      <c r="U4383" s="71" t="str">
        <f>IF(J4383=W4383,"O", "X")</f>
        <v>O</v>
      </c>
      <c r="V4383" s="71"/>
      <c r="W4383" s="474">
        <f>(G4383-T4383)</f>
        <v>260000</v>
      </c>
      <c r="X4383" s="71"/>
      <c r="Y4383" s="71"/>
    </row>
    <row r="4384" spans="1:25" ht="30" hidden="1" customHeight="1" x14ac:dyDescent="0.2">
      <c r="A4384" s="1145">
        <v>44469</v>
      </c>
      <c r="B4384" s="664" t="s">
        <v>2353</v>
      </c>
      <c r="C4384" s="71" t="s">
        <v>129</v>
      </c>
      <c r="D4384" s="71">
        <v>7</v>
      </c>
      <c r="E4384" s="102">
        <v>272000</v>
      </c>
      <c r="F4384" s="102">
        <f t="shared" si="2172"/>
        <v>2094400.0000000002</v>
      </c>
      <c r="G4384" s="102">
        <f t="shared" si="2173"/>
        <v>1904000</v>
      </c>
      <c r="H4384" s="165" t="s">
        <v>142</v>
      </c>
      <c r="I4384" s="71" t="s">
        <v>142</v>
      </c>
      <c r="J4384" s="53">
        <f t="shared" si="2174"/>
        <v>414400</v>
      </c>
      <c r="K4384" s="63">
        <f t="shared" si="2164"/>
        <v>0.21764705882352939</v>
      </c>
      <c r="L4384" s="871" t="s">
        <v>3136</v>
      </c>
      <c r="M4384" s="468" t="s">
        <v>2050</v>
      </c>
      <c r="N4384" s="1192">
        <f t="shared" si="2175"/>
        <v>44469</v>
      </c>
      <c r="O4384" s="71" t="s">
        <v>149</v>
      </c>
      <c r="P4384" s="164" t="str">
        <f t="shared" si="2176"/>
        <v>세정포-XL106</v>
      </c>
      <c r="Q4384" s="71">
        <f t="shared" si="2171"/>
        <v>7</v>
      </c>
      <c r="R4384" s="102">
        <v>212800</v>
      </c>
      <c r="S4384" s="102">
        <f t="shared" si="2168"/>
        <v>1638560.0000000002</v>
      </c>
      <c r="T4384" s="102">
        <f t="shared" si="2169"/>
        <v>1489600</v>
      </c>
      <c r="U4384" s="71" t="str">
        <f>IF(J4384=W4384,"O", "X")</f>
        <v>O</v>
      </c>
      <c r="V4384" s="71"/>
      <c r="W4384" s="474">
        <f>(G4384-T4384)</f>
        <v>414400</v>
      </c>
      <c r="X4384" s="71"/>
      <c r="Y4384" s="71"/>
    </row>
    <row r="4385" spans="1:25" ht="30" hidden="1" customHeight="1" x14ac:dyDescent="0.2">
      <c r="A4385" s="1145">
        <v>44469</v>
      </c>
      <c r="B4385" s="664" t="s">
        <v>2353</v>
      </c>
      <c r="C4385" s="71" t="s">
        <v>989</v>
      </c>
      <c r="D4385" s="71">
        <v>500</v>
      </c>
      <c r="E4385" s="102">
        <v>400</v>
      </c>
      <c r="F4385" s="102">
        <f t="shared" si="2172"/>
        <v>220000.00000000003</v>
      </c>
      <c r="G4385" s="102">
        <f t="shared" si="2173"/>
        <v>200000</v>
      </c>
      <c r="H4385" s="165" t="s">
        <v>142</v>
      </c>
      <c r="I4385" s="71" t="s">
        <v>142</v>
      </c>
      <c r="J4385" s="53">
        <f t="shared" si="2174"/>
        <v>50000</v>
      </c>
      <c r="K4385" s="63">
        <f t="shared" si="2164"/>
        <v>0.24999999999999997</v>
      </c>
      <c r="L4385" s="871" t="s">
        <v>3136</v>
      </c>
      <c r="M4385" s="468"/>
      <c r="N4385" s="1192">
        <f t="shared" si="2175"/>
        <v>44469</v>
      </c>
      <c r="O4385" s="71" t="s">
        <v>150</v>
      </c>
      <c r="P4385" s="103" t="str">
        <f t="shared" si="2176"/>
        <v>고무사카</v>
      </c>
      <c r="Q4385" s="71">
        <f t="shared" si="2171"/>
        <v>500</v>
      </c>
      <c r="R4385" s="102">
        <v>300</v>
      </c>
      <c r="S4385" s="102">
        <f t="shared" si="2168"/>
        <v>165000</v>
      </c>
      <c r="T4385" s="102">
        <f t="shared" si="2169"/>
        <v>150000</v>
      </c>
      <c r="U4385" s="71"/>
      <c r="V4385" s="71"/>
      <c r="W4385" s="474"/>
      <c r="X4385" s="71"/>
      <c r="Y4385" s="71"/>
    </row>
    <row r="4386" spans="1:25" ht="30" hidden="1" customHeight="1" x14ac:dyDescent="0.2">
      <c r="A4386" s="1145">
        <v>44469</v>
      </c>
      <c r="B4386" s="664" t="s">
        <v>2353</v>
      </c>
      <c r="C4386" s="71" t="s">
        <v>2534</v>
      </c>
      <c r="D4386" s="71">
        <v>8</v>
      </c>
      <c r="E4386" s="102">
        <v>26000</v>
      </c>
      <c r="F4386" s="102">
        <f t="shared" si="2172"/>
        <v>228800.00000000003</v>
      </c>
      <c r="G4386" s="102">
        <f t="shared" si="2173"/>
        <v>208000</v>
      </c>
      <c r="H4386" s="165" t="s">
        <v>142</v>
      </c>
      <c r="I4386" s="71" t="s">
        <v>142</v>
      </c>
      <c r="J4386" s="53">
        <f t="shared" si="2174"/>
        <v>40000</v>
      </c>
      <c r="K4386" s="63">
        <f t="shared" si="2164"/>
        <v>0.19230769230769229</v>
      </c>
      <c r="L4386" s="871" t="s">
        <v>3136</v>
      </c>
      <c r="M4386" s="468"/>
      <c r="N4386" s="1192">
        <f t="shared" si="2175"/>
        <v>44469</v>
      </c>
      <c r="O4386" s="71" t="s">
        <v>150</v>
      </c>
      <c r="P4386" s="103" t="str">
        <f t="shared" si="2176"/>
        <v>리프팅 서커 노즐</v>
      </c>
      <c r="Q4386" s="71">
        <f t="shared" si="2171"/>
        <v>8</v>
      </c>
      <c r="R4386" s="102">
        <v>21000</v>
      </c>
      <c r="S4386" s="102">
        <f t="shared" si="2168"/>
        <v>184800.00000000003</v>
      </c>
      <c r="T4386" s="102">
        <f t="shared" si="2169"/>
        <v>168000</v>
      </c>
      <c r="U4386" s="71"/>
      <c r="V4386" s="71"/>
      <c r="W4386" s="474"/>
      <c r="X4386" s="71"/>
      <c r="Y4386" s="71"/>
    </row>
    <row r="4387" spans="1:25" ht="30" hidden="1" customHeight="1" x14ac:dyDescent="0.2">
      <c r="A4387" s="1145">
        <v>44469</v>
      </c>
      <c r="B4387" s="664" t="s">
        <v>2353</v>
      </c>
      <c r="C4387" s="71" t="s">
        <v>2649</v>
      </c>
      <c r="D4387" s="71">
        <v>2</v>
      </c>
      <c r="E4387" s="102">
        <v>118000</v>
      </c>
      <c r="F4387" s="102">
        <f t="shared" si="2172"/>
        <v>259600.00000000003</v>
      </c>
      <c r="G4387" s="102">
        <f t="shared" si="2173"/>
        <v>236000</v>
      </c>
      <c r="H4387" s="165" t="s">
        <v>142</v>
      </c>
      <c r="I4387" s="71" t="s">
        <v>142</v>
      </c>
      <c r="J4387" s="53">
        <f t="shared" si="2174"/>
        <v>26000</v>
      </c>
      <c r="K4387" s="63">
        <f t="shared" si="2164"/>
        <v>0.11016949152542371</v>
      </c>
      <c r="L4387" s="871" t="s">
        <v>3136</v>
      </c>
      <c r="M4387" s="468"/>
      <c r="N4387" s="1192">
        <f t="shared" si="2175"/>
        <v>44469</v>
      </c>
      <c r="O4387" s="71" t="s">
        <v>150</v>
      </c>
      <c r="P4387" s="103" t="str">
        <f t="shared" si="2176"/>
        <v>배지부 콤프 필터</v>
      </c>
      <c r="Q4387" s="71">
        <f t="shared" si="2171"/>
        <v>2</v>
      </c>
      <c r="R4387" s="102">
        <v>105000</v>
      </c>
      <c r="S4387" s="102">
        <f t="shared" si="2168"/>
        <v>231000.00000000003</v>
      </c>
      <c r="T4387" s="102">
        <f t="shared" si="2169"/>
        <v>210000</v>
      </c>
      <c r="U4387" s="71"/>
      <c r="V4387" s="71"/>
      <c r="W4387" s="474"/>
      <c r="X4387" s="71"/>
      <c r="Y4387" s="71"/>
    </row>
    <row r="4388" spans="1:25" s="209" customFormat="1" ht="30" hidden="1" customHeight="1" x14ac:dyDescent="0.25">
      <c r="A4388" s="1145">
        <v>44469</v>
      </c>
      <c r="B4388" s="664" t="s">
        <v>567</v>
      </c>
      <c r="C4388" s="71" t="s">
        <v>236</v>
      </c>
      <c r="D4388" s="71">
        <v>5</v>
      </c>
      <c r="E4388" s="102">
        <v>65000</v>
      </c>
      <c r="F4388" s="102">
        <f t="shared" si="2172"/>
        <v>357500</v>
      </c>
      <c r="G4388" s="102">
        <f t="shared" si="2173"/>
        <v>325000</v>
      </c>
      <c r="H4388" s="690" t="s">
        <v>173</v>
      </c>
      <c r="I4388" s="71" t="s">
        <v>2231</v>
      </c>
      <c r="J4388" s="53">
        <f t="shared" si="2174"/>
        <v>75000</v>
      </c>
      <c r="K4388" s="63">
        <f t="shared" si="2164"/>
        <v>0.23076923076923078</v>
      </c>
      <c r="L4388" s="871" t="s">
        <v>3136</v>
      </c>
      <c r="M4388" s="468"/>
      <c r="N4388" s="1192">
        <f t="shared" si="2175"/>
        <v>44469</v>
      </c>
      <c r="O4388" s="71" t="s">
        <v>153</v>
      </c>
      <c r="P4388" s="164" t="str">
        <f t="shared" si="2176"/>
        <v>아스테이지(국전)</v>
      </c>
      <c r="Q4388" s="71">
        <f t="shared" si="2171"/>
        <v>5</v>
      </c>
      <c r="R4388" s="102">
        <v>50000</v>
      </c>
      <c r="S4388" s="102">
        <f t="shared" si="2168"/>
        <v>275000</v>
      </c>
      <c r="T4388" s="102">
        <f t="shared" si="2169"/>
        <v>250000</v>
      </c>
      <c r="U4388" s="71" t="str">
        <f t="shared" ref="U4388:U4406" si="2177">IF(J4388=W4388,"O", "X")</f>
        <v>X</v>
      </c>
      <c r="V4388" s="71"/>
      <c r="W4388" s="474">
        <v>150000</v>
      </c>
      <c r="X4388" s="71"/>
      <c r="Y4388" s="71"/>
    </row>
    <row r="4389" spans="1:25" ht="30" hidden="1" customHeight="1" x14ac:dyDescent="0.25">
      <c r="A4389" s="1145">
        <v>44469</v>
      </c>
      <c r="B4389" s="664" t="s">
        <v>1051</v>
      </c>
      <c r="C4389" s="71" t="s">
        <v>1294</v>
      </c>
      <c r="D4389" s="71">
        <v>0</v>
      </c>
      <c r="E4389" s="102">
        <v>5850</v>
      </c>
      <c r="F4389" s="102">
        <f t="shared" si="2172"/>
        <v>0</v>
      </c>
      <c r="G4389" s="102">
        <f t="shared" si="2173"/>
        <v>0</v>
      </c>
      <c r="H4389" s="690" t="s">
        <v>142</v>
      </c>
      <c r="I4389" s="71" t="s">
        <v>2273</v>
      </c>
      <c r="J4389" s="53">
        <f t="shared" si="2174"/>
        <v>0</v>
      </c>
      <c r="K4389" s="63" t="e">
        <f t="shared" si="2164"/>
        <v>#DIV/0!</v>
      </c>
      <c r="L4389" s="871" t="s">
        <v>3136</v>
      </c>
      <c r="M4389" s="468"/>
      <c r="N4389" s="1192">
        <f t="shared" ref="N4389:N4406" si="2178">A4389</f>
        <v>44469</v>
      </c>
      <c r="O4389" s="71" t="s">
        <v>145</v>
      </c>
      <c r="P4389" s="164" t="str">
        <f t="shared" si="2176"/>
        <v>ENGAGE 1030*790</v>
      </c>
      <c r="Q4389" s="71">
        <f t="shared" si="2171"/>
        <v>0</v>
      </c>
      <c r="R4389" s="102">
        <v>3510</v>
      </c>
      <c r="S4389" s="102">
        <f t="shared" si="2168"/>
        <v>0</v>
      </c>
      <c r="T4389" s="102">
        <f t="shared" si="2169"/>
        <v>0</v>
      </c>
      <c r="U4389" s="71" t="str">
        <f t="shared" si="2177"/>
        <v>O</v>
      </c>
      <c r="V4389" s="71"/>
      <c r="W4389" s="474">
        <f t="shared" ref="W4389:W4405" si="2179">(G4389-T4389)</f>
        <v>0</v>
      </c>
      <c r="X4389" s="71"/>
      <c r="Y4389" s="71"/>
    </row>
    <row r="4390" spans="1:25" ht="30" hidden="1" customHeight="1" x14ac:dyDescent="0.25">
      <c r="A4390" s="1145">
        <v>44469</v>
      </c>
      <c r="B4390" s="664" t="s">
        <v>1051</v>
      </c>
      <c r="C4390" s="71" t="s">
        <v>1384</v>
      </c>
      <c r="D4390" s="71">
        <v>0</v>
      </c>
      <c r="E4390" s="102">
        <v>3680</v>
      </c>
      <c r="F4390" s="102">
        <f t="shared" si="2172"/>
        <v>0</v>
      </c>
      <c r="G4390" s="102">
        <f t="shared" si="2173"/>
        <v>0</v>
      </c>
      <c r="H4390" s="690" t="s">
        <v>142</v>
      </c>
      <c r="I4390" s="71" t="s">
        <v>2273</v>
      </c>
      <c r="J4390" s="53">
        <f t="shared" si="2174"/>
        <v>0</v>
      </c>
      <c r="K4390" s="63" t="e">
        <f t="shared" si="2164"/>
        <v>#DIV/0!</v>
      </c>
      <c r="L4390" s="871" t="s">
        <v>3136</v>
      </c>
      <c r="M4390" s="468"/>
      <c r="N4390" s="1192">
        <f t="shared" si="2178"/>
        <v>44469</v>
      </c>
      <c r="O4390" s="71" t="s">
        <v>145</v>
      </c>
      <c r="P4390" s="164" t="str">
        <f t="shared" si="2176"/>
        <v>ENGAGE 900X571 - 27RO</v>
      </c>
      <c r="Q4390" s="71">
        <f t="shared" si="2171"/>
        <v>0</v>
      </c>
      <c r="R4390" s="102">
        <v>2220</v>
      </c>
      <c r="S4390" s="102">
        <f t="shared" si="2168"/>
        <v>0</v>
      </c>
      <c r="T4390" s="102">
        <f t="shared" si="2169"/>
        <v>0</v>
      </c>
      <c r="U4390" s="71" t="str">
        <f t="shared" si="2177"/>
        <v>O</v>
      </c>
      <c r="V4390" s="71"/>
      <c r="W4390" s="474">
        <f t="shared" si="2179"/>
        <v>0</v>
      </c>
      <c r="X4390" s="71"/>
      <c r="Y4390" s="71"/>
    </row>
    <row r="4391" spans="1:25" ht="30" hidden="1" customHeight="1" x14ac:dyDescent="0.25">
      <c r="A4391" s="1145">
        <v>44469</v>
      </c>
      <c r="B4391" s="664" t="s">
        <v>1051</v>
      </c>
      <c r="C4391" s="71" t="s">
        <v>951</v>
      </c>
      <c r="D4391" s="71">
        <v>3800</v>
      </c>
      <c r="E4391" s="102">
        <v>3510</v>
      </c>
      <c r="F4391" s="102">
        <f t="shared" si="2172"/>
        <v>14671800.000000002</v>
      </c>
      <c r="G4391" s="102">
        <f t="shared" si="2173"/>
        <v>13338000</v>
      </c>
      <c r="H4391" s="690" t="s">
        <v>142</v>
      </c>
      <c r="I4391" s="71" t="s">
        <v>2273</v>
      </c>
      <c r="J4391" s="53">
        <f t="shared" si="2174"/>
        <v>5358000</v>
      </c>
      <c r="K4391" s="63">
        <f t="shared" si="2164"/>
        <v>0.40170940170940167</v>
      </c>
      <c r="L4391" s="871" t="s">
        <v>3136</v>
      </c>
      <c r="M4391" s="468"/>
      <c r="N4391" s="1192">
        <f t="shared" si="2178"/>
        <v>44469</v>
      </c>
      <c r="O4391" s="71" t="s">
        <v>145</v>
      </c>
      <c r="P4391" s="164" t="str">
        <f t="shared" si="2176"/>
        <v>ENGAGE 30WEB(883*552)</v>
      </c>
      <c r="Q4391" s="71">
        <f t="shared" si="2171"/>
        <v>3800</v>
      </c>
      <c r="R4391" s="102">
        <v>2100</v>
      </c>
      <c r="S4391" s="102">
        <f t="shared" si="2168"/>
        <v>8778000</v>
      </c>
      <c r="T4391" s="102">
        <f t="shared" si="2169"/>
        <v>7980000</v>
      </c>
      <c r="U4391" s="71" t="str">
        <f t="shared" si="2177"/>
        <v>O</v>
      </c>
      <c r="V4391" s="71"/>
      <c r="W4391" s="474">
        <f t="shared" si="2179"/>
        <v>5358000</v>
      </c>
      <c r="X4391" s="71"/>
      <c r="Y4391" s="71"/>
    </row>
    <row r="4392" spans="1:25" ht="30" hidden="1" customHeight="1" x14ac:dyDescent="0.25">
      <c r="A4392" s="1145">
        <v>44469</v>
      </c>
      <c r="B4392" s="664" t="s">
        <v>1051</v>
      </c>
      <c r="C4392" s="71" t="s">
        <v>2219</v>
      </c>
      <c r="D4392" s="71">
        <v>600</v>
      </c>
      <c r="E4392" s="102">
        <v>5930</v>
      </c>
      <c r="F4392" s="102">
        <f t="shared" si="2172"/>
        <v>3913800.0000000005</v>
      </c>
      <c r="G4392" s="102">
        <f t="shared" si="2173"/>
        <v>3558000</v>
      </c>
      <c r="H4392" s="690" t="s">
        <v>142</v>
      </c>
      <c r="I4392" s="71" t="s">
        <v>2273</v>
      </c>
      <c r="J4392" s="53">
        <f t="shared" si="2174"/>
        <v>1428000</v>
      </c>
      <c r="K4392" s="63">
        <f t="shared" si="2164"/>
        <v>0.40134907251264751</v>
      </c>
      <c r="L4392" s="871" t="s">
        <v>3136</v>
      </c>
      <c r="M4392" s="468"/>
      <c r="N4392" s="1192">
        <f t="shared" si="2178"/>
        <v>44469</v>
      </c>
      <c r="O4392" s="71" t="s">
        <v>145</v>
      </c>
      <c r="P4392" s="164" t="str">
        <f t="shared" si="2176"/>
        <v>ENGAGE 1030*800</v>
      </c>
      <c r="Q4392" s="71">
        <f t="shared" si="2171"/>
        <v>600</v>
      </c>
      <c r="R4392" s="102">
        <v>3550</v>
      </c>
      <c r="S4392" s="102">
        <f t="shared" si="2168"/>
        <v>2343000</v>
      </c>
      <c r="T4392" s="102">
        <f t="shared" si="2169"/>
        <v>2130000</v>
      </c>
      <c r="U4392" s="71" t="str">
        <f t="shared" si="2177"/>
        <v>O</v>
      </c>
      <c r="V4392" s="71"/>
      <c r="W4392" s="474">
        <f t="shared" si="2179"/>
        <v>1428000</v>
      </c>
      <c r="X4392" s="71"/>
      <c r="Y4392" s="71"/>
    </row>
    <row r="4393" spans="1:25" ht="30" hidden="1" customHeight="1" x14ac:dyDescent="0.25">
      <c r="A4393" s="1145">
        <v>44469</v>
      </c>
      <c r="B4393" s="664" t="s">
        <v>1051</v>
      </c>
      <c r="C4393" s="71" t="s">
        <v>1383</v>
      </c>
      <c r="D4393" s="71">
        <v>300</v>
      </c>
      <c r="E4393" s="102">
        <v>6150</v>
      </c>
      <c r="F4393" s="102">
        <f t="shared" si="2172"/>
        <v>2029500.0000000002</v>
      </c>
      <c r="G4393" s="102">
        <f t="shared" si="2173"/>
        <v>1845000</v>
      </c>
      <c r="H4393" s="690" t="s">
        <v>142</v>
      </c>
      <c r="I4393" s="71" t="s">
        <v>2273</v>
      </c>
      <c r="J4393" s="53">
        <f t="shared" si="2174"/>
        <v>738000</v>
      </c>
      <c r="K4393" s="63">
        <f t="shared" si="2164"/>
        <v>0.39999999999999997</v>
      </c>
      <c r="L4393" s="871" t="s">
        <v>3136</v>
      </c>
      <c r="M4393" s="468"/>
      <c r="N4393" s="1192">
        <f t="shared" si="2178"/>
        <v>44469</v>
      </c>
      <c r="O4393" s="71" t="s">
        <v>145</v>
      </c>
      <c r="P4393" s="164" t="str">
        <f t="shared" si="2176"/>
        <v>ENGAGE 1055*811</v>
      </c>
      <c r="Q4393" s="71">
        <f t="shared" si="2171"/>
        <v>300</v>
      </c>
      <c r="R4393" s="102">
        <v>3690</v>
      </c>
      <c r="S4393" s="102">
        <f t="shared" si="2168"/>
        <v>1217700</v>
      </c>
      <c r="T4393" s="102">
        <f t="shared" si="2169"/>
        <v>1107000</v>
      </c>
      <c r="U4393" s="71" t="str">
        <f t="shared" si="2177"/>
        <v>O</v>
      </c>
      <c r="V4393" s="71"/>
      <c r="W4393" s="474">
        <f t="shared" si="2179"/>
        <v>738000</v>
      </c>
      <c r="X4393" s="71"/>
      <c r="Y4393" s="71"/>
    </row>
    <row r="4394" spans="1:25" ht="30" hidden="1" customHeight="1" x14ac:dyDescent="0.25">
      <c r="A4394" s="1145">
        <v>44469</v>
      </c>
      <c r="B4394" s="664" t="s">
        <v>1051</v>
      </c>
      <c r="C4394" s="71" t="s">
        <v>1650</v>
      </c>
      <c r="D4394" s="71">
        <v>1100</v>
      </c>
      <c r="E4394" s="102">
        <v>4400</v>
      </c>
      <c r="F4394" s="102">
        <f t="shared" si="2172"/>
        <v>5324000</v>
      </c>
      <c r="G4394" s="102">
        <f t="shared" si="2173"/>
        <v>4840000</v>
      </c>
      <c r="H4394" s="690" t="s">
        <v>142</v>
      </c>
      <c r="I4394" s="71" t="s">
        <v>2273</v>
      </c>
      <c r="J4394" s="53">
        <f t="shared" si="2174"/>
        <v>1947000</v>
      </c>
      <c r="K4394" s="63">
        <f t="shared" si="2164"/>
        <v>0.40227272727272728</v>
      </c>
      <c r="L4394" s="871" t="s">
        <v>3136</v>
      </c>
      <c r="M4394" s="468"/>
      <c r="N4394" s="1192">
        <f t="shared" si="2178"/>
        <v>44469</v>
      </c>
      <c r="O4394" s="71" t="s">
        <v>145</v>
      </c>
      <c r="P4394" s="164" t="str">
        <f t="shared" si="2176"/>
        <v>ENGAGE 968*631</v>
      </c>
      <c r="Q4394" s="71">
        <f t="shared" si="2171"/>
        <v>1100</v>
      </c>
      <c r="R4394" s="102">
        <v>2630</v>
      </c>
      <c r="S4394" s="102">
        <f t="shared" si="2168"/>
        <v>3182300.0000000005</v>
      </c>
      <c r="T4394" s="102">
        <f t="shared" si="2169"/>
        <v>2893000</v>
      </c>
      <c r="U4394" s="71" t="str">
        <f t="shared" si="2177"/>
        <v>O</v>
      </c>
      <c r="V4394" s="71"/>
      <c r="W4394" s="474">
        <f t="shared" si="2179"/>
        <v>1947000</v>
      </c>
      <c r="X4394" s="71"/>
      <c r="Y4394" s="71"/>
    </row>
    <row r="4395" spans="1:25" ht="30" hidden="1" customHeight="1" x14ac:dyDescent="0.25">
      <c r="A4395" s="1145">
        <v>44469</v>
      </c>
      <c r="B4395" s="664" t="s">
        <v>1051</v>
      </c>
      <c r="C4395" s="71" t="s">
        <v>2619</v>
      </c>
      <c r="D4395" s="71"/>
      <c r="E4395" s="102"/>
      <c r="F4395" s="102">
        <f t="shared" si="2172"/>
        <v>0</v>
      </c>
      <c r="G4395" s="102">
        <f t="shared" si="2173"/>
        <v>0</v>
      </c>
      <c r="H4395" s="690" t="s">
        <v>142</v>
      </c>
      <c r="I4395" s="71" t="s">
        <v>2273</v>
      </c>
      <c r="J4395" s="53">
        <f t="shared" si="2174"/>
        <v>0</v>
      </c>
      <c r="K4395" s="63" t="e">
        <f t="shared" si="2164"/>
        <v>#DIV/0!</v>
      </c>
      <c r="L4395" s="871" t="s">
        <v>3136</v>
      </c>
      <c r="M4395" s="468"/>
      <c r="N4395" s="1192">
        <f t="shared" si="2178"/>
        <v>44469</v>
      </c>
      <c r="O4395" s="71" t="s">
        <v>145</v>
      </c>
      <c r="P4395" s="164" t="str">
        <f t="shared" si="2176"/>
        <v>ENGAGE 1092*800</v>
      </c>
      <c r="Q4395" s="71">
        <f t="shared" si="2171"/>
        <v>0</v>
      </c>
      <c r="R4395" s="102">
        <v>5510</v>
      </c>
      <c r="S4395" s="102">
        <f t="shared" si="2168"/>
        <v>0</v>
      </c>
      <c r="T4395" s="102">
        <f t="shared" si="2169"/>
        <v>0</v>
      </c>
      <c r="U4395" s="71" t="str">
        <f t="shared" si="2177"/>
        <v>O</v>
      </c>
      <c r="V4395" s="71"/>
      <c r="W4395" s="474">
        <f t="shared" si="2179"/>
        <v>0</v>
      </c>
      <c r="X4395" s="71"/>
      <c r="Y4395" s="71"/>
    </row>
    <row r="4396" spans="1:25" ht="30" hidden="1" customHeight="1" x14ac:dyDescent="0.25">
      <c r="A4396" s="1145">
        <v>44469</v>
      </c>
      <c r="B4396" s="664" t="s">
        <v>1051</v>
      </c>
      <c r="C4396" s="71" t="s">
        <v>1386</v>
      </c>
      <c r="D4396" s="71">
        <v>35</v>
      </c>
      <c r="E4396" s="102">
        <v>54000</v>
      </c>
      <c r="F4396" s="102">
        <f t="shared" si="2172"/>
        <v>2079000.0000000002</v>
      </c>
      <c r="G4396" s="102">
        <f t="shared" si="2173"/>
        <v>1890000</v>
      </c>
      <c r="H4396" s="690" t="s">
        <v>142</v>
      </c>
      <c r="I4396" s="71" t="s">
        <v>2273</v>
      </c>
      <c r="J4396" s="53">
        <f t="shared" si="2174"/>
        <v>481250</v>
      </c>
      <c r="K4396" s="63">
        <f t="shared" si="2164"/>
        <v>0.25462962962962959</v>
      </c>
      <c r="L4396" s="871" t="s">
        <v>3136</v>
      </c>
      <c r="M4396" s="468"/>
      <c r="N4396" s="1192">
        <f t="shared" si="2178"/>
        <v>44469</v>
      </c>
      <c r="O4396" s="71" t="s">
        <v>145</v>
      </c>
      <c r="P4396" s="164" t="str">
        <f t="shared" si="2176"/>
        <v>THR200(20L)보충액</v>
      </c>
      <c r="Q4396" s="71">
        <f t="shared" si="2171"/>
        <v>35</v>
      </c>
      <c r="R4396" s="102">
        <v>40250</v>
      </c>
      <c r="S4396" s="102">
        <f t="shared" si="2168"/>
        <v>1549625.0000000002</v>
      </c>
      <c r="T4396" s="102">
        <f t="shared" si="2169"/>
        <v>1408750</v>
      </c>
      <c r="U4396" s="71" t="str">
        <f t="shared" si="2177"/>
        <v>O</v>
      </c>
      <c r="V4396" s="71"/>
      <c r="W4396" s="474">
        <f t="shared" si="2179"/>
        <v>481250</v>
      </c>
      <c r="X4396" s="71"/>
      <c r="Y4396" s="71"/>
    </row>
    <row r="4397" spans="1:25" ht="30" hidden="1" customHeight="1" x14ac:dyDescent="0.25">
      <c r="A4397" s="1145">
        <v>44469</v>
      </c>
      <c r="B4397" s="664" t="s">
        <v>1051</v>
      </c>
      <c r="C4397" s="71" t="s">
        <v>1387</v>
      </c>
      <c r="D4397" s="71">
        <v>5</v>
      </c>
      <c r="E4397" s="102">
        <v>54000</v>
      </c>
      <c r="F4397" s="102">
        <f t="shared" si="2172"/>
        <v>297000</v>
      </c>
      <c r="G4397" s="102">
        <f t="shared" si="2173"/>
        <v>270000</v>
      </c>
      <c r="H4397" s="690" t="s">
        <v>142</v>
      </c>
      <c r="I4397" s="71" t="s">
        <v>2273</v>
      </c>
      <c r="J4397" s="53">
        <f t="shared" si="2174"/>
        <v>68750</v>
      </c>
      <c r="K4397" s="63">
        <f t="shared" si="2164"/>
        <v>0.25462962962962965</v>
      </c>
      <c r="L4397" s="871" t="s">
        <v>3136</v>
      </c>
      <c r="M4397" s="468"/>
      <c r="N4397" s="1192">
        <f t="shared" si="2178"/>
        <v>44469</v>
      </c>
      <c r="O4397" s="71" t="s">
        <v>145</v>
      </c>
      <c r="P4397" s="164" t="str">
        <f t="shared" si="2176"/>
        <v>THD200(20L)현상액</v>
      </c>
      <c r="Q4397" s="71">
        <f t="shared" si="2171"/>
        <v>5</v>
      </c>
      <c r="R4397" s="102">
        <v>40250</v>
      </c>
      <c r="S4397" s="102">
        <f t="shared" si="2168"/>
        <v>221375.00000000003</v>
      </c>
      <c r="T4397" s="102">
        <f t="shared" si="2169"/>
        <v>201250</v>
      </c>
      <c r="U4397" s="71" t="str">
        <f t="shared" si="2177"/>
        <v>O</v>
      </c>
      <c r="V4397" s="71"/>
      <c r="W4397" s="474">
        <f t="shared" si="2179"/>
        <v>68750</v>
      </c>
      <c r="X4397" s="71"/>
      <c r="Y4397" s="71"/>
    </row>
    <row r="4398" spans="1:25" ht="30" hidden="1" customHeight="1" x14ac:dyDescent="0.25">
      <c r="A4398" s="1145">
        <v>44469</v>
      </c>
      <c r="B4398" s="664" t="s">
        <v>1061</v>
      </c>
      <c r="C4398" s="71" t="s">
        <v>616</v>
      </c>
      <c r="D4398" s="71"/>
      <c r="E4398" s="102">
        <v>5600</v>
      </c>
      <c r="F4398" s="102">
        <f t="shared" si="2172"/>
        <v>0</v>
      </c>
      <c r="G4398" s="102">
        <f t="shared" si="2173"/>
        <v>0</v>
      </c>
      <c r="H4398" s="690" t="s">
        <v>142</v>
      </c>
      <c r="I4398" s="71" t="s">
        <v>144</v>
      </c>
      <c r="J4398" s="53">
        <f t="shared" si="2174"/>
        <v>0</v>
      </c>
      <c r="K4398" s="63" t="e">
        <f t="shared" si="2164"/>
        <v>#DIV/0!</v>
      </c>
      <c r="L4398" s="871" t="s">
        <v>3136</v>
      </c>
      <c r="M4398" s="468"/>
      <c r="N4398" s="1192">
        <f t="shared" si="2178"/>
        <v>44469</v>
      </c>
      <c r="O4398" s="71" t="s">
        <v>147</v>
      </c>
      <c r="P4398" s="164" t="str">
        <f t="shared" si="2176"/>
        <v>프리미어(먹)</v>
      </c>
      <c r="Q4398" s="71">
        <f t="shared" si="2171"/>
        <v>0</v>
      </c>
      <c r="R4398" s="102">
        <v>5090</v>
      </c>
      <c r="S4398" s="102">
        <f t="shared" si="2168"/>
        <v>0</v>
      </c>
      <c r="T4398" s="102">
        <f t="shared" si="2169"/>
        <v>0</v>
      </c>
      <c r="U4398" s="71" t="str">
        <f t="shared" si="2177"/>
        <v>O</v>
      </c>
      <c r="V4398" s="71"/>
      <c r="W4398" s="474">
        <f t="shared" si="2179"/>
        <v>0</v>
      </c>
      <c r="X4398" s="71"/>
      <c r="Y4398" s="71"/>
    </row>
    <row r="4399" spans="1:25" ht="30" hidden="1" customHeight="1" x14ac:dyDescent="0.25">
      <c r="A4399" s="1145">
        <v>44469</v>
      </c>
      <c r="B4399" s="664" t="s">
        <v>1052</v>
      </c>
      <c r="C4399" s="71" t="s">
        <v>585</v>
      </c>
      <c r="D4399" s="71">
        <v>400</v>
      </c>
      <c r="E4399" s="102">
        <v>6000</v>
      </c>
      <c r="F4399" s="102">
        <f t="shared" si="2172"/>
        <v>2640000</v>
      </c>
      <c r="G4399" s="102">
        <f t="shared" si="2173"/>
        <v>2400000</v>
      </c>
      <c r="H4399" s="690" t="s">
        <v>142</v>
      </c>
      <c r="I4399" s="71" t="s">
        <v>144</v>
      </c>
      <c r="J4399" s="53">
        <f t="shared" si="2174"/>
        <v>220000</v>
      </c>
      <c r="K4399" s="63">
        <f t="shared" si="2164"/>
        <v>9.166666666666666E-2</v>
      </c>
      <c r="L4399" s="871" t="s">
        <v>3136</v>
      </c>
      <c r="M4399" s="468"/>
      <c r="N4399" s="1192">
        <f t="shared" si="2178"/>
        <v>44469</v>
      </c>
      <c r="O4399" s="71" t="s">
        <v>147</v>
      </c>
      <c r="P4399" s="164" t="str">
        <f t="shared" si="2176"/>
        <v>프리미어(적)</v>
      </c>
      <c r="Q4399" s="71">
        <f t="shared" si="2171"/>
        <v>400</v>
      </c>
      <c r="R4399" s="102">
        <v>5450</v>
      </c>
      <c r="S4399" s="102">
        <f t="shared" ref="S4399:S4406" si="2180">R4399*Q4399*1.1</f>
        <v>2398000</v>
      </c>
      <c r="T4399" s="102">
        <f t="shared" ref="T4399:T4406" si="2181">R4399*Q4399</f>
        <v>2180000</v>
      </c>
      <c r="U4399" s="71" t="str">
        <f t="shared" si="2177"/>
        <v>O</v>
      </c>
      <c r="V4399" s="71"/>
      <c r="W4399" s="474">
        <f t="shared" si="2179"/>
        <v>220000</v>
      </c>
      <c r="X4399" s="71"/>
      <c r="Y4399" s="71"/>
    </row>
    <row r="4400" spans="1:25" ht="30" hidden="1" customHeight="1" x14ac:dyDescent="0.25">
      <c r="A4400" s="1145">
        <v>44469</v>
      </c>
      <c r="B4400" s="664" t="s">
        <v>1061</v>
      </c>
      <c r="C4400" s="71" t="s">
        <v>586</v>
      </c>
      <c r="D4400" s="71">
        <v>800</v>
      </c>
      <c r="E4400" s="102">
        <v>5750</v>
      </c>
      <c r="F4400" s="102">
        <f t="shared" si="2172"/>
        <v>5060000</v>
      </c>
      <c r="G4400" s="102">
        <f t="shared" si="2173"/>
        <v>4600000</v>
      </c>
      <c r="H4400" s="690" t="s">
        <v>142</v>
      </c>
      <c r="I4400" s="71" t="s">
        <v>144</v>
      </c>
      <c r="J4400" s="53">
        <f t="shared" si="2174"/>
        <v>424000</v>
      </c>
      <c r="K4400" s="63">
        <f t="shared" ref="K4400:K4406" si="2182">(J4400/(F4400/11*10))</f>
        <v>9.2173913043478259E-2</v>
      </c>
      <c r="L4400" s="871" t="s">
        <v>3136</v>
      </c>
      <c r="M4400" s="468"/>
      <c r="N4400" s="1192">
        <f t="shared" si="2178"/>
        <v>44469</v>
      </c>
      <c r="O4400" s="71" t="s">
        <v>147</v>
      </c>
      <c r="P4400" s="164" t="str">
        <f t="shared" si="2176"/>
        <v>프리미어(황)</v>
      </c>
      <c r="Q4400" s="71">
        <f t="shared" si="2171"/>
        <v>800</v>
      </c>
      <c r="R4400" s="102">
        <v>5220</v>
      </c>
      <c r="S4400" s="102">
        <f t="shared" si="2180"/>
        <v>4593600</v>
      </c>
      <c r="T4400" s="102">
        <f t="shared" si="2181"/>
        <v>4176000</v>
      </c>
      <c r="U4400" s="71" t="str">
        <f t="shared" si="2177"/>
        <v>O</v>
      </c>
      <c r="V4400" s="71"/>
      <c r="W4400" s="474">
        <f t="shared" si="2179"/>
        <v>424000</v>
      </c>
      <c r="X4400" s="71"/>
      <c r="Y4400" s="71"/>
    </row>
    <row r="4401" spans="1:25" ht="30" hidden="1" customHeight="1" x14ac:dyDescent="0.25">
      <c r="A4401" s="1145">
        <v>44469</v>
      </c>
      <c r="B4401" s="664" t="s">
        <v>1061</v>
      </c>
      <c r="C4401" s="71" t="s">
        <v>587</v>
      </c>
      <c r="D4401" s="71">
        <v>600</v>
      </c>
      <c r="E4401" s="102">
        <v>7000</v>
      </c>
      <c r="F4401" s="102">
        <f t="shared" si="2172"/>
        <v>4620000</v>
      </c>
      <c r="G4401" s="102">
        <f t="shared" si="2173"/>
        <v>4200000</v>
      </c>
      <c r="H4401" s="690" t="s">
        <v>142</v>
      </c>
      <c r="I4401" s="71" t="s">
        <v>144</v>
      </c>
      <c r="J4401" s="53">
        <f t="shared" si="2174"/>
        <v>384000</v>
      </c>
      <c r="K4401" s="63">
        <f t="shared" si="2182"/>
        <v>9.1428571428571428E-2</v>
      </c>
      <c r="L4401" s="871" t="s">
        <v>3136</v>
      </c>
      <c r="M4401" s="468"/>
      <c r="N4401" s="1192">
        <f t="shared" si="2178"/>
        <v>44469</v>
      </c>
      <c r="O4401" s="71" t="s">
        <v>147</v>
      </c>
      <c r="P4401" s="164" t="str">
        <f t="shared" si="2176"/>
        <v>프리미어(청)</v>
      </c>
      <c r="Q4401" s="71">
        <f t="shared" si="2171"/>
        <v>600</v>
      </c>
      <c r="R4401" s="102">
        <v>6360</v>
      </c>
      <c r="S4401" s="102">
        <f t="shared" si="2180"/>
        <v>4197600</v>
      </c>
      <c r="T4401" s="102">
        <f t="shared" si="2181"/>
        <v>3816000</v>
      </c>
      <c r="U4401" s="71" t="str">
        <f t="shared" si="2177"/>
        <v>O</v>
      </c>
      <c r="V4401" s="71"/>
      <c r="W4401" s="474">
        <f t="shared" si="2179"/>
        <v>384000</v>
      </c>
      <c r="X4401" s="71"/>
      <c r="Y4401" s="71"/>
    </row>
    <row r="4402" spans="1:25" ht="30" hidden="1" customHeight="1" x14ac:dyDescent="0.25">
      <c r="A4402" s="1145">
        <v>44469</v>
      </c>
      <c r="B4402" s="664" t="s">
        <v>1052</v>
      </c>
      <c r="C4402" s="71" t="s">
        <v>1115</v>
      </c>
      <c r="D4402" s="71"/>
      <c r="E4402" s="102">
        <v>6200</v>
      </c>
      <c r="F4402" s="102">
        <f t="shared" si="2172"/>
        <v>0</v>
      </c>
      <c r="G4402" s="102">
        <f t="shared" si="2173"/>
        <v>0</v>
      </c>
      <c r="H4402" s="690" t="s">
        <v>142</v>
      </c>
      <c r="I4402" s="71" t="s">
        <v>144</v>
      </c>
      <c r="J4402" s="53">
        <f t="shared" si="2174"/>
        <v>0</v>
      </c>
      <c r="K4402" s="63" t="e">
        <f t="shared" si="2182"/>
        <v>#DIV/0!</v>
      </c>
      <c r="L4402" s="871" t="s">
        <v>3136</v>
      </c>
      <c r="M4402" s="1197"/>
      <c r="N4402" s="1192">
        <f t="shared" si="2178"/>
        <v>44469</v>
      </c>
      <c r="O4402" s="71" t="s">
        <v>2459</v>
      </c>
      <c r="P4402" s="164" t="str">
        <f t="shared" si="2176"/>
        <v>한특 잉크(적)</v>
      </c>
      <c r="Q4402" s="71">
        <f t="shared" si="2171"/>
        <v>0</v>
      </c>
      <c r="R4402" s="102">
        <v>5900</v>
      </c>
      <c r="S4402" s="102">
        <f t="shared" si="2180"/>
        <v>0</v>
      </c>
      <c r="T4402" s="102">
        <f t="shared" si="2181"/>
        <v>0</v>
      </c>
      <c r="U4402" s="71" t="str">
        <f t="shared" si="2177"/>
        <v>O</v>
      </c>
      <c r="V4402" s="918"/>
      <c r="W4402" s="474">
        <f t="shared" si="2179"/>
        <v>0</v>
      </c>
      <c r="X4402" s="71"/>
      <c r="Y4402" s="71"/>
    </row>
    <row r="4403" spans="1:25" ht="30" hidden="1" customHeight="1" x14ac:dyDescent="0.25">
      <c r="A4403" s="1145">
        <v>44469</v>
      </c>
      <c r="B4403" s="664" t="s">
        <v>1052</v>
      </c>
      <c r="C4403" s="71" t="s">
        <v>1116</v>
      </c>
      <c r="D4403" s="71"/>
      <c r="E4403" s="102">
        <v>6000</v>
      </c>
      <c r="F4403" s="102">
        <f t="shared" si="2172"/>
        <v>0</v>
      </c>
      <c r="G4403" s="102">
        <f t="shared" si="2173"/>
        <v>0</v>
      </c>
      <c r="H4403" s="690" t="s">
        <v>142</v>
      </c>
      <c r="I4403" s="71" t="s">
        <v>144</v>
      </c>
      <c r="J4403" s="53">
        <f t="shared" si="2174"/>
        <v>0</v>
      </c>
      <c r="K4403" s="63" t="e">
        <f t="shared" si="2182"/>
        <v>#DIV/0!</v>
      </c>
      <c r="L4403" s="871" t="s">
        <v>3136</v>
      </c>
      <c r="M4403" s="1197"/>
      <c r="N4403" s="1192">
        <f t="shared" si="2178"/>
        <v>44469</v>
      </c>
      <c r="O4403" s="71" t="s">
        <v>2459</v>
      </c>
      <c r="P4403" s="164" t="str">
        <f t="shared" si="2176"/>
        <v>한특 잉크(황)</v>
      </c>
      <c r="Q4403" s="71">
        <f t="shared" si="2171"/>
        <v>0</v>
      </c>
      <c r="R4403" s="102">
        <v>5500</v>
      </c>
      <c r="S4403" s="102">
        <f t="shared" si="2180"/>
        <v>0</v>
      </c>
      <c r="T4403" s="102">
        <f t="shared" si="2181"/>
        <v>0</v>
      </c>
      <c r="U4403" s="71" t="str">
        <f t="shared" si="2177"/>
        <v>O</v>
      </c>
      <c r="V4403" s="918"/>
      <c r="W4403" s="474">
        <f t="shared" si="2179"/>
        <v>0</v>
      </c>
      <c r="X4403" s="71"/>
      <c r="Y4403" s="71"/>
    </row>
    <row r="4404" spans="1:25" ht="30" hidden="1" customHeight="1" x14ac:dyDescent="0.25">
      <c r="A4404" s="1145">
        <v>44469</v>
      </c>
      <c r="B4404" s="664" t="s">
        <v>1052</v>
      </c>
      <c r="C4404" s="71" t="s">
        <v>1117</v>
      </c>
      <c r="D4404" s="71"/>
      <c r="E4404" s="102">
        <v>6500</v>
      </c>
      <c r="F4404" s="102">
        <f t="shared" si="2172"/>
        <v>0</v>
      </c>
      <c r="G4404" s="102">
        <f t="shared" si="2173"/>
        <v>0</v>
      </c>
      <c r="H4404" s="690" t="s">
        <v>142</v>
      </c>
      <c r="I4404" s="71" t="s">
        <v>144</v>
      </c>
      <c r="J4404" s="53">
        <f t="shared" si="2174"/>
        <v>0</v>
      </c>
      <c r="K4404" s="63" t="e">
        <f t="shared" si="2182"/>
        <v>#DIV/0!</v>
      </c>
      <c r="L4404" s="871" t="s">
        <v>3136</v>
      </c>
      <c r="M4404" s="1197"/>
      <c r="N4404" s="1192">
        <f t="shared" si="2178"/>
        <v>44469</v>
      </c>
      <c r="O4404" s="71" t="s">
        <v>2459</v>
      </c>
      <c r="P4404" s="164" t="str">
        <f t="shared" si="2176"/>
        <v>한특 잉크(청)</v>
      </c>
      <c r="Q4404" s="71">
        <f t="shared" si="2171"/>
        <v>0</v>
      </c>
      <c r="R4404" s="102">
        <v>5800</v>
      </c>
      <c r="S4404" s="102">
        <f t="shared" si="2180"/>
        <v>0</v>
      </c>
      <c r="T4404" s="102">
        <f t="shared" si="2181"/>
        <v>0</v>
      </c>
      <c r="U4404" s="71" t="str">
        <f t="shared" si="2177"/>
        <v>O</v>
      </c>
      <c r="V4404" s="918"/>
      <c r="W4404" s="474">
        <f t="shared" si="2179"/>
        <v>0</v>
      </c>
      <c r="X4404" s="71"/>
      <c r="Y4404" s="71"/>
    </row>
    <row r="4405" spans="1:25" ht="30" hidden="1" customHeight="1" x14ac:dyDescent="0.25">
      <c r="A4405" s="1145">
        <v>44469</v>
      </c>
      <c r="B4405" s="664" t="s">
        <v>1052</v>
      </c>
      <c r="C4405" s="71" t="s">
        <v>1118</v>
      </c>
      <c r="D4405" s="71">
        <v>150</v>
      </c>
      <c r="E4405" s="102">
        <v>5600</v>
      </c>
      <c r="F4405" s="102">
        <f t="shared" si="2172"/>
        <v>924000.00000000012</v>
      </c>
      <c r="G4405" s="102">
        <f t="shared" si="2173"/>
        <v>840000</v>
      </c>
      <c r="H4405" s="690" t="s">
        <v>142</v>
      </c>
      <c r="I4405" s="71" t="s">
        <v>144</v>
      </c>
      <c r="J4405" s="53">
        <f t="shared" si="2174"/>
        <v>90000</v>
      </c>
      <c r="K4405" s="63">
        <f t="shared" si="2182"/>
        <v>0.10714285714285712</v>
      </c>
      <c r="L4405" s="871" t="s">
        <v>3136</v>
      </c>
      <c r="M4405" s="1197"/>
      <c r="N4405" s="1192">
        <f t="shared" si="2178"/>
        <v>44469</v>
      </c>
      <c r="O4405" s="71" t="s">
        <v>2459</v>
      </c>
      <c r="P4405" s="164" t="str">
        <f t="shared" si="2176"/>
        <v>한특 잉크(먹)</v>
      </c>
      <c r="Q4405" s="71">
        <f t="shared" si="2171"/>
        <v>150</v>
      </c>
      <c r="R4405" s="102">
        <v>5000</v>
      </c>
      <c r="S4405" s="102">
        <f t="shared" si="2180"/>
        <v>825000.00000000012</v>
      </c>
      <c r="T4405" s="102">
        <f t="shared" si="2181"/>
        <v>750000</v>
      </c>
      <c r="U4405" s="71" t="str">
        <f t="shared" si="2177"/>
        <v>O</v>
      </c>
      <c r="V4405" s="918"/>
      <c r="W4405" s="474">
        <f t="shared" si="2179"/>
        <v>90000</v>
      </c>
      <c r="X4405" s="71"/>
      <c r="Y4405" s="71"/>
    </row>
    <row r="4406" spans="1:25" ht="30" hidden="1" customHeight="1" x14ac:dyDescent="0.25">
      <c r="A4406" s="1145">
        <v>44469</v>
      </c>
      <c r="B4406" s="664" t="s">
        <v>575</v>
      </c>
      <c r="C4406" s="71" t="s">
        <v>1367</v>
      </c>
      <c r="D4406" s="71">
        <v>8</v>
      </c>
      <c r="E4406" s="102">
        <v>218000</v>
      </c>
      <c r="F4406" s="102">
        <f t="shared" si="2172"/>
        <v>1918400.0000000002</v>
      </c>
      <c r="G4406" s="102">
        <f t="shared" si="2173"/>
        <v>1744000</v>
      </c>
      <c r="H4406" s="690" t="s">
        <v>173</v>
      </c>
      <c r="I4406" s="71" t="s">
        <v>109</v>
      </c>
      <c r="J4406" s="53">
        <f t="shared" si="2174"/>
        <v>544000</v>
      </c>
      <c r="K4406" s="63">
        <f t="shared" si="2182"/>
        <v>0.31192660550458712</v>
      </c>
      <c r="L4406" s="871" t="s">
        <v>3136</v>
      </c>
      <c r="M4406" s="468"/>
      <c r="N4406" s="1192">
        <f t="shared" si="2178"/>
        <v>44469</v>
      </c>
      <c r="O4406" s="71" t="s">
        <v>1443</v>
      </c>
      <c r="P4406" s="164" t="str">
        <f>(C4406)</f>
        <v>M600 윤전 블랑켓 995*742</v>
      </c>
      <c r="Q4406" s="71">
        <f>D4406</f>
        <v>8</v>
      </c>
      <c r="R4406" s="102">
        <v>150000</v>
      </c>
      <c r="S4406" s="102">
        <f t="shared" si="2180"/>
        <v>1320000</v>
      </c>
      <c r="T4406" s="102">
        <f t="shared" si="2181"/>
        <v>1200000</v>
      </c>
      <c r="U4406" s="71" t="str">
        <f t="shared" si="2177"/>
        <v>X</v>
      </c>
      <c r="V4406" s="71"/>
      <c r="W4406" s="474"/>
      <c r="X4406" s="71"/>
      <c r="Y4406" s="71"/>
    </row>
    <row r="4407" spans="1:25" s="978" customFormat="1" ht="45" hidden="1" customHeight="1" x14ac:dyDescent="0.25">
      <c r="A4407" s="982" t="s">
        <v>3132</v>
      </c>
      <c r="B4407" s="976" t="s">
        <v>544</v>
      </c>
      <c r="C4407" s="453"/>
      <c r="D4407" s="453"/>
      <c r="E4407" s="454"/>
      <c r="F4407" s="454"/>
      <c r="G4407" s="454"/>
      <c r="H4407" s="455"/>
      <c r="I4407" s="453"/>
      <c r="J4407" s="417"/>
      <c r="K4407" s="418"/>
      <c r="L4407" s="983" t="s">
        <v>3133</v>
      </c>
      <c r="M4407" s="643"/>
      <c r="N4407" s="724" t="str">
        <f>A4407</f>
        <v>2021,10</v>
      </c>
      <c r="O4407" s="453" t="s">
        <v>154</v>
      </c>
      <c r="P4407" s="728"/>
      <c r="Q4407" s="420"/>
      <c r="R4407" s="420"/>
      <c r="S4407" s="417"/>
      <c r="T4407" s="417"/>
      <c r="U4407" s="421"/>
      <c r="V4407" s="421"/>
      <c r="W4407" s="479">
        <f>(G4407-T4407)</f>
        <v>0</v>
      </c>
      <c r="X4407" s="421"/>
      <c r="Y4407" s="421"/>
    </row>
    <row r="4408" spans="1:25" ht="30" hidden="1" customHeight="1" x14ac:dyDescent="0.25">
      <c r="A4408" s="1145">
        <v>44426</v>
      </c>
      <c r="B4408" s="664" t="s">
        <v>2155</v>
      </c>
      <c r="C4408" s="71" t="s">
        <v>920</v>
      </c>
      <c r="D4408" s="71">
        <v>3</v>
      </c>
      <c r="E4408" s="102">
        <v>260000</v>
      </c>
      <c r="F4408" s="102">
        <f t="shared" ref="F4408:F4437" si="2183">(E4408*D4408)*1.1</f>
        <v>858000.00000000012</v>
      </c>
      <c r="G4408" s="102">
        <f t="shared" ref="G4408:G4437" si="2184">(E4408*D4408)</f>
        <v>780000</v>
      </c>
      <c r="H4408" s="690" t="s">
        <v>1431</v>
      </c>
      <c r="I4408" s="71" t="s">
        <v>1431</v>
      </c>
      <c r="J4408" s="53">
        <f t="shared" ref="J4408:J4449" si="2185">G4408-T4408</f>
        <v>332523</v>
      </c>
      <c r="K4408" s="63">
        <f t="shared" ref="K4408:K4413" si="2186">(J4408/(F4408/11*10))</f>
        <v>0.42631153846153841</v>
      </c>
      <c r="L4408" s="871" t="s">
        <v>3133</v>
      </c>
      <c r="M4408" s="468"/>
      <c r="N4408" s="1192">
        <f>A4408</f>
        <v>44426</v>
      </c>
      <c r="O4408" s="71" t="s">
        <v>1431</v>
      </c>
      <c r="P4408" s="164" t="str">
        <f>(C4408)</f>
        <v>에어 실린더</v>
      </c>
      <c r="Q4408" s="71">
        <f>D4408</f>
        <v>3</v>
      </c>
      <c r="R4408" s="102">
        <v>149159</v>
      </c>
      <c r="S4408" s="102">
        <f>R4408*Q4408*1.1</f>
        <v>492224.7</v>
      </c>
      <c r="T4408" s="102">
        <f>R4408*Q4408</f>
        <v>447477</v>
      </c>
      <c r="U4408" s="71"/>
      <c r="V4408" s="71"/>
      <c r="W4408" s="474"/>
      <c r="X4408" s="71"/>
      <c r="Y4408" s="71"/>
    </row>
    <row r="4409" spans="1:25" s="209" customFormat="1" ht="30" hidden="1" customHeight="1" x14ac:dyDescent="0.25">
      <c r="A4409" s="1145">
        <v>44463</v>
      </c>
      <c r="B4409" s="664" t="s">
        <v>442</v>
      </c>
      <c r="C4409" s="71" t="s">
        <v>138</v>
      </c>
      <c r="D4409" s="71">
        <v>25</v>
      </c>
      <c r="E4409" s="102">
        <v>62500</v>
      </c>
      <c r="F4409" s="102">
        <f t="shared" si="2183"/>
        <v>1718750.0000000002</v>
      </c>
      <c r="G4409" s="102">
        <f t="shared" si="2184"/>
        <v>1562500</v>
      </c>
      <c r="H4409" s="690" t="s">
        <v>173</v>
      </c>
      <c r="I4409" s="71" t="s">
        <v>108</v>
      </c>
      <c r="J4409" s="53">
        <f t="shared" si="2185"/>
        <v>432500</v>
      </c>
      <c r="K4409" s="63">
        <f t="shared" si="2186"/>
        <v>0.27679999999999993</v>
      </c>
      <c r="L4409" s="871" t="s">
        <v>3133</v>
      </c>
      <c r="M4409" s="468" t="s">
        <v>3080</v>
      </c>
      <c r="N4409" s="1192">
        <f>A4409</f>
        <v>44463</v>
      </c>
      <c r="O4409" s="71" t="s">
        <v>150</v>
      </c>
      <c r="P4409" s="164" t="str">
        <f>(C4409)</f>
        <v>매엽용 세척제(Wash 562)</v>
      </c>
      <c r="Q4409" s="71">
        <f>D4409</f>
        <v>25</v>
      </c>
      <c r="R4409" s="102">
        <v>40800</v>
      </c>
      <c r="S4409" s="102">
        <f>R4409*Q4409*1.1+121000</f>
        <v>1243000</v>
      </c>
      <c r="T4409" s="102">
        <f>R4409*Q4409+110000</f>
        <v>1130000</v>
      </c>
      <c r="U4409" s="71" t="str">
        <f>IF(J4409=W4409,"O", "X")</f>
        <v>X</v>
      </c>
      <c r="V4409" s="71"/>
      <c r="W4409" s="474">
        <v>396000</v>
      </c>
      <c r="X4409" s="71"/>
      <c r="Y4409" s="71"/>
    </row>
    <row r="4410" spans="1:25" ht="30" hidden="1" customHeight="1" x14ac:dyDescent="0.25">
      <c r="A4410" s="1145">
        <v>44463</v>
      </c>
      <c r="B4410" s="664" t="s">
        <v>690</v>
      </c>
      <c r="C4410" s="71" t="s">
        <v>217</v>
      </c>
      <c r="D4410" s="71">
        <v>2</v>
      </c>
      <c r="E4410" s="102">
        <v>155500</v>
      </c>
      <c r="F4410" s="102">
        <f t="shared" si="2183"/>
        <v>342100</v>
      </c>
      <c r="G4410" s="102">
        <f t="shared" si="2184"/>
        <v>311000</v>
      </c>
      <c r="H4410" s="690" t="s">
        <v>173</v>
      </c>
      <c r="I4410" s="71" t="s">
        <v>120</v>
      </c>
      <c r="J4410" s="53">
        <f t="shared" si="2185"/>
        <v>151000</v>
      </c>
      <c r="K4410" s="63">
        <f t="shared" si="2186"/>
        <v>0.48553054662379419</v>
      </c>
      <c r="L4410" s="871" t="s">
        <v>3133</v>
      </c>
      <c r="M4410" s="468"/>
      <c r="N4410" s="1192">
        <f>A4410</f>
        <v>44463</v>
      </c>
      <c r="O4410" s="71" t="s">
        <v>150</v>
      </c>
      <c r="P4410" s="164" t="str">
        <f>(C4410)</f>
        <v>Fount 511</v>
      </c>
      <c r="Q4410" s="71">
        <f>D4410</f>
        <v>2</v>
      </c>
      <c r="R4410" s="102">
        <v>80000</v>
      </c>
      <c r="S4410" s="102">
        <f t="shared" ref="S4410:S4441" si="2187">R4410*Q4410*1.1</f>
        <v>176000</v>
      </c>
      <c r="T4410" s="102">
        <f t="shared" ref="T4410:T4441" si="2188">R4410*Q4410</f>
        <v>160000</v>
      </c>
      <c r="U4410" s="71" t="str">
        <f>IF(J4410=W4410,"O", "X")</f>
        <v>X</v>
      </c>
      <c r="V4410" s="71"/>
      <c r="W4410" s="474">
        <v>130000</v>
      </c>
      <c r="X4410" s="71"/>
      <c r="Y4410" s="71"/>
    </row>
    <row r="4411" spans="1:25" ht="30" hidden="1" customHeight="1" x14ac:dyDescent="0.2">
      <c r="A4411" s="1145">
        <v>44466</v>
      </c>
      <c r="B4411" s="664" t="s">
        <v>548</v>
      </c>
      <c r="C4411" s="71" t="s">
        <v>107</v>
      </c>
      <c r="D4411" s="71">
        <v>10</v>
      </c>
      <c r="E4411" s="102">
        <v>90000</v>
      </c>
      <c r="F4411" s="163">
        <f t="shared" si="2183"/>
        <v>990000.00000000012</v>
      </c>
      <c r="G4411" s="102">
        <f t="shared" si="2184"/>
        <v>900000</v>
      </c>
      <c r="H4411" s="165" t="s">
        <v>172</v>
      </c>
      <c r="I4411" s="71" t="s">
        <v>109</v>
      </c>
      <c r="J4411" s="53">
        <f t="shared" si="2185"/>
        <v>95000</v>
      </c>
      <c r="K4411" s="63">
        <f t="shared" si="2186"/>
        <v>0.10555555555555554</v>
      </c>
      <c r="L4411" s="871" t="s">
        <v>3133</v>
      </c>
      <c r="M4411" s="468"/>
      <c r="N4411" s="1192">
        <f t="shared" ref="N4411:N4474" si="2189">A4411</f>
        <v>44466</v>
      </c>
      <c r="O4411" s="71" t="s">
        <v>1431</v>
      </c>
      <c r="P4411" s="164" t="str">
        <f>(C4411)</f>
        <v>Blanket(1050*840)</v>
      </c>
      <c r="Q4411" s="71">
        <f>D4411</f>
        <v>10</v>
      </c>
      <c r="R4411" s="102">
        <v>80500</v>
      </c>
      <c r="S4411" s="102">
        <f t="shared" si="2187"/>
        <v>885500.00000000012</v>
      </c>
      <c r="T4411" s="102">
        <f t="shared" si="2188"/>
        <v>805000</v>
      </c>
      <c r="U4411" s="71" t="str">
        <f>IF(J4411=W4411,"O", "X")</f>
        <v>O</v>
      </c>
      <c r="V4411" s="71"/>
      <c r="W4411" s="474">
        <f>(G4411-T4411)</f>
        <v>95000</v>
      </c>
      <c r="X4411" s="71"/>
      <c r="Y4411" s="71"/>
    </row>
    <row r="4412" spans="1:25" ht="30" hidden="1" customHeight="1" x14ac:dyDescent="0.25">
      <c r="A4412" s="1145">
        <v>44467</v>
      </c>
      <c r="B4412" s="664" t="s">
        <v>690</v>
      </c>
      <c r="C4412" s="71" t="s">
        <v>3158</v>
      </c>
      <c r="D4412" s="71">
        <v>1</v>
      </c>
      <c r="E4412" s="102">
        <v>520000</v>
      </c>
      <c r="F4412" s="102">
        <f t="shared" si="2183"/>
        <v>572000</v>
      </c>
      <c r="G4412" s="102">
        <f t="shared" si="2184"/>
        <v>520000</v>
      </c>
      <c r="H4412" s="690" t="s">
        <v>173</v>
      </c>
      <c r="I4412" s="71" t="s">
        <v>2231</v>
      </c>
      <c r="J4412" s="53">
        <f t="shared" si="2185"/>
        <v>48000</v>
      </c>
      <c r="K4412" s="63">
        <f t="shared" si="2186"/>
        <v>9.2307692307692313E-2</v>
      </c>
      <c r="L4412" s="871" t="s">
        <v>3133</v>
      </c>
      <c r="M4412" s="468"/>
      <c r="N4412" s="1192">
        <f t="shared" si="2189"/>
        <v>44467</v>
      </c>
      <c r="O4412" s="71" t="s">
        <v>145</v>
      </c>
      <c r="P4412" s="164" t="str">
        <f t="shared" ref="P4412:P4475" si="2190">(C4412)</f>
        <v>CTP 수리 서비스 및 부품</v>
      </c>
      <c r="Q4412" s="71">
        <f t="shared" ref="Q4412:Q4421" si="2191">D4412</f>
        <v>1</v>
      </c>
      <c r="R4412" s="102">
        <v>472000</v>
      </c>
      <c r="S4412" s="102">
        <f t="shared" si="2187"/>
        <v>519200.00000000006</v>
      </c>
      <c r="T4412" s="102">
        <f t="shared" si="2188"/>
        <v>472000</v>
      </c>
      <c r="U4412" s="71"/>
      <c r="V4412" s="71"/>
      <c r="W4412" s="474"/>
      <c r="X4412" s="71"/>
      <c r="Y4412" s="71"/>
    </row>
    <row r="4413" spans="1:25" ht="30" hidden="1" customHeight="1" x14ac:dyDescent="0.25">
      <c r="A4413" s="1145">
        <v>44468</v>
      </c>
      <c r="B4413" s="664" t="s">
        <v>546</v>
      </c>
      <c r="C4413" s="71" t="s">
        <v>3120</v>
      </c>
      <c r="D4413" s="71">
        <v>5</v>
      </c>
      <c r="E4413" s="102">
        <v>70000</v>
      </c>
      <c r="F4413" s="102">
        <f t="shared" si="2183"/>
        <v>385000.00000000006</v>
      </c>
      <c r="G4413" s="102">
        <f t="shared" si="2184"/>
        <v>350000</v>
      </c>
      <c r="H4413" s="690" t="s">
        <v>1431</v>
      </c>
      <c r="I4413" s="690" t="s">
        <v>1431</v>
      </c>
      <c r="J4413" s="53">
        <f t="shared" si="2185"/>
        <v>215260.00857758184</v>
      </c>
      <c r="K4413" s="63">
        <f t="shared" si="2186"/>
        <v>0.61502859593594805</v>
      </c>
      <c r="L4413" s="871" t="s">
        <v>3133</v>
      </c>
      <c r="M4413" s="468"/>
      <c r="N4413" s="1192">
        <f t="shared" si="2189"/>
        <v>44468</v>
      </c>
      <c r="O4413" s="71" t="s">
        <v>1431</v>
      </c>
      <c r="P4413" s="164" t="str">
        <f t="shared" si="2190"/>
        <v>Perforating knife</v>
      </c>
      <c r="Q4413" s="71">
        <f t="shared" si="2191"/>
        <v>5</v>
      </c>
      <c r="R4413" s="102">
        <v>26947.998284483634</v>
      </c>
      <c r="S4413" s="102">
        <f t="shared" si="2187"/>
        <v>148213.99056465999</v>
      </c>
      <c r="T4413" s="102">
        <f t="shared" si="2188"/>
        <v>134739.99142241816</v>
      </c>
      <c r="U4413" s="71"/>
      <c r="V4413" s="71"/>
      <c r="W4413" s="474"/>
      <c r="X4413" s="71"/>
      <c r="Y4413" s="71"/>
    </row>
    <row r="4414" spans="1:25" ht="30" hidden="1" customHeight="1" x14ac:dyDescent="0.25">
      <c r="A4414" s="1145">
        <v>44468</v>
      </c>
      <c r="B4414" s="664" t="s">
        <v>546</v>
      </c>
      <c r="C4414" s="71" t="s">
        <v>3125</v>
      </c>
      <c r="D4414" s="71">
        <v>5</v>
      </c>
      <c r="E4414" s="102">
        <v>60000</v>
      </c>
      <c r="F4414" s="102">
        <f t="shared" si="2183"/>
        <v>330000</v>
      </c>
      <c r="G4414" s="102">
        <f t="shared" si="2184"/>
        <v>300000</v>
      </c>
      <c r="H4414" s="690" t="s">
        <v>1431</v>
      </c>
      <c r="I4414" s="690" t="s">
        <v>1431</v>
      </c>
      <c r="J4414" s="53">
        <f t="shared" si="2185"/>
        <v>224413.02838551055</v>
      </c>
      <c r="K4414" s="63">
        <f t="shared" ref="K4414:K4468" si="2192">(J4414/(F4414/11*10))</f>
        <v>0.74804342795170187</v>
      </c>
      <c r="L4414" s="871" t="s">
        <v>3133</v>
      </c>
      <c r="M4414" s="468"/>
      <c r="N4414" s="1192">
        <f t="shared" si="2189"/>
        <v>44468</v>
      </c>
      <c r="O4414" s="71" t="s">
        <v>1431</v>
      </c>
      <c r="P4414" s="164" t="str">
        <f t="shared" si="2190"/>
        <v>Tucker blade(16.20423-0526)</v>
      </c>
      <c r="Q4414" s="71">
        <f t="shared" si="2191"/>
        <v>5</v>
      </c>
      <c r="R4414" s="102">
        <v>15117.394322897893</v>
      </c>
      <c r="S4414" s="102">
        <f t="shared" si="2187"/>
        <v>83145.668775938422</v>
      </c>
      <c r="T4414" s="102">
        <f t="shared" si="2188"/>
        <v>75586.971614489463</v>
      </c>
      <c r="U4414" s="71"/>
      <c r="V4414" s="71"/>
      <c r="W4414" s="474"/>
      <c r="X4414" s="71"/>
      <c r="Y4414" s="71"/>
    </row>
    <row r="4415" spans="1:25" ht="30" hidden="1" customHeight="1" x14ac:dyDescent="0.25">
      <c r="A4415" s="1145">
        <v>44468</v>
      </c>
      <c r="B4415" s="664" t="s">
        <v>546</v>
      </c>
      <c r="C4415" s="71" t="s">
        <v>3121</v>
      </c>
      <c r="D4415" s="71">
        <v>5</v>
      </c>
      <c r="E4415" s="102">
        <v>90000</v>
      </c>
      <c r="F4415" s="102">
        <f t="shared" si="2183"/>
        <v>495000.00000000006</v>
      </c>
      <c r="G4415" s="102">
        <f t="shared" si="2184"/>
        <v>450000</v>
      </c>
      <c r="H4415" s="690" t="s">
        <v>1431</v>
      </c>
      <c r="I4415" s="690" t="s">
        <v>1431</v>
      </c>
      <c r="J4415" s="53">
        <f t="shared" si="2185"/>
        <v>268720.16186488455</v>
      </c>
      <c r="K4415" s="63">
        <f t="shared" si="2192"/>
        <v>0.59715591525529887</v>
      </c>
      <c r="L4415" s="871" t="s">
        <v>3133</v>
      </c>
      <c r="M4415" s="468"/>
      <c r="N4415" s="1192">
        <f t="shared" si="2189"/>
        <v>44468</v>
      </c>
      <c r="O4415" s="71" t="s">
        <v>1431</v>
      </c>
      <c r="P4415" s="164" t="str">
        <f t="shared" si="2190"/>
        <v>Cutting knife</v>
      </c>
      <c r="Q4415" s="71">
        <f t="shared" si="2191"/>
        <v>5</v>
      </c>
      <c r="R4415" s="102">
        <v>36255.967627023085</v>
      </c>
      <c r="S4415" s="102">
        <f t="shared" si="2187"/>
        <v>199407.82194862698</v>
      </c>
      <c r="T4415" s="102">
        <f t="shared" si="2188"/>
        <v>181279.83813511542</v>
      </c>
      <c r="U4415" s="71"/>
      <c r="V4415" s="71"/>
      <c r="W4415" s="474"/>
      <c r="X4415" s="71"/>
      <c r="Y4415" s="71"/>
    </row>
    <row r="4416" spans="1:25" ht="30" hidden="1" customHeight="1" x14ac:dyDescent="0.25">
      <c r="A4416" s="1145">
        <v>44468</v>
      </c>
      <c r="B4416" s="664" t="s">
        <v>546</v>
      </c>
      <c r="C4416" s="71" t="s">
        <v>3126</v>
      </c>
      <c r="D4416" s="71">
        <v>2</v>
      </c>
      <c r="E4416" s="102">
        <v>25000</v>
      </c>
      <c r="F4416" s="102">
        <f t="shared" si="2183"/>
        <v>55000.000000000007</v>
      </c>
      <c r="G4416" s="102">
        <f t="shared" si="2184"/>
        <v>50000</v>
      </c>
      <c r="H4416" s="690" t="s">
        <v>1431</v>
      </c>
      <c r="I4416" s="690" t="s">
        <v>1431</v>
      </c>
      <c r="J4416" s="53">
        <f t="shared" si="2185"/>
        <v>6636.4633003355266</v>
      </c>
      <c r="K4416" s="63">
        <f t="shared" si="2192"/>
        <v>0.13272926600671051</v>
      </c>
      <c r="L4416" s="871" t="s">
        <v>3133</v>
      </c>
      <c r="M4416" s="468"/>
      <c r="N4416" s="1192">
        <f t="shared" si="2189"/>
        <v>44468</v>
      </c>
      <c r="O4416" s="71" t="s">
        <v>1431</v>
      </c>
      <c r="P4416" s="164" t="str">
        <f t="shared" si="2190"/>
        <v>Tucker blade(16.31306-0017)</v>
      </c>
      <c r="Q4416" s="71">
        <f t="shared" si="2191"/>
        <v>2</v>
      </c>
      <c r="R4416" s="102">
        <v>21681.768349832237</v>
      </c>
      <c r="S4416" s="102">
        <f t="shared" si="2187"/>
        <v>47699.890369630928</v>
      </c>
      <c r="T4416" s="102">
        <f t="shared" si="2188"/>
        <v>43363.536699664473</v>
      </c>
      <c r="U4416" s="71"/>
      <c r="V4416" s="71"/>
      <c r="W4416" s="474"/>
      <c r="X4416" s="71"/>
      <c r="Y4416" s="71"/>
    </row>
    <row r="4417" spans="1:25" ht="30" hidden="1" customHeight="1" x14ac:dyDescent="0.25">
      <c r="A4417" s="1145">
        <v>44468</v>
      </c>
      <c r="B4417" s="664" t="s">
        <v>546</v>
      </c>
      <c r="C4417" s="71" t="s">
        <v>3122</v>
      </c>
      <c r="D4417" s="71">
        <v>4</v>
      </c>
      <c r="E4417" s="102">
        <v>75000</v>
      </c>
      <c r="F4417" s="102">
        <f t="shared" si="2183"/>
        <v>330000</v>
      </c>
      <c r="G4417" s="102">
        <f t="shared" si="2184"/>
        <v>300000</v>
      </c>
      <c r="H4417" s="690" t="s">
        <v>1431</v>
      </c>
      <c r="I4417" s="690" t="s">
        <v>1431</v>
      </c>
      <c r="J4417" s="53">
        <f t="shared" si="2185"/>
        <v>227046.14335283625</v>
      </c>
      <c r="K4417" s="63">
        <f t="shared" si="2192"/>
        <v>0.7568204778427875</v>
      </c>
      <c r="L4417" s="871" t="s">
        <v>3133</v>
      </c>
      <c r="M4417" s="468"/>
      <c r="N4417" s="1192">
        <f t="shared" si="2189"/>
        <v>44468</v>
      </c>
      <c r="O4417" s="71" t="s">
        <v>1431</v>
      </c>
      <c r="P4417" s="164" t="str">
        <f t="shared" si="2190"/>
        <v>Cut-off bar</v>
      </c>
      <c r="Q4417" s="71">
        <f t="shared" si="2191"/>
        <v>4</v>
      </c>
      <c r="R4417" s="102">
        <v>18238.46416179094</v>
      </c>
      <c r="S4417" s="102">
        <f t="shared" si="2187"/>
        <v>80249.242311880138</v>
      </c>
      <c r="T4417" s="102">
        <f t="shared" si="2188"/>
        <v>72953.85664716376</v>
      </c>
      <c r="U4417" s="71"/>
      <c r="V4417" s="71"/>
      <c r="W4417" s="474"/>
      <c r="X4417" s="71"/>
      <c r="Y4417" s="71"/>
    </row>
    <row r="4418" spans="1:25" ht="30" hidden="1" customHeight="1" x14ac:dyDescent="0.25">
      <c r="A4418" s="1145">
        <v>44468</v>
      </c>
      <c r="B4418" s="664" t="s">
        <v>546</v>
      </c>
      <c r="C4418" s="71" t="s">
        <v>3123</v>
      </c>
      <c r="D4418" s="71">
        <v>6</v>
      </c>
      <c r="E4418" s="102">
        <v>70000</v>
      </c>
      <c r="F4418" s="102">
        <f t="shared" si="2183"/>
        <v>462000.00000000006</v>
      </c>
      <c r="G4418" s="102">
        <f t="shared" si="2184"/>
        <v>420000</v>
      </c>
      <c r="H4418" s="690" t="s">
        <v>1431</v>
      </c>
      <c r="I4418" s="690" t="s">
        <v>1431</v>
      </c>
      <c r="J4418" s="53">
        <f t="shared" si="2185"/>
        <v>327472.70831600256</v>
      </c>
      <c r="K4418" s="63">
        <f t="shared" si="2192"/>
        <v>0.77969692456191075</v>
      </c>
      <c r="L4418" s="871" t="s">
        <v>3133</v>
      </c>
      <c r="M4418" s="468"/>
      <c r="N4418" s="1192">
        <f t="shared" si="2189"/>
        <v>44468</v>
      </c>
      <c r="O4418" s="71" t="s">
        <v>1431</v>
      </c>
      <c r="P4418" s="164" t="str">
        <f t="shared" si="2190"/>
        <v>Formed vulkollan bar</v>
      </c>
      <c r="Q4418" s="71">
        <f t="shared" si="2191"/>
        <v>6</v>
      </c>
      <c r="R4418" s="102">
        <v>15421.215280666242</v>
      </c>
      <c r="S4418" s="102">
        <f t="shared" si="2187"/>
        <v>101780.0208523972</v>
      </c>
      <c r="T4418" s="102">
        <f t="shared" si="2188"/>
        <v>92527.29168399745</v>
      </c>
      <c r="U4418" s="71"/>
      <c r="V4418" s="71"/>
      <c r="W4418" s="474"/>
      <c r="X4418" s="71"/>
      <c r="Y4418" s="71"/>
    </row>
    <row r="4419" spans="1:25" ht="30" hidden="1" customHeight="1" x14ac:dyDescent="0.25">
      <c r="A4419" s="1145">
        <v>44468</v>
      </c>
      <c r="B4419" s="664" t="s">
        <v>546</v>
      </c>
      <c r="C4419" s="71" t="s">
        <v>3124</v>
      </c>
      <c r="D4419" s="71">
        <v>12</v>
      </c>
      <c r="E4419" s="102">
        <v>75000</v>
      </c>
      <c r="F4419" s="102">
        <f t="shared" si="2183"/>
        <v>990000.00000000012</v>
      </c>
      <c r="G4419" s="102">
        <f t="shared" si="2184"/>
        <v>900000</v>
      </c>
      <c r="H4419" s="690" t="s">
        <v>1431</v>
      </c>
      <c r="I4419" s="690" t="s">
        <v>1431</v>
      </c>
      <c r="J4419" s="53">
        <f t="shared" si="2185"/>
        <v>431342.36259878543</v>
      </c>
      <c r="K4419" s="63">
        <f t="shared" si="2192"/>
        <v>0.47926929177642819</v>
      </c>
      <c r="L4419" s="871" t="s">
        <v>3133</v>
      </c>
      <c r="M4419" s="468"/>
      <c r="N4419" s="1192">
        <f t="shared" si="2189"/>
        <v>44468</v>
      </c>
      <c r="O4419" s="71" t="s">
        <v>1431</v>
      </c>
      <c r="P4419" s="164" t="str">
        <f t="shared" si="2190"/>
        <v>Slow-down finger blue</v>
      </c>
      <c r="Q4419" s="71">
        <f t="shared" si="2191"/>
        <v>12</v>
      </c>
      <c r="R4419" s="102">
        <v>39054.803116767878</v>
      </c>
      <c r="S4419" s="102">
        <f t="shared" si="2187"/>
        <v>515523.40114133607</v>
      </c>
      <c r="T4419" s="102">
        <f t="shared" si="2188"/>
        <v>468657.63740121457</v>
      </c>
      <c r="U4419" s="71"/>
      <c r="V4419" s="71"/>
      <c r="W4419" s="474"/>
      <c r="X4419" s="71"/>
      <c r="Y4419" s="71"/>
    </row>
    <row r="4420" spans="1:25" ht="30" hidden="1" customHeight="1" x14ac:dyDescent="0.25">
      <c r="A4420" s="1145">
        <v>44468</v>
      </c>
      <c r="B4420" s="664" t="s">
        <v>546</v>
      </c>
      <c r="C4420" s="71" t="s">
        <v>114</v>
      </c>
      <c r="D4420" s="71">
        <v>50</v>
      </c>
      <c r="E4420" s="102">
        <v>18000</v>
      </c>
      <c r="F4420" s="102">
        <f t="shared" si="2183"/>
        <v>990000.00000000012</v>
      </c>
      <c r="G4420" s="102">
        <f t="shared" si="2184"/>
        <v>900000</v>
      </c>
      <c r="H4420" s="690" t="s">
        <v>1431</v>
      </c>
      <c r="I4420" s="690" t="s">
        <v>1431</v>
      </c>
      <c r="J4420" s="53">
        <f t="shared" si="2185"/>
        <v>386850</v>
      </c>
      <c r="K4420" s="63">
        <f t="shared" si="2192"/>
        <v>0.42983333333333329</v>
      </c>
      <c r="L4420" s="871" t="s">
        <v>3133</v>
      </c>
      <c r="M4420" s="468"/>
      <c r="N4420" s="1192">
        <f t="shared" si="2189"/>
        <v>44468</v>
      </c>
      <c r="O4420" s="71" t="s">
        <v>1431</v>
      </c>
      <c r="P4420" s="164" t="str">
        <f t="shared" si="2190"/>
        <v>스트리퍼</v>
      </c>
      <c r="Q4420" s="71">
        <f t="shared" si="2191"/>
        <v>50</v>
      </c>
      <c r="R4420" s="102">
        <v>10263</v>
      </c>
      <c r="S4420" s="102">
        <f t="shared" si="2187"/>
        <v>564465</v>
      </c>
      <c r="T4420" s="102">
        <f t="shared" si="2188"/>
        <v>513150</v>
      </c>
      <c r="U4420" s="71"/>
      <c r="V4420" s="71"/>
      <c r="W4420" s="474"/>
      <c r="X4420" s="71"/>
      <c r="Y4420" s="71"/>
    </row>
    <row r="4421" spans="1:25" ht="30" hidden="1" customHeight="1" x14ac:dyDescent="0.25">
      <c r="A4421" s="1145">
        <v>44469</v>
      </c>
      <c r="B4421" s="664" t="s">
        <v>627</v>
      </c>
      <c r="C4421" s="71" t="s">
        <v>579</v>
      </c>
      <c r="D4421" s="71">
        <v>1</v>
      </c>
      <c r="E4421" s="102">
        <v>280000</v>
      </c>
      <c r="F4421" s="102">
        <f t="shared" si="2183"/>
        <v>308000</v>
      </c>
      <c r="G4421" s="102">
        <f t="shared" si="2184"/>
        <v>280000</v>
      </c>
      <c r="H4421" s="690" t="s">
        <v>985</v>
      </c>
      <c r="I4421" s="690" t="s">
        <v>985</v>
      </c>
      <c r="J4421" s="53">
        <f t="shared" si="2185"/>
        <v>280000</v>
      </c>
      <c r="K4421" s="63">
        <f>(J4421/(F4421/11*10))</f>
        <v>1</v>
      </c>
      <c r="L4421" s="871" t="s">
        <v>3133</v>
      </c>
      <c r="M4421" s="468"/>
      <c r="N4421" s="1192">
        <f t="shared" si="2189"/>
        <v>44469</v>
      </c>
      <c r="O4421" s="71"/>
      <c r="P4421" s="164" t="str">
        <f t="shared" si="2190"/>
        <v>M-600 서비스 비용</v>
      </c>
      <c r="Q4421" s="71">
        <f t="shared" si="2191"/>
        <v>1</v>
      </c>
      <c r="R4421" s="102"/>
      <c r="S4421" s="102">
        <f t="shared" si="2187"/>
        <v>0</v>
      </c>
      <c r="T4421" s="102">
        <f t="shared" si="2188"/>
        <v>0</v>
      </c>
      <c r="U4421" s="71"/>
      <c r="V4421" s="71"/>
      <c r="W4421" s="474"/>
      <c r="X4421" s="71"/>
      <c r="Y4421" s="71"/>
    </row>
    <row r="4422" spans="1:25" ht="30" hidden="1" customHeight="1" x14ac:dyDescent="0.25">
      <c r="A4422" s="1145">
        <v>44469</v>
      </c>
      <c r="B4422" s="664" t="s">
        <v>442</v>
      </c>
      <c r="C4422" s="71" t="s">
        <v>206</v>
      </c>
      <c r="D4422" s="71">
        <v>2</v>
      </c>
      <c r="E4422" s="102">
        <v>366500</v>
      </c>
      <c r="F4422" s="102">
        <f t="shared" si="2183"/>
        <v>806300.00000000012</v>
      </c>
      <c r="G4422" s="102">
        <f t="shared" si="2184"/>
        <v>733000</v>
      </c>
      <c r="H4422" s="690" t="s">
        <v>2029</v>
      </c>
      <c r="I4422" s="71" t="s">
        <v>195</v>
      </c>
      <c r="J4422" s="53">
        <f t="shared" si="2185"/>
        <v>194800</v>
      </c>
      <c r="K4422" s="63">
        <f t="shared" si="2192"/>
        <v>0.26575716234652108</v>
      </c>
      <c r="L4422" s="871" t="s">
        <v>3133</v>
      </c>
      <c r="M4422" s="468"/>
      <c r="N4422" s="1192">
        <f t="shared" si="2189"/>
        <v>44469</v>
      </c>
      <c r="O4422" s="71" t="s">
        <v>194</v>
      </c>
      <c r="P4422" s="164" t="str">
        <f t="shared" si="2190"/>
        <v>Agfa Film(24inch)</v>
      </c>
      <c r="Q4422" s="71">
        <f>D4422</f>
        <v>2</v>
      </c>
      <c r="R4422" s="102">
        <v>269100</v>
      </c>
      <c r="S4422" s="102">
        <f t="shared" si="2187"/>
        <v>592020</v>
      </c>
      <c r="T4422" s="102">
        <f t="shared" si="2188"/>
        <v>538200</v>
      </c>
      <c r="U4422" s="71" t="str">
        <f t="shared" ref="U4422:U4429" si="2193">IF(J4422=W4422,"O", "X")</f>
        <v>O</v>
      </c>
      <c r="V4422" s="71"/>
      <c r="W4422" s="474">
        <f>(G4422-T4422)</f>
        <v>194800</v>
      </c>
      <c r="X4422" s="71"/>
      <c r="Y4422" s="71"/>
    </row>
    <row r="4423" spans="1:25" ht="30" hidden="1" customHeight="1" x14ac:dyDescent="0.25">
      <c r="A4423" s="1145">
        <v>44469</v>
      </c>
      <c r="B4423" s="664" t="s">
        <v>442</v>
      </c>
      <c r="C4423" s="71" t="s">
        <v>207</v>
      </c>
      <c r="D4423" s="71">
        <v>1</v>
      </c>
      <c r="E4423" s="102">
        <v>451000</v>
      </c>
      <c r="F4423" s="102">
        <f t="shared" si="2183"/>
        <v>496100.00000000006</v>
      </c>
      <c r="G4423" s="102">
        <f t="shared" si="2184"/>
        <v>451000</v>
      </c>
      <c r="H4423" s="690" t="s">
        <v>2029</v>
      </c>
      <c r="I4423" s="71" t="s">
        <v>195</v>
      </c>
      <c r="J4423" s="53">
        <f t="shared" si="2185"/>
        <v>137040</v>
      </c>
      <c r="K4423" s="63">
        <f t="shared" si="2192"/>
        <v>0.30385809312638579</v>
      </c>
      <c r="L4423" s="871" t="s">
        <v>3133</v>
      </c>
      <c r="M4423" s="468"/>
      <c r="N4423" s="1192">
        <f t="shared" si="2189"/>
        <v>44469</v>
      </c>
      <c r="O4423" s="71" t="s">
        <v>194</v>
      </c>
      <c r="P4423" s="164" t="str">
        <f t="shared" si="2190"/>
        <v>Agfa Film(28inch)</v>
      </c>
      <c r="Q4423" s="71">
        <f>D4423</f>
        <v>1</v>
      </c>
      <c r="R4423" s="102">
        <f>VLOOKUP(P4423,[5]Price!B$1:D$65536,3,FALSE)</f>
        <v>313960</v>
      </c>
      <c r="S4423" s="102">
        <f t="shared" si="2187"/>
        <v>345356</v>
      </c>
      <c r="T4423" s="102">
        <f t="shared" si="2188"/>
        <v>313960</v>
      </c>
      <c r="U4423" s="71" t="str">
        <f t="shared" si="2193"/>
        <v>O</v>
      </c>
      <c r="V4423" s="71"/>
      <c r="W4423" s="474">
        <f>(G4423-T4423)</f>
        <v>137040</v>
      </c>
      <c r="X4423" s="71"/>
      <c r="Y4423" s="71"/>
    </row>
    <row r="4424" spans="1:25" ht="30" hidden="1" customHeight="1" x14ac:dyDescent="0.25">
      <c r="A4424" s="1145">
        <v>44469</v>
      </c>
      <c r="B4424" s="664" t="s">
        <v>442</v>
      </c>
      <c r="C4424" s="71" t="s">
        <v>207</v>
      </c>
      <c r="D4424" s="71">
        <v>1</v>
      </c>
      <c r="E4424" s="102">
        <v>451000</v>
      </c>
      <c r="F4424" s="102">
        <f>(E4424*D4424)*1.1</f>
        <v>496100.00000000006</v>
      </c>
      <c r="G4424" s="102">
        <f>(E4424*D4424)</f>
        <v>451000</v>
      </c>
      <c r="H4424" s="690" t="s">
        <v>2029</v>
      </c>
      <c r="I4424" s="71" t="s">
        <v>195</v>
      </c>
      <c r="J4424" s="53">
        <f t="shared" si="2185"/>
        <v>451000</v>
      </c>
      <c r="K4424" s="63">
        <f>(J4424/(F4424/11*10))</f>
        <v>0.99999999999999989</v>
      </c>
      <c r="L4424" s="871" t="s">
        <v>3133</v>
      </c>
      <c r="M4424" s="468" t="s">
        <v>3175</v>
      </c>
      <c r="N4424" s="1192">
        <f t="shared" si="2189"/>
        <v>44469</v>
      </c>
      <c r="O4424" s="71" t="s">
        <v>194</v>
      </c>
      <c r="P4424" s="164" t="str">
        <f t="shared" si="2190"/>
        <v>Agfa Film(28inch)</v>
      </c>
      <c r="Q4424" s="71">
        <v>0</v>
      </c>
      <c r="R4424" s="102">
        <f>VLOOKUP(P4424,[5]Price!B$1:D$65536,3,FALSE)</f>
        <v>313960</v>
      </c>
      <c r="S4424" s="102">
        <f t="shared" si="2187"/>
        <v>0</v>
      </c>
      <c r="T4424" s="102">
        <f t="shared" si="2188"/>
        <v>0</v>
      </c>
      <c r="U4424" s="71" t="str">
        <f t="shared" si="2193"/>
        <v>O</v>
      </c>
      <c r="V4424" s="71"/>
      <c r="W4424" s="474">
        <f>(G4424-T4424)</f>
        <v>451000</v>
      </c>
      <c r="X4424" s="71"/>
      <c r="Y4424" s="71"/>
    </row>
    <row r="4425" spans="1:25" ht="30" hidden="1" customHeight="1" x14ac:dyDescent="0.25">
      <c r="A4425" s="1145">
        <v>44469</v>
      </c>
      <c r="B4425" s="664" t="s">
        <v>442</v>
      </c>
      <c r="C4425" s="71" t="s">
        <v>208</v>
      </c>
      <c r="D4425" s="71">
        <v>2</v>
      </c>
      <c r="E4425" s="102">
        <v>505000</v>
      </c>
      <c r="F4425" s="102">
        <f t="shared" si="2183"/>
        <v>1111000</v>
      </c>
      <c r="G4425" s="102">
        <f t="shared" si="2184"/>
        <v>1010000</v>
      </c>
      <c r="H4425" s="690" t="s">
        <v>2029</v>
      </c>
      <c r="I4425" s="71" t="s">
        <v>195</v>
      </c>
      <c r="J4425" s="53">
        <f t="shared" si="2185"/>
        <v>269980</v>
      </c>
      <c r="K4425" s="63">
        <f t="shared" si="2192"/>
        <v>0.26730693069306932</v>
      </c>
      <c r="L4425" s="871" t="s">
        <v>3133</v>
      </c>
      <c r="M4425" s="468"/>
      <c r="N4425" s="1192">
        <f t="shared" si="2189"/>
        <v>44469</v>
      </c>
      <c r="O4425" s="71" t="s">
        <v>194</v>
      </c>
      <c r="P4425" s="164" t="str">
        <f t="shared" si="2190"/>
        <v>Agfa Film(32inch)</v>
      </c>
      <c r="Q4425" s="71">
        <f t="shared" ref="Q4425:Q4431" si="2194">D4425</f>
        <v>2</v>
      </c>
      <c r="R4425" s="102">
        <f>VLOOKUP(P4425,[5]Price!B$1:D$65536,3,FALSE)</f>
        <v>370010</v>
      </c>
      <c r="S4425" s="102">
        <f t="shared" si="2187"/>
        <v>814022.00000000012</v>
      </c>
      <c r="T4425" s="102">
        <f t="shared" si="2188"/>
        <v>740020</v>
      </c>
      <c r="U4425" s="71" t="str">
        <f t="shared" si="2193"/>
        <v>O</v>
      </c>
      <c r="V4425" s="71"/>
      <c r="W4425" s="474">
        <f>(G4425-T4425)</f>
        <v>269980</v>
      </c>
      <c r="X4425" s="71"/>
      <c r="Y4425" s="71"/>
    </row>
    <row r="4426" spans="1:25" s="209" customFormat="1" ht="30" hidden="1" customHeight="1" x14ac:dyDescent="0.2">
      <c r="A4426" s="1145">
        <v>44470</v>
      </c>
      <c r="B4426" s="664" t="s">
        <v>764</v>
      </c>
      <c r="C4426" s="71" t="s">
        <v>236</v>
      </c>
      <c r="D4426" s="71">
        <v>10</v>
      </c>
      <c r="E4426" s="102">
        <v>100000</v>
      </c>
      <c r="F4426" s="163">
        <f>(E4426*D4426)*1.1</f>
        <v>1100000</v>
      </c>
      <c r="G4426" s="102">
        <f>(E4426*D4426)</f>
        <v>1000000</v>
      </c>
      <c r="H4426" s="690" t="s">
        <v>173</v>
      </c>
      <c r="I4426" s="71" t="s">
        <v>2231</v>
      </c>
      <c r="J4426" s="53">
        <f t="shared" si="2185"/>
        <v>500000</v>
      </c>
      <c r="K4426" s="63">
        <f t="shared" si="2192"/>
        <v>0.5</v>
      </c>
      <c r="L4426" s="871" t="s">
        <v>3133</v>
      </c>
      <c r="M4426" s="468"/>
      <c r="N4426" s="1192">
        <f t="shared" si="2189"/>
        <v>44470</v>
      </c>
      <c r="O4426" s="71" t="s">
        <v>153</v>
      </c>
      <c r="P4426" s="164" t="str">
        <f t="shared" si="2190"/>
        <v>아스테이지(국전)</v>
      </c>
      <c r="Q4426" s="71">
        <f t="shared" si="2194"/>
        <v>10</v>
      </c>
      <c r="R4426" s="102">
        <v>50000</v>
      </c>
      <c r="S4426" s="102">
        <f t="shared" si="2187"/>
        <v>550000</v>
      </c>
      <c r="T4426" s="102">
        <f t="shared" si="2188"/>
        <v>500000</v>
      </c>
      <c r="U4426" s="71" t="str">
        <f t="shared" si="2193"/>
        <v>O</v>
      </c>
      <c r="V4426" s="71"/>
      <c r="W4426" s="474">
        <v>500000</v>
      </c>
      <c r="X4426" s="71"/>
      <c r="Y4426" s="71"/>
    </row>
    <row r="4427" spans="1:25" s="209" customFormat="1" ht="30" hidden="1" customHeight="1" x14ac:dyDescent="0.25">
      <c r="A4427" s="1145">
        <v>44470</v>
      </c>
      <c r="B4427" s="664" t="s">
        <v>2155</v>
      </c>
      <c r="C4427" s="71" t="s">
        <v>138</v>
      </c>
      <c r="D4427" s="71">
        <v>10</v>
      </c>
      <c r="E4427" s="102">
        <v>47600</v>
      </c>
      <c r="F4427" s="102">
        <f t="shared" si="2183"/>
        <v>523600.00000000006</v>
      </c>
      <c r="G4427" s="102">
        <f t="shared" si="2184"/>
        <v>476000</v>
      </c>
      <c r="H4427" s="1129" t="s">
        <v>172</v>
      </c>
      <c r="I4427" s="71" t="s">
        <v>108</v>
      </c>
      <c r="J4427" s="53">
        <f t="shared" si="2185"/>
        <v>68000</v>
      </c>
      <c r="K4427" s="63">
        <f t="shared" si="2192"/>
        <v>0.14285714285714285</v>
      </c>
      <c r="L4427" s="871" t="s">
        <v>3133</v>
      </c>
      <c r="M4427" s="468" t="s">
        <v>2214</v>
      </c>
      <c r="N4427" s="1192">
        <f t="shared" si="2189"/>
        <v>44470</v>
      </c>
      <c r="O4427" s="71" t="s">
        <v>150</v>
      </c>
      <c r="P4427" s="164" t="str">
        <f t="shared" si="2190"/>
        <v>매엽용 세척제(Wash 562)</v>
      </c>
      <c r="Q4427" s="71">
        <f t="shared" si="2194"/>
        <v>10</v>
      </c>
      <c r="R4427" s="102">
        <v>40800</v>
      </c>
      <c r="S4427" s="102">
        <f t="shared" si="2187"/>
        <v>448800.00000000006</v>
      </c>
      <c r="T4427" s="102">
        <f t="shared" si="2188"/>
        <v>408000</v>
      </c>
      <c r="U4427" s="71" t="str">
        <f t="shared" si="2193"/>
        <v>X</v>
      </c>
      <c r="V4427" s="71"/>
      <c r="W4427" s="474">
        <v>85000</v>
      </c>
      <c r="X4427" s="71"/>
      <c r="Y4427" s="71"/>
    </row>
    <row r="4428" spans="1:25" ht="30" hidden="1" customHeight="1" x14ac:dyDescent="0.25">
      <c r="A4428" s="1145">
        <v>44470</v>
      </c>
      <c r="B4428" s="664" t="s">
        <v>2155</v>
      </c>
      <c r="C4428" s="71" t="s">
        <v>277</v>
      </c>
      <c r="D4428" s="71">
        <v>10</v>
      </c>
      <c r="E4428" s="102">
        <v>172000</v>
      </c>
      <c r="F4428" s="102">
        <f t="shared" si="2183"/>
        <v>1892000.0000000002</v>
      </c>
      <c r="G4428" s="102">
        <f t="shared" si="2184"/>
        <v>1720000</v>
      </c>
      <c r="H4428" s="690" t="s">
        <v>173</v>
      </c>
      <c r="I4428" s="71" t="s">
        <v>108</v>
      </c>
      <c r="J4428" s="53">
        <f t="shared" si="2185"/>
        <v>570000</v>
      </c>
      <c r="K4428" s="63">
        <f t="shared" si="2192"/>
        <v>0.33139534883720928</v>
      </c>
      <c r="L4428" s="871" t="s">
        <v>3133</v>
      </c>
      <c r="M4428" s="468"/>
      <c r="N4428" s="1192">
        <f t="shared" si="2189"/>
        <v>44470</v>
      </c>
      <c r="O4428" s="71" t="s">
        <v>150</v>
      </c>
      <c r="P4428" s="164" t="str">
        <f t="shared" si="2190"/>
        <v>윤전용 세척제(Web 504)</v>
      </c>
      <c r="Q4428" s="71">
        <f t="shared" si="2194"/>
        <v>10</v>
      </c>
      <c r="R4428" s="102">
        <v>115000</v>
      </c>
      <c r="S4428" s="102">
        <f t="shared" si="2187"/>
        <v>1265000</v>
      </c>
      <c r="T4428" s="102">
        <f t="shared" si="2188"/>
        <v>1150000</v>
      </c>
      <c r="U4428" s="71" t="str">
        <f t="shared" si="2193"/>
        <v>X</v>
      </c>
      <c r="V4428" s="71"/>
      <c r="W4428" s="474">
        <v>285000</v>
      </c>
      <c r="X4428" s="71"/>
      <c r="Y4428" s="71"/>
    </row>
    <row r="4429" spans="1:25" ht="30" hidden="1" customHeight="1" x14ac:dyDescent="0.25">
      <c r="A4429" s="1145">
        <v>44470</v>
      </c>
      <c r="B4429" s="664" t="s">
        <v>2155</v>
      </c>
      <c r="C4429" s="760" t="s">
        <v>218</v>
      </c>
      <c r="D4429" s="71">
        <v>10</v>
      </c>
      <c r="E4429" s="102">
        <v>192500</v>
      </c>
      <c r="F4429" s="102">
        <f t="shared" si="2183"/>
        <v>2117500</v>
      </c>
      <c r="G4429" s="102">
        <f t="shared" si="2184"/>
        <v>1925000</v>
      </c>
      <c r="H4429" s="690" t="s">
        <v>173</v>
      </c>
      <c r="I4429" s="71" t="s">
        <v>120</v>
      </c>
      <c r="J4429" s="53">
        <f t="shared" si="2185"/>
        <v>800000</v>
      </c>
      <c r="K4429" s="63">
        <f t="shared" si="2192"/>
        <v>0.41558441558441561</v>
      </c>
      <c r="L4429" s="871" t="s">
        <v>3133</v>
      </c>
      <c r="M4429" s="468"/>
      <c r="N4429" s="1192">
        <f t="shared" si="2189"/>
        <v>44470</v>
      </c>
      <c r="O4429" s="71" t="s">
        <v>150</v>
      </c>
      <c r="P4429" s="164" t="str">
        <f t="shared" si="2190"/>
        <v>Fount Web 551AF</v>
      </c>
      <c r="Q4429" s="71">
        <f t="shared" si="2194"/>
        <v>10</v>
      </c>
      <c r="R4429" s="102">
        <v>112500</v>
      </c>
      <c r="S4429" s="102">
        <f t="shared" si="2187"/>
        <v>1237500</v>
      </c>
      <c r="T4429" s="102">
        <f t="shared" si="2188"/>
        <v>1125000</v>
      </c>
      <c r="U4429" s="71" t="str">
        <f t="shared" si="2193"/>
        <v>X</v>
      </c>
      <c r="V4429" s="71"/>
      <c r="W4429" s="474">
        <v>640000</v>
      </c>
      <c r="X4429" s="71"/>
      <c r="Y4429" s="71"/>
    </row>
    <row r="4430" spans="1:25" ht="30" hidden="1" customHeight="1" x14ac:dyDescent="0.25">
      <c r="A4430" s="1145">
        <v>44471</v>
      </c>
      <c r="B4430" s="664" t="s">
        <v>1579</v>
      </c>
      <c r="C4430" s="760" t="s">
        <v>123</v>
      </c>
      <c r="D4430" s="71">
        <v>20</v>
      </c>
      <c r="E4430" s="102">
        <v>40000</v>
      </c>
      <c r="F4430" s="102">
        <f t="shared" si="2183"/>
        <v>880000.00000000012</v>
      </c>
      <c r="G4430" s="102">
        <f t="shared" si="2184"/>
        <v>800000</v>
      </c>
      <c r="H4430" s="690" t="s">
        <v>1432</v>
      </c>
      <c r="I4430" s="690" t="s">
        <v>1432</v>
      </c>
      <c r="J4430" s="53">
        <f t="shared" si="2185"/>
        <v>320000</v>
      </c>
      <c r="K4430" s="63">
        <f t="shared" si="2192"/>
        <v>0.39999999999999997</v>
      </c>
      <c r="L4430" s="871" t="s">
        <v>3133</v>
      </c>
      <c r="M4430" s="468"/>
      <c r="N4430" s="1192">
        <f t="shared" si="2189"/>
        <v>44471</v>
      </c>
      <c r="O4430" s="71" t="s">
        <v>94</v>
      </c>
      <c r="P4430" s="164" t="str">
        <f t="shared" si="2190"/>
        <v>필터백</v>
      </c>
      <c r="Q4430" s="71">
        <f t="shared" si="2194"/>
        <v>20</v>
      </c>
      <c r="R4430" s="102">
        <v>24000</v>
      </c>
      <c r="S4430" s="102">
        <f t="shared" si="2187"/>
        <v>528000</v>
      </c>
      <c r="T4430" s="102">
        <f t="shared" si="2188"/>
        <v>480000</v>
      </c>
      <c r="U4430" s="71"/>
      <c r="V4430" s="71"/>
      <c r="W4430" s="474"/>
      <c r="X4430" s="71"/>
      <c r="Y4430" s="71"/>
    </row>
    <row r="4431" spans="1:25" ht="30" hidden="1" customHeight="1" x14ac:dyDescent="0.25">
      <c r="A4431" s="1145">
        <v>44474</v>
      </c>
      <c r="B4431" s="664" t="s">
        <v>3163</v>
      </c>
      <c r="C4431" s="760" t="s">
        <v>3164</v>
      </c>
      <c r="D4431" s="71">
        <v>3</v>
      </c>
      <c r="E4431" s="102">
        <v>550000</v>
      </c>
      <c r="F4431" s="102">
        <f t="shared" si="2183"/>
        <v>1815000.0000000002</v>
      </c>
      <c r="G4431" s="102">
        <f t="shared" si="2184"/>
        <v>1650000</v>
      </c>
      <c r="H4431" s="690" t="s">
        <v>173</v>
      </c>
      <c r="I4431" s="690" t="s">
        <v>2184</v>
      </c>
      <c r="J4431" s="53">
        <f t="shared" si="2185"/>
        <v>519750</v>
      </c>
      <c r="K4431" s="63">
        <f t="shared" si="2192"/>
        <v>0.31499999999999995</v>
      </c>
      <c r="L4431" s="871" t="s">
        <v>3133</v>
      </c>
      <c r="M4431" s="468"/>
      <c r="N4431" s="1192">
        <f t="shared" si="2189"/>
        <v>44474</v>
      </c>
      <c r="O4431" s="71" t="s">
        <v>2472</v>
      </c>
      <c r="P4431" s="164" t="str">
        <f t="shared" si="2190"/>
        <v>횐네 UV lamp 전선타입 하이델 국전용</v>
      </c>
      <c r="Q4431" s="71">
        <f t="shared" si="2194"/>
        <v>3</v>
      </c>
      <c r="R4431" s="102">
        <v>376750</v>
      </c>
      <c r="S4431" s="102">
        <f t="shared" si="2187"/>
        <v>1243275</v>
      </c>
      <c r="T4431" s="102">
        <f t="shared" si="2188"/>
        <v>1130250</v>
      </c>
      <c r="U4431" s="71"/>
      <c r="V4431" s="71"/>
      <c r="W4431" s="474"/>
      <c r="X4431" s="71"/>
      <c r="Y4431" s="71"/>
    </row>
    <row r="4432" spans="1:25" s="209" customFormat="1" ht="30" hidden="1" customHeight="1" x14ac:dyDescent="0.2">
      <c r="A4432" s="1145">
        <v>44475</v>
      </c>
      <c r="B4432" s="664" t="s">
        <v>2261</v>
      </c>
      <c r="C4432" s="71" t="s">
        <v>107</v>
      </c>
      <c r="D4432" s="71">
        <v>10</v>
      </c>
      <c r="E4432" s="102">
        <v>108000</v>
      </c>
      <c r="F4432" s="102">
        <f t="shared" si="2183"/>
        <v>1188000</v>
      </c>
      <c r="G4432" s="102">
        <f t="shared" si="2184"/>
        <v>1080000</v>
      </c>
      <c r="H4432" s="165" t="s">
        <v>172</v>
      </c>
      <c r="I4432" s="71" t="s">
        <v>109</v>
      </c>
      <c r="J4432" s="53">
        <f t="shared" si="2185"/>
        <v>275000</v>
      </c>
      <c r="K4432" s="63">
        <f t="shared" si="2192"/>
        <v>0.25462962962962965</v>
      </c>
      <c r="L4432" s="871" t="s">
        <v>3133</v>
      </c>
      <c r="M4432" s="468"/>
      <c r="N4432" s="1192">
        <f t="shared" si="2189"/>
        <v>44475</v>
      </c>
      <c r="O4432" s="71" t="s">
        <v>147</v>
      </c>
      <c r="P4432" s="164" t="str">
        <f t="shared" si="2190"/>
        <v>Blanket(1050*840)</v>
      </c>
      <c r="Q4432" s="71">
        <f t="shared" ref="Q4432:Q4437" si="2195">D4432</f>
        <v>10</v>
      </c>
      <c r="R4432" s="102">
        <v>80500</v>
      </c>
      <c r="S4432" s="102">
        <f t="shared" si="2187"/>
        <v>885500.00000000012</v>
      </c>
      <c r="T4432" s="102">
        <f t="shared" si="2188"/>
        <v>805000</v>
      </c>
      <c r="U4432" s="71" t="str">
        <f>IF(J4432=W4432,"O", "X")</f>
        <v>O</v>
      </c>
      <c r="V4432" s="71"/>
      <c r="W4432" s="474">
        <v>275000</v>
      </c>
      <c r="X4432" s="71"/>
      <c r="Y4432" s="71"/>
    </row>
    <row r="4433" spans="1:25" ht="30" hidden="1" customHeight="1" x14ac:dyDescent="0.2">
      <c r="A4433" s="1145">
        <v>44475</v>
      </c>
      <c r="B4433" s="664" t="s">
        <v>548</v>
      </c>
      <c r="C4433" s="71" t="s">
        <v>107</v>
      </c>
      <c r="D4433" s="71">
        <v>10</v>
      </c>
      <c r="E4433" s="102">
        <v>90000</v>
      </c>
      <c r="F4433" s="163">
        <f t="shared" si="2183"/>
        <v>990000.00000000012</v>
      </c>
      <c r="G4433" s="102">
        <f t="shared" si="2184"/>
        <v>900000</v>
      </c>
      <c r="H4433" s="165" t="s">
        <v>172</v>
      </c>
      <c r="I4433" s="71" t="s">
        <v>109</v>
      </c>
      <c r="J4433" s="53">
        <f t="shared" si="2185"/>
        <v>95000</v>
      </c>
      <c r="K4433" s="63">
        <f t="shared" si="2192"/>
        <v>0.10555555555555554</v>
      </c>
      <c r="L4433" s="871" t="s">
        <v>3133</v>
      </c>
      <c r="M4433" s="468"/>
      <c r="N4433" s="1192">
        <f t="shared" si="2189"/>
        <v>44475</v>
      </c>
      <c r="O4433" s="71" t="s">
        <v>147</v>
      </c>
      <c r="P4433" s="164" t="str">
        <f t="shared" si="2190"/>
        <v>Blanket(1050*840)</v>
      </c>
      <c r="Q4433" s="71">
        <f t="shared" si="2195"/>
        <v>10</v>
      </c>
      <c r="R4433" s="102">
        <v>80500</v>
      </c>
      <c r="S4433" s="102">
        <f t="shared" si="2187"/>
        <v>885500.00000000012</v>
      </c>
      <c r="T4433" s="102">
        <f t="shared" si="2188"/>
        <v>805000</v>
      </c>
      <c r="U4433" s="71" t="str">
        <f>IF(J4433=W4433,"O", "X")</f>
        <v>O</v>
      </c>
      <c r="V4433" s="71"/>
      <c r="W4433" s="474">
        <f>(G4433-T4433)</f>
        <v>95000</v>
      </c>
      <c r="X4433" s="71"/>
      <c r="Y4433" s="71"/>
    </row>
    <row r="4434" spans="1:25" ht="30" customHeight="1" x14ac:dyDescent="0.2">
      <c r="A4434" s="1145">
        <v>44475</v>
      </c>
      <c r="B4434" s="664" t="s">
        <v>2536</v>
      </c>
      <c r="C4434" s="71" t="s">
        <v>3160</v>
      </c>
      <c r="D4434" s="71">
        <v>1</v>
      </c>
      <c r="E4434" s="102">
        <v>1500000</v>
      </c>
      <c r="F4434" s="163">
        <f t="shared" si="2183"/>
        <v>1650000.0000000002</v>
      </c>
      <c r="G4434" s="102">
        <f t="shared" si="2184"/>
        <v>1500000</v>
      </c>
      <c r="H4434" s="690" t="s">
        <v>1431</v>
      </c>
      <c r="I4434" s="71" t="s">
        <v>1431</v>
      </c>
      <c r="J4434" s="53">
        <f t="shared" si="2185"/>
        <v>400000</v>
      </c>
      <c r="K4434" s="63">
        <f t="shared" si="2192"/>
        <v>0.26666666666666661</v>
      </c>
      <c r="L4434" s="871" t="s">
        <v>3133</v>
      </c>
      <c r="M4434" s="468"/>
      <c r="N4434" s="1192">
        <f t="shared" si="2189"/>
        <v>44475</v>
      </c>
      <c r="O4434" s="71" t="s">
        <v>3171</v>
      </c>
      <c r="P4434" s="164" t="str">
        <f t="shared" si="2190"/>
        <v>통신 모듈</v>
      </c>
      <c r="Q4434" s="71">
        <f t="shared" si="2195"/>
        <v>1</v>
      </c>
      <c r="R4434" s="102">
        <v>1100000</v>
      </c>
      <c r="S4434" s="102">
        <f t="shared" si="2187"/>
        <v>1210000</v>
      </c>
      <c r="T4434" s="102">
        <f t="shared" si="2188"/>
        <v>1100000</v>
      </c>
      <c r="U4434" s="71"/>
      <c r="V4434" s="71"/>
      <c r="W4434" s="474"/>
      <c r="X4434" s="71"/>
      <c r="Y4434" s="71"/>
    </row>
    <row r="4435" spans="1:25" ht="30" customHeight="1" x14ac:dyDescent="0.2">
      <c r="A4435" s="1145">
        <v>44475</v>
      </c>
      <c r="B4435" s="664" t="s">
        <v>2536</v>
      </c>
      <c r="C4435" s="71" t="s">
        <v>579</v>
      </c>
      <c r="D4435" s="71">
        <v>1</v>
      </c>
      <c r="E4435" s="102">
        <v>450000</v>
      </c>
      <c r="F4435" s="163">
        <f t="shared" si="2183"/>
        <v>495000.00000000006</v>
      </c>
      <c r="G4435" s="102">
        <f t="shared" si="2184"/>
        <v>450000</v>
      </c>
      <c r="H4435" s="690" t="s">
        <v>985</v>
      </c>
      <c r="I4435" s="71" t="s">
        <v>985</v>
      </c>
      <c r="J4435" s="53">
        <f t="shared" si="2185"/>
        <v>450000</v>
      </c>
      <c r="K4435" s="63">
        <f>(J4435/(F4435/11*10))</f>
        <v>0.99999999999999989</v>
      </c>
      <c r="L4435" s="871" t="s">
        <v>3133</v>
      </c>
      <c r="M4435" s="468"/>
      <c r="N4435" s="1192">
        <f t="shared" si="2189"/>
        <v>44475</v>
      </c>
      <c r="O4435" s="71"/>
      <c r="P4435" s="164" t="str">
        <f t="shared" si="2190"/>
        <v>M-600 서비스 비용</v>
      </c>
      <c r="Q4435" s="71">
        <f t="shared" si="2195"/>
        <v>1</v>
      </c>
      <c r="R4435" s="102"/>
      <c r="S4435" s="102">
        <f t="shared" si="2187"/>
        <v>0</v>
      </c>
      <c r="T4435" s="102">
        <f t="shared" si="2188"/>
        <v>0</v>
      </c>
      <c r="U4435" s="71"/>
      <c r="V4435" s="71"/>
      <c r="W4435" s="474"/>
      <c r="X4435" s="71"/>
      <c r="Y4435" s="71"/>
    </row>
    <row r="4436" spans="1:25" ht="30" hidden="1" customHeight="1" x14ac:dyDescent="0.25">
      <c r="A4436" s="1145">
        <v>44476</v>
      </c>
      <c r="B4436" s="664" t="s">
        <v>1220</v>
      </c>
      <c r="C4436" s="71" t="s">
        <v>3159</v>
      </c>
      <c r="D4436" s="71">
        <v>3</v>
      </c>
      <c r="E4436" s="102">
        <v>270000</v>
      </c>
      <c r="F4436" s="102">
        <f t="shared" si="2183"/>
        <v>891000.00000000012</v>
      </c>
      <c r="G4436" s="102">
        <f t="shared" si="2184"/>
        <v>810000</v>
      </c>
      <c r="H4436" s="690" t="s">
        <v>1431</v>
      </c>
      <c r="I4436" s="71" t="s">
        <v>1431</v>
      </c>
      <c r="J4436" s="53">
        <f t="shared" si="2185"/>
        <v>220311</v>
      </c>
      <c r="K4436" s="63">
        <f t="shared" si="2192"/>
        <v>0.27198888888888884</v>
      </c>
      <c r="L4436" s="871" t="s">
        <v>3133</v>
      </c>
      <c r="M4436" s="468"/>
      <c r="N4436" s="1192">
        <f t="shared" si="2189"/>
        <v>44476</v>
      </c>
      <c r="O4436" s="71" t="s">
        <v>1431</v>
      </c>
      <c r="P4436" s="164" t="str">
        <f t="shared" si="2190"/>
        <v>싱크로나이즈드 모터</v>
      </c>
      <c r="Q4436" s="71">
        <f t="shared" si="2195"/>
        <v>3</v>
      </c>
      <c r="R4436" s="102">
        <v>196563</v>
      </c>
      <c r="S4436" s="102">
        <f t="shared" si="2187"/>
        <v>648657.9</v>
      </c>
      <c r="T4436" s="102">
        <f t="shared" si="2188"/>
        <v>589689</v>
      </c>
      <c r="U4436" s="71"/>
      <c r="V4436" s="71"/>
      <c r="W4436" s="474"/>
      <c r="X4436" s="71"/>
      <c r="Y4436" s="71"/>
    </row>
    <row r="4437" spans="1:25" ht="30" hidden="1" customHeight="1" x14ac:dyDescent="0.25">
      <c r="A4437" s="1145">
        <v>44476</v>
      </c>
      <c r="B4437" s="664" t="s">
        <v>2155</v>
      </c>
      <c r="C4437" s="71" t="s">
        <v>2188</v>
      </c>
      <c r="D4437" s="71">
        <v>1</v>
      </c>
      <c r="E4437" s="102">
        <v>140000</v>
      </c>
      <c r="F4437" s="102">
        <f t="shared" si="2183"/>
        <v>154000</v>
      </c>
      <c r="G4437" s="102">
        <f t="shared" si="2184"/>
        <v>140000</v>
      </c>
      <c r="H4437" s="690" t="s">
        <v>1431</v>
      </c>
      <c r="I4437" s="71" t="s">
        <v>1431</v>
      </c>
      <c r="J4437" s="53">
        <f t="shared" si="2185"/>
        <v>69337</v>
      </c>
      <c r="K4437" s="63">
        <f t="shared" si="2192"/>
        <v>0.49526428571428571</v>
      </c>
      <c r="L4437" s="871" t="s">
        <v>3133</v>
      </c>
      <c r="M4437" s="468"/>
      <c r="N4437" s="1192">
        <f t="shared" si="2189"/>
        <v>44476</v>
      </c>
      <c r="O4437" s="71" t="s">
        <v>1431</v>
      </c>
      <c r="P4437" s="164" t="str">
        <f t="shared" si="2190"/>
        <v>타코 커플링</v>
      </c>
      <c r="Q4437" s="71">
        <f t="shared" si="2195"/>
        <v>1</v>
      </c>
      <c r="R4437" s="102">
        <v>70663</v>
      </c>
      <c r="S4437" s="102">
        <f t="shared" si="2187"/>
        <v>77729.3</v>
      </c>
      <c r="T4437" s="102">
        <f t="shared" si="2188"/>
        <v>70663</v>
      </c>
      <c r="U4437" s="71"/>
      <c r="V4437" s="71"/>
      <c r="W4437" s="474"/>
      <c r="X4437" s="71"/>
      <c r="Y4437" s="71"/>
    </row>
    <row r="4438" spans="1:25" ht="30" hidden="1" customHeight="1" x14ac:dyDescent="0.25">
      <c r="A4438" s="1145">
        <v>44481</v>
      </c>
      <c r="B4438" s="664" t="s">
        <v>446</v>
      </c>
      <c r="C4438" s="71" t="s">
        <v>2028</v>
      </c>
      <c r="D4438" s="71">
        <v>20</v>
      </c>
      <c r="E4438" s="102">
        <v>105000</v>
      </c>
      <c r="F4438" s="102">
        <f>(E4438*D4438)*1.1</f>
        <v>2310000</v>
      </c>
      <c r="G4438" s="102">
        <f>(E4438*D4438)</f>
        <v>2100000</v>
      </c>
      <c r="H4438" s="690" t="s">
        <v>2029</v>
      </c>
      <c r="I4438" s="71" t="s">
        <v>2231</v>
      </c>
      <c r="J4438" s="53">
        <f t="shared" si="2185"/>
        <v>280000</v>
      </c>
      <c r="K4438" s="63">
        <f t="shared" si="2192"/>
        <v>0.13333333333333333</v>
      </c>
      <c r="L4438" s="871" t="s">
        <v>3133</v>
      </c>
      <c r="M4438" s="468"/>
      <c r="N4438" s="1192">
        <f t="shared" si="2189"/>
        <v>44481</v>
      </c>
      <c r="O4438" s="71" t="s">
        <v>2030</v>
      </c>
      <c r="P4438" s="164" t="str">
        <f t="shared" si="2190"/>
        <v>실리콘 에멀전</v>
      </c>
      <c r="Q4438" s="71">
        <v>20</v>
      </c>
      <c r="R4438" s="102">
        <v>91000</v>
      </c>
      <c r="S4438" s="102">
        <f t="shared" si="2187"/>
        <v>2002000.0000000002</v>
      </c>
      <c r="T4438" s="102">
        <f t="shared" si="2188"/>
        <v>1820000</v>
      </c>
      <c r="U4438" s="71" t="str">
        <f t="shared" ref="U4438:U4444" si="2196">IF(J4438=W4438,"O", "X")</f>
        <v>O</v>
      </c>
      <c r="V4438" s="71"/>
      <c r="W4438" s="474">
        <f>(G4438-T4438)</f>
        <v>280000</v>
      </c>
      <c r="X4438" s="71"/>
      <c r="Y4438" s="71"/>
    </row>
    <row r="4439" spans="1:25" s="209" customFormat="1" ht="31.5" hidden="1" customHeight="1" x14ac:dyDescent="0.2">
      <c r="A4439" s="1145">
        <v>44481</v>
      </c>
      <c r="B4439" s="664" t="s">
        <v>2155</v>
      </c>
      <c r="C4439" s="71" t="s">
        <v>231</v>
      </c>
      <c r="D4439" s="71">
        <v>10</v>
      </c>
      <c r="E4439" s="102">
        <v>120000</v>
      </c>
      <c r="F4439" s="102">
        <f t="shared" ref="F4439:F4453" si="2197">(E4439*D4439)*1.1</f>
        <v>1320000</v>
      </c>
      <c r="G4439" s="102">
        <f t="shared" ref="G4439:G4453" si="2198">(E4439*D4439)</f>
        <v>1200000</v>
      </c>
      <c r="H4439" s="165" t="s">
        <v>172</v>
      </c>
      <c r="I4439" s="71" t="s">
        <v>109</v>
      </c>
      <c r="J4439" s="53">
        <f t="shared" si="2185"/>
        <v>80000</v>
      </c>
      <c r="K4439" s="63">
        <f t="shared" si="2192"/>
        <v>6.6666666666666666E-2</v>
      </c>
      <c r="L4439" s="871" t="s">
        <v>3133</v>
      </c>
      <c r="M4439" s="468"/>
      <c r="N4439" s="1192">
        <f t="shared" si="2189"/>
        <v>44481</v>
      </c>
      <c r="O4439" s="71" t="s">
        <v>151</v>
      </c>
      <c r="P4439" s="164" t="str">
        <f t="shared" si="2190"/>
        <v>Blanket(990*725)</v>
      </c>
      <c r="Q4439" s="71">
        <f t="shared" ref="Q4439:Q4446" si="2199">D4439</f>
        <v>10</v>
      </c>
      <c r="R4439" s="102">
        <v>112000</v>
      </c>
      <c r="S4439" s="102">
        <f t="shared" si="2187"/>
        <v>1232000</v>
      </c>
      <c r="T4439" s="102">
        <f t="shared" si="2188"/>
        <v>1120000</v>
      </c>
      <c r="U4439" s="71" t="str">
        <f t="shared" si="2196"/>
        <v>O</v>
      </c>
      <c r="V4439" s="71"/>
      <c r="W4439" s="474">
        <v>80000</v>
      </c>
      <c r="X4439" s="71"/>
      <c r="Y4439" s="71"/>
    </row>
    <row r="4440" spans="1:25" ht="30" hidden="1" customHeight="1" x14ac:dyDescent="0.25">
      <c r="A4440" s="1145">
        <v>44481</v>
      </c>
      <c r="B4440" s="664" t="s">
        <v>809</v>
      </c>
      <c r="C4440" s="71" t="s">
        <v>1081</v>
      </c>
      <c r="D4440" s="71">
        <v>10</v>
      </c>
      <c r="E4440" s="102">
        <v>78000</v>
      </c>
      <c r="F4440" s="102">
        <f t="shared" si="2197"/>
        <v>858000.00000000012</v>
      </c>
      <c r="G4440" s="102">
        <f t="shared" si="2198"/>
        <v>780000</v>
      </c>
      <c r="H4440" s="690" t="s">
        <v>173</v>
      </c>
      <c r="I4440" s="71" t="s">
        <v>2231</v>
      </c>
      <c r="J4440" s="53">
        <f t="shared" si="2185"/>
        <v>180000</v>
      </c>
      <c r="K4440" s="63">
        <f t="shared" si="2192"/>
        <v>0.23076923076923073</v>
      </c>
      <c r="L4440" s="871" t="s">
        <v>3133</v>
      </c>
      <c r="M4440" s="468" t="s">
        <v>3081</v>
      </c>
      <c r="N4440" s="1192">
        <f t="shared" si="2189"/>
        <v>44481</v>
      </c>
      <c r="O4440" s="71" t="s">
        <v>147</v>
      </c>
      <c r="P4440" s="164" t="str">
        <f t="shared" si="2190"/>
        <v>파우더</v>
      </c>
      <c r="Q4440" s="71">
        <f t="shared" si="2199"/>
        <v>10</v>
      </c>
      <c r="R4440" s="102">
        <v>60000</v>
      </c>
      <c r="S4440" s="102">
        <f t="shared" si="2187"/>
        <v>660000</v>
      </c>
      <c r="T4440" s="102">
        <f t="shared" si="2188"/>
        <v>600000</v>
      </c>
      <c r="U4440" s="71" t="str">
        <f t="shared" si="2196"/>
        <v>O</v>
      </c>
      <c r="V4440" s="71"/>
      <c r="W4440" s="474">
        <f>(G4440-T4440)</f>
        <v>180000</v>
      </c>
      <c r="X4440" s="71"/>
      <c r="Y4440" s="71"/>
    </row>
    <row r="4441" spans="1:25" ht="27.6" hidden="1" customHeight="1" x14ac:dyDescent="0.25">
      <c r="A4441" s="1145">
        <v>44482</v>
      </c>
      <c r="B4441" s="664" t="s">
        <v>567</v>
      </c>
      <c r="C4441" s="71" t="s">
        <v>1652</v>
      </c>
      <c r="D4441" s="71">
        <v>5</v>
      </c>
      <c r="E4441" s="102">
        <v>45000</v>
      </c>
      <c r="F4441" s="102">
        <f t="shared" si="2197"/>
        <v>247500.00000000003</v>
      </c>
      <c r="G4441" s="102">
        <f t="shared" si="2198"/>
        <v>225000</v>
      </c>
      <c r="H4441" s="690" t="s">
        <v>173</v>
      </c>
      <c r="I4441" s="71" t="s">
        <v>2231</v>
      </c>
      <c r="J4441" s="53">
        <f t="shared" si="2185"/>
        <v>25000</v>
      </c>
      <c r="K4441" s="63">
        <f t="shared" si="2192"/>
        <v>0.11111111111111109</v>
      </c>
      <c r="L4441" s="871" t="s">
        <v>3133</v>
      </c>
      <c r="M4441" s="468"/>
      <c r="N4441" s="1192">
        <f t="shared" si="2189"/>
        <v>44482</v>
      </c>
      <c r="O4441" s="71" t="s">
        <v>153</v>
      </c>
      <c r="P4441" s="164" t="str">
        <f t="shared" si="2190"/>
        <v>아스테이지(CD74용)</v>
      </c>
      <c r="Q4441" s="71">
        <f t="shared" si="2199"/>
        <v>5</v>
      </c>
      <c r="R4441" s="102">
        <v>40000</v>
      </c>
      <c r="S4441" s="102">
        <f t="shared" si="2187"/>
        <v>220000.00000000003</v>
      </c>
      <c r="T4441" s="102">
        <f t="shared" si="2188"/>
        <v>200000</v>
      </c>
      <c r="U4441" s="71" t="str">
        <f t="shared" si="2196"/>
        <v>X</v>
      </c>
      <c r="V4441" s="71"/>
      <c r="W4441" s="474"/>
      <c r="X4441" s="71"/>
      <c r="Y4441" s="71"/>
    </row>
    <row r="4442" spans="1:25" ht="30" hidden="1" customHeight="1" x14ac:dyDescent="0.25">
      <c r="A4442" s="1145">
        <v>44482</v>
      </c>
      <c r="B4442" s="664" t="s">
        <v>690</v>
      </c>
      <c r="C4442" s="71" t="s">
        <v>1186</v>
      </c>
      <c r="D4442" s="71">
        <v>500</v>
      </c>
      <c r="E4442" s="102">
        <v>3860</v>
      </c>
      <c r="F4442" s="102">
        <f>(E4442*D4442)*1.1</f>
        <v>2123000</v>
      </c>
      <c r="G4442" s="102">
        <f>(E4442*D4442)</f>
        <v>1930000</v>
      </c>
      <c r="H4442" s="690" t="s">
        <v>173</v>
      </c>
      <c r="I4442" s="71" t="s">
        <v>2230</v>
      </c>
      <c r="J4442" s="53">
        <f t="shared" si="2185"/>
        <v>175000</v>
      </c>
      <c r="K4442" s="63">
        <f t="shared" si="2192"/>
        <v>9.0673575129533682E-2</v>
      </c>
      <c r="L4442" s="871" t="s">
        <v>3133</v>
      </c>
      <c r="M4442" s="468" t="s">
        <v>3078</v>
      </c>
      <c r="N4442" s="1192">
        <f t="shared" si="2189"/>
        <v>44482</v>
      </c>
      <c r="O4442" s="71" t="s">
        <v>145</v>
      </c>
      <c r="P4442" s="164" t="str">
        <f t="shared" si="2190"/>
        <v>CTP 판(1030*790mm)</v>
      </c>
      <c r="Q4442" s="71">
        <f t="shared" si="2199"/>
        <v>500</v>
      </c>
      <c r="R4442" s="102">
        <v>3510</v>
      </c>
      <c r="S4442" s="102">
        <f t="shared" ref="S4442:S4473" si="2200">R4442*Q4442*1.1</f>
        <v>1930500.0000000002</v>
      </c>
      <c r="T4442" s="102">
        <f t="shared" ref="T4442:T4473" si="2201">R4442*Q4442</f>
        <v>1755000</v>
      </c>
      <c r="U4442" s="71" t="str">
        <f t="shared" si="2196"/>
        <v>X</v>
      </c>
      <c r="V4442" s="71"/>
      <c r="W4442" s="474">
        <v>-200000</v>
      </c>
      <c r="X4442" s="71"/>
      <c r="Y4442" s="71"/>
    </row>
    <row r="4443" spans="1:25" ht="30" hidden="1" customHeight="1" x14ac:dyDescent="0.25">
      <c r="A4443" s="1145">
        <v>44482</v>
      </c>
      <c r="B4443" s="664" t="s">
        <v>690</v>
      </c>
      <c r="C4443" s="71" t="s">
        <v>197</v>
      </c>
      <c r="D4443" s="71">
        <v>3</v>
      </c>
      <c r="E4443" s="102">
        <v>52000</v>
      </c>
      <c r="F4443" s="102">
        <f>(E4443*D4443)*1.1</f>
        <v>171600</v>
      </c>
      <c r="G4443" s="102">
        <f>(E4443*D4443)</f>
        <v>156000</v>
      </c>
      <c r="H4443" s="690" t="s">
        <v>173</v>
      </c>
      <c r="I4443" s="71" t="s">
        <v>2230</v>
      </c>
      <c r="J4443" s="53">
        <f t="shared" si="2185"/>
        <v>35250</v>
      </c>
      <c r="K4443" s="63">
        <f t="shared" si="2192"/>
        <v>0.22596153846153846</v>
      </c>
      <c r="L4443" s="871" t="s">
        <v>3133</v>
      </c>
      <c r="M4443" s="468"/>
      <c r="N4443" s="1192">
        <f t="shared" si="2189"/>
        <v>44482</v>
      </c>
      <c r="O4443" s="71" t="s">
        <v>145</v>
      </c>
      <c r="P4443" s="164" t="str">
        <f t="shared" si="2190"/>
        <v>THR200(20L)</v>
      </c>
      <c r="Q4443" s="71">
        <f t="shared" si="2199"/>
        <v>3</v>
      </c>
      <c r="R4443" s="102">
        <v>40250</v>
      </c>
      <c r="S4443" s="102">
        <f t="shared" si="2200"/>
        <v>132825</v>
      </c>
      <c r="T4443" s="102">
        <f t="shared" si="2201"/>
        <v>120750</v>
      </c>
      <c r="U4443" s="71" t="str">
        <f t="shared" si="2196"/>
        <v>X</v>
      </c>
      <c r="V4443" s="71"/>
      <c r="W4443" s="474"/>
      <c r="X4443" s="71"/>
      <c r="Y4443" s="71"/>
    </row>
    <row r="4444" spans="1:25" ht="30" hidden="1" customHeight="1" x14ac:dyDescent="0.25">
      <c r="A4444" s="1145">
        <v>44482</v>
      </c>
      <c r="B4444" s="664" t="s">
        <v>690</v>
      </c>
      <c r="C4444" s="71" t="s">
        <v>752</v>
      </c>
      <c r="D4444" s="71">
        <v>1</v>
      </c>
      <c r="E4444" s="102">
        <v>89000</v>
      </c>
      <c r="F4444" s="102">
        <f>(E4444*D4444)*1.1</f>
        <v>97900.000000000015</v>
      </c>
      <c r="G4444" s="102">
        <f>(E4444*D4444)</f>
        <v>89000</v>
      </c>
      <c r="H4444" s="690" t="s">
        <v>173</v>
      </c>
      <c r="I4444" s="71" t="s">
        <v>2230</v>
      </c>
      <c r="J4444" s="53">
        <f t="shared" si="2185"/>
        <v>24000</v>
      </c>
      <c r="K4444" s="63">
        <f t="shared" si="2192"/>
        <v>0.26966292134831454</v>
      </c>
      <c r="L4444" s="871" t="s">
        <v>3133</v>
      </c>
      <c r="M4444" s="468"/>
      <c r="N4444" s="1192">
        <f t="shared" si="2189"/>
        <v>44482</v>
      </c>
      <c r="O4444" s="71" t="s">
        <v>145</v>
      </c>
      <c r="P4444" s="164" t="str">
        <f t="shared" si="2190"/>
        <v>RC795(20L)</v>
      </c>
      <c r="Q4444" s="71">
        <f t="shared" si="2199"/>
        <v>1</v>
      </c>
      <c r="R4444" s="102">
        <v>65000</v>
      </c>
      <c r="S4444" s="102">
        <f t="shared" si="2200"/>
        <v>71500</v>
      </c>
      <c r="T4444" s="102">
        <f t="shared" si="2201"/>
        <v>65000</v>
      </c>
      <c r="U4444" s="71" t="str">
        <f t="shared" si="2196"/>
        <v>O</v>
      </c>
      <c r="V4444" s="71"/>
      <c r="W4444" s="474">
        <f>(G4444-T4444)</f>
        <v>24000</v>
      </c>
      <c r="X4444" s="71"/>
      <c r="Y4444" s="71"/>
    </row>
    <row r="4445" spans="1:25" ht="30" hidden="1" customHeight="1" x14ac:dyDescent="0.25">
      <c r="A4445" s="1145">
        <v>44483</v>
      </c>
      <c r="B4445" s="664" t="s">
        <v>2155</v>
      </c>
      <c r="C4445" s="71" t="s">
        <v>2137</v>
      </c>
      <c r="D4445" s="71">
        <v>1</v>
      </c>
      <c r="E4445" s="102">
        <v>500000</v>
      </c>
      <c r="F4445" s="102">
        <f>(E4445*D4445)*1.1</f>
        <v>550000</v>
      </c>
      <c r="G4445" s="102">
        <f>(E4445*D4445)</f>
        <v>500000</v>
      </c>
      <c r="H4445" s="690" t="s">
        <v>1431</v>
      </c>
      <c r="I4445" s="103" t="s">
        <v>1431</v>
      </c>
      <c r="J4445" s="53">
        <f t="shared" si="2185"/>
        <v>337657</v>
      </c>
      <c r="K4445" s="63">
        <f t="shared" si="2192"/>
        <v>0.67531399999999997</v>
      </c>
      <c r="L4445" s="871" t="s">
        <v>3133</v>
      </c>
      <c r="M4445" s="468"/>
      <c r="N4445" s="1192">
        <f t="shared" si="2189"/>
        <v>44483</v>
      </c>
      <c r="O4445" s="71" t="s">
        <v>1431</v>
      </c>
      <c r="P4445" s="164" t="str">
        <f t="shared" si="2190"/>
        <v>잉크집 아스테이지</v>
      </c>
      <c r="Q4445" s="71">
        <f t="shared" si="2199"/>
        <v>1</v>
      </c>
      <c r="R4445" s="102">
        <v>162343</v>
      </c>
      <c r="S4445" s="102">
        <f t="shared" si="2200"/>
        <v>178577.30000000002</v>
      </c>
      <c r="T4445" s="102">
        <f t="shared" si="2201"/>
        <v>162343</v>
      </c>
      <c r="U4445" s="71"/>
      <c r="V4445" s="71"/>
      <c r="W4445" s="474"/>
      <c r="X4445" s="71"/>
      <c r="Y4445" s="71"/>
    </row>
    <row r="4446" spans="1:25" ht="30" hidden="1" customHeight="1" x14ac:dyDescent="0.25">
      <c r="A4446" s="1145">
        <v>44484</v>
      </c>
      <c r="B4446" s="664" t="s">
        <v>546</v>
      </c>
      <c r="C4446" s="71" t="s">
        <v>114</v>
      </c>
      <c r="D4446" s="71">
        <v>50</v>
      </c>
      <c r="E4446" s="102">
        <v>18000</v>
      </c>
      <c r="F4446" s="102">
        <f>(E4446*D4446)*1.1</f>
        <v>990000.00000000012</v>
      </c>
      <c r="G4446" s="102">
        <f>(E4446*D4446)</f>
        <v>900000</v>
      </c>
      <c r="H4446" s="690" t="s">
        <v>1431</v>
      </c>
      <c r="I4446" s="690" t="s">
        <v>1431</v>
      </c>
      <c r="J4446" s="53">
        <f t="shared" si="2185"/>
        <v>386850</v>
      </c>
      <c r="K4446" s="63">
        <f t="shared" si="2192"/>
        <v>0.42983333333333329</v>
      </c>
      <c r="L4446" s="871" t="s">
        <v>3133</v>
      </c>
      <c r="M4446" s="468"/>
      <c r="N4446" s="1192">
        <f t="shared" si="2189"/>
        <v>44484</v>
      </c>
      <c r="O4446" s="71" t="s">
        <v>1431</v>
      </c>
      <c r="P4446" s="164" t="str">
        <f t="shared" si="2190"/>
        <v>스트리퍼</v>
      </c>
      <c r="Q4446" s="71">
        <f t="shared" si="2199"/>
        <v>50</v>
      </c>
      <c r="R4446" s="102">
        <v>10263</v>
      </c>
      <c r="S4446" s="102">
        <f t="shared" si="2200"/>
        <v>564465</v>
      </c>
      <c r="T4446" s="102">
        <f t="shared" si="2201"/>
        <v>513150</v>
      </c>
      <c r="U4446" s="71"/>
      <c r="V4446" s="71"/>
      <c r="W4446" s="474"/>
      <c r="X4446" s="71"/>
      <c r="Y4446" s="71"/>
    </row>
    <row r="4447" spans="1:25" ht="30" hidden="1" customHeight="1" x14ac:dyDescent="0.25">
      <c r="A4447" s="1145">
        <v>44484</v>
      </c>
      <c r="B4447" s="664" t="s">
        <v>2155</v>
      </c>
      <c r="C4447" s="71" t="s">
        <v>277</v>
      </c>
      <c r="D4447" s="71">
        <v>10</v>
      </c>
      <c r="E4447" s="102">
        <v>172000</v>
      </c>
      <c r="F4447" s="102">
        <f t="shared" si="2197"/>
        <v>1892000.0000000002</v>
      </c>
      <c r="G4447" s="102">
        <f t="shared" si="2198"/>
        <v>1720000</v>
      </c>
      <c r="H4447" s="690" t="s">
        <v>173</v>
      </c>
      <c r="I4447" s="71" t="s">
        <v>108</v>
      </c>
      <c r="J4447" s="53">
        <f t="shared" si="2185"/>
        <v>570000</v>
      </c>
      <c r="K4447" s="63">
        <f t="shared" si="2192"/>
        <v>0.33139534883720928</v>
      </c>
      <c r="L4447" s="871" t="s">
        <v>3133</v>
      </c>
      <c r="M4447" s="468"/>
      <c r="N4447" s="1192">
        <f t="shared" si="2189"/>
        <v>44484</v>
      </c>
      <c r="O4447" s="71" t="s">
        <v>150</v>
      </c>
      <c r="P4447" s="164" t="str">
        <f t="shared" si="2190"/>
        <v>윤전용 세척제(Web 504)</v>
      </c>
      <c r="Q4447" s="71">
        <f>D4447</f>
        <v>10</v>
      </c>
      <c r="R4447" s="102">
        <v>115000</v>
      </c>
      <c r="S4447" s="102">
        <f t="shared" si="2200"/>
        <v>1265000</v>
      </c>
      <c r="T4447" s="102">
        <f t="shared" si="2201"/>
        <v>1150000</v>
      </c>
      <c r="U4447" s="71" t="str">
        <f>IF(J4447=W4447,"O", "X")</f>
        <v>X</v>
      </c>
      <c r="V4447" s="71"/>
      <c r="W4447" s="474">
        <v>285000</v>
      </c>
      <c r="X4447" s="71"/>
      <c r="Y4447" s="71"/>
    </row>
    <row r="4448" spans="1:25" ht="30" hidden="1" customHeight="1" x14ac:dyDescent="0.25">
      <c r="A4448" s="1145">
        <v>44484</v>
      </c>
      <c r="B4448" s="664" t="s">
        <v>2155</v>
      </c>
      <c r="C4448" s="760" t="s">
        <v>218</v>
      </c>
      <c r="D4448" s="71">
        <v>5</v>
      </c>
      <c r="E4448" s="102">
        <v>192500</v>
      </c>
      <c r="F4448" s="102">
        <f t="shared" si="2197"/>
        <v>1058750</v>
      </c>
      <c r="G4448" s="102">
        <f t="shared" si="2198"/>
        <v>962500</v>
      </c>
      <c r="H4448" s="690" t="s">
        <v>173</v>
      </c>
      <c r="I4448" s="71" t="s">
        <v>120</v>
      </c>
      <c r="J4448" s="53">
        <f t="shared" si="2185"/>
        <v>400000</v>
      </c>
      <c r="K4448" s="63">
        <f t="shared" si="2192"/>
        <v>0.41558441558441561</v>
      </c>
      <c r="L4448" s="871" t="s">
        <v>3133</v>
      </c>
      <c r="M4448" s="468"/>
      <c r="N4448" s="1192">
        <f t="shared" si="2189"/>
        <v>44484</v>
      </c>
      <c r="O4448" s="71" t="s">
        <v>150</v>
      </c>
      <c r="P4448" s="164" t="str">
        <f t="shared" si="2190"/>
        <v>Fount Web 551AF</v>
      </c>
      <c r="Q4448" s="71">
        <f>D4448</f>
        <v>5</v>
      </c>
      <c r="R4448" s="102">
        <v>112500</v>
      </c>
      <c r="S4448" s="102">
        <f t="shared" si="2200"/>
        <v>618750</v>
      </c>
      <c r="T4448" s="102">
        <f t="shared" si="2201"/>
        <v>562500</v>
      </c>
      <c r="U4448" s="71" t="str">
        <f>IF(J4448=W4448,"O", "X")</f>
        <v>X</v>
      </c>
      <c r="V4448" s="71"/>
      <c r="W4448" s="474">
        <v>640000</v>
      </c>
      <c r="X4448" s="71"/>
      <c r="Y4448" s="71"/>
    </row>
    <row r="4449" spans="1:25" ht="30" hidden="1" customHeight="1" x14ac:dyDescent="0.25">
      <c r="A4449" s="1145">
        <v>44484</v>
      </c>
      <c r="B4449" s="664" t="s">
        <v>442</v>
      </c>
      <c r="C4449" s="71" t="s">
        <v>651</v>
      </c>
      <c r="D4449" s="71">
        <v>6</v>
      </c>
      <c r="E4449" s="102">
        <v>41000</v>
      </c>
      <c r="F4449" s="102">
        <f t="shared" si="2197"/>
        <v>270600</v>
      </c>
      <c r="G4449" s="102">
        <f t="shared" si="2198"/>
        <v>246000</v>
      </c>
      <c r="H4449" s="690" t="s">
        <v>2029</v>
      </c>
      <c r="I4449" s="71" t="s">
        <v>195</v>
      </c>
      <c r="J4449" s="53">
        <f t="shared" si="2185"/>
        <v>81000</v>
      </c>
      <c r="K4449" s="63">
        <f t="shared" si="2192"/>
        <v>0.32926829268292684</v>
      </c>
      <c r="L4449" s="871" t="s">
        <v>3133</v>
      </c>
      <c r="M4449" s="468"/>
      <c r="N4449" s="1192">
        <f t="shared" si="2189"/>
        <v>44484</v>
      </c>
      <c r="O4449" s="71" t="s">
        <v>194</v>
      </c>
      <c r="P4449" s="164" t="str">
        <f t="shared" si="2190"/>
        <v>Agfa 현상액 G101C(10L)</v>
      </c>
      <c r="Q4449" s="71">
        <v>6</v>
      </c>
      <c r="R4449" s="102">
        <v>27500</v>
      </c>
      <c r="S4449" s="102">
        <f t="shared" si="2200"/>
        <v>181500.00000000003</v>
      </c>
      <c r="T4449" s="102">
        <f t="shared" si="2201"/>
        <v>165000</v>
      </c>
      <c r="U4449" s="71" t="str">
        <f>IF(J4449=W4449,"O", "X")</f>
        <v>O</v>
      </c>
      <c r="V4449" s="71"/>
      <c r="W4449" s="474">
        <f>(G4449-T4449)</f>
        <v>81000</v>
      </c>
      <c r="X4449" s="71"/>
      <c r="Y4449" s="71"/>
    </row>
    <row r="4450" spans="1:25" ht="30" hidden="1" customHeight="1" x14ac:dyDescent="0.25">
      <c r="A4450" s="1145">
        <v>44484</v>
      </c>
      <c r="B4450" s="664" t="s">
        <v>575</v>
      </c>
      <c r="C4450" s="71" t="s">
        <v>1424</v>
      </c>
      <c r="D4450" s="71">
        <v>1</v>
      </c>
      <c r="E4450" s="102">
        <v>2625000</v>
      </c>
      <c r="F4450" s="102">
        <f t="shared" si="2197"/>
        <v>2887500.0000000005</v>
      </c>
      <c r="G4450" s="102">
        <f t="shared" si="2198"/>
        <v>2625000</v>
      </c>
      <c r="H4450" s="690" t="s">
        <v>985</v>
      </c>
      <c r="I4450" s="690" t="s">
        <v>985</v>
      </c>
      <c r="J4450" s="53"/>
      <c r="K4450" s="63"/>
      <c r="L4450" s="871" t="s">
        <v>3133</v>
      </c>
      <c r="M4450" s="468"/>
      <c r="N4450" s="1192">
        <f t="shared" si="2189"/>
        <v>44484</v>
      </c>
      <c r="O4450" s="71"/>
      <c r="P4450" s="164" t="str">
        <f t="shared" si="2190"/>
        <v>M600 서비스 계약(4회차)</v>
      </c>
      <c r="Q4450" s="71">
        <f t="shared" ref="Q4450:Q4458" si="2202">D4450</f>
        <v>1</v>
      </c>
      <c r="R4450" s="102"/>
      <c r="S4450" s="102">
        <f t="shared" si="2200"/>
        <v>0</v>
      </c>
      <c r="T4450" s="102">
        <f t="shared" si="2201"/>
        <v>0</v>
      </c>
      <c r="U4450" s="71"/>
      <c r="V4450" s="71"/>
      <c r="W4450" s="474"/>
      <c r="X4450" s="71"/>
      <c r="Y4450" s="71"/>
    </row>
    <row r="4451" spans="1:25" ht="30" hidden="1" customHeight="1" x14ac:dyDescent="0.25">
      <c r="A4451" s="1145">
        <v>44485</v>
      </c>
      <c r="B4451" s="664" t="s">
        <v>545</v>
      </c>
      <c r="C4451" s="71" t="s">
        <v>227</v>
      </c>
      <c r="D4451" s="71">
        <v>20</v>
      </c>
      <c r="E4451" s="102">
        <v>110000</v>
      </c>
      <c r="F4451" s="102">
        <f t="shared" si="2197"/>
        <v>2420000</v>
      </c>
      <c r="G4451" s="102">
        <f t="shared" si="2198"/>
        <v>2200000</v>
      </c>
      <c r="H4451" s="690" t="s">
        <v>173</v>
      </c>
      <c r="I4451" s="71" t="s">
        <v>109</v>
      </c>
      <c r="J4451" s="53">
        <f t="shared" ref="J4451:J4495" si="2203">G4451-T4451</f>
        <v>542000</v>
      </c>
      <c r="K4451" s="63">
        <f t="shared" si="2192"/>
        <v>0.24636363636363637</v>
      </c>
      <c r="L4451" s="871" t="s">
        <v>3133</v>
      </c>
      <c r="M4451" s="468"/>
      <c r="N4451" s="1192">
        <f t="shared" si="2189"/>
        <v>44485</v>
      </c>
      <c r="O4451" s="71" t="s">
        <v>147</v>
      </c>
      <c r="P4451" s="164" t="str">
        <f t="shared" si="2190"/>
        <v>Blanket(1060*860)</v>
      </c>
      <c r="Q4451" s="71">
        <f t="shared" si="2202"/>
        <v>20</v>
      </c>
      <c r="R4451" s="102">
        <v>82900</v>
      </c>
      <c r="S4451" s="102">
        <f t="shared" si="2200"/>
        <v>1823800.0000000002</v>
      </c>
      <c r="T4451" s="102">
        <f t="shared" si="2201"/>
        <v>1658000</v>
      </c>
      <c r="U4451" s="71" t="str">
        <f>IF(J4451=W4451,"O", "X")</f>
        <v>O</v>
      </c>
      <c r="V4451" s="71"/>
      <c r="W4451" s="474">
        <f>(G4451-T4451)</f>
        <v>542000</v>
      </c>
      <c r="X4451" s="71"/>
      <c r="Y4451" s="71"/>
    </row>
    <row r="4452" spans="1:25" ht="30" hidden="1" customHeight="1" x14ac:dyDescent="0.25">
      <c r="A4452" s="1145">
        <v>44485</v>
      </c>
      <c r="B4452" s="664" t="s">
        <v>545</v>
      </c>
      <c r="C4452" s="71" t="s">
        <v>1441</v>
      </c>
      <c r="D4452" s="71">
        <v>4</v>
      </c>
      <c r="E4452" s="102">
        <v>210000</v>
      </c>
      <c r="F4452" s="102">
        <f t="shared" si="2197"/>
        <v>924000.00000000012</v>
      </c>
      <c r="G4452" s="102">
        <f t="shared" si="2198"/>
        <v>840000</v>
      </c>
      <c r="H4452" s="690" t="s">
        <v>173</v>
      </c>
      <c r="I4452" s="71" t="s">
        <v>2231</v>
      </c>
      <c r="J4452" s="53">
        <f t="shared" si="2203"/>
        <v>180000</v>
      </c>
      <c r="K4452" s="63">
        <f t="shared" si="2192"/>
        <v>0.21428571428571425</v>
      </c>
      <c r="L4452" s="871" t="s">
        <v>3133</v>
      </c>
      <c r="M4452" s="468"/>
      <c r="N4452" s="1192">
        <f t="shared" si="2189"/>
        <v>44485</v>
      </c>
      <c r="O4452" s="71" t="s">
        <v>1555</v>
      </c>
      <c r="P4452" s="164" t="str">
        <f t="shared" si="2190"/>
        <v xml:space="preserve"> OKS340 체인구리스</v>
      </c>
      <c r="Q4452" s="71">
        <f t="shared" si="2202"/>
        <v>4</v>
      </c>
      <c r="R4452" s="102">
        <v>165000</v>
      </c>
      <c r="S4452" s="102">
        <f t="shared" si="2200"/>
        <v>726000.00000000012</v>
      </c>
      <c r="T4452" s="102">
        <f t="shared" si="2201"/>
        <v>660000</v>
      </c>
      <c r="U4452" s="71" t="str">
        <f>IF(J4452=W4452,"O", "X")</f>
        <v>X</v>
      </c>
      <c r="V4452" s="71"/>
      <c r="W4452" s="474"/>
      <c r="X4452" s="71"/>
      <c r="Y4452" s="71"/>
    </row>
    <row r="4453" spans="1:25" ht="30" customHeight="1" x14ac:dyDescent="0.2">
      <c r="A4453" s="1145">
        <v>44487</v>
      </c>
      <c r="B4453" s="664" t="s">
        <v>2352</v>
      </c>
      <c r="C4453" s="71" t="s">
        <v>692</v>
      </c>
      <c r="D4453" s="71">
        <v>10</v>
      </c>
      <c r="E4453" s="102">
        <v>218000</v>
      </c>
      <c r="F4453" s="102">
        <f t="shared" si="2197"/>
        <v>2398000</v>
      </c>
      <c r="G4453" s="102">
        <f t="shared" si="2198"/>
        <v>2180000</v>
      </c>
      <c r="H4453" s="165" t="s">
        <v>142</v>
      </c>
      <c r="I4453" s="71" t="s">
        <v>142</v>
      </c>
      <c r="J4453" s="53">
        <f t="shared" si="2203"/>
        <v>580000</v>
      </c>
      <c r="K4453" s="63">
        <f t="shared" si="2192"/>
        <v>0.26605504587155965</v>
      </c>
      <c r="L4453" s="871" t="s">
        <v>3133</v>
      </c>
      <c r="M4453" s="468" t="s">
        <v>2052</v>
      </c>
      <c r="N4453" s="1192">
        <f t="shared" si="2189"/>
        <v>44487</v>
      </c>
      <c r="O4453" s="71" t="s">
        <v>150</v>
      </c>
      <c r="P4453" s="164" t="str">
        <f t="shared" si="2190"/>
        <v>윤전 블랑켓</v>
      </c>
      <c r="Q4453" s="71">
        <f t="shared" si="2202"/>
        <v>10</v>
      </c>
      <c r="R4453" s="102">
        <v>160000</v>
      </c>
      <c r="S4453" s="102">
        <f t="shared" si="2200"/>
        <v>1760000.0000000002</v>
      </c>
      <c r="T4453" s="102">
        <f t="shared" si="2201"/>
        <v>1600000</v>
      </c>
      <c r="U4453" s="71" t="str">
        <f>IF(J4453=W4453,"O", "X")</f>
        <v>O</v>
      </c>
      <c r="V4453" s="71" t="s">
        <v>784</v>
      </c>
      <c r="W4453" s="474">
        <f>(G4453-T4453)</f>
        <v>580000</v>
      </c>
      <c r="X4453" s="71"/>
      <c r="Y4453" s="71"/>
    </row>
    <row r="4454" spans="1:25" ht="30" hidden="1" customHeight="1" x14ac:dyDescent="0.25">
      <c r="A4454" s="1145">
        <v>44487</v>
      </c>
      <c r="B4454" s="664" t="s">
        <v>2353</v>
      </c>
      <c r="C4454" s="71" t="s">
        <v>123</v>
      </c>
      <c r="D4454" s="71">
        <v>5</v>
      </c>
      <c r="E4454" s="102">
        <v>35000</v>
      </c>
      <c r="F4454" s="102">
        <f t="shared" ref="F4454:F4471" si="2204">(E4454*D4454)*1.1</f>
        <v>192500.00000000003</v>
      </c>
      <c r="G4454" s="102">
        <f t="shared" ref="G4454:G4471" si="2205">(E4454*D4454)</f>
        <v>175000</v>
      </c>
      <c r="H4454" s="690" t="s">
        <v>142</v>
      </c>
      <c r="I4454" s="71" t="s">
        <v>142</v>
      </c>
      <c r="J4454" s="53">
        <f t="shared" si="2203"/>
        <v>55000</v>
      </c>
      <c r="K4454" s="63">
        <f t="shared" si="2192"/>
        <v>0.31428571428571422</v>
      </c>
      <c r="L4454" s="871" t="s">
        <v>3133</v>
      </c>
      <c r="M4454" s="468" t="s">
        <v>3162</v>
      </c>
      <c r="N4454" s="1192">
        <f t="shared" si="2189"/>
        <v>44487</v>
      </c>
      <c r="O4454" s="71" t="s">
        <v>94</v>
      </c>
      <c r="P4454" s="164" t="str">
        <f t="shared" si="2190"/>
        <v>필터백</v>
      </c>
      <c r="Q4454" s="71">
        <f t="shared" si="2202"/>
        <v>5</v>
      </c>
      <c r="R4454" s="102">
        <v>24000</v>
      </c>
      <c r="S4454" s="102">
        <f t="shared" si="2200"/>
        <v>132000</v>
      </c>
      <c r="T4454" s="102">
        <f t="shared" si="2201"/>
        <v>120000</v>
      </c>
      <c r="U4454" s="71"/>
      <c r="V4454" s="71"/>
      <c r="W4454" s="474"/>
      <c r="X4454" s="71"/>
      <c r="Y4454" s="71"/>
    </row>
    <row r="4455" spans="1:25" s="209" customFormat="1" ht="30" hidden="1" customHeight="1" x14ac:dyDescent="0.2">
      <c r="A4455" s="1145">
        <v>44487</v>
      </c>
      <c r="B4455" s="664" t="s">
        <v>2353</v>
      </c>
      <c r="C4455" s="71" t="s">
        <v>138</v>
      </c>
      <c r="D4455" s="71">
        <v>10</v>
      </c>
      <c r="E4455" s="102">
        <v>54400</v>
      </c>
      <c r="F4455" s="102">
        <f t="shared" si="2204"/>
        <v>598400</v>
      </c>
      <c r="G4455" s="102">
        <f t="shared" si="2205"/>
        <v>544000</v>
      </c>
      <c r="H4455" s="165" t="s">
        <v>142</v>
      </c>
      <c r="I4455" s="71" t="s">
        <v>142</v>
      </c>
      <c r="J4455" s="53">
        <f t="shared" si="2203"/>
        <v>136000</v>
      </c>
      <c r="K4455" s="63">
        <f t="shared" si="2192"/>
        <v>0.25</v>
      </c>
      <c r="L4455" s="871" t="s">
        <v>3133</v>
      </c>
      <c r="M4455" s="468" t="s">
        <v>2214</v>
      </c>
      <c r="N4455" s="1192">
        <f t="shared" si="2189"/>
        <v>44487</v>
      </c>
      <c r="O4455" s="71" t="s">
        <v>2030</v>
      </c>
      <c r="P4455" s="164" t="str">
        <f t="shared" si="2190"/>
        <v>매엽용 세척제(Wash 562)</v>
      </c>
      <c r="Q4455" s="71">
        <f t="shared" si="2202"/>
        <v>10</v>
      </c>
      <c r="R4455" s="102">
        <v>40800</v>
      </c>
      <c r="S4455" s="102">
        <f t="shared" si="2200"/>
        <v>448800.00000000006</v>
      </c>
      <c r="T4455" s="102">
        <f t="shared" si="2201"/>
        <v>408000</v>
      </c>
      <c r="U4455" s="71" t="str">
        <f>IF(J4455=W4455,"O", "X")</f>
        <v>O</v>
      </c>
      <c r="V4455" s="71"/>
      <c r="W4455" s="474">
        <f>(G4455-T4455)</f>
        <v>136000</v>
      </c>
      <c r="X4455" s="71"/>
      <c r="Y4455" s="71"/>
    </row>
    <row r="4456" spans="1:25" ht="30" hidden="1" customHeight="1" x14ac:dyDescent="0.2">
      <c r="A4456" s="1145">
        <v>44487</v>
      </c>
      <c r="B4456" s="664" t="s">
        <v>2353</v>
      </c>
      <c r="C4456" s="71" t="s">
        <v>129</v>
      </c>
      <c r="D4456" s="71">
        <v>7</v>
      </c>
      <c r="E4456" s="102">
        <v>272000</v>
      </c>
      <c r="F4456" s="102">
        <f t="shared" si="2204"/>
        <v>2094400.0000000002</v>
      </c>
      <c r="G4456" s="102">
        <f t="shared" si="2205"/>
        <v>1904000</v>
      </c>
      <c r="H4456" s="165" t="s">
        <v>142</v>
      </c>
      <c r="I4456" s="71" t="s">
        <v>142</v>
      </c>
      <c r="J4456" s="53">
        <f t="shared" si="2203"/>
        <v>414400</v>
      </c>
      <c r="K4456" s="63">
        <f t="shared" si="2192"/>
        <v>0.21764705882352939</v>
      </c>
      <c r="L4456" s="871" t="s">
        <v>3133</v>
      </c>
      <c r="M4456" s="468" t="s">
        <v>2050</v>
      </c>
      <c r="N4456" s="1192">
        <f t="shared" si="2189"/>
        <v>44487</v>
      </c>
      <c r="O4456" s="71" t="s">
        <v>149</v>
      </c>
      <c r="P4456" s="164" t="str">
        <f t="shared" si="2190"/>
        <v>세정포-XL106</v>
      </c>
      <c r="Q4456" s="71">
        <f t="shared" si="2202"/>
        <v>7</v>
      </c>
      <c r="R4456" s="102">
        <v>212800</v>
      </c>
      <c r="S4456" s="102">
        <f t="shared" si="2200"/>
        <v>1638560.0000000002</v>
      </c>
      <c r="T4456" s="102">
        <f t="shared" si="2201"/>
        <v>1489600</v>
      </c>
      <c r="U4456" s="71" t="str">
        <f>IF(J4456=W4456,"O", "X")</f>
        <v>O</v>
      </c>
      <c r="V4456" s="71"/>
      <c r="W4456" s="474">
        <f>(G4456-T4456)</f>
        <v>414400</v>
      </c>
      <c r="X4456" s="71"/>
      <c r="Y4456" s="71"/>
    </row>
    <row r="4457" spans="1:25" ht="30" hidden="1" customHeight="1" x14ac:dyDescent="0.25">
      <c r="A4457" s="1145">
        <v>44487</v>
      </c>
      <c r="B4457" s="664" t="s">
        <v>442</v>
      </c>
      <c r="C4457" s="71" t="s">
        <v>206</v>
      </c>
      <c r="D4457" s="71">
        <v>2</v>
      </c>
      <c r="E4457" s="102">
        <v>366500</v>
      </c>
      <c r="F4457" s="102">
        <f t="shared" si="2204"/>
        <v>806300.00000000012</v>
      </c>
      <c r="G4457" s="102">
        <f t="shared" si="2205"/>
        <v>733000</v>
      </c>
      <c r="H4457" s="690" t="s">
        <v>2029</v>
      </c>
      <c r="I4457" s="71" t="s">
        <v>195</v>
      </c>
      <c r="J4457" s="53">
        <f t="shared" si="2203"/>
        <v>194800</v>
      </c>
      <c r="K4457" s="63">
        <f t="shared" si="2192"/>
        <v>0.26575716234652108</v>
      </c>
      <c r="L4457" s="871" t="s">
        <v>3133</v>
      </c>
      <c r="M4457" s="468"/>
      <c r="N4457" s="1192">
        <f t="shared" si="2189"/>
        <v>44487</v>
      </c>
      <c r="O4457" s="71" t="s">
        <v>194</v>
      </c>
      <c r="P4457" s="164" t="str">
        <f t="shared" si="2190"/>
        <v>Agfa Film(24inch)</v>
      </c>
      <c r="Q4457" s="71">
        <f t="shared" si="2202"/>
        <v>2</v>
      </c>
      <c r="R4457" s="102">
        <v>269100</v>
      </c>
      <c r="S4457" s="102">
        <f t="shared" si="2200"/>
        <v>592020</v>
      </c>
      <c r="T4457" s="102">
        <f t="shared" si="2201"/>
        <v>538200</v>
      </c>
      <c r="U4457" s="71" t="str">
        <f>IF(J4457=W4457,"O", "X")</f>
        <v>O</v>
      </c>
      <c r="V4457" s="71"/>
      <c r="W4457" s="474">
        <f>(G4457-T4457)</f>
        <v>194800</v>
      </c>
      <c r="X4457" s="71"/>
      <c r="Y4457" s="71"/>
    </row>
    <row r="4458" spans="1:25" ht="30" hidden="1" customHeight="1" x14ac:dyDescent="0.25">
      <c r="A4458" s="1145">
        <v>44487</v>
      </c>
      <c r="B4458" s="664" t="s">
        <v>442</v>
      </c>
      <c r="C4458" s="71" t="s">
        <v>207</v>
      </c>
      <c r="D4458" s="71">
        <v>2</v>
      </c>
      <c r="E4458" s="102">
        <v>451000</v>
      </c>
      <c r="F4458" s="102">
        <f t="shared" si="2204"/>
        <v>992200.00000000012</v>
      </c>
      <c r="G4458" s="102">
        <f t="shared" si="2205"/>
        <v>902000</v>
      </c>
      <c r="H4458" s="690" t="s">
        <v>2029</v>
      </c>
      <c r="I4458" s="71" t="s">
        <v>195</v>
      </c>
      <c r="J4458" s="53">
        <f t="shared" si="2203"/>
        <v>274080</v>
      </c>
      <c r="K4458" s="63">
        <f t="shared" si="2192"/>
        <v>0.30385809312638579</v>
      </c>
      <c r="L4458" s="871" t="s">
        <v>3133</v>
      </c>
      <c r="M4458" s="468"/>
      <c r="N4458" s="1192">
        <f t="shared" si="2189"/>
        <v>44487</v>
      </c>
      <c r="O4458" s="71" t="s">
        <v>194</v>
      </c>
      <c r="P4458" s="164" t="str">
        <f t="shared" si="2190"/>
        <v>Agfa Film(28inch)</v>
      </c>
      <c r="Q4458" s="71">
        <f t="shared" si="2202"/>
        <v>2</v>
      </c>
      <c r="R4458" s="102">
        <f>VLOOKUP(P4458,[5]Price!B$1:D$65536,3,FALSE)</f>
        <v>313960</v>
      </c>
      <c r="S4458" s="102">
        <f t="shared" si="2200"/>
        <v>690712</v>
      </c>
      <c r="T4458" s="102">
        <f t="shared" si="2201"/>
        <v>627920</v>
      </c>
      <c r="U4458" s="71" t="str">
        <f>IF(J4458=W4458,"O", "X")</f>
        <v>O</v>
      </c>
      <c r="V4458" s="71"/>
      <c r="W4458" s="474">
        <f>(G4458-T4458)</f>
        <v>274080</v>
      </c>
      <c r="X4458" s="71"/>
      <c r="Y4458" s="71"/>
    </row>
    <row r="4459" spans="1:25" ht="30" hidden="1" customHeight="1" x14ac:dyDescent="0.25">
      <c r="A4459" s="1145">
        <v>44487</v>
      </c>
      <c r="B4459" s="664" t="s">
        <v>442</v>
      </c>
      <c r="C4459" s="71" t="s">
        <v>208</v>
      </c>
      <c r="D4459" s="71">
        <v>2</v>
      </c>
      <c r="E4459" s="102">
        <v>505000</v>
      </c>
      <c r="F4459" s="102">
        <f t="shared" si="2204"/>
        <v>1111000</v>
      </c>
      <c r="G4459" s="102">
        <f t="shared" si="2205"/>
        <v>1010000</v>
      </c>
      <c r="H4459" s="690" t="s">
        <v>2029</v>
      </c>
      <c r="I4459" s="71" t="s">
        <v>195</v>
      </c>
      <c r="J4459" s="53">
        <f t="shared" si="2203"/>
        <v>269980</v>
      </c>
      <c r="K4459" s="63">
        <f t="shared" si="2192"/>
        <v>0.26730693069306932</v>
      </c>
      <c r="L4459" s="871" t="s">
        <v>3133</v>
      </c>
      <c r="M4459" s="468"/>
      <c r="N4459" s="1192">
        <f t="shared" si="2189"/>
        <v>44487</v>
      </c>
      <c r="O4459" s="71" t="s">
        <v>194</v>
      </c>
      <c r="P4459" s="164" t="str">
        <f t="shared" si="2190"/>
        <v>Agfa Film(32inch)</v>
      </c>
      <c r="Q4459" s="71">
        <f>D4459</f>
        <v>2</v>
      </c>
      <c r="R4459" s="102">
        <f>VLOOKUP(P4459,[5]Price!B$1:D$65536,3,FALSE)</f>
        <v>370010</v>
      </c>
      <c r="S4459" s="102">
        <f t="shared" si="2200"/>
        <v>814022.00000000012</v>
      </c>
      <c r="T4459" s="102">
        <f t="shared" si="2201"/>
        <v>740020</v>
      </c>
      <c r="U4459" s="71" t="str">
        <f>IF(J4459=W4459,"O", "X")</f>
        <v>O</v>
      </c>
      <c r="V4459" s="71"/>
      <c r="W4459" s="474">
        <f>(G4459-T4459)</f>
        <v>269980</v>
      </c>
      <c r="X4459" s="71"/>
      <c r="Y4459" s="71"/>
    </row>
    <row r="4460" spans="1:25" ht="30" customHeight="1" x14ac:dyDescent="0.25">
      <c r="A4460" s="1145">
        <v>44488</v>
      </c>
      <c r="B4460" s="664" t="s">
        <v>565</v>
      </c>
      <c r="C4460" s="71" t="s">
        <v>3167</v>
      </c>
      <c r="D4460" s="71">
        <v>1</v>
      </c>
      <c r="E4460" s="102">
        <v>360000</v>
      </c>
      <c r="F4460" s="102">
        <f t="shared" si="2204"/>
        <v>396000.00000000006</v>
      </c>
      <c r="G4460" s="102">
        <f t="shared" si="2205"/>
        <v>360000</v>
      </c>
      <c r="H4460" s="690" t="s">
        <v>142</v>
      </c>
      <c r="I4460" s="71" t="s">
        <v>142</v>
      </c>
      <c r="J4460" s="53">
        <f t="shared" si="2203"/>
        <v>30000</v>
      </c>
      <c r="K4460" s="63">
        <f t="shared" si="2192"/>
        <v>8.3333333333333315E-2</v>
      </c>
      <c r="L4460" s="871" t="s">
        <v>3133</v>
      </c>
      <c r="M4460" s="468"/>
      <c r="N4460" s="1192">
        <f t="shared" si="2189"/>
        <v>44488</v>
      </c>
      <c r="O4460" s="71" t="s">
        <v>145</v>
      </c>
      <c r="P4460" s="164" t="str">
        <f t="shared" si="2190"/>
        <v>엠프린트 CTP 방문 서비스 비용</v>
      </c>
      <c r="Q4460" s="71">
        <f>D4460</f>
        <v>1</v>
      </c>
      <c r="R4460" s="102">
        <v>330000</v>
      </c>
      <c r="S4460" s="102">
        <f t="shared" si="2200"/>
        <v>363000.00000000006</v>
      </c>
      <c r="T4460" s="102">
        <f t="shared" si="2201"/>
        <v>330000</v>
      </c>
      <c r="U4460" s="71"/>
      <c r="V4460" s="71"/>
      <c r="W4460" s="474"/>
      <c r="X4460" s="71"/>
      <c r="Y4460" s="71"/>
    </row>
    <row r="4461" spans="1:25" ht="30" hidden="1" customHeight="1" x14ac:dyDescent="0.25">
      <c r="A4461" s="1145">
        <v>44489</v>
      </c>
      <c r="B4461" s="664" t="s">
        <v>446</v>
      </c>
      <c r="C4461" s="71" t="s">
        <v>2028</v>
      </c>
      <c r="D4461" s="71">
        <v>20</v>
      </c>
      <c r="E4461" s="102">
        <v>105000</v>
      </c>
      <c r="F4461" s="102">
        <f t="shared" si="2204"/>
        <v>2310000</v>
      </c>
      <c r="G4461" s="102">
        <f t="shared" si="2205"/>
        <v>2100000</v>
      </c>
      <c r="H4461" s="690" t="s">
        <v>2029</v>
      </c>
      <c r="I4461" s="71" t="s">
        <v>2231</v>
      </c>
      <c r="J4461" s="53">
        <f t="shared" si="2203"/>
        <v>280000</v>
      </c>
      <c r="K4461" s="63">
        <f t="shared" si="2192"/>
        <v>0.13333333333333333</v>
      </c>
      <c r="L4461" s="871" t="s">
        <v>3133</v>
      </c>
      <c r="M4461" s="468"/>
      <c r="N4461" s="1192">
        <f t="shared" si="2189"/>
        <v>44489</v>
      </c>
      <c r="O4461" s="71" t="s">
        <v>2030</v>
      </c>
      <c r="P4461" s="164" t="str">
        <f t="shared" si="2190"/>
        <v>실리콘 에멀전</v>
      </c>
      <c r="Q4461" s="71">
        <v>20</v>
      </c>
      <c r="R4461" s="102">
        <v>91000</v>
      </c>
      <c r="S4461" s="102">
        <f t="shared" si="2200"/>
        <v>2002000.0000000002</v>
      </c>
      <c r="T4461" s="102">
        <f t="shared" si="2201"/>
        <v>1820000</v>
      </c>
      <c r="U4461" s="71" t="str">
        <f>IF(J4461=W4461,"O", "X")</f>
        <v>O</v>
      </c>
      <c r="V4461" s="71"/>
      <c r="W4461" s="474">
        <f>(G4461-T4461)</f>
        <v>280000</v>
      </c>
      <c r="X4461" s="71"/>
      <c r="Y4461" s="71"/>
    </row>
    <row r="4462" spans="1:25" ht="30" hidden="1" customHeight="1" x14ac:dyDescent="0.2">
      <c r="A4462" s="1145">
        <v>44489</v>
      </c>
      <c r="B4462" s="664" t="s">
        <v>548</v>
      </c>
      <c r="C4462" s="71" t="s">
        <v>107</v>
      </c>
      <c r="D4462" s="71">
        <v>10</v>
      </c>
      <c r="E4462" s="102">
        <v>90000</v>
      </c>
      <c r="F4462" s="163">
        <f t="shared" si="2204"/>
        <v>990000.00000000012</v>
      </c>
      <c r="G4462" s="102">
        <f t="shared" si="2205"/>
        <v>900000</v>
      </c>
      <c r="H4462" s="165" t="s">
        <v>172</v>
      </c>
      <c r="I4462" s="71" t="s">
        <v>109</v>
      </c>
      <c r="J4462" s="53">
        <f t="shared" si="2203"/>
        <v>95000</v>
      </c>
      <c r="K4462" s="63">
        <f t="shared" si="2192"/>
        <v>0.10555555555555554</v>
      </c>
      <c r="L4462" s="871" t="s">
        <v>3133</v>
      </c>
      <c r="M4462" s="468"/>
      <c r="N4462" s="1192">
        <f t="shared" si="2189"/>
        <v>44489</v>
      </c>
      <c r="O4462" s="71" t="s">
        <v>147</v>
      </c>
      <c r="P4462" s="164" t="str">
        <f t="shared" si="2190"/>
        <v>Blanket(1050*840)</v>
      </c>
      <c r="Q4462" s="71">
        <f>D4462</f>
        <v>10</v>
      </c>
      <c r="R4462" s="102">
        <v>80500</v>
      </c>
      <c r="S4462" s="102">
        <f t="shared" si="2200"/>
        <v>885500.00000000012</v>
      </c>
      <c r="T4462" s="102">
        <f t="shared" si="2201"/>
        <v>805000</v>
      </c>
      <c r="U4462" s="71" t="str">
        <f>IF(J4462=W4462,"O", "X")</f>
        <v>O</v>
      </c>
      <c r="V4462" s="71"/>
      <c r="W4462" s="474">
        <f>(G4462-T4462)</f>
        <v>95000</v>
      </c>
      <c r="X4462" s="71"/>
      <c r="Y4462" s="71"/>
    </row>
    <row r="4463" spans="1:25" ht="30" hidden="1" customHeight="1" x14ac:dyDescent="0.25">
      <c r="A4463" s="1145">
        <v>44491</v>
      </c>
      <c r="B4463" s="664" t="s">
        <v>2155</v>
      </c>
      <c r="C4463" s="760" t="s">
        <v>218</v>
      </c>
      <c r="D4463" s="71">
        <v>5</v>
      </c>
      <c r="E4463" s="102">
        <v>192500</v>
      </c>
      <c r="F4463" s="102">
        <f t="shared" si="2204"/>
        <v>1058750</v>
      </c>
      <c r="G4463" s="102">
        <f t="shared" si="2205"/>
        <v>962500</v>
      </c>
      <c r="H4463" s="690" t="s">
        <v>173</v>
      </c>
      <c r="I4463" s="71" t="s">
        <v>120</v>
      </c>
      <c r="J4463" s="53">
        <f t="shared" si="2203"/>
        <v>400000</v>
      </c>
      <c r="K4463" s="63">
        <f t="shared" si="2192"/>
        <v>0.41558441558441561</v>
      </c>
      <c r="L4463" s="871" t="s">
        <v>3133</v>
      </c>
      <c r="M4463" s="468"/>
      <c r="N4463" s="1192">
        <f t="shared" si="2189"/>
        <v>44491</v>
      </c>
      <c r="O4463" s="71" t="s">
        <v>150</v>
      </c>
      <c r="P4463" s="164" t="str">
        <f t="shared" si="2190"/>
        <v>Fount Web 551AF</v>
      </c>
      <c r="Q4463" s="71">
        <f>D4463</f>
        <v>5</v>
      </c>
      <c r="R4463" s="102">
        <v>112500</v>
      </c>
      <c r="S4463" s="102">
        <f t="shared" si="2200"/>
        <v>618750</v>
      </c>
      <c r="T4463" s="102">
        <f t="shared" si="2201"/>
        <v>562500</v>
      </c>
      <c r="U4463" s="71" t="str">
        <f>IF(J4463=W4463,"O", "X")</f>
        <v>X</v>
      </c>
      <c r="V4463" s="71"/>
      <c r="W4463" s="474">
        <v>640000</v>
      </c>
      <c r="X4463" s="71"/>
      <c r="Y4463" s="71"/>
    </row>
    <row r="4464" spans="1:25" ht="30" hidden="1" customHeight="1" x14ac:dyDescent="0.25">
      <c r="A4464" s="1145">
        <v>44491</v>
      </c>
      <c r="B4464" s="664" t="s">
        <v>2155</v>
      </c>
      <c r="C4464" s="71" t="s">
        <v>277</v>
      </c>
      <c r="D4464" s="71">
        <v>5</v>
      </c>
      <c r="E4464" s="102">
        <v>172000</v>
      </c>
      <c r="F4464" s="102">
        <f t="shared" si="2204"/>
        <v>946000.00000000012</v>
      </c>
      <c r="G4464" s="102">
        <f t="shared" si="2205"/>
        <v>860000</v>
      </c>
      <c r="H4464" s="690" t="s">
        <v>173</v>
      </c>
      <c r="I4464" s="71" t="s">
        <v>108</v>
      </c>
      <c r="J4464" s="53">
        <f t="shared" si="2203"/>
        <v>285000</v>
      </c>
      <c r="K4464" s="63">
        <f t="shared" si="2192"/>
        <v>0.33139534883720928</v>
      </c>
      <c r="L4464" s="871" t="s">
        <v>3133</v>
      </c>
      <c r="M4464" s="468"/>
      <c r="N4464" s="1192">
        <f t="shared" si="2189"/>
        <v>44491</v>
      </c>
      <c r="O4464" s="71" t="s">
        <v>150</v>
      </c>
      <c r="P4464" s="164" t="str">
        <f t="shared" si="2190"/>
        <v>윤전용 세척제(Web 504)</v>
      </c>
      <c r="Q4464" s="71">
        <f>D4464</f>
        <v>5</v>
      </c>
      <c r="R4464" s="102">
        <v>115000</v>
      </c>
      <c r="S4464" s="102">
        <f t="shared" si="2200"/>
        <v>632500</v>
      </c>
      <c r="T4464" s="102">
        <f t="shared" si="2201"/>
        <v>575000</v>
      </c>
      <c r="U4464" s="71" t="str">
        <f>IF(J4464=W4464,"O", "X")</f>
        <v>O</v>
      </c>
      <c r="V4464" s="71"/>
      <c r="W4464" s="474">
        <v>285000</v>
      </c>
      <c r="X4464" s="71"/>
      <c r="Y4464" s="71"/>
    </row>
    <row r="4465" spans="1:25" s="209" customFormat="1" ht="31.5" hidden="1" customHeight="1" x14ac:dyDescent="0.2">
      <c r="A4465" s="1145">
        <v>44491</v>
      </c>
      <c r="B4465" s="664" t="s">
        <v>2155</v>
      </c>
      <c r="C4465" s="71" t="s">
        <v>231</v>
      </c>
      <c r="D4465" s="71">
        <v>10</v>
      </c>
      <c r="E4465" s="102">
        <v>120000</v>
      </c>
      <c r="F4465" s="102">
        <f t="shared" si="2204"/>
        <v>1320000</v>
      </c>
      <c r="G4465" s="102">
        <f t="shared" si="2205"/>
        <v>1200000</v>
      </c>
      <c r="H4465" s="165" t="s">
        <v>172</v>
      </c>
      <c r="I4465" s="71" t="s">
        <v>109</v>
      </c>
      <c r="J4465" s="53">
        <f t="shared" si="2203"/>
        <v>80000</v>
      </c>
      <c r="K4465" s="63">
        <f t="shared" si="2192"/>
        <v>6.6666666666666666E-2</v>
      </c>
      <c r="L4465" s="871" t="s">
        <v>3133</v>
      </c>
      <c r="M4465" s="468"/>
      <c r="N4465" s="1192">
        <f t="shared" si="2189"/>
        <v>44491</v>
      </c>
      <c r="O4465" s="71" t="s">
        <v>151</v>
      </c>
      <c r="P4465" s="164" t="str">
        <f t="shared" si="2190"/>
        <v>Blanket(990*725)</v>
      </c>
      <c r="Q4465" s="71">
        <f>D4465</f>
        <v>10</v>
      </c>
      <c r="R4465" s="102">
        <v>112000</v>
      </c>
      <c r="S4465" s="102">
        <f t="shared" si="2200"/>
        <v>1232000</v>
      </c>
      <c r="T4465" s="102">
        <f t="shared" si="2201"/>
        <v>1120000</v>
      </c>
      <c r="U4465" s="71" t="str">
        <f>IF(J4465=W4465,"O", "X")</f>
        <v>O</v>
      </c>
      <c r="V4465" s="71"/>
      <c r="W4465" s="474">
        <v>80000</v>
      </c>
      <c r="X4465" s="71"/>
      <c r="Y4465" s="71"/>
    </row>
    <row r="4466" spans="1:25" ht="30" hidden="1" customHeight="1" x14ac:dyDescent="0.25">
      <c r="A4466" s="1145">
        <v>44494</v>
      </c>
      <c r="B4466" s="664" t="s">
        <v>1155</v>
      </c>
      <c r="C4466" s="71" t="s">
        <v>579</v>
      </c>
      <c r="D4466" s="71">
        <v>1</v>
      </c>
      <c r="E4466" s="102">
        <v>280000</v>
      </c>
      <c r="F4466" s="102">
        <f t="shared" si="2204"/>
        <v>308000</v>
      </c>
      <c r="G4466" s="102">
        <f t="shared" si="2205"/>
        <v>280000</v>
      </c>
      <c r="H4466" s="690" t="s">
        <v>985</v>
      </c>
      <c r="I4466" s="71" t="s">
        <v>985</v>
      </c>
      <c r="J4466" s="53">
        <f t="shared" si="2203"/>
        <v>280000</v>
      </c>
      <c r="K4466" s="63">
        <f>(J4466/(F4466/11*10))</f>
        <v>1</v>
      </c>
      <c r="L4466" s="871" t="s">
        <v>3133</v>
      </c>
      <c r="M4466" s="468"/>
      <c r="N4466" s="1192">
        <f t="shared" si="2189"/>
        <v>44494</v>
      </c>
      <c r="O4466" s="71"/>
      <c r="P4466" s="164" t="str">
        <f t="shared" si="2190"/>
        <v>M-600 서비스 비용</v>
      </c>
      <c r="Q4466" s="71"/>
      <c r="R4466" s="102"/>
      <c r="S4466" s="102">
        <f t="shared" si="2200"/>
        <v>0</v>
      </c>
      <c r="T4466" s="102">
        <f t="shared" si="2201"/>
        <v>0</v>
      </c>
      <c r="U4466" s="71"/>
      <c r="V4466" s="71"/>
      <c r="W4466" s="474"/>
      <c r="X4466" s="71"/>
      <c r="Y4466" s="71"/>
    </row>
    <row r="4467" spans="1:25" ht="30" customHeight="1" x14ac:dyDescent="0.25">
      <c r="A4467" s="1145">
        <v>44495</v>
      </c>
      <c r="B4467" s="664" t="s">
        <v>2352</v>
      </c>
      <c r="C4467" s="760" t="s">
        <v>218</v>
      </c>
      <c r="D4467" s="71">
        <v>5</v>
      </c>
      <c r="E4467" s="102">
        <v>235000</v>
      </c>
      <c r="F4467" s="102">
        <f t="shared" si="2204"/>
        <v>1292500</v>
      </c>
      <c r="G4467" s="102">
        <f t="shared" si="2205"/>
        <v>1175000</v>
      </c>
      <c r="H4467" s="690" t="s">
        <v>142</v>
      </c>
      <c r="I4467" s="690" t="s">
        <v>142</v>
      </c>
      <c r="J4467" s="53">
        <f t="shared" si="2203"/>
        <v>612500</v>
      </c>
      <c r="K4467" s="63">
        <f t="shared" si="2192"/>
        <v>0.52127659574468088</v>
      </c>
      <c r="L4467" s="871" t="s">
        <v>3133</v>
      </c>
      <c r="M4467" s="468" t="s">
        <v>2053</v>
      </c>
      <c r="N4467" s="1192">
        <f t="shared" si="2189"/>
        <v>44495</v>
      </c>
      <c r="O4467" s="71" t="s">
        <v>150</v>
      </c>
      <c r="P4467" s="164" t="str">
        <f t="shared" si="2190"/>
        <v>Fount Web 551AF</v>
      </c>
      <c r="Q4467" s="71">
        <f>D4467</f>
        <v>5</v>
      </c>
      <c r="R4467" s="102">
        <v>112500</v>
      </c>
      <c r="S4467" s="102">
        <f t="shared" si="2200"/>
        <v>618750</v>
      </c>
      <c r="T4467" s="102">
        <f t="shared" si="2201"/>
        <v>562500</v>
      </c>
      <c r="U4467" s="71" t="str">
        <f>IF(J4467=W4467,"O", "X")</f>
        <v>O</v>
      </c>
      <c r="V4467" s="71"/>
      <c r="W4467" s="474">
        <f>(G4467-T4467)</f>
        <v>612500</v>
      </c>
      <c r="X4467" s="71"/>
      <c r="Y4467" s="71"/>
    </row>
    <row r="4468" spans="1:25" ht="30" hidden="1" customHeight="1" x14ac:dyDescent="0.25">
      <c r="A4468" s="1145">
        <v>44495</v>
      </c>
      <c r="B4468" s="664" t="s">
        <v>2353</v>
      </c>
      <c r="C4468" s="71" t="s">
        <v>3161</v>
      </c>
      <c r="D4468" s="71">
        <v>2</v>
      </c>
      <c r="E4468" s="102">
        <v>20000</v>
      </c>
      <c r="F4468" s="102">
        <f t="shared" si="2204"/>
        <v>44000</v>
      </c>
      <c r="G4468" s="102">
        <f t="shared" si="2205"/>
        <v>40000</v>
      </c>
      <c r="H4468" s="690" t="s">
        <v>142</v>
      </c>
      <c r="I4468" s="71" t="s">
        <v>142</v>
      </c>
      <c r="J4468" s="53">
        <f t="shared" si="2203"/>
        <v>8000</v>
      </c>
      <c r="K4468" s="63">
        <f t="shared" si="2192"/>
        <v>0.2</v>
      </c>
      <c r="L4468" s="871" t="s">
        <v>3156</v>
      </c>
      <c r="M4468" s="468"/>
      <c r="N4468" s="1192">
        <f t="shared" si="2189"/>
        <v>44495</v>
      </c>
      <c r="O4468" s="71" t="s">
        <v>150</v>
      </c>
      <c r="P4468" s="164" t="str">
        <f t="shared" si="2190"/>
        <v>잉크덕트폼테이프</v>
      </c>
      <c r="Q4468" s="71">
        <f>D4468</f>
        <v>2</v>
      </c>
      <c r="R4468" s="102">
        <v>16000</v>
      </c>
      <c r="S4468" s="102">
        <f t="shared" si="2200"/>
        <v>35200</v>
      </c>
      <c r="T4468" s="102">
        <f t="shared" si="2201"/>
        <v>32000</v>
      </c>
      <c r="U4468" s="71"/>
      <c r="V4468" s="71"/>
      <c r="W4468" s="474"/>
      <c r="X4468" s="71"/>
      <c r="Y4468" s="71"/>
    </row>
    <row r="4469" spans="1:25" s="209" customFormat="1" ht="30" hidden="1" customHeight="1" x14ac:dyDescent="0.2">
      <c r="A4469" s="1145">
        <v>44495</v>
      </c>
      <c r="B4469" s="664" t="s">
        <v>2353</v>
      </c>
      <c r="C4469" s="71" t="s">
        <v>130</v>
      </c>
      <c r="D4469" s="71">
        <v>10</v>
      </c>
      <c r="E4469" s="102">
        <v>125000</v>
      </c>
      <c r="F4469" s="102">
        <f t="shared" si="2204"/>
        <v>1375000</v>
      </c>
      <c r="G4469" s="102">
        <f t="shared" si="2205"/>
        <v>1250000</v>
      </c>
      <c r="H4469" s="165" t="s">
        <v>142</v>
      </c>
      <c r="I4469" s="71" t="s">
        <v>142</v>
      </c>
      <c r="J4469" s="53">
        <f t="shared" si="2203"/>
        <v>260000</v>
      </c>
      <c r="K4469" s="63">
        <f>(J4469/(F4469/11*10))</f>
        <v>0.20799999999999999</v>
      </c>
      <c r="L4469" s="871" t="s">
        <v>3156</v>
      </c>
      <c r="M4469" s="468" t="s">
        <v>2050</v>
      </c>
      <c r="N4469" s="1192">
        <f t="shared" si="2189"/>
        <v>44495</v>
      </c>
      <c r="O4469" s="71" t="s">
        <v>150</v>
      </c>
      <c r="P4469" s="164" t="str">
        <f t="shared" si="2190"/>
        <v>XL106 Blanket(1077*885)</v>
      </c>
      <c r="Q4469" s="71">
        <f>D4469</f>
        <v>10</v>
      </c>
      <c r="R4469" s="102">
        <v>99000</v>
      </c>
      <c r="S4469" s="102">
        <f t="shared" si="2200"/>
        <v>1089000</v>
      </c>
      <c r="T4469" s="102">
        <f t="shared" si="2201"/>
        <v>990000</v>
      </c>
      <c r="U4469" s="71" t="str">
        <f>IF(J4469=W4469,"O", "X")</f>
        <v>O</v>
      </c>
      <c r="V4469" s="71"/>
      <c r="W4469" s="474">
        <f>(G4469-T4469)</f>
        <v>260000</v>
      </c>
      <c r="X4469" s="71"/>
      <c r="Y4469" s="71"/>
    </row>
    <row r="4470" spans="1:25" ht="30" hidden="1" customHeight="1" x14ac:dyDescent="0.2">
      <c r="A4470" s="1145">
        <v>44495</v>
      </c>
      <c r="B4470" s="664" t="s">
        <v>2353</v>
      </c>
      <c r="C4470" s="71" t="s">
        <v>129</v>
      </c>
      <c r="D4470" s="71">
        <v>7</v>
      </c>
      <c r="E4470" s="102">
        <v>272000</v>
      </c>
      <c r="F4470" s="102">
        <f t="shared" si="2204"/>
        <v>2094400.0000000002</v>
      </c>
      <c r="G4470" s="102">
        <f t="shared" si="2205"/>
        <v>1904000</v>
      </c>
      <c r="H4470" s="165" t="s">
        <v>142</v>
      </c>
      <c r="I4470" s="71" t="s">
        <v>142</v>
      </c>
      <c r="J4470" s="53">
        <f t="shared" si="2203"/>
        <v>414400</v>
      </c>
      <c r="K4470" s="63">
        <f>(J4470/(F4470/11*10))</f>
        <v>0.21764705882352939</v>
      </c>
      <c r="L4470" s="871" t="s">
        <v>3156</v>
      </c>
      <c r="M4470" s="468" t="s">
        <v>2050</v>
      </c>
      <c r="N4470" s="1192">
        <f t="shared" si="2189"/>
        <v>44495</v>
      </c>
      <c r="O4470" s="71" t="s">
        <v>149</v>
      </c>
      <c r="P4470" s="164" t="str">
        <f t="shared" si="2190"/>
        <v>세정포-XL106</v>
      </c>
      <c r="Q4470" s="71">
        <f>D4470</f>
        <v>7</v>
      </c>
      <c r="R4470" s="102">
        <v>212800</v>
      </c>
      <c r="S4470" s="102">
        <f t="shared" si="2200"/>
        <v>1638560.0000000002</v>
      </c>
      <c r="T4470" s="102">
        <f t="shared" si="2201"/>
        <v>1489600</v>
      </c>
      <c r="U4470" s="71" t="str">
        <f>IF(J4470=W4470,"O", "X")</f>
        <v>O</v>
      </c>
      <c r="V4470" s="71"/>
      <c r="W4470" s="474">
        <f>(G4470-T4470)</f>
        <v>414400</v>
      </c>
      <c r="X4470" s="71"/>
      <c r="Y4470" s="71"/>
    </row>
    <row r="4471" spans="1:25" ht="30" customHeight="1" x14ac:dyDescent="0.2">
      <c r="A4471" s="1145">
        <v>44495</v>
      </c>
      <c r="B4471" s="664" t="s">
        <v>565</v>
      </c>
      <c r="C4471" s="71" t="s">
        <v>2081</v>
      </c>
      <c r="D4471" s="71">
        <v>100</v>
      </c>
      <c r="E4471" s="102">
        <v>69000</v>
      </c>
      <c r="F4471" s="102">
        <f t="shared" si="2204"/>
        <v>7590000.0000000009</v>
      </c>
      <c r="G4471" s="102">
        <f t="shared" si="2205"/>
        <v>6900000</v>
      </c>
      <c r="H4471" s="165" t="s">
        <v>173</v>
      </c>
      <c r="I4471" s="71" t="s">
        <v>108</v>
      </c>
      <c r="J4471" s="53">
        <f t="shared" si="2203"/>
        <v>1800000</v>
      </c>
      <c r="K4471" s="63">
        <f>(J4471/(F4471/11*10))</f>
        <v>0.26086956521739124</v>
      </c>
      <c r="L4471" s="871" t="s">
        <v>3156</v>
      </c>
      <c r="M4471" s="468"/>
      <c r="N4471" s="1192">
        <f t="shared" si="2189"/>
        <v>44495</v>
      </c>
      <c r="O4471" s="71" t="s">
        <v>599</v>
      </c>
      <c r="P4471" s="164" t="str">
        <f t="shared" si="2190"/>
        <v>GOSS 신문윤전 습식세정포</v>
      </c>
      <c r="Q4471" s="71">
        <f>D4471</f>
        <v>100</v>
      </c>
      <c r="R4471" s="102">
        <v>51000</v>
      </c>
      <c r="S4471" s="102">
        <f t="shared" si="2200"/>
        <v>5610000</v>
      </c>
      <c r="T4471" s="102">
        <f t="shared" si="2201"/>
        <v>5100000</v>
      </c>
      <c r="U4471" s="71" t="str">
        <f>IF(J4471=W4471,"O", "X")</f>
        <v>X</v>
      </c>
      <c r="V4471" s="71"/>
      <c r="W4471" s="474"/>
      <c r="X4471" s="71"/>
      <c r="Y4471" s="71"/>
    </row>
    <row r="4472" spans="1:25" s="209" customFormat="1" ht="30" hidden="1" customHeight="1" x14ac:dyDescent="0.25">
      <c r="A4472" s="1145">
        <v>44496</v>
      </c>
      <c r="B4472" s="664" t="s">
        <v>567</v>
      </c>
      <c r="C4472" s="71" t="s">
        <v>236</v>
      </c>
      <c r="D4472" s="71">
        <v>5</v>
      </c>
      <c r="E4472" s="102">
        <v>65000</v>
      </c>
      <c r="F4472" s="102">
        <f t="shared" ref="F4472:F4495" si="2206">(E4472*D4472)*1.1</f>
        <v>357500</v>
      </c>
      <c r="G4472" s="102">
        <f t="shared" ref="G4472:G4495" si="2207">(E4472*D4472)</f>
        <v>325000</v>
      </c>
      <c r="H4472" s="690" t="s">
        <v>173</v>
      </c>
      <c r="I4472" s="71" t="s">
        <v>2231</v>
      </c>
      <c r="J4472" s="53">
        <f t="shared" si="2203"/>
        <v>75000</v>
      </c>
      <c r="K4472" s="63">
        <f t="shared" ref="K4472:K4493" si="2208">(J4472/(F4472/11*10))</f>
        <v>0.23076923076923078</v>
      </c>
      <c r="L4472" s="871" t="s">
        <v>3156</v>
      </c>
      <c r="M4472" s="468"/>
      <c r="N4472" s="1192">
        <f t="shared" si="2189"/>
        <v>44496</v>
      </c>
      <c r="O4472" s="71" t="s">
        <v>153</v>
      </c>
      <c r="P4472" s="164" t="str">
        <f t="shared" si="2190"/>
        <v>아스테이지(국전)</v>
      </c>
      <c r="Q4472" s="71">
        <f t="shared" ref="Q4472:Q4491" si="2209">D4472</f>
        <v>5</v>
      </c>
      <c r="R4472" s="102">
        <v>50000</v>
      </c>
      <c r="S4472" s="102">
        <f t="shared" si="2200"/>
        <v>275000</v>
      </c>
      <c r="T4472" s="102">
        <f t="shared" si="2201"/>
        <v>250000</v>
      </c>
      <c r="U4472" s="71" t="str">
        <f>IF(J4472=W4472,"O", "X")</f>
        <v>X</v>
      </c>
      <c r="V4472" s="71"/>
      <c r="W4472" s="474">
        <v>150000</v>
      </c>
      <c r="X4472" s="71"/>
      <c r="Y4472" s="71"/>
    </row>
    <row r="4473" spans="1:25" s="209" customFormat="1" ht="30" hidden="1" customHeight="1" x14ac:dyDescent="0.25">
      <c r="A4473" s="1145">
        <v>44497</v>
      </c>
      <c r="B4473" s="664" t="s">
        <v>1593</v>
      </c>
      <c r="C4473" s="71" t="s">
        <v>3168</v>
      </c>
      <c r="D4473" s="71">
        <v>1</v>
      </c>
      <c r="E4473" s="102">
        <v>204000</v>
      </c>
      <c r="F4473" s="102">
        <f t="shared" si="2206"/>
        <v>224400.00000000003</v>
      </c>
      <c r="G4473" s="102">
        <f t="shared" si="2207"/>
        <v>204000</v>
      </c>
      <c r="H4473" s="690" t="s">
        <v>142</v>
      </c>
      <c r="I4473" s="690" t="s">
        <v>142</v>
      </c>
      <c r="J4473" s="53">
        <f t="shared" si="2203"/>
        <v>24000</v>
      </c>
      <c r="K4473" s="63">
        <f>(J4473/(F4473/11*10))</f>
        <v>0.1176470588235294</v>
      </c>
      <c r="L4473" s="871" t="s">
        <v>3156</v>
      </c>
      <c r="M4473" s="468"/>
      <c r="N4473" s="1192">
        <f t="shared" si="2189"/>
        <v>44497</v>
      </c>
      <c r="O4473" s="71" t="s">
        <v>94</v>
      </c>
      <c r="P4473" s="164" t="str">
        <f t="shared" si="2190"/>
        <v>O-ring 외 테크노트란스 부품</v>
      </c>
      <c r="Q4473" s="71">
        <f t="shared" si="2209"/>
        <v>1</v>
      </c>
      <c r="R4473" s="102">
        <v>180000</v>
      </c>
      <c r="S4473" s="102">
        <f t="shared" si="2200"/>
        <v>198000.00000000003</v>
      </c>
      <c r="T4473" s="102">
        <f t="shared" si="2201"/>
        <v>180000</v>
      </c>
      <c r="U4473" s="71"/>
      <c r="V4473" s="71"/>
      <c r="W4473" s="474"/>
      <c r="X4473" s="71"/>
      <c r="Y4473" s="71"/>
    </row>
    <row r="4474" spans="1:25" s="209" customFormat="1" ht="30" hidden="1" customHeight="1" x14ac:dyDescent="0.25">
      <c r="A4474" s="1145">
        <v>44497</v>
      </c>
      <c r="B4474" s="664" t="s">
        <v>567</v>
      </c>
      <c r="C4474" s="71" t="s">
        <v>236</v>
      </c>
      <c r="D4474" s="71">
        <v>5</v>
      </c>
      <c r="E4474" s="102">
        <v>65000</v>
      </c>
      <c r="F4474" s="102">
        <f t="shared" si="2206"/>
        <v>357500</v>
      </c>
      <c r="G4474" s="102">
        <f t="shared" si="2207"/>
        <v>325000</v>
      </c>
      <c r="H4474" s="690" t="s">
        <v>173</v>
      </c>
      <c r="I4474" s="71" t="s">
        <v>2231</v>
      </c>
      <c r="J4474" s="53">
        <f t="shared" si="2203"/>
        <v>75000</v>
      </c>
      <c r="K4474" s="63">
        <f t="shared" si="2208"/>
        <v>0.23076923076923078</v>
      </c>
      <c r="L4474" s="871" t="s">
        <v>3156</v>
      </c>
      <c r="M4474" s="468"/>
      <c r="N4474" s="1192">
        <f t="shared" si="2189"/>
        <v>44497</v>
      </c>
      <c r="O4474" s="71" t="s">
        <v>153</v>
      </c>
      <c r="P4474" s="164" t="str">
        <f t="shared" si="2190"/>
        <v>아스테이지(국전)</v>
      </c>
      <c r="Q4474" s="71">
        <f t="shared" si="2209"/>
        <v>5</v>
      </c>
      <c r="R4474" s="102">
        <v>50000</v>
      </c>
      <c r="S4474" s="102">
        <f t="shared" ref="S4474:S4495" si="2210">R4474*Q4474*1.1</f>
        <v>275000</v>
      </c>
      <c r="T4474" s="102">
        <f t="shared" ref="T4474:T4495" si="2211">R4474*Q4474</f>
        <v>250000</v>
      </c>
      <c r="U4474" s="71" t="str">
        <f t="shared" ref="U4474:U4493" si="2212">IF(J4474=W4474,"O", "X")</f>
        <v>X</v>
      </c>
      <c r="V4474" s="71"/>
      <c r="W4474" s="474">
        <v>150000</v>
      </c>
      <c r="X4474" s="71"/>
      <c r="Y4474" s="71"/>
    </row>
    <row r="4475" spans="1:25" ht="30" hidden="1" customHeight="1" x14ac:dyDescent="0.25">
      <c r="A4475" s="1145">
        <v>44497</v>
      </c>
      <c r="B4475" s="664" t="s">
        <v>1051</v>
      </c>
      <c r="C4475" s="71" t="s">
        <v>1294</v>
      </c>
      <c r="D4475" s="71">
        <v>600</v>
      </c>
      <c r="E4475" s="102">
        <v>5910</v>
      </c>
      <c r="F4475" s="102">
        <f t="shared" si="2206"/>
        <v>3900600.0000000005</v>
      </c>
      <c r="G4475" s="102">
        <f t="shared" si="2207"/>
        <v>3546000</v>
      </c>
      <c r="H4475" s="690" t="s">
        <v>142</v>
      </c>
      <c r="I4475" s="71" t="s">
        <v>2273</v>
      </c>
      <c r="J4475" s="53">
        <f t="shared" si="2203"/>
        <v>1440000</v>
      </c>
      <c r="K4475" s="63">
        <f t="shared" si="2208"/>
        <v>0.40609137055837558</v>
      </c>
      <c r="L4475" s="871" t="s">
        <v>3156</v>
      </c>
      <c r="M4475" s="468"/>
      <c r="N4475" s="1192">
        <f t="shared" ref="N4475:N4494" si="2213">A4475</f>
        <v>44497</v>
      </c>
      <c r="O4475" s="71" t="s">
        <v>145</v>
      </c>
      <c r="P4475" s="164" t="str">
        <f t="shared" si="2190"/>
        <v>ENGAGE 1030*790</v>
      </c>
      <c r="Q4475" s="71">
        <f t="shared" si="2209"/>
        <v>600</v>
      </c>
      <c r="R4475" s="102">
        <v>3510</v>
      </c>
      <c r="S4475" s="102">
        <f t="shared" si="2210"/>
        <v>2316600</v>
      </c>
      <c r="T4475" s="102">
        <f t="shared" si="2211"/>
        <v>2106000</v>
      </c>
      <c r="U4475" s="71" t="str">
        <f t="shared" si="2212"/>
        <v>O</v>
      </c>
      <c r="V4475" s="71"/>
      <c r="W4475" s="474">
        <f t="shared" ref="W4475:W4492" si="2214">(G4475-T4475)</f>
        <v>1440000</v>
      </c>
      <c r="X4475" s="71"/>
      <c r="Y4475" s="71"/>
    </row>
    <row r="4476" spans="1:25" ht="30" hidden="1" customHeight="1" x14ac:dyDescent="0.25">
      <c r="A4476" s="1145">
        <v>44497</v>
      </c>
      <c r="B4476" s="664" t="s">
        <v>1051</v>
      </c>
      <c r="C4476" s="71" t="s">
        <v>1384</v>
      </c>
      <c r="D4476" s="71">
        <v>700</v>
      </c>
      <c r="E4476" s="102">
        <v>3720</v>
      </c>
      <c r="F4476" s="102">
        <f t="shared" si="2206"/>
        <v>2864400</v>
      </c>
      <c r="G4476" s="102">
        <f t="shared" si="2207"/>
        <v>2604000</v>
      </c>
      <c r="H4476" s="690" t="s">
        <v>142</v>
      </c>
      <c r="I4476" s="71" t="s">
        <v>2273</v>
      </c>
      <c r="J4476" s="53">
        <f t="shared" si="2203"/>
        <v>1050000</v>
      </c>
      <c r="K4476" s="63">
        <f t="shared" si="2208"/>
        <v>0.40322580645161288</v>
      </c>
      <c r="L4476" s="871" t="s">
        <v>3156</v>
      </c>
      <c r="M4476" s="468"/>
      <c r="N4476" s="1192">
        <f t="shared" si="2213"/>
        <v>44497</v>
      </c>
      <c r="O4476" s="71" t="s">
        <v>145</v>
      </c>
      <c r="P4476" s="164" t="str">
        <f t="shared" ref="P4476:P4491" si="2215">(C4476)</f>
        <v>ENGAGE 900X571 - 27RO</v>
      </c>
      <c r="Q4476" s="71">
        <f t="shared" si="2209"/>
        <v>700</v>
      </c>
      <c r="R4476" s="102">
        <v>2220</v>
      </c>
      <c r="S4476" s="102">
        <f t="shared" si="2210"/>
        <v>1709400.0000000002</v>
      </c>
      <c r="T4476" s="102">
        <f t="shared" si="2211"/>
        <v>1554000</v>
      </c>
      <c r="U4476" s="71" t="str">
        <f t="shared" si="2212"/>
        <v>O</v>
      </c>
      <c r="V4476" s="71"/>
      <c r="W4476" s="474">
        <f t="shared" si="2214"/>
        <v>1050000</v>
      </c>
      <c r="X4476" s="71"/>
      <c r="Y4476" s="71"/>
    </row>
    <row r="4477" spans="1:25" ht="30" hidden="1" customHeight="1" x14ac:dyDescent="0.25">
      <c r="A4477" s="1145">
        <v>44497</v>
      </c>
      <c r="B4477" s="664" t="s">
        <v>1051</v>
      </c>
      <c r="C4477" s="71" t="s">
        <v>951</v>
      </c>
      <c r="D4477" s="71">
        <v>3300</v>
      </c>
      <c r="E4477" s="102">
        <v>3540</v>
      </c>
      <c r="F4477" s="102">
        <f t="shared" si="2206"/>
        <v>12850200.000000002</v>
      </c>
      <c r="G4477" s="102">
        <f t="shared" si="2207"/>
        <v>11682000</v>
      </c>
      <c r="H4477" s="690" t="s">
        <v>142</v>
      </c>
      <c r="I4477" s="71" t="s">
        <v>2273</v>
      </c>
      <c r="J4477" s="53">
        <f t="shared" si="2203"/>
        <v>4752000</v>
      </c>
      <c r="K4477" s="63">
        <f t="shared" si="2208"/>
        <v>0.40677966101694907</v>
      </c>
      <c r="L4477" s="871" t="s">
        <v>3156</v>
      </c>
      <c r="M4477" s="468"/>
      <c r="N4477" s="1192">
        <f t="shared" si="2213"/>
        <v>44497</v>
      </c>
      <c r="O4477" s="71" t="s">
        <v>145</v>
      </c>
      <c r="P4477" s="164" t="str">
        <f t="shared" si="2215"/>
        <v>ENGAGE 30WEB(883*552)</v>
      </c>
      <c r="Q4477" s="71">
        <f t="shared" si="2209"/>
        <v>3300</v>
      </c>
      <c r="R4477" s="102">
        <v>2100</v>
      </c>
      <c r="S4477" s="102">
        <f t="shared" si="2210"/>
        <v>7623000.0000000009</v>
      </c>
      <c r="T4477" s="102">
        <f t="shared" si="2211"/>
        <v>6930000</v>
      </c>
      <c r="U4477" s="71" t="str">
        <f t="shared" si="2212"/>
        <v>O</v>
      </c>
      <c r="V4477" s="71"/>
      <c r="W4477" s="474">
        <f t="shared" si="2214"/>
        <v>4752000</v>
      </c>
      <c r="X4477" s="71"/>
      <c r="Y4477" s="71"/>
    </row>
    <row r="4478" spans="1:25" ht="30" hidden="1" customHeight="1" x14ac:dyDescent="0.25">
      <c r="A4478" s="1145">
        <v>44497</v>
      </c>
      <c r="B4478" s="664" t="s">
        <v>1051</v>
      </c>
      <c r="C4478" s="71" t="s">
        <v>2219</v>
      </c>
      <c r="D4478" s="71">
        <v>1500</v>
      </c>
      <c r="E4478" s="102">
        <v>5980</v>
      </c>
      <c r="F4478" s="102">
        <f t="shared" si="2206"/>
        <v>9867000</v>
      </c>
      <c r="G4478" s="102">
        <f t="shared" si="2207"/>
        <v>8970000</v>
      </c>
      <c r="H4478" s="690" t="s">
        <v>142</v>
      </c>
      <c r="I4478" s="71" t="s">
        <v>2273</v>
      </c>
      <c r="J4478" s="53">
        <f t="shared" si="2203"/>
        <v>3645000</v>
      </c>
      <c r="K4478" s="63">
        <f t="shared" si="2208"/>
        <v>0.40635451505016723</v>
      </c>
      <c r="L4478" s="871" t="s">
        <v>3156</v>
      </c>
      <c r="M4478" s="468"/>
      <c r="N4478" s="1192">
        <f t="shared" si="2213"/>
        <v>44497</v>
      </c>
      <c r="O4478" s="71" t="s">
        <v>145</v>
      </c>
      <c r="P4478" s="164" t="str">
        <f t="shared" si="2215"/>
        <v>ENGAGE 1030*800</v>
      </c>
      <c r="Q4478" s="71">
        <f t="shared" si="2209"/>
        <v>1500</v>
      </c>
      <c r="R4478" s="102">
        <v>3550</v>
      </c>
      <c r="S4478" s="102">
        <f t="shared" si="2210"/>
        <v>5857500.0000000009</v>
      </c>
      <c r="T4478" s="102">
        <f t="shared" si="2211"/>
        <v>5325000</v>
      </c>
      <c r="U4478" s="71" t="str">
        <f t="shared" si="2212"/>
        <v>O</v>
      </c>
      <c r="V4478" s="71"/>
      <c r="W4478" s="474">
        <f t="shared" si="2214"/>
        <v>3645000</v>
      </c>
      <c r="X4478" s="71"/>
      <c r="Y4478" s="71"/>
    </row>
    <row r="4479" spans="1:25" ht="30" hidden="1" customHeight="1" x14ac:dyDescent="0.25">
      <c r="A4479" s="1145">
        <v>44497</v>
      </c>
      <c r="B4479" s="664" t="s">
        <v>1051</v>
      </c>
      <c r="C4479" s="71" t="s">
        <v>1383</v>
      </c>
      <c r="D4479" s="71">
        <v>700</v>
      </c>
      <c r="E4479" s="102">
        <v>6200</v>
      </c>
      <c r="F4479" s="102">
        <f t="shared" si="2206"/>
        <v>4774000</v>
      </c>
      <c r="G4479" s="102">
        <f t="shared" si="2207"/>
        <v>4340000</v>
      </c>
      <c r="H4479" s="690" t="s">
        <v>142</v>
      </c>
      <c r="I4479" s="71" t="s">
        <v>2273</v>
      </c>
      <c r="J4479" s="53">
        <f t="shared" si="2203"/>
        <v>1757000</v>
      </c>
      <c r="K4479" s="63">
        <f t="shared" si="2208"/>
        <v>0.40483870967741936</v>
      </c>
      <c r="L4479" s="871" t="s">
        <v>3156</v>
      </c>
      <c r="M4479" s="468"/>
      <c r="N4479" s="1192">
        <f t="shared" si="2213"/>
        <v>44497</v>
      </c>
      <c r="O4479" s="71" t="s">
        <v>145</v>
      </c>
      <c r="P4479" s="164" t="str">
        <f t="shared" si="2215"/>
        <v>ENGAGE 1055*811</v>
      </c>
      <c r="Q4479" s="71">
        <f t="shared" si="2209"/>
        <v>700</v>
      </c>
      <c r="R4479" s="102">
        <v>3690</v>
      </c>
      <c r="S4479" s="102">
        <f t="shared" si="2210"/>
        <v>2841300</v>
      </c>
      <c r="T4479" s="102">
        <f t="shared" si="2211"/>
        <v>2583000</v>
      </c>
      <c r="U4479" s="71" t="str">
        <f t="shared" si="2212"/>
        <v>O</v>
      </c>
      <c r="V4479" s="71"/>
      <c r="W4479" s="474">
        <f t="shared" si="2214"/>
        <v>1757000</v>
      </c>
      <c r="X4479" s="71"/>
      <c r="Y4479" s="71"/>
    </row>
    <row r="4480" spans="1:25" ht="30" hidden="1" customHeight="1" x14ac:dyDescent="0.25">
      <c r="A4480" s="1145">
        <v>44497</v>
      </c>
      <c r="B4480" s="664" t="s">
        <v>1051</v>
      </c>
      <c r="C4480" s="71" t="s">
        <v>1650</v>
      </c>
      <c r="D4480" s="71">
        <v>1500</v>
      </c>
      <c r="E4480" s="102">
        <v>4440</v>
      </c>
      <c r="F4480" s="102">
        <f t="shared" si="2206"/>
        <v>7326000.0000000009</v>
      </c>
      <c r="G4480" s="102">
        <f t="shared" si="2207"/>
        <v>6660000</v>
      </c>
      <c r="H4480" s="690" t="s">
        <v>142</v>
      </c>
      <c r="I4480" s="71" t="s">
        <v>2273</v>
      </c>
      <c r="J4480" s="53">
        <f t="shared" si="2203"/>
        <v>2715000</v>
      </c>
      <c r="K4480" s="63">
        <f t="shared" si="2208"/>
        <v>0.4076576576576576</v>
      </c>
      <c r="L4480" s="871" t="s">
        <v>3156</v>
      </c>
      <c r="M4480" s="468"/>
      <c r="N4480" s="1192">
        <f t="shared" si="2213"/>
        <v>44497</v>
      </c>
      <c r="O4480" s="71" t="s">
        <v>145</v>
      </c>
      <c r="P4480" s="164" t="str">
        <f t="shared" si="2215"/>
        <v>ENGAGE 968*631</v>
      </c>
      <c r="Q4480" s="71">
        <f t="shared" si="2209"/>
        <v>1500</v>
      </c>
      <c r="R4480" s="102">
        <v>2630</v>
      </c>
      <c r="S4480" s="102">
        <f t="shared" si="2210"/>
        <v>4339500</v>
      </c>
      <c r="T4480" s="102">
        <f t="shared" si="2211"/>
        <v>3945000</v>
      </c>
      <c r="U4480" s="71" t="str">
        <f t="shared" si="2212"/>
        <v>O</v>
      </c>
      <c r="V4480" s="71"/>
      <c r="W4480" s="474">
        <f t="shared" si="2214"/>
        <v>2715000</v>
      </c>
      <c r="X4480" s="71"/>
      <c r="Y4480" s="71"/>
    </row>
    <row r="4481" spans="1:25" ht="30" hidden="1" customHeight="1" x14ac:dyDescent="0.25">
      <c r="A4481" s="1145">
        <v>44497</v>
      </c>
      <c r="B4481" s="664" t="s">
        <v>1051</v>
      </c>
      <c r="C4481" s="71" t="s">
        <v>2619</v>
      </c>
      <c r="D4481" s="71"/>
      <c r="E4481" s="102"/>
      <c r="F4481" s="102">
        <f t="shared" si="2206"/>
        <v>0</v>
      </c>
      <c r="G4481" s="102">
        <f t="shared" si="2207"/>
        <v>0</v>
      </c>
      <c r="H4481" s="690" t="s">
        <v>142</v>
      </c>
      <c r="I4481" s="71" t="s">
        <v>2273</v>
      </c>
      <c r="J4481" s="53">
        <f t="shared" si="2203"/>
        <v>0</v>
      </c>
      <c r="K4481" s="63" t="e">
        <f t="shared" si="2208"/>
        <v>#DIV/0!</v>
      </c>
      <c r="L4481" s="871" t="s">
        <v>3156</v>
      </c>
      <c r="M4481" s="468"/>
      <c r="N4481" s="1192">
        <f t="shared" si="2213"/>
        <v>44497</v>
      </c>
      <c r="O4481" s="71" t="s">
        <v>145</v>
      </c>
      <c r="P4481" s="164" t="str">
        <f t="shared" si="2215"/>
        <v>ENGAGE 1092*800</v>
      </c>
      <c r="Q4481" s="71">
        <f t="shared" si="2209"/>
        <v>0</v>
      </c>
      <c r="R4481" s="102">
        <v>5510</v>
      </c>
      <c r="S4481" s="102">
        <f t="shared" si="2210"/>
        <v>0</v>
      </c>
      <c r="T4481" s="102">
        <f t="shared" si="2211"/>
        <v>0</v>
      </c>
      <c r="U4481" s="71" t="str">
        <f t="shared" si="2212"/>
        <v>O</v>
      </c>
      <c r="V4481" s="71"/>
      <c r="W4481" s="474">
        <f t="shared" si="2214"/>
        <v>0</v>
      </c>
      <c r="X4481" s="71"/>
      <c r="Y4481" s="71"/>
    </row>
    <row r="4482" spans="1:25" ht="30" hidden="1" customHeight="1" x14ac:dyDescent="0.25">
      <c r="A4482" s="1145">
        <v>44497</v>
      </c>
      <c r="B4482" s="664" t="s">
        <v>1051</v>
      </c>
      <c r="C4482" s="71" t="s">
        <v>1386</v>
      </c>
      <c r="D4482" s="71">
        <v>45</v>
      </c>
      <c r="E4482" s="102">
        <v>54500</v>
      </c>
      <c r="F4482" s="102">
        <f t="shared" si="2206"/>
        <v>2697750</v>
      </c>
      <c r="G4482" s="102">
        <f t="shared" si="2207"/>
        <v>2452500</v>
      </c>
      <c r="H4482" s="690" t="s">
        <v>142</v>
      </c>
      <c r="I4482" s="71" t="s">
        <v>2273</v>
      </c>
      <c r="J4482" s="53">
        <f t="shared" si="2203"/>
        <v>641250</v>
      </c>
      <c r="K4482" s="63">
        <f t="shared" si="2208"/>
        <v>0.26146788990825687</v>
      </c>
      <c r="L4482" s="871" t="s">
        <v>3156</v>
      </c>
      <c r="M4482" s="468"/>
      <c r="N4482" s="1192">
        <f t="shared" si="2213"/>
        <v>44497</v>
      </c>
      <c r="O4482" s="71" t="s">
        <v>145</v>
      </c>
      <c r="P4482" s="164" t="str">
        <f t="shared" si="2215"/>
        <v>THR200(20L)보충액</v>
      </c>
      <c r="Q4482" s="71">
        <f t="shared" si="2209"/>
        <v>45</v>
      </c>
      <c r="R4482" s="102">
        <v>40250</v>
      </c>
      <c r="S4482" s="102">
        <f t="shared" si="2210"/>
        <v>1992375.0000000002</v>
      </c>
      <c r="T4482" s="102">
        <f t="shared" si="2211"/>
        <v>1811250</v>
      </c>
      <c r="U4482" s="71" t="str">
        <f t="shared" si="2212"/>
        <v>O</v>
      </c>
      <c r="V4482" s="71"/>
      <c r="W4482" s="474">
        <f t="shared" si="2214"/>
        <v>641250</v>
      </c>
      <c r="X4482" s="71"/>
      <c r="Y4482" s="71"/>
    </row>
    <row r="4483" spans="1:25" ht="30" hidden="1" customHeight="1" x14ac:dyDescent="0.25">
      <c r="A4483" s="1145">
        <v>44497</v>
      </c>
      <c r="B4483" s="664" t="s">
        <v>1051</v>
      </c>
      <c r="C4483" s="71" t="s">
        <v>1387</v>
      </c>
      <c r="D4483" s="71">
        <v>5</v>
      </c>
      <c r="E4483" s="102">
        <v>54500</v>
      </c>
      <c r="F4483" s="102">
        <f t="shared" si="2206"/>
        <v>299750</v>
      </c>
      <c r="G4483" s="102">
        <f t="shared" si="2207"/>
        <v>272500</v>
      </c>
      <c r="H4483" s="690" t="s">
        <v>142</v>
      </c>
      <c r="I4483" s="71" t="s">
        <v>2273</v>
      </c>
      <c r="J4483" s="53">
        <f t="shared" si="2203"/>
        <v>71250</v>
      </c>
      <c r="K4483" s="63">
        <f t="shared" si="2208"/>
        <v>0.26146788990825687</v>
      </c>
      <c r="L4483" s="871" t="s">
        <v>3156</v>
      </c>
      <c r="M4483" s="468"/>
      <c r="N4483" s="1192">
        <f t="shared" si="2213"/>
        <v>44497</v>
      </c>
      <c r="O4483" s="71" t="s">
        <v>145</v>
      </c>
      <c r="P4483" s="164" t="str">
        <f t="shared" si="2215"/>
        <v>THD200(20L)현상액</v>
      </c>
      <c r="Q4483" s="71">
        <f t="shared" si="2209"/>
        <v>5</v>
      </c>
      <c r="R4483" s="102">
        <v>40250</v>
      </c>
      <c r="S4483" s="102">
        <f t="shared" si="2210"/>
        <v>221375.00000000003</v>
      </c>
      <c r="T4483" s="102">
        <f t="shared" si="2211"/>
        <v>201250</v>
      </c>
      <c r="U4483" s="71" t="str">
        <f t="shared" si="2212"/>
        <v>O</v>
      </c>
      <c r="V4483" s="71"/>
      <c r="W4483" s="474">
        <f t="shared" si="2214"/>
        <v>71250</v>
      </c>
      <c r="X4483" s="71"/>
      <c r="Y4483" s="71"/>
    </row>
    <row r="4484" spans="1:25" ht="30" hidden="1" customHeight="1" x14ac:dyDescent="0.25">
      <c r="A4484" s="1145">
        <v>44497</v>
      </c>
      <c r="B4484" s="664" t="s">
        <v>1061</v>
      </c>
      <c r="C4484" s="71" t="s">
        <v>616</v>
      </c>
      <c r="D4484" s="71">
        <v>200</v>
      </c>
      <c r="E4484" s="102">
        <v>5600</v>
      </c>
      <c r="F4484" s="102">
        <f t="shared" si="2206"/>
        <v>1232000</v>
      </c>
      <c r="G4484" s="102">
        <f t="shared" si="2207"/>
        <v>1120000</v>
      </c>
      <c r="H4484" s="690" t="s">
        <v>142</v>
      </c>
      <c r="I4484" s="71" t="s">
        <v>144</v>
      </c>
      <c r="J4484" s="53">
        <f t="shared" si="2203"/>
        <v>102000</v>
      </c>
      <c r="K4484" s="63">
        <f t="shared" si="2208"/>
        <v>9.1071428571428567E-2</v>
      </c>
      <c r="L4484" s="871" t="s">
        <v>3156</v>
      </c>
      <c r="M4484" s="468"/>
      <c r="N4484" s="1192">
        <f t="shared" si="2213"/>
        <v>44497</v>
      </c>
      <c r="O4484" s="71" t="s">
        <v>147</v>
      </c>
      <c r="P4484" s="164" t="str">
        <f t="shared" si="2215"/>
        <v>프리미어(먹)</v>
      </c>
      <c r="Q4484" s="71">
        <f t="shared" si="2209"/>
        <v>200</v>
      </c>
      <c r="R4484" s="102">
        <v>5090</v>
      </c>
      <c r="S4484" s="102">
        <f t="shared" si="2210"/>
        <v>1119800</v>
      </c>
      <c r="T4484" s="102">
        <f t="shared" si="2211"/>
        <v>1018000</v>
      </c>
      <c r="U4484" s="71" t="str">
        <f t="shared" si="2212"/>
        <v>O</v>
      </c>
      <c r="V4484" s="71"/>
      <c r="W4484" s="474">
        <f t="shared" si="2214"/>
        <v>102000</v>
      </c>
      <c r="X4484" s="71"/>
      <c r="Y4484" s="71"/>
    </row>
    <row r="4485" spans="1:25" ht="30" hidden="1" customHeight="1" x14ac:dyDescent="0.25">
      <c r="A4485" s="1145">
        <v>44497</v>
      </c>
      <c r="B4485" s="664" t="s">
        <v>1052</v>
      </c>
      <c r="C4485" s="71" t="s">
        <v>585</v>
      </c>
      <c r="D4485" s="71">
        <v>400</v>
      </c>
      <c r="E4485" s="102">
        <v>6000</v>
      </c>
      <c r="F4485" s="102">
        <f t="shared" si="2206"/>
        <v>2640000</v>
      </c>
      <c r="G4485" s="102">
        <f t="shared" si="2207"/>
        <v>2400000</v>
      </c>
      <c r="H4485" s="690" t="s">
        <v>142</v>
      </c>
      <c r="I4485" s="71" t="s">
        <v>144</v>
      </c>
      <c r="J4485" s="53">
        <f t="shared" si="2203"/>
        <v>220000</v>
      </c>
      <c r="K4485" s="63">
        <f t="shared" si="2208"/>
        <v>9.166666666666666E-2</v>
      </c>
      <c r="L4485" s="871" t="s">
        <v>3156</v>
      </c>
      <c r="M4485" s="468"/>
      <c r="N4485" s="1192">
        <f t="shared" si="2213"/>
        <v>44497</v>
      </c>
      <c r="O4485" s="71" t="s">
        <v>147</v>
      </c>
      <c r="P4485" s="164" t="str">
        <f t="shared" si="2215"/>
        <v>프리미어(적)</v>
      </c>
      <c r="Q4485" s="71">
        <f t="shared" si="2209"/>
        <v>400</v>
      </c>
      <c r="R4485" s="102">
        <v>5450</v>
      </c>
      <c r="S4485" s="102">
        <f t="shared" si="2210"/>
        <v>2398000</v>
      </c>
      <c r="T4485" s="102">
        <f t="shared" si="2211"/>
        <v>2180000</v>
      </c>
      <c r="U4485" s="71" t="str">
        <f t="shared" si="2212"/>
        <v>O</v>
      </c>
      <c r="V4485" s="71"/>
      <c r="W4485" s="474">
        <f t="shared" si="2214"/>
        <v>220000</v>
      </c>
      <c r="X4485" s="71"/>
      <c r="Y4485" s="71"/>
    </row>
    <row r="4486" spans="1:25" ht="30" hidden="1" customHeight="1" x14ac:dyDescent="0.25">
      <c r="A4486" s="1145">
        <v>44497</v>
      </c>
      <c r="B4486" s="664" t="s">
        <v>1061</v>
      </c>
      <c r="C4486" s="71" t="s">
        <v>586</v>
      </c>
      <c r="D4486" s="71">
        <v>600</v>
      </c>
      <c r="E4486" s="102">
        <v>5750</v>
      </c>
      <c r="F4486" s="102">
        <f t="shared" si="2206"/>
        <v>3795000.0000000005</v>
      </c>
      <c r="G4486" s="102">
        <f t="shared" si="2207"/>
        <v>3450000</v>
      </c>
      <c r="H4486" s="690" t="s">
        <v>142</v>
      </c>
      <c r="I4486" s="71" t="s">
        <v>144</v>
      </c>
      <c r="J4486" s="53">
        <f t="shared" si="2203"/>
        <v>318000</v>
      </c>
      <c r="K4486" s="63">
        <f t="shared" si="2208"/>
        <v>9.2173913043478245E-2</v>
      </c>
      <c r="L4486" s="871" t="s">
        <v>3156</v>
      </c>
      <c r="M4486" s="468"/>
      <c r="N4486" s="1192">
        <f t="shared" si="2213"/>
        <v>44497</v>
      </c>
      <c r="O4486" s="71" t="s">
        <v>147</v>
      </c>
      <c r="P4486" s="164" t="str">
        <f t="shared" si="2215"/>
        <v>프리미어(황)</v>
      </c>
      <c r="Q4486" s="71">
        <f t="shared" si="2209"/>
        <v>600</v>
      </c>
      <c r="R4486" s="102">
        <v>5220</v>
      </c>
      <c r="S4486" s="102">
        <f t="shared" si="2210"/>
        <v>3445200.0000000005</v>
      </c>
      <c r="T4486" s="102">
        <f t="shared" si="2211"/>
        <v>3132000</v>
      </c>
      <c r="U4486" s="71" t="str">
        <f t="shared" si="2212"/>
        <v>O</v>
      </c>
      <c r="V4486" s="71"/>
      <c r="W4486" s="474">
        <f t="shared" si="2214"/>
        <v>318000</v>
      </c>
      <c r="X4486" s="71"/>
      <c r="Y4486" s="71"/>
    </row>
    <row r="4487" spans="1:25" ht="30" hidden="1" customHeight="1" x14ac:dyDescent="0.25">
      <c r="A4487" s="1145">
        <v>44497</v>
      </c>
      <c r="B4487" s="664" t="s">
        <v>1061</v>
      </c>
      <c r="C4487" s="71" t="s">
        <v>587</v>
      </c>
      <c r="D4487" s="71">
        <v>400</v>
      </c>
      <c r="E4487" s="102">
        <v>7000</v>
      </c>
      <c r="F4487" s="102">
        <f t="shared" si="2206"/>
        <v>3080000.0000000005</v>
      </c>
      <c r="G4487" s="102">
        <f t="shared" si="2207"/>
        <v>2800000</v>
      </c>
      <c r="H4487" s="690" t="s">
        <v>142</v>
      </c>
      <c r="I4487" s="71" t="s">
        <v>144</v>
      </c>
      <c r="J4487" s="53">
        <f t="shared" si="2203"/>
        <v>256000</v>
      </c>
      <c r="K4487" s="63">
        <f t="shared" si="2208"/>
        <v>9.1428571428571415E-2</v>
      </c>
      <c r="L4487" s="871" t="s">
        <v>3156</v>
      </c>
      <c r="M4487" s="468"/>
      <c r="N4487" s="1192">
        <f t="shared" si="2213"/>
        <v>44497</v>
      </c>
      <c r="O4487" s="71" t="s">
        <v>147</v>
      </c>
      <c r="P4487" s="164" t="str">
        <f t="shared" si="2215"/>
        <v>프리미어(청)</v>
      </c>
      <c r="Q4487" s="71">
        <f t="shared" si="2209"/>
        <v>400</v>
      </c>
      <c r="R4487" s="102">
        <v>6360</v>
      </c>
      <c r="S4487" s="102">
        <f t="shared" si="2210"/>
        <v>2798400</v>
      </c>
      <c r="T4487" s="102">
        <f t="shared" si="2211"/>
        <v>2544000</v>
      </c>
      <c r="U4487" s="71" t="str">
        <f t="shared" si="2212"/>
        <v>O</v>
      </c>
      <c r="V4487" s="71"/>
      <c r="W4487" s="474">
        <f t="shared" si="2214"/>
        <v>256000</v>
      </c>
      <c r="X4487" s="71"/>
      <c r="Y4487" s="71"/>
    </row>
    <row r="4488" spans="1:25" ht="30" hidden="1" customHeight="1" x14ac:dyDescent="0.25">
      <c r="A4488" s="1145">
        <v>44497</v>
      </c>
      <c r="B4488" s="664" t="s">
        <v>1052</v>
      </c>
      <c r="C4488" s="71" t="s">
        <v>1115</v>
      </c>
      <c r="D4488" s="71"/>
      <c r="E4488" s="102">
        <v>6200</v>
      </c>
      <c r="F4488" s="102">
        <f t="shared" si="2206"/>
        <v>0</v>
      </c>
      <c r="G4488" s="102">
        <f t="shared" si="2207"/>
        <v>0</v>
      </c>
      <c r="H4488" s="690" t="s">
        <v>142</v>
      </c>
      <c r="I4488" s="71" t="s">
        <v>144</v>
      </c>
      <c r="J4488" s="53">
        <f t="shared" si="2203"/>
        <v>0</v>
      </c>
      <c r="K4488" s="63" t="e">
        <f t="shared" si="2208"/>
        <v>#DIV/0!</v>
      </c>
      <c r="L4488" s="871" t="s">
        <v>3156</v>
      </c>
      <c r="M4488" s="1197"/>
      <c r="N4488" s="1192">
        <f t="shared" si="2213"/>
        <v>44497</v>
      </c>
      <c r="O4488" s="71" t="s">
        <v>2459</v>
      </c>
      <c r="P4488" s="164" t="str">
        <f t="shared" si="2215"/>
        <v>한특 잉크(적)</v>
      </c>
      <c r="Q4488" s="71">
        <f t="shared" si="2209"/>
        <v>0</v>
      </c>
      <c r="R4488" s="102">
        <v>5900</v>
      </c>
      <c r="S4488" s="102">
        <f t="shared" si="2210"/>
        <v>0</v>
      </c>
      <c r="T4488" s="102">
        <f t="shared" si="2211"/>
        <v>0</v>
      </c>
      <c r="U4488" s="71" t="str">
        <f t="shared" si="2212"/>
        <v>O</v>
      </c>
      <c r="V4488" s="918"/>
      <c r="W4488" s="474">
        <f t="shared" si="2214"/>
        <v>0</v>
      </c>
      <c r="X4488" s="71"/>
      <c r="Y4488" s="71"/>
    </row>
    <row r="4489" spans="1:25" ht="30" hidden="1" customHeight="1" x14ac:dyDescent="0.25">
      <c r="A4489" s="1145">
        <v>44497</v>
      </c>
      <c r="B4489" s="664" t="s">
        <v>1052</v>
      </c>
      <c r="C4489" s="71" t="s">
        <v>1116</v>
      </c>
      <c r="D4489" s="71">
        <v>50</v>
      </c>
      <c r="E4489" s="102">
        <v>6000</v>
      </c>
      <c r="F4489" s="102">
        <f t="shared" si="2206"/>
        <v>330000</v>
      </c>
      <c r="G4489" s="102">
        <f t="shared" si="2207"/>
        <v>300000</v>
      </c>
      <c r="H4489" s="690" t="s">
        <v>142</v>
      </c>
      <c r="I4489" s="71" t="s">
        <v>144</v>
      </c>
      <c r="J4489" s="53">
        <f t="shared" si="2203"/>
        <v>25000</v>
      </c>
      <c r="K4489" s="63">
        <f t="shared" si="2208"/>
        <v>8.3333333333333329E-2</v>
      </c>
      <c r="L4489" s="871" t="s">
        <v>3156</v>
      </c>
      <c r="M4489" s="1197"/>
      <c r="N4489" s="1192">
        <f t="shared" si="2213"/>
        <v>44497</v>
      </c>
      <c r="O4489" s="71" t="s">
        <v>2459</v>
      </c>
      <c r="P4489" s="164" t="str">
        <f t="shared" si="2215"/>
        <v>한특 잉크(황)</v>
      </c>
      <c r="Q4489" s="71">
        <f t="shared" si="2209"/>
        <v>50</v>
      </c>
      <c r="R4489" s="102">
        <v>5500</v>
      </c>
      <c r="S4489" s="102">
        <f t="shared" si="2210"/>
        <v>302500</v>
      </c>
      <c r="T4489" s="102">
        <f t="shared" si="2211"/>
        <v>275000</v>
      </c>
      <c r="U4489" s="71" t="str">
        <f t="shared" si="2212"/>
        <v>O</v>
      </c>
      <c r="V4489" s="918"/>
      <c r="W4489" s="474">
        <f t="shared" si="2214"/>
        <v>25000</v>
      </c>
      <c r="X4489" s="71"/>
      <c r="Y4489" s="71"/>
    </row>
    <row r="4490" spans="1:25" ht="30" hidden="1" customHeight="1" x14ac:dyDescent="0.25">
      <c r="A4490" s="1145">
        <v>44497</v>
      </c>
      <c r="B4490" s="664" t="s">
        <v>1052</v>
      </c>
      <c r="C4490" s="71" t="s">
        <v>1117</v>
      </c>
      <c r="D4490" s="71"/>
      <c r="E4490" s="102">
        <v>6500</v>
      </c>
      <c r="F4490" s="102">
        <f t="shared" si="2206"/>
        <v>0</v>
      </c>
      <c r="G4490" s="102">
        <f t="shared" si="2207"/>
        <v>0</v>
      </c>
      <c r="H4490" s="690" t="s">
        <v>142</v>
      </c>
      <c r="I4490" s="71" t="s">
        <v>144</v>
      </c>
      <c r="J4490" s="53">
        <f t="shared" si="2203"/>
        <v>0</v>
      </c>
      <c r="K4490" s="63" t="e">
        <f t="shared" si="2208"/>
        <v>#DIV/0!</v>
      </c>
      <c r="L4490" s="871" t="s">
        <v>3156</v>
      </c>
      <c r="M4490" s="1197"/>
      <c r="N4490" s="1192">
        <f t="shared" si="2213"/>
        <v>44497</v>
      </c>
      <c r="O4490" s="71" t="s">
        <v>2459</v>
      </c>
      <c r="P4490" s="164" t="str">
        <f t="shared" si="2215"/>
        <v>한특 잉크(청)</v>
      </c>
      <c r="Q4490" s="71">
        <f t="shared" si="2209"/>
        <v>0</v>
      </c>
      <c r="R4490" s="102">
        <v>5800</v>
      </c>
      <c r="S4490" s="102">
        <f t="shared" si="2210"/>
        <v>0</v>
      </c>
      <c r="T4490" s="102">
        <f t="shared" si="2211"/>
        <v>0</v>
      </c>
      <c r="U4490" s="71" t="str">
        <f t="shared" si="2212"/>
        <v>O</v>
      </c>
      <c r="V4490" s="918"/>
      <c r="W4490" s="474">
        <f t="shared" si="2214"/>
        <v>0</v>
      </c>
      <c r="X4490" s="71"/>
      <c r="Y4490" s="71"/>
    </row>
    <row r="4491" spans="1:25" ht="30" hidden="1" customHeight="1" x14ac:dyDescent="0.25">
      <c r="A4491" s="1145">
        <v>44497</v>
      </c>
      <c r="B4491" s="664" t="s">
        <v>1052</v>
      </c>
      <c r="C4491" s="71" t="s">
        <v>1118</v>
      </c>
      <c r="D4491" s="71">
        <v>50</v>
      </c>
      <c r="E4491" s="102">
        <v>5600</v>
      </c>
      <c r="F4491" s="102">
        <f t="shared" si="2206"/>
        <v>308000</v>
      </c>
      <c r="G4491" s="102">
        <f t="shared" si="2207"/>
        <v>280000</v>
      </c>
      <c r="H4491" s="690" t="s">
        <v>142</v>
      </c>
      <c r="I4491" s="71" t="s">
        <v>144</v>
      </c>
      <c r="J4491" s="53">
        <f t="shared" si="2203"/>
        <v>30000</v>
      </c>
      <c r="K4491" s="63">
        <f t="shared" si="2208"/>
        <v>0.10714285714285714</v>
      </c>
      <c r="L4491" s="871" t="s">
        <v>3156</v>
      </c>
      <c r="M4491" s="1197"/>
      <c r="N4491" s="1192">
        <f t="shared" si="2213"/>
        <v>44497</v>
      </c>
      <c r="O4491" s="71" t="s">
        <v>2459</v>
      </c>
      <c r="P4491" s="164" t="str">
        <f t="shared" si="2215"/>
        <v>한특 잉크(먹)</v>
      </c>
      <c r="Q4491" s="71">
        <f t="shared" si="2209"/>
        <v>50</v>
      </c>
      <c r="R4491" s="102">
        <v>5000</v>
      </c>
      <c r="S4491" s="102">
        <f t="shared" si="2210"/>
        <v>275000</v>
      </c>
      <c r="T4491" s="102">
        <f t="shared" si="2211"/>
        <v>250000</v>
      </c>
      <c r="U4491" s="71" t="str">
        <f t="shared" si="2212"/>
        <v>O</v>
      </c>
      <c r="V4491" s="918"/>
      <c r="W4491" s="474">
        <f t="shared" si="2214"/>
        <v>30000</v>
      </c>
      <c r="X4491" s="71"/>
      <c r="Y4491" s="71"/>
    </row>
    <row r="4492" spans="1:25" ht="30" hidden="1" customHeight="1" x14ac:dyDescent="0.25">
      <c r="A4492" s="1145">
        <v>44497</v>
      </c>
      <c r="B4492" s="664" t="s">
        <v>1052</v>
      </c>
      <c r="C4492" s="71" t="s">
        <v>3165</v>
      </c>
      <c r="D4492" s="71">
        <v>30</v>
      </c>
      <c r="E4492" s="102">
        <v>10500</v>
      </c>
      <c r="F4492" s="102">
        <f>(E4492*D4492)*1.1</f>
        <v>346500</v>
      </c>
      <c r="G4492" s="102">
        <f>(E4492*D4492)</f>
        <v>315000</v>
      </c>
      <c r="H4492" s="690" t="s">
        <v>142</v>
      </c>
      <c r="I4492" s="71" t="s">
        <v>144</v>
      </c>
      <c r="J4492" s="53">
        <f t="shared" si="2203"/>
        <v>19200</v>
      </c>
      <c r="K4492" s="63">
        <f>(J4492/(F4492/11*10))</f>
        <v>6.0952380952380952E-2</v>
      </c>
      <c r="L4492" s="871" t="s">
        <v>3156</v>
      </c>
      <c r="M4492" s="1197"/>
      <c r="N4492" s="1192">
        <f t="shared" si="2213"/>
        <v>44497</v>
      </c>
      <c r="O4492" s="71" t="s">
        <v>147</v>
      </c>
      <c r="P4492" s="164" t="str">
        <f>(C4492)</f>
        <v>방탄 PT032적</v>
      </c>
      <c r="Q4492" s="71">
        <f>D4492</f>
        <v>30</v>
      </c>
      <c r="R4492" s="102">
        <v>9860</v>
      </c>
      <c r="S4492" s="102">
        <f t="shared" si="2210"/>
        <v>325380</v>
      </c>
      <c r="T4492" s="102">
        <f t="shared" si="2211"/>
        <v>295800</v>
      </c>
      <c r="U4492" s="71" t="str">
        <f t="shared" si="2212"/>
        <v>O</v>
      </c>
      <c r="V4492" s="918"/>
      <c r="W4492" s="474">
        <f t="shared" si="2214"/>
        <v>19200</v>
      </c>
      <c r="X4492" s="71"/>
      <c r="Y4492" s="71"/>
    </row>
    <row r="4493" spans="1:25" ht="30" hidden="1" customHeight="1" x14ac:dyDescent="0.25">
      <c r="A4493" s="1145">
        <v>44497</v>
      </c>
      <c r="B4493" s="664" t="s">
        <v>575</v>
      </c>
      <c r="C4493" s="71" t="s">
        <v>1367</v>
      </c>
      <c r="D4493" s="71">
        <v>16</v>
      </c>
      <c r="E4493" s="102">
        <v>218000</v>
      </c>
      <c r="F4493" s="102">
        <f t="shared" si="2206"/>
        <v>3836800.0000000005</v>
      </c>
      <c r="G4493" s="102">
        <f t="shared" si="2207"/>
        <v>3488000</v>
      </c>
      <c r="H4493" s="690" t="s">
        <v>173</v>
      </c>
      <c r="I4493" s="71" t="s">
        <v>109</v>
      </c>
      <c r="J4493" s="53">
        <f t="shared" si="2203"/>
        <v>1088000</v>
      </c>
      <c r="K4493" s="63">
        <f t="shared" si="2208"/>
        <v>0.31192660550458712</v>
      </c>
      <c r="L4493" s="871" t="s">
        <v>3156</v>
      </c>
      <c r="M4493" s="468"/>
      <c r="N4493" s="1192">
        <f t="shared" si="2213"/>
        <v>44497</v>
      </c>
      <c r="O4493" s="71" t="s">
        <v>1443</v>
      </c>
      <c r="P4493" s="164" t="str">
        <f>(C4493)</f>
        <v>M600 윤전 블랑켓 995*742</v>
      </c>
      <c r="Q4493" s="71">
        <f>D4493</f>
        <v>16</v>
      </c>
      <c r="R4493" s="102">
        <v>150000</v>
      </c>
      <c r="S4493" s="102">
        <f t="shared" si="2210"/>
        <v>2640000</v>
      </c>
      <c r="T4493" s="102">
        <f t="shared" si="2211"/>
        <v>2400000</v>
      </c>
      <c r="U4493" s="71" t="str">
        <f t="shared" si="2212"/>
        <v>X</v>
      </c>
      <c r="V4493" s="71"/>
      <c r="W4493" s="474"/>
      <c r="X4493" s="71"/>
      <c r="Y4493" s="71"/>
    </row>
    <row r="4494" spans="1:25" ht="30" hidden="1" customHeight="1" x14ac:dyDescent="0.25">
      <c r="A4494" s="1145">
        <v>44497</v>
      </c>
      <c r="B4494" s="664" t="s">
        <v>545</v>
      </c>
      <c r="C4494" s="71" t="s">
        <v>3166</v>
      </c>
      <c r="D4494" s="71">
        <v>5</v>
      </c>
      <c r="E4494" s="102">
        <v>670000</v>
      </c>
      <c r="F4494" s="102">
        <f t="shared" si="2206"/>
        <v>3685000.0000000005</v>
      </c>
      <c r="G4494" s="102">
        <f t="shared" si="2207"/>
        <v>3350000</v>
      </c>
      <c r="H4494" s="690" t="s">
        <v>173</v>
      </c>
      <c r="I4494" s="71" t="s">
        <v>2184</v>
      </c>
      <c r="J4494" s="53">
        <f t="shared" si="2203"/>
        <v>1527555</v>
      </c>
      <c r="K4494" s="63">
        <f>(J4494/(F4494/11*10))</f>
        <v>0.45598656716417907</v>
      </c>
      <c r="L4494" s="871" t="s">
        <v>3133</v>
      </c>
      <c r="M4494" s="468"/>
      <c r="N4494" s="1192">
        <f t="shared" si="2213"/>
        <v>44497</v>
      </c>
      <c r="O4494" s="71" t="s">
        <v>2472</v>
      </c>
      <c r="P4494" s="209" t="str">
        <f>(C4494)</f>
        <v>횐네 UV lamp 똑딱이 클립타입 - 1호기</v>
      </c>
      <c r="Q4494" s="71">
        <f>D4494</f>
        <v>5</v>
      </c>
      <c r="R4494" s="102">
        <v>364489</v>
      </c>
      <c r="S4494" s="102">
        <f t="shared" si="2210"/>
        <v>2004689.5000000002</v>
      </c>
      <c r="T4494" s="102">
        <f t="shared" si="2211"/>
        <v>1822445</v>
      </c>
      <c r="U4494" s="71"/>
      <c r="V4494" s="71"/>
      <c r="W4494" s="474"/>
      <c r="X4494" s="71"/>
      <c r="Y4494" s="71"/>
    </row>
    <row r="4495" spans="1:25" ht="30" hidden="1" customHeight="1" x14ac:dyDescent="0.25">
      <c r="A4495" s="1145">
        <v>44497</v>
      </c>
      <c r="B4495" s="664" t="s">
        <v>545</v>
      </c>
      <c r="C4495" s="71" t="s">
        <v>952</v>
      </c>
      <c r="D4495" s="71">
        <v>1</v>
      </c>
      <c r="E4495" s="102">
        <v>630000</v>
      </c>
      <c r="F4495" s="102">
        <f t="shared" si="2206"/>
        <v>693000</v>
      </c>
      <c r="G4495" s="102">
        <f t="shared" si="2207"/>
        <v>630000</v>
      </c>
      <c r="H4495" s="690" t="s">
        <v>173</v>
      </c>
      <c r="I4495" s="71" t="s">
        <v>108</v>
      </c>
      <c r="J4495" s="53">
        <f t="shared" si="2203"/>
        <v>168000</v>
      </c>
      <c r="K4495" s="63">
        <f>(J4495/(F4495/11*10))</f>
        <v>0.26666666666666666</v>
      </c>
      <c r="L4495" s="871" t="s">
        <v>3133</v>
      </c>
      <c r="M4495" s="468"/>
      <c r="N4495" s="1192">
        <f>A4495</f>
        <v>44497</v>
      </c>
      <c r="O4495" s="71" t="s">
        <v>599</v>
      </c>
      <c r="P4495" s="164" t="str">
        <f>(C4495)</f>
        <v>점보롤 세정포</v>
      </c>
      <c r="Q4495" s="71">
        <f>D4495</f>
        <v>1</v>
      </c>
      <c r="R4495" s="102">
        <v>462000</v>
      </c>
      <c r="S4495" s="102">
        <f t="shared" si="2210"/>
        <v>508200.00000000006</v>
      </c>
      <c r="T4495" s="102">
        <f t="shared" si="2211"/>
        <v>462000</v>
      </c>
      <c r="U4495" s="71" t="str">
        <f>IF(J4495=W4495,"O", "X")</f>
        <v>O</v>
      </c>
      <c r="V4495" s="71" t="s">
        <v>1228</v>
      </c>
      <c r="W4495" s="474">
        <f>(G4495-T4495)</f>
        <v>168000</v>
      </c>
      <c r="X4495" s="71"/>
      <c r="Y4495" s="71"/>
    </row>
    <row r="4496" spans="1:25" s="978" customFormat="1" ht="45" hidden="1" customHeight="1" x14ac:dyDescent="0.25">
      <c r="A4496" s="982" t="s">
        <v>3174</v>
      </c>
      <c r="B4496" s="976" t="s">
        <v>544</v>
      </c>
      <c r="C4496" s="453"/>
      <c r="D4496" s="453"/>
      <c r="E4496" s="454"/>
      <c r="F4496" s="454"/>
      <c r="G4496" s="454"/>
      <c r="H4496" s="455"/>
      <c r="I4496" s="453"/>
      <c r="J4496" s="417"/>
      <c r="K4496" s="418"/>
      <c r="L4496" s="983" t="s">
        <v>3157</v>
      </c>
      <c r="M4496" s="643"/>
      <c r="N4496" s="724" t="str">
        <f>A4496</f>
        <v>2021,11</v>
      </c>
      <c r="O4496" s="453" t="s">
        <v>154</v>
      </c>
      <c r="P4496" s="728"/>
      <c r="Q4496" s="420"/>
      <c r="R4496" s="420"/>
      <c r="S4496" s="417"/>
      <c r="T4496" s="417"/>
      <c r="U4496" s="421"/>
      <c r="V4496" s="421"/>
      <c r="W4496" s="479">
        <f>(G4496-T4496)</f>
        <v>0</v>
      </c>
      <c r="X4496" s="421"/>
      <c r="Y4496" s="421"/>
    </row>
    <row r="4497" spans="1:25" ht="30" hidden="1" customHeight="1" x14ac:dyDescent="0.25">
      <c r="A4497" s="1145">
        <v>44475</v>
      </c>
      <c r="B4497" s="664" t="s">
        <v>575</v>
      </c>
      <c r="C4497" s="71" t="s">
        <v>3196</v>
      </c>
      <c r="D4497" s="71">
        <v>1</v>
      </c>
      <c r="E4497" s="102">
        <v>6630000</v>
      </c>
      <c r="F4497" s="102">
        <f t="shared" ref="F4497:F4548" si="2216">(E4497*D4497)*1.1</f>
        <v>7293000.0000000009</v>
      </c>
      <c r="G4497" s="102">
        <f t="shared" ref="G4497:G4548" si="2217">(E4497*D4497)</f>
        <v>6630000</v>
      </c>
      <c r="H4497" s="690" t="s">
        <v>173</v>
      </c>
      <c r="I4497" s="690" t="s">
        <v>143</v>
      </c>
      <c r="J4497" s="53">
        <f t="shared" ref="J4497:J4507" si="2218">G4497-T4497</f>
        <v>1320000</v>
      </c>
      <c r="K4497" s="63">
        <f>(J4497/(F4497/11*10))</f>
        <v>0.19909502262443435</v>
      </c>
      <c r="L4497" s="871" t="s">
        <v>3157</v>
      </c>
      <c r="M4497" s="468"/>
      <c r="N4497" s="1192">
        <f>A4497</f>
        <v>44475</v>
      </c>
      <c r="O4497" s="71" t="s">
        <v>612</v>
      </c>
      <c r="P4497" s="209" t="str">
        <f>(C4497)</f>
        <v>고모리, M600 롤러 18개</v>
      </c>
      <c r="Q4497" s="71">
        <f>D4497</f>
        <v>1</v>
      </c>
      <c r="R4497" s="102">
        <f>1110000+4200000</f>
        <v>5310000</v>
      </c>
      <c r="S4497" s="102">
        <f t="shared" ref="S4497:S4507" si="2219">R4497*Q4497*1.1</f>
        <v>5841000.0000000009</v>
      </c>
      <c r="T4497" s="102">
        <f t="shared" ref="T4497:T4507" si="2220">R4497*Q4497</f>
        <v>5310000</v>
      </c>
      <c r="U4497" s="71"/>
      <c r="V4497" s="71"/>
      <c r="W4497" s="474"/>
      <c r="X4497" s="71"/>
      <c r="Y4497" s="71"/>
    </row>
    <row r="4498" spans="1:25" ht="30" hidden="1" customHeight="1" x14ac:dyDescent="0.25">
      <c r="A4498" s="1145">
        <v>44497</v>
      </c>
      <c r="B4498" s="664" t="s">
        <v>442</v>
      </c>
      <c r="C4498" s="71" t="s">
        <v>206</v>
      </c>
      <c r="D4498" s="71">
        <v>4</v>
      </c>
      <c r="E4498" s="102">
        <v>366500</v>
      </c>
      <c r="F4498" s="102">
        <f t="shared" si="2216"/>
        <v>1612600.0000000002</v>
      </c>
      <c r="G4498" s="102">
        <f t="shared" si="2217"/>
        <v>1466000</v>
      </c>
      <c r="H4498" s="690" t="s">
        <v>2029</v>
      </c>
      <c r="I4498" s="71" t="s">
        <v>195</v>
      </c>
      <c r="J4498" s="53">
        <f t="shared" si="2218"/>
        <v>389600</v>
      </c>
      <c r="K4498" s="63">
        <f t="shared" ref="K4498:K4507" si="2221">(J4498/(F4498/11*10))</f>
        <v>0.26575716234652108</v>
      </c>
      <c r="L4498" s="871" t="s">
        <v>3157</v>
      </c>
      <c r="M4498" s="468"/>
      <c r="N4498" s="1192">
        <f t="shared" ref="N4498:N4507" si="2222">A4498</f>
        <v>44497</v>
      </c>
      <c r="O4498" s="71" t="s">
        <v>194</v>
      </c>
      <c r="P4498" s="164" t="str">
        <f t="shared" ref="P4498:P4507" si="2223">(C4498)</f>
        <v>Agfa Film(24inch)</v>
      </c>
      <c r="Q4498" s="71">
        <f>D4498</f>
        <v>4</v>
      </c>
      <c r="R4498" s="102">
        <v>269100</v>
      </c>
      <c r="S4498" s="102">
        <f t="shared" si="2219"/>
        <v>1184040</v>
      </c>
      <c r="T4498" s="102">
        <f t="shared" si="2220"/>
        <v>1076400</v>
      </c>
      <c r="U4498" s="71" t="str">
        <f t="shared" ref="U4498:U4507" si="2224">IF(J4498=W4498,"O", "X")</f>
        <v>O</v>
      </c>
      <c r="V4498" s="71"/>
      <c r="W4498" s="474">
        <f>(G4498-T4498)</f>
        <v>389600</v>
      </c>
      <c r="X4498" s="71"/>
      <c r="Y4498" s="71"/>
    </row>
    <row r="4499" spans="1:25" ht="30" hidden="1" customHeight="1" x14ac:dyDescent="0.25">
      <c r="A4499" s="1145">
        <v>44497</v>
      </c>
      <c r="B4499" s="664" t="s">
        <v>442</v>
      </c>
      <c r="C4499" s="71" t="s">
        <v>207</v>
      </c>
      <c r="D4499" s="71">
        <v>4</v>
      </c>
      <c r="E4499" s="102">
        <v>451000</v>
      </c>
      <c r="F4499" s="102">
        <f t="shared" si="2216"/>
        <v>1984400.0000000002</v>
      </c>
      <c r="G4499" s="102">
        <f t="shared" si="2217"/>
        <v>1804000</v>
      </c>
      <c r="H4499" s="690" t="s">
        <v>2029</v>
      </c>
      <c r="I4499" s="71" t="s">
        <v>195</v>
      </c>
      <c r="J4499" s="53">
        <f t="shared" si="2218"/>
        <v>548160</v>
      </c>
      <c r="K4499" s="63">
        <f t="shared" si="2221"/>
        <v>0.30385809312638579</v>
      </c>
      <c r="L4499" s="871" t="s">
        <v>3157</v>
      </c>
      <c r="M4499" s="468"/>
      <c r="N4499" s="1192">
        <f t="shared" si="2222"/>
        <v>44497</v>
      </c>
      <c r="O4499" s="71" t="s">
        <v>194</v>
      </c>
      <c r="P4499" s="164" t="str">
        <f t="shared" si="2223"/>
        <v>Agfa Film(28inch)</v>
      </c>
      <c r="Q4499" s="71">
        <f>D4499</f>
        <v>4</v>
      </c>
      <c r="R4499" s="102">
        <f>VLOOKUP(P4499,[5]Price!B$1:D$65536,3,FALSE)</f>
        <v>313960</v>
      </c>
      <c r="S4499" s="102">
        <f t="shared" si="2219"/>
        <v>1381424</v>
      </c>
      <c r="T4499" s="102">
        <f t="shared" si="2220"/>
        <v>1255840</v>
      </c>
      <c r="U4499" s="71" t="str">
        <f t="shared" si="2224"/>
        <v>O</v>
      </c>
      <c r="V4499" s="71"/>
      <c r="W4499" s="474">
        <f>(G4499-T4499)</f>
        <v>548160</v>
      </c>
      <c r="X4499" s="71"/>
      <c r="Y4499" s="71"/>
    </row>
    <row r="4500" spans="1:25" ht="30" hidden="1" customHeight="1" x14ac:dyDescent="0.25">
      <c r="A4500" s="1145">
        <v>44497</v>
      </c>
      <c r="B4500" s="664" t="s">
        <v>442</v>
      </c>
      <c r="C4500" s="71" t="s">
        <v>208</v>
      </c>
      <c r="D4500" s="71">
        <v>4</v>
      </c>
      <c r="E4500" s="102">
        <v>505000</v>
      </c>
      <c r="F4500" s="102">
        <f t="shared" si="2216"/>
        <v>2222000</v>
      </c>
      <c r="G4500" s="102">
        <f t="shared" si="2217"/>
        <v>2020000</v>
      </c>
      <c r="H4500" s="690" t="s">
        <v>2029</v>
      </c>
      <c r="I4500" s="71" t="s">
        <v>195</v>
      </c>
      <c r="J4500" s="53">
        <f t="shared" si="2218"/>
        <v>539960</v>
      </c>
      <c r="K4500" s="63">
        <f t="shared" si="2221"/>
        <v>0.26730693069306932</v>
      </c>
      <c r="L4500" s="871" t="s">
        <v>3157</v>
      </c>
      <c r="M4500" s="468"/>
      <c r="N4500" s="1192">
        <f t="shared" si="2222"/>
        <v>44497</v>
      </c>
      <c r="O4500" s="71" t="s">
        <v>194</v>
      </c>
      <c r="P4500" s="164" t="str">
        <f t="shared" si="2223"/>
        <v>Agfa Film(32inch)</v>
      </c>
      <c r="Q4500" s="71">
        <f t="shared" ref="Q4500:Q4510" si="2225">D4500</f>
        <v>4</v>
      </c>
      <c r="R4500" s="102">
        <f>VLOOKUP(P4500,[5]Price!B$1:D$65536,3,FALSE)</f>
        <v>370010</v>
      </c>
      <c r="S4500" s="102">
        <f t="shared" si="2219"/>
        <v>1628044.0000000002</v>
      </c>
      <c r="T4500" s="102">
        <f t="shared" si="2220"/>
        <v>1480040</v>
      </c>
      <c r="U4500" s="71" t="str">
        <f t="shared" si="2224"/>
        <v>O</v>
      </c>
      <c r="V4500" s="71"/>
      <c r="W4500" s="474">
        <f>(G4500-T4500)</f>
        <v>539960</v>
      </c>
      <c r="X4500" s="71"/>
      <c r="Y4500" s="71"/>
    </row>
    <row r="4501" spans="1:25" ht="30" hidden="1" customHeight="1" x14ac:dyDescent="0.2">
      <c r="A4501" s="1145">
        <v>44497</v>
      </c>
      <c r="B4501" s="664" t="s">
        <v>442</v>
      </c>
      <c r="C4501" s="71" t="s">
        <v>650</v>
      </c>
      <c r="D4501" s="71">
        <v>2</v>
      </c>
      <c r="E4501" s="102">
        <v>93000</v>
      </c>
      <c r="F4501" s="102">
        <f t="shared" si="2216"/>
        <v>204600.00000000003</v>
      </c>
      <c r="G4501" s="102">
        <f t="shared" si="2217"/>
        <v>186000</v>
      </c>
      <c r="H4501" s="165" t="s">
        <v>172</v>
      </c>
      <c r="I4501" s="71" t="s">
        <v>141</v>
      </c>
      <c r="J4501" s="53">
        <f t="shared" si="2218"/>
        <v>66000</v>
      </c>
      <c r="K4501" s="63">
        <f t="shared" si="2221"/>
        <v>0.35483870967741932</v>
      </c>
      <c r="L4501" s="871" t="s">
        <v>3157</v>
      </c>
      <c r="M4501" s="468"/>
      <c r="N4501" s="1192">
        <f t="shared" si="2222"/>
        <v>44497</v>
      </c>
      <c r="O4501" s="71" t="s">
        <v>145</v>
      </c>
      <c r="P4501" s="164" t="str">
        <f t="shared" si="2223"/>
        <v>Agfa 정착액 G333C(20L)</v>
      </c>
      <c r="Q4501" s="71">
        <f t="shared" si="2225"/>
        <v>2</v>
      </c>
      <c r="R4501" s="102">
        <f>VLOOKUP(P4501,Price!B:D,3,FALSE)</f>
        <v>60000</v>
      </c>
      <c r="S4501" s="102">
        <f t="shared" si="2219"/>
        <v>132000</v>
      </c>
      <c r="T4501" s="102">
        <f t="shared" si="2220"/>
        <v>120000</v>
      </c>
      <c r="U4501" s="71" t="str">
        <f t="shared" si="2224"/>
        <v>O</v>
      </c>
      <c r="V4501" s="71"/>
      <c r="W4501" s="474">
        <f>(G4501-T4501)</f>
        <v>66000</v>
      </c>
      <c r="X4501" s="71"/>
      <c r="Y4501" s="71"/>
    </row>
    <row r="4502" spans="1:25" ht="30" hidden="1" customHeight="1" x14ac:dyDescent="0.25">
      <c r="A4502" s="1145">
        <v>44497</v>
      </c>
      <c r="B4502" s="664" t="s">
        <v>690</v>
      </c>
      <c r="C4502" s="71" t="s">
        <v>1186</v>
      </c>
      <c r="D4502" s="71">
        <v>2000</v>
      </c>
      <c r="E4502" s="102">
        <v>3860</v>
      </c>
      <c r="F4502" s="102">
        <f t="shared" si="2216"/>
        <v>8492000</v>
      </c>
      <c r="G4502" s="102">
        <f t="shared" si="2217"/>
        <v>7720000</v>
      </c>
      <c r="H4502" s="690" t="s">
        <v>173</v>
      </c>
      <c r="I4502" s="71" t="s">
        <v>2230</v>
      </c>
      <c r="J4502" s="53">
        <f t="shared" si="2218"/>
        <v>700000</v>
      </c>
      <c r="K4502" s="63">
        <f t="shared" si="2221"/>
        <v>9.0673575129533682E-2</v>
      </c>
      <c r="L4502" s="871" t="s">
        <v>3157</v>
      </c>
      <c r="M4502" s="468" t="s">
        <v>3078</v>
      </c>
      <c r="N4502" s="1192">
        <f t="shared" si="2222"/>
        <v>44497</v>
      </c>
      <c r="O4502" s="71" t="s">
        <v>145</v>
      </c>
      <c r="P4502" s="164" t="str">
        <f t="shared" si="2223"/>
        <v>CTP 판(1030*790mm)</v>
      </c>
      <c r="Q4502" s="71">
        <f t="shared" si="2225"/>
        <v>2000</v>
      </c>
      <c r="R4502" s="102">
        <v>3510</v>
      </c>
      <c r="S4502" s="102">
        <f t="shared" si="2219"/>
        <v>7722000.0000000009</v>
      </c>
      <c r="T4502" s="102">
        <f t="shared" si="2220"/>
        <v>7020000</v>
      </c>
      <c r="U4502" s="71" t="str">
        <f t="shared" si="2224"/>
        <v>X</v>
      </c>
      <c r="V4502" s="71"/>
      <c r="W4502" s="474">
        <v>-200000</v>
      </c>
      <c r="X4502" s="71"/>
      <c r="Y4502" s="71"/>
    </row>
    <row r="4503" spans="1:25" ht="30" hidden="1" customHeight="1" x14ac:dyDescent="0.25">
      <c r="A4503" s="1145">
        <v>44497</v>
      </c>
      <c r="B4503" s="664" t="s">
        <v>690</v>
      </c>
      <c r="C4503" s="71" t="s">
        <v>197</v>
      </c>
      <c r="D4503" s="71">
        <v>14</v>
      </c>
      <c r="E4503" s="102">
        <v>52000</v>
      </c>
      <c r="F4503" s="102">
        <f t="shared" si="2216"/>
        <v>800800.00000000012</v>
      </c>
      <c r="G4503" s="102">
        <f t="shared" si="2217"/>
        <v>728000</v>
      </c>
      <c r="H4503" s="690" t="s">
        <v>173</v>
      </c>
      <c r="I4503" s="71" t="s">
        <v>2230</v>
      </c>
      <c r="J4503" s="53">
        <f t="shared" si="2218"/>
        <v>164500</v>
      </c>
      <c r="K4503" s="63">
        <f t="shared" si="2221"/>
        <v>0.22596153846153844</v>
      </c>
      <c r="L4503" s="871" t="s">
        <v>3157</v>
      </c>
      <c r="M4503" s="468"/>
      <c r="N4503" s="1192">
        <f t="shared" si="2222"/>
        <v>44497</v>
      </c>
      <c r="O4503" s="71" t="s">
        <v>145</v>
      </c>
      <c r="P4503" s="164" t="str">
        <f t="shared" si="2223"/>
        <v>THR200(20L)</v>
      </c>
      <c r="Q4503" s="71">
        <f t="shared" si="2225"/>
        <v>14</v>
      </c>
      <c r="R4503" s="102">
        <v>40250</v>
      </c>
      <c r="S4503" s="102">
        <f t="shared" si="2219"/>
        <v>619850</v>
      </c>
      <c r="T4503" s="102">
        <f t="shared" si="2220"/>
        <v>563500</v>
      </c>
      <c r="U4503" s="71" t="str">
        <f t="shared" si="2224"/>
        <v>X</v>
      </c>
      <c r="V4503" s="71"/>
      <c r="W4503" s="474"/>
      <c r="X4503" s="71"/>
      <c r="Y4503" s="71"/>
    </row>
    <row r="4504" spans="1:25" ht="30" hidden="1" customHeight="1" x14ac:dyDescent="0.25">
      <c r="A4504" s="1145">
        <v>44497</v>
      </c>
      <c r="B4504" s="664" t="s">
        <v>690</v>
      </c>
      <c r="C4504" s="71" t="s">
        <v>750</v>
      </c>
      <c r="D4504" s="71">
        <v>5</v>
      </c>
      <c r="E4504" s="102">
        <v>52000</v>
      </c>
      <c r="F4504" s="102">
        <f t="shared" si="2216"/>
        <v>286000</v>
      </c>
      <c r="G4504" s="102">
        <f t="shared" si="2217"/>
        <v>260000</v>
      </c>
      <c r="H4504" s="690" t="s">
        <v>173</v>
      </c>
      <c r="I4504" s="71" t="s">
        <v>2230</v>
      </c>
      <c r="J4504" s="53">
        <f t="shared" si="2218"/>
        <v>58750</v>
      </c>
      <c r="K4504" s="63">
        <f t="shared" si="2221"/>
        <v>0.22596153846153846</v>
      </c>
      <c r="L4504" s="871" t="s">
        <v>3157</v>
      </c>
      <c r="M4504" s="468" t="s">
        <v>1394</v>
      </c>
      <c r="N4504" s="1192">
        <f t="shared" si="2222"/>
        <v>44497</v>
      </c>
      <c r="O4504" s="71" t="s">
        <v>145</v>
      </c>
      <c r="P4504" s="164" t="str">
        <f t="shared" si="2223"/>
        <v>THD200(20L)</v>
      </c>
      <c r="Q4504" s="71">
        <f t="shared" si="2225"/>
        <v>5</v>
      </c>
      <c r="R4504" s="102">
        <v>40250</v>
      </c>
      <c r="S4504" s="102">
        <f t="shared" si="2219"/>
        <v>221375.00000000003</v>
      </c>
      <c r="T4504" s="102">
        <f t="shared" si="2220"/>
        <v>201250</v>
      </c>
      <c r="U4504" s="71" t="str">
        <f t="shared" si="2224"/>
        <v>O</v>
      </c>
      <c r="V4504" s="71"/>
      <c r="W4504" s="474">
        <f>(G4504-T4504)</f>
        <v>58750</v>
      </c>
      <c r="X4504" s="71"/>
      <c r="Y4504" s="71"/>
    </row>
    <row r="4505" spans="1:25" ht="30" hidden="1" customHeight="1" x14ac:dyDescent="0.25">
      <c r="A4505" s="1145">
        <v>44498</v>
      </c>
      <c r="B4505" s="664" t="s">
        <v>2155</v>
      </c>
      <c r="C4505" s="760" t="s">
        <v>218</v>
      </c>
      <c r="D4505" s="71">
        <v>10</v>
      </c>
      <c r="E4505" s="102">
        <v>192500</v>
      </c>
      <c r="F4505" s="102">
        <f t="shared" si="2216"/>
        <v>2117500</v>
      </c>
      <c r="G4505" s="102">
        <f t="shared" si="2217"/>
        <v>1925000</v>
      </c>
      <c r="H4505" s="690" t="s">
        <v>173</v>
      </c>
      <c r="I4505" s="71" t="s">
        <v>120</v>
      </c>
      <c r="J4505" s="53">
        <f t="shared" si="2218"/>
        <v>800000</v>
      </c>
      <c r="K4505" s="63">
        <f t="shared" si="2221"/>
        <v>0.41558441558441561</v>
      </c>
      <c r="L4505" s="871" t="s">
        <v>3157</v>
      </c>
      <c r="M4505" s="468"/>
      <c r="N4505" s="1192">
        <f t="shared" si="2222"/>
        <v>44498</v>
      </c>
      <c r="O4505" s="71" t="s">
        <v>150</v>
      </c>
      <c r="P4505" s="164" t="str">
        <f t="shared" si="2223"/>
        <v>Fount Web 551AF</v>
      </c>
      <c r="Q4505" s="71">
        <f t="shared" si="2225"/>
        <v>10</v>
      </c>
      <c r="R4505" s="102">
        <v>112500</v>
      </c>
      <c r="S4505" s="102">
        <f t="shared" si="2219"/>
        <v>1237500</v>
      </c>
      <c r="T4505" s="102">
        <f t="shared" si="2220"/>
        <v>1125000</v>
      </c>
      <c r="U4505" s="71" t="str">
        <f t="shared" si="2224"/>
        <v>X</v>
      </c>
      <c r="V4505" s="71"/>
      <c r="W4505" s="474">
        <v>640000</v>
      </c>
      <c r="X4505" s="71"/>
      <c r="Y4505" s="71"/>
    </row>
    <row r="4506" spans="1:25" ht="30" hidden="1" customHeight="1" x14ac:dyDescent="0.25">
      <c r="A4506" s="1145">
        <v>44498</v>
      </c>
      <c r="B4506" s="664" t="s">
        <v>2155</v>
      </c>
      <c r="C4506" s="71" t="s">
        <v>277</v>
      </c>
      <c r="D4506" s="71">
        <v>10</v>
      </c>
      <c r="E4506" s="102">
        <v>172000</v>
      </c>
      <c r="F4506" s="102">
        <f t="shared" si="2216"/>
        <v>1892000.0000000002</v>
      </c>
      <c r="G4506" s="102">
        <f t="shared" si="2217"/>
        <v>1720000</v>
      </c>
      <c r="H4506" s="690" t="s">
        <v>173</v>
      </c>
      <c r="I4506" s="71" t="s">
        <v>108</v>
      </c>
      <c r="J4506" s="53">
        <f t="shared" si="2218"/>
        <v>570000</v>
      </c>
      <c r="K4506" s="63">
        <f t="shared" si="2221"/>
        <v>0.33139534883720928</v>
      </c>
      <c r="L4506" s="871" t="s">
        <v>3157</v>
      </c>
      <c r="M4506" s="468"/>
      <c r="N4506" s="1192">
        <f t="shared" si="2222"/>
        <v>44498</v>
      </c>
      <c r="O4506" s="71" t="s">
        <v>150</v>
      </c>
      <c r="P4506" s="164" t="str">
        <f t="shared" si="2223"/>
        <v>윤전용 세척제(Web 504)</v>
      </c>
      <c r="Q4506" s="71">
        <f t="shared" si="2225"/>
        <v>10</v>
      </c>
      <c r="R4506" s="102">
        <v>115000</v>
      </c>
      <c r="S4506" s="102">
        <f t="shared" si="2219"/>
        <v>1265000</v>
      </c>
      <c r="T4506" s="102">
        <f t="shared" si="2220"/>
        <v>1150000</v>
      </c>
      <c r="U4506" s="71" t="str">
        <f t="shared" si="2224"/>
        <v>X</v>
      </c>
      <c r="V4506" s="71"/>
      <c r="W4506" s="474">
        <v>285000</v>
      </c>
      <c r="X4506" s="71"/>
      <c r="Y4506" s="71"/>
    </row>
    <row r="4507" spans="1:25" s="209" customFormat="1" ht="30" hidden="1" customHeight="1" x14ac:dyDescent="0.2">
      <c r="A4507" s="1145">
        <v>44498</v>
      </c>
      <c r="B4507" s="664" t="s">
        <v>2261</v>
      </c>
      <c r="C4507" s="71" t="s">
        <v>107</v>
      </c>
      <c r="D4507" s="71">
        <v>10</v>
      </c>
      <c r="E4507" s="102">
        <v>108000</v>
      </c>
      <c r="F4507" s="102">
        <f t="shared" si="2216"/>
        <v>1188000</v>
      </c>
      <c r="G4507" s="102">
        <f t="shared" si="2217"/>
        <v>1080000</v>
      </c>
      <c r="H4507" s="165" t="s">
        <v>172</v>
      </c>
      <c r="I4507" s="71" t="s">
        <v>109</v>
      </c>
      <c r="J4507" s="53">
        <f t="shared" si="2218"/>
        <v>275000</v>
      </c>
      <c r="K4507" s="63">
        <f t="shared" si="2221"/>
        <v>0.25462962962962965</v>
      </c>
      <c r="L4507" s="871" t="s">
        <v>3157</v>
      </c>
      <c r="M4507" s="468"/>
      <c r="N4507" s="1192">
        <f t="shared" si="2222"/>
        <v>44498</v>
      </c>
      <c r="O4507" s="71" t="s">
        <v>147</v>
      </c>
      <c r="P4507" s="164" t="str">
        <f t="shared" si="2223"/>
        <v>Blanket(1050*840)</v>
      </c>
      <c r="Q4507" s="71">
        <f t="shared" si="2225"/>
        <v>10</v>
      </c>
      <c r="R4507" s="102">
        <v>80500</v>
      </c>
      <c r="S4507" s="102">
        <f t="shared" si="2219"/>
        <v>885500.00000000012</v>
      </c>
      <c r="T4507" s="102">
        <f t="shared" si="2220"/>
        <v>805000</v>
      </c>
      <c r="U4507" s="71" t="str">
        <f t="shared" si="2224"/>
        <v>O</v>
      </c>
      <c r="V4507" s="71"/>
      <c r="W4507" s="474">
        <v>275000</v>
      </c>
      <c r="X4507" s="71"/>
      <c r="Y4507" s="71"/>
    </row>
    <row r="4508" spans="1:25" ht="30" hidden="1" customHeight="1" x14ac:dyDescent="0.25">
      <c r="A4508" s="1145">
        <v>44501</v>
      </c>
      <c r="B4508" s="664" t="s">
        <v>546</v>
      </c>
      <c r="C4508" s="71" t="s">
        <v>3184</v>
      </c>
      <c r="D4508" s="71">
        <v>1</v>
      </c>
      <c r="E4508" s="102">
        <v>26089080</v>
      </c>
      <c r="F4508" s="102">
        <f t="shared" si="2216"/>
        <v>28697988.000000004</v>
      </c>
      <c r="G4508" s="102">
        <f t="shared" si="2217"/>
        <v>26089080</v>
      </c>
      <c r="H4508" s="690" t="s">
        <v>1431</v>
      </c>
      <c r="I4508" s="71" t="s">
        <v>1431</v>
      </c>
      <c r="J4508" s="53"/>
      <c r="K4508" s="63"/>
      <c r="L4508" s="871" t="s">
        <v>3193</v>
      </c>
      <c r="M4508" s="468"/>
      <c r="N4508" s="1192">
        <f>A4508</f>
        <v>44501</v>
      </c>
      <c r="O4508" s="71" t="s">
        <v>1431</v>
      </c>
      <c r="P4508" s="103" t="str">
        <f>(C4508)</f>
        <v>Rotoman 오버홀 부품 잔금</v>
      </c>
      <c r="Q4508" s="71">
        <f t="shared" si="2225"/>
        <v>1</v>
      </c>
      <c r="R4508" s="102"/>
      <c r="S4508" s="102"/>
      <c r="T4508" s="102"/>
      <c r="U4508" s="71"/>
      <c r="V4508" s="71"/>
      <c r="W4508" s="474"/>
      <c r="X4508" s="71"/>
      <c r="Y4508" s="71"/>
    </row>
    <row r="4509" spans="1:25" ht="30" hidden="1" customHeight="1" x14ac:dyDescent="0.25">
      <c r="A4509" s="1145">
        <v>44501</v>
      </c>
      <c r="B4509" s="664" t="s">
        <v>546</v>
      </c>
      <c r="C4509" s="71" t="s">
        <v>3185</v>
      </c>
      <c r="D4509" s="71">
        <v>1</v>
      </c>
      <c r="E4509" s="102">
        <v>70527630</v>
      </c>
      <c r="F4509" s="102">
        <f t="shared" si="2216"/>
        <v>77580393</v>
      </c>
      <c r="G4509" s="102">
        <f t="shared" si="2217"/>
        <v>70527630</v>
      </c>
      <c r="H4509" s="690" t="s">
        <v>985</v>
      </c>
      <c r="I4509" s="71" t="s">
        <v>985</v>
      </c>
      <c r="J4509" s="53"/>
      <c r="K4509" s="63"/>
      <c r="L4509" s="871" t="s">
        <v>3193</v>
      </c>
      <c r="M4509" s="468"/>
      <c r="N4509" s="1192">
        <f>A4509</f>
        <v>44501</v>
      </c>
      <c r="O4509" s="71" t="s">
        <v>1431</v>
      </c>
      <c r="P4509" s="103" t="str">
        <f>(C4509)</f>
        <v>Rotoman 외국인 서비스 비용</v>
      </c>
      <c r="Q4509" s="71">
        <f t="shared" si="2225"/>
        <v>1</v>
      </c>
      <c r="R4509" s="102"/>
      <c r="S4509" s="102"/>
      <c r="T4509" s="102"/>
      <c r="U4509" s="71"/>
      <c r="V4509" s="71"/>
      <c r="W4509" s="474"/>
      <c r="X4509" s="71"/>
      <c r="Y4509" s="71"/>
    </row>
    <row r="4510" spans="1:25" ht="30" hidden="1" customHeight="1" x14ac:dyDescent="0.25">
      <c r="A4510" s="1145">
        <v>44501</v>
      </c>
      <c r="B4510" s="664" t="s">
        <v>546</v>
      </c>
      <c r="C4510" s="71" t="s">
        <v>3186</v>
      </c>
      <c r="D4510" s="71">
        <v>1</v>
      </c>
      <c r="E4510" s="102">
        <v>12000000</v>
      </c>
      <c r="F4510" s="102">
        <f t="shared" si="2216"/>
        <v>13200000.000000002</v>
      </c>
      <c r="G4510" s="102">
        <f t="shared" si="2217"/>
        <v>12000000</v>
      </c>
      <c r="H4510" s="690" t="s">
        <v>985</v>
      </c>
      <c r="I4510" s="71" t="s">
        <v>985</v>
      </c>
      <c r="J4510" s="53"/>
      <c r="K4510" s="63"/>
      <c r="L4510" s="871" t="s">
        <v>3193</v>
      </c>
      <c r="M4510" s="468"/>
      <c r="N4510" s="1192">
        <f>A4510</f>
        <v>44501</v>
      </c>
      <c r="O4510" s="71" t="s">
        <v>1431</v>
      </c>
      <c r="P4510" s="103" t="str">
        <f>(C4510)</f>
        <v>Rotoman 알레스 서비스비용</v>
      </c>
      <c r="Q4510" s="71">
        <f t="shared" si="2225"/>
        <v>1</v>
      </c>
      <c r="R4510" s="102"/>
      <c r="S4510" s="102"/>
      <c r="T4510" s="102"/>
      <c r="U4510" s="71"/>
      <c r="V4510" s="71"/>
      <c r="W4510" s="474"/>
      <c r="X4510" s="71"/>
      <c r="Y4510" s="71"/>
    </row>
    <row r="4511" spans="1:25" s="209" customFormat="1" ht="30" hidden="1" customHeight="1" x14ac:dyDescent="0.25">
      <c r="A4511" s="1145">
        <v>44501</v>
      </c>
      <c r="B4511" s="664" t="s">
        <v>442</v>
      </c>
      <c r="C4511" s="71" t="s">
        <v>138</v>
      </c>
      <c r="D4511" s="71">
        <v>20</v>
      </c>
      <c r="E4511" s="102">
        <v>62500</v>
      </c>
      <c r="F4511" s="102">
        <f t="shared" si="2216"/>
        <v>1375000</v>
      </c>
      <c r="G4511" s="102">
        <f t="shared" si="2217"/>
        <v>1250000</v>
      </c>
      <c r="H4511" s="690" t="s">
        <v>173</v>
      </c>
      <c r="I4511" s="71" t="s">
        <v>108</v>
      </c>
      <c r="J4511" s="53">
        <f>G4511-T4511</f>
        <v>324000</v>
      </c>
      <c r="K4511" s="63">
        <f>(J4511/(F4511/11*10))</f>
        <v>0.25919999999999999</v>
      </c>
      <c r="L4511" s="871" t="s">
        <v>3193</v>
      </c>
      <c r="M4511" s="468" t="s">
        <v>3080</v>
      </c>
      <c r="N4511" s="1192">
        <f>A4511</f>
        <v>44501</v>
      </c>
      <c r="O4511" s="71" t="s">
        <v>150</v>
      </c>
      <c r="P4511" s="164" t="str">
        <f>(C4511)</f>
        <v>매엽용 세척제(Wash 562)</v>
      </c>
      <c r="Q4511" s="71">
        <f>D4511</f>
        <v>20</v>
      </c>
      <c r="R4511" s="102">
        <v>40800</v>
      </c>
      <c r="S4511" s="102">
        <f>R4511*Q4511*1.1+121000</f>
        <v>1018600.0000000001</v>
      </c>
      <c r="T4511" s="102">
        <f>R4511*Q4511+110000</f>
        <v>926000</v>
      </c>
      <c r="U4511" s="71" t="str">
        <f>IF(J4511=W4511,"O", "X")</f>
        <v>X</v>
      </c>
      <c r="V4511" s="71"/>
      <c r="W4511" s="474">
        <v>396000</v>
      </c>
      <c r="X4511" s="71"/>
      <c r="Y4511" s="71"/>
    </row>
    <row r="4512" spans="1:25" ht="30" hidden="1" customHeight="1" x14ac:dyDescent="0.25">
      <c r="A4512" s="1145">
        <v>44501</v>
      </c>
      <c r="B4512" s="664" t="s">
        <v>690</v>
      </c>
      <c r="C4512" s="71" t="s">
        <v>217</v>
      </c>
      <c r="D4512" s="71">
        <v>6</v>
      </c>
      <c r="E4512" s="102">
        <v>155500</v>
      </c>
      <c r="F4512" s="102">
        <f t="shared" si="2216"/>
        <v>1026300.0000000001</v>
      </c>
      <c r="G4512" s="102">
        <f t="shared" si="2217"/>
        <v>933000</v>
      </c>
      <c r="H4512" s="690" t="s">
        <v>173</v>
      </c>
      <c r="I4512" s="71" t="s">
        <v>120</v>
      </c>
      <c r="J4512" s="53">
        <f>G4512-T4512</f>
        <v>453000</v>
      </c>
      <c r="K4512" s="63">
        <f>(J4512/(F4512/11*10))</f>
        <v>0.48553054662379413</v>
      </c>
      <c r="L4512" s="871" t="s">
        <v>3193</v>
      </c>
      <c r="M4512" s="468"/>
      <c r="N4512" s="1192">
        <f t="shared" ref="N4512:N4575" si="2226">A4512</f>
        <v>44501</v>
      </c>
      <c r="O4512" s="71" t="s">
        <v>150</v>
      </c>
      <c r="P4512" s="164" t="str">
        <f>(C4512)</f>
        <v>Fount 511</v>
      </c>
      <c r="Q4512" s="71">
        <f>D4512</f>
        <v>6</v>
      </c>
      <c r="R4512" s="102">
        <v>80000</v>
      </c>
      <c r="S4512" s="102">
        <f>R4512*Q4512*1.1</f>
        <v>528000</v>
      </c>
      <c r="T4512" s="102">
        <f>R4512*Q4512</f>
        <v>480000</v>
      </c>
      <c r="U4512" s="71" t="str">
        <f>IF(J4512=W4512,"O", "X")</f>
        <v>X</v>
      </c>
      <c r="V4512" s="71"/>
      <c r="W4512" s="474">
        <v>130000</v>
      </c>
      <c r="X4512" s="71"/>
      <c r="Y4512" s="71"/>
    </row>
    <row r="4513" spans="1:25" s="209" customFormat="1" ht="30" hidden="1" customHeight="1" x14ac:dyDescent="0.25">
      <c r="A4513" s="1145">
        <v>44501</v>
      </c>
      <c r="B4513" s="671" t="s">
        <v>442</v>
      </c>
      <c r="C4513" s="682" t="s">
        <v>107</v>
      </c>
      <c r="D4513" s="682">
        <v>10</v>
      </c>
      <c r="E4513" s="702">
        <v>105000</v>
      </c>
      <c r="F4513" s="102">
        <f t="shared" si="2216"/>
        <v>1155000</v>
      </c>
      <c r="G4513" s="102">
        <f t="shared" si="2217"/>
        <v>1050000</v>
      </c>
      <c r="H4513" s="690" t="s">
        <v>173</v>
      </c>
      <c r="I4513" s="71" t="s">
        <v>109</v>
      </c>
      <c r="J4513" s="53">
        <v>147000</v>
      </c>
      <c r="K4513" s="63">
        <v>0.23333333333333334</v>
      </c>
      <c r="L4513" s="871" t="s">
        <v>3193</v>
      </c>
      <c r="M4513" s="579"/>
      <c r="N4513" s="1192">
        <f t="shared" si="2226"/>
        <v>44501</v>
      </c>
      <c r="O4513" s="682" t="s">
        <v>147</v>
      </c>
      <c r="P4513" s="164" t="s">
        <v>2070</v>
      </c>
      <c r="Q4513" s="71">
        <v>6</v>
      </c>
      <c r="R4513" s="202">
        <v>80500</v>
      </c>
      <c r="S4513" s="102">
        <v>531300</v>
      </c>
      <c r="T4513" s="102">
        <v>483000</v>
      </c>
      <c r="U4513" s="209" t="s">
        <v>859</v>
      </c>
      <c r="W4513" s="482">
        <v>147000</v>
      </c>
    </row>
    <row r="4514" spans="1:25" ht="30" hidden="1" customHeight="1" x14ac:dyDescent="0.25">
      <c r="A4514" s="1145">
        <v>44501</v>
      </c>
      <c r="B4514" s="664" t="s">
        <v>442</v>
      </c>
      <c r="C4514" s="71" t="s">
        <v>773</v>
      </c>
      <c r="D4514" s="71">
        <v>6</v>
      </c>
      <c r="E4514" s="102">
        <v>192000</v>
      </c>
      <c r="F4514" s="102">
        <f t="shared" si="2216"/>
        <v>1267200</v>
      </c>
      <c r="G4514" s="102">
        <f t="shared" si="2217"/>
        <v>1152000</v>
      </c>
      <c r="H4514" s="690" t="s">
        <v>173</v>
      </c>
      <c r="I4514" s="71" t="s">
        <v>109</v>
      </c>
      <c r="J4514" s="53">
        <v>120000</v>
      </c>
      <c r="K4514" s="63">
        <v>0.125</v>
      </c>
      <c r="L4514" s="871" t="s">
        <v>3193</v>
      </c>
      <c r="M4514" s="468"/>
      <c r="N4514" s="1192">
        <f t="shared" si="2226"/>
        <v>44501</v>
      </c>
      <c r="O4514" s="71" t="s">
        <v>151</v>
      </c>
      <c r="P4514" s="164" t="s">
        <v>1803</v>
      </c>
      <c r="Q4514" s="71">
        <v>5</v>
      </c>
      <c r="R4514" s="102">
        <v>168000</v>
      </c>
      <c r="S4514" s="102">
        <v>924000.00000000012</v>
      </c>
      <c r="T4514" s="102">
        <v>840000</v>
      </c>
      <c r="U4514" s="71" t="s">
        <v>859</v>
      </c>
      <c r="V4514" s="71"/>
      <c r="W4514" s="474">
        <v>120000</v>
      </c>
      <c r="X4514" s="71"/>
      <c r="Y4514" s="71"/>
    </row>
    <row r="4515" spans="1:25" ht="30" hidden="1" customHeight="1" x14ac:dyDescent="0.25">
      <c r="A4515" s="1145">
        <v>44501</v>
      </c>
      <c r="B4515" s="664" t="s">
        <v>446</v>
      </c>
      <c r="C4515" s="71" t="s">
        <v>2028</v>
      </c>
      <c r="D4515" s="71">
        <v>20</v>
      </c>
      <c r="E4515" s="102">
        <v>105000</v>
      </c>
      <c r="F4515" s="102">
        <f>(E4515*D4515)*1.1</f>
        <v>2310000</v>
      </c>
      <c r="G4515" s="102">
        <f>(E4515*D4515)</f>
        <v>2100000</v>
      </c>
      <c r="H4515" s="690" t="s">
        <v>2029</v>
      </c>
      <c r="I4515" s="71" t="s">
        <v>2231</v>
      </c>
      <c r="J4515" s="53">
        <f t="shared" ref="J4515:J4550" si="2227">G4515-T4515</f>
        <v>280000</v>
      </c>
      <c r="K4515" s="63">
        <f t="shared" ref="K4515:K4523" si="2228">(J4515/(F4515/11*10))</f>
        <v>0.13333333333333333</v>
      </c>
      <c r="L4515" s="871" t="s">
        <v>3193</v>
      </c>
      <c r="M4515" s="468"/>
      <c r="N4515" s="1192">
        <f t="shared" si="2226"/>
        <v>44501</v>
      </c>
      <c r="O4515" s="71" t="s">
        <v>2030</v>
      </c>
      <c r="P4515" s="103" t="str">
        <f>(C4515)</f>
        <v>실리콘 에멀전</v>
      </c>
      <c r="Q4515" s="71">
        <v>20</v>
      </c>
      <c r="R4515" s="102">
        <v>91000</v>
      </c>
      <c r="S4515" s="102">
        <f>R4515*Q4515*1.1</f>
        <v>2002000.0000000002</v>
      </c>
      <c r="T4515" s="102">
        <f>R4515*Q4515</f>
        <v>1820000</v>
      </c>
      <c r="U4515" s="71" t="str">
        <f>IF(J4515=W4515,"O", "X")</f>
        <v>O</v>
      </c>
      <c r="V4515" s="71"/>
      <c r="W4515" s="474">
        <f>(G4515-T4515)</f>
        <v>280000</v>
      </c>
      <c r="X4515" s="71"/>
      <c r="Y4515" s="71"/>
    </row>
    <row r="4516" spans="1:25" ht="30" hidden="1" customHeight="1" x14ac:dyDescent="0.25">
      <c r="A4516" s="1145">
        <v>44502</v>
      </c>
      <c r="B4516" s="664" t="s">
        <v>2103</v>
      </c>
      <c r="C4516" s="71" t="s">
        <v>3131</v>
      </c>
      <c r="D4516" s="71">
        <v>1</v>
      </c>
      <c r="E4516" s="102">
        <v>2080800</v>
      </c>
      <c r="F4516" s="102">
        <f>(E4516*D4516)*1.1</f>
        <v>2288880</v>
      </c>
      <c r="G4516" s="102">
        <f>(E4516*D4516)</f>
        <v>2080800</v>
      </c>
      <c r="H4516" s="690" t="s">
        <v>2029</v>
      </c>
      <c r="I4516" s="71" t="s">
        <v>2231</v>
      </c>
      <c r="J4516" s="53">
        <f t="shared" si="2227"/>
        <v>2080800</v>
      </c>
      <c r="K4516" s="63">
        <f t="shared" si="2228"/>
        <v>1</v>
      </c>
      <c r="L4516" s="871" t="s">
        <v>3193</v>
      </c>
      <c r="M4516" s="468"/>
      <c r="N4516" s="1192">
        <f t="shared" si="2226"/>
        <v>44502</v>
      </c>
      <c r="O4516" s="71"/>
      <c r="P4516" s="103" t="str">
        <f>(C4516)</f>
        <v>세흥인쇄 폐판</v>
      </c>
      <c r="Q4516" s="71"/>
      <c r="R4516" s="102"/>
      <c r="S4516" s="102"/>
      <c r="T4516" s="102"/>
      <c r="U4516" s="71"/>
      <c r="V4516" s="71"/>
      <c r="W4516" s="474"/>
      <c r="X4516" s="71"/>
      <c r="Y4516" s="71"/>
    </row>
    <row r="4517" spans="1:25" ht="27.6" hidden="1" customHeight="1" x14ac:dyDescent="0.25">
      <c r="A4517" s="1145">
        <v>44503</v>
      </c>
      <c r="B4517" s="664" t="s">
        <v>567</v>
      </c>
      <c r="C4517" s="71" t="s">
        <v>1652</v>
      </c>
      <c r="D4517" s="71">
        <v>5</v>
      </c>
      <c r="E4517" s="102">
        <v>45000</v>
      </c>
      <c r="F4517" s="102">
        <f t="shared" si="2216"/>
        <v>247500.00000000003</v>
      </c>
      <c r="G4517" s="102">
        <f t="shared" si="2217"/>
        <v>225000</v>
      </c>
      <c r="H4517" s="690" t="s">
        <v>173</v>
      </c>
      <c r="I4517" s="71" t="s">
        <v>2231</v>
      </c>
      <c r="J4517" s="53">
        <f t="shared" si="2227"/>
        <v>25000</v>
      </c>
      <c r="K4517" s="63">
        <f t="shared" si="2228"/>
        <v>0.11111111111111109</v>
      </c>
      <c r="L4517" s="871" t="s">
        <v>3193</v>
      </c>
      <c r="M4517" s="468"/>
      <c r="N4517" s="1192">
        <f t="shared" si="2226"/>
        <v>44503</v>
      </c>
      <c r="O4517" s="71" t="s">
        <v>153</v>
      </c>
      <c r="P4517" s="164" t="str">
        <f>(C4517)</f>
        <v>아스테이지(CD74용)</v>
      </c>
      <c r="Q4517" s="71">
        <f t="shared" ref="Q4517:Q4527" si="2229">D4517</f>
        <v>5</v>
      </c>
      <c r="R4517" s="102">
        <v>40000</v>
      </c>
      <c r="S4517" s="102">
        <f t="shared" ref="S4517:S4533" si="2230">R4517*Q4517*1.1</f>
        <v>220000.00000000003</v>
      </c>
      <c r="T4517" s="102">
        <f t="shared" ref="T4517:T4533" si="2231">R4517*Q4517</f>
        <v>200000</v>
      </c>
      <c r="U4517" s="71" t="str">
        <f>IF(J4517=W4517,"O", "X")</f>
        <v>X</v>
      </c>
      <c r="V4517" s="71"/>
      <c r="W4517" s="474"/>
      <c r="X4517" s="71"/>
      <c r="Y4517" s="71"/>
    </row>
    <row r="4518" spans="1:25" s="209" customFormat="1" ht="30" hidden="1" customHeight="1" x14ac:dyDescent="0.2">
      <c r="A4518" s="1145">
        <v>44503</v>
      </c>
      <c r="B4518" s="664" t="s">
        <v>764</v>
      </c>
      <c r="C4518" s="71" t="s">
        <v>236</v>
      </c>
      <c r="D4518" s="71">
        <v>10</v>
      </c>
      <c r="E4518" s="102">
        <v>100000</v>
      </c>
      <c r="F4518" s="163">
        <f>(E4518*D4518)*1.1</f>
        <v>1100000</v>
      </c>
      <c r="G4518" s="102">
        <f>(E4518*D4518)</f>
        <v>1000000</v>
      </c>
      <c r="H4518" s="690" t="s">
        <v>173</v>
      </c>
      <c r="I4518" s="71" t="s">
        <v>2231</v>
      </c>
      <c r="J4518" s="53">
        <f t="shared" si="2227"/>
        <v>500000</v>
      </c>
      <c r="K4518" s="63">
        <f t="shared" si="2228"/>
        <v>0.5</v>
      </c>
      <c r="L4518" s="871" t="s">
        <v>3193</v>
      </c>
      <c r="M4518" s="468"/>
      <c r="N4518" s="1192">
        <f t="shared" si="2226"/>
        <v>44503</v>
      </c>
      <c r="O4518" s="71" t="s">
        <v>153</v>
      </c>
      <c r="P4518" s="164" t="str">
        <f t="shared" ref="P4518:P4558" si="2232">(C4518)</f>
        <v>아스테이지(국전)</v>
      </c>
      <c r="Q4518" s="71">
        <f t="shared" si="2229"/>
        <v>10</v>
      </c>
      <c r="R4518" s="102">
        <v>50000</v>
      </c>
      <c r="S4518" s="102">
        <f t="shared" si="2230"/>
        <v>550000</v>
      </c>
      <c r="T4518" s="102">
        <f t="shared" si="2231"/>
        <v>500000</v>
      </c>
      <c r="U4518" s="71" t="str">
        <f>IF(J4518=W4518,"O", "X")</f>
        <v>O</v>
      </c>
      <c r="V4518" s="71"/>
      <c r="W4518" s="474">
        <v>500000</v>
      </c>
      <c r="X4518" s="71"/>
      <c r="Y4518" s="71"/>
    </row>
    <row r="4519" spans="1:25" ht="27.6" hidden="1" customHeight="1" x14ac:dyDescent="0.25">
      <c r="A4519" s="1145">
        <v>44504</v>
      </c>
      <c r="B4519" s="664" t="s">
        <v>1178</v>
      </c>
      <c r="C4519" s="71" t="s">
        <v>3200</v>
      </c>
      <c r="D4519" s="71">
        <v>1</v>
      </c>
      <c r="E4519" s="102">
        <v>700000</v>
      </c>
      <c r="F4519" s="102">
        <f t="shared" si="2216"/>
        <v>770000.00000000012</v>
      </c>
      <c r="G4519" s="102">
        <f t="shared" si="2217"/>
        <v>700000</v>
      </c>
      <c r="H4519" s="690" t="s">
        <v>142</v>
      </c>
      <c r="I4519" s="71" t="s">
        <v>142</v>
      </c>
      <c r="J4519" s="53">
        <f t="shared" si="2227"/>
        <v>1864</v>
      </c>
      <c r="K4519" s="63">
        <f t="shared" si="2228"/>
        <v>2.6628571428571426E-3</v>
      </c>
      <c r="L4519" s="871" t="s">
        <v>3193</v>
      </c>
      <c r="M4519" s="468"/>
      <c r="N4519" s="1192">
        <f t="shared" si="2226"/>
        <v>44504</v>
      </c>
      <c r="O4519" s="71" t="s">
        <v>3035</v>
      </c>
      <c r="P4519" s="164" t="str">
        <f t="shared" si="2232"/>
        <v>Sun chemical 약물 1통 항공발주</v>
      </c>
      <c r="Q4519" s="71">
        <f t="shared" si="2229"/>
        <v>1</v>
      </c>
      <c r="R4519" s="102">
        <v>698136</v>
      </c>
      <c r="S4519" s="102">
        <f t="shared" si="2230"/>
        <v>767949.60000000009</v>
      </c>
      <c r="T4519" s="102">
        <f t="shared" si="2231"/>
        <v>698136</v>
      </c>
      <c r="U4519" s="71"/>
      <c r="V4519" s="71"/>
      <c r="W4519" s="474"/>
      <c r="X4519" s="71"/>
      <c r="Y4519" s="71"/>
    </row>
    <row r="4520" spans="1:25" ht="27.6" hidden="1" customHeight="1" x14ac:dyDescent="0.25">
      <c r="A4520" s="1145">
        <v>44504</v>
      </c>
      <c r="B4520" s="664" t="s">
        <v>1178</v>
      </c>
      <c r="C4520" s="71" t="s">
        <v>123</v>
      </c>
      <c r="D4520" s="71">
        <v>6</v>
      </c>
      <c r="E4520" s="102">
        <v>40000</v>
      </c>
      <c r="F4520" s="102">
        <f t="shared" si="2216"/>
        <v>264000</v>
      </c>
      <c r="G4520" s="102">
        <f t="shared" si="2217"/>
        <v>240000</v>
      </c>
      <c r="H4520" s="690" t="s">
        <v>142</v>
      </c>
      <c r="I4520" s="71" t="s">
        <v>142</v>
      </c>
      <c r="J4520" s="53">
        <f t="shared" si="2227"/>
        <v>95580</v>
      </c>
      <c r="K4520" s="63">
        <f t="shared" si="2228"/>
        <v>0.39824999999999999</v>
      </c>
      <c r="L4520" s="871" t="s">
        <v>3193</v>
      </c>
      <c r="M4520" s="468"/>
      <c r="N4520" s="1192">
        <f t="shared" si="2226"/>
        <v>44504</v>
      </c>
      <c r="O4520" s="71" t="s">
        <v>94</v>
      </c>
      <c r="P4520" s="164" t="str">
        <f t="shared" si="2232"/>
        <v>필터백</v>
      </c>
      <c r="Q4520" s="71">
        <f t="shared" si="2229"/>
        <v>6</v>
      </c>
      <c r="R4520" s="102">
        <v>24070</v>
      </c>
      <c r="S4520" s="102">
        <f t="shared" si="2230"/>
        <v>158862</v>
      </c>
      <c r="T4520" s="102">
        <f t="shared" si="2231"/>
        <v>144420</v>
      </c>
      <c r="U4520" s="71"/>
      <c r="V4520" s="71"/>
      <c r="W4520" s="474"/>
      <c r="X4520" s="71"/>
      <c r="Y4520" s="71"/>
    </row>
    <row r="4521" spans="1:25" ht="27.6" hidden="1" customHeight="1" x14ac:dyDescent="0.25">
      <c r="A4521" s="1145">
        <v>44504</v>
      </c>
      <c r="B4521" s="664" t="s">
        <v>1178</v>
      </c>
      <c r="C4521" s="71" t="s">
        <v>3201</v>
      </c>
      <c r="D4521" s="71">
        <v>1</v>
      </c>
      <c r="E4521" s="102">
        <v>2550000</v>
      </c>
      <c r="F4521" s="102">
        <f t="shared" si="2216"/>
        <v>2805000</v>
      </c>
      <c r="G4521" s="102">
        <f t="shared" si="2217"/>
        <v>2550000</v>
      </c>
      <c r="H4521" s="690" t="s">
        <v>142</v>
      </c>
      <c r="I4521" s="71" t="s">
        <v>142</v>
      </c>
      <c r="J4521" s="53">
        <f t="shared" si="2227"/>
        <v>1216093</v>
      </c>
      <c r="K4521" s="63">
        <f t="shared" si="2228"/>
        <v>0.47689921568627452</v>
      </c>
      <c r="L4521" s="871" t="s">
        <v>3193</v>
      </c>
      <c r="M4521" s="468"/>
      <c r="N4521" s="1192">
        <f t="shared" si="2226"/>
        <v>44504</v>
      </c>
      <c r="O4521" s="71" t="s">
        <v>2224</v>
      </c>
      <c r="P4521" s="164" t="str">
        <f t="shared" si="2232"/>
        <v>플렉소 나이프 3박스</v>
      </c>
      <c r="Q4521" s="71">
        <f t="shared" si="2229"/>
        <v>1</v>
      </c>
      <c r="R4521" s="102">
        <f>323321+1010586</f>
        <v>1333907</v>
      </c>
      <c r="S4521" s="102">
        <f t="shared" si="2230"/>
        <v>1467297.7000000002</v>
      </c>
      <c r="T4521" s="102">
        <f t="shared" si="2231"/>
        <v>1333907</v>
      </c>
      <c r="U4521" s="71"/>
      <c r="V4521" s="71"/>
      <c r="W4521" s="474"/>
      <c r="X4521" s="71"/>
      <c r="Y4521" s="71"/>
    </row>
    <row r="4522" spans="1:25" ht="30" hidden="1" customHeight="1" x14ac:dyDescent="0.25">
      <c r="A4522" s="1145">
        <v>44504</v>
      </c>
      <c r="B4522" s="664" t="s">
        <v>819</v>
      </c>
      <c r="C4522" s="71" t="s">
        <v>123</v>
      </c>
      <c r="D4522" s="71">
        <v>30</v>
      </c>
      <c r="E4522" s="102">
        <v>40000</v>
      </c>
      <c r="F4522" s="102">
        <f>(E4522*D4522)*1.1</f>
        <v>1320000</v>
      </c>
      <c r="G4522" s="102">
        <f>(E4522*D4522)</f>
        <v>1200000</v>
      </c>
      <c r="H4522" s="690" t="s">
        <v>1432</v>
      </c>
      <c r="I4522" s="71" t="s">
        <v>1432</v>
      </c>
      <c r="J4522" s="53">
        <f t="shared" si="2227"/>
        <v>477900</v>
      </c>
      <c r="K4522" s="63">
        <f t="shared" si="2228"/>
        <v>0.39824999999999999</v>
      </c>
      <c r="L4522" s="871" t="s">
        <v>3193</v>
      </c>
      <c r="M4522" s="468"/>
      <c r="N4522" s="1192">
        <f t="shared" si="2226"/>
        <v>44504</v>
      </c>
      <c r="O4522" s="71" t="s">
        <v>94</v>
      </c>
      <c r="P4522" s="164" t="str">
        <f t="shared" si="2232"/>
        <v>필터백</v>
      </c>
      <c r="Q4522" s="71">
        <f t="shared" si="2229"/>
        <v>30</v>
      </c>
      <c r="R4522" s="102">
        <v>24070</v>
      </c>
      <c r="S4522" s="102">
        <f t="shared" si="2230"/>
        <v>794310.00000000012</v>
      </c>
      <c r="T4522" s="102">
        <f t="shared" si="2231"/>
        <v>722100</v>
      </c>
      <c r="U4522" s="71"/>
      <c r="V4522" s="71"/>
      <c r="W4522" s="474"/>
      <c r="X4522" s="71"/>
      <c r="Y4522" s="71"/>
    </row>
    <row r="4523" spans="1:25" ht="27.6" hidden="1" customHeight="1" x14ac:dyDescent="0.25">
      <c r="A4523" s="1145">
        <v>44508</v>
      </c>
      <c r="B4523" s="664" t="s">
        <v>1178</v>
      </c>
      <c r="C4523" s="71" t="s">
        <v>3199</v>
      </c>
      <c r="D4523" s="71">
        <v>20</v>
      </c>
      <c r="E4523" s="102">
        <v>110000</v>
      </c>
      <c r="F4523" s="102">
        <f>(E4523*D4523)*1.1</f>
        <v>2420000</v>
      </c>
      <c r="G4523" s="102">
        <f>(E4523*D4523)</f>
        <v>2200000</v>
      </c>
      <c r="H4523" s="690" t="s">
        <v>142</v>
      </c>
      <c r="I4523" s="71" t="s">
        <v>142</v>
      </c>
      <c r="J4523" s="53">
        <f t="shared" si="2227"/>
        <v>758200</v>
      </c>
      <c r="K4523" s="63">
        <f t="shared" si="2228"/>
        <v>0.34463636363636363</v>
      </c>
      <c r="L4523" s="871" t="s">
        <v>3193</v>
      </c>
      <c r="M4523" s="468"/>
      <c r="N4523" s="1192">
        <f t="shared" si="2226"/>
        <v>44508</v>
      </c>
      <c r="O4523" s="71" t="s">
        <v>1431</v>
      </c>
      <c r="P4523" s="164" t="str">
        <f t="shared" si="2232"/>
        <v>Vpak 베어링</v>
      </c>
      <c r="Q4523" s="71">
        <f t="shared" si="2229"/>
        <v>20</v>
      </c>
      <c r="R4523" s="102">
        <v>72090</v>
      </c>
      <c r="S4523" s="102">
        <f t="shared" si="2230"/>
        <v>1585980.0000000002</v>
      </c>
      <c r="T4523" s="102">
        <f t="shared" si="2231"/>
        <v>1441800</v>
      </c>
      <c r="U4523" s="71"/>
      <c r="V4523" s="71"/>
      <c r="W4523" s="474"/>
      <c r="X4523" s="71"/>
      <c r="Y4523" s="71"/>
    </row>
    <row r="4524" spans="1:25" ht="30" hidden="1" customHeight="1" x14ac:dyDescent="0.25">
      <c r="A4524" s="1145">
        <v>44509</v>
      </c>
      <c r="B4524" s="664" t="s">
        <v>2155</v>
      </c>
      <c r="C4524" s="760" t="s">
        <v>218</v>
      </c>
      <c r="D4524" s="71">
        <v>5</v>
      </c>
      <c r="E4524" s="102">
        <v>192500</v>
      </c>
      <c r="F4524" s="102">
        <f t="shared" si="2216"/>
        <v>1058750</v>
      </c>
      <c r="G4524" s="102">
        <f t="shared" si="2217"/>
        <v>962500</v>
      </c>
      <c r="H4524" s="690" t="s">
        <v>173</v>
      </c>
      <c r="I4524" s="71" t="s">
        <v>120</v>
      </c>
      <c r="J4524" s="53">
        <f t="shared" si="2227"/>
        <v>400000</v>
      </c>
      <c r="K4524" s="63">
        <f t="shared" ref="K4524:K4532" si="2233">(J4524/(F4524/11*10))</f>
        <v>0.41558441558441561</v>
      </c>
      <c r="L4524" s="871" t="s">
        <v>3193</v>
      </c>
      <c r="M4524" s="468"/>
      <c r="N4524" s="1192">
        <f t="shared" si="2226"/>
        <v>44509</v>
      </c>
      <c r="O4524" s="71" t="s">
        <v>150</v>
      </c>
      <c r="P4524" s="164" t="str">
        <f t="shared" si="2232"/>
        <v>Fount Web 551AF</v>
      </c>
      <c r="Q4524" s="71">
        <f t="shared" si="2229"/>
        <v>5</v>
      </c>
      <c r="R4524" s="102">
        <v>112500</v>
      </c>
      <c r="S4524" s="102">
        <f t="shared" si="2230"/>
        <v>618750</v>
      </c>
      <c r="T4524" s="102">
        <f t="shared" si="2231"/>
        <v>562500</v>
      </c>
      <c r="U4524" s="71" t="str">
        <f t="shared" ref="U4524:U4533" si="2234">IF(J4524=W4524,"O", "X")</f>
        <v>X</v>
      </c>
      <c r="V4524" s="71"/>
      <c r="W4524" s="474">
        <v>640000</v>
      </c>
      <c r="X4524" s="71"/>
      <c r="Y4524" s="71"/>
    </row>
    <row r="4525" spans="1:25" ht="30" hidden="1" customHeight="1" x14ac:dyDescent="0.25">
      <c r="A4525" s="1145">
        <v>44509</v>
      </c>
      <c r="B4525" s="664" t="s">
        <v>2155</v>
      </c>
      <c r="C4525" s="71" t="s">
        <v>277</v>
      </c>
      <c r="D4525" s="71">
        <v>10</v>
      </c>
      <c r="E4525" s="102">
        <v>172000</v>
      </c>
      <c r="F4525" s="102">
        <f t="shared" si="2216"/>
        <v>1892000.0000000002</v>
      </c>
      <c r="G4525" s="102">
        <f t="shared" si="2217"/>
        <v>1720000</v>
      </c>
      <c r="H4525" s="690" t="s">
        <v>173</v>
      </c>
      <c r="I4525" s="71" t="s">
        <v>108</v>
      </c>
      <c r="J4525" s="53">
        <f t="shared" si="2227"/>
        <v>570000</v>
      </c>
      <c r="K4525" s="63">
        <f t="shared" si="2233"/>
        <v>0.33139534883720928</v>
      </c>
      <c r="L4525" s="871" t="s">
        <v>3193</v>
      </c>
      <c r="M4525" s="468"/>
      <c r="N4525" s="1192">
        <f t="shared" si="2226"/>
        <v>44509</v>
      </c>
      <c r="O4525" s="71" t="s">
        <v>150</v>
      </c>
      <c r="P4525" s="164" t="str">
        <f t="shared" si="2232"/>
        <v>윤전용 세척제(Web 504)</v>
      </c>
      <c r="Q4525" s="71">
        <f t="shared" si="2229"/>
        <v>10</v>
      </c>
      <c r="R4525" s="102">
        <v>115000</v>
      </c>
      <c r="S4525" s="102">
        <f t="shared" si="2230"/>
        <v>1265000</v>
      </c>
      <c r="T4525" s="102">
        <f t="shared" si="2231"/>
        <v>1150000</v>
      </c>
      <c r="U4525" s="71" t="str">
        <f t="shared" si="2234"/>
        <v>X</v>
      </c>
      <c r="V4525" s="71"/>
      <c r="W4525" s="474">
        <v>285000</v>
      </c>
      <c r="X4525" s="71"/>
      <c r="Y4525" s="71"/>
    </row>
    <row r="4526" spans="1:25" s="209" customFormat="1" ht="30" hidden="1" customHeight="1" x14ac:dyDescent="0.2">
      <c r="A4526" s="1145">
        <v>44510</v>
      </c>
      <c r="B4526" s="664" t="s">
        <v>2353</v>
      </c>
      <c r="C4526" s="71" t="s">
        <v>130</v>
      </c>
      <c r="D4526" s="71">
        <v>10</v>
      </c>
      <c r="E4526" s="102">
        <v>125000</v>
      </c>
      <c r="F4526" s="102">
        <f t="shared" si="2216"/>
        <v>1375000</v>
      </c>
      <c r="G4526" s="102">
        <f t="shared" si="2217"/>
        <v>1250000</v>
      </c>
      <c r="H4526" s="165" t="s">
        <v>142</v>
      </c>
      <c r="I4526" s="71" t="s">
        <v>142</v>
      </c>
      <c r="J4526" s="53">
        <f t="shared" si="2227"/>
        <v>260000</v>
      </c>
      <c r="K4526" s="63">
        <f t="shared" si="2233"/>
        <v>0.20799999999999999</v>
      </c>
      <c r="L4526" s="871" t="s">
        <v>3193</v>
      </c>
      <c r="M4526" s="468" t="s">
        <v>2050</v>
      </c>
      <c r="N4526" s="1192">
        <f t="shared" si="2226"/>
        <v>44510</v>
      </c>
      <c r="O4526" s="71" t="s">
        <v>150</v>
      </c>
      <c r="P4526" s="164" t="str">
        <f t="shared" si="2232"/>
        <v>XL106 Blanket(1077*885)</v>
      </c>
      <c r="Q4526" s="71">
        <f t="shared" si="2229"/>
        <v>10</v>
      </c>
      <c r="R4526" s="102">
        <v>99000</v>
      </c>
      <c r="S4526" s="102">
        <f t="shared" si="2230"/>
        <v>1089000</v>
      </c>
      <c r="T4526" s="102">
        <f t="shared" si="2231"/>
        <v>990000</v>
      </c>
      <c r="U4526" s="71" t="str">
        <f t="shared" si="2234"/>
        <v>O</v>
      </c>
      <c r="V4526" s="71"/>
      <c r="W4526" s="474">
        <f t="shared" ref="W4526:W4533" si="2235">(G4526-T4526)</f>
        <v>260000</v>
      </c>
      <c r="X4526" s="71"/>
      <c r="Y4526" s="71"/>
    </row>
    <row r="4527" spans="1:25" ht="30" hidden="1" customHeight="1" x14ac:dyDescent="0.2">
      <c r="A4527" s="1145">
        <v>44510</v>
      </c>
      <c r="B4527" s="664" t="s">
        <v>2353</v>
      </c>
      <c r="C4527" s="71" t="s">
        <v>129</v>
      </c>
      <c r="D4527" s="71">
        <v>7</v>
      </c>
      <c r="E4527" s="102">
        <v>272000</v>
      </c>
      <c r="F4527" s="102">
        <f t="shared" si="2216"/>
        <v>2094400.0000000002</v>
      </c>
      <c r="G4527" s="102">
        <f t="shared" si="2217"/>
        <v>1904000</v>
      </c>
      <c r="H4527" s="165" t="s">
        <v>142</v>
      </c>
      <c r="I4527" s="71" t="s">
        <v>142</v>
      </c>
      <c r="J4527" s="53">
        <f t="shared" si="2227"/>
        <v>414400</v>
      </c>
      <c r="K4527" s="63">
        <f t="shared" si="2233"/>
        <v>0.21764705882352939</v>
      </c>
      <c r="L4527" s="871" t="s">
        <v>3193</v>
      </c>
      <c r="M4527" s="468" t="s">
        <v>2050</v>
      </c>
      <c r="N4527" s="1192">
        <f t="shared" si="2226"/>
        <v>44510</v>
      </c>
      <c r="O4527" s="71" t="s">
        <v>149</v>
      </c>
      <c r="P4527" s="164" t="str">
        <f t="shared" si="2232"/>
        <v>세정포-XL106</v>
      </c>
      <c r="Q4527" s="71">
        <f t="shared" si="2229"/>
        <v>7</v>
      </c>
      <c r="R4527" s="102">
        <v>212800</v>
      </c>
      <c r="S4527" s="102">
        <f t="shared" si="2230"/>
        <v>1638560.0000000002</v>
      </c>
      <c r="T4527" s="102">
        <f t="shared" si="2231"/>
        <v>1489600</v>
      </c>
      <c r="U4527" s="71" t="str">
        <f t="shared" si="2234"/>
        <v>O</v>
      </c>
      <c r="V4527" s="71"/>
      <c r="W4527" s="474">
        <f t="shared" si="2235"/>
        <v>414400</v>
      </c>
      <c r="X4527" s="71"/>
      <c r="Y4527" s="71"/>
    </row>
    <row r="4528" spans="1:25" s="209" customFormat="1" ht="30" hidden="1" customHeight="1" x14ac:dyDescent="0.2">
      <c r="A4528" s="1145">
        <v>44510</v>
      </c>
      <c r="B4528" s="664" t="s">
        <v>2353</v>
      </c>
      <c r="C4528" s="71" t="s">
        <v>138</v>
      </c>
      <c r="D4528" s="71">
        <v>10</v>
      </c>
      <c r="E4528" s="102">
        <v>54400</v>
      </c>
      <c r="F4528" s="102">
        <f t="shared" si="2216"/>
        <v>598400</v>
      </c>
      <c r="G4528" s="102">
        <f t="shared" si="2217"/>
        <v>544000</v>
      </c>
      <c r="H4528" s="165" t="s">
        <v>142</v>
      </c>
      <c r="I4528" s="71" t="s">
        <v>142</v>
      </c>
      <c r="J4528" s="53">
        <f t="shared" si="2227"/>
        <v>136000</v>
      </c>
      <c r="K4528" s="63">
        <f t="shared" si="2233"/>
        <v>0.25</v>
      </c>
      <c r="L4528" s="871" t="s">
        <v>3193</v>
      </c>
      <c r="M4528" s="468" t="s">
        <v>2214</v>
      </c>
      <c r="N4528" s="1192">
        <f t="shared" si="2226"/>
        <v>44510</v>
      </c>
      <c r="O4528" s="71" t="s">
        <v>2030</v>
      </c>
      <c r="P4528" s="164" t="str">
        <f t="shared" si="2232"/>
        <v>매엽용 세척제(Wash 562)</v>
      </c>
      <c r="Q4528" s="71">
        <f t="shared" ref="Q4528:Q4534" si="2236">D4528</f>
        <v>10</v>
      </c>
      <c r="R4528" s="102">
        <v>40800</v>
      </c>
      <c r="S4528" s="102">
        <f t="shared" si="2230"/>
        <v>448800.00000000006</v>
      </c>
      <c r="T4528" s="102">
        <f t="shared" si="2231"/>
        <v>408000</v>
      </c>
      <c r="U4528" s="71" t="str">
        <f t="shared" si="2234"/>
        <v>O</v>
      </c>
      <c r="V4528" s="71"/>
      <c r="W4528" s="474">
        <f t="shared" si="2235"/>
        <v>136000</v>
      </c>
      <c r="X4528" s="71"/>
      <c r="Y4528" s="71"/>
    </row>
    <row r="4529" spans="1:25" ht="30" hidden="1" customHeight="1" x14ac:dyDescent="0.2">
      <c r="A4529" s="1145">
        <v>44510</v>
      </c>
      <c r="B4529" s="664" t="s">
        <v>2353</v>
      </c>
      <c r="C4529" s="71" t="s">
        <v>584</v>
      </c>
      <c r="D4529" s="71">
        <v>3</v>
      </c>
      <c r="E4529" s="102">
        <v>270000</v>
      </c>
      <c r="F4529" s="102">
        <f t="shared" si="2216"/>
        <v>891000.00000000012</v>
      </c>
      <c r="G4529" s="102">
        <f t="shared" si="2217"/>
        <v>810000</v>
      </c>
      <c r="H4529" s="165" t="s">
        <v>142</v>
      </c>
      <c r="I4529" s="71" t="s">
        <v>142</v>
      </c>
      <c r="J4529" s="53">
        <f t="shared" si="2227"/>
        <v>162000</v>
      </c>
      <c r="K4529" s="63">
        <f t="shared" si="2233"/>
        <v>0.19999999999999998</v>
      </c>
      <c r="L4529" s="871" t="s">
        <v>3193</v>
      </c>
      <c r="M4529" s="468"/>
      <c r="N4529" s="1192">
        <f t="shared" si="2226"/>
        <v>44510</v>
      </c>
      <c r="O4529" s="71" t="s">
        <v>150</v>
      </c>
      <c r="P4529" s="164" t="str">
        <f t="shared" si="2232"/>
        <v>데리바리 석션벨트</v>
      </c>
      <c r="Q4529" s="71">
        <f t="shared" si="2236"/>
        <v>3</v>
      </c>
      <c r="R4529" s="102">
        <v>216000</v>
      </c>
      <c r="S4529" s="102">
        <f t="shared" si="2230"/>
        <v>712800</v>
      </c>
      <c r="T4529" s="102">
        <f t="shared" si="2231"/>
        <v>648000</v>
      </c>
      <c r="U4529" s="71" t="str">
        <f t="shared" si="2234"/>
        <v>O</v>
      </c>
      <c r="V4529" s="71"/>
      <c r="W4529" s="474">
        <f t="shared" si="2235"/>
        <v>162000</v>
      </c>
      <c r="X4529" s="71"/>
      <c r="Y4529" s="71"/>
    </row>
    <row r="4530" spans="1:25" ht="30" hidden="1" customHeight="1" x14ac:dyDescent="0.25">
      <c r="A4530" s="1145">
        <v>44510</v>
      </c>
      <c r="B4530" s="664" t="s">
        <v>2579</v>
      </c>
      <c r="C4530" s="71" t="s">
        <v>3191</v>
      </c>
      <c r="D4530" s="71">
        <v>1</v>
      </c>
      <c r="E4530" s="102">
        <v>2800000</v>
      </c>
      <c r="F4530" s="102">
        <f>(E4530*D4530)*1.1</f>
        <v>3080000.0000000005</v>
      </c>
      <c r="G4530" s="102">
        <f>(E4530*D4530)</f>
        <v>2800000</v>
      </c>
      <c r="H4530" s="690" t="s">
        <v>142</v>
      </c>
      <c r="I4530" s="71" t="s">
        <v>142</v>
      </c>
      <c r="J4530" s="53">
        <f t="shared" si="2227"/>
        <v>300000</v>
      </c>
      <c r="K4530" s="63">
        <f t="shared" si="2233"/>
        <v>0.10714285714285712</v>
      </c>
      <c r="L4530" s="871" t="s">
        <v>3193</v>
      </c>
      <c r="M4530" s="468"/>
      <c r="N4530" s="1192">
        <f t="shared" si="2226"/>
        <v>44510</v>
      </c>
      <c r="O4530" s="71" t="s">
        <v>150</v>
      </c>
      <c r="P4530" s="164" t="str">
        <f t="shared" si="2232"/>
        <v>세척 밸브</v>
      </c>
      <c r="Q4530" s="71">
        <f t="shared" si="2236"/>
        <v>1</v>
      </c>
      <c r="R4530" s="102">
        <v>2500000</v>
      </c>
      <c r="S4530" s="102">
        <f t="shared" si="2230"/>
        <v>2750000</v>
      </c>
      <c r="T4530" s="102">
        <f t="shared" si="2231"/>
        <v>2500000</v>
      </c>
      <c r="U4530" s="71" t="str">
        <f t="shared" si="2234"/>
        <v>O</v>
      </c>
      <c r="V4530" s="71"/>
      <c r="W4530" s="474">
        <f t="shared" si="2235"/>
        <v>300000</v>
      </c>
      <c r="X4530" s="71"/>
      <c r="Y4530" s="71"/>
    </row>
    <row r="4531" spans="1:25" ht="30" hidden="1" customHeight="1" x14ac:dyDescent="0.25">
      <c r="A4531" s="1145">
        <v>44510</v>
      </c>
      <c r="B4531" s="664" t="s">
        <v>2579</v>
      </c>
      <c r="C4531" s="71" t="s">
        <v>3192</v>
      </c>
      <c r="D4531" s="71">
        <v>6</v>
      </c>
      <c r="E4531" s="102">
        <v>25000</v>
      </c>
      <c r="F4531" s="102">
        <f>(E4531*D4531)*1.1</f>
        <v>165000</v>
      </c>
      <c r="G4531" s="102">
        <f>(E4531*D4531)</f>
        <v>150000</v>
      </c>
      <c r="H4531" s="690" t="s">
        <v>142</v>
      </c>
      <c r="I4531" s="71" t="s">
        <v>142</v>
      </c>
      <c r="J4531" s="53">
        <f t="shared" si="2227"/>
        <v>18000</v>
      </c>
      <c r="K4531" s="63">
        <f t="shared" si="2233"/>
        <v>0.12</v>
      </c>
      <c r="L4531" s="871" t="s">
        <v>3193</v>
      </c>
      <c r="M4531" s="468"/>
      <c r="N4531" s="1192">
        <f t="shared" si="2226"/>
        <v>44510</v>
      </c>
      <c r="O4531" s="71" t="s">
        <v>150</v>
      </c>
      <c r="P4531" s="164" t="str">
        <f t="shared" si="2232"/>
        <v>마름모 강판</v>
      </c>
      <c r="Q4531" s="71">
        <f t="shared" si="2236"/>
        <v>6</v>
      </c>
      <c r="R4531" s="102">
        <v>22000</v>
      </c>
      <c r="S4531" s="102">
        <f t="shared" si="2230"/>
        <v>145200</v>
      </c>
      <c r="T4531" s="102">
        <f t="shared" si="2231"/>
        <v>132000</v>
      </c>
      <c r="U4531" s="71" t="str">
        <f t="shared" si="2234"/>
        <v>O</v>
      </c>
      <c r="V4531" s="71"/>
      <c r="W4531" s="474">
        <f t="shared" si="2235"/>
        <v>18000</v>
      </c>
      <c r="X4531" s="71"/>
      <c r="Y4531" s="71"/>
    </row>
    <row r="4532" spans="1:25" ht="30" hidden="1" customHeight="1" x14ac:dyDescent="0.25">
      <c r="A4532" s="1145">
        <v>44510</v>
      </c>
      <c r="B4532" s="664" t="s">
        <v>1127</v>
      </c>
      <c r="C4532" s="71" t="s">
        <v>123</v>
      </c>
      <c r="D4532" s="71">
        <v>5</v>
      </c>
      <c r="E4532" s="102">
        <v>40000</v>
      </c>
      <c r="F4532" s="102">
        <f>(E4532*D4532)*1.1</f>
        <v>220000.00000000003</v>
      </c>
      <c r="G4532" s="102">
        <f>(E4532*D4532)</f>
        <v>200000</v>
      </c>
      <c r="H4532" s="690" t="s">
        <v>142</v>
      </c>
      <c r="I4532" s="71" t="s">
        <v>142</v>
      </c>
      <c r="J4532" s="53">
        <f t="shared" si="2227"/>
        <v>79650</v>
      </c>
      <c r="K4532" s="63">
        <f t="shared" si="2233"/>
        <v>0.39824999999999994</v>
      </c>
      <c r="L4532" s="871" t="s">
        <v>3193</v>
      </c>
      <c r="M4532" s="468"/>
      <c r="N4532" s="1192">
        <f t="shared" si="2226"/>
        <v>44510</v>
      </c>
      <c r="O4532" s="71" t="s">
        <v>150</v>
      </c>
      <c r="P4532" s="164" t="str">
        <f t="shared" si="2232"/>
        <v>필터백</v>
      </c>
      <c r="Q4532" s="71">
        <f t="shared" si="2236"/>
        <v>5</v>
      </c>
      <c r="R4532" s="102">
        <v>24070</v>
      </c>
      <c r="S4532" s="102">
        <f t="shared" si="2230"/>
        <v>132385</v>
      </c>
      <c r="T4532" s="102">
        <f t="shared" si="2231"/>
        <v>120350</v>
      </c>
      <c r="U4532" s="71" t="str">
        <f t="shared" si="2234"/>
        <v>O</v>
      </c>
      <c r="V4532" s="71"/>
      <c r="W4532" s="474">
        <f t="shared" si="2235"/>
        <v>79650</v>
      </c>
      <c r="X4532" s="71"/>
      <c r="Y4532" s="71"/>
    </row>
    <row r="4533" spans="1:25" ht="30" hidden="1" customHeight="1" x14ac:dyDescent="0.25">
      <c r="A4533" s="1145">
        <v>44512</v>
      </c>
      <c r="B4533" s="664" t="s">
        <v>545</v>
      </c>
      <c r="C4533" s="71" t="s">
        <v>227</v>
      </c>
      <c r="D4533" s="71">
        <v>10</v>
      </c>
      <c r="E4533" s="102">
        <v>110000</v>
      </c>
      <c r="F4533" s="102">
        <f>(E4533*D4533)*1.1</f>
        <v>1210000</v>
      </c>
      <c r="G4533" s="102">
        <f>(E4533*D4533)</f>
        <v>1100000</v>
      </c>
      <c r="H4533" s="690" t="s">
        <v>173</v>
      </c>
      <c r="I4533" s="71" t="s">
        <v>109</v>
      </c>
      <c r="J4533" s="53">
        <f t="shared" si="2227"/>
        <v>271000</v>
      </c>
      <c r="K4533" s="63">
        <f t="shared" ref="K4533:K4546" si="2237">(J4533/(F4533/11*10))</f>
        <v>0.24636363636363637</v>
      </c>
      <c r="L4533" s="871" t="s">
        <v>3193</v>
      </c>
      <c r="M4533" s="468"/>
      <c r="N4533" s="1192">
        <f t="shared" si="2226"/>
        <v>44512</v>
      </c>
      <c r="O4533" s="71" t="s">
        <v>147</v>
      </c>
      <c r="P4533" s="164" t="str">
        <f t="shared" si="2232"/>
        <v>Blanket(1060*860)</v>
      </c>
      <c r="Q4533" s="71">
        <f t="shared" si="2236"/>
        <v>10</v>
      </c>
      <c r="R4533" s="102">
        <v>82900</v>
      </c>
      <c r="S4533" s="102">
        <f t="shared" si="2230"/>
        <v>911900.00000000012</v>
      </c>
      <c r="T4533" s="102">
        <f t="shared" si="2231"/>
        <v>829000</v>
      </c>
      <c r="U4533" s="71" t="str">
        <f t="shared" si="2234"/>
        <v>O</v>
      </c>
      <c r="V4533" s="71"/>
      <c r="W4533" s="474">
        <f t="shared" si="2235"/>
        <v>271000</v>
      </c>
      <c r="X4533" s="71"/>
      <c r="Y4533" s="71"/>
    </row>
    <row r="4534" spans="1:25" ht="30" hidden="1" customHeight="1" x14ac:dyDescent="0.25">
      <c r="A4534" s="1145">
        <v>44512</v>
      </c>
      <c r="B4534" s="664" t="s">
        <v>545</v>
      </c>
      <c r="C4534" s="71" t="s">
        <v>3195</v>
      </c>
      <c r="D4534" s="71">
        <v>1</v>
      </c>
      <c r="E4534" s="102">
        <v>175000</v>
      </c>
      <c r="F4534" s="102">
        <f>(E4534*D4534)*1.1</f>
        <v>192500.00000000003</v>
      </c>
      <c r="G4534" s="102">
        <f>(E4534*D4534)</f>
        <v>175000</v>
      </c>
      <c r="H4534" s="690" t="s">
        <v>173</v>
      </c>
      <c r="I4534" s="71" t="s">
        <v>108</v>
      </c>
      <c r="J4534" s="53">
        <f t="shared" si="2227"/>
        <v>175000</v>
      </c>
      <c r="K4534" s="63">
        <f t="shared" si="2237"/>
        <v>0.99999999999999989</v>
      </c>
      <c r="L4534" s="871" t="s">
        <v>3193</v>
      </c>
      <c r="M4534" s="468"/>
      <c r="N4534" s="1192">
        <f t="shared" si="2226"/>
        <v>44512</v>
      </c>
      <c r="O4534" s="71" t="s">
        <v>148</v>
      </c>
      <c r="P4534" s="164" t="str">
        <f t="shared" si="2232"/>
        <v>UV wash offset UV</v>
      </c>
      <c r="Q4534" s="71">
        <f t="shared" si="2236"/>
        <v>1</v>
      </c>
      <c r="R4534" s="102">
        <v>0</v>
      </c>
      <c r="S4534" s="102"/>
      <c r="T4534" s="102"/>
      <c r="U4534" s="71"/>
      <c r="V4534" s="71" t="s">
        <v>1599</v>
      </c>
      <c r="W4534" s="474"/>
      <c r="X4534" s="71"/>
      <c r="Y4534" s="71"/>
    </row>
    <row r="4535" spans="1:25" ht="30" hidden="1" customHeight="1" x14ac:dyDescent="0.25">
      <c r="A4535" s="1145">
        <v>44515</v>
      </c>
      <c r="B4535" s="664" t="s">
        <v>446</v>
      </c>
      <c r="C4535" s="71" t="s">
        <v>2028</v>
      </c>
      <c r="D4535" s="71">
        <v>20</v>
      </c>
      <c r="E4535" s="102">
        <v>105000</v>
      </c>
      <c r="F4535" s="102">
        <f t="shared" si="2216"/>
        <v>2310000</v>
      </c>
      <c r="G4535" s="102">
        <f t="shared" si="2217"/>
        <v>2100000</v>
      </c>
      <c r="H4535" s="690" t="s">
        <v>2029</v>
      </c>
      <c r="I4535" s="71" t="s">
        <v>2231</v>
      </c>
      <c r="J4535" s="53">
        <f t="shared" si="2227"/>
        <v>280000</v>
      </c>
      <c r="K4535" s="63">
        <f t="shared" si="2237"/>
        <v>0.13333333333333333</v>
      </c>
      <c r="L4535" s="871" t="s">
        <v>3193</v>
      </c>
      <c r="M4535" s="468"/>
      <c r="N4535" s="1192">
        <f t="shared" si="2226"/>
        <v>44515</v>
      </c>
      <c r="O4535" s="71" t="s">
        <v>2030</v>
      </c>
      <c r="P4535" s="164" t="str">
        <f t="shared" si="2232"/>
        <v>실리콘 에멀전</v>
      </c>
      <c r="Q4535" s="71">
        <v>20</v>
      </c>
      <c r="R4535" s="102">
        <v>91000</v>
      </c>
      <c r="S4535" s="102">
        <f t="shared" ref="S4535:S4550" si="2238">R4535*Q4535*1.1</f>
        <v>2002000.0000000002</v>
      </c>
      <c r="T4535" s="102">
        <f t="shared" ref="T4535:T4550" si="2239">R4535*Q4535</f>
        <v>1820000</v>
      </c>
      <c r="U4535" s="71" t="str">
        <f>IF(J4535=W4535,"O", "X")</f>
        <v>O</v>
      </c>
      <c r="V4535" s="71"/>
      <c r="W4535" s="474">
        <f>(G4535-T4535)</f>
        <v>280000</v>
      </c>
      <c r="X4535" s="71"/>
      <c r="Y4535" s="71"/>
    </row>
    <row r="4536" spans="1:25" ht="30" hidden="1" customHeight="1" x14ac:dyDescent="0.25">
      <c r="A4536" s="1145">
        <v>44515</v>
      </c>
      <c r="B4536" s="664" t="s">
        <v>546</v>
      </c>
      <c r="C4536" s="71" t="s">
        <v>1261</v>
      </c>
      <c r="D4536" s="71">
        <v>30</v>
      </c>
      <c r="E4536" s="102">
        <v>20000</v>
      </c>
      <c r="F4536" s="102">
        <f t="shared" si="2216"/>
        <v>660000</v>
      </c>
      <c r="G4536" s="102">
        <f t="shared" si="2217"/>
        <v>600000</v>
      </c>
      <c r="H4536" s="690" t="s">
        <v>1431</v>
      </c>
      <c r="I4536" s="690" t="s">
        <v>1431</v>
      </c>
      <c r="J4536" s="53">
        <f t="shared" si="2227"/>
        <v>259890</v>
      </c>
      <c r="K4536" s="63">
        <f t="shared" si="2237"/>
        <v>0.43314999999999998</v>
      </c>
      <c r="L4536" s="871" t="s">
        <v>3193</v>
      </c>
      <c r="M4536" s="468"/>
      <c r="N4536" s="1192">
        <f t="shared" si="2226"/>
        <v>44515</v>
      </c>
      <c r="O4536" s="71" t="s">
        <v>1431</v>
      </c>
      <c r="P4536" s="164" t="str">
        <f t="shared" si="2232"/>
        <v>아스테이지</v>
      </c>
      <c r="Q4536" s="71">
        <f t="shared" ref="Q4536:Q4546" si="2240">D4536</f>
        <v>30</v>
      </c>
      <c r="R4536" s="102">
        <v>11337</v>
      </c>
      <c r="S4536" s="102">
        <f t="shared" si="2238"/>
        <v>374121.00000000006</v>
      </c>
      <c r="T4536" s="102">
        <f t="shared" si="2239"/>
        <v>340110</v>
      </c>
      <c r="U4536" s="71"/>
      <c r="V4536" s="71"/>
      <c r="W4536" s="474"/>
      <c r="X4536" s="71"/>
      <c r="Y4536" s="71"/>
    </row>
    <row r="4537" spans="1:25" ht="30" hidden="1" customHeight="1" x14ac:dyDescent="0.25">
      <c r="A4537" s="1145">
        <v>44515</v>
      </c>
      <c r="B4537" s="664" t="s">
        <v>546</v>
      </c>
      <c r="C4537" s="71" t="s">
        <v>990</v>
      </c>
      <c r="D4537" s="71">
        <v>30</v>
      </c>
      <c r="E4537" s="102">
        <v>27000</v>
      </c>
      <c r="F4537" s="102">
        <f t="shared" si="2216"/>
        <v>891000.00000000012</v>
      </c>
      <c r="G4537" s="102">
        <f t="shared" si="2217"/>
        <v>810000</v>
      </c>
      <c r="H4537" s="690" t="s">
        <v>1431</v>
      </c>
      <c r="I4537" s="690" t="s">
        <v>1431</v>
      </c>
      <c r="J4537" s="53">
        <f t="shared" si="2227"/>
        <v>398280</v>
      </c>
      <c r="K4537" s="63">
        <f t="shared" si="2237"/>
        <v>0.49170370370370364</v>
      </c>
      <c r="L4537" s="871" t="s">
        <v>3193</v>
      </c>
      <c r="M4537" s="468"/>
      <c r="N4537" s="1192">
        <f t="shared" si="2226"/>
        <v>44515</v>
      </c>
      <c r="O4537" s="71" t="s">
        <v>1431</v>
      </c>
      <c r="P4537" s="164" t="str">
        <f t="shared" si="2232"/>
        <v>브러쉬, 헤드 스톱</v>
      </c>
      <c r="Q4537" s="71">
        <f t="shared" si="2240"/>
        <v>30</v>
      </c>
      <c r="R4537" s="102">
        <v>13724</v>
      </c>
      <c r="S4537" s="102">
        <f t="shared" si="2238"/>
        <v>452892.00000000006</v>
      </c>
      <c r="T4537" s="102">
        <f t="shared" si="2239"/>
        <v>411720</v>
      </c>
      <c r="U4537" s="71"/>
      <c r="V4537" s="71"/>
      <c r="W4537" s="474"/>
      <c r="X4537" s="71"/>
      <c r="Y4537" s="71"/>
    </row>
    <row r="4538" spans="1:25" ht="30" hidden="1" customHeight="1" x14ac:dyDescent="0.25">
      <c r="A4538" s="1145">
        <v>44516</v>
      </c>
      <c r="B4538" s="664" t="s">
        <v>690</v>
      </c>
      <c r="C4538" s="71" t="s">
        <v>3188</v>
      </c>
      <c r="D4538" s="71">
        <v>1</v>
      </c>
      <c r="E4538" s="102">
        <v>300000</v>
      </c>
      <c r="F4538" s="102">
        <f t="shared" si="2216"/>
        <v>330000</v>
      </c>
      <c r="G4538" s="102">
        <f t="shared" si="2217"/>
        <v>300000</v>
      </c>
      <c r="H4538" s="690" t="s">
        <v>173</v>
      </c>
      <c r="I4538" s="71" t="s">
        <v>2231</v>
      </c>
      <c r="J4538" s="53">
        <f t="shared" si="2227"/>
        <v>0</v>
      </c>
      <c r="K4538" s="63">
        <f t="shared" si="2237"/>
        <v>0</v>
      </c>
      <c r="L4538" s="871" t="s">
        <v>3193</v>
      </c>
      <c r="M4538" s="468"/>
      <c r="N4538" s="1192">
        <f t="shared" si="2226"/>
        <v>44516</v>
      </c>
      <c r="O4538" s="71" t="s">
        <v>242</v>
      </c>
      <c r="P4538" s="164" t="str">
        <f t="shared" si="2232"/>
        <v>필름현상기 서비스 비용</v>
      </c>
      <c r="Q4538" s="71">
        <f t="shared" si="2240"/>
        <v>1</v>
      </c>
      <c r="R4538" s="102">
        <v>300000</v>
      </c>
      <c r="S4538" s="102">
        <f t="shared" si="2238"/>
        <v>330000</v>
      </c>
      <c r="T4538" s="102">
        <f t="shared" si="2239"/>
        <v>300000</v>
      </c>
      <c r="U4538" s="71"/>
      <c r="V4538" s="71"/>
      <c r="W4538" s="474"/>
      <c r="X4538" s="71"/>
      <c r="Y4538" s="71"/>
    </row>
    <row r="4539" spans="1:25" ht="30" hidden="1" customHeight="1" x14ac:dyDescent="0.25">
      <c r="A4539" s="1145">
        <v>44516</v>
      </c>
      <c r="B4539" s="664" t="s">
        <v>690</v>
      </c>
      <c r="C4539" s="71" t="s">
        <v>3189</v>
      </c>
      <c r="D4539" s="71">
        <v>1</v>
      </c>
      <c r="E4539" s="102">
        <v>898000</v>
      </c>
      <c r="F4539" s="102">
        <f t="shared" si="2216"/>
        <v>987800.00000000012</v>
      </c>
      <c r="G4539" s="102">
        <f t="shared" si="2217"/>
        <v>898000</v>
      </c>
      <c r="H4539" s="690" t="s">
        <v>173</v>
      </c>
      <c r="I4539" s="71" t="s">
        <v>2231</v>
      </c>
      <c r="J4539" s="53">
        <f t="shared" si="2227"/>
        <v>-16000</v>
      </c>
      <c r="K4539" s="63">
        <f t="shared" si="2237"/>
        <v>-1.7817371937639197E-2</v>
      </c>
      <c r="L4539" s="871" t="s">
        <v>3193</v>
      </c>
      <c r="M4539" s="468"/>
      <c r="N4539" s="1192">
        <f t="shared" si="2226"/>
        <v>44516</v>
      </c>
      <c r="O4539" s="71" t="s">
        <v>242</v>
      </c>
      <c r="P4539" s="164" t="str">
        <f t="shared" si="2232"/>
        <v>필름현상기 롤라</v>
      </c>
      <c r="Q4539" s="71">
        <f t="shared" si="2240"/>
        <v>1</v>
      </c>
      <c r="R4539" s="102">
        <v>914000</v>
      </c>
      <c r="S4539" s="102">
        <f t="shared" si="2238"/>
        <v>1005400.0000000001</v>
      </c>
      <c r="T4539" s="102">
        <f t="shared" si="2239"/>
        <v>914000</v>
      </c>
      <c r="U4539" s="71"/>
      <c r="V4539" s="71"/>
      <c r="W4539" s="474"/>
      <c r="X4539" s="71"/>
      <c r="Y4539" s="71"/>
    </row>
    <row r="4540" spans="1:25" ht="30" customHeight="1" x14ac:dyDescent="0.25">
      <c r="A4540" s="1145">
        <v>44516</v>
      </c>
      <c r="B4540" s="664" t="s">
        <v>2352</v>
      </c>
      <c r="C4540" s="760" t="s">
        <v>218</v>
      </c>
      <c r="D4540" s="71">
        <v>4</v>
      </c>
      <c r="E4540" s="102">
        <v>235000</v>
      </c>
      <c r="F4540" s="102">
        <f t="shared" si="2216"/>
        <v>1034000.0000000001</v>
      </c>
      <c r="G4540" s="102">
        <f t="shared" si="2217"/>
        <v>940000</v>
      </c>
      <c r="H4540" s="690" t="s">
        <v>142</v>
      </c>
      <c r="I4540" s="690" t="s">
        <v>142</v>
      </c>
      <c r="J4540" s="53">
        <f t="shared" si="2227"/>
        <v>490000</v>
      </c>
      <c r="K4540" s="63">
        <f t="shared" si="2237"/>
        <v>0.52127659574468077</v>
      </c>
      <c r="L4540" s="871" t="s">
        <v>3193</v>
      </c>
      <c r="M4540" s="468" t="s">
        <v>2053</v>
      </c>
      <c r="N4540" s="1192">
        <f t="shared" si="2226"/>
        <v>44516</v>
      </c>
      <c r="O4540" s="71" t="s">
        <v>150</v>
      </c>
      <c r="P4540" s="164" t="str">
        <f t="shared" si="2232"/>
        <v>Fount Web 551AF</v>
      </c>
      <c r="Q4540" s="71">
        <f t="shared" si="2240"/>
        <v>4</v>
      </c>
      <c r="R4540" s="102">
        <v>112500</v>
      </c>
      <c r="S4540" s="102">
        <f t="shared" si="2238"/>
        <v>495000.00000000006</v>
      </c>
      <c r="T4540" s="102">
        <f t="shared" si="2239"/>
        <v>450000</v>
      </c>
      <c r="U4540" s="71" t="str">
        <f>IF(J4540=W4540,"O", "X")</f>
        <v>O</v>
      </c>
      <c r="V4540" s="71"/>
      <c r="W4540" s="474">
        <f>(G4540-T4540)</f>
        <v>490000</v>
      </c>
      <c r="X4540" s="71"/>
      <c r="Y4540" s="71"/>
    </row>
    <row r="4541" spans="1:25" s="209" customFormat="1" ht="30" customHeight="1" x14ac:dyDescent="0.25">
      <c r="A4541" s="1145">
        <v>44516</v>
      </c>
      <c r="B4541" s="664" t="s">
        <v>2352</v>
      </c>
      <c r="C4541" s="71" t="s">
        <v>583</v>
      </c>
      <c r="D4541" s="71">
        <v>32</v>
      </c>
      <c r="E4541" s="102">
        <v>89000</v>
      </c>
      <c r="F4541" s="102">
        <f>(E4541*D4541)*1.1</f>
        <v>3132800.0000000005</v>
      </c>
      <c r="G4541" s="102">
        <f>(E4541*D4541)</f>
        <v>2848000</v>
      </c>
      <c r="H4541" s="690" t="s">
        <v>142</v>
      </c>
      <c r="I4541" s="71" t="s">
        <v>142</v>
      </c>
      <c r="J4541" s="53">
        <f t="shared" si="2227"/>
        <v>1440000</v>
      </c>
      <c r="K4541" s="63">
        <f t="shared" si="2237"/>
        <v>0.50561797752808979</v>
      </c>
      <c r="L4541" s="871" t="s">
        <v>3193</v>
      </c>
      <c r="M4541" s="468" t="s">
        <v>2053</v>
      </c>
      <c r="N4541" s="1192">
        <f t="shared" si="2226"/>
        <v>44516</v>
      </c>
      <c r="O4541" s="71" t="s">
        <v>599</v>
      </c>
      <c r="P4541" s="164" t="str">
        <f t="shared" si="2232"/>
        <v>M600 윤전 세정포</v>
      </c>
      <c r="Q4541" s="71">
        <f t="shared" si="2240"/>
        <v>32</v>
      </c>
      <c r="R4541" s="102">
        <v>44000</v>
      </c>
      <c r="S4541" s="102">
        <f t="shared" si="2238"/>
        <v>1548800.0000000002</v>
      </c>
      <c r="T4541" s="102">
        <f t="shared" si="2239"/>
        <v>1408000</v>
      </c>
      <c r="U4541" s="71" t="str">
        <f>IF(J4541=W4541,"O", "X")</f>
        <v>O</v>
      </c>
      <c r="V4541" s="71"/>
      <c r="W4541" s="474">
        <f>(G4541-T4541)</f>
        <v>1440000</v>
      </c>
      <c r="X4541" s="71"/>
      <c r="Y4541" s="71"/>
    </row>
    <row r="4542" spans="1:25" ht="30" hidden="1" customHeight="1" x14ac:dyDescent="0.25">
      <c r="A4542" s="1145">
        <v>44517</v>
      </c>
      <c r="B4542" s="664" t="s">
        <v>2155</v>
      </c>
      <c r="C4542" s="760" t="s">
        <v>218</v>
      </c>
      <c r="D4542" s="71">
        <v>10</v>
      </c>
      <c r="E4542" s="102">
        <v>192500</v>
      </c>
      <c r="F4542" s="102">
        <f t="shared" si="2216"/>
        <v>2117500</v>
      </c>
      <c r="G4542" s="102">
        <f t="shared" si="2217"/>
        <v>1925000</v>
      </c>
      <c r="H4542" s="690" t="s">
        <v>173</v>
      </c>
      <c r="I4542" s="71" t="s">
        <v>120</v>
      </c>
      <c r="J4542" s="53">
        <f t="shared" si="2227"/>
        <v>800000</v>
      </c>
      <c r="K4542" s="63">
        <f t="shared" si="2237"/>
        <v>0.41558441558441561</v>
      </c>
      <c r="L4542" s="871" t="s">
        <v>3193</v>
      </c>
      <c r="M4542" s="468"/>
      <c r="N4542" s="1192">
        <f t="shared" si="2226"/>
        <v>44517</v>
      </c>
      <c r="O4542" s="71" t="s">
        <v>150</v>
      </c>
      <c r="P4542" s="164" t="str">
        <f t="shared" si="2232"/>
        <v>Fount Web 551AF</v>
      </c>
      <c r="Q4542" s="71">
        <f t="shared" si="2240"/>
        <v>10</v>
      </c>
      <c r="R4542" s="102">
        <v>112500</v>
      </c>
      <c r="S4542" s="102">
        <f t="shared" si="2238"/>
        <v>1237500</v>
      </c>
      <c r="T4542" s="102">
        <f t="shared" si="2239"/>
        <v>1125000</v>
      </c>
      <c r="U4542" s="71" t="str">
        <f>IF(J4542=W4542,"O", "X")</f>
        <v>X</v>
      </c>
      <c r="V4542" s="71"/>
      <c r="W4542" s="474">
        <v>640000</v>
      </c>
      <c r="X4542" s="71"/>
      <c r="Y4542" s="71"/>
    </row>
    <row r="4543" spans="1:25" ht="30" hidden="1" customHeight="1" x14ac:dyDescent="0.25">
      <c r="A4543" s="1145">
        <v>44517</v>
      </c>
      <c r="B4543" s="664" t="s">
        <v>2155</v>
      </c>
      <c r="C4543" s="71" t="s">
        <v>277</v>
      </c>
      <c r="D4543" s="71">
        <v>10</v>
      </c>
      <c r="E4543" s="102">
        <v>172000</v>
      </c>
      <c r="F4543" s="102">
        <f t="shared" si="2216"/>
        <v>1892000.0000000002</v>
      </c>
      <c r="G4543" s="102">
        <f t="shared" si="2217"/>
        <v>1720000</v>
      </c>
      <c r="H4543" s="690" t="s">
        <v>173</v>
      </c>
      <c r="I4543" s="71" t="s">
        <v>108</v>
      </c>
      <c r="J4543" s="53">
        <f t="shared" si="2227"/>
        <v>570000</v>
      </c>
      <c r="K4543" s="63">
        <f t="shared" si="2237"/>
        <v>0.33139534883720928</v>
      </c>
      <c r="L4543" s="871" t="s">
        <v>3193</v>
      </c>
      <c r="M4543" s="468"/>
      <c r="N4543" s="1192">
        <f t="shared" si="2226"/>
        <v>44517</v>
      </c>
      <c r="O4543" s="71" t="s">
        <v>150</v>
      </c>
      <c r="P4543" s="164" t="str">
        <f t="shared" si="2232"/>
        <v>윤전용 세척제(Web 504)</v>
      </c>
      <c r="Q4543" s="71">
        <f t="shared" si="2240"/>
        <v>10</v>
      </c>
      <c r="R4543" s="102">
        <v>115000</v>
      </c>
      <c r="S4543" s="102">
        <f t="shared" si="2238"/>
        <v>1265000</v>
      </c>
      <c r="T4543" s="102">
        <f t="shared" si="2239"/>
        <v>1150000</v>
      </c>
      <c r="U4543" s="71" t="str">
        <f>IF(J4543=W4543,"O", "X")</f>
        <v>X</v>
      </c>
      <c r="V4543" s="71"/>
      <c r="W4543" s="474">
        <v>285000</v>
      </c>
      <c r="X4543" s="71"/>
      <c r="Y4543" s="71"/>
    </row>
    <row r="4544" spans="1:25" s="209" customFormat="1" ht="31.5" hidden="1" customHeight="1" x14ac:dyDescent="0.2">
      <c r="A4544" s="1145">
        <v>44517</v>
      </c>
      <c r="B4544" s="664" t="s">
        <v>2155</v>
      </c>
      <c r="C4544" s="71" t="s">
        <v>231</v>
      </c>
      <c r="D4544" s="71">
        <v>10</v>
      </c>
      <c r="E4544" s="102">
        <v>120000</v>
      </c>
      <c r="F4544" s="102">
        <f t="shared" si="2216"/>
        <v>1320000</v>
      </c>
      <c r="G4544" s="102">
        <f t="shared" si="2217"/>
        <v>1200000</v>
      </c>
      <c r="H4544" s="165" t="s">
        <v>172</v>
      </c>
      <c r="I4544" s="71" t="s">
        <v>109</v>
      </c>
      <c r="J4544" s="53">
        <f t="shared" si="2227"/>
        <v>80000</v>
      </c>
      <c r="K4544" s="63">
        <f t="shared" si="2237"/>
        <v>6.6666666666666666E-2</v>
      </c>
      <c r="L4544" s="871" t="s">
        <v>3193</v>
      </c>
      <c r="M4544" s="468"/>
      <c r="N4544" s="1192">
        <f t="shared" si="2226"/>
        <v>44517</v>
      </c>
      <c r="O4544" s="71" t="s">
        <v>151</v>
      </c>
      <c r="P4544" s="164" t="str">
        <f t="shared" si="2232"/>
        <v>Blanket(990*725)</v>
      </c>
      <c r="Q4544" s="71">
        <f t="shared" si="2240"/>
        <v>10</v>
      </c>
      <c r="R4544" s="102">
        <v>112000</v>
      </c>
      <c r="S4544" s="102">
        <f t="shared" si="2238"/>
        <v>1232000</v>
      </c>
      <c r="T4544" s="102">
        <f t="shared" si="2239"/>
        <v>1120000</v>
      </c>
      <c r="U4544" s="71" t="str">
        <f>IF(J4544=W4544,"O", "X")</f>
        <v>O</v>
      </c>
      <c r="V4544" s="71"/>
      <c r="W4544" s="474">
        <v>80000</v>
      </c>
      <c r="X4544" s="71"/>
      <c r="Y4544" s="71"/>
    </row>
    <row r="4545" spans="1:25" ht="30" hidden="1" customHeight="1" x14ac:dyDescent="0.25">
      <c r="A4545" s="1145">
        <v>44517</v>
      </c>
      <c r="B4545" s="664" t="s">
        <v>2155</v>
      </c>
      <c r="C4545" s="71" t="s">
        <v>1148</v>
      </c>
      <c r="D4545" s="71">
        <v>8</v>
      </c>
      <c r="E4545" s="102">
        <v>320000</v>
      </c>
      <c r="F4545" s="102">
        <f t="shared" si="2216"/>
        <v>2816000</v>
      </c>
      <c r="G4545" s="102">
        <f t="shared" si="2217"/>
        <v>2560000</v>
      </c>
      <c r="H4545" s="690" t="s">
        <v>1431</v>
      </c>
      <c r="I4545" s="690" t="s">
        <v>1431</v>
      </c>
      <c r="J4545" s="53">
        <f t="shared" si="2227"/>
        <v>591536</v>
      </c>
      <c r="K4545" s="63">
        <f t="shared" si="2237"/>
        <v>0.23106874999999999</v>
      </c>
      <c r="L4545" s="871" t="s">
        <v>3193</v>
      </c>
      <c r="M4545" s="468"/>
      <c r="N4545" s="1192">
        <f t="shared" si="2226"/>
        <v>44517</v>
      </c>
      <c r="O4545" s="71" t="s">
        <v>1431</v>
      </c>
      <c r="P4545" s="164" t="str">
        <f t="shared" si="2232"/>
        <v>브레이크 라이닝</v>
      </c>
      <c r="Q4545" s="71">
        <f t="shared" si="2240"/>
        <v>8</v>
      </c>
      <c r="R4545" s="102">
        <v>246058</v>
      </c>
      <c r="S4545" s="102">
        <f t="shared" si="2238"/>
        <v>2165310.4000000004</v>
      </c>
      <c r="T4545" s="102">
        <f t="shared" si="2239"/>
        <v>1968464</v>
      </c>
      <c r="U4545" s="71"/>
      <c r="V4545" s="71"/>
      <c r="W4545" s="474"/>
      <c r="X4545" s="71"/>
      <c r="Y4545" s="71"/>
    </row>
    <row r="4546" spans="1:25" ht="30" hidden="1" customHeight="1" x14ac:dyDescent="0.25">
      <c r="A4546" s="1145">
        <v>44517</v>
      </c>
      <c r="B4546" s="664" t="s">
        <v>809</v>
      </c>
      <c r="C4546" s="71" t="s">
        <v>1081</v>
      </c>
      <c r="D4546" s="71">
        <v>10</v>
      </c>
      <c r="E4546" s="102">
        <v>78000</v>
      </c>
      <c r="F4546" s="102">
        <f t="shared" si="2216"/>
        <v>858000.00000000012</v>
      </c>
      <c r="G4546" s="102">
        <f t="shared" si="2217"/>
        <v>780000</v>
      </c>
      <c r="H4546" s="690" t="s">
        <v>173</v>
      </c>
      <c r="I4546" s="71" t="s">
        <v>2231</v>
      </c>
      <c r="J4546" s="53">
        <f t="shared" si="2227"/>
        <v>180000</v>
      </c>
      <c r="K4546" s="63">
        <f t="shared" si="2237"/>
        <v>0.23076923076923073</v>
      </c>
      <c r="L4546" s="871" t="s">
        <v>3193</v>
      </c>
      <c r="M4546" s="468" t="s">
        <v>3081</v>
      </c>
      <c r="N4546" s="1192">
        <f t="shared" si="2226"/>
        <v>44517</v>
      </c>
      <c r="O4546" s="71" t="s">
        <v>147</v>
      </c>
      <c r="P4546" s="164" t="str">
        <f t="shared" si="2232"/>
        <v>파우더</v>
      </c>
      <c r="Q4546" s="71">
        <f t="shared" si="2240"/>
        <v>10</v>
      </c>
      <c r="R4546" s="102">
        <v>60000</v>
      </c>
      <c r="S4546" s="102">
        <f t="shared" si="2238"/>
        <v>660000</v>
      </c>
      <c r="T4546" s="102">
        <f t="shared" si="2239"/>
        <v>600000</v>
      </c>
      <c r="U4546" s="71" t="str">
        <f>IF(J4546=W4546,"O", "X")</f>
        <v>O</v>
      </c>
      <c r="V4546" s="71"/>
      <c r="W4546" s="474">
        <f>(G4546-T4546)</f>
        <v>180000</v>
      </c>
      <c r="X4546" s="71"/>
      <c r="Y4546" s="71"/>
    </row>
    <row r="4547" spans="1:25" ht="30" hidden="1" customHeight="1" x14ac:dyDescent="0.25">
      <c r="A4547" s="1145">
        <v>44518</v>
      </c>
      <c r="B4547" s="664" t="s">
        <v>690</v>
      </c>
      <c r="C4547" s="71" t="s">
        <v>1186</v>
      </c>
      <c r="D4547" s="71">
        <v>1000</v>
      </c>
      <c r="E4547" s="102">
        <v>3860</v>
      </c>
      <c r="F4547" s="102">
        <f t="shared" si="2216"/>
        <v>4246000</v>
      </c>
      <c r="G4547" s="102">
        <f t="shared" si="2217"/>
        <v>3860000</v>
      </c>
      <c r="H4547" s="690" t="s">
        <v>173</v>
      </c>
      <c r="I4547" s="71" t="s">
        <v>2230</v>
      </c>
      <c r="J4547" s="53">
        <f t="shared" si="2227"/>
        <v>-70000</v>
      </c>
      <c r="K4547" s="63">
        <f t="shared" ref="K4547:K4562" si="2241">(J4547/(F4547/11*10))</f>
        <v>-1.8134715025906734E-2</v>
      </c>
      <c r="L4547" s="871" t="s">
        <v>3193</v>
      </c>
      <c r="M4547" s="468" t="s">
        <v>3078</v>
      </c>
      <c r="N4547" s="1192">
        <f t="shared" si="2226"/>
        <v>44518</v>
      </c>
      <c r="O4547" s="71" t="s">
        <v>145</v>
      </c>
      <c r="P4547" s="164" t="str">
        <f t="shared" si="2232"/>
        <v>CTP 판(1030*790mm)</v>
      </c>
      <c r="Q4547" s="71">
        <f t="shared" ref="Q4547:Q4559" si="2242">D4547</f>
        <v>1000</v>
      </c>
      <c r="R4547" s="102">
        <v>3930</v>
      </c>
      <c r="S4547" s="102">
        <f t="shared" si="2238"/>
        <v>4323000</v>
      </c>
      <c r="T4547" s="102">
        <f t="shared" si="2239"/>
        <v>3930000</v>
      </c>
      <c r="U4547" s="71" t="str">
        <f>IF(J4547=W4547,"O", "X")</f>
        <v>X</v>
      </c>
      <c r="V4547" s="71"/>
      <c r="W4547" s="474">
        <v>-200000</v>
      </c>
      <c r="X4547" s="71"/>
      <c r="Y4547" s="71"/>
    </row>
    <row r="4548" spans="1:25" ht="30" hidden="1" customHeight="1" x14ac:dyDescent="0.25">
      <c r="A4548" s="1145">
        <v>44518</v>
      </c>
      <c r="B4548" s="664" t="s">
        <v>690</v>
      </c>
      <c r="C4548" s="71" t="s">
        <v>197</v>
      </c>
      <c r="D4548" s="71">
        <v>8</v>
      </c>
      <c r="E4548" s="102">
        <v>52000</v>
      </c>
      <c r="F4548" s="102">
        <f t="shared" si="2216"/>
        <v>457600.00000000006</v>
      </c>
      <c r="G4548" s="102">
        <f t="shared" si="2217"/>
        <v>416000</v>
      </c>
      <c r="H4548" s="690" t="s">
        <v>173</v>
      </c>
      <c r="I4548" s="71" t="s">
        <v>2230</v>
      </c>
      <c r="J4548" s="53">
        <f t="shared" si="2227"/>
        <v>94000</v>
      </c>
      <c r="K4548" s="63">
        <f t="shared" si="2241"/>
        <v>0.22596153846153844</v>
      </c>
      <c r="L4548" s="871" t="s">
        <v>3193</v>
      </c>
      <c r="M4548" s="468"/>
      <c r="N4548" s="1192">
        <f t="shared" si="2226"/>
        <v>44518</v>
      </c>
      <c r="O4548" s="71" t="s">
        <v>145</v>
      </c>
      <c r="P4548" s="164" t="str">
        <f t="shared" si="2232"/>
        <v>THR200(20L)</v>
      </c>
      <c r="Q4548" s="71">
        <f t="shared" si="2242"/>
        <v>8</v>
      </c>
      <c r="R4548" s="102">
        <v>40250</v>
      </c>
      <c r="S4548" s="102">
        <f t="shared" si="2238"/>
        <v>354200</v>
      </c>
      <c r="T4548" s="102">
        <f t="shared" si="2239"/>
        <v>322000</v>
      </c>
      <c r="U4548" s="71" t="str">
        <f>IF(J4548=W4548,"O", "X")</f>
        <v>X</v>
      </c>
      <c r="V4548" s="71"/>
      <c r="W4548" s="474"/>
      <c r="X4548" s="71"/>
      <c r="Y4548" s="71"/>
    </row>
    <row r="4549" spans="1:25" ht="30" hidden="1" customHeight="1" x14ac:dyDescent="0.25">
      <c r="A4549" s="1145">
        <v>44518</v>
      </c>
      <c r="B4549" s="664" t="s">
        <v>690</v>
      </c>
      <c r="C4549" s="71" t="s">
        <v>750</v>
      </c>
      <c r="D4549" s="71">
        <v>2</v>
      </c>
      <c r="E4549" s="102">
        <v>52000</v>
      </c>
      <c r="F4549" s="102">
        <f t="shared" ref="F4549:F4566" si="2243">(E4549*D4549)*1.1</f>
        <v>114400.00000000001</v>
      </c>
      <c r="G4549" s="102">
        <f t="shared" ref="G4549:G4566" si="2244">(E4549*D4549)</f>
        <v>104000</v>
      </c>
      <c r="H4549" s="690" t="s">
        <v>173</v>
      </c>
      <c r="I4549" s="71" t="s">
        <v>2230</v>
      </c>
      <c r="J4549" s="53">
        <f t="shared" si="2227"/>
        <v>23500</v>
      </c>
      <c r="K4549" s="63">
        <f t="shared" si="2241"/>
        <v>0.22596153846153844</v>
      </c>
      <c r="L4549" s="871" t="s">
        <v>3193</v>
      </c>
      <c r="M4549" s="468" t="s">
        <v>1394</v>
      </c>
      <c r="N4549" s="1192">
        <f t="shared" si="2226"/>
        <v>44518</v>
      </c>
      <c r="O4549" s="71" t="s">
        <v>145</v>
      </c>
      <c r="P4549" s="164" t="str">
        <f t="shared" si="2232"/>
        <v>THD200(20L)</v>
      </c>
      <c r="Q4549" s="71">
        <f t="shared" si="2242"/>
        <v>2</v>
      </c>
      <c r="R4549" s="102">
        <v>40250</v>
      </c>
      <c r="S4549" s="102">
        <f t="shared" si="2238"/>
        <v>88550</v>
      </c>
      <c r="T4549" s="102">
        <f t="shared" si="2239"/>
        <v>80500</v>
      </c>
      <c r="U4549" s="71" t="str">
        <f>IF(J4549=W4549,"O", "X")</f>
        <v>O</v>
      </c>
      <c r="V4549" s="71"/>
      <c r="W4549" s="474">
        <f>(G4549-T4549)</f>
        <v>23500</v>
      </c>
      <c r="X4549" s="71"/>
      <c r="Y4549" s="71"/>
    </row>
    <row r="4550" spans="1:25" ht="30" hidden="1" customHeight="1" x14ac:dyDescent="0.25">
      <c r="A4550" s="1145">
        <v>44522</v>
      </c>
      <c r="B4550" s="664" t="s">
        <v>809</v>
      </c>
      <c r="C4550" s="71" t="s">
        <v>1261</v>
      </c>
      <c r="D4550" s="71">
        <v>5</v>
      </c>
      <c r="E4550" s="102">
        <v>100000</v>
      </c>
      <c r="F4550" s="102">
        <f t="shared" si="2243"/>
        <v>550000</v>
      </c>
      <c r="G4550" s="102">
        <f t="shared" si="2244"/>
        <v>500000</v>
      </c>
      <c r="H4550" s="690" t="s">
        <v>2029</v>
      </c>
      <c r="I4550" s="71" t="s">
        <v>2231</v>
      </c>
      <c r="J4550" s="53">
        <f t="shared" si="2227"/>
        <v>200000</v>
      </c>
      <c r="K4550" s="63">
        <f t="shared" si="2241"/>
        <v>0.4</v>
      </c>
      <c r="L4550" s="871" t="s">
        <v>3193</v>
      </c>
      <c r="M4550" s="468"/>
      <c r="N4550" s="1192">
        <f t="shared" si="2226"/>
        <v>44522</v>
      </c>
      <c r="O4550" s="71" t="s">
        <v>3021</v>
      </c>
      <c r="P4550" s="164" t="str">
        <f t="shared" si="2232"/>
        <v>아스테이지</v>
      </c>
      <c r="Q4550" s="71">
        <f>D4550</f>
        <v>5</v>
      </c>
      <c r="R4550" s="102">
        <v>60000</v>
      </c>
      <c r="S4550" s="102">
        <f t="shared" si="2238"/>
        <v>330000</v>
      </c>
      <c r="T4550" s="102">
        <f t="shared" si="2239"/>
        <v>300000</v>
      </c>
      <c r="U4550" s="71"/>
      <c r="V4550" s="71"/>
      <c r="W4550" s="474"/>
      <c r="X4550" s="71"/>
      <c r="Y4550" s="71"/>
    </row>
    <row r="4551" spans="1:25" ht="30" hidden="1" customHeight="1" x14ac:dyDescent="0.25">
      <c r="A4551" s="1145">
        <v>44522</v>
      </c>
      <c r="B4551" s="664" t="s">
        <v>548</v>
      </c>
      <c r="C4551" s="71" t="s">
        <v>2973</v>
      </c>
      <c r="D4551" s="71">
        <v>10</v>
      </c>
      <c r="E4551" s="102">
        <v>100000</v>
      </c>
      <c r="F4551" s="102">
        <v>1100000</v>
      </c>
      <c r="G4551" s="102">
        <v>1000000</v>
      </c>
      <c r="H4551" s="690" t="s">
        <v>173</v>
      </c>
      <c r="I4551" s="71" t="s">
        <v>2231</v>
      </c>
      <c r="J4551" s="53">
        <v>138000</v>
      </c>
      <c r="K4551" s="63">
        <v>0.13800000000000001</v>
      </c>
      <c r="L4551" s="871" t="s">
        <v>3193</v>
      </c>
      <c r="M4551" s="468"/>
      <c r="N4551" s="1192">
        <f t="shared" si="2226"/>
        <v>44522</v>
      </c>
      <c r="O4551" s="71" t="s">
        <v>147</v>
      </c>
      <c r="P4551" s="164" t="str">
        <f t="shared" si="2232"/>
        <v>1077*885 하이델 bar 블랑켓</v>
      </c>
      <c r="Q4551" s="71">
        <v>10</v>
      </c>
      <c r="R4551" s="102">
        <v>86200</v>
      </c>
      <c r="S4551" s="102">
        <v>948200.00000000012</v>
      </c>
      <c r="T4551" s="102">
        <v>862000</v>
      </c>
      <c r="U4551" s="71"/>
      <c r="V4551" s="71"/>
      <c r="W4551" s="474"/>
      <c r="X4551" s="71"/>
      <c r="Y4551" s="71"/>
    </row>
    <row r="4552" spans="1:25" ht="30" hidden="1" customHeight="1" x14ac:dyDescent="0.2">
      <c r="A4552" s="1145">
        <v>44522</v>
      </c>
      <c r="B4552" s="664" t="s">
        <v>548</v>
      </c>
      <c r="C4552" s="71" t="s">
        <v>107</v>
      </c>
      <c r="D4552" s="71">
        <v>10</v>
      </c>
      <c r="E4552" s="102">
        <v>90000</v>
      </c>
      <c r="F4552" s="163">
        <v>990000.00000000012</v>
      </c>
      <c r="G4552" s="102">
        <v>900000</v>
      </c>
      <c r="H4552" s="165" t="s">
        <v>172</v>
      </c>
      <c r="I4552" s="71" t="s">
        <v>109</v>
      </c>
      <c r="J4552" s="53">
        <v>95000</v>
      </c>
      <c r="K4552" s="63">
        <v>0.10555555555555554</v>
      </c>
      <c r="L4552" s="871" t="s">
        <v>3193</v>
      </c>
      <c r="M4552" s="468"/>
      <c r="N4552" s="1192">
        <f t="shared" si="2226"/>
        <v>44522</v>
      </c>
      <c r="O4552" s="71" t="s">
        <v>1431</v>
      </c>
      <c r="P4552" s="164" t="str">
        <f t="shared" si="2232"/>
        <v>Blanket(1050*840)</v>
      </c>
      <c r="Q4552" s="71">
        <v>10</v>
      </c>
      <c r="R4552" s="102">
        <v>80500</v>
      </c>
      <c r="S4552" s="102">
        <v>885500.00000000012</v>
      </c>
      <c r="T4552" s="102">
        <v>805000</v>
      </c>
      <c r="U4552" s="71" t="s">
        <v>859</v>
      </c>
      <c r="V4552" s="71"/>
      <c r="W4552" s="474">
        <v>95000</v>
      </c>
      <c r="X4552" s="71"/>
      <c r="Y4552" s="71"/>
    </row>
    <row r="4553" spans="1:25" ht="30" hidden="1" customHeight="1" x14ac:dyDescent="0.25">
      <c r="A4553" s="1145">
        <v>44523</v>
      </c>
      <c r="B4553" s="664" t="s">
        <v>567</v>
      </c>
      <c r="C4553" s="71" t="s">
        <v>123</v>
      </c>
      <c r="D4553" s="71">
        <v>10</v>
      </c>
      <c r="E4553" s="102">
        <v>40000</v>
      </c>
      <c r="F4553" s="102">
        <f>(E4553*D4553)*1.1</f>
        <v>440000.00000000006</v>
      </c>
      <c r="G4553" s="102">
        <f>(E4553*D4553)</f>
        <v>400000</v>
      </c>
      <c r="H4553" s="1010" t="s">
        <v>39</v>
      </c>
      <c r="I4553" s="71" t="s">
        <v>1432</v>
      </c>
      <c r="J4553" s="53">
        <f t="shared" ref="J4553:J4593" si="2245">G4553-T4553</f>
        <v>159300</v>
      </c>
      <c r="K4553" s="63">
        <f>(J4553/(F4553/11*10))</f>
        <v>0.39824999999999994</v>
      </c>
      <c r="L4553" s="871" t="s">
        <v>3193</v>
      </c>
      <c r="M4553" s="468"/>
      <c r="N4553" s="1192">
        <f t="shared" si="2226"/>
        <v>44523</v>
      </c>
      <c r="O4553" s="991" t="s">
        <v>39</v>
      </c>
      <c r="P4553" s="164" t="str">
        <f t="shared" si="2232"/>
        <v>필터백</v>
      </c>
      <c r="Q4553" s="71">
        <f>D4553</f>
        <v>10</v>
      </c>
      <c r="R4553" s="102">
        <v>24070</v>
      </c>
      <c r="S4553" s="102">
        <f t="shared" ref="S4553:S4593" si="2246">R4553*Q4553*1.1</f>
        <v>264770</v>
      </c>
      <c r="T4553" s="102">
        <f t="shared" ref="T4553:T4593" si="2247">R4553*Q4553</f>
        <v>240700</v>
      </c>
      <c r="U4553" s="71" t="str">
        <f>IF(J4553=W4553,"O", "X")</f>
        <v>O</v>
      </c>
      <c r="V4553" s="71"/>
      <c r="W4553" s="474">
        <f>(G4553-T4553)</f>
        <v>159300</v>
      </c>
      <c r="X4553" s="71"/>
      <c r="Y4553" s="71"/>
    </row>
    <row r="4554" spans="1:25" ht="30" hidden="1" customHeight="1" x14ac:dyDescent="0.25">
      <c r="A4554" s="1145">
        <v>44523</v>
      </c>
      <c r="B4554" s="664" t="s">
        <v>446</v>
      </c>
      <c r="C4554" s="71" t="s">
        <v>2028</v>
      </c>
      <c r="D4554" s="71">
        <v>20</v>
      </c>
      <c r="E4554" s="102">
        <v>105000</v>
      </c>
      <c r="F4554" s="102">
        <f t="shared" si="2243"/>
        <v>2310000</v>
      </c>
      <c r="G4554" s="102">
        <f t="shared" si="2244"/>
        <v>2100000</v>
      </c>
      <c r="H4554" s="690" t="s">
        <v>2029</v>
      </c>
      <c r="I4554" s="71" t="s">
        <v>2231</v>
      </c>
      <c r="J4554" s="53">
        <f t="shared" si="2245"/>
        <v>280000</v>
      </c>
      <c r="K4554" s="63">
        <f t="shared" si="2241"/>
        <v>0.13333333333333333</v>
      </c>
      <c r="L4554" s="871" t="s">
        <v>3193</v>
      </c>
      <c r="M4554" s="468"/>
      <c r="N4554" s="1192">
        <f t="shared" si="2226"/>
        <v>44523</v>
      </c>
      <c r="O4554" s="71" t="s">
        <v>2030</v>
      </c>
      <c r="P4554" s="164" t="str">
        <f t="shared" si="2232"/>
        <v>실리콘 에멀전</v>
      </c>
      <c r="Q4554" s="71">
        <v>20</v>
      </c>
      <c r="R4554" s="102">
        <v>91000</v>
      </c>
      <c r="S4554" s="102">
        <f t="shared" si="2246"/>
        <v>2002000.0000000002</v>
      </c>
      <c r="T4554" s="102">
        <f t="shared" si="2247"/>
        <v>1820000</v>
      </c>
      <c r="U4554" s="71" t="str">
        <f>IF(J4554=W4554,"O", "X")</f>
        <v>O</v>
      </c>
      <c r="V4554" s="71"/>
      <c r="W4554" s="474">
        <f>(G4554-T4554)</f>
        <v>280000</v>
      </c>
      <c r="X4554" s="71"/>
      <c r="Y4554" s="71"/>
    </row>
    <row r="4555" spans="1:25" ht="30" hidden="1" customHeight="1" x14ac:dyDescent="0.25">
      <c r="A4555" s="1145">
        <v>44523</v>
      </c>
      <c r="B4555" s="664" t="s">
        <v>3031</v>
      </c>
      <c r="C4555" s="71" t="s">
        <v>123</v>
      </c>
      <c r="D4555" s="71">
        <v>10</v>
      </c>
      <c r="E4555" s="102">
        <v>40000</v>
      </c>
      <c r="F4555" s="102">
        <f t="shared" si="2243"/>
        <v>440000.00000000006</v>
      </c>
      <c r="G4555" s="102">
        <f t="shared" si="2244"/>
        <v>400000</v>
      </c>
      <c r="H4555" s="690" t="s">
        <v>1432</v>
      </c>
      <c r="I4555" s="71" t="s">
        <v>1432</v>
      </c>
      <c r="J4555" s="53">
        <f t="shared" si="2245"/>
        <v>159300</v>
      </c>
      <c r="K4555" s="63">
        <f>(J4555/(F4555/11*10))</f>
        <v>0.39824999999999994</v>
      </c>
      <c r="L4555" s="871" t="s">
        <v>3193</v>
      </c>
      <c r="M4555" s="468"/>
      <c r="N4555" s="1192">
        <f t="shared" si="2226"/>
        <v>44523</v>
      </c>
      <c r="O4555" s="71" t="s">
        <v>94</v>
      </c>
      <c r="P4555" s="164" t="str">
        <f t="shared" si="2232"/>
        <v>필터백</v>
      </c>
      <c r="Q4555" s="71">
        <f>D4555</f>
        <v>10</v>
      </c>
      <c r="R4555" s="102">
        <v>24070</v>
      </c>
      <c r="S4555" s="102">
        <f t="shared" si="2246"/>
        <v>264770</v>
      </c>
      <c r="T4555" s="102">
        <f t="shared" si="2247"/>
        <v>240700</v>
      </c>
      <c r="U4555" s="71"/>
      <c r="V4555" s="71"/>
      <c r="W4555" s="474"/>
      <c r="X4555" s="71"/>
      <c r="Y4555" s="71"/>
    </row>
    <row r="4556" spans="1:25" s="209" customFormat="1" ht="30" hidden="1" customHeight="1" x14ac:dyDescent="0.2">
      <c r="A4556" s="1145">
        <v>44524</v>
      </c>
      <c r="B4556" s="664" t="s">
        <v>2261</v>
      </c>
      <c r="C4556" s="71" t="s">
        <v>107</v>
      </c>
      <c r="D4556" s="71">
        <v>10</v>
      </c>
      <c r="E4556" s="102">
        <v>108000</v>
      </c>
      <c r="F4556" s="102">
        <f t="shared" si="2243"/>
        <v>1188000</v>
      </c>
      <c r="G4556" s="102">
        <f t="shared" si="2244"/>
        <v>1080000</v>
      </c>
      <c r="H4556" s="165" t="s">
        <v>172</v>
      </c>
      <c r="I4556" s="71" t="s">
        <v>109</v>
      </c>
      <c r="J4556" s="53">
        <f t="shared" si="2245"/>
        <v>275000</v>
      </c>
      <c r="K4556" s="63">
        <f t="shared" si="2241"/>
        <v>0.25462962962962965</v>
      </c>
      <c r="L4556" s="871" t="s">
        <v>3193</v>
      </c>
      <c r="M4556" s="468"/>
      <c r="N4556" s="1192">
        <f t="shared" si="2226"/>
        <v>44524</v>
      </c>
      <c r="O4556" s="71" t="s">
        <v>147</v>
      </c>
      <c r="P4556" s="164" t="str">
        <f t="shared" si="2232"/>
        <v>Blanket(1050*840)</v>
      </c>
      <c r="Q4556" s="71">
        <f t="shared" si="2242"/>
        <v>10</v>
      </c>
      <c r="R4556" s="102">
        <v>80500</v>
      </c>
      <c r="S4556" s="102">
        <f t="shared" si="2246"/>
        <v>885500.00000000012</v>
      </c>
      <c r="T4556" s="102">
        <f t="shared" si="2247"/>
        <v>805000</v>
      </c>
      <c r="U4556" s="71" t="str">
        <f>IF(J4556=W4556,"O", "X")</f>
        <v>O</v>
      </c>
      <c r="V4556" s="71"/>
      <c r="W4556" s="474">
        <v>275000</v>
      </c>
      <c r="X4556" s="71"/>
      <c r="Y4556" s="71"/>
    </row>
    <row r="4557" spans="1:25" ht="30" hidden="1" customHeight="1" x14ac:dyDescent="0.25">
      <c r="A4557" s="1145">
        <v>44525</v>
      </c>
      <c r="B4557" s="664" t="s">
        <v>548</v>
      </c>
      <c r="C4557" s="71" t="s">
        <v>111</v>
      </c>
      <c r="D4557" s="71">
        <v>200</v>
      </c>
      <c r="E4557" s="102">
        <v>450</v>
      </c>
      <c r="F4557" s="102">
        <f t="shared" si="2243"/>
        <v>99000.000000000015</v>
      </c>
      <c r="G4557" s="102">
        <f t="shared" si="2244"/>
        <v>90000</v>
      </c>
      <c r="H4557" s="690" t="s">
        <v>173</v>
      </c>
      <c r="I4557" s="71" t="s">
        <v>2231</v>
      </c>
      <c r="J4557" s="53">
        <f t="shared" si="2245"/>
        <v>26000</v>
      </c>
      <c r="K4557" s="63">
        <f t="shared" si="2241"/>
        <v>0.28888888888888886</v>
      </c>
      <c r="L4557" s="871" t="s">
        <v>3193</v>
      </c>
      <c r="M4557" s="468"/>
      <c r="N4557" s="1192">
        <f t="shared" si="2226"/>
        <v>44525</v>
      </c>
      <c r="O4557" s="71" t="s">
        <v>2030</v>
      </c>
      <c r="P4557" s="164" t="str">
        <f t="shared" si="2232"/>
        <v>고무사카 빨간색</v>
      </c>
      <c r="Q4557" s="71">
        <f t="shared" si="2242"/>
        <v>200</v>
      </c>
      <c r="R4557" s="102">
        <v>320</v>
      </c>
      <c r="S4557" s="102">
        <f t="shared" si="2246"/>
        <v>70400</v>
      </c>
      <c r="T4557" s="102">
        <f t="shared" si="2247"/>
        <v>64000</v>
      </c>
      <c r="U4557" s="71"/>
      <c r="V4557" s="71"/>
      <c r="W4557" s="474"/>
      <c r="X4557" s="71"/>
      <c r="Y4557" s="71"/>
    </row>
    <row r="4558" spans="1:25" ht="30" hidden="1" customHeight="1" x14ac:dyDescent="0.25">
      <c r="A4558" s="1145">
        <v>44525</v>
      </c>
      <c r="B4558" s="664" t="s">
        <v>548</v>
      </c>
      <c r="C4558" s="71" t="s">
        <v>1804</v>
      </c>
      <c r="D4558" s="71">
        <v>100</v>
      </c>
      <c r="E4558" s="102">
        <v>400</v>
      </c>
      <c r="F4558" s="102">
        <f t="shared" si="2243"/>
        <v>44000</v>
      </c>
      <c r="G4558" s="102">
        <f t="shared" si="2244"/>
        <v>40000</v>
      </c>
      <c r="H4558" s="690" t="s">
        <v>173</v>
      </c>
      <c r="I4558" s="71" t="s">
        <v>2231</v>
      </c>
      <c r="J4558" s="53">
        <f t="shared" si="2245"/>
        <v>10000</v>
      </c>
      <c r="K4558" s="63">
        <f t="shared" si="2241"/>
        <v>0.25</v>
      </c>
      <c r="L4558" s="871" t="s">
        <v>3193</v>
      </c>
      <c r="M4558" s="468"/>
      <c r="N4558" s="1192">
        <f t="shared" si="2226"/>
        <v>44525</v>
      </c>
      <c r="O4558" s="71" t="s">
        <v>149</v>
      </c>
      <c r="P4558" s="164" t="str">
        <f t="shared" si="2232"/>
        <v>고무사카 노란색</v>
      </c>
      <c r="Q4558" s="71">
        <f t="shared" si="2242"/>
        <v>100</v>
      </c>
      <c r="R4558" s="102">
        <v>300</v>
      </c>
      <c r="S4558" s="102">
        <f t="shared" si="2246"/>
        <v>33000</v>
      </c>
      <c r="T4558" s="102">
        <f t="shared" si="2247"/>
        <v>30000</v>
      </c>
      <c r="U4558" s="71"/>
      <c r="V4558" s="71"/>
      <c r="W4558" s="474"/>
      <c r="X4558" s="71"/>
      <c r="Y4558" s="71"/>
    </row>
    <row r="4559" spans="1:25" ht="27.6" hidden="1" customHeight="1" x14ac:dyDescent="0.25">
      <c r="A4559" s="1145">
        <v>44525</v>
      </c>
      <c r="B4559" s="664" t="s">
        <v>567</v>
      </c>
      <c r="C4559" s="71" t="s">
        <v>1652</v>
      </c>
      <c r="D4559" s="71">
        <v>5</v>
      </c>
      <c r="E4559" s="102">
        <v>45000</v>
      </c>
      <c r="F4559" s="102">
        <f t="shared" si="2243"/>
        <v>247500.00000000003</v>
      </c>
      <c r="G4559" s="102">
        <f t="shared" si="2244"/>
        <v>225000</v>
      </c>
      <c r="H4559" s="690" t="s">
        <v>173</v>
      </c>
      <c r="I4559" s="71" t="s">
        <v>2231</v>
      </c>
      <c r="J4559" s="53">
        <f t="shared" si="2245"/>
        <v>25000</v>
      </c>
      <c r="K4559" s="63">
        <f t="shared" si="2241"/>
        <v>0.11111111111111109</v>
      </c>
      <c r="L4559" s="871" t="s">
        <v>3193</v>
      </c>
      <c r="M4559" s="468"/>
      <c r="N4559" s="1192">
        <f t="shared" si="2226"/>
        <v>44525</v>
      </c>
      <c r="O4559" s="71" t="s">
        <v>153</v>
      </c>
      <c r="P4559" s="164" t="str">
        <f t="shared" ref="P4559:P4574" si="2248">(C4559)</f>
        <v>아스테이지(CD74용)</v>
      </c>
      <c r="Q4559" s="71">
        <f t="shared" si="2242"/>
        <v>5</v>
      </c>
      <c r="R4559" s="102">
        <v>40000</v>
      </c>
      <c r="S4559" s="102">
        <f t="shared" si="2246"/>
        <v>220000.00000000003</v>
      </c>
      <c r="T4559" s="102">
        <f t="shared" si="2247"/>
        <v>200000</v>
      </c>
      <c r="U4559" s="71" t="str">
        <f>IF(J4559=W4559,"O", "X")</f>
        <v>X</v>
      </c>
      <c r="V4559" s="71"/>
      <c r="W4559" s="474"/>
      <c r="X4559" s="71"/>
      <c r="Y4559" s="71"/>
    </row>
    <row r="4560" spans="1:25" ht="30" hidden="1" customHeight="1" x14ac:dyDescent="0.25">
      <c r="A4560" s="1145">
        <v>44526</v>
      </c>
      <c r="B4560" s="664" t="s">
        <v>2155</v>
      </c>
      <c r="C4560" s="760" t="s">
        <v>218</v>
      </c>
      <c r="D4560" s="71">
        <v>5</v>
      </c>
      <c r="E4560" s="102">
        <v>192500</v>
      </c>
      <c r="F4560" s="102">
        <f t="shared" si="2243"/>
        <v>1058750</v>
      </c>
      <c r="G4560" s="102">
        <f t="shared" si="2244"/>
        <v>962500</v>
      </c>
      <c r="H4560" s="690" t="s">
        <v>173</v>
      </c>
      <c r="I4560" s="71" t="s">
        <v>120</v>
      </c>
      <c r="J4560" s="53">
        <f t="shared" si="2245"/>
        <v>400000</v>
      </c>
      <c r="K4560" s="63">
        <f t="shared" si="2241"/>
        <v>0.41558441558441561</v>
      </c>
      <c r="L4560" s="871" t="s">
        <v>3193</v>
      </c>
      <c r="M4560" s="468"/>
      <c r="N4560" s="1192">
        <f t="shared" si="2226"/>
        <v>44526</v>
      </c>
      <c r="O4560" s="71" t="s">
        <v>150</v>
      </c>
      <c r="P4560" s="164" t="str">
        <f t="shared" si="2248"/>
        <v>Fount Web 551AF</v>
      </c>
      <c r="Q4560" s="71">
        <f t="shared" ref="Q4560:Q4570" si="2249">D4560</f>
        <v>5</v>
      </c>
      <c r="R4560" s="102">
        <v>112500</v>
      </c>
      <c r="S4560" s="102">
        <f t="shared" si="2246"/>
        <v>618750</v>
      </c>
      <c r="T4560" s="102">
        <f t="shared" si="2247"/>
        <v>562500</v>
      </c>
      <c r="U4560" s="71" t="str">
        <f>IF(J4560=W4560,"O", "X")</f>
        <v>X</v>
      </c>
      <c r="V4560" s="71"/>
      <c r="W4560" s="474">
        <v>640000</v>
      </c>
      <c r="X4560" s="71"/>
      <c r="Y4560" s="71"/>
    </row>
    <row r="4561" spans="1:25" ht="30" hidden="1" customHeight="1" x14ac:dyDescent="0.25">
      <c r="A4561" s="1145">
        <v>44526</v>
      </c>
      <c r="B4561" s="664" t="s">
        <v>2155</v>
      </c>
      <c r="C4561" s="71" t="s">
        <v>277</v>
      </c>
      <c r="D4561" s="71">
        <v>5</v>
      </c>
      <c r="E4561" s="102">
        <v>172000</v>
      </c>
      <c r="F4561" s="102">
        <f t="shared" si="2243"/>
        <v>946000.00000000012</v>
      </c>
      <c r="G4561" s="102">
        <f t="shared" si="2244"/>
        <v>860000</v>
      </c>
      <c r="H4561" s="690" t="s">
        <v>173</v>
      </c>
      <c r="I4561" s="71" t="s">
        <v>108</v>
      </c>
      <c r="J4561" s="53">
        <f t="shared" si="2245"/>
        <v>285000</v>
      </c>
      <c r="K4561" s="63">
        <f t="shared" si="2241"/>
        <v>0.33139534883720928</v>
      </c>
      <c r="L4561" s="871" t="s">
        <v>3193</v>
      </c>
      <c r="M4561" s="468"/>
      <c r="N4561" s="1192">
        <f t="shared" si="2226"/>
        <v>44526</v>
      </c>
      <c r="O4561" s="71" t="s">
        <v>150</v>
      </c>
      <c r="P4561" s="164" t="str">
        <f t="shared" si="2248"/>
        <v>윤전용 세척제(Web 504)</v>
      </c>
      <c r="Q4561" s="71">
        <f t="shared" si="2249"/>
        <v>5</v>
      </c>
      <c r="R4561" s="102">
        <v>115000</v>
      </c>
      <c r="S4561" s="102">
        <f t="shared" si="2246"/>
        <v>632500</v>
      </c>
      <c r="T4561" s="102">
        <f t="shared" si="2247"/>
        <v>575000</v>
      </c>
      <c r="U4561" s="71" t="str">
        <f>IF(J4561=W4561,"O", "X")</f>
        <v>O</v>
      </c>
      <c r="V4561" s="71"/>
      <c r="W4561" s="474">
        <v>285000</v>
      </c>
      <c r="X4561" s="71"/>
      <c r="Y4561" s="71"/>
    </row>
    <row r="4562" spans="1:25" ht="30" hidden="1" customHeight="1" x14ac:dyDescent="0.25">
      <c r="A4562" s="1145">
        <v>44526</v>
      </c>
      <c r="B4562" s="664" t="s">
        <v>2353</v>
      </c>
      <c r="C4562" s="71" t="s">
        <v>123</v>
      </c>
      <c r="D4562" s="71">
        <v>4</v>
      </c>
      <c r="E4562" s="102">
        <v>35000</v>
      </c>
      <c r="F4562" s="102">
        <f t="shared" si="2243"/>
        <v>154000</v>
      </c>
      <c r="G4562" s="102">
        <f t="shared" si="2244"/>
        <v>140000</v>
      </c>
      <c r="H4562" s="690" t="s">
        <v>142</v>
      </c>
      <c r="I4562" s="71" t="s">
        <v>142</v>
      </c>
      <c r="J4562" s="53">
        <f t="shared" si="2245"/>
        <v>44000</v>
      </c>
      <c r="K4562" s="63">
        <f t="shared" si="2241"/>
        <v>0.31428571428571428</v>
      </c>
      <c r="L4562" s="871" t="s">
        <v>3193</v>
      </c>
      <c r="M4562" s="468" t="s">
        <v>3162</v>
      </c>
      <c r="N4562" s="1192">
        <f t="shared" si="2226"/>
        <v>44526</v>
      </c>
      <c r="O4562" s="71" t="s">
        <v>94</v>
      </c>
      <c r="P4562" s="164" t="str">
        <f t="shared" si="2248"/>
        <v>필터백</v>
      </c>
      <c r="Q4562" s="71">
        <f t="shared" si="2249"/>
        <v>4</v>
      </c>
      <c r="R4562" s="102">
        <v>24000</v>
      </c>
      <c r="S4562" s="102">
        <f t="shared" si="2246"/>
        <v>105600.00000000001</v>
      </c>
      <c r="T4562" s="102">
        <f t="shared" si="2247"/>
        <v>96000</v>
      </c>
      <c r="U4562" s="71"/>
      <c r="V4562" s="71"/>
      <c r="W4562" s="474"/>
      <c r="X4562" s="71"/>
      <c r="Y4562" s="71"/>
    </row>
    <row r="4563" spans="1:25" s="209" customFormat="1" ht="30" hidden="1" customHeight="1" x14ac:dyDescent="0.2">
      <c r="A4563" s="1145">
        <v>44526</v>
      </c>
      <c r="B4563" s="664" t="s">
        <v>2353</v>
      </c>
      <c r="C4563" s="71" t="s">
        <v>130</v>
      </c>
      <c r="D4563" s="71">
        <v>10</v>
      </c>
      <c r="E4563" s="102">
        <v>125000</v>
      </c>
      <c r="F4563" s="102">
        <f t="shared" si="2243"/>
        <v>1375000</v>
      </c>
      <c r="G4563" s="102">
        <f t="shared" si="2244"/>
        <v>1250000</v>
      </c>
      <c r="H4563" s="165" t="s">
        <v>142</v>
      </c>
      <c r="I4563" s="71" t="s">
        <v>142</v>
      </c>
      <c r="J4563" s="53">
        <f t="shared" si="2245"/>
        <v>260000</v>
      </c>
      <c r="K4563" s="63">
        <f>(J4563/(F4563/11*10))</f>
        <v>0.20799999999999999</v>
      </c>
      <c r="L4563" s="871" t="s">
        <v>3193</v>
      </c>
      <c r="M4563" s="468" t="s">
        <v>2050</v>
      </c>
      <c r="N4563" s="1192">
        <f t="shared" si="2226"/>
        <v>44526</v>
      </c>
      <c r="O4563" s="71" t="s">
        <v>150</v>
      </c>
      <c r="P4563" s="164" t="str">
        <f t="shared" si="2248"/>
        <v>XL106 Blanket(1077*885)</v>
      </c>
      <c r="Q4563" s="71">
        <f t="shared" si="2249"/>
        <v>10</v>
      </c>
      <c r="R4563" s="102">
        <v>99000</v>
      </c>
      <c r="S4563" s="102">
        <f t="shared" si="2246"/>
        <v>1089000</v>
      </c>
      <c r="T4563" s="102">
        <f t="shared" si="2247"/>
        <v>990000</v>
      </c>
      <c r="U4563" s="71" t="str">
        <f>IF(J4563=W4563,"O", "X")</f>
        <v>O</v>
      </c>
      <c r="V4563" s="71"/>
      <c r="W4563" s="474">
        <f>(G4563-T4563)</f>
        <v>260000</v>
      </c>
      <c r="X4563" s="71"/>
      <c r="Y4563" s="71"/>
    </row>
    <row r="4564" spans="1:25" ht="30" hidden="1" customHeight="1" x14ac:dyDescent="0.2">
      <c r="A4564" s="1145">
        <v>44526</v>
      </c>
      <c r="B4564" s="664" t="s">
        <v>2353</v>
      </c>
      <c r="C4564" s="71" t="s">
        <v>129</v>
      </c>
      <c r="D4564" s="71">
        <v>7</v>
      </c>
      <c r="E4564" s="102">
        <v>272000</v>
      </c>
      <c r="F4564" s="102">
        <f t="shared" si="2243"/>
        <v>2094400.0000000002</v>
      </c>
      <c r="G4564" s="102">
        <f t="shared" si="2244"/>
        <v>1904000</v>
      </c>
      <c r="H4564" s="165" t="s">
        <v>142</v>
      </c>
      <c r="I4564" s="71" t="s">
        <v>142</v>
      </c>
      <c r="J4564" s="53">
        <f t="shared" si="2245"/>
        <v>414400</v>
      </c>
      <c r="K4564" s="63">
        <f>(J4564/(F4564/11*10))</f>
        <v>0.21764705882352939</v>
      </c>
      <c r="L4564" s="871" t="s">
        <v>3193</v>
      </c>
      <c r="M4564" s="468" t="s">
        <v>2050</v>
      </c>
      <c r="N4564" s="1192">
        <f t="shared" si="2226"/>
        <v>44526</v>
      </c>
      <c r="O4564" s="71" t="s">
        <v>149</v>
      </c>
      <c r="P4564" s="164" t="str">
        <f t="shared" si="2248"/>
        <v>세정포-XL106</v>
      </c>
      <c r="Q4564" s="71">
        <f t="shared" si="2249"/>
        <v>7</v>
      </c>
      <c r="R4564" s="102">
        <v>212800</v>
      </c>
      <c r="S4564" s="102">
        <f t="shared" si="2246"/>
        <v>1638560.0000000002</v>
      </c>
      <c r="T4564" s="102">
        <f t="shared" si="2247"/>
        <v>1489600</v>
      </c>
      <c r="U4564" s="71" t="str">
        <f>IF(J4564=W4564,"O", "X")</f>
        <v>O</v>
      </c>
      <c r="V4564" s="71"/>
      <c r="W4564" s="474">
        <f>(G4564-T4564)</f>
        <v>414400</v>
      </c>
      <c r="X4564" s="71"/>
      <c r="Y4564" s="71"/>
    </row>
    <row r="4565" spans="1:25" ht="30" hidden="1" customHeight="1" x14ac:dyDescent="0.25">
      <c r="A4565" s="1145">
        <v>44526</v>
      </c>
      <c r="B4565" s="664" t="s">
        <v>2353</v>
      </c>
      <c r="C4565" s="71" t="s">
        <v>3194</v>
      </c>
      <c r="D4565" s="71">
        <v>6</v>
      </c>
      <c r="E4565" s="102">
        <v>193000</v>
      </c>
      <c r="F4565" s="102">
        <f t="shared" si="2243"/>
        <v>1273800</v>
      </c>
      <c r="G4565" s="102">
        <f t="shared" si="2244"/>
        <v>1158000</v>
      </c>
      <c r="H4565" s="690" t="s">
        <v>142</v>
      </c>
      <c r="I4565" s="71" t="s">
        <v>142</v>
      </c>
      <c r="J4565" s="53">
        <f t="shared" si="2245"/>
        <v>138000</v>
      </c>
      <c r="K4565" s="63">
        <f>(J4565/(F4565/11*10))</f>
        <v>0.11917098445595854</v>
      </c>
      <c r="L4565" s="871" t="s">
        <v>3193</v>
      </c>
      <c r="M4565" s="468"/>
      <c r="N4565" s="1192">
        <f t="shared" si="2226"/>
        <v>44526</v>
      </c>
      <c r="O4565" s="71" t="s">
        <v>150</v>
      </c>
      <c r="P4565" s="103" t="str">
        <f t="shared" si="2248"/>
        <v>휘다 싸이즈 레일 덮개</v>
      </c>
      <c r="Q4565" s="71">
        <f t="shared" si="2249"/>
        <v>6</v>
      </c>
      <c r="R4565" s="102">
        <v>170000</v>
      </c>
      <c r="S4565" s="102">
        <f t="shared" si="2246"/>
        <v>1122000</v>
      </c>
      <c r="T4565" s="102">
        <f t="shared" si="2247"/>
        <v>1020000</v>
      </c>
      <c r="U4565" s="71"/>
      <c r="V4565" s="71"/>
      <c r="W4565" s="474"/>
      <c r="X4565" s="71"/>
      <c r="Y4565" s="71"/>
    </row>
    <row r="4566" spans="1:25" ht="30" hidden="1" customHeight="1" x14ac:dyDescent="0.25">
      <c r="A4566" s="1145">
        <v>44526</v>
      </c>
      <c r="B4566" s="664" t="s">
        <v>2353</v>
      </c>
      <c r="C4566" s="71" t="s">
        <v>2137</v>
      </c>
      <c r="D4566" s="71">
        <v>5</v>
      </c>
      <c r="E4566" s="102">
        <v>110000</v>
      </c>
      <c r="F4566" s="102">
        <f t="shared" si="2243"/>
        <v>605000</v>
      </c>
      <c r="G4566" s="102">
        <f t="shared" si="2244"/>
        <v>550000</v>
      </c>
      <c r="H4566" s="690" t="s">
        <v>142</v>
      </c>
      <c r="I4566" s="71" t="s">
        <v>142</v>
      </c>
      <c r="J4566" s="53">
        <f t="shared" si="2245"/>
        <v>75000</v>
      </c>
      <c r="K4566" s="63">
        <f>(J4566/(F4566/11*10))</f>
        <v>0.13636363636363635</v>
      </c>
      <c r="L4566" s="871" t="s">
        <v>3193</v>
      </c>
      <c r="M4566" s="468"/>
      <c r="N4566" s="1192">
        <f t="shared" si="2226"/>
        <v>44526</v>
      </c>
      <c r="O4566" s="71" t="s">
        <v>150</v>
      </c>
      <c r="P4566" s="103" t="str">
        <f t="shared" si="2248"/>
        <v>잉크집 아스테이지</v>
      </c>
      <c r="Q4566" s="71">
        <f t="shared" si="2249"/>
        <v>5</v>
      </c>
      <c r="R4566" s="102">
        <v>95000</v>
      </c>
      <c r="S4566" s="102">
        <f t="shared" si="2246"/>
        <v>522500.00000000006</v>
      </c>
      <c r="T4566" s="102">
        <f t="shared" si="2247"/>
        <v>475000</v>
      </c>
      <c r="U4566" s="71"/>
      <c r="V4566" s="71"/>
      <c r="W4566" s="474"/>
      <c r="X4566" s="71"/>
      <c r="Y4566" s="71"/>
    </row>
    <row r="4567" spans="1:25" ht="30" customHeight="1" x14ac:dyDescent="0.2">
      <c r="A4567" s="1145">
        <v>44526</v>
      </c>
      <c r="B4567" s="664" t="s">
        <v>565</v>
      </c>
      <c r="C4567" s="71" t="s">
        <v>2081</v>
      </c>
      <c r="D4567" s="71">
        <v>100</v>
      </c>
      <c r="E4567" s="102">
        <v>69000</v>
      </c>
      <c r="F4567" s="102">
        <f t="shared" ref="F4567:F4574" si="2250">(E4567*D4567)*1.1</f>
        <v>7590000.0000000009</v>
      </c>
      <c r="G4567" s="102">
        <f t="shared" ref="G4567:G4574" si="2251">(E4567*D4567)</f>
        <v>6900000</v>
      </c>
      <c r="H4567" s="165" t="s">
        <v>173</v>
      </c>
      <c r="I4567" s="71" t="s">
        <v>108</v>
      </c>
      <c r="J4567" s="53">
        <f t="shared" si="2245"/>
        <v>1800000</v>
      </c>
      <c r="K4567" s="63">
        <f t="shared" ref="K4567:K4574" si="2252">(J4567/(F4567/11*10))</f>
        <v>0.26086956521739124</v>
      </c>
      <c r="L4567" s="871" t="s">
        <v>3157</v>
      </c>
      <c r="M4567" s="468"/>
      <c r="N4567" s="1192">
        <f t="shared" si="2226"/>
        <v>44526</v>
      </c>
      <c r="O4567" s="71" t="s">
        <v>599</v>
      </c>
      <c r="P4567" s="164" t="str">
        <f t="shared" si="2248"/>
        <v>GOSS 신문윤전 습식세정포</v>
      </c>
      <c r="Q4567" s="71">
        <f t="shared" si="2249"/>
        <v>100</v>
      </c>
      <c r="R4567" s="102">
        <v>51000</v>
      </c>
      <c r="S4567" s="102">
        <f t="shared" si="2246"/>
        <v>5610000</v>
      </c>
      <c r="T4567" s="102">
        <f t="shared" si="2247"/>
        <v>5100000</v>
      </c>
      <c r="U4567" s="71" t="str">
        <f t="shared" ref="U4567:U4573" si="2253">IF(J4567=W4567,"O", "X")</f>
        <v>X</v>
      </c>
      <c r="V4567" s="71"/>
      <c r="W4567" s="474"/>
      <c r="X4567" s="71"/>
      <c r="Y4567" s="71"/>
    </row>
    <row r="4568" spans="1:25" s="209" customFormat="1" ht="30" hidden="1" customHeight="1" x14ac:dyDescent="0.25">
      <c r="A4568" s="1145">
        <v>44527</v>
      </c>
      <c r="B4568" s="664" t="s">
        <v>567</v>
      </c>
      <c r="C4568" s="71" t="s">
        <v>236</v>
      </c>
      <c r="D4568" s="71">
        <v>5</v>
      </c>
      <c r="E4568" s="102">
        <v>65000</v>
      </c>
      <c r="F4568" s="102">
        <f t="shared" si="2250"/>
        <v>357500</v>
      </c>
      <c r="G4568" s="102">
        <f t="shared" si="2251"/>
        <v>325000</v>
      </c>
      <c r="H4568" s="690" t="s">
        <v>173</v>
      </c>
      <c r="I4568" s="71" t="s">
        <v>2231</v>
      </c>
      <c r="J4568" s="53">
        <f t="shared" si="2245"/>
        <v>75000</v>
      </c>
      <c r="K4568" s="63">
        <f t="shared" si="2252"/>
        <v>0.23076923076923078</v>
      </c>
      <c r="L4568" s="871" t="s">
        <v>3157</v>
      </c>
      <c r="M4568" s="468"/>
      <c r="N4568" s="1192">
        <f t="shared" si="2226"/>
        <v>44527</v>
      </c>
      <c r="O4568" s="71" t="s">
        <v>153</v>
      </c>
      <c r="P4568" s="164" t="str">
        <f t="shared" si="2248"/>
        <v>아스테이지(국전)</v>
      </c>
      <c r="Q4568" s="71">
        <f t="shared" si="2249"/>
        <v>5</v>
      </c>
      <c r="R4568" s="102">
        <v>50000</v>
      </c>
      <c r="S4568" s="102">
        <f t="shared" si="2246"/>
        <v>275000</v>
      </c>
      <c r="T4568" s="102">
        <f t="shared" si="2247"/>
        <v>250000</v>
      </c>
      <c r="U4568" s="71" t="str">
        <f t="shared" si="2253"/>
        <v>X</v>
      </c>
      <c r="V4568" s="71"/>
      <c r="W4568" s="474">
        <v>150000</v>
      </c>
      <c r="X4568" s="71"/>
      <c r="Y4568" s="71"/>
    </row>
    <row r="4569" spans="1:25" ht="30" hidden="1" customHeight="1" x14ac:dyDescent="0.25">
      <c r="A4569" s="1145">
        <v>44527</v>
      </c>
      <c r="B4569" s="664" t="s">
        <v>545</v>
      </c>
      <c r="C4569" s="71" t="s">
        <v>952</v>
      </c>
      <c r="D4569" s="71">
        <v>1</v>
      </c>
      <c r="E4569" s="102">
        <v>630000</v>
      </c>
      <c r="F4569" s="102">
        <f t="shared" si="2250"/>
        <v>693000</v>
      </c>
      <c r="G4569" s="102">
        <f t="shared" si="2251"/>
        <v>630000</v>
      </c>
      <c r="H4569" s="690" t="s">
        <v>173</v>
      </c>
      <c r="I4569" s="71" t="s">
        <v>108</v>
      </c>
      <c r="J4569" s="53">
        <f t="shared" si="2245"/>
        <v>168000</v>
      </c>
      <c r="K4569" s="63">
        <f t="shared" si="2252"/>
        <v>0.26666666666666666</v>
      </c>
      <c r="L4569" s="871" t="s">
        <v>3157</v>
      </c>
      <c r="M4569" s="468"/>
      <c r="N4569" s="1192">
        <f t="shared" si="2226"/>
        <v>44527</v>
      </c>
      <c r="O4569" s="71" t="s">
        <v>599</v>
      </c>
      <c r="P4569" s="164" t="str">
        <f t="shared" si="2248"/>
        <v>점보롤 세정포</v>
      </c>
      <c r="Q4569" s="71">
        <f t="shared" si="2249"/>
        <v>1</v>
      </c>
      <c r="R4569" s="102">
        <v>462000</v>
      </c>
      <c r="S4569" s="102">
        <f t="shared" si="2246"/>
        <v>508200.00000000006</v>
      </c>
      <c r="T4569" s="102">
        <f t="shared" si="2247"/>
        <v>462000</v>
      </c>
      <c r="U4569" s="71" t="str">
        <f t="shared" si="2253"/>
        <v>O</v>
      </c>
      <c r="V4569" s="71" t="s">
        <v>1228</v>
      </c>
      <c r="W4569" s="474">
        <f>(G4569-T4569)</f>
        <v>168000</v>
      </c>
      <c r="X4569" s="71"/>
      <c r="Y4569" s="71"/>
    </row>
    <row r="4570" spans="1:25" ht="30" hidden="1" customHeight="1" x14ac:dyDescent="0.25">
      <c r="A4570" s="1145">
        <v>44523</v>
      </c>
      <c r="B4570" s="664" t="s">
        <v>442</v>
      </c>
      <c r="C4570" s="71" t="s">
        <v>206</v>
      </c>
      <c r="D4570" s="71">
        <v>4</v>
      </c>
      <c r="E4570" s="102">
        <v>366500</v>
      </c>
      <c r="F4570" s="102">
        <f t="shared" si="2250"/>
        <v>1612600.0000000002</v>
      </c>
      <c r="G4570" s="102">
        <f t="shared" si="2251"/>
        <v>1466000</v>
      </c>
      <c r="H4570" s="690" t="s">
        <v>2029</v>
      </c>
      <c r="I4570" s="71" t="s">
        <v>195</v>
      </c>
      <c r="J4570" s="53">
        <f t="shared" si="2245"/>
        <v>300560</v>
      </c>
      <c r="K4570" s="63">
        <f t="shared" si="2252"/>
        <v>0.20502046384720324</v>
      </c>
      <c r="L4570" s="871" t="s">
        <v>3157</v>
      </c>
      <c r="M4570" s="468"/>
      <c r="N4570" s="1192">
        <f t="shared" si="2226"/>
        <v>44523</v>
      </c>
      <c r="O4570" s="71" t="s">
        <v>194</v>
      </c>
      <c r="P4570" s="164" t="str">
        <f t="shared" si="2248"/>
        <v>Agfa Film(24inch)</v>
      </c>
      <c r="Q4570" s="71">
        <f t="shared" si="2249"/>
        <v>4</v>
      </c>
      <c r="R4570" s="102">
        <v>291360</v>
      </c>
      <c r="S4570" s="102">
        <f t="shared" si="2246"/>
        <v>1281984</v>
      </c>
      <c r="T4570" s="102">
        <f t="shared" si="2247"/>
        <v>1165440</v>
      </c>
      <c r="U4570" s="71" t="str">
        <f t="shared" si="2253"/>
        <v>O</v>
      </c>
      <c r="V4570" s="71"/>
      <c r="W4570" s="474">
        <f>(G4570-T4570)</f>
        <v>300560</v>
      </c>
      <c r="X4570" s="71"/>
      <c r="Y4570" s="71"/>
    </row>
    <row r="4571" spans="1:25" ht="30" hidden="1" customHeight="1" x14ac:dyDescent="0.25">
      <c r="A4571" s="1145">
        <v>44523</v>
      </c>
      <c r="B4571" s="664" t="s">
        <v>442</v>
      </c>
      <c r="C4571" s="71" t="s">
        <v>207</v>
      </c>
      <c r="D4571" s="71">
        <v>4</v>
      </c>
      <c r="E4571" s="102">
        <v>451000</v>
      </c>
      <c r="F4571" s="102">
        <f t="shared" si="2250"/>
        <v>1984400.0000000002</v>
      </c>
      <c r="G4571" s="102">
        <f t="shared" si="2251"/>
        <v>1804000</v>
      </c>
      <c r="H4571" s="690" t="s">
        <v>2029</v>
      </c>
      <c r="I4571" s="71" t="s">
        <v>195</v>
      </c>
      <c r="J4571" s="53">
        <f t="shared" si="2245"/>
        <v>445440</v>
      </c>
      <c r="K4571" s="63">
        <f t="shared" si="2252"/>
        <v>0.24691796008869177</v>
      </c>
      <c r="L4571" s="871" t="s">
        <v>3157</v>
      </c>
      <c r="M4571" s="468"/>
      <c r="N4571" s="1192">
        <f t="shared" si="2226"/>
        <v>44523</v>
      </c>
      <c r="O4571" s="71" t="s">
        <v>194</v>
      </c>
      <c r="P4571" s="164" t="str">
        <f t="shared" si="2248"/>
        <v>Agfa Film(28inch)</v>
      </c>
      <c r="Q4571" s="71">
        <f>D4571</f>
        <v>4</v>
      </c>
      <c r="R4571" s="102">
        <v>339640</v>
      </c>
      <c r="S4571" s="102">
        <f t="shared" si="2246"/>
        <v>1494416.0000000002</v>
      </c>
      <c r="T4571" s="102">
        <f t="shared" si="2247"/>
        <v>1358560</v>
      </c>
      <c r="U4571" s="71" t="str">
        <f t="shared" si="2253"/>
        <v>O</v>
      </c>
      <c r="V4571" s="71"/>
      <c r="W4571" s="474">
        <f>(G4571-T4571)</f>
        <v>445440</v>
      </c>
      <c r="X4571" s="71"/>
      <c r="Y4571" s="71"/>
    </row>
    <row r="4572" spans="1:25" ht="30" hidden="1" customHeight="1" x14ac:dyDescent="0.25">
      <c r="A4572" s="1145">
        <v>44523</v>
      </c>
      <c r="B4572" s="664" t="s">
        <v>442</v>
      </c>
      <c r="C4572" s="71" t="s">
        <v>208</v>
      </c>
      <c r="D4572" s="71">
        <v>3</v>
      </c>
      <c r="E4572" s="102">
        <v>505000</v>
      </c>
      <c r="F4572" s="102">
        <f t="shared" si="2250"/>
        <v>1666500.0000000002</v>
      </c>
      <c r="G4572" s="102">
        <f t="shared" si="2251"/>
        <v>1515000</v>
      </c>
      <c r="H4572" s="690" t="s">
        <v>2029</v>
      </c>
      <c r="I4572" s="71" t="s">
        <v>195</v>
      </c>
      <c r="J4572" s="53">
        <f t="shared" si="2245"/>
        <v>313950</v>
      </c>
      <c r="K4572" s="63">
        <f t="shared" si="2252"/>
        <v>0.20722772277227719</v>
      </c>
      <c r="L4572" s="871" t="s">
        <v>3157</v>
      </c>
      <c r="M4572" s="468"/>
      <c r="N4572" s="1192">
        <f t="shared" si="2226"/>
        <v>44523</v>
      </c>
      <c r="O4572" s="71" t="s">
        <v>194</v>
      </c>
      <c r="P4572" s="164" t="str">
        <f t="shared" si="2248"/>
        <v>Agfa Film(32inch)</v>
      </c>
      <c r="Q4572" s="71">
        <f>D4572</f>
        <v>3</v>
      </c>
      <c r="R4572" s="102">
        <v>400350</v>
      </c>
      <c r="S4572" s="102">
        <f t="shared" si="2246"/>
        <v>1321155</v>
      </c>
      <c r="T4572" s="102">
        <f t="shared" si="2247"/>
        <v>1201050</v>
      </c>
      <c r="U4572" s="71" t="str">
        <f t="shared" si="2253"/>
        <v>O</v>
      </c>
      <c r="V4572" s="71"/>
      <c r="W4572" s="474">
        <f>(G4572-T4572)</f>
        <v>313950</v>
      </c>
      <c r="X4572" s="71"/>
      <c r="Y4572" s="71"/>
    </row>
    <row r="4573" spans="1:25" ht="30" hidden="1" customHeight="1" x14ac:dyDescent="0.25">
      <c r="A4573" s="1145">
        <v>44523</v>
      </c>
      <c r="B4573" s="664" t="s">
        <v>442</v>
      </c>
      <c r="C4573" s="71" t="s">
        <v>208</v>
      </c>
      <c r="D4573" s="71">
        <v>1</v>
      </c>
      <c r="E4573" s="102">
        <v>505000</v>
      </c>
      <c r="F4573" s="102">
        <f t="shared" si="2250"/>
        <v>555500</v>
      </c>
      <c r="G4573" s="102">
        <f t="shared" si="2251"/>
        <v>505000</v>
      </c>
      <c r="H4573" s="690" t="s">
        <v>2029</v>
      </c>
      <c r="I4573" s="71" t="s">
        <v>195</v>
      </c>
      <c r="J4573" s="53">
        <f t="shared" si="2245"/>
        <v>505000</v>
      </c>
      <c r="K4573" s="63">
        <f t="shared" si="2252"/>
        <v>1</v>
      </c>
      <c r="L4573" s="871" t="s">
        <v>3157</v>
      </c>
      <c r="M4573" s="468" t="s">
        <v>3187</v>
      </c>
      <c r="N4573" s="1192">
        <f t="shared" si="2226"/>
        <v>44523</v>
      </c>
      <c r="O4573" s="71" t="s">
        <v>194</v>
      </c>
      <c r="P4573" s="164" t="str">
        <f t="shared" si="2248"/>
        <v>Agfa Film(32inch)</v>
      </c>
      <c r="Q4573" s="71"/>
      <c r="R4573" s="102">
        <f>VLOOKUP(P4573,[5]Price!B$1:D$65536,3,FALSE)</f>
        <v>370010</v>
      </c>
      <c r="S4573" s="102">
        <f t="shared" si="2246"/>
        <v>0</v>
      </c>
      <c r="T4573" s="102">
        <f t="shared" si="2247"/>
        <v>0</v>
      </c>
      <c r="U4573" s="71" t="str">
        <f t="shared" si="2253"/>
        <v>O</v>
      </c>
      <c r="V4573" s="71"/>
      <c r="W4573" s="474">
        <f>(G4573-T4573)</f>
        <v>505000</v>
      </c>
      <c r="X4573" s="71"/>
      <c r="Y4573" s="71"/>
    </row>
    <row r="4574" spans="1:25" ht="30" hidden="1" customHeight="1" x14ac:dyDescent="0.25">
      <c r="A4574" s="1145">
        <v>44529</v>
      </c>
      <c r="B4574" s="664" t="s">
        <v>2155</v>
      </c>
      <c r="C4574" s="71" t="s">
        <v>1019</v>
      </c>
      <c r="D4574" s="71">
        <v>2</v>
      </c>
      <c r="E4574" s="102">
        <v>350000</v>
      </c>
      <c r="F4574" s="102">
        <f t="shared" si="2250"/>
        <v>770000.00000000012</v>
      </c>
      <c r="G4574" s="102">
        <f t="shared" si="2251"/>
        <v>700000</v>
      </c>
      <c r="H4574" s="690" t="s">
        <v>1431</v>
      </c>
      <c r="I4574" s="690" t="s">
        <v>1431</v>
      </c>
      <c r="J4574" s="53">
        <f t="shared" si="2245"/>
        <v>179216</v>
      </c>
      <c r="K4574" s="63">
        <f t="shared" si="2252"/>
        <v>0.25602285714285711</v>
      </c>
      <c r="L4574" s="871" t="s">
        <v>3157</v>
      </c>
      <c r="M4574" s="468"/>
      <c r="N4574" s="1192">
        <f t="shared" si="2226"/>
        <v>44529</v>
      </c>
      <c r="O4574" s="71" t="s">
        <v>1431</v>
      </c>
      <c r="P4574" s="164" t="str">
        <f t="shared" si="2248"/>
        <v>다이아프램</v>
      </c>
      <c r="Q4574" s="71">
        <f>D4574</f>
        <v>2</v>
      </c>
      <c r="R4574" s="102">
        <v>260392</v>
      </c>
      <c r="S4574" s="102">
        <f t="shared" si="2246"/>
        <v>572862.4</v>
      </c>
      <c r="T4574" s="102">
        <f t="shared" si="2247"/>
        <v>520784</v>
      </c>
      <c r="U4574" s="71"/>
      <c r="V4574" s="71"/>
      <c r="W4574" s="474"/>
      <c r="X4574" s="71"/>
      <c r="Y4574" s="71"/>
    </row>
    <row r="4575" spans="1:25" ht="30" hidden="1" customHeight="1" x14ac:dyDescent="0.25">
      <c r="A4575" s="1145">
        <v>44530</v>
      </c>
      <c r="B4575" s="664" t="s">
        <v>545</v>
      </c>
      <c r="C4575" s="71" t="s">
        <v>3195</v>
      </c>
      <c r="D4575" s="71">
        <v>2</v>
      </c>
      <c r="E4575" s="102">
        <v>175000</v>
      </c>
      <c r="F4575" s="102">
        <f t="shared" ref="F4575:F4593" si="2254">(E4575*D4575)*1.1</f>
        <v>385000.00000000006</v>
      </c>
      <c r="G4575" s="102">
        <f t="shared" ref="G4575:G4593" si="2255">(E4575*D4575)</f>
        <v>350000</v>
      </c>
      <c r="H4575" s="690" t="s">
        <v>173</v>
      </c>
      <c r="I4575" s="71" t="s">
        <v>108</v>
      </c>
      <c r="J4575" s="53">
        <f t="shared" si="2245"/>
        <v>90000</v>
      </c>
      <c r="K4575" s="63">
        <f>(J4575/(F4575/11*10))</f>
        <v>0.25714285714285712</v>
      </c>
      <c r="L4575" s="871" t="s">
        <v>3157</v>
      </c>
      <c r="M4575" s="468"/>
      <c r="N4575" s="1192">
        <f t="shared" si="2226"/>
        <v>44530</v>
      </c>
      <c r="O4575" s="71" t="s">
        <v>148</v>
      </c>
      <c r="P4575" s="209" t="str">
        <f t="shared" ref="P4575:P4591" si="2256">(C4575)</f>
        <v>UV wash offset UV</v>
      </c>
      <c r="Q4575" s="71">
        <f t="shared" ref="Q4575:Q4592" si="2257">D4575</f>
        <v>2</v>
      </c>
      <c r="R4575" s="102">
        <v>130000</v>
      </c>
      <c r="S4575" s="102">
        <f t="shared" si="2246"/>
        <v>286000</v>
      </c>
      <c r="T4575" s="102">
        <f t="shared" si="2247"/>
        <v>260000</v>
      </c>
      <c r="U4575" s="71"/>
      <c r="V4575" s="71"/>
      <c r="W4575" s="474"/>
      <c r="X4575" s="71"/>
      <c r="Y4575" s="71"/>
    </row>
    <row r="4576" spans="1:25" ht="30" hidden="1" customHeight="1" x14ac:dyDescent="0.25">
      <c r="A4576" s="1145">
        <v>44530</v>
      </c>
      <c r="B4576" s="664" t="s">
        <v>1051</v>
      </c>
      <c r="C4576" s="71" t="s">
        <v>1294</v>
      </c>
      <c r="D4576" s="71">
        <v>600</v>
      </c>
      <c r="E4576" s="102">
        <v>5910</v>
      </c>
      <c r="F4576" s="102">
        <f t="shared" si="2254"/>
        <v>3900600.0000000005</v>
      </c>
      <c r="G4576" s="102">
        <f t="shared" si="2255"/>
        <v>3546000</v>
      </c>
      <c r="H4576" s="690" t="s">
        <v>142</v>
      </c>
      <c r="I4576" s="71" t="s">
        <v>2273</v>
      </c>
      <c r="J4576" s="53">
        <f t="shared" si="2245"/>
        <v>1440000</v>
      </c>
      <c r="K4576" s="63">
        <f t="shared" ref="K4576:K4593" si="2258">(J4576/(F4576/11*10))</f>
        <v>0.40609137055837558</v>
      </c>
      <c r="L4576" s="871" t="s">
        <v>3193</v>
      </c>
      <c r="M4576" s="468"/>
      <c r="N4576" s="1192">
        <f t="shared" ref="N4576:N4593" si="2259">A4576</f>
        <v>44530</v>
      </c>
      <c r="O4576" s="71" t="s">
        <v>145</v>
      </c>
      <c r="P4576" s="164" t="str">
        <f t="shared" si="2256"/>
        <v>ENGAGE 1030*790</v>
      </c>
      <c r="Q4576" s="71">
        <f t="shared" si="2257"/>
        <v>600</v>
      </c>
      <c r="R4576" s="102">
        <v>3510</v>
      </c>
      <c r="S4576" s="102">
        <f t="shared" si="2246"/>
        <v>2316600</v>
      </c>
      <c r="T4576" s="102">
        <f t="shared" si="2247"/>
        <v>2106000</v>
      </c>
      <c r="U4576" s="71" t="str">
        <f t="shared" ref="U4576:U4593" si="2260">IF(J4576=W4576,"O", "X")</f>
        <v>O</v>
      </c>
      <c r="V4576" s="71"/>
      <c r="W4576" s="474">
        <f t="shared" ref="W4576:W4592" si="2261">(G4576-T4576)</f>
        <v>1440000</v>
      </c>
      <c r="X4576" s="71"/>
      <c r="Y4576" s="71"/>
    </row>
    <row r="4577" spans="1:25" ht="30" hidden="1" customHeight="1" x14ac:dyDescent="0.25">
      <c r="A4577" s="1145">
        <v>44530</v>
      </c>
      <c r="B4577" s="664" t="s">
        <v>1051</v>
      </c>
      <c r="C4577" s="71" t="s">
        <v>1384</v>
      </c>
      <c r="D4577" s="71">
        <v>1300</v>
      </c>
      <c r="E4577" s="102">
        <v>3720</v>
      </c>
      <c r="F4577" s="102">
        <f t="shared" si="2254"/>
        <v>5319600</v>
      </c>
      <c r="G4577" s="102">
        <f t="shared" si="2255"/>
        <v>4836000</v>
      </c>
      <c r="H4577" s="690" t="s">
        <v>142</v>
      </c>
      <c r="I4577" s="71" t="s">
        <v>2273</v>
      </c>
      <c r="J4577" s="53">
        <f t="shared" si="2245"/>
        <v>1950000</v>
      </c>
      <c r="K4577" s="63">
        <f t="shared" si="2258"/>
        <v>0.40322580645161288</v>
      </c>
      <c r="L4577" s="871" t="s">
        <v>3193</v>
      </c>
      <c r="M4577" s="468"/>
      <c r="N4577" s="1192">
        <f t="shared" si="2259"/>
        <v>44530</v>
      </c>
      <c r="O4577" s="71" t="s">
        <v>145</v>
      </c>
      <c r="P4577" s="164" t="str">
        <f t="shared" si="2256"/>
        <v>ENGAGE 900X571 - 27RO</v>
      </c>
      <c r="Q4577" s="71">
        <f t="shared" si="2257"/>
        <v>1300</v>
      </c>
      <c r="R4577" s="102">
        <v>2220</v>
      </c>
      <c r="S4577" s="102">
        <f t="shared" si="2246"/>
        <v>3174600.0000000005</v>
      </c>
      <c r="T4577" s="102">
        <f t="shared" si="2247"/>
        <v>2886000</v>
      </c>
      <c r="U4577" s="71" t="str">
        <f t="shared" si="2260"/>
        <v>O</v>
      </c>
      <c r="V4577" s="71"/>
      <c r="W4577" s="474">
        <f t="shared" si="2261"/>
        <v>1950000</v>
      </c>
      <c r="X4577" s="71"/>
      <c r="Y4577" s="71"/>
    </row>
    <row r="4578" spans="1:25" ht="30" hidden="1" customHeight="1" x14ac:dyDescent="0.25">
      <c r="A4578" s="1145">
        <v>44530</v>
      </c>
      <c r="B4578" s="664" t="s">
        <v>1051</v>
      </c>
      <c r="C4578" s="71" t="s">
        <v>951</v>
      </c>
      <c r="D4578" s="71">
        <v>4200</v>
      </c>
      <c r="E4578" s="102">
        <v>3540</v>
      </c>
      <c r="F4578" s="102">
        <f t="shared" si="2254"/>
        <v>16354800.000000002</v>
      </c>
      <c r="G4578" s="102">
        <f t="shared" si="2255"/>
        <v>14868000</v>
      </c>
      <c r="H4578" s="690" t="s">
        <v>142</v>
      </c>
      <c r="I4578" s="71" t="s">
        <v>2273</v>
      </c>
      <c r="J4578" s="53">
        <f t="shared" si="2245"/>
        <v>6048000</v>
      </c>
      <c r="K4578" s="63">
        <f t="shared" si="2258"/>
        <v>0.40677966101694912</v>
      </c>
      <c r="L4578" s="871" t="s">
        <v>3193</v>
      </c>
      <c r="M4578" s="468"/>
      <c r="N4578" s="1192">
        <f t="shared" si="2259"/>
        <v>44530</v>
      </c>
      <c r="O4578" s="71" t="s">
        <v>145</v>
      </c>
      <c r="P4578" s="164" t="str">
        <f t="shared" si="2256"/>
        <v>ENGAGE 30WEB(883*552)</v>
      </c>
      <c r="Q4578" s="71">
        <f t="shared" si="2257"/>
        <v>4200</v>
      </c>
      <c r="R4578" s="102">
        <v>2100</v>
      </c>
      <c r="S4578" s="102">
        <f t="shared" si="2246"/>
        <v>9702000</v>
      </c>
      <c r="T4578" s="102">
        <f t="shared" si="2247"/>
        <v>8820000</v>
      </c>
      <c r="U4578" s="71" t="str">
        <f t="shared" si="2260"/>
        <v>O</v>
      </c>
      <c r="V4578" s="71"/>
      <c r="W4578" s="474">
        <f t="shared" si="2261"/>
        <v>6048000</v>
      </c>
      <c r="X4578" s="71"/>
      <c r="Y4578" s="71"/>
    </row>
    <row r="4579" spans="1:25" ht="30" hidden="1" customHeight="1" x14ac:dyDescent="0.25">
      <c r="A4579" s="1145">
        <v>44530</v>
      </c>
      <c r="B4579" s="664" t="s">
        <v>1051</v>
      </c>
      <c r="C4579" s="71" t="s">
        <v>2219</v>
      </c>
      <c r="D4579" s="71">
        <v>600</v>
      </c>
      <c r="E4579" s="102">
        <v>5980</v>
      </c>
      <c r="F4579" s="102">
        <f t="shared" si="2254"/>
        <v>3946800.0000000005</v>
      </c>
      <c r="G4579" s="102">
        <f t="shared" si="2255"/>
        <v>3588000</v>
      </c>
      <c r="H4579" s="690" t="s">
        <v>142</v>
      </c>
      <c r="I4579" s="71" t="s">
        <v>2273</v>
      </c>
      <c r="J4579" s="53">
        <f t="shared" si="2245"/>
        <v>1458000</v>
      </c>
      <c r="K4579" s="63">
        <f t="shared" si="2258"/>
        <v>0.40635451505016718</v>
      </c>
      <c r="L4579" s="871" t="s">
        <v>3193</v>
      </c>
      <c r="M4579" s="468"/>
      <c r="N4579" s="1192">
        <f t="shared" si="2259"/>
        <v>44530</v>
      </c>
      <c r="O4579" s="71" t="s">
        <v>145</v>
      </c>
      <c r="P4579" s="164" t="str">
        <f t="shared" si="2256"/>
        <v>ENGAGE 1030*800</v>
      </c>
      <c r="Q4579" s="71">
        <f t="shared" si="2257"/>
        <v>600</v>
      </c>
      <c r="R4579" s="102">
        <v>3550</v>
      </c>
      <c r="S4579" s="102">
        <f t="shared" si="2246"/>
        <v>2343000</v>
      </c>
      <c r="T4579" s="102">
        <f t="shared" si="2247"/>
        <v>2130000</v>
      </c>
      <c r="U4579" s="71" t="str">
        <f t="shared" si="2260"/>
        <v>O</v>
      </c>
      <c r="V4579" s="71"/>
      <c r="W4579" s="474">
        <f t="shared" si="2261"/>
        <v>1458000</v>
      </c>
      <c r="X4579" s="71"/>
      <c r="Y4579" s="71"/>
    </row>
    <row r="4580" spans="1:25" ht="30" hidden="1" customHeight="1" x14ac:dyDescent="0.25">
      <c r="A4580" s="1145">
        <v>44530</v>
      </c>
      <c r="B4580" s="664" t="s">
        <v>1051</v>
      </c>
      <c r="C4580" s="71" t="s">
        <v>1383</v>
      </c>
      <c r="D4580" s="71">
        <v>500</v>
      </c>
      <c r="E4580" s="102">
        <v>6200</v>
      </c>
      <c r="F4580" s="102">
        <f t="shared" si="2254"/>
        <v>3410000.0000000005</v>
      </c>
      <c r="G4580" s="102">
        <f t="shared" si="2255"/>
        <v>3100000</v>
      </c>
      <c r="H4580" s="690" t="s">
        <v>142</v>
      </c>
      <c r="I4580" s="71" t="s">
        <v>2273</v>
      </c>
      <c r="J4580" s="53">
        <f t="shared" si="2245"/>
        <v>1255000</v>
      </c>
      <c r="K4580" s="63">
        <f t="shared" si="2258"/>
        <v>0.40483870967741931</v>
      </c>
      <c r="L4580" s="871" t="s">
        <v>3193</v>
      </c>
      <c r="M4580" s="468"/>
      <c r="N4580" s="1192">
        <f t="shared" si="2259"/>
        <v>44530</v>
      </c>
      <c r="O4580" s="71" t="s">
        <v>145</v>
      </c>
      <c r="P4580" s="164" t="str">
        <f t="shared" si="2256"/>
        <v>ENGAGE 1055*811</v>
      </c>
      <c r="Q4580" s="71">
        <f t="shared" si="2257"/>
        <v>500</v>
      </c>
      <c r="R4580" s="102">
        <v>3690</v>
      </c>
      <c r="S4580" s="102">
        <f t="shared" si="2246"/>
        <v>2029500.0000000002</v>
      </c>
      <c r="T4580" s="102">
        <f t="shared" si="2247"/>
        <v>1845000</v>
      </c>
      <c r="U4580" s="71" t="str">
        <f t="shared" si="2260"/>
        <v>O</v>
      </c>
      <c r="V4580" s="71"/>
      <c r="W4580" s="474">
        <f t="shared" si="2261"/>
        <v>1255000</v>
      </c>
      <c r="X4580" s="71"/>
      <c r="Y4580" s="71"/>
    </row>
    <row r="4581" spans="1:25" ht="30" hidden="1" customHeight="1" x14ac:dyDescent="0.25">
      <c r="A4581" s="1145">
        <v>44530</v>
      </c>
      <c r="B4581" s="664" t="s">
        <v>1051</v>
      </c>
      <c r="C4581" s="71" t="s">
        <v>1650</v>
      </c>
      <c r="D4581" s="71">
        <v>1300</v>
      </c>
      <c r="E4581" s="102">
        <v>4440</v>
      </c>
      <c r="F4581" s="102">
        <f t="shared" si="2254"/>
        <v>6349200.0000000009</v>
      </c>
      <c r="G4581" s="102">
        <f t="shared" si="2255"/>
        <v>5772000</v>
      </c>
      <c r="H4581" s="690" t="s">
        <v>142</v>
      </c>
      <c r="I4581" s="71" t="s">
        <v>2273</v>
      </c>
      <c r="J4581" s="53">
        <f t="shared" si="2245"/>
        <v>2353000</v>
      </c>
      <c r="K4581" s="63">
        <f t="shared" si="2258"/>
        <v>0.4076576576576576</v>
      </c>
      <c r="L4581" s="871" t="s">
        <v>3193</v>
      </c>
      <c r="M4581" s="468"/>
      <c r="N4581" s="1192">
        <f t="shared" si="2259"/>
        <v>44530</v>
      </c>
      <c r="O4581" s="71" t="s">
        <v>145</v>
      </c>
      <c r="P4581" s="164" t="str">
        <f t="shared" si="2256"/>
        <v>ENGAGE 968*631</v>
      </c>
      <c r="Q4581" s="71">
        <f t="shared" si="2257"/>
        <v>1300</v>
      </c>
      <c r="R4581" s="102">
        <v>2630</v>
      </c>
      <c r="S4581" s="102">
        <f t="shared" si="2246"/>
        <v>3760900.0000000005</v>
      </c>
      <c r="T4581" s="102">
        <f t="shared" si="2247"/>
        <v>3419000</v>
      </c>
      <c r="U4581" s="71" t="str">
        <f t="shared" si="2260"/>
        <v>O</v>
      </c>
      <c r="V4581" s="71"/>
      <c r="W4581" s="474">
        <f t="shared" si="2261"/>
        <v>2353000</v>
      </c>
      <c r="X4581" s="71"/>
      <c r="Y4581" s="71"/>
    </row>
    <row r="4582" spans="1:25" ht="30" hidden="1" customHeight="1" x14ac:dyDescent="0.25">
      <c r="A4582" s="1145">
        <v>44530</v>
      </c>
      <c r="B4582" s="664" t="s">
        <v>1051</v>
      </c>
      <c r="C4582" s="71" t="s">
        <v>2619</v>
      </c>
      <c r="D4582" s="71"/>
      <c r="E4582" s="102"/>
      <c r="F4582" s="102">
        <f t="shared" si="2254"/>
        <v>0</v>
      </c>
      <c r="G4582" s="102">
        <f t="shared" si="2255"/>
        <v>0</v>
      </c>
      <c r="H4582" s="690" t="s">
        <v>142</v>
      </c>
      <c r="I4582" s="71" t="s">
        <v>2273</v>
      </c>
      <c r="J4582" s="53">
        <f t="shared" si="2245"/>
        <v>0</v>
      </c>
      <c r="K4582" s="63" t="e">
        <f t="shared" si="2258"/>
        <v>#DIV/0!</v>
      </c>
      <c r="L4582" s="871" t="s">
        <v>3193</v>
      </c>
      <c r="M4582" s="468"/>
      <c r="N4582" s="1192">
        <f t="shared" si="2259"/>
        <v>44530</v>
      </c>
      <c r="O4582" s="71" t="s">
        <v>145</v>
      </c>
      <c r="P4582" s="164" t="str">
        <f t="shared" si="2256"/>
        <v>ENGAGE 1092*800</v>
      </c>
      <c r="Q4582" s="71">
        <f t="shared" si="2257"/>
        <v>0</v>
      </c>
      <c r="R4582" s="102">
        <v>5510</v>
      </c>
      <c r="S4582" s="102">
        <f t="shared" si="2246"/>
        <v>0</v>
      </c>
      <c r="T4582" s="102">
        <f t="shared" si="2247"/>
        <v>0</v>
      </c>
      <c r="U4582" s="71" t="str">
        <f t="shared" si="2260"/>
        <v>O</v>
      </c>
      <c r="V4582" s="71"/>
      <c r="W4582" s="474">
        <f t="shared" si="2261"/>
        <v>0</v>
      </c>
      <c r="X4582" s="71"/>
      <c r="Y4582" s="71"/>
    </row>
    <row r="4583" spans="1:25" ht="30" hidden="1" customHeight="1" x14ac:dyDescent="0.25">
      <c r="A4583" s="1145">
        <v>44530</v>
      </c>
      <c r="B4583" s="664" t="s">
        <v>1051</v>
      </c>
      <c r="C4583" s="71" t="s">
        <v>1386</v>
      </c>
      <c r="D4583" s="71">
        <v>40</v>
      </c>
      <c r="E4583" s="102">
        <v>54500</v>
      </c>
      <c r="F4583" s="102">
        <f t="shared" si="2254"/>
        <v>2398000</v>
      </c>
      <c r="G4583" s="102">
        <f t="shared" si="2255"/>
        <v>2180000</v>
      </c>
      <c r="H4583" s="690" t="s">
        <v>142</v>
      </c>
      <c r="I4583" s="71" t="s">
        <v>2273</v>
      </c>
      <c r="J4583" s="53">
        <f t="shared" si="2245"/>
        <v>570000</v>
      </c>
      <c r="K4583" s="63">
        <f t="shared" si="2258"/>
        <v>0.26146788990825687</v>
      </c>
      <c r="L4583" s="871" t="s">
        <v>3193</v>
      </c>
      <c r="M4583" s="468"/>
      <c r="N4583" s="1192">
        <f t="shared" si="2259"/>
        <v>44530</v>
      </c>
      <c r="O4583" s="71" t="s">
        <v>145</v>
      </c>
      <c r="P4583" s="164" t="str">
        <f t="shared" si="2256"/>
        <v>THR200(20L)보충액</v>
      </c>
      <c r="Q4583" s="71">
        <f t="shared" si="2257"/>
        <v>40</v>
      </c>
      <c r="R4583" s="102">
        <v>40250</v>
      </c>
      <c r="S4583" s="102">
        <f t="shared" si="2246"/>
        <v>1771000.0000000002</v>
      </c>
      <c r="T4583" s="102">
        <f t="shared" si="2247"/>
        <v>1610000</v>
      </c>
      <c r="U4583" s="71" t="str">
        <f t="shared" si="2260"/>
        <v>O</v>
      </c>
      <c r="V4583" s="71"/>
      <c r="W4583" s="474">
        <f t="shared" si="2261"/>
        <v>570000</v>
      </c>
      <c r="X4583" s="71"/>
      <c r="Y4583" s="71"/>
    </row>
    <row r="4584" spans="1:25" ht="30" hidden="1" customHeight="1" x14ac:dyDescent="0.25">
      <c r="A4584" s="1145">
        <v>44530</v>
      </c>
      <c r="B4584" s="664" t="s">
        <v>1051</v>
      </c>
      <c r="C4584" s="71" t="s">
        <v>1387</v>
      </c>
      <c r="D4584" s="71">
        <v>10</v>
      </c>
      <c r="E4584" s="102">
        <v>54500</v>
      </c>
      <c r="F4584" s="102">
        <f t="shared" si="2254"/>
        <v>599500</v>
      </c>
      <c r="G4584" s="102">
        <f t="shared" si="2255"/>
        <v>545000</v>
      </c>
      <c r="H4584" s="690" t="s">
        <v>142</v>
      </c>
      <c r="I4584" s="71" t="s">
        <v>2273</v>
      </c>
      <c r="J4584" s="53">
        <f t="shared" si="2245"/>
        <v>142500</v>
      </c>
      <c r="K4584" s="63">
        <f t="shared" si="2258"/>
        <v>0.26146788990825687</v>
      </c>
      <c r="L4584" s="871" t="s">
        <v>3193</v>
      </c>
      <c r="M4584" s="468"/>
      <c r="N4584" s="1192">
        <f t="shared" si="2259"/>
        <v>44530</v>
      </c>
      <c r="O4584" s="71" t="s">
        <v>145</v>
      </c>
      <c r="P4584" s="164" t="str">
        <f t="shared" si="2256"/>
        <v>THD200(20L)현상액</v>
      </c>
      <c r="Q4584" s="71">
        <f t="shared" si="2257"/>
        <v>10</v>
      </c>
      <c r="R4584" s="102">
        <v>40250</v>
      </c>
      <c r="S4584" s="102">
        <f t="shared" si="2246"/>
        <v>442750.00000000006</v>
      </c>
      <c r="T4584" s="102">
        <f t="shared" si="2247"/>
        <v>402500</v>
      </c>
      <c r="U4584" s="71" t="str">
        <f t="shared" si="2260"/>
        <v>O</v>
      </c>
      <c r="V4584" s="71"/>
      <c r="W4584" s="474">
        <f t="shared" si="2261"/>
        <v>142500</v>
      </c>
      <c r="X4584" s="71"/>
      <c r="Y4584" s="71"/>
    </row>
    <row r="4585" spans="1:25" ht="30" hidden="1" customHeight="1" x14ac:dyDescent="0.25">
      <c r="A4585" s="1145">
        <v>44530</v>
      </c>
      <c r="B4585" s="664" t="s">
        <v>1061</v>
      </c>
      <c r="C4585" s="71" t="s">
        <v>616</v>
      </c>
      <c r="D4585" s="71">
        <v>1000</v>
      </c>
      <c r="E4585" s="102">
        <v>5600</v>
      </c>
      <c r="F4585" s="102">
        <f t="shared" si="2254"/>
        <v>6160000.0000000009</v>
      </c>
      <c r="G4585" s="102">
        <f t="shared" si="2255"/>
        <v>5600000</v>
      </c>
      <c r="H4585" s="690" t="s">
        <v>142</v>
      </c>
      <c r="I4585" s="71" t="s">
        <v>144</v>
      </c>
      <c r="J4585" s="53">
        <f t="shared" si="2245"/>
        <v>510000</v>
      </c>
      <c r="K4585" s="63">
        <f t="shared" si="2258"/>
        <v>9.1071428571428553E-2</v>
      </c>
      <c r="L4585" s="871" t="s">
        <v>3193</v>
      </c>
      <c r="M4585" s="468"/>
      <c r="N4585" s="1192">
        <f t="shared" si="2259"/>
        <v>44530</v>
      </c>
      <c r="O4585" s="71" t="s">
        <v>147</v>
      </c>
      <c r="P4585" s="164" t="str">
        <f t="shared" si="2256"/>
        <v>프리미어(먹)</v>
      </c>
      <c r="Q4585" s="71">
        <f t="shared" si="2257"/>
        <v>1000</v>
      </c>
      <c r="R4585" s="102">
        <v>5090</v>
      </c>
      <c r="S4585" s="102">
        <f t="shared" si="2246"/>
        <v>5599000</v>
      </c>
      <c r="T4585" s="102">
        <f t="shared" si="2247"/>
        <v>5090000</v>
      </c>
      <c r="U4585" s="71" t="str">
        <f t="shared" si="2260"/>
        <v>O</v>
      </c>
      <c r="V4585" s="71"/>
      <c r="W4585" s="474">
        <f t="shared" si="2261"/>
        <v>510000</v>
      </c>
      <c r="X4585" s="71"/>
      <c r="Y4585" s="71"/>
    </row>
    <row r="4586" spans="1:25" ht="30" hidden="1" customHeight="1" x14ac:dyDescent="0.25">
      <c r="A4586" s="1145">
        <v>44530</v>
      </c>
      <c r="B4586" s="664" t="s">
        <v>1052</v>
      </c>
      <c r="C4586" s="71" t="s">
        <v>585</v>
      </c>
      <c r="D4586" s="71">
        <v>400</v>
      </c>
      <c r="E4586" s="102">
        <v>6000</v>
      </c>
      <c r="F4586" s="102">
        <f t="shared" si="2254"/>
        <v>2640000</v>
      </c>
      <c r="G4586" s="102">
        <f t="shared" si="2255"/>
        <v>2400000</v>
      </c>
      <c r="H4586" s="690" t="s">
        <v>142</v>
      </c>
      <c r="I4586" s="71" t="s">
        <v>144</v>
      </c>
      <c r="J4586" s="53">
        <f t="shared" si="2245"/>
        <v>220000</v>
      </c>
      <c r="K4586" s="63">
        <f t="shared" si="2258"/>
        <v>9.166666666666666E-2</v>
      </c>
      <c r="L4586" s="871" t="s">
        <v>3193</v>
      </c>
      <c r="M4586" s="468"/>
      <c r="N4586" s="1192">
        <f t="shared" si="2259"/>
        <v>44530</v>
      </c>
      <c r="O4586" s="71" t="s">
        <v>147</v>
      </c>
      <c r="P4586" s="164" t="str">
        <f t="shared" si="2256"/>
        <v>프리미어(적)</v>
      </c>
      <c r="Q4586" s="71">
        <f t="shared" si="2257"/>
        <v>400</v>
      </c>
      <c r="R4586" s="102">
        <v>5450</v>
      </c>
      <c r="S4586" s="102">
        <f t="shared" si="2246"/>
        <v>2398000</v>
      </c>
      <c r="T4586" s="102">
        <f t="shared" si="2247"/>
        <v>2180000</v>
      </c>
      <c r="U4586" s="71" t="str">
        <f t="shared" si="2260"/>
        <v>O</v>
      </c>
      <c r="V4586" s="71"/>
      <c r="W4586" s="474">
        <f t="shared" si="2261"/>
        <v>220000</v>
      </c>
      <c r="X4586" s="71"/>
      <c r="Y4586" s="71"/>
    </row>
    <row r="4587" spans="1:25" ht="30" hidden="1" customHeight="1" x14ac:dyDescent="0.25">
      <c r="A4587" s="1145">
        <v>44530</v>
      </c>
      <c r="B4587" s="664" t="s">
        <v>1061</v>
      </c>
      <c r="C4587" s="71" t="s">
        <v>586</v>
      </c>
      <c r="D4587" s="71">
        <v>800</v>
      </c>
      <c r="E4587" s="102">
        <v>5750</v>
      </c>
      <c r="F4587" s="102">
        <f t="shared" si="2254"/>
        <v>5060000</v>
      </c>
      <c r="G4587" s="102">
        <f t="shared" si="2255"/>
        <v>4600000</v>
      </c>
      <c r="H4587" s="690" t="s">
        <v>142</v>
      </c>
      <c r="I4587" s="71" t="s">
        <v>144</v>
      </c>
      <c r="J4587" s="53">
        <f t="shared" si="2245"/>
        <v>424000</v>
      </c>
      <c r="K4587" s="63">
        <f t="shared" si="2258"/>
        <v>9.2173913043478259E-2</v>
      </c>
      <c r="L4587" s="871" t="s">
        <v>3193</v>
      </c>
      <c r="M4587" s="468"/>
      <c r="N4587" s="1192">
        <f t="shared" si="2259"/>
        <v>44530</v>
      </c>
      <c r="O4587" s="71" t="s">
        <v>147</v>
      </c>
      <c r="P4587" s="164" t="str">
        <f t="shared" si="2256"/>
        <v>프리미어(황)</v>
      </c>
      <c r="Q4587" s="71">
        <f t="shared" si="2257"/>
        <v>800</v>
      </c>
      <c r="R4587" s="102">
        <v>5220</v>
      </c>
      <c r="S4587" s="102">
        <f t="shared" si="2246"/>
        <v>4593600</v>
      </c>
      <c r="T4587" s="102">
        <f t="shared" si="2247"/>
        <v>4176000</v>
      </c>
      <c r="U4587" s="71" t="str">
        <f t="shared" si="2260"/>
        <v>O</v>
      </c>
      <c r="V4587" s="71"/>
      <c r="W4587" s="474">
        <f t="shared" si="2261"/>
        <v>424000</v>
      </c>
      <c r="X4587" s="71"/>
      <c r="Y4587" s="71"/>
    </row>
    <row r="4588" spans="1:25" ht="30" hidden="1" customHeight="1" x14ac:dyDescent="0.25">
      <c r="A4588" s="1145">
        <v>44530</v>
      </c>
      <c r="B4588" s="664" t="s">
        <v>1061</v>
      </c>
      <c r="C4588" s="71" t="s">
        <v>587</v>
      </c>
      <c r="D4588" s="71">
        <v>600</v>
      </c>
      <c r="E4588" s="102">
        <v>7000</v>
      </c>
      <c r="F4588" s="102">
        <f t="shared" si="2254"/>
        <v>4620000</v>
      </c>
      <c r="G4588" s="102">
        <f t="shared" si="2255"/>
        <v>4200000</v>
      </c>
      <c r="H4588" s="690" t="s">
        <v>142</v>
      </c>
      <c r="I4588" s="71" t="s">
        <v>144</v>
      </c>
      <c r="J4588" s="53">
        <f t="shared" si="2245"/>
        <v>384000</v>
      </c>
      <c r="K4588" s="63">
        <f t="shared" si="2258"/>
        <v>9.1428571428571428E-2</v>
      </c>
      <c r="L4588" s="871" t="s">
        <v>3193</v>
      </c>
      <c r="M4588" s="468"/>
      <c r="N4588" s="1192">
        <f t="shared" si="2259"/>
        <v>44530</v>
      </c>
      <c r="O4588" s="71" t="s">
        <v>147</v>
      </c>
      <c r="P4588" s="164" t="str">
        <f t="shared" si="2256"/>
        <v>프리미어(청)</v>
      </c>
      <c r="Q4588" s="71">
        <f t="shared" si="2257"/>
        <v>600</v>
      </c>
      <c r="R4588" s="102">
        <v>6360</v>
      </c>
      <c r="S4588" s="102">
        <f t="shared" si="2246"/>
        <v>4197600</v>
      </c>
      <c r="T4588" s="102">
        <f t="shared" si="2247"/>
        <v>3816000</v>
      </c>
      <c r="U4588" s="71" t="str">
        <f t="shared" si="2260"/>
        <v>O</v>
      </c>
      <c r="V4588" s="71"/>
      <c r="W4588" s="474">
        <f t="shared" si="2261"/>
        <v>384000</v>
      </c>
      <c r="X4588" s="71"/>
      <c r="Y4588" s="71"/>
    </row>
    <row r="4589" spans="1:25" ht="30" hidden="1" customHeight="1" x14ac:dyDescent="0.25">
      <c r="A4589" s="1145">
        <v>44530</v>
      </c>
      <c r="B4589" s="664" t="s">
        <v>1052</v>
      </c>
      <c r="C4589" s="71" t="s">
        <v>1115</v>
      </c>
      <c r="D4589" s="71">
        <v>50</v>
      </c>
      <c r="E4589" s="102">
        <v>6200</v>
      </c>
      <c r="F4589" s="102">
        <f t="shared" si="2254"/>
        <v>341000</v>
      </c>
      <c r="G4589" s="102">
        <f t="shared" si="2255"/>
        <v>310000</v>
      </c>
      <c r="H4589" s="690" t="s">
        <v>142</v>
      </c>
      <c r="I4589" s="71" t="s">
        <v>144</v>
      </c>
      <c r="J4589" s="53">
        <f t="shared" si="2245"/>
        <v>15000</v>
      </c>
      <c r="K4589" s="63">
        <f t="shared" si="2258"/>
        <v>4.8387096774193547E-2</v>
      </c>
      <c r="L4589" s="871" t="s">
        <v>3193</v>
      </c>
      <c r="M4589" s="1197"/>
      <c r="N4589" s="1192">
        <f t="shared" si="2259"/>
        <v>44530</v>
      </c>
      <c r="O4589" s="71" t="s">
        <v>2459</v>
      </c>
      <c r="P4589" s="164" t="str">
        <f t="shared" si="2256"/>
        <v>한특 잉크(적)</v>
      </c>
      <c r="Q4589" s="71">
        <f t="shared" si="2257"/>
        <v>50</v>
      </c>
      <c r="R4589" s="102">
        <v>5900</v>
      </c>
      <c r="S4589" s="102">
        <f t="shared" si="2246"/>
        <v>324500</v>
      </c>
      <c r="T4589" s="102">
        <f t="shared" si="2247"/>
        <v>295000</v>
      </c>
      <c r="U4589" s="71" t="str">
        <f t="shared" si="2260"/>
        <v>O</v>
      </c>
      <c r="V4589" s="918"/>
      <c r="W4589" s="474">
        <f t="shared" si="2261"/>
        <v>15000</v>
      </c>
      <c r="X4589" s="71"/>
      <c r="Y4589" s="71"/>
    </row>
    <row r="4590" spans="1:25" ht="30" hidden="1" customHeight="1" x14ac:dyDescent="0.25">
      <c r="A4590" s="1145">
        <v>44530</v>
      </c>
      <c r="B4590" s="664" t="s">
        <v>1052</v>
      </c>
      <c r="C4590" s="71" t="s">
        <v>1116</v>
      </c>
      <c r="D4590" s="71">
        <v>50</v>
      </c>
      <c r="E4590" s="102">
        <v>6000</v>
      </c>
      <c r="F4590" s="102">
        <f t="shared" si="2254"/>
        <v>330000</v>
      </c>
      <c r="G4590" s="102">
        <f t="shared" si="2255"/>
        <v>300000</v>
      </c>
      <c r="H4590" s="690" t="s">
        <v>142</v>
      </c>
      <c r="I4590" s="71" t="s">
        <v>144</v>
      </c>
      <c r="J4590" s="53">
        <f t="shared" si="2245"/>
        <v>25000</v>
      </c>
      <c r="K4590" s="63">
        <f t="shared" si="2258"/>
        <v>8.3333333333333329E-2</v>
      </c>
      <c r="L4590" s="871" t="s">
        <v>3193</v>
      </c>
      <c r="M4590" s="1197"/>
      <c r="N4590" s="1192">
        <f t="shared" si="2259"/>
        <v>44530</v>
      </c>
      <c r="O4590" s="71" t="s">
        <v>2459</v>
      </c>
      <c r="P4590" s="164" t="str">
        <f t="shared" si="2256"/>
        <v>한특 잉크(황)</v>
      </c>
      <c r="Q4590" s="71">
        <f t="shared" si="2257"/>
        <v>50</v>
      </c>
      <c r="R4590" s="102">
        <v>5500</v>
      </c>
      <c r="S4590" s="102">
        <f t="shared" si="2246"/>
        <v>302500</v>
      </c>
      <c r="T4590" s="102">
        <f t="shared" si="2247"/>
        <v>275000</v>
      </c>
      <c r="U4590" s="71" t="str">
        <f t="shared" si="2260"/>
        <v>O</v>
      </c>
      <c r="V4590" s="918"/>
      <c r="W4590" s="474">
        <f t="shared" si="2261"/>
        <v>25000</v>
      </c>
      <c r="X4590" s="71"/>
      <c r="Y4590" s="71"/>
    </row>
    <row r="4591" spans="1:25" ht="30" hidden="1" customHeight="1" x14ac:dyDescent="0.25">
      <c r="A4591" s="1145">
        <v>44530</v>
      </c>
      <c r="B4591" s="664" t="s">
        <v>1052</v>
      </c>
      <c r="C4591" s="71" t="s">
        <v>1117</v>
      </c>
      <c r="D4591" s="71">
        <v>50</v>
      </c>
      <c r="E4591" s="102">
        <v>6500</v>
      </c>
      <c r="F4591" s="102">
        <f t="shared" si="2254"/>
        <v>357500</v>
      </c>
      <c r="G4591" s="102">
        <f t="shared" si="2255"/>
        <v>325000</v>
      </c>
      <c r="H4591" s="690" t="s">
        <v>142</v>
      </c>
      <c r="I4591" s="71" t="s">
        <v>144</v>
      </c>
      <c r="J4591" s="53">
        <f t="shared" si="2245"/>
        <v>35000</v>
      </c>
      <c r="K4591" s="63">
        <f t="shared" si="2258"/>
        <v>0.1076923076923077</v>
      </c>
      <c r="L4591" s="871" t="s">
        <v>3193</v>
      </c>
      <c r="M4591" s="1197"/>
      <c r="N4591" s="1192">
        <f t="shared" si="2259"/>
        <v>44530</v>
      </c>
      <c r="O4591" s="71" t="s">
        <v>2459</v>
      </c>
      <c r="P4591" s="164" t="str">
        <f t="shared" si="2256"/>
        <v>한특 잉크(청)</v>
      </c>
      <c r="Q4591" s="71">
        <f t="shared" si="2257"/>
        <v>50</v>
      </c>
      <c r="R4591" s="102">
        <v>5800</v>
      </c>
      <c r="S4591" s="102">
        <f t="shared" si="2246"/>
        <v>319000</v>
      </c>
      <c r="T4591" s="102">
        <f t="shared" si="2247"/>
        <v>290000</v>
      </c>
      <c r="U4591" s="71" t="str">
        <f t="shared" si="2260"/>
        <v>O</v>
      </c>
      <c r="V4591" s="918"/>
      <c r="W4591" s="474">
        <f t="shared" si="2261"/>
        <v>35000</v>
      </c>
      <c r="X4591" s="71"/>
      <c r="Y4591" s="71"/>
    </row>
    <row r="4592" spans="1:25" ht="30" hidden="1" customHeight="1" x14ac:dyDescent="0.25">
      <c r="A4592" s="1145">
        <v>44530</v>
      </c>
      <c r="B4592" s="664" t="s">
        <v>1052</v>
      </c>
      <c r="C4592" s="71" t="s">
        <v>1118</v>
      </c>
      <c r="D4592" s="71">
        <v>200</v>
      </c>
      <c r="E4592" s="102">
        <v>5600</v>
      </c>
      <c r="F4592" s="102">
        <f t="shared" si="2254"/>
        <v>1232000</v>
      </c>
      <c r="G4592" s="102">
        <f t="shared" si="2255"/>
        <v>1120000</v>
      </c>
      <c r="H4592" s="690" t="s">
        <v>142</v>
      </c>
      <c r="I4592" s="71" t="s">
        <v>144</v>
      </c>
      <c r="J4592" s="53">
        <f t="shared" si="2245"/>
        <v>120000</v>
      </c>
      <c r="K4592" s="63">
        <f t="shared" si="2258"/>
        <v>0.10714285714285714</v>
      </c>
      <c r="L4592" s="871" t="s">
        <v>3193</v>
      </c>
      <c r="M4592" s="1197"/>
      <c r="N4592" s="1192">
        <f t="shared" si="2259"/>
        <v>44530</v>
      </c>
      <c r="O4592" s="71" t="s">
        <v>2459</v>
      </c>
      <c r="P4592" s="164" t="str">
        <f>(C4592)</f>
        <v>한특 잉크(먹)</v>
      </c>
      <c r="Q4592" s="71">
        <f t="shared" si="2257"/>
        <v>200</v>
      </c>
      <c r="R4592" s="102">
        <v>5000</v>
      </c>
      <c r="S4592" s="102">
        <f t="shared" si="2246"/>
        <v>1100000</v>
      </c>
      <c r="T4592" s="102">
        <f t="shared" si="2247"/>
        <v>1000000</v>
      </c>
      <c r="U4592" s="71" t="str">
        <f t="shared" si="2260"/>
        <v>O</v>
      </c>
      <c r="V4592" s="918"/>
      <c r="W4592" s="474">
        <f t="shared" si="2261"/>
        <v>120000</v>
      </c>
      <c r="X4592" s="71"/>
      <c r="Y4592" s="71"/>
    </row>
    <row r="4593" spans="1:25" ht="30" hidden="1" customHeight="1" x14ac:dyDescent="0.25">
      <c r="A4593" s="1145">
        <v>44530</v>
      </c>
      <c r="B4593" s="664" t="s">
        <v>575</v>
      </c>
      <c r="C4593" s="71" t="s">
        <v>1367</v>
      </c>
      <c r="D4593" s="71">
        <v>16</v>
      </c>
      <c r="E4593" s="102">
        <v>218000</v>
      </c>
      <c r="F4593" s="102">
        <f t="shared" si="2254"/>
        <v>3836800.0000000005</v>
      </c>
      <c r="G4593" s="102">
        <f t="shared" si="2255"/>
        <v>3488000</v>
      </c>
      <c r="H4593" s="690" t="s">
        <v>173</v>
      </c>
      <c r="I4593" s="71" t="s">
        <v>109</v>
      </c>
      <c r="J4593" s="53">
        <f t="shared" si="2245"/>
        <v>1088000</v>
      </c>
      <c r="K4593" s="63">
        <f t="shared" si="2258"/>
        <v>0.31192660550458712</v>
      </c>
      <c r="L4593" s="871" t="s">
        <v>3193</v>
      </c>
      <c r="M4593" s="468"/>
      <c r="N4593" s="1192">
        <f t="shared" si="2259"/>
        <v>44530</v>
      </c>
      <c r="O4593" s="71" t="s">
        <v>1443</v>
      </c>
      <c r="P4593" s="164" t="str">
        <f>(C4593)</f>
        <v>M600 윤전 블랑켓 995*742</v>
      </c>
      <c r="Q4593" s="71">
        <f>D4593</f>
        <v>16</v>
      </c>
      <c r="R4593" s="102">
        <v>150000</v>
      </c>
      <c r="S4593" s="102">
        <f t="shared" si="2246"/>
        <v>2640000</v>
      </c>
      <c r="T4593" s="102">
        <f t="shared" si="2247"/>
        <v>2400000</v>
      </c>
      <c r="U4593" s="71" t="str">
        <f t="shared" si="2260"/>
        <v>X</v>
      </c>
      <c r="V4593" s="71"/>
      <c r="W4593" s="474"/>
      <c r="X4593" s="71"/>
      <c r="Y4593" s="71"/>
    </row>
    <row r="4594" spans="1:25" s="978" customFormat="1" ht="45" hidden="1" customHeight="1" x14ac:dyDescent="0.25">
      <c r="A4594" s="982" t="s">
        <v>3197</v>
      </c>
      <c r="B4594" s="976" t="s">
        <v>544</v>
      </c>
      <c r="C4594" s="453"/>
      <c r="D4594" s="453"/>
      <c r="E4594" s="454"/>
      <c r="F4594" s="454"/>
      <c r="G4594" s="454"/>
      <c r="H4594" s="455"/>
      <c r="I4594" s="453"/>
      <c r="J4594" s="417"/>
      <c r="K4594" s="418"/>
      <c r="L4594" s="983" t="s">
        <v>3198</v>
      </c>
      <c r="M4594" s="643"/>
      <c r="N4594" s="724" t="str">
        <f t="shared" ref="N4594:N4606" si="2262">A4594</f>
        <v>2021,12</v>
      </c>
      <c r="O4594" s="453" t="s">
        <v>154</v>
      </c>
      <c r="P4594" s="728"/>
      <c r="Q4594" s="420"/>
      <c r="R4594" s="420"/>
      <c r="S4594" s="417"/>
      <c r="T4594" s="417"/>
      <c r="U4594" s="421"/>
      <c r="V4594" s="421"/>
      <c r="W4594" s="479">
        <f>(G4594-T4594)</f>
        <v>0</v>
      </c>
      <c r="X4594" s="421"/>
      <c r="Y4594" s="421"/>
    </row>
    <row r="4595" spans="1:25" ht="30" hidden="1" customHeight="1" x14ac:dyDescent="0.25">
      <c r="A4595" s="1145">
        <v>44441</v>
      </c>
      <c r="B4595" s="664" t="s">
        <v>575</v>
      </c>
      <c r="C4595" s="71" t="s">
        <v>3119</v>
      </c>
      <c r="D4595" s="71">
        <v>1</v>
      </c>
      <c r="E4595" s="102">
        <v>15000000</v>
      </c>
      <c r="F4595" s="102">
        <f t="shared" ref="F4595:F4669" si="2263">(E4595*D4595)*1.1</f>
        <v>16500000.000000002</v>
      </c>
      <c r="G4595" s="102">
        <f t="shared" ref="G4595:G4669" si="2264">(E4595*D4595)</f>
        <v>15000000</v>
      </c>
      <c r="H4595" s="690" t="s">
        <v>1431</v>
      </c>
      <c r="I4595" s="690" t="s">
        <v>1431</v>
      </c>
      <c r="J4595" s="53">
        <f t="shared" ref="J4595:J4615" si="2265">G4595-T4595</f>
        <v>7328072</v>
      </c>
      <c r="K4595" s="63">
        <f t="shared" ref="K4595:K4610" si="2266">(J4595/(F4595/11*10))</f>
        <v>0.48853813333333329</v>
      </c>
      <c r="L4595" s="871" t="s">
        <v>3198</v>
      </c>
      <c r="M4595" s="468"/>
      <c r="N4595" s="1192">
        <f t="shared" si="2262"/>
        <v>44441</v>
      </c>
      <c r="O4595" s="71" t="s">
        <v>1431</v>
      </c>
      <c r="P4595" s="103" t="str">
        <f>(C4595)</f>
        <v>LENZE 드라이브 인버터</v>
      </c>
      <c r="Q4595" s="71">
        <f t="shared" ref="Q4595:Q4609" si="2267">D4595</f>
        <v>1</v>
      </c>
      <c r="R4595" s="102">
        <v>7671928</v>
      </c>
      <c r="S4595" s="102">
        <f t="shared" ref="S4595:S4626" si="2268">R4595*Q4595*1.1</f>
        <v>8439120.8000000007</v>
      </c>
      <c r="T4595" s="102">
        <f t="shared" ref="T4595:T4626" si="2269">R4595*Q4595</f>
        <v>7671928</v>
      </c>
      <c r="U4595" s="71"/>
      <c r="V4595" s="71"/>
      <c r="W4595" s="474"/>
      <c r="X4595" s="71"/>
      <c r="Y4595" s="71"/>
    </row>
    <row r="4596" spans="1:25" ht="30" hidden="1" customHeight="1" x14ac:dyDescent="0.25">
      <c r="A4596" s="1145">
        <v>44517</v>
      </c>
      <c r="B4596" s="664" t="s">
        <v>575</v>
      </c>
      <c r="C4596" s="71" t="s">
        <v>3183</v>
      </c>
      <c r="D4596" s="71">
        <v>2</v>
      </c>
      <c r="E4596" s="102">
        <v>9500000</v>
      </c>
      <c r="F4596" s="102">
        <f t="shared" si="2263"/>
        <v>20900000</v>
      </c>
      <c r="G4596" s="102">
        <f t="shared" si="2264"/>
        <v>19000000</v>
      </c>
      <c r="H4596" s="690" t="s">
        <v>1431</v>
      </c>
      <c r="I4596" s="690" t="s">
        <v>1431</v>
      </c>
      <c r="J4596" s="53">
        <f t="shared" si="2265"/>
        <v>5800000</v>
      </c>
      <c r="K4596" s="63">
        <f t="shared" si="2266"/>
        <v>0.30526315789473685</v>
      </c>
      <c r="L4596" s="871" t="s">
        <v>3198</v>
      </c>
      <c r="M4596" s="468"/>
      <c r="N4596" s="1192">
        <f t="shared" si="2262"/>
        <v>44517</v>
      </c>
      <c r="O4596" s="71" t="s">
        <v>1431</v>
      </c>
      <c r="P4596" s="103" t="str">
        <f t="shared" ref="P4596:P4659" si="2270">(C4596)</f>
        <v>폴더 CPU</v>
      </c>
      <c r="Q4596" s="71">
        <f t="shared" si="2267"/>
        <v>2</v>
      </c>
      <c r="R4596" s="102">
        <v>6600000</v>
      </c>
      <c r="S4596" s="102">
        <f t="shared" si="2268"/>
        <v>14520000.000000002</v>
      </c>
      <c r="T4596" s="102">
        <f t="shared" si="2269"/>
        <v>13200000</v>
      </c>
      <c r="U4596" s="71"/>
      <c r="V4596" s="71"/>
      <c r="W4596" s="474"/>
      <c r="X4596" s="71"/>
      <c r="Y4596" s="71"/>
    </row>
    <row r="4597" spans="1:25" ht="30" hidden="1" customHeight="1" x14ac:dyDescent="0.25">
      <c r="A4597" s="1145">
        <v>44529</v>
      </c>
      <c r="B4597" s="664" t="s">
        <v>1220</v>
      </c>
      <c r="C4597" s="71" t="s">
        <v>123</v>
      </c>
      <c r="D4597" s="71">
        <v>5</v>
      </c>
      <c r="E4597" s="102">
        <v>35000</v>
      </c>
      <c r="F4597" s="102">
        <f t="shared" si="2263"/>
        <v>192500.00000000003</v>
      </c>
      <c r="G4597" s="102">
        <f t="shared" si="2264"/>
        <v>175000</v>
      </c>
      <c r="H4597" s="690" t="s">
        <v>1431</v>
      </c>
      <c r="I4597" s="690" t="s">
        <v>1431</v>
      </c>
      <c r="J4597" s="53">
        <f t="shared" si="2265"/>
        <v>54650</v>
      </c>
      <c r="K4597" s="63">
        <f t="shared" si="2266"/>
        <v>0.31228571428571422</v>
      </c>
      <c r="L4597" s="871" t="s">
        <v>3198</v>
      </c>
      <c r="M4597" s="468"/>
      <c r="N4597" s="1192">
        <f t="shared" si="2262"/>
        <v>44529</v>
      </c>
      <c r="O4597" s="71" t="s">
        <v>1432</v>
      </c>
      <c r="P4597" s="103" t="str">
        <f t="shared" si="2270"/>
        <v>필터백</v>
      </c>
      <c r="Q4597" s="71">
        <f t="shared" si="2267"/>
        <v>5</v>
      </c>
      <c r="R4597" s="102">
        <v>24070</v>
      </c>
      <c r="S4597" s="102">
        <f t="shared" si="2268"/>
        <v>132385</v>
      </c>
      <c r="T4597" s="102">
        <f t="shared" si="2269"/>
        <v>120350</v>
      </c>
      <c r="U4597" s="71"/>
      <c r="V4597" s="71"/>
      <c r="W4597" s="474"/>
      <c r="X4597" s="71"/>
      <c r="Y4597" s="71"/>
    </row>
    <row r="4598" spans="1:25" ht="30" hidden="1" customHeight="1" x14ac:dyDescent="0.25">
      <c r="A4598" s="1145">
        <v>44530</v>
      </c>
      <c r="B4598" s="664" t="s">
        <v>546</v>
      </c>
      <c r="C4598" s="71" t="s">
        <v>114</v>
      </c>
      <c r="D4598" s="71">
        <v>50</v>
      </c>
      <c r="E4598" s="102">
        <v>18000</v>
      </c>
      <c r="F4598" s="102">
        <f t="shared" si="2263"/>
        <v>990000.00000000012</v>
      </c>
      <c r="G4598" s="102">
        <f t="shared" si="2264"/>
        <v>900000</v>
      </c>
      <c r="H4598" s="690" t="s">
        <v>1431</v>
      </c>
      <c r="I4598" s="71" t="s">
        <v>1431</v>
      </c>
      <c r="J4598" s="53">
        <f t="shared" si="2265"/>
        <v>450000</v>
      </c>
      <c r="K4598" s="63">
        <f t="shared" si="2266"/>
        <v>0.49999999999999994</v>
      </c>
      <c r="L4598" s="871" t="s">
        <v>3223</v>
      </c>
      <c r="M4598" s="468"/>
      <c r="N4598" s="1192">
        <f t="shared" si="2262"/>
        <v>44530</v>
      </c>
      <c r="O4598" s="71" t="s">
        <v>1431</v>
      </c>
      <c r="P4598" s="103" t="str">
        <f t="shared" si="2270"/>
        <v>스트리퍼</v>
      </c>
      <c r="Q4598" s="71">
        <f t="shared" si="2267"/>
        <v>50</v>
      </c>
      <c r="R4598" s="102">
        <v>9000</v>
      </c>
      <c r="S4598" s="102">
        <f t="shared" si="2268"/>
        <v>495000.00000000006</v>
      </c>
      <c r="T4598" s="102">
        <f t="shared" si="2269"/>
        <v>450000</v>
      </c>
      <c r="U4598" s="71"/>
      <c r="V4598" s="71"/>
      <c r="W4598" s="474"/>
      <c r="X4598" s="71"/>
      <c r="Y4598" s="71"/>
    </row>
    <row r="4599" spans="1:25" ht="30" hidden="1" customHeight="1" x14ac:dyDescent="0.25">
      <c r="A4599" s="1145">
        <v>44531</v>
      </c>
      <c r="B4599" s="664" t="s">
        <v>690</v>
      </c>
      <c r="C4599" s="71" t="s">
        <v>1186</v>
      </c>
      <c r="D4599" s="71">
        <v>1000</v>
      </c>
      <c r="E4599" s="102">
        <v>3860</v>
      </c>
      <c r="F4599" s="102">
        <f t="shared" si="2263"/>
        <v>4246000</v>
      </c>
      <c r="G4599" s="102">
        <f t="shared" si="2264"/>
        <v>3860000</v>
      </c>
      <c r="H4599" s="690" t="s">
        <v>173</v>
      </c>
      <c r="I4599" s="71" t="s">
        <v>2230</v>
      </c>
      <c r="J4599" s="53">
        <f t="shared" si="2265"/>
        <v>350000</v>
      </c>
      <c r="K4599" s="63">
        <f t="shared" si="2266"/>
        <v>9.0673575129533682E-2</v>
      </c>
      <c r="L4599" s="871" t="s">
        <v>3223</v>
      </c>
      <c r="M4599" s="468" t="s">
        <v>3078</v>
      </c>
      <c r="N4599" s="1192">
        <f t="shared" si="2262"/>
        <v>44531</v>
      </c>
      <c r="O4599" s="71" t="s">
        <v>145</v>
      </c>
      <c r="P4599" s="103" t="str">
        <f t="shared" si="2270"/>
        <v>CTP 판(1030*790mm)</v>
      </c>
      <c r="Q4599" s="71">
        <f t="shared" si="2267"/>
        <v>1000</v>
      </c>
      <c r="R4599" s="102">
        <v>3510</v>
      </c>
      <c r="S4599" s="102">
        <f t="shared" si="2268"/>
        <v>3861000.0000000005</v>
      </c>
      <c r="T4599" s="102">
        <f t="shared" si="2269"/>
        <v>3510000</v>
      </c>
      <c r="U4599" s="71" t="str">
        <f>IF(J4599=W4599,"O", "X")</f>
        <v>X</v>
      </c>
      <c r="V4599" s="71"/>
      <c r="W4599" s="474">
        <v>-200000</v>
      </c>
      <c r="X4599" s="71"/>
      <c r="Y4599" s="71"/>
    </row>
    <row r="4600" spans="1:25" ht="30" hidden="1" customHeight="1" x14ac:dyDescent="0.25">
      <c r="A4600" s="1145">
        <v>44531</v>
      </c>
      <c r="B4600" s="664" t="s">
        <v>690</v>
      </c>
      <c r="C4600" s="71" t="s">
        <v>197</v>
      </c>
      <c r="D4600" s="71">
        <v>8</v>
      </c>
      <c r="E4600" s="102">
        <v>52000</v>
      </c>
      <c r="F4600" s="102">
        <f t="shared" si="2263"/>
        <v>457600.00000000006</v>
      </c>
      <c r="G4600" s="102">
        <f t="shared" si="2264"/>
        <v>416000</v>
      </c>
      <c r="H4600" s="690" t="s">
        <v>173</v>
      </c>
      <c r="I4600" s="71" t="s">
        <v>2230</v>
      </c>
      <c r="J4600" s="53">
        <f t="shared" si="2265"/>
        <v>94000</v>
      </c>
      <c r="K4600" s="63">
        <f t="shared" si="2266"/>
        <v>0.22596153846153844</v>
      </c>
      <c r="L4600" s="871" t="s">
        <v>3223</v>
      </c>
      <c r="M4600" s="468"/>
      <c r="N4600" s="1192">
        <f t="shared" si="2262"/>
        <v>44531</v>
      </c>
      <c r="O4600" s="71" t="s">
        <v>145</v>
      </c>
      <c r="P4600" s="103" t="str">
        <f t="shared" si="2270"/>
        <v>THR200(20L)</v>
      </c>
      <c r="Q4600" s="71">
        <f t="shared" si="2267"/>
        <v>8</v>
      </c>
      <c r="R4600" s="102">
        <v>40250</v>
      </c>
      <c r="S4600" s="102">
        <f t="shared" si="2268"/>
        <v>354200</v>
      </c>
      <c r="T4600" s="102">
        <f t="shared" si="2269"/>
        <v>322000</v>
      </c>
      <c r="U4600" s="71" t="str">
        <f>IF(J4600=W4600,"O", "X")</f>
        <v>X</v>
      </c>
      <c r="V4600" s="71"/>
      <c r="W4600" s="474"/>
      <c r="X4600" s="71"/>
      <c r="Y4600" s="71"/>
    </row>
    <row r="4601" spans="1:25" ht="30" hidden="1" customHeight="1" x14ac:dyDescent="0.25">
      <c r="A4601" s="1145">
        <v>44531</v>
      </c>
      <c r="B4601" s="664" t="s">
        <v>690</v>
      </c>
      <c r="C4601" s="71" t="s">
        <v>750</v>
      </c>
      <c r="D4601" s="71">
        <v>2</v>
      </c>
      <c r="E4601" s="102">
        <v>52000</v>
      </c>
      <c r="F4601" s="102">
        <f t="shared" si="2263"/>
        <v>114400.00000000001</v>
      </c>
      <c r="G4601" s="102">
        <f t="shared" si="2264"/>
        <v>104000</v>
      </c>
      <c r="H4601" s="690" t="s">
        <v>173</v>
      </c>
      <c r="I4601" s="71" t="s">
        <v>2230</v>
      </c>
      <c r="J4601" s="53">
        <f t="shared" si="2265"/>
        <v>23500</v>
      </c>
      <c r="K4601" s="63">
        <f t="shared" si="2266"/>
        <v>0.22596153846153844</v>
      </c>
      <c r="L4601" s="871" t="s">
        <v>3223</v>
      </c>
      <c r="M4601" s="468" t="s">
        <v>1394</v>
      </c>
      <c r="N4601" s="1192">
        <f t="shared" si="2262"/>
        <v>44531</v>
      </c>
      <c r="O4601" s="71" t="s">
        <v>145</v>
      </c>
      <c r="P4601" s="103" t="str">
        <f t="shared" si="2270"/>
        <v>THD200(20L)</v>
      </c>
      <c r="Q4601" s="71">
        <f t="shared" si="2267"/>
        <v>2</v>
      </c>
      <c r="R4601" s="102">
        <v>40250</v>
      </c>
      <c r="S4601" s="102">
        <f t="shared" si="2268"/>
        <v>88550</v>
      </c>
      <c r="T4601" s="102">
        <f t="shared" si="2269"/>
        <v>80500</v>
      </c>
      <c r="U4601" s="71" t="str">
        <f>IF(J4601=W4601,"O", "X")</f>
        <v>O</v>
      </c>
      <c r="V4601" s="71"/>
      <c r="W4601" s="474">
        <f>(G4601-T4601)</f>
        <v>23500</v>
      </c>
      <c r="X4601" s="71"/>
      <c r="Y4601" s="71"/>
    </row>
    <row r="4602" spans="1:25" ht="30" hidden="1" customHeight="1" x14ac:dyDescent="0.25">
      <c r="A4602" s="1145">
        <v>44531</v>
      </c>
      <c r="B4602" s="664" t="s">
        <v>673</v>
      </c>
      <c r="C4602" s="71" t="s">
        <v>1261</v>
      </c>
      <c r="D4602" s="71">
        <v>3</v>
      </c>
      <c r="E4602" s="102">
        <v>110000</v>
      </c>
      <c r="F4602" s="102">
        <f t="shared" si="2263"/>
        <v>363000.00000000006</v>
      </c>
      <c r="G4602" s="102">
        <f t="shared" si="2264"/>
        <v>330000</v>
      </c>
      <c r="H4602" s="690" t="s">
        <v>173</v>
      </c>
      <c r="I4602" s="71" t="s">
        <v>108</v>
      </c>
      <c r="J4602" s="53">
        <f t="shared" si="2265"/>
        <v>45000</v>
      </c>
      <c r="K4602" s="63">
        <f t="shared" si="2266"/>
        <v>0.13636363636363633</v>
      </c>
      <c r="L4602" s="871" t="s">
        <v>3223</v>
      </c>
      <c r="M4602" s="468"/>
      <c r="N4602" s="1192">
        <f t="shared" si="2262"/>
        <v>44531</v>
      </c>
      <c r="O4602" s="71" t="s">
        <v>150</v>
      </c>
      <c r="P4602" s="103" t="str">
        <f t="shared" si="2270"/>
        <v>아스테이지</v>
      </c>
      <c r="Q4602" s="71">
        <f t="shared" si="2267"/>
        <v>3</v>
      </c>
      <c r="R4602" s="102">
        <v>95000</v>
      </c>
      <c r="S4602" s="102">
        <f t="shared" si="2268"/>
        <v>313500</v>
      </c>
      <c r="T4602" s="102">
        <f t="shared" si="2269"/>
        <v>285000</v>
      </c>
      <c r="U4602" s="71" t="str">
        <f>IF(J4602=W4602,"O", "X")</f>
        <v>X</v>
      </c>
      <c r="V4602" s="71"/>
      <c r="W4602" s="474"/>
      <c r="X4602" s="71"/>
      <c r="Y4602" s="71"/>
    </row>
    <row r="4603" spans="1:25" ht="30" hidden="1" customHeight="1" x14ac:dyDescent="0.25">
      <c r="A4603" s="1145">
        <v>44531</v>
      </c>
      <c r="B4603" s="664" t="s">
        <v>1155</v>
      </c>
      <c r="C4603" s="71" t="s">
        <v>3218</v>
      </c>
      <c r="D4603" s="71">
        <v>1</v>
      </c>
      <c r="E4603" s="102">
        <v>550000</v>
      </c>
      <c r="F4603" s="102">
        <f t="shared" si="2263"/>
        <v>605000</v>
      </c>
      <c r="G4603" s="102">
        <f t="shared" si="2264"/>
        <v>550000</v>
      </c>
      <c r="H4603" s="690" t="s">
        <v>1431</v>
      </c>
      <c r="I4603" s="71" t="s">
        <v>1431</v>
      </c>
      <c r="J4603" s="53">
        <f t="shared" si="2265"/>
        <v>278850</v>
      </c>
      <c r="K4603" s="63">
        <f t="shared" si="2266"/>
        <v>0.50700000000000001</v>
      </c>
      <c r="L4603" s="871" t="s">
        <v>3223</v>
      </c>
      <c r="M4603" s="468"/>
      <c r="N4603" s="1192">
        <f t="shared" si="2262"/>
        <v>44531</v>
      </c>
      <c r="O4603" s="71" t="s">
        <v>1431</v>
      </c>
      <c r="P4603" s="103" t="str">
        <f t="shared" si="2270"/>
        <v>타임 릴레이</v>
      </c>
      <c r="Q4603" s="71">
        <f t="shared" si="2267"/>
        <v>1</v>
      </c>
      <c r="R4603" s="102">
        <v>271150</v>
      </c>
      <c r="S4603" s="102">
        <f t="shared" si="2268"/>
        <v>298265</v>
      </c>
      <c r="T4603" s="102">
        <f t="shared" si="2269"/>
        <v>271150</v>
      </c>
      <c r="U4603" s="71"/>
      <c r="V4603" s="71"/>
      <c r="W4603" s="474"/>
      <c r="X4603" s="71"/>
      <c r="Y4603" s="71"/>
    </row>
    <row r="4604" spans="1:25" ht="30" hidden="1" customHeight="1" x14ac:dyDescent="0.25">
      <c r="A4604" s="1145">
        <v>44531</v>
      </c>
      <c r="B4604" s="664" t="s">
        <v>446</v>
      </c>
      <c r="C4604" s="71" t="s">
        <v>2028</v>
      </c>
      <c r="D4604" s="71">
        <v>20</v>
      </c>
      <c r="E4604" s="102">
        <v>105000</v>
      </c>
      <c r="F4604" s="102">
        <f t="shared" si="2263"/>
        <v>2310000</v>
      </c>
      <c r="G4604" s="102">
        <f t="shared" si="2264"/>
        <v>2100000</v>
      </c>
      <c r="H4604" s="690" t="s">
        <v>2029</v>
      </c>
      <c r="I4604" s="71" t="s">
        <v>2231</v>
      </c>
      <c r="J4604" s="53">
        <f t="shared" si="2265"/>
        <v>280000</v>
      </c>
      <c r="K4604" s="63">
        <f t="shared" si="2266"/>
        <v>0.13333333333333333</v>
      </c>
      <c r="L4604" s="871" t="s">
        <v>3223</v>
      </c>
      <c r="M4604" s="468"/>
      <c r="N4604" s="1192">
        <f t="shared" si="2262"/>
        <v>44531</v>
      </c>
      <c r="O4604" s="71" t="s">
        <v>2030</v>
      </c>
      <c r="P4604" s="103" t="str">
        <f t="shared" si="2270"/>
        <v>실리콘 에멀전</v>
      </c>
      <c r="Q4604" s="71">
        <f t="shared" si="2267"/>
        <v>20</v>
      </c>
      <c r="R4604" s="102">
        <v>91000</v>
      </c>
      <c r="S4604" s="102">
        <f t="shared" si="2268"/>
        <v>2002000.0000000002</v>
      </c>
      <c r="T4604" s="102">
        <f t="shared" si="2269"/>
        <v>1820000</v>
      </c>
      <c r="U4604" s="71" t="str">
        <f>IF(J4604=W4604,"O", "X")</f>
        <v>O</v>
      </c>
      <c r="V4604" s="71"/>
      <c r="W4604" s="474">
        <f>(G4604-T4604)</f>
        <v>280000</v>
      </c>
      <c r="X4604" s="71"/>
      <c r="Y4604" s="71"/>
    </row>
    <row r="4605" spans="1:25" ht="30" hidden="1" customHeight="1" x14ac:dyDescent="0.25">
      <c r="A4605" s="1145">
        <v>44531</v>
      </c>
      <c r="B4605" s="664" t="s">
        <v>809</v>
      </c>
      <c r="C4605" s="71" t="s">
        <v>1081</v>
      </c>
      <c r="D4605" s="71">
        <v>10</v>
      </c>
      <c r="E4605" s="102">
        <v>78000</v>
      </c>
      <c r="F4605" s="102">
        <f t="shared" si="2263"/>
        <v>858000.00000000012</v>
      </c>
      <c r="G4605" s="102">
        <f t="shared" si="2264"/>
        <v>780000</v>
      </c>
      <c r="H4605" s="690" t="s">
        <v>173</v>
      </c>
      <c r="I4605" s="71" t="s">
        <v>2231</v>
      </c>
      <c r="J4605" s="53">
        <f t="shared" si="2265"/>
        <v>180000</v>
      </c>
      <c r="K4605" s="63">
        <f t="shared" si="2266"/>
        <v>0.23076923076923073</v>
      </c>
      <c r="L4605" s="871" t="s">
        <v>3223</v>
      </c>
      <c r="M4605" s="468" t="s">
        <v>3081</v>
      </c>
      <c r="N4605" s="1192">
        <f t="shared" si="2262"/>
        <v>44531</v>
      </c>
      <c r="O4605" s="71" t="s">
        <v>147</v>
      </c>
      <c r="P4605" s="103" t="str">
        <f t="shared" si="2270"/>
        <v>파우더</v>
      </c>
      <c r="Q4605" s="71">
        <f t="shared" si="2267"/>
        <v>10</v>
      </c>
      <c r="R4605" s="102">
        <v>60000</v>
      </c>
      <c r="S4605" s="102">
        <f t="shared" si="2268"/>
        <v>660000</v>
      </c>
      <c r="T4605" s="102">
        <f t="shared" si="2269"/>
        <v>600000</v>
      </c>
      <c r="U4605" s="71" t="str">
        <f>IF(J4605=W4605,"O", "X")</f>
        <v>O</v>
      </c>
      <c r="V4605" s="71"/>
      <c r="W4605" s="474">
        <f>(G4605-T4605)</f>
        <v>180000</v>
      </c>
      <c r="X4605" s="71"/>
      <c r="Y4605" s="71"/>
    </row>
    <row r="4606" spans="1:25" ht="30" customHeight="1" x14ac:dyDescent="0.25">
      <c r="A4606" s="1145">
        <v>44531</v>
      </c>
      <c r="B4606" s="664" t="s">
        <v>565</v>
      </c>
      <c r="C4606" s="71" t="s">
        <v>3224</v>
      </c>
      <c r="D4606" s="71">
        <v>1</v>
      </c>
      <c r="E4606" s="102">
        <v>5900000</v>
      </c>
      <c r="F4606" s="102">
        <f t="shared" si="2263"/>
        <v>6490000.0000000009</v>
      </c>
      <c r="G4606" s="102">
        <f t="shared" si="2264"/>
        <v>5900000</v>
      </c>
      <c r="H4606" s="690" t="s">
        <v>142</v>
      </c>
      <c r="I4606" s="690" t="s">
        <v>142</v>
      </c>
      <c r="J4606" s="53">
        <f t="shared" si="2265"/>
        <v>1795127</v>
      </c>
      <c r="K4606" s="63">
        <f t="shared" si="2266"/>
        <v>0.30425881355932199</v>
      </c>
      <c r="L4606" s="871" t="s">
        <v>3223</v>
      </c>
      <c r="M4606" s="468"/>
      <c r="N4606" s="1192">
        <f t="shared" si="2262"/>
        <v>44531</v>
      </c>
      <c r="O4606" s="71" t="s">
        <v>1431</v>
      </c>
      <c r="P4606" s="103" t="str">
        <f t="shared" si="2270"/>
        <v>CB DRIVE UNIT(포장실 결속기 부속 대체품)</v>
      </c>
      <c r="Q4606" s="71">
        <f t="shared" si="2267"/>
        <v>1</v>
      </c>
      <c r="R4606" s="102">
        <v>4104873</v>
      </c>
      <c r="S4606" s="102">
        <f t="shared" si="2268"/>
        <v>4515360.3000000007</v>
      </c>
      <c r="T4606" s="102">
        <f t="shared" si="2269"/>
        <v>4104873</v>
      </c>
      <c r="U4606" s="71"/>
      <c r="V4606" s="71"/>
      <c r="W4606" s="474"/>
      <c r="X4606" s="71"/>
      <c r="Y4606" s="71"/>
    </row>
    <row r="4607" spans="1:25" ht="30" customHeight="1" x14ac:dyDescent="0.25">
      <c r="A4607" s="1145">
        <v>44531</v>
      </c>
      <c r="B4607" s="664" t="s">
        <v>2352</v>
      </c>
      <c r="C4607" s="760" t="s">
        <v>218</v>
      </c>
      <c r="D4607" s="71">
        <v>4</v>
      </c>
      <c r="E4607" s="102">
        <v>235000</v>
      </c>
      <c r="F4607" s="102">
        <f t="shared" si="2263"/>
        <v>1034000.0000000001</v>
      </c>
      <c r="G4607" s="102">
        <f t="shared" si="2264"/>
        <v>940000</v>
      </c>
      <c r="H4607" s="690" t="s">
        <v>142</v>
      </c>
      <c r="I4607" s="690" t="s">
        <v>142</v>
      </c>
      <c r="J4607" s="53">
        <f t="shared" si="2265"/>
        <v>490000</v>
      </c>
      <c r="K4607" s="63">
        <f t="shared" si="2266"/>
        <v>0.52127659574468077</v>
      </c>
      <c r="L4607" s="871" t="s">
        <v>3223</v>
      </c>
      <c r="M4607" s="468" t="s">
        <v>2053</v>
      </c>
      <c r="N4607" s="1192">
        <f t="shared" ref="N4607:N4615" si="2271">A4607</f>
        <v>44531</v>
      </c>
      <c r="O4607" s="71" t="s">
        <v>150</v>
      </c>
      <c r="P4607" s="103" t="str">
        <f t="shared" si="2270"/>
        <v>Fount Web 551AF</v>
      </c>
      <c r="Q4607" s="71">
        <f t="shared" si="2267"/>
        <v>4</v>
      </c>
      <c r="R4607" s="102">
        <v>112500</v>
      </c>
      <c r="S4607" s="102">
        <f t="shared" si="2268"/>
        <v>495000.00000000006</v>
      </c>
      <c r="T4607" s="102">
        <f t="shared" si="2269"/>
        <v>450000</v>
      </c>
      <c r="U4607" s="71" t="str">
        <f>IF(J4607=W4607,"O", "X")</f>
        <v>O</v>
      </c>
      <c r="V4607" s="71"/>
      <c r="W4607" s="474">
        <f>(G4607-T4607)</f>
        <v>490000</v>
      </c>
      <c r="X4607" s="71"/>
      <c r="Y4607" s="71"/>
    </row>
    <row r="4608" spans="1:25" ht="30" hidden="1" customHeight="1" x14ac:dyDescent="0.25">
      <c r="A4608" s="1145">
        <v>44531</v>
      </c>
      <c r="B4608" s="664" t="s">
        <v>2155</v>
      </c>
      <c r="C4608" s="760" t="s">
        <v>218</v>
      </c>
      <c r="D4608" s="71">
        <v>10</v>
      </c>
      <c r="E4608" s="102">
        <v>192500</v>
      </c>
      <c r="F4608" s="102">
        <f t="shared" ref="F4608:F4615" si="2272">(E4608*D4608)*1.1</f>
        <v>2117500</v>
      </c>
      <c r="G4608" s="102">
        <f>(E4608*D4608)</f>
        <v>1925000</v>
      </c>
      <c r="H4608" s="690" t="s">
        <v>173</v>
      </c>
      <c r="I4608" s="71" t="s">
        <v>120</v>
      </c>
      <c r="J4608" s="53">
        <f t="shared" si="2265"/>
        <v>800000</v>
      </c>
      <c r="K4608" s="63">
        <f t="shared" si="2266"/>
        <v>0.41558441558441561</v>
      </c>
      <c r="L4608" s="871" t="s">
        <v>3223</v>
      </c>
      <c r="M4608" s="468"/>
      <c r="N4608" s="1192">
        <f>A4608</f>
        <v>44531</v>
      </c>
      <c r="O4608" s="71" t="s">
        <v>150</v>
      </c>
      <c r="P4608" s="103" t="str">
        <f t="shared" si="2270"/>
        <v>Fount Web 551AF</v>
      </c>
      <c r="Q4608" s="71">
        <f t="shared" si="2267"/>
        <v>10</v>
      </c>
      <c r="R4608" s="102">
        <v>112500</v>
      </c>
      <c r="S4608" s="102">
        <f t="shared" si="2268"/>
        <v>1237500</v>
      </c>
      <c r="T4608" s="102">
        <f t="shared" si="2269"/>
        <v>1125000</v>
      </c>
      <c r="U4608" s="71" t="str">
        <f>IF(J4608=W4608,"O", "X")</f>
        <v>X</v>
      </c>
      <c r="V4608" s="71"/>
      <c r="W4608" s="474">
        <v>640000</v>
      </c>
      <c r="X4608" s="71"/>
      <c r="Y4608" s="71"/>
    </row>
    <row r="4609" spans="1:25" s="209" customFormat="1" ht="30" hidden="1" customHeight="1" x14ac:dyDescent="0.2">
      <c r="A4609" s="1145">
        <v>44533</v>
      </c>
      <c r="B4609" s="664" t="s">
        <v>764</v>
      </c>
      <c r="C4609" s="71" t="s">
        <v>236</v>
      </c>
      <c r="D4609" s="71">
        <v>10</v>
      </c>
      <c r="E4609" s="102">
        <v>100000</v>
      </c>
      <c r="F4609" s="163">
        <f t="shared" si="2272"/>
        <v>1100000</v>
      </c>
      <c r="G4609" s="102">
        <f>(E4609*D4609)</f>
        <v>1000000</v>
      </c>
      <c r="H4609" s="690" t="s">
        <v>173</v>
      </c>
      <c r="I4609" s="71" t="s">
        <v>2231</v>
      </c>
      <c r="J4609" s="53">
        <f t="shared" si="2265"/>
        <v>500000</v>
      </c>
      <c r="K4609" s="63">
        <f t="shared" si="2266"/>
        <v>0.5</v>
      </c>
      <c r="L4609" s="871" t="s">
        <v>3223</v>
      </c>
      <c r="M4609" s="468"/>
      <c r="N4609" s="1192">
        <f>A4609</f>
        <v>44533</v>
      </c>
      <c r="O4609" s="71" t="s">
        <v>153</v>
      </c>
      <c r="P4609" s="103" t="str">
        <f t="shared" si="2270"/>
        <v>아스테이지(국전)</v>
      </c>
      <c r="Q4609" s="71">
        <f t="shared" si="2267"/>
        <v>10</v>
      </c>
      <c r="R4609" s="102">
        <v>50000</v>
      </c>
      <c r="S4609" s="102">
        <f t="shared" si="2268"/>
        <v>550000</v>
      </c>
      <c r="T4609" s="102">
        <f t="shared" si="2269"/>
        <v>500000</v>
      </c>
      <c r="U4609" s="71" t="str">
        <f>IF(J4609=W4609,"O", "X")</f>
        <v>O</v>
      </c>
      <c r="V4609" s="71"/>
      <c r="W4609" s="474">
        <v>500000</v>
      </c>
      <c r="X4609" s="71"/>
      <c r="Y4609" s="71"/>
    </row>
    <row r="4610" spans="1:25" ht="30" hidden="1" customHeight="1" x14ac:dyDescent="0.25">
      <c r="A4610" s="1145">
        <v>44533</v>
      </c>
      <c r="B4610" s="664" t="s">
        <v>545</v>
      </c>
      <c r="C4610" s="71" t="s">
        <v>227</v>
      </c>
      <c r="D4610" s="71">
        <v>10</v>
      </c>
      <c r="E4610" s="102">
        <v>110000</v>
      </c>
      <c r="F4610" s="102">
        <f t="shared" si="2272"/>
        <v>1210000</v>
      </c>
      <c r="G4610" s="102">
        <f>(E4610*D4610)</f>
        <v>1100000</v>
      </c>
      <c r="H4610" s="690" t="s">
        <v>173</v>
      </c>
      <c r="I4610" s="71" t="s">
        <v>109</v>
      </c>
      <c r="J4610" s="53">
        <f t="shared" si="2265"/>
        <v>206000</v>
      </c>
      <c r="K4610" s="63">
        <f t="shared" si="2266"/>
        <v>0.18727272727272729</v>
      </c>
      <c r="L4610" s="871" t="s">
        <v>3223</v>
      </c>
      <c r="M4610" s="468"/>
      <c r="N4610" s="1192">
        <f t="shared" si="2271"/>
        <v>44533</v>
      </c>
      <c r="O4610" s="71" t="s">
        <v>147</v>
      </c>
      <c r="P4610" s="103" t="str">
        <f t="shared" si="2270"/>
        <v>Blanket(1060*860)</v>
      </c>
      <c r="Q4610" s="71">
        <f>D4610</f>
        <v>10</v>
      </c>
      <c r="R4610" s="102">
        <v>89400</v>
      </c>
      <c r="S4610" s="102">
        <f t="shared" si="2268"/>
        <v>983400.00000000012</v>
      </c>
      <c r="T4610" s="102">
        <f t="shared" si="2269"/>
        <v>894000</v>
      </c>
      <c r="U4610" s="71" t="str">
        <f>IF(J4610=W4610,"O", "X")</f>
        <v>O</v>
      </c>
      <c r="V4610" s="71"/>
      <c r="W4610" s="474">
        <f>(G4610-T4610)</f>
        <v>206000</v>
      </c>
      <c r="X4610" s="71"/>
      <c r="Y4610" s="71"/>
    </row>
    <row r="4611" spans="1:25" ht="30" hidden="1" customHeight="1" x14ac:dyDescent="0.25">
      <c r="A4611" s="1145">
        <v>44537</v>
      </c>
      <c r="B4611" s="664" t="s">
        <v>548</v>
      </c>
      <c r="C4611" s="71" t="s">
        <v>2973</v>
      </c>
      <c r="D4611" s="71">
        <v>10</v>
      </c>
      <c r="E4611" s="102">
        <v>100000</v>
      </c>
      <c r="F4611" s="102">
        <f t="shared" si="2272"/>
        <v>1100000</v>
      </c>
      <c r="G4611" s="102">
        <f t="shared" si="2264"/>
        <v>1000000</v>
      </c>
      <c r="H4611" s="690" t="s">
        <v>173</v>
      </c>
      <c r="I4611" s="71" t="s">
        <v>2231</v>
      </c>
      <c r="J4611" s="53">
        <f t="shared" si="2265"/>
        <v>70000</v>
      </c>
      <c r="K4611" s="63">
        <v>0.13800000000000001</v>
      </c>
      <c r="L4611" s="871" t="s">
        <v>3223</v>
      </c>
      <c r="M4611" s="468"/>
      <c r="N4611" s="1192">
        <f t="shared" si="2271"/>
        <v>44537</v>
      </c>
      <c r="O4611" s="71" t="s">
        <v>147</v>
      </c>
      <c r="P4611" s="103" t="str">
        <f t="shared" si="2270"/>
        <v>1077*885 하이델 bar 블랑켓</v>
      </c>
      <c r="Q4611" s="71">
        <f>D4611</f>
        <v>10</v>
      </c>
      <c r="R4611" s="102">
        <v>93000</v>
      </c>
      <c r="S4611" s="102">
        <f t="shared" si="2268"/>
        <v>1023000.0000000001</v>
      </c>
      <c r="T4611" s="102">
        <f t="shared" si="2269"/>
        <v>930000</v>
      </c>
      <c r="U4611" s="71"/>
      <c r="V4611" s="71"/>
      <c r="W4611" s="474"/>
      <c r="X4611" s="71"/>
      <c r="Y4611" s="71"/>
    </row>
    <row r="4612" spans="1:25" ht="30" hidden="1" customHeight="1" x14ac:dyDescent="0.2">
      <c r="A4612" s="1145">
        <v>44537</v>
      </c>
      <c r="B4612" s="664" t="s">
        <v>548</v>
      </c>
      <c r="C4612" s="71" t="s">
        <v>107</v>
      </c>
      <c r="D4612" s="71">
        <v>10</v>
      </c>
      <c r="E4612" s="102">
        <v>90000</v>
      </c>
      <c r="F4612" s="102">
        <f t="shared" si="2272"/>
        <v>990000.00000000012</v>
      </c>
      <c r="G4612" s="102">
        <f t="shared" si="2264"/>
        <v>900000</v>
      </c>
      <c r="H4612" s="165" t="s">
        <v>172</v>
      </c>
      <c r="I4612" s="71" t="s">
        <v>109</v>
      </c>
      <c r="J4612" s="53">
        <f t="shared" si="2265"/>
        <v>32000</v>
      </c>
      <c r="K4612" s="63">
        <v>0.10555555555555554</v>
      </c>
      <c r="L4612" s="871" t="s">
        <v>3223</v>
      </c>
      <c r="M4612" s="468"/>
      <c r="N4612" s="1192">
        <f t="shared" si="2271"/>
        <v>44537</v>
      </c>
      <c r="O4612" s="71" t="s">
        <v>147</v>
      </c>
      <c r="P4612" s="103" t="str">
        <f t="shared" si="2270"/>
        <v>Blanket(1050*840)</v>
      </c>
      <c r="Q4612" s="71">
        <f>D4612</f>
        <v>10</v>
      </c>
      <c r="R4612" s="102">
        <v>86800</v>
      </c>
      <c r="S4612" s="102">
        <f t="shared" si="2268"/>
        <v>954800.00000000012</v>
      </c>
      <c r="T4612" s="102">
        <f t="shared" si="2269"/>
        <v>868000</v>
      </c>
      <c r="U4612" s="71" t="s">
        <v>859</v>
      </c>
      <c r="V4612" s="71"/>
      <c r="W4612" s="474">
        <v>95000</v>
      </c>
      <c r="X4612" s="71"/>
      <c r="Y4612" s="71"/>
    </row>
    <row r="4613" spans="1:25" s="209" customFormat="1" ht="30" hidden="1" customHeight="1" x14ac:dyDescent="0.25">
      <c r="A4613" s="1145">
        <v>44537</v>
      </c>
      <c r="B4613" s="664" t="s">
        <v>442</v>
      </c>
      <c r="C4613" s="71" t="s">
        <v>138</v>
      </c>
      <c r="D4613" s="71">
        <v>20</v>
      </c>
      <c r="E4613" s="102">
        <v>62500</v>
      </c>
      <c r="F4613" s="102">
        <f t="shared" si="2272"/>
        <v>1375000</v>
      </c>
      <c r="G4613" s="102">
        <f>(E4613*D4613)</f>
        <v>1250000</v>
      </c>
      <c r="H4613" s="690" t="s">
        <v>173</v>
      </c>
      <c r="I4613" s="71" t="s">
        <v>108</v>
      </c>
      <c r="J4613" s="53">
        <f t="shared" si="2265"/>
        <v>434000</v>
      </c>
      <c r="K4613" s="63">
        <f>(J4613/(F4613/11*10))</f>
        <v>0.34720000000000001</v>
      </c>
      <c r="L4613" s="871" t="s">
        <v>3223</v>
      </c>
      <c r="M4613" s="468" t="s">
        <v>3080</v>
      </c>
      <c r="N4613" s="1192">
        <f t="shared" si="2271"/>
        <v>44537</v>
      </c>
      <c r="O4613" s="71" t="s">
        <v>150</v>
      </c>
      <c r="P4613" s="103" t="str">
        <f t="shared" si="2270"/>
        <v>매엽용 세척제(Wash 562)</v>
      </c>
      <c r="Q4613" s="71">
        <f>D4613</f>
        <v>20</v>
      </c>
      <c r="R4613" s="102">
        <v>40800</v>
      </c>
      <c r="S4613" s="102">
        <f t="shared" si="2268"/>
        <v>897600.00000000012</v>
      </c>
      <c r="T4613" s="102">
        <f t="shared" si="2269"/>
        <v>816000</v>
      </c>
      <c r="U4613" s="71" t="str">
        <f>IF(J4613=W4613,"O", "X")</f>
        <v>X</v>
      </c>
      <c r="V4613" s="71"/>
      <c r="W4613" s="474">
        <v>396000</v>
      </c>
      <c r="X4613" s="71"/>
      <c r="Y4613" s="71"/>
    </row>
    <row r="4614" spans="1:25" ht="30" hidden="1" customHeight="1" x14ac:dyDescent="0.25">
      <c r="A4614" s="1145">
        <v>44538</v>
      </c>
      <c r="B4614" s="664" t="s">
        <v>545</v>
      </c>
      <c r="C4614" s="71" t="s">
        <v>3195</v>
      </c>
      <c r="D4614" s="71">
        <v>2</v>
      </c>
      <c r="E4614" s="102">
        <v>175000</v>
      </c>
      <c r="F4614" s="102">
        <f t="shared" si="2272"/>
        <v>385000.00000000006</v>
      </c>
      <c r="G4614" s="102">
        <f>(E4614*D4614)</f>
        <v>350000</v>
      </c>
      <c r="H4614" s="690" t="s">
        <v>173</v>
      </c>
      <c r="I4614" s="71" t="s">
        <v>108</v>
      </c>
      <c r="J4614" s="53">
        <f t="shared" si="2265"/>
        <v>90000</v>
      </c>
      <c r="K4614" s="63">
        <f>(J4614/(F4614/11*10))</f>
        <v>0.25714285714285712</v>
      </c>
      <c r="L4614" s="871" t="s">
        <v>3223</v>
      </c>
      <c r="M4614" s="468"/>
      <c r="N4614" s="1192">
        <f t="shared" si="2271"/>
        <v>44538</v>
      </c>
      <c r="O4614" s="71" t="s">
        <v>148</v>
      </c>
      <c r="P4614" s="103" t="str">
        <f t="shared" si="2270"/>
        <v>UV wash offset UV</v>
      </c>
      <c r="Q4614" s="71">
        <f>D4614</f>
        <v>2</v>
      </c>
      <c r="R4614" s="102">
        <v>130000</v>
      </c>
      <c r="S4614" s="102">
        <f t="shared" si="2268"/>
        <v>286000</v>
      </c>
      <c r="T4614" s="102">
        <f t="shared" si="2269"/>
        <v>260000</v>
      </c>
      <c r="U4614" s="71"/>
      <c r="V4614" s="71"/>
      <c r="W4614" s="474"/>
      <c r="X4614" s="71"/>
      <c r="Y4614" s="71"/>
    </row>
    <row r="4615" spans="1:25" ht="31.5" hidden="1" customHeight="1" x14ac:dyDescent="0.25">
      <c r="A4615" s="1145">
        <v>44538</v>
      </c>
      <c r="B4615" s="664" t="s">
        <v>545</v>
      </c>
      <c r="C4615" s="71" t="s">
        <v>911</v>
      </c>
      <c r="D4615" s="71">
        <v>1</v>
      </c>
      <c r="E4615" s="102">
        <v>250000</v>
      </c>
      <c r="F4615" s="102">
        <f t="shared" si="2272"/>
        <v>275000</v>
      </c>
      <c r="G4615" s="102">
        <f>(E4615*D4615)</f>
        <v>250000</v>
      </c>
      <c r="H4615" s="690" t="s">
        <v>173</v>
      </c>
      <c r="I4615" s="71" t="s">
        <v>2231</v>
      </c>
      <c r="J4615" s="53">
        <f t="shared" si="2265"/>
        <v>175000</v>
      </c>
      <c r="K4615" s="63">
        <f>(J4615/(F4615/11*10))</f>
        <v>0.7</v>
      </c>
      <c r="L4615" s="871" t="s">
        <v>3223</v>
      </c>
      <c r="M4615" s="468"/>
      <c r="N4615" s="1192">
        <f t="shared" si="2271"/>
        <v>44538</v>
      </c>
      <c r="O4615" s="71" t="s">
        <v>994</v>
      </c>
      <c r="P4615" s="103" t="str">
        <f t="shared" si="2270"/>
        <v>콤푸레샤 에어필터</v>
      </c>
      <c r="Q4615" s="71">
        <f t="shared" ref="Q4615:Q4626" si="2273">D4615</f>
        <v>1</v>
      </c>
      <c r="R4615" s="102">
        <v>75000</v>
      </c>
      <c r="S4615" s="102">
        <f t="shared" si="2268"/>
        <v>82500</v>
      </c>
      <c r="T4615" s="102">
        <f t="shared" si="2269"/>
        <v>75000</v>
      </c>
      <c r="U4615" s="71" t="str">
        <f>IF(J4615=W4615,"O", "X")</f>
        <v>O</v>
      </c>
      <c r="V4615" s="71"/>
      <c r="W4615" s="474">
        <f>(G4615-T4615)</f>
        <v>175000</v>
      </c>
      <c r="X4615" s="71"/>
      <c r="Y4615" s="71"/>
    </row>
    <row r="4616" spans="1:25" ht="30" hidden="1" customHeight="1" x14ac:dyDescent="0.25">
      <c r="A4616" s="1145">
        <v>44538</v>
      </c>
      <c r="B4616" s="664" t="s">
        <v>1155</v>
      </c>
      <c r="C4616" s="71" t="s">
        <v>579</v>
      </c>
      <c r="D4616" s="71">
        <v>1</v>
      </c>
      <c r="E4616" s="102">
        <v>280000</v>
      </c>
      <c r="F4616" s="102">
        <f t="shared" si="2263"/>
        <v>308000</v>
      </c>
      <c r="G4616" s="102">
        <f t="shared" si="2264"/>
        <v>280000</v>
      </c>
      <c r="H4616" s="690" t="s">
        <v>985</v>
      </c>
      <c r="I4616" s="690" t="s">
        <v>985</v>
      </c>
      <c r="J4616" s="53"/>
      <c r="K4616" s="63"/>
      <c r="L4616" s="871" t="s">
        <v>3223</v>
      </c>
      <c r="M4616" s="468"/>
      <c r="N4616" s="1192">
        <f t="shared" ref="N4616:N4623" si="2274">A4616</f>
        <v>44538</v>
      </c>
      <c r="O4616" s="71"/>
      <c r="P4616" s="103" t="str">
        <f t="shared" si="2270"/>
        <v>M-600 서비스 비용</v>
      </c>
      <c r="Q4616" s="71">
        <f t="shared" si="2273"/>
        <v>1</v>
      </c>
      <c r="R4616" s="102"/>
      <c r="S4616" s="102">
        <f t="shared" si="2268"/>
        <v>0</v>
      </c>
      <c r="T4616" s="102">
        <f t="shared" si="2269"/>
        <v>0</v>
      </c>
      <c r="U4616" s="71"/>
      <c r="V4616" s="71"/>
      <c r="W4616" s="474"/>
      <c r="X4616" s="71"/>
      <c r="Y4616" s="71"/>
    </row>
    <row r="4617" spans="1:25" ht="30" hidden="1" customHeight="1" x14ac:dyDescent="0.25">
      <c r="A4617" s="1145">
        <v>44538</v>
      </c>
      <c r="B4617" s="664" t="s">
        <v>627</v>
      </c>
      <c r="C4617" s="71" t="s">
        <v>114</v>
      </c>
      <c r="D4617" s="71">
        <v>20</v>
      </c>
      <c r="E4617" s="102">
        <v>19000</v>
      </c>
      <c r="F4617" s="102">
        <f t="shared" si="2263"/>
        <v>418000.00000000006</v>
      </c>
      <c r="G4617" s="102">
        <f t="shared" si="2264"/>
        <v>380000</v>
      </c>
      <c r="H4617" s="690" t="s">
        <v>1431</v>
      </c>
      <c r="I4617" s="103" t="s">
        <v>1431</v>
      </c>
      <c r="J4617" s="53">
        <f t="shared" ref="J4617:J4633" si="2275">G4617-T4617</f>
        <v>200000</v>
      </c>
      <c r="K4617" s="63">
        <f t="shared" ref="K4617:K4623" si="2276">(J4617/(F4617/11*10))</f>
        <v>0.52631578947368418</v>
      </c>
      <c r="L4617" s="871" t="s">
        <v>3223</v>
      </c>
      <c r="M4617" s="468"/>
      <c r="N4617" s="1192">
        <f t="shared" si="2274"/>
        <v>44538</v>
      </c>
      <c r="O4617" s="71" t="s">
        <v>1431</v>
      </c>
      <c r="P4617" s="103" t="str">
        <f t="shared" si="2270"/>
        <v>스트리퍼</v>
      </c>
      <c r="Q4617" s="71">
        <f t="shared" si="2273"/>
        <v>20</v>
      </c>
      <c r="R4617" s="102">
        <v>9000</v>
      </c>
      <c r="S4617" s="102">
        <f t="shared" si="2268"/>
        <v>198000.00000000003</v>
      </c>
      <c r="T4617" s="102">
        <f t="shared" si="2269"/>
        <v>180000</v>
      </c>
      <c r="U4617" s="71"/>
      <c r="V4617" s="71"/>
      <c r="W4617" s="474"/>
      <c r="X4617" s="71"/>
      <c r="Y4617" s="71"/>
    </row>
    <row r="4618" spans="1:25" ht="30" hidden="1" customHeight="1" x14ac:dyDescent="0.2">
      <c r="A4618" s="1145">
        <v>44538</v>
      </c>
      <c r="B4618" s="664" t="s">
        <v>2353</v>
      </c>
      <c r="C4618" s="71" t="s">
        <v>129</v>
      </c>
      <c r="D4618" s="71">
        <v>7</v>
      </c>
      <c r="E4618" s="102">
        <v>272000</v>
      </c>
      <c r="F4618" s="102">
        <f t="shared" si="2263"/>
        <v>2094400.0000000002</v>
      </c>
      <c r="G4618" s="102">
        <f t="shared" si="2264"/>
        <v>1904000</v>
      </c>
      <c r="H4618" s="165" t="s">
        <v>142</v>
      </c>
      <c r="I4618" s="71" t="s">
        <v>142</v>
      </c>
      <c r="J4618" s="53">
        <f t="shared" si="2275"/>
        <v>414400</v>
      </c>
      <c r="K4618" s="63">
        <f t="shared" si="2276"/>
        <v>0.21764705882352939</v>
      </c>
      <c r="L4618" s="871" t="s">
        <v>3223</v>
      </c>
      <c r="M4618" s="468" t="s">
        <v>2050</v>
      </c>
      <c r="N4618" s="1192">
        <f t="shared" si="2274"/>
        <v>44538</v>
      </c>
      <c r="O4618" s="71" t="s">
        <v>149</v>
      </c>
      <c r="P4618" s="103" t="str">
        <f t="shared" si="2270"/>
        <v>세정포-XL106</v>
      </c>
      <c r="Q4618" s="71">
        <f t="shared" si="2273"/>
        <v>7</v>
      </c>
      <c r="R4618" s="102">
        <v>212800</v>
      </c>
      <c r="S4618" s="102">
        <f t="shared" si="2268"/>
        <v>1638560.0000000002</v>
      </c>
      <c r="T4618" s="102">
        <f t="shared" si="2269"/>
        <v>1489600</v>
      </c>
      <c r="U4618" s="71" t="str">
        <f>IF(J4618=W4618,"O", "X")</f>
        <v>O</v>
      </c>
      <c r="V4618" s="71"/>
      <c r="W4618" s="474">
        <f>(G4618-T4618)</f>
        <v>414400</v>
      </c>
      <c r="X4618" s="71"/>
      <c r="Y4618" s="71"/>
    </row>
    <row r="4619" spans="1:25" ht="30" hidden="1" customHeight="1" x14ac:dyDescent="0.25">
      <c r="A4619" s="1145">
        <v>44539</v>
      </c>
      <c r="B4619" s="664" t="s">
        <v>2155</v>
      </c>
      <c r="C4619" s="71" t="s">
        <v>277</v>
      </c>
      <c r="D4619" s="71">
        <v>10</v>
      </c>
      <c r="E4619" s="102">
        <v>172000</v>
      </c>
      <c r="F4619" s="102">
        <f>(E4619*D4619)*1.1</f>
        <v>1892000.0000000002</v>
      </c>
      <c r="G4619" s="102">
        <f>(E4619*D4619)</f>
        <v>1720000</v>
      </c>
      <c r="H4619" s="690" t="s">
        <v>173</v>
      </c>
      <c r="I4619" s="71" t="s">
        <v>108</v>
      </c>
      <c r="J4619" s="53">
        <f t="shared" si="2275"/>
        <v>570000</v>
      </c>
      <c r="K4619" s="63">
        <f t="shared" si="2276"/>
        <v>0.33139534883720928</v>
      </c>
      <c r="L4619" s="871" t="s">
        <v>3223</v>
      </c>
      <c r="M4619" s="468"/>
      <c r="N4619" s="1192">
        <f t="shared" si="2274"/>
        <v>44539</v>
      </c>
      <c r="O4619" s="71" t="s">
        <v>150</v>
      </c>
      <c r="P4619" s="103" t="str">
        <f t="shared" si="2270"/>
        <v>윤전용 세척제(Web 504)</v>
      </c>
      <c r="Q4619" s="71">
        <f t="shared" si="2273"/>
        <v>10</v>
      </c>
      <c r="R4619" s="102">
        <v>115000</v>
      </c>
      <c r="S4619" s="102">
        <f t="shared" si="2268"/>
        <v>1265000</v>
      </c>
      <c r="T4619" s="102">
        <f t="shared" si="2269"/>
        <v>1150000</v>
      </c>
      <c r="U4619" s="71" t="str">
        <f>IF(J4619=W4619,"O", "X")</f>
        <v>X</v>
      </c>
      <c r="V4619" s="71"/>
      <c r="W4619" s="474">
        <v>285000</v>
      </c>
      <c r="X4619" s="71"/>
      <c r="Y4619" s="71"/>
    </row>
    <row r="4620" spans="1:25" ht="30" hidden="1" customHeight="1" x14ac:dyDescent="0.25">
      <c r="A4620" s="1145">
        <v>44539</v>
      </c>
      <c r="B4620" s="664" t="s">
        <v>2155</v>
      </c>
      <c r="C4620" s="760" t="s">
        <v>218</v>
      </c>
      <c r="D4620" s="71">
        <v>5</v>
      </c>
      <c r="E4620" s="102">
        <v>192500</v>
      </c>
      <c r="F4620" s="102">
        <f>(E4620*D4620)*1.1</f>
        <v>1058750</v>
      </c>
      <c r="G4620" s="102">
        <f>(E4620*D4620)</f>
        <v>962500</v>
      </c>
      <c r="H4620" s="690" t="s">
        <v>173</v>
      </c>
      <c r="I4620" s="71" t="s">
        <v>120</v>
      </c>
      <c r="J4620" s="53">
        <f t="shared" si="2275"/>
        <v>400000</v>
      </c>
      <c r="K4620" s="63">
        <f t="shared" si="2276"/>
        <v>0.41558441558441561</v>
      </c>
      <c r="L4620" s="871" t="s">
        <v>3223</v>
      </c>
      <c r="M4620" s="468"/>
      <c r="N4620" s="1192">
        <f t="shared" si="2274"/>
        <v>44539</v>
      </c>
      <c r="O4620" s="71" t="s">
        <v>150</v>
      </c>
      <c r="P4620" s="103" t="str">
        <f t="shared" si="2270"/>
        <v>Fount Web 551AF</v>
      </c>
      <c r="Q4620" s="71">
        <f t="shared" si="2273"/>
        <v>5</v>
      </c>
      <c r="R4620" s="102">
        <v>112500</v>
      </c>
      <c r="S4620" s="102">
        <f t="shared" si="2268"/>
        <v>618750</v>
      </c>
      <c r="T4620" s="102">
        <f t="shared" si="2269"/>
        <v>562500</v>
      </c>
      <c r="U4620" s="71" t="str">
        <f>IF(J4620=W4620,"O", "X")</f>
        <v>X</v>
      </c>
      <c r="V4620" s="71"/>
      <c r="W4620" s="474">
        <v>640000</v>
      </c>
      <c r="X4620" s="71"/>
      <c r="Y4620" s="71"/>
    </row>
    <row r="4621" spans="1:25" s="209" customFormat="1" ht="31.5" hidden="1" customHeight="1" x14ac:dyDescent="0.2">
      <c r="A4621" s="1145">
        <v>44539</v>
      </c>
      <c r="B4621" s="664" t="s">
        <v>2155</v>
      </c>
      <c r="C4621" s="71" t="s">
        <v>231</v>
      </c>
      <c r="D4621" s="71">
        <v>10</v>
      </c>
      <c r="E4621" s="102">
        <v>120000</v>
      </c>
      <c r="F4621" s="102">
        <f>(E4621*D4621)*1.1</f>
        <v>1320000</v>
      </c>
      <c r="G4621" s="102">
        <f>(E4621*D4621)</f>
        <v>1200000</v>
      </c>
      <c r="H4621" s="165" t="s">
        <v>172</v>
      </c>
      <c r="I4621" s="71" t="s">
        <v>109</v>
      </c>
      <c r="J4621" s="53">
        <f t="shared" si="2275"/>
        <v>80000</v>
      </c>
      <c r="K4621" s="63">
        <f t="shared" si="2276"/>
        <v>6.6666666666666666E-2</v>
      </c>
      <c r="L4621" s="871" t="s">
        <v>3223</v>
      </c>
      <c r="M4621" s="468"/>
      <c r="N4621" s="1192">
        <f t="shared" si="2274"/>
        <v>44539</v>
      </c>
      <c r="O4621" s="71" t="s">
        <v>151</v>
      </c>
      <c r="P4621" s="103" t="str">
        <f t="shared" si="2270"/>
        <v>Blanket(990*725)</v>
      </c>
      <c r="Q4621" s="71">
        <f t="shared" si="2273"/>
        <v>10</v>
      </c>
      <c r="R4621" s="102">
        <v>112000</v>
      </c>
      <c r="S4621" s="102">
        <f t="shared" si="2268"/>
        <v>1232000</v>
      </c>
      <c r="T4621" s="102">
        <f t="shared" si="2269"/>
        <v>1120000</v>
      </c>
      <c r="U4621" s="71" t="str">
        <f>IF(J4621=W4621,"O", "X")</f>
        <v>O</v>
      </c>
      <c r="V4621" s="71"/>
      <c r="W4621" s="474">
        <v>80000</v>
      </c>
      <c r="X4621" s="71"/>
      <c r="Y4621" s="71"/>
    </row>
    <row r="4622" spans="1:25" ht="30" customHeight="1" x14ac:dyDescent="0.25">
      <c r="A4622" s="1145">
        <v>44539</v>
      </c>
      <c r="B4622" s="664" t="s">
        <v>2352</v>
      </c>
      <c r="C4622" s="760" t="s">
        <v>218</v>
      </c>
      <c r="D4622" s="71">
        <v>4</v>
      </c>
      <c r="E4622" s="102">
        <v>235000</v>
      </c>
      <c r="F4622" s="102">
        <f>(E4622*D4622)*1.1</f>
        <v>1034000.0000000001</v>
      </c>
      <c r="G4622" s="102">
        <f>(E4622*D4622)</f>
        <v>940000</v>
      </c>
      <c r="H4622" s="690" t="s">
        <v>142</v>
      </c>
      <c r="I4622" s="690" t="s">
        <v>142</v>
      </c>
      <c r="J4622" s="53">
        <f t="shared" si="2275"/>
        <v>490000</v>
      </c>
      <c r="K4622" s="63">
        <f t="shared" si="2276"/>
        <v>0.52127659574468077</v>
      </c>
      <c r="L4622" s="871" t="s">
        <v>3223</v>
      </c>
      <c r="M4622" s="468" t="s">
        <v>2053</v>
      </c>
      <c r="N4622" s="1192">
        <f t="shared" si="2274"/>
        <v>44539</v>
      </c>
      <c r="O4622" s="71" t="s">
        <v>150</v>
      </c>
      <c r="P4622" s="103" t="str">
        <f t="shared" si="2270"/>
        <v>Fount Web 551AF</v>
      </c>
      <c r="Q4622" s="71">
        <f t="shared" si="2273"/>
        <v>4</v>
      </c>
      <c r="R4622" s="102">
        <v>112500</v>
      </c>
      <c r="S4622" s="102">
        <f t="shared" si="2268"/>
        <v>495000.00000000006</v>
      </c>
      <c r="T4622" s="102">
        <f t="shared" si="2269"/>
        <v>450000</v>
      </c>
      <c r="U4622" s="71" t="str">
        <f>IF(J4622=W4622,"O", "X")</f>
        <v>O</v>
      </c>
      <c r="V4622" s="71"/>
      <c r="W4622" s="474">
        <f>(G4622-T4622)</f>
        <v>490000</v>
      </c>
      <c r="X4622" s="71"/>
      <c r="Y4622" s="71"/>
    </row>
    <row r="4623" spans="1:25" ht="30" hidden="1" customHeight="1" x14ac:dyDescent="0.25">
      <c r="A4623" s="1145">
        <v>44539</v>
      </c>
      <c r="B4623" s="664" t="s">
        <v>546</v>
      </c>
      <c r="C4623" s="71" t="s">
        <v>1392</v>
      </c>
      <c r="D4623" s="71">
        <v>1</v>
      </c>
      <c r="E4623" s="102">
        <v>8900000</v>
      </c>
      <c r="F4623" s="102">
        <f t="shared" si="2263"/>
        <v>9790000</v>
      </c>
      <c r="G4623" s="102">
        <f t="shared" si="2264"/>
        <v>8900000</v>
      </c>
      <c r="H4623" s="690" t="s">
        <v>1431</v>
      </c>
      <c r="I4623" s="103" t="s">
        <v>1431</v>
      </c>
      <c r="J4623" s="53">
        <f t="shared" si="2275"/>
        <v>1400000</v>
      </c>
      <c r="K4623" s="63">
        <f t="shared" si="2276"/>
        <v>0.15730337078651685</v>
      </c>
      <c r="L4623" s="871" t="s">
        <v>3223</v>
      </c>
      <c r="M4623" s="468"/>
      <c r="N4623" s="1192">
        <f t="shared" si="2274"/>
        <v>44539</v>
      </c>
      <c r="O4623" s="71" t="s">
        <v>1220</v>
      </c>
      <c r="P4623" s="103" t="str">
        <f t="shared" si="2270"/>
        <v>자동 판걸이 튜브</v>
      </c>
      <c r="Q4623" s="71">
        <f t="shared" si="2273"/>
        <v>1</v>
      </c>
      <c r="R4623" s="102">
        <v>7500000</v>
      </c>
      <c r="S4623" s="102">
        <f t="shared" si="2268"/>
        <v>8250000.0000000009</v>
      </c>
      <c r="T4623" s="102">
        <f t="shared" si="2269"/>
        <v>7500000</v>
      </c>
      <c r="U4623" s="71"/>
      <c r="V4623" s="71"/>
      <c r="W4623" s="474"/>
      <c r="X4623" s="71"/>
      <c r="Y4623" s="71"/>
    </row>
    <row r="4624" spans="1:25" ht="30" hidden="1" customHeight="1" x14ac:dyDescent="0.25">
      <c r="A4624" s="1145">
        <v>44540</v>
      </c>
      <c r="B4624" s="664" t="s">
        <v>442</v>
      </c>
      <c r="C4624" s="71" t="s">
        <v>206</v>
      </c>
      <c r="D4624" s="71">
        <v>5</v>
      </c>
      <c r="E4624" s="102">
        <v>366500</v>
      </c>
      <c r="F4624" s="102">
        <f t="shared" si="2263"/>
        <v>2015750.0000000002</v>
      </c>
      <c r="G4624" s="102">
        <f t="shared" si="2264"/>
        <v>1832500</v>
      </c>
      <c r="H4624" s="690" t="s">
        <v>2029</v>
      </c>
      <c r="I4624" s="71" t="s">
        <v>195</v>
      </c>
      <c r="J4624" s="53">
        <f t="shared" si="2275"/>
        <v>375700</v>
      </c>
      <c r="K4624" s="63">
        <f t="shared" ref="K4624:K4631" si="2277">(J4624/(F4624/11*10))</f>
        <v>0.20502046384720324</v>
      </c>
      <c r="L4624" s="871" t="s">
        <v>3223</v>
      </c>
      <c r="M4624" s="468"/>
      <c r="N4624" s="1192">
        <f t="shared" ref="N4624:N4631" si="2278">A4624</f>
        <v>44540</v>
      </c>
      <c r="O4624" s="71" t="s">
        <v>194</v>
      </c>
      <c r="P4624" s="103" t="str">
        <f t="shared" si="2270"/>
        <v>Agfa Film(24inch)</v>
      </c>
      <c r="Q4624" s="71">
        <f t="shared" si="2273"/>
        <v>5</v>
      </c>
      <c r="R4624" s="102">
        <v>291360</v>
      </c>
      <c r="S4624" s="102">
        <f t="shared" si="2268"/>
        <v>1602480.0000000002</v>
      </c>
      <c r="T4624" s="102">
        <f t="shared" si="2269"/>
        <v>1456800</v>
      </c>
      <c r="U4624" s="71" t="str">
        <f>IF(J4624=W4624,"O", "X")</f>
        <v>O</v>
      </c>
      <c r="V4624" s="71"/>
      <c r="W4624" s="474">
        <f>(G4624-T4624)</f>
        <v>375700</v>
      </c>
      <c r="X4624" s="71"/>
      <c r="Y4624" s="71"/>
    </row>
    <row r="4625" spans="1:25" ht="30" hidden="1" customHeight="1" x14ac:dyDescent="0.25">
      <c r="A4625" s="1145">
        <v>44540</v>
      </c>
      <c r="B4625" s="664" t="s">
        <v>442</v>
      </c>
      <c r="C4625" s="71" t="s">
        <v>207</v>
      </c>
      <c r="D4625" s="71">
        <v>5</v>
      </c>
      <c r="E4625" s="102">
        <v>451000</v>
      </c>
      <c r="F4625" s="102">
        <f t="shared" si="2263"/>
        <v>2480500</v>
      </c>
      <c r="G4625" s="102">
        <f t="shared" si="2264"/>
        <v>2255000</v>
      </c>
      <c r="H4625" s="690" t="s">
        <v>2029</v>
      </c>
      <c r="I4625" s="71" t="s">
        <v>195</v>
      </c>
      <c r="J4625" s="53">
        <f t="shared" si="2275"/>
        <v>685200</v>
      </c>
      <c r="K4625" s="63">
        <f t="shared" si="2277"/>
        <v>0.30385809312638579</v>
      </c>
      <c r="L4625" s="871" t="s">
        <v>3223</v>
      </c>
      <c r="M4625" s="468"/>
      <c r="N4625" s="1192">
        <f t="shared" si="2278"/>
        <v>44540</v>
      </c>
      <c r="O4625" s="71" t="s">
        <v>194</v>
      </c>
      <c r="P4625" s="103" t="str">
        <f t="shared" si="2270"/>
        <v>Agfa Film(28inch)</v>
      </c>
      <c r="Q4625" s="71">
        <f t="shared" si="2273"/>
        <v>5</v>
      </c>
      <c r="R4625" s="102">
        <f>VLOOKUP(P4625,[5]Price!B$1:D$65536,3,FALSE)</f>
        <v>313960</v>
      </c>
      <c r="S4625" s="102">
        <f t="shared" si="2268"/>
        <v>1726780.0000000002</v>
      </c>
      <c r="T4625" s="102">
        <f t="shared" si="2269"/>
        <v>1569800</v>
      </c>
      <c r="U4625" s="71" t="str">
        <f>IF(J4625=W4625,"O", "X")</f>
        <v>O</v>
      </c>
      <c r="V4625" s="71"/>
      <c r="W4625" s="474">
        <f>(G4625-T4625)</f>
        <v>685200</v>
      </c>
      <c r="X4625" s="71"/>
      <c r="Y4625" s="71"/>
    </row>
    <row r="4626" spans="1:25" ht="30" hidden="1" customHeight="1" x14ac:dyDescent="0.25">
      <c r="A4626" s="1145">
        <v>44540</v>
      </c>
      <c r="B4626" s="664" t="s">
        <v>442</v>
      </c>
      <c r="C4626" s="71" t="s">
        <v>208</v>
      </c>
      <c r="D4626" s="71">
        <v>4</v>
      </c>
      <c r="E4626" s="102">
        <v>505000</v>
      </c>
      <c r="F4626" s="102">
        <f t="shared" si="2263"/>
        <v>2222000</v>
      </c>
      <c r="G4626" s="102">
        <f t="shared" si="2264"/>
        <v>2020000</v>
      </c>
      <c r="H4626" s="690" t="s">
        <v>2029</v>
      </c>
      <c r="I4626" s="71" t="s">
        <v>195</v>
      </c>
      <c r="J4626" s="53">
        <f t="shared" si="2275"/>
        <v>418600</v>
      </c>
      <c r="K4626" s="63">
        <f t="shared" si="2277"/>
        <v>0.20722772277227722</v>
      </c>
      <c r="L4626" s="871" t="s">
        <v>3223</v>
      </c>
      <c r="M4626" s="468"/>
      <c r="N4626" s="1192">
        <f t="shared" si="2278"/>
        <v>44540</v>
      </c>
      <c r="O4626" s="71" t="s">
        <v>194</v>
      </c>
      <c r="P4626" s="103" t="str">
        <f t="shared" si="2270"/>
        <v>Agfa Film(32inch)</v>
      </c>
      <c r="Q4626" s="71">
        <f t="shared" si="2273"/>
        <v>4</v>
      </c>
      <c r="R4626" s="102">
        <v>400350</v>
      </c>
      <c r="S4626" s="102">
        <f t="shared" si="2268"/>
        <v>1761540.0000000002</v>
      </c>
      <c r="T4626" s="102">
        <f t="shared" si="2269"/>
        <v>1601400</v>
      </c>
      <c r="U4626" s="71" t="str">
        <f>IF(J4626=W4626,"O", "X")</f>
        <v>O</v>
      </c>
      <c r="V4626" s="71"/>
      <c r="W4626" s="474">
        <f>(G4626-T4626)</f>
        <v>418600</v>
      </c>
      <c r="X4626" s="71"/>
      <c r="Y4626" s="71"/>
    </row>
    <row r="4627" spans="1:25" ht="30" hidden="1" customHeight="1" x14ac:dyDescent="0.25">
      <c r="A4627" s="1145">
        <v>44540</v>
      </c>
      <c r="B4627" s="664" t="s">
        <v>442</v>
      </c>
      <c r="C4627" s="71" t="s">
        <v>208</v>
      </c>
      <c r="D4627" s="71">
        <v>1</v>
      </c>
      <c r="E4627" s="102">
        <v>505000</v>
      </c>
      <c r="F4627" s="102">
        <f>(E4627*D4627)*1.1</f>
        <v>555500</v>
      </c>
      <c r="G4627" s="102">
        <f>(E4627*D4627)</f>
        <v>505000</v>
      </c>
      <c r="H4627" s="690" t="s">
        <v>2029</v>
      </c>
      <c r="I4627" s="71" t="s">
        <v>195</v>
      </c>
      <c r="J4627" s="53">
        <f t="shared" si="2275"/>
        <v>505000</v>
      </c>
      <c r="K4627" s="63">
        <f t="shared" si="2277"/>
        <v>1</v>
      </c>
      <c r="L4627" s="871" t="s">
        <v>3223</v>
      </c>
      <c r="M4627" s="468" t="s">
        <v>3226</v>
      </c>
      <c r="N4627" s="1192">
        <f t="shared" si="2278"/>
        <v>44540</v>
      </c>
      <c r="O4627" s="71" t="s">
        <v>194</v>
      </c>
      <c r="P4627" s="103" t="str">
        <f t="shared" si="2270"/>
        <v>Agfa Film(32inch)</v>
      </c>
      <c r="Q4627" s="71"/>
      <c r="R4627" s="102">
        <v>400350</v>
      </c>
      <c r="S4627" s="102">
        <f t="shared" ref="S4627:S4658" si="2279">R4627*Q4627*1.1</f>
        <v>0</v>
      </c>
      <c r="T4627" s="102">
        <f t="shared" ref="T4627:T4658" si="2280">R4627*Q4627</f>
        <v>0</v>
      </c>
      <c r="U4627" s="71" t="str">
        <f>IF(J4627=W4627,"O", "X")</f>
        <v>O</v>
      </c>
      <c r="V4627" s="71"/>
      <c r="W4627" s="474">
        <f>(G4627-T4627)</f>
        <v>505000</v>
      </c>
      <c r="X4627" s="71"/>
      <c r="Y4627" s="71"/>
    </row>
    <row r="4628" spans="1:25" ht="30" hidden="1" customHeight="1" x14ac:dyDescent="0.2">
      <c r="A4628" s="1145">
        <v>44540</v>
      </c>
      <c r="B4628" s="664" t="s">
        <v>442</v>
      </c>
      <c r="C4628" s="71" t="s">
        <v>650</v>
      </c>
      <c r="D4628" s="71">
        <v>2</v>
      </c>
      <c r="E4628" s="102">
        <v>93000</v>
      </c>
      <c r="F4628" s="102">
        <f t="shared" si="2263"/>
        <v>204600.00000000003</v>
      </c>
      <c r="G4628" s="102">
        <f t="shared" si="2264"/>
        <v>186000</v>
      </c>
      <c r="H4628" s="165" t="s">
        <v>172</v>
      </c>
      <c r="I4628" s="71" t="s">
        <v>141</v>
      </c>
      <c r="J4628" s="53">
        <f t="shared" si="2275"/>
        <v>66000</v>
      </c>
      <c r="K4628" s="63">
        <f t="shared" si="2277"/>
        <v>0.35483870967741932</v>
      </c>
      <c r="L4628" s="871" t="s">
        <v>3223</v>
      </c>
      <c r="M4628" s="468"/>
      <c r="N4628" s="1192">
        <f t="shared" si="2278"/>
        <v>44540</v>
      </c>
      <c r="O4628" s="71" t="s">
        <v>145</v>
      </c>
      <c r="P4628" s="103" t="str">
        <f t="shared" si="2270"/>
        <v>Agfa 정착액 G333C(20L)</v>
      </c>
      <c r="Q4628" s="71">
        <f t="shared" ref="Q4628:Q4652" si="2281">D4628</f>
        <v>2</v>
      </c>
      <c r="R4628" s="102">
        <f>VLOOKUP(P4628,Price!B:D,3,FALSE)</f>
        <v>60000</v>
      </c>
      <c r="S4628" s="102">
        <f t="shared" si="2279"/>
        <v>132000</v>
      </c>
      <c r="T4628" s="102">
        <f t="shared" si="2280"/>
        <v>120000</v>
      </c>
      <c r="U4628" s="71" t="str">
        <f>IF(J4628=W4628,"O", "X")</f>
        <v>O</v>
      </c>
      <c r="V4628" s="71"/>
      <c r="W4628" s="474">
        <f>(G4628-T4628)</f>
        <v>66000</v>
      </c>
      <c r="X4628" s="71"/>
      <c r="Y4628" s="71"/>
    </row>
    <row r="4629" spans="1:25" ht="30" hidden="1" customHeight="1" x14ac:dyDescent="0.25">
      <c r="A4629" s="1145">
        <v>44543</v>
      </c>
      <c r="B4629" s="664" t="s">
        <v>2569</v>
      </c>
      <c r="C4629" s="71" t="s">
        <v>2974</v>
      </c>
      <c r="D4629" s="71">
        <v>5</v>
      </c>
      <c r="E4629" s="102">
        <v>650000</v>
      </c>
      <c r="F4629" s="102">
        <f t="shared" si="2263"/>
        <v>3575000.0000000005</v>
      </c>
      <c r="G4629" s="102">
        <f t="shared" si="2264"/>
        <v>3250000</v>
      </c>
      <c r="H4629" s="690" t="s">
        <v>142</v>
      </c>
      <c r="I4629" s="690" t="s">
        <v>142</v>
      </c>
      <c r="J4629" s="53">
        <f t="shared" si="2275"/>
        <v>2132825</v>
      </c>
      <c r="K4629" s="63">
        <f t="shared" si="2277"/>
        <v>0.65625384615384608</v>
      </c>
      <c r="L4629" s="871" t="s">
        <v>3223</v>
      </c>
      <c r="M4629" s="468"/>
      <c r="N4629" s="1192">
        <f t="shared" si="2278"/>
        <v>44543</v>
      </c>
      <c r="O4629" s="71" t="s">
        <v>2542</v>
      </c>
      <c r="P4629" s="103" t="str">
        <f t="shared" si="2270"/>
        <v>Baldwin UV 램프 국전</v>
      </c>
      <c r="Q4629" s="71">
        <f t="shared" si="2281"/>
        <v>5</v>
      </c>
      <c r="R4629" s="102">
        <v>223435</v>
      </c>
      <c r="S4629" s="102">
        <f t="shared" si="2279"/>
        <v>1228892.5</v>
      </c>
      <c r="T4629" s="102">
        <f t="shared" si="2280"/>
        <v>1117175</v>
      </c>
      <c r="U4629" s="71"/>
      <c r="V4629" s="71"/>
      <c r="W4629" s="474"/>
      <c r="X4629" s="71"/>
      <c r="Y4629" s="71"/>
    </row>
    <row r="4630" spans="1:25" ht="30" hidden="1" customHeight="1" x14ac:dyDescent="0.25">
      <c r="A4630" s="1145">
        <v>44544</v>
      </c>
      <c r="B4630" s="664" t="s">
        <v>2155</v>
      </c>
      <c r="C4630" s="760" t="s">
        <v>1261</v>
      </c>
      <c r="D4630" s="71">
        <v>2</v>
      </c>
      <c r="E4630" s="102">
        <v>99000</v>
      </c>
      <c r="F4630" s="102">
        <f t="shared" si="2263"/>
        <v>217800.00000000003</v>
      </c>
      <c r="G4630" s="102">
        <f t="shared" si="2264"/>
        <v>198000</v>
      </c>
      <c r="H4630" s="690" t="s">
        <v>173</v>
      </c>
      <c r="I4630" s="71" t="s">
        <v>2231</v>
      </c>
      <c r="J4630" s="53">
        <f t="shared" si="2275"/>
        <v>98000</v>
      </c>
      <c r="K4630" s="63">
        <f t="shared" si="2277"/>
        <v>0.49494949494949486</v>
      </c>
      <c r="L4630" s="871" t="s">
        <v>3223</v>
      </c>
      <c r="M4630" s="468"/>
      <c r="N4630" s="1192">
        <f t="shared" si="2278"/>
        <v>44544</v>
      </c>
      <c r="O4630" s="71" t="s">
        <v>153</v>
      </c>
      <c r="P4630" s="103" t="str">
        <f t="shared" si="2270"/>
        <v>아스테이지</v>
      </c>
      <c r="Q4630" s="71">
        <f t="shared" si="2281"/>
        <v>2</v>
      </c>
      <c r="R4630" s="102">
        <v>50000</v>
      </c>
      <c r="S4630" s="102">
        <f t="shared" si="2279"/>
        <v>110000.00000000001</v>
      </c>
      <c r="T4630" s="102">
        <f t="shared" si="2280"/>
        <v>100000</v>
      </c>
      <c r="U4630" s="71"/>
      <c r="V4630" s="71"/>
      <c r="W4630" s="474"/>
      <c r="X4630" s="71"/>
      <c r="Y4630" s="71"/>
    </row>
    <row r="4631" spans="1:25" ht="30" hidden="1" customHeight="1" x14ac:dyDescent="0.25">
      <c r="A4631" s="1145">
        <v>44544</v>
      </c>
      <c r="B4631" s="664" t="s">
        <v>446</v>
      </c>
      <c r="C4631" s="71" t="s">
        <v>2028</v>
      </c>
      <c r="D4631" s="71">
        <v>20</v>
      </c>
      <c r="E4631" s="102">
        <v>105000</v>
      </c>
      <c r="F4631" s="102">
        <f>(E4631*D4631)*1.1</f>
        <v>2310000</v>
      </c>
      <c r="G4631" s="102">
        <f>(E4631*D4631)</f>
        <v>2100000</v>
      </c>
      <c r="H4631" s="690" t="s">
        <v>2029</v>
      </c>
      <c r="I4631" s="71" t="s">
        <v>2231</v>
      </c>
      <c r="J4631" s="53">
        <f t="shared" si="2275"/>
        <v>280000</v>
      </c>
      <c r="K4631" s="63">
        <f t="shared" si="2277"/>
        <v>0.13333333333333333</v>
      </c>
      <c r="L4631" s="871" t="s">
        <v>3223</v>
      </c>
      <c r="M4631" s="468"/>
      <c r="N4631" s="1192">
        <f t="shared" si="2278"/>
        <v>44544</v>
      </c>
      <c r="O4631" s="71" t="s">
        <v>2030</v>
      </c>
      <c r="P4631" s="103" t="str">
        <f t="shared" si="2270"/>
        <v>실리콘 에멀전</v>
      </c>
      <c r="Q4631" s="71">
        <f t="shared" si="2281"/>
        <v>20</v>
      </c>
      <c r="R4631" s="102">
        <v>91000</v>
      </c>
      <c r="S4631" s="102">
        <f t="shared" si="2279"/>
        <v>2002000.0000000002</v>
      </c>
      <c r="T4631" s="102">
        <f t="shared" si="2280"/>
        <v>1820000</v>
      </c>
      <c r="U4631" s="71" t="str">
        <f>IF(J4631=W4631,"O", "X")</f>
        <v>O</v>
      </c>
      <c r="V4631" s="71"/>
      <c r="W4631" s="474">
        <f>(G4631-T4631)</f>
        <v>280000</v>
      </c>
      <c r="X4631" s="71"/>
      <c r="Y4631" s="71"/>
    </row>
    <row r="4632" spans="1:25" ht="30" hidden="1" customHeight="1" x14ac:dyDescent="0.25">
      <c r="A4632" s="1145">
        <v>44544</v>
      </c>
      <c r="B4632" s="664" t="s">
        <v>591</v>
      </c>
      <c r="C4632" s="760" t="s">
        <v>3219</v>
      </c>
      <c r="D4632" s="71">
        <v>1</v>
      </c>
      <c r="E4632" s="102">
        <v>5350000</v>
      </c>
      <c r="F4632" s="102">
        <f t="shared" si="2263"/>
        <v>5885000.0000000009</v>
      </c>
      <c r="G4632" s="102">
        <f t="shared" si="2264"/>
        <v>5350000</v>
      </c>
      <c r="H4632" s="690" t="s">
        <v>173</v>
      </c>
      <c r="I4632" s="71" t="s">
        <v>143</v>
      </c>
      <c r="J4632" s="53">
        <f t="shared" si="2275"/>
        <v>1280000</v>
      </c>
      <c r="K4632" s="63">
        <f>(J4632/(F4632/11*10))</f>
        <v>0.23925233644859809</v>
      </c>
      <c r="L4632" s="871" t="s">
        <v>3223</v>
      </c>
      <c r="M4632" s="468"/>
      <c r="N4632" s="1192">
        <f>A4632</f>
        <v>44544</v>
      </c>
      <c r="O4632" s="71" t="s">
        <v>612</v>
      </c>
      <c r="P4632" s="103" t="str">
        <f t="shared" si="2270"/>
        <v>M-600 롤러 세트</v>
      </c>
      <c r="Q4632" s="71">
        <f t="shared" si="2281"/>
        <v>1</v>
      </c>
      <c r="R4632" s="102">
        <f>2760000+1310000</f>
        <v>4070000</v>
      </c>
      <c r="S4632" s="102">
        <f t="shared" si="2279"/>
        <v>4477000</v>
      </c>
      <c r="T4632" s="102">
        <f t="shared" si="2280"/>
        <v>4070000</v>
      </c>
      <c r="U4632" s="71"/>
      <c r="V4632" s="71"/>
      <c r="W4632" s="474"/>
      <c r="X4632" s="71"/>
      <c r="Y4632" s="71"/>
    </row>
    <row r="4633" spans="1:25" ht="30" hidden="1" customHeight="1" x14ac:dyDescent="0.25">
      <c r="A4633" s="1145">
        <v>44544</v>
      </c>
      <c r="B4633" s="664" t="s">
        <v>575</v>
      </c>
      <c r="C4633" s="71" t="s">
        <v>3118</v>
      </c>
      <c r="D4633" s="71">
        <v>1</v>
      </c>
      <c r="E4633" s="102">
        <v>900000</v>
      </c>
      <c r="F4633" s="102">
        <f t="shared" si="2263"/>
        <v>990000.00000000012</v>
      </c>
      <c r="G4633" s="102">
        <f t="shared" si="2264"/>
        <v>900000</v>
      </c>
      <c r="H4633" s="690" t="s">
        <v>985</v>
      </c>
      <c r="I4633" s="690" t="s">
        <v>985</v>
      </c>
      <c r="J4633" s="53">
        <f t="shared" si="2275"/>
        <v>600000</v>
      </c>
      <c r="K4633" s="63">
        <f>(J4633/(F4633/11*10))</f>
        <v>0.66666666666666663</v>
      </c>
      <c r="L4633" s="871" t="s">
        <v>3223</v>
      </c>
      <c r="M4633" s="468"/>
      <c r="N4633" s="1192">
        <f>A4633</f>
        <v>44544</v>
      </c>
      <c r="O4633" s="71" t="s">
        <v>1431</v>
      </c>
      <c r="P4633" s="103" t="str">
        <f t="shared" si="2270"/>
        <v>인피드 모터 컨트롤러 수리</v>
      </c>
      <c r="Q4633" s="71">
        <f t="shared" si="2281"/>
        <v>1</v>
      </c>
      <c r="R4633" s="102">
        <v>300000</v>
      </c>
      <c r="S4633" s="102">
        <f t="shared" si="2279"/>
        <v>330000</v>
      </c>
      <c r="T4633" s="102">
        <f t="shared" si="2280"/>
        <v>300000</v>
      </c>
      <c r="U4633" s="71"/>
      <c r="V4633" s="71"/>
      <c r="W4633" s="474"/>
      <c r="X4633" s="71"/>
      <c r="Y4633" s="71"/>
    </row>
    <row r="4634" spans="1:25" ht="30" hidden="1" customHeight="1" x14ac:dyDescent="0.25">
      <c r="A4634" s="1145">
        <v>44544</v>
      </c>
      <c r="B4634" s="664" t="s">
        <v>575</v>
      </c>
      <c r="C4634" s="71" t="s">
        <v>3220</v>
      </c>
      <c r="D4634" s="71">
        <v>1</v>
      </c>
      <c r="E4634" s="102">
        <v>300000</v>
      </c>
      <c r="F4634" s="102">
        <f t="shared" si="2263"/>
        <v>330000</v>
      </c>
      <c r="G4634" s="102">
        <f t="shared" si="2264"/>
        <v>300000</v>
      </c>
      <c r="H4634" s="690" t="s">
        <v>985</v>
      </c>
      <c r="I4634" s="690" t="s">
        <v>985</v>
      </c>
      <c r="J4634" s="53"/>
      <c r="K4634" s="63"/>
      <c r="L4634" s="871" t="s">
        <v>3223</v>
      </c>
      <c r="M4634" s="468"/>
      <c r="N4634" s="1192">
        <f>A4634</f>
        <v>44544</v>
      </c>
      <c r="O4634" s="71"/>
      <c r="P4634" s="103" t="str">
        <f t="shared" si="2270"/>
        <v>추가 긴급 수리비용</v>
      </c>
      <c r="Q4634" s="71">
        <f t="shared" si="2281"/>
        <v>1</v>
      </c>
      <c r="R4634" s="102"/>
      <c r="S4634" s="102">
        <f t="shared" si="2279"/>
        <v>0</v>
      </c>
      <c r="T4634" s="102">
        <f t="shared" si="2280"/>
        <v>0</v>
      </c>
      <c r="U4634" s="71"/>
      <c r="V4634" s="71"/>
      <c r="W4634" s="474"/>
      <c r="X4634" s="71"/>
      <c r="Y4634" s="71"/>
    </row>
    <row r="4635" spans="1:25" ht="30" hidden="1" customHeight="1" x14ac:dyDescent="0.25">
      <c r="A4635" s="1145">
        <v>44544</v>
      </c>
      <c r="B4635" s="664" t="s">
        <v>575</v>
      </c>
      <c r="C4635" s="71" t="s">
        <v>3221</v>
      </c>
      <c r="D4635" s="71">
        <v>1</v>
      </c>
      <c r="E4635" s="102">
        <v>260000</v>
      </c>
      <c r="F4635" s="102">
        <f t="shared" si="2263"/>
        <v>286000</v>
      </c>
      <c r="G4635" s="102">
        <f t="shared" si="2264"/>
        <v>260000</v>
      </c>
      <c r="H4635" s="690" t="s">
        <v>985</v>
      </c>
      <c r="I4635" s="690" t="s">
        <v>985</v>
      </c>
      <c r="J4635" s="53"/>
      <c r="K4635" s="63"/>
      <c r="L4635" s="871" t="s">
        <v>3223</v>
      </c>
      <c r="M4635" s="468"/>
      <c r="N4635" s="1192">
        <f>A4635</f>
        <v>44544</v>
      </c>
      <c r="O4635" s="71"/>
      <c r="P4635" s="103" t="str">
        <f t="shared" si="2270"/>
        <v>퀵 운송비용</v>
      </c>
      <c r="Q4635" s="71">
        <f t="shared" si="2281"/>
        <v>1</v>
      </c>
      <c r="R4635" s="102"/>
      <c r="S4635" s="102">
        <f t="shared" si="2279"/>
        <v>0</v>
      </c>
      <c r="T4635" s="102">
        <f t="shared" si="2280"/>
        <v>0</v>
      </c>
      <c r="U4635" s="71"/>
      <c r="V4635" s="71"/>
      <c r="W4635" s="474"/>
      <c r="X4635" s="71"/>
      <c r="Y4635" s="71"/>
    </row>
    <row r="4636" spans="1:25" ht="30" hidden="1" customHeight="1" x14ac:dyDescent="0.25">
      <c r="A4636" s="1145">
        <v>44544</v>
      </c>
      <c r="B4636" s="664" t="s">
        <v>575</v>
      </c>
      <c r="C4636" s="71" t="s">
        <v>3222</v>
      </c>
      <c r="D4636" s="71">
        <v>2</v>
      </c>
      <c r="E4636" s="102">
        <v>330000</v>
      </c>
      <c r="F4636" s="102">
        <f t="shared" si="2263"/>
        <v>726000.00000000012</v>
      </c>
      <c r="G4636" s="102">
        <f t="shared" si="2264"/>
        <v>660000</v>
      </c>
      <c r="H4636" s="690" t="s">
        <v>1431</v>
      </c>
      <c r="I4636" s="71" t="s">
        <v>1431</v>
      </c>
      <c r="J4636" s="53"/>
      <c r="K4636" s="63"/>
      <c r="L4636" s="871" t="s">
        <v>3223</v>
      </c>
      <c r="M4636" s="468"/>
      <c r="N4636" s="1192">
        <f>A4636</f>
        <v>44544</v>
      </c>
      <c r="O4636" s="71" t="s">
        <v>1431</v>
      </c>
      <c r="P4636" s="103" t="str">
        <f t="shared" si="2270"/>
        <v>에어실린더(스플라이서 용)</v>
      </c>
      <c r="Q4636" s="71">
        <f t="shared" si="2281"/>
        <v>2</v>
      </c>
      <c r="R4636" s="102">
        <f>296272/2</f>
        <v>148136</v>
      </c>
      <c r="S4636" s="102">
        <f t="shared" si="2279"/>
        <v>325899.2</v>
      </c>
      <c r="T4636" s="102">
        <f t="shared" si="2280"/>
        <v>296272</v>
      </c>
      <c r="U4636" s="71"/>
      <c r="V4636" s="71"/>
      <c r="W4636" s="474"/>
      <c r="X4636" s="71"/>
      <c r="Y4636" s="71"/>
    </row>
    <row r="4637" spans="1:25" s="209" customFormat="1" ht="30" hidden="1" customHeight="1" x14ac:dyDescent="0.2">
      <c r="A4637" s="1145">
        <v>44544</v>
      </c>
      <c r="B4637" s="664" t="s">
        <v>2353</v>
      </c>
      <c r="C4637" s="71" t="s">
        <v>130</v>
      </c>
      <c r="D4637" s="71">
        <v>10</v>
      </c>
      <c r="E4637" s="102">
        <v>125000</v>
      </c>
      <c r="F4637" s="102">
        <f t="shared" si="2263"/>
        <v>1375000</v>
      </c>
      <c r="G4637" s="102">
        <f t="shared" si="2264"/>
        <v>1250000</v>
      </c>
      <c r="H4637" s="165" t="s">
        <v>142</v>
      </c>
      <c r="I4637" s="71" t="s">
        <v>142</v>
      </c>
      <c r="J4637" s="53">
        <f t="shared" ref="J4637:J4646" si="2282">G4637-T4637</f>
        <v>260000</v>
      </c>
      <c r="K4637" s="63">
        <f t="shared" ref="K4637:K4646" si="2283">(J4637/(F4637/11*10))</f>
        <v>0.20799999999999999</v>
      </c>
      <c r="L4637" s="871" t="s">
        <v>3223</v>
      </c>
      <c r="M4637" s="468" t="s">
        <v>2050</v>
      </c>
      <c r="N4637" s="1192">
        <f t="shared" ref="N4637:N4642" si="2284">A4637</f>
        <v>44544</v>
      </c>
      <c r="O4637" s="71" t="s">
        <v>150</v>
      </c>
      <c r="P4637" s="103" t="str">
        <f t="shared" si="2270"/>
        <v>XL106 Blanket(1077*885)</v>
      </c>
      <c r="Q4637" s="71">
        <f t="shared" si="2281"/>
        <v>10</v>
      </c>
      <c r="R4637" s="102">
        <v>99000</v>
      </c>
      <c r="S4637" s="102">
        <f t="shared" si="2279"/>
        <v>1089000</v>
      </c>
      <c r="T4637" s="102">
        <f t="shared" si="2280"/>
        <v>990000</v>
      </c>
      <c r="U4637" s="71" t="str">
        <f t="shared" ref="U4637:U4646" si="2285">IF(J4637=W4637,"O", "X")</f>
        <v>O</v>
      </c>
      <c r="V4637" s="71"/>
      <c r="W4637" s="474">
        <f>(G4637-T4637)</f>
        <v>260000</v>
      </c>
      <c r="X4637" s="71"/>
      <c r="Y4637" s="71"/>
    </row>
    <row r="4638" spans="1:25" s="209" customFormat="1" ht="30" hidden="1" customHeight="1" x14ac:dyDescent="0.2">
      <c r="A4638" s="1145">
        <v>44544</v>
      </c>
      <c r="B4638" s="664" t="s">
        <v>2353</v>
      </c>
      <c r="C4638" s="71" t="s">
        <v>138</v>
      </c>
      <c r="D4638" s="71">
        <v>10</v>
      </c>
      <c r="E4638" s="102">
        <v>54400</v>
      </c>
      <c r="F4638" s="102">
        <f t="shared" si="2263"/>
        <v>598400</v>
      </c>
      <c r="G4638" s="102">
        <f t="shared" si="2264"/>
        <v>544000</v>
      </c>
      <c r="H4638" s="165" t="s">
        <v>142</v>
      </c>
      <c r="I4638" s="71" t="s">
        <v>142</v>
      </c>
      <c r="J4638" s="53">
        <f t="shared" si="2282"/>
        <v>136000</v>
      </c>
      <c r="K4638" s="63">
        <f t="shared" si="2283"/>
        <v>0.25</v>
      </c>
      <c r="L4638" s="871" t="s">
        <v>3223</v>
      </c>
      <c r="M4638" s="468" t="s">
        <v>2214</v>
      </c>
      <c r="N4638" s="1192">
        <f t="shared" si="2284"/>
        <v>44544</v>
      </c>
      <c r="O4638" s="71" t="s">
        <v>2030</v>
      </c>
      <c r="P4638" s="103" t="str">
        <f t="shared" si="2270"/>
        <v>매엽용 세척제(Wash 562)</v>
      </c>
      <c r="Q4638" s="71">
        <f t="shared" si="2281"/>
        <v>10</v>
      </c>
      <c r="R4638" s="102">
        <v>40800</v>
      </c>
      <c r="S4638" s="102">
        <f t="shared" si="2279"/>
        <v>448800.00000000006</v>
      </c>
      <c r="T4638" s="102">
        <f t="shared" si="2280"/>
        <v>408000</v>
      </c>
      <c r="U4638" s="71" t="str">
        <f t="shared" si="2285"/>
        <v>O</v>
      </c>
      <c r="V4638" s="71"/>
      <c r="W4638" s="474">
        <f>(G4638-T4638)</f>
        <v>136000</v>
      </c>
      <c r="X4638" s="71"/>
      <c r="Y4638" s="71"/>
    </row>
    <row r="4639" spans="1:25" ht="30" customHeight="1" x14ac:dyDescent="0.2">
      <c r="A4639" s="1145">
        <v>44546</v>
      </c>
      <c r="B4639" s="664" t="s">
        <v>2352</v>
      </c>
      <c r="C4639" s="71" t="s">
        <v>692</v>
      </c>
      <c r="D4639" s="71">
        <v>6</v>
      </c>
      <c r="E4639" s="102">
        <v>218000</v>
      </c>
      <c r="F4639" s="102">
        <f>(E4639*D4639)*1.1</f>
        <v>1438800</v>
      </c>
      <c r="G4639" s="102">
        <f>(E4639*D4639)</f>
        <v>1308000</v>
      </c>
      <c r="H4639" s="165" t="s">
        <v>142</v>
      </c>
      <c r="I4639" s="71" t="s">
        <v>142</v>
      </c>
      <c r="J4639" s="53">
        <f t="shared" si="2282"/>
        <v>348000</v>
      </c>
      <c r="K4639" s="63">
        <f t="shared" si="2283"/>
        <v>0.26605504587155965</v>
      </c>
      <c r="L4639" s="871" t="s">
        <v>3223</v>
      </c>
      <c r="M4639" s="468" t="s">
        <v>2052</v>
      </c>
      <c r="N4639" s="1192">
        <f t="shared" si="2284"/>
        <v>44546</v>
      </c>
      <c r="O4639" s="71" t="s">
        <v>150</v>
      </c>
      <c r="P4639" s="103" t="str">
        <f t="shared" si="2270"/>
        <v>윤전 블랑켓</v>
      </c>
      <c r="Q4639" s="71">
        <f t="shared" si="2281"/>
        <v>6</v>
      </c>
      <c r="R4639" s="102">
        <v>160000</v>
      </c>
      <c r="S4639" s="102">
        <f t="shared" si="2279"/>
        <v>1056000</v>
      </c>
      <c r="T4639" s="102">
        <f t="shared" si="2280"/>
        <v>960000</v>
      </c>
      <c r="U4639" s="71" t="str">
        <f t="shared" si="2285"/>
        <v>O</v>
      </c>
      <c r="V4639" s="71" t="s">
        <v>784</v>
      </c>
      <c r="W4639" s="474">
        <f>(G4639-T4639)</f>
        <v>348000</v>
      </c>
      <c r="X4639" s="71"/>
      <c r="Y4639" s="71"/>
    </row>
    <row r="4640" spans="1:25" s="209" customFormat="1" ht="30" hidden="1" customHeight="1" x14ac:dyDescent="0.25">
      <c r="A4640" s="1145">
        <v>44546</v>
      </c>
      <c r="B4640" s="664" t="s">
        <v>567</v>
      </c>
      <c r="C4640" s="71" t="s">
        <v>236</v>
      </c>
      <c r="D4640" s="71">
        <v>5</v>
      </c>
      <c r="E4640" s="102">
        <v>65000</v>
      </c>
      <c r="F4640" s="102">
        <f t="shared" si="2263"/>
        <v>357500</v>
      </c>
      <c r="G4640" s="102">
        <f t="shared" si="2264"/>
        <v>325000</v>
      </c>
      <c r="H4640" s="690" t="s">
        <v>173</v>
      </c>
      <c r="I4640" s="71" t="s">
        <v>2231</v>
      </c>
      <c r="J4640" s="53">
        <f t="shared" si="2282"/>
        <v>75000</v>
      </c>
      <c r="K4640" s="63">
        <f t="shared" si="2283"/>
        <v>0.23076923076923078</v>
      </c>
      <c r="L4640" s="871" t="s">
        <v>3223</v>
      </c>
      <c r="M4640" s="468"/>
      <c r="N4640" s="1192">
        <f t="shared" si="2284"/>
        <v>44546</v>
      </c>
      <c r="O4640" s="71" t="s">
        <v>153</v>
      </c>
      <c r="P4640" s="103" t="str">
        <f t="shared" si="2270"/>
        <v>아스테이지(국전)</v>
      </c>
      <c r="Q4640" s="71">
        <f t="shared" si="2281"/>
        <v>5</v>
      </c>
      <c r="R4640" s="102">
        <v>50000</v>
      </c>
      <c r="S4640" s="102">
        <f t="shared" si="2279"/>
        <v>275000</v>
      </c>
      <c r="T4640" s="102">
        <f t="shared" si="2280"/>
        <v>250000</v>
      </c>
      <c r="U4640" s="71" t="str">
        <f t="shared" si="2285"/>
        <v>X</v>
      </c>
      <c r="V4640" s="71"/>
      <c r="W4640" s="474">
        <v>150000</v>
      </c>
      <c r="X4640" s="71"/>
      <c r="Y4640" s="71"/>
    </row>
    <row r="4641" spans="1:25" ht="27.6" hidden="1" customHeight="1" x14ac:dyDescent="0.25">
      <c r="A4641" s="1145">
        <v>44546</v>
      </c>
      <c r="B4641" s="664" t="s">
        <v>567</v>
      </c>
      <c r="C4641" s="71" t="s">
        <v>1652</v>
      </c>
      <c r="D4641" s="71">
        <v>5</v>
      </c>
      <c r="E4641" s="102">
        <v>45000</v>
      </c>
      <c r="F4641" s="102">
        <f t="shared" si="2263"/>
        <v>247500.00000000003</v>
      </c>
      <c r="G4641" s="102">
        <f t="shared" si="2264"/>
        <v>225000</v>
      </c>
      <c r="H4641" s="690" t="s">
        <v>173</v>
      </c>
      <c r="I4641" s="71" t="s">
        <v>2231</v>
      </c>
      <c r="J4641" s="53">
        <f t="shared" si="2282"/>
        <v>25000</v>
      </c>
      <c r="K4641" s="63">
        <f t="shared" si="2283"/>
        <v>0.11111111111111109</v>
      </c>
      <c r="L4641" s="871" t="s">
        <v>3223</v>
      </c>
      <c r="M4641" s="468"/>
      <c r="N4641" s="1192">
        <f t="shared" si="2284"/>
        <v>44546</v>
      </c>
      <c r="O4641" s="71" t="s">
        <v>153</v>
      </c>
      <c r="P4641" s="103" t="str">
        <f t="shared" si="2270"/>
        <v>아스테이지(CD74용)</v>
      </c>
      <c r="Q4641" s="71">
        <f t="shared" si="2281"/>
        <v>5</v>
      </c>
      <c r="R4641" s="102">
        <v>40000</v>
      </c>
      <c r="S4641" s="102">
        <f t="shared" si="2279"/>
        <v>220000.00000000003</v>
      </c>
      <c r="T4641" s="102">
        <f t="shared" si="2280"/>
        <v>200000</v>
      </c>
      <c r="U4641" s="71" t="str">
        <f t="shared" si="2285"/>
        <v>X</v>
      </c>
      <c r="V4641" s="71"/>
      <c r="W4641" s="474"/>
      <c r="X4641" s="71"/>
      <c r="Y4641" s="71"/>
    </row>
    <row r="4642" spans="1:25" ht="30" hidden="1" customHeight="1" x14ac:dyDescent="0.25">
      <c r="A4642" s="1145">
        <v>44547</v>
      </c>
      <c r="B4642" s="664" t="s">
        <v>442</v>
      </c>
      <c r="C4642" s="71" t="s">
        <v>651</v>
      </c>
      <c r="D4642" s="71">
        <v>8</v>
      </c>
      <c r="E4642" s="102">
        <v>41000</v>
      </c>
      <c r="F4642" s="102">
        <f t="shared" si="2263"/>
        <v>360800.00000000006</v>
      </c>
      <c r="G4642" s="102">
        <f t="shared" si="2264"/>
        <v>328000</v>
      </c>
      <c r="H4642" s="690" t="s">
        <v>2029</v>
      </c>
      <c r="I4642" s="71" t="s">
        <v>195</v>
      </c>
      <c r="J4642" s="53">
        <f t="shared" si="2282"/>
        <v>108000</v>
      </c>
      <c r="K4642" s="63">
        <f t="shared" si="2283"/>
        <v>0.32926829268292679</v>
      </c>
      <c r="L4642" s="871" t="s">
        <v>3223</v>
      </c>
      <c r="M4642" s="468"/>
      <c r="N4642" s="1192">
        <f t="shared" si="2284"/>
        <v>44547</v>
      </c>
      <c r="O4642" s="71" t="s">
        <v>194</v>
      </c>
      <c r="P4642" s="103" t="str">
        <f t="shared" si="2270"/>
        <v>Agfa 현상액 G101C(10L)</v>
      </c>
      <c r="Q4642" s="71">
        <f t="shared" si="2281"/>
        <v>8</v>
      </c>
      <c r="R4642" s="102">
        <v>27500</v>
      </c>
      <c r="S4642" s="102">
        <f t="shared" si="2279"/>
        <v>242000.00000000003</v>
      </c>
      <c r="T4642" s="102">
        <f t="shared" si="2280"/>
        <v>220000</v>
      </c>
      <c r="U4642" s="71" t="str">
        <f t="shared" si="2285"/>
        <v>O</v>
      </c>
      <c r="V4642" s="71"/>
      <c r="W4642" s="474">
        <f>(G4642-T4642)</f>
        <v>108000</v>
      </c>
      <c r="X4642" s="71"/>
      <c r="Y4642" s="71"/>
    </row>
    <row r="4643" spans="1:25" ht="30" hidden="1" customHeight="1" x14ac:dyDescent="0.25">
      <c r="A4643" s="1145">
        <v>44547</v>
      </c>
      <c r="B4643" s="664" t="s">
        <v>545</v>
      </c>
      <c r="C4643" s="71" t="s">
        <v>227</v>
      </c>
      <c r="D4643" s="71">
        <v>10</v>
      </c>
      <c r="E4643" s="102">
        <v>110000</v>
      </c>
      <c r="F4643" s="102">
        <f t="shared" ref="F4643:F4649" si="2286">(E4643*D4643)*1.1</f>
        <v>1210000</v>
      </c>
      <c r="G4643" s="102">
        <f>(E4643*D4643)</f>
        <v>1100000</v>
      </c>
      <c r="H4643" s="690" t="s">
        <v>173</v>
      </c>
      <c r="I4643" s="71" t="s">
        <v>109</v>
      </c>
      <c r="J4643" s="53">
        <f t="shared" si="2282"/>
        <v>206000</v>
      </c>
      <c r="K4643" s="63">
        <f t="shared" si="2283"/>
        <v>0.18727272727272729</v>
      </c>
      <c r="L4643" s="871" t="s">
        <v>3223</v>
      </c>
      <c r="M4643" s="468"/>
      <c r="N4643" s="1192">
        <f t="shared" ref="N4643:N4649" si="2287">A4643</f>
        <v>44547</v>
      </c>
      <c r="O4643" s="71" t="s">
        <v>147</v>
      </c>
      <c r="P4643" s="103" t="str">
        <f t="shared" si="2270"/>
        <v>Blanket(1060*860)</v>
      </c>
      <c r="Q4643" s="71">
        <f t="shared" si="2281"/>
        <v>10</v>
      </c>
      <c r="R4643" s="102">
        <v>89400</v>
      </c>
      <c r="S4643" s="102">
        <f t="shared" si="2279"/>
        <v>983400.00000000012</v>
      </c>
      <c r="T4643" s="102">
        <f t="shared" si="2280"/>
        <v>894000</v>
      </c>
      <c r="U4643" s="71" t="str">
        <f t="shared" si="2285"/>
        <v>O</v>
      </c>
      <c r="V4643" s="71"/>
      <c r="W4643" s="474">
        <f>(G4643-T4643)</f>
        <v>206000</v>
      </c>
      <c r="X4643" s="71"/>
      <c r="Y4643" s="71"/>
    </row>
    <row r="4644" spans="1:25" ht="30" hidden="1" customHeight="1" x14ac:dyDescent="0.25">
      <c r="A4644" s="1145">
        <v>44547</v>
      </c>
      <c r="B4644" s="664" t="s">
        <v>2155</v>
      </c>
      <c r="C4644" s="71" t="s">
        <v>277</v>
      </c>
      <c r="D4644" s="71">
        <v>10</v>
      </c>
      <c r="E4644" s="102">
        <v>172000</v>
      </c>
      <c r="F4644" s="102">
        <f t="shared" si="2286"/>
        <v>1892000.0000000002</v>
      </c>
      <c r="G4644" s="102">
        <f>(E4644*D4644)</f>
        <v>1720000</v>
      </c>
      <c r="H4644" s="690" t="s">
        <v>173</v>
      </c>
      <c r="I4644" s="71" t="s">
        <v>108</v>
      </c>
      <c r="J4644" s="53">
        <f t="shared" si="2282"/>
        <v>570000</v>
      </c>
      <c r="K4644" s="63">
        <f t="shared" si="2283"/>
        <v>0.33139534883720928</v>
      </c>
      <c r="L4644" s="871" t="s">
        <v>3223</v>
      </c>
      <c r="M4644" s="468"/>
      <c r="N4644" s="1192">
        <f t="shared" si="2287"/>
        <v>44547</v>
      </c>
      <c r="O4644" s="71" t="s">
        <v>150</v>
      </c>
      <c r="P4644" s="103" t="str">
        <f t="shared" si="2270"/>
        <v>윤전용 세척제(Web 504)</v>
      </c>
      <c r="Q4644" s="71">
        <f t="shared" si="2281"/>
        <v>10</v>
      </c>
      <c r="R4644" s="102">
        <v>115000</v>
      </c>
      <c r="S4644" s="102">
        <f t="shared" si="2279"/>
        <v>1265000</v>
      </c>
      <c r="T4644" s="102">
        <f t="shared" si="2280"/>
        <v>1150000</v>
      </c>
      <c r="U4644" s="71" t="str">
        <f t="shared" si="2285"/>
        <v>X</v>
      </c>
      <c r="V4644" s="71"/>
      <c r="W4644" s="474">
        <v>285000</v>
      </c>
      <c r="X4644" s="71"/>
      <c r="Y4644" s="71"/>
    </row>
    <row r="4645" spans="1:25" ht="30" hidden="1" customHeight="1" x14ac:dyDescent="0.25">
      <c r="A4645" s="1145">
        <v>44547</v>
      </c>
      <c r="B4645" s="664" t="s">
        <v>2155</v>
      </c>
      <c r="C4645" s="760" t="s">
        <v>218</v>
      </c>
      <c r="D4645" s="71">
        <v>10</v>
      </c>
      <c r="E4645" s="102">
        <v>192500</v>
      </c>
      <c r="F4645" s="102">
        <f t="shared" si="2286"/>
        <v>2117500</v>
      </c>
      <c r="G4645" s="102">
        <f>(E4645*D4645)</f>
        <v>1925000</v>
      </c>
      <c r="H4645" s="690" t="s">
        <v>173</v>
      </c>
      <c r="I4645" s="71" t="s">
        <v>120</v>
      </c>
      <c r="J4645" s="53">
        <f t="shared" si="2282"/>
        <v>800000</v>
      </c>
      <c r="K4645" s="63">
        <f t="shared" si="2283"/>
        <v>0.41558441558441561</v>
      </c>
      <c r="L4645" s="871" t="s">
        <v>3223</v>
      </c>
      <c r="M4645" s="468"/>
      <c r="N4645" s="1192">
        <f t="shared" si="2287"/>
        <v>44547</v>
      </c>
      <c r="O4645" s="71" t="s">
        <v>150</v>
      </c>
      <c r="P4645" s="103" t="str">
        <f t="shared" si="2270"/>
        <v>Fount Web 551AF</v>
      </c>
      <c r="Q4645" s="71">
        <f t="shared" si="2281"/>
        <v>10</v>
      </c>
      <c r="R4645" s="102">
        <v>112500</v>
      </c>
      <c r="S4645" s="102">
        <f t="shared" si="2279"/>
        <v>1237500</v>
      </c>
      <c r="T4645" s="102">
        <f t="shared" si="2280"/>
        <v>1125000</v>
      </c>
      <c r="U4645" s="71" t="str">
        <f t="shared" si="2285"/>
        <v>X</v>
      </c>
      <c r="V4645" s="71"/>
      <c r="W4645" s="474">
        <v>640000</v>
      </c>
      <c r="X4645" s="71"/>
      <c r="Y4645" s="71"/>
    </row>
    <row r="4646" spans="1:25" s="209" customFormat="1" ht="30" hidden="1" customHeight="1" x14ac:dyDescent="0.2">
      <c r="A4646" s="1145">
        <v>44547</v>
      </c>
      <c r="B4646" s="664" t="s">
        <v>2261</v>
      </c>
      <c r="C4646" s="71" t="s">
        <v>107</v>
      </c>
      <c r="D4646" s="71">
        <v>10</v>
      </c>
      <c r="E4646" s="102">
        <v>108000</v>
      </c>
      <c r="F4646" s="102">
        <f t="shared" si="2286"/>
        <v>1188000</v>
      </c>
      <c r="G4646" s="102">
        <f>(E4646*D4646)</f>
        <v>1080000</v>
      </c>
      <c r="H4646" s="165" t="s">
        <v>172</v>
      </c>
      <c r="I4646" s="71" t="s">
        <v>109</v>
      </c>
      <c r="J4646" s="53">
        <f t="shared" si="2282"/>
        <v>212000</v>
      </c>
      <c r="K4646" s="63">
        <f t="shared" si="2283"/>
        <v>0.1962962962962963</v>
      </c>
      <c r="L4646" s="871" t="s">
        <v>3223</v>
      </c>
      <c r="M4646" s="468"/>
      <c r="N4646" s="1192">
        <f t="shared" si="2287"/>
        <v>44547</v>
      </c>
      <c r="O4646" s="71" t="s">
        <v>147</v>
      </c>
      <c r="P4646" s="103" t="str">
        <f t="shared" si="2270"/>
        <v>Blanket(1050*840)</v>
      </c>
      <c r="Q4646" s="71">
        <f t="shared" si="2281"/>
        <v>10</v>
      </c>
      <c r="R4646" s="102">
        <v>86800</v>
      </c>
      <c r="S4646" s="102">
        <f t="shared" si="2279"/>
        <v>954800.00000000012</v>
      </c>
      <c r="T4646" s="102">
        <f t="shared" si="2280"/>
        <v>868000</v>
      </c>
      <c r="U4646" s="71" t="str">
        <f t="shared" si="2285"/>
        <v>X</v>
      </c>
      <c r="V4646" s="71"/>
      <c r="W4646" s="474">
        <v>275000</v>
      </c>
      <c r="X4646" s="71"/>
      <c r="Y4646" s="71"/>
    </row>
    <row r="4647" spans="1:25" ht="30" customHeight="1" x14ac:dyDescent="0.25">
      <c r="A4647" s="1145">
        <v>44548</v>
      </c>
      <c r="B4647" s="664" t="s">
        <v>565</v>
      </c>
      <c r="C4647" s="71" t="s">
        <v>3225</v>
      </c>
      <c r="D4647" s="71">
        <v>1</v>
      </c>
      <c r="E4647" s="102">
        <v>560000</v>
      </c>
      <c r="F4647" s="102">
        <f t="shared" si="2286"/>
        <v>616000</v>
      </c>
      <c r="G4647" s="102">
        <f>(E4647*D4647)</f>
        <v>560000</v>
      </c>
      <c r="H4647" s="690" t="s">
        <v>985</v>
      </c>
      <c r="I4647" s="71" t="s">
        <v>985</v>
      </c>
      <c r="J4647" s="53"/>
      <c r="K4647" s="63"/>
      <c r="L4647" s="871" t="s">
        <v>3223</v>
      </c>
      <c r="M4647" s="468"/>
      <c r="N4647" s="1192">
        <f t="shared" si="2287"/>
        <v>44548</v>
      </c>
      <c r="O4647" s="71"/>
      <c r="P4647" s="103" t="str">
        <f t="shared" si="2270"/>
        <v>M-600 서비스(폴더 브레이크 수리)</v>
      </c>
      <c r="Q4647" s="71">
        <f t="shared" si="2281"/>
        <v>1</v>
      </c>
      <c r="R4647" s="102"/>
      <c r="S4647" s="102">
        <f t="shared" si="2279"/>
        <v>0</v>
      </c>
      <c r="T4647" s="102">
        <f t="shared" si="2280"/>
        <v>0</v>
      </c>
      <c r="U4647" s="71"/>
      <c r="V4647" s="71"/>
      <c r="W4647" s="474"/>
      <c r="X4647" s="71"/>
      <c r="Y4647" s="71"/>
    </row>
    <row r="4648" spans="1:25" ht="30" hidden="1" customHeight="1" x14ac:dyDescent="0.2">
      <c r="A4648" s="1145">
        <v>44551</v>
      </c>
      <c r="B4648" s="664" t="s">
        <v>548</v>
      </c>
      <c r="C4648" s="71" t="s">
        <v>107</v>
      </c>
      <c r="D4648" s="71">
        <v>15</v>
      </c>
      <c r="E4648" s="102">
        <v>90000</v>
      </c>
      <c r="F4648" s="102">
        <f t="shared" si="2286"/>
        <v>1485000.0000000002</v>
      </c>
      <c r="G4648" s="102">
        <f t="shared" si="2264"/>
        <v>1350000</v>
      </c>
      <c r="H4648" s="165" t="s">
        <v>172</v>
      </c>
      <c r="I4648" s="71" t="s">
        <v>109</v>
      </c>
      <c r="J4648" s="53">
        <f>G4648-T4648</f>
        <v>48000</v>
      </c>
      <c r="K4648" s="63">
        <v>0.10555555555555554</v>
      </c>
      <c r="L4648" s="871" t="s">
        <v>3223</v>
      </c>
      <c r="M4648" s="468"/>
      <c r="N4648" s="1192">
        <f t="shared" si="2287"/>
        <v>44551</v>
      </c>
      <c r="O4648" s="71" t="s">
        <v>147</v>
      </c>
      <c r="P4648" s="103" t="str">
        <f t="shared" si="2270"/>
        <v>Blanket(1050*840)</v>
      </c>
      <c r="Q4648" s="71">
        <f t="shared" si="2281"/>
        <v>15</v>
      </c>
      <c r="R4648" s="102">
        <v>86800</v>
      </c>
      <c r="S4648" s="102">
        <f t="shared" si="2279"/>
        <v>1432200</v>
      </c>
      <c r="T4648" s="102">
        <f t="shared" si="2280"/>
        <v>1302000</v>
      </c>
      <c r="U4648" s="71" t="s">
        <v>859</v>
      </c>
      <c r="V4648" s="71"/>
      <c r="W4648" s="474">
        <v>95000</v>
      </c>
      <c r="X4648" s="71"/>
      <c r="Y4648" s="71"/>
    </row>
    <row r="4649" spans="1:25" ht="30" hidden="1" customHeight="1" x14ac:dyDescent="0.25">
      <c r="A4649" s="1145">
        <v>44551</v>
      </c>
      <c r="B4649" s="664" t="s">
        <v>548</v>
      </c>
      <c r="C4649" s="71" t="s">
        <v>1804</v>
      </c>
      <c r="D4649" s="71">
        <v>100</v>
      </c>
      <c r="E4649" s="102">
        <v>400</v>
      </c>
      <c r="F4649" s="102">
        <f t="shared" si="2286"/>
        <v>44000</v>
      </c>
      <c r="G4649" s="102">
        <f>(E4649*D4649)</f>
        <v>40000</v>
      </c>
      <c r="H4649" s="690" t="s">
        <v>173</v>
      </c>
      <c r="I4649" s="71" t="s">
        <v>2231</v>
      </c>
      <c r="J4649" s="53">
        <f>G4649-T4649</f>
        <v>10000</v>
      </c>
      <c r="K4649" s="63">
        <f>(J4649/(F4649/11*10))</f>
        <v>0.25</v>
      </c>
      <c r="L4649" s="871" t="s">
        <v>3223</v>
      </c>
      <c r="M4649" s="468"/>
      <c r="N4649" s="1192">
        <f t="shared" si="2287"/>
        <v>44551</v>
      </c>
      <c r="O4649" s="71" t="s">
        <v>149</v>
      </c>
      <c r="P4649" s="103" t="str">
        <f t="shared" si="2270"/>
        <v>고무사카 노란색</v>
      </c>
      <c r="Q4649" s="71">
        <f t="shared" si="2281"/>
        <v>100</v>
      </c>
      <c r="R4649" s="102">
        <v>300</v>
      </c>
      <c r="S4649" s="102">
        <f t="shared" si="2279"/>
        <v>33000</v>
      </c>
      <c r="T4649" s="102">
        <f t="shared" si="2280"/>
        <v>30000</v>
      </c>
      <c r="U4649" s="71"/>
      <c r="V4649" s="71"/>
      <c r="W4649" s="474"/>
      <c r="X4649" s="71"/>
      <c r="Y4649" s="71"/>
    </row>
    <row r="4650" spans="1:25" ht="27.6" hidden="1" customHeight="1" x14ac:dyDescent="0.25">
      <c r="A4650" s="1145">
        <v>44551</v>
      </c>
      <c r="B4650" s="664" t="s">
        <v>746</v>
      </c>
      <c r="C4650" s="71" t="s">
        <v>123</v>
      </c>
      <c r="D4650" s="71">
        <v>20</v>
      </c>
      <c r="E4650" s="102">
        <v>35000</v>
      </c>
      <c r="F4650" s="102">
        <f t="shared" si="2263"/>
        <v>770000.00000000012</v>
      </c>
      <c r="G4650" s="102">
        <f t="shared" si="2264"/>
        <v>700000</v>
      </c>
      <c r="H4650" s="690" t="s">
        <v>1432</v>
      </c>
      <c r="I4650" s="71" t="s">
        <v>1432</v>
      </c>
      <c r="J4650" s="53">
        <f>G4650-T4650</f>
        <v>218600</v>
      </c>
      <c r="K4650" s="63">
        <f>(J4650/(F4650/11*10))</f>
        <v>0.31228571428571422</v>
      </c>
      <c r="L4650" s="871" t="s">
        <v>3223</v>
      </c>
      <c r="M4650" s="468"/>
      <c r="N4650" s="1192">
        <f>A4650</f>
        <v>44551</v>
      </c>
      <c r="O4650" s="71" t="s">
        <v>1432</v>
      </c>
      <c r="P4650" s="103" t="str">
        <f t="shared" si="2270"/>
        <v>필터백</v>
      </c>
      <c r="Q4650" s="71">
        <f t="shared" si="2281"/>
        <v>20</v>
      </c>
      <c r="R4650" s="102">
        <v>24070</v>
      </c>
      <c r="S4650" s="102">
        <f t="shared" si="2279"/>
        <v>529540</v>
      </c>
      <c r="T4650" s="102">
        <f t="shared" si="2280"/>
        <v>481400</v>
      </c>
      <c r="U4650" s="71"/>
      <c r="V4650" s="71"/>
      <c r="W4650" s="474"/>
      <c r="X4650" s="71"/>
      <c r="Y4650" s="71"/>
    </row>
    <row r="4651" spans="1:25" ht="30" hidden="1" customHeight="1" x14ac:dyDescent="0.25">
      <c r="A4651" s="1145">
        <v>44551</v>
      </c>
      <c r="B4651" s="664" t="s">
        <v>446</v>
      </c>
      <c r="C4651" s="71" t="s">
        <v>2028</v>
      </c>
      <c r="D4651" s="71">
        <v>20</v>
      </c>
      <c r="E4651" s="102">
        <v>105000</v>
      </c>
      <c r="F4651" s="102">
        <f t="shared" si="2263"/>
        <v>2310000</v>
      </c>
      <c r="G4651" s="102">
        <f t="shared" si="2264"/>
        <v>2100000</v>
      </c>
      <c r="H4651" s="690" t="s">
        <v>2029</v>
      </c>
      <c r="I4651" s="71" t="s">
        <v>2231</v>
      </c>
      <c r="J4651" s="53">
        <f>G4651-T4651</f>
        <v>280000</v>
      </c>
      <c r="K4651" s="63">
        <f>(J4651/(F4651/11*10))</f>
        <v>0.13333333333333333</v>
      </c>
      <c r="L4651" s="871" t="s">
        <v>3223</v>
      </c>
      <c r="M4651" s="468"/>
      <c r="N4651" s="1192">
        <f t="shared" ref="N4651:N4661" si="2288">A4651</f>
        <v>44551</v>
      </c>
      <c r="O4651" s="71" t="s">
        <v>2030</v>
      </c>
      <c r="P4651" s="103" t="str">
        <f t="shared" si="2270"/>
        <v>실리콘 에멀전</v>
      </c>
      <c r="Q4651" s="71">
        <f t="shared" si="2281"/>
        <v>20</v>
      </c>
      <c r="R4651" s="102">
        <v>91000</v>
      </c>
      <c r="S4651" s="102">
        <f t="shared" si="2279"/>
        <v>2002000.0000000002</v>
      </c>
      <c r="T4651" s="102">
        <f t="shared" si="2280"/>
        <v>1820000</v>
      </c>
      <c r="U4651" s="71" t="str">
        <f>IF(J4651=W4651,"O", "X")</f>
        <v>O</v>
      </c>
      <c r="V4651" s="71"/>
      <c r="W4651" s="474">
        <f>(G4651-T4651)</f>
        <v>280000</v>
      </c>
      <c r="X4651" s="71"/>
      <c r="Y4651" s="71"/>
    </row>
    <row r="4652" spans="1:25" ht="30" hidden="1" customHeight="1" x14ac:dyDescent="0.25">
      <c r="A4652" s="1145">
        <v>44551</v>
      </c>
      <c r="B4652" s="664" t="s">
        <v>546</v>
      </c>
      <c r="C4652" s="71" t="s">
        <v>3232</v>
      </c>
      <c r="D4652" s="71">
        <v>1</v>
      </c>
      <c r="E4652" s="102">
        <v>48000000</v>
      </c>
      <c r="F4652" s="102">
        <f t="shared" si="2263"/>
        <v>52800000.000000007</v>
      </c>
      <c r="G4652" s="102">
        <f t="shared" si="2264"/>
        <v>48000000</v>
      </c>
      <c r="H4652" s="690" t="s">
        <v>1431</v>
      </c>
      <c r="I4652" s="71" t="s">
        <v>1431</v>
      </c>
      <c r="J4652" s="53"/>
      <c r="K4652" s="63"/>
      <c r="L4652" s="871" t="s">
        <v>3223</v>
      </c>
      <c r="M4652" s="468"/>
      <c r="N4652" s="1192">
        <f t="shared" si="2288"/>
        <v>44551</v>
      </c>
      <c r="O4652" s="71" t="s">
        <v>1431</v>
      </c>
      <c r="P4652" s="103" t="str">
        <f t="shared" si="2270"/>
        <v>Rotoman 자동 레지스터 시스템 중도금</v>
      </c>
      <c r="Q4652" s="71">
        <f t="shared" si="2281"/>
        <v>1</v>
      </c>
      <c r="R4652" s="102"/>
      <c r="S4652" s="102">
        <f t="shared" si="2279"/>
        <v>0</v>
      </c>
      <c r="T4652" s="102">
        <f t="shared" si="2280"/>
        <v>0</v>
      </c>
      <c r="U4652" s="71"/>
      <c r="V4652" s="71"/>
      <c r="W4652" s="474"/>
      <c r="X4652" s="71"/>
      <c r="Y4652" s="71"/>
    </row>
    <row r="4653" spans="1:25" ht="30" hidden="1" customHeight="1" x14ac:dyDescent="0.25">
      <c r="A4653" s="1145">
        <v>44552</v>
      </c>
      <c r="B4653" s="664" t="s">
        <v>442</v>
      </c>
      <c r="C4653" s="71" t="s">
        <v>206</v>
      </c>
      <c r="D4653" s="71">
        <v>3</v>
      </c>
      <c r="E4653" s="102">
        <v>366500</v>
      </c>
      <c r="F4653" s="102">
        <f t="shared" ref="F4653:F4661" si="2289">(E4653*D4653)*1.1</f>
        <v>1209450</v>
      </c>
      <c r="G4653" s="102">
        <f t="shared" ref="G4653:G4661" si="2290">(E4653*D4653)</f>
        <v>1099500</v>
      </c>
      <c r="H4653" s="690" t="s">
        <v>2029</v>
      </c>
      <c r="I4653" s="71" t="s">
        <v>195</v>
      </c>
      <c r="J4653" s="53">
        <f t="shared" ref="J4653:J4691" si="2291">G4653-T4653</f>
        <v>225420</v>
      </c>
      <c r="K4653" s="63">
        <f t="shared" ref="K4653:K4661" si="2292">(J4653/(F4653/11*10))</f>
        <v>0.20502046384720327</v>
      </c>
      <c r="L4653" s="871" t="s">
        <v>3223</v>
      </c>
      <c r="M4653" s="468"/>
      <c r="N4653" s="1192">
        <f t="shared" si="2288"/>
        <v>44552</v>
      </c>
      <c r="O4653" s="71" t="s">
        <v>194</v>
      </c>
      <c r="P4653" s="103" t="str">
        <f t="shared" si="2270"/>
        <v>Agfa Film(24inch)</v>
      </c>
      <c r="Q4653" s="71">
        <f t="shared" ref="Q4653:Q4661" si="2293">D4653</f>
        <v>3</v>
      </c>
      <c r="R4653" s="102">
        <v>291360</v>
      </c>
      <c r="S4653" s="102">
        <f t="shared" si="2279"/>
        <v>961488.00000000012</v>
      </c>
      <c r="T4653" s="102">
        <f t="shared" si="2280"/>
        <v>874080</v>
      </c>
      <c r="U4653" s="71" t="str">
        <f>IF(J4653=W4653,"O", "X")</f>
        <v>O</v>
      </c>
      <c r="V4653" s="71"/>
      <c r="W4653" s="474">
        <f>(G4653-T4653)</f>
        <v>225420</v>
      </c>
      <c r="X4653" s="71"/>
      <c r="Y4653" s="71"/>
    </row>
    <row r="4654" spans="1:25" ht="30" hidden="1" customHeight="1" x14ac:dyDescent="0.25">
      <c r="A4654" s="1145">
        <v>44552</v>
      </c>
      <c r="B4654" s="664" t="s">
        <v>442</v>
      </c>
      <c r="C4654" s="71" t="s">
        <v>207</v>
      </c>
      <c r="D4654" s="71">
        <v>5</v>
      </c>
      <c r="E4654" s="102">
        <v>451000</v>
      </c>
      <c r="F4654" s="102">
        <f t="shared" si="2289"/>
        <v>2480500</v>
      </c>
      <c r="G4654" s="102">
        <f t="shared" si="2290"/>
        <v>2255000</v>
      </c>
      <c r="H4654" s="690" t="s">
        <v>2029</v>
      </c>
      <c r="I4654" s="71" t="s">
        <v>195</v>
      </c>
      <c r="J4654" s="53">
        <f t="shared" si="2291"/>
        <v>685200</v>
      </c>
      <c r="K4654" s="63">
        <f t="shared" si="2292"/>
        <v>0.30385809312638579</v>
      </c>
      <c r="L4654" s="871" t="s">
        <v>3223</v>
      </c>
      <c r="M4654" s="468"/>
      <c r="N4654" s="1192">
        <f t="shared" si="2288"/>
        <v>44552</v>
      </c>
      <c r="O4654" s="71" t="s">
        <v>194</v>
      </c>
      <c r="P4654" s="103" t="str">
        <f t="shared" si="2270"/>
        <v>Agfa Film(28inch)</v>
      </c>
      <c r="Q4654" s="71">
        <f t="shared" si="2293"/>
        <v>5</v>
      </c>
      <c r="R4654" s="102">
        <f>VLOOKUP(P4654,[5]Price!B$1:D$65536,3,FALSE)</f>
        <v>313960</v>
      </c>
      <c r="S4654" s="102">
        <f t="shared" si="2279"/>
        <v>1726780.0000000002</v>
      </c>
      <c r="T4654" s="102">
        <f t="shared" si="2280"/>
        <v>1569800</v>
      </c>
      <c r="U4654" s="71" t="str">
        <f>IF(J4654=W4654,"O", "X")</f>
        <v>O</v>
      </c>
      <c r="V4654" s="71"/>
      <c r="W4654" s="474">
        <f>(G4654-T4654)</f>
        <v>685200</v>
      </c>
      <c r="X4654" s="71"/>
      <c r="Y4654" s="71"/>
    </row>
    <row r="4655" spans="1:25" ht="30" hidden="1" customHeight="1" x14ac:dyDescent="0.25">
      <c r="A4655" s="1145">
        <v>44552</v>
      </c>
      <c r="B4655" s="664" t="s">
        <v>442</v>
      </c>
      <c r="C4655" s="71" t="s">
        <v>208</v>
      </c>
      <c r="D4655" s="71">
        <v>5</v>
      </c>
      <c r="E4655" s="102">
        <v>505000</v>
      </c>
      <c r="F4655" s="102">
        <f t="shared" si="2289"/>
        <v>2777500</v>
      </c>
      <c r="G4655" s="102">
        <f t="shared" si="2290"/>
        <v>2525000</v>
      </c>
      <c r="H4655" s="690" t="s">
        <v>2029</v>
      </c>
      <c r="I4655" s="71" t="s">
        <v>195</v>
      </c>
      <c r="J4655" s="53">
        <f t="shared" si="2291"/>
        <v>523250</v>
      </c>
      <c r="K4655" s="63">
        <f t="shared" si="2292"/>
        <v>0.20722772277227722</v>
      </c>
      <c r="L4655" s="871" t="s">
        <v>3223</v>
      </c>
      <c r="M4655" s="468"/>
      <c r="N4655" s="1192">
        <f t="shared" si="2288"/>
        <v>44552</v>
      </c>
      <c r="O4655" s="71" t="s">
        <v>194</v>
      </c>
      <c r="P4655" s="103" t="str">
        <f t="shared" si="2270"/>
        <v>Agfa Film(32inch)</v>
      </c>
      <c r="Q4655" s="71">
        <f t="shared" si="2293"/>
        <v>5</v>
      </c>
      <c r="R4655" s="102">
        <v>400350</v>
      </c>
      <c r="S4655" s="102">
        <f t="shared" si="2279"/>
        <v>2201925</v>
      </c>
      <c r="T4655" s="102">
        <f t="shared" si="2280"/>
        <v>2001750</v>
      </c>
      <c r="U4655" s="71" t="str">
        <f>IF(J4655=W4655,"O", "X")</f>
        <v>O</v>
      </c>
      <c r="V4655" s="71"/>
      <c r="W4655" s="474">
        <f>(G4655-T4655)</f>
        <v>523250</v>
      </c>
      <c r="X4655" s="71"/>
      <c r="Y4655" s="71"/>
    </row>
    <row r="4656" spans="1:25" ht="30" hidden="1" customHeight="1" x14ac:dyDescent="0.2">
      <c r="A4656" s="1145">
        <v>44552</v>
      </c>
      <c r="B4656" s="664" t="s">
        <v>442</v>
      </c>
      <c r="C4656" s="71" t="s">
        <v>650</v>
      </c>
      <c r="D4656" s="71">
        <v>1</v>
      </c>
      <c r="E4656" s="102">
        <v>93000</v>
      </c>
      <c r="F4656" s="102">
        <f t="shared" si="2289"/>
        <v>102300.00000000001</v>
      </c>
      <c r="G4656" s="102">
        <f t="shared" si="2290"/>
        <v>93000</v>
      </c>
      <c r="H4656" s="165" t="s">
        <v>172</v>
      </c>
      <c r="I4656" s="71" t="s">
        <v>141</v>
      </c>
      <c r="J4656" s="53">
        <f t="shared" si="2291"/>
        <v>33000</v>
      </c>
      <c r="K4656" s="63">
        <f t="shared" si="2292"/>
        <v>0.35483870967741932</v>
      </c>
      <c r="L4656" s="871" t="s">
        <v>3223</v>
      </c>
      <c r="M4656" s="468"/>
      <c r="N4656" s="1192">
        <f t="shared" si="2288"/>
        <v>44552</v>
      </c>
      <c r="O4656" s="71" t="s">
        <v>145</v>
      </c>
      <c r="P4656" s="103" t="str">
        <f t="shared" si="2270"/>
        <v>Agfa 정착액 G333C(20L)</v>
      </c>
      <c r="Q4656" s="71">
        <f t="shared" si="2293"/>
        <v>1</v>
      </c>
      <c r="R4656" s="102">
        <f>VLOOKUP(P4656,Price!B:D,3,FALSE)</f>
        <v>60000</v>
      </c>
      <c r="S4656" s="102">
        <f t="shared" si="2279"/>
        <v>66000</v>
      </c>
      <c r="T4656" s="102">
        <f t="shared" si="2280"/>
        <v>60000</v>
      </c>
      <c r="U4656" s="71" t="str">
        <f>IF(J4656=W4656,"O", "X")</f>
        <v>O</v>
      </c>
      <c r="V4656" s="71"/>
      <c r="W4656" s="474">
        <f>(G4656-T4656)</f>
        <v>33000</v>
      </c>
      <c r="X4656" s="71"/>
      <c r="Y4656" s="71"/>
    </row>
    <row r="4657" spans="1:25" ht="30" hidden="1" customHeight="1" x14ac:dyDescent="0.25">
      <c r="A4657" s="1145">
        <v>44552</v>
      </c>
      <c r="B4657" s="664" t="s">
        <v>545</v>
      </c>
      <c r="C4657" s="71" t="s">
        <v>227</v>
      </c>
      <c r="D4657" s="71">
        <v>10</v>
      </c>
      <c r="E4657" s="102">
        <v>110000</v>
      </c>
      <c r="F4657" s="102">
        <f t="shared" si="2289"/>
        <v>1210000</v>
      </c>
      <c r="G4657" s="102">
        <f t="shared" si="2290"/>
        <v>1100000</v>
      </c>
      <c r="H4657" s="690" t="s">
        <v>173</v>
      </c>
      <c r="I4657" s="71" t="s">
        <v>109</v>
      </c>
      <c r="J4657" s="53">
        <f t="shared" si="2291"/>
        <v>206000</v>
      </c>
      <c r="K4657" s="63">
        <f t="shared" si="2292"/>
        <v>0.18727272727272729</v>
      </c>
      <c r="L4657" s="871" t="s">
        <v>3223</v>
      </c>
      <c r="M4657" s="468"/>
      <c r="N4657" s="1192">
        <f t="shared" si="2288"/>
        <v>44552</v>
      </c>
      <c r="O4657" s="71" t="s">
        <v>147</v>
      </c>
      <c r="P4657" s="103" t="str">
        <f t="shared" si="2270"/>
        <v>Blanket(1060*860)</v>
      </c>
      <c r="Q4657" s="71">
        <f t="shared" si="2293"/>
        <v>10</v>
      </c>
      <c r="R4657" s="102">
        <v>89400</v>
      </c>
      <c r="S4657" s="102">
        <f t="shared" si="2279"/>
        <v>983400.00000000012</v>
      </c>
      <c r="T4657" s="102">
        <f t="shared" si="2280"/>
        <v>894000</v>
      </c>
      <c r="U4657" s="71" t="str">
        <f>IF(J4657=W4657,"O", "X")</f>
        <v>O</v>
      </c>
      <c r="V4657" s="71"/>
      <c r="W4657" s="474">
        <f>(G4657-T4657)</f>
        <v>206000</v>
      </c>
      <c r="X4657" s="71"/>
      <c r="Y4657" s="71"/>
    </row>
    <row r="4658" spans="1:25" ht="30" hidden="1" customHeight="1" x14ac:dyDescent="0.25">
      <c r="A4658" s="1145">
        <v>44552</v>
      </c>
      <c r="B4658" s="664" t="s">
        <v>545</v>
      </c>
      <c r="C4658" s="71" t="s">
        <v>3195</v>
      </c>
      <c r="D4658" s="71">
        <v>2</v>
      </c>
      <c r="E4658" s="102">
        <v>175000</v>
      </c>
      <c r="F4658" s="102">
        <f t="shared" si="2289"/>
        <v>385000.00000000006</v>
      </c>
      <c r="G4658" s="102">
        <f t="shared" si="2290"/>
        <v>350000</v>
      </c>
      <c r="H4658" s="690" t="s">
        <v>173</v>
      </c>
      <c r="I4658" s="71" t="s">
        <v>108</v>
      </c>
      <c r="J4658" s="53">
        <f t="shared" si="2291"/>
        <v>90000</v>
      </c>
      <c r="K4658" s="63">
        <f t="shared" si="2292"/>
        <v>0.25714285714285712</v>
      </c>
      <c r="L4658" s="871" t="s">
        <v>3223</v>
      </c>
      <c r="M4658" s="468"/>
      <c r="N4658" s="1192">
        <f t="shared" si="2288"/>
        <v>44552</v>
      </c>
      <c r="O4658" s="71" t="s">
        <v>148</v>
      </c>
      <c r="P4658" s="103" t="str">
        <f t="shared" si="2270"/>
        <v>UV wash offset UV</v>
      </c>
      <c r="Q4658" s="71">
        <f t="shared" si="2293"/>
        <v>2</v>
      </c>
      <c r="R4658" s="102">
        <v>130000</v>
      </c>
      <c r="S4658" s="102">
        <f t="shared" si="2279"/>
        <v>286000</v>
      </c>
      <c r="T4658" s="102">
        <f t="shared" si="2280"/>
        <v>260000</v>
      </c>
      <c r="U4658" s="71"/>
      <c r="V4658" s="71"/>
      <c r="W4658" s="474"/>
      <c r="X4658" s="71"/>
      <c r="Y4658" s="71"/>
    </row>
    <row r="4659" spans="1:25" ht="30" hidden="1" customHeight="1" x14ac:dyDescent="0.25">
      <c r="A4659" s="1145">
        <v>44553</v>
      </c>
      <c r="B4659" s="664" t="s">
        <v>690</v>
      </c>
      <c r="C4659" s="71" t="s">
        <v>1186</v>
      </c>
      <c r="D4659" s="71">
        <v>1000</v>
      </c>
      <c r="E4659" s="102">
        <v>3860</v>
      </c>
      <c r="F4659" s="102">
        <f t="shared" si="2289"/>
        <v>4246000</v>
      </c>
      <c r="G4659" s="102">
        <f t="shared" si="2290"/>
        <v>3860000</v>
      </c>
      <c r="H4659" s="690" t="s">
        <v>173</v>
      </c>
      <c r="I4659" s="71" t="s">
        <v>2230</v>
      </c>
      <c r="J4659" s="53">
        <f t="shared" si="2291"/>
        <v>350000</v>
      </c>
      <c r="K4659" s="63">
        <f t="shared" si="2292"/>
        <v>9.0673575129533682E-2</v>
      </c>
      <c r="L4659" s="871" t="s">
        <v>3223</v>
      </c>
      <c r="M4659" s="468" t="s">
        <v>3078</v>
      </c>
      <c r="N4659" s="1192">
        <f t="shared" si="2288"/>
        <v>44553</v>
      </c>
      <c r="O4659" s="71" t="s">
        <v>145</v>
      </c>
      <c r="P4659" s="103" t="str">
        <f t="shared" si="2270"/>
        <v>CTP 판(1030*790mm)</v>
      </c>
      <c r="Q4659" s="71">
        <f t="shared" si="2293"/>
        <v>1000</v>
      </c>
      <c r="R4659" s="102">
        <v>3510</v>
      </c>
      <c r="S4659" s="102">
        <f t="shared" ref="S4659:S4690" si="2294">R4659*Q4659*1.1</f>
        <v>3861000.0000000005</v>
      </c>
      <c r="T4659" s="102">
        <f t="shared" ref="T4659:T4691" si="2295">R4659*Q4659</f>
        <v>3510000</v>
      </c>
      <c r="U4659" s="71" t="str">
        <f>IF(J4659=W4659,"O", "X")</f>
        <v>X</v>
      </c>
      <c r="V4659" s="71"/>
      <c r="W4659" s="474">
        <v>-200000</v>
      </c>
      <c r="X4659" s="71"/>
      <c r="Y4659" s="71"/>
    </row>
    <row r="4660" spans="1:25" ht="30" hidden="1" customHeight="1" x14ac:dyDescent="0.25">
      <c r="A4660" s="1145">
        <v>44553</v>
      </c>
      <c r="B4660" s="664" t="s">
        <v>690</v>
      </c>
      <c r="C4660" s="71" t="s">
        <v>197</v>
      </c>
      <c r="D4660" s="71">
        <v>8</v>
      </c>
      <c r="E4660" s="102">
        <v>52000</v>
      </c>
      <c r="F4660" s="102">
        <f t="shared" si="2289"/>
        <v>457600.00000000006</v>
      </c>
      <c r="G4660" s="102">
        <f t="shared" si="2290"/>
        <v>416000</v>
      </c>
      <c r="H4660" s="690" t="s">
        <v>173</v>
      </c>
      <c r="I4660" s="71" t="s">
        <v>2230</v>
      </c>
      <c r="J4660" s="53">
        <f t="shared" si="2291"/>
        <v>94000</v>
      </c>
      <c r="K4660" s="63">
        <f t="shared" si="2292"/>
        <v>0.22596153846153844</v>
      </c>
      <c r="L4660" s="871" t="s">
        <v>3223</v>
      </c>
      <c r="M4660" s="468"/>
      <c r="N4660" s="1192">
        <f t="shared" si="2288"/>
        <v>44553</v>
      </c>
      <c r="O4660" s="71" t="s">
        <v>145</v>
      </c>
      <c r="P4660" s="103" t="str">
        <f t="shared" ref="P4660:P4691" si="2296">(C4660)</f>
        <v>THR200(20L)</v>
      </c>
      <c r="Q4660" s="71">
        <f t="shared" si="2293"/>
        <v>8</v>
      </c>
      <c r="R4660" s="102">
        <v>40250</v>
      </c>
      <c r="S4660" s="102">
        <f t="shared" si="2294"/>
        <v>354200</v>
      </c>
      <c r="T4660" s="102">
        <f t="shared" si="2295"/>
        <v>322000</v>
      </c>
      <c r="U4660" s="71" t="str">
        <f>IF(J4660=W4660,"O", "X")</f>
        <v>X</v>
      </c>
      <c r="V4660" s="71"/>
      <c r="W4660" s="474"/>
      <c r="X4660" s="71"/>
      <c r="Y4660" s="71"/>
    </row>
    <row r="4661" spans="1:25" ht="30" hidden="1" customHeight="1" x14ac:dyDescent="0.25">
      <c r="A4661" s="1145">
        <v>44553</v>
      </c>
      <c r="B4661" s="664" t="s">
        <v>690</v>
      </c>
      <c r="C4661" s="71" t="s">
        <v>750</v>
      </c>
      <c r="D4661" s="71">
        <v>2</v>
      </c>
      <c r="E4661" s="102">
        <v>52000</v>
      </c>
      <c r="F4661" s="102">
        <f t="shared" si="2289"/>
        <v>114400.00000000001</v>
      </c>
      <c r="G4661" s="102">
        <f t="shared" si="2290"/>
        <v>104000</v>
      </c>
      <c r="H4661" s="690" t="s">
        <v>173</v>
      </c>
      <c r="I4661" s="71" t="s">
        <v>2230</v>
      </c>
      <c r="J4661" s="53">
        <f t="shared" si="2291"/>
        <v>23500</v>
      </c>
      <c r="K4661" s="63">
        <f t="shared" si="2292"/>
        <v>0.22596153846153844</v>
      </c>
      <c r="L4661" s="871" t="s">
        <v>3223</v>
      </c>
      <c r="M4661" s="468" t="s">
        <v>1394</v>
      </c>
      <c r="N4661" s="1192">
        <f t="shared" si="2288"/>
        <v>44553</v>
      </c>
      <c r="O4661" s="71" t="s">
        <v>145</v>
      </c>
      <c r="P4661" s="103" t="str">
        <f t="shared" si="2296"/>
        <v>THD200(20L)</v>
      </c>
      <c r="Q4661" s="71">
        <f t="shared" si="2293"/>
        <v>2</v>
      </c>
      <c r="R4661" s="102">
        <v>40250</v>
      </c>
      <c r="S4661" s="102">
        <f t="shared" si="2294"/>
        <v>88550</v>
      </c>
      <c r="T4661" s="102">
        <f t="shared" si="2295"/>
        <v>80500</v>
      </c>
      <c r="U4661" s="71" t="str">
        <f>IF(J4661=W4661,"O", "X")</f>
        <v>O</v>
      </c>
      <c r="V4661" s="71"/>
      <c r="W4661" s="474">
        <f>(G4661-T4661)</f>
        <v>23500</v>
      </c>
      <c r="X4661" s="71"/>
      <c r="Y4661" s="71"/>
    </row>
    <row r="4662" spans="1:25" ht="27.6" hidden="1" customHeight="1" x14ac:dyDescent="0.25">
      <c r="A4662" s="1145">
        <v>44553</v>
      </c>
      <c r="B4662" s="664" t="s">
        <v>546</v>
      </c>
      <c r="C4662" s="71" t="s">
        <v>114</v>
      </c>
      <c r="D4662" s="71">
        <v>50</v>
      </c>
      <c r="E4662" s="102">
        <v>18000</v>
      </c>
      <c r="F4662" s="102">
        <f t="shared" si="2263"/>
        <v>990000.00000000012</v>
      </c>
      <c r="G4662" s="102">
        <f t="shared" si="2264"/>
        <v>900000</v>
      </c>
      <c r="H4662" s="690" t="s">
        <v>1431</v>
      </c>
      <c r="I4662" s="71" t="s">
        <v>1431</v>
      </c>
      <c r="J4662" s="53">
        <f t="shared" si="2291"/>
        <v>450000</v>
      </c>
      <c r="K4662" s="63">
        <f>(J4662/(F4662/11*10))</f>
        <v>0.49999999999999994</v>
      </c>
      <c r="L4662" s="871" t="s">
        <v>3223</v>
      </c>
      <c r="M4662" s="468"/>
      <c r="N4662" s="1192">
        <f>A4662</f>
        <v>44553</v>
      </c>
      <c r="O4662" s="71" t="s">
        <v>1431</v>
      </c>
      <c r="P4662" s="103" t="str">
        <f t="shared" si="2296"/>
        <v>스트리퍼</v>
      </c>
      <c r="Q4662" s="71">
        <f>D4662</f>
        <v>50</v>
      </c>
      <c r="R4662" s="102">
        <v>9000</v>
      </c>
      <c r="S4662" s="102">
        <f t="shared" si="2294"/>
        <v>495000.00000000006</v>
      </c>
      <c r="T4662" s="102">
        <f t="shared" si="2295"/>
        <v>450000</v>
      </c>
      <c r="U4662" s="71"/>
      <c r="V4662" s="71"/>
      <c r="W4662" s="474"/>
      <c r="X4662" s="71"/>
      <c r="Y4662" s="71"/>
    </row>
    <row r="4663" spans="1:25" s="209" customFormat="1" ht="30" hidden="1" customHeight="1" x14ac:dyDescent="0.2">
      <c r="A4663" s="1145">
        <v>44553</v>
      </c>
      <c r="B4663" s="664" t="s">
        <v>2353</v>
      </c>
      <c r="C4663" s="71" t="s">
        <v>130</v>
      </c>
      <c r="D4663" s="71">
        <v>10</v>
      </c>
      <c r="E4663" s="102">
        <v>125000</v>
      </c>
      <c r="F4663" s="102">
        <f>(E4663*D4663)*1.1</f>
        <v>1375000</v>
      </c>
      <c r="G4663" s="102">
        <f>(E4663*D4663)</f>
        <v>1250000</v>
      </c>
      <c r="H4663" s="165" t="s">
        <v>142</v>
      </c>
      <c r="I4663" s="71" t="s">
        <v>142</v>
      </c>
      <c r="J4663" s="53">
        <f t="shared" si="2291"/>
        <v>260000</v>
      </c>
      <c r="K4663" s="63">
        <f t="shared" ref="K4663:K4669" si="2297">(J4663/(F4663/11*10))</f>
        <v>0.20799999999999999</v>
      </c>
      <c r="L4663" s="871" t="s">
        <v>3223</v>
      </c>
      <c r="M4663" s="468" t="s">
        <v>2050</v>
      </c>
      <c r="N4663" s="1192">
        <f t="shared" ref="N4663:N4669" si="2298">A4663</f>
        <v>44553</v>
      </c>
      <c r="O4663" s="71" t="s">
        <v>150</v>
      </c>
      <c r="P4663" s="103" t="str">
        <f t="shared" si="2296"/>
        <v>XL106 Blanket(1077*885)</v>
      </c>
      <c r="Q4663" s="71">
        <f t="shared" ref="Q4663:Q4669" si="2299">D4663</f>
        <v>10</v>
      </c>
      <c r="R4663" s="102">
        <v>99000</v>
      </c>
      <c r="S4663" s="102">
        <f t="shared" si="2294"/>
        <v>1089000</v>
      </c>
      <c r="T4663" s="102">
        <f t="shared" si="2295"/>
        <v>990000</v>
      </c>
      <c r="U4663" s="71" t="str">
        <f t="shared" ref="U4663:U4669" si="2300">IF(J4663=W4663,"O", "X")</f>
        <v>O</v>
      </c>
      <c r="V4663" s="71"/>
      <c r="W4663" s="474">
        <f>(G4663-T4663)</f>
        <v>260000</v>
      </c>
      <c r="X4663" s="71"/>
      <c r="Y4663" s="71"/>
    </row>
    <row r="4664" spans="1:25" ht="30" hidden="1" customHeight="1" x14ac:dyDescent="0.2">
      <c r="A4664" s="1145">
        <v>44553</v>
      </c>
      <c r="B4664" s="664" t="s">
        <v>2353</v>
      </c>
      <c r="C4664" s="71" t="s">
        <v>129</v>
      </c>
      <c r="D4664" s="71">
        <v>7</v>
      </c>
      <c r="E4664" s="102">
        <v>272000</v>
      </c>
      <c r="F4664" s="102">
        <f>(E4664*D4664)*1.1</f>
        <v>2094400.0000000002</v>
      </c>
      <c r="G4664" s="102">
        <f>(E4664*D4664)</f>
        <v>1904000</v>
      </c>
      <c r="H4664" s="165" t="s">
        <v>142</v>
      </c>
      <c r="I4664" s="71" t="s">
        <v>142</v>
      </c>
      <c r="J4664" s="53">
        <f t="shared" si="2291"/>
        <v>414400</v>
      </c>
      <c r="K4664" s="63">
        <f t="shared" si="2297"/>
        <v>0.21764705882352939</v>
      </c>
      <c r="L4664" s="871" t="s">
        <v>3223</v>
      </c>
      <c r="M4664" s="468" t="s">
        <v>2050</v>
      </c>
      <c r="N4664" s="1192">
        <f t="shared" si="2298"/>
        <v>44553</v>
      </c>
      <c r="O4664" s="71" t="s">
        <v>149</v>
      </c>
      <c r="P4664" s="103" t="str">
        <f t="shared" si="2296"/>
        <v>세정포-XL106</v>
      </c>
      <c r="Q4664" s="71">
        <f t="shared" si="2299"/>
        <v>7</v>
      </c>
      <c r="R4664" s="102">
        <v>212800</v>
      </c>
      <c r="S4664" s="102">
        <f t="shared" si="2294"/>
        <v>1638560.0000000002</v>
      </c>
      <c r="T4664" s="102">
        <f t="shared" si="2295"/>
        <v>1489600</v>
      </c>
      <c r="U4664" s="71" t="str">
        <f t="shared" si="2300"/>
        <v>O</v>
      </c>
      <c r="V4664" s="71"/>
      <c r="W4664" s="474">
        <f>(G4664-T4664)</f>
        <v>414400</v>
      </c>
      <c r="X4664" s="71"/>
      <c r="Y4664" s="71"/>
    </row>
    <row r="4665" spans="1:25" ht="30" customHeight="1" x14ac:dyDescent="0.25">
      <c r="A4665" s="1145">
        <v>44554</v>
      </c>
      <c r="B4665" s="664" t="s">
        <v>2352</v>
      </c>
      <c r="C4665" s="760" t="s">
        <v>218</v>
      </c>
      <c r="D4665" s="71">
        <v>3</v>
      </c>
      <c r="E4665" s="102">
        <v>235000</v>
      </c>
      <c r="F4665" s="102">
        <f>(E4665*D4665)*1.1</f>
        <v>775500.00000000012</v>
      </c>
      <c r="G4665" s="102">
        <f>(E4665*D4665)</f>
        <v>705000</v>
      </c>
      <c r="H4665" s="690" t="s">
        <v>142</v>
      </c>
      <c r="I4665" s="690" t="s">
        <v>142</v>
      </c>
      <c r="J4665" s="53">
        <f t="shared" si="2291"/>
        <v>367500</v>
      </c>
      <c r="K4665" s="63">
        <f t="shared" si="2297"/>
        <v>0.52127659574468077</v>
      </c>
      <c r="L4665" s="871" t="s">
        <v>3223</v>
      </c>
      <c r="M4665" s="468" t="s">
        <v>2053</v>
      </c>
      <c r="N4665" s="1192">
        <f t="shared" si="2298"/>
        <v>44554</v>
      </c>
      <c r="O4665" s="71" t="s">
        <v>150</v>
      </c>
      <c r="P4665" s="103" t="str">
        <f t="shared" si="2296"/>
        <v>Fount Web 551AF</v>
      </c>
      <c r="Q4665" s="71">
        <f t="shared" si="2299"/>
        <v>3</v>
      </c>
      <c r="R4665" s="102">
        <v>112500</v>
      </c>
      <c r="S4665" s="102">
        <f t="shared" si="2294"/>
        <v>371250.00000000006</v>
      </c>
      <c r="T4665" s="102">
        <f t="shared" si="2295"/>
        <v>337500</v>
      </c>
      <c r="U4665" s="71" t="str">
        <f t="shared" si="2300"/>
        <v>O</v>
      </c>
      <c r="V4665" s="71"/>
      <c r="W4665" s="474">
        <f>(G4665-T4665)</f>
        <v>367500</v>
      </c>
      <c r="X4665" s="71"/>
      <c r="Y4665" s="71"/>
    </row>
    <row r="4666" spans="1:25" ht="30" hidden="1" customHeight="1" x14ac:dyDescent="0.25">
      <c r="A4666" s="1145">
        <v>44554</v>
      </c>
      <c r="B4666" s="664" t="s">
        <v>545</v>
      </c>
      <c r="C4666" s="71" t="s">
        <v>952</v>
      </c>
      <c r="D4666" s="71">
        <v>1</v>
      </c>
      <c r="E4666" s="102">
        <v>630000</v>
      </c>
      <c r="F4666" s="102">
        <f t="shared" si="2263"/>
        <v>693000</v>
      </c>
      <c r="G4666" s="102">
        <f t="shared" si="2264"/>
        <v>630000</v>
      </c>
      <c r="H4666" s="690" t="s">
        <v>173</v>
      </c>
      <c r="I4666" s="71" t="s">
        <v>108</v>
      </c>
      <c r="J4666" s="53">
        <f t="shared" si="2291"/>
        <v>168000</v>
      </c>
      <c r="K4666" s="63">
        <f t="shared" si="2297"/>
        <v>0.26666666666666666</v>
      </c>
      <c r="L4666" s="871" t="s">
        <v>3223</v>
      </c>
      <c r="M4666" s="468"/>
      <c r="N4666" s="1192">
        <f t="shared" si="2298"/>
        <v>44554</v>
      </c>
      <c r="O4666" s="71" t="s">
        <v>599</v>
      </c>
      <c r="P4666" s="103" t="str">
        <f t="shared" si="2296"/>
        <v>점보롤 세정포</v>
      </c>
      <c r="Q4666" s="71">
        <f t="shared" si="2299"/>
        <v>1</v>
      </c>
      <c r="R4666" s="102">
        <v>462000</v>
      </c>
      <c r="S4666" s="102">
        <f t="shared" si="2294"/>
        <v>508200.00000000006</v>
      </c>
      <c r="T4666" s="102">
        <f t="shared" si="2295"/>
        <v>462000</v>
      </c>
      <c r="U4666" s="71" t="str">
        <f t="shared" si="2300"/>
        <v>O</v>
      </c>
      <c r="V4666" s="71" t="s">
        <v>1228</v>
      </c>
      <c r="W4666" s="474">
        <f>(G4666-T4666)</f>
        <v>168000</v>
      </c>
      <c r="X4666" s="71"/>
      <c r="Y4666" s="71"/>
    </row>
    <row r="4667" spans="1:25" s="209" customFormat="1" ht="31.5" hidden="1" customHeight="1" x14ac:dyDescent="0.2">
      <c r="A4667" s="1145">
        <v>44554</v>
      </c>
      <c r="B4667" s="664" t="s">
        <v>2155</v>
      </c>
      <c r="C4667" s="71" t="s">
        <v>231</v>
      </c>
      <c r="D4667" s="71">
        <v>10</v>
      </c>
      <c r="E4667" s="102">
        <v>120000</v>
      </c>
      <c r="F4667" s="102">
        <f t="shared" si="2263"/>
        <v>1320000</v>
      </c>
      <c r="G4667" s="102">
        <f t="shared" si="2264"/>
        <v>1200000</v>
      </c>
      <c r="H4667" s="165" t="s">
        <v>172</v>
      </c>
      <c r="I4667" s="71" t="s">
        <v>109</v>
      </c>
      <c r="J4667" s="53">
        <f t="shared" si="2291"/>
        <v>80000</v>
      </c>
      <c r="K4667" s="63">
        <f t="shared" si="2297"/>
        <v>6.6666666666666666E-2</v>
      </c>
      <c r="L4667" s="871" t="s">
        <v>3223</v>
      </c>
      <c r="M4667" s="468"/>
      <c r="N4667" s="1192">
        <f t="shared" si="2298"/>
        <v>44554</v>
      </c>
      <c r="O4667" s="71" t="s">
        <v>151</v>
      </c>
      <c r="P4667" s="103" t="str">
        <f t="shared" si="2296"/>
        <v>Blanket(990*725)</v>
      </c>
      <c r="Q4667" s="71">
        <f t="shared" si="2299"/>
        <v>10</v>
      </c>
      <c r="R4667" s="102">
        <v>112000</v>
      </c>
      <c r="S4667" s="102">
        <f t="shared" si="2294"/>
        <v>1232000</v>
      </c>
      <c r="T4667" s="102">
        <f t="shared" si="2295"/>
        <v>1120000</v>
      </c>
      <c r="U4667" s="71" t="str">
        <f t="shared" si="2300"/>
        <v>O</v>
      </c>
      <c r="V4667" s="71"/>
      <c r="W4667" s="474">
        <v>80000</v>
      </c>
      <c r="X4667" s="71"/>
      <c r="Y4667" s="71"/>
    </row>
    <row r="4668" spans="1:25" s="209" customFormat="1" ht="30" hidden="1" customHeight="1" x14ac:dyDescent="0.25">
      <c r="A4668" s="1145">
        <v>44555</v>
      </c>
      <c r="B4668" s="664" t="s">
        <v>567</v>
      </c>
      <c r="C4668" s="71" t="s">
        <v>236</v>
      </c>
      <c r="D4668" s="71">
        <v>5</v>
      </c>
      <c r="E4668" s="102">
        <v>65000</v>
      </c>
      <c r="F4668" s="102">
        <f t="shared" si="2263"/>
        <v>357500</v>
      </c>
      <c r="G4668" s="102">
        <f t="shared" si="2264"/>
        <v>325000</v>
      </c>
      <c r="H4668" s="690" t="s">
        <v>173</v>
      </c>
      <c r="I4668" s="71" t="s">
        <v>2231</v>
      </c>
      <c r="J4668" s="53">
        <f t="shared" si="2291"/>
        <v>75000</v>
      </c>
      <c r="K4668" s="63">
        <f t="shared" si="2297"/>
        <v>0.23076923076923078</v>
      </c>
      <c r="L4668" s="871" t="s">
        <v>3223</v>
      </c>
      <c r="M4668" s="468"/>
      <c r="N4668" s="1192">
        <f t="shared" si="2298"/>
        <v>44555</v>
      </c>
      <c r="O4668" s="71" t="s">
        <v>153</v>
      </c>
      <c r="P4668" s="103" t="str">
        <f t="shared" si="2296"/>
        <v>아스테이지(국전)</v>
      </c>
      <c r="Q4668" s="71">
        <f t="shared" si="2299"/>
        <v>5</v>
      </c>
      <c r="R4668" s="102">
        <v>50000</v>
      </c>
      <c r="S4668" s="102">
        <f t="shared" si="2294"/>
        <v>275000</v>
      </c>
      <c r="T4668" s="102">
        <f t="shared" si="2295"/>
        <v>250000</v>
      </c>
      <c r="U4668" s="71" t="str">
        <f t="shared" si="2300"/>
        <v>X</v>
      </c>
      <c r="V4668" s="71"/>
      <c r="W4668" s="474">
        <v>150000</v>
      </c>
      <c r="X4668" s="71"/>
      <c r="Y4668" s="71"/>
    </row>
    <row r="4669" spans="1:25" ht="30" customHeight="1" x14ac:dyDescent="0.2">
      <c r="A4669" s="1145">
        <v>44557</v>
      </c>
      <c r="B4669" s="664" t="s">
        <v>565</v>
      </c>
      <c r="C4669" s="71" t="s">
        <v>2081</v>
      </c>
      <c r="D4669" s="71">
        <v>100</v>
      </c>
      <c r="E4669" s="102">
        <v>69000</v>
      </c>
      <c r="F4669" s="102">
        <f t="shared" si="2263"/>
        <v>7590000.0000000009</v>
      </c>
      <c r="G4669" s="102">
        <f t="shared" si="2264"/>
        <v>6900000</v>
      </c>
      <c r="H4669" s="165" t="s">
        <v>173</v>
      </c>
      <c r="I4669" s="71" t="s">
        <v>108</v>
      </c>
      <c r="J4669" s="53">
        <f t="shared" si="2291"/>
        <v>1800000</v>
      </c>
      <c r="K4669" s="63">
        <f t="shared" si="2297"/>
        <v>0.26086956521739124</v>
      </c>
      <c r="L4669" s="871" t="s">
        <v>3223</v>
      </c>
      <c r="M4669" s="468"/>
      <c r="N4669" s="1192">
        <f t="shared" si="2298"/>
        <v>44557</v>
      </c>
      <c r="O4669" s="71" t="s">
        <v>599</v>
      </c>
      <c r="P4669" s="103" t="str">
        <f t="shared" si="2296"/>
        <v>GOSS 신문윤전 습식세정포</v>
      </c>
      <c r="Q4669" s="71">
        <f t="shared" si="2299"/>
        <v>100</v>
      </c>
      <c r="R4669" s="102">
        <v>51000</v>
      </c>
      <c r="S4669" s="102">
        <f t="shared" si="2294"/>
        <v>5610000</v>
      </c>
      <c r="T4669" s="102">
        <f t="shared" si="2295"/>
        <v>5100000</v>
      </c>
      <c r="U4669" s="71" t="str">
        <f t="shared" si="2300"/>
        <v>X</v>
      </c>
      <c r="V4669" s="71"/>
      <c r="W4669" s="474"/>
      <c r="X4669" s="71"/>
      <c r="Y4669" s="71"/>
    </row>
    <row r="4670" spans="1:25" ht="30" hidden="1" customHeight="1" x14ac:dyDescent="0.25">
      <c r="A4670" s="1145">
        <v>44559</v>
      </c>
      <c r="B4670" s="664" t="s">
        <v>1155</v>
      </c>
      <c r="C4670" s="71" t="s">
        <v>114</v>
      </c>
      <c r="D4670" s="71">
        <v>50</v>
      </c>
      <c r="E4670" s="102">
        <v>22000</v>
      </c>
      <c r="F4670" s="102">
        <f>(E4670*D4670)*1.1</f>
        <v>1210000</v>
      </c>
      <c r="G4670" s="102">
        <f>(E4670*D4670)</f>
        <v>1100000</v>
      </c>
      <c r="H4670" s="690" t="s">
        <v>1431</v>
      </c>
      <c r="I4670" s="71" t="s">
        <v>1431</v>
      </c>
      <c r="J4670" s="53">
        <f t="shared" si="2291"/>
        <v>650000</v>
      </c>
      <c r="K4670" s="63">
        <f>(J4670/(F4670/11*10))</f>
        <v>0.59090909090909094</v>
      </c>
      <c r="L4670" s="871" t="s">
        <v>3223</v>
      </c>
      <c r="M4670" s="468"/>
      <c r="N4670" s="1192">
        <f>A4670</f>
        <v>44559</v>
      </c>
      <c r="O4670" s="71" t="s">
        <v>1431</v>
      </c>
      <c r="P4670" s="103" t="str">
        <f t="shared" si="2296"/>
        <v>스트리퍼</v>
      </c>
      <c r="Q4670" s="71">
        <f>D4670</f>
        <v>50</v>
      </c>
      <c r="R4670" s="102">
        <v>9000</v>
      </c>
      <c r="S4670" s="102">
        <f t="shared" si="2294"/>
        <v>495000.00000000006</v>
      </c>
      <c r="T4670" s="102">
        <f t="shared" si="2295"/>
        <v>450000</v>
      </c>
      <c r="U4670" s="71"/>
      <c r="V4670" s="71"/>
      <c r="W4670" s="474"/>
      <c r="X4670" s="71"/>
      <c r="Y4670" s="71"/>
    </row>
    <row r="4671" spans="1:25" ht="30" hidden="1" customHeight="1" x14ac:dyDescent="0.25">
      <c r="A4671" s="1145">
        <v>44560</v>
      </c>
      <c r="B4671" s="664" t="s">
        <v>2155</v>
      </c>
      <c r="C4671" s="71" t="s">
        <v>277</v>
      </c>
      <c r="D4671" s="71">
        <v>5</v>
      </c>
      <c r="E4671" s="102">
        <v>172000</v>
      </c>
      <c r="F4671" s="102">
        <f t="shared" ref="F4671:F4691" si="2301">(E4671*D4671)*1.1</f>
        <v>946000.00000000012</v>
      </c>
      <c r="G4671" s="102">
        <f t="shared" ref="G4671:G4691" si="2302">(E4671*D4671)</f>
        <v>860000</v>
      </c>
      <c r="H4671" s="690" t="s">
        <v>173</v>
      </c>
      <c r="I4671" s="71" t="s">
        <v>108</v>
      </c>
      <c r="J4671" s="53">
        <f t="shared" si="2291"/>
        <v>285000</v>
      </c>
      <c r="K4671" s="63">
        <f t="shared" ref="K4671:K4691" si="2303">(J4671/(F4671/11*10))</f>
        <v>0.33139534883720928</v>
      </c>
      <c r="L4671" s="871" t="s">
        <v>3223</v>
      </c>
      <c r="M4671" s="468"/>
      <c r="N4671" s="1192">
        <f t="shared" ref="N4671:N4691" si="2304">A4671</f>
        <v>44560</v>
      </c>
      <c r="O4671" s="71" t="s">
        <v>150</v>
      </c>
      <c r="P4671" s="103" t="str">
        <f t="shared" si="2296"/>
        <v>윤전용 세척제(Web 504)</v>
      </c>
      <c r="Q4671" s="71">
        <f t="shared" ref="Q4671:Q4690" si="2305">D4671</f>
        <v>5</v>
      </c>
      <c r="R4671" s="102">
        <v>115000</v>
      </c>
      <c r="S4671" s="102">
        <f t="shared" si="2294"/>
        <v>632500</v>
      </c>
      <c r="T4671" s="102">
        <f t="shared" si="2295"/>
        <v>575000</v>
      </c>
      <c r="U4671" s="71" t="str">
        <f t="shared" ref="U4671:U4691" si="2306">IF(J4671=W4671,"O", "X")</f>
        <v>O</v>
      </c>
      <c r="V4671" s="71"/>
      <c r="W4671" s="474">
        <v>285000</v>
      </c>
      <c r="X4671" s="71"/>
      <c r="Y4671" s="71"/>
    </row>
    <row r="4672" spans="1:25" ht="30" hidden="1" customHeight="1" x14ac:dyDescent="0.25">
      <c r="A4672" s="1145">
        <v>44560</v>
      </c>
      <c r="B4672" s="664" t="s">
        <v>2155</v>
      </c>
      <c r="C4672" s="760" t="s">
        <v>218</v>
      </c>
      <c r="D4672" s="71">
        <v>5</v>
      </c>
      <c r="E4672" s="102">
        <v>192500</v>
      </c>
      <c r="F4672" s="102">
        <f t="shared" si="2301"/>
        <v>1058750</v>
      </c>
      <c r="G4672" s="102">
        <f t="shared" si="2302"/>
        <v>962500</v>
      </c>
      <c r="H4672" s="690" t="s">
        <v>173</v>
      </c>
      <c r="I4672" s="71" t="s">
        <v>120</v>
      </c>
      <c r="J4672" s="53">
        <f t="shared" si="2291"/>
        <v>400000</v>
      </c>
      <c r="K4672" s="63">
        <f t="shared" si="2303"/>
        <v>0.41558441558441561</v>
      </c>
      <c r="L4672" s="871" t="s">
        <v>3223</v>
      </c>
      <c r="M4672" s="468"/>
      <c r="N4672" s="1192">
        <f t="shared" si="2304"/>
        <v>44560</v>
      </c>
      <c r="O4672" s="71" t="s">
        <v>150</v>
      </c>
      <c r="P4672" s="103" t="str">
        <f t="shared" si="2296"/>
        <v>Fount Web 551AF</v>
      </c>
      <c r="Q4672" s="71">
        <f t="shared" si="2305"/>
        <v>5</v>
      </c>
      <c r="R4672" s="102">
        <v>112500</v>
      </c>
      <c r="S4672" s="102">
        <f t="shared" si="2294"/>
        <v>618750</v>
      </c>
      <c r="T4672" s="102">
        <f t="shared" si="2295"/>
        <v>562500</v>
      </c>
      <c r="U4672" s="71" t="str">
        <f t="shared" si="2306"/>
        <v>X</v>
      </c>
      <c r="V4672" s="71"/>
      <c r="W4672" s="474">
        <v>640000</v>
      </c>
      <c r="X4672" s="71"/>
      <c r="Y4672" s="71"/>
    </row>
    <row r="4673" spans="1:25" ht="30" hidden="1" customHeight="1" x14ac:dyDescent="0.25">
      <c r="A4673" s="1145">
        <v>44560</v>
      </c>
      <c r="B4673" s="664" t="s">
        <v>1051</v>
      </c>
      <c r="C4673" s="71" t="s">
        <v>1294</v>
      </c>
      <c r="D4673" s="71">
        <v>800</v>
      </c>
      <c r="E4673" s="102">
        <v>5910</v>
      </c>
      <c r="F4673" s="102">
        <f t="shared" si="2301"/>
        <v>5200800</v>
      </c>
      <c r="G4673" s="102">
        <f t="shared" si="2302"/>
        <v>4728000</v>
      </c>
      <c r="H4673" s="690" t="s">
        <v>142</v>
      </c>
      <c r="I4673" s="71" t="s">
        <v>2273</v>
      </c>
      <c r="J4673" s="53">
        <f t="shared" si="2291"/>
        <v>1920000</v>
      </c>
      <c r="K4673" s="63">
        <f t="shared" si="2303"/>
        <v>0.40609137055837563</v>
      </c>
      <c r="L4673" s="871" t="s">
        <v>3223</v>
      </c>
      <c r="M4673" s="468"/>
      <c r="N4673" s="1192">
        <f t="shared" si="2304"/>
        <v>44560</v>
      </c>
      <c r="O4673" s="71" t="s">
        <v>145</v>
      </c>
      <c r="P4673" s="103" t="str">
        <f t="shared" si="2296"/>
        <v>ENGAGE 1030*790</v>
      </c>
      <c r="Q4673" s="71">
        <f t="shared" si="2305"/>
        <v>800</v>
      </c>
      <c r="R4673" s="102">
        <v>3510</v>
      </c>
      <c r="S4673" s="102">
        <f t="shared" si="2294"/>
        <v>3088800.0000000005</v>
      </c>
      <c r="T4673" s="102">
        <f t="shared" si="2295"/>
        <v>2808000</v>
      </c>
      <c r="U4673" s="71" t="str">
        <f t="shared" si="2306"/>
        <v>O</v>
      </c>
      <c r="V4673" s="71"/>
      <c r="W4673" s="474">
        <f t="shared" ref="W4673:W4690" si="2307">(G4673-T4673)</f>
        <v>1920000</v>
      </c>
      <c r="X4673" s="71"/>
      <c r="Y4673" s="71"/>
    </row>
    <row r="4674" spans="1:25" ht="30" hidden="1" customHeight="1" x14ac:dyDescent="0.25">
      <c r="A4674" s="1145">
        <v>44560</v>
      </c>
      <c r="B4674" s="664" t="s">
        <v>1051</v>
      </c>
      <c r="C4674" s="71" t="s">
        <v>1384</v>
      </c>
      <c r="D4674" s="71">
        <v>1100</v>
      </c>
      <c r="E4674" s="102">
        <v>3720</v>
      </c>
      <c r="F4674" s="102">
        <f t="shared" si="2301"/>
        <v>4501200</v>
      </c>
      <c r="G4674" s="102">
        <f t="shared" si="2302"/>
        <v>4092000</v>
      </c>
      <c r="H4674" s="690" t="s">
        <v>142</v>
      </c>
      <c r="I4674" s="71" t="s">
        <v>2273</v>
      </c>
      <c r="J4674" s="53">
        <f t="shared" si="2291"/>
        <v>1650000</v>
      </c>
      <c r="K4674" s="63">
        <f t="shared" si="2303"/>
        <v>0.40322580645161288</v>
      </c>
      <c r="L4674" s="871" t="s">
        <v>3223</v>
      </c>
      <c r="M4674" s="468"/>
      <c r="N4674" s="1192">
        <f t="shared" si="2304"/>
        <v>44560</v>
      </c>
      <c r="O4674" s="71" t="s">
        <v>145</v>
      </c>
      <c r="P4674" s="103" t="str">
        <f t="shared" si="2296"/>
        <v>ENGAGE 900X571 - 27RO</v>
      </c>
      <c r="Q4674" s="71">
        <f t="shared" si="2305"/>
        <v>1100</v>
      </c>
      <c r="R4674" s="102">
        <v>2220</v>
      </c>
      <c r="S4674" s="102">
        <f t="shared" si="2294"/>
        <v>2686200</v>
      </c>
      <c r="T4674" s="102">
        <f t="shared" si="2295"/>
        <v>2442000</v>
      </c>
      <c r="U4674" s="71" t="str">
        <f t="shared" si="2306"/>
        <v>O</v>
      </c>
      <c r="V4674" s="71"/>
      <c r="W4674" s="474">
        <f t="shared" si="2307"/>
        <v>1650000</v>
      </c>
      <c r="X4674" s="71"/>
      <c r="Y4674" s="71"/>
    </row>
    <row r="4675" spans="1:25" ht="30" hidden="1" customHeight="1" x14ac:dyDescent="0.25">
      <c r="A4675" s="1145">
        <v>44560</v>
      </c>
      <c r="B4675" s="664" t="s">
        <v>1051</v>
      </c>
      <c r="C4675" s="71" t="s">
        <v>951</v>
      </c>
      <c r="D4675" s="71">
        <v>4800</v>
      </c>
      <c r="E4675" s="102">
        <v>3540</v>
      </c>
      <c r="F4675" s="102">
        <f t="shared" si="2301"/>
        <v>18691200</v>
      </c>
      <c r="G4675" s="102">
        <f t="shared" si="2302"/>
        <v>16992000</v>
      </c>
      <c r="H4675" s="690" t="s">
        <v>142</v>
      </c>
      <c r="I4675" s="71" t="s">
        <v>2273</v>
      </c>
      <c r="J4675" s="53">
        <f t="shared" si="2291"/>
        <v>6912000</v>
      </c>
      <c r="K4675" s="63">
        <f t="shared" si="2303"/>
        <v>0.40677966101694918</v>
      </c>
      <c r="L4675" s="871" t="s">
        <v>3223</v>
      </c>
      <c r="M4675" s="468"/>
      <c r="N4675" s="1192">
        <f t="shared" si="2304"/>
        <v>44560</v>
      </c>
      <c r="O4675" s="71" t="s">
        <v>145</v>
      </c>
      <c r="P4675" s="103" t="str">
        <f t="shared" si="2296"/>
        <v>ENGAGE 30WEB(883*552)</v>
      </c>
      <c r="Q4675" s="71">
        <f t="shared" si="2305"/>
        <v>4800</v>
      </c>
      <c r="R4675" s="102">
        <v>2100</v>
      </c>
      <c r="S4675" s="102">
        <f t="shared" si="2294"/>
        <v>11088000</v>
      </c>
      <c r="T4675" s="102">
        <f t="shared" si="2295"/>
        <v>10080000</v>
      </c>
      <c r="U4675" s="71" t="str">
        <f t="shared" si="2306"/>
        <v>O</v>
      </c>
      <c r="V4675" s="71"/>
      <c r="W4675" s="474">
        <f t="shared" si="2307"/>
        <v>6912000</v>
      </c>
      <c r="X4675" s="71"/>
      <c r="Y4675" s="71"/>
    </row>
    <row r="4676" spans="1:25" ht="30" hidden="1" customHeight="1" x14ac:dyDescent="0.25">
      <c r="A4676" s="1145">
        <v>44560</v>
      </c>
      <c r="B4676" s="664" t="s">
        <v>1051</v>
      </c>
      <c r="C4676" s="71" t="s">
        <v>2219</v>
      </c>
      <c r="D4676" s="71">
        <v>1400</v>
      </c>
      <c r="E4676" s="102">
        <v>5980</v>
      </c>
      <c r="F4676" s="102">
        <f t="shared" si="2301"/>
        <v>9209200</v>
      </c>
      <c r="G4676" s="102">
        <f t="shared" si="2302"/>
        <v>8372000</v>
      </c>
      <c r="H4676" s="690" t="s">
        <v>142</v>
      </c>
      <c r="I4676" s="71" t="s">
        <v>2273</v>
      </c>
      <c r="J4676" s="53">
        <f t="shared" si="2291"/>
        <v>3402000</v>
      </c>
      <c r="K4676" s="63">
        <f t="shared" si="2303"/>
        <v>0.40635451505016723</v>
      </c>
      <c r="L4676" s="871" t="s">
        <v>3223</v>
      </c>
      <c r="M4676" s="468"/>
      <c r="N4676" s="1192">
        <f t="shared" si="2304"/>
        <v>44560</v>
      </c>
      <c r="O4676" s="71" t="s">
        <v>145</v>
      </c>
      <c r="P4676" s="103" t="str">
        <f t="shared" si="2296"/>
        <v>ENGAGE 1030*800</v>
      </c>
      <c r="Q4676" s="71">
        <f t="shared" si="2305"/>
        <v>1400</v>
      </c>
      <c r="R4676" s="102">
        <v>3550</v>
      </c>
      <c r="S4676" s="102">
        <f t="shared" si="2294"/>
        <v>5467000</v>
      </c>
      <c r="T4676" s="102">
        <f t="shared" si="2295"/>
        <v>4970000</v>
      </c>
      <c r="U4676" s="71" t="str">
        <f t="shared" si="2306"/>
        <v>O</v>
      </c>
      <c r="V4676" s="71"/>
      <c r="W4676" s="474">
        <f t="shared" si="2307"/>
        <v>3402000</v>
      </c>
      <c r="X4676" s="71"/>
      <c r="Y4676" s="71"/>
    </row>
    <row r="4677" spans="1:25" ht="30" hidden="1" customHeight="1" x14ac:dyDescent="0.25">
      <c r="A4677" s="1145">
        <v>44560</v>
      </c>
      <c r="B4677" s="664" t="s">
        <v>1051</v>
      </c>
      <c r="C4677" s="71" t="s">
        <v>1383</v>
      </c>
      <c r="D4677" s="71">
        <v>800</v>
      </c>
      <c r="E4677" s="102">
        <v>6200</v>
      </c>
      <c r="F4677" s="102">
        <f t="shared" si="2301"/>
        <v>5456000</v>
      </c>
      <c r="G4677" s="102">
        <f t="shared" si="2302"/>
        <v>4960000</v>
      </c>
      <c r="H4677" s="690" t="s">
        <v>142</v>
      </c>
      <c r="I4677" s="71" t="s">
        <v>2273</v>
      </c>
      <c r="J4677" s="53">
        <f t="shared" si="2291"/>
        <v>2008000</v>
      </c>
      <c r="K4677" s="63">
        <f t="shared" si="2303"/>
        <v>0.40483870967741936</v>
      </c>
      <c r="L4677" s="871" t="s">
        <v>3223</v>
      </c>
      <c r="M4677" s="468"/>
      <c r="N4677" s="1192">
        <f t="shared" si="2304"/>
        <v>44560</v>
      </c>
      <c r="O4677" s="71" t="s">
        <v>145</v>
      </c>
      <c r="P4677" s="103" t="str">
        <f t="shared" si="2296"/>
        <v>ENGAGE 1055*811</v>
      </c>
      <c r="Q4677" s="71">
        <f t="shared" si="2305"/>
        <v>800</v>
      </c>
      <c r="R4677" s="102">
        <v>3690</v>
      </c>
      <c r="S4677" s="102">
        <f t="shared" si="2294"/>
        <v>3247200.0000000005</v>
      </c>
      <c r="T4677" s="102">
        <f t="shared" si="2295"/>
        <v>2952000</v>
      </c>
      <c r="U4677" s="71" t="str">
        <f t="shared" si="2306"/>
        <v>O</v>
      </c>
      <c r="V4677" s="71"/>
      <c r="W4677" s="474">
        <f t="shared" si="2307"/>
        <v>2008000</v>
      </c>
      <c r="X4677" s="71"/>
      <c r="Y4677" s="71"/>
    </row>
    <row r="4678" spans="1:25" ht="30" hidden="1" customHeight="1" x14ac:dyDescent="0.25">
      <c r="A4678" s="1145">
        <v>44560</v>
      </c>
      <c r="B4678" s="664" t="s">
        <v>1051</v>
      </c>
      <c r="C4678" s="71" t="s">
        <v>1650</v>
      </c>
      <c r="D4678" s="71">
        <v>1300</v>
      </c>
      <c r="E4678" s="102">
        <v>4440</v>
      </c>
      <c r="F4678" s="102">
        <f t="shared" si="2301"/>
        <v>6349200.0000000009</v>
      </c>
      <c r="G4678" s="102">
        <f t="shared" si="2302"/>
        <v>5772000</v>
      </c>
      <c r="H4678" s="690" t="s">
        <v>142</v>
      </c>
      <c r="I4678" s="71" t="s">
        <v>2273</v>
      </c>
      <c r="J4678" s="53">
        <f t="shared" si="2291"/>
        <v>2353000</v>
      </c>
      <c r="K4678" s="63">
        <f t="shared" si="2303"/>
        <v>0.4076576576576576</v>
      </c>
      <c r="L4678" s="871" t="s">
        <v>3223</v>
      </c>
      <c r="M4678" s="468"/>
      <c r="N4678" s="1192">
        <f t="shared" si="2304"/>
        <v>44560</v>
      </c>
      <c r="O4678" s="71" t="s">
        <v>145</v>
      </c>
      <c r="P4678" s="103" t="str">
        <f t="shared" si="2296"/>
        <v>ENGAGE 968*631</v>
      </c>
      <c r="Q4678" s="71">
        <f t="shared" si="2305"/>
        <v>1300</v>
      </c>
      <c r="R4678" s="102">
        <v>2630</v>
      </c>
      <c r="S4678" s="102">
        <f t="shared" si="2294"/>
        <v>3760900.0000000005</v>
      </c>
      <c r="T4678" s="102">
        <f t="shared" si="2295"/>
        <v>3419000</v>
      </c>
      <c r="U4678" s="71" t="str">
        <f t="shared" si="2306"/>
        <v>O</v>
      </c>
      <c r="V4678" s="71"/>
      <c r="W4678" s="474">
        <f t="shared" si="2307"/>
        <v>2353000</v>
      </c>
      <c r="X4678" s="71"/>
      <c r="Y4678" s="71"/>
    </row>
    <row r="4679" spans="1:25" ht="30" hidden="1" customHeight="1" x14ac:dyDescent="0.25">
      <c r="A4679" s="1145">
        <v>44560</v>
      </c>
      <c r="B4679" s="664" t="s">
        <v>1051</v>
      </c>
      <c r="C4679" s="71" t="s">
        <v>2619</v>
      </c>
      <c r="D4679" s="71"/>
      <c r="E4679" s="102"/>
      <c r="F4679" s="102">
        <f t="shared" si="2301"/>
        <v>0</v>
      </c>
      <c r="G4679" s="102">
        <f t="shared" si="2302"/>
        <v>0</v>
      </c>
      <c r="H4679" s="690" t="s">
        <v>142</v>
      </c>
      <c r="I4679" s="71" t="s">
        <v>2273</v>
      </c>
      <c r="J4679" s="53">
        <f t="shared" si="2291"/>
        <v>0</v>
      </c>
      <c r="K4679" s="63" t="e">
        <f t="shared" si="2303"/>
        <v>#DIV/0!</v>
      </c>
      <c r="L4679" s="871" t="s">
        <v>3223</v>
      </c>
      <c r="M4679" s="468"/>
      <c r="N4679" s="1192">
        <f t="shared" si="2304"/>
        <v>44560</v>
      </c>
      <c r="O4679" s="71" t="s">
        <v>145</v>
      </c>
      <c r="P4679" s="103" t="str">
        <f t="shared" si="2296"/>
        <v>ENGAGE 1092*800</v>
      </c>
      <c r="Q4679" s="71">
        <f t="shared" si="2305"/>
        <v>0</v>
      </c>
      <c r="R4679" s="102">
        <v>5510</v>
      </c>
      <c r="S4679" s="102">
        <f t="shared" si="2294"/>
        <v>0</v>
      </c>
      <c r="T4679" s="102">
        <f t="shared" si="2295"/>
        <v>0</v>
      </c>
      <c r="U4679" s="71" t="str">
        <f t="shared" si="2306"/>
        <v>O</v>
      </c>
      <c r="V4679" s="71"/>
      <c r="W4679" s="474">
        <f t="shared" si="2307"/>
        <v>0</v>
      </c>
      <c r="X4679" s="71"/>
      <c r="Y4679" s="71"/>
    </row>
    <row r="4680" spans="1:25" ht="30" hidden="1" customHeight="1" x14ac:dyDescent="0.25">
      <c r="A4680" s="1145">
        <v>44560</v>
      </c>
      <c r="B4680" s="664" t="s">
        <v>1051</v>
      </c>
      <c r="C4680" s="71" t="s">
        <v>1386</v>
      </c>
      <c r="D4680" s="71">
        <v>55</v>
      </c>
      <c r="E4680" s="102">
        <v>54500</v>
      </c>
      <c r="F4680" s="102">
        <f t="shared" si="2301"/>
        <v>3297250.0000000005</v>
      </c>
      <c r="G4680" s="102">
        <f t="shared" si="2302"/>
        <v>2997500</v>
      </c>
      <c r="H4680" s="690" t="s">
        <v>142</v>
      </c>
      <c r="I4680" s="71" t="s">
        <v>2273</v>
      </c>
      <c r="J4680" s="53">
        <f t="shared" si="2291"/>
        <v>783750</v>
      </c>
      <c r="K4680" s="63">
        <f t="shared" si="2303"/>
        <v>0.26146788990825687</v>
      </c>
      <c r="L4680" s="871" t="s">
        <v>3223</v>
      </c>
      <c r="M4680" s="468"/>
      <c r="N4680" s="1192">
        <f t="shared" si="2304"/>
        <v>44560</v>
      </c>
      <c r="O4680" s="71" t="s">
        <v>145</v>
      </c>
      <c r="P4680" s="103" t="str">
        <f t="shared" si="2296"/>
        <v>THR200(20L)보충액</v>
      </c>
      <c r="Q4680" s="71">
        <f t="shared" si="2305"/>
        <v>55</v>
      </c>
      <c r="R4680" s="102">
        <v>40250</v>
      </c>
      <c r="S4680" s="102">
        <f t="shared" si="2294"/>
        <v>2435125</v>
      </c>
      <c r="T4680" s="102">
        <f t="shared" si="2295"/>
        <v>2213750</v>
      </c>
      <c r="U4680" s="71" t="str">
        <f t="shared" si="2306"/>
        <v>O</v>
      </c>
      <c r="V4680" s="71"/>
      <c r="W4680" s="474">
        <f t="shared" si="2307"/>
        <v>783750</v>
      </c>
      <c r="X4680" s="71"/>
      <c r="Y4680" s="71"/>
    </row>
    <row r="4681" spans="1:25" ht="30" hidden="1" customHeight="1" x14ac:dyDescent="0.25">
      <c r="A4681" s="1145">
        <v>44560</v>
      </c>
      <c r="B4681" s="664" t="s">
        <v>1051</v>
      </c>
      <c r="C4681" s="71" t="s">
        <v>1387</v>
      </c>
      <c r="D4681" s="71">
        <v>10</v>
      </c>
      <c r="E4681" s="102">
        <v>54500</v>
      </c>
      <c r="F4681" s="102">
        <f t="shared" si="2301"/>
        <v>599500</v>
      </c>
      <c r="G4681" s="102">
        <f t="shared" si="2302"/>
        <v>545000</v>
      </c>
      <c r="H4681" s="690" t="s">
        <v>142</v>
      </c>
      <c r="I4681" s="71" t="s">
        <v>2273</v>
      </c>
      <c r="J4681" s="53">
        <f t="shared" si="2291"/>
        <v>142500</v>
      </c>
      <c r="K4681" s="63">
        <f t="shared" si="2303"/>
        <v>0.26146788990825687</v>
      </c>
      <c r="L4681" s="871" t="s">
        <v>3223</v>
      </c>
      <c r="M4681" s="468"/>
      <c r="N4681" s="1192">
        <f t="shared" si="2304"/>
        <v>44560</v>
      </c>
      <c r="O4681" s="71" t="s">
        <v>145</v>
      </c>
      <c r="P4681" s="103" t="str">
        <f t="shared" si="2296"/>
        <v>THD200(20L)현상액</v>
      </c>
      <c r="Q4681" s="71">
        <f t="shared" si="2305"/>
        <v>10</v>
      </c>
      <c r="R4681" s="102">
        <v>40250</v>
      </c>
      <c r="S4681" s="102">
        <f t="shared" si="2294"/>
        <v>442750.00000000006</v>
      </c>
      <c r="T4681" s="102">
        <f t="shared" si="2295"/>
        <v>402500</v>
      </c>
      <c r="U4681" s="71" t="str">
        <f t="shared" si="2306"/>
        <v>O</v>
      </c>
      <c r="V4681" s="71"/>
      <c r="W4681" s="474">
        <f t="shared" si="2307"/>
        <v>142500</v>
      </c>
      <c r="X4681" s="71"/>
      <c r="Y4681" s="71"/>
    </row>
    <row r="4682" spans="1:25" ht="30" hidden="1" customHeight="1" x14ac:dyDescent="0.25">
      <c r="A4682" s="1145">
        <v>44560</v>
      </c>
      <c r="B4682" s="664" t="s">
        <v>1061</v>
      </c>
      <c r="C4682" s="71" t="s">
        <v>616</v>
      </c>
      <c r="D4682" s="71">
        <v>400</v>
      </c>
      <c r="E4682" s="102">
        <v>5600</v>
      </c>
      <c r="F4682" s="102">
        <f t="shared" si="2301"/>
        <v>2464000</v>
      </c>
      <c r="G4682" s="102">
        <f t="shared" si="2302"/>
        <v>2240000</v>
      </c>
      <c r="H4682" s="690" t="s">
        <v>142</v>
      </c>
      <c r="I4682" s="71" t="s">
        <v>144</v>
      </c>
      <c r="J4682" s="53">
        <f t="shared" si="2291"/>
        <v>204000</v>
      </c>
      <c r="K4682" s="63">
        <f t="shared" si="2303"/>
        <v>9.1071428571428567E-2</v>
      </c>
      <c r="L4682" s="871" t="s">
        <v>3223</v>
      </c>
      <c r="M4682" s="468"/>
      <c r="N4682" s="1192">
        <f t="shared" si="2304"/>
        <v>44560</v>
      </c>
      <c r="O4682" s="71" t="s">
        <v>147</v>
      </c>
      <c r="P4682" s="103" t="str">
        <f t="shared" si="2296"/>
        <v>프리미어(먹)</v>
      </c>
      <c r="Q4682" s="71">
        <f t="shared" si="2305"/>
        <v>400</v>
      </c>
      <c r="R4682" s="102">
        <v>5090</v>
      </c>
      <c r="S4682" s="102">
        <f t="shared" si="2294"/>
        <v>2239600</v>
      </c>
      <c r="T4682" s="102">
        <f t="shared" si="2295"/>
        <v>2036000</v>
      </c>
      <c r="U4682" s="71" t="str">
        <f t="shared" si="2306"/>
        <v>O</v>
      </c>
      <c r="V4682" s="71"/>
      <c r="W4682" s="474">
        <f t="shared" si="2307"/>
        <v>204000</v>
      </c>
      <c r="X4682" s="71"/>
      <c r="Y4682" s="71"/>
    </row>
    <row r="4683" spans="1:25" ht="30" hidden="1" customHeight="1" x14ac:dyDescent="0.25">
      <c r="A4683" s="1145">
        <v>44560</v>
      </c>
      <c r="B4683" s="664" t="s">
        <v>1052</v>
      </c>
      <c r="C4683" s="71" t="s">
        <v>585</v>
      </c>
      <c r="D4683" s="71">
        <v>600</v>
      </c>
      <c r="E4683" s="102">
        <v>6000</v>
      </c>
      <c r="F4683" s="102">
        <f t="shared" si="2301"/>
        <v>3960000.0000000005</v>
      </c>
      <c r="G4683" s="102">
        <f t="shared" si="2302"/>
        <v>3600000</v>
      </c>
      <c r="H4683" s="690" t="s">
        <v>142</v>
      </c>
      <c r="I4683" s="71" t="s">
        <v>144</v>
      </c>
      <c r="J4683" s="53">
        <f t="shared" si="2291"/>
        <v>330000</v>
      </c>
      <c r="K4683" s="63">
        <f t="shared" si="2303"/>
        <v>9.166666666666666E-2</v>
      </c>
      <c r="L4683" s="871" t="s">
        <v>3223</v>
      </c>
      <c r="M4683" s="468"/>
      <c r="N4683" s="1192">
        <f t="shared" si="2304"/>
        <v>44560</v>
      </c>
      <c r="O4683" s="71" t="s">
        <v>147</v>
      </c>
      <c r="P4683" s="103" t="str">
        <f t="shared" si="2296"/>
        <v>프리미어(적)</v>
      </c>
      <c r="Q4683" s="71">
        <f t="shared" si="2305"/>
        <v>600</v>
      </c>
      <c r="R4683" s="102">
        <v>5450</v>
      </c>
      <c r="S4683" s="102">
        <f t="shared" si="2294"/>
        <v>3597000.0000000005</v>
      </c>
      <c r="T4683" s="102">
        <f t="shared" si="2295"/>
        <v>3270000</v>
      </c>
      <c r="U4683" s="71" t="str">
        <f t="shared" si="2306"/>
        <v>O</v>
      </c>
      <c r="V4683" s="71"/>
      <c r="W4683" s="474">
        <f t="shared" si="2307"/>
        <v>330000</v>
      </c>
      <c r="X4683" s="71"/>
      <c r="Y4683" s="71"/>
    </row>
    <row r="4684" spans="1:25" ht="30" hidden="1" customHeight="1" x14ac:dyDescent="0.25">
      <c r="A4684" s="1145">
        <v>44560</v>
      </c>
      <c r="B4684" s="664" t="s">
        <v>1061</v>
      </c>
      <c r="C4684" s="71" t="s">
        <v>586</v>
      </c>
      <c r="D4684" s="71">
        <v>600</v>
      </c>
      <c r="E4684" s="102">
        <v>5750</v>
      </c>
      <c r="F4684" s="102">
        <f t="shared" si="2301"/>
        <v>3795000.0000000005</v>
      </c>
      <c r="G4684" s="102">
        <f t="shared" si="2302"/>
        <v>3450000</v>
      </c>
      <c r="H4684" s="690" t="s">
        <v>142</v>
      </c>
      <c r="I4684" s="71" t="s">
        <v>144</v>
      </c>
      <c r="J4684" s="53">
        <f t="shared" si="2291"/>
        <v>318000</v>
      </c>
      <c r="K4684" s="63">
        <f t="shared" si="2303"/>
        <v>9.2173913043478245E-2</v>
      </c>
      <c r="L4684" s="871" t="s">
        <v>3223</v>
      </c>
      <c r="M4684" s="468"/>
      <c r="N4684" s="1192">
        <f t="shared" si="2304"/>
        <v>44560</v>
      </c>
      <c r="O4684" s="71" t="s">
        <v>147</v>
      </c>
      <c r="P4684" s="103" t="str">
        <f t="shared" si="2296"/>
        <v>프리미어(황)</v>
      </c>
      <c r="Q4684" s="71">
        <f t="shared" si="2305"/>
        <v>600</v>
      </c>
      <c r="R4684" s="102">
        <v>5220</v>
      </c>
      <c r="S4684" s="102">
        <f t="shared" si="2294"/>
        <v>3445200.0000000005</v>
      </c>
      <c r="T4684" s="102">
        <f t="shared" si="2295"/>
        <v>3132000</v>
      </c>
      <c r="U4684" s="71" t="str">
        <f t="shared" si="2306"/>
        <v>O</v>
      </c>
      <c r="V4684" s="71"/>
      <c r="W4684" s="474">
        <f t="shared" si="2307"/>
        <v>318000</v>
      </c>
      <c r="X4684" s="71"/>
      <c r="Y4684" s="71"/>
    </row>
    <row r="4685" spans="1:25" ht="30" hidden="1" customHeight="1" x14ac:dyDescent="0.25">
      <c r="A4685" s="1145">
        <v>44560</v>
      </c>
      <c r="B4685" s="664" t="s">
        <v>1061</v>
      </c>
      <c r="C4685" s="71" t="s">
        <v>587</v>
      </c>
      <c r="D4685" s="71">
        <v>800</v>
      </c>
      <c r="E4685" s="102">
        <v>7000</v>
      </c>
      <c r="F4685" s="102">
        <f t="shared" si="2301"/>
        <v>6160000.0000000009</v>
      </c>
      <c r="G4685" s="102">
        <f t="shared" si="2302"/>
        <v>5600000</v>
      </c>
      <c r="H4685" s="690" t="s">
        <v>142</v>
      </c>
      <c r="I4685" s="71" t="s">
        <v>144</v>
      </c>
      <c r="J4685" s="53">
        <f t="shared" si="2291"/>
        <v>512000</v>
      </c>
      <c r="K4685" s="63">
        <f t="shared" si="2303"/>
        <v>9.1428571428571415E-2</v>
      </c>
      <c r="L4685" s="871" t="s">
        <v>3223</v>
      </c>
      <c r="M4685" s="468"/>
      <c r="N4685" s="1192">
        <f t="shared" si="2304"/>
        <v>44560</v>
      </c>
      <c r="O4685" s="71" t="s">
        <v>147</v>
      </c>
      <c r="P4685" s="103" t="str">
        <f t="shared" si="2296"/>
        <v>프리미어(청)</v>
      </c>
      <c r="Q4685" s="71">
        <f t="shared" si="2305"/>
        <v>800</v>
      </c>
      <c r="R4685" s="102">
        <v>6360</v>
      </c>
      <c r="S4685" s="102">
        <f t="shared" si="2294"/>
        <v>5596800</v>
      </c>
      <c r="T4685" s="102">
        <f t="shared" si="2295"/>
        <v>5088000</v>
      </c>
      <c r="U4685" s="71" t="str">
        <f t="shared" si="2306"/>
        <v>O</v>
      </c>
      <c r="V4685" s="71"/>
      <c r="W4685" s="474">
        <f t="shared" si="2307"/>
        <v>512000</v>
      </c>
      <c r="X4685" s="71"/>
      <c r="Y4685" s="71"/>
    </row>
    <row r="4686" spans="1:25" ht="30" hidden="1" customHeight="1" x14ac:dyDescent="0.25">
      <c r="A4686" s="1145">
        <v>44560</v>
      </c>
      <c r="B4686" s="664" t="s">
        <v>1052</v>
      </c>
      <c r="C4686" s="71" t="s">
        <v>1115</v>
      </c>
      <c r="D4686" s="71">
        <v>0</v>
      </c>
      <c r="E4686" s="102">
        <v>6200</v>
      </c>
      <c r="F4686" s="102">
        <f t="shared" si="2301"/>
        <v>0</v>
      </c>
      <c r="G4686" s="102">
        <f t="shared" si="2302"/>
        <v>0</v>
      </c>
      <c r="H4686" s="690" t="s">
        <v>142</v>
      </c>
      <c r="I4686" s="71" t="s">
        <v>144</v>
      </c>
      <c r="J4686" s="53">
        <f t="shared" si="2291"/>
        <v>0</v>
      </c>
      <c r="K4686" s="63" t="e">
        <f t="shared" si="2303"/>
        <v>#DIV/0!</v>
      </c>
      <c r="L4686" s="871" t="s">
        <v>3223</v>
      </c>
      <c r="M4686" s="1197"/>
      <c r="N4686" s="1192">
        <f t="shared" si="2304"/>
        <v>44560</v>
      </c>
      <c r="O4686" s="71" t="s">
        <v>2459</v>
      </c>
      <c r="P4686" s="103" t="str">
        <f t="shared" si="2296"/>
        <v>한특 잉크(적)</v>
      </c>
      <c r="Q4686" s="71">
        <f t="shared" si="2305"/>
        <v>0</v>
      </c>
      <c r="R4686" s="102">
        <v>5900</v>
      </c>
      <c r="S4686" s="102">
        <f t="shared" si="2294"/>
        <v>0</v>
      </c>
      <c r="T4686" s="102">
        <f t="shared" si="2295"/>
        <v>0</v>
      </c>
      <c r="U4686" s="71" t="str">
        <f t="shared" si="2306"/>
        <v>O</v>
      </c>
      <c r="V4686" s="918"/>
      <c r="W4686" s="474">
        <f t="shared" si="2307"/>
        <v>0</v>
      </c>
      <c r="X4686" s="71"/>
      <c r="Y4686" s="71"/>
    </row>
    <row r="4687" spans="1:25" ht="30" hidden="1" customHeight="1" x14ac:dyDescent="0.25">
      <c r="A4687" s="1145">
        <v>44560</v>
      </c>
      <c r="B4687" s="664" t="s">
        <v>1052</v>
      </c>
      <c r="C4687" s="71" t="s">
        <v>1116</v>
      </c>
      <c r="D4687" s="71">
        <v>50</v>
      </c>
      <c r="E4687" s="102">
        <v>6000</v>
      </c>
      <c r="F4687" s="102">
        <f t="shared" si="2301"/>
        <v>330000</v>
      </c>
      <c r="G4687" s="102">
        <f t="shared" si="2302"/>
        <v>300000</v>
      </c>
      <c r="H4687" s="690" t="s">
        <v>142</v>
      </c>
      <c r="I4687" s="71" t="s">
        <v>144</v>
      </c>
      <c r="J4687" s="53">
        <f t="shared" si="2291"/>
        <v>25000</v>
      </c>
      <c r="K4687" s="63">
        <f t="shared" si="2303"/>
        <v>8.3333333333333329E-2</v>
      </c>
      <c r="L4687" s="871" t="s">
        <v>3223</v>
      </c>
      <c r="M4687" s="1197"/>
      <c r="N4687" s="1192">
        <f t="shared" si="2304"/>
        <v>44560</v>
      </c>
      <c r="O4687" s="71" t="s">
        <v>2459</v>
      </c>
      <c r="P4687" s="103" t="str">
        <f t="shared" si="2296"/>
        <v>한특 잉크(황)</v>
      </c>
      <c r="Q4687" s="71">
        <f t="shared" si="2305"/>
        <v>50</v>
      </c>
      <c r="R4687" s="102">
        <v>5500</v>
      </c>
      <c r="S4687" s="102">
        <f t="shared" si="2294"/>
        <v>302500</v>
      </c>
      <c r="T4687" s="102">
        <f t="shared" si="2295"/>
        <v>275000</v>
      </c>
      <c r="U4687" s="71" t="str">
        <f t="shared" si="2306"/>
        <v>O</v>
      </c>
      <c r="V4687" s="918"/>
      <c r="W4687" s="474">
        <f t="shared" si="2307"/>
        <v>25000</v>
      </c>
      <c r="X4687" s="71"/>
      <c r="Y4687" s="71"/>
    </row>
    <row r="4688" spans="1:25" ht="30" hidden="1" customHeight="1" x14ac:dyDescent="0.25">
      <c r="A4688" s="1145">
        <v>44560</v>
      </c>
      <c r="B4688" s="664" t="s">
        <v>1052</v>
      </c>
      <c r="C4688" s="71" t="s">
        <v>1117</v>
      </c>
      <c r="D4688" s="71">
        <v>50</v>
      </c>
      <c r="E4688" s="102">
        <v>6500</v>
      </c>
      <c r="F4688" s="102">
        <f t="shared" si="2301"/>
        <v>357500</v>
      </c>
      <c r="G4688" s="102">
        <f t="shared" si="2302"/>
        <v>325000</v>
      </c>
      <c r="H4688" s="690" t="s">
        <v>142</v>
      </c>
      <c r="I4688" s="71" t="s">
        <v>144</v>
      </c>
      <c r="J4688" s="53">
        <f t="shared" si="2291"/>
        <v>35000</v>
      </c>
      <c r="K4688" s="63">
        <f t="shared" si="2303"/>
        <v>0.1076923076923077</v>
      </c>
      <c r="L4688" s="871" t="s">
        <v>3223</v>
      </c>
      <c r="M4688" s="1197"/>
      <c r="N4688" s="1192">
        <f t="shared" si="2304"/>
        <v>44560</v>
      </c>
      <c r="O4688" s="71" t="s">
        <v>2459</v>
      </c>
      <c r="P4688" s="103" t="str">
        <f t="shared" si="2296"/>
        <v>한특 잉크(청)</v>
      </c>
      <c r="Q4688" s="71">
        <f t="shared" si="2305"/>
        <v>50</v>
      </c>
      <c r="R4688" s="102">
        <v>5800</v>
      </c>
      <c r="S4688" s="102">
        <f t="shared" si="2294"/>
        <v>319000</v>
      </c>
      <c r="T4688" s="102">
        <f t="shared" si="2295"/>
        <v>290000</v>
      </c>
      <c r="U4688" s="71" t="str">
        <f t="shared" si="2306"/>
        <v>O</v>
      </c>
      <c r="V4688" s="918"/>
      <c r="W4688" s="474">
        <f t="shared" si="2307"/>
        <v>35000</v>
      </c>
      <c r="X4688" s="71"/>
      <c r="Y4688" s="71"/>
    </row>
    <row r="4689" spans="1:25" ht="30" hidden="1" customHeight="1" x14ac:dyDescent="0.25">
      <c r="A4689" s="1145">
        <v>44560</v>
      </c>
      <c r="B4689" s="664" t="s">
        <v>1052</v>
      </c>
      <c r="C4689" s="71" t="s">
        <v>1118</v>
      </c>
      <c r="D4689" s="71">
        <v>0</v>
      </c>
      <c r="E4689" s="102">
        <v>5600</v>
      </c>
      <c r="F4689" s="102">
        <f t="shared" si="2301"/>
        <v>0</v>
      </c>
      <c r="G4689" s="102">
        <f t="shared" si="2302"/>
        <v>0</v>
      </c>
      <c r="H4689" s="690" t="s">
        <v>142</v>
      </c>
      <c r="I4689" s="71" t="s">
        <v>144</v>
      </c>
      <c r="J4689" s="53">
        <f t="shared" si="2291"/>
        <v>0</v>
      </c>
      <c r="K4689" s="63" t="e">
        <f t="shared" si="2303"/>
        <v>#DIV/0!</v>
      </c>
      <c r="L4689" s="871" t="s">
        <v>3223</v>
      </c>
      <c r="M4689" s="1197"/>
      <c r="N4689" s="1192">
        <f t="shared" si="2304"/>
        <v>44560</v>
      </c>
      <c r="O4689" s="71" t="s">
        <v>2459</v>
      </c>
      <c r="P4689" s="103" t="str">
        <f t="shared" si="2296"/>
        <v>한특 잉크(먹)</v>
      </c>
      <c r="Q4689" s="71">
        <f t="shared" si="2305"/>
        <v>0</v>
      </c>
      <c r="R4689" s="102">
        <v>5000</v>
      </c>
      <c r="S4689" s="102">
        <f t="shared" si="2294"/>
        <v>0</v>
      </c>
      <c r="T4689" s="102">
        <f t="shared" si="2295"/>
        <v>0</v>
      </c>
      <c r="U4689" s="71" t="str">
        <f t="shared" si="2306"/>
        <v>O</v>
      </c>
      <c r="V4689" s="918"/>
      <c r="W4689" s="474">
        <f t="shared" si="2307"/>
        <v>0</v>
      </c>
      <c r="X4689" s="71"/>
      <c r="Y4689" s="71"/>
    </row>
    <row r="4690" spans="1:25" ht="30" hidden="1" customHeight="1" x14ac:dyDescent="0.25">
      <c r="A4690" s="1145">
        <v>44560</v>
      </c>
      <c r="B4690" s="664" t="s">
        <v>1052</v>
      </c>
      <c r="C4690" s="71" t="s">
        <v>3227</v>
      </c>
      <c r="D4690" s="71">
        <v>5</v>
      </c>
      <c r="E4690" s="102">
        <v>13500</v>
      </c>
      <c r="F4690" s="102">
        <f t="shared" si="2301"/>
        <v>74250</v>
      </c>
      <c r="G4690" s="102">
        <f t="shared" si="2302"/>
        <v>67500</v>
      </c>
      <c r="H4690" s="690" t="s">
        <v>142</v>
      </c>
      <c r="I4690" s="71" t="s">
        <v>144</v>
      </c>
      <c r="J4690" s="53">
        <f t="shared" si="2291"/>
        <v>5500</v>
      </c>
      <c r="K4690" s="63">
        <f t="shared" si="2303"/>
        <v>8.1481481481481488E-2</v>
      </c>
      <c r="L4690" s="871" t="s">
        <v>3223</v>
      </c>
      <c r="M4690" s="1197" t="s">
        <v>3228</v>
      </c>
      <c r="N4690" s="1192">
        <f t="shared" si="2304"/>
        <v>44560</v>
      </c>
      <c r="O4690" s="71" t="s">
        <v>147</v>
      </c>
      <c r="P4690" s="103" t="str">
        <f t="shared" si="2296"/>
        <v>P Bright RED U</v>
      </c>
      <c r="Q4690" s="71">
        <f t="shared" si="2305"/>
        <v>5</v>
      </c>
      <c r="R4690" s="102">
        <v>12400</v>
      </c>
      <c r="S4690" s="102">
        <f t="shared" si="2294"/>
        <v>68200</v>
      </c>
      <c r="T4690" s="102">
        <f t="shared" si="2295"/>
        <v>62000</v>
      </c>
      <c r="U4690" s="71" t="str">
        <f t="shared" si="2306"/>
        <v>O</v>
      </c>
      <c r="V4690" s="918"/>
      <c r="W4690" s="474">
        <f t="shared" si="2307"/>
        <v>5500</v>
      </c>
      <c r="X4690" s="71"/>
      <c r="Y4690" s="71"/>
    </row>
    <row r="4691" spans="1:25" ht="30" hidden="1" customHeight="1" x14ac:dyDescent="0.25">
      <c r="A4691" s="1145">
        <v>44560</v>
      </c>
      <c r="B4691" s="664" t="s">
        <v>575</v>
      </c>
      <c r="C4691" s="71" t="s">
        <v>1367</v>
      </c>
      <c r="D4691" s="71">
        <v>8</v>
      </c>
      <c r="E4691" s="102">
        <v>218000</v>
      </c>
      <c r="F4691" s="102">
        <f t="shared" si="2301"/>
        <v>1918400.0000000002</v>
      </c>
      <c r="G4691" s="102">
        <f t="shared" si="2302"/>
        <v>1744000</v>
      </c>
      <c r="H4691" s="690" t="s">
        <v>173</v>
      </c>
      <c r="I4691" s="71" t="s">
        <v>109</v>
      </c>
      <c r="J4691" s="53">
        <f t="shared" si="2291"/>
        <v>544000</v>
      </c>
      <c r="K4691" s="63">
        <f t="shared" si="2303"/>
        <v>0.31192660550458712</v>
      </c>
      <c r="L4691" s="871" t="s">
        <v>3223</v>
      </c>
      <c r="M4691" s="468"/>
      <c r="N4691" s="1192">
        <f t="shared" si="2304"/>
        <v>44560</v>
      </c>
      <c r="O4691" s="71" t="s">
        <v>1443</v>
      </c>
      <c r="P4691" s="103" t="str">
        <f t="shared" si="2296"/>
        <v>M600 윤전 블랑켓 995*742</v>
      </c>
      <c r="Q4691" s="71">
        <f>D4691</f>
        <v>8</v>
      </c>
      <c r="R4691" s="102">
        <v>150000</v>
      </c>
      <c r="S4691" s="102">
        <f>R4691*Q4691*1.1</f>
        <v>1320000</v>
      </c>
      <c r="T4691" s="102">
        <f t="shared" si="2295"/>
        <v>1200000</v>
      </c>
      <c r="U4691" s="71" t="str">
        <f t="shared" si="2306"/>
        <v>X</v>
      </c>
      <c r="V4691" s="71"/>
      <c r="W4691" s="474"/>
      <c r="X4691" s="71"/>
      <c r="Y4691" s="71"/>
    </row>
    <row r="4692" spans="1:25" s="978" customFormat="1" ht="45" hidden="1" customHeight="1" x14ac:dyDescent="0.25">
      <c r="A4692" s="982" t="s">
        <v>3229</v>
      </c>
      <c r="B4692" s="976" t="s">
        <v>544</v>
      </c>
      <c r="C4692" s="453"/>
      <c r="D4692" s="453"/>
      <c r="E4692" s="454"/>
      <c r="F4692" s="454"/>
      <c r="G4692" s="454"/>
      <c r="H4692" s="455"/>
      <c r="I4692" s="453"/>
      <c r="J4692" s="417"/>
      <c r="K4692" s="418"/>
      <c r="L4692" s="983" t="s">
        <v>3230</v>
      </c>
      <c r="M4692" s="643"/>
      <c r="N4692" s="724" t="str">
        <f>A4692</f>
        <v>2022,1</v>
      </c>
      <c r="O4692" s="453" t="s">
        <v>154</v>
      </c>
      <c r="P4692" s="728"/>
      <c r="Q4692" s="420"/>
      <c r="R4692" s="420"/>
      <c r="S4692" s="417"/>
      <c r="T4692" s="417"/>
      <c r="U4692" s="421"/>
      <c r="V4692" s="421"/>
      <c r="W4692" s="479">
        <f>(G4692-T4692)</f>
        <v>0</v>
      </c>
      <c r="X4692" s="421"/>
      <c r="Y4692" s="421"/>
    </row>
    <row r="4693" spans="1:25" ht="30" hidden="1" customHeight="1" x14ac:dyDescent="0.25">
      <c r="A4693" s="1145">
        <v>44559</v>
      </c>
      <c r="B4693" s="664" t="s">
        <v>748</v>
      </c>
      <c r="C4693" s="71" t="s">
        <v>3238</v>
      </c>
      <c r="D4693" s="71">
        <v>10</v>
      </c>
      <c r="E4693" s="102">
        <v>88000</v>
      </c>
      <c r="F4693" s="102">
        <f t="shared" ref="F4693:F4699" si="2308">(E4693*D4693)*1.1</f>
        <v>968000.00000000012</v>
      </c>
      <c r="G4693" s="102">
        <f t="shared" ref="G4693:G4699" si="2309">(E4693*D4693)</f>
        <v>880000</v>
      </c>
      <c r="H4693" s="690" t="s">
        <v>1431</v>
      </c>
      <c r="I4693" s="71" t="s">
        <v>1431</v>
      </c>
      <c r="J4693" s="53">
        <f>G4693-T4693</f>
        <v>312790</v>
      </c>
      <c r="K4693" s="63">
        <f t="shared" ref="K4693:K4699" si="2310">(J4693/(F4693/11*10))</f>
        <v>0.3554431818181818</v>
      </c>
      <c r="L4693" s="983">
        <v>21.12</v>
      </c>
      <c r="M4693" s="468"/>
      <c r="N4693" s="1192">
        <v>44544</v>
      </c>
      <c r="O4693" s="71" t="s">
        <v>1431</v>
      </c>
      <c r="P4693" s="164" t="str">
        <f>(C4693)</f>
        <v>스프링 블레이드(WM.4M807508-1)</v>
      </c>
      <c r="Q4693" s="71">
        <f>D4693</f>
        <v>10</v>
      </c>
      <c r="R4693" s="102">
        <v>56721</v>
      </c>
      <c r="S4693" s="102">
        <f>R4693*Q4693*1.1</f>
        <v>623931</v>
      </c>
      <c r="T4693" s="102">
        <f>R4693*Q4693</f>
        <v>567210</v>
      </c>
      <c r="U4693" s="71"/>
      <c r="V4693" s="71"/>
      <c r="W4693" s="474"/>
      <c r="X4693" s="71"/>
      <c r="Y4693" s="71"/>
    </row>
    <row r="4694" spans="1:25" ht="30" hidden="1" customHeight="1" x14ac:dyDescent="0.25">
      <c r="A4694" s="1145">
        <v>44559</v>
      </c>
      <c r="B4694" s="664" t="s">
        <v>555</v>
      </c>
      <c r="C4694" s="71" t="s">
        <v>3288</v>
      </c>
      <c r="D4694" s="71">
        <v>10</v>
      </c>
      <c r="E4694" s="102">
        <v>88000</v>
      </c>
      <c r="F4694" s="102">
        <f t="shared" si="2308"/>
        <v>968000.00000000012</v>
      </c>
      <c r="G4694" s="102">
        <f t="shared" si="2309"/>
        <v>880000</v>
      </c>
      <c r="H4694" s="690" t="s">
        <v>1786</v>
      </c>
      <c r="I4694" s="71" t="s">
        <v>1786</v>
      </c>
      <c r="J4694" s="53">
        <f>G4694-S4694</f>
        <v>158201.99999999988</v>
      </c>
      <c r="K4694" s="63">
        <f t="shared" si="2310"/>
        <v>0.17977499999999985</v>
      </c>
      <c r="L4694" s="983" t="s">
        <v>3230</v>
      </c>
      <c r="M4694" s="468"/>
      <c r="N4694" s="1192">
        <v>44544</v>
      </c>
      <c r="O4694" s="71" t="s">
        <v>1786</v>
      </c>
      <c r="P4694" s="164" t="str">
        <f>(C4694)</f>
        <v>스프링 블레이드(WM.4M807508-1)</v>
      </c>
      <c r="Q4694" s="71">
        <f>D4694</f>
        <v>10</v>
      </c>
      <c r="R4694" s="102">
        <v>65618</v>
      </c>
      <c r="S4694" s="102">
        <f t="shared" ref="S4694" si="2311">R4694*Q4694*1.1</f>
        <v>721798.00000000012</v>
      </c>
      <c r="T4694" s="102">
        <f t="shared" ref="T4694" si="2312">R4694*Q4694</f>
        <v>656180</v>
      </c>
      <c r="U4694" s="71"/>
      <c r="V4694" s="474"/>
      <c r="W4694" s="71"/>
      <c r="X4694" s="71"/>
      <c r="Y4694" s="71"/>
    </row>
    <row r="4695" spans="1:25" ht="30" hidden="1" customHeight="1" x14ac:dyDescent="0.25">
      <c r="A4695" s="1145">
        <v>44559</v>
      </c>
      <c r="B4695" s="664" t="s">
        <v>748</v>
      </c>
      <c r="C4695" s="71" t="s">
        <v>3237</v>
      </c>
      <c r="D4695" s="71">
        <v>10</v>
      </c>
      <c r="E4695" s="102">
        <v>88000</v>
      </c>
      <c r="F4695" s="102">
        <f t="shared" si="2308"/>
        <v>968000.00000000012</v>
      </c>
      <c r="G4695" s="102">
        <f t="shared" si="2309"/>
        <v>880000</v>
      </c>
      <c r="H4695" s="690" t="s">
        <v>1431</v>
      </c>
      <c r="I4695" s="71" t="s">
        <v>1431</v>
      </c>
      <c r="J4695" s="53">
        <f>G4695-T4695</f>
        <v>223820</v>
      </c>
      <c r="K4695" s="63">
        <f t="shared" si="2310"/>
        <v>0.25434090909090906</v>
      </c>
      <c r="L4695" s="983" t="s">
        <v>3230</v>
      </c>
      <c r="M4695" s="468"/>
      <c r="N4695" s="1192">
        <f>A4695</f>
        <v>44559</v>
      </c>
      <c r="O4695" s="71" t="s">
        <v>1431</v>
      </c>
      <c r="P4695" s="164" t="str">
        <f>(C4695)</f>
        <v>스프링 블레이드(WM.4M807508-2)</v>
      </c>
      <c r="Q4695" s="71">
        <f>D4695</f>
        <v>10</v>
      </c>
      <c r="R4695" s="102">
        <v>65618</v>
      </c>
      <c r="S4695" s="102">
        <f t="shared" ref="S4695:S4726" si="2313">R4695*Q4695*1.1</f>
        <v>721798.00000000012</v>
      </c>
      <c r="T4695" s="102">
        <f t="shared" ref="T4695:T4703" si="2314">R4695*Q4695</f>
        <v>656180</v>
      </c>
      <c r="U4695" s="71"/>
      <c r="V4695" s="71"/>
      <c r="W4695" s="474"/>
      <c r="X4695" s="71"/>
      <c r="Y4695" s="71"/>
    </row>
    <row r="4696" spans="1:25" ht="30" hidden="1" customHeight="1" x14ac:dyDescent="0.25">
      <c r="A4696" s="1145">
        <v>44559</v>
      </c>
      <c r="B4696" s="664" t="s">
        <v>748</v>
      </c>
      <c r="C4696" s="71" t="s">
        <v>1918</v>
      </c>
      <c r="D4696" s="71">
        <v>50</v>
      </c>
      <c r="E4696" s="102">
        <v>24000</v>
      </c>
      <c r="F4696" s="102">
        <f t="shared" si="2308"/>
        <v>1320000</v>
      </c>
      <c r="G4696" s="102">
        <f t="shared" si="2309"/>
        <v>1200000</v>
      </c>
      <c r="H4696" s="690" t="s">
        <v>1431</v>
      </c>
      <c r="I4696" s="71" t="s">
        <v>1431</v>
      </c>
      <c r="J4696" s="53">
        <f>G4696-T4696</f>
        <v>513800</v>
      </c>
      <c r="K4696" s="63">
        <f t="shared" si="2310"/>
        <v>0.42816666666666664</v>
      </c>
      <c r="L4696" s="983" t="s">
        <v>3230</v>
      </c>
      <c r="M4696" s="468"/>
      <c r="N4696" s="1192">
        <f>A4696</f>
        <v>44559</v>
      </c>
      <c r="O4696" s="71" t="s">
        <v>1431</v>
      </c>
      <c r="P4696" s="164" t="str">
        <f>(C4696)</f>
        <v>브러쉬</v>
      </c>
      <c r="Q4696" s="71">
        <f t="shared" ref="Q4696:Q4759" si="2315">D4696</f>
        <v>50</v>
      </c>
      <c r="R4696" s="102">
        <v>13724</v>
      </c>
      <c r="S4696" s="102">
        <f t="shared" si="2313"/>
        <v>754820.00000000012</v>
      </c>
      <c r="T4696" s="102">
        <f t="shared" si="2314"/>
        <v>686200</v>
      </c>
      <c r="U4696" s="71"/>
      <c r="V4696" s="71"/>
      <c r="W4696" s="474"/>
      <c r="X4696" s="71"/>
      <c r="Y4696" s="71"/>
    </row>
    <row r="4697" spans="1:25" ht="30" hidden="1" customHeight="1" x14ac:dyDescent="0.25">
      <c r="A4697" s="1145">
        <v>44559</v>
      </c>
      <c r="B4697" s="664" t="s">
        <v>748</v>
      </c>
      <c r="C4697" s="71" t="s">
        <v>114</v>
      </c>
      <c r="D4697" s="71">
        <v>80</v>
      </c>
      <c r="E4697" s="102">
        <v>18000</v>
      </c>
      <c r="F4697" s="102">
        <f t="shared" si="2308"/>
        <v>1584000.0000000002</v>
      </c>
      <c r="G4697" s="102">
        <f t="shared" si="2309"/>
        <v>1440000</v>
      </c>
      <c r="H4697" s="690" t="s">
        <v>1431</v>
      </c>
      <c r="I4697" s="71" t="s">
        <v>1431</v>
      </c>
      <c r="J4697" s="53">
        <f>G4697-T4697</f>
        <v>634080</v>
      </c>
      <c r="K4697" s="63">
        <f t="shared" si="2310"/>
        <v>0.44033333333333324</v>
      </c>
      <c r="L4697" s="983" t="s">
        <v>3230</v>
      </c>
      <c r="M4697" s="468"/>
      <c r="N4697" s="1192">
        <f>A4697</f>
        <v>44559</v>
      </c>
      <c r="O4697" s="71" t="s">
        <v>1431</v>
      </c>
      <c r="P4697" s="103" t="str">
        <f>(C4697)</f>
        <v>스트리퍼</v>
      </c>
      <c r="Q4697" s="71">
        <f t="shared" si="2315"/>
        <v>80</v>
      </c>
      <c r="R4697" s="102">
        <v>10074</v>
      </c>
      <c r="S4697" s="102">
        <f t="shared" si="2313"/>
        <v>886512.00000000012</v>
      </c>
      <c r="T4697" s="102">
        <f t="shared" si="2314"/>
        <v>805920</v>
      </c>
      <c r="U4697" s="71"/>
      <c r="V4697" s="71"/>
      <c r="W4697" s="474"/>
      <c r="X4697" s="71"/>
      <c r="Y4697" s="71"/>
    </row>
    <row r="4698" spans="1:25" ht="30" hidden="1" customHeight="1" x14ac:dyDescent="0.25">
      <c r="A4698" s="1145">
        <v>44559</v>
      </c>
      <c r="B4698" s="664" t="s">
        <v>748</v>
      </c>
      <c r="C4698" s="71" t="s">
        <v>3239</v>
      </c>
      <c r="D4698" s="71">
        <v>60</v>
      </c>
      <c r="E4698" s="102">
        <v>22000</v>
      </c>
      <c r="F4698" s="102">
        <f t="shared" si="2308"/>
        <v>1452000.0000000002</v>
      </c>
      <c r="G4698" s="102">
        <f t="shared" si="2309"/>
        <v>1320000</v>
      </c>
      <c r="H4698" s="690" t="s">
        <v>1431</v>
      </c>
      <c r="I4698" s="71" t="s">
        <v>1431</v>
      </c>
      <c r="J4698" s="53">
        <f>G4698-T4698</f>
        <v>703140</v>
      </c>
      <c r="K4698" s="63">
        <f t="shared" si="2310"/>
        <v>0.53268181818181803</v>
      </c>
      <c r="L4698" s="983" t="s">
        <v>3230</v>
      </c>
      <c r="M4698" s="468"/>
      <c r="N4698" s="1192">
        <f>A4698</f>
        <v>44559</v>
      </c>
      <c r="O4698" s="71" t="s">
        <v>1431</v>
      </c>
      <c r="P4698" s="164" t="str">
        <f t="shared" ref="P4698:P4761" si="2316">(C4698)</f>
        <v>링크 체인</v>
      </c>
      <c r="Q4698" s="71">
        <f t="shared" si="2315"/>
        <v>60</v>
      </c>
      <c r="R4698" s="102">
        <v>10281</v>
      </c>
      <c r="S4698" s="102">
        <f t="shared" si="2313"/>
        <v>678546</v>
      </c>
      <c r="T4698" s="102">
        <f t="shared" si="2314"/>
        <v>616860</v>
      </c>
      <c r="U4698" s="71"/>
      <c r="V4698" s="71"/>
      <c r="W4698" s="474"/>
      <c r="X4698" s="71"/>
      <c r="Y4698" s="71"/>
    </row>
    <row r="4699" spans="1:25" ht="30" hidden="1" customHeight="1" x14ac:dyDescent="0.25">
      <c r="A4699" s="1145">
        <v>44562</v>
      </c>
      <c r="B4699" s="664" t="s">
        <v>446</v>
      </c>
      <c r="C4699" s="71" t="s">
        <v>2028</v>
      </c>
      <c r="D4699" s="71">
        <v>8</v>
      </c>
      <c r="E4699" s="102">
        <v>105000</v>
      </c>
      <c r="F4699" s="102">
        <f t="shared" si="2308"/>
        <v>924000.00000000012</v>
      </c>
      <c r="G4699" s="102">
        <f t="shared" si="2309"/>
        <v>840000</v>
      </c>
      <c r="H4699" s="690" t="s">
        <v>2029</v>
      </c>
      <c r="I4699" s="71" t="s">
        <v>2231</v>
      </c>
      <c r="J4699" s="53">
        <f>G4699-T4699</f>
        <v>112000</v>
      </c>
      <c r="K4699" s="63">
        <f t="shared" si="2310"/>
        <v>0.1333333333333333</v>
      </c>
      <c r="L4699" s="983" t="s">
        <v>3230</v>
      </c>
      <c r="M4699" s="468"/>
      <c r="N4699" s="1192">
        <f>A4699</f>
        <v>44562</v>
      </c>
      <c r="O4699" s="71" t="s">
        <v>2030</v>
      </c>
      <c r="P4699" s="164" t="str">
        <f t="shared" si="2316"/>
        <v>실리콘 에멀전</v>
      </c>
      <c r="Q4699" s="71">
        <f t="shared" si="2315"/>
        <v>8</v>
      </c>
      <c r="R4699" s="102">
        <v>91000</v>
      </c>
      <c r="S4699" s="102">
        <f t="shared" si="2313"/>
        <v>800800.00000000012</v>
      </c>
      <c r="T4699" s="102">
        <f t="shared" si="2314"/>
        <v>728000</v>
      </c>
      <c r="U4699" s="71" t="str">
        <f>IF(J4699=W4699,"O", "X")</f>
        <v>O</v>
      </c>
      <c r="V4699" s="71"/>
      <c r="W4699" s="474">
        <f>(G4699-T4699)</f>
        <v>112000</v>
      </c>
      <c r="X4699" s="71"/>
      <c r="Y4699" s="71"/>
    </row>
    <row r="4700" spans="1:25" ht="30" hidden="1" customHeight="1" x14ac:dyDescent="0.2">
      <c r="A4700" s="1145">
        <v>44564</v>
      </c>
      <c r="B4700" s="664" t="s">
        <v>2353</v>
      </c>
      <c r="C4700" s="71" t="s">
        <v>129</v>
      </c>
      <c r="D4700" s="71">
        <v>7</v>
      </c>
      <c r="E4700" s="102">
        <v>272000</v>
      </c>
      <c r="F4700" s="102">
        <v>2094400.0000000002</v>
      </c>
      <c r="G4700" s="102">
        <v>1904000</v>
      </c>
      <c r="H4700" s="165" t="s">
        <v>142</v>
      </c>
      <c r="I4700" s="71" t="s">
        <v>142</v>
      </c>
      <c r="J4700" s="53">
        <v>414400</v>
      </c>
      <c r="K4700" s="63">
        <v>0.21764705882352939</v>
      </c>
      <c r="L4700" s="983" t="s">
        <v>3230</v>
      </c>
      <c r="M4700" s="468" t="s">
        <v>2050</v>
      </c>
      <c r="N4700" s="1192">
        <v>44538</v>
      </c>
      <c r="O4700" s="71" t="s">
        <v>149</v>
      </c>
      <c r="P4700" s="103" t="str">
        <f t="shared" si="2316"/>
        <v>세정포-XL106</v>
      </c>
      <c r="Q4700" s="71">
        <f t="shared" si="2315"/>
        <v>7</v>
      </c>
      <c r="R4700" s="102">
        <v>212800</v>
      </c>
      <c r="S4700" s="102">
        <f t="shared" si="2313"/>
        <v>1638560.0000000002</v>
      </c>
      <c r="T4700" s="102">
        <f t="shared" si="2314"/>
        <v>1489600</v>
      </c>
      <c r="U4700" s="71" t="s">
        <v>859</v>
      </c>
      <c r="V4700" s="71"/>
      <c r="W4700" s="474">
        <v>414400</v>
      </c>
      <c r="X4700" s="71"/>
      <c r="Y4700" s="71"/>
    </row>
    <row r="4701" spans="1:25" s="209" customFormat="1" ht="30" hidden="1" customHeight="1" x14ac:dyDescent="0.2">
      <c r="A4701" s="1145">
        <v>44564</v>
      </c>
      <c r="B4701" s="664" t="s">
        <v>2353</v>
      </c>
      <c r="C4701" s="71" t="s">
        <v>130</v>
      </c>
      <c r="D4701" s="71">
        <v>10</v>
      </c>
      <c r="E4701" s="102">
        <v>125000</v>
      </c>
      <c r="F4701" s="102">
        <v>1375000</v>
      </c>
      <c r="G4701" s="102">
        <v>1250000</v>
      </c>
      <c r="H4701" s="165" t="s">
        <v>142</v>
      </c>
      <c r="I4701" s="71" t="s">
        <v>142</v>
      </c>
      <c r="J4701" s="53">
        <v>260000</v>
      </c>
      <c r="K4701" s="63">
        <v>0.20799999999999999</v>
      </c>
      <c r="L4701" s="983" t="s">
        <v>3230</v>
      </c>
      <c r="M4701" s="468" t="s">
        <v>2050</v>
      </c>
      <c r="N4701" s="1192">
        <v>44544</v>
      </c>
      <c r="O4701" s="71" t="s">
        <v>150</v>
      </c>
      <c r="P4701" s="164" t="str">
        <f t="shared" si="2316"/>
        <v>XL106 Blanket(1077*885)</v>
      </c>
      <c r="Q4701" s="71">
        <f t="shared" si="2315"/>
        <v>10</v>
      </c>
      <c r="R4701" s="102">
        <v>99000</v>
      </c>
      <c r="S4701" s="102">
        <f t="shared" si="2313"/>
        <v>1089000</v>
      </c>
      <c r="T4701" s="102">
        <f t="shared" si="2314"/>
        <v>990000</v>
      </c>
      <c r="U4701" s="71" t="s">
        <v>859</v>
      </c>
      <c r="V4701" s="71"/>
      <c r="W4701" s="474">
        <v>260000</v>
      </c>
      <c r="X4701" s="71"/>
      <c r="Y4701" s="71"/>
    </row>
    <row r="4702" spans="1:25" s="209" customFormat="1" ht="30" hidden="1" customHeight="1" x14ac:dyDescent="0.2">
      <c r="A4702" s="1145">
        <v>44564</v>
      </c>
      <c r="B4702" s="664" t="s">
        <v>2353</v>
      </c>
      <c r="C4702" s="71" t="s">
        <v>138</v>
      </c>
      <c r="D4702" s="71">
        <v>10</v>
      </c>
      <c r="E4702" s="102">
        <v>54400</v>
      </c>
      <c r="F4702" s="102">
        <v>598400</v>
      </c>
      <c r="G4702" s="102">
        <v>544000</v>
      </c>
      <c r="H4702" s="165" t="s">
        <v>142</v>
      </c>
      <c r="I4702" s="71" t="s">
        <v>142</v>
      </c>
      <c r="J4702" s="53">
        <v>136000</v>
      </c>
      <c r="K4702" s="63">
        <v>0.25</v>
      </c>
      <c r="L4702" s="983" t="s">
        <v>3230</v>
      </c>
      <c r="M4702" s="468" t="s">
        <v>2214</v>
      </c>
      <c r="N4702" s="1192">
        <v>44544</v>
      </c>
      <c r="O4702" s="71" t="s">
        <v>2030</v>
      </c>
      <c r="P4702" s="164" t="str">
        <f t="shared" si="2316"/>
        <v>매엽용 세척제(Wash 562)</v>
      </c>
      <c r="Q4702" s="71">
        <f t="shared" si="2315"/>
        <v>10</v>
      </c>
      <c r="R4702" s="102">
        <v>40800</v>
      </c>
      <c r="S4702" s="102">
        <f t="shared" si="2313"/>
        <v>448800.00000000006</v>
      </c>
      <c r="T4702" s="102">
        <f t="shared" si="2314"/>
        <v>408000</v>
      </c>
      <c r="U4702" s="71" t="s">
        <v>859</v>
      </c>
      <c r="V4702" s="71"/>
      <c r="W4702" s="474">
        <v>136000</v>
      </c>
      <c r="X4702" s="71"/>
      <c r="Y4702" s="71"/>
    </row>
    <row r="4703" spans="1:25" ht="30" hidden="1" customHeight="1" x14ac:dyDescent="0.25">
      <c r="A4703" s="1145">
        <v>44564</v>
      </c>
      <c r="B4703" s="664" t="s">
        <v>2353</v>
      </c>
      <c r="C4703" s="71" t="s">
        <v>123</v>
      </c>
      <c r="D4703" s="71">
        <v>4</v>
      </c>
      <c r="E4703" s="102">
        <v>35000</v>
      </c>
      <c r="F4703" s="102">
        <f>(E4703*D4703)*1.1</f>
        <v>154000</v>
      </c>
      <c r="G4703" s="102">
        <f>(E4703*D4703)</f>
        <v>140000</v>
      </c>
      <c r="H4703" s="690" t="s">
        <v>142</v>
      </c>
      <c r="I4703" s="71" t="s">
        <v>142</v>
      </c>
      <c r="J4703" s="53">
        <f t="shared" ref="J4703:J4740" si="2317">G4703-T4703</f>
        <v>44000</v>
      </c>
      <c r="K4703" s="63">
        <f>(J4703/(F4703/11*10))</f>
        <v>0.31428571428571428</v>
      </c>
      <c r="L4703" s="983" t="s">
        <v>3230</v>
      </c>
      <c r="M4703" s="468" t="s">
        <v>3162</v>
      </c>
      <c r="N4703" s="1192">
        <f>A4703</f>
        <v>44564</v>
      </c>
      <c r="O4703" s="71" t="s">
        <v>94</v>
      </c>
      <c r="P4703" s="103" t="str">
        <f t="shared" si="2316"/>
        <v>필터백</v>
      </c>
      <c r="Q4703" s="71">
        <f t="shared" si="2315"/>
        <v>4</v>
      </c>
      <c r="R4703" s="102">
        <v>24000</v>
      </c>
      <c r="S4703" s="102">
        <f t="shared" si="2313"/>
        <v>105600.00000000001</v>
      </c>
      <c r="T4703" s="102">
        <f t="shared" si="2314"/>
        <v>96000</v>
      </c>
      <c r="U4703" s="71"/>
      <c r="V4703" s="71"/>
      <c r="W4703" s="474"/>
      <c r="X4703" s="71"/>
      <c r="Y4703" s="71"/>
    </row>
    <row r="4704" spans="1:25" s="209" customFormat="1" ht="30" hidden="1" customHeight="1" x14ac:dyDescent="0.25">
      <c r="A4704" s="1145">
        <v>44565</v>
      </c>
      <c r="B4704" s="664" t="s">
        <v>442</v>
      </c>
      <c r="C4704" s="71" t="s">
        <v>138</v>
      </c>
      <c r="D4704" s="71">
        <v>25</v>
      </c>
      <c r="E4704" s="102">
        <v>62500</v>
      </c>
      <c r="F4704" s="102">
        <f>(E4704*D4704)*1.1</f>
        <v>1718750.0000000002</v>
      </c>
      <c r="G4704" s="102">
        <f>(E4704*D4704)</f>
        <v>1562500</v>
      </c>
      <c r="H4704" s="690" t="s">
        <v>173</v>
      </c>
      <c r="I4704" s="71" t="s">
        <v>108</v>
      </c>
      <c r="J4704" s="53">
        <f t="shared" si="2317"/>
        <v>432500</v>
      </c>
      <c r="K4704" s="63">
        <f>(J4704/(F4704/11*10))</f>
        <v>0.27679999999999993</v>
      </c>
      <c r="L4704" s="983" t="s">
        <v>3230</v>
      </c>
      <c r="M4704" s="468" t="s">
        <v>3080</v>
      </c>
      <c r="N4704" s="1192">
        <f>A4704</f>
        <v>44565</v>
      </c>
      <c r="O4704" s="71" t="s">
        <v>150</v>
      </c>
      <c r="P4704" s="164" t="str">
        <f t="shared" si="2316"/>
        <v>매엽용 세척제(Wash 562)</v>
      </c>
      <c r="Q4704" s="71">
        <f t="shared" si="2315"/>
        <v>25</v>
      </c>
      <c r="R4704" s="102">
        <v>40800</v>
      </c>
      <c r="S4704" s="102">
        <f t="shared" si="2313"/>
        <v>1122000</v>
      </c>
      <c r="T4704" s="102">
        <f>R4704*Q4704+110000</f>
        <v>1130000</v>
      </c>
      <c r="U4704" s="71" t="str">
        <f>IF(J4704=W4704,"O", "X")</f>
        <v>X</v>
      </c>
      <c r="V4704" s="71"/>
      <c r="W4704" s="474">
        <v>396000</v>
      </c>
      <c r="X4704" s="71"/>
      <c r="Y4704" s="71"/>
    </row>
    <row r="4705" spans="1:25" s="209" customFormat="1" ht="30" hidden="1" customHeight="1" x14ac:dyDescent="0.2">
      <c r="A4705" s="1145">
        <v>44566</v>
      </c>
      <c r="B4705" s="664" t="s">
        <v>564</v>
      </c>
      <c r="C4705" s="71" t="s">
        <v>805</v>
      </c>
      <c r="D4705" s="71">
        <v>2</v>
      </c>
      <c r="E4705" s="102">
        <v>270000</v>
      </c>
      <c r="F4705" s="163">
        <f t="shared" ref="F4705:F4724" si="2318">(E4705*D4705)*1.1</f>
        <v>594000</v>
      </c>
      <c r="G4705" s="102">
        <f t="shared" ref="G4705:G4718" si="2319">(E4705*D4705)</f>
        <v>540000</v>
      </c>
      <c r="H4705" s="165" t="s">
        <v>173</v>
      </c>
      <c r="I4705" s="71" t="s">
        <v>120</v>
      </c>
      <c r="J4705" s="53">
        <f t="shared" si="2317"/>
        <v>260000</v>
      </c>
      <c r="K4705" s="63">
        <f>(J4705/(F4705/11*10))</f>
        <v>0.48148148148148145</v>
      </c>
      <c r="L4705" s="983" t="s">
        <v>3230</v>
      </c>
      <c r="M4705" s="468"/>
      <c r="N4705" s="1192">
        <f t="shared" ref="N4705:N4740" si="2320">A4705</f>
        <v>44566</v>
      </c>
      <c r="O4705" s="71" t="s">
        <v>150</v>
      </c>
      <c r="P4705" s="164" t="str">
        <f t="shared" si="2316"/>
        <v>Fount 554</v>
      </c>
      <c r="Q4705" s="71">
        <f>D4705</f>
        <v>2</v>
      </c>
      <c r="R4705" s="102">
        <v>140000</v>
      </c>
      <c r="S4705" s="102">
        <f t="shared" si="2313"/>
        <v>308000</v>
      </c>
      <c r="T4705" s="102">
        <f t="shared" ref="T4705:T4736" si="2321">R4705*Q4705</f>
        <v>280000</v>
      </c>
      <c r="U4705" s="71" t="s">
        <v>859</v>
      </c>
      <c r="V4705" s="71"/>
      <c r="W4705" s="474">
        <v>260000</v>
      </c>
      <c r="X4705" s="71"/>
      <c r="Y4705" s="71"/>
    </row>
    <row r="4706" spans="1:25" ht="30" hidden="1" customHeight="1" x14ac:dyDescent="0.2">
      <c r="A4706" s="1145">
        <v>44566</v>
      </c>
      <c r="B4706" s="664" t="s">
        <v>564</v>
      </c>
      <c r="C4706" s="71" t="s">
        <v>1608</v>
      </c>
      <c r="D4706" s="71">
        <v>2</v>
      </c>
      <c r="E4706" s="102">
        <v>165000</v>
      </c>
      <c r="F4706" s="163">
        <f t="shared" si="2318"/>
        <v>363000.00000000006</v>
      </c>
      <c r="G4706" s="102">
        <f t="shared" si="2319"/>
        <v>330000</v>
      </c>
      <c r="H4706" s="690" t="s">
        <v>173</v>
      </c>
      <c r="I4706" s="71" t="s">
        <v>109</v>
      </c>
      <c r="J4706" s="53">
        <f t="shared" si="2317"/>
        <v>60000</v>
      </c>
      <c r="K4706" s="63">
        <f>(J4706/(F4706/11*10))</f>
        <v>0.1818181818181818</v>
      </c>
      <c r="L4706" s="983" t="s">
        <v>3230</v>
      </c>
      <c r="M4706" s="468"/>
      <c r="N4706" s="1192">
        <f t="shared" si="2320"/>
        <v>44566</v>
      </c>
      <c r="O4706" s="71" t="s">
        <v>151</v>
      </c>
      <c r="P4706" s="103" t="str">
        <f t="shared" si="2316"/>
        <v>1050*840 블랑켓</v>
      </c>
      <c r="Q4706" s="71">
        <f t="shared" si="2315"/>
        <v>2</v>
      </c>
      <c r="R4706" s="102">
        <v>135000</v>
      </c>
      <c r="S4706" s="102">
        <f t="shared" si="2313"/>
        <v>297000</v>
      </c>
      <c r="T4706" s="102">
        <f t="shared" si="2321"/>
        <v>270000</v>
      </c>
      <c r="U4706" s="71"/>
      <c r="V4706" s="71"/>
      <c r="W4706" s="474"/>
      <c r="X4706" s="71"/>
      <c r="Y4706" s="71"/>
    </row>
    <row r="4707" spans="1:25" ht="30" hidden="1" customHeight="1" x14ac:dyDescent="0.25">
      <c r="A4707" s="1145">
        <v>44567</v>
      </c>
      <c r="B4707" s="664" t="s">
        <v>548</v>
      </c>
      <c r="C4707" s="71" t="s">
        <v>111</v>
      </c>
      <c r="D4707" s="71">
        <v>200</v>
      </c>
      <c r="E4707" s="102">
        <v>450</v>
      </c>
      <c r="F4707" s="102">
        <f t="shared" si="2318"/>
        <v>99000.000000000015</v>
      </c>
      <c r="G4707" s="102">
        <f t="shared" si="2319"/>
        <v>90000</v>
      </c>
      <c r="H4707" s="690" t="s">
        <v>173</v>
      </c>
      <c r="I4707" s="71" t="s">
        <v>2231</v>
      </c>
      <c r="J4707" s="53">
        <f t="shared" si="2317"/>
        <v>26000</v>
      </c>
      <c r="K4707" s="63">
        <f>(J4707/(F4707/11*10))</f>
        <v>0.28888888888888886</v>
      </c>
      <c r="L4707" s="983" t="s">
        <v>3230</v>
      </c>
      <c r="M4707" s="468"/>
      <c r="N4707" s="1192">
        <f t="shared" si="2320"/>
        <v>44567</v>
      </c>
      <c r="O4707" s="71" t="s">
        <v>2030</v>
      </c>
      <c r="P4707" s="164" t="str">
        <f t="shared" si="2316"/>
        <v>고무사카 빨간색</v>
      </c>
      <c r="Q4707" s="71">
        <f t="shared" si="2315"/>
        <v>200</v>
      </c>
      <c r="R4707" s="102">
        <v>320</v>
      </c>
      <c r="S4707" s="102">
        <f t="shared" si="2313"/>
        <v>70400</v>
      </c>
      <c r="T4707" s="102">
        <f t="shared" si="2321"/>
        <v>64000</v>
      </c>
      <c r="U4707" s="71"/>
      <c r="V4707" s="71"/>
      <c r="W4707" s="474"/>
      <c r="X4707" s="71"/>
      <c r="Y4707" s="71"/>
    </row>
    <row r="4708" spans="1:25" ht="30" hidden="1" customHeight="1" x14ac:dyDescent="0.25">
      <c r="A4708" s="1145">
        <v>44567</v>
      </c>
      <c r="B4708" s="664" t="s">
        <v>548</v>
      </c>
      <c r="C4708" s="71" t="s">
        <v>2973</v>
      </c>
      <c r="D4708" s="71">
        <v>10</v>
      </c>
      <c r="E4708" s="102">
        <v>110000</v>
      </c>
      <c r="F4708" s="102">
        <f t="shared" si="2318"/>
        <v>1210000</v>
      </c>
      <c r="G4708" s="102">
        <f t="shared" si="2319"/>
        <v>1100000</v>
      </c>
      <c r="H4708" s="690" t="s">
        <v>173</v>
      </c>
      <c r="I4708" s="71" t="s">
        <v>2231</v>
      </c>
      <c r="J4708" s="53">
        <f t="shared" si="2317"/>
        <v>170000</v>
      </c>
      <c r="K4708" s="63">
        <v>0.13800000000000001</v>
      </c>
      <c r="L4708" s="983" t="s">
        <v>3230</v>
      </c>
      <c r="M4708" s="468"/>
      <c r="N4708" s="1192">
        <f t="shared" si="2320"/>
        <v>44567</v>
      </c>
      <c r="O4708" s="71" t="s">
        <v>147</v>
      </c>
      <c r="P4708" s="164" t="str">
        <f t="shared" si="2316"/>
        <v>1077*885 하이델 bar 블랑켓</v>
      </c>
      <c r="Q4708" s="71">
        <f t="shared" si="2315"/>
        <v>10</v>
      </c>
      <c r="R4708" s="102">
        <v>93000</v>
      </c>
      <c r="S4708" s="102">
        <f t="shared" si="2313"/>
        <v>1023000.0000000001</v>
      </c>
      <c r="T4708" s="102">
        <f t="shared" si="2321"/>
        <v>930000</v>
      </c>
      <c r="U4708" s="71"/>
      <c r="V4708" s="71"/>
      <c r="W4708" s="474"/>
      <c r="X4708" s="71"/>
      <c r="Y4708" s="71"/>
    </row>
    <row r="4709" spans="1:25" ht="30" hidden="1" customHeight="1" x14ac:dyDescent="0.2">
      <c r="A4709" s="1145">
        <v>44567</v>
      </c>
      <c r="B4709" s="664" t="s">
        <v>548</v>
      </c>
      <c r="C4709" s="71" t="s">
        <v>107</v>
      </c>
      <c r="D4709" s="71">
        <v>10</v>
      </c>
      <c r="E4709" s="102">
        <v>100000</v>
      </c>
      <c r="F4709" s="102">
        <f t="shared" si="2318"/>
        <v>1100000</v>
      </c>
      <c r="G4709" s="102">
        <f t="shared" si="2319"/>
        <v>1000000</v>
      </c>
      <c r="H4709" s="165" t="s">
        <v>172</v>
      </c>
      <c r="I4709" s="71" t="s">
        <v>109</v>
      </c>
      <c r="J4709" s="53">
        <f t="shared" si="2317"/>
        <v>132000</v>
      </c>
      <c r="K4709" s="63">
        <v>0.10555555555555554</v>
      </c>
      <c r="L4709" s="983" t="s">
        <v>3230</v>
      </c>
      <c r="M4709" s="468"/>
      <c r="N4709" s="1192">
        <f t="shared" si="2320"/>
        <v>44567</v>
      </c>
      <c r="O4709" s="71" t="s">
        <v>147</v>
      </c>
      <c r="P4709" s="103" t="str">
        <f t="shared" si="2316"/>
        <v>Blanket(1050*840)</v>
      </c>
      <c r="Q4709" s="71">
        <f t="shared" si="2315"/>
        <v>10</v>
      </c>
      <c r="R4709" s="102">
        <v>86800</v>
      </c>
      <c r="S4709" s="102">
        <f t="shared" si="2313"/>
        <v>954800.00000000012</v>
      </c>
      <c r="T4709" s="102">
        <f t="shared" si="2321"/>
        <v>868000</v>
      </c>
      <c r="U4709" s="71" t="s">
        <v>859</v>
      </c>
      <c r="V4709" s="71"/>
      <c r="W4709" s="474">
        <v>95000</v>
      </c>
      <c r="X4709" s="71"/>
      <c r="Y4709" s="71"/>
    </row>
    <row r="4710" spans="1:25" ht="30" hidden="1" customHeight="1" x14ac:dyDescent="0.25">
      <c r="A4710" s="1145">
        <v>44567</v>
      </c>
      <c r="B4710" s="664" t="s">
        <v>809</v>
      </c>
      <c r="C4710" s="71" t="s">
        <v>1081</v>
      </c>
      <c r="D4710" s="71">
        <v>10</v>
      </c>
      <c r="E4710" s="102">
        <v>78000</v>
      </c>
      <c r="F4710" s="102">
        <f t="shared" si="2318"/>
        <v>858000.00000000012</v>
      </c>
      <c r="G4710" s="102">
        <f t="shared" si="2319"/>
        <v>780000</v>
      </c>
      <c r="H4710" s="690" t="s">
        <v>173</v>
      </c>
      <c r="I4710" s="71" t="s">
        <v>2231</v>
      </c>
      <c r="J4710" s="53">
        <f t="shared" si="2317"/>
        <v>180000</v>
      </c>
      <c r="K4710" s="63">
        <f t="shared" ref="K4710:K4715" si="2322">(J4710/(F4710/11*10))</f>
        <v>0.23076923076923073</v>
      </c>
      <c r="L4710" s="983" t="s">
        <v>3230</v>
      </c>
      <c r="M4710" s="468" t="s">
        <v>3081</v>
      </c>
      <c r="N4710" s="1192">
        <f t="shared" si="2320"/>
        <v>44567</v>
      </c>
      <c r="O4710" s="71" t="s">
        <v>147</v>
      </c>
      <c r="P4710" s="164" t="str">
        <f t="shared" si="2316"/>
        <v>파우더</v>
      </c>
      <c r="Q4710" s="71">
        <f t="shared" si="2315"/>
        <v>10</v>
      </c>
      <c r="R4710" s="102">
        <v>60000</v>
      </c>
      <c r="S4710" s="102">
        <f t="shared" si="2313"/>
        <v>660000</v>
      </c>
      <c r="T4710" s="102">
        <f t="shared" si="2321"/>
        <v>600000</v>
      </c>
      <c r="U4710" s="71" t="str">
        <f>IF(J4710=W4710,"O", "X")</f>
        <v>O</v>
      </c>
      <c r="V4710" s="71"/>
      <c r="W4710" s="474">
        <f>(G4710-T4710)</f>
        <v>180000</v>
      </c>
      <c r="X4710" s="71"/>
      <c r="Y4710" s="71"/>
    </row>
    <row r="4711" spans="1:25" ht="30" hidden="1" customHeight="1" x14ac:dyDescent="0.25">
      <c r="A4711" s="1145">
        <v>44567</v>
      </c>
      <c r="B4711" s="664" t="s">
        <v>545</v>
      </c>
      <c r="C4711" s="71" t="s">
        <v>227</v>
      </c>
      <c r="D4711" s="71">
        <v>10</v>
      </c>
      <c r="E4711" s="102">
        <v>110000</v>
      </c>
      <c r="F4711" s="102">
        <f t="shared" si="2318"/>
        <v>1210000</v>
      </c>
      <c r="G4711" s="102">
        <f t="shared" si="2319"/>
        <v>1100000</v>
      </c>
      <c r="H4711" s="690" t="s">
        <v>173</v>
      </c>
      <c r="I4711" s="71" t="s">
        <v>109</v>
      </c>
      <c r="J4711" s="53">
        <f t="shared" si="2317"/>
        <v>206000</v>
      </c>
      <c r="K4711" s="63">
        <f t="shared" si="2322"/>
        <v>0.18727272727272729</v>
      </c>
      <c r="L4711" s="983" t="s">
        <v>3230</v>
      </c>
      <c r="M4711" s="468"/>
      <c r="N4711" s="1192">
        <f t="shared" si="2320"/>
        <v>44567</v>
      </c>
      <c r="O4711" s="71" t="s">
        <v>147</v>
      </c>
      <c r="P4711" s="164" t="str">
        <f t="shared" si="2316"/>
        <v>Blanket(1060*860)</v>
      </c>
      <c r="Q4711" s="71">
        <f t="shared" si="2315"/>
        <v>10</v>
      </c>
      <c r="R4711" s="102">
        <v>89400</v>
      </c>
      <c r="S4711" s="102">
        <f t="shared" si="2313"/>
        <v>983400.00000000012</v>
      </c>
      <c r="T4711" s="102">
        <f t="shared" si="2321"/>
        <v>894000</v>
      </c>
      <c r="U4711" s="71" t="str">
        <f>IF(J4711=W4711,"O", "X")</f>
        <v>O</v>
      </c>
      <c r="V4711" s="71"/>
      <c r="W4711" s="474">
        <f>(G4711-T4711)</f>
        <v>206000</v>
      </c>
      <c r="X4711" s="71"/>
      <c r="Y4711" s="71"/>
    </row>
    <row r="4712" spans="1:25" ht="30" hidden="1" customHeight="1" x14ac:dyDescent="0.25">
      <c r="A4712" s="1145">
        <v>44567</v>
      </c>
      <c r="B4712" s="664" t="s">
        <v>545</v>
      </c>
      <c r="C4712" s="71" t="s">
        <v>3195</v>
      </c>
      <c r="D4712" s="71">
        <v>2</v>
      </c>
      <c r="E4712" s="102">
        <v>175000</v>
      </c>
      <c r="F4712" s="102">
        <f t="shared" si="2318"/>
        <v>385000.00000000006</v>
      </c>
      <c r="G4712" s="102">
        <f t="shared" si="2319"/>
        <v>350000</v>
      </c>
      <c r="H4712" s="690" t="s">
        <v>173</v>
      </c>
      <c r="I4712" s="71" t="s">
        <v>108</v>
      </c>
      <c r="J4712" s="53">
        <f t="shared" si="2317"/>
        <v>90000</v>
      </c>
      <c r="K4712" s="63">
        <f t="shared" si="2322"/>
        <v>0.25714285714285712</v>
      </c>
      <c r="L4712" s="983" t="s">
        <v>3230</v>
      </c>
      <c r="M4712" s="468"/>
      <c r="N4712" s="1192">
        <f t="shared" si="2320"/>
        <v>44567</v>
      </c>
      <c r="O4712" s="71" t="s">
        <v>148</v>
      </c>
      <c r="P4712" s="103" t="str">
        <f t="shared" si="2316"/>
        <v>UV wash offset UV</v>
      </c>
      <c r="Q4712" s="71">
        <f t="shared" si="2315"/>
        <v>2</v>
      </c>
      <c r="R4712" s="102">
        <v>130000</v>
      </c>
      <c r="S4712" s="102">
        <f t="shared" si="2313"/>
        <v>286000</v>
      </c>
      <c r="T4712" s="102">
        <f t="shared" si="2321"/>
        <v>260000</v>
      </c>
      <c r="U4712" s="71"/>
      <c r="V4712" s="71"/>
      <c r="W4712" s="474"/>
      <c r="X4712" s="71"/>
      <c r="Y4712" s="71"/>
    </row>
    <row r="4713" spans="1:25" ht="30" hidden="1" customHeight="1" x14ac:dyDescent="0.25">
      <c r="A4713" s="1145">
        <v>44567</v>
      </c>
      <c r="B4713" s="664" t="s">
        <v>442</v>
      </c>
      <c r="C4713" s="71" t="s">
        <v>3244</v>
      </c>
      <c r="D4713" s="71">
        <v>5</v>
      </c>
      <c r="E4713" s="102">
        <v>34000</v>
      </c>
      <c r="F4713" s="102">
        <f t="shared" si="2318"/>
        <v>187000.00000000003</v>
      </c>
      <c r="G4713" s="102">
        <f t="shared" si="2319"/>
        <v>170000</v>
      </c>
      <c r="H4713" s="690" t="s">
        <v>173</v>
      </c>
      <c r="I4713" s="71" t="s">
        <v>2231</v>
      </c>
      <c r="J4713" s="53">
        <f t="shared" si="2317"/>
        <v>34000</v>
      </c>
      <c r="K4713" s="63">
        <f t="shared" si="2322"/>
        <v>0.19999999999999996</v>
      </c>
      <c r="L4713" s="983" t="s">
        <v>3230</v>
      </c>
      <c r="M4713" s="468"/>
      <c r="N4713" s="1192">
        <f t="shared" si="2320"/>
        <v>44567</v>
      </c>
      <c r="O4713" s="71" t="s">
        <v>150</v>
      </c>
      <c r="P4713" s="164" t="str">
        <f t="shared" si="2316"/>
        <v>인쇄기 파우더 필터</v>
      </c>
      <c r="Q4713" s="71">
        <f t="shared" si="2315"/>
        <v>5</v>
      </c>
      <c r="R4713" s="102">
        <f>E4713*0.8</f>
        <v>27200</v>
      </c>
      <c r="S4713" s="102">
        <f t="shared" si="2313"/>
        <v>149600</v>
      </c>
      <c r="T4713" s="102">
        <f t="shared" si="2321"/>
        <v>136000</v>
      </c>
      <c r="U4713" s="71"/>
      <c r="V4713" s="71"/>
      <c r="W4713" s="474"/>
      <c r="X4713" s="71"/>
      <c r="Y4713" s="71"/>
    </row>
    <row r="4714" spans="1:25" ht="30" hidden="1" customHeight="1" x14ac:dyDescent="0.25">
      <c r="A4714" s="1145">
        <v>44567</v>
      </c>
      <c r="B4714" s="664" t="s">
        <v>442</v>
      </c>
      <c r="C4714" s="71" t="s">
        <v>3245</v>
      </c>
      <c r="D4714" s="71">
        <v>2</v>
      </c>
      <c r="E4714" s="102">
        <v>118000</v>
      </c>
      <c r="F4714" s="102">
        <f t="shared" si="2318"/>
        <v>259600.00000000003</v>
      </c>
      <c r="G4714" s="102">
        <f t="shared" si="2319"/>
        <v>236000</v>
      </c>
      <c r="H4714" s="690" t="s">
        <v>173</v>
      </c>
      <c r="I4714" s="71" t="s">
        <v>2231</v>
      </c>
      <c r="J4714" s="53">
        <f t="shared" si="2317"/>
        <v>47200</v>
      </c>
      <c r="K4714" s="63">
        <f t="shared" si="2322"/>
        <v>0.19999999999999998</v>
      </c>
      <c r="L4714" s="983" t="s">
        <v>3230</v>
      </c>
      <c r="M4714" s="468"/>
      <c r="N4714" s="1192">
        <f t="shared" si="2320"/>
        <v>44567</v>
      </c>
      <c r="O4714" s="71" t="s">
        <v>150</v>
      </c>
      <c r="P4714" s="164" t="str">
        <f t="shared" si="2316"/>
        <v>인쇄기 필터 495*394*47</v>
      </c>
      <c r="Q4714" s="71">
        <f t="shared" si="2315"/>
        <v>2</v>
      </c>
      <c r="R4714" s="102">
        <f>E4714*0.8</f>
        <v>94400</v>
      </c>
      <c r="S4714" s="102">
        <f t="shared" si="2313"/>
        <v>207680.00000000003</v>
      </c>
      <c r="T4714" s="102">
        <f t="shared" si="2321"/>
        <v>188800</v>
      </c>
      <c r="U4714" s="71"/>
      <c r="V4714" s="71"/>
      <c r="W4714" s="474"/>
      <c r="X4714" s="71"/>
      <c r="Y4714" s="71"/>
    </row>
    <row r="4715" spans="1:25" ht="30" hidden="1" customHeight="1" x14ac:dyDescent="0.25">
      <c r="A4715" s="1145">
        <v>44567</v>
      </c>
      <c r="B4715" s="664" t="s">
        <v>442</v>
      </c>
      <c r="C4715" s="71" t="s">
        <v>3246</v>
      </c>
      <c r="D4715" s="71">
        <v>2</v>
      </c>
      <c r="E4715" s="102">
        <v>145000</v>
      </c>
      <c r="F4715" s="102">
        <f t="shared" si="2318"/>
        <v>319000</v>
      </c>
      <c r="G4715" s="102">
        <f t="shared" si="2319"/>
        <v>290000</v>
      </c>
      <c r="H4715" s="690" t="s">
        <v>173</v>
      </c>
      <c r="I4715" s="71" t="s">
        <v>2231</v>
      </c>
      <c r="J4715" s="53">
        <f t="shared" si="2317"/>
        <v>58000</v>
      </c>
      <c r="K4715" s="63">
        <f t="shared" si="2322"/>
        <v>0.2</v>
      </c>
      <c r="L4715" s="983" t="s">
        <v>3230</v>
      </c>
      <c r="M4715" s="468"/>
      <c r="N4715" s="1192">
        <f t="shared" si="2320"/>
        <v>44567</v>
      </c>
      <c r="O4715" s="71" t="s">
        <v>150</v>
      </c>
      <c r="P4715" s="103" t="str">
        <f t="shared" si="2316"/>
        <v>인쇄기 필터 750*480*47</v>
      </c>
      <c r="Q4715" s="71">
        <f t="shared" si="2315"/>
        <v>2</v>
      </c>
      <c r="R4715" s="102">
        <f>E4715*0.8</f>
        <v>116000</v>
      </c>
      <c r="S4715" s="102">
        <f t="shared" si="2313"/>
        <v>255200.00000000003</v>
      </c>
      <c r="T4715" s="102">
        <f t="shared" si="2321"/>
        <v>232000</v>
      </c>
      <c r="U4715" s="71"/>
      <c r="V4715" s="71"/>
      <c r="W4715" s="474"/>
      <c r="X4715" s="71"/>
      <c r="Y4715" s="71"/>
    </row>
    <row r="4716" spans="1:25" ht="30" hidden="1" customHeight="1" x14ac:dyDescent="0.25">
      <c r="A4716" s="1145">
        <v>44567</v>
      </c>
      <c r="B4716" s="664" t="s">
        <v>442</v>
      </c>
      <c r="C4716" s="71" t="s">
        <v>3247</v>
      </c>
      <c r="D4716" s="71">
        <v>2</v>
      </c>
      <c r="E4716" s="102">
        <v>142000</v>
      </c>
      <c r="F4716" s="102">
        <f t="shared" si="2318"/>
        <v>312400</v>
      </c>
      <c r="G4716" s="102">
        <f t="shared" si="2319"/>
        <v>284000</v>
      </c>
      <c r="H4716" s="690" t="s">
        <v>173</v>
      </c>
      <c r="I4716" s="71" t="s">
        <v>2231</v>
      </c>
      <c r="J4716" s="53">
        <f t="shared" si="2317"/>
        <v>94000</v>
      </c>
      <c r="K4716" s="63">
        <f t="shared" ref="K4716:K4722" si="2323">(J4716/(F4716/11*10))</f>
        <v>0.33098591549295775</v>
      </c>
      <c r="L4716" s="983" t="s">
        <v>3230</v>
      </c>
      <c r="M4716" s="468"/>
      <c r="N4716" s="1192">
        <f t="shared" si="2320"/>
        <v>44567</v>
      </c>
      <c r="O4716" s="71" t="s">
        <v>150</v>
      </c>
      <c r="P4716" s="164" t="str">
        <f t="shared" si="2316"/>
        <v>닥터호일 아스테이지</v>
      </c>
      <c r="Q4716" s="71">
        <f t="shared" si="2315"/>
        <v>2</v>
      </c>
      <c r="R4716" s="102">
        <v>95000</v>
      </c>
      <c r="S4716" s="102">
        <f t="shared" si="2313"/>
        <v>209000.00000000003</v>
      </c>
      <c r="T4716" s="102">
        <f t="shared" si="2321"/>
        <v>190000</v>
      </c>
      <c r="U4716" s="71"/>
      <c r="V4716" s="71"/>
      <c r="W4716" s="474"/>
      <c r="X4716" s="71"/>
      <c r="Y4716" s="71"/>
    </row>
    <row r="4717" spans="1:25" ht="30" hidden="1" customHeight="1" x14ac:dyDescent="0.25">
      <c r="A4717" s="1145">
        <v>44567</v>
      </c>
      <c r="B4717" s="664" t="s">
        <v>442</v>
      </c>
      <c r="C4717" s="71" t="s">
        <v>3248</v>
      </c>
      <c r="D4717" s="71">
        <v>10</v>
      </c>
      <c r="E4717" s="102">
        <v>40000</v>
      </c>
      <c r="F4717" s="102">
        <f t="shared" si="2318"/>
        <v>440000.00000000006</v>
      </c>
      <c r="G4717" s="102">
        <f t="shared" si="2319"/>
        <v>400000</v>
      </c>
      <c r="H4717" s="690" t="s">
        <v>1432</v>
      </c>
      <c r="I4717" s="71" t="s">
        <v>1432</v>
      </c>
      <c r="J4717" s="53">
        <f t="shared" si="2317"/>
        <v>150000</v>
      </c>
      <c r="K4717" s="63">
        <f t="shared" si="2323"/>
        <v>0.37499999999999994</v>
      </c>
      <c r="L4717" s="983" t="s">
        <v>3230</v>
      </c>
      <c r="M4717" s="468"/>
      <c r="N4717" s="1192">
        <f t="shared" si="2320"/>
        <v>44567</v>
      </c>
      <c r="O4717" s="71" t="s">
        <v>94</v>
      </c>
      <c r="P4717" s="164" t="str">
        <f t="shared" si="2316"/>
        <v>주머니 필터백 하이델 국전용</v>
      </c>
      <c r="Q4717" s="71">
        <f t="shared" si="2315"/>
        <v>10</v>
      </c>
      <c r="R4717" s="102">
        <v>25000</v>
      </c>
      <c r="S4717" s="102">
        <f t="shared" si="2313"/>
        <v>275000</v>
      </c>
      <c r="T4717" s="102">
        <f t="shared" si="2321"/>
        <v>250000</v>
      </c>
      <c r="U4717" s="71"/>
      <c r="V4717" s="71"/>
      <c r="W4717" s="474"/>
      <c r="X4717" s="71"/>
      <c r="Y4717" s="71"/>
    </row>
    <row r="4718" spans="1:25" ht="30" hidden="1" customHeight="1" x14ac:dyDescent="0.25">
      <c r="A4718" s="1145">
        <v>44567</v>
      </c>
      <c r="B4718" s="664" t="s">
        <v>442</v>
      </c>
      <c r="C4718" s="71" t="s">
        <v>3249</v>
      </c>
      <c r="D4718" s="71">
        <v>10</v>
      </c>
      <c r="E4718" s="102">
        <v>40000</v>
      </c>
      <c r="F4718" s="102">
        <f t="shared" si="2318"/>
        <v>440000.00000000006</v>
      </c>
      <c r="G4718" s="102">
        <f t="shared" si="2319"/>
        <v>400000</v>
      </c>
      <c r="H4718" s="690" t="s">
        <v>1432</v>
      </c>
      <c r="I4718" s="71" t="s">
        <v>1432</v>
      </c>
      <c r="J4718" s="53">
        <f t="shared" si="2317"/>
        <v>170000</v>
      </c>
      <c r="K4718" s="63">
        <f t="shared" si="2323"/>
        <v>0.42499999999999993</v>
      </c>
      <c r="L4718" s="983" t="s">
        <v>3230</v>
      </c>
      <c r="M4718" s="468"/>
      <c r="N4718" s="1192">
        <f t="shared" si="2320"/>
        <v>44567</v>
      </c>
      <c r="O4718" s="71" t="s">
        <v>94</v>
      </c>
      <c r="P4718" s="103" t="str">
        <f t="shared" si="2316"/>
        <v>주머니 필터백 로랜드 전지용</v>
      </c>
      <c r="Q4718" s="71">
        <f t="shared" si="2315"/>
        <v>10</v>
      </c>
      <c r="R4718" s="102">
        <v>23000</v>
      </c>
      <c r="S4718" s="102">
        <f t="shared" si="2313"/>
        <v>253000.00000000003</v>
      </c>
      <c r="T4718" s="102">
        <f t="shared" si="2321"/>
        <v>230000</v>
      </c>
      <c r="U4718" s="71"/>
      <c r="V4718" s="71"/>
      <c r="W4718" s="474"/>
      <c r="X4718" s="71"/>
      <c r="Y4718" s="71"/>
    </row>
    <row r="4719" spans="1:25" ht="30" hidden="1" customHeight="1" x14ac:dyDescent="0.25">
      <c r="A4719" s="1145">
        <v>44568</v>
      </c>
      <c r="B4719" s="664" t="s">
        <v>545</v>
      </c>
      <c r="C4719" s="71" t="s">
        <v>3195</v>
      </c>
      <c r="D4719" s="71">
        <v>2</v>
      </c>
      <c r="E4719" s="102">
        <v>175000</v>
      </c>
      <c r="F4719" s="102">
        <f>(E4719*D4719)*1.1</f>
        <v>385000.00000000006</v>
      </c>
      <c r="G4719" s="102">
        <f t="shared" ref="G4719:G4740" si="2324">(E4719*D4719)</f>
        <v>350000</v>
      </c>
      <c r="H4719" s="690" t="s">
        <v>173</v>
      </c>
      <c r="I4719" s="71" t="s">
        <v>108</v>
      </c>
      <c r="J4719" s="53">
        <f t="shared" si="2317"/>
        <v>90000</v>
      </c>
      <c r="K4719" s="63">
        <f t="shared" si="2323"/>
        <v>0.25714285714285712</v>
      </c>
      <c r="L4719" s="983" t="s">
        <v>3230</v>
      </c>
      <c r="M4719" s="468"/>
      <c r="N4719" s="1192">
        <f t="shared" si="2320"/>
        <v>44568</v>
      </c>
      <c r="O4719" s="71" t="s">
        <v>148</v>
      </c>
      <c r="P4719" s="164" t="str">
        <f t="shared" si="2316"/>
        <v>UV wash offset UV</v>
      </c>
      <c r="Q4719" s="71">
        <f t="shared" si="2315"/>
        <v>2</v>
      </c>
      <c r="R4719" s="102">
        <v>130000</v>
      </c>
      <c r="S4719" s="102">
        <f t="shared" si="2313"/>
        <v>286000</v>
      </c>
      <c r="T4719" s="102">
        <f t="shared" si="2321"/>
        <v>260000</v>
      </c>
      <c r="U4719" s="71"/>
      <c r="V4719" s="71"/>
      <c r="W4719" s="474"/>
      <c r="X4719" s="71"/>
      <c r="Y4719" s="71"/>
    </row>
    <row r="4720" spans="1:25" ht="30" hidden="1" customHeight="1" x14ac:dyDescent="0.25">
      <c r="A4720" s="1145">
        <v>44568</v>
      </c>
      <c r="B4720" s="664" t="s">
        <v>2155</v>
      </c>
      <c r="C4720" s="71" t="s">
        <v>277</v>
      </c>
      <c r="D4720" s="71">
        <v>10</v>
      </c>
      <c r="E4720" s="102">
        <v>172000</v>
      </c>
      <c r="F4720" s="102">
        <f>(E4720*D4720)*1.1</f>
        <v>1892000.0000000002</v>
      </c>
      <c r="G4720" s="102">
        <f t="shared" si="2324"/>
        <v>1720000</v>
      </c>
      <c r="H4720" s="690" t="s">
        <v>173</v>
      </c>
      <c r="I4720" s="71" t="s">
        <v>108</v>
      </c>
      <c r="J4720" s="53">
        <f t="shared" si="2317"/>
        <v>570000</v>
      </c>
      <c r="K4720" s="63">
        <f t="shared" si="2323"/>
        <v>0.33139534883720928</v>
      </c>
      <c r="L4720" s="983" t="s">
        <v>3230</v>
      </c>
      <c r="M4720" s="468"/>
      <c r="N4720" s="1192">
        <f t="shared" si="2320"/>
        <v>44568</v>
      </c>
      <c r="O4720" s="71" t="s">
        <v>150</v>
      </c>
      <c r="P4720" s="164" t="str">
        <f t="shared" si="2316"/>
        <v>윤전용 세척제(Web 504)</v>
      </c>
      <c r="Q4720" s="71">
        <f t="shared" si="2315"/>
        <v>10</v>
      </c>
      <c r="R4720" s="102">
        <v>115000</v>
      </c>
      <c r="S4720" s="102">
        <f t="shared" si="2313"/>
        <v>1265000</v>
      </c>
      <c r="T4720" s="102">
        <f t="shared" si="2321"/>
        <v>1150000</v>
      </c>
      <c r="U4720" s="71" t="str">
        <f>IF(J4720=W4720,"O", "X")</f>
        <v>X</v>
      </c>
      <c r="V4720" s="71"/>
      <c r="W4720" s="474">
        <v>285000</v>
      </c>
      <c r="X4720" s="71"/>
      <c r="Y4720" s="71"/>
    </row>
    <row r="4721" spans="1:25" ht="30" hidden="1" customHeight="1" x14ac:dyDescent="0.25">
      <c r="A4721" s="1145">
        <v>44568</v>
      </c>
      <c r="B4721" s="664" t="s">
        <v>2155</v>
      </c>
      <c r="C4721" s="760" t="s">
        <v>218</v>
      </c>
      <c r="D4721" s="71">
        <v>10</v>
      </c>
      <c r="E4721" s="102">
        <v>192500</v>
      </c>
      <c r="F4721" s="102">
        <f>(E4721*D4721)*1.1</f>
        <v>2117500</v>
      </c>
      <c r="G4721" s="102">
        <f t="shared" si="2324"/>
        <v>1925000</v>
      </c>
      <c r="H4721" s="690" t="s">
        <v>173</v>
      </c>
      <c r="I4721" s="71" t="s">
        <v>120</v>
      </c>
      <c r="J4721" s="53">
        <f t="shared" si="2317"/>
        <v>800000</v>
      </c>
      <c r="K4721" s="63">
        <f t="shared" si="2323"/>
        <v>0.41558441558441561</v>
      </c>
      <c r="L4721" s="983" t="s">
        <v>3230</v>
      </c>
      <c r="M4721" s="468"/>
      <c r="N4721" s="1192">
        <f t="shared" si="2320"/>
        <v>44568</v>
      </c>
      <c r="O4721" s="71" t="s">
        <v>150</v>
      </c>
      <c r="P4721" s="103" t="str">
        <f t="shared" si="2316"/>
        <v>Fount Web 551AF</v>
      </c>
      <c r="Q4721" s="71">
        <f t="shared" si="2315"/>
        <v>10</v>
      </c>
      <c r="R4721" s="102">
        <v>112500</v>
      </c>
      <c r="S4721" s="102">
        <f t="shared" si="2313"/>
        <v>1237500</v>
      </c>
      <c r="T4721" s="102">
        <f t="shared" si="2321"/>
        <v>1125000</v>
      </c>
      <c r="U4721" s="71" t="str">
        <f>IF(J4721=W4721,"O", "X")</f>
        <v>X</v>
      </c>
      <c r="V4721" s="71"/>
      <c r="W4721" s="474">
        <v>640000</v>
      </c>
      <c r="X4721" s="71"/>
      <c r="Y4721" s="71"/>
    </row>
    <row r="4722" spans="1:25" s="209" customFormat="1" ht="30" hidden="1" customHeight="1" x14ac:dyDescent="0.2">
      <c r="A4722" s="1145">
        <v>44569</v>
      </c>
      <c r="B4722" s="664" t="s">
        <v>764</v>
      </c>
      <c r="C4722" s="71" t="s">
        <v>236</v>
      </c>
      <c r="D4722" s="71">
        <v>10</v>
      </c>
      <c r="E4722" s="102">
        <v>100000</v>
      </c>
      <c r="F4722" s="163">
        <f t="shared" si="2318"/>
        <v>1100000</v>
      </c>
      <c r="G4722" s="102">
        <f t="shared" si="2324"/>
        <v>1000000</v>
      </c>
      <c r="H4722" s="690" t="s">
        <v>173</v>
      </c>
      <c r="I4722" s="71" t="s">
        <v>2231</v>
      </c>
      <c r="J4722" s="53">
        <f t="shared" si="2317"/>
        <v>500000</v>
      </c>
      <c r="K4722" s="63">
        <f t="shared" si="2323"/>
        <v>0.5</v>
      </c>
      <c r="L4722" s="983" t="s">
        <v>3230</v>
      </c>
      <c r="M4722" s="468"/>
      <c r="N4722" s="1192">
        <f t="shared" si="2320"/>
        <v>44569</v>
      </c>
      <c r="O4722" s="71" t="s">
        <v>153</v>
      </c>
      <c r="P4722" s="164" t="str">
        <f t="shared" si="2316"/>
        <v>아스테이지(국전)</v>
      </c>
      <c r="Q4722" s="71">
        <f t="shared" si="2315"/>
        <v>10</v>
      </c>
      <c r="R4722" s="102">
        <v>50000</v>
      </c>
      <c r="S4722" s="102">
        <f t="shared" si="2313"/>
        <v>550000</v>
      </c>
      <c r="T4722" s="102">
        <f t="shared" si="2321"/>
        <v>500000</v>
      </c>
      <c r="U4722" s="71" t="str">
        <f>IF(J4722=W4722,"O", "X")</f>
        <v>O</v>
      </c>
      <c r="V4722" s="71"/>
      <c r="W4722" s="474">
        <v>500000</v>
      </c>
      <c r="X4722" s="71"/>
      <c r="Y4722" s="71"/>
    </row>
    <row r="4723" spans="1:25" ht="30" hidden="1" customHeight="1" x14ac:dyDescent="0.25">
      <c r="A4723" s="1145">
        <v>44569</v>
      </c>
      <c r="B4723" s="664" t="s">
        <v>591</v>
      </c>
      <c r="C4723" s="71" t="s">
        <v>3241</v>
      </c>
      <c r="D4723" s="71">
        <v>1</v>
      </c>
      <c r="E4723" s="102">
        <v>4530000</v>
      </c>
      <c r="F4723" s="102">
        <f>(E4723*D4723)*1.1</f>
        <v>4983000</v>
      </c>
      <c r="G4723" s="102">
        <f t="shared" si="2324"/>
        <v>4530000</v>
      </c>
      <c r="H4723" s="690" t="s">
        <v>173</v>
      </c>
      <c r="I4723" s="71" t="s">
        <v>143</v>
      </c>
      <c r="J4723" s="53">
        <f t="shared" si="2317"/>
        <v>1170000</v>
      </c>
      <c r="K4723" s="63">
        <f>(J4723/(F4723/11*10))</f>
        <v>0.25827814569536423</v>
      </c>
      <c r="L4723" s="983" t="s">
        <v>3230</v>
      </c>
      <c r="M4723" s="468"/>
      <c r="N4723" s="1192">
        <f t="shared" si="2320"/>
        <v>44569</v>
      </c>
      <c r="O4723" s="71" t="s">
        <v>612</v>
      </c>
      <c r="P4723" s="164" t="str">
        <f t="shared" si="2316"/>
        <v>매엽 롤라 피복 세트</v>
      </c>
      <c r="Q4723" s="71">
        <f t="shared" si="2315"/>
        <v>1</v>
      </c>
      <c r="R4723" s="102">
        <v>3360000</v>
      </c>
      <c r="S4723" s="102">
        <f t="shared" si="2313"/>
        <v>3696000.0000000005</v>
      </c>
      <c r="T4723" s="102">
        <f t="shared" si="2321"/>
        <v>3360000</v>
      </c>
      <c r="U4723" s="71"/>
      <c r="V4723" s="71"/>
      <c r="W4723" s="474"/>
      <c r="X4723" s="71"/>
      <c r="Y4723" s="71"/>
    </row>
    <row r="4724" spans="1:25" s="209" customFormat="1" ht="30" hidden="1" customHeight="1" x14ac:dyDescent="0.25">
      <c r="A4724" s="1145">
        <v>44571</v>
      </c>
      <c r="B4724" s="664" t="s">
        <v>2155</v>
      </c>
      <c r="C4724" s="71" t="s">
        <v>138</v>
      </c>
      <c r="D4724" s="71">
        <v>10</v>
      </c>
      <c r="E4724" s="102">
        <v>47600</v>
      </c>
      <c r="F4724" s="102">
        <f t="shared" si="2318"/>
        <v>523600.00000000006</v>
      </c>
      <c r="G4724" s="102">
        <f t="shared" si="2324"/>
        <v>476000</v>
      </c>
      <c r="H4724" s="1129" t="s">
        <v>172</v>
      </c>
      <c r="I4724" s="71" t="s">
        <v>108</v>
      </c>
      <c r="J4724" s="53">
        <f t="shared" si="2317"/>
        <v>68000</v>
      </c>
      <c r="K4724" s="63">
        <f>(J4724/(F4724/11*10))</f>
        <v>0.14285714285714285</v>
      </c>
      <c r="L4724" s="983" t="s">
        <v>3230</v>
      </c>
      <c r="M4724" s="468" t="s">
        <v>2214</v>
      </c>
      <c r="N4724" s="1192">
        <f t="shared" si="2320"/>
        <v>44571</v>
      </c>
      <c r="O4724" s="71" t="s">
        <v>150</v>
      </c>
      <c r="P4724" s="103" t="str">
        <f t="shared" si="2316"/>
        <v>매엽용 세척제(Wash 562)</v>
      </c>
      <c r="Q4724" s="71">
        <f t="shared" si="2315"/>
        <v>10</v>
      </c>
      <c r="R4724" s="102">
        <v>40800</v>
      </c>
      <c r="S4724" s="102">
        <f t="shared" si="2313"/>
        <v>448800.00000000006</v>
      </c>
      <c r="T4724" s="102">
        <f t="shared" si="2321"/>
        <v>408000</v>
      </c>
      <c r="U4724" s="71" t="str">
        <f>IF(J4724=W4724,"O", "X")</f>
        <v>X</v>
      </c>
      <c r="V4724" s="71"/>
      <c r="W4724" s="474">
        <v>85000</v>
      </c>
      <c r="X4724" s="71"/>
      <c r="Y4724" s="71"/>
    </row>
    <row r="4725" spans="1:25" ht="30" hidden="1" customHeight="1" x14ac:dyDescent="0.25">
      <c r="A4725" s="1145">
        <v>44571</v>
      </c>
      <c r="B4725" s="664" t="s">
        <v>446</v>
      </c>
      <c r="C4725" s="71" t="s">
        <v>2028</v>
      </c>
      <c r="D4725" s="71">
        <v>20</v>
      </c>
      <c r="E4725" s="102">
        <v>105000</v>
      </c>
      <c r="F4725" s="102">
        <f t="shared" ref="F4725:F4740" si="2325">(E4725*D4725)*1.1</f>
        <v>2310000</v>
      </c>
      <c r="G4725" s="102">
        <f t="shared" si="2324"/>
        <v>2100000</v>
      </c>
      <c r="H4725" s="690" t="s">
        <v>2029</v>
      </c>
      <c r="I4725" s="71" t="s">
        <v>2231</v>
      </c>
      <c r="J4725" s="53">
        <f t="shared" si="2317"/>
        <v>280000</v>
      </c>
      <c r="K4725" s="63">
        <f>(J4725/(F4725/11*10))</f>
        <v>0.13333333333333333</v>
      </c>
      <c r="L4725" s="983" t="s">
        <v>3230</v>
      </c>
      <c r="M4725" s="468"/>
      <c r="N4725" s="1192">
        <f t="shared" si="2320"/>
        <v>44571</v>
      </c>
      <c r="O4725" s="71" t="s">
        <v>2030</v>
      </c>
      <c r="P4725" s="164" t="str">
        <f t="shared" si="2316"/>
        <v>실리콘 에멀전</v>
      </c>
      <c r="Q4725" s="71">
        <f t="shared" si="2315"/>
        <v>20</v>
      </c>
      <c r="R4725" s="102">
        <v>91000</v>
      </c>
      <c r="S4725" s="102">
        <f t="shared" si="2313"/>
        <v>2002000.0000000002</v>
      </c>
      <c r="T4725" s="102">
        <f t="shared" si="2321"/>
        <v>1820000</v>
      </c>
      <c r="U4725" s="71" t="str">
        <f>IF(J4725=W4725,"O", "X")</f>
        <v>O</v>
      </c>
      <c r="V4725" s="71"/>
      <c r="W4725" s="474">
        <f>(G4725-T4725)</f>
        <v>280000</v>
      </c>
      <c r="X4725" s="71"/>
      <c r="Y4725" s="71"/>
    </row>
    <row r="4726" spans="1:25" ht="27.6" hidden="1" customHeight="1" x14ac:dyDescent="0.25">
      <c r="A4726" s="1145">
        <v>44572</v>
      </c>
      <c r="B4726" s="664" t="s">
        <v>567</v>
      </c>
      <c r="C4726" s="71" t="s">
        <v>1652</v>
      </c>
      <c r="D4726" s="71">
        <v>5</v>
      </c>
      <c r="E4726" s="102">
        <v>45000</v>
      </c>
      <c r="F4726" s="102">
        <f t="shared" si="2325"/>
        <v>247500.00000000003</v>
      </c>
      <c r="G4726" s="102">
        <f t="shared" si="2324"/>
        <v>225000</v>
      </c>
      <c r="H4726" s="690" t="s">
        <v>173</v>
      </c>
      <c r="I4726" s="71" t="s">
        <v>2231</v>
      </c>
      <c r="J4726" s="53">
        <f t="shared" si="2317"/>
        <v>25000</v>
      </c>
      <c r="K4726" s="63">
        <f>(J4726/(F4726/11*10))</f>
        <v>0.11111111111111109</v>
      </c>
      <c r="L4726" s="983" t="s">
        <v>3230</v>
      </c>
      <c r="M4726" s="468"/>
      <c r="N4726" s="1192">
        <f t="shared" si="2320"/>
        <v>44572</v>
      </c>
      <c r="O4726" s="71" t="s">
        <v>153</v>
      </c>
      <c r="P4726" s="164" t="str">
        <f t="shared" si="2316"/>
        <v>아스테이지(CD74용)</v>
      </c>
      <c r="Q4726" s="71">
        <f t="shared" si="2315"/>
        <v>5</v>
      </c>
      <c r="R4726" s="102">
        <v>40000</v>
      </c>
      <c r="S4726" s="102">
        <f t="shared" si="2313"/>
        <v>220000.00000000003</v>
      </c>
      <c r="T4726" s="102">
        <f t="shared" si="2321"/>
        <v>200000</v>
      </c>
      <c r="U4726" s="71" t="str">
        <f>IF(J4726=W4726,"O", "X")</f>
        <v>X</v>
      </c>
      <c r="V4726" s="71"/>
      <c r="W4726" s="474"/>
      <c r="X4726" s="71"/>
      <c r="Y4726" s="71"/>
    </row>
    <row r="4727" spans="1:25" ht="30" hidden="1" customHeight="1" x14ac:dyDescent="0.25">
      <c r="A4727" s="1145">
        <v>44575</v>
      </c>
      <c r="B4727" s="664" t="s">
        <v>548</v>
      </c>
      <c r="C4727" s="71" t="s">
        <v>2973</v>
      </c>
      <c r="D4727" s="71">
        <v>10</v>
      </c>
      <c r="E4727" s="102">
        <v>110000</v>
      </c>
      <c r="F4727" s="102">
        <f t="shared" si="2325"/>
        <v>1210000</v>
      </c>
      <c r="G4727" s="102">
        <f t="shared" si="2324"/>
        <v>1100000</v>
      </c>
      <c r="H4727" s="690" t="s">
        <v>173</v>
      </c>
      <c r="I4727" s="71" t="s">
        <v>2231</v>
      </c>
      <c r="J4727" s="53">
        <f t="shared" si="2317"/>
        <v>170000</v>
      </c>
      <c r="K4727" s="63">
        <v>0.13800000000000001</v>
      </c>
      <c r="L4727" s="983" t="s">
        <v>3230</v>
      </c>
      <c r="M4727" s="468"/>
      <c r="N4727" s="1192">
        <f t="shared" si="2320"/>
        <v>44575</v>
      </c>
      <c r="O4727" s="71" t="s">
        <v>147</v>
      </c>
      <c r="P4727" s="103" t="str">
        <f t="shared" si="2316"/>
        <v>1077*885 하이델 bar 블랑켓</v>
      </c>
      <c r="Q4727" s="71">
        <f t="shared" si="2315"/>
        <v>10</v>
      </c>
      <c r="R4727" s="102">
        <v>93000</v>
      </c>
      <c r="S4727" s="102">
        <f t="shared" ref="S4727:S4758" si="2326">R4727*Q4727*1.1</f>
        <v>1023000.0000000001</v>
      </c>
      <c r="T4727" s="102">
        <f t="shared" si="2321"/>
        <v>930000</v>
      </c>
      <c r="U4727" s="71"/>
      <c r="V4727" s="71"/>
      <c r="W4727" s="474"/>
      <c r="X4727" s="71"/>
      <c r="Y4727" s="71"/>
    </row>
    <row r="4728" spans="1:25" ht="30" hidden="1" customHeight="1" x14ac:dyDescent="0.25">
      <c r="A4728" s="1145">
        <v>44579</v>
      </c>
      <c r="B4728" s="664" t="s">
        <v>2155</v>
      </c>
      <c r="C4728" s="71" t="s">
        <v>277</v>
      </c>
      <c r="D4728" s="71">
        <v>10</v>
      </c>
      <c r="E4728" s="102">
        <v>172000</v>
      </c>
      <c r="F4728" s="102">
        <f t="shared" si="2325"/>
        <v>1892000.0000000002</v>
      </c>
      <c r="G4728" s="102">
        <f t="shared" si="2324"/>
        <v>1720000</v>
      </c>
      <c r="H4728" s="690" t="s">
        <v>173</v>
      </c>
      <c r="I4728" s="71" t="s">
        <v>108</v>
      </c>
      <c r="J4728" s="53">
        <f t="shared" si="2317"/>
        <v>570000</v>
      </c>
      <c r="K4728" s="63">
        <f>(J4728/(F4728/11*10))</f>
        <v>0.33139534883720928</v>
      </c>
      <c r="L4728" s="983" t="s">
        <v>3230</v>
      </c>
      <c r="M4728" s="468"/>
      <c r="N4728" s="1192">
        <f t="shared" si="2320"/>
        <v>44579</v>
      </c>
      <c r="O4728" s="71" t="s">
        <v>150</v>
      </c>
      <c r="P4728" s="164" t="str">
        <f t="shared" si="2316"/>
        <v>윤전용 세척제(Web 504)</v>
      </c>
      <c r="Q4728" s="71">
        <f t="shared" si="2315"/>
        <v>10</v>
      </c>
      <c r="R4728" s="102">
        <v>115000</v>
      </c>
      <c r="S4728" s="102">
        <f t="shared" si="2326"/>
        <v>1265000</v>
      </c>
      <c r="T4728" s="102">
        <f t="shared" si="2321"/>
        <v>1150000</v>
      </c>
      <c r="U4728" s="71" t="str">
        <f>IF(J4728=W4728,"O", "X")</f>
        <v>X</v>
      </c>
      <c r="V4728" s="71"/>
      <c r="W4728" s="474">
        <v>285000</v>
      </c>
      <c r="X4728" s="71"/>
      <c r="Y4728" s="71"/>
    </row>
    <row r="4729" spans="1:25" s="209" customFormat="1" ht="31.5" hidden="1" customHeight="1" x14ac:dyDescent="0.2">
      <c r="A4729" s="1145">
        <v>44579</v>
      </c>
      <c r="B4729" s="664" t="s">
        <v>2155</v>
      </c>
      <c r="C4729" s="71" t="s">
        <v>231</v>
      </c>
      <c r="D4729" s="71">
        <v>10</v>
      </c>
      <c r="E4729" s="102">
        <v>120000</v>
      </c>
      <c r="F4729" s="102">
        <f t="shared" si="2325"/>
        <v>1320000</v>
      </c>
      <c r="G4729" s="102">
        <f t="shared" si="2324"/>
        <v>1200000</v>
      </c>
      <c r="H4729" s="165" t="s">
        <v>172</v>
      </c>
      <c r="I4729" s="71" t="s">
        <v>109</v>
      </c>
      <c r="J4729" s="53">
        <f t="shared" si="2317"/>
        <v>80000</v>
      </c>
      <c r="K4729" s="63">
        <f>(J4729/(F4729/11*10))</f>
        <v>6.6666666666666666E-2</v>
      </c>
      <c r="L4729" s="983" t="s">
        <v>3230</v>
      </c>
      <c r="M4729" s="468"/>
      <c r="N4729" s="1192">
        <f t="shared" si="2320"/>
        <v>44579</v>
      </c>
      <c r="O4729" s="71" t="s">
        <v>151</v>
      </c>
      <c r="P4729" s="164" t="str">
        <f t="shared" si="2316"/>
        <v>Blanket(990*725)</v>
      </c>
      <c r="Q4729" s="71">
        <f t="shared" si="2315"/>
        <v>10</v>
      </c>
      <c r="R4729" s="102">
        <v>112000</v>
      </c>
      <c r="S4729" s="102">
        <f t="shared" si="2326"/>
        <v>1232000</v>
      </c>
      <c r="T4729" s="102">
        <f t="shared" si="2321"/>
        <v>1120000</v>
      </c>
      <c r="U4729" s="71" t="str">
        <f>IF(J4729=W4729,"O", "X")</f>
        <v>O</v>
      </c>
      <c r="V4729" s="71"/>
      <c r="W4729" s="474">
        <v>80000</v>
      </c>
      <c r="X4729" s="71"/>
      <c r="Y4729" s="71"/>
    </row>
    <row r="4730" spans="1:25" ht="30" hidden="1" customHeight="1" x14ac:dyDescent="0.25">
      <c r="A4730" s="1145">
        <v>44580</v>
      </c>
      <c r="B4730" s="664" t="s">
        <v>2103</v>
      </c>
      <c r="C4730" s="71" t="s">
        <v>3131</v>
      </c>
      <c r="D4730" s="71">
        <v>1</v>
      </c>
      <c r="E4730" s="102">
        <v>3635200</v>
      </c>
      <c r="F4730" s="102">
        <f t="shared" si="2325"/>
        <v>3998720.0000000005</v>
      </c>
      <c r="G4730" s="102">
        <f t="shared" si="2324"/>
        <v>3635200</v>
      </c>
      <c r="H4730" s="690" t="s">
        <v>173</v>
      </c>
      <c r="I4730" s="71" t="s">
        <v>2230</v>
      </c>
      <c r="J4730" s="53">
        <f t="shared" si="2317"/>
        <v>3635200</v>
      </c>
      <c r="K4730" s="63">
        <f>(J4730/(F4730/11*10))</f>
        <v>0.99999999999999989</v>
      </c>
      <c r="L4730" s="983" t="s">
        <v>3230</v>
      </c>
      <c r="M4730" s="468"/>
      <c r="N4730" s="1192">
        <f t="shared" si="2320"/>
        <v>44580</v>
      </c>
      <c r="O4730" s="71"/>
      <c r="P4730" s="103" t="str">
        <f t="shared" si="2316"/>
        <v>세흥인쇄 폐판</v>
      </c>
      <c r="Q4730" s="71">
        <f t="shared" si="2315"/>
        <v>1</v>
      </c>
      <c r="R4730" s="102"/>
      <c r="S4730" s="102">
        <f t="shared" si="2326"/>
        <v>0</v>
      </c>
      <c r="T4730" s="102">
        <f t="shared" si="2321"/>
        <v>0</v>
      </c>
      <c r="U4730" s="71"/>
      <c r="V4730" s="71"/>
      <c r="W4730" s="474"/>
      <c r="X4730" s="71"/>
      <c r="Y4730" s="71"/>
    </row>
    <row r="4731" spans="1:25" ht="30" hidden="1" customHeight="1" x14ac:dyDescent="0.25">
      <c r="A4731" s="1145">
        <v>44582</v>
      </c>
      <c r="B4731" s="664" t="s">
        <v>690</v>
      </c>
      <c r="C4731" s="71" t="s">
        <v>1186</v>
      </c>
      <c r="D4731" s="71">
        <v>1500</v>
      </c>
      <c r="E4731" s="102">
        <v>3860</v>
      </c>
      <c r="F4731" s="102">
        <f t="shared" si="2325"/>
        <v>6369000.0000000009</v>
      </c>
      <c r="G4731" s="102">
        <f t="shared" si="2324"/>
        <v>5790000</v>
      </c>
      <c r="H4731" s="690" t="s">
        <v>173</v>
      </c>
      <c r="I4731" s="71" t="s">
        <v>2230</v>
      </c>
      <c r="J4731" s="53">
        <f t="shared" si="2317"/>
        <v>525000</v>
      </c>
      <c r="K4731" s="63">
        <f t="shared" ref="K4731:K4738" si="2327">(J4731/(F4731/11*10))</f>
        <v>9.0673575129533668E-2</v>
      </c>
      <c r="L4731" s="983" t="s">
        <v>3230</v>
      </c>
      <c r="M4731" s="468" t="s">
        <v>3078</v>
      </c>
      <c r="N4731" s="1192">
        <f t="shared" si="2320"/>
        <v>44582</v>
      </c>
      <c r="O4731" s="71" t="s">
        <v>145</v>
      </c>
      <c r="P4731" s="164" t="str">
        <f t="shared" si="2316"/>
        <v>CTP 판(1030*790mm)</v>
      </c>
      <c r="Q4731" s="71">
        <f t="shared" si="2315"/>
        <v>1500</v>
      </c>
      <c r="R4731" s="102">
        <v>3510</v>
      </c>
      <c r="S4731" s="102">
        <f t="shared" si="2326"/>
        <v>5791500.0000000009</v>
      </c>
      <c r="T4731" s="102">
        <f t="shared" si="2321"/>
        <v>5265000</v>
      </c>
      <c r="U4731" s="71" t="str">
        <f>IF(J4731=W4731,"O", "X")</f>
        <v>X</v>
      </c>
      <c r="V4731" s="71"/>
      <c r="W4731" s="474">
        <v>-200000</v>
      </c>
      <c r="X4731" s="71"/>
      <c r="Y4731" s="71"/>
    </row>
    <row r="4732" spans="1:25" ht="30" hidden="1" customHeight="1" x14ac:dyDescent="0.25">
      <c r="A4732" s="1145">
        <v>44582</v>
      </c>
      <c r="B4732" s="664" t="s">
        <v>690</v>
      </c>
      <c r="C4732" s="71" t="s">
        <v>752</v>
      </c>
      <c r="D4732" s="71">
        <v>1</v>
      </c>
      <c r="E4732" s="102">
        <v>89000</v>
      </c>
      <c r="F4732" s="102">
        <f t="shared" si="2325"/>
        <v>97900.000000000015</v>
      </c>
      <c r="G4732" s="102">
        <f t="shared" si="2324"/>
        <v>89000</v>
      </c>
      <c r="H4732" s="690" t="s">
        <v>173</v>
      </c>
      <c r="I4732" s="71" t="s">
        <v>2230</v>
      </c>
      <c r="J4732" s="53">
        <f t="shared" si="2317"/>
        <v>17500</v>
      </c>
      <c r="K4732" s="63">
        <f t="shared" si="2327"/>
        <v>0.19662921348314605</v>
      </c>
      <c r="L4732" s="983" t="s">
        <v>3230</v>
      </c>
      <c r="M4732" s="468"/>
      <c r="N4732" s="1192">
        <f t="shared" si="2320"/>
        <v>44582</v>
      </c>
      <c r="O4732" s="71" t="s">
        <v>145</v>
      </c>
      <c r="P4732" s="164" t="str">
        <f t="shared" si="2316"/>
        <v>RC795(20L)</v>
      </c>
      <c r="Q4732" s="71">
        <f t="shared" si="2315"/>
        <v>1</v>
      </c>
      <c r="R4732" s="102">
        <v>71500</v>
      </c>
      <c r="S4732" s="102">
        <f t="shared" si="2326"/>
        <v>78650</v>
      </c>
      <c r="T4732" s="102">
        <f t="shared" si="2321"/>
        <v>71500</v>
      </c>
      <c r="U4732" s="71" t="str">
        <f>IF(J4732=W4732,"O", "X")</f>
        <v>O</v>
      </c>
      <c r="V4732" s="71"/>
      <c r="W4732" s="474">
        <f>(G4732-T4732)</f>
        <v>17500</v>
      </c>
      <c r="X4732" s="71"/>
      <c r="Y4732" s="71"/>
    </row>
    <row r="4733" spans="1:25" ht="30" hidden="1" customHeight="1" x14ac:dyDescent="0.25">
      <c r="A4733" s="1145">
        <v>44582</v>
      </c>
      <c r="B4733" s="664" t="s">
        <v>690</v>
      </c>
      <c r="C4733" s="71" t="s">
        <v>750</v>
      </c>
      <c r="D4733" s="71">
        <v>2</v>
      </c>
      <c r="E4733" s="102">
        <v>52000</v>
      </c>
      <c r="F4733" s="102">
        <f t="shared" si="2325"/>
        <v>114400.00000000001</v>
      </c>
      <c r="G4733" s="102">
        <f t="shared" si="2324"/>
        <v>104000</v>
      </c>
      <c r="H4733" s="690" t="s">
        <v>173</v>
      </c>
      <c r="I4733" s="71" t="s">
        <v>2230</v>
      </c>
      <c r="J4733" s="53">
        <f t="shared" si="2317"/>
        <v>23500</v>
      </c>
      <c r="K4733" s="63">
        <f t="shared" si="2327"/>
        <v>0.22596153846153844</v>
      </c>
      <c r="L4733" s="983" t="s">
        <v>3230</v>
      </c>
      <c r="M4733" s="468" t="s">
        <v>1394</v>
      </c>
      <c r="N4733" s="1192">
        <f t="shared" si="2320"/>
        <v>44582</v>
      </c>
      <c r="O4733" s="71" t="s">
        <v>145</v>
      </c>
      <c r="P4733" s="103" t="str">
        <f t="shared" si="2316"/>
        <v>THD200(20L)</v>
      </c>
      <c r="Q4733" s="71">
        <f t="shared" si="2315"/>
        <v>2</v>
      </c>
      <c r="R4733" s="102">
        <v>40250</v>
      </c>
      <c r="S4733" s="102">
        <f t="shared" si="2326"/>
        <v>88550</v>
      </c>
      <c r="T4733" s="102">
        <f t="shared" si="2321"/>
        <v>80500</v>
      </c>
      <c r="U4733" s="71" t="str">
        <f>IF(J4733=W4733,"O", "X")</f>
        <v>O</v>
      </c>
      <c r="V4733" s="71"/>
      <c r="W4733" s="474">
        <f>(G4733-T4733)</f>
        <v>23500</v>
      </c>
      <c r="X4733" s="71"/>
      <c r="Y4733" s="71"/>
    </row>
    <row r="4734" spans="1:25" ht="30" hidden="1" customHeight="1" x14ac:dyDescent="0.25">
      <c r="A4734" s="1145">
        <v>44582</v>
      </c>
      <c r="B4734" s="664" t="s">
        <v>442</v>
      </c>
      <c r="C4734" s="71" t="s">
        <v>206</v>
      </c>
      <c r="D4734" s="71">
        <v>7</v>
      </c>
      <c r="E4734" s="102">
        <v>366500</v>
      </c>
      <c r="F4734" s="102">
        <f t="shared" si="2325"/>
        <v>2822050</v>
      </c>
      <c r="G4734" s="102">
        <f t="shared" si="2324"/>
        <v>2565500</v>
      </c>
      <c r="H4734" s="690" t="s">
        <v>2029</v>
      </c>
      <c r="I4734" s="71" t="s">
        <v>195</v>
      </c>
      <c r="J4734" s="53">
        <f t="shared" si="2317"/>
        <v>525980</v>
      </c>
      <c r="K4734" s="63">
        <f t="shared" si="2327"/>
        <v>0.20502046384720327</v>
      </c>
      <c r="L4734" s="983" t="s">
        <v>3230</v>
      </c>
      <c r="M4734" s="468"/>
      <c r="N4734" s="1192">
        <f t="shared" si="2320"/>
        <v>44582</v>
      </c>
      <c r="O4734" s="71" t="s">
        <v>194</v>
      </c>
      <c r="P4734" s="164" t="str">
        <f t="shared" si="2316"/>
        <v>Agfa Film(24inch)</v>
      </c>
      <c r="Q4734" s="71">
        <f t="shared" si="2315"/>
        <v>7</v>
      </c>
      <c r="R4734" s="102">
        <v>291360</v>
      </c>
      <c r="S4734" s="102">
        <f t="shared" si="2326"/>
        <v>2243472</v>
      </c>
      <c r="T4734" s="102">
        <f t="shared" si="2321"/>
        <v>2039520</v>
      </c>
      <c r="U4734" s="71" t="str">
        <f>IF(J4734=W4734,"O", "X")</f>
        <v>O</v>
      </c>
      <c r="V4734" s="71"/>
      <c r="W4734" s="474">
        <f>(G4734-T4734)</f>
        <v>525980</v>
      </c>
      <c r="X4734" s="71"/>
      <c r="Y4734" s="71"/>
    </row>
    <row r="4735" spans="1:25" ht="30" hidden="1" customHeight="1" x14ac:dyDescent="0.25">
      <c r="A4735" s="1145">
        <v>44582</v>
      </c>
      <c r="B4735" s="664" t="s">
        <v>442</v>
      </c>
      <c r="C4735" s="71" t="s">
        <v>208</v>
      </c>
      <c r="D4735" s="71">
        <v>2</v>
      </c>
      <c r="E4735" s="102">
        <v>505000</v>
      </c>
      <c r="F4735" s="102">
        <f t="shared" si="2325"/>
        <v>1111000</v>
      </c>
      <c r="G4735" s="102">
        <f t="shared" si="2324"/>
        <v>1010000</v>
      </c>
      <c r="H4735" s="690" t="s">
        <v>2029</v>
      </c>
      <c r="I4735" s="71" t="s">
        <v>195</v>
      </c>
      <c r="J4735" s="53">
        <f t="shared" si="2317"/>
        <v>209300</v>
      </c>
      <c r="K4735" s="63">
        <f t="shared" si="2327"/>
        <v>0.20722772277227722</v>
      </c>
      <c r="L4735" s="983" t="s">
        <v>3230</v>
      </c>
      <c r="M4735" s="468"/>
      <c r="N4735" s="1192">
        <f t="shared" si="2320"/>
        <v>44582</v>
      </c>
      <c r="O4735" s="71" t="s">
        <v>194</v>
      </c>
      <c r="P4735" s="164" t="str">
        <f t="shared" si="2316"/>
        <v>Agfa Film(32inch)</v>
      </c>
      <c r="Q4735" s="71">
        <f t="shared" si="2315"/>
        <v>2</v>
      </c>
      <c r="R4735" s="102">
        <v>400350</v>
      </c>
      <c r="S4735" s="102">
        <f t="shared" si="2326"/>
        <v>880770.00000000012</v>
      </c>
      <c r="T4735" s="102">
        <f t="shared" si="2321"/>
        <v>800700</v>
      </c>
      <c r="U4735" s="71" t="str">
        <f>IF(J4735=W4735,"O", "X")</f>
        <v>O</v>
      </c>
      <c r="V4735" s="71"/>
      <c r="W4735" s="474">
        <f>(G4735-T4735)</f>
        <v>209300</v>
      </c>
      <c r="X4735" s="71"/>
      <c r="Y4735" s="71"/>
    </row>
    <row r="4736" spans="1:25" ht="30" hidden="1" customHeight="1" x14ac:dyDescent="0.25">
      <c r="A4736" s="1145">
        <v>44583</v>
      </c>
      <c r="B4736" s="664" t="s">
        <v>545</v>
      </c>
      <c r="C4736" s="71" t="s">
        <v>3195</v>
      </c>
      <c r="D4736" s="71">
        <v>10</v>
      </c>
      <c r="E4736" s="102">
        <v>175000</v>
      </c>
      <c r="F4736" s="102">
        <f t="shared" si="2325"/>
        <v>1925000.0000000002</v>
      </c>
      <c r="G4736" s="102">
        <f t="shared" si="2324"/>
        <v>1750000</v>
      </c>
      <c r="H4736" s="690" t="s">
        <v>173</v>
      </c>
      <c r="I4736" s="71" t="s">
        <v>108</v>
      </c>
      <c r="J4736" s="53">
        <f t="shared" si="2317"/>
        <v>450000</v>
      </c>
      <c r="K4736" s="63">
        <f t="shared" si="2327"/>
        <v>0.25714285714285712</v>
      </c>
      <c r="L4736" s="983" t="s">
        <v>3230</v>
      </c>
      <c r="M4736" s="468"/>
      <c r="N4736" s="1192">
        <f t="shared" si="2320"/>
        <v>44583</v>
      </c>
      <c r="O4736" s="71" t="s">
        <v>148</v>
      </c>
      <c r="P4736" s="103" t="str">
        <f t="shared" si="2316"/>
        <v>UV wash offset UV</v>
      </c>
      <c r="Q4736" s="71">
        <f t="shared" si="2315"/>
        <v>10</v>
      </c>
      <c r="R4736" s="102">
        <v>130000</v>
      </c>
      <c r="S4736" s="102">
        <f t="shared" si="2326"/>
        <v>1430000</v>
      </c>
      <c r="T4736" s="102">
        <f t="shared" si="2321"/>
        <v>1300000</v>
      </c>
      <c r="U4736" s="71"/>
      <c r="V4736" s="71"/>
      <c r="W4736" s="474"/>
      <c r="X4736" s="71"/>
      <c r="Y4736" s="71"/>
    </row>
    <row r="4737" spans="1:25" ht="30" hidden="1" customHeight="1" x14ac:dyDescent="0.25">
      <c r="A4737" s="1145">
        <v>44585</v>
      </c>
      <c r="B4737" s="664" t="s">
        <v>446</v>
      </c>
      <c r="C4737" s="71" t="s">
        <v>2028</v>
      </c>
      <c r="D4737" s="71">
        <v>20</v>
      </c>
      <c r="E4737" s="102">
        <v>105000</v>
      </c>
      <c r="F4737" s="102">
        <f t="shared" si="2325"/>
        <v>2310000</v>
      </c>
      <c r="G4737" s="102">
        <f t="shared" si="2324"/>
        <v>2100000</v>
      </c>
      <c r="H4737" s="690" t="s">
        <v>2029</v>
      </c>
      <c r="I4737" s="71" t="s">
        <v>2231</v>
      </c>
      <c r="J4737" s="53">
        <f t="shared" si="2317"/>
        <v>280000</v>
      </c>
      <c r="K4737" s="63">
        <f t="shared" si="2327"/>
        <v>0.13333333333333333</v>
      </c>
      <c r="L4737" s="983" t="s">
        <v>3230</v>
      </c>
      <c r="M4737" s="468"/>
      <c r="N4737" s="1192">
        <f t="shared" si="2320"/>
        <v>44585</v>
      </c>
      <c r="O4737" s="71" t="s">
        <v>2030</v>
      </c>
      <c r="P4737" s="164" t="str">
        <f t="shared" si="2316"/>
        <v>실리콘 에멀전</v>
      </c>
      <c r="Q4737" s="71">
        <f t="shared" si="2315"/>
        <v>20</v>
      </c>
      <c r="R4737" s="102">
        <v>91000</v>
      </c>
      <c r="S4737" s="102">
        <f t="shared" si="2326"/>
        <v>2002000.0000000002</v>
      </c>
      <c r="T4737" s="102">
        <f t="shared" ref="T4737:T4768" si="2328">R4737*Q4737</f>
        <v>1820000</v>
      </c>
      <c r="U4737" s="71" t="str">
        <f>IF(J4737=W4737,"O", "X")</f>
        <v>O</v>
      </c>
      <c r="V4737" s="71"/>
      <c r="W4737" s="474">
        <f>(G4737-T4737)</f>
        <v>280000</v>
      </c>
      <c r="X4737" s="71"/>
      <c r="Y4737" s="71"/>
    </row>
    <row r="4738" spans="1:25" ht="30" hidden="1" customHeight="1" x14ac:dyDescent="0.25">
      <c r="A4738" s="1145">
        <v>44586</v>
      </c>
      <c r="B4738" s="664" t="s">
        <v>809</v>
      </c>
      <c r="C4738" s="71" t="s">
        <v>1081</v>
      </c>
      <c r="D4738" s="71">
        <v>10</v>
      </c>
      <c r="E4738" s="102">
        <v>78000</v>
      </c>
      <c r="F4738" s="102">
        <f t="shared" si="2325"/>
        <v>858000.00000000012</v>
      </c>
      <c r="G4738" s="102">
        <f t="shared" si="2324"/>
        <v>780000</v>
      </c>
      <c r="H4738" s="690" t="s">
        <v>173</v>
      </c>
      <c r="I4738" s="71" t="s">
        <v>2231</v>
      </c>
      <c r="J4738" s="53">
        <f t="shared" si="2317"/>
        <v>180000</v>
      </c>
      <c r="K4738" s="63">
        <f t="shared" si="2327"/>
        <v>0.23076923076923073</v>
      </c>
      <c r="L4738" s="983" t="s">
        <v>3230</v>
      </c>
      <c r="M4738" s="468" t="s">
        <v>3081</v>
      </c>
      <c r="N4738" s="1192">
        <f t="shared" si="2320"/>
        <v>44586</v>
      </c>
      <c r="O4738" s="71" t="s">
        <v>147</v>
      </c>
      <c r="P4738" s="164" t="str">
        <f t="shared" si="2316"/>
        <v>파우더</v>
      </c>
      <c r="Q4738" s="71">
        <f t="shared" si="2315"/>
        <v>10</v>
      </c>
      <c r="R4738" s="102">
        <v>60000</v>
      </c>
      <c r="S4738" s="102">
        <f t="shared" si="2326"/>
        <v>660000</v>
      </c>
      <c r="T4738" s="102">
        <f t="shared" si="2328"/>
        <v>600000</v>
      </c>
      <c r="U4738" s="71" t="str">
        <f>IF(J4738=W4738,"O", "X")</f>
        <v>O</v>
      </c>
      <c r="V4738" s="71"/>
      <c r="W4738" s="474">
        <f>(G4738-T4738)</f>
        <v>180000</v>
      </c>
      <c r="X4738" s="71"/>
      <c r="Y4738" s="71"/>
    </row>
    <row r="4739" spans="1:25" ht="30" hidden="1" customHeight="1" x14ac:dyDescent="0.25">
      <c r="A4739" s="1145">
        <v>44586</v>
      </c>
      <c r="B4739" s="664" t="s">
        <v>548</v>
      </c>
      <c r="C4739" s="71" t="s">
        <v>2973</v>
      </c>
      <c r="D4739" s="71">
        <v>10</v>
      </c>
      <c r="E4739" s="102">
        <v>110000</v>
      </c>
      <c r="F4739" s="102">
        <f t="shared" si="2325"/>
        <v>1210000</v>
      </c>
      <c r="G4739" s="102">
        <f t="shared" si="2324"/>
        <v>1100000</v>
      </c>
      <c r="H4739" s="690" t="s">
        <v>173</v>
      </c>
      <c r="I4739" s="71" t="s">
        <v>2231</v>
      </c>
      <c r="J4739" s="53">
        <f t="shared" si="2317"/>
        <v>170000</v>
      </c>
      <c r="K4739" s="63">
        <v>0.13800000000000001</v>
      </c>
      <c r="L4739" s="983" t="s">
        <v>3230</v>
      </c>
      <c r="M4739" s="468"/>
      <c r="N4739" s="1192">
        <f t="shared" si="2320"/>
        <v>44586</v>
      </c>
      <c r="O4739" s="71" t="s">
        <v>147</v>
      </c>
      <c r="P4739" s="103" t="str">
        <f t="shared" si="2316"/>
        <v>1077*885 하이델 bar 블랑켓</v>
      </c>
      <c r="Q4739" s="71">
        <f t="shared" si="2315"/>
        <v>10</v>
      </c>
      <c r="R4739" s="102">
        <v>93000</v>
      </c>
      <c r="S4739" s="102">
        <f t="shared" si="2326"/>
        <v>1023000.0000000001</v>
      </c>
      <c r="T4739" s="102">
        <f t="shared" si="2328"/>
        <v>930000</v>
      </c>
      <c r="U4739" s="71"/>
      <c r="V4739" s="71"/>
      <c r="W4739" s="474"/>
      <c r="X4739" s="71"/>
      <c r="Y4739" s="71"/>
    </row>
    <row r="4740" spans="1:25" ht="30" hidden="1" customHeight="1" x14ac:dyDescent="0.2">
      <c r="A4740" s="1145">
        <v>44586</v>
      </c>
      <c r="B4740" s="664" t="s">
        <v>548</v>
      </c>
      <c r="C4740" s="71" t="s">
        <v>107</v>
      </c>
      <c r="D4740" s="71">
        <v>10</v>
      </c>
      <c r="E4740" s="102">
        <v>100000</v>
      </c>
      <c r="F4740" s="102">
        <f t="shared" si="2325"/>
        <v>1100000</v>
      </c>
      <c r="G4740" s="102">
        <f t="shared" si="2324"/>
        <v>1000000</v>
      </c>
      <c r="H4740" s="165" t="s">
        <v>172</v>
      </c>
      <c r="I4740" s="71" t="s">
        <v>109</v>
      </c>
      <c r="J4740" s="53">
        <f t="shared" si="2317"/>
        <v>132000</v>
      </c>
      <c r="K4740" s="63">
        <v>0.10555555555555554</v>
      </c>
      <c r="L4740" s="983" t="s">
        <v>3230</v>
      </c>
      <c r="M4740" s="468"/>
      <c r="N4740" s="1192">
        <f t="shared" si="2320"/>
        <v>44586</v>
      </c>
      <c r="O4740" s="71" t="s">
        <v>147</v>
      </c>
      <c r="P4740" s="164" t="str">
        <f t="shared" si="2316"/>
        <v>Blanket(1050*840)</v>
      </c>
      <c r="Q4740" s="71">
        <f t="shared" si="2315"/>
        <v>10</v>
      </c>
      <c r="R4740" s="102">
        <v>86800</v>
      </c>
      <c r="S4740" s="102">
        <f t="shared" si="2326"/>
        <v>954800.00000000012</v>
      </c>
      <c r="T4740" s="102">
        <f t="shared" si="2328"/>
        <v>868000</v>
      </c>
      <c r="U4740" s="71" t="s">
        <v>859</v>
      </c>
      <c r="V4740" s="71"/>
      <c r="W4740" s="474">
        <v>95000</v>
      </c>
      <c r="X4740" s="71"/>
      <c r="Y4740" s="71"/>
    </row>
    <row r="4741" spans="1:25" ht="30" hidden="1" customHeight="1" x14ac:dyDescent="0.2">
      <c r="A4741" s="1145">
        <v>44586</v>
      </c>
      <c r="B4741" s="664" t="s">
        <v>2353</v>
      </c>
      <c r="C4741" s="71" t="s">
        <v>129</v>
      </c>
      <c r="D4741" s="71">
        <v>7</v>
      </c>
      <c r="E4741" s="102">
        <v>272000</v>
      </c>
      <c r="F4741" s="102">
        <v>2094400.0000000002</v>
      </c>
      <c r="G4741" s="102">
        <v>1904000</v>
      </c>
      <c r="H4741" s="165" t="s">
        <v>142</v>
      </c>
      <c r="I4741" s="71" t="s">
        <v>142</v>
      </c>
      <c r="J4741" s="53">
        <v>414400</v>
      </c>
      <c r="K4741" s="63">
        <v>0.21764705882352939</v>
      </c>
      <c r="L4741" s="983" t="s">
        <v>3230</v>
      </c>
      <c r="M4741" s="468" t="s">
        <v>2050</v>
      </c>
      <c r="N4741" s="1192">
        <v>44538</v>
      </c>
      <c r="O4741" s="71" t="s">
        <v>149</v>
      </c>
      <c r="P4741" s="164" t="str">
        <f t="shared" si="2316"/>
        <v>세정포-XL106</v>
      </c>
      <c r="Q4741" s="71">
        <f t="shared" si="2315"/>
        <v>7</v>
      </c>
      <c r="R4741" s="102">
        <v>212800</v>
      </c>
      <c r="S4741" s="102">
        <f t="shared" si="2326"/>
        <v>1638560.0000000002</v>
      </c>
      <c r="T4741" s="102">
        <f t="shared" si="2328"/>
        <v>1489600</v>
      </c>
      <c r="U4741" s="71" t="s">
        <v>859</v>
      </c>
      <c r="V4741" s="71"/>
      <c r="W4741" s="474">
        <v>414400</v>
      </c>
      <c r="X4741" s="71"/>
      <c r="Y4741" s="71"/>
    </row>
    <row r="4742" spans="1:25" ht="30" hidden="1" customHeight="1" x14ac:dyDescent="0.2">
      <c r="A4742" s="1145">
        <v>44586</v>
      </c>
      <c r="B4742" s="664" t="s">
        <v>2353</v>
      </c>
      <c r="C4742" s="71" t="s">
        <v>584</v>
      </c>
      <c r="D4742" s="71">
        <v>3</v>
      </c>
      <c r="E4742" s="102">
        <v>270000</v>
      </c>
      <c r="F4742" s="102">
        <f>(E4742*D4742)*1.1</f>
        <v>891000.00000000012</v>
      </c>
      <c r="G4742" s="102">
        <f>(E4742*D4742)</f>
        <v>810000</v>
      </c>
      <c r="H4742" s="165" t="s">
        <v>142</v>
      </c>
      <c r="I4742" s="71" t="s">
        <v>142</v>
      </c>
      <c r="J4742" s="53">
        <f t="shared" ref="J4742:J4768" si="2329">G4742-T4742</f>
        <v>162000</v>
      </c>
      <c r="K4742" s="63">
        <f>(J4742/(F4742/11*10))</f>
        <v>0.19999999999999998</v>
      </c>
      <c r="L4742" s="983" t="s">
        <v>3230</v>
      </c>
      <c r="M4742" s="468"/>
      <c r="N4742" s="1192">
        <f>A4742</f>
        <v>44586</v>
      </c>
      <c r="O4742" s="71" t="s">
        <v>150</v>
      </c>
      <c r="P4742" s="103" t="str">
        <f t="shared" si="2316"/>
        <v>데리바리 석션벨트</v>
      </c>
      <c r="Q4742" s="71">
        <f t="shared" si="2315"/>
        <v>3</v>
      </c>
      <c r="R4742" s="102">
        <v>216000</v>
      </c>
      <c r="S4742" s="102">
        <f t="shared" si="2326"/>
        <v>712800</v>
      </c>
      <c r="T4742" s="102">
        <f t="shared" si="2328"/>
        <v>648000</v>
      </c>
      <c r="U4742" s="71" t="str">
        <f t="shared" ref="U4742:U4765" si="2330">IF(J4742=W4742,"O", "X")</f>
        <v>O</v>
      </c>
      <c r="V4742" s="71"/>
      <c r="W4742" s="474">
        <f t="shared" ref="W4742:W4759" si="2331">(G4742-T4742)</f>
        <v>162000</v>
      </c>
      <c r="X4742" s="71"/>
      <c r="Y4742" s="71"/>
    </row>
    <row r="4743" spans="1:25" ht="30" hidden="1" customHeight="1" x14ac:dyDescent="0.25">
      <c r="A4743" s="1145">
        <v>44586</v>
      </c>
      <c r="B4743" s="664" t="s">
        <v>1051</v>
      </c>
      <c r="C4743" s="71" t="s">
        <v>1294</v>
      </c>
      <c r="D4743" s="71">
        <v>300</v>
      </c>
      <c r="E4743" s="102">
        <v>5910</v>
      </c>
      <c r="F4743" s="102">
        <f t="shared" ref="F4743:F4765" si="2332">(E4743*D4743)*1.1</f>
        <v>1950300.0000000002</v>
      </c>
      <c r="G4743" s="102">
        <f t="shared" ref="G4743:G4765" si="2333">(E4743*D4743)</f>
        <v>1773000</v>
      </c>
      <c r="H4743" s="690" t="s">
        <v>142</v>
      </c>
      <c r="I4743" s="71" t="s">
        <v>2273</v>
      </c>
      <c r="J4743" s="53">
        <f t="shared" si="2329"/>
        <v>594000</v>
      </c>
      <c r="K4743" s="63">
        <f t="shared" ref="K4743:K4762" si="2334">(J4743/(F4743/11*10))</f>
        <v>0.33502538071065985</v>
      </c>
      <c r="L4743" s="983" t="s">
        <v>3230</v>
      </c>
      <c r="M4743" s="468"/>
      <c r="N4743" s="1192">
        <f t="shared" ref="N4743:N4759" si="2335">A4743</f>
        <v>44586</v>
      </c>
      <c r="O4743" s="71" t="s">
        <v>145</v>
      </c>
      <c r="P4743" s="164" t="str">
        <f t="shared" si="2316"/>
        <v>ENGAGE 1030*790</v>
      </c>
      <c r="Q4743" s="71">
        <f t="shared" si="2315"/>
        <v>300</v>
      </c>
      <c r="R4743" s="102">
        <v>3930</v>
      </c>
      <c r="S4743" s="102">
        <f t="shared" si="2326"/>
        <v>1296900</v>
      </c>
      <c r="T4743" s="102">
        <f t="shared" si="2328"/>
        <v>1179000</v>
      </c>
      <c r="U4743" s="71" t="str">
        <f t="shared" si="2330"/>
        <v>O</v>
      </c>
      <c r="V4743" s="71"/>
      <c r="W4743" s="474">
        <f t="shared" si="2331"/>
        <v>594000</v>
      </c>
      <c r="X4743" s="71"/>
      <c r="Y4743" s="71"/>
    </row>
    <row r="4744" spans="1:25" ht="30" hidden="1" customHeight="1" x14ac:dyDescent="0.25">
      <c r="A4744" s="1145">
        <v>44586</v>
      </c>
      <c r="B4744" s="664" t="s">
        <v>1051</v>
      </c>
      <c r="C4744" s="71" t="s">
        <v>1384</v>
      </c>
      <c r="D4744" s="71">
        <v>1100</v>
      </c>
      <c r="E4744" s="102">
        <v>3720</v>
      </c>
      <c r="F4744" s="102">
        <f t="shared" si="2332"/>
        <v>4501200</v>
      </c>
      <c r="G4744" s="102">
        <f t="shared" si="2333"/>
        <v>4092000</v>
      </c>
      <c r="H4744" s="690" t="s">
        <v>142</v>
      </c>
      <c r="I4744" s="71" t="s">
        <v>2273</v>
      </c>
      <c r="J4744" s="53">
        <f t="shared" si="2329"/>
        <v>1364000</v>
      </c>
      <c r="K4744" s="63">
        <f t="shared" si="2334"/>
        <v>0.33333333333333331</v>
      </c>
      <c r="L4744" s="983" t="s">
        <v>3230</v>
      </c>
      <c r="M4744" s="468"/>
      <c r="N4744" s="1192">
        <f t="shared" si="2335"/>
        <v>44586</v>
      </c>
      <c r="O4744" s="71" t="s">
        <v>145</v>
      </c>
      <c r="P4744" s="164" t="str">
        <f t="shared" si="2316"/>
        <v>ENGAGE 900X571 - 27RO</v>
      </c>
      <c r="Q4744" s="71">
        <f t="shared" si="2315"/>
        <v>1100</v>
      </c>
      <c r="R4744" s="102">
        <v>2480</v>
      </c>
      <c r="S4744" s="102">
        <f t="shared" si="2326"/>
        <v>3000800.0000000005</v>
      </c>
      <c r="T4744" s="102">
        <f t="shared" si="2328"/>
        <v>2728000</v>
      </c>
      <c r="U4744" s="71" t="str">
        <f t="shared" si="2330"/>
        <v>O</v>
      </c>
      <c r="V4744" s="71"/>
      <c r="W4744" s="474">
        <f t="shared" si="2331"/>
        <v>1364000</v>
      </c>
      <c r="X4744" s="71"/>
      <c r="Y4744" s="71"/>
    </row>
    <row r="4745" spans="1:25" ht="30" hidden="1" customHeight="1" x14ac:dyDescent="0.25">
      <c r="A4745" s="1145">
        <v>44586</v>
      </c>
      <c r="B4745" s="664" t="s">
        <v>1051</v>
      </c>
      <c r="C4745" s="71" t="s">
        <v>951</v>
      </c>
      <c r="D4745" s="71">
        <v>3200</v>
      </c>
      <c r="E4745" s="102">
        <v>3540</v>
      </c>
      <c r="F4745" s="102">
        <f t="shared" si="2332"/>
        <v>12460800.000000002</v>
      </c>
      <c r="G4745" s="102">
        <f t="shared" si="2333"/>
        <v>11328000</v>
      </c>
      <c r="H4745" s="690" t="s">
        <v>142</v>
      </c>
      <c r="I4745" s="71" t="s">
        <v>2273</v>
      </c>
      <c r="J4745" s="53">
        <f t="shared" si="2329"/>
        <v>3808000</v>
      </c>
      <c r="K4745" s="63">
        <f t="shared" si="2334"/>
        <v>0.33615819209039544</v>
      </c>
      <c r="L4745" s="983" t="s">
        <v>3230</v>
      </c>
      <c r="M4745" s="468"/>
      <c r="N4745" s="1192">
        <f t="shared" si="2335"/>
        <v>44586</v>
      </c>
      <c r="O4745" s="71" t="s">
        <v>145</v>
      </c>
      <c r="P4745" s="103" t="str">
        <f t="shared" si="2316"/>
        <v>ENGAGE 30WEB(883*552)</v>
      </c>
      <c r="Q4745" s="71">
        <f t="shared" si="2315"/>
        <v>3200</v>
      </c>
      <c r="R4745" s="102">
        <v>2350</v>
      </c>
      <c r="S4745" s="102">
        <f t="shared" si="2326"/>
        <v>8272000.0000000009</v>
      </c>
      <c r="T4745" s="102">
        <f t="shared" si="2328"/>
        <v>7520000</v>
      </c>
      <c r="U4745" s="71" t="str">
        <f t="shared" si="2330"/>
        <v>O</v>
      </c>
      <c r="V4745" s="71"/>
      <c r="W4745" s="474">
        <f t="shared" si="2331"/>
        <v>3808000</v>
      </c>
      <c r="X4745" s="71"/>
      <c r="Y4745" s="71"/>
    </row>
    <row r="4746" spans="1:25" ht="30" hidden="1" customHeight="1" x14ac:dyDescent="0.25">
      <c r="A4746" s="1145">
        <v>44586</v>
      </c>
      <c r="B4746" s="664" t="s">
        <v>1051</v>
      </c>
      <c r="C4746" s="71" t="s">
        <v>2219</v>
      </c>
      <c r="D4746" s="71">
        <v>2200</v>
      </c>
      <c r="E4746" s="102">
        <v>5980</v>
      </c>
      <c r="F4746" s="102">
        <f t="shared" si="2332"/>
        <v>14471600.000000002</v>
      </c>
      <c r="G4746" s="102">
        <f t="shared" si="2333"/>
        <v>13156000</v>
      </c>
      <c r="H4746" s="690" t="s">
        <v>142</v>
      </c>
      <c r="I4746" s="71" t="s">
        <v>2273</v>
      </c>
      <c r="J4746" s="53">
        <f t="shared" si="2329"/>
        <v>4400000</v>
      </c>
      <c r="K4746" s="63">
        <f t="shared" si="2334"/>
        <v>0.334448160535117</v>
      </c>
      <c r="L4746" s="983" t="s">
        <v>3230</v>
      </c>
      <c r="M4746" s="468"/>
      <c r="N4746" s="1192">
        <f t="shared" si="2335"/>
        <v>44586</v>
      </c>
      <c r="O4746" s="71" t="s">
        <v>145</v>
      </c>
      <c r="P4746" s="164" t="str">
        <f t="shared" si="2316"/>
        <v>ENGAGE 1030*800</v>
      </c>
      <c r="Q4746" s="71">
        <f t="shared" si="2315"/>
        <v>2200</v>
      </c>
      <c r="R4746" s="102">
        <v>3980</v>
      </c>
      <c r="S4746" s="102">
        <f t="shared" si="2326"/>
        <v>9631600</v>
      </c>
      <c r="T4746" s="102">
        <f t="shared" si="2328"/>
        <v>8756000</v>
      </c>
      <c r="U4746" s="71" t="str">
        <f t="shared" si="2330"/>
        <v>O</v>
      </c>
      <c r="V4746" s="71"/>
      <c r="W4746" s="474">
        <f t="shared" si="2331"/>
        <v>4400000</v>
      </c>
      <c r="X4746" s="71"/>
      <c r="Y4746" s="71"/>
    </row>
    <row r="4747" spans="1:25" ht="30" hidden="1" customHeight="1" x14ac:dyDescent="0.25">
      <c r="A4747" s="1145">
        <v>44586</v>
      </c>
      <c r="B4747" s="664" t="s">
        <v>1051</v>
      </c>
      <c r="C4747" s="71" t="s">
        <v>1383</v>
      </c>
      <c r="D4747" s="71">
        <v>1000</v>
      </c>
      <c r="E4747" s="102">
        <v>6200</v>
      </c>
      <c r="F4747" s="102">
        <f t="shared" si="2332"/>
        <v>6820000.0000000009</v>
      </c>
      <c r="G4747" s="102">
        <f t="shared" si="2333"/>
        <v>6200000</v>
      </c>
      <c r="H4747" s="690" t="s">
        <v>142</v>
      </c>
      <c r="I4747" s="71" t="s">
        <v>2273</v>
      </c>
      <c r="J4747" s="53">
        <f t="shared" si="2329"/>
        <v>2060000</v>
      </c>
      <c r="K4747" s="63">
        <f t="shared" si="2334"/>
        <v>0.33225806451612899</v>
      </c>
      <c r="L4747" s="983" t="s">
        <v>3230</v>
      </c>
      <c r="M4747" s="468"/>
      <c r="N4747" s="1192">
        <f t="shared" si="2335"/>
        <v>44586</v>
      </c>
      <c r="O4747" s="71" t="s">
        <v>145</v>
      </c>
      <c r="P4747" s="164" t="str">
        <f t="shared" si="2316"/>
        <v>ENGAGE 1055*811</v>
      </c>
      <c r="Q4747" s="71">
        <f t="shared" si="2315"/>
        <v>1000</v>
      </c>
      <c r="R4747" s="102">
        <v>4140</v>
      </c>
      <c r="S4747" s="102">
        <f t="shared" si="2326"/>
        <v>4554000</v>
      </c>
      <c r="T4747" s="102">
        <f t="shared" si="2328"/>
        <v>4140000</v>
      </c>
      <c r="U4747" s="71" t="str">
        <f t="shared" si="2330"/>
        <v>O</v>
      </c>
      <c r="V4747" s="71"/>
      <c r="W4747" s="474">
        <f t="shared" si="2331"/>
        <v>2060000</v>
      </c>
      <c r="X4747" s="71"/>
      <c r="Y4747" s="71"/>
    </row>
    <row r="4748" spans="1:25" ht="30" hidden="1" customHeight="1" x14ac:dyDescent="0.25">
      <c r="A4748" s="1145">
        <v>44586</v>
      </c>
      <c r="B4748" s="664" t="s">
        <v>1051</v>
      </c>
      <c r="C4748" s="71" t="s">
        <v>1650</v>
      </c>
      <c r="D4748" s="71">
        <v>400</v>
      </c>
      <c r="E4748" s="102">
        <v>4440</v>
      </c>
      <c r="F4748" s="102">
        <f t="shared" si="2332"/>
        <v>1953600.0000000002</v>
      </c>
      <c r="G4748" s="102">
        <f t="shared" si="2333"/>
        <v>1776000</v>
      </c>
      <c r="H4748" s="690" t="s">
        <v>142</v>
      </c>
      <c r="I4748" s="71" t="s">
        <v>2273</v>
      </c>
      <c r="J4748" s="53">
        <f t="shared" si="2329"/>
        <v>596000</v>
      </c>
      <c r="K4748" s="63">
        <f t="shared" si="2334"/>
        <v>0.33558558558558554</v>
      </c>
      <c r="L4748" s="983" t="s">
        <v>3230</v>
      </c>
      <c r="M4748" s="468"/>
      <c r="N4748" s="1192">
        <f t="shared" si="2335"/>
        <v>44586</v>
      </c>
      <c r="O4748" s="71" t="s">
        <v>145</v>
      </c>
      <c r="P4748" s="103" t="str">
        <f t="shared" si="2316"/>
        <v>ENGAGE 968*631</v>
      </c>
      <c r="Q4748" s="71">
        <f t="shared" si="2315"/>
        <v>400</v>
      </c>
      <c r="R4748" s="102">
        <v>2950</v>
      </c>
      <c r="S4748" s="102">
        <f t="shared" si="2326"/>
        <v>1298000</v>
      </c>
      <c r="T4748" s="102">
        <f t="shared" si="2328"/>
        <v>1180000</v>
      </c>
      <c r="U4748" s="71" t="str">
        <f t="shared" si="2330"/>
        <v>O</v>
      </c>
      <c r="V4748" s="71"/>
      <c r="W4748" s="474">
        <f t="shared" si="2331"/>
        <v>596000</v>
      </c>
      <c r="X4748" s="71"/>
      <c r="Y4748" s="71"/>
    </row>
    <row r="4749" spans="1:25" ht="30" hidden="1" customHeight="1" x14ac:dyDescent="0.25">
      <c r="A4749" s="1145">
        <v>44586</v>
      </c>
      <c r="B4749" s="664" t="s">
        <v>1051</v>
      </c>
      <c r="C4749" s="71" t="s">
        <v>2619</v>
      </c>
      <c r="D4749" s="71"/>
      <c r="E4749" s="102"/>
      <c r="F4749" s="102">
        <f t="shared" si="2332"/>
        <v>0</v>
      </c>
      <c r="G4749" s="102">
        <f t="shared" si="2333"/>
        <v>0</v>
      </c>
      <c r="H4749" s="690" t="s">
        <v>142</v>
      </c>
      <c r="I4749" s="71" t="s">
        <v>2273</v>
      </c>
      <c r="J4749" s="53">
        <f t="shared" si="2329"/>
        <v>0</v>
      </c>
      <c r="K4749" s="63" t="e">
        <f t="shared" si="2334"/>
        <v>#DIV/0!</v>
      </c>
      <c r="L4749" s="983" t="s">
        <v>3230</v>
      </c>
      <c r="M4749" s="468"/>
      <c r="N4749" s="1192">
        <f t="shared" si="2335"/>
        <v>44586</v>
      </c>
      <c r="O4749" s="71" t="s">
        <v>145</v>
      </c>
      <c r="P4749" s="164" t="str">
        <f t="shared" si="2316"/>
        <v>ENGAGE 1092*800</v>
      </c>
      <c r="Q4749" s="71">
        <f t="shared" si="2315"/>
        <v>0</v>
      </c>
      <c r="R4749" s="102">
        <v>5510</v>
      </c>
      <c r="S4749" s="102">
        <f t="shared" si="2326"/>
        <v>0</v>
      </c>
      <c r="T4749" s="102">
        <f t="shared" si="2328"/>
        <v>0</v>
      </c>
      <c r="U4749" s="71" t="str">
        <f t="shared" si="2330"/>
        <v>O</v>
      </c>
      <c r="V4749" s="71"/>
      <c r="W4749" s="474">
        <f t="shared" si="2331"/>
        <v>0</v>
      </c>
      <c r="X4749" s="71"/>
      <c r="Y4749" s="71"/>
    </row>
    <row r="4750" spans="1:25" ht="30" hidden="1" customHeight="1" x14ac:dyDescent="0.25">
      <c r="A4750" s="1145">
        <v>44586</v>
      </c>
      <c r="B4750" s="664" t="s">
        <v>1051</v>
      </c>
      <c r="C4750" s="71" t="s">
        <v>1386</v>
      </c>
      <c r="D4750" s="71">
        <v>50</v>
      </c>
      <c r="E4750" s="102">
        <v>54500</v>
      </c>
      <c r="F4750" s="102">
        <f t="shared" si="2332"/>
        <v>2997500.0000000005</v>
      </c>
      <c r="G4750" s="102">
        <f t="shared" si="2333"/>
        <v>2725000</v>
      </c>
      <c r="H4750" s="690" t="s">
        <v>142</v>
      </c>
      <c r="I4750" s="71" t="s">
        <v>2273</v>
      </c>
      <c r="J4750" s="53">
        <f t="shared" si="2329"/>
        <v>712500</v>
      </c>
      <c r="K4750" s="63">
        <f t="shared" si="2334"/>
        <v>0.26146788990825681</v>
      </c>
      <c r="L4750" s="983" t="s">
        <v>3230</v>
      </c>
      <c r="M4750" s="468"/>
      <c r="N4750" s="1192">
        <f t="shared" si="2335"/>
        <v>44586</v>
      </c>
      <c r="O4750" s="71" t="s">
        <v>145</v>
      </c>
      <c r="P4750" s="164" t="str">
        <f t="shared" si="2316"/>
        <v>THR200(20L)보충액</v>
      </c>
      <c r="Q4750" s="71">
        <f t="shared" si="2315"/>
        <v>50</v>
      </c>
      <c r="R4750" s="102">
        <v>40250</v>
      </c>
      <c r="S4750" s="102">
        <f t="shared" si="2326"/>
        <v>2213750</v>
      </c>
      <c r="T4750" s="102">
        <f t="shared" si="2328"/>
        <v>2012500</v>
      </c>
      <c r="U4750" s="71" t="str">
        <f t="shared" si="2330"/>
        <v>O</v>
      </c>
      <c r="V4750" s="71"/>
      <c r="W4750" s="474">
        <f t="shared" si="2331"/>
        <v>712500</v>
      </c>
      <c r="X4750" s="71"/>
      <c r="Y4750" s="71"/>
    </row>
    <row r="4751" spans="1:25" ht="30" hidden="1" customHeight="1" x14ac:dyDescent="0.25">
      <c r="A4751" s="1145">
        <v>44586</v>
      </c>
      <c r="B4751" s="664" t="s">
        <v>1051</v>
      </c>
      <c r="C4751" s="71" t="s">
        <v>1387</v>
      </c>
      <c r="D4751" s="71">
        <v>5</v>
      </c>
      <c r="E4751" s="102">
        <v>54500</v>
      </c>
      <c r="F4751" s="102">
        <f t="shared" si="2332"/>
        <v>299750</v>
      </c>
      <c r="G4751" s="102">
        <f t="shared" si="2333"/>
        <v>272500</v>
      </c>
      <c r="H4751" s="690" t="s">
        <v>142</v>
      </c>
      <c r="I4751" s="71" t="s">
        <v>2273</v>
      </c>
      <c r="J4751" s="53">
        <f t="shared" si="2329"/>
        <v>71250</v>
      </c>
      <c r="K4751" s="63">
        <f t="shared" si="2334"/>
        <v>0.26146788990825687</v>
      </c>
      <c r="L4751" s="983" t="s">
        <v>3230</v>
      </c>
      <c r="M4751" s="468"/>
      <c r="N4751" s="1192">
        <f t="shared" si="2335"/>
        <v>44586</v>
      </c>
      <c r="O4751" s="71" t="s">
        <v>145</v>
      </c>
      <c r="P4751" s="103" t="str">
        <f t="shared" si="2316"/>
        <v>THD200(20L)현상액</v>
      </c>
      <c r="Q4751" s="71">
        <f t="shared" si="2315"/>
        <v>5</v>
      </c>
      <c r="R4751" s="102">
        <v>40250</v>
      </c>
      <c r="S4751" s="102">
        <f t="shared" si="2326"/>
        <v>221375.00000000003</v>
      </c>
      <c r="T4751" s="102">
        <f t="shared" si="2328"/>
        <v>201250</v>
      </c>
      <c r="U4751" s="71" t="str">
        <f t="shared" si="2330"/>
        <v>O</v>
      </c>
      <c r="V4751" s="71"/>
      <c r="W4751" s="474">
        <f t="shared" si="2331"/>
        <v>71250</v>
      </c>
      <c r="X4751" s="71"/>
      <c r="Y4751" s="71"/>
    </row>
    <row r="4752" spans="1:25" ht="30" hidden="1" customHeight="1" x14ac:dyDescent="0.25">
      <c r="A4752" s="1145">
        <v>44586</v>
      </c>
      <c r="B4752" s="664" t="s">
        <v>1061</v>
      </c>
      <c r="C4752" s="71" t="s">
        <v>616</v>
      </c>
      <c r="D4752" s="71">
        <v>200</v>
      </c>
      <c r="E4752" s="102">
        <v>5600</v>
      </c>
      <c r="F4752" s="102">
        <f t="shared" si="2332"/>
        <v>1232000</v>
      </c>
      <c r="G4752" s="102">
        <f t="shared" si="2333"/>
        <v>1120000</v>
      </c>
      <c r="H4752" s="690" t="s">
        <v>142</v>
      </c>
      <c r="I4752" s="71" t="s">
        <v>144</v>
      </c>
      <c r="J4752" s="53">
        <f t="shared" si="2329"/>
        <v>60000</v>
      </c>
      <c r="K4752" s="63">
        <f t="shared" si="2334"/>
        <v>5.3571428571428568E-2</v>
      </c>
      <c r="L4752" s="983" t="s">
        <v>3230</v>
      </c>
      <c r="M4752" s="468"/>
      <c r="N4752" s="1192">
        <f t="shared" si="2335"/>
        <v>44586</v>
      </c>
      <c r="O4752" s="71" t="s">
        <v>147</v>
      </c>
      <c r="P4752" s="164" t="str">
        <f t="shared" si="2316"/>
        <v>프리미어(먹)</v>
      </c>
      <c r="Q4752" s="71">
        <f t="shared" si="2315"/>
        <v>200</v>
      </c>
      <c r="R4752" s="102">
        <v>5300</v>
      </c>
      <c r="S4752" s="102">
        <f t="shared" si="2326"/>
        <v>1166000</v>
      </c>
      <c r="T4752" s="102">
        <f t="shared" si="2328"/>
        <v>1060000</v>
      </c>
      <c r="U4752" s="71" t="str">
        <f t="shared" si="2330"/>
        <v>O</v>
      </c>
      <c r="V4752" s="71"/>
      <c r="W4752" s="474">
        <f t="shared" si="2331"/>
        <v>60000</v>
      </c>
      <c r="X4752" s="71"/>
      <c r="Y4752" s="71"/>
    </row>
    <row r="4753" spans="1:25" ht="30" hidden="1" customHeight="1" x14ac:dyDescent="0.25">
      <c r="A4753" s="1145">
        <v>44586</v>
      </c>
      <c r="B4753" s="664" t="s">
        <v>1052</v>
      </c>
      <c r="C4753" s="71" t="s">
        <v>585</v>
      </c>
      <c r="D4753" s="71">
        <v>400</v>
      </c>
      <c r="E4753" s="102">
        <v>6000</v>
      </c>
      <c r="F4753" s="102">
        <f t="shared" si="2332"/>
        <v>2640000</v>
      </c>
      <c r="G4753" s="102">
        <f t="shared" si="2333"/>
        <v>2400000</v>
      </c>
      <c r="H4753" s="690" t="s">
        <v>142</v>
      </c>
      <c r="I4753" s="71" t="s">
        <v>144</v>
      </c>
      <c r="J4753" s="53">
        <f t="shared" si="2329"/>
        <v>-20000</v>
      </c>
      <c r="K4753" s="63">
        <f t="shared" si="2334"/>
        <v>-8.3333333333333332E-3</v>
      </c>
      <c r="L4753" s="983" t="s">
        <v>3230</v>
      </c>
      <c r="M4753" s="468"/>
      <c r="N4753" s="1192">
        <f t="shared" si="2335"/>
        <v>44586</v>
      </c>
      <c r="O4753" s="71" t="s">
        <v>147</v>
      </c>
      <c r="P4753" s="164" t="str">
        <f t="shared" si="2316"/>
        <v>프리미어(적)</v>
      </c>
      <c r="Q4753" s="71">
        <f t="shared" si="2315"/>
        <v>400</v>
      </c>
      <c r="R4753" s="102">
        <v>6050</v>
      </c>
      <c r="S4753" s="102">
        <f t="shared" si="2326"/>
        <v>2662000</v>
      </c>
      <c r="T4753" s="102">
        <f t="shared" si="2328"/>
        <v>2420000</v>
      </c>
      <c r="U4753" s="71" t="str">
        <f t="shared" si="2330"/>
        <v>O</v>
      </c>
      <c r="V4753" s="71"/>
      <c r="W4753" s="474">
        <f t="shared" si="2331"/>
        <v>-20000</v>
      </c>
      <c r="X4753" s="71"/>
      <c r="Y4753" s="71"/>
    </row>
    <row r="4754" spans="1:25" ht="30" hidden="1" customHeight="1" x14ac:dyDescent="0.25">
      <c r="A4754" s="1145">
        <v>44586</v>
      </c>
      <c r="B4754" s="664" t="s">
        <v>1061</v>
      </c>
      <c r="C4754" s="71" t="s">
        <v>586</v>
      </c>
      <c r="D4754" s="71">
        <v>800</v>
      </c>
      <c r="E4754" s="102">
        <v>5750</v>
      </c>
      <c r="F4754" s="102">
        <f t="shared" si="2332"/>
        <v>5060000</v>
      </c>
      <c r="G4754" s="102">
        <f t="shared" si="2333"/>
        <v>4600000</v>
      </c>
      <c r="H4754" s="690" t="s">
        <v>142</v>
      </c>
      <c r="I4754" s="71" t="s">
        <v>144</v>
      </c>
      <c r="J4754" s="53">
        <f t="shared" si="2329"/>
        <v>256000</v>
      </c>
      <c r="K4754" s="63">
        <f t="shared" si="2334"/>
        <v>5.565217391304348E-2</v>
      </c>
      <c r="L4754" s="983" t="s">
        <v>3230</v>
      </c>
      <c r="M4754" s="468"/>
      <c r="N4754" s="1192">
        <f t="shared" si="2335"/>
        <v>44586</v>
      </c>
      <c r="O4754" s="71" t="s">
        <v>147</v>
      </c>
      <c r="P4754" s="103" t="str">
        <f t="shared" si="2316"/>
        <v>프리미어(황)</v>
      </c>
      <c r="Q4754" s="71">
        <f t="shared" si="2315"/>
        <v>800</v>
      </c>
      <c r="R4754" s="102">
        <v>5430</v>
      </c>
      <c r="S4754" s="102">
        <f t="shared" si="2326"/>
        <v>4778400</v>
      </c>
      <c r="T4754" s="102">
        <f t="shared" si="2328"/>
        <v>4344000</v>
      </c>
      <c r="U4754" s="71" t="str">
        <f t="shared" si="2330"/>
        <v>O</v>
      </c>
      <c r="V4754" s="71"/>
      <c r="W4754" s="474">
        <f t="shared" si="2331"/>
        <v>256000</v>
      </c>
      <c r="X4754" s="71"/>
      <c r="Y4754" s="71"/>
    </row>
    <row r="4755" spans="1:25" ht="30" hidden="1" customHeight="1" x14ac:dyDescent="0.25">
      <c r="A4755" s="1145">
        <v>44586</v>
      </c>
      <c r="B4755" s="664" t="s">
        <v>1061</v>
      </c>
      <c r="C4755" s="71" t="s">
        <v>587</v>
      </c>
      <c r="D4755" s="71">
        <v>400</v>
      </c>
      <c r="E4755" s="102">
        <v>7000</v>
      </c>
      <c r="F4755" s="102">
        <f t="shared" si="2332"/>
        <v>3080000.0000000005</v>
      </c>
      <c r="G4755" s="102">
        <f t="shared" si="2333"/>
        <v>2800000</v>
      </c>
      <c r="H4755" s="690" t="s">
        <v>142</v>
      </c>
      <c r="I4755" s="71" t="s">
        <v>144</v>
      </c>
      <c r="J4755" s="53">
        <f t="shared" si="2329"/>
        <v>200000</v>
      </c>
      <c r="K4755" s="63">
        <f t="shared" si="2334"/>
        <v>7.1428571428571411E-2</v>
      </c>
      <c r="L4755" s="983" t="s">
        <v>3230</v>
      </c>
      <c r="M4755" s="468"/>
      <c r="N4755" s="1192">
        <f t="shared" si="2335"/>
        <v>44586</v>
      </c>
      <c r="O4755" s="71" t="s">
        <v>147</v>
      </c>
      <c r="P4755" s="164" t="str">
        <f t="shared" si="2316"/>
        <v>프리미어(청)</v>
      </c>
      <c r="Q4755" s="71">
        <f t="shared" si="2315"/>
        <v>400</v>
      </c>
      <c r="R4755" s="102">
        <v>6500</v>
      </c>
      <c r="S4755" s="102">
        <f t="shared" si="2326"/>
        <v>2860000</v>
      </c>
      <c r="T4755" s="102">
        <f t="shared" si="2328"/>
        <v>2600000</v>
      </c>
      <c r="U4755" s="71" t="str">
        <f t="shared" si="2330"/>
        <v>O</v>
      </c>
      <c r="V4755" s="71"/>
      <c r="W4755" s="474">
        <f t="shared" si="2331"/>
        <v>200000</v>
      </c>
      <c r="X4755" s="71"/>
      <c r="Y4755" s="71"/>
    </row>
    <row r="4756" spans="1:25" ht="30" hidden="1" customHeight="1" x14ac:dyDescent="0.25">
      <c r="A4756" s="1145">
        <v>44586</v>
      </c>
      <c r="B4756" s="664" t="s">
        <v>1052</v>
      </c>
      <c r="C4756" s="71" t="s">
        <v>1115</v>
      </c>
      <c r="D4756" s="71">
        <v>0</v>
      </c>
      <c r="E4756" s="102">
        <v>6200</v>
      </c>
      <c r="F4756" s="102">
        <f t="shared" si="2332"/>
        <v>0</v>
      </c>
      <c r="G4756" s="102">
        <f t="shared" si="2333"/>
        <v>0</v>
      </c>
      <c r="H4756" s="690" t="s">
        <v>142</v>
      </c>
      <c r="I4756" s="71" t="s">
        <v>144</v>
      </c>
      <c r="J4756" s="53">
        <f t="shared" si="2329"/>
        <v>0</v>
      </c>
      <c r="K4756" s="63" t="e">
        <f t="shared" si="2334"/>
        <v>#DIV/0!</v>
      </c>
      <c r="L4756" s="983" t="s">
        <v>3230</v>
      </c>
      <c r="M4756" s="1197"/>
      <c r="N4756" s="1192">
        <f t="shared" si="2335"/>
        <v>44586</v>
      </c>
      <c r="O4756" s="71" t="s">
        <v>2459</v>
      </c>
      <c r="P4756" s="164" t="str">
        <f t="shared" si="2316"/>
        <v>한특 잉크(적)</v>
      </c>
      <c r="Q4756" s="71">
        <f t="shared" si="2315"/>
        <v>0</v>
      </c>
      <c r="R4756" s="102">
        <v>5900</v>
      </c>
      <c r="S4756" s="102">
        <f t="shared" si="2326"/>
        <v>0</v>
      </c>
      <c r="T4756" s="102">
        <f t="shared" si="2328"/>
        <v>0</v>
      </c>
      <c r="U4756" s="71" t="str">
        <f t="shared" si="2330"/>
        <v>O</v>
      </c>
      <c r="V4756" s="918"/>
      <c r="W4756" s="474">
        <f t="shared" si="2331"/>
        <v>0</v>
      </c>
      <c r="X4756" s="71"/>
      <c r="Y4756" s="71"/>
    </row>
    <row r="4757" spans="1:25" ht="30" hidden="1" customHeight="1" x14ac:dyDescent="0.25">
      <c r="A4757" s="1145">
        <v>44586</v>
      </c>
      <c r="B4757" s="664" t="s">
        <v>1052</v>
      </c>
      <c r="C4757" s="71" t="s">
        <v>1116</v>
      </c>
      <c r="D4757" s="71">
        <v>0</v>
      </c>
      <c r="E4757" s="102">
        <v>6000</v>
      </c>
      <c r="F4757" s="102">
        <f t="shared" si="2332"/>
        <v>0</v>
      </c>
      <c r="G4757" s="102">
        <f t="shared" si="2333"/>
        <v>0</v>
      </c>
      <c r="H4757" s="690" t="s">
        <v>142</v>
      </c>
      <c r="I4757" s="71" t="s">
        <v>144</v>
      </c>
      <c r="J4757" s="53">
        <f t="shared" si="2329"/>
        <v>0</v>
      </c>
      <c r="K4757" s="63" t="e">
        <f t="shared" si="2334"/>
        <v>#DIV/0!</v>
      </c>
      <c r="L4757" s="983" t="s">
        <v>3230</v>
      </c>
      <c r="M4757" s="1197"/>
      <c r="N4757" s="1192">
        <f t="shared" si="2335"/>
        <v>44586</v>
      </c>
      <c r="O4757" s="71" t="s">
        <v>2459</v>
      </c>
      <c r="P4757" s="103" t="str">
        <f t="shared" si="2316"/>
        <v>한특 잉크(황)</v>
      </c>
      <c r="Q4757" s="71">
        <f t="shared" si="2315"/>
        <v>0</v>
      </c>
      <c r="R4757" s="102">
        <v>5500</v>
      </c>
      <c r="S4757" s="102">
        <f t="shared" si="2326"/>
        <v>0</v>
      </c>
      <c r="T4757" s="102">
        <f t="shared" si="2328"/>
        <v>0</v>
      </c>
      <c r="U4757" s="71" t="str">
        <f t="shared" si="2330"/>
        <v>O</v>
      </c>
      <c r="V4757" s="918"/>
      <c r="W4757" s="474">
        <f t="shared" si="2331"/>
        <v>0</v>
      </c>
      <c r="X4757" s="71"/>
      <c r="Y4757" s="71"/>
    </row>
    <row r="4758" spans="1:25" ht="30" hidden="1" customHeight="1" x14ac:dyDescent="0.25">
      <c r="A4758" s="1145">
        <v>44586</v>
      </c>
      <c r="B4758" s="664" t="s">
        <v>1052</v>
      </c>
      <c r="C4758" s="71" t="s">
        <v>1117</v>
      </c>
      <c r="D4758" s="71">
        <v>0</v>
      </c>
      <c r="E4758" s="102">
        <v>6500</v>
      </c>
      <c r="F4758" s="102">
        <f t="shared" si="2332"/>
        <v>0</v>
      </c>
      <c r="G4758" s="102">
        <f t="shared" si="2333"/>
        <v>0</v>
      </c>
      <c r="H4758" s="690" t="s">
        <v>142</v>
      </c>
      <c r="I4758" s="71" t="s">
        <v>144</v>
      </c>
      <c r="J4758" s="53">
        <f t="shared" si="2329"/>
        <v>0</v>
      </c>
      <c r="K4758" s="63" t="e">
        <f t="shared" si="2334"/>
        <v>#DIV/0!</v>
      </c>
      <c r="L4758" s="983" t="s">
        <v>3230</v>
      </c>
      <c r="M4758" s="1197"/>
      <c r="N4758" s="1192">
        <f t="shared" si="2335"/>
        <v>44586</v>
      </c>
      <c r="O4758" s="71" t="s">
        <v>2459</v>
      </c>
      <c r="P4758" s="164" t="str">
        <f t="shared" si="2316"/>
        <v>한특 잉크(청)</v>
      </c>
      <c r="Q4758" s="71">
        <f t="shared" si="2315"/>
        <v>0</v>
      </c>
      <c r="R4758" s="102">
        <v>5800</v>
      </c>
      <c r="S4758" s="102">
        <f t="shared" si="2326"/>
        <v>0</v>
      </c>
      <c r="T4758" s="102">
        <f t="shared" si="2328"/>
        <v>0</v>
      </c>
      <c r="U4758" s="71" t="str">
        <f t="shared" si="2330"/>
        <v>O</v>
      </c>
      <c r="V4758" s="918"/>
      <c r="W4758" s="474">
        <f t="shared" si="2331"/>
        <v>0</v>
      </c>
      <c r="X4758" s="71"/>
      <c r="Y4758" s="71"/>
    </row>
    <row r="4759" spans="1:25" ht="30" hidden="1" customHeight="1" x14ac:dyDescent="0.25">
      <c r="A4759" s="1145">
        <v>44586</v>
      </c>
      <c r="B4759" s="664" t="s">
        <v>1052</v>
      </c>
      <c r="C4759" s="71" t="s">
        <v>1118</v>
      </c>
      <c r="D4759" s="71">
        <v>0</v>
      </c>
      <c r="E4759" s="102">
        <v>5600</v>
      </c>
      <c r="F4759" s="102">
        <f t="shared" si="2332"/>
        <v>0</v>
      </c>
      <c r="G4759" s="102">
        <f t="shared" si="2333"/>
        <v>0</v>
      </c>
      <c r="H4759" s="690" t="s">
        <v>142</v>
      </c>
      <c r="I4759" s="71" t="s">
        <v>144</v>
      </c>
      <c r="J4759" s="53">
        <f t="shared" si="2329"/>
        <v>0</v>
      </c>
      <c r="K4759" s="63" t="e">
        <f t="shared" si="2334"/>
        <v>#DIV/0!</v>
      </c>
      <c r="L4759" s="983" t="s">
        <v>3230</v>
      </c>
      <c r="M4759" s="1197"/>
      <c r="N4759" s="1192">
        <f t="shared" si="2335"/>
        <v>44586</v>
      </c>
      <c r="O4759" s="71" t="s">
        <v>2459</v>
      </c>
      <c r="P4759" s="164" t="str">
        <f t="shared" si="2316"/>
        <v>한특 잉크(먹)</v>
      </c>
      <c r="Q4759" s="71">
        <f t="shared" si="2315"/>
        <v>0</v>
      </c>
      <c r="R4759" s="102">
        <v>5000</v>
      </c>
      <c r="S4759" s="102">
        <f t="shared" ref="S4759:S4768" si="2336">R4759*Q4759*1.1</f>
        <v>0</v>
      </c>
      <c r="T4759" s="102">
        <f t="shared" si="2328"/>
        <v>0</v>
      </c>
      <c r="U4759" s="71" t="str">
        <f t="shared" si="2330"/>
        <v>O</v>
      </c>
      <c r="V4759" s="918"/>
      <c r="W4759" s="474">
        <f t="shared" si="2331"/>
        <v>0</v>
      </c>
      <c r="X4759" s="71"/>
      <c r="Y4759" s="71"/>
    </row>
    <row r="4760" spans="1:25" ht="30" hidden="1" customHeight="1" x14ac:dyDescent="0.25">
      <c r="A4760" s="1145">
        <v>44586</v>
      </c>
      <c r="B4760" s="664" t="s">
        <v>575</v>
      </c>
      <c r="C4760" s="71" t="s">
        <v>1367</v>
      </c>
      <c r="D4760" s="71">
        <v>8</v>
      </c>
      <c r="E4760" s="102">
        <v>218000</v>
      </c>
      <c r="F4760" s="102">
        <f t="shared" si="2332"/>
        <v>1918400.0000000002</v>
      </c>
      <c r="G4760" s="102">
        <f t="shared" si="2333"/>
        <v>1744000</v>
      </c>
      <c r="H4760" s="690" t="s">
        <v>173</v>
      </c>
      <c r="I4760" s="71" t="s">
        <v>109</v>
      </c>
      <c r="J4760" s="53">
        <f t="shared" si="2329"/>
        <v>544000</v>
      </c>
      <c r="K4760" s="63">
        <f t="shared" si="2334"/>
        <v>0.31192660550458712</v>
      </c>
      <c r="L4760" s="983" t="s">
        <v>3230</v>
      </c>
      <c r="M4760" s="468"/>
      <c r="N4760" s="1192">
        <v>44544</v>
      </c>
      <c r="O4760" s="71" t="s">
        <v>1443</v>
      </c>
      <c r="P4760" s="103" t="str">
        <f t="shared" si="2316"/>
        <v>M600 윤전 블랑켓 995*742</v>
      </c>
      <c r="Q4760" s="71">
        <f t="shared" ref="Q4760:Q4768" si="2337">D4760</f>
        <v>8</v>
      </c>
      <c r="R4760" s="102">
        <v>150000</v>
      </c>
      <c r="S4760" s="102">
        <f t="shared" si="2336"/>
        <v>1320000</v>
      </c>
      <c r="T4760" s="102">
        <f t="shared" si="2328"/>
        <v>1200000</v>
      </c>
      <c r="U4760" s="71" t="str">
        <f t="shared" si="2330"/>
        <v>X</v>
      </c>
      <c r="V4760" s="71"/>
      <c r="W4760" s="474"/>
      <c r="X4760" s="71"/>
      <c r="Y4760" s="71"/>
    </row>
    <row r="4761" spans="1:25" ht="30" hidden="1" customHeight="1" x14ac:dyDescent="0.25">
      <c r="A4761" s="1145">
        <v>44587</v>
      </c>
      <c r="B4761" s="664" t="s">
        <v>1155</v>
      </c>
      <c r="C4761" s="71" t="s">
        <v>891</v>
      </c>
      <c r="D4761" s="71">
        <v>1</v>
      </c>
      <c r="E4761" s="102">
        <v>1150000</v>
      </c>
      <c r="F4761" s="102">
        <f t="shared" si="2332"/>
        <v>1265000</v>
      </c>
      <c r="G4761" s="102">
        <f t="shared" si="2333"/>
        <v>1150000</v>
      </c>
      <c r="H4761" s="690" t="s">
        <v>1431</v>
      </c>
      <c r="I4761" s="71" t="s">
        <v>1431</v>
      </c>
      <c r="J4761" s="53">
        <f t="shared" si="2329"/>
        <v>569418</v>
      </c>
      <c r="K4761" s="63">
        <f t="shared" si="2334"/>
        <v>0.49514608695652174</v>
      </c>
      <c r="L4761" s="983" t="s">
        <v>3230</v>
      </c>
      <c r="M4761" s="468"/>
      <c r="N4761" s="1192">
        <f t="shared" ref="N4761:N4766" si="2338">A4761</f>
        <v>44587</v>
      </c>
      <c r="O4761" s="71" t="s">
        <v>1431</v>
      </c>
      <c r="P4761" s="164" t="str">
        <f t="shared" si="2316"/>
        <v>온도 센서</v>
      </c>
      <c r="Q4761" s="71">
        <f t="shared" si="2337"/>
        <v>1</v>
      </c>
      <c r="R4761" s="102">
        <v>580582</v>
      </c>
      <c r="S4761" s="102">
        <f t="shared" si="2336"/>
        <v>638640.20000000007</v>
      </c>
      <c r="T4761" s="102">
        <f t="shared" si="2328"/>
        <v>580582</v>
      </c>
      <c r="U4761" s="71" t="str">
        <f t="shared" si="2330"/>
        <v>X</v>
      </c>
      <c r="V4761" s="71"/>
      <c r="W4761" s="474"/>
      <c r="X4761" s="71"/>
      <c r="Y4761" s="71"/>
    </row>
    <row r="4762" spans="1:25" ht="30" hidden="1" customHeight="1" x14ac:dyDescent="0.25">
      <c r="A4762" s="1145">
        <v>44587</v>
      </c>
      <c r="B4762" s="664" t="s">
        <v>1155</v>
      </c>
      <c r="C4762" s="71" t="s">
        <v>884</v>
      </c>
      <c r="D4762" s="71">
        <v>10</v>
      </c>
      <c r="E4762" s="102">
        <v>70000</v>
      </c>
      <c r="F4762" s="102">
        <f t="shared" si="2332"/>
        <v>770000.00000000012</v>
      </c>
      <c r="G4762" s="102">
        <f t="shared" si="2333"/>
        <v>700000</v>
      </c>
      <c r="H4762" s="690" t="s">
        <v>1431</v>
      </c>
      <c r="I4762" s="71" t="s">
        <v>1431</v>
      </c>
      <c r="J4762" s="53">
        <f t="shared" si="2329"/>
        <v>347940</v>
      </c>
      <c r="K4762" s="63">
        <f t="shared" si="2334"/>
        <v>0.49705714285714275</v>
      </c>
      <c r="L4762" s="983" t="s">
        <v>3230</v>
      </c>
      <c r="M4762" s="468"/>
      <c r="N4762" s="1192">
        <f t="shared" si="2338"/>
        <v>44587</v>
      </c>
      <c r="O4762" s="71" t="s">
        <v>1431</v>
      </c>
      <c r="P4762" s="164" t="str">
        <f t="shared" ref="P4762:P4768" si="2339">(C4762)</f>
        <v>재단목</v>
      </c>
      <c r="Q4762" s="71">
        <f t="shared" si="2337"/>
        <v>10</v>
      </c>
      <c r="R4762" s="102">
        <v>35206</v>
      </c>
      <c r="S4762" s="102">
        <f t="shared" si="2336"/>
        <v>387266.00000000006</v>
      </c>
      <c r="T4762" s="102">
        <f t="shared" si="2328"/>
        <v>352060</v>
      </c>
      <c r="U4762" s="71" t="str">
        <f t="shared" si="2330"/>
        <v>X</v>
      </c>
      <c r="V4762" s="71"/>
      <c r="W4762" s="474"/>
      <c r="X4762" s="71"/>
      <c r="Y4762" s="71"/>
    </row>
    <row r="4763" spans="1:25" s="209" customFormat="1" ht="30" hidden="1" customHeight="1" x14ac:dyDescent="0.25">
      <c r="A4763" s="1145">
        <v>44589</v>
      </c>
      <c r="B4763" s="664" t="s">
        <v>2155</v>
      </c>
      <c r="C4763" s="71" t="s">
        <v>138</v>
      </c>
      <c r="D4763" s="71">
        <v>5</v>
      </c>
      <c r="E4763" s="102">
        <v>47600</v>
      </c>
      <c r="F4763" s="102">
        <f t="shared" si="2332"/>
        <v>261800.00000000003</v>
      </c>
      <c r="G4763" s="102">
        <f t="shared" si="2333"/>
        <v>238000</v>
      </c>
      <c r="H4763" s="1129" t="s">
        <v>172</v>
      </c>
      <c r="I4763" s="71" t="s">
        <v>1431</v>
      </c>
      <c r="J4763" s="53">
        <f t="shared" si="2329"/>
        <v>34000</v>
      </c>
      <c r="K4763" s="63">
        <f t="shared" ref="K4763:K4768" si="2340">(J4763/(F4763/11*10))</f>
        <v>0.14285714285714285</v>
      </c>
      <c r="L4763" s="983" t="s">
        <v>3230</v>
      </c>
      <c r="M4763" s="468" t="s">
        <v>2214</v>
      </c>
      <c r="N4763" s="1192">
        <f t="shared" si="2338"/>
        <v>44589</v>
      </c>
      <c r="O4763" s="71" t="s">
        <v>150</v>
      </c>
      <c r="P4763" s="103" t="str">
        <f t="shared" si="2339"/>
        <v>매엽용 세척제(Wash 562)</v>
      </c>
      <c r="Q4763" s="71">
        <f t="shared" si="2337"/>
        <v>5</v>
      </c>
      <c r="R4763" s="102">
        <v>40800</v>
      </c>
      <c r="S4763" s="102">
        <f t="shared" si="2336"/>
        <v>224400.00000000003</v>
      </c>
      <c r="T4763" s="102">
        <f t="shared" si="2328"/>
        <v>204000</v>
      </c>
      <c r="U4763" s="71" t="str">
        <f t="shared" si="2330"/>
        <v>X</v>
      </c>
      <c r="V4763" s="71"/>
      <c r="W4763" s="474">
        <v>85000</v>
      </c>
      <c r="X4763" s="71"/>
      <c r="Y4763" s="71"/>
    </row>
    <row r="4764" spans="1:25" ht="30" hidden="1" customHeight="1" x14ac:dyDescent="0.25">
      <c r="A4764" s="1145">
        <v>44589</v>
      </c>
      <c r="B4764" s="664" t="s">
        <v>2155</v>
      </c>
      <c r="C4764" s="71" t="s">
        <v>277</v>
      </c>
      <c r="D4764" s="71">
        <v>10</v>
      </c>
      <c r="E4764" s="102">
        <v>172000</v>
      </c>
      <c r="F4764" s="102">
        <f t="shared" si="2332"/>
        <v>1892000.0000000002</v>
      </c>
      <c r="G4764" s="102">
        <f t="shared" si="2333"/>
        <v>1720000</v>
      </c>
      <c r="H4764" s="690" t="s">
        <v>173</v>
      </c>
      <c r="I4764" s="71" t="s">
        <v>1431</v>
      </c>
      <c r="J4764" s="53">
        <f t="shared" si="2329"/>
        <v>570000</v>
      </c>
      <c r="K4764" s="63">
        <f t="shared" si="2340"/>
        <v>0.33139534883720928</v>
      </c>
      <c r="L4764" s="983" t="s">
        <v>3230</v>
      </c>
      <c r="M4764" s="468"/>
      <c r="N4764" s="1192">
        <f t="shared" si="2338"/>
        <v>44589</v>
      </c>
      <c r="O4764" s="71" t="s">
        <v>150</v>
      </c>
      <c r="P4764" s="164" t="str">
        <f t="shared" si="2339"/>
        <v>윤전용 세척제(Web 504)</v>
      </c>
      <c r="Q4764" s="71">
        <f t="shared" si="2337"/>
        <v>10</v>
      </c>
      <c r="R4764" s="102">
        <v>115000</v>
      </c>
      <c r="S4764" s="102">
        <f t="shared" si="2336"/>
        <v>1265000</v>
      </c>
      <c r="T4764" s="102">
        <f t="shared" si="2328"/>
        <v>1150000</v>
      </c>
      <c r="U4764" s="71" t="str">
        <f t="shared" si="2330"/>
        <v>X</v>
      </c>
      <c r="V4764" s="71"/>
      <c r="W4764" s="474">
        <v>285000</v>
      </c>
      <c r="X4764" s="71"/>
      <c r="Y4764" s="71"/>
    </row>
    <row r="4765" spans="1:25" ht="30" hidden="1" customHeight="1" x14ac:dyDescent="0.25">
      <c r="A4765" s="1145">
        <v>44589</v>
      </c>
      <c r="B4765" s="664" t="s">
        <v>2155</v>
      </c>
      <c r="C4765" s="760" t="s">
        <v>218</v>
      </c>
      <c r="D4765" s="71">
        <v>10</v>
      </c>
      <c r="E4765" s="102">
        <v>192500</v>
      </c>
      <c r="F4765" s="102">
        <f t="shared" si="2332"/>
        <v>2117500</v>
      </c>
      <c r="G4765" s="102">
        <f t="shared" si="2333"/>
        <v>1925000</v>
      </c>
      <c r="H4765" s="690" t="s">
        <v>173</v>
      </c>
      <c r="I4765" s="71" t="s">
        <v>120</v>
      </c>
      <c r="J4765" s="53">
        <f t="shared" si="2329"/>
        <v>800000</v>
      </c>
      <c r="K4765" s="63">
        <f t="shared" si="2340"/>
        <v>0.41558441558441561</v>
      </c>
      <c r="L4765" s="983" t="s">
        <v>3230</v>
      </c>
      <c r="M4765" s="468"/>
      <c r="N4765" s="1192">
        <f t="shared" si="2338"/>
        <v>44589</v>
      </c>
      <c r="O4765" s="71" t="s">
        <v>150</v>
      </c>
      <c r="P4765" s="164" t="str">
        <f t="shared" si="2339"/>
        <v>Fount Web 551AF</v>
      </c>
      <c r="Q4765" s="71">
        <f t="shared" si="2337"/>
        <v>10</v>
      </c>
      <c r="R4765" s="102">
        <v>112500</v>
      </c>
      <c r="S4765" s="102">
        <f t="shared" si="2336"/>
        <v>1237500</v>
      </c>
      <c r="T4765" s="102">
        <f t="shared" si="2328"/>
        <v>1125000</v>
      </c>
      <c r="U4765" s="71" t="str">
        <f t="shared" si="2330"/>
        <v>X</v>
      </c>
      <c r="V4765" s="71"/>
      <c r="W4765" s="474">
        <v>640000</v>
      </c>
      <c r="X4765" s="71"/>
      <c r="Y4765" s="71"/>
    </row>
    <row r="4766" spans="1:25" ht="30" customHeight="1" x14ac:dyDescent="0.25">
      <c r="A4766" s="1145">
        <v>44589</v>
      </c>
      <c r="B4766" s="664" t="s">
        <v>565</v>
      </c>
      <c r="C4766" s="71" t="s">
        <v>1298</v>
      </c>
      <c r="D4766" s="71">
        <v>4</v>
      </c>
      <c r="E4766" s="102">
        <v>120000</v>
      </c>
      <c r="F4766" s="102">
        <f>(E4766*D4766)*1.1</f>
        <v>528000</v>
      </c>
      <c r="G4766" s="102">
        <f>(E4766*D4766)</f>
        <v>480000</v>
      </c>
      <c r="H4766" s="690" t="s">
        <v>1431</v>
      </c>
      <c r="I4766" s="71" t="s">
        <v>142</v>
      </c>
      <c r="J4766" s="53">
        <f t="shared" si="2329"/>
        <v>167508</v>
      </c>
      <c r="K4766" s="63">
        <f t="shared" si="2340"/>
        <v>0.34897499999999998</v>
      </c>
      <c r="L4766" s="983" t="s">
        <v>3230</v>
      </c>
      <c r="M4766" s="468"/>
      <c r="N4766" s="1192">
        <f t="shared" si="2338"/>
        <v>44589</v>
      </c>
      <c r="O4766" s="71" t="s">
        <v>1431</v>
      </c>
      <c r="P4766" s="103" t="str">
        <f t="shared" si="2339"/>
        <v>재단칼</v>
      </c>
      <c r="Q4766" s="71">
        <f t="shared" si="2337"/>
        <v>4</v>
      </c>
      <c r="R4766" s="102">
        <v>78123</v>
      </c>
      <c r="S4766" s="102">
        <f t="shared" si="2336"/>
        <v>343741.2</v>
      </c>
      <c r="T4766" s="102">
        <f t="shared" si="2328"/>
        <v>312492</v>
      </c>
      <c r="U4766" s="71"/>
      <c r="V4766" s="71"/>
      <c r="W4766" s="474"/>
      <c r="X4766" s="71"/>
      <c r="Y4766" s="71"/>
    </row>
    <row r="4767" spans="1:25" ht="30" hidden="1" customHeight="1" x14ac:dyDescent="0.25">
      <c r="A4767" s="1145">
        <v>44592</v>
      </c>
      <c r="B4767" s="664" t="s">
        <v>1051</v>
      </c>
      <c r="C4767" s="71" t="s">
        <v>3240</v>
      </c>
      <c r="D4767" s="71">
        <v>1</v>
      </c>
      <c r="E4767" s="102">
        <v>2350000</v>
      </c>
      <c r="F4767" s="102">
        <f>(E4767*D4767)*1.1</f>
        <v>2585000</v>
      </c>
      <c r="G4767" s="102">
        <f>(E4767*D4767)</f>
        <v>2350000</v>
      </c>
      <c r="H4767" s="690" t="s">
        <v>142</v>
      </c>
      <c r="I4767" s="71" t="s">
        <v>142</v>
      </c>
      <c r="J4767" s="53">
        <f t="shared" si="2329"/>
        <v>600000</v>
      </c>
      <c r="K4767" s="63">
        <f t="shared" si="2340"/>
        <v>0.25531914893617019</v>
      </c>
      <c r="L4767" s="983" t="s">
        <v>3230</v>
      </c>
      <c r="M4767" s="468"/>
      <c r="N4767" s="1192"/>
      <c r="O4767" s="71" t="s">
        <v>1431</v>
      </c>
      <c r="P4767" s="164" t="str">
        <f t="shared" si="2339"/>
        <v>Apogee 워크플로우 구독료</v>
      </c>
      <c r="Q4767" s="71">
        <f t="shared" si="2337"/>
        <v>1</v>
      </c>
      <c r="R4767" s="102">
        <v>1750000</v>
      </c>
      <c r="S4767" s="102">
        <f t="shared" si="2336"/>
        <v>1925000.0000000002</v>
      </c>
      <c r="T4767" s="102">
        <f t="shared" si="2328"/>
        <v>1750000</v>
      </c>
      <c r="U4767" s="71"/>
      <c r="V4767" s="71"/>
      <c r="W4767" s="474"/>
      <c r="X4767" s="71"/>
      <c r="Y4767" s="71"/>
    </row>
    <row r="4768" spans="1:25" ht="30" hidden="1" customHeight="1" x14ac:dyDescent="0.25">
      <c r="A4768" s="1145">
        <v>44592</v>
      </c>
      <c r="B4768" s="664" t="s">
        <v>2155</v>
      </c>
      <c r="C4768" s="71" t="s">
        <v>114</v>
      </c>
      <c r="D4768" s="71">
        <v>50</v>
      </c>
      <c r="E4768" s="102">
        <v>18000</v>
      </c>
      <c r="F4768" s="102">
        <f>(E4768*D4768)*1.1</f>
        <v>990000.00000000012</v>
      </c>
      <c r="G4768" s="102">
        <f>(E4768*D4768)</f>
        <v>900000</v>
      </c>
      <c r="H4768" s="690" t="s">
        <v>1431</v>
      </c>
      <c r="I4768" s="71" t="s">
        <v>1431</v>
      </c>
      <c r="J4768" s="53">
        <f t="shared" si="2329"/>
        <v>396300</v>
      </c>
      <c r="K4768" s="63">
        <f t="shared" si="2340"/>
        <v>0.4403333333333333</v>
      </c>
      <c r="L4768" s="983" t="s">
        <v>3230</v>
      </c>
      <c r="M4768" s="468"/>
      <c r="N4768" s="1192">
        <f>A4768</f>
        <v>44592</v>
      </c>
      <c r="O4768" s="71" t="s">
        <v>1431</v>
      </c>
      <c r="P4768" s="164" t="str">
        <f t="shared" si="2339"/>
        <v>스트리퍼</v>
      </c>
      <c r="Q4768" s="71">
        <f t="shared" si="2337"/>
        <v>50</v>
      </c>
      <c r="R4768" s="102">
        <v>10074</v>
      </c>
      <c r="S4768" s="102">
        <f t="shared" si="2336"/>
        <v>554070</v>
      </c>
      <c r="T4768" s="102">
        <f t="shared" si="2328"/>
        <v>503700</v>
      </c>
      <c r="U4768" s="71"/>
      <c r="V4768" s="71"/>
      <c r="W4768" s="474"/>
      <c r="X4768" s="71"/>
      <c r="Y4768" s="71"/>
    </row>
    <row r="4769" spans="1:25" s="978" customFormat="1" ht="45" hidden="1" customHeight="1" x14ac:dyDescent="0.25">
      <c r="A4769" s="982" t="s">
        <v>3242</v>
      </c>
      <c r="B4769" s="976" t="s">
        <v>544</v>
      </c>
      <c r="C4769" s="453"/>
      <c r="D4769" s="453"/>
      <c r="E4769" s="454"/>
      <c r="F4769" s="454"/>
      <c r="G4769" s="454"/>
      <c r="H4769" s="455"/>
      <c r="I4769" s="453"/>
      <c r="J4769" s="417"/>
      <c r="K4769" s="418"/>
      <c r="L4769" s="983" t="s">
        <v>3243</v>
      </c>
      <c r="M4769" s="643"/>
      <c r="N4769" s="724" t="str">
        <f>A4769</f>
        <v>2022,2</v>
      </c>
      <c r="O4769" s="453"/>
      <c r="P4769" s="454"/>
      <c r="Q4769" s="454"/>
      <c r="R4769" s="454"/>
      <c r="S4769" s="455"/>
      <c r="T4769" s="453"/>
      <c r="U4769" s="421"/>
      <c r="V4769" s="421"/>
      <c r="W4769" s="479">
        <f>(G4769-T4769)</f>
        <v>0</v>
      </c>
      <c r="X4769" s="421"/>
      <c r="Y4769" s="421"/>
    </row>
    <row r="4770" spans="1:25" s="209" customFormat="1" ht="30" hidden="1" customHeight="1" x14ac:dyDescent="0.2">
      <c r="A4770" s="1145">
        <v>44595</v>
      </c>
      <c r="B4770" s="664" t="s">
        <v>2261</v>
      </c>
      <c r="C4770" s="71" t="s">
        <v>107</v>
      </c>
      <c r="D4770" s="71">
        <v>10</v>
      </c>
      <c r="E4770" s="102">
        <v>108000</v>
      </c>
      <c r="F4770" s="102">
        <f t="shared" ref="F4770:F4782" si="2341">(E4770*D4770)*1.1</f>
        <v>1188000</v>
      </c>
      <c r="G4770" s="102">
        <f t="shared" ref="G4770:G4775" si="2342">(E4770*D4770)</f>
        <v>1080000</v>
      </c>
      <c r="H4770" s="165" t="s">
        <v>172</v>
      </c>
      <c r="I4770" s="71" t="s">
        <v>109</v>
      </c>
      <c r="J4770" s="53">
        <f t="shared" ref="J4770:J4782" si="2343">G4770-T4770</f>
        <v>212000</v>
      </c>
      <c r="K4770" s="63">
        <f>(J4770/(F4770/11*10))</f>
        <v>0.1962962962962963</v>
      </c>
      <c r="L4770" s="983" t="s">
        <v>3243</v>
      </c>
      <c r="M4770" s="468"/>
      <c r="N4770" s="1192">
        <f t="shared" ref="N4770:N4775" si="2344">A4770</f>
        <v>44595</v>
      </c>
      <c r="O4770" s="71" t="s">
        <v>147</v>
      </c>
      <c r="P4770" s="103" t="str">
        <f t="shared" ref="P4770:P4782" si="2345">(C4770)</f>
        <v>Blanket(1050*840)</v>
      </c>
      <c r="Q4770" s="71">
        <f t="shared" ref="Q4770:Q4778" si="2346">D4770</f>
        <v>10</v>
      </c>
      <c r="R4770" s="102">
        <v>86800</v>
      </c>
      <c r="S4770" s="102">
        <f t="shared" ref="S4770:S4798" si="2347">R4770*Q4770*1.1</f>
        <v>954800.00000000012</v>
      </c>
      <c r="T4770" s="102">
        <f>R4770*Q4770</f>
        <v>868000</v>
      </c>
      <c r="U4770" s="71" t="str">
        <f>IF(J4770=W4770,"O", "X")</f>
        <v>X</v>
      </c>
      <c r="V4770" s="71"/>
      <c r="W4770" s="474">
        <v>275000</v>
      </c>
      <c r="X4770" s="71"/>
      <c r="Y4770" s="71"/>
    </row>
    <row r="4771" spans="1:25" ht="30" hidden="1" customHeight="1" x14ac:dyDescent="0.25">
      <c r="A4771" s="1145">
        <v>44596</v>
      </c>
      <c r="B4771" s="664" t="s">
        <v>545</v>
      </c>
      <c r="C4771" s="71" t="s">
        <v>952</v>
      </c>
      <c r="D4771" s="71">
        <v>1</v>
      </c>
      <c r="E4771" s="102">
        <v>660000</v>
      </c>
      <c r="F4771" s="102">
        <f>(E4771*D4771)*1.1</f>
        <v>726000.00000000012</v>
      </c>
      <c r="G4771" s="102">
        <f t="shared" si="2342"/>
        <v>660000</v>
      </c>
      <c r="H4771" s="690" t="s">
        <v>173</v>
      </c>
      <c r="I4771" s="71" t="s">
        <v>108</v>
      </c>
      <c r="J4771" s="53">
        <f t="shared" si="2343"/>
        <v>198000</v>
      </c>
      <c r="K4771" s="63">
        <f>(J4771/(F4771/11*10))</f>
        <v>0.29999999999999993</v>
      </c>
      <c r="L4771" s="983" t="s">
        <v>3243</v>
      </c>
      <c r="M4771" s="468"/>
      <c r="N4771" s="1192">
        <f t="shared" si="2344"/>
        <v>44596</v>
      </c>
      <c r="O4771" s="71" t="s">
        <v>599</v>
      </c>
      <c r="P4771" s="103" t="str">
        <f t="shared" si="2345"/>
        <v>점보롤 세정포</v>
      </c>
      <c r="Q4771" s="71">
        <f t="shared" si="2346"/>
        <v>1</v>
      </c>
      <c r="R4771" s="102">
        <v>462000</v>
      </c>
      <c r="S4771" s="102">
        <f t="shared" si="2347"/>
        <v>508200.00000000006</v>
      </c>
      <c r="T4771" s="102">
        <f>R4771*Q4771</f>
        <v>462000</v>
      </c>
      <c r="U4771" s="71" t="str">
        <f>IF(J4771=W4771,"O", "X")</f>
        <v>O</v>
      </c>
      <c r="V4771" s="71" t="s">
        <v>1228</v>
      </c>
      <c r="W4771" s="474">
        <f>(G4771-T4771)</f>
        <v>198000</v>
      </c>
      <c r="X4771" s="71"/>
      <c r="Y4771" s="71"/>
    </row>
    <row r="4772" spans="1:25" ht="30" customHeight="1" x14ac:dyDescent="0.2">
      <c r="A4772" s="1145">
        <v>44599</v>
      </c>
      <c r="B4772" s="664" t="s">
        <v>565</v>
      </c>
      <c r="C4772" s="71" t="s">
        <v>2081</v>
      </c>
      <c r="D4772" s="71">
        <v>100</v>
      </c>
      <c r="E4772" s="102">
        <v>69000</v>
      </c>
      <c r="F4772" s="102">
        <f t="shared" si="2341"/>
        <v>7590000.0000000009</v>
      </c>
      <c r="G4772" s="102">
        <f t="shared" si="2342"/>
        <v>6900000</v>
      </c>
      <c r="H4772" s="165" t="s">
        <v>173</v>
      </c>
      <c r="I4772" s="71" t="s">
        <v>2231</v>
      </c>
      <c r="J4772" s="53">
        <f t="shared" si="2343"/>
        <v>1371000</v>
      </c>
      <c r="K4772" s="63">
        <f>(J4772/(F4772/11*10))</f>
        <v>0.19869565217391302</v>
      </c>
      <c r="L4772" s="983" t="s">
        <v>3243</v>
      </c>
      <c r="M4772" s="468"/>
      <c r="N4772" s="1192">
        <f t="shared" si="2344"/>
        <v>44599</v>
      </c>
      <c r="O4772" s="71" t="s">
        <v>599</v>
      </c>
      <c r="P4772" s="103" t="str">
        <f t="shared" si="2345"/>
        <v>GOSS 신문윤전 습식세정포</v>
      </c>
      <c r="Q4772" s="71">
        <f t="shared" si="2346"/>
        <v>100</v>
      </c>
      <c r="R4772" s="102">
        <v>51000</v>
      </c>
      <c r="S4772" s="102">
        <f t="shared" si="2347"/>
        <v>5610000</v>
      </c>
      <c r="T4772" s="102">
        <f>R4772*Q4772+429000</f>
        <v>5529000</v>
      </c>
      <c r="U4772" s="71" t="str">
        <f>IF(J4772=W4772,"O", "X")</f>
        <v>X</v>
      </c>
      <c r="V4772" s="71"/>
      <c r="W4772" s="474"/>
      <c r="X4772" s="71"/>
      <c r="Y4772" s="71"/>
    </row>
    <row r="4773" spans="1:25" ht="30" hidden="1" customHeight="1" x14ac:dyDescent="0.2">
      <c r="A4773" s="1145">
        <v>44599</v>
      </c>
      <c r="B4773" s="664" t="s">
        <v>548</v>
      </c>
      <c r="C4773" s="71" t="s">
        <v>107</v>
      </c>
      <c r="D4773" s="71">
        <v>10</v>
      </c>
      <c r="E4773" s="102">
        <v>90000</v>
      </c>
      <c r="F4773" s="102">
        <f t="shared" si="2341"/>
        <v>990000.00000000012</v>
      </c>
      <c r="G4773" s="102">
        <f t="shared" si="2342"/>
        <v>900000</v>
      </c>
      <c r="H4773" s="165" t="s">
        <v>172</v>
      </c>
      <c r="I4773" s="71" t="s">
        <v>109</v>
      </c>
      <c r="J4773" s="53">
        <f t="shared" si="2343"/>
        <v>32000</v>
      </c>
      <c r="K4773" s="63">
        <v>0.10555555555555554</v>
      </c>
      <c r="L4773" s="983" t="s">
        <v>3243</v>
      </c>
      <c r="M4773" s="468"/>
      <c r="N4773" s="1192">
        <f t="shared" si="2344"/>
        <v>44599</v>
      </c>
      <c r="O4773" s="71" t="s">
        <v>147</v>
      </c>
      <c r="P4773" s="164" t="str">
        <f t="shared" si="2345"/>
        <v>Blanket(1050*840)</v>
      </c>
      <c r="Q4773" s="71">
        <f t="shared" si="2346"/>
        <v>10</v>
      </c>
      <c r="R4773" s="102">
        <v>86800</v>
      </c>
      <c r="S4773" s="102">
        <f t="shared" si="2347"/>
        <v>954800.00000000012</v>
      </c>
      <c r="T4773" s="102">
        <f t="shared" ref="T4773:T4779" si="2348">R4773*Q4773</f>
        <v>868000</v>
      </c>
      <c r="U4773" s="71" t="s">
        <v>859</v>
      </c>
      <c r="V4773" s="71"/>
      <c r="W4773" s="474"/>
      <c r="X4773" s="71"/>
      <c r="Y4773" s="71"/>
    </row>
    <row r="4774" spans="1:25" ht="30" hidden="1" customHeight="1" x14ac:dyDescent="0.25">
      <c r="A4774" s="1145">
        <v>44599</v>
      </c>
      <c r="B4774" s="664" t="s">
        <v>548</v>
      </c>
      <c r="C4774" s="71" t="s">
        <v>2973</v>
      </c>
      <c r="D4774" s="71">
        <v>10</v>
      </c>
      <c r="E4774" s="102">
        <v>100000</v>
      </c>
      <c r="F4774" s="102">
        <f t="shared" si="2341"/>
        <v>1100000</v>
      </c>
      <c r="G4774" s="102">
        <f t="shared" si="2342"/>
        <v>1000000</v>
      </c>
      <c r="H4774" s="690" t="s">
        <v>173</v>
      </c>
      <c r="I4774" s="71" t="s">
        <v>2231</v>
      </c>
      <c r="J4774" s="53">
        <f t="shared" si="2343"/>
        <v>70000</v>
      </c>
      <c r="K4774" s="63">
        <v>0.13800000000000001</v>
      </c>
      <c r="L4774" s="983" t="s">
        <v>3243</v>
      </c>
      <c r="M4774" s="468"/>
      <c r="N4774" s="1192">
        <f t="shared" si="2344"/>
        <v>44599</v>
      </c>
      <c r="O4774" s="71" t="s">
        <v>147</v>
      </c>
      <c r="P4774" s="103" t="str">
        <f t="shared" si="2345"/>
        <v>1077*885 하이델 bar 블랑켓</v>
      </c>
      <c r="Q4774" s="71">
        <f t="shared" si="2346"/>
        <v>10</v>
      </c>
      <c r="R4774" s="102">
        <v>93000</v>
      </c>
      <c r="S4774" s="102">
        <f t="shared" si="2347"/>
        <v>1023000.0000000001</v>
      </c>
      <c r="T4774" s="102">
        <f t="shared" si="2348"/>
        <v>930000</v>
      </c>
      <c r="U4774" s="71"/>
      <c r="V4774" s="71"/>
      <c r="W4774" s="474"/>
      <c r="X4774" s="71"/>
      <c r="Y4774" s="71"/>
    </row>
    <row r="4775" spans="1:25" ht="30" hidden="1" customHeight="1" x14ac:dyDescent="0.25">
      <c r="A4775" s="1145">
        <v>44601</v>
      </c>
      <c r="B4775" s="664" t="s">
        <v>856</v>
      </c>
      <c r="C4775" s="71" t="s">
        <v>2489</v>
      </c>
      <c r="D4775" s="71">
        <v>5</v>
      </c>
      <c r="E4775" s="102">
        <v>890000</v>
      </c>
      <c r="F4775" s="102">
        <f t="shared" si="2341"/>
        <v>4895000</v>
      </c>
      <c r="G4775" s="102">
        <f t="shared" si="2342"/>
        <v>4450000</v>
      </c>
      <c r="H4775" s="690" t="s">
        <v>173</v>
      </c>
      <c r="I4775" s="71" t="s">
        <v>2184</v>
      </c>
      <c r="J4775" s="53">
        <f t="shared" si="2343"/>
        <v>1950000</v>
      </c>
      <c r="K4775" s="63">
        <f t="shared" ref="K4775:K4782" si="2349">(J4775/(F4775/11*10))</f>
        <v>0.43820224719101125</v>
      </c>
      <c r="L4775" s="983" t="s">
        <v>3243</v>
      </c>
      <c r="M4775" s="468"/>
      <c r="N4775" s="1192">
        <f t="shared" si="2344"/>
        <v>44601</v>
      </c>
      <c r="O4775" s="71" t="s">
        <v>2472</v>
      </c>
      <c r="P4775" s="164" t="str">
        <f t="shared" si="2345"/>
        <v>료비 UV lamp</v>
      </c>
      <c r="Q4775" s="71">
        <f t="shared" si="2346"/>
        <v>5</v>
      </c>
      <c r="R4775" s="102">
        <v>500000</v>
      </c>
      <c r="S4775" s="102">
        <f t="shared" si="2347"/>
        <v>2750000</v>
      </c>
      <c r="T4775" s="102">
        <f t="shared" si="2348"/>
        <v>2500000</v>
      </c>
      <c r="U4775" s="71"/>
      <c r="V4775" s="71"/>
      <c r="W4775" s="474"/>
      <c r="X4775" s="71"/>
      <c r="Y4775" s="71"/>
    </row>
    <row r="4776" spans="1:25" ht="30" hidden="1" customHeight="1" x14ac:dyDescent="0.25">
      <c r="A4776" s="1145">
        <v>44601</v>
      </c>
      <c r="B4776" s="664" t="s">
        <v>446</v>
      </c>
      <c r="C4776" s="71" t="s">
        <v>2028</v>
      </c>
      <c r="D4776" s="71">
        <v>20</v>
      </c>
      <c r="E4776" s="102">
        <v>105000</v>
      </c>
      <c r="F4776" s="102">
        <f t="shared" si="2341"/>
        <v>2310000</v>
      </c>
      <c r="G4776" s="102">
        <f t="shared" ref="G4776:G4782" si="2350">(E4776*D4776)</f>
        <v>2100000</v>
      </c>
      <c r="H4776" s="690" t="s">
        <v>2029</v>
      </c>
      <c r="I4776" s="71" t="s">
        <v>2231</v>
      </c>
      <c r="J4776" s="53">
        <f t="shared" si="2343"/>
        <v>280000</v>
      </c>
      <c r="K4776" s="63">
        <f t="shared" si="2349"/>
        <v>0.13333333333333333</v>
      </c>
      <c r="L4776" s="983" t="s">
        <v>3243</v>
      </c>
      <c r="M4776" s="468"/>
      <c r="N4776" s="1192">
        <f t="shared" ref="N4776:N4782" si="2351">A4776</f>
        <v>44601</v>
      </c>
      <c r="O4776" s="71" t="s">
        <v>2030</v>
      </c>
      <c r="P4776" s="164" t="str">
        <f t="shared" si="2345"/>
        <v>실리콘 에멀전</v>
      </c>
      <c r="Q4776" s="71">
        <f t="shared" si="2346"/>
        <v>20</v>
      </c>
      <c r="R4776" s="102">
        <v>91000</v>
      </c>
      <c r="S4776" s="102">
        <f t="shared" si="2347"/>
        <v>2002000.0000000002</v>
      </c>
      <c r="T4776" s="102">
        <f t="shared" si="2348"/>
        <v>1820000</v>
      </c>
      <c r="U4776" s="71" t="str">
        <f>IF(J4776=W4776,"O", "X")</f>
        <v>X</v>
      </c>
      <c r="V4776" s="71"/>
      <c r="W4776" s="474"/>
      <c r="X4776" s="71"/>
      <c r="Y4776" s="71"/>
    </row>
    <row r="4777" spans="1:25" ht="30" hidden="1" customHeight="1" x14ac:dyDescent="0.25">
      <c r="A4777" s="1145">
        <v>44601</v>
      </c>
      <c r="B4777" s="664" t="s">
        <v>2155</v>
      </c>
      <c r="C4777" s="71" t="s">
        <v>3274</v>
      </c>
      <c r="D4777" s="71">
        <v>1</v>
      </c>
      <c r="E4777" s="102">
        <v>21500000</v>
      </c>
      <c r="F4777" s="102">
        <f>(E4777*D4777)*1.1</f>
        <v>23650000.000000004</v>
      </c>
      <c r="G4777" s="102">
        <f>(E4777*D4777)</f>
        <v>21500000</v>
      </c>
      <c r="H4777" s="690" t="s">
        <v>1431</v>
      </c>
      <c r="I4777" s="71" t="s">
        <v>1431</v>
      </c>
      <c r="J4777" s="53">
        <f t="shared" si="2343"/>
        <v>8830420</v>
      </c>
      <c r="K4777" s="63">
        <f t="shared" si="2349"/>
        <v>0.41071720930232553</v>
      </c>
      <c r="L4777" s="983" t="s">
        <v>3243</v>
      </c>
      <c r="M4777" s="468"/>
      <c r="N4777" s="1192">
        <f>A4777</f>
        <v>44601</v>
      </c>
      <c r="O4777" s="71" t="s">
        <v>1431</v>
      </c>
      <c r="P4777" s="164" t="str">
        <f t="shared" si="2345"/>
        <v>CPU 고장품반납</v>
      </c>
      <c r="Q4777" s="71">
        <f t="shared" si="2346"/>
        <v>1</v>
      </c>
      <c r="R4777" s="102">
        <v>12669580</v>
      </c>
      <c r="S4777" s="102">
        <f t="shared" si="2347"/>
        <v>13936538.000000002</v>
      </c>
      <c r="T4777" s="102">
        <f t="shared" si="2348"/>
        <v>12669580</v>
      </c>
      <c r="U4777" s="71"/>
      <c r="V4777" s="71"/>
      <c r="W4777" s="474"/>
      <c r="X4777" s="71"/>
      <c r="Y4777" s="71"/>
    </row>
    <row r="4778" spans="1:25" ht="30" hidden="1" customHeight="1" x14ac:dyDescent="0.25">
      <c r="A4778" s="1145">
        <v>44602</v>
      </c>
      <c r="B4778" s="664" t="s">
        <v>546</v>
      </c>
      <c r="C4778" s="71" t="s">
        <v>2574</v>
      </c>
      <c r="D4778" s="71">
        <v>30</v>
      </c>
      <c r="E4778" s="102">
        <v>26000</v>
      </c>
      <c r="F4778" s="102">
        <f>(E4778*D4778)*1.1</f>
        <v>858000.00000000012</v>
      </c>
      <c r="G4778" s="102">
        <f>(E4778*D4778)</f>
        <v>780000</v>
      </c>
      <c r="H4778" s="690" t="s">
        <v>1431</v>
      </c>
      <c r="I4778" s="71" t="s">
        <v>1431</v>
      </c>
      <c r="J4778" s="53">
        <f t="shared" si="2343"/>
        <v>477780</v>
      </c>
      <c r="K4778" s="63">
        <f t="shared" si="2349"/>
        <v>0.61253846153846148</v>
      </c>
      <c r="L4778" s="983" t="s">
        <v>3243</v>
      </c>
      <c r="M4778" s="468"/>
      <c r="N4778" s="1192">
        <f>A4778</f>
        <v>44602</v>
      </c>
      <c r="O4778" s="71" t="s">
        <v>1431</v>
      </c>
      <c r="P4778" s="164" t="str">
        <f>(C4778)</f>
        <v>링크체인</v>
      </c>
      <c r="Q4778" s="71">
        <f t="shared" si="2346"/>
        <v>30</v>
      </c>
      <c r="R4778" s="102">
        <v>10074</v>
      </c>
      <c r="S4778" s="102">
        <f t="shared" si="2347"/>
        <v>332442</v>
      </c>
      <c r="T4778" s="102">
        <f t="shared" si="2348"/>
        <v>302220</v>
      </c>
      <c r="U4778" s="71"/>
      <c r="V4778" s="71"/>
      <c r="W4778" s="474"/>
      <c r="X4778" s="71"/>
      <c r="Y4778" s="71"/>
    </row>
    <row r="4779" spans="1:25" ht="30" hidden="1" customHeight="1" x14ac:dyDescent="0.25">
      <c r="A4779" s="1145">
        <v>44602</v>
      </c>
      <c r="B4779" s="664" t="s">
        <v>442</v>
      </c>
      <c r="C4779" s="71" t="s">
        <v>651</v>
      </c>
      <c r="D4779" s="71">
        <v>10</v>
      </c>
      <c r="E4779" s="102">
        <v>41000</v>
      </c>
      <c r="F4779" s="102">
        <f t="shared" si="2341"/>
        <v>451000.00000000006</v>
      </c>
      <c r="G4779" s="102">
        <f t="shared" si="2350"/>
        <v>410000</v>
      </c>
      <c r="H4779" s="690" t="s">
        <v>2029</v>
      </c>
      <c r="I4779" s="71" t="s">
        <v>195</v>
      </c>
      <c r="J4779" s="53">
        <f t="shared" si="2343"/>
        <v>245000</v>
      </c>
      <c r="K4779" s="63">
        <f t="shared" si="2349"/>
        <v>0.59756097560975596</v>
      </c>
      <c r="L4779" s="983" t="s">
        <v>3243</v>
      </c>
      <c r="M4779" s="468"/>
      <c r="N4779" s="1192">
        <f t="shared" si="2351"/>
        <v>44602</v>
      </c>
      <c r="O4779" s="71" t="s">
        <v>194</v>
      </c>
      <c r="P4779" s="164" t="str">
        <f t="shared" si="2345"/>
        <v>Agfa 현상액 G101C(10L)</v>
      </c>
      <c r="Q4779" s="71">
        <v>6</v>
      </c>
      <c r="R4779" s="102">
        <v>27500</v>
      </c>
      <c r="S4779" s="102">
        <f t="shared" si="2347"/>
        <v>181500.00000000003</v>
      </c>
      <c r="T4779" s="102">
        <f t="shared" si="2348"/>
        <v>165000</v>
      </c>
      <c r="U4779" s="71" t="str">
        <f>IF(J4779=W4779,"O", "X")</f>
        <v>O</v>
      </c>
      <c r="V4779" s="71"/>
      <c r="W4779" s="474">
        <f>(G4779-T4779)</f>
        <v>245000</v>
      </c>
      <c r="X4779" s="71"/>
      <c r="Y4779" s="71"/>
    </row>
    <row r="4780" spans="1:25" ht="30" hidden="1" customHeight="1" x14ac:dyDescent="0.25">
      <c r="A4780" s="1145">
        <v>44602</v>
      </c>
      <c r="B4780" s="664" t="s">
        <v>442</v>
      </c>
      <c r="C4780" s="71" t="s">
        <v>3271</v>
      </c>
      <c r="D4780" s="71">
        <v>24</v>
      </c>
      <c r="E4780" s="102">
        <v>62500</v>
      </c>
      <c r="F4780" s="102">
        <f>(E4780*D4780)*1.1</f>
        <v>1650000.0000000002</v>
      </c>
      <c r="G4780" s="102">
        <f>(E4780*D4780)</f>
        <v>1500000</v>
      </c>
      <c r="H4780" s="690" t="s">
        <v>173</v>
      </c>
      <c r="I4780" s="71" t="s">
        <v>108</v>
      </c>
      <c r="J4780" s="53">
        <f t="shared" si="2343"/>
        <v>430000</v>
      </c>
      <c r="K4780" s="63">
        <f t="shared" si="2349"/>
        <v>0.28666666666666663</v>
      </c>
      <c r="L4780" s="983" t="s">
        <v>3243</v>
      </c>
      <c r="M4780" s="468" t="s">
        <v>3080</v>
      </c>
      <c r="N4780" s="1192">
        <f t="shared" si="2351"/>
        <v>44602</v>
      </c>
      <c r="O4780" s="71" t="s">
        <v>149</v>
      </c>
      <c r="P4780" s="71" t="s">
        <v>3271</v>
      </c>
      <c r="Q4780" s="71">
        <f>D4780</f>
        <v>24</v>
      </c>
      <c r="R4780" s="102">
        <v>40000</v>
      </c>
      <c r="S4780" s="102">
        <f t="shared" si="2347"/>
        <v>1056000</v>
      </c>
      <c r="T4780" s="102">
        <f>R4780*Q4780+110000</f>
        <v>1070000</v>
      </c>
      <c r="U4780" s="71" t="str">
        <f>IF(J4780=W4780,"O", "X")</f>
        <v>X</v>
      </c>
      <c r="V4780" s="71"/>
      <c r="W4780" s="474"/>
      <c r="X4780" s="71"/>
      <c r="Y4780" s="71"/>
    </row>
    <row r="4781" spans="1:25" ht="30" hidden="1" customHeight="1" x14ac:dyDescent="0.25">
      <c r="A4781" s="1145">
        <v>44603</v>
      </c>
      <c r="B4781" s="664" t="s">
        <v>545</v>
      </c>
      <c r="C4781" s="71" t="s">
        <v>1804</v>
      </c>
      <c r="D4781" s="71">
        <v>500</v>
      </c>
      <c r="E4781" s="102">
        <v>450</v>
      </c>
      <c r="F4781" s="102">
        <f t="shared" si="2341"/>
        <v>247500.00000000003</v>
      </c>
      <c r="G4781" s="102">
        <f t="shared" si="2350"/>
        <v>225000</v>
      </c>
      <c r="H4781" s="690" t="s">
        <v>173</v>
      </c>
      <c r="I4781" s="71" t="s">
        <v>2231</v>
      </c>
      <c r="J4781" s="53">
        <f t="shared" si="2343"/>
        <v>100000</v>
      </c>
      <c r="K4781" s="63">
        <f t="shared" si="2349"/>
        <v>0.44444444444444436</v>
      </c>
      <c r="L4781" s="983" t="s">
        <v>3243</v>
      </c>
      <c r="M4781" s="468"/>
      <c r="N4781" s="1192">
        <f t="shared" si="2351"/>
        <v>44603</v>
      </c>
      <c r="O4781" s="71" t="s">
        <v>149</v>
      </c>
      <c r="P4781" s="164" t="str">
        <f t="shared" si="2345"/>
        <v>고무사카 노란색</v>
      </c>
      <c r="Q4781" s="71">
        <f>D4781</f>
        <v>500</v>
      </c>
      <c r="R4781" s="102">
        <v>250</v>
      </c>
      <c r="S4781" s="102">
        <f t="shared" si="2347"/>
        <v>137500</v>
      </c>
      <c r="T4781" s="102">
        <f t="shared" ref="T4781:T4791" si="2352">R4781*Q4781</f>
        <v>125000</v>
      </c>
      <c r="U4781" s="71"/>
      <c r="V4781" s="71"/>
      <c r="W4781" s="474"/>
      <c r="X4781" s="71"/>
      <c r="Y4781" s="71"/>
    </row>
    <row r="4782" spans="1:25" ht="30" hidden="1" customHeight="1" x14ac:dyDescent="0.25">
      <c r="A4782" s="1145">
        <v>44603</v>
      </c>
      <c r="B4782" s="664" t="s">
        <v>690</v>
      </c>
      <c r="C4782" s="71" t="s">
        <v>1186</v>
      </c>
      <c r="D4782" s="71">
        <v>2000</v>
      </c>
      <c r="E4782" s="102">
        <v>3860</v>
      </c>
      <c r="F4782" s="102">
        <f t="shared" si="2341"/>
        <v>8492000</v>
      </c>
      <c r="G4782" s="102">
        <f t="shared" si="2350"/>
        <v>7720000</v>
      </c>
      <c r="H4782" s="690" t="s">
        <v>173</v>
      </c>
      <c r="I4782" s="71" t="s">
        <v>2230</v>
      </c>
      <c r="J4782" s="53">
        <f t="shared" si="2343"/>
        <v>700000</v>
      </c>
      <c r="K4782" s="63">
        <f t="shared" si="2349"/>
        <v>9.0673575129533682E-2</v>
      </c>
      <c r="L4782" s="983" t="s">
        <v>3243</v>
      </c>
      <c r="M4782" s="468" t="s">
        <v>3078</v>
      </c>
      <c r="N4782" s="1192">
        <f t="shared" si="2351"/>
        <v>44603</v>
      </c>
      <c r="O4782" s="71" t="s">
        <v>145</v>
      </c>
      <c r="P4782" s="164" t="str">
        <f t="shared" si="2345"/>
        <v>CTP 판(1030*790mm)</v>
      </c>
      <c r="Q4782" s="71">
        <f>D4782</f>
        <v>2000</v>
      </c>
      <c r="R4782" s="102">
        <v>3510</v>
      </c>
      <c r="S4782" s="102">
        <f t="shared" si="2347"/>
        <v>7722000.0000000009</v>
      </c>
      <c r="T4782" s="102">
        <f t="shared" si="2352"/>
        <v>7020000</v>
      </c>
      <c r="U4782" s="71" t="str">
        <f>IF(J4782=W4782,"O", "X")</f>
        <v>X</v>
      </c>
      <c r="V4782" s="71"/>
      <c r="W4782" s="474"/>
      <c r="X4782" s="71"/>
      <c r="Y4782" s="71"/>
    </row>
    <row r="4783" spans="1:25" ht="30" customHeight="1" x14ac:dyDescent="0.2">
      <c r="A4783" s="1145">
        <v>44607</v>
      </c>
      <c r="B4783" s="664" t="s">
        <v>565</v>
      </c>
      <c r="C4783" s="71" t="s">
        <v>129</v>
      </c>
      <c r="D4783" s="71">
        <v>7</v>
      </c>
      <c r="E4783" s="102">
        <v>272000</v>
      </c>
      <c r="F4783" s="102">
        <v>2094400.0000000002</v>
      </c>
      <c r="G4783" s="102">
        <v>1904000</v>
      </c>
      <c r="H4783" s="165" t="s">
        <v>142</v>
      </c>
      <c r="I4783" s="71" t="s">
        <v>142</v>
      </c>
      <c r="J4783" s="53">
        <v>414400</v>
      </c>
      <c r="K4783" s="63">
        <v>0.21764705882352939</v>
      </c>
      <c r="L4783" s="983" t="s">
        <v>3243</v>
      </c>
      <c r="M4783" s="468" t="s">
        <v>2050</v>
      </c>
      <c r="N4783" s="1192">
        <v>44538</v>
      </c>
      <c r="O4783" s="71" t="s">
        <v>149</v>
      </c>
      <c r="P4783" s="103" t="str">
        <f t="shared" ref="P4783:P4802" si="2353">(C4783)</f>
        <v>세정포-XL106</v>
      </c>
      <c r="Q4783" s="71">
        <f t="shared" ref="Q4783:Q4801" si="2354">D4783</f>
        <v>7</v>
      </c>
      <c r="R4783" s="102">
        <v>212800</v>
      </c>
      <c r="S4783" s="102">
        <f t="shared" si="2347"/>
        <v>1638560.0000000002</v>
      </c>
      <c r="T4783" s="102">
        <f t="shared" si="2352"/>
        <v>1489600</v>
      </c>
      <c r="U4783" s="71" t="s">
        <v>859</v>
      </c>
      <c r="V4783" s="71"/>
      <c r="W4783" s="474"/>
      <c r="X4783" s="71"/>
      <c r="Y4783" s="71"/>
    </row>
    <row r="4784" spans="1:25" ht="30" customHeight="1" x14ac:dyDescent="0.2">
      <c r="A4784" s="1145">
        <v>44607</v>
      </c>
      <c r="B4784" s="664" t="s">
        <v>565</v>
      </c>
      <c r="C4784" s="71" t="s">
        <v>130</v>
      </c>
      <c r="D4784" s="71">
        <v>10</v>
      </c>
      <c r="E4784" s="102">
        <v>125000</v>
      </c>
      <c r="F4784" s="102">
        <v>1375000</v>
      </c>
      <c r="G4784" s="102">
        <v>1250000</v>
      </c>
      <c r="H4784" s="165" t="s">
        <v>142</v>
      </c>
      <c r="I4784" s="71" t="s">
        <v>142</v>
      </c>
      <c r="J4784" s="53">
        <v>260000</v>
      </c>
      <c r="K4784" s="63">
        <v>0.20799999999999999</v>
      </c>
      <c r="L4784" s="983" t="s">
        <v>3243</v>
      </c>
      <c r="M4784" s="468" t="s">
        <v>2050</v>
      </c>
      <c r="N4784" s="1192">
        <v>44544</v>
      </c>
      <c r="O4784" s="71" t="s">
        <v>150</v>
      </c>
      <c r="P4784" s="164" t="str">
        <f t="shared" si="2353"/>
        <v>XL106 Blanket(1077*885)</v>
      </c>
      <c r="Q4784" s="71">
        <f t="shared" si="2354"/>
        <v>10</v>
      </c>
      <c r="R4784" s="102">
        <v>99000</v>
      </c>
      <c r="S4784" s="102">
        <f t="shared" si="2347"/>
        <v>1089000</v>
      </c>
      <c r="T4784" s="102">
        <f t="shared" si="2352"/>
        <v>990000</v>
      </c>
      <c r="U4784" s="71" t="s">
        <v>859</v>
      </c>
      <c r="V4784" s="71"/>
      <c r="W4784" s="474"/>
      <c r="X4784" s="71"/>
      <c r="Y4784" s="71"/>
    </row>
    <row r="4785" spans="1:25" ht="30" customHeight="1" x14ac:dyDescent="0.2">
      <c r="A4785" s="1145">
        <v>44607</v>
      </c>
      <c r="B4785" s="664" t="s">
        <v>565</v>
      </c>
      <c r="C4785" s="71" t="s">
        <v>3271</v>
      </c>
      <c r="D4785" s="71">
        <v>10</v>
      </c>
      <c r="E4785" s="102">
        <v>54400</v>
      </c>
      <c r="F4785" s="102">
        <v>598400</v>
      </c>
      <c r="G4785" s="102">
        <v>544000</v>
      </c>
      <c r="H4785" s="165" t="s">
        <v>142</v>
      </c>
      <c r="I4785" s="71" t="s">
        <v>142</v>
      </c>
      <c r="J4785" s="53">
        <v>136000</v>
      </c>
      <c r="K4785" s="63">
        <v>0.25</v>
      </c>
      <c r="L4785" s="983" t="s">
        <v>3243</v>
      </c>
      <c r="M4785" s="468" t="s">
        <v>2214</v>
      </c>
      <c r="N4785" s="1192">
        <v>44544</v>
      </c>
      <c r="O4785" s="71" t="s">
        <v>149</v>
      </c>
      <c r="P4785" s="71" t="s">
        <v>3271</v>
      </c>
      <c r="Q4785" s="71">
        <f t="shared" si="2354"/>
        <v>10</v>
      </c>
      <c r="R4785" s="102">
        <v>40000</v>
      </c>
      <c r="S4785" s="102">
        <f t="shared" si="2347"/>
        <v>440000.00000000006</v>
      </c>
      <c r="T4785" s="102">
        <f t="shared" si="2352"/>
        <v>400000</v>
      </c>
      <c r="U4785" s="71" t="s">
        <v>859</v>
      </c>
      <c r="V4785" s="71"/>
      <c r="W4785" s="474"/>
      <c r="X4785" s="71"/>
      <c r="Y4785" s="71"/>
    </row>
    <row r="4786" spans="1:25" ht="30" customHeight="1" x14ac:dyDescent="0.2">
      <c r="A4786" s="1145">
        <v>44607</v>
      </c>
      <c r="B4786" s="664" t="s">
        <v>565</v>
      </c>
      <c r="C4786" s="71" t="s">
        <v>3276</v>
      </c>
      <c r="D4786" s="71">
        <v>1</v>
      </c>
      <c r="E4786" s="102">
        <v>125000</v>
      </c>
      <c r="F4786" s="102">
        <f>(E4786*D4786)*1.1</f>
        <v>137500</v>
      </c>
      <c r="G4786" s="102">
        <f>(E4786*D4786)</f>
        <v>125000</v>
      </c>
      <c r="H4786" s="165" t="s">
        <v>1786</v>
      </c>
      <c r="I4786" s="71" t="s">
        <v>142</v>
      </c>
      <c r="J4786" s="53">
        <f t="shared" ref="J4786:J4798" si="2355">G4786-T4786</f>
        <v>-162445.77794943674</v>
      </c>
      <c r="K4786" s="63">
        <f>(J4786/(F4786/11*10))</f>
        <v>-1.2995662235954939</v>
      </c>
      <c r="L4786" s="983" t="s">
        <v>3277</v>
      </c>
      <c r="M4786" s="468"/>
      <c r="N4786" s="1192"/>
      <c r="O4786" s="71" t="s">
        <v>94</v>
      </c>
      <c r="P4786" s="164" t="str">
        <f t="shared" si="2353"/>
        <v>M600 근접센스/칠롤</v>
      </c>
      <c r="Q4786" s="71">
        <f t="shared" si="2354"/>
        <v>1</v>
      </c>
      <c r="R4786" s="102">
        <v>287445.77794943674</v>
      </c>
      <c r="S4786" s="102">
        <f t="shared" si="2347"/>
        <v>316190.35574438045</v>
      </c>
      <c r="T4786" s="102">
        <f t="shared" si="2352"/>
        <v>287445.77794943674</v>
      </c>
      <c r="U4786" s="71"/>
      <c r="V4786" s="71"/>
      <c r="W4786" s="474"/>
      <c r="X4786" s="71"/>
      <c r="Y4786" s="71"/>
    </row>
    <row r="4787" spans="1:25" ht="30" customHeight="1" x14ac:dyDescent="0.2">
      <c r="A4787" s="1145">
        <v>44607</v>
      </c>
      <c r="B4787" s="664" t="s">
        <v>565</v>
      </c>
      <c r="C4787" s="71" t="s">
        <v>3278</v>
      </c>
      <c r="D4787" s="71">
        <v>1</v>
      </c>
      <c r="E4787" s="102">
        <v>1800000</v>
      </c>
      <c r="F4787" s="102">
        <f>(E4787*D4787)*1.1</f>
        <v>1980000.0000000002</v>
      </c>
      <c r="G4787" s="102">
        <f>(E4787*D4787)</f>
        <v>1800000</v>
      </c>
      <c r="H4787" s="165" t="s">
        <v>1786</v>
      </c>
      <c r="I4787" s="71" t="s">
        <v>142</v>
      </c>
      <c r="J4787" s="53">
        <f t="shared" si="2355"/>
        <v>677087.13794943667</v>
      </c>
      <c r="K4787" s="63">
        <f>(J4787/(F4787/11*10))</f>
        <v>0.37615952108302031</v>
      </c>
      <c r="L4787" s="983" t="s">
        <v>3277</v>
      </c>
      <c r="M4787" s="468"/>
      <c r="N4787" s="1192"/>
      <c r="O4787" s="71" t="s">
        <v>94</v>
      </c>
      <c r="P4787" s="164" t="str">
        <f t="shared" si="2353"/>
        <v>M600 잉크 레벨센스</v>
      </c>
      <c r="Q4787" s="71">
        <f t="shared" si="2354"/>
        <v>1</v>
      </c>
      <c r="R4787" s="102">
        <v>1122912.8620505633</v>
      </c>
      <c r="S4787" s="102">
        <f t="shared" si="2347"/>
        <v>1235204.1482556197</v>
      </c>
      <c r="T4787" s="102">
        <f t="shared" si="2352"/>
        <v>1122912.8620505633</v>
      </c>
      <c r="U4787" s="71"/>
      <c r="V4787" s="71"/>
      <c r="W4787" s="474"/>
      <c r="X4787" s="71"/>
      <c r="Y4787" s="71"/>
    </row>
    <row r="4788" spans="1:25" ht="30" hidden="1" customHeight="1" x14ac:dyDescent="0.25">
      <c r="A4788" s="1145">
        <v>44608</v>
      </c>
      <c r="B4788" s="664" t="s">
        <v>548</v>
      </c>
      <c r="C4788" s="71" t="s">
        <v>111</v>
      </c>
      <c r="D4788" s="71">
        <v>200</v>
      </c>
      <c r="E4788" s="102">
        <v>450</v>
      </c>
      <c r="F4788" s="102">
        <f>(E4788*D4788)*1.1</f>
        <v>99000.000000000015</v>
      </c>
      <c r="G4788" s="102">
        <f>(E4788*D4788)</f>
        <v>90000</v>
      </c>
      <c r="H4788" s="690" t="s">
        <v>173</v>
      </c>
      <c r="I4788" s="71" t="s">
        <v>2231</v>
      </c>
      <c r="J4788" s="53">
        <f t="shared" si="2355"/>
        <v>-6000</v>
      </c>
      <c r="K4788" s="63">
        <f>(J4788/(F4788/11*10))</f>
        <v>-6.6666666666666652E-2</v>
      </c>
      <c r="L4788" s="983" t="s">
        <v>3243</v>
      </c>
      <c r="M4788" s="468"/>
      <c r="N4788" s="1192">
        <f>A4788</f>
        <v>44608</v>
      </c>
      <c r="O4788" s="71" t="s">
        <v>2030</v>
      </c>
      <c r="P4788" s="164" t="str">
        <f t="shared" si="2353"/>
        <v>고무사카 빨간색</v>
      </c>
      <c r="Q4788" s="71">
        <f t="shared" si="2354"/>
        <v>200</v>
      </c>
      <c r="R4788" s="102">
        <v>480</v>
      </c>
      <c r="S4788" s="102">
        <f t="shared" si="2347"/>
        <v>105600.00000000001</v>
      </c>
      <c r="T4788" s="102">
        <f t="shared" si="2352"/>
        <v>96000</v>
      </c>
      <c r="U4788" s="71"/>
      <c r="V4788" s="71"/>
      <c r="W4788" s="474"/>
      <c r="X4788" s="71"/>
      <c r="Y4788" s="71"/>
    </row>
    <row r="4789" spans="1:25" ht="30" hidden="1" customHeight="1" x14ac:dyDescent="0.25">
      <c r="A4789" s="1145">
        <v>44609</v>
      </c>
      <c r="B4789" s="664" t="s">
        <v>545</v>
      </c>
      <c r="C4789" s="71" t="s">
        <v>227</v>
      </c>
      <c r="D4789" s="71">
        <v>10</v>
      </c>
      <c r="E4789" s="102">
        <v>125000</v>
      </c>
      <c r="F4789" s="102">
        <f t="shared" ref="F4789:F4797" si="2356">(E4789*D4789)*1.1</f>
        <v>1375000</v>
      </c>
      <c r="G4789" s="102">
        <f t="shared" ref="G4789:G4797" si="2357">(E4789*D4789)</f>
        <v>1250000</v>
      </c>
      <c r="H4789" s="690" t="s">
        <v>173</v>
      </c>
      <c r="I4789" s="71" t="s">
        <v>109</v>
      </c>
      <c r="J4789" s="53">
        <f t="shared" si="2355"/>
        <v>356000</v>
      </c>
      <c r="K4789" s="63">
        <f t="shared" ref="K4789:K4797" si="2358">(J4789/(F4789/11*10))</f>
        <v>0.2848</v>
      </c>
      <c r="L4789" s="983" t="s">
        <v>3243</v>
      </c>
      <c r="M4789" s="468"/>
      <c r="N4789" s="1192">
        <f t="shared" ref="N4789:N4797" si="2359">A4789</f>
        <v>44609</v>
      </c>
      <c r="O4789" s="71" t="s">
        <v>147</v>
      </c>
      <c r="P4789" s="164" t="str">
        <f t="shared" ref="P4789:P4797" si="2360">(C4789)</f>
        <v>Blanket(1060*860)</v>
      </c>
      <c r="Q4789" s="71">
        <f>D4789</f>
        <v>10</v>
      </c>
      <c r="R4789" s="102">
        <v>89400</v>
      </c>
      <c r="S4789" s="102">
        <f t="shared" si="2347"/>
        <v>983400.00000000012</v>
      </c>
      <c r="T4789" s="102">
        <f t="shared" si="2352"/>
        <v>894000</v>
      </c>
      <c r="U4789" s="71" t="str">
        <f>IF(J4789=W4789,"O", "X")</f>
        <v>X</v>
      </c>
      <c r="V4789" s="71"/>
      <c r="W4789" s="474"/>
      <c r="X4789" s="71"/>
      <c r="Y4789" s="71"/>
    </row>
    <row r="4790" spans="1:25" ht="30" hidden="1" customHeight="1" x14ac:dyDescent="0.2">
      <c r="A4790" s="1145">
        <v>44609</v>
      </c>
      <c r="B4790" s="664" t="s">
        <v>548</v>
      </c>
      <c r="C4790" s="71" t="s">
        <v>236</v>
      </c>
      <c r="D4790" s="71">
        <v>5</v>
      </c>
      <c r="E4790" s="102">
        <v>100000</v>
      </c>
      <c r="F4790" s="163">
        <f>(E4790*D4790)*1.1</f>
        <v>550000</v>
      </c>
      <c r="G4790" s="102">
        <f t="shared" si="2357"/>
        <v>500000</v>
      </c>
      <c r="H4790" s="690" t="s">
        <v>173</v>
      </c>
      <c r="I4790" s="71" t="s">
        <v>2231</v>
      </c>
      <c r="J4790" s="53">
        <f t="shared" si="2355"/>
        <v>200000</v>
      </c>
      <c r="K4790" s="63">
        <f t="shared" si="2358"/>
        <v>0.4</v>
      </c>
      <c r="L4790" s="983" t="s">
        <v>3243</v>
      </c>
      <c r="M4790" s="468"/>
      <c r="N4790" s="1192">
        <f t="shared" si="2359"/>
        <v>44609</v>
      </c>
      <c r="O4790" s="71" t="s">
        <v>3021</v>
      </c>
      <c r="P4790" s="164" t="str">
        <f t="shared" si="2360"/>
        <v>아스테이지(국전)</v>
      </c>
      <c r="Q4790" s="71">
        <f t="shared" ref="Q4790:Q4797" si="2361">D4790</f>
        <v>5</v>
      </c>
      <c r="R4790" s="102">
        <v>60000</v>
      </c>
      <c r="S4790" s="102">
        <f t="shared" si="2347"/>
        <v>330000</v>
      </c>
      <c r="T4790" s="102">
        <f t="shared" si="2352"/>
        <v>300000</v>
      </c>
      <c r="U4790" s="71" t="str">
        <f>IF(J4790=W4790,"O", "X")</f>
        <v>X</v>
      </c>
      <c r="V4790" s="71"/>
      <c r="W4790" s="474"/>
      <c r="X4790" s="71"/>
      <c r="Y4790" s="71"/>
    </row>
    <row r="4791" spans="1:25" ht="30" hidden="1" customHeight="1" x14ac:dyDescent="0.25">
      <c r="A4791" s="1145">
        <v>44609</v>
      </c>
      <c r="B4791" s="664" t="s">
        <v>809</v>
      </c>
      <c r="C4791" s="71" t="s">
        <v>1081</v>
      </c>
      <c r="D4791" s="71">
        <v>10</v>
      </c>
      <c r="E4791" s="102">
        <v>78000</v>
      </c>
      <c r="F4791" s="102">
        <f>(E4791*D4791)*1.1</f>
        <v>858000.00000000012</v>
      </c>
      <c r="G4791" s="102">
        <f t="shared" si="2357"/>
        <v>780000</v>
      </c>
      <c r="H4791" s="690" t="s">
        <v>173</v>
      </c>
      <c r="I4791" s="71" t="s">
        <v>2231</v>
      </c>
      <c r="J4791" s="53">
        <f t="shared" si="2355"/>
        <v>180000</v>
      </c>
      <c r="K4791" s="63">
        <f t="shared" si="2358"/>
        <v>0.23076923076923073</v>
      </c>
      <c r="L4791" s="983" t="s">
        <v>3243</v>
      </c>
      <c r="M4791" s="468" t="s">
        <v>3081</v>
      </c>
      <c r="N4791" s="1192">
        <f t="shared" si="2359"/>
        <v>44609</v>
      </c>
      <c r="O4791" s="71" t="s">
        <v>147</v>
      </c>
      <c r="P4791" s="164" t="str">
        <f t="shared" si="2360"/>
        <v>파우더</v>
      </c>
      <c r="Q4791" s="71">
        <f t="shared" si="2361"/>
        <v>10</v>
      </c>
      <c r="R4791" s="102">
        <v>60000</v>
      </c>
      <c r="S4791" s="102">
        <f t="shared" si="2347"/>
        <v>660000</v>
      </c>
      <c r="T4791" s="102">
        <f t="shared" si="2352"/>
        <v>600000</v>
      </c>
      <c r="U4791" s="71" t="str">
        <f>IF(J4791=W4791,"O", "X")</f>
        <v>X</v>
      </c>
      <c r="V4791" s="71"/>
      <c r="W4791" s="474"/>
      <c r="X4791" s="71"/>
      <c r="Y4791" s="71"/>
    </row>
    <row r="4792" spans="1:25" ht="30" hidden="1" customHeight="1" x14ac:dyDescent="0.25">
      <c r="A4792" s="1145">
        <v>44613</v>
      </c>
      <c r="B4792" s="664" t="s">
        <v>548</v>
      </c>
      <c r="C4792" s="71" t="s">
        <v>2973</v>
      </c>
      <c r="D4792" s="71">
        <v>10</v>
      </c>
      <c r="E4792" s="102">
        <v>110000</v>
      </c>
      <c r="F4792" s="102">
        <f>(E4792*D4792)*1.1</f>
        <v>1210000</v>
      </c>
      <c r="G4792" s="102">
        <f t="shared" si="2357"/>
        <v>1100000</v>
      </c>
      <c r="H4792" s="690" t="s">
        <v>173</v>
      </c>
      <c r="I4792" s="71" t="s">
        <v>2231</v>
      </c>
      <c r="J4792" s="53">
        <f t="shared" si="2355"/>
        <v>150000</v>
      </c>
      <c r="K4792" s="63">
        <v>0.13800000000000001</v>
      </c>
      <c r="L4792" s="983" t="s">
        <v>3243</v>
      </c>
      <c r="M4792" s="468"/>
      <c r="N4792" s="1192">
        <f t="shared" si="2359"/>
        <v>44613</v>
      </c>
      <c r="O4792" s="71" t="s">
        <v>147</v>
      </c>
      <c r="P4792" s="103" t="str">
        <f t="shared" si="2360"/>
        <v>1077*885 하이델 bar 블랑켓</v>
      </c>
      <c r="Q4792" s="71">
        <f t="shared" si="2361"/>
        <v>10</v>
      </c>
      <c r="R4792" s="102">
        <v>93000</v>
      </c>
      <c r="S4792" s="102">
        <f t="shared" si="2347"/>
        <v>1023000.0000000001</v>
      </c>
      <c r="T4792" s="102">
        <f>R4792*Q4792+20000</f>
        <v>950000</v>
      </c>
      <c r="U4792" s="71"/>
      <c r="V4792" s="71"/>
      <c r="W4792" s="474"/>
      <c r="X4792" s="71"/>
      <c r="Y4792" s="71"/>
    </row>
    <row r="4793" spans="1:25" ht="30" hidden="1" customHeight="1" x14ac:dyDescent="0.25">
      <c r="A4793" s="1145">
        <v>44614</v>
      </c>
      <c r="B4793" s="664" t="s">
        <v>3263</v>
      </c>
      <c r="C4793" s="71" t="s">
        <v>3264</v>
      </c>
      <c r="D4793" s="71">
        <v>1</v>
      </c>
      <c r="E4793" s="102">
        <v>10360000</v>
      </c>
      <c r="F4793" s="102">
        <f t="shared" si="2356"/>
        <v>11396000</v>
      </c>
      <c r="G4793" s="102">
        <f t="shared" si="2357"/>
        <v>10360000</v>
      </c>
      <c r="H4793" s="690" t="s">
        <v>1431</v>
      </c>
      <c r="I4793" s="71" t="s">
        <v>1431</v>
      </c>
      <c r="J4793" s="53">
        <f t="shared" si="2355"/>
        <v>10346276</v>
      </c>
      <c r="K4793" s="63">
        <f t="shared" si="2358"/>
        <v>0.99867528957528962</v>
      </c>
      <c r="L4793" s="983" t="s">
        <v>3243</v>
      </c>
      <c r="M4793" s="468"/>
      <c r="N4793" s="1192">
        <f t="shared" si="2359"/>
        <v>44614</v>
      </c>
      <c r="O4793" s="71" t="s">
        <v>1431</v>
      </c>
      <c r="P4793" s="164" t="str">
        <f t="shared" si="2360"/>
        <v>에어실린더외</v>
      </c>
      <c r="Q4793" s="71">
        <f t="shared" si="2361"/>
        <v>1</v>
      </c>
      <c r="R4793" s="102">
        <v>13724</v>
      </c>
      <c r="S4793" s="102">
        <f t="shared" si="2347"/>
        <v>15096.400000000001</v>
      </c>
      <c r="T4793" s="102">
        <f t="shared" ref="T4793:T4798" si="2362">R4793*Q4793</f>
        <v>13724</v>
      </c>
      <c r="U4793" s="71"/>
      <c r="V4793" s="71"/>
      <c r="W4793" s="474"/>
      <c r="X4793" s="71"/>
      <c r="Y4793" s="71"/>
    </row>
    <row r="4794" spans="1:25" ht="30" hidden="1" customHeight="1" x14ac:dyDescent="0.25">
      <c r="A4794" s="1145">
        <v>44614</v>
      </c>
      <c r="B4794" s="664" t="s">
        <v>2155</v>
      </c>
      <c r="C4794" s="71" t="s">
        <v>3271</v>
      </c>
      <c r="D4794" s="71">
        <v>5</v>
      </c>
      <c r="E4794" s="102">
        <v>47600</v>
      </c>
      <c r="F4794" s="102">
        <f t="shared" si="2356"/>
        <v>261800.00000000003</v>
      </c>
      <c r="G4794" s="102">
        <f t="shared" si="2357"/>
        <v>238000</v>
      </c>
      <c r="H4794" s="1129" t="s">
        <v>172</v>
      </c>
      <c r="I4794" s="71" t="s">
        <v>1431</v>
      </c>
      <c r="J4794" s="53">
        <f t="shared" si="2355"/>
        <v>38000</v>
      </c>
      <c r="K4794" s="63">
        <f>(J4794/(F4794/11*10))</f>
        <v>0.15966386554621848</v>
      </c>
      <c r="L4794" s="983" t="s">
        <v>3243</v>
      </c>
      <c r="M4794" s="468" t="s">
        <v>2214</v>
      </c>
      <c r="N4794" s="1192">
        <f t="shared" si="2359"/>
        <v>44614</v>
      </c>
      <c r="O4794" s="71" t="s">
        <v>149</v>
      </c>
      <c r="P4794" s="71" t="s">
        <v>3271</v>
      </c>
      <c r="Q4794" s="71">
        <f t="shared" si="2361"/>
        <v>5</v>
      </c>
      <c r="R4794" s="102">
        <v>40000</v>
      </c>
      <c r="S4794" s="102">
        <f t="shared" si="2347"/>
        <v>220000.00000000003</v>
      </c>
      <c r="T4794" s="102">
        <f t="shared" si="2362"/>
        <v>200000</v>
      </c>
      <c r="U4794" s="71" t="str">
        <f>IF(J4794=W4794,"O", "X")</f>
        <v>X</v>
      </c>
      <c r="V4794" s="71"/>
      <c r="W4794" s="474"/>
      <c r="X4794" s="71"/>
      <c r="Y4794" s="71"/>
    </row>
    <row r="4795" spans="1:25" ht="30" hidden="1" customHeight="1" x14ac:dyDescent="0.25">
      <c r="A4795" s="1145">
        <v>44614</v>
      </c>
      <c r="B4795" s="664" t="s">
        <v>2155</v>
      </c>
      <c r="C4795" s="71" t="s">
        <v>277</v>
      </c>
      <c r="D4795" s="71">
        <v>5</v>
      </c>
      <c r="E4795" s="102">
        <v>172000</v>
      </c>
      <c r="F4795" s="102">
        <f t="shared" si="2356"/>
        <v>946000.00000000012</v>
      </c>
      <c r="G4795" s="102">
        <f t="shared" si="2357"/>
        <v>860000</v>
      </c>
      <c r="H4795" s="690" t="s">
        <v>173</v>
      </c>
      <c r="I4795" s="690" t="s">
        <v>108</v>
      </c>
      <c r="J4795" s="53">
        <f t="shared" si="2355"/>
        <v>285000</v>
      </c>
      <c r="K4795" s="63">
        <f t="shared" si="2358"/>
        <v>0.33139534883720928</v>
      </c>
      <c r="L4795" s="983" t="s">
        <v>3243</v>
      </c>
      <c r="M4795" s="468"/>
      <c r="N4795" s="1192">
        <f t="shared" si="2359"/>
        <v>44614</v>
      </c>
      <c r="O4795" s="71" t="s">
        <v>150</v>
      </c>
      <c r="P4795" s="164" t="str">
        <f t="shared" si="2360"/>
        <v>윤전용 세척제(Web 504)</v>
      </c>
      <c r="Q4795" s="71">
        <f t="shared" si="2361"/>
        <v>5</v>
      </c>
      <c r="R4795" s="102">
        <v>115000</v>
      </c>
      <c r="S4795" s="102">
        <f t="shared" si="2347"/>
        <v>632500</v>
      </c>
      <c r="T4795" s="102">
        <f t="shared" si="2362"/>
        <v>575000</v>
      </c>
      <c r="U4795" s="71" t="str">
        <f>IF(J4795=W4795,"O", "X")</f>
        <v>X</v>
      </c>
      <c r="V4795" s="71"/>
      <c r="W4795" s="474"/>
      <c r="X4795" s="71"/>
      <c r="Y4795" s="71"/>
    </row>
    <row r="4796" spans="1:25" ht="30" hidden="1" customHeight="1" x14ac:dyDescent="0.25">
      <c r="A4796" s="1145">
        <v>44614</v>
      </c>
      <c r="B4796" s="664" t="s">
        <v>748</v>
      </c>
      <c r="C4796" s="71" t="s">
        <v>3273</v>
      </c>
      <c r="D4796" s="71">
        <v>1</v>
      </c>
      <c r="E4796" s="102">
        <v>800000</v>
      </c>
      <c r="F4796" s="102">
        <f t="shared" si="2356"/>
        <v>880000.00000000012</v>
      </c>
      <c r="G4796" s="102">
        <f t="shared" si="2357"/>
        <v>800000</v>
      </c>
      <c r="H4796" s="690" t="s">
        <v>1431</v>
      </c>
      <c r="I4796" s="71" t="s">
        <v>1431</v>
      </c>
      <c r="J4796" s="53">
        <f t="shared" si="2355"/>
        <v>789926</v>
      </c>
      <c r="K4796" s="63">
        <f t="shared" si="2358"/>
        <v>0.98740749999999988</v>
      </c>
      <c r="L4796" s="983" t="s">
        <v>3243</v>
      </c>
      <c r="M4796" s="468"/>
      <c r="N4796" s="1192">
        <f t="shared" si="2359"/>
        <v>44614</v>
      </c>
      <c r="O4796" s="71" t="s">
        <v>1431</v>
      </c>
      <c r="P4796" s="103" t="str">
        <f t="shared" si="2360"/>
        <v>통신케이블</v>
      </c>
      <c r="Q4796" s="71">
        <f t="shared" si="2361"/>
        <v>1</v>
      </c>
      <c r="R4796" s="102">
        <v>10074</v>
      </c>
      <c r="S4796" s="102">
        <f t="shared" si="2347"/>
        <v>11081.400000000001</v>
      </c>
      <c r="T4796" s="102">
        <f t="shared" si="2362"/>
        <v>10074</v>
      </c>
      <c r="U4796" s="71"/>
      <c r="V4796" s="71"/>
      <c r="W4796" s="474"/>
      <c r="X4796" s="71"/>
      <c r="Y4796" s="71"/>
    </row>
    <row r="4797" spans="1:25" ht="30" hidden="1" customHeight="1" x14ac:dyDescent="0.25">
      <c r="A4797" s="1145">
        <v>44615</v>
      </c>
      <c r="B4797" s="664" t="s">
        <v>446</v>
      </c>
      <c r="C4797" s="71" t="s">
        <v>2028</v>
      </c>
      <c r="D4797" s="71">
        <v>20</v>
      </c>
      <c r="E4797" s="102">
        <v>105000</v>
      </c>
      <c r="F4797" s="102">
        <f t="shared" si="2356"/>
        <v>2310000</v>
      </c>
      <c r="G4797" s="102">
        <f t="shared" si="2357"/>
        <v>2100000</v>
      </c>
      <c r="H4797" s="690" t="s">
        <v>2029</v>
      </c>
      <c r="I4797" s="71" t="s">
        <v>2231</v>
      </c>
      <c r="J4797" s="53">
        <f t="shared" si="2355"/>
        <v>280000</v>
      </c>
      <c r="K4797" s="63">
        <f t="shared" si="2358"/>
        <v>0.13333333333333333</v>
      </c>
      <c r="L4797" s="983" t="s">
        <v>3243</v>
      </c>
      <c r="M4797" s="468"/>
      <c r="N4797" s="1192">
        <f t="shared" si="2359"/>
        <v>44615</v>
      </c>
      <c r="O4797" s="71" t="s">
        <v>2030</v>
      </c>
      <c r="P4797" s="164" t="str">
        <f t="shared" si="2360"/>
        <v>실리콘 에멀전</v>
      </c>
      <c r="Q4797" s="71">
        <f t="shared" si="2361"/>
        <v>20</v>
      </c>
      <c r="R4797" s="102">
        <v>91000</v>
      </c>
      <c r="S4797" s="102">
        <f t="shared" si="2347"/>
        <v>2002000.0000000002</v>
      </c>
      <c r="T4797" s="102">
        <f t="shared" si="2362"/>
        <v>1820000</v>
      </c>
      <c r="U4797" s="71" t="str">
        <f>IF(J4797=W4797,"O", "X")</f>
        <v>X</v>
      </c>
      <c r="V4797" s="71"/>
      <c r="W4797" s="474"/>
      <c r="X4797" s="71"/>
      <c r="Y4797" s="71"/>
    </row>
    <row r="4798" spans="1:25" ht="30" hidden="1" customHeight="1" x14ac:dyDescent="0.25">
      <c r="A4798" s="1145">
        <v>44617</v>
      </c>
      <c r="B4798" s="664" t="s">
        <v>545</v>
      </c>
      <c r="C4798" s="71" t="s">
        <v>227</v>
      </c>
      <c r="D4798" s="71">
        <v>10</v>
      </c>
      <c r="E4798" s="102">
        <v>125000</v>
      </c>
      <c r="F4798" s="102">
        <f>(E4798*D4798)*1.1</f>
        <v>1375000</v>
      </c>
      <c r="G4798" s="102">
        <f>(E4798*D4798)</f>
        <v>1250000</v>
      </c>
      <c r="H4798" s="690" t="s">
        <v>173</v>
      </c>
      <c r="I4798" s="71" t="s">
        <v>109</v>
      </c>
      <c r="J4798" s="53">
        <f t="shared" si="2355"/>
        <v>356000</v>
      </c>
      <c r="K4798" s="63">
        <f>(J4798/(F4798/11*10))</f>
        <v>0.2848</v>
      </c>
      <c r="L4798" s="983" t="s">
        <v>3243</v>
      </c>
      <c r="M4798" s="468"/>
      <c r="N4798" s="1192">
        <f>A4798</f>
        <v>44617</v>
      </c>
      <c r="O4798" s="71" t="s">
        <v>147</v>
      </c>
      <c r="P4798" s="164" t="str">
        <f t="shared" si="2353"/>
        <v>Blanket(1060*860)</v>
      </c>
      <c r="Q4798" s="71">
        <f t="shared" si="2354"/>
        <v>10</v>
      </c>
      <c r="R4798" s="102">
        <v>89400</v>
      </c>
      <c r="S4798" s="102">
        <f t="shared" si="2347"/>
        <v>983400.00000000012</v>
      </c>
      <c r="T4798" s="102">
        <f t="shared" si="2362"/>
        <v>894000</v>
      </c>
      <c r="U4798" s="71" t="str">
        <f>IF(J4798=W4798,"O", "X")</f>
        <v>X</v>
      </c>
      <c r="V4798" s="71"/>
      <c r="W4798" s="474"/>
      <c r="X4798" s="71"/>
      <c r="Y4798" s="71"/>
    </row>
    <row r="4799" spans="1:25" ht="30" hidden="1" customHeight="1" x14ac:dyDescent="0.25">
      <c r="A4799" s="1145">
        <v>44602</v>
      </c>
      <c r="B4799" s="664" t="s">
        <v>690</v>
      </c>
      <c r="C4799" s="71" t="s">
        <v>3269</v>
      </c>
      <c r="D4799" s="71">
        <v>24</v>
      </c>
      <c r="E4799" s="102">
        <v>62500</v>
      </c>
      <c r="F4799" s="102">
        <f>(E4799*D4799)*1.1</f>
        <v>1650000.0000000002</v>
      </c>
      <c r="G4799" s="102">
        <f>(E4799*D4799)</f>
        <v>1500000</v>
      </c>
      <c r="H4799" s="690" t="s">
        <v>173</v>
      </c>
      <c r="I4799" s="71" t="s">
        <v>2231</v>
      </c>
      <c r="J4799" s="53"/>
      <c r="K4799" s="63"/>
      <c r="L4799" s="871"/>
      <c r="M4799" s="468"/>
      <c r="N4799" s="1192">
        <f>A4799</f>
        <v>44602</v>
      </c>
      <c r="O4799" s="71"/>
      <c r="P4799" s="164" t="str">
        <f t="shared" si="2353"/>
        <v>매엽세척액</v>
      </c>
      <c r="Q4799" s="71">
        <f t="shared" si="2354"/>
        <v>24</v>
      </c>
      <c r="R4799" s="102"/>
      <c r="S4799" s="102"/>
      <c r="T4799" s="102"/>
      <c r="U4799" s="71"/>
      <c r="V4799" s="71"/>
      <c r="W4799" s="474"/>
      <c r="X4799" s="71"/>
      <c r="Y4799" s="71"/>
    </row>
    <row r="4800" spans="1:25" ht="30" hidden="1" customHeight="1" x14ac:dyDescent="0.25">
      <c r="A4800" s="1145">
        <v>44602</v>
      </c>
      <c r="B4800" s="664" t="s">
        <v>690</v>
      </c>
      <c r="C4800" s="71" t="s">
        <v>3270</v>
      </c>
      <c r="D4800" s="71">
        <v>10</v>
      </c>
      <c r="E4800" s="102">
        <v>41000</v>
      </c>
      <c r="F4800" s="102">
        <f>(E4800*D4800)*1.1</f>
        <v>451000.00000000006</v>
      </c>
      <c r="G4800" s="102">
        <f>(E4800*D4800)</f>
        <v>410000</v>
      </c>
      <c r="H4800" s="690" t="s">
        <v>173</v>
      </c>
      <c r="I4800" s="71" t="s">
        <v>2231</v>
      </c>
      <c r="J4800" s="53"/>
      <c r="K4800" s="63"/>
      <c r="L4800" s="871"/>
      <c r="M4800" s="468"/>
      <c r="N4800" s="1192"/>
      <c r="O4800" s="71"/>
      <c r="P4800" s="164" t="str">
        <f t="shared" si="2353"/>
        <v>Agfa 현상액 G101C(10L)</v>
      </c>
      <c r="Q4800" s="71">
        <f t="shared" si="2354"/>
        <v>10</v>
      </c>
      <c r="R4800" s="102"/>
      <c r="S4800" s="102"/>
      <c r="T4800" s="102"/>
      <c r="U4800" s="71"/>
      <c r="V4800" s="71"/>
      <c r="W4800" s="474"/>
      <c r="X4800" s="71"/>
      <c r="Y4800" s="71"/>
    </row>
    <row r="4801" spans="1:25" ht="30" hidden="1" customHeight="1" x14ac:dyDescent="0.25">
      <c r="A4801" s="1145">
        <v>44617</v>
      </c>
      <c r="B4801" s="664" t="s">
        <v>548</v>
      </c>
      <c r="C4801" s="71" t="s">
        <v>2973</v>
      </c>
      <c r="D4801" s="71">
        <v>10</v>
      </c>
      <c r="E4801" s="102">
        <v>110000</v>
      </c>
      <c r="F4801" s="102">
        <f>(E4801*D4801)*1.1</f>
        <v>1210000</v>
      </c>
      <c r="G4801" s="102">
        <f>(E4801*D4801)</f>
        <v>1100000</v>
      </c>
      <c r="H4801" s="690" t="s">
        <v>173</v>
      </c>
      <c r="I4801" s="71" t="s">
        <v>2231</v>
      </c>
      <c r="J4801" s="53">
        <f>G4801-T4801</f>
        <v>170000</v>
      </c>
      <c r="K4801" s="63">
        <v>0.13800000000000001</v>
      </c>
      <c r="L4801" s="983" t="s">
        <v>3243</v>
      </c>
      <c r="M4801" s="468"/>
      <c r="N4801" s="1192">
        <f>A4801</f>
        <v>44617</v>
      </c>
      <c r="O4801" s="71" t="s">
        <v>147</v>
      </c>
      <c r="P4801" s="103" t="str">
        <f t="shared" si="2353"/>
        <v>1077*885 하이델 bar 블랑켓</v>
      </c>
      <c r="Q4801" s="71">
        <f t="shared" si="2354"/>
        <v>10</v>
      </c>
      <c r="R4801" s="102">
        <v>93000</v>
      </c>
      <c r="S4801" s="102">
        <f>R4801*Q4801*1.1</f>
        <v>1023000.0000000001</v>
      </c>
      <c r="T4801" s="102">
        <f>R4801*Q4801</f>
        <v>930000</v>
      </c>
      <c r="U4801" s="71"/>
      <c r="V4801" s="71"/>
      <c r="W4801" s="474"/>
      <c r="X4801" s="71"/>
      <c r="Y4801" s="71"/>
    </row>
    <row r="4802" spans="1:25" ht="30" hidden="1" customHeight="1" x14ac:dyDescent="0.25">
      <c r="A4802" s="1145">
        <v>44617</v>
      </c>
      <c r="B4802" s="664" t="s">
        <v>575</v>
      </c>
      <c r="C4802" s="71" t="s">
        <v>1367</v>
      </c>
      <c r="D4802" s="71">
        <v>8</v>
      </c>
      <c r="E4802" s="102">
        <v>218000</v>
      </c>
      <c r="F4802" s="102">
        <f t="shared" ref="F4802:F4823" si="2363">(E4802*D4802)*1.1</f>
        <v>1918400.0000000002</v>
      </c>
      <c r="G4802" s="102">
        <f t="shared" ref="G4802:G4823" si="2364">(E4802*D4802)</f>
        <v>1744000</v>
      </c>
      <c r="H4802" s="690" t="s">
        <v>173</v>
      </c>
      <c r="I4802" s="71" t="s">
        <v>109</v>
      </c>
      <c r="J4802" s="53">
        <f>G4802-T4802</f>
        <v>544000</v>
      </c>
      <c r="K4802" s="63">
        <f>(J4802/(F4802/11*10))</f>
        <v>0.31192660550458712</v>
      </c>
      <c r="L4802" s="983" t="s">
        <v>3243</v>
      </c>
      <c r="M4802" s="468"/>
      <c r="N4802" s="1192">
        <v>44544</v>
      </c>
      <c r="O4802" s="71" t="s">
        <v>1443</v>
      </c>
      <c r="P4802" s="103" t="str">
        <f t="shared" si="2353"/>
        <v>M600 윤전 블랑켓 995*742</v>
      </c>
      <c r="Q4802" s="71">
        <f t="shared" ref="Q4802:Q4828" si="2365">D4802</f>
        <v>8</v>
      </c>
      <c r="R4802" s="102">
        <v>150000</v>
      </c>
      <c r="S4802" s="102">
        <f>R4802*Q4802*1.1</f>
        <v>1320000</v>
      </c>
      <c r="T4802" s="102">
        <f>R4802*Q4802</f>
        <v>1200000</v>
      </c>
      <c r="U4802" s="71" t="str">
        <f>IF(J4802=W4802,"O", "X")</f>
        <v>X</v>
      </c>
      <c r="V4802" s="71"/>
      <c r="W4802" s="474"/>
      <c r="X4802" s="71"/>
      <c r="Y4802" s="71"/>
    </row>
    <row r="4803" spans="1:25" ht="30" hidden="1" customHeight="1" x14ac:dyDescent="0.25">
      <c r="A4803" s="1145">
        <v>44589</v>
      </c>
      <c r="B4803" s="664" t="s">
        <v>1155</v>
      </c>
      <c r="C4803" s="760" t="s">
        <v>123</v>
      </c>
      <c r="D4803" s="71">
        <v>15</v>
      </c>
      <c r="E4803" s="102">
        <v>33000</v>
      </c>
      <c r="F4803" s="102">
        <f t="shared" si="2363"/>
        <v>544500</v>
      </c>
      <c r="G4803" s="102">
        <f t="shared" si="2364"/>
        <v>495000</v>
      </c>
      <c r="H4803" s="690" t="s">
        <v>173</v>
      </c>
      <c r="I4803" s="71" t="s">
        <v>3268</v>
      </c>
      <c r="J4803" s="53"/>
      <c r="K4803" s="63"/>
      <c r="L4803" s="871"/>
      <c r="M4803" s="468"/>
      <c r="N4803" s="1192"/>
      <c r="O4803" s="71"/>
      <c r="P4803" s="209" t="str">
        <f t="shared" ref="P4803:P4828" si="2366">(C4803)</f>
        <v>필터백</v>
      </c>
      <c r="Q4803" s="71">
        <f t="shared" si="2365"/>
        <v>15</v>
      </c>
      <c r="R4803" s="102"/>
      <c r="S4803" s="102"/>
      <c r="T4803" s="102"/>
      <c r="U4803" s="71"/>
      <c r="V4803" s="71"/>
      <c r="W4803" s="474"/>
      <c r="X4803" s="71"/>
      <c r="Y4803" s="71"/>
    </row>
    <row r="4804" spans="1:25" ht="30" hidden="1" customHeight="1" x14ac:dyDescent="0.25">
      <c r="A4804" s="1145">
        <v>44620</v>
      </c>
      <c r="B4804" s="664" t="s">
        <v>939</v>
      </c>
      <c r="C4804" s="760" t="s">
        <v>3267</v>
      </c>
      <c r="D4804" s="71">
        <v>1</v>
      </c>
      <c r="E4804" s="102">
        <v>1415000</v>
      </c>
      <c r="F4804" s="102">
        <f t="shared" si="2363"/>
        <v>1556500.0000000002</v>
      </c>
      <c r="G4804" s="102">
        <f t="shared" si="2364"/>
        <v>1415000</v>
      </c>
      <c r="H4804" s="690" t="s">
        <v>173</v>
      </c>
      <c r="I4804" s="71" t="s">
        <v>3268</v>
      </c>
      <c r="J4804" s="53"/>
      <c r="K4804" s="63"/>
      <c r="L4804" s="871"/>
      <c r="M4804" s="468"/>
      <c r="N4804" s="1192">
        <f>A4804</f>
        <v>44620</v>
      </c>
      <c r="O4804" s="71"/>
      <c r="P4804" s="209" t="str">
        <f t="shared" si="2366"/>
        <v>필터백/실리콘</v>
      </c>
      <c r="Q4804" s="71">
        <f t="shared" si="2365"/>
        <v>1</v>
      </c>
      <c r="R4804" s="102"/>
      <c r="S4804" s="102"/>
      <c r="T4804" s="102"/>
      <c r="U4804" s="71"/>
      <c r="V4804" s="71"/>
      <c r="W4804" s="474"/>
      <c r="X4804" s="71"/>
      <c r="Y4804" s="71"/>
    </row>
    <row r="4805" spans="1:25" ht="30" hidden="1" customHeight="1" x14ac:dyDescent="0.25">
      <c r="A4805" s="1145">
        <v>44620</v>
      </c>
      <c r="B4805" s="664" t="s">
        <v>567</v>
      </c>
      <c r="C4805" s="760" t="s">
        <v>3265</v>
      </c>
      <c r="D4805" s="71">
        <v>1</v>
      </c>
      <c r="E4805" s="102">
        <v>650000</v>
      </c>
      <c r="F4805" s="102">
        <f t="shared" si="2363"/>
        <v>715000</v>
      </c>
      <c r="G4805" s="102">
        <f t="shared" si="2364"/>
        <v>650000</v>
      </c>
      <c r="H4805" s="690" t="s">
        <v>2029</v>
      </c>
      <c r="I4805" s="71" t="s">
        <v>3266</v>
      </c>
      <c r="J4805" s="53"/>
      <c r="K4805" s="63"/>
      <c r="L4805" s="871"/>
      <c r="M4805" s="468"/>
      <c r="N4805" s="1192">
        <f>A4805</f>
        <v>44620</v>
      </c>
      <c r="O4805" s="71"/>
      <c r="P4805" s="209" t="str">
        <f t="shared" si="2366"/>
        <v>아스테지</v>
      </c>
      <c r="Q4805" s="71">
        <f t="shared" si="2365"/>
        <v>1</v>
      </c>
      <c r="R4805" s="102"/>
      <c r="S4805" s="102"/>
      <c r="T4805" s="102"/>
      <c r="U4805" s="71"/>
      <c r="V4805" s="71"/>
      <c r="W4805" s="474"/>
      <c r="X4805" s="71"/>
      <c r="Y4805" s="71"/>
    </row>
    <row r="4806" spans="1:25" ht="30" hidden="1" customHeight="1" x14ac:dyDescent="0.25">
      <c r="A4806" s="1145">
        <v>44617</v>
      </c>
      <c r="B4806" s="664" t="s">
        <v>1051</v>
      </c>
      <c r="C4806" s="71" t="s">
        <v>1294</v>
      </c>
      <c r="D4806" s="71">
        <v>300</v>
      </c>
      <c r="E4806" s="102">
        <v>5960</v>
      </c>
      <c r="F4806" s="102">
        <f t="shared" si="2363"/>
        <v>1966800.0000000002</v>
      </c>
      <c r="G4806" s="102">
        <f t="shared" si="2364"/>
        <v>1788000</v>
      </c>
      <c r="H4806" s="690" t="s">
        <v>142</v>
      </c>
      <c r="I4806" s="71" t="s">
        <v>2273</v>
      </c>
      <c r="J4806" s="53">
        <f t="shared" ref="J4806:J4830" si="2367">G4806-T4806</f>
        <v>609000</v>
      </c>
      <c r="K4806" s="63">
        <f t="shared" ref="K4806:K4822" si="2368">(J4806/(F4806/11*10))</f>
        <v>0.34060402684563756</v>
      </c>
      <c r="L4806" s="983" t="s">
        <v>3243</v>
      </c>
      <c r="M4806" s="468"/>
      <c r="N4806" s="1192">
        <f t="shared" ref="N4806:N4822" si="2369">A4806</f>
        <v>44617</v>
      </c>
      <c r="O4806" s="71" t="s">
        <v>145</v>
      </c>
      <c r="P4806" s="164" t="str">
        <f t="shared" si="2366"/>
        <v>ENGAGE 1030*790</v>
      </c>
      <c r="Q4806" s="71">
        <f t="shared" si="2365"/>
        <v>300</v>
      </c>
      <c r="R4806" s="102">
        <v>3930</v>
      </c>
      <c r="S4806" s="102">
        <f t="shared" ref="S4806:S4830" si="2370">R4806*Q4806*1.1</f>
        <v>1296900</v>
      </c>
      <c r="T4806" s="102">
        <f t="shared" ref="T4806:T4830" si="2371">R4806*Q4806</f>
        <v>1179000</v>
      </c>
      <c r="U4806" s="71" t="str">
        <f t="shared" ref="U4806:U4823" si="2372">IF(J4806=W4806,"O", "X")</f>
        <v>O</v>
      </c>
      <c r="V4806" s="71"/>
      <c r="W4806" s="474">
        <f t="shared" ref="W4806:W4823" si="2373">(G4806-T4806)</f>
        <v>609000</v>
      </c>
      <c r="X4806" s="71"/>
      <c r="Y4806" s="71"/>
    </row>
    <row r="4807" spans="1:25" ht="30" hidden="1" customHeight="1" x14ac:dyDescent="0.25">
      <c r="A4807" s="1145">
        <v>44617</v>
      </c>
      <c r="B4807" s="664" t="s">
        <v>1051</v>
      </c>
      <c r="C4807" s="71" t="s">
        <v>1384</v>
      </c>
      <c r="D4807" s="71">
        <v>300</v>
      </c>
      <c r="E4807" s="102">
        <v>3750</v>
      </c>
      <c r="F4807" s="102">
        <f t="shared" si="2363"/>
        <v>1237500</v>
      </c>
      <c r="G4807" s="102">
        <f t="shared" si="2364"/>
        <v>1125000</v>
      </c>
      <c r="H4807" s="690" t="s">
        <v>142</v>
      </c>
      <c r="I4807" s="71" t="s">
        <v>2273</v>
      </c>
      <c r="J4807" s="53">
        <f t="shared" si="2367"/>
        <v>381000</v>
      </c>
      <c r="K4807" s="63">
        <f t="shared" si="2368"/>
        <v>0.33866666666666667</v>
      </c>
      <c r="L4807" s="983" t="s">
        <v>3243</v>
      </c>
      <c r="M4807" s="468"/>
      <c r="N4807" s="1192">
        <f t="shared" si="2369"/>
        <v>44617</v>
      </c>
      <c r="O4807" s="71" t="s">
        <v>145</v>
      </c>
      <c r="P4807" s="164" t="str">
        <f t="shared" si="2366"/>
        <v>ENGAGE 900X571 - 27RO</v>
      </c>
      <c r="Q4807" s="71">
        <f t="shared" si="2365"/>
        <v>300</v>
      </c>
      <c r="R4807" s="102">
        <v>2480</v>
      </c>
      <c r="S4807" s="102">
        <f t="shared" si="2370"/>
        <v>818400.00000000012</v>
      </c>
      <c r="T4807" s="102">
        <f t="shared" si="2371"/>
        <v>744000</v>
      </c>
      <c r="U4807" s="71" t="str">
        <f t="shared" si="2372"/>
        <v>O</v>
      </c>
      <c r="V4807" s="71"/>
      <c r="W4807" s="474">
        <f t="shared" si="2373"/>
        <v>381000</v>
      </c>
      <c r="X4807" s="71"/>
      <c r="Y4807" s="71"/>
    </row>
    <row r="4808" spans="1:25" ht="30" hidden="1" customHeight="1" x14ac:dyDescent="0.25">
      <c r="A4808" s="1145">
        <v>44617</v>
      </c>
      <c r="B4808" s="664" t="s">
        <v>1051</v>
      </c>
      <c r="C4808" s="71" t="s">
        <v>951</v>
      </c>
      <c r="D4808" s="71">
        <v>3700</v>
      </c>
      <c r="E4808" s="102">
        <v>3580</v>
      </c>
      <c r="F4808" s="102">
        <f t="shared" si="2363"/>
        <v>14570600.000000002</v>
      </c>
      <c r="G4808" s="102">
        <f t="shared" si="2364"/>
        <v>13246000</v>
      </c>
      <c r="H4808" s="690" t="s">
        <v>142</v>
      </c>
      <c r="I4808" s="71" t="s">
        <v>2273</v>
      </c>
      <c r="J4808" s="53">
        <f t="shared" si="2367"/>
        <v>4551000</v>
      </c>
      <c r="K4808" s="63">
        <f t="shared" si="2368"/>
        <v>0.34357541899441335</v>
      </c>
      <c r="L4808" s="983" t="s">
        <v>3243</v>
      </c>
      <c r="M4808" s="468"/>
      <c r="N4808" s="1192">
        <f t="shared" si="2369"/>
        <v>44617</v>
      </c>
      <c r="O4808" s="71" t="s">
        <v>145</v>
      </c>
      <c r="P4808" s="103" t="str">
        <f t="shared" si="2366"/>
        <v>ENGAGE 30WEB(883*552)</v>
      </c>
      <c r="Q4808" s="71">
        <f t="shared" si="2365"/>
        <v>3700</v>
      </c>
      <c r="R4808" s="102">
        <v>2350</v>
      </c>
      <c r="S4808" s="102">
        <f t="shared" si="2370"/>
        <v>9564500</v>
      </c>
      <c r="T4808" s="102">
        <f t="shared" si="2371"/>
        <v>8695000</v>
      </c>
      <c r="U4808" s="71" t="str">
        <f t="shared" si="2372"/>
        <v>O</v>
      </c>
      <c r="V4808" s="71"/>
      <c r="W4808" s="474">
        <f t="shared" si="2373"/>
        <v>4551000</v>
      </c>
      <c r="X4808" s="71"/>
      <c r="Y4808" s="71"/>
    </row>
    <row r="4809" spans="1:25" ht="30" hidden="1" customHeight="1" x14ac:dyDescent="0.25">
      <c r="A4809" s="1145">
        <v>44617</v>
      </c>
      <c r="B4809" s="664" t="s">
        <v>1051</v>
      </c>
      <c r="C4809" s="71" t="s">
        <v>2219</v>
      </c>
      <c r="D4809" s="71">
        <v>1500</v>
      </c>
      <c r="E4809" s="102">
        <v>6040</v>
      </c>
      <c r="F4809" s="102">
        <f t="shared" si="2363"/>
        <v>9966000</v>
      </c>
      <c r="G4809" s="102">
        <f t="shared" si="2364"/>
        <v>9060000</v>
      </c>
      <c r="H4809" s="690" t="s">
        <v>142</v>
      </c>
      <c r="I4809" s="71" t="s">
        <v>2273</v>
      </c>
      <c r="J4809" s="53">
        <f t="shared" si="2367"/>
        <v>3090000</v>
      </c>
      <c r="K4809" s="63">
        <f t="shared" si="2368"/>
        <v>0.34105960264900664</v>
      </c>
      <c r="L4809" s="983" t="s">
        <v>3243</v>
      </c>
      <c r="M4809" s="468"/>
      <c r="N4809" s="1192">
        <f t="shared" si="2369"/>
        <v>44617</v>
      </c>
      <c r="O4809" s="71" t="s">
        <v>145</v>
      </c>
      <c r="P4809" s="164" t="str">
        <f t="shared" si="2366"/>
        <v>ENGAGE 1030*800</v>
      </c>
      <c r="Q4809" s="71">
        <f t="shared" si="2365"/>
        <v>1500</v>
      </c>
      <c r="R4809" s="102">
        <v>3980</v>
      </c>
      <c r="S4809" s="102">
        <f t="shared" si="2370"/>
        <v>6567000.0000000009</v>
      </c>
      <c r="T4809" s="102">
        <f t="shared" si="2371"/>
        <v>5970000</v>
      </c>
      <c r="U4809" s="71" t="str">
        <f t="shared" si="2372"/>
        <v>O</v>
      </c>
      <c r="V4809" s="71"/>
      <c r="W4809" s="474">
        <f t="shared" si="2373"/>
        <v>3090000</v>
      </c>
      <c r="X4809" s="71"/>
      <c r="Y4809" s="71"/>
    </row>
    <row r="4810" spans="1:25" ht="30" hidden="1" customHeight="1" x14ac:dyDescent="0.25">
      <c r="A4810" s="1145">
        <v>44617</v>
      </c>
      <c r="B4810" s="664" t="s">
        <v>1051</v>
      </c>
      <c r="C4810" s="71" t="s">
        <v>1383</v>
      </c>
      <c r="D4810" s="71">
        <v>1200</v>
      </c>
      <c r="E4810" s="102">
        <v>6260</v>
      </c>
      <c r="F4810" s="102">
        <f t="shared" si="2363"/>
        <v>8263200.0000000009</v>
      </c>
      <c r="G4810" s="102">
        <f t="shared" si="2364"/>
        <v>7512000</v>
      </c>
      <c r="H4810" s="690" t="s">
        <v>142</v>
      </c>
      <c r="I4810" s="71" t="s">
        <v>2273</v>
      </c>
      <c r="J4810" s="53">
        <f t="shared" si="2367"/>
        <v>2544000</v>
      </c>
      <c r="K4810" s="63">
        <f t="shared" si="2368"/>
        <v>0.33865814696485619</v>
      </c>
      <c r="L4810" s="983" t="s">
        <v>3243</v>
      </c>
      <c r="M4810" s="468"/>
      <c r="N4810" s="1192">
        <f t="shared" si="2369"/>
        <v>44617</v>
      </c>
      <c r="O4810" s="71" t="s">
        <v>145</v>
      </c>
      <c r="P4810" s="164" t="str">
        <f t="shared" si="2366"/>
        <v>ENGAGE 1055*811</v>
      </c>
      <c r="Q4810" s="71">
        <f t="shared" si="2365"/>
        <v>1200</v>
      </c>
      <c r="R4810" s="102">
        <v>4140</v>
      </c>
      <c r="S4810" s="102">
        <f t="shared" si="2370"/>
        <v>5464800</v>
      </c>
      <c r="T4810" s="102">
        <f t="shared" si="2371"/>
        <v>4968000</v>
      </c>
      <c r="U4810" s="71" t="str">
        <f t="shared" si="2372"/>
        <v>O</v>
      </c>
      <c r="V4810" s="71"/>
      <c r="W4810" s="474">
        <f t="shared" si="2373"/>
        <v>2544000</v>
      </c>
      <c r="X4810" s="71"/>
      <c r="Y4810" s="71"/>
    </row>
    <row r="4811" spans="1:25" ht="30" hidden="1" customHeight="1" x14ac:dyDescent="0.25">
      <c r="A4811" s="1145">
        <v>44617</v>
      </c>
      <c r="B4811" s="664" t="s">
        <v>1051</v>
      </c>
      <c r="C4811" s="71" t="s">
        <v>1650</v>
      </c>
      <c r="D4811" s="71">
        <v>600</v>
      </c>
      <c r="E4811" s="102">
        <v>4480</v>
      </c>
      <c r="F4811" s="102">
        <f t="shared" si="2363"/>
        <v>2956800.0000000005</v>
      </c>
      <c r="G4811" s="102">
        <f t="shared" si="2364"/>
        <v>2688000</v>
      </c>
      <c r="H4811" s="690" t="s">
        <v>142</v>
      </c>
      <c r="I4811" s="71" t="s">
        <v>2273</v>
      </c>
      <c r="J4811" s="53">
        <f t="shared" si="2367"/>
        <v>918000</v>
      </c>
      <c r="K4811" s="63">
        <f t="shared" si="2368"/>
        <v>0.3415178571428571</v>
      </c>
      <c r="L4811" s="983" t="s">
        <v>3243</v>
      </c>
      <c r="M4811" s="468"/>
      <c r="N4811" s="1192">
        <f t="shared" si="2369"/>
        <v>44617</v>
      </c>
      <c r="O4811" s="71" t="s">
        <v>145</v>
      </c>
      <c r="P4811" s="103" t="str">
        <f t="shared" si="2366"/>
        <v>ENGAGE 968*631</v>
      </c>
      <c r="Q4811" s="71">
        <f t="shared" si="2365"/>
        <v>600</v>
      </c>
      <c r="R4811" s="102">
        <v>2950</v>
      </c>
      <c r="S4811" s="102">
        <f t="shared" si="2370"/>
        <v>1947000.0000000002</v>
      </c>
      <c r="T4811" s="102">
        <f t="shared" si="2371"/>
        <v>1770000</v>
      </c>
      <c r="U4811" s="71" t="str">
        <f t="shared" si="2372"/>
        <v>O</v>
      </c>
      <c r="V4811" s="71"/>
      <c r="W4811" s="474">
        <f t="shared" si="2373"/>
        <v>918000</v>
      </c>
      <c r="X4811" s="71"/>
      <c r="Y4811" s="71"/>
    </row>
    <row r="4812" spans="1:25" ht="30" hidden="1" customHeight="1" x14ac:dyDescent="0.25">
      <c r="A4812" s="1145">
        <v>44617</v>
      </c>
      <c r="B4812" s="664" t="s">
        <v>1051</v>
      </c>
      <c r="C4812" s="71" t="s">
        <v>2619</v>
      </c>
      <c r="D4812" s="71"/>
      <c r="E4812" s="102"/>
      <c r="F4812" s="102">
        <f t="shared" si="2363"/>
        <v>0</v>
      </c>
      <c r="G4812" s="102">
        <f t="shared" si="2364"/>
        <v>0</v>
      </c>
      <c r="H4812" s="690" t="s">
        <v>142</v>
      </c>
      <c r="I4812" s="71" t="s">
        <v>2273</v>
      </c>
      <c r="J4812" s="53">
        <f t="shared" si="2367"/>
        <v>0</v>
      </c>
      <c r="K4812" s="63" t="e">
        <f t="shared" si="2368"/>
        <v>#DIV/0!</v>
      </c>
      <c r="L4812" s="983" t="s">
        <v>3243</v>
      </c>
      <c r="M4812" s="468"/>
      <c r="N4812" s="1192">
        <f t="shared" si="2369"/>
        <v>44617</v>
      </c>
      <c r="O4812" s="71" t="s">
        <v>145</v>
      </c>
      <c r="P4812" s="164" t="str">
        <f t="shared" si="2366"/>
        <v>ENGAGE 1092*800</v>
      </c>
      <c r="Q4812" s="71">
        <f t="shared" si="2365"/>
        <v>0</v>
      </c>
      <c r="R4812" s="102">
        <v>5510</v>
      </c>
      <c r="S4812" s="102">
        <f t="shared" si="2370"/>
        <v>0</v>
      </c>
      <c r="T4812" s="102">
        <f t="shared" si="2371"/>
        <v>0</v>
      </c>
      <c r="U4812" s="71" t="str">
        <f t="shared" si="2372"/>
        <v>O</v>
      </c>
      <c r="V4812" s="71"/>
      <c r="W4812" s="474">
        <f t="shared" si="2373"/>
        <v>0</v>
      </c>
      <c r="X4812" s="71"/>
      <c r="Y4812" s="71"/>
    </row>
    <row r="4813" spans="1:25" ht="30" hidden="1" customHeight="1" x14ac:dyDescent="0.25">
      <c r="A4813" s="1145">
        <v>44617</v>
      </c>
      <c r="B4813" s="664" t="s">
        <v>1051</v>
      </c>
      <c r="C4813" s="71" t="s">
        <v>1386</v>
      </c>
      <c r="D4813" s="71">
        <v>40</v>
      </c>
      <c r="E4813" s="102">
        <v>55000</v>
      </c>
      <c r="F4813" s="102">
        <f t="shared" si="2363"/>
        <v>2420000</v>
      </c>
      <c r="G4813" s="102">
        <f t="shared" si="2364"/>
        <v>2200000</v>
      </c>
      <c r="H4813" s="690" t="s">
        <v>142</v>
      </c>
      <c r="I4813" s="71" t="s">
        <v>2273</v>
      </c>
      <c r="J4813" s="53">
        <f t="shared" si="2367"/>
        <v>590000</v>
      </c>
      <c r="K4813" s="63">
        <f t="shared" si="2368"/>
        <v>0.26818181818181819</v>
      </c>
      <c r="L4813" s="983" t="s">
        <v>3243</v>
      </c>
      <c r="M4813" s="468"/>
      <c r="N4813" s="1192">
        <f t="shared" si="2369"/>
        <v>44617</v>
      </c>
      <c r="O4813" s="71" t="s">
        <v>145</v>
      </c>
      <c r="P4813" s="164" t="str">
        <f t="shared" si="2366"/>
        <v>THR200(20L)보충액</v>
      </c>
      <c r="Q4813" s="71">
        <f t="shared" si="2365"/>
        <v>40</v>
      </c>
      <c r="R4813" s="102">
        <v>40250</v>
      </c>
      <c r="S4813" s="102">
        <f t="shared" si="2370"/>
        <v>1771000.0000000002</v>
      </c>
      <c r="T4813" s="102">
        <f t="shared" si="2371"/>
        <v>1610000</v>
      </c>
      <c r="U4813" s="71" t="str">
        <f t="shared" si="2372"/>
        <v>O</v>
      </c>
      <c r="V4813" s="71"/>
      <c r="W4813" s="474">
        <f t="shared" si="2373"/>
        <v>590000</v>
      </c>
      <c r="X4813" s="71"/>
      <c r="Y4813" s="71"/>
    </row>
    <row r="4814" spans="1:25" ht="30" hidden="1" customHeight="1" x14ac:dyDescent="0.25">
      <c r="A4814" s="1145">
        <v>44617</v>
      </c>
      <c r="B4814" s="664" t="s">
        <v>1051</v>
      </c>
      <c r="C4814" s="71" t="s">
        <v>1387</v>
      </c>
      <c r="D4814" s="71">
        <v>5</v>
      </c>
      <c r="E4814" s="102">
        <v>55000</v>
      </c>
      <c r="F4814" s="102">
        <f t="shared" si="2363"/>
        <v>302500</v>
      </c>
      <c r="G4814" s="102">
        <f t="shared" si="2364"/>
        <v>275000</v>
      </c>
      <c r="H4814" s="690" t="s">
        <v>142</v>
      </c>
      <c r="I4814" s="71" t="s">
        <v>2273</v>
      </c>
      <c r="J4814" s="53">
        <f t="shared" si="2367"/>
        <v>73750</v>
      </c>
      <c r="K4814" s="63">
        <f t="shared" si="2368"/>
        <v>0.26818181818181819</v>
      </c>
      <c r="L4814" s="983" t="s">
        <v>3243</v>
      </c>
      <c r="M4814" s="468"/>
      <c r="N4814" s="1192">
        <f t="shared" si="2369"/>
        <v>44617</v>
      </c>
      <c r="O4814" s="71" t="s">
        <v>145</v>
      </c>
      <c r="P4814" s="103" t="str">
        <f t="shared" si="2366"/>
        <v>THD200(20L)현상액</v>
      </c>
      <c r="Q4814" s="71">
        <f t="shared" si="2365"/>
        <v>5</v>
      </c>
      <c r="R4814" s="102">
        <v>40250</v>
      </c>
      <c r="S4814" s="102">
        <f t="shared" si="2370"/>
        <v>221375.00000000003</v>
      </c>
      <c r="T4814" s="102">
        <f t="shared" si="2371"/>
        <v>201250</v>
      </c>
      <c r="U4814" s="71" t="str">
        <f t="shared" si="2372"/>
        <v>O</v>
      </c>
      <c r="V4814" s="71"/>
      <c r="W4814" s="474">
        <f t="shared" si="2373"/>
        <v>73750</v>
      </c>
      <c r="X4814" s="71"/>
      <c r="Y4814" s="71"/>
    </row>
    <row r="4815" spans="1:25" ht="30" hidden="1" customHeight="1" x14ac:dyDescent="0.25">
      <c r="A4815" s="1145">
        <v>44617</v>
      </c>
      <c r="B4815" s="664" t="s">
        <v>1061</v>
      </c>
      <c r="C4815" s="71" t="s">
        <v>616</v>
      </c>
      <c r="D4815" s="71">
        <v>400</v>
      </c>
      <c r="E4815" s="102">
        <v>5600</v>
      </c>
      <c r="F4815" s="102">
        <f t="shared" si="2363"/>
        <v>2464000</v>
      </c>
      <c r="G4815" s="102">
        <f t="shared" si="2364"/>
        <v>2240000</v>
      </c>
      <c r="H4815" s="690" t="s">
        <v>142</v>
      </c>
      <c r="I4815" s="71" t="s">
        <v>144</v>
      </c>
      <c r="J4815" s="53">
        <f t="shared" si="2367"/>
        <v>120000</v>
      </c>
      <c r="K4815" s="63">
        <f t="shared" si="2368"/>
        <v>5.3571428571428568E-2</v>
      </c>
      <c r="L4815" s="983" t="s">
        <v>3243</v>
      </c>
      <c r="M4815" s="468"/>
      <c r="N4815" s="1192">
        <f t="shared" si="2369"/>
        <v>44617</v>
      </c>
      <c r="O4815" s="71" t="s">
        <v>147</v>
      </c>
      <c r="P4815" s="164" t="str">
        <f t="shared" si="2366"/>
        <v>프리미어(먹)</v>
      </c>
      <c r="Q4815" s="71">
        <f t="shared" si="2365"/>
        <v>400</v>
      </c>
      <c r="R4815" s="102">
        <v>5300</v>
      </c>
      <c r="S4815" s="102">
        <f t="shared" si="2370"/>
        <v>2332000</v>
      </c>
      <c r="T4815" s="102">
        <f t="shared" si="2371"/>
        <v>2120000</v>
      </c>
      <c r="U4815" s="71" t="str">
        <f t="shared" si="2372"/>
        <v>O</v>
      </c>
      <c r="V4815" s="71"/>
      <c r="W4815" s="474">
        <f t="shared" si="2373"/>
        <v>120000</v>
      </c>
      <c r="X4815" s="71"/>
      <c r="Y4815" s="71"/>
    </row>
    <row r="4816" spans="1:25" ht="30" hidden="1" customHeight="1" x14ac:dyDescent="0.25">
      <c r="A4816" s="1145">
        <v>44617</v>
      </c>
      <c r="B4816" s="664" t="s">
        <v>1052</v>
      </c>
      <c r="C4816" s="71" t="s">
        <v>585</v>
      </c>
      <c r="D4816" s="71">
        <v>400</v>
      </c>
      <c r="E4816" s="102">
        <v>6000</v>
      </c>
      <c r="F4816" s="102">
        <f t="shared" si="2363"/>
        <v>2640000</v>
      </c>
      <c r="G4816" s="102">
        <f t="shared" si="2364"/>
        <v>2400000</v>
      </c>
      <c r="H4816" s="690" t="s">
        <v>142</v>
      </c>
      <c r="I4816" s="71" t="s">
        <v>144</v>
      </c>
      <c r="J4816" s="53">
        <f t="shared" si="2367"/>
        <v>-20000</v>
      </c>
      <c r="K4816" s="63">
        <f t="shared" si="2368"/>
        <v>-8.3333333333333332E-3</v>
      </c>
      <c r="L4816" s="983" t="s">
        <v>3243</v>
      </c>
      <c r="M4816" s="468"/>
      <c r="N4816" s="1192">
        <f t="shared" si="2369"/>
        <v>44617</v>
      </c>
      <c r="O4816" s="71" t="s">
        <v>147</v>
      </c>
      <c r="P4816" s="164" t="str">
        <f t="shared" si="2366"/>
        <v>프리미어(적)</v>
      </c>
      <c r="Q4816" s="71">
        <f t="shared" si="2365"/>
        <v>400</v>
      </c>
      <c r="R4816" s="102">
        <v>6050</v>
      </c>
      <c r="S4816" s="102">
        <f t="shared" si="2370"/>
        <v>2662000</v>
      </c>
      <c r="T4816" s="102">
        <f t="shared" si="2371"/>
        <v>2420000</v>
      </c>
      <c r="U4816" s="71" t="str">
        <f t="shared" si="2372"/>
        <v>O</v>
      </c>
      <c r="V4816" s="71"/>
      <c r="W4816" s="474">
        <f t="shared" si="2373"/>
        <v>-20000</v>
      </c>
      <c r="X4816" s="71"/>
      <c r="Y4816" s="71"/>
    </row>
    <row r="4817" spans="1:25" ht="30" hidden="1" customHeight="1" x14ac:dyDescent="0.25">
      <c r="A4817" s="1145">
        <v>44617</v>
      </c>
      <c r="B4817" s="664" t="s">
        <v>1061</v>
      </c>
      <c r="C4817" s="71" t="s">
        <v>586</v>
      </c>
      <c r="D4817" s="71">
        <v>800</v>
      </c>
      <c r="E4817" s="102">
        <v>5750</v>
      </c>
      <c r="F4817" s="102">
        <f t="shared" si="2363"/>
        <v>5060000</v>
      </c>
      <c r="G4817" s="102">
        <f t="shared" si="2364"/>
        <v>4600000</v>
      </c>
      <c r="H4817" s="690" t="s">
        <v>142</v>
      </c>
      <c r="I4817" s="71" t="s">
        <v>144</v>
      </c>
      <c r="J4817" s="53">
        <f t="shared" si="2367"/>
        <v>256000</v>
      </c>
      <c r="K4817" s="63">
        <f t="shared" si="2368"/>
        <v>5.565217391304348E-2</v>
      </c>
      <c r="L4817" s="983" t="s">
        <v>3243</v>
      </c>
      <c r="M4817" s="468"/>
      <c r="N4817" s="1192">
        <f t="shared" si="2369"/>
        <v>44617</v>
      </c>
      <c r="O4817" s="71" t="s">
        <v>147</v>
      </c>
      <c r="P4817" s="103" t="str">
        <f t="shared" si="2366"/>
        <v>프리미어(황)</v>
      </c>
      <c r="Q4817" s="71">
        <f t="shared" si="2365"/>
        <v>800</v>
      </c>
      <c r="R4817" s="102">
        <v>5430</v>
      </c>
      <c r="S4817" s="102">
        <f t="shared" si="2370"/>
        <v>4778400</v>
      </c>
      <c r="T4817" s="102">
        <f t="shared" si="2371"/>
        <v>4344000</v>
      </c>
      <c r="U4817" s="71" t="str">
        <f t="shared" si="2372"/>
        <v>O</v>
      </c>
      <c r="V4817" s="71"/>
      <c r="W4817" s="474">
        <f t="shared" si="2373"/>
        <v>256000</v>
      </c>
      <c r="X4817" s="71"/>
      <c r="Y4817" s="71"/>
    </row>
    <row r="4818" spans="1:25" ht="30" hidden="1" customHeight="1" x14ac:dyDescent="0.25">
      <c r="A4818" s="1145">
        <v>44617</v>
      </c>
      <c r="B4818" s="664" t="s">
        <v>1061</v>
      </c>
      <c r="C4818" s="71" t="s">
        <v>587</v>
      </c>
      <c r="D4818" s="71">
        <v>600</v>
      </c>
      <c r="E4818" s="102">
        <v>7000</v>
      </c>
      <c r="F4818" s="102">
        <f t="shared" si="2363"/>
        <v>4620000</v>
      </c>
      <c r="G4818" s="102">
        <f t="shared" si="2364"/>
        <v>4200000</v>
      </c>
      <c r="H4818" s="690" t="s">
        <v>142</v>
      </c>
      <c r="I4818" s="71" t="s">
        <v>144</v>
      </c>
      <c r="J4818" s="53">
        <f t="shared" si="2367"/>
        <v>300000</v>
      </c>
      <c r="K4818" s="63">
        <f t="shared" si="2368"/>
        <v>7.1428571428571425E-2</v>
      </c>
      <c r="L4818" s="983" t="s">
        <v>3243</v>
      </c>
      <c r="M4818" s="468"/>
      <c r="N4818" s="1192">
        <f t="shared" si="2369"/>
        <v>44617</v>
      </c>
      <c r="O4818" s="71" t="s">
        <v>147</v>
      </c>
      <c r="P4818" s="164" t="str">
        <f t="shared" si="2366"/>
        <v>프리미어(청)</v>
      </c>
      <c r="Q4818" s="71">
        <f t="shared" si="2365"/>
        <v>600</v>
      </c>
      <c r="R4818" s="102">
        <v>6500</v>
      </c>
      <c r="S4818" s="102">
        <f t="shared" si="2370"/>
        <v>4290000</v>
      </c>
      <c r="T4818" s="102">
        <f t="shared" si="2371"/>
        <v>3900000</v>
      </c>
      <c r="U4818" s="71" t="str">
        <f t="shared" si="2372"/>
        <v>O</v>
      </c>
      <c r="V4818" s="71"/>
      <c r="W4818" s="474">
        <f t="shared" si="2373"/>
        <v>300000</v>
      </c>
      <c r="X4818" s="71"/>
      <c r="Y4818" s="71"/>
    </row>
    <row r="4819" spans="1:25" ht="30" hidden="1" customHeight="1" x14ac:dyDescent="0.25">
      <c r="A4819" s="1145">
        <v>44617</v>
      </c>
      <c r="B4819" s="664" t="s">
        <v>1052</v>
      </c>
      <c r="C4819" s="71" t="s">
        <v>1115</v>
      </c>
      <c r="D4819" s="71">
        <v>0</v>
      </c>
      <c r="E4819" s="102">
        <v>6200</v>
      </c>
      <c r="F4819" s="102">
        <f t="shared" si="2363"/>
        <v>0</v>
      </c>
      <c r="G4819" s="102">
        <f t="shared" si="2364"/>
        <v>0</v>
      </c>
      <c r="H4819" s="690" t="s">
        <v>142</v>
      </c>
      <c r="I4819" s="71" t="s">
        <v>144</v>
      </c>
      <c r="J4819" s="53">
        <f t="shared" si="2367"/>
        <v>0</v>
      </c>
      <c r="K4819" s="63" t="e">
        <f t="shared" si="2368"/>
        <v>#DIV/0!</v>
      </c>
      <c r="L4819" s="983" t="s">
        <v>3243</v>
      </c>
      <c r="M4819" s="1197"/>
      <c r="N4819" s="1192">
        <f t="shared" si="2369"/>
        <v>44617</v>
      </c>
      <c r="O4819" s="71" t="s">
        <v>2459</v>
      </c>
      <c r="P4819" s="164" t="str">
        <f t="shared" si="2366"/>
        <v>한특 잉크(적)</v>
      </c>
      <c r="Q4819" s="71">
        <f t="shared" si="2365"/>
        <v>0</v>
      </c>
      <c r="R4819" s="102">
        <v>5900</v>
      </c>
      <c r="S4819" s="102">
        <f t="shared" si="2370"/>
        <v>0</v>
      </c>
      <c r="T4819" s="102">
        <f t="shared" si="2371"/>
        <v>0</v>
      </c>
      <c r="U4819" s="71" t="str">
        <f t="shared" si="2372"/>
        <v>O</v>
      </c>
      <c r="V4819" s="918"/>
      <c r="W4819" s="474">
        <f t="shared" si="2373"/>
        <v>0</v>
      </c>
      <c r="X4819" s="71"/>
      <c r="Y4819" s="71"/>
    </row>
    <row r="4820" spans="1:25" ht="30" hidden="1" customHeight="1" x14ac:dyDescent="0.25">
      <c r="A4820" s="1145">
        <v>44617</v>
      </c>
      <c r="B4820" s="664" t="s">
        <v>1052</v>
      </c>
      <c r="C4820" s="71" t="s">
        <v>1116</v>
      </c>
      <c r="D4820" s="71">
        <v>0</v>
      </c>
      <c r="E4820" s="102">
        <v>6000</v>
      </c>
      <c r="F4820" s="102">
        <f t="shared" si="2363"/>
        <v>0</v>
      </c>
      <c r="G4820" s="102">
        <f t="shared" si="2364"/>
        <v>0</v>
      </c>
      <c r="H4820" s="690" t="s">
        <v>142</v>
      </c>
      <c r="I4820" s="71" t="s">
        <v>144</v>
      </c>
      <c r="J4820" s="53">
        <f t="shared" si="2367"/>
        <v>0</v>
      </c>
      <c r="K4820" s="63" t="e">
        <f t="shared" si="2368"/>
        <v>#DIV/0!</v>
      </c>
      <c r="L4820" s="983" t="s">
        <v>3243</v>
      </c>
      <c r="M4820" s="1197"/>
      <c r="N4820" s="1192">
        <f t="shared" si="2369"/>
        <v>44617</v>
      </c>
      <c r="O4820" s="71" t="s">
        <v>2459</v>
      </c>
      <c r="P4820" s="103" t="str">
        <f t="shared" si="2366"/>
        <v>한특 잉크(황)</v>
      </c>
      <c r="Q4820" s="71">
        <f t="shared" si="2365"/>
        <v>0</v>
      </c>
      <c r="R4820" s="102">
        <v>5500</v>
      </c>
      <c r="S4820" s="102">
        <f t="shared" si="2370"/>
        <v>0</v>
      </c>
      <c r="T4820" s="102">
        <f t="shared" si="2371"/>
        <v>0</v>
      </c>
      <c r="U4820" s="71" t="str">
        <f t="shared" si="2372"/>
        <v>O</v>
      </c>
      <c r="V4820" s="918"/>
      <c r="W4820" s="474">
        <f t="shared" si="2373"/>
        <v>0</v>
      </c>
      <c r="X4820" s="71"/>
      <c r="Y4820" s="71"/>
    </row>
    <row r="4821" spans="1:25" ht="30" hidden="1" customHeight="1" x14ac:dyDescent="0.25">
      <c r="A4821" s="1145">
        <v>44617</v>
      </c>
      <c r="B4821" s="664" t="s">
        <v>1052</v>
      </c>
      <c r="C4821" s="71" t="s">
        <v>1117</v>
      </c>
      <c r="D4821" s="71">
        <v>0</v>
      </c>
      <c r="E4821" s="102">
        <v>6500</v>
      </c>
      <c r="F4821" s="102">
        <f t="shared" si="2363"/>
        <v>0</v>
      </c>
      <c r="G4821" s="102">
        <f t="shared" si="2364"/>
        <v>0</v>
      </c>
      <c r="H4821" s="690" t="s">
        <v>142</v>
      </c>
      <c r="I4821" s="71" t="s">
        <v>144</v>
      </c>
      <c r="J4821" s="53">
        <f t="shared" si="2367"/>
        <v>0</v>
      </c>
      <c r="K4821" s="63" t="e">
        <f t="shared" si="2368"/>
        <v>#DIV/0!</v>
      </c>
      <c r="L4821" s="983" t="s">
        <v>3243</v>
      </c>
      <c r="M4821" s="1197"/>
      <c r="N4821" s="1192">
        <f t="shared" si="2369"/>
        <v>44617</v>
      </c>
      <c r="O4821" s="71" t="s">
        <v>2459</v>
      </c>
      <c r="P4821" s="164" t="str">
        <f t="shared" si="2366"/>
        <v>한특 잉크(청)</v>
      </c>
      <c r="Q4821" s="71">
        <f t="shared" si="2365"/>
        <v>0</v>
      </c>
      <c r="R4821" s="102">
        <v>5800</v>
      </c>
      <c r="S4821" s="102">
        <f t="shared" si="2370"/>
        <v>0</v>
      </c>
      <c r="T4821" s="102">
        <f t="shared" si="2371"/>
        <v>0</v>
      </c>
      <c r="U4821" s="71" t="str">
        <f t="shared" si="2372"/>
        <v>O</v>
      </c>
      <c r="V4821" s="918"/>
      <c r="W4821" s="474">
        <f t="shared" si="2373"/>
        <v>0</v>
      </c>
      <c r="X4821" s="71"/>
      <c r="Y4821" s="71"/>
    </row>
    <row r="4822" spans="1:25" ht="30" hidden="1" customHeight="1" x14ac:dyDescent="0.25">
      <c r="A4822" s="1145">
        <v>44617</v>
      </c>
      <c r="B4822" s="664" t="s">
        <v>1052</v>
      </c>
      <c r="C4822" s="71" t="s">
        <v>1118</v>
      </c>
      <c r="D4822" s="71">
        <v>0</v>
      </c>
      <c r="E4822" s="102">
        <v>5600</v>
      </c>
      <c r="F4822" s="102">
        <f t="shared" si="2363"/>
        <v>0</v>
      </c>
      <c r="G4822" s="102">
        <f t="shared" si="2364"/>
        <v>0</v>
      </c>
      <c r="H4822" s="690" t="s">
        <v>142</v>
      </c>
      <c r="I4822" s="71" t="s">
        <v>144</v>
      </c>
      <c r="J4822" s="53">
        <f t="shared" si="2367"/>
        <v>0</v>
      </c>
      <c r="K4822" s="63" t="e">
        <f t="shared" si="2368"/>
        <v>#DIV/0!</v>
      </c>
      <c r="L4822" s="983" t="s">
        <v>3243</v>
      </c>
      <c r="M4822" s="1197"/>
      <c r="N4822" s="1192">
        <f t="shared" si="2369"/>
        <v>44617</v>
      </c>
      <c r="O4822" s="71" t="s">
        <v>2459</v>
      </c>
      <c r="P4822" s="164" t="str">
        <f t="shared" si="2366"/>
        <v>한특 잉크(먹)</v>
      </c>
      <c r="Q4822" s="71">
        <f t="shared" si="2365"/>
        <v>0</v>
      </c>
      <c r="R4822" s="102">
        <v>5000</v>
      </c>
      <c r="S4822" s="102">
        <f t="shared" si="2370"/>
        <v>0</v>
      </c>
      <c r="T4822" s="102">
        <f t="shared" si="2371"/>
        <v>0</v>
      </c>
      <c r="U4822" s="71" t="str">
        <f t="shared" si="2372"/>
        <v>O</v>
      </c>
      <c r="V4822" s="918"/>
      <c r="W4822" s="474">
        <f t="shared" si="2373"/>
        <v>0</v>
      </c>
      <c r="X4822" s="71"/>
      <c r="Y4822" s="71"/>
    </row>
    <row r="4823" spans="1:25" ht="30" hidden="1" customHeight="1" x14ac:dyDescent="0.25">
      <c r="A4823" s="1145">
        <v>44620</v>
      </c>
      <c r="B4823" s="664" t="s">
        <v>545</v>
      </c>
      <c r="C4823" s="760" t="s">
        <v>3272</v>
      </c>
      <c r="D4823" s="71">
        <v>2</v>
      </c>
      <c r="E4823" s="102">
        <v>670000</v>
      </c>
      <c r="F4823" s="102">
        <f t="shared" si="2363"/>
        <v>1474000.0000000002</v>
      </c>
      <c r="G4823" s="102">
        <f t="shared" si="2364"/>
        <v>1340000</v>
      </c>
      <c r="H4823" s="690" t="s">
        <v>173</v>
      </c>
      <c r="I4823" s="71" t="s">
        <v>2231</v>
      </c>
      <c r="J4823" s="53">
        <f t="shared" si="2367"/>
        <v>140000</v>
      </c>
      <c r="K4823" s="63">
        <f t="shared" ref="K4823:K4830" si="2374">(J4823/(F4823/11*10))</f>
        <v>0.10447761194029849</v>
      </c>
      <c r="L4823" s="983" t="s">
        <v>3243</v>
      </c>
      <c r="M4823" s="468"/>
      <c r="N4823" s="1192">
        <f t="shared" ref="N4823:N4830" si="2375">A4823</f>
        <v>44620</v>
      </c>
      <c r="O4823" s="71" t="s">
        <v>150</v>
      </c>
      <c r="P4823" s="209" t="str">
        <f t="shared" si="2366"/>
        <v>닥터블레이드XL용</v>
      </c>
      <c r="Q4823" s="71">
        <f t="shared" si="2365"/>
        <v>2</v>
      </c>
      <c r="R4823" s="102">
        <v>600000</v>
      </c>
      <c r="S4823" s="102">
        <f t="shared" si="2370"/>
        <v>1320000</v>
      </c>
      <c r="T4823" s="102">
        <f t="shared" si="2371"/>
        <v>1200000</v>
      </c>
      <c r="U4823" s="71" t="str">
        <f t="shared" si="2372"/>
        <v>O</v>
      </c>
      <c r="V4823" s="71"/>
      <c r="W4823" s="474">
        <f t="shared" si="2373"/>
        <v>140000</v>
      </c>
      <c r="X4823" s="71"/>
      <c r="Y4823" s="71"/>
    </row>
    <row r="4824" spans="1:25" ht="30" hidden="1" customHeight="1" x14ac:dyDescent="0.25">
      <c r="A4824" s="1145">
        <v>44620</v>
      </c>
      <c r="B4824" s="664" t="s">
        <v>1051</v>
      </c>
      <c r="C4824" s="71" t="s">
        <v>3240</v>
      </c>
      <c r="D4824" s="71">
        <v>1</v>
      </c>
      <c r="E4824" s="102">
        <v>2350000</v>
      </c>
      <c r="F4824" s="102">
        <f t="shared" ref="F4824:F4830" si="2376">(E4824*D4824)*1.1</f>
        <v>2585000</v>
      </c>
      <c r="G4824" s="102">
        <f t="shared" ref="G4824:G4830" si="2377">(E4824*D4824)</f>
        <v>2350000</v>
      </c>
      <c r="H4824" s="690" t="s">
        <v>142</v>
      </c>
      <c r="I4824" s="71" t="s">
        <v>142</v>
      </c>
      <c r="J4824" s="53">
        <f t="shared" si="2367"/>
        <v>600000</v>
      </c>
      <c r="K4824" s="63">
        <f t="shared" si="2374"/>
        <v>0.25531914893617019</v>
      </c>
      <c r="L4824" s="983" t="s">
        <v>3243</v>
      </c>
      <c r="M4824" s="468"/>
      <c r="N4824" s="1192">
        <f t="shared" si="2375"/>
        <v>44620</v>
      </c>
      <c r="O4824" s="71" t="s">
        <v>1431</v>
      </c>
      <c r="P4824" s="164" t="str">
        <f t="shared" si="2366"/>
        <v>Apogee 워크플로우 구독료</v>
      </c>
      <c r="Q4824" s="71">
        <f t="shared" si="2365"/>
        <v>1</v>
      </c>
      <c r="R4824" s="102">
        <v>1750000</v>
      </c>
      <c r="S4824" s="102">
        <f t="shared" si="2370"/>
        <v>1925000.0000000002</v>
      </c>
      <c r="T4824" s="102">
        <f t="shared" si="2371"/>
        <v>1750000</v>
      </c>
      <c r="U4824" s="71"/>
      <c r="V4824" s="71"/>
      <c r="W4824" s="474"/>
      <c r="X4824" s="71"/>
      <c r="Y4824" s="71"/>
    </row>
    <row r="4825" spans="1:25" ht="30" hidden="1" customHeight="1" x14ac:dyDescent="0.25">
      <c r="A4825" s="1145">
        <v>44620</v>
      </c>
      <c r="B4825" s="664" t="s">
        <v>2103</v>
      </c>
      <c r="C4825" s="71" t="s">
        <v>3131</v>
      </c>
      <c r="D4825" s="71">
        <v>1</v>
      </c>
      <c r="E4825" s="102">
        <v>1596000</v>
      </c>
      <c r="F4825" s="102">
        <f t="shared" si="2376"/>
        <v>1755600.0000000002</v>
      </c>
      <c r="G4825" s="102">
        <f t="shared" si="2377"/>
        <v>1596000</v>
      </c>
      <c r="H4825" s="690" t="s">
        <v>173</v>
      </c>
      <c r="I4825" s="71" t="s">
        <v>2230</v>
      </c>
      <c r="J4825" s="53">
        <f t="shared" si="2367"/>
        <v>1596000</v>
      </c>
      <c r="K4825" s="63">
        <f t="shared" si="2374"/>
        <v>0.99999999999999989</v>
      </c>
      <c r="L4825" s="983" t="s">
        <v>3243</v>
      </c>
      <c r="M4825" s="468"/>
      <c r="N4825" s="1192">
        <f t="shared" si="2375"/>
        <v>44620</v>
      </c>
      <c r="O4825" s="71"/>
      <c r="P4825" s="103" t="str">
        <f t="shared" si="2366"/>
        <v>세흥인쇄 폐판</v>
      </c>
      <c r="Q4825" s="71">
        <f t="shared" si="2365"/>
        <v>1</v>
      </c>
      <c r="R4825" s="102"/>
      <c r="S4825" s="102">
        <f t="shared" si="2370"/>
        <v>0</v>
      </c>
      <c r="T4825" s="102">
        <f t="shared" si="2371"/>
        <v>0</v>
      </c>
      <c r="U4825" s="71"/>
      <c r="V4825" s="71"/>
      <c r="W4825" s="474"/>
      <c r="X4825" s="71"/>
      <c r="Y4825" s="71"/>
    </row>
    <row r="4826" spans="1:25" s="209" customFormat="1" ht="30" hidden="1" customHeight="1" x14ac:dyDescent="0.25">
      <c r="A4826" s="1145">
        <v>44620</v>
      </c>
      <c r="B4826" s="664" t="s">
        <v>567</v>
      </c>
      <c r="C4826" s="71" t="s">
        <v>236</v>
      </c>
      <c r="D4826" s="71">
        <v>5</v>
      </c>
      <c r="E4826" s="102">
        <v>75000</v>
      </c>
      <c r="F4826" s="102">
        <f t="shared" si="2376"/>
        <v>412500.00000000006</v>
      </c>
      <c r="G4826" s="102">
        <f t="shared" si="2377"/>
        <v>375000</v>
      </c>
      <c r="H4826" s="690" t="s">
        <v>173</v>
      </c>
      <c r="I4826" s="71" t="s">
        <v>2231</v>
      </c>
      <c r="J4826" s="53">
        <f t="shared" si="2367"/>
        <v>125000</v>
      </c>
      <c r="K4826" s="63">
        <f t="shared" si="2374"/>
        <v>0.33333333333333326</v>
      </c>
      <c r="L4826" s="983" t="s">
        <v>3243</v>
      </c>
      <c r="M4826" s="468"/>
      <c r="N4826" s="1192">
        <f t="shared" si="2375"/>
        <v>44620</v>
      </c>
      <c r="O4826" s="71" t="s">
        <v>153</v>
      </c>
      <c r="P4826" s="164" t="str">
        <f t="shared" si="2366"/>
        <v>아스테이지(국전)</v>
      </c>
      <c r="Q4826" s="71">
        <f t="shared" si="2365"/>
        <v>5</v>
      </c>
      <c r="R4826" s="102">
        <v>50000</v>
      </c>
      <c r="S4826" s="102">
        <f t="shared" si="2370"/>
        <v>275000</v>
      </c>
      <c r="T4826" s="102">
        <f t="shared" si="2371"/>
        <v>250000</v>
      </c>
      <c r="U4826" s="71" t="str">
        <f>IF(J4826=W4826,"O", "X")</f>
        <v>X</v>
      </c>
      <c r="V4826" s="71"/>
      <c r="W4826" s="474">
        <v>150000</v>
      </c>
      <c r="X4826" s="71"/>
      <c r="Y4826" s="71"/>
    </row>
    <row r="4827" spans="1:25" ht="27.6" hidden="1" customHeight="1" x14ac:dyDescent="0.25">
      <c r="A4827" s="1145">
        <v>44620</v>
      </c>
      <c r="B4827" s="664" t="s">
        <v>567</v>
      </c>
      <c r="C4827" s="71" t="s">
        <v>1652</v>
      </c>
      <c r="D4827" s="71">
        <v>5</v>
      </c>
      <c r="E4827" s="102">
        <v>55000</v>
      </c>
      <c r="F4827" s="102">
        <f t="shared" si="2376"/>
        <v>302500</v>
      </c>
      <c r="G4827" s="102">
        <f t="shared" si="2377"/>
        <v>275000</v>
      </c>
      <c r="H4827" s="690" t="s">
        <v>173</v>
      </c>
      <c r="I4827" s="71" t="s">
        <v>2231</v>
      </c>
      <c r="J4827" s="53">
        <f t="shared" si="2367"/>
        <v>75000</v>
      </c>
      <c r="K4827" s="63">
        <f t="shared" si="2374"/>
        <v>0.27272727272727271</v>
      </c>
      <c r="L4827" s="983" t="s">
        <v>3243</v>
      </c>
      <c r="M4827" s="468"/>
      <c r="N4827" s="1192">
        <f t="shared" si="2375"/>
        <v>44620</v>
      </c>
      <c r="O4827" s="71" t="s">
        <v>153</v>
      </c>
      <c r="P4827" s="164" t="str">
        <f t="shared" si="2366"/>
        <v>아스테이지(CD74용)</v>
      </c>
      <c r="Q4827" s="71">
        <f t="shared" si="2365"/>
        <v>5</v>
      </c>
      <c r="R4827" s="102">
        <v>40000</v>
      </c>
      <c r="S4827" s="102">
        <f t="shared" si="2370"/>
        <v>220000.00000000003</v>
      </c>
      <c r="T4827" s="102">
        <f t="shared" si="2371"/>
        <v>200000</v>
      </c>
      <c r="U4827" s="71" t="str">
        <f>IF(J4827=W4827,"O", "X")</f>
        <v>X</v>
      </c>
      <c r="V4827" s="71"/>
      <c r="W4827" s="474"/>
      <c r="X4827" s="71"/>
      <c r="Y4827" s="71"/>
    </row>
    <row r="4828" spans="1:25" ht="30" hidden="1" customHeight="1" x14ac:dyDescent="0.25">
      <c r="A4828" s="1145">
        <v>44620</v>
      </c>
      <c r="B4828" s="664" t="s">
        <v>1155</v>
      </c>
      <c r="C4828" s="71" t="s">
        <v>123</v>
      </c>
      <c r="D4828" s="71">
        <v>15</v>
      </c>
      <c r="E4828" s="102">
        <v>33000</v>
      </c>
      <c r="F4828" s="102">
        <f t="shared" si="2376"/>
        <v>544500</v>
      </c>
      <c r="G4828" s="102">
        <f t="shared" si="2377"/>
        <v>495000</v>
      </c>
      <c r="H4828" s="71" t="s">
        <v>94</v>
      </c>
      <c r="I4828" s="690" t="s">
        <v>1432</v>
      </c>
      <c r="J4828" s="53">
        <f t="shared" si="2367"/>
        <v>135000</v>
      </c>
      <c r="K4828" s="63">
        <f t="shared" si="2374"/>
        <v>0.27272727272727271</v>
      </c>
      <c r="L4828" s="983" t="s">
        <v>3243</v>
      </c>
      <c r="M4828" s="468" t="s">
        <v>3162</v>
      </c>
      <c r="N4828" s="1192">
        <f t="shared" si="2375"/>
        <v>44620</v>
      </c>
      <c r="O4828" s="71" t="s">
        <v>94</v>
      </c>
      <c r="P4828" s="103" t="str">
        <f t="shared" si="2366"/>
        <v>필터백</v>
      </c>
      <c r="Q4828" s="71">
        <f t="shared" si="2365"/>
        <v>15</v>
      </c>
      <c r="R4828" s="102">
        <v>24000</v>
      </c>
      <c r="S4828" s="102">
        <f t="shared" si="2370"/>
        <v>396000.00000000006</v>
      </c>
      <c r="T4828" s="102">
        <f t="shared" si="2371"/>
        <v>360000</v>
      </c>
      <c r="U4828" s="71"/>
      <c r="V4828" s="71"/>
      <c r="W4828" s="474"/>
      <c r="X4828" s="71"/>
      <c r="Y4828" s="71"/>
    </row>
    <row r="4829" spans="1:25" ht="30" hidden="1" customHeight="1" x14ac:dyDescent="0.25">
      <c r="A4829" s="1145">
        <v>44620</v>
      </c>
      <c r="B4829" s="664" t="s">
        <v>939</v>
      </c>
      <c r="C4829" s="71" t="s">
        <v>123</v>
      </c>
      <c r="D4829" s="71">
        <v>5</v>
      </c>
      <c r="E4829" s="102">
        <v>33000</v>
      </c>
      <c r="F4829" s="102">
        <f t="shared" si="2376"/>
        <v>181500.00000000003</v>
      </c>
      <c r="G4829" s="102">
        <f t="shared" si="2377"/>
        <v>165000</v>
      </c>
      <c r="H4829" s="71" t="s">
        <v>94</v>
      </c>
      <c r="I4829" s="690" t="s">
        <v>1432</v>
      </c>
      <c r="J4829" s="53">
        <f t="shared" si="2367"/>
        <v>45000</v>
      </c>
      <c r="K4829" s="63">
        <f t="shared" si="2374"/>
        <v>0.27272727272727265</v>
      </c>
      <c r="L4829" s="983" t="s">
        <v>3243</v>
      </c>
      <c r="M4829" s="468" t="s">
        <v>3162</v>
      </c>
      <c r="N4829" s="1192">
        <f t="shared" si="2375"/>
        <v>44620</v>
      </c>
      <c r="O4829" s="71" t="s">
        <v>94</v>
      </c>
      <c r="P4829" s="103" t="str">
        <f>(C4829)</f>
        <v>필터백</v>
      </c>
      <c r="Q4829" s="71">
        <f>D4829</f>
        <v>5</v>
      </c>
      <c r="R4829" s="102">
        <v>24000</v>
      </c>
      <c r="S4829" s="102">
        <f t="shared" si="2370"/>
        <v>132000</v>
      </c>
      <c r="T4829" s="102">
        <f t="shared" si="2371"/>
        <v>120000</v>
      </c>
      <c r="U4829" s="71"/>
      <c r="V4829" s="71"/>
      <c r="W4829" s="474"/>
      <c r="X4829" s="71"/>
      <c r="Y4829" s="71"/>
    </row>
    <row r="4830" spans="1:25" ht="30" hidden="1" customHeight="1" x14ac:dyDescent="0.25">
      <c r="A4830" s="1145">
        <v>44620</v>
      </c>
      <c r="B4830" s="664" t="s">
        <v>939</v>
      </c>
      <c r="C4830" s="71" t="s">
        <v>3275</v>
      </c>
      <c r="D4830" s="71">
        <v>10</v>
      </c>
      <c r="E4830" s="102">
        <v>125000</v>
      </c>
      <c r="F4830" s="102">
        <f t="shared" si="2376"/>
        <v>1375000</v>
      </c>
      <c r="G4830" s="102">
        <f t="shared" si="2377"/>
        <v>1250000</v>
      </c>
      <c r="H4830" s="690" t="s">
        <v>2029</v>
      </c>
      <c r="I4830" s="71" t="s">
        <v>2231</v>
      </c>
      <c r="J4830" s="53">
        <f t="shared" si="2367"/>
        <v>340000</v>
      </c>
      <c r="K4830" s="63">
        <f t="shared" si="2374"/>
        <v>0.27200000000000002</v>
      </c>
      <c r="L4830" s="983" t="s">
        <v>3243</v>
      </c>
      <c r="M4830" s="468"/>
      <c r="N4830" s="1192">
        <f t="shared" si="2375"/>
        <v>44620</v>
      </c>
      <c r="O4830" s="71" t="s">
        <v>2030</v>
      </c>
      <c r="P4830" s="164" t="str">
        <f>(C4830)</f>
        <v>실리콘 에멀전윤전</v>
      </c>
      <c r="Q4830" s="71">
        <f>D4830</f>
        <v>10</v>
      </c>
      <c r="R4830" s="102">
        <v>91000</v>
      </c>
      <c r="S4830" s="102">
        <f t="shared" si="2370"/>
        <v>1001000.0000000001</v>
      </c>
      <c r="T4830" s="102">
        <f t="shared" si="2371"/>
        <v>910000</v>
      </c>
      <c r="U4830" s="71" t="str">
        <f>IF(J4830=W4830,"O", "X")</f>
        <v>X</v>
      </c>
      <c r="V4830" s="71"/>
      <c r="W4830" s="474"/>
      <c r="X4830" s="71"/>
      <c r="Y4830" s="71"/>
    </row>
    <row r="4831" spans="1:25" ht="30" hidden="1" customHeight="1" x14ac:dyDescent="0.25">
      <c r="A4831" s="1210" t="s">
        <v>3330</v>
      </c>
      <c r="B4831" s="1211" t="s">
        <v>3331</v>
      </c>
      <c r="C4831" s="960"/>
      <c r="D4831" s="960"/>
      <c r="E4831" s="952"/>
      <c r="F4831" s="952"/>
      <c r="G4831" s="952"/>
      <c r="H4831" s="1206"/>
      <c r="I4831" s="960"/>
      <c r="J4831" s="952"/>
      <c r="K4831" s="953"/>
      <c r="L4831" s="1212" t="s">
        <v>3332</v>
      </c>
      <c r="M4831" s="1207"/>
      <c r="N4831" s="1208" t="str">
        <f>A4831</f>
        <v>2022,3</v>
      </c>
      <c r="O4831" s="960"/>
      <c r="P4831" s="1209"/>
      <c r="Q4831" s="960"/>
      <c r="R4831" s="952"/>
      <c r="S4831" s="952"/>
      <c r="T4831" s="952"/>
      <c r="U4831" s="960"/>
      <c r="V4831" s="960"/>
      <c r="W4831" s="474">
        <f>(G4831-T4831)</f>
        <v>0</v>
      </c>
      <c r="X4831" s="71"/>
      <c r="Y4831" s="71"/>
    </row>
    <row r="4832" spans="1:25" ht="30" hidden="1" customHeight="1" x14ac:dyDescent="0.25">
      <c r="A4832" s="1145">
        <v>44622</v>
      </c>
      <c r="B4832" s="664" t="s">
        <v>442</v>
      </c>
      <c r="C4832" s="71" t="s">
        <v>773</v>
      </c>
      <c r="D4832" s="71">
        <v>6</v>
      </c>
      <c r="E4832" s="102">
        <v>192000</v>
      </c>
      <c r="F4832" s="102">
        <f t="shared" ref="F4832:F4838" si="2378">(E4832*D4832)*1.1</f>
        <v>1267200</v>
      </c>
      <c r="G4832" s="102">
        <f t="shared" ref="G4832:G4838" si="2379">(E4832*D4832)</f>
        <v>1152000</v>
      </c>
      <c r="H4832" s="690" t="s">
        <v>173</v>
      </c>
      <c r="I4832" s="71" t="s">
        <v>109</v>
      </c>
      <c r="J4832" s="53">
        <v>120000</v>
      </c>
      <c r="K4832" s="63">
        <v>0.125</v>
      </c>
      <c r="L4832" s="1212" t="s">
        <v>3332</v>
      </c>
      <c r="M4832" s="468"/>
      <c r="N4832" s="1192">
        <f t="shared" ref="N4832:N4838" si="2380">A4832</f>
        <v>44622</v>
      </c>
      <c r="O4832" s="71" t="s">
        <v>151</v>
      </c>
      <c r="P4832" s="164" t="s">
        <v>1803</v>
      </c>
      <c r="Q4832" s="71">
        <v>5</v>
      </c>
      <c r="R4832" s="102">
        <v>168000</v>
      </c>
      <c r="S4832" s="102">
        <v>924000.00000000012</v>
      </c>
      <c r="T4832" s="102">
        <v>840000</v>
      </c>
      <c r="U4832" s="71" t="s">
        <v>859</v>
      </c>
      <c r="V4832" s="71"/>
      <c r="W4832" s="474">
        <v>120000</v>
      </c>
      <c r="X4832" s="71"/>
      <c r="Y4832" s="71"/>
    </row>
    <row r="4833" spans="1:25" ht="30" customHeight="1" x14ac:dyDescent="0.25">
      <c r="A4833" s="1145">
        <v>44623</v>
      </c>
      <c r="B4833" s="664" t="s">
        <v>641</v>
      </c>
      <c r="C4833" s="71" t="s">
        <v>3293</v>
      </c>
      <c r="D4833" s="71">
        <v>60</v>
      </c>
      <c r="E4833" s="102">
        <v>69000</v>
      </c>
      <c r="F4833" s="102">
        <f t="shared" si="2378"/>
        <v>4554000</v>
      </c>
      <c r="G4833" s="102">
        <f t="shared" si="2379"/>
        <v>4140000</v>
      </c>
      <c r="H4833" s="690" t="s">
        <v>172</v>
      </c>
      <c r="I4833" s="71" t="s">
        <v>2231</v>
      </c>
      <c r="J4833" s="53">
        <f t="shared" ref="J4833:J4843" si="2381">G4833-T4833</f>
        <v>1080000</v>
      </c>
      <c r="K4833" s="63">
        <f t="shared" ref="K4833:K4840" si="2382">(J4833/(F4833/11*10))</f>
        <v>0.2608695652173913</v>
      </c>
      <c r="L4833" s="1212" t="s">
        <v>3332</v>
      </c>
      <c r="M4833" s="468"/>
      <c r="N4833" s="1192">
        <f t="shared" si="2380"/>
        <v>44623</v>
      </c>
      <c r="O4833" s="71" t="s">
        <v>3291</v>
      </c>
      <c r="P4833" s="103" t="str">
        <f t="shared" ref="P4833:P4838" si="2383">(C4833)</f>
        <v>GOSS 신문윤전 습식세정포</v>
      </c>
      <c r="Q4833" s="71">
        <f t="shared" ref="Q4833:Q4838" si="2384">D4833</f>
        <v>60</v>
      </c>
      <c r="R4833" s="102">
        <v>51000</v>
      </c>
      <c r="S4833" s="102">
        <f t="shared" ref="S4833:S4843" si="2385">R4833*Q4833*1.1</f>
        <v>3366000.0000000005</v>
      </c>
      <c r="T4833" s="102">
        <f t="shared" ref="T4833:T4843" si="2386">R4833*Q4833</f>
        <v>3060000</v>
      </c>
      <c r="U4833" s="71" t="str">
        <f>IF(J4833=W4833,"O", "X")</f>
        <v>X</v>
      </c>
      <c r="V4833" s="71"/>
      <c r="W4833" s="474"/>
      <c r="X4833" s="71"/>
      <c r="Y4833" s="71"/>
    </row>
    <row r="4834" spans="1:25" ht="30" customHeight="1" x14ac:dyDescent="0.25">
      <c r="A4834" s="1145">
        <v>44623</v>
      </c>
      <c r="B4834" s="664" t="s">
        <v>641</v>
      </c>
      <c r="C4834" s="71" t="s">
        <v>3334</v>
      </c>
      <c r="D4834" s="71">
        <v>30</v>
      </c>
      <c r="E4834" s="102">
        <v>185000</v>
      </c>
      <c r="F4834" s="102">
        <f>(E4834*D4834)*1.1</f>
        <v>6105000.0000000009</v>
      </c>
      <c r="G4834" s="102">
        <f>(E4834*D4834)</f>
        <v>5550000</v>
      </c>
      <c r="H4834" s="690" t="s">
        <v>1786</v>
      </c>
      <c r="I4834" s="71" t="s">
        <v>142</v>
      </c>
      <c r="J4834" s="53">
        <f t="shared" si="2381"/>
        <v>-3073373.3384831026</v>
      </c>
      <c r="K4834" s="63">
        <f t="shared" si="2382"/>
        <v>-0.55376096188884727</v>
      </c>
      <c r="L4834" s="1212" t="s">
        <v>3332</v>
      </c>
      <c r="M4834" s="468"/>
      <c r="N4834" s="1192"/>
      <c r="O4834" s="71" t="s">
        <v>39</v>
      </c>
      <c r="P4834" s="103" t="str">
        <f t="shared" si="2383"/>
        <v>고무롤러유압실린더 DO51327-10</v>
      </c>
      <c r="Q4834" s="71">
        <f t="shared" si="2384"/>
        <v>30</v>
      </c>
      <c r="R4834" s="102">
        <v>287445.77794943674</v>
      </c>
      <c r="S4834" s="102">
        <f t="shared" si="2385"/>
        <v>9485710.6723314133</v>
      </c>
      <c r="T4834" s="102">
        <f t="shared" si="2386"/>
        <v>8623373.3384831026</v>
      </c>
      <c r="U4834" s="71"/>
      <c r="V4834" s="71"/>
      <c r="W4834" s="474"/>
      <c r="X4834" s="71"/>
      <c r="Y4834" s="71"/>
    </row>
    <row r="4835" spans="1:25" ht="30" hidden="1" customHeight="1" x14ac:dyDescent="0.25">
      <c r="A4835" s="1145">
        <v>44623</v>
      </c>
      <c r="B4835" s="664" t="s">
        <v>3289</v>
      </c>
      <c r="C4835" s="71" t="s">
        <v>3299</v>
      </c>
      <c r="D4835" s="71">
        <v>10</v>
      </c>
      <c r="E4835" s="102">
        <v>47600</v>
      </c>
      <c r="F4835" s="102">
        <f>(E4835*D4835)*1.1</f>
        <v>523600.00000000006</v>
      </c>
      <c r="G4835" s="102">
        <f>(E4835*D4835)</f>
        <v>476000</v>
      </c>
      <c r="H4835" s="690" t="s">
        <v>172</v>
      </c>
      <c r="I4835" s="71" t="s">
        <v>113</v>
      </c>
      <c r="J4835" s="53">
        <f t="shared" si="2381"/>
        <v>76000</v>
      </c>
      <c r="K4835" s="63">
        <f t="shared" si="2382"/>
        <v>0.15966386554621848</v>
      </c>
      <c r="L4835" s="1212" t="s">
        <v>3332</v>
      </c>
      <c r="M4835" s="468" t="s">
        <v>3304</v>
      </c>
      <c r="N4835" s="1192">
        <f>A4835</f>
        <v>44623</v>
      </c>
      <c r="O4835" s="71" t="s">
        <v>175</v>
      </c>
      <c r="P4835" s="103" t="s">
        <v>3299</v>
      </c>
      <c r="Q4835" s="71">
        <f t="shared" si="2384"/>
        <v>10</v>
      </c>
      <c r="R4835" s="102">
        <v>40000</v>
      </c>
      <c r="S4835" s="102">
        <f t="shared" si="2385"/>
        <v>440000.00000000006</v>
      </c>
      <c r="T4835" s="102">
        <f t="shared" si="2386"/>
        <v>400000</v>
      </c>
      <c r="U4835" s="71" t="str">
        <f t="shared" ref="U4835:U4840" si="2387">IF(J4835=W4835,"O", "X")</f>
        <v>X</v>
      </c>
      <c r="V4835" s="71"/>
      <c r="W4835" s="474"/>
      <c r="X4835" s="71"/>
      <c r="Y4835" s="71"/>
    </row>
    <row r="4836" spans="1:25" ht="30" hidden="1" customHeight="1" x14ac:dyDescent="0.25">
      <c r="A4836" s="1145">
        <v>44624</v>
      </c>
      <c r="B4836" s="664" t="s">
        <v>3289</v>
      </c>
      <c r="C4836" s="71" t="s">
        <v>277</v>
      </c>
      <c r="D4836" s="71">
        <v>10</v>
      </c>
      <c r="E4836" s="102">
        <v>172000</v>
      </c>
      <c r="F4836" s="102">
        <f>(E4836*D4836)*1.1</f>
        <v>1892000.0000000002</v>
      </c>
      <c r="G4836" s="102">
        <f>(E4836*D4836)</f>
        <v>1720000</v>
      </c>
      <c r="H4836" s="690" t="s">
        <v>172</v>
      </c>
      <c r="I4836" s="71" t="s">
        <v>108</v>
      </c>
      <c r="J4836" s="53">
        <f t="shared" si="2381"/>
        <v>570000</v>
      </c>
      <c r="K4836" s="63">
        <f t="shared" si="2382"/>
        <v>0.33139534883720928</v>
      </c>
      <c r="L4836" s="1212" t="s">
        <v>3332</v>
      </c>
      <c r="M4836" s="468"/>
      <c r="N4836" s="1192">
        <f>A4836</f>
        <v>44624</v>
      </c>
      <c r="O4836" s="71" t="s">
        <v>662</v>
      </c>
      <c r="P4836" s="103" t="str">
        <f>(C4836)</f>
        <v>윤전용 세척제(Web 504)</v>
      </c>
      <c r="Q4836" s="71">
        <f t="shared" si="2384"/>
        <v>10</v>
      </c>
      <c r="R4836" s="102">
        <v>115000</v>
      </c>
      <c r="S4836" s="102">
        <f t="shared" si="2385"/>
        <v>1265000</v>
      </c>
      <c r="T4836" s="102">
        <f t="shared" si="2386"/>
        <v>1150000</v>
      </c>
      <c r="U4836" s="71" t="str">
        <f t="shared" si="2387"/>
        <v>X</v>
      </c>
      <c r="V4836" s="71"/>
      <c r="W4836" s="474"/>
      <c r="X4836" s="71"/>
      <c r="Y4836" s="71"/>
    </row>
    <row r="4837" spans="1:25" ht="30" hidden="1" customHeight="1" x14ac:dyDescent="0.25">
      <c r="A4837" s="1145">
        <v>44624</v>
      </c>
      <c r="B4837" s="664" t="s">
        <v>3296</v>
      </c>
      <c r="C4837" s="71" t="s">
        <v>3297</v>
      </c>
      <c r="D4837" s="71">
        <v>20</v>
      </c>
      <c r="E4837" s="102">
        <v>105000</v>
      </c>
      <c r="F4837" s="102">
        <f>(E4837*D4837)*1.1</f>
        <v>2310000</v>
      </c>
      <c r="G4837" s="102">
        <f>(E4837*D4837)</f>
        <v>2100000</v>
      </c>
      <c r="H4837" s="690" t="s">
        <v>172</v>
      </c>
      <c r="I4837" s="71" t="s">
        <v>3295</v>
      </c>
      <c r="J4837" s="53">
        <f t="shared" si="2381"/>
        <v>280000</v>
      </c>
      <c r="K4837" s="63">
        <f t="shared" si="2382"/>
        <v>0.13333333333333333</v>
      </c>
      <c r="L4837" s="1212" t="s">
        <v>3332</v>
      </c>
      <c r="M4837" s="468"/>
      <c r="N4837" s="1192">
        <f>A4837</f>
        <v>44624</v>
      </c>
      <c r="O4837" s="71" t="s">
        <v>662</v>
      </c>
      <c r="P4837" s="103" t="str">
        <f>(C4837)</f>
        <v>실리콘 에멀전</v>
      </c>
      <c r="Q4837" s="71">
        <f t="shared" si="2384"/>
        <v>20</v>
      </c>
      <c r="R4837" s="102">
        <v>91000</v>
      </c>
      <c r="S4837" s="102">
        <f t="shared" si="2385"/>
        <v>2002000.0000000002</v>
      </c>
      <c r="T4837" s="102">
        <f t="shared" si="2386"/>
        <v>1820000</v>
      </c>
      <c r="U4837" s="71" t="str">
        <f t="shared" si="2387"/>
        <v>X</v>
      </c>
      <c r="V4837" s="71"/>
      <c r="W4837" s="474"/>
      <c r="X4837" s="71"/>
      <c r="Y4837" s="71"/>
    </row>
    <row r="4838" spans="1:25" ht="30" hidden="1" customHeight="1" x14ac:dyDescent="0.25">
      <c r="A4838" s="1145">
        <v>44624</v>
      </c>
      <c r="B4838" s="664" t="s">
        <v>26</v>
      </c>
      <c r="C4838" s="71" t="s">
        <v>3328</v>
      </c>
      <c r="D4838" s="71">
        <v>5</v>
      </c>
      <c r="E4838" s="102">
        <v>55000</v>
      </c>
      <c r="F4838" s="102">
        <f t="shared" si="2378"/>
        <v>302500</v>
      </c>
      <c r="G4838" s="102">
        <f t="shared" si="2379"/>
        <v>275000</v>
      </c>
      <c r="H4838" s="690" t="s">
        <v>172</v>
      </c>
      <c r="I4838" s="71" t="s">
        <v>3295</v>
      </c>
      <c r="J4838" s="53">
        <f t="shared" si="2381"/>
        <v>75000</v>
      </c>
      <c r="K4838" s="63">
        <f t="shared" si="2382"/>
        <v>0.27272727272727271</v>
      </c>
      <c r="L4838" s="1212" t="s">
        <v>3332</v>
      </c>
      <c r="M4838" s="468"/>
      <c r="N4838" s="1192">
        <f t="shared" si="2380"/>
        <v>44624</v>
      </c>
      <c r="O4838" s="71" t="s">
        <v>152</v>
      </c>
      <c r="P4838" s="103" t="str">
        <f t="shared" si="2383"/>
        <v>아스테이지(CD74용)</v>
      </c>
      <c r="Q4838" s="71">
        <f t="shared" si="2384"/>
        <v>5</v>
      </c>
      <c r="R4838" s="102">
        <v>40000</v>
      </c>
      <c r="S4838" s="102">
        <f t="shared" si="2385"/>
        <v>220000.00000000003</v>
      </c>
      <c r="T4838" s="102">
        <f t="shared" si="2386"/>
        <v>200000</v>
      </c>
      <c r="U4838" s="71" t="str">
        <f t="shared" si="2387"/>
        <v>X</v>
      </c>
      <c r="V4838" s="71"/>
      <c r="W4838" s="474"/>
      <c r="X4838" s="71"/>
      <c r="Y4838" s="71"/>
    </row>
    <row r="4839" spans="1:25" ht="31.5" hidden="1" customHeight="1" x14ac:dyDescent="0.25">
      <c r="A4839" s="1145">
        <v>44624</v>
      </c>
      <c r="B4839" s="664" t="s">
        <v>545</v>
      </c>
      <c r="C4839" s="71" t="s">
        <v>911</v>
      </c>
      <c r="D4839" s="71">
        <v>1</v>
      </c>
      <c r="E4839" s="102">
        <v>250000</v>
      </c>
      <c r="F4839" s="102">
        <f t="shared" ref="F4839:F4847" si="2388">(E4839*D4839)*1.1</f>
        <v>275000</v>
      </c>
      <c r="G4839" s="102">
        <f t="shared" ref="G4839:G4847" si="2389">(E4839*D4839)</f>
        <v>250000</v>
      </c>
      <c r="H4839" s="690" t="s">
        <v>173</v>
      </c>
      <c r="I4839" s="71" t="s">
        <v>2231</v>
      </c>
      <c r="J4839" s="53">
        <f t="shared" si="2381"/>
        <v>175000</v>
      </c>
      <c r="K4839" s="63">
        <f t="shared" si="2382"/>
        <v>0.7</v>
      </c>
      <c r="L4839" s="1212" t="s">
        <v>3332</v>
      </c>
      <c r="M4839" s="468"/>
      <c r="N4839" s="1192">
        <f t="shared" ref="N4839:N4847" si="2390">A4839</f>
        <v>44624</v>
      </c>
      <c r="O4839" s="71" t="s">
        <v>994</v>
      </c>
      <c r="P4839" s="103" t="str">
        <f t="shared" ref="P4839:P4851" si="2391">(C4839)</f>
        <v>콤푸레샤 에어필터</v>
      </c>
      <c r="Q4839" s="71">
        <f>D4839</f>
        <v>1</v>
      </c>
      <c r="R4839" s="102">
        <v>75000</v>
      </c>
      <c r="S4839" s="102">
        <f t="shared" si="2385"/>
        <v>82500</v>
      </c>
      <c r="T4839" s="102">
        <f t="shared" si="2386"/>
        <v>75000</v>
      </c>
      <c r="U4839" s="71" t="str">
        <f t="shared" si="2387"/>
        <v>O</v>
      </c>
      <c r="V4839" s="71"/>
      <c r="W4839" s="474">
        <f>(G4839-T4839)</f>
        <v>175000</v>
      </c>
      <c r="X4839" s="71"/>
      <c r="Y4839" s="71"/>
    </row>
    <row r="4840" spans="1:25" ht="30" hidden="1" customHeight="1" x14ac:dyDescent="0.25">
      <c r="A4840" s="1145">
        <v>44624</v>
      </c>
      <c r="B4840" s="664" t="s">
        <v>3307</v>
      </c>
      <c r="C4840" s="71" t="s">
        <v>3308</v>
      </c>
      <c r="D4840" s="71">
        <v>8</v>
      </c>
      <c r="E4840" s="102">
        <v>218000</v>
      </c>
      <c r="F4840" s="102">
        <f t="shared" si="2388"/>
        <v>1918400.0000000002</v>
      </c>
      <c r="G4840" s="102">
        <f t="shared" si="2389"/>
        <v>1744000</v>
      </c>
      <c r="H4840" s="690" t="s">
        <v>172</v>
      </c>
      <c r="I4840" s="71" t="s">
        <v>33</v>
      </c>
      <c r="J4840" s="53">
        <f t="shared" si="2381"/>
        <v>544000</v>
      </c>
      <c r="K4840" s="63">
        <f t="shared" si="2382"/>
        <v>0.31192660550458712</v>
      </c>
      <c r="L4840" s="1212" t="s">
        <v>3332</v>
      </c>
      <c r="M4840" s="468"/>
      <c r="N4840" s="1192">
        <v>44544</v>
      </c>
      <c r="O4840" s="71" t="s">
        <v>3309</v>
      </c>
      <c r="P4840" s="103" t="str">
        <f t="shared" si="2391"/>
        <v>M600 윤전 블랑켓 995*742</v>
      </c>
      <c r="Q4840" s="71">
        <f>D4840</f>
        <v>8</v>
      </c>
      <c r="R4840" s="102">
        <v>150000</v>
      </c>
      <c r="S4840" s="102">
        <f t="shared" si="2385"/>
        <v>1320000</v>
      </c>
      <c r="T4840" s="102">
        <f t="shared" si="2386"/>
        <v>1200000</v>
      </c>
      <c r="U4840" s="71" t="str">
        <f t="shared" si="2387"/>
        <v>X</v>
      </c>
      <c r="V4840" s="71"/>
      <c r="W4840" s="474"/>
      <c r="X4840" s="71"/>
      <c r="Y4840" s="71"/>
    </row>
    <row r="4841" spans="1:25" ht="30" hidden="1" customHeight="1" x14ac:dyDescent="0.25">
      <c r="A4841" s="1145">
        <v>44627</v>
      </c>
      <c r="B4841" s="664" t="s">
        <v>18</v>
      </c>
      <c r="C4841" s="71" t="s">
        <v>2070</v>
      </c>
      <c r="D4841" s="71">
        <v>10</v>
      </c>
      <c r="E4841" s="102">
        <v>100000</v>
      </c>
      <c r="F4841" s="102">
        <f t="shared" si="2388"/>
        <v>1100000</v>
      </c>
      <c r="G4841" s="102">
        <f t="shared" si="2389"/>
        <v>1000000</v>
      </c>
      <c r="H4841" s="690" t="s">
        <v>172</v>
      </c>
      <c r="I4841" s="71" t="s">
        <v>33</v>
      </c>
      <c r="J4841" s="53">
        <f t="shared" si="2381"/>
        <v>132000</v>
      </c>
      <c r="K4841" s="63">
        <v>0.10555555555555554</v>
      </c>
      <c r="L4841" s="1212" t="s">
        <v>3332</v>
      </c>
      <c r="M4841" s="468"/>
      <c r="N4841" s="1192">
        <f t="shared" si="2390"/>
        <v>44627</v>
      </c>
      <c r="O4841" s="71" t="s">
        <v>146</v>
      </c>
      <c r="P4841" s="103" t="str">
        <f t="shared" si="2391"/>
        <v>Blanket(1050*840)</v>
      </c>
      <c r="Q4841" s="71">
        <f t="shared" ref="Q4841:Q4847" si="2392">D4841</f>
        <v>10</v>
      </c>
      <c r="R4841" s="102">
        <v>86800</v>
      </c>
      <c r="S4841" s="102">
        <f t="shared" si="2385"/>
        <v>954800.00000000012</v>
      </c>
      <c r="T4841" s="102">
        <f t="shared" si="2386"/>
        <v>868000</v>
      </c>
      <c r="U4841" s="71" t="s">
        <v>859</v>
      </c>
      <c r="V4841" s="71"/>
      <c r="W4841" s="474"/>
      <c r="X4841" s="71"/>
      <c r="Y4841" s="71"/>
    </row>
    <row r="4842" spans="1:25" ht="30" hidden="1" customHeight="1" x14ac:dyDescent="0.25">
      <c r="A4842" s="1145">
        <v>44627</v>
      </c>
      <c r="B4842" s="664" t="s">
        <v>18</v>
      </c>
      <c r="C4842" s="71" t="s">
        <v>1804</v>
      </c>
      <c r="D4842" s="71">
        <v>200</v>
      </c>
      <c r="E4842" s="102">
        <v>400</v>
      </c>
      <c r="F4842" s="102">
        <f t="shared" si="2388"/>
        <v>88000</v>
      </c>
      <c r="G4842" s="102">
        <f t="shared" si="2389"/>
        <v>80000</v>
      </c>
      <c r="H4842" s="690" t="s">
        <v>172</v>
      </c>
      <c r="I4842" s="71" t="s">
        <v>3295</v>
      </c>
      <c r="J4842" s="53">
        <f t="shared" si="2381"/>
        <v>-16000</v>
      </c>
      <c r="K4842" s="63">
        <f>(J4842/(F4842/11*10))</f>
        <v>-0.2</v>
      </c>
      <c r="L4842" s="1212" t="s">
        <v>3332</v>
      </c>
      <c r="M4842" s="468"/>
      <c r="N4842" s="1192">
        <f t="shared" si="2390"/>
        <v>44627</v>
      </c>
      <c r="O4842" s="71" t="s">
        <v>662</v>
      </c>
      <c r="P4842" s="103" t="str">
        <f t="shared" si="2391"/>
        <v>고무사카 노란색</v>
      </c>
      <c r="Q4842" s="71">
        <f t="shared" si="2392"/>
        <v>200</v>
      </c>
      <c r="R4842" s="102">
        <v>480</v>
      </c>
      <c r="S4842" s="102">
        <f t="shared" si="2385"/>
        <v>105600.00000000001</v>
      </c>
      <c r="T4842" s="102">
        <f t="shared" si="2386"/>
        <v>96000</v>
      </c>
      <c r="U4842" s="71"/>
      <c r="V4842" s="71"/>
      <c r="W4842" s="474"/>
      <c r="X4842" s="71"/>
      <c r="Y4842" s="71"/>
    </row>
    <row r="4843" spans="1:25" ht="30" hidden="1" customHeight="1" x14ac:dyDescent="0.25">
      <c r="A4843" s="1145">
        <v>44627</v>
      </c>
      <c r="B4843" s="664" t="s">
        <v>18</v>
      </c>
      <c r="C4843" s="71" t="s">
        <v>3294</v>
      </c>
      <c r="D4843" s="71">
        <v>10</v>
      </c>
      <c r="E4843" s="102">
        <v>110000</v>
      </c>
      <c r="F4843" s="102">
        <f t="shared" si="2388"/>
        <v>1210000</v>
      </c>
      <c r="G4843" s="102">
        <f t="shared" si="2389"/>
        <v>1100000</v>
      </c>
      <c r="H4843" s="690" t="s">
        <v>172</v>
      </c>
      <c r="I4843" s="71" t="s">
        <v>3295</v>
      </c>
      <c r="J4843" s="53">
        <f t="shared" si="2381"/>
        <v>170000</v>
      </c>
      <c r="K4843" s="63">
        <v>0.13800000000000001</v>
      </c>
      <c r="L4843" s="1212" t="s">
        <v>3332</v>
      </c>
      <c r="M4843" s="468"/>
      <c r="N4843" s="1192">
        <f t="shared" si="2390"/>
        <v>44627</v>
      </c>
      <c r="O4843" s="71" t="s">
        <v>146</v>
      </c>
      <c r="P4843" s="103" t="str">
        <f t="shared" si="2391"/>
        <v>1077*885 하이델 bar 블랑켓</v>
      </c>
      <c r="Q4843" s="71">
        <f t="shared" si="2392"/>
        <v>10</v>
      </c>
      <c r="R4843" s="102">
        <v>93000</v>
      </c>
      <c r="S4843" s="102">
        <f t="shared" si="2385"/>
        <v>1023000.0000000001</v>
      </c>
      <c r="T4843" s="102">
        <f t="shared" si="2386"/>
        <v>930000</v>
      </c>
      <c r="U4843" s="71"/>
      <c r="V4843" s="71"/>
      <c r="W4843" s="474"/>
      <c r="X4843" s="71"/>
      <c r="Y4843" s="71"/>
    </row>
    <row r="4844" spans="1:25" ht="30" hidden="1" customHeight="1" x14ac:dyDescent="0.25">
      <c r="A4844" s="1145">
        <v>44628</v>
      </c>
      <c r="B4844" s="664" t="s">
        <v>690</v>
      </c>
      <c r="C4844" s="71" t="s">
        <v>691</v>
      </c>
      <c r="D4844" s="71">
        <v>6</v>
      </c>
      <c r="E4844" s="102">
        <v>350000</v>
      </c>
      <c r="F4844" s="102">
        <f t="shared" si="2388"/>
        <v>2310000</v>
      </c>
      <c r="G4844" s="102">
        <f t="shared" si="2389"/>
        <v>2100000</v>
      </c>
      <c r="H4844" s="690" t="s">
        <v>173</v>
      </c>
      <c r="I4844" s="71" t="s">
        <v>109</v>
      </c>
      <c r="J4844" s="53">
        <f>(G4844-(VLOOKUP(C4844,Price!B:D,3,FALSE)*D4844))</f>
        <v>240000</v>
      </c>
      <c r="K4844" s="63">
        <f t="shared" ref="K4844:K4849" si="2393">(J4844/(F4844/11*10))</f>
        <v>0.11428571428571428</v>
      </c>
      <c r="L4844" s="1212" t="s">
        <v>3332</v>
      </c>
      <c r="M4844" s="468"/>
      <c r="N4844" s="664">
        <f t="shared" si="2390"/>
        <v>44628</v>
      </c>
      <c r="O4844" s="71" t="s">
        <v>151</v>
      </c>
      <c r="P4844" s="103" t="str">
        <f t="shared" si="2391"/>
        <v>피니토 하이델 국전용 블랑켓</v>
      </c>
      <c r="Q4844" s="71">
        <f t="shared" si="2392"/>
        <v>6</v>
      </c>
      <c r="R4844" s="102"/>
      <c r="S4844" s="102">
        <f>(R4844*D4844)*1.1</f>
        <v>0</v>
      </c>
      <c r="T4844" s="102">
        <f>(R4844*Q4844)</f>
        <v>0</v>
      </c>
      <c r="U4844" s="71" t="str">
        <f t="shared" ref="U4844:U4849" si="2394">IF(J4844=W4844,"O", "X")</f>
        <v>X</v>
      </c>
      <c r="V4844" s="71"/>
      <c r="W4844" s="474">
        <f>(G4844-T4844)</f>
        <v>2100000</v>
      </c>
      <c r="X4844" s="71"/>
      <c r="Y4844" s="71"/>
    </row>
    <row r="4845" spans="1:25" ht="30" hidden="1" customHeight="1" x14ac:dyDescent="0.25">
      <c r="A4845" s="1145">
        <v>44634</v>
      </c>
      <c r="B4845" s="664" t="s">
        <v>2155</v>
      </c>
      <c r="C4845" s="760" t="s">
        <v>218</v>
      </c>
      <c r="D4845" s="71">
        <v>10</v>
      </c>
      <c r="E4845" s="102">
        <v>192500</v>
      </c>
      <c r="F4845" s="102">
        <f t="shared" si="2388"/>
        <v>2117500</v>
      </c>
      <c r="G4845" s="102">
        <f t="shared" si="2389"/>
        <v>1925000</v>
      </c>
      <c r="H4845" s="690" t="s">
        <v>173</v>
      </c>
      <c r="I4845" s="71" t="s">
        <v>120</v>
      </c>
      <c r="J4845" s="53">
        <f>G4845-T4845</f>
        <v>800000</v>
      </c>
      <c r="K4845" s="63">
        <f t="shared" si="2393"/>
        <v>0.41558441558441561</v>
      </c>
      <c r="L4845" s="1212" t="s">
        <v>3332</v>
      </c>
      <c r="M4845" s="468"/>
      <c r="N4845" s="1192">
        <f t="shared" si="2390"/>
        <v>44634</v>
      </c>
      <c r="O4845" s="71" t="s">
        <v>150</v>
      </c>
      <c r="P4845" s="103" t="str">
        <f t="shared" si="2391"/>
        <v>Fount Web 551AF</v>
      </c>
      <c r="Q4845" s="71">
        <f t="shared" si="2392"/>
        <v>10</v>
      </c>
      <c r="R4845" s="102">
        <v>112500</v>
      </c>
      <c r="S4845" s="102">
        <f t="shared" ref="S4845:S4876" si="2395">R4845*Q4845*1.1</f>
        <v>1237500</v>
      </c>
      <c r="T4845" s="102">
        <f t="shared" ref="T4845:T4853" si="2396">R4845*Q4845</f>
        <v>1125000</v>
      </c>
      <c r="U4845" s="71" t="str">
        <f t="shared" si="2394"/>
        <v>X</v>
      </c>
      <c r="V4845" s="71"/>
      <c r="W4845" s="474">
        <v>640000</v>
      </c>
      <c r="X4845" s="71"/>
      <c r="Y4845" s="71"/>
    </row>
    <row r="4846" spans="1:25" s="209" customFormat="1" ht="31.5" hidden="1" customHeight="1" x14ac:dyDescent="0.2">
      <c r="A4846" s="1145">
        <v>44634</v>
      </c>
      <c r="B4846" s="664" t="s">
        <v>2155</v>
      </c>
      <c r="C4846" s="71" t="s">
        <v>231</v>
      </c>
      <c r="D4846" s="71">
        <v>10</v>
      </c>
      <c r="E4846" s="102">
        <v>120000</v>
      </c>
      <c r="F4846" s="102">
        <f t="shared" si="2388"/>
        <v>1320000</v>
      </c>
      <c r="G4846" s="102">
        <f t="shared" si="2389"/>
        <v>1200000</v>
      </c>
      <c r="H4846" s="165" t="s">
        <v>172</v>
      </c>
      <c r="I4846" s="71" t="s">
        <v>109</v>
      </c>
      <c r="J4846" s="53">
        <f>G4846-T4846</f>
        <v>80000</v>
      </c>
      <c r="K4846" s="63">
        <f t="shared" si="2393"/>
        <v>6.6666666666666666E-2</v>
      </c>
      <c r="L4846" s="1212" t="s">
        <v>3332</v>
      </c>
      <c r="M4846" s="468"/>
      <c r="N4846" s="1192">
        <f t="shared" si="2390"/>
        <v>44634</v>
      </c>
      <c r="O4846" s="71" t="s">
        <v>151</v>
      </c>
      <c r="P4846" s="103" t="str">
        <f t="shared" si="2391"/>
        <v>Blanket(990*725)</v>
      </c>
      <c r="Q4846" s="71">
        <f t="shared" si="2392"/>
        <v>10</v>
      </c>
      <c r="R4846" s="102">
        <v>112000</v>
      </c>
      <c r="S4846" s="102">
        <f t="shared" si="2395"/>
        <v>1232000</v>
      </c>
      <c r="T4846" s="102">
        <f t="shared" si="2396"/>
        <v>1120000</v>
      </c>
      <c r="U4846" s="71" t="str">
        <f t="shared" si="2394"/>
        <v>O</v>
      </c>
      <c r="V4846" s="71"/>
      <c r="W4846" s="474">
        <v>80000</v>
      </c>
      <c r="X4846" s="71"/>
      <c r="Y4846" s="71"/>
    </row>
    <row r="4847" spans="1:25" ht="30" hidden="1" customHeight="1" x14ac:dyDescent="0.25">
      <c r="A4847" s="1145">
        <v>44634</v>
      </c>
      <c r="B4847" s="664" t="s">
        <v>3289</v>
      </c>
      <c r="C4847" s="71" t="s">
        <v>2070</v>
      </c>
      <c r="D4847" s="71">
        <v>10</v>
      </c>
      <c r="E4847" s="102">
        <v>108000</v>
      </c>
      <c r="F4847" s="102">
        <f t="shared" si="2388"/>
        <v>1188000</v>
      </c>
      <c r="G4847" s="102">
        <f t="shared" si="2389"/>
        <v>1080000</v>
      </c>
      <c r="H4847" s="690" t="s">
        <v>172</v>
      </c>
      <c r="I4847" s="71" t="s">
        <v>33</v>
      </c>
      <c r="J4847" s="53">
        <f>G4847-T4847</f>
        <v>212000</v>
      </c>
      <c r="K4847" s="63">
        <f t="shared" si="2393"/>
        <v>0.1962962962962963</v>
      </c>
      <c r="L4847" s="1212" t="s">
        <v>3332</v>
      </c>
      <c r="M4847" s="468"/>
      <c r="N4847" s="1192">
        <f t="shared" si="2390"/>
        <v>44634</v>
      </c>
      <c r="O4847" s="71" t="s">
        <v>146</v>
      </c>
      <c r="P4847" s="103" t="str">
        <f t="shared" si="2391"/>
        <v>Blanket(1050*840)</v>
      </c>
      <c r="Q4847" s="71">
        <f t="shared" si="2392"/>
        <v>10</v>
      </c>
      <c r="R4847" s="102">
        <v>86800</v>
      </c>
      <c r="S4847" s="102">
        <f t="shared" si="2395"/>
        <v>954800.00000000012</v>
      </c>
      <c r="T4847" s="102">
        <f t="shared" si="2396"/>
        <v>868000</v>
      </c>
      <c r="U4847" s="71" t="str">
        <f t="shared" si="2394"/>
        <v>X</v>
      </c>
      <c r="V4847" s="71"/>
      <c r="W4847" s="474">
        <v>275000</v>
      </c>
      <c r="X4847" s="71"/>
      <c r="Y4847" s="71"/>
    </row>
    <row r="4848" spans="1:25" ht="30" customHeight="1" x14ac:dyDescent="0.25">
      <c r="A4848" s="1145">
        <v>44637</v>
      </c>
      <c r="B4848" s="664" t="s">
        <v>641</v>
      </c>
      <c r="C4848" s="71" t="s">
        <v>584</v>
      </c>
      <c r="D4848" s="71">
        <v>4</v>
      </c>
      <c r="E4848" s="102">
        <v>270000</v>
      </c>
      <c r="F4848" s="102">
        <f>(E4848*D4848)*1.1</f>
        <v>1188000</v>
      </c>
      <c r="G4848" s="102">
        <f>(E4848*D4848)</f>
        <v>1080000</v>
      </c>
      <c r="H4848" s="690" t="s">
        <v>172</v>
      </c>
      <c r="I4848" s="71" t="s">
        <v>142</v>
      </c>
      <c r="J4848" s="53">
        <f>G4848-T4848</f>
        <v>328000</v>
      </c>
      <c r="K4848" s="63">
        <f t="shared" si="2393"/>
        <v>0.3037037037037037</v>
      </c>
      <c r="L4848" s="1212" t="s">
        <v>3332</v>
      </c>
      <c r="M4848" s="468"/>
      <c r="N4848" s="1192">
        <f>A4848</f>
        <v>44637</v>
      </c>
      <c r="O4848" s="71" t="s">
        <v>150</v>
      </c>
      <c r="P4848" s="103" t="str">
        <f t="shared" si="2391"/>
        <v>데리바리 석션벨트</v>
      </c>
      <c r="Q4848" s="71">
        <f t="shared" ref="Q4848:Q4855" si="2397">D4848</f>
        <v>4</v>
      </c>
      <c r="R4848" s="102">
        <v>188000</v>
      </c>
      <c r="S4848" s="102">
        <f t="shared" si="2395"/>
        <v>827200.00000000012</v>
      </c>
      <c r="T4848" s="102">
        <f t="shared" si="2396"/>
        <v>752000</v>
      </c>
      <c r="U4848" s="71" t="str">
        <f t="shared" si="2394"/>
        <v>O</v>
      </c>
      <c r="V4848" s="71"/>
      <c r="W4848" s="474">
        <f>(G4848-T4848)</f>
        <v>328000</v>
      </c>
      <c r="X4848" s="71"/>
      <c r="Y4848" s="71"/>
    </row>
    <row r="4849" spans="1:25" ht="30" hidden="1" customHeight="1" x14ac:dyDescent="0.25">
      <c r="A4849" s="1145">
        <v>44637</v>
      </c>
      <c r="B4849" s="664" t="s">
        <v>2</v>
      </c>
      <c r="C4849" s="71" t="s">
        <v>2023</v>
      </c>
      <c r="D4849" s="71">
        <v>2000</v>
      </c>
      <c r="E4849" s="102">
        <v>3860</v>
      </c>
      <c r="F4849" s="102">
        <f>(E4849*D4849)*1.1</f>
        <v>8492000</v>
      </c>
      <c r="G4849" s="102">
        <f>(E4849*D4849)</f>
        <v>7720000</v>
      </c>
      <c r="H4849" s="690" t="s">
        <v>172</v>
      </c>
      <c r="I4849" s="71" t="s">
        <v>3301</v>
      </c>
      <c r="J4849" s="53">
        <f>G4849-T4849</f>
        <v>-780000</v>
      </c>
      <c r="K4849" s="63">
        <f t="shared" si="2393"/>
        <v>-0.10103626943005181</v>
      </c>
      <c r="L4849" s="1212" t="s">
        <v>3332</v>
      </c>
      <c r="M4849" s="468" t="s">
        <v>3302</v>
      </c>
      <c r="N4849" s="1192">
        <f>A4849</f>
        <v>44637</v>
      </c>
      <c r="O4849" s="71" t="s">
        <v>3298</v>
      </c>
      <c r="P4849" s="103" t="str">
        <f t="shared" si="2391"/>
        <v>CTP 판(1030*790mm)</v>
      </c>
      <c r="Q4849" s="71">
        <f t="shared" si="2397"/>
        <v>2000</v>
      </c>
      <c r="R4849" s="102">
        <v>4250</v>
      </c>
      <c r="S4849" s="102">
        <f t="shared" si="2395"/>
        <v>9350000</v>
      </c>
      <c r="T4849" s="102">
        <f t="shared" si="2396"/>
        <v>8500000</v>
      </c>
      <c r="U4849" s="71" t="str">
        <f t="shared" si="2394"/>
        <v>X</v>
      </c>
      <c r="V4849" s="71"/>
      <c r="W4849" s="474"/>
      <c r="X4849" s="71"/>
      <c r="Y4849" s="71"/>
    </row>
    <row r="4850" spans="1:25" ht="30" customHeight="1" x14ac:dyDescent="0.25">
      <c r="A4850" s="1145">
        <v>44637</v>
      </c>
      <c r="B4850" s="664" t="s">
        <v>641</v>
      </c>
      <c r="C4850" s="71" t="s">
        <v>220</v>
      </c>
      <c r="D4850" s="71">
        <v>7</v>
      </c>
      <c r="E4850" s="102">
        <v>272000</v>
      </c>
      <c r="F4850" s="102">
        <v>2094400.0000000002</v>
      </c>
      <c r="G4850" s="102">
        <v>1904000</v>
      </c>
      <c r="H4850" s="690" t="s">
        <v>172</v>
      </c>
      <c r="I4850" s="71" t="s">
        <v>142</v>
      </c>
      <c r="J4850" s="53">
        <v>414400</v>
      </c>
      <c r="K4850" s="63">
        <v>0.21764705882352939</v>
      </c>
      <c r="L4850" s="1212" t="s">
        <v>3332</v>
      </c>
      <c r="M4850" s="468" t="s">
        <v>3303</v>
      </c>
      <c r="N4850" s="1192">
        <v>44538</v>
      </c>
      <c r="O4850" s="71" t="s">
        <v>175</v>
      </c>
      <c r="P4850" s="103" t="str">
        <f t="shared" si="2391"/>
        <v>세정포-XL106</v>
      </c>
      <c r="Q4850" s="71">
        <f t="shared" si="2397"/>
        <v>7</v>
      </c>
      <c r="R4850" s="102">
        <v>212800</v>
      </c>
      <c r="S4850" s="102">
        <f t="shared" si="2395"/>
        <v>1638560.0000000002</v>
      </c>
      <c r="T4850" s="102">
        <f t="shared" si="2396"/>
        <v>1489600</v>
      </c>
      <c r="U4850" s="71" t="s">
        <v>859</v>
      </c>
      <c r="V4850" s="71"/>
      <c r="W4850" s="474"/>
      <c r="X4850" s="71"/>
      <c r="Y4850" s="71"/>
    </row>
    <row r="4851" spans="1:25" ht="30" customHeight="1" x14ac:dyDescent="0.25">
      <c r="A4851" s="1145">
        <v>44637</v>
      </c>
      <c r="B4851" s="664" t="s">
        <v>641</v>
      </c>
      <c r="C4851" s="71" t="s">
        <v>230</v>
      </c>
      <c r="D4851" s="71">
        <v>10</v>
      </c>
      <c r="E4851" s="102">
        <v>125000</v>
      </c>
      <c r="F4851" s="102">
        <v>1375000</v>
      </c>
      <c r="G4851" s="102">
        <v>1250000</v>
      </c>
      <c r="H4851" s="690" t="s">
        <v>172</v>
      </c>
      <c r="I4851" s="71" t="s">
        <v>142</v>
      </c>
      <c r="J4851" s="53">
        <v>260000</v>
      </c>
      <c r="K4851" s="63">
        <v>0.20799999999999999</v>
      </c>
      <c r="L4851" s="1212" t="s">
        <v>3332</v>
      </c>
      <c r="M4851" s="468" t="s">
        <v>3303</v>
      </c>
      <c r="N4851" s="1192">
        <v>44544</v>
      </c>
      <c r="O4851" s="71" t="s">
        <v>662</v>
      </c>
      <c r="P4851" s="103" t="str">
        <f t="shared" si="2391"/>
        <v>XL106 Blanket(1077*885)</v>
      </c>
      <c r="Q4851" s="71">
        <f t="shared" si="2397"/>
        <v>10</v>
      </c>
      <c r="R4851" s="102">
        <v>99000</v>
      </c>
      <c r="S4851" s="102">
        <f t="shared" si="2395"/>
        <v>1089000</v>
      </c>
      <c r="T4851" s="102">
        <f t="shared" si="2396"/>
        <v>990000</v>
      </c>
      <c r="U4851" s="71" t="s">
        <v>859</v>
      </c>
      <c r="V4851" s="71"/>
      <c r="W4851" s="474"/>
      <c r="X4851" s="71"/>
      <c r="Y4851" s="71"/>
    </row>
    <row r="4852" spans="1:25" ht="30" customHeight="1" x14ac:dyDescent="0.25">
      <c r="A4852" s="1145">
        <v>44637</v>
      </c>
      <c r="B4852" s="664" t="s">
        <v>641</v>
      </c>
      <c r="C4852" s="71" t="s">
        <v>3299</v>
      </c>
      <c r="D4852" s="71">
        <v>10</v>
      </c>
      <c r="E4852" s="102">
        <v>54400</v>
      </c>
      <c r="F4852" s="102">
        <v>598400</v>
      </c>
      <c r="G4852" s="102">
        <v>544000</v>
      </c>
      <c r="H4852" s="690" t="s">
        <v>172</v>
      </c>
      <c r="I4852" s="71" t="s">
        <v>142</v>
      </c>
      <c r="J4852" s="53">
        <v>136000</v>
      </c>
      <c r="K4852" s="63">
        <v>0.25</v>
      </c>
      <c r="L4852" s="1212" t="s">
        <v>3332</v>
      </c>
      <c r="M4852" s="468" t="s">
        <v>3304</v>
      </c>
      <c r="N4852" s="1192">
        <v>44544</v>
      </c>
      <c r="O4852" s="71" t="s">
        <v>175</v>
      </c>
      <c r="P4852" s="103" t="s">
        <v>3299</v>
      </c>
      <c r="Q4852" s="71">
        <f t="shared" si="2397"/>
        <v>10</v>
      </c>
      <c r="R4852" s="102">
        <v>40000</v>
      </c>
      <c r="S4852" s="102">
        <f t="shared" si="2395"/>
        <v>440000.00000000006</v>
      </c>
      <c r="T4852" s="102">
        <f t="shared" si="2396"/>
        <v>400000</v>
      </c>
      <c r="U4852" s="71" t="s">
        <v>859</v>
      </c>
      <c r="V4852" s="71"/>
      <c r="W4852" s="474"/>
      <c r="X4852" s="71"/>
      <c r="Y4852" s="71"/>
    </row>
    <row r="4853" spans="1:25" ht="30" hidden="1" customHeight="1" x14ac:dyDescent="0.25">
      <c r="A4853" s="1145">
        <v>44637</v>
      </c>
      <c r="B4853" s="664" t="s">
        <v>3289</v>
      </c>
      <c r="C4853" s="71" t="s">
        <v>277</v>
      </c>
      <c r="D4853" s="71">
        <v>10</v>
      </c>
      <c r="E4853" s="102">
        <v>172000</v>
      </c>
      <c r="F4853" s="102">
        <f>(E4853*D4853)*1.1</f>
        <v>1892000.0000000002</v>
      </c>
      <c r="G4853" s="102">
        <f>(E4853*D4853)</f>
        <v>1720000</v>
      </c>
      <c r="H4853" s="690" t="s">
        <v>172</v>
      </c>
      <c r="I4853" s="71" t="s">
        <v>108</v>
      </c>
      <c r="J4853" s="53">
        <f t="shared" ref="J4853:J4898" si="2398">G4853-T4853</f>
        <v>570000</v>
      </c>
      <c r="K4853" s="63">
        <f>(J4853/(F4853/11*10))</f>
        <v>0.33139534883720928</v>
      </c>
      <c r="L4853" s="1212" t="s">
        <v>3332</v>
      </c>
      <c r="M4853" s="468"/>
      <c r="N4853" s="1192">
        <f>A4853</f>
        <v>44637</v>
      </c>
      <c r="O4853" s="71" t="s">
        <v>662</v>
      </c>
      <c r="P4853" s="103" t="str">
        <f>(C4853)</f>
        <v>윤전용 세척제(Web 504)</v>
      </c>
      <c r="Q4853" s="71">
        <f t="shared" si="2397"/>
        <v>10</v>
      </c>
      <c r="R4853" s="102">
        <v>115000</v>
      </c>
      <c r="S4853" s="102">
        <f t="shared" si="2395"/>
        <v>1265000</v>
      </c>
      <c r="T4853" s="102">
        <f t="shared" si="2396"/>
        <v>1150000</v>
      </c>
      <c r="U4853" s="71" t="str">
        <f>IF(J4853=W4853,"O", "X")</f>
        <v>X</v>
      </c>
      <c r="V4853" s="71"/>
      <c r="W4853" s="474"/>
      <c r="X4853" s="71"/>
      <c r="Y4853" s="71"/>
    </row>
    <row r="4854" spans="1:25" ht="30" hidden="1" customHeight="1" x14ac:dyDescent="0.25">
      <c r="A4854" s="1145">
        <v>44638</v>
      </c>
      <c r="B4854" s="664" t="s">
        <v>2</v>
      </c>
      <c r="C4854" s="71" t="s">
        <v>3299</v>
      </c>
      <c r="D4854" s="71">
        <v>20</v>
      </c>
      <c r="E4854" s="102">
        <v>62500</v>
      </c>
      <c r="F4854" s="102">
        <f>(E4854*D4854)*1.1</f>
        <v>1375000</v>
      </c>
      <c r="G4854" s="102">
        <f>(E4854*D4854)</f>
        <v>1250000</v>
      </c>
      <c r="H4854" s="690" t="s">
        <v>172</v>
      </c>
      <c r="I4854" s="71" t="s">
        <v>38</v>
      </c>
      <c r="J4854" s="53">
        <f t="shared" si="2398"/>
        <v>340000</v>
      </c>
      <c r="K4854" s="63">
        <f>(J4854/(F4854/11*10))</f>
        <v>0.27200000000000002</v>
      </c>
      <c r="L4854" s="1212" t="s">
        <v>3332</v>
      </c>
      <c r="M4854" s="468" t="s">
        <v>3300</v>
      </c>
      <c r="N4854" s="1192">
        <f>A4854</f>
        <v>44638</v>
      </c>
      <c r="O4854" s="71" t="s">
        <v>175</v>
      </c>
      <c r="P4854" s="103" t="s">
        <v>3299</v>
      </c>
      <c r="Q4854" s="71">
        <f t="shared" si="2397"/>
        <v>20</v>
      </c>
      <c r="R4854" s="102">
        <v>40000</v>
      </c>
      <c r="S4854" s="102">
        <f t="shared" si="2395"/>
        <v>880000.00000000012</v>
      </c>
      <c r="T4854" s="102">
        <f>R4854*Q4854+110000</f>
        <v>910000</v>
      </c>
      <c r="U4854" s="71" t="str">
        <f>IF(J4854=W4854,"O", "X")</f>
        <v>X</v>
      </c>
      <c r="V4854" s="71"/>
      <c r="W4854" s="474"/>
      <c r="X4854" s="71"/>
      <c r="Y4854" s="71"/>
    </row>
    <row r="4855" spans="1:25" ht="30" hidden="1" customHeight="1" x14ac:dyDescent="0.25">
      <c r="A4855" s="1145">
        <v>44638</v>
      </c>
      <c r="B4855" s="664" t="s">
        <v>2798</v>
      </c>
      <c r="C4855" s="71" t="s">
        <v>167</v>
      </c>
      <c r="D4855" s="71">
        <v>10</v>
      </c>
      <c r="E4855" s="102">
        <v>125000</v>
      </c>
      <c r="F4855" s="102">
        <f>(E4855*D4855)*1.1</f>
        <v>1375000</v>
      </c>
      <c r="G4855" s="102">
        <f>(E4855*D4855)</f>
        <v>1250000</v>
      </c>
      <c r="H4855" s="690" t="s">
        <v>172</v>
      </c>
      <c r="I4855" s="71" t="s">
        <v>33</v>
      </c>
      <c r="J4855" s="53">
        <f t="shared" si="2398"/>
        <v>356000</v>
      </c>
      <c r="K4855" s="63">
        <f>(J4855/(F4855/11*10))</f>
        <v>0.2848</v>
      </c>
      <c r="L4855" s="1212" t="s">
        <v>3332</v>
      </c>
      <c r="M4855" s="468"/>
      <c r="N4855" s="1192">
        <f t="shared" ref="N4855:N4864" si="2399">A4855</f>
        <v>44638</v>
      </c>
      <c r="O4855" s="71" t="s">
        <v>146</v>
      </c>
      <c r="P4855" s="103" t="str">
        <f t="shared" ref="P4855:P4868" si="2400">(C4855)</f>
        <v>Blanket(1060*860)</v>
      </c>
      <c r="Q4855" s="71">
        <f t="shared" si="2397"/>
        <v>10</v>
      </c>
      <c r="R4855" s="102">
        <v>89400</v>
      </c>
      <c r="S4855" s="102">
        <f t="shared" si="2395"/>
        <v>983400.00000000012</v>
      </c>
      <c r="T4855" s="102">
        <f t="shared" ref="T4855:T4897" si="2401">R4855*Q4855</f>
        <v>894000</v>
      </c>
      <c r="U4855" s="71" t="str">
        <f>IF(J4855=W4855,"O", "X")</f>
        <v>X</v>
      </c>
      <c r="V4855" s="71"/>
      <c r="W4855" s="474"/>
      <c r="X4855" s="71"/>
      <c r="Y4855" s="71"/>
    </row>
    <row r="4856" spans="1:25" ht="30" hidden="1" customHeight="1" x14ac:dyDescent="0.25">
      <c r="A4856" s="1145">
        <v>44638</v>
      </c>
      <c r="B4856" s="664" t="s">
        <v>2798</v>
      </c>
      <c r="C4856" s="71" t="s">
        <v>3290</v>
      </c>
      <c r="D4856" s="71">
        <v>1</v>
      </c>
      <c r="E4856" s="102">
        <v>660000</v>
      </c>
      <c r="F4856" s="102">
        <f>(E4856*D4856)*1.1</f>
        <v>726000.00000000012</v>
      </c>
      <c r="G4856" s="102">
        <f t="shared" ref="G4856:G4862" si="2402">(E4856*D4856)</f>
        <v>660000</v>
      </c>
      <c r="H4856" s="690" t="s">
        <v>172</v>
      </c>
      <c r="I4856" s="71" t="s">
        <v>38</v>
      </c>
      <c r="J4856" s="53">
        <f t="shared" si="2398"/>
        <v>198000</v>
      </c>
      <c r="K4856" s="63">
        <f t="shared" ref="K4856:K4862" si="2403">(J4856/(F4856/11*10))</f>
        <v>0.29999999999999993</v>
      </c>
      <c r="L4856" s="1212" t="s">
        <v>3332</v>
      </c>
      <c r="M4856" s="468"/>
      <c r="N4856" s="1192">
        <f t="shared" si="2399"/>
        <v>44638</v>
      </c>
      <c r="O4856" s="71" t="s">
        <v>3291</v>
      </c>
      <c r="P4856" s="103" t="str">
        <f t="shared" si="2400"/>
        <v>점보롤 세정포</v>
      </c>
      <c r="Q4856" s="71">
        <f t="shared" ref="Q4856:Q4862" si="2404">D4856</f>
        <v>1</v>
      </c>
      <c r="R4856" s="102">
        <v>462000</v>
      </c>
      <c r="S4856" s="102">
        <f t="shared" si="2395"/>
        <v>508200.00000000006</v>
      </c>
      <c r="T4856" s="102">
        <f t="shared" si="2401"/>
        <v>462000</v>
      </c>
      <c r="U4856" s="71" t="str">
        <f>IF(J4856=W4856,"O", "X")</f>
        <v>O</v>
      </c>
      <c r="V4856" s="71" t="s">
        <v>3292</v>
      </c>
      <c r="W4856" s="474">
        <f>(G4856-T4856)</f>
        <v>198000</v>
      </c>
      <c r="X4856" s="71"/>
      <c r="Y4856" s="71"/>
    </row>
    <row r="4857" spans="1:25" ht="30" hidden="1" customHeight="1" x14ac:dyDescent="0.2">
      <c r="A4857" s="1145">
        <v>44638</v>
      </c>
      <c r="B4857" s="664" t="s">
        <v>545</v>
      </c>
      <c r="C4857" s="71" t="s">
        <v>3050</v>
      </c>
      <c r="D4857" s="71">
        <v>5</v>
      </c>
      <c r="E4857" s="102">
        <v>860000</v>
      </c>
      <c r="F4857" s="163">
        <f t="shared" ref="F4857:F4862" si="2405">(E4857*D4857)*1.1</f>
        <v>4730000</v>
      </c>
      <c r="G4857" s="102">
        <f t="shared" si="2402"/>
        <v>4300000</v>
      </c>
      <c r="H4857" s="690" t="s">
        <v>173</v>
      </c>
      <c r="I4857" s="71" t="s">
        <v>2184</v>
      </c>
      <c r="J4857" s="53">
        <f t="shared" si="2398"/>
        <v>2114500</v>
      </c>
      <c r="K4857" s="63">
        <f t="shared" si="2403"/>
        <v>0.49174418604651166</v>
      </c>
      <c r="L4857" s="1212" t="s">
        <v>3332</v>
      </c>
      <c r="M4857" s="468"/>
      <c r="N4857" s="1192">
        <f t="shared" si="2399"/>
        <v>44638</v>
      </c>
      <c r="O4857" s="71" t="s">
        <v>2472</v>
      </c>
      <c r="P4857" s="164" t="str">
        <f t="shared" si="2400"/>
        <v>UV 램프 - 전선타입(Honle)</v>
      </c>
      <c r="Q4857" s="71">
        <f t="shared" si="2404"/>
        <v>5</v>
      </c>
      <c r="R4857" s="102">
        <v>437100</v>
      </c>
      <c r="S4857" s="102">
        <f t="shared" si="2395"/>
        <v>2404050</v>
      </c>
      <c r="T4857" s="102">
        <f t="shared" si="2401"/>
        <v>2185500</v>
      </c>
      <c r="U4857" s="71"/>
      <c r="V4857" s="71"/>
      <c r="W4857" s="474"/>
      <c r="X4857" s="71"/>
      <c r="Y4857" s="71"/>
    </row>
    <row r="4858" spans="1:25" ht="30" hidden="1" customHeight="1" x14ac:dyDescent="0.25">
      <c r="A4858" s="1145">
        <v>44638</v>
      </c>
      <c r="B4858" s="664" t="s">
        <v>26</v>
      </c>
      <c r="C4858" s="71" t="s">
        <v>2087</v>
      </c>
      <c r="D4858" s="71">
        <v>5</v>
      </c>
      <c r="E4858" s="102">
        <v>75000</v>
      </c>
      <c r="F4858" s="102">
        <f t="shared" si="2405"/>
        <v>412500.00000000006</v>
      </c>
      <c r="G4858" s="102">
        <f t="shared" si="2402"/>
        <v>375000</v>
      </c>
      <c r="H4858" s="690" t="s">
        <v>172</v>
      </c>
      <c r="I4858" s="71" t="s">
        <v>3295</v>
      </c>
      <c r="J4858" s="53">
        <f t="shared" si="2398"/>
        <v>125000</v>
      </c>
      <c r="K4858" s="63">
        <f t="shared" si="2403"/>
        <v>0.33333333333333326</v>
      </c>
      <c r="L4858" s="1212" t="s">
        <v>3332</v>
      </c>
      <c r="M4858" s="468"/>
      <c r="N4858" s="1192">
        <f t="shared" si="2399"/>
        <v>44638</v>
      </c>
      <c r="O4858" s="71" t="s">
        <v>152</v>
      </c>
      <c r="P4858" s="103" t="str">
        <f t="shared" si="2400"/>
        <v>아스테이지(국전)</v>
      </c>
      <c r="Q4858" s="71">
        <f t="shared" si="2404"/>
        <v>5</v>
      </c>
      <c r="R4858" s="102">
        <v>50000</v>
      </c>
      <c r="S4858" s="102">
        <f t="shared" si="2395"/>
        <v>275000</v>
      </c>
      <c r="T4858" s="102">
        <f t="shared" si="2401"/>
        <v>250000</v>
      </c>
      <c r="U4858" s="71" t="str">
        <f>IF(J4858=W4858,"O", "X")</f>
        <v>X</v>
      </c>
      <c r="V4858" s="71"/>
      <c r="W4858" s="474">
        <v>150000</v>
      </c>
      <c r="X4858" s="71"/>
      <c r="Y4858" s="71"/>
    </row>
    <row r="4859" spans="1:25" ht="30" hidden="1" customHeight="1" x14ac:dyDescent="0.25">
      <c r="A4859" s="1145">
        <v>44638</v>
      </c>
      <c r="B4859" s="664" t="s">
        <v>26</v>
      </c>
      <c r="C4859" s="71" t="s">
        <v>2087</v>
      </c>
      <c r="D4859" s="71">
        <v>5</v>
      </c>
      <c r="E4859" s="102">
        <v>75000</v>
      </c>
      <c r="F4859" s="102">
        <f t="shared" si="2405"/>
        <v>412500.00000000006</v>
      </c>
      <c r="G4859" s="102">
        <f t="shared" si="2402"/>
        <v>375000</v>
      </c>
      <c r="H4859" s="690" t="s">
        <v>172</v>
      </c>
      <c r="I4859" s="71" t="s">
        <v>3295</v>
      </c>
      <c r="J4859" s="53">
        <f t="shared" si="2398"/>
        <v>125000</v>
      </c>
      <c r="K4859" s="63">
        <f t="shared" si="2403"/>
        <v>0.33333333333333326</v>
      </c>
      <c r="L4859" s="1212" t="s">
        <v>3332</v>
      </c>
      <c r="M4859" s="468"/>
      <c r="N4859" s="1192">
        <f t="shared" si="2399"/>
        <v>44638</v>
      </c>
      <c r="O4859" s="71" t="s">
        <v>152</v>
      </c>
      <c r="P4859" s="103" t="str">
        <f t="shared" si="2400"/>
        <v>아스테이지(국전)</v>
      </c>
      <c r="Q4859" s="71">
        <f t="shared" si="2404"/>
        <v>5</v>
      </c>
      <c r="R4859" s="102">
        <v>50000</v>
      </c>
      <c r="S4859" s="102">
        <f t="shared" si="2395"/>
        <v>275000</v>
      </c>
      <c r="T4859" s="102">
        <f t="shared" si="2401"/>
        <v>250000</v>
      </c>
      <c r="U4859" s="71" t="str">
        <f>IF(J4859=W4859,"O", "X")</f>
        <v>X</v>
      </c>
      <c r="V4859" s="71"/>
      <c r="W4859" s="474">
        <v>150000</v>
      </c>
      <c r="X4859" s="71"/>
      <c r="Y4859" s="71"/>
    </row>
    <row r="4860" spans="1:25" ht="30" hidden="1" customHeight="1" x14ac:dyDescent="0.25">
      <c r="A4860" s="1145">
        <v>44642</v>
      </c>
      <c r="B4860" s="664" t="s">
        <v>26</v>
      </c>
      <c r="C4860" s="71" t="s">
        <v>3333</v>
      </c>
      <c r="D4860" s="71">
        <v>10</v>
      </c>
      <c r="E4860" s="102">
        <v>50000</v>
      </c>
      <c r="F4860" s="102">
        <f t="shared" si="2405"/>
        <v>550000</v>
      </c>
      <c r="G4860" s="102">
        <f t="shared" si="2402"/>
        <v>500000</v>
      </c>
      <c r="H4860" s="690" t="s">
        <v>39</v>
      </c>
      <c r="I4860" s="71" t="s">
        <v>1432</v>
      </c>
      <c r="J4860" s="53">
        <f t="shared" si="2398"/>
        <v>260000</v>
      </c>
      <c r="K4860" s="63">
        <f t="shared" si="2403"/>
        <v>0.52</v>
      </c>
      <c r="L4860" s="1212" t="s">
        <v>3332</v>
      </c>
      <c r="M4860" s="468" t="s">
        <v>3329</v>
      </c>
      <c r="N4860" s="1192">
        <f t="shared" si="2399"/>
        <v>44642</v>
      </c>
      <c r="O4860" s="71" t="s">
        <v>39</v>
      </c>
      <c r="P4860" s="103" t="str">
        <f t="shared" si="2400"/>
        <v>주머니필터백</v>
      </c>
      <c r="Q4860" s="71">
        <f t="shared" si="2404"/>
        <v>10</v>
      </c>
      <c r="R4860" s="102">
        <v>24000</v>
      </c>
      <c r="S4860" s="102">
        <f t="shared" si="2395"/>
        <v>264000</v>
      </c>
      <c r="T4860" s="102">
        <f t="shared" si="2401"/>
        <v>240000</v>
      </c>
      <c r="U4860" s="71"/>
      <c r="V4860" s="71"/>
      <c r="W4860" s="474"/>
      <c r="X4860" s="71"/>
      <c r="Y4860" s="71"/>
    </row>
    <row r="4861" spans="1:25" ht="30" hidden="1" customHeight="1" x14ac:dyDescent="0.25">
      <c r="A4861" s="1145">
        <v>44642</v>
      </c>
      <c r="B4861" s="664" t="s">
        <v>545</v>
      </c>
      <c r="C4861" s="71" t="s">
        <v>3195</v>
      </c>
      <c r="D4861" s="71">
        <v>10</v>
      </c>
      <c r="E4861" s="102">
        <v>175000</v>
      </c>
      <c r="F4861" s="102">
        <f t="shared" si="2405"/>
        <v>1925000.0000000002</v>
      </c>
      <c r="G4861" s="102">
        <f t="shared" si="2402"/>
        <v>1750000</v>
      </c>
      <c r="H4861" s="690" t="s">
        <v>173</v>
      </c>
      <c r="I4861" s="71" t="s">
        <v>108</v>
      </c>
      <c r="J4861" s="53">
        <f t="shared" si="2398"/>
        <v>450000</v>
      </c>
      <c r="K4861" s="63">
        <f t="shared" si="2403"/>
        <v>0.25714285714285712</v>
      </c>
      <c r="L4861" s="1212" t="s">
        <v>3332</v>
      </c>
      <c r="M4861" s="468"/>
      <c r="N4861" s="1192">
        <f t="shared" si="2399"/>
        <v>44642</v>
      </c>
      <c r="O4861" s="71" t="s">
        <v>148</v>
      </c>
      <c r="P4861" s="103" t="str">
        <f t="shared" si="2400"/>
        <v>UV wash offset UV</v>
      </c>
      <c r="Q4861" s="71">
        <f t="shared" si="2404"/>
        <v>10</v>
      </c>
      <c r="R4861" s="102">
        <v>130000</v>
      </c>
      <c r="S4861" s="102">
        <f t="shared" si="2395"/>
        <v>1430000</v>
      </c>
      <c r="T4861" s="102">
        <f t="shared" si="2401"/>
        <v>1300000</v>
      </c>
      <c r="U4861" s="71"/>
      <c r="V4861" s="71"/>
      <c r="W4861" s="474"/>
      <c r="X4861" s="71"/>
      <c r="Y4861" s="71"/>
    </row>
    <row r="4862" spans="1:25" ht="30" customHeight="1" x14ac:dyDescent="0.25">
      <c r="A4862" s="1145">
        <v>44642</v>
      </c>
      <c r="B4862" s="664" t="s">
        <v>641</v>
      </c>
      <c r="C4862" s="71" t="s">
        <v>3293</v>
      </c>
      <c r="D4862" s="71">
        <v>100</v>
      </c>
      <c r="E4862" s="102">
        <v>69000</v>
      </c>
      <c r="F4862" s="102">
        <f t="shared" si="2405"/>
        <v>7590000.0000000009</v>
      </c>
      <c r="G4862" s="102">
        <f t="shared" si="2402"/>
        <v>6900000</v>
      </c>
      <c r="H4862" s="690" t="s">
        <v>172</v>
      </c>
      <c r="I4862" s="71" t="s">
        <v>2231</v>
      </c>
      <c r="J4862" s="53">
        <f t="shared" si="2398"/>
        <v>1800000</v>
      </c>
      <c r="K4862" s="63">
        <f t="shared" si="2403"/>
        <v>0.26086956521739124</v>
      </c>
      <c r="L4862" s="1212" t="s">
        <v>3332</v>
      </c>
      <c r="M4862" s="468"/>
      <c r="N4862" s="1192">
        <f t="shared" si="2399"/>
        <v>44642</v>
      </c>
      <c r="O4862" s="71" t="s">
        <v>3291</v>
      </c>
      <c r="P4862" s="103" t="str">
        <f t="shared" si="2400"/>
        <v>GOSS 신문윤전 습식세정포</v>
      </c>
      <c r="Q4862" s="71">
        <f t="shared" si="2404"/>
        <v>100</v>
      </c>
      <c r="R4862" s="102">
        <v>51000</v>
      </c>
      <c r="S4862" s="102">
        <f t="shared" si="2395"/>
        <v>5610000</v>
      </c>
      <c r="T4862" s="102">
        <f t="shared" si="2401"/>
        <v>5100000</v>
      </c>
      <c r="U4862" s="71" t="str">
        <f>IF(J4862=W4862,"O", "X")</f>
        <v>X</v>
      </c>
      <c r="V4862" s="71"/>
      <c r="W4862" s="474"/>
      <c r="X4862" s="71"/>
      <c r="Y4862" s="71"/>
    </row>
    <row r="4863" spans="1:25" ht="30" hidden="1" customHeight="1" x14ac:dyDescent="0.25">
      <c r="A4863" s="1145">
        <v>44642</v>
      </c>
      <c r="B4863" s="664" t="s">
        <v>18</v>
      </c>
      <c r="C4863" s="71" t="s">
        <v>3305</v>
      </c>
      <c r="D4863" s="71">
        <v>10</v>
      </c>
      <c r="E4863" s="102">
        <v>78000</v>
      </c>
      <c r="F4863" s="102">
        <f t="shared" ref="F4863:F4888" si="2406">(E4863*D4863)*1.1</f>
        <v>858000.00000000012</v>
      </c>
      <c r="G4863" s="102">
        <f t="shared" ref="G4863:G4888" si="2407">(E4863*D4863)</f>
        <v>780000</v>
      </c>
      <c r="H4863" s="690" t="s">
        <v>172</v>
      </c>
      <c r="I4863" s="71" t="s">
        <v>3295</v>
      </c>
      <c r="J4863" s="53">
        <f t="shared" si="2398"/>
        <v>180000</v>
      </c>
      <c r="K4863" s="63">
        <f>(J4863/(F4863/11*10))</f>
        <v>0.23076923076923073</v>
      </c>
      <c r="L4863" s="1212" t="s">
        <v>3332</v>
      </c>
      <c r="M4863" s="468" t="s">
        <v>3306</v>
      </c>
      <c r="N4863" s="1192">
        <f t="shared" si="2399"/>
        <v>44642</v>
      </c>
      <c r="O4863" s="71" t="s">
        <v>146</v>
      </c>
      <c r="P4863" s="103" t="str">
        <f t="shared" si="2400"/>
        <v>파우더</v>
      </c>
      <c r="Q4863" s="71">
        <f t="shared" ref="Q4863:Q4894" si="2408">D4863</f>
        <v>10</v>
      </c>
      <c r="R4863" s="102">
        <v>60000</v>
      </c>
      <c r="S4863" s="102">
        <f t="shared" si="2395"/>
        <v>660000</v>
      </c>
      <c r="T4863" s="102">
        <f t="shared" si="2401"/>
        <v>600000</v>
      </c>
      <c r="U4863" s="71" t="str">
        <f>IF(J4863=W4863,"O", "X")</f>
        <v>X</v>
      </c>
      <c r="V4863" s="71"/>
      <c r="W4863" s="474"/>
      <c r="X4863" s="71"/>
      <c r="Y4863" s="71"/>
    </row>
    <row r="4864" spans="1:25" ht="30" hidden="1" customHeight="1" x14ac:dyDescent="0.25">
      <c r="A4864" s="1145">
        <v>44643</v>
      </c>
      <c r="B4864" s="664" t="s">
        <v>575</v>
      </c>
      <c r="C4864" s="71" t="s">
        <v>3342</v>
      </c>
      <c r="D4864" s="71">
        <v>1</v>
      </c>
      <c r="E4864" s="102">
        <v>12000000</v>
      </c>
      <c r="F4864" s="102">
        <f t="shared" si="2406"/>
        <v>13200000.000000002</v>
      </c>
      <c r="G4864" s="102">
        <f t="shared" si="2407"/>
        <v>12000000</v>
      </c>
      <c r="H4864" s="690" t="s">
        <v>113</v>
      </c>
      <c r="I4864" s="71" t="s">
        <v>113</v>
      </c>
      <c r="J4864" s="53">
        <f t="shared" si="2398"/>
        <v>3000000</v>
      </c>
      <c r="K4864" s="63">
        <f>(J4864/(F4864/11*10))</f>
        <v>0.24999999999999997</v>
      </c>
      <c r="L4864" s="1212" t="s">
        <v>3332</v>
      </c>
      <c r="M4864" s="468"/>
      <c r="N4864" s="1192">
        <f t="shared" si="2399"/>
        <v>44643</v>
      </c>
      <c r="O4864" s="71" t="s">
        <v>113</v>
      </c>
      <c r="P4864" s="103" t="str">
        <f t="shared" si="2400"/>
        <v>PLC</v>
      </c>
      <c r="Q4864" s="71">
        <f t="shared" si="2408"/>
        <v>1</v>
      </c>
      <c r="R4864" s="102">
        <v>9000000</v>
      </c>
      <c r="S4864" s="102">
        <f t="shared" si="2395"/>
        <v>9900000</v>
      </c>
      <c r="T4864" s="102">
        <f t="shared" si="2401"/>
        <v>9000000</v>
      </c>
      <c r="U4864" s="71"/>
      <c r="V4864" s="71"/>
      <c r="W4864" s="474"/>
      <c r="X4864" s="71"/>
      <c r="Y4864" s="71"/>
    </row>
    <row r="4865" spans="1:25" ht="30" hidden="1" customHeight="1" x14ac:dyDescent="0.25">
      <c r="A4865" s="1145">
        <v>44643</v>
      </c>
      <c r="B4865" s="664" t="s">
        <v>575</v>
      </c>
      <c r="C4865" s="71" t="s">
        <v>3341</v>
      </c>
      <c r="D4865" s="71">
        <v>1</v>
      </c>
      <c r="E4865" s="102">
        <v>4350000</v>
      </c>
      <c r="F4865" s="102">
        <f>(E4865*D4865)*1.1</f>
        <v>4785000</v>
      </c>
      <c r="G4865" s="102">
        <f>(E4865*D4865)</f>
        <v>4350000</v>
      </c>
      <c r="H4865" s="690" t="s">
        <v>113</v>
      </c>
      <c r="I4865" s="71" t="s">
        <v>113</v>
      </c>
      <c r="J4865" s="53">
        <f t="shared" si="2398"/>
        <v>1350000</v>
      </c>
      <c r="K4865" s="63">
        <f>(J4865/(F4865/11*10))</f>
        <v>0.31034482758620691</v>
      </c>
      <c r="L4865" s="1212" t="s">
        <v>3332</v>
      </c>
      <c r="M4865" s="468"/>
      <c r="N4865" s="1192">
        <f t="shared" ref="N4865:N4870" si="2409">A4865</f>
        <v>44643</v>
      </c>
      <c r="O4865" s="71" t="s">
        <v>113</v>
      </c>
      <c r="P4865" s="103" t="str">
        <f>(C4865)</f>
        <v>핫에어밸브외</v>
      </c>
      <c r="Q4865" s="71">
        <f>D4865</f>
        <v>1</v>
      </c>
      <c r="R4865" s="102">
        <v>3000000</v>
      </c>
      <c r="S4865" s="102">
        <f t="shared" si="2395"/>
        <v>3300000.0000000005</v>
      </c>
      <c r="T4865" s="102">
        <f t="shared" si="2401"/>
        <v>3000000</v>
      </c>
      <c r="U4865" s="71"/>
      <c r="V4865" s="71"/>
      <c r="W4865" s="474"/>
      <c r="X4865" s="71"/>
      <c r="Y4865" s="71"/>
    </row>
    <row r="4866" spans="1:25" ht="30" hidden="1" customHeight="1" x14ac:dyDescent="0.25">
      <c r="A4866" s="1145">
        <v>44643</v>
      </c>
      <c r="B4866" s="664" t="s">
        <v>591</v>
      </c>
      <c r="C4866" s="71" t="s">
        <v>3241</v>
      </c>
      <c r="D4866" s="71">
        <v>1</v>
      </c>
      <c r="E4866" s="102">
        <v>2750000</v>
      </c>
      <c r="F4866" s="102">
        <f>(E4866*D4866)*1.1</f>
        <v>3025000.0000000005</v>
      </c>
      <c r="G4866" s="102">
        <f>(E4866*D4866)</f>
        <v>2750000</v>
      </c>
      <c r="H4866" s="690" t="s">
        <v>173</v>
      </c>
      <c r="I4866" s="71" t="s">
        <v>143</v>
      </c>
      <c r="J4866" s="53">
        <f t="shared" si="2398"/>
        <v>710000</v>
      </c>
      <c r="K4866" s="63">
        <f>(J4866/(F4866/11*10))</f>
        <v>0.25818181818181812</v>
      </c>
      <c r="L4866" s="1212" t="s">
        <v>3332</v>
      </c>
      <c r="M4866" s="468"/>
      <c r="N4866" s="1192">
        <f t="shared" si="2409"/>
        <v>44643</v>
      </c>
      <c r="O4866" s="71" t="s">
        <v>612</v>
      </c>
      <c r="P4866" s="164" t="str">
        <f>(C4866)</f>
        <v>매엽 롤라 피복 세트</v>
      </c>
      <c r="Q4866" s="71">
        <f>D4866</f>
        <v>1</v>
      </c>
      <c r="R4866" s="102">
        <v>2040000</v>
      </c>
      <c r="S4866" s="102">
        <f t="shared" si="2395"/>
        <v>2244000</v>
      </c>
      <c r="T4866" s="102">
        <f t="shared" si="2401"/>
        <v>2040000</v>
      </c>
      <c r="U4866" s="71"/>
      <c r="V4866" s="71"/>
      <c r="W4866" s="474"/>
      <c r="X4866" s="71"/>
      <c r="Y4866" s="71"/>
    </row>
    <row r="4867" spans="1:25" ht="30" customHeight="1" x14ac:dyDescent="0.25">
      <c r="A4867" s="1145">
        <v>44644</v>
      </c>
      <c r="B4867" s="664" t="s">
        <v>641</v>
      </c>
      <c r="C4867" s="71" t="s">
        <v>3335</v>
      </c>
      <c r="D4867" s="71">
        <v>2</v>
      </c>
      <c r="E4867" s="102">
        <v>1250000</v>
      </c>
      <c r="F4867" s="102">
        <f t="shared" si="2406"/>
        <v>2750000</v>
      </c>
      <c r="G4867" s="102">
        <f t="shared" si="2407"/>
        <v>2500000</v>
      </c>
      <c r="H4867" s="690" t="s">
        <v>172</v>
      </c>
      <c r="I4867" s="71" t="s">
        <v>142</v>
      </c>
      <c r="J4867" s="53">
        <f t="shared" si="2398"/>
        <v>740000</v>
      </c>
      <c r="K4867" s="63">
        <f t="shared" ref="K4867:K4893" si="2410">(J4867/(F4867/11*10))</f>
        <v>0.29599999999999999</v>
      </c>
      <c r="L4867" s="1212" t="s">
        <v>3332</v>
      </c>
      <c r="M4867" s="468"/>
      <c r="N4867" s="1192">
        <f t="shared" si="2409"/>
        <v>44644</v>
      </c>
      <c r="O4867" s="71" t="s">
        <v>150</v>
      </c>
      <c r="P4867" s="103" t="str">
        <f t="shared" si="2400"/>
        <v>집진기 원형필터</v>
      </c>
      <c r="Q4867" s="71">
        <f t="shared" si="2408"/>
        <v>2</v>
      </c>
      <c r="R4867" s="102">
        <v>880000</v>
      </c>
      <c r="S4867" s="102">
        <f t="shared" si="2395"/>
        <v>1936000.0000000002</v>
      </c>
      <c r="T4867" s="102">
        <f t="shared" si="2401"/>
        <v>1760000</v>
      </c>
      <c r="U4867" s="71" t="str">
        <f t="shared" ref="U4867:U4887" si="2411">IF(J4867=W4867,"O", "X")</f>
        <v>O</v>
      </c>
      <c r="V4867" s="71"/>
      <c r="W4867" s="474">
        <f>(G4867-T4867)</f>
        <v>740000</v>
      </c>
      <c r="X4867" s="71"/>
      <c r="Y4867" s="71"/>
    </row>
    <row r="4868" spans="1:25" s="209" customFormat="1" ht="31.5" hidden="1" customHeight="1" x14ac:dyDescent="0.2">
      <c r="A4868" s="1145">
        <v>44645</v>
      </c>
      <c r="B4868" s="664" t="s">
        <v>2155</v>
      </c>
      <c r="C4868" s="71" t="s">
        <v>231</v>
      </c>
      <c r="D4868" s="71">
        <v>10</v>
      </c>
      <c r="E4868" s="102">
        <v>120000</v>
      </c>
      <c r="F4868" s="102">
        <f t="shared" si="2406"/>
        <v>1320000</v>
      </c>
      <c r="G4868" s="102">
        <f t="shared" si="2407"/>
        <v>1200000</v>
      </c>
      <c r="H4868" s="165" t="s">
        <v>172</v>
      </c>
      <c r="I4868" s="71" t="s">
        <v>109</v>
      </c>
      <c r="J4868" s="53">
        <f t="shared" si="2398"/>
        <v>80000</v>
      </c>
      <c r="K4868" s="63">
        <f t="shared" si="2410"/>
        <v>6.6666666666666666E-2</v>
      </c>
      <c r="L4868" s="1212" t="s">
        <v>3332</v>
      </c>
      <c r="M4868" s="468"/>
      <c r="N4868" s="1192">
        <f t="shared" si="2409"/>
        <v>44645</v>
      </c>
      <c r="O4868" s="71" t="s">
        <v>151</v>
      </c>
      <c r="P4868" s="103" t="str">
        <f t="shared" si="2400"/>
        <v>Blanket(990*725)</v>
      </c>
      <c r="Q4868" s="71">
        <f t="shared" si="2408"/>
        <v>10</v>
      </c>
      <c r="R4868" s="102">
        <v>112000</v>
      </c>
      <c r="S4868" s="102">
        <f t="shared" si="2395"/>
        <v>1232000</v>
      </c>
      <c r="T4868" s="102">
        <f t="shared" si="2401"/>
        <v>1120000</v>
      </c>
      <c r="U4868" s="71" t="str">
        <f t="shared" si="2411"/>
        <v>O</v>
      </c>
      <c r="V4868" s="71"/>
      <c r="W4868" s="474">
        <v>80000</v>
      </c>
      <c r="X4868" s="71"/>
      <c r="Y4868" s="71"/>
    </row>
    <row r="4869" spans="1:25" ht="30" hidden="1" customHeight="1" x14ac:dyDescent="0.25">
      <c r="A4869" s="1145">
        <v>44645</v>
      </c>
      <c r="B4869" s="664" t="s">
        <v>3289</v>
      </c>
      <c r="C4869" s="71" t="s">
        <v>277</v>
      </c>
      <c r="D4869" s="71">
        <v>10</v>
      </c>
      <c r="E4869" s="102">
        <v>172000</v>
      </c>
      <c r="F4869" s="102">
        <f t="shared" si="2406"/>
        <v>1892000.0000000002</v>
      </c>
      <c r="G4869" s="102">
        <f t="shared" si="2407"/>
        <v>1720000</v>
      </c>
      <c r="H4869" s="690" t="s">
        <v>172</v>
      </c>
      <c r="I4869" s="71" t="s">
        <v>108</v>
      </c>
      <c r="J4869" s="53">
        <f t="shared" si="2398"/>
        <v>570000</v>
      </c>
      <c r="K4869" s="63">
        <f t="shared" si="2410"/>
        <v>0.33139534883720928</v>
      </c>
      <c r="L4869" s="1212" t="s">
        <v>3332</v>
      </c>
      <c r="M4869" s="468"/>
      <c r="N4869" s="1192">
        <f t="shared" si="2409"/>
        <v>44645</v>
      </c>
      <c r="O4869" s="71" t="s">
        <v>662</v>
      </c>
      <c r="P4869" s="103" t="str">
        <f>(C4869)</f>
        <v>윤전용 세척제(Web 504)</v>
      </c>
      <c r="Q4869" s="71">
        <f t="shared" si="2408"/>
        <v>10</v>
      </c>
      <c r="R4869" s="102">
        <v>115000</v>
      </c>
      <c r="S4869" s="102">
        <f t="shared" si="2395"/>
        <v>1265000</v>
      </c>
      <c r="T4869" s="102">
        <f t="shared" si="2401"/>
        <v>1150000</v>
      </c>
      <c r="U4869" s="71" t="str">
        <f t="shared" si="2411"/>
        <v>X</v>
      </c>
      <c r="V4869" s="71"/>
      <c r="W4869" s="474"/>
      <c r="X4869" s="71"/>
      <c r="Y4869" s="71"/>
    </row>
    <row r="4870" spans="1:25" ht="30" hidden="1" customHeight="1" x14ac:dyDescent="0.25">
      <c r="A4870" s="1145">
        <v>44645</v>
      </c>
      <c r="B4870" s="664" t="s">
        <v>2155</v>
      </c>
      <c r="C4870" s="760" t="s">
        <v>218</v>
      </c>
      <c r="D4870" s="71">
        <v>5</v>
      </c>
      <c r="E4870" s="102">
        <v>192500</v>
      </c>
      <c r="F4870" s="102">
        <f t="shared" si="2406"/>
        <v>1058750</v>
      </c>
      <c r="G4870" s="102">
        <f t="shared" si="2407"/>
        <v>962500</v>
      </c>
      <c r="H4870" s="690" t="s">
        <v>173</v>
      </c>
      <c r="I4870" s="71" t="s">
        <v>120</v>
      </c>
      <c r="J4870" s="53">
        <f t="shared" si="2398"/>
        <v>400000</v>
      </c>
      <c r="K4870" s="63">
        <f t="shared" si="2410"/>
        <v>0.41558441558441561</v>
      </c>
      <c r="L4870" s="1212" t="s">
        <v>3332</v>
      </c>
      <c r="M4870" s="468"/>
      <c r="N4870" s="1192">
        <f t="shared" si="2409"/>
        <v>44645</v>
      </c>
      <c r="O4870" s="71" t="s">
        <v>150</v>
      </c>
      <c r="P4870" s="103" t="str">
        <f>(C4870)</f>
        <v>Fount Web 551AF</v>
      </c>
      <c r="Q4870" s="71">
        <f t="shared" si="2408"/>
        <v>5</v>
      </c>
      <c r="R4870" s="102">
        <v>112500</v>
      </c>
      <c r="S4870" s="102">
        <f t="shared" si="2395"/>
        <v>618750</v>
      </c>
      <c r="T4870" s="102">
        <f t="shared" si="2401"/>
        <v>562500</v>
      </c>
      <c r="U4870" s="71" t="str">
        <f t="shared" si="2411"/>
        <v>X</v>
      </c>
      <c r="V4870" s="71"/>
      <c r="W4870" s="474">
        <v>640000</v>
      </c>
      <c r="X4870" s="71"/>
      <c r="Y4870" s="71"/>
    </row>
    <row r="4871" spans="1:25" ht="30" hidden="1" customHeight="1" x14ac:dyDescent="0.25">
      <c r="A4871" s="1145">
        <v>44645</v>
      </c>
      <c r="B4871" s="664" t="s">
        <v>1060</v>
      </c>
      <c r="C4871" s="71" t="s">
        <v>3310</v>
      </c>
      <c r="D4871" s="71">
        <v>1000</v>
      </c>
      <c r="E4871" s="102">
        <v>5960</v>
      </c>
      <c r="F4871" s="102">
        <f t="shared" si="2406"/>
        <v>6556000.0000000009</v>
      </c>
      <c r="G4871" s="102">
        <f t="shared" si="2407"/>
        <v>5960000</v>
      </c>
      <c r="H4871" s="690" t="s">
        <v>36</v>
      </c>
      <c r="I4871" s="71" t="s">
        <v>2529</v>
      </c>
      <c r="J4871" s="53">
        <f t="shared" si="2398"/>
        <v>1710000</v>
      </c>
      <c r="K4871" s="63">
        <f t="shared" si="2410"/>
        <v>0.2869127516778523</v>
      </c>
      <c r="L4871" s="1212" t="s">
        <v>3332</v>
      </c>
      <c r="M4871" s="468"/>
      <c r="N4871" s="1192">
        <f t="shared" ref="N4871:N4888" si="2412">A4871</f>
        <v>44645</v>
      </c>
      <c r="O4871" s="71" t="s">
        <v>3298</v>
      </c>
      <c r="P4871" s="103" t="str">
        <f t="shared" ref="P4871:P4888" si="2413">(C4871)</f>
        <v>ENGAGE 1030*790</v>
      </c>
      <c r="Q4871" s="71">
        <f t="shared" si="2408"/>
        <v>1000</v>
      </c>
      <c r="R4871" s="102">
        <v>4250</v>
      </c>
      <c r="S4871" s="102">
        <f t="shared" si="2395"/>
        <v>4675000</v>
      </c>
      <c r="T4871" s="102">
        <f t="shared" si="2401"/>
        <v>4250000</v>
      </c>
      <c r="U4871" s="71" t="str">
        <f t="shared" si="2411"/>
        <v>O</v>
      </c>
      <c r="V4871" s="71"/>
      <c r="W4871" s="474">
        <f t="shared" ref="W4871:W4887" si="2414">(G4871-T4871)</f>
        <v>1710000</v>
      </c>
      <c r="X4871" s="71"/>
      <c r="Y4871" s="71"/>
    </row>
    <row r="4872" spans="1:25" ht="30" hidden="1" customHeight="1" x14ac:dyDescent="0.25">
      <c r="A4872" s="1145">
        <v>44645</v>
      </c>
      <c r="B4872" s="664" t="s">
        <v>1060</v>
      </c>
      <c r="C4872" s="71" t="s">
        <v>3311</v>
      </c>
      <c r="D4872" s="71">
        <v>2000</v>
      </c>
      <c r="E4872" s="102">
        <v>3750</v>
      </c>
      <c r="F4872" s="102">
        <f t="shared" si="2406"/>
        <v>8250000.0000000009</v>
      </c>
      <c r="G4872" s="102">
        <f t="shared" si="2407"/>
        <v>7500000</v>
      </c>
      <c r="H4872" s="690" t="s">
        <v>36</v>
      </c>
      <c r="I4872" s="71" t="s">
        <v>2529</v>
      </c>
      <c r="J4872" s="53">
        <f t="shared" si="2398"/>
        <v>2140000</v>
      </c>
      <c r="K4872" s="63">
        <f t="shared" si="2410"/>
        <v>0.28533333333333327</v>
      </c>
      <c r="L4872" s="1212" t="s">
        <v>3332</v>
      </c>
      <c r="M4872" s="468"/>
      <c r="N4872" s="1192">
        <f t="shared" si="2412"/>
        <v>44645</v>
      </c>
      <c r="O4872" s="71" t="s">
        <v>3298</v>
      </c>
      <c r="P4872" s="103" t="str">
        <f t="shared" si="2413"/>
        <v>ENGAGE 900X571 - 27RO</v>
      </c>
      <c r="Q4872" s="71">
        <f t="shared" si="2408"/>
        <v>2000</v>
      </c>
      <c r="R4872" s="102">
        <v>2680</v>
      </c>
      <c r="S4872" s="102">
        <f t="shared" si="2395"/>
        <v>5896000.0000000009</v>
      </c>
      <c r="T4872" s="102">
        <f t="shared" si="2401"/>
        <v>5360000</v>
      </c>
      <c r="U4872" s="71" t="str">
        <f t="shared" si="2411"/>
        <v>O</v>
      </c>
      <c r="V4872" s="71"/>
      <c r="W4872" s="474">
        <f t="shared" si="2414"/>
        <v>2140000</v>
      </c>
      <c r="X4872" s="71"/>
      <c r="Y4872" s="71"/>
    </row>
    <row r="4873" spans="1:25" ht="30" hidden="1" customHeight="1" x14ac:dyDescent="0.25">
      <c r="A4873" s="1145">
        <v>44645</v>
      </c>
      <c r="B4873" s="664" t="s">
        <v>1060</v>
      </c>
      <c r="C4873" s="71" t="s">
        <v>3312</v>
      </c>
      <c r="D4873" s="71">
        <v>5000</v>
      </c>
      <c r="E4873" s="102">
        <v>3580</v>
      </c>
      <c r="F4873" s="102">
        <f t="shared" si="2406"/>
        <v>19690000</v>
      </c>
      <c r="G4873" s="102">
        <f t="shared" si="2407"/>
        <v>17900000</v>
      </c>
      <c r="H4873" s="690" t="s">
        <v>36</v>
      </c>
      <c r="I4873" s="71" t="s">
        <v>2529</v>
      </c>
      <c r="J4873" s="53">
        <f t="shared" si="2398"/>
        <v>5200000</v>
      </c>
      <c r="K4873" s="63">
        <f t="shared" si="2410"/>
        <v>0.29050279329608941</v>
      </c>
      <c r="L4873" s="1212" t="s">
        <v>3332</v>
      </c>
      <c r="M4873" s="468"/>
      <c r="N4873" s="1192">
        <f t="shared" si="2412"/>
        <v>44645</v>
      </c>
      <c r="O4873" s="71" t="s">
        <v>3298</v>
      </c>
      <c r="P4873" s="103" t="str">
        <f t="shared" si="2413"/>
        <v>ENGAGE 30WEB(883*552)</v>
      </c>
      <c r="Q4873" s="71">
        <f t="shared" si="2408"/>
        <v>5000</v>
      </c>
      <c r="R4873" s="102">
        <v>2540</v>
      </c>
      <c r="S4873" s="102">
        <f t="shared" si="2395"/>
        <v>13970000.000000002</v>
      </c>
      <c r="T4873" s="102">
        <f t="shared" si="2401"/>
        <v>12700000</v>
      </c>
      <c r="U4873" s="71" t="str">
        <f t="shared" si="2411"/>
        <v>O</v>
      </c>
      <c r="V4873" s="71"/>
      <c r="W4873" s="474">
        <f t="shared" si="2414"/>
        <v>5200000</v>
      </c>
      <c r="X4873" s="71"/>
      <c r="Y4873" s="71"/>
    </row>
    <row r="4874" spans="1:25" ht="30" hidden="1" customHeight="1" x14ac:dyDescent="0.25">
      <c r="A4874" s="1145">
        <v>44645</v>
      </c>
      <c r="B4874" s="664" t="s">
        <v>1060</v>
      </c>
      <c r="C4874" s="71" t="s">
        <v>3313</v>
      </c>
      <c r="D4874" s="71">
        <v>1000</v>
      </c>
      <c r="E4874" s="102">
        <v>6040</v>
      </c>
      <c r="F4874" s="102">
        <f t="shared" si="2406"/>
        <v>6644000.0000000009</v>
      </c>
      <c r="G4874" s="102">
        <f t="shared" si="2407"/>
        <v>6040000</v>
      </c>
      <c r="H4874" s="690" t="s">
        <v>36</v>
      </c>
      <c r="I4874" s="71" t="s">
        <v>2529</v>
      </c>
      <c r="J4874" s="53">
        <f t="shared" si="2398"/>
        <v>1740000</v>
      </c>
      <c r="K4874" s="63">
        <f t="shared" si="2410"/>
        <v>0.28807947019867547</v>
      </c>
      <c r="L4874" s="1212" t="s">
        <v>3332</v>
      </c>
      <c r="M4874" s="468"/>
      <c r="N4874" s="1192">
        <f t="shared" si="2412"/>
        <v>44645</v>
      </c>
      <c r="O4874" s="71" t="s">
        <v>3298</v>
      </c>
      <c r="P4874" s="103" t="str">
        <f t="shared" si="2413"/>
        <v>ENGAGE 1030*800</v>
      </c>
      <c r="Q4874" s="71">
        <f t="shared" si="2408"/>
        <v>1000</v>
      </c>
      <c r="R4874" s="102">
        <v>4300</v>
      </c>
      <c r="S4874" s="102">
        <f t="shared" si="2395"/>
        <v>4730000</v>
      </c>
      <c r="T4874" s="102">
        <f t="shared" si="2401"/>
        <v>4300000</v>
      </c>
      <c r="U4874" s="71" t="str">
        <f t="shared" si="2411"/>
        <v>O</v>
      </c>
      <c r="V4874" s="71"/>
      <c r="W4874" s="474">
        <f t="shared" si="2414"/>
        <v>1740000</v>
      </c>
      <c r="X4874" s="71"/>
      <c r="Y4874" s="71"/>
    </row>
    <row r="4875" spans="1:25" ht="30" hidden="1" customHeight="1" x14ac:dyDescent="0.25">
      <c r="A4875" s="1145">
        <v>44645</v>
      </c>
      <c r="B4875" s="664" t="s">
        <v>1060</v>
      </c>
      <c r="C4875" s="71" t="s">
        <v>3314</v>
      </c>
      <c r="D4875" s="71">
        <v>1000</v>
      </c>
      <c r="E4875" s="102">
        <v>6260</v>
      </c>
      <c r="F4875" s="102">
        <f t="shared" si="2406"/>
        <v>6886000.0000000009</v>
      </c>
      <c r="G4875" s="102">
        <f t="shared" si="2407"/>
        <v>6260000</v>
      </c>
      <c r="H4875" s="690" t="s">
        <v>36</v>
      </c>
      <c r="I4875" s="71" t="s">
        <v>2529</v>
      </c>
      <c r="J4875" s="53">
        <f t="shared" si="2398"/>
        <v>1790000</v>
      </c>
      <c r="K4875" s="63">
        <f t="shared" si="2410"/>
        <v>0.28594249201277949</v>
      </c>
      <c r="L4875" s="1212" t="s">
        <v>3332</v>
      </c>
      <c r="M4875" s="468"/>
      <c r="N4875" s="1192">
        <f t="shared" si="2412"/>
        <v>44645</v>
      </c>
      <c r="O4875" s="71" t="s">
        <v>3298</v>
      </c>
      <c r="P4875" s="103" t="str">
        <f t="shared" si="2413"/>
        <v>ENGAGE 1055*811</v>
      </c>
      <c r="Q4875" s="71">
        <f t="shared" si="2408"/>
        <v>1000</v>
      </c>
      <c r="R4875" s="102">
        <v>4470</v>
      </c>
      <c r="S4875" s="102">
        <f t="shared" si="2395"/>
        <v>4917000</v>
      </c>
      <c r="T4875" s="102">
        <f t="shared" si="2401"/>
        <v>4470000</v>
      </c>
      <c r="U4875" s="71" t="str">
        <f t="shared" si="2411"/>
        <v>O</v>
      </c>
      <c r="V4875" s="71"/>
      <c r="W4875" s="474">
        <f t="shared" si="2414"/>
        <v>1790000</v>
      </c>
      <c r="X4875" s="71"/>
      <c r="Y4875" s="71"/>
    </row>
    <row r="4876" spans="1:25" ht="30" hidden="1" customHeight="1" x14ac:dyDescent="0.25">
      <c r="A4876" s="1145">
        <v>44645</v>
      </c>
      <c r="B4876" s="664" t="s">
        <v>1060</v>
      </c>
      <c r="C4876" s="71" t="s">
        <v>3315</v>
      </c>
      <c r="D4876" s="71">
        <v>1000</v>
      </c>
      <c r="E4876" s="102">
        <v>4480</v>
      </c>
      <c r="F4876" s="102">
        <f t="shared" si="2406"/>
        <v>4928000</v>
      </c>
      <c r="G4876" s="102">
        <f t="shared" si="2407"/>
        <v>4480000</v>
      </c>
      <c r="H4876" s="690" t="s">
        <v>36</v>
      </c>
      <c r="I4876" s="71" t="s">
        <v>2529</v>
      </c>
      <c r="J4876" s="53">
        <f t="shared" si="2398"/>
        <v>1290000</v>
      </c>
      <c r="K4876" s="63">
        <f t="shared" si="2410"/>
        <v>0.28794642857142855</v>
      </c>
      <c r="L4876" s="1212" t="s">
        <v>3332</v>
      </c>
      <c r="M4876" s="468"/>
      <c r="N4876" s="1192">
        <f t="shared" si="2412"/>
        <v>44645</v>
      </c>
      <c r="O4876" s="71" t="s">
        <v>3298</v>
      </c>
      <c r="P4876" s="103" t="str">
        <f t="shared" si="2413"/>
        <v>ENGAGE 968*631</v>
      </c>
      <c r="Q4876" s="71">
        <f t="shared" si="2408"/>
        <v>1000</v>
      </c>
      <c r="R4876" s="102">
        <v>3190</v>
      </c>
      <c r="S4876" s="102">
        <f t="shared" si="2395"/>
        <v>3509000.0000000005</v>
      </c>
      <c r="T4876" s="102">
        <f t="shared" si="2401"/>
        <v>3190000</v>
      </c>
      <c r="U4876" s="71" t="str">
        <f t="shared" si="2411"/>
        <v>O</v>
      </c>
      <c r="V4876" s="71"/>
      <c r="W4876" s="474">
        <f t="shared" si="2414"/>
        <v>1290000</v>
      </c>
      <c r="X4876" s="71"/>
      <c r="Y4876" s="71"/>
    </row>
    <row r="4877" spans="1:25" ht="30" hidden="1" customHeight="1" x14ac:dyDescent="0.25">
      <c r="A4877" s="1145">
        <v>44645</v>
      </c>
      <c r="B4877" s="664" t="s">
        <v>1060</v>
      </c>
      <c r="C4877" s="71" t="s">
        <v>3316</v>
      </c>
      <c r="D4877" s="71"/>
      <c r="E4877" s="102"/>
      <c r="F4877" s="102">
        <f t="shared" si="2406"/>
        <v>0</v>
      </c>
      <c r="G4877" s="102">
        <f t="shared" si="2407"/>
        <v>0</v>
      </c>
      <c r="H4877" s="690" t="s">
        <v>36</v>
      </c>
      <c r="I4877" s="71" t="s">
        <v>2529</v>
      </c>
      <c r="J4877" s="53">
        <f t="shared" si="2398"/>
        <v>0</v>
      </c>
      <c r="K4877" s="63" t="e">
        <f t="shared" si="2410"/>
        <v>#DIV/0!</v>
      </c>
      <c r="L4877" s="1212" t="s">
        <v>3332</v>
      </c>
      <c r="M4877" s="468"/>
      <c r="N4877" s="1192">
        <f t="shared" si="2412"/>
        <v>44645</v>
      </c>
      <c r="O4877" s="71" t="s">
        <v>3298</v>
      </c>
      <c r="P4877" s="103" t="str">
        <f t="shared" si="2413"/>
        <v>ENGAGE 1092*800</v>
      </c>
      <c r="Q4877" s="71">
        <f t="shared" si="2408"/>
        <v>0</v>
      </c>
      <c r="R4877" s="102">
        <v>5510</v>
      </c>
      <c r="S4877" s="102">
        <f t="shared" ref="S4877:S4897" si="2415">R4877*Q4877*1.1</f>
        <v>0</v>
      </c>
      <c r="T4877" s="102">
        <f t="shared" si="2401"/>
        <v>0</v>
      </c>
      <c r="U4877" s="71" t="str">
        <f t="shared" si="2411"/>
        <v>O</v>
      </c>
      <c r="V4877" s="71"/>
      <c r="W4877" s="474">
        <f t="shared" si="2414"/>
        <v>0</v>
      </c>
      <c r="X4877" s="71"/>
      <c r="Y4877" s="71"/>
    </row>
    <row r="4878" spans="1:25" ht="30" hidden="1" customHeight="1" x14ac:dyDescent="0.25">
      <c r="A4878" s="1145">
        <v>44645</v>
      </c>
      <c r="B4878" s="664" t="s">
        <v>1060</v>
      </c>
      <c r="C4878" s="71" t="s">
        <v>3317</v>
      </c>
      <c r="D4878" s="71">
        <v>50</v>
      </c>
      <c r="E4878" s="102">
        <v>55000</v>
      </c>
      <c r="F4878" s="102">
        <f t="shared" si="2406"/>
        <v>3025000.0000000005</v>
      </c>
      <c r="G4878" s="102">
        <f t="shared" si="2407"/>
        <v>2750000</v>
      </c>
      <c r="H4878" s="690" t="s">
        <v>36</v>
      </c>
      <c r="I4878" s="71" t="s">
        <v>2529</v>
      </c>
      <c r="J4878" s="53">
        <f t="shared" si="2398"/>
        <v>737500</v>
      </c>
      <c r="K4878" s="63">
        <f t="shared" si="2410"/>
        <v>0.26818181818181813</v>
      </c>
      <c r="L4878" s="1212" t="s">
        <v>3332</v>
      </c>
      <c r="M4878" s="468"/>
      <c r="N4878" s="1192">
        <f t="shared" si="2412"/>
        <v>44645</v>
      </c>
      <c r="O4878" s="71" t="s">
        <v>3298</v>
      </c>
      <c r="P4878" s="103" t="str">
        <f t="shared" si="2413"/>
        <v>THR200(20L)보충액</v>
      </c>
      <c r="Q4878" s="71">
        <f t="shared" si="2408"/>
        <v>50</v>
      </c>
      <c r="R4878" s="102">
        <v>40250</v>
      </c>
      <c r="S4878" s="102">
        <f t="shared" si="2415"/>
        <v>2213750</v>
      </c>
      <c r="T4878" s="102">
        <f t="shared" si="2401"/>
        <v>2012500</v>
      </c>
      <c r="U4878" s="71" t="str">
        <f t="shared" si="2411"/>
        <v>O</v>
      </c>
      <c r="V4878" s="71"/>
      <c r="W4878" s="474">
        <f t="shared" si="2414"/>
        <v>737500</v>
      </c>
      <c r="X4878" s="71"/>
      <c r="Y4878" s="71"/>
    </row>
    <row r="4879" spans="1:25" ht="30" hidden="1" customHeight="1" x14ac:dyDescent="0.25">
      <c r="A4879" s="1145">
        <v>44617</v>
      </c>
      <c r="B4879" s="664" t="s">
        <v>1051</v>
      </c>
      <c r="C4879" s="71" t="s">
        <v>1386</v>
      </c>
      <c r="D4879" s="71">
        <v>20</v>
      </c>
      <c r="E4879" s="102">
        <v>55000</v>
      </c>
      <c r="F4879" s="102">
        <f t="shared" si="2406"/>
        <v>1210000</v>
      </c>
      <c r="G4879" s="102">
        <f t="shared" si="2407"/>
        <v>1100000</v>
      </c>
      <c r="H4879" s="690" t="s">
        <v>142</v>
      </c>
      <c r="I4879" s="71" t="s">
        <v>2273</v>
      </c>
      <c r="J4879" s="53">
        <f t="shared" si="2398"/>
        <v>295000</v>
      </c>
      <c r="K4879" s="63">
        <f t="shared" si="2410"/>
        <v>0.26818181818181819</v>
      </c>
      <c r="L4879" s="983" t="s">
        <v>3243</v>
      </c>
      <c r="M4879" s="468"/>
      <c r="N4879" s="1192">
        <f t="shared" si="2412"/>
        <v>44617</v>
      </c>
      <c r="O4879" s="71" t="s">
        <v>145</v>
      </c>
      <c r="P4879" s="164" t="str">
        <f t="shared" si="2413"/>
        <v>THR200(20L)보충액</v>
      </c>
      <c r="Q4879" s="71">
        <f t="shared" si="2408"/>
        <v>20</v>
      </c>
      <c r="R4879" s="102">
        <v>40250</v>
      </c>
      <c r="S4879" s="102">
        <f t="shared" si="2415"/>
        <v>885500.00000000012</v>
      </c>
      <c r="T4879" s="102">
        <f t="shared" si="2401"/>
        <v>805000</v>
      </c>
      <c r="U4879" s="71" t="str">
        <f t="shared" si="2411"/>
        <v>O</v>
      </c>
      <c r="V4879" s="71"/>
      <c r="W4879" s="474">
        <f t="shared" si="2414"/>
        <v>295000</v>
      </c>
      <c r="X4879" s="71"/>
      <c r="Y4879" s="71"/>
    </row>
    <row r="4880" spans="1:25" ht="30" hidden="1" customHeight="1" x14ac:dyDescent="0.25">
      <c r="A4880" s="1145">
        <v>44645</v>
      </c>
      <c r="B4880" s="664" t="s">
        <v>1061</v>
      </c>
      <c r="C4880" s="71" t="s">
        <v>3319</v>
      </c>
      <c r="D4880" s="71">
        <v>200</v>
      </c>
      <c r="E4880" s="102">
        <v>5600</v>
      </c>
      <c r="F4880" s="102">
        <f t="shared" si="2406"/>
        <v>1232000</v>
      </c>
      <c r="G4880" s="102">
        <f t="shared" si="2407"/>
        <v>1120000</v>
      </c>
      <c r="H4880" s="690" t="s">
        <v>36</v>
      </c>
      <c r="I4880" s="71" t="s">
        <v>3320</v>
      </c>
      <c r="J4880" s="53">
        <f t="shared" si="2398"/>
        <v>60000</v>
      </c>
      <c r="K4880" s="63">
        <f t="shared" si="2410"/>
        <v>5.3571428571428568E-2</v>
      </c>
      <c r="L4880" s="1212" t="s">
        <v>3332</v>
      </c>
      <c r="M4880" s="468"/>
      <c r="N4880" s="1192">
        <f t="shared" si="2412"/>
        <v>44645</v>
      </c>
      <c r="O4880" s="71" t="s">
        <v>146</v>
      </c>
      <c r="P4880" s="103" t="str">
        <f t="shared" si="2413"/>
        <v>프리미어(먹)</v>
      </c>
      <c r="Q4880" s="71">
        <f t="shared" si="2408"/>
        <v>200</v>
      </c>
      <c r="R4880" s="102">
        <v>5300</v>
      </c>
      <c r="S4880" s="102">
        <f t="shared" si="2415"/>
        <v>1166000</v>
      </c>
      <c r="T4880" s="102">
        <f t="shared" si="2401"/>
        <v>1060000</v>
      </c>
      <c r="U4880" s="71" t="str">
        <f t="shared" si="2411"/>
        <v>O</v>
      </c>
      <c r="V4880" s="71"/>
      <c r="W4880" s="474">
        <f t="shared" si="2414"/>
        <v>60000</v>
      </c>
      <c r="X4880" s="71"/>
      <c r="Y4880" s="71"/>
    </row>
    <row r="4881" spans="1:25" ht="30" hidden="1" customHeight="1" x14ac:dyDescent="0.25">
      <c r="A4881" s="1145">
        <v>44645</v>
      </c>
      <c r="B4881" s="664" t="s">
        <v>1061</v>
      </c>
      <c r="C4881" s="71" t="s">
        <v>3321</v>
      </c>
      <c r="D4881" s="71">
        <v>400</v>
      </c>
      <c r="E4881" s="102">
        <v>6000</v>
      </c>
      <c r="F4881" s="102">
        <f t="shared" si="2406"/>
        <v>2640000</v>
      </c>
      <c r="G4881" s="102">
        <f t="shared" si="2407"/>
        <v>2400000</v>
      </c>
      <c r="H4881" s="690" t="s">
        <v>36</v>
      </c>
      <c r="I4881" s="71" t="s">
        <v>3320</v>
      </c>
      <c r="J4881" s="53">
        <f t="shared" si="2398"/>
        <v>-20000</v>
      </c>
      <c r="K4881" s="63">
        <f t="shared" si="2410"/>
        <v>-8.3333333333333332E-3</v>
      </c>
      <c r="L4881" s="1212" t="s">
        <v>3332</v>
      </c>
      <c r="M4881" s="468"/>
      <c r="N4881" s="1192">
        <f t="shared" si="2412"/>
        <v>44645</v>
      </c>
      <c r="O4881" s="71" t="s">
        <v>146</v>
      </c>
      <c r="P4881" s="103" t="str">
        <f t="shared" si="2413"/>
        <v>프리미어(적)</v>
      </c>
      <c r="Q4881" s="71">
        <f t="shared" si="2408"/>
        <v>400</v>
      </c>
      <c r="R4881" s="102">
        <v>6050</v>
      </c>
      <c r="S4881" s="102">
        <f t="shared" si="2415"/>
        <v>2662000</v>
      </c>
      <c r="T4881" s="102">
        <f t="shared" si="2401"/>
        <v>2420000</v>
      </c>
      <c r="U4881" s="71" t="str">
        <f t="shared" si="2411"/>
        <v>O</v>
      </c>
      <c r="V4881" s="71"/>
      <c r="W4881" s="474">
        <f t="shared" si="2414"/>
        <v>-20000</v>
      </c>
      <c r="X4881" s="71"/>
      <c r="Y4881" s="71"/>
    </row>
    <row r="4882" spans="1:25" ht="30" hidden="1" customHeight="1" x14ac:dyDescent="0.25">
      <c r="A4882" s="1145">
        <v>44645</v>
      </c>
      <c r="B4882" s="664" t="s">
        <v>1061</v>
      </c>
      <c r="C4882" s="71" t="s">
        <v>1289</v>
      </c>
      <c r="D4882" s="71">
        <v>800</v>
      </c>
      <c r="E4882" s="102">
        <v>5750</v>
      </c>
      <c r="F4882" s="102">
        <f t="shared" si="2406"/>
        <v>5060000</v>
      </c>
      <c r="G4882" s="102">
        <f t="shared" si="2407"/>
        <v>4600000</v>
      </c>
      <c r="H4882" s="690" t="s">
        <v>36</v>
      </c>
      <c r="I4882" s="71" t="s">
        <v>3320</v>
      </c>
      <c r="J4882" s="53">
        <f t="shared" si="2398"/>
        <v>256000</v>
      </c>
      <c r="K4882" s="63">
        <f t="shared" si="2410"/>
        <v>5.565217391304348E-2</v>
      </c>
      <c r="L4882" s="1212" t="s">
        <v>3332</v>
      </c>
      <c r="M4882" s="468"/>
      <c r="N4882" s="1192">
        <f t="shared" si="2412"/>
        <v>44645</v>
      </c>
      <c r="O4882" s="71" t="s">
        <v>146</v>
      </c>
      <c r="P4882" s="103" t="str">
        <f t="shared" si="2413"/>
        <v>프리미어(황)</v>
      </c>
      <c r="Q4882" s="71">
        <f t="shared" si="2408"/>
        <v>800</v>
      </c>
      <c r="R4882" s="102">
        <v>5430</v>
      </c>
      <c r="S4882" s="102">
        <f t="shared" si="2415"/>
        <v>4778400</v>
      </c>
      <c r="T4882" s="102">
        <f t="shared" si="2401"/>
        <v>4344000</v>
      </c>
      <c r="U4882" s="71" t="str">
        <f t="shared" si="2411"/>
        <v>O</v>
      </c>
      <c r="V4882" s="71"/>
      <c r="W4882" s="474">
        <f t="shared" si="2414"/>
        <v>256000</v>
      </c>
      <c r="X4882" s="71"/>
      <c r="Y4882" s="71"/>
    </row>
    <row r="4883" spans="1:25" ht="30" hidden="1" customHeight="1" x14ac:dyDescent="0.25">
      <c r="A4883" s="1145">
        <v>44645</v>
      </c>
      <c r="B4883" s="664" t="s">
        <v>1061</v>
      </c>
      <c r="C4883" s="71" t="s">
        <v>1290</v>
      </c>
      <c r="D4883" s="71">
        <v>600</v>
      </c>
      <c r="E4883" s="102">
        <v>7000</v>
      </c>
      <c r="F4883" s="102">
        <f t="shared" si="2406"/>
        <v>4620000</v>
      </c>
      <c r="G4883" s="102">
        <f t="shared" si="2407"/>
        <v>4200000</v>
      </c>
      <c r="H4883" s="690" t="s">
        <v>36</v>
      </c>
      <c r="I4883" s="71" t="s">
        <v>3320</v>
      </c>
      <c r="J4883" s="53">
        <f t="shared" si="2398"/>
        <v>300000</v>
      </c>
      <c r="K4883" s="63">
        <f t="shared" si="2410"/>
        <v>7.1428571428571425E-2</v>
      </c>
      <c r="L4883" s="1212" t="s">
        <v>3332</v>
      </c>
      <c r="M4883" s="468"/>
      <c r="N4883" s="1192">
        <f t="shared" si="2412"/>
        <v>44645</v>
      </c>
      <c r="O4883" s="71" t="s">
        <v>146</v>
      </c>
      <c r="P4883" s="103" t="str">
        <f t="shared" si="2413"/>
        <v>프리미어(청)</v>
      </c>
      <c r="Q4883" s="71">
        <f t="shared" si="2408"/>
        <v>600</v>
      </c>
      <c r="R4883" s="102">
        <v>6500</v>
      </c>
      <c r="S4883" s="102">
        <f t="shared" si="2415"/>
        <v>4290000</v>
      </c>
      <c r="T4883" s="102">
        <f t="shared" si="2401"/>
        <v>3900000</v>
      </c>
      <c r="U4883" s="71" t="str">
        <f t="shared" si="2411"/>
        <v>O</v>
      </c>
      <c r="V4883" s="71"/>
      <c r="W4883" s="474">
        <f t="shared" si="2414"/>
        <v>300000</v>
      </c>
      <c r="X4883" s="71"/>
      <c r="Y4883" s="71"/>
    </row>
    <row r="4884" spans="1:25" ht="30" hidden="1" customHeight="1" x14ac:dyDescent="0.25">
      <c r="A4884" s="1145">
        <v>44645</v>
      </c>
      <c r="B4884" s="664" t="s">
        <v>1061</v>
      </c>
      <c r="C4884" s="71" t="s">
        <v>3322</v>
      </c>
      <c r="D4884" s="71">
        <v>0</v>
      </c>
      <c r="E4884" s="102">
        <v>6200</v>
      </c>
      <c r="F4884" s="102">
        <f t="shared" si="2406"/>
        <v>0</v>
      </c>
      <c r="G4884" s="102">
        <f t="shared" si="2407"/>
        <v>0</v>
      </c>
      <c r="H4884" s="690" t="s">
        <v>36</v>
      </c>
      <c r="I4884" s="71" t="s">
        <v>3320</v>
      </c>
      <c r="J4884" s="53">
        <f t="shared" si="2398"/>
        <v>0</v>
      </c>
      <c r="K4884" s="63" t="e">
        <f t="shared" si="2410"/>
        <v>#DIV/0!</v>
      </c>
      <c r="L4884" s="1212" t="s">
        <v>3332</v>
      </c>
      <c r="M4884" s="468"/>
      <c r="N4884" s="1192">
        <f t="shared" si="2412"/>
        <v>44645</v>
      </c>
      <c r="O4884" s="71" t="s">
        <v>3323</v>
      </c>
      <c r="P4884" s="103" t="str">
        <f t="shared" si="2413"/>
        <v>한특 잉크(적)</v>
      </c>
      <c r="Q4884" s="71">
        <f t="shared" si="2408"/>
        <v>0</v>
      </c>
      <c r="R4884" s="102">
        <v>5900</v>
      </c>
      <c r="S4884" s="102">
        <f t="shared" si="2415"/>
        <v>0</v>
      </c>
      <c r="T4884" s="102">
        <f t="shared" si="2401"/>
        <v>0</v>
      </c>
      <c r="U4884" s="71" t="str">
        <f t="shared" si="2411"/>
        <v>O</v>
      </c>
      <c r="V4884" s="71"/>
      <c r="W4884" s="474">
        <f t="shared" si="2414"/>
        <v>0</v>
      </c>
      <c r="X4884" s="71"/>
      <c r="Y4884" s="71"/>
    </row>
    <row r="4885" spans="1:25" ht="30" hidden="1" customHeight="1" x14ac:dyDescent="0.25">
      <c r="A4885" s="1145">
        <v>44645</v>
      </c>
      <c r="B4885" s="664" t="s">
        <v>1061</v>
      </c>
      <c r="C4885" s="71" t="s">
        <v>3324</v>
      </c>
      <c r="D4885" s="71">
        <v>0</v>
      </c>
      <c r="E4885" s="102">
        <v>6000</v>
      </c>
      <c r="F4885" s="102">
        <f t="shared" si="2406"/>
        <v>0</v>
      </c>
      <c r="G4885" s="102">
        <f t="shared" si="2407"/>
        <v>0</v>
      </c>
      <c r="H4885" s="690" t="s">
        <v>36</v>
      </c>
      <c r="I4885" s="71" t="s">
        <v>3320</v>
      </c>
      <c r="J4885" s="53">
        <f t="shared" si="2398"/>
        <v>0</v>
      </c>
      <c r="K4885" s="63" t="e">
        <f t="shared" si="2410"/>
        <v>#DIV/0!</v>
      </c>
      <c r="L4885" s="1212" t="s">
        <v>3332</v>
      </c>
      <c r="M4885" s="468"/>
      <c r="N4885" s="1192">
        <f t="shared" si="2412"/>
        <v>44645</v>
      </c>
      <c r="O4885" s="71" t="s">
        <v>3323</v>
      </c>
      <c r="P4885" s="103" t="str">
        <f t="shared" si="2413"/>
        <v>한특 잉크(황)</v>
      </c>
      <c r="Q4885" s="71">
        <f t="shared" si="2408"/>
        <v>0</v>
      </c>
      <c r="R4885" s="102">
        <v>5500</v>
      </c>
      <c r="S4885" s="102">
        <f t="shared" si="2415"/>
        <v>0</v>
      </c>
      <c r="T4885" s="102">
        <f t="shared" si="2401"/>
        <v>0</v>
      </c>
      <c r="U4885" s="71" t="str">
        <f t="shared" si="2411"/>
        <v>O</v>
      </c>
      <c r="V4885" s="71"/>
      <c r="W4885" s="474">
        <f t="shared" si="2414"/>
        <v>0</v>
      </c>
      <c r="X4885" s="71"/>
      <c r="Y4885" s="71"/>
    </row>
    <row r="4886" spans="1:25" ht="30" hidden="1" customHeight="1" x14ac:dyDescent="0.25">
      <c r="A4886" s="1145">
        <v>44645</v>
      </c>
      <c r="B4886" s="664" t="s">
        <v>1061</v>
      </c>
      <c r="C4886" s="71" t="s">
        <v>3325</v>
      </c>
      <c r="D4886" s="71">
        <v>0</v>
      </c>
      <c r="E4886" s="102">
        <v>6500</v>
      </c>
      <c r="F4886" s="102">
        <f t="shared" si="2406"/>
        <v>0</v>
      </c>
      <c r="G4886" s="102">
        <f t="shared" si="2407"/>
        <v>0</v>
      </c>
      <c r="H4886" s="690" t="s">
        <v>36</v>
      </c>
      <c r="I4886" s="71" t="s">
        <v>3320</v>
      </c>
      <c r="J4886" s="53">
        <f t="shared" si="2398"/>
        <v>0</v>
      </c>
      <c r="K4886" s="63" t="e">
        <f t="shared" si="2410"/>
        <v>#DIV/0!</v>
      </c>
      <c r="L4886" s="1212" t="s">
        <v>3332</v>
      </c>
      <c r="M4886" s="468"/>
      <c r="N4886" s="1192">
        <f t="shared" si="2412"/>
        <v>44645</v>
      </c>
      <c r="O4886" s="71" t="s">
        <v>3323</v>
      </c>
      <c r="P4886" s="103" t="str">
        <f t="shared" si="2413"/>
        <v>한특 잉크(청)</v>
      </c>
      <c r="Q4886" s="71">
        <f t="shared" si="2408"/>
        <v>0</v>
      </c>
      <c r="R4886" s="102">
        <v>5800</v>
      </c>
      <c r="S4886" s="102">
        <f t="shared" si="2415"/>
        <v>0</v>
      </c>
      <c r="T4886" s="102">
        <f t="shared" si="2401"/>
        <v>0</v>
      </c>
      <c r="U4886" s="71" t="str">
        <f t="shared" si="2411"/>
        <v>O</v>
      </c>
      <c r="V4886" s="71"/>
      <c r="W4886" s="474">
        <f t="shared" si="2414"/>
        <v>0</v>
      </c>
      <c r="X4886" s="71"/>
      <c r="Y4886" s="71"/>
    </row>
    <row r="4887" spans="1:25" ht="30" hidden="1" customHeight="1" x14ac:dyDescent="0.25">
      <c r="A4887" s="1145">
        <v>44645</v>
      </c>
      <c r="B4887" s="664" t="s">
        <v>1061</v>
      </c>
      <c r="C4887" s="71" t="s">
        <v>3326</v>
      </c>
      <c r="D4887" s="71">
        <v>0</v>
      </c>
      <c r="E4887" s="102">
        <v>5600</v>
      </c>
      <c r="F4887" s="102">
        <f t="shared" si="2406"/>
        <v>0</v>
      </c>
      <c r="G4887" s="102">
        <f t="shared" si="2407"/>
        <v>0</v>
      </c>
      <c r="H4887" s="690" t="s">
        <v>36</v>
      </c>
      <c r="I4887" s="71" t="s">
        <v>3320</v>
      </c>
      <c r="J4887" s="53">
        <f t="shared" si="2398"/>
        <v>0</v>
      </c>
      <c r="K4887" s="63" t="e">
        <f t="shared" si="2410"/>
        <v>#DIV/0!</v>
      </c>
      <c r="L4887" s="1212" t="s">
        <v>3332</v>
      </c>
      <c r="M4887" s="468"/>
      <c r="N4887" s="1192">
        <f t="shared" si="2412"/>
        <v>44645</v>
      </c>
      <c r="O4887" s="71" t="s">
        <v>3323</v>
      </c>
      <c r="P4887" s="103" t="str">
        <f t="shared" si="2413"/>
        <v>한특 잉크(먹)</v>
      </c>
      <c r="Q4887" s="71">
        <f t="shared" si="2408"/>
        <v>0</v>
      </c>
      <c r="R4887" s="102">
        <v>5000</v>
      </c>
      <c r="S4887" s="102">
        <f t="shared" si="2415"/>
        <v>0</v>
      </c>
      <c r="T4887" s="102">
        <f t="shared" si="2401"/>
        <v>0</v>
      </c>
      <c r="U4887" s="71" t="str">
        <f t="shared" si="2411"/>
        <v>O</v>
      </c>
      <c r="V4887" s="71"/>
      <c r="W4887" s="474">
        <f t="shared" si="2414"/>
        <v>0</v>
      </c>
      <c r="X4887" s="71"/>
      <c r="Y4887" s="71"/>
    </row>
    <row r="4888" spans="1:25" ht="30" hidden="1" customHeight="1" x14ac:dyDescent="0.25">
      <c r="A4888" s="1145">
        <v>44645</v>
      </c>
      <c r="B4888" s="664" t="s">
        <v>1060</v>
      </c>
      <c r="C4888" s="71" t="s">
        <v>3327</v>
      </c>
      <c r="D4888" s="71">
        <v>1</v>
      </c>
      <c r="E4888" s="102">
        <v>2350000</v>
      </c>
      <c r="F4888" s="102">
        <f t="shared" si="2406"/>
        <v>2585000</v>
      </c>
      <c r="G4888" s="102">
        <f t="shared" si="2407"/>
        <v>2350000</v>
      </c>
      <c r="H4888" s="690" t="s">
        <v>36</v>
      </c>
      <c r="I4888" s="71" t="s">
        <v>142</v>
      </c>
      <c r="J4888" s="53">
        <f t="shared" si="2398"/>
        <v>600000</v>
      </c>
      <c r="K4888" s="63">
        <f t="shared" si="2410"/>
        <v>0.25531914893617019</v>
      </c>
      <c r="L4888" s="1212" t="s">
        <v>3332</v>
      </c>
      <c r="M4888" s="468"/>
      <c r="N4888" s="1192">
        <f t="shared" si="2412"/>
        <v>44645</v>
      </c>
      <c r="O4888" s="71" t="s">
        <v>113</v>
      </c>
      <c r="P4888" s="103" t="str">
        <f t="shared" si="2413"/>
        <v>Apogee 워크플로우 구독료</v>
      </c>
      <c r="Q4888" s="71">
        <f t="shared" si="2408"/>
        <v>1</v>
      </c>
      <c r="R4888" s="102">
        <v>1750000</v>
      </c>
      <c r="S4888" s="102">
        <f t="shared" si="2415"/>
        <v>1925000.0000000002</v>
      </c>
      <c r="T4888" s="102">
        <f t="shared" si="2401"/>
        <v>1750000</v>
      </c>
      <c r="U4888" s="71"/>
      <c r="V4888" s="71"/>
      <c r="W4888" s="474"/>
      <c r="X4888" s="71"/>
      <c r="Y4888" s="71"/>
    </row>
    <row r="4889" spans="1:25" ht="27.6" hidden="1" customHeight="1" x14ac:dyDescent="0.25">
      <c r="A4889" s="1145">
        <v>44649</v>
      </c>
      <c r="B4889" s="664" t="s">
        <v>567</v>
      </c>
      <c r="C4889" s="71" t="s">
        <v>1652</v>
      </c>
      <c r="D4889" s="71">
        <v>5</v>
      </c>
      <c r="E4889" s="102">
        <v>55000</v>
      </c>
      <c r="F4889" s="102">
        <f t="shared" ref="F4889:F4898" si="2416">(E4889*D4889)*1.1</f>
        <v>302500</v>
      </c>
      <c r="G4889" s="102">
        <f t="shared" ref="G4889:G4898" si="2417">(E4889*D4889)</f>
        <v>275000</v>
      </c>
      <c r="H4889" s="690" t="s">
        <v>173</v>
      </c>
      <c r="I4889" s="71" t="s">
        <v>2231</v>
      </c>
      <c r="J4889" s="53">
        <f t="shared" si="2398"/>
        <v>75000</v>
      </c>
      <c r="K4889" s="63">
        <f t="shared" si="2410"/>
        <v>0.27272727272727271</v>
      </c>
      <c r="L4889" s="1212" t="s">
        <v>3332</v>
      </c>
      <c r="M4889" s="468"/>
      <c r="N4889" s="1192">
        <f t="shared" ref="N4889:N4898" si="2418">A4889</f>
        <v>44649</v>
      </c>
      <c r="O4889" s="71" t="s">
        <v>153</v>
      </c>
      <c r="P4889" s="164" t="str">
        <f t="shared" ref="P4889:P4898" si="2419">(C4889)</f>
        <v>아스테이지(CD74용)</v>
      </c>
      <c r="Q4889" s="71">
        <f t="shared" si="2408"/>
        <v>5</v>
      </c>
      <c r="R4889" s="102">
        <v>40000</v>
      </c>
      <c r="S4889" s="102">
        <f t="shared" si="2415"/>
        <v>220000.00000000003</v>
      </c>
      <c r="T4889" s="102">
        <f t="shared" si="2401"/>
        <v>200000</v>
      </c>
      <c r="U4889" s="71" t="str">
        <f>IF(J4889=W4889,"O", "X")</f>
        <v>X</v>
      </c>
      <c r="V4889" s="71"/>
      <c r="W4889" s="474"/>
      <c r="X4889" s="71"/>
      <c r="Y4889" s="71"/>
    </row>
    <row r="4890" spans="1:25" ht="30" hidden="1" customHeight="1" x14ac:dyDescent="0.25">
      <c r="A4890" s="1145">
        <v>44650</v>
      </c>
      <c r="B4890" s="664" t="s">
        <v>1014</v>
      </c>
      <c r="C4890" s="71" t="s">
        <v>3333</v>
      </c>
      <c r="D4890" s="71">
        <v>20</v>
      </c>
      <c r="E4890" s="102">
        <v>50000</v>
      </c>
      <c r="F4890" s="102">
        <f t="shared" si="2416"/>
        <v>1100000</v>
      </c>
      <c r="G4890" s="102">
        <f t="shared" si="2417"/>
        <v>1000000</v>
      </c>
      <c r="H4890" s="690" t="s">
        <v>39</v>
      </c>
      <c r="I4890" s="71" t="s">
        <v>1432</v>
      </c>
      <c r="J4890" s="53">
        <f t="shared" si="2398"/>
        <v>520000</v>
      </c>
      <c r="K4890" s="63">
        <f t="shared" si="2410"/>
        <v>0.52</v>
      </c>
      <c r="L4890" s="1212" t="s">
        <v>3332</v>
      </c>
      <c r="M4890" s="468" t="s">
        <v>3329</v>
      </c>
      <c r="N4890" s="1192">
        <f t="shared" si="2418"/>
        <v>44650</v>
      </c>
      <c r="O4890" s="71" t="s">
        <v>39</v>
      </c>
      <c r="P4890" s="103" t="str">
        <f t="shared" si="2419"/>
        <v>주머니필터백</v>
      </c>
      <c r="Q4890" s="71">
        <f t="shared" si="2408"/>
        <v>20</v>
      </c>
      <c r="R4890" s="102">
        <v>24000</v>
      </c>
      <c r="S4890" s="102">
        <f t="shared" si="2415"/>
        <v>528000</v>
      </c>
      <c r="T4890" s="102">
        <f t="shared" si="2401"/>
        <v>480000</v>
      </c>
      <c r="U4890" s="71"/>
      <c r="V4890" s="71"/>
      <c r="W4890" s="474"/>
      <c r="X4890" s="71"/>
      <c r="Y4890" s="71"/>
    </row>
    <row r="4891" spans="1:25" ht="30" hidden="1" customHeight="1" x14ac:dyDescent="0.25">
      <c r="A4891" s="1145">
        <v>44650</v>
      </c>
      <c r="B4891" s="664" t="s">
        <v>3289</v>
      </c>
      <c r="C4891" s="71" t="s">
        <v>3343</v>
      </c>
      <c r="D4891" s="71">
        <v>1</v>
      </c>
      <c r="E4891" s="102">
        <v>650000</v>
      </c>
      <c r="F4891" s="102">
        <f t="shared" si="2416"/>
        <v>715000</v>
      </c>
      <c r="G4891" s="102">
        <f t="shared" si="2417"/>
        <v>650000</v>
      </c>
      <c r="H4891" s="690" t="s">
        <v>113</v>
      </c>
      <c r="I4891" s="71" t="s">
        <v>113</v>
      </c>
      <c r="J4891" s="53">
        <f t="shared" si="2398"/>
        <v>150000</v>
      </c>
      <c r="K4891" s="63">
        <f t="shared" si="2410"/>
        <v>0.23076923076923078</v>
      </c>
      <c r="L4891" s="1212" t="s">
        <v>3332</v>
      </c>
      <c r="M4891" s="468"/>
      <c r="N4891" s="1192">
        <f t="shared" si="2418"/>
        <v>44650</v>
      </c>
      <c r="O4891" s="71" t="s">
        <v>113</v>
      </c>
      <c r="P4891" s="103" t="str">
        <f t="shared" si="2419"/>
        <v>M600커프링조인트</v>
      </c>
      <c r="Q4891" s="71">
        <f t="shared" si="2408"/>
        <v>1</v>
      </c>
      <c r="R4891" s="102">
        <v>500000</v>
      </c>
      <c r="S4891" s="102">
        <f t="shared" si="2415"/>
        <v>550000</v>
      </c>
      <c r="T4891" s="102">
        <f t="shared" si="2401"/>
        <v>500000</v>
      </c>
      <c r="U4891" s="71"/>
      <c r="V4891" s="71"/>
      <c r="W4891" s="474"/>
      <c r="X4891" s="71"/>
      <c r="Y4891" s="71"/>
    </row>
    <row r="4892" spans="1:25" ht="30" hidden="1" customHeight="1" x14ac:dyDescent="0.25">
      <c r="A4892" s="1145">
        <v>44650</v>
      </c>
      <c r="B4892" s="664" t="s">
        <v>546</v>
      </c>
      <c r="C4892" s="71" t="s">
        <v>1639</v>
      </c>
      <c r="D4892" s="71">
        <v>1</v>
      </c>
      <c r="E4892" s="102">
        <v>3796000</v>
      </c>
      <c r="F4892" s="102">
        <f t="shared" si="2416"/>
        <v>4175600.0000000005</v>
      </c>
      <c r="G4892" s="102">
        <f t="shared" si="2417"/>
        <v>3796000</v>
      </c>
      <c r="H4892" s="690" t="s">
        <v>1431</v>
      </c>
      <c r="I4892" s="71" t="s">
        <v>1431</v>
      </c>
      <c r="J4892" s="53">
        <f t="shared" si="2398"/>
        <v>1296000</v>
      </c>
      <c r="K4892" s="63">
        <f t="shared" si="2410"/>
        <v>0.3414120126448893</v>
      </c>
      <c r="L4892" s="1212" t="s">
        <v>3332</v>
      </c>
      <c r="M4892" s="468"/>
      <c r="N4892" s="1192">
        <f t="shared" si="2418"/>
        <v>44650</v>
      </c>
      <c r="O4892" s="71" t="s">
        <v>1431</v>
      </c>
      <c r="P4892" s="164" t="str">
        <f t="shared" si="2419"/>
        <v>M600 롤러 세트</v>
      </c>
      <c r="Q4892" s="71">
        <f t="shared" si="2408"/>
        <v>1</v>
      </c>
      <c r="R4892" s="102">
        <v>2500000</v>
      </c>
      <c r="S4892" s="102">
        <f t="shared" si="2415"/>
        <v>2750000</v>
      </c>
      <c r="T4892" s="102">
        <f t="shared" si="2401"/>
        <v>2500000</v>
      </c>
      <c r="U4892" s="71"/>
      <c r="V4892" s="71"/>
      <c r="W4892" s="474"/>
      <c r="X4892" s="71"/>
      <c r="Y4892" s="71"/>
    </row>
    <row r="4893" spans="1:25" s="209" customFormat="1" ht="30" hidden="1" customHeight="1" x14ac:dyDescent="0.2">
      <c r="A4893" s="1145">
        <v>44651</v>
      </c>
      <c r="B4893" s="664" t="s">
        <v>764</v>
      </c>
      <c r="C4893" s="71" t="s">
        <v>236</v>
      </c>
      <c r="D4893" s="71">
        <v>20</v>
      </c>
      <c r="E4893" s="102">
        <v>100000</v>
      </c>
      <c r="F4893" s="163">
        <f t="shared" si="2416"/>
        <v>2200000</v>
      </c>
      <c r="G4893" s="102">
        <f t="shared" si="2417"/>
        <v>2000000</v>
      </c>
      <c r="H4893" s="690" t="s">
        <v>173</v>
      </c>
      <c r="I4893" s="71" t="s">
        <v>2231</v>
      </c>
      <c r="J4893" s="53">
        <f t="shared" si="2398"/>
        <v>1000000</v>
      </c>
      <c r="K4893" s="63">
        <f t="shared" si="2410"/>
        <v>0.5</v>
      </c>
      <c r="L4893" s="1212" t="s">
        <v>3332</v>
      </c>
      <c r="M4893" s="468"/>
      <c r="N4893" s="1192">
        <f t="shared" si="2418"/>
        <v>44651</v>
      </c>
      <c r="O4893" s="71" t="s">
        <v>153</v>
      </c>
      <c r="P4893" s="164" t="str">
        <f t="shared" si="2419"/>
        <v>아스테이지(국전)</v>
      </c>
      <c r="Q4893" s="71">
        <f t="shared" si="2408"/>
        <v>20</v>
      </c>
      <c r="R4893" s="102">
        <v>50000</v>
      </c>
      <c r="S4893" s="102">
        <f t="shared" si="2415"/>
        <v>1100000</v>
      </c>
      <c r="T4893" s="102">
        <f t="shared" si="2401"/>
        <v>1000000</v>
      </c>
      <c r="U4893" s="71" t="str">
        <f>IF(J4893=W4893,"O", "X")</f>
        <v>X</v>
      </c>
      <c r="V4893" s="71"/>
      <c r="W4893" s="474">
        <v>500000</v>
      </c>
      <c r="X4893" s="71"/>
      <c r="Y4893" s="71"/>
    </row>
    <row r="4894" spans="1:25" ht="30" hidden="1" customHeight="1" x14ac:dyDescent="0.25">
      <c r="A4894" s="1145">
        <v>44651</v>
      </c>
      <c r="B4894" s="664" t="s">
        <v>3336</v>
      </c>
      <c r="C4894" s="71" t="s">
        <v>2070</v>
      </c>
      <c r="D4894" s="71">
        <v>5</v>
      </c>
      <c r="E4894" s="102">
        <v>116000</v>
      </c>
      <c r="F4894" s="102">
        <f t="shared" si="2416"/>
        <v>638000</v>
      </c>
      <c r="G4894" s="102">
        <f t="shared" si="2417"/>
        <v>580000</v>
      </c>
      <c r="H4894" s="690" t="s">
        <v>172</v>
      </c>
      <c r="I4894" s="71" t="s">
        <v>33</v>
      </c>
      <c r="J4894" s="53">
        <f t="shared" si="2398"/>
        <v>146000</v>
      </c>
      <c r="K4894" s="63">
        <v>0.10555555555555554</v>
      </c>
      <c r="L4894" s="1212" t="s">
        <v>3332</v>
      </c>
      <c r="M4894" s="468"/>
      <c r="N4894" s="1192">
        <f t="shared" si="2418"/>
        <v>44651</v>
      </c>
      <c r="O4894" s="71" t="s">
        <v>146</v>
      </c>
      <c r="P4894" s="103" t="str">
        <f t="shared" si="2419"/>
        <v>Blanket(1050*840)</v>
      </c>
      <c r="Q4894" s="71">
        <f t="shared" si="2408"/>
        <v>5</v>
      </c>
      <c r="R4894" s="102">
        <v>86800</v>
      </c>
      <c r="S4894" s="102">
        <f t="shared" si="2415"/>
        <v>477400.00000000006</v>
      </c>
      <c r="T4894" s="102">
        <f t="shared" si="2401"/>
        <v>434000</v>
      </c>
      <c r="U4894" s="71" t="s">
        <v>859</v>
      </c>
      <c r="V4894" s="71"/>
      <c r="W4894" s="474"/>
      <c r="X4894" s="71"/>
      <c r="Y4894" s="71"/>
    </row>
    <row r="4895" spans="1:25" ht="30" hidden="1" customHeight="1" x14ac:dyDescent="0.25">
      <c r="A4895" s="1145">
        <v>44651</v>
      </c>
      <c r="B4895" s="664" t="s">
        <v>1178</v>
      </c>
      <c r="C4895" s="71" t="s">
        <v>3318</v>
      </c>
      <c r="D4895" s="71">
        <v>30</v>
      </c>
      <c r="E4895" s="102">
        <v>58000</v>
      </c>
      <c r="F4895" s="102">
        <f t="shared" si="2416"/>
        <v>1914000.0000000002</v>
      </c>
      <c r="G4895" s="102">
        <f t="shared" si="2417"/>
        <v>1740000</v>
      </c>
      <c r="H4895" s="690" t="s">
        <v>36</v>
      </c>
      <c r="I4895" s="71" t="s">
        <v>2529</v>
      </c>
      <c r="J4895" s="53">
        <f t="shared" si="2398"/>
        <v>532500</v>
      </c>
      <c r="K4895" s="63">
        <f>(J4895/(F4895/11*10))</f>
        <v>0.30603448275862066</v>
      </c>
      <c r="L4895" s="1212" t="s">
        <v>3332</v>
      </c>
      <c r="M4895" s="468"/>
      <c r="N4895" s="1192">
        <f t="shared" si="2418"/>
        <v>44651</v>
      </c>
      <c r="O4895" s="71" t="s">
        <v>3298</v>
      </c>
      <c r="P4895" s="103" t="str">
        <f t="shared" si="2419"/>
        <v>THD200(20L)현상액</v>
      </c>
      <c r="Q4895" s="71">
        <f>D4895</f>
        <v>30</v>
      </c>
      <c r="R4895" s="102">
        <v>40250</v>
      </c>
      <c r="S4895" s="102">
        <f t="shared" si="2415"/>
        <v>1328250</v>
      </c>
      <c r="T4895" s="102">
        <f t="shared" si="2401"/>
        <v>1207500</v>
      </c>
      <c r="U4895" s="71" t="str">
        <f>IF(J4895=W4895,"O", "X")</f>
        <v>O</v>
      </c>
      <c r="V4895" s="71"/>
      <c r="W4895" s="474">
        <f>(G4895-T4895)</f>
        <v>532500</v>
      </c>
      <c r="X4895" s="71"/>
      <c r="Y4895" s="71"/>
    </row>
    <row r="4896" spans="1:25" ht="30" hidden="1" customHeight="1" x14ac:dyDescent="0.25">
      <c r="A4896" s="1145">
        <v>44651</v>
      </c>
      <c r="B4896" s="664" t="s">
        <v>1178</v>
      </c>
      <c r="C4896" s="71" t="s">
        <v>3337</v>
      </c>
      <c r="D4896" s="71">
        <v>200</v>
      </c>
      <c r="E4896" s="102">
        <v>20000</v>
      </c>
      <c r="F4896" s="102">
        <f t="shared" si="2416"/>
        <v>4400000</v>
      </c>
      <c r="G4896" s="102">
        <f t="shared" si="2417"/>
        <v>4000000</v>
      </c>
      <c r="H4896" s="690" t="s">
        <v>36</v>
      </c>
      <c r="I4896" s="71" t="s">
        <v>2529</v>
      </c>
      <c r="J4896" s="53">
        <f t="shared" si="2398"/>
        <v>-50000</v>
      </c>
      <c r="K4896" s="63">
        <f>(J4896/(F4896/11*10))</f>
        <v>-1.2500000000000001E-2</v>
      </c>
      <c r="L4896" s="1212" t="s">
        <v>3332</v>
      </c>
      <c r="M4896" s="468"/>
      <c r="N4896" s="1192">
        <f t="shared" si="2418"/>
        <v>44651</v>
      </c>
      <c r="O4896" s="71" t="s">
        <v>3298</v>
      </c>
      <c r="P4896" s="103" t="str">
        <f t="shared" si="2419"/>
        <v>습식엔드실</v>
      </c>
      <c r="Q4896" s="71">
        <f>D4896</f>
        <v>200</v>
      </c>
      <c r="R4896" s="102">
        <v>20250</v>
      </c>
      <c r="S4896" s="102">
        <f t="shared" si="2415"/>
        <v>4455000</v>
      </c>
      <c r="T4896" s="102">
        <f t="shared" si="2401"/>
        <v>4050000</v>
      </c>
      <c r="U4896" s="71" t="str">
        <f>IF(J4896=W4896,"O", "X")</f>
        <v>O</v>
      </c>
      <c r="V4896" s="71"/>
      <c r="W4896" s="474">
        <f>(G4896-T4896)</f>
        <v>-50000</v>
      </c>
      <c r="X4896" s="71"/>
      <c r="Y4896" s="71"/>
    </row>
    <row r="4897" spans="1:25" ht="30" hidden="1" customHeight="1" x14ac:dyDescent="0.25">
      <c r="A4897" s="1145">
        <v>44651</v>
      </c>
      <c r="B4897" s="664" t="s">
        <v>3338</v>
      </c>
      <c r="C4897" s="71" t="s">
        <v>3339</v>
      </c>
      <c r="D4897" s="71">
        <v>1</v>
      </c>
      <c r="E4897" s="102">
        <v>1500000</v>
      </c>
      <c r="F4897" s="102">
        <f t="shared" si="2416"/>
        <v>1650000.0000000002</v>
      </c>
      <c r="G4897" s="102">
        <f t="shared" si="2417"/>
        <v>1500000</v>
      </c>
      <c r="H4897" s="690" t="s">
        <v>113</v>
      </c>
      <c r="I4897" s="71" t="s">
        <v>113</v>
      </c>
      <c r="J4897" s="53">
        <f t="shared" si="2398"/>
        <v>500000</v>
      </c>
      <c r="K4897" s="63">
        <f>(J4897/(F4897/11*10))</f>
        <v>0.33333333333333326</v>
      </c>
      <c r="L4897" s="1212" t="s">
        <v>3332</v>
      </c>
      <c r="M4897" s="468"/>
      <c r="N4897" s="1192">
        <f t="shared" si="2418"/>
        <v>44651</v>
      </c>
      <c r="O4897" s="71" t="s">
        <v>113</v>
      </c>
      <c r="P4897" s="103" t="str">
        <f t="shared" si="2419"/>
        <v>Encorder</v>
      </c>
      <c r="Q4897" s="71">
        <f>D4897</f>
        <v>1</v>
      </c>
      <c r="R4897" s="102">
        <v>1000000</v>
      </c>
      <c r="S4897" s="102">
        <f t="shared" si="2415"/>
        <v>1100000</v>
      </c>
      <c r="T4897" s="102">
        <f t="shared" si="2401"/>
        <v>1000000</v>
      </c>
      <c r="U4897" s="71"/>
      <c r="V4897" s="71"/>
      <c r="W4897" s="474"/>
      <c r="X4897" s="71"/>
      <c r="Y4897" s="71"/>
    </row>
    <row r="4898" spans="1:25" ht="30" hidden="1" customHeight="1" x14ac:dyDescent="0.2">
      <c r="A4898" s="1145">
        <v>44651</v>
      </c>
      <c r="B4898" s="664" t="s">
        <v>3340</v>
      </c>
      <c r="C4898" s="760" t="s">
        <v>2343</v>
      </c>
      <c r="D4898" s="71">
        <v>1</v>
      </c>
      <c r="E4898" s="102">
        <v>5000000</v>
      </c>
      <c r="F4898" s="163">
        <f t="shared" si="2416"/>
        <v>5500000</v>
      </c>
      <c r="G4898" s="102">
        <f t="shared" si="2417"/>
        <v>5000000</v>
      </c>
      <c r="H4898" s="690" t="s">
        <v>94</v>
      </c>
      <c r="I4898" s="71" t="s">
        <v>1432</v>
      </c>
      <c r="J4898" s="53">
        <f t="shared" si="2398"/>
        <v>1698872</v>
      </c>
      <c r="K4898" s="63">
        <f>(J4898/(F4898/11*10))</f>
        <v>0.33977439999999998</v>
      </c>
      <c r="L4898" s="1212" t="s">
        <v>3332</v>
      </c>
      <c r="M4898" s="468"/>
      <c r="N4898" s="664">
        <f t="shared" si="2418"/>
        <v>44651</v>
      </c>
      <c r="O4898" s="999" t="s">
        <v>39</v>
      </c>
      <c r="P4898" s="195" t="str">
        <f t="shared" si="2419"/>
        <v>알콜공급장치</v>
      </c>
      <c r="Q4898" s="71">
        <f>D4898</f>
        <v>1</v>
      </c>
      <c r="R4898" s="102">
        <v>3301128</v>
      </c>
      <c r="S4898" s="147">
        <f>(R4898*D4898)*1.1</f>
        <v>3631240.8000000003</v>
      </c>
      <c r="T4898" s="147">
        <f>(R4898*Q4898)</f>
        <v>3301128</v>
      </c>
      <c r="U4898" s="209" t="str">
        <f>IF(J4898=W4898,"O", "X")</f>
        <v>X</v>
      </c>
      <c r="V4898" s="71"/>
      <c r="W4898" s="474"/>
      <c r="X4898" s="71"/>
      <c r="Y4898" s="71"/>
    </row>
    <row r="4899" spans="1:25" ht="30" hidden="1" customHeight="1" x14ac:dyDescent="0.25">
      <c r="A4899" s="1210" t="s">
        <v>3352</v>
      </c>
      <c r="B4899" s="1211" t="s">
        <v>3331</v>
      </c>
      <c r="C4899" s="960"/>
      <c r="D4899" s="960"/>
      <c r="E4899" s="952"/>
      <c r="F4899" s="952"/>
      <c r="G4899" s="952"/>
      <c r="H4899" s="1206"/>
      <c r="I4899" s="960"/>
      <c r="J4899" s="952"/>
      <c r="K4899" s="953"/>
      <c r="L4899" s="1212" t="s">
        <v>3353</v>
      </c>
      <c r="M4899" s="1207"/>
      <c r="N4899" s="1208" t="str">
        <f t="shared" ref="N4899:N4916" si="2420">A4899</f>
        <v>2022,4</v>
      </c>
      <c r="O4899" s="960"/>
      <c r="P4899" s="1209"/>
      <c r="Q4899" s="960"/>
      <c r="R4899" s="952"/>
      <c r="S4899" s="952"/>
      <c r="T4899" s="952"/>
      <c r="U4899" s="960"/>
      <c r="V4899" s="960"/>
      <c r="W4899" s="474">
        <f>(G4899-T4899)</f>
        <v>0</v>
      </c>
      <c r="X4899" s="71"/>
      <c r="Y4899" s="71"/>
    </row>
    <row r="4900" spans="1:25" ht="30" customHeight="1" x14ac:dyDescent="0.25">
      <c r="A4900" s="1145">
        <v>44679</v>
      </c>
      <c r="B4900" s="664" t="s">
        <v>641</v>
      </c>
      <c r="C4900" s="71" t="s">
        <v>3293</v>
      </c>
      <c r="D4900" s="71">
        <v>60</v>
      </c>
      <c r="E4900" s="102">
        <v>69000</v>
      </c>
      <c r="F4900" s="102">
        <f t="shared" ref="F4900:F4916" si="2421">(E4900*D4900)*1.1</f>
        <v>4554000</v>
      </c>
      <c r="G4900" s="102">
        <f t="shared" ref="G4900:G4916" si="2422">(E4900*D4900)</f>
        <v>4140000</v>
      </c>
      <c r="H4900" s="690" t="s">
        <v>172</v>
      </c>
      <c r="I4900" s="71" t="s">
        <v>2231</v>
      </c>
      <c r="J4900" s="53">
        <f t="shared" ref="J4900:J4916" si="2423">G4900-T4900</f>
        <v>1080000</v>
      </c>
      <c r="K4900" s="63">
        <f t="shared" ref="K4900:K4916" si="2424">(J4900/(F4900/11*10))</f>
        <v>0.2608695652173913</v>
      </c>
      <c r="L4900" s="1212" t="s">
        <v>3353</v>
      </c>
      <c r="M4900" s="468"/>
      <c r="N4900" s="1192">
        <f t="shared" si="2420"/>
        <v>44679</v>
      </c>
      <c r="O4900" s="71" t="s">
        <v>3291</v>
      </c>
      <c r="P4900" s="103" t="str">
        <f t="shared" ref="P4900:P4918" si="2425">(C4900)</f>
        <v>GOSS 신문윤전 습식세정포</v>
      </c>
      <c r="Q4900" s="71">
        <f t="shared" ref="Q4900:Q4930" si="2426">D4900</f>
        <v>60</v>
      </c>
      <c r="R4900" s="102">
        <v>51000</v>
      </c>
      <c r="S4900" s="102">
        <f t="shared" ref="S4900:S4931" si="2427">R4900*Q4900*1.1</f>
        <v>3366000.0000000005</v>
      </c>
      <c r="T4900" s="102">
        <f t="shared" ref="T4900:T4919" si="2428">R4900*Q4900</f>
        <v>3060000</v>
      </c>
      <c r="U4900" s="71" t="str">
        <f>IF(J4900=W4900,"O", "X")</f>
        <v>X</v>
      </c>
      <c r="V4900" s="71"/>
      <c r="W4900" s="474"/>
      <c r="X4900" s="71"/>
      <c r="Y4900" s="71"/>
    </row>
    <row r="4901" spans="1:25" ht="30" hidden="1" customHeight="1" x14ac:dyDescent="0.25">
      <c r="A4901" s="1145">
        <v>44655</v>
      </c>
      <c r="B4901" s="664" t="s">
        <v>3296</v>
      </c>
      <c r="C4901" s="71" t="s">
        <v>3297</v>
      </c>
      <c r="D4901" s="71">
        <v>20</v>
      </c>
      <c r="E4901" s="102">
        <v>155000</v>
      </c>
      <c r="F4901" s="102">
        <f t="shared" si="2421"/>
        <v>3410000.0000000005</v>
      </c>
      <c r="G4901" s="102">
        <f t="shared" si="2422"/>
        <v>3100000</v>
      </c>
      <c r="H4901" s="690" t="s">
        <v>172</v>
      </c>
      <c r="I4901" s="71" t="s">
        <v>3295</v>
      </c>
      <c r="J4901" s="53">
        <f t="shared" si="2423"/>
        <v>1130000</v>
      </c>
      <c r="K4901" s="63">
        <f t="shared" si="2424"/>
        <v>0.364516129032258</v>
      </c>
      <c r="L4901" s="1212" t="s">
        <v>3353</v>
      </c>
      <c r="M4901" s="468"/>
      <c r="N4901" s="1192">
        <f t="shared" si="2420"/>
        <v>44655</v>
      </c>
      <c r="O4901" s="71" t="s">
        <v>662</v>
      </c>
      <c r="P4901" s="103" t="str">
        <f t="shared" si="2425"/>
        <v>실리콘 에멀전</v>
      </c>
      <c r="Q4901" s="71">
        <f t="shared" si="2426"/>
        <v>20</v>
      </c>
      <c r="R4901" s="102">
        <v>98500</v>
      </c>
      <c r="S4901" s="102">
        <f t="shared" si="2427"/>
        <v>2167000</v>
      </c>
      <c r="T4901" s="102">
        <f t="shared" si="2428"/>
        <v>1970000</v>
      </c>
      <c r="U4901" s="71" t="str">
        <f>IF(J4901=W4901,"O", "X")</f>
        <v>X</v>
      </c>
      <c r="V4901" s="71"/>
      <c r="W4901" s="474"/>
      <c r="X4901" s="71"/>
      <c r="Y4901" s="71"/>
    </row>
    <row r="4902" spans="1:25" ht="30" hidden="1" customHeight="1" x14ac:dyDescent="0.25">
      <c r="A4902" s="1145">
        <v>44676</v>
      </c>
      <c r="B4902" s="664" t="s">
        <v>3296</v>
      </c>
      <c r="C4902" s="71" t="s">
        <v>3297</v>
      </c>
      <c r="D4902" s="71">
        <v>20</v>
      </c>
      <c r="E4902" s="102">
        <v>155000</v>
      </c>
      <c r="F4902" s="102">
        <f t="shared" si="2421"/>
        <v>3410000.0000000005</v>
      </c>
      <c r="G4902" s="102">
        <f t="shared" si="2422"/>
        <v>3100000</v>
      </c>
      <c r="H4902" s="690" t="s">
        <v>172</v>
      </c>
      <c r="I4902" s="71" t="s">
        <v>3295</v>
      </c>
      <c r="J4902" s="53">
        <f t="shared" si="2423"/>
        <v>1130000</v>
      </c>
      <c r="K4902" s="63">
        <f t="shared" si="2424"/>
        <v>0.364516129032258</v>
      </c>
      <c r="L4902" s="1212" t="s">
        <v>3353</v>
      </c>
      <c r="M4902" s="468"/>
      <c r="N4902" s="1192">
        <f t="shared" si="2420"/>
        <v>44676</v>
      </c>
      <c r="O4902" s="71" t="s">
        <v>662</v>
      </c>
      <c r="P4902" s="103" t="str">
        <f t="shared" si="2425"/>
        <v>실리콘 에멀전</v>
      </c>
      <c r="Q4902" s="71">
        <f t="shared" si="2426"/>
        <v>20</v>
      </c>
      <c r="R4902" s="102">
        <v>98500</v>
      </c>
      <c r="S4902" s="102">
        <f t="shared" si="2427"/>
        <v>2167000</v>
      </c>
      <c r="T4902" s="102">
        <f t="shared" si="2428"/>
        <v>1970000</v>
      </c>
      <c r="U4902" s="71" t="str">
        <f>IF(J4902=W4902,"O", "X")</f>
        <v>X</v>
      </c>
      <c r="V4902" s="71"/>
      <c r="W4902" s="474"/>
      <c r="X4902" s="71"/>
      <c r="Y4902" s="71"/>
    </row>
    <row r="4903" spans="1:25" ht="30" hidden="1" customHeight="1" x14ac:dyDescent="0.25">
      <c r="A4903" s="1145">
        <v>44680</v>
      </c>
      <c r="B4903" s="664" t="s">
        <v>546</v>
      </c>
      <c r="C4903" s="71" t="s">
        <v>2435</v>
      </c>
      <c r="D4903" s="71">
        <v>30</v>
      </c>
      <c r="E4903" s="102">
        <v>20000</v>
      </c>
      <c r="F4903" s="102">
        <f t="shared" si="2421"/>
        <v>660000</v>
      </c>
      <c r="G4903" s="102">
        <f t="shared" si="2422"/>
        <v>600000</v>
      </c>
      <c r="H4903" s="690" t="s">
        <v>1431</v>
      </c>
      <c r="I4903" s="71" t="s">
        <v>1431</v>
      </c>
      <c r="J4903" s="53">
        <f t="shared" si="2423"/>
        <v>240210</v>
      </c>
      <c r="K4903" s="63">
        <f t="shared" si="2424"/>
        <v>0.40034999999999998</v>
      </c>
      <c r="L4903" s="1212" t="s">
        <v>3353</v>
      </c>
      <c r="M4903" s="468"/>
      <c r="N4903" s="1192">
        <f t="shared" si="2420"/>
        <v>44680</v>
      </c>
      <c r="O4903" s="71" t="s">
        <v>1431</v>
      </c>
      <c r="P4903" s="103" t="str">
        <f t="shared" si="2425"/>
        <v>잉크 파운틴 호일</v>
      </c>
      <c r="Q4903" s="71">
        <f t="shared" si="2426"/>
        <v>30</v>
      </c>
      <c r="R4903" s="102">
        <v>11993</v>
      </c>
      <c r="S4903" s="102">
        <f t="shared" si="2427"/>
        <v>395769.00000000006</v>
      </c>
      <c r="T4903" s="102">
        <f t="shared" si="2428"/>
        <v>359790</v>
      </c>
      <c r="U4903" s="71"/>
      <c r="V4903" s="71"/>
      <c r="W4903" s="474"/>
      <c r="X4903" s="71"/>
      <c r="Y4903" s="71"/>
    </row>
    <row r="4904" spans="1:25" ht="30" hidden="1" customHeight="1" x14ac:dyDescent="0.25">
      <c r="A4904" s="1145">
        <v>44676</v>
      </c>
      <c r="B4904" s="664" t="s">
        <v>3571</v>
      </c>
      <c r="C4904" s="71" t="s">
        <v>3563</v>
      </c>
      <c r="D4904" s="71">
        <v>1</v>
      </c>
      <c r="E4904" s="102">
        <v>22800000</v>
      </c>
      <c r="F4904" s="102">
        <f t="shared" si="2421"/>
        <v>25080000.000000004</v>
      </c>
      <c r="G4904" s="102">
        <f t="shared" si="2422"/>
        <v>22800000</v>
      </c>
      <c r="H4904" s="690" t="s">
        <v>1431</v>
      </c>
      <c r="I4904" s="71" t="s">
        <v>113</v>
      </c>
      <c r="J4904" s="53"/>
      <c r="K4904" s="63"/>
      <c r="L4904" s="1212" t="s">
        <v>3353</v>
      </c>
      <c r="M4904" s="468"/>
      <c r="N4904" s="1192">
        <f t="shared" si="2420"/>
        <v>44676</v>
      </c>
      <c r="O4904" s="71" t="s">
        <v>113</v>
      </c>
      <c r="P4904" s="103" t="str">
        <f t="shared" si="2425"/>
        <v>Rotoman 드라이어 스플라이서 작업 계약금</v>
      </c>
      <c r="Q4904" s="71">
        <f t="shared" si="2426"/>
        <v>1</v>
      </c>
      <c r="R4904" s="102"/>
      <c r="S4904" s="102">
        <f t="shared" si="2427"/>
        <v>0</v>
      </c>
      <c r="T4904" s="102">
        <f t="shared" si="2428"/>
        <v>0</v>
      </c>
      <c r="U4904" s="71"/>
      <c r="V4904" s="71"/>
      <c r="W4904" s="474"/>
      <c r="X4904" s="71"/>
      <c r="Y4904" s="71"/>
    </row>
    <row r="4905" spans="1:25" ht="30" hidden="1" customHeight="1" x14ac:dyDescent="0.25">
      <c r="A4905" s="1145">
        <v>44676</v>
      </c>
      <c r="B4905" s="664" t="s">
        <v>3571</v>
      </c>
      <c r="C4905" s="71" t="s">
        <v>3564</v>
      </c>
      <c r="D4905" s="71">
        <v>1</v>
      </c>
      <c r="E4905" s="102">
        <v>12600000</v>
      </c>
      <c r="F4905" s="102">
        <f t="shared" si="2421"/>
        <v>13860000.000000002</v>
      </c>
      <c r="G4905" s="102">
        <f t="shared" si="2422"/>
        <v>12600000</v>
      </c>
      <c r="H4905" s="690" t="s">
        <v>113</v>
      </c>
      <c r="I4905" s="71" t="s">
        <v>113</v>
      </c>
      <c r="J4905" s="53"/>
      <c r="K4905" s="63"/>
      <c r="L4905" s="1212" t="s">
        <v>3353</v>
      </c>
      <c r="M4905" s="468"/>
      <c r="N4905" s="1192">
        <f t="shared" si="2420"/>
        <v>44676</v>
      </c>
      <c r="O4905" s="71" t="s">
        <v>113</v>
      </c>
      <c r="P4905" s="103" t="str">
        <f t="shared" si="2425"/>
        <v>Rotoman 유니트 베아링 교체 작업 계약금</v>
      </c>
      <c r="Q4905" s="71">
        <f t="shared" si="2426"/>
        <v>1</v>
      </c>
      <c r="R4905" s="102"/>
      <c r="S4905" s="102">
        <f t="shared" si="2427"/>
        <v>0</v>
      </c>
      <c r="T4905" s="102">
        <f t="shared" si="2428"/>
        <v>0</v>
      </c>
      <c r="U4905" s="71"/>
      <c r="V4905" s="71"/>
      <c r="W4905" s="474"/>
      <c r="X4905" s="71"/>
      <c r="Y4905" s="71"/>
    </row>
    <row r="4906" spans="1:25" ht="30" hidden="1" customHeight="1" x14ac:dyDescent="0.25">
      <c r="A4906" s="1145">
        <v>44662</v>
      </c>
      <c r="B4906" s="664" t="s">
        <v>3289</v>
      </c>
      <c r="C4906" s="71" t="s">
        <v>277</v>
      </c>
      <c r="D4906" s="71">
        <v>10</v>
      </c>
      <c r="E4906" s="102">
        <v>172000</v>
      </c>
      <c r="F4906" s="102">
        <f t="shared" si="2421"/>
        <v>1892000.0000000002</v>
      </c>
      <c r="G4906" s="102">
        <f t="shared" si="2422"/>
        <v>1720000</v>
      </c>
      <c r="H4906" s="690" t="s">
        <v>172</v>
      </c>
      <c r="I4906" s="71" t="s">
        <v>108</v>
      </c>
      <c r="J4906" s="53">
        <f t="shared" si="2423"/>
        <v>421000</v>
      </c>
      <c r="K4906" s="63">
        <f t="shared" si="2424"/>
        <v>0.24476744186046509</v>
      </c>
      <c r="L4906" s="1212" t="s">
        <v>3353</v>
      </c>
      <c r="M4906" s="468"/>
      <c r="N4906" s="1192">
        <f t="shared" si="2420"/>
        <v>44662</v>
      </c>
      <c r="O4906" s="71" t="s">
        <v>662</v>
      </c>
      <c r="P4906" s="103" t="str">
        <f t="shared" si="2425"/>
        <v>윤전용 세척제(Web 504)</v>
      </c>
      <c r="Q4906" s="71">
        <f t="shared" si="2426"/>
        <v>10</v>
      </c>
      <c r="R4906" s="102">
        <v>129900</v>
      </c>
      <c r="S4906" s="102">
        <f t="shared" si="2427"/>
        <v>1428900</v>
      </c>
      <c r="T4906" s="102">
        <f t="shared" si="2428"/>
        <v>1299000</v>
      </c>
      <c r="U4906" s="71" t="str">
        <f t="shared" ref="U4906:U4912" si="2429">IF(J4906=W4906,"O", "X")</f>
        <v>X</v>
      </c>
      <c r="V4906" s="71"/>
      <c r="W4906" s="474"/>
      <c r="X4906" s="71"/>
      <c r="Y4906" s="71"/>
    </row>
    <row r="4907" spans="1:25" ht="30" hidden="1" customHeight="1" x14ac:dyDescent="0.25">
      <c r="A4907" s="1145">
        <v>44662</v>
      </c>
      <c r="B4907" s="664" t="s">
        <v>2155</v>
      </c>
      <c r="C4907" s="760" t="s">
        <v>218</v>
      </c>
      <c r="D4907" s="71">
        <v>5</v>
      </c>
      <c r="E4907" s="102">
        <v>192500</v>
      </c>
      <c r="F4907" s="102">
        <f t="shared" si="2421"/>
        <v>1058750</v>
      </c>
      <c r="G4907" s="102">
        <f t="shared" si="2422"/>
        <v>962500</v>
      </c>
      <c r="H4907" s="690" t="s">
        <v>173</v>
      </c>
      <c r="I4907" s="71" t="s">
        <v>120</v>
      </c>
      <c r="J4907" s="53">
        <f t="shared" si="2423"/>
        <v>355000</v>
      </c>
      <c r="K4907" s="63">
        <f t="shared" si="2424"/>
        <v>0.36883116883116884</v>
      </c>
      <c r="L4907" s="1212" t="s">
        <v>3353</v>
      </c>
      <c r="M4907" s="468"/>
      <c r="N4907" s="1192">
        <f t="shared" si="2420"/>
        <v>44662</v>
      </c>
      <c r="O4907" s="71" t="s">
        <v>150</v>
      </c>
      <c r="P4907" s="103" t="str">
        <f t="shared" si="2425"/>
        <v>Fount Web 551AF</v>
      </c>
      <c r="Q4907" s="71">
        <f t="shared" si="2426"/>
        <v>5</v>
      </c>
      <c r="R4907" s="102">
        <v>121500</v>
      </c>
      <c r="S4907" s="102">
        <f t="shared" si="2427"/>
        <v>668250</v>
      </c>
      <c r="T4907" s="102">
        <f t="shared" si="2428"/>
        <v>607500</v>
      </c>
      <c r="U4907" s="71" t="str">
        <f t="shared" si="2429"/>
        <v>X</v>
      </c>
      <c r="V4907" s="71"/>
      <c r="W4907" s="474">
        <v>640000</v>
      </c>
      <c r="X4907" s="71"/>
      <c r="Y4907" s="71"/>
    </row>
    <row r="4908" spans="1:25" ht="30" hidden="1" customHeight="1" x14ac:dyDescent="0.25">
      <c r="A4908" s="1145">
        <v>44662</v>
      </c>
      <c r="B4908" s="664" t="s">
        <v>3289</v>
      </c>
      <c r="C4908" s="71" t="s">
        <v>2070</v>
      </c>
      <c r="D4908" s="71">
        <v>10</v>
      </c>
      <c r="E4908" s="102">
        <v>108000</v>
      </c>
      <c r="F4908" s="102">
        <f t="shared" si="2421"/>
        <v>1188000</v>
      </c>
      <c r="G4908" s="102">
        <f t="shared" si="2422"/>
        <v>1080000</v>
      </c>
      <c r="H4908" s="690" t="s">
        <v>172</v>
      </c>
      <c r="I4908" s="71" t="s">
        <v>33</v>
      </c>
      <c r="J4908" s="53">
        <f t="shared" si="2423"/>
        <v>212000</v>
      </c>
      <c r="K4908" s="63">
        <f t="shared" si="2424"/>
        <v>0.1962962962962963</v>
      </c>
      <c r="L4908" s="1212" t="s">
        <v>3353</v>
      </c>
      <c r="M4908" s="468"/>
      <c r="N4908" s="1192">
        <f t="shared" si="2420"/>
        <v>44662</v>
      </c>
      <c r="O4908" s="71" t="s">
        <v>146</v>
      </c>
      <c r="P4908" s="103" t="str">
        <f t="shared" si="2425"/>
        <v>Blanket(1050*840)</v>
      </c>
      <c r="Q4908" s="71">
        <f t="shared" si="2426"/>
        <v>10</v>
      </c>
      <c r="R4908" s="102">
        <v>86800</v>
      </c>
      <c r="S4908" s="102">
        <f t="shared" si="2427"/>
        <v>954800.00000000012</v>
      </c>
      <c r="T4908" s="102">
        <f t="shared" si="2428"/>
        <v>868000</v>
      </c>
      <c r="U4908" s="71" t="str">
        <f t="shared" si="2429"/>
        <v>X</v>
      </c>
      <c r="V4908" s="71"/>
      <c r="W4908" s="474">
        <v>275000</v>
      </c>
      <c r="X4908" s="71"/>
      <c r="Y4908" s="71"/>
    </row>
    <row r="4909" spans="1:25" s="209" customFormat="1" ht="31.5" hidden="1" customHeight="1" x14ac:dyDescent="0.2">
      <c r="A4909" s="1145">
        <v>44677</v>
      </c>
      <c r="B4909" s="664" t="s">
        <v>2155</v>
      </c>
      <c r="C4909" s="71" t="s">
        <v>231</v>
      </c>
      <c r="D4909" s="71">
        <v>10</v>
      </c>
      <c r="E4909" s="102">
        <v>120000</v>
      </c>
      <c r="F4909" s="102">
        <f t="shared" si="2421"/>
        <v>1320000</v>
      </c>
      <c r="G4909" s="102">
        <f t="shared" si="2422"/>
        <v>1200000</v>
      </c>
      <c r="H4909" s="165" t="s">
        <v>172</v>
      </c>
      <c r="I4909" s="71" t="s">
        <v>109</v>
      </c>
      <c r="J4909" s="53">
        <f t="shared" si="2423"/>
        <v>80000</v>
      </c>
      <c r="K4909" s="63">
        <f t="shared" si="2424"/>
        <v>6.6666666666666666E-2</v>
      </c>
      <c r="L4909" s="1212" t="s">
        <v>3353</v>
      </c>
      <c r="M4909" s="468"/>
      <c r="N4909" s="1192">
        <f t="shared" si="2420"/>
        <v>44677</v>
      </c>
      <c r="O4909" s="71" t="s">
        <v>151</v>
      </c>
      <c r="P4909" s="103" t="str">
        <f t="shared" si="2425"/>
        <v>Blanket(990*725)</v>
      </c>
      <c r="Q4909" s="71">
        <f t="shared" si="2426"/>
        <v>10</v>
      </c>
      <c r="R4909" s="102">
        <v>112000</v>
      </c>
      <c r="S4909" s="102">
        <f t="shared" si="2427"/>
        <v>1232000</v>
      </c>
      <c r="T4909" s="102">
        <f t="shared" si="2428"/>
        <v>1120000</v>
      </c>
      <c r="U4909" s="71" t="str">
        <f t="shared" si="2429"/>
        <v>O</v>
      </c>
      <c r="V4909" s="71"/>
      <c r="W4909" s="474">
        <v>80000</v>
      </c>
      <c r="X4909" s="71"/>
      <c r="Y4909" s="71"/>
    </row>
    <row r="4910" spans="1:25" ht="30" hidden="1" customHeight="1" x14ac:dyDescent="0.25">
      <c r="A4910" s="1145">
        <v>44677</v>
      </c>
      <c r="B4910" s="664" t="s">
        <v>3289</v>
      </c>
      <c r="C4910" s="71" t="s">
        <v>277</v>
      </c>
      <c r="D4910" s="71">
        <v>10</v>
      </c>
      <c r="E4910" s="102">
        <v>172000</v>
      </c>
      <c r="F4910" s="102">
        <f t="shared" si="2421"/>
        <v>1892000.0000000002</v>
      </c>
      <c r="G4910" s="102">
        <f t="shared" si="2422"/>
        <v>1720000</v>
      </c>
      <c r="H4910" s="690" t="s">
        <v>172</v>
      </c>
      <c r="I4910" s="71" t="s">
        <v>108</v>
      </c>
      <c r="J4910" s="53">
        <f t="shared" si="2423"/>
        <v>421000</v>
      </c>
      <c r="K4910" s="63">
        <f t="shared" si="2424"/>
        <v>0.24476744186046509</v>
      </c>
      <c r="L4910" s="1212" t="s">
        <v>3353</v>
      </c>
      <c r="M4910" s="468"/>
      <c r="N4910" s="1192">
        <f t="shared" si="2420"/>
        <v>44677</v>
      </c>
      <c r="O4910" s="71" t="s">
        <v>662</v>
      </c>
      <c r="P4910" s="103" t="str">
        <f t="shared" si="2425"/>
        <v>윤전용 세척제(Web 504)</v>
      </c>
      <c r="Q4910" s="71">
        <f t="shared" si="2426"/>
        <v>10</v>
      </c>
      <c r="R4910" s="102">
        <v>129900</v>
      </c>
      <c r="S4910" s="102">
        <f t="shared" si="2427"/>
        <v>1428900</v>
      </c>
      <c r="T4910" s="102">
        <f t="shared" si="2428"/>
        <v>1299000</v>
      </c>
      <c r="U4910" s="71" t="str">
        <f t="shared" si="2429"/>
        <v>X</v>
      </c>
      <c r="V4910" s="71"/>
      <c r="W4910" s="474"/>
      <c r="X4910" s="71"/>
      <c r="Y4910" s="71"/>
    </row>
    <row r="4911" spans="1:25" ht="30" hidden="1" customHeight="1" x14ac:dyDescent="0.25">
      <c r="A4911" s="1145">
        <v>44677</v>
      </c>
      <c r="B4911" s="664" t="s">
        <v>2155</v>
      </c>
      <c r="C4911" s="760" t="s">
        <v>218</v>
      </c>
      <c r="D4911" s="71">
        <v>5</v>
      </c>
      <c r="E4911" s="102">
        <v>192500</v>
      </c>
      <c r="F4911" s="102">
        <f t="shared" si="2421"/>
        <v>1058750</v>
      </c>
      <c r="G4911" s="102">
        <f t="shared" si="2422"/>
        <v>962500</v>
      </c>
      <c r="H4911" s="690" t="s">
        <v>173</v>
      </c>
      <c r="I4911" s="71" t="s">
        <v>120</v>
      </c>
      <c r="J4911" s="53">
        <f t="shared" si="2423"/>
        <v>355000</v>
      </c>
      <c r="K4911" s="63">
        <f t="shared" si="2424"/>
        <v>0.36883116883116884</v>
      </c>
      <c r="L4911" s="1212" t="s">
        <v>3353</v>
      </c>
      <c r="M4911" s="468"/>
      <c r="N4911" s="1192">
        <f t="shared" si="2420"/>
        <v>44677</v>
      </c>
      <c r="O4911" s="71" t="s">
        <v>150</v>
      </c>
      <c r="P4911" s="103" t="str">
        <f t="shared" si="2425"/>
        <v>Fount Web 551AF</v>
      </c>
      <c r="Q4911" s="71">
        <f t="shared" si="2426"/>
        <v>5</v>
      </c>
      <c r="R4911" s="102">
        <v>121500</v>
      </c>
      <c r="S4911" s="102">
        <f t="shared" si="2427"/>
        <v>668250</v>
      </c>
      <c r="T4911" s="102">
        <f t="shared" si="2428"/>
        <v>607500</v>
      </c>
      <c r="U4911" s="71" t="str">
        <f t="shared" si="2429"/>
        <v>X</v>
      </c>
      <c r="V4911" s="71"/>
      <c r="W4911" s="474">
        <v>640000</v>
      </c>
      <c r="X4911" s="71"/>
      <c r="Y4911" s="71"/>
    </row>
    <row r="4912" spans="1:25" s="209" customFormat="1" ht="30" hidden="1" customHeight="1" x14ac:dyDescent="0.2">
      <c r="A4912" s="1145">
        <v>44677</v>
      </c>
      <c r="B4912" s="664" t="s">
        <v>2155</v>
      </c>
      <c r="C4912" s="71" t="s">
        <v>236</v>
      </c>
      <c r="D4912" s="71">
        <v>2</v>
      </c>
      <c r="E4912" s="102">
        <v>99000</v>
      </c>
      <c r="F4912" s="163">
        <f t="shared" si="2421"/>
        <v>217800.00000000003</v>
      </c>
      <c r="G4912" s="102">
        <f t="shared" si="2422"/>
        <v>198000</v>
      </c>
      <c r="H4912" s="690" t="s">
        <v>173</v>
      </c>
      <c r="I4912" s="71" t="s">
        <v>2231</v>
      </c>
      <c r="J4912" s="53">
        <f t="shared" si="2423"/>
        <v>98000</v>
      </c>
      <c r="K4912" s="63">
        <f t="shared" si="2424"/>
        <v>0.49494949494949486</v>
      </c>
      <c r="L4912" s="1212" t="s">
        <v>3353</v>
      </c>
      <c r="M4912" s="468"/>
      <c r="N4912" s="1192">
        <f t="shared" si="2420"/>
        <v>44677</v>
      </c>
      <c r="O4912" s="71" t="s">
        <v>153</v>
      </c>
      <c r="P4912" s="164" t="str">
        <f t="shared" si="2425"/>
        <v>아스테이지(국전)</v>
      </c>
      <c r="Q4912" s="71">
        <f t="shared" si="2426"/>
        <v>2</v>
      </c>
      <c r="R4912" s="102">
        <v>50000</v>
      </c>
      <c r="S4912" s="102">
        <f t="shared" si="2427"/>
        <v>110000.00000000001</v>
      </c>
      <c r="T4912" s="102">
        <f t="shared" si="2428"/>
        <v>100000</v>
      </c>
      <c r="U4912" s="71" t="str">
        <f t="shared" si="2429"/>
        <v>X</v>
      </c>
      <c r="V4912" s="71"/>
      <c r="W4912" s="474">
        <v>500000</v>
      </c>
      <c r="X4912" s="71"/>
      <c r="Y4912" s="71"/>
    </row>
    <row r="4913" spans="1:25" ht="30" hidden="1" customHeight="1" x14ac:dyDescent="0.25">
      <c r="A4913" s="1145">
        <v>44676</v>
      </c>
      <c r="B4913" s="664" t="s">
        <v>3572</v>
      </c>
      <c r="C4913" s="71" t="s">
        <v>3567</v>
      </c>
      <c r="D4913" s="71">
        <v>1</v>
      </c>
      <c r="E4913" s="102">
        <v>20700000</v>
      </c>
      <c r="F4913" s="102">
        <f t="shared" si="2421"/>
        <v>22770000</v>
      </c>
      <c r="G4913" s="102">
        <f t="shared" si="2422"/>
        <v>20700000</v>
      </c>
      <c r="H4913" s="690" t="s">
        <v>113</v>
      </c>
      <c r="I4913" s="71" t="s">
        <v>113</v>
      </c>
      <c r="J4913" s="53"/>
      <c r="K4913" s="63"/>
      <c r="L4913" s="1212" t="s">
        <v>3353</v>
      </c>
      <c r="M4913" s="468"/>
      <c r="N4913" s="1192">
        <f t="shared" si="2420"/>
        <v>44676</v>
      </c>
      <c r="O4913" s="71" t="s">
        <v>113</v>
      </c>
      <c r="P4913" s="103" t="str">
        <f t="shared" si="2425"/>
        <v>M600 잉크키 모터 업그레이드 계약금</v>
      </c>
      <c r="Q4913" s="71">
        <f t="shared" si="2426"/>
        <v>1</v>
      </c>
      <c r="R4913" s="102"/>
      <c r="S4913" s="102">
        <f t="shared" si="2427"/>
        <v>0</v>
      </c>
      <c r="T4913" s="102">
        <f t="shared" si="2428"/>
        <v>0</v>
      </c>
      <c r="U4913" s="71"/>
      <c r="V4913" s="71"/>
      <c r="W4913" s="474"/>
      <c r="X4913" s="71"/>
      <c r="Y4913" s="71"/>
    </row>
    <row r="4914" spans="1:25" ht="30" customHeight="1" x14ac:dyDescent="0.25">
      <c r="A4914" s="1145">
        <v>44662</v>
      </c>
      <c r="B4914" s="664" t="s">
        <v>641</v>
      </c>
      <c r="C4914" s="71" t="s">
        <v>584</v>
      </c>
      <c r="D4914" s="71">
        <v>3</v>
      </c>
      <c r="E4914" s="102">
        <v>270000</v>
      </c>
      <c r="F4914" s="102">
        <f t="shared" si="2421"/>
        <v>891000.00000000012</v>
      </c>
      <c r="G4914" s="102">
        <f t="shared" si="2422"/>
        <v>810000</v>
      </c>
      <c r="H4914" s="690" t="s">
        <v>172</v>
      </c>
      <c r="I4914" s="71" t="s">
        <v>142</v>
      </c>
      <c r="J4914" s="53">
        <f t="shared" si="2423"/>
        <v>246000</v>
      </c>
      <c r="K4914" s="63">
        <f t="shared" si="2424"/>
        <v>0.30370370370370364</v>
      </c>
      <c r="L4914" s="1212" t="s">
        <v>3353</v>
      </c>
      <c r="M4914" s="468" t="s">
        <v>3374</v>
      </c>
      <c r="N4914" s="1192">
        <f t="shared" si="2420"/>
        <v>44662</v>
      </c>
      <c r="O4914" s="71" t="s">
        <v>150</v>
      </c>
      <c r="P4914" s="103" t="str">
        <f t="shared" si="2425"/>
        <v>데리바리 석션벨트</v>
      </c>
      <c r="Q4914" s="71">
        <f t="shared" si="2426"/>
        <v>3</v>
      </c>
      <c r="R4914" s="102">
        <v>188000</v>
      </c>
      <c r="S4914" s="102">
        <f t="shared" si="2427"/>
        <v>620400</v>
      </c>
      <c r="T4914" s="102">
        <f t="shared" si="2428"/>
        <v>564000</v>
      </c>
      <c r="U4914" s="71" t="str">
        <f>IF(J4914=W4914,"O", "X")</f>
        <v>O</v>
      </c>
      <c r="V4914" s="71"/>
      <c r="W4914" s="474">
        <f>(G4914-T4914)</f>
        <v>246000</v>
      </c>
      <c r="X4914" s="71"/>
      <c r="Y4914" s="71"/>
    </row>
    <row r="4915" spans="1:25" ht="30" customHeight="1" x14ac:dyDescent="0.25">
      <c r="A4915" s="1145">
        <v>44662</v>
      </c>
      <c r="B4915" s="664" t="s">
        <v>641</v>
      </c>
      <c r="C4915" s="71" t="s">
        <v>3358</v>
      </c>
      <c r="D4915" s="71">
        <v>2</v>
      </c>
      <c r="E4915" s="102">
        <v>42500</v>
      </c>
      <c r="F4915" s="102">
        <f t="shared" si="2421"/>
        <v>93500.000000000015</v>
      </c>
      <c r="G4915" s="102">
        <f t="shared" si="2422"/>
        <v>85000</v>
      </c>
      <c r="H4915" s="690" t="s">
        <v>172</v>
      </c>
      <c r="I4915" s="71" t="s">
        <v>142</v>
      </c>
      <c r="J4915" s="53">
        <f t="shared" si="2423"/>
        <v>17000</v>
      </c>
      <c r="K4915" s="63">
        <f t="shared" si="2424"/>
        <v>0.19999999999999996</v>
      </c>
      <c r="L4915" s="1212" t="s">
        <v>3353</v>
      </c>
      <c r="M4915" s="468"/>
      <c r="N4915" s="1192">
        <f t="shared" si="2420"/>
        <v>44662</v>
      </c>
      <c r="O4915" s="71" t="s">
        <v>150</v>
      </c>
      <c r="P4915" s="103" t="str">
        <f t="shared" si="2425"/>
        <v>종이넘김벨트</v>
      </c>
      <c r="Q4915" s="71">
        <f t="shared" si="2426"/>
        <v>2</v>
      </c>
      <c r="R4915" s="102">
        <v>34000</v>
      </c>
      <c r="S4915" s="102">
        <f t="shared" si="2427"/>
        <v>74800</v>
      </c>
      <c r="T4915" s="102">
        <f t="shared" si="2428"/>
        <v>68000</v>
      </c>
      <c r="U4915" s="71" t="str">
        <f>IF(J4915=W4915,"O", "X")</f>
        <v>O</v>
      </c>
      <c r="V4915" s="71"/>
      <c r="W4915" s="474">
        <f>(G4915-T4915)</f>
        <v>17000</v>
      </c>
      <c r="X4915" s="71"/>
      <c r="Y4915" s="71"/>
    </row>
    <row r="4916" spans="1:25" ht="30" customHeight="1" x14ac:dyDescent="0.25">
      <c r="A4916" s="1145">
        <v>44662</v>
      </c>
      <c r="B4916" s="664" t="s">
        <v>641</v>
      </c>
      <c r="C4916" s="71" t="s">
        <v>3357</v>
      </c>
      <c r="D4916" s="71">
        <v>5</v>
      </c>
      <c r="E4916" s="102">
        <v>320000</v>
      </c>
      <c r="F4916" s="102">
        <f t="shared" si="2421"/>
        <v>1760000.0000000002</v>
      </c>
      <c r="G4916" s="102">
        <f t="shared" si="2422"/>
        <v>1600000</v>
      </c>
      <c r="H4916" s="690" t="s">
        <v>172</v>
      </c>
      <c r="I4916" s="71" t="s">
        <v>142</v>
      </c>
      <c r="J4916" s="53">
        <f t="shared" si="2423"/>
        <v>450000</v>
      </c>
      <c r="K4916" s="63">
        <f t="shared" si="2424"/>
        <v>0.28124999999999994</v>
      </c>
      <c r="L4916" s="1212" t="s">
        <v>3353</v>
      </c>
      <c r="M4916" s="468"/>
      <c r="N4916" s="1192">
        <f t="shared" si="2420"/>
        <v>44662</v>
      </c>
      <c r="O4916" s="71" t="s">
        <v>150</v>
      </c>
      <c r="P4916" s="103" t="str">
        <f t="shared" si="2425"/>
        <v>브랑케트세척장치 고무</v>
      </c>
      <c r="Q4916" s="71">
        <f t="shared" si="2426"/>
        <v>5</v>
      </c>
      <c r="R4916" s="102">
        <v>230000</v>
      </c>
      <c r="S4916" s="102">
        <f t="shared" si="2427"/>
        <v>1265000</v>
      </c>
      <c r="T4916" s="102">
        <f t="shared" si="2428"/>
        <v>1150000</v>
      </c>
      <c r="U4916" s="71" t="str">
        <f>IF(J4916=W4916,"O", "X")</f>
        <v>O</v>
      </c>
      <c r="V4916" s="71"/>
      <c r="W4916" s="474">
        <f>(G4916-T4916)</f>
        <v>450000</v>
      </c>
      <c r="X4916" s="71"/>
      <c r="Y4916" s="71"/>
    </row>
    <row r="4917" spans="1:25" ht="30" customHeight="1" x14ac:dyDescent="0.25">
      <c r="A4917" s="1145">
        <v>44659</v>
      </c>
      <c r="B4917" s="664" t="s">
        <v>641</v>
      </c>
      <c r="C4917" s="71" t="s">
        <v>220</v>
      </c>
      <c r="D4917" s="71">
        <v>7</v>
      </c>
      <c r="E4917" s="102">
        <v>272000</v>
      </c>
      <c r="F4917" s="102">
        <v>2094400.0000000002</v>
      </c>
      <c r="G4917" s="102">
        <v>1904000</v>
      </c>
      <c r="H4917" s="690" t="s">
        <v>172</v>
      </c>
      <c r="I4917" s="71" t="s">
        <v>142</v>
      </c>
      <c r="J4917" s="53">
        <v>414400</v>
      </c>
      <c r="K4917" s="63">
        <v>0.21764705882352939</v>
      </c>
      <c r="L4917" s="1212" t="s">
        <v>3353</v>
      </c>
      <c r="M4917" s="468" t="s">
        <v>3303</v>
      </c>
      <c r="N4917" s="1192">
        <v>44538</v>
      </c>
      <c r="O4917" s="71" t="s">
        <v>175</v>
      </c>
      <c r="P4917" s="103" t="str">
        <f t="shared" si="2425"/>
        <v>세정포-XL106</v>
      </c>
      <c r="Q4917" s="71">
        <f t="shared" si="2426"/>
        <v>7</v>
      </c>
      <c r="R4917" s="102">
        <v>212800</v>
      </c>
      <c r="S4917" s="102">
        <f t="shared" si="2427"/>
        <v>1638560.0000000002</v>
      </c>
      <c r="T4917" s="102">
        <f t="shared" si="2428"/>
        <v>1489600</v>
      </c>
      <c r="U4917" s="71" t="s">
        <v>859</v>
      </c>
      <c r="V4917" s="71"/>
      <c r="W4917" s="474"/>
      <c r="X4917" s="71"/>
      <c r="Y4917" s="71"/>
    </row>
    <row r="4918" spans="1:25" ht="30" customHeight="1" x14ac:dyDescent="0.25">
      <c r="A4918" s="1145">
        <v>44659</v>
      </c>
      <c r="B4918" s="664" t="s">
        <v>641</v>
      </c>
      <c r="C4918" s="71" t="s">
        <v>230</v>
      </c>
      <c r="D4918" s="71">
        <v>10</v>
      </c>
      <c r="E4918" s="102">
        <v>125000</v>
      </c>
      <c r="F4918" s="102">
        <v>1375000</v>
      </c>
      <c r="G4918" s="102">
        <v>1250000</v>
      </c>
      <c r="H4918" s="690" t="s">
        <v>172</v>
      </c>
      <c r="I4918" s="71" t="s">
        <v>142</v>
      </c>
      <c r="J4918" s="53">
        <v>260000</v>
      </c>
      <c r="K4918" s="63">
        <v>0.20799999999999999</v>
      </c>
      <c r="L4918" s="1212" t="s">
        <v>3353</v>
      </c>
      <c r="M4918" s="468" t="s">
        <v>3303</v>
      </c>
      <c r="N4918" s="1192">
        <v>44544</v>
      </c>
      <c r="O4918" s="71" t="s">
        <v>662</v>
      </c>
      <c r="P4918" s="103" t="str">
        <f t="shared" si="2425"/>
        <v>XL106 Blanket(1077*885)</v>
      </c>
      <c r="Q4918" s="71">
        <f t="shared" si="2426"/>
        <v>10</v>
      </c>
      <c r="R4918" s="102">
        <v>109000</v>
      </c>
      <c r="S4918" s="102">
        <f t="shared" si="2427"/>
        <v>1199000</v>
      </c>
      <c r="T4918" s="102">
        <f t="shared" si="2428"/>
        <v>1090000</v>
      </c>
      <c r="U4918" s="71" t="s">
        <v>859</v>
      </c>
      <c r="V4918" s="71"/>
      <c r="W4918" s="474"/>
      <c r="X4918" s="71"/>
      <c r="Y4918" s="71"/>
    </row>
    <row r="4919" spans="1:25" ht="30" customHeight="1" x14ac:dyDescent="0.25">
      <c r="A4919" s="1145">
        <v>44659</v>
      </c>
      <c r="B4919" s="664" t="s">
        <v>641</v>
      </c>
      <c r="C4919" s="71" t="s">
        <v>3356</v>
      </c>
      <c r="D4919" s="71">
        <v>10</v>
      </c>
      <c r="E4919" s="102">
        <v>13600</v>
      </c>
      <c r="F4919" s="102">
        <f t="shared" ref="F4919:F4930" si="2430">(E4919*D4919)*1.1</f>
        <v>149600</v>
      </c>
      <c r="G4919" s="102">
        <f t="shared" ref="G4919:G4930" si="2431">(E4919*D4919)</f>
        <v>136000</v>
      </c>
      <c r="H4919" s="690" t="s">
        <v>172</v>
      </c>
      <c r="I4919" s="71" t="s">
        <v>142</v>
      </c>
      <c r="J4919" s="53">
        <f t="shared" ref="J4919:J4950" si="2432">G4919-T4919</f>
        <v>136000</v>
      </c>
      <c r="K4919" s="63">
        <f t="shared" ref="K4919:K4930" si="2433">(J4919/(F4919/11*10))</f>
        <v>1</v>
      </c>
      <c r="L4919" s="1212" t="s">
        <v>3353</v>
      </c>
      <c r="M4919" s="468" t="s">
        <v>3300</v>
      </c>
      <c r="N4919" s="1192">
        <f t="shared" ref="N4919:N4925" si="2434">A4919</f>
        <v>44659</v>
      </c>
      <c r="O4919" s="71" t="s">
        <v>175</v>
      </c>
      <c r="P4919" s="103" t="s">
        <v>3375</v>
      </c>
      <c r="Q4919" s="71">
        <f t="shared" si="2426"/>
        <v>10</v>
      </c>
      <c r="R4919" s="102">
        <v>0</v>
      </c>
      <c r="S4919" s="102">
        <f t="shared" si="2427"/>
        <v>0</v>
      </c>
      <c r="T4919" s="102">
        <f t="shared" si="2428"/>
        <v>0</v>
      </c>
      <c r="U4919" s="71" t="str">
        <f>IF(J4919=W4919,"O", "X")</f>
        <v>X</v>
      </c>
      <c r="V4919" s="71"/>
      <c r="W4919" s="474"/>
      <c r="X4919" s="71"/>
      <c r="Y4919" s="71"/>
    </row>
    <row r="4920" spans="1:25" ht="30" hidden="1" customHeight="1" x14ac:dyDescent="0.25">
      <c r="A4920" s="1145">
        <v>44656</v>
      </c>
      <c r="B4920" s="664" t="s">
        <v>2</v>
      </c>
      <c r="C4920" s="71" t="s">
        <v>3299</v>
      </c>
      <c r="D4920" s="71">
        <v>20</v>
      </c>
      <c r="E4920" s="102">
        <v>62500</v>
      </c>
      <c r="F4920" s="102">
        <f t="shared" si="2430"/>
        <v>1375000</v>
      </c>
      <c r="G4920" s="102">
        <f t="shared" si="2431"/>
        <v>1250000</v>
      </c>
      <c r="H4920" s="690" t="s">
        <v>172</v>
      </c>
      <c r="I4920" s="71" t="s">
        <v>38</v>
      </c>
      <c r="J4920" s="53">
        <f t="shared" si="2432"/>
        <v>340000</v>
      </c>
      <c r="K4920" s="63">
        <f t="shared" si="2433"/>
        <v>0.27200000000000002</v>
      </c>
      <c r="L4920" s="1212" t="s">
        <v>3353</v>
      </c>
      <c r="M4920" s="468" t="s">
        <v>3300</v>
      </c>
      <c r="N4920" s="1192">
        <f t="shared" si="2434"/>
        <v>44656</v>
      </c>
      <c r="O4920" s="71" t="s">
        <v>175</v>
      </c>
      <c r="P4920" s="103" t="s">
        <v>3299</v>
      </c>
      <c r="Q4920" s="71">
        <f t="shared" si="2426"/>
        <v>20</v>
      </c>
      <c r="R4920" s="102">
        <v>40000</v>
      </c>
      <c r="S4920" s="102">
        <f t="shared" si="2427"/>
        <v>880000.00000000012</v>
      </c>
      <c r="T4920" s="102">
        <f>R4920*Q4920+110000</f>
        <v>910000</v>
      </c>
      <c r="U4920" s="71" t="str">
        <f>IF(J4920=W4920,"O", "X")</f>
        <v>X</v>
      </c>
      <c r="V4920" s="71"/>
      <c r="W4920" s="474"/>
      <c r="X4920" s="71"/>
      <c r="Y4920" s="71"/>
    </row>
    <row r="4921" spans="1:25" ht="30" hidden="1" customHeight="1" x14ac:dyDescent="0.25">
      <c r="A4921" s="1145">
        <v>44656</v>
      </c>
      <c r="B4921" s="664" t="s">
        <v>2</v>
      </c>
      <c r="C4921" s="71" t="s">
        <v>3359</v>
      </c>
      <c r="D4921" s="71">
        <v>3</v>
      </c>
      <c r="E4921" s="102">
        <v>155500</v>
      </c>
      <c r="F4921" s="102">
        <f t="shared" si="2430"/>
        <v>513150.00000000006</v>
      </c>
      <c r="G4921" s="102">
        <f t="shared" si="2431"/>
        <v>466500</v>
      </c>
      <c r="H4921" s="690" t="s">
        <v>172</v>
      </c>
      <c r="I4921" s="71" t="s">
        <v>38</v>
      </c>
      <c r="J4921" s="53">
        <f t="shared" si="2432"/>
        <v>85300</v>
      </c>
      <c r="K4921" s="63">
        <f t="shared" si="2433"/>
        <v>0.18285101822079311</v>
      </c>
      <c r="L4921" s="1212" t="s">
        <v>3353</v>
      </c>
      <c r="M4921" s="468" t="s">
        <v>3300</v>
      </c>
      <c r="N4921" s="1192">
        <f t="shared" si="2434"/>
        <v>44656</v>
      </c>
      <c r="O4921" s="71" t="s">
        <v>150</v>
      </c>
      <c r="P4921" s="103" t="s">
        <v>217</v>
      </c>
      <c r="Q4921" s="71">
        <f t="shared" si="2426"/>
        <v>3</v>
      </c>
      <c r="R4921" s="102">
        <v>90400</v>
      </c>
      <c r="S4921" s="102">
        <f t="shared" si="2427"/>
        <v>298320</v>
      </c>
      <c r="T4921" s="102">
        <f>R4921*Q4921+110000</f>
        <v>381200</v>
      </c>
      <c r="U4921" s="71" t="str">
        <f>IF(J4921=W4921,"O", "X")</f>
        <v>X</v>
      </c>
      <c r="V4921" s="71"/>
      <c r="W4921" s="474"/>
      <c r="X4921" s="71"/>
      <c r="Y4921" s="71"/>
    </row>
    <row r="4922" spans="1:25" ht="30" hidden="1" customHeight="1" x14ac:dyDescent="0.25">
      <c r="A4922" s="1145">
        <v>44657</v>
      </c>
      <c r="B4922" s="664" t="s">
        <v>2</v>
      </c>
      <c r="C4922" s="71" t="s">
        <v>2070</v>
      </c>
      <c r="D4922" s="71">
        <v>1</v>
      </c>
      <c r="E4922" s="102">
        <v>105000</v>
      </c>
      <c r="F4922" s="102">
        <f t="shared" si="2430"/>
        <v>115500.00000000001</v>
      </c>
      <c r="G4922" s="102">
        <f t="shared" si="2431"/>
        <v>105000</v>
      </c>
      <c r="H4922" s="690" t="s">
        <v>172</v>
      </c>
      <c r="I4922" s="71" t="s">
        <v>33</v>
      </c>
      <c r="J4922" s="53">
        <f t="shared" si="2432"/>
        <v>18200</v>
      </c>
      <c r="K4922" s="63">
        <f t="shared" si="2433"/>
        <v>0.17333333333333331</v>
      </c>
      <c r="L4922" s="1212" t="s">
        <v>3353</v>
      </c>
      <c r="M4922" s="468"/>
      <c r="N4922" s="1192">
        <f t="shared" si="2434"/>
        <v>44657</v>
      </c>
      <c r="O4922" s="71" t="s">
        <v>146</v>
      </c>
      <c r="P4922" s="103" t="str">
        <f>(C4922)</f>
        <v>Blanket(1050*840)</v>
      </c>
      <c r="Q4922" s="71">
        <f t="shared" si="2426"/>
        <v>1</v>
      </c>
      <c r="R4922" s="102">
        <v>86800</v>
      </c>
      <c r="S4922" s="102">
        <f t="shared" si="2427"/>
        <v>95480.000000000015</v>
      </c>
      <c r="T4922" s="102">
        <f t="shared" ref="T4922:T4954" si="2435">R4922*Q4922</f>
        <v>86800</v>
      </c>
      <c r="U4922" s="71" t="str">
        <f>IF(J4922=W4922,"O", "X")</f>
        <v>X</v>
      </c>
      <c r="V4922" s="71"/>
      <c r="W4922" s="474">
        <v>275000</v>
      </c>
      <c r="X4922" s="71"/>
      <c r="Y4922" s="71"/>
    </row>
    <row r="4923" spans="1:25" ht="30" hidden="1" customHeight="1" x14ac:dyDescent="0.25">
      <c r="A4923" s="1145">
        <v>44658</v>
      </c>
      <c r="B4923" s="664" t="s">
        <v>442</v>
      </c>
      <c r="C4923" s="71" t="s">
        <v>3247</v>
      </c>
      <c r="D4923" s="71">
        <v>2</v>
      </c>
      <c r="E4923" s="102">
        <v>142000</v>
      </c>
      <c r="F4923" s="102">
        <f t="shared" si="2430"/>
        <v>312400</v>
      </c>
      <c r="G4923" s="102">
        <f t="shared" si="2431"/>
        <v>284000</v>
      </c>
      <c r="H4923" s="690" t="s">
        <v>173</v>
      </c>
      <c r="I4923" s="71" t="s">
        <v>2231</v>
      </c>
      <c r="J4923" s="53">
        <f t="shared" si="2432"/>
        <v>94000</v>
      </c>
      <c r="K4923" s="63">
        <f t="shared" si="2433"/>
        <v>0.33098591549295775</v>
      </c>
      <c r="L4923" s="1212" t="s">
        <v>3353</v>
      </c>
      <c r="M4923" s="468"/>
      <c r="N4923" s="1192">
        <f t="shared" si="2434"/>
        <v>44658</v>
      </c>
      <c r="O4923" s="71" t="s">
        <v>150</v>
      </c>
      <c r="P4923" s="164" t="str">
        <f>(C4923)</f>
        <v>닥터호일 아스테이지</v>
      </c>
      <c r="Q4923" s="71">
        <f t="shared" si="2426"/>
        <v>2</v>
      </c>
      <c r="R4923" s="102">
        <v>95000</v>
      </c>
      <c r="S4923" s="102">
        <f t="shared" si="2427"/>
        <v>209000.00000000003</v>
      </c>
      <c r="T4923" s="102">
        <f t="shared" si="2435"/>
        <v>190000</v>
      </c>
      <c r="U4923" s="71"/>
      <c r="V4923" s="71"/>
      <c r="W4923" s="474"/>
      <c r="X4923" s="71"/>
      <c r="Y4923" s="71"/>
    </row>
    <row r="4924" spans="1:25" ht="30" hidden="1" customHeight="1" x14ac:dyDescent="0.25">
      <c r="A4924" s="1145">
        <v>44656</v>
      </c>
      <c r="B4924" s="664" t="s">
        <v>2</v>
      </c>
      <c r="C4924" s="71" t="s">
        <v>2023</v>
      </c>
      <c r="D4924" s="71">
        <v>1000</v>
      </c>
      <c r="E4924" s="102">
        <v>3860</v>
      </c>
      <c r="F4924" s="102">
        <f t="shared" si="2430"/>
        <v>4246000</v>
      </c>
      <c r="G4924" s="102">
        <f t="shared" si="2431"/>
        <v>3860000</v>
      </c>
      <c r="H4924" s="690" t="s">
        <v>172</v>
      </c>
      <c r="I4924" s="71" t="s">
        <v>3301</v>
      </c>
      <c r="J4924" s="53">
        <f t="shared" si="2432"/>
        <v>-390000</v>
      </c>
      <c r="K4924" s="63">
        <f t="shared" si="2433"/>
        <v>-0.10103626943005181</v>
      </c>
      <c r="L4924" s="1212" t="s">
        <v>3353</v>
      </c>
      <c r="M4924" s="468" t="s">
        <v>3302</v>
      </c>
      <c r="N4924" s="1192">
        <f t="shared" si="2434"/>
        <v>44656</v>
      </c>
      <c r="O4924" s="71" t="s">
        <v>3298</v>
      </c>
      <c r="P4924" s="103" t="str">
        <f>(C4924)</f>
        <v>CTP 판(1030*790mm)</v>
      </c>
      <c r="Q4924" s="71">
        <f t="shared" si="2426"/>
        <v>1000</v>
      </c>
      <c r="R4924" s="102">
        <v>4250</v>
      </c>
      <c r="S4924" s="102">
        <f t="shared" si="2427"/>
        <v>4675000</v>
      </c>
      <c r="T4924" s="102">
        <f t="shared" si="2435"/>
        <v>4250000</v>
      </c>
      <c r="U4924" s="71" t="str">
        <f t="shared" ref="U4924:U4951" si="2436">IF(J4924=W4924,"O", "X")</f>
        <v>X</v>
      </c>
      <c r="V4924" s="71"/>
      <c r="W4924" s="474"/>
      <c r="X4924" s="71"/>
      <c r="Y4924" s="71"/>
    </row>
    <row r="4925" spans="1:25" ht="30" hidden="1" customHeight="1" x14ac:dyDescent="0.25">
      <c r="A4925" s="1145">
        <v>44657</v>
      </c>
      <c r="B4925" s="664" t="s">
        <v>2</v>
      </c>
      <c r="C4925" s="71" t="s">
        <v>2075</v>
      </c>
      <c r="D4925" s="71">
        <v>2</v>
      </c>
      <c r="E4925" s="102">
        <v>89000</v>
      </c>
      <c r="F4925" s="102">
        <f t="shared" si="2430"/>
        <v>195800.00000000003</v>
      </c>
      <c r="G4925" s="102">
        <f t="shared" si="2431"/>
        <v>178000</v>
      </c>
      <c r="H4925" s="690" t="s">
        <v>173</v>
      </c>
      <c r="I4925" s="71" t="s">
        <v>2273</v>
      </c>
      <c r="J4925" s="53">
        <f t="shared" si="2432"/>
        <v>35000</v>
      </c>
      <c r="K4925" s="63">
        <f t="shared" si="2433"/>
        <v>0.19662921348314605</v>
      </c>
      <c r="L4925" s="1212" t="s">
        <v>3353</v>
      </c>
      <c r="M4925" s="468"/>
      <c r="N4925" s="664">
        <f t="shared" si="2434"/>
        <v>44657</v>
      </c>
      <c r="O4925" s="71" t="s">
        <v>145</v>
      </c>
      <c r="P4925" s="103" t="str">
        <f>C4925</f>
        <v>CTP 고무액</v>
      </c>
      <c r="Q4925" s="71">
        <f t="shared" si="2426"/>
        <v>2</v>
      </c>
      <c r="R4925" s="102">
        <v>71500</v>
      </c>
      <c r="S4925" s="102">
        <f t="shared" si="2427"/>
        <v>157300</v>
      </c>
      <c r="T4925" s="102">
        <f t="shared" si="2435"/>
        <v>143000</v>
      </c>
      <c r="U4925" s="71" t="str">
        <f t="shared" si="2436"/>
        <v>X</v>
      </c>
      <c r="V4925" s="71"/>
      <c r="W4925" s="474"/>
      <c r="X4925" s="71"/>
      <c r="Y4925" s="71"/>
    </row>
    <row r="4926" spans="1:25" ht="30" hidden="1" customHeight="1" x14ac:dyDescent="0.25">
      <c r="A4926" s="1145">
        <v>44653</v>
      </c>
      <c r="B4926" s="664" t="s">
        <v>2798</v>
      </c>
      <c r="C4926" s="71" t="s">
        <v>167</v>
      </c>
      <c r="D4926" s="71">
        <v>10</v>
      </c>
      <c r="E4926" s="102">
        <v>125000</v>
      </c>
      <c r="F4926" s="102">
        <f t="shared" si="2430"/>
        <v>1375000</v>
      </c>
      <c r="G4926" s="102">
        <f t="shared" si="2431"/>
        <v>1250000</v>
      </c>
      <c r="H4926" s="690" t="s">
        <v>172</v>
      </c>
      <c r="I4926" s="71" t="s">
        <v>33</v>
      </c>
      <c r="J4926" s="53">
        <f t="shared" si="2432"/>
        <v>356000</v>
      </c>
      <c r="K4926" s="63">
        <f t="shared" si="2433"/>
        <v>0.2848</v>
      </c>
      <c r="L4926" s="1212" t="s">
        <v>3353</v>
      </c>
      <c r="M4926" s="468"/>
      <c r="N4926" s="1192">
        <f t="shared" ref="N4926:N4957" si="2437">A4926</f>
        <v>44653</v>
      </c>
      <c r="O4926" s="71" t="s">
        <v>146</v>
      </c>
      <c r="P4926" s="103" t="str">
        <f>(C4926)</f>
        <v>Blanket(1060*860)</v>
      </c>
      <c r="Q4926" s="71">
        <f t="shared" si="2426"/>
        <v>10</v>
      </c>
      <c r="R4926" s="102">
        <v>89400</v>
      </c>
      <c r="S4926" s="102">
        <f t="shared" si="2427"/>
        <v>983400.00000000012</v>
      </c>
      <c r="T4926" s="102">
        <f t="shared" si="2435"/>
        <v>894000</v>
      </c>
      <c r="U4926" s="71" t="str">
        <f t="shared" si="2436"/>
        <v>X</v>
      </c>
      <c r="V4926" s="71"/>
      <c r="W4926" s="474"/>
      <c r="X4926" s="71"/>
      <c r="Y4926" s="71"/>
    </row>
    <row r="4927" spans="1:25" ht="30" hidden="1" customHeight="1" x14ac:dyDescent="0.25">
      <c r="A4927" s="1145">
        <v>44658</v>
      </c>
      <c r="B4927" s="664" t="s">
        <v>2798</v>
      </c>
      <c r="C4927" s="71" t="s">
        <v>167</v>
      </c>
      <c r="D4927" s="71">
        <v>10</v>
      </c>
      <c r="E4927" s="102">
        <v>125000</v>
      </c>
      <c r="F4927" s="102">
        <f t="shared" si="2430"/>
        <v>1375000</v>
      </c>
      <c r="G4927" s="102">
        <f t="shared" si="2431"/>
        <v>1250000</v>
      </c>
      <c r="H4927" s="690" t="s">
        <v>172</v>
      </c>
      <c r="I4927" s="71" t="s">
        <v>33</v>
      </c>
      <c r="J4927" s="53">
        <f t="shared" si="2432"/>
        <v>356000</v>
      </c>
      <c r="K4927" s="63">
        <f t="shared" si="2433"/>
        <v>0.2848</v>
      </c>
      <c r="L4927" s="1212" t="s">
        <v>3353</v>
      </c>
      <c r="M4927" s="468"/>
      <c r="N4927" s="1192">
        <f>A4927</f>
        <v>44658</v>
      </c>
      <c r="O4927" s="71" t="s">
        <v>146</v>
      </c>
      <c r="P4927" s="103" t="str">
        <f>(C4927)</f>
        <v>Blanket(1060*860)</v>
      </c>
      <c r="Q4927" s="71">
        <f t="shared" si="2426"/>
        <v>10</v>
      </c>
      <c r="R4927" s="102">
        <v>89400</v>
      </c>
      <c r="S4927" s="102">
        <f t="shared" si="2427"/>
        <v>983400.00000000012</v>
      </c>
      <c r="T4927" s="102">
        <f t="shared" si="2435"/>
        <v>894000</v>
      </c>
      <c r="U4927" s="71" t="str">
        <f t="shared" si="2436"/>
        <v>X</v>
      </c>
      <c r="V4927" s="71"/>
      <c r="W4927" s="474"/>
      <c r="X4927" s="71"/>
      <c r="Y4927" s="71"/>
    </row>
    <row r="4928" spans="1:25" ht="30" hidden="1" customHeight="1" x14ac:dyDescent="0.25">
      <c r="A4928" s="1145">
        <v>44671</v>
      </c>
      <c r="B4928" s="664" t="s">
        <v>545</v>
      </c>
      <c r="C4928" s="71" t="s">
        <v>1441</v>
      </c>
      <c r="D4928" s="71">
        <v>4</v>
      </c>
      <c r="E4928" s="102">
        <v>231000</v>
      </c>
      <c r="F4928" s="102">
        <f t="shared" si="2430"/>
        <v>1016400.0000000001</v>
      </c>
      <c r="G4928" s="102">
        <f t="shared" si="2431"/>
        <v>924000</v>
      </c>
      <c r="H4928" s="690" t="s">
        <v>173</v>
      </c>
      <c r="I4928" s="71" t="s">
        <v>2231</v>
      </c>
      <c r="J4928" s="53">
        <f t="shared" si="2432"/>
        <v>244000</v>
      </c>
      <c r="K4928" s="63">
        <f t="shared" si="2433"/>
        <v>0.26406926406926401</v>
      </c>
      <c r="L4928" s="1212" t="s">
        <v>3353</v>
      </c>
      <c r="M4928" s="468" t="s">
        <v>3374</v>
      </c>
      <c r="N4928" s="1192">
        <f>A4928</f>
        <v>44671</v>
      </c>
      <c r="O4928" s="71" t="s">
        <v>1555</v>
      </c>
      <c r="P4928" s="164" t="str">
        <f>(C4928)</f>
        <v xml:space="preserve"> OKS340 체인구리스</v>
      </c>
      <c r="Q4928" s="71">
        <f t="shared" si="2426"/>
        <v>4</v>
      </c>
      <c r="R4928" s="102">
        <v>170000</v>
      </c>
      <c r="S4928" s="102">
        <f t="shared" si="2427"/>
        <v>748000.00000000012</v>
      </c>
      <c r="T4928" s="102">
        <f t="shared" si="2435"/>
        <v>680000</v>
      </c>
      <c r="U4928" s="71" t="str">
        <f t="shared" si="2436"/>
        <v>X</v>
      </c>
      <c r="V4928" s="71"/>
      <c r="W4928" s="474"/>
      <c r="X4928" s="71"/>
      <c r="Y4928" s="71"/>
    </row>
    <row r="4929" spans="1:25" ht="30" hidden="1" customHeight="1" x14ac:dyDescent="0.25">
      <c r="A4929" s="1145">
        <v>44666</v>
      </c>
      <c r="B4929" s="664" t="s">
        <v>26</v>
      </c>
      <c r="C4929" s="71" t="s">
        <v>3328</v>
      </c>
      <c r="D4929" s="71">
        <v>5</v>
      </c>
      <c r="E4929" s="102">
        <v>55000</v>
      </c>
      <c r="F4929" s="102">
        <f t="shared" si="2430"/>
        <v>302500</v>
      </c>
      <c r="G4929" s="102">
        <f t="shared" si="2431"/>
        <v>275000</v>
      </c>
      <c r="H4929" s="690" t="s">
        <v>172</v>
      </c>
      <c r="I4929" s="71" t="s">
        <v>3295</v>
      </c>
      <c r="J4929" s="53">
        <f t="shared" si="2432"/>
        <v>75000</v>
      </c>
      <c r="K4929" s="63">
        <f t="shared" si="2433"/>
        <v>0.27272727272727271</v>
      </c>
      <c r="L4929" s="1212" t="s">
        <v>3353</v>
      </c>
      <c r="M4929" s="468"/>
      <c r="N4929" s="1192">
        <f>A4929</f>
        <v>44666</v>
      </c>
      <c r="O4929" s="71" t="s">
        <v>152</v>
      </c>
      <c r="P4929" s="103" t="str">
        <f>(C4929)</f>
        <v>아스테이지(CD74용)</v>
      </c>
      <c r="Q4929" s="71">
        <f t="shared" si="2426"/>
        <v>5</v>
      </c>
      <c r="R4929" s="102">
        <v>40000</v>
      </c>
      <c r="S4929" s="102">
        <f t="shared" si="2427"/>
        <v>220000.00000000003</v>
      </c>
      <c r="T4929" s="102">
        <f t="shared" si="2435"/>
        <v>200000</v>
      </c>
      <c r="U4929" s="71" t="str">
        <f t="shared" si="2436"/>
        <v>X</v>
      </c>
      <c r="V4929" s="71"/>
      <c r="W4929" s="474"/>
      <c r="X4929" s="71"/>
      <c r="Y4929" s="71"/>
    </row>
    <row r="4930" spans="1:25" ht="30" hidden="1" customHeight="1" x14ac:dyDescent="0.25">
      <c r="A4930" s="1145">
        <v>44664</v>
      </c>
      <c r="B4930" s="664" t="s">
        <v>26</v>
      </c>
      <c r="C4930" s="71" t="s">
        <v>2087</v>
      </c>
      <c r="D4930" s="71">
        <v>5</v>
      </c>
      <c r="E4930" s="102">
        <v>75000</v>
      </c>
      <c r="F4930" s="102">
        <f t="shared" si="2430"/>
        <v>412500.00000000006</v>
      </c>
      <c r="G4930" s="102">
        <f t="shared" si="2431"/>
        <v>375000</v>
      </c>
      <c r="H4930" s="690" t="s">
        <v>172</v>
      </c>
      <c r="I4930" s="71" t="s">
        <v>3295</v>
      </c>
      <c r="J4930" s="53">
        <f t="shared" si="2432"/>
        <v>125000</v>
      </c>
      <c r="K4930" s="63">
        <f t="shared" si="2433"/>
        <v>0.33333333333333326</v>
      </c>
      <c r="L4930" s="1212" t="s">
        <v>3353</v>
      </c>
      <c r="M4930" s="468"/>
      <c r="N4930" s="1192">
        <f t="shared" si="2437"/>
        <v>44664</v>
      </c>
      <c r="O4930" s="71" t="s">
        <v>152</v>
      </c>
      <c r="P4930" s="103" t="str">
        <f>(C4930)</f>
        <v>아스테이지(국전)</v>
      </c>
      <c r="Q4930" s="71">
        <f t="shared" si="2426"/>
        <v>5</v>
      </c>
      <c r="R4930" s="102">
        <v>50000</v>
      </c>
      <c r="S4930" s="102">
        <f t="shared" si="2427"/>
        <v>275000</v>
      </c>
      <c r="T4930" s="102">
        <f t="shared" si="2435"/>
        <v>250000</v>
      </c>
      <c r="U4930" s="71" t="str">
        <f t="shared" si="2436"/>
        <v>X</v>
      </c>
      <c r="V4930" s="71"/>
      <c r="W4930" s="474">
        <v>150000</v>
      </c>
      <c r="X4930" s="71"/>
      <c r="Y4930" s="71"/>
    </row>
    <row r="4931" spans="1:25" ht="30" hidden="1" customHeight="1" x14ac:dyDescent="0.25">
      <c r="A4931" s="1145">
        <v>44676</v>
      </c>
      <c r="B4931" s="664" t="s">
        <v>1060</v>
      </c>
      <c r="C4931" s="71" t="s">
        <v>3310</v>
      </c>
      <c r="D4931" s="71">
        <v>1000</v>
      </c>
      <c r="E4931" s="102">
        <v>5960</v>
      </c>
      <c r="F4931" s="102">
        <f t="shared" ref="F4931:F4957" si="2438">(E4931*D4931)*1.1</f>
        <v>6556000.0000000009</v>
      </c>
      <c r="G4931" s="102">
        <f t="shared" ref="G4931:G4957" si="2439">(E4931*D4931)</f>
        <v>5960000</v>
      </c>
      <c r="H4931" s="690" t="s">
        <v>36</v>
      </c>
      <c r="I4931" s="71" t="s">
        <v>2529</v>
      </c>
      <c r="J4931" s="53">
        <f t="shared" si="2432"/>
        <v>1412500</v>
      </c>
      <c r="K4931" s="63">
        <f t="shared" ref="K4931:K4953" si="2440">(J4931/(F4931/11*10))</f>
        <v>0.23699664429530198</v>
      </c>
      <c r="L4931" s="1212" t="s">
        <v>3353</v>
      </c>
      <c r="M4931" s="102">
        <v>4250</v>
      </c>
      <c r="N4931" s="1192">
        <f t="shared" si="2437"/>
        <v>44676</v>
      </c>
      <c r="O4931" s="71" t="s">
        <v>3298</v>
      </c>
      <c r="P4931" s="103" t="str">
        <f t="shared" ref="P4931:P4956" si="2441">(C4931)</f>
        <v>ENGAGE 1030*790</v>
      </c>
      <c r="Q4931" s="71">
        <f t="shared" ref="Q4931:Q4954" si="2442">D4931</f>
        <v>1000</v>
      </c>
      <c r="R4931" s="102">
        <f t="shared" ref="R4931:R4940" si="2443">(M4931*1.07)</f>
        <v>4547.5</v>
      </c>
      <c r="S4931" s="102">
        <f t="shared" si="2427"/>
        <v>5002250</v>
      </c>
      <c r="T4931" s="102">
        <f t="shared" si="2435"/>
        <v>4547500</v>
      </c>
      <c r="U4931" s="71" t="str">
        <f t="shared" si="2436"/>
        <v>O</v>
      </c>
      <c r="V4931" s="71"/>
      <c r="W4931" s="474">
        <f t="shared" ref="W4931:W4951" si="2444">(G4931-T4931)</f>
        <v>1412500</v>
      </c>
      <c r="X4931" s="71"/>
      <c r="Y4931" s="71"/>
    </row>
    <row r="4932" spans="1:25" ht="30" hidden="1" customHeight="1" x14ac:dyDescent="0.25">
      <c r="A4932" s="1145">
        <v>44676</v>
      </c>
      <c r="B4932" s="664" t="s">
        <v>1060</v>
      </c>
      <c r="C4932" s="71" t="s">
        <v>3370</v>
      </c>
      <c r="D4932" s="71">
        <v>1000</v>
      </c>
      <c r="E4932" s="102">
        <v>3750</v>
      </c>
      <c r="F4932" s="102">
        <f t="shared" si="2438"/>
        <v>4125000.0000000005</v>
      </c>
      <c r="G4932" s="102">
        <f t="shared" si="2439"/>
        <v>3750000</v>
      </c>
      <c r="H4932" s="690" t="s">
        <v>36</v>
      </c>
      <c r="I4932" s="71" t="s">
        <v>2529</v>
      </c>
      <c r="J4932" s="53">
        <f t="shared" si="2432"/>
        <v>882399.99999999953</v>
      </c>
      <c r="K4932" s="63">
        <f t="shared" si="2440"/>
        <v>0.23530666666666653</v>
      </c>
      <c r="L4932" s="1212" t="s">
        <v>3353</v>
      </c>
      <c r="M4932" s="102">
        <v>2680</v>
      </c>
      <c r="N4932" s="1192">
        <f t="shared" si="2437"/>
        <v>44676</v>
      </c>
      <c r="O4932" s="71" t="s">
        <v>3298</v>
      </c>
      <c r="P4932" s="103" t="str">
        <f t="shared" si="2441"/>
        <v>ENGAGE 900X571 - 27RO</v>
      </c>
      <c r="Q4932" s="71">
        <f t="shared" si="2442"/>
        <v>1000</v>
      </c>
      <c r="R4932" s="102">
        <f t="shared" si="2443"/>
        <v>2867.6000000000004</v>
      </c>
      <c r="S4932" s="102">
        <f t="shared" ref="S4932:S4954" si="2445">R4932*Q4932*1.1</f>
        <v>3154360.0000000009</v>
      </c>
      <c r="T4932" s="102">
        <f t="shared" si="2435"/>
        <v>2867600.0000000005</v>
      </c>
      <c r="U4932" s="71" t="str">
        <f t="shared" si="2436"/>
        <v>O</v>
      </c>
      <c r="V4932" s="71"/>
      <c r="W4932" s="474">
        <f t="shared" si="2444"/>
        <v>882399.99999999953</v>
      </c>
      <c r="X4932" s="71"/>
      <c r="Y4932" s="71"/>
    </row>
    <row r="4933" spans="1:25" ht="30" hidden="1" customHeight="1" x14ac:dyDescent="0.25">
      <c r="A4933" s="1145">
        <v>44676</v>
      </c>
      <c r="B4933" s="664" t="s">
        <v>1060</v>
      </c>
      <c r="C4933" s="71" t="s">
        <v>3369</v>
      </c>
      <c r="D4933" s="71">
        <v>2000</v>
      </c>
      <c r="E4933" s="102">
        <v>3820</v>
      </c>
      <c r="F4933" s="102">
        <f>(E4933*D4933)*1.1</f>
        <v>8404000</v>
      </c>
      <c r="G4933" s="102">
        <f>(E4933*D4933)</f>
        <v>7640000</v>
      </c>
      <c r="H4933" s="690" t="s">
        <v>36</v>
      </c>
      <c r="I4933" s="71" t="s">
        <v>2529</v>
      </c>
      <c r="J4933" s="53">
        <f t="shared" si="2432"/>
        <v>1904799.9999999991</v>
      </c>
      <c r="K4933" s="63">
        <f>(J4933/(F4933/11*10))</f>
        <v>0.24931937172774857</v>
      </c>
      <c r="L4933" s="1212" t="s">
        <v>3353</v>
      </c>
      <c r="M4933" s="102">
        <v>2680</v>
      </c>
      <c r="N4933" s="1192">
        <f>A4933</f>
        <v>44676</v>
      </c>
      <c r="O4933" s="71" t="s">
        <v>3298</v>
      </c>
      <c r="P4933" s="103" t="str">
        <f>(C4933)</f>
        <v>ENGAGE 900X571 - 27RO*</v>
      </c>
      <c r="Q4933" s="71">
        <f>D4933</f>
        <v>2000</v>
      </c>
      <c r="R4933" s="102">
        <f t="shared" si="2443"/>
        <v>2867.6000000000004</v>
      </c>
      <c r="S4933" s="102">
        <f t="shared" si="2445"/>
        <v>6308720.0000000019</v>
      </c>
      <c r="T4933" s="102">
        <f t="shared" si="2435"/>
        <v>5735200.0000000009</v>
      </c>
      <c r="U4933" s="71" t="str">
        <f t="shared" si="2436"/>
        <v>O</v>
      </c>
      <c r="V4933" s="71"/>
      <c r="W4933" s="474">
        <f t="shared" si="2444"/>
        <v>1904799.9999999991</v>
      </c>
      <c r="X4933" s="71"/>
      <c r="Y4933" s="71"/>
    </row>
    <row r="4934" spans="1:25" ht="30" hidden="1" customHeight="1" x14ac:dyDescent="0.25">
      <c r="A4934" s="1145">
        <v>44676</v>
      </c>
      <c r="B4934" s="664" t="s">
        <v>1060</v>
      </c>
      <c r="C4934" s="71" t="s">
        <v>951</v>
      </c>
      <c r="D4934" s="71">
        <v>1000</v>
      </c>
      <c r="E4934" s="102">
        <v>3580</v>
      </c>
      <c r="F4934" s="102">
        <f t="shared" si="2438"/>
        <v>3938000.0000000005</v>
      </c>
      <c r="G4934" s="102">
        <f t="shared" si="2439"/>
        <v>3580000</v>
      </c>
      <c r="H4934" s="690" t="s">
        <v>36</v>
      </c>
      <c r="I4934" s="71" t="s">
        <v>2529</v>
      </c>
      <c r="J4934" s="53">
        <f t="shared" si="2432"/>
        <v>862200</v>
      </c>
      <c r="K4934" s="63">
        <f t="shared" si="2440"/>
        <v>0.24083798882681562</v>
      </c>
      <c r="L4934" s="1212" t="s">
        <v>3353</v>
      </c>
      <c r="M4934" s="102">
        <v>2540</v>
      </c>
      <c r="N4934" s="1192">
        <f t="shared" si="2437"/>
        <v>44676</v>
      </c>
      <c r="O4934" s="71" t="s">
        <v>3298</v>
      </c>
      <c r="P4934" s="103" t="str">
        <f t="shared" si="2441"/>
        <v>ENGAGE 30WEB(883*552)</v>
      </c>
      <c r="Q4934" s="71">
        <f t="shared" si="2442"/>
        <v>1000</v>
      </c>
      <c r="R4934" s="102">
        <f t="shared" si="2443"/>
        <v>2717.8</v>
      </c>
      <c r="S4934" s="102">
        <f t="shared" si="2445"/>
        <v>2989580.0000000005</v>
      </c>
      <c r="T4934" s="102">
        <f t="shared" si="2435"/>
        <v>2717800</v>
      </c>
      <c r="U4934" s="71" t="str">
        <f t="shared" si="2436"/>
        <v>O</v>
      </c>
      <c r="V4934" s="71"/>
      <c r="W4934" s="474">
        <f t="shared" si="2444"/>
        <v>862200</v>
      </c>
      <c r="X4934" s="71"/>
      <c r="Y4934" s="71"/>
    </row>
    <row r="4935" spans="1:25" ht="30" hidden="1" customHeight="1" x14ac:dyDescent="0.25">
      <c r="A4935" s="1145">
        <v>44676</v>
      </c>
      <c r="B4935" s="664" t="s">
        <v>1060</v>
      </c>
      <c r="C4935" s="71" t="s">
        <v>3371</v>
      </c>
      <c r="D4935" s="71">
        <v>2000</v>
      </c>
      <c r="E4935" s="102">
        <v>3640</v>
      </c>
      <c r="F4935" s="102">
        <f>(E4935*D4935)*1.1</f>
        <v>8008000.0000000009</v>
      </c>
      <c r="G4935" s="102">
        <f>(E4935*D4935)</f>
        <v>7280000</v>
      </c>
      <c r="H4935" s="690" t="s">
        <v>36</v>
      </c>
      <c r="I4935" s="71" t="s">
        <v>2529</v>
      </c>
      <c r="J4935" s="53">
        <f t="shared" si="2432"/>
        <v>1844400</v>
      </c>
      <c r="K4935" s="63">
        <f>(J4935/(F4935/11*10))</f>
        <v>0.25335164835164831</v>
      </c>
      <c r="L4935" s="1212" t="s">
        <v>3353</v>
      </c>
      <c r="M4935" s="102">
        <v>2540</v>
      </c>
      <c r="N4935" s="1192">
        <f>A4935</f>
        <v>44676</v>
      </c>
      <c r="O4935" s="71" t="s">
        <v>3298</v>
      </c>
      <c r="P4935" s="103" t="str">
        <f>(C4935)</f>
        <v>ENGAGE 30WEB(883*552)*</v>
      </c>
      <c r="Q4935" s="71">
        <f>D4935</f>
        <v>2000</v>
      </c>
      <c r="R4935" s="102">
        <f t="shared" si="2443"/>
        <v>2717.8</v>
      </c>
      <c r="S4935" s="102">
        <f t="shared" si="2445"/>
        <v>5979160.0000000009</v>
      </c>
      <c r="T4935" s="102">
        <f t="shared" si="2435"/>
        <v>5435600</v>
      </c>
      <c r="U4935" s="71" t="str">
        <f t="shared" si="2436"/>
        <v>O</v>
      </c>
      <c r="V4935" s="71"/>
      <c r="W4935" s="474">
        <f t="shared" si="2444"/>
        <v>1844400</v>
      </c>
      <c r="X4935" s="71"/>
      <c r="Y4935" s="71"/>
    </row>
    <row r="4936" spans="1:25" ht="30" hidden="1" customHeight="1" x14ac:dyDescent="0.25">
      <c r="A4936" s="1145">
        <v>44676</v>
      </c>
      <c r="B4936" s="664" t="s">
        <v>1060</v>
      </c>
      <c r="C4936" s="71" t="s">
        <v>3313</v>
      </c>
      <c r="D4936" s="71">
        <v>1000</v>
      </c>
      <c r="E4936" s="102">
        <v>6040</v>
      </c>
      <c r="F4936" s="102">
        <f t="shared" si="2438"/>
        <v>6644000.0000000009</v>
      </c>
      <c r="G4936" s="102">
        <f t="shared" si="2439"/>
        <v>6040000</v>
      </c>
      <c r="H4936" s="690" t="s">
        <v>36</v>
      </c>
      <c r="I4936" s="71" t="s">
        <v>2529</v>
      </c>
      <c r="J4936" s="53">
        <f t="shared" si="2432"/>
        <v>1439000</v>
      </c>
      <c r="K4936" s="63">
        <f t="shared" si="2440"/>
        <v>0.23824503311258274</v>
      </c>
      <c r="L4936" s="1212" t="s">
        <v>3353</v>
      </c>
      <c r="M4936" s="102">
        <v>4300</v>
      </c>
      <c r="N4936" s="1192">
        <f t="shared" si="2437"/>
        <v>44676</v>
      </c>
      <c r="O4936" s="71" t="s">
        <v>3298</v>
      </c>
      <c r="P4936" s="103" t="str">
        <f t="shared" si="2441"/>
        <v>ENGAGE 1030*800</v>
      </c>
      <c r="Q4936" s="71">
        <f t="shared" si="2442"/>
        <v>1000</v>
      </c>
      <c r="R4936" s="102">
        <f t="shared" si="2443"/>
        <v>4601</v>
      </c>
      <c r="S4936" s="102">
        <f t="shared" si="2445"/>
        <v>5061100</v>
      </c>
      <c r="T4936" s="102">
        <f t="shared" si="2435"/>
        <v>4601000</v>
      </c>
      <c r="U4936" s="71" t="str">
        <f t="shared" si="2436"/>
        <v>O</v>
      </c>
      <c r="V4936" s="71"/>
      <c r="W4936" s="474">
        <f t="shared" si="2444"/>
        <v>1439000</v>
      </c>
      <c r="X4936" s="71"/>
      <c r="Y4936" s="71"/>
    </row>
    <row r="4937" spans="1:25" ht="30" hidden="1" customHeight="1" x14ac:dyDescent="0.25">
      <c r="A4937" s="1145">
        <v>44676</v>
      </c>
      <c r="B4937" s="664" t="s">
        <v>1060</v>
      </c>
      <c r="C4937" s="71" t="s">
        <v>3314</v>
      </c>
      <c r="D4937" s="71">
        <v>1000</v>
      </c>
      <c r="E4937" s="102">
        <v>6260</v>
      </c>
      <c r="F4937" s="102">
        <f t="shared" si="2438"/>
        <v>6886000.0000000009</v>
      </c>
      <c r="G4937" s="102">
        <f t="shared" si="2439"/>
        <v>6260000</v>
      </c>
      <c r="H4937" s="690" t="s">
        <v>36</v>
      </c>
      <c r="I4937" s="71" t="s">
        <v>2529</v>
      </c>
      <c r="J4937" s="53">
        <f t="shared" si="2432"/>
        <v>1477099.9999999991</v>
      </c>
      <c r="K4937" s="63">
        <f t="shared" si="2440"/>
        <v>0.23595846645367394</v>
      </c>
      <c r="L4937" s="1212" t="s">
        <v>3353</v>
      </c>
      <c r="M4937" s="102">
        <v>4470</v>
      </c>
      <c r="N4937" s="1192">
        <f t="shared" si="2437"/>
        <v>44676</v>
      </c>
      <c r="O4937" s="71" t="s">
        <v>3298</v>
      </c>
      <c r="P4937" s="103" t="str">
        <f t="shared" si="2441"/>
        <v>ENGAGE 1055*811</v>
      </c>
      <c r="Q4937" s="71">
        <f t="shared" si="2442"/>
        <v>1000</v>
      </c>
      <c r="R4937" s="102">
        <f t="shared" si="2443"/>
        <v>4782.9000000000005</v>
      </c>
      <c r="S4937" s="102">
        <f t="shared" si="2445"/>
        <v>5261190.0000000019</v>
      </c>
      <c r="T4937" s="102">
        <f t="shared" si="2435"/>
        <v>4782900.0000000009</v>
      </c>
      <c r="U4937" s="71" t="str">
        <f t="shared" si="2436"/>
        <v>O</v>
      </c>
      <c r="V4937" s="71"/>
      <c r="W4937" s="474">
        <f t="shared" si="2444"/>
        <v>1477099.9999999991</v>
      </c>
      <c r="X4937" s="71"/>
      <c r="Y4937" s="71"/>
    </row>
    <row r="4938" spans="1:25" ht="30" hidden="1" customHeight="1" x14ac:dyDescent="0.25">
      <c r="A4938" s="1145">
        <v>44676</v>
      </c>
      <c r="B4938" s="664" t="s">
        <v>1060</v>
      </c>
      <c r="C4938" s="71" t="s">
        <v>3372</v>
      </c>
      <c r="D4938" s="71">
        <v>100</v>
      </c>
      <c r="E4938" s="102">
        <v>6370</v>
      </c>
      <c r="F4938" s="102">
        <f>(E4938*D4938)*1.1</f>
        <v>700700</v>
      </c>
      <c r="G4938" s="102">
        <f>(E4938*D4938)</f>
        <v>637000</v>
      </c>
      <c r="H4938" s="690" t="s">
        <v>36</v>
      </c>
      <c r="I4938" s="71" t="s">
        <v>2529</v>
      </c>
      <c r="J4938" s="53">
        <f t="shared" si="2432"/>
        <v>158709.99999999994</v>
      </c>
      <c r="K4938" s="63">
        <f>(J4938/(F4938/11*10))</f>
        <v>0.24915227629513334</v>
      </c>
      <c r="L4938" s="1212" t="s">
        <v>3353</v>
      </c>
      <c r="M4938" s="102">
        <v>4470</v>
      </c>
      <c r="N4938" s="1192">
        <f>A4938</f>
        <v>44676</v>
      </c>
      <c r="O4938" s="71" t="s">
        <v>3298</v>
      </c>
      <c r="P4938" s="103" t="str">
        <f>(C4938)</f>
        <v>ENGAGE 1055*811*</v>
      </c>
      <c r="Q4938" s="71">
        <f>D4938</f>
        <v>100</v>
      </c>
      <c r="R4938" s="102">
        <f t="shared" si="2443"/>
        <v>4782.9000000000005</v>
      </c>
      <c r="S4938" s="102">
        <f t="shared" si="2445"/>
        <v>526119.00000000012</v>
      </c>
      <c r="T4938" s="102">
        <f t="shared" si="2435"/>
        <v>478290.00000000006</v>
      </c>
      <c r="U4938" s="71" t="str">
        <f t="shared" si="2436"/>
        <v>O</v>
      </c>
      <c r="V4938" s="71"/>
      <c r="W4938" s="474">
        <f t="shared" si="2444"/>
        <v>158709.99999999994</v>
      </c>
      <c r="X4938" s="71"/>
      <c r="Y4938" s="71"/>
    </row>
    <row r="4939" spans="1:25" ht="30" hidden="1" customHeight="1" x14ac:dyDescent="0.25">
      <c r="A4939" s="1145">
        <v>44676</v>
      </c>
      <c r="B4939" s="664" t="s">
        <v>1060</v>
      </c>
      <c r="C4939" s="71" t="s">
        <v>3315</v>
      </c>
      <c r="D4939" s="71">
        <v>1000</v>
      </c>
      <c r="E4939" s="102">
        <v>4480</v>
      </c>
      <c r="F4939" s="102">
        <f t="shared" si="2438"/>
        <v>4928000</v>
      </c>
      <c r="G4939" s="102">
        <f t="shared" si="2439"/>
        <v>4480000</v>
      </c>
      <c r="H4939" s="690" t="s">
        <v>36</v>
      </c>
      <c r="I4939" s="71" t="s">
        <v>2529</v>
      </c>
      <c r="J4939" s="53">
        <f t="shared" si="2432"/>
        <v>1066700</v>
      </c>
      <c r="K4939" s="63">
        <f t="shared" si="2440"/>
        <v>0.23810267857142858</v>
      </c>
      <c r="L4939" s="1212" t="s">
        <v>3353</v>
      </c>
      <c r="M4939" s="102">
        <v>3190</v>
      </c>
      <c r="N4939" s="1192">
        <f t="shared" si="2437"/>
        <v>44676</v>
      </c>
      <c r="O4939" s="71" t="s">
        <v>3298</v>
      </c>
      <c r="P4939" s="103" t="str">
        <f t="shared" si="2441"/>
        <v>ENGAGE 968*631</v>
      </c>
      <c r="Q4939" s="71">
        <f t="shared" si="2442"/>
        <v>1000</v>
      </c>
      <c r="R4939" s="102">
        <f t="shared" si="2443"/>
        <v>3413.3</v>
      </c>
      <c r="S4939" s="102">
        <f t="shared" si="2445"/>
        <v>3754630.0000000005</v>
      </c>
      <c r="T4939" s="102">
        <f t="shared" si="2435"/>
        <v>3413300</v>
      </c>
      <c r="U4939" s="71" t="str">
        <f t="shared" si="2436"/>
        <v>O</v>
      </c>
      <c r="V4939" s="71"/>
      <c r="W4939" s="474">
        <f t="shared" si="2444"/>
        <v>1066700</v>
      </c>
      <c r="X4939" s="71"/>
      <c r="Y4939" s="71"/>
    </row>
    <row r="4940" spans="1:25" ht="30" hidden="1" customHeight="1" x14ac:dyDescent="0.25">
      <c r="A4940" s="1145">
        <v>44676</v>
      </c>
      <c r="B4940" s="664" t="s">
        <v>1060</v>
      </c>
      <c r="C4940" s="71" t="s">
        <v>3316</v>
      </c>
      <c r="D4940" s="71"/>
      <c r="E4940" s="102"/>
      <c r="F4940" s="102">
        <f t="shared" si="2438"/>
        <v>0</v>
      </c>
      <c r="G4940" s="102">
        <f t="shared" si="2439"/>
        <v>0</v>
      </c>
      <c r="H4940" s="690" t="s">
        <v>36</v>
      </c>
      <c r="I4940" s="71" t="s">
        <v>2529</v>
      </c>
      <c r="J4940" s="53">
        <f t="shared" si="2432"/>
        <v>0</v>
      </c>
      <c r="K4940" s="63" t="e">
        <f t="shared" si="2440"/>
        <v>#DIV/0!</v>
      </c>
      <c r="L4940" s="1212" t="s">
        <v>3353</v>
      </c>
      <c r="M4940" s="102">
        <v>5510</v>
      </c>
      <c r="N4940" s="1192">
        <f t="shared" si="2437"/>
        <v>44676</v>
      </c>
      <c r="O4940" s="71" t="s">
        <v>3298</v>
      </c>
      <c r="P4940" s="103" t="str">
        <f t="shared" si="2441"/>
        <v>ENGAGE 1092*800</v>
      </c>
      <c r="Q4940" s="71">
        <f t="shared" si="2442"/>
        <v>0</v>
      </c>
      <c r="R4940" s="102">
        <f t="shared" si="2443"/>
        <v>5895.7000000000007</v>
      </c>
      <c r="S4940" s="102">
        <f t="shared" si="2445"/>
        <v>0</v>
      </c>
      <c r="T4940" s="102">
        <f t="shared" si="2435"/>
        <v>0</v>
      </c>
      <c r="U4940" s="71" t="str">
        <f t="shared" si="2436"/>
        <v>O</v>
      </c>
      <c r="V4940" s="71"/>
      <c r="W4940" s="474">
        <f t="shared" si="2444"/>
        <v>0</v>
      </c>
      <c r="X4940" s="71"/>
      <c r="Y4940" s="71"/>
    </row>
    <row r="4941" spans="1:25" ht="30" hidden="1" customHeight="1" x14ac:dyDescent="0.25">
      <c r="A4941" s="1145">
        <v>44676</v>
      </c>
      <c r="B4941" s="664" t="s">
        <v>1060</v>
      </c>
      <c r="C4941" s="71" t="s">
        <v>3373</v>
      </c>
      <c r="D4941" s="71">
        <v>30</v>
      </c>
      <c r="E4941" s="102">
        <v>56000</v>
      </c>
      <c r="F4941" s="102">
        <f t="shared" si="2438"/>
        <v>1848000.0000000002</v>
      </c>
      <c r="G4941" s="102">
        <f t="shared" si="2439"/>
        <v>1680000</v>
      </c>
      <c r="H4941" s="690" t="s">
        <v>36</v>
      </c>
      <c r="I4941" s="71" t="s">
        <v>2529</v>
      </c>
      <c r="J4941" s="53">
        <f t="shared" si="2432"/>
        <v>387960</v>
      </c>
      <c r="K4941" s="63">
        <f t="shared" si="2440"/>
        <v>0.2309285714285714</v>
      </c>
      <c r="L4941" s="1212" t="s">
        <v>3353</v>
      </c>
      <c r="M4941" s="468"/>
      <c r="N4941" s="1192">
        <f t="shared" si="2437"/>
        <v>44676</v>
      </c>
      <c r="O4941" s="71" t="s">
        <v>3298</v>
      </c>
      <c r="P4941" s="103" t="str">
        <f t="shared" si="2441"/>
        <v>THR200(20L)보충액*</v>
      </c>
      <c r="Q4941" s="71">
        <f t="shared" si="2442"/>
        <v>30</v>
      </c>
      <c r="R4941" s="102">
        <v>43068</v>
      </c>
      <c r="S4941" s="102">
        <f t="shared" si="2445"/>
        <v>1421244</v>
      </c>
      <c r="T4941" s="102">
        <f t="shared" si="2435"/>
        <v>1292040</v>
      </c>
      <c r="U4941" s="71" t="str">
        <f t="shared" si="2436"/>
        <v>O</v>
      </c>
      <c r="V4941" s="71"/>
      <c r="W4941" s="474">
        <f t="shared" si="2444"/>
        <v>387960</v>
      </c>
      <c r="X4941" s="71"/>
      <c r="Y4941" s="71"/>
    </row>
    <row r="4942" spans="1:25" ht="30" hidden="1" customHeight="1" x14ac:dyDescent="0.25">
      <c r="A4942" s="1145">
        <v>44676</v>
      </c>
      <c r="B4942" s="664" t="s">
        <v>1051</v>
      </c>
      <c r="C4942" s="71" t="s">
        <v>1386</v>
      </c>
      <c r="D4942" s="71">
        <v>20</v>
      </c>
      <c r="E4942" s="102">
        <v>55000</v>
      </c>
      <c r="F4942" s="102">
        <f t="shared" si="2438"/>
        <v>1210000</v>
      </c>
      <c r="G4942" s="102">
        <f t="shared" si="2439"/>
        <v>1100000</v>
      </c>
      <c r="H4942" s="690" t="s">
        <v>142</v>
      </c>
      <c r="I4942" s="71" t="s">
        <v>2273</v>
      </c>
      <c r="J4942" s="53">
        <f t="shared" si="2432"/>
        <v>238640</v>
      </c>
      <c r="K4942" s="63">
        <f t="shared" si="2440"/>
        <v>0.21694545454545455</v>
      </c>
      <c r="L4942" s="1212" t="s">
        <v>3353</v>
      </c>
      <c r="M4942" s="468"/>
      <c r="N4942" s="1192">
        <f t="shared" si="2437"/>
        <v>44676</v>
      </c>
      <c r="O4942" s="71" t="s">
        <v>145</v>
      </c>
      <c r="P4942" s="164" t="str">
        <f t="shared" si="2441"/>
        <v>THR200(20L)보충액</v>
      </c>
      <c r="Q4942" s="71">
        <f t="shared" si="2442"/>
        <v>20</v>
      </c>
      <c r="R4942" s="102">
        <v>43068</v>
      </c>
      <c r="S4942" s="102">
        <f t="shared" si="2445"/>
        <v>947496.00000000012</v>
      </c>
      <c r="T4942" s="102">
        <f t="shared" si="2435"/>
        <v>861360</v>
      </c>
      <c r="U4942" s="71" t="str">
        <f t="shared" si="2436"/>
        <v>O</v>
      </c>
      <c r="V4942" s="71"/>
      <c r="W4942" s="474">
        <f t="shared" si="2444"/>
        <v>238640</v>
      </c>
      <c r="X4942" s="71"/>
      <c r="Y4942" s="71"/>
    </row>
    <row r="4943" spans="1:25" ht="30" hidden="1" customHeight="1" x14ac:dyDescent="0.25">
      <c r="A4943" s="1145">
        <v>44676</v>
      </c>
      <c r="B4943" s="664" t="s">
        <v>1060</v>
      </c>
      <c r="C4943" s="71" t="s">
        <v>3318</v>
      </c>
      <c r="D4943" s="71">
        <v>20</v>
      </c>
      <c r="E4943" s="102">
        <v>55000</v>
      </c>
      <c r="F4943" s="102">
        <f t="shared" si="2438"/>
        <v>1210000</v>
      </c>
      <c r="G4943" s="102">
        <f t="shared" si="2439"/>
        <v>1100000</v>
      </c>
      <c r="H4943" s="690" t="s">
        <v>36</v>
      </c>
      <c r="I4943" s="71" t="s">
        <v>2529</v>
      </c>
      <c r="J4943" s="53">
        <f t="shared" si="2432"/>
        <v>238640</v>
      </c>
      <c r="K4943" s="63">
        <f t="shared" si="2440"/>
        <v>0.21694545454545455</v>
      </c>
      <c r="L4943" s="1212" t="s">
        <v>3353</v>
      </c>
      <c r="M4943" s="468"/>
      <c r="N4943" s="1192">
        <f t="shared" si="2437"/>
        <v>44676</v>
      </c>
      <c r="O4943" s="71" t="s">
        <v>3298</v>
      </c>
      <c r="P4943" s="103" t="str">
        <f t="shared" si="2441"/>
        <v>THD200(20L)현상액</v>
      </c>
      <c r="Q4943" s="71">
        <f t="shared" si="2442"/>
        <v>20</v>
      </c>
      <c r="R4943" s="102">
        <v>43068</v>
      </c>
      <c r="S4943" s="102">
        <f t="shared" si="2445"/>
        <v>947496.00000000012</v>
      </c>
      <c r="T4943" s="102">
        <f t="shared" si="2435"/>
        <v>861360</v>
      </c>
      <c r="U4943" s="71" t="str">
        <f t="shared" si="2436"/>
        <v>O</v>
      </c>
      <c r="V4943" s="71"/>
      <c r="W4943" s="474">
        <f t="shared" si="2444"/>
        <v>238640</v>
      </c>
      <c r="X4943" s="71"/>
      <c r="Y4943" s="71"/>
    </row>
    <row r="4944" spans="1:25" ht="30" hidden="1" customHeight="1" x14ac:dyDescent="0.25">
      <c r="A4944" s="1145">
        <v>44676</v>
      </c>
      <c r="B4944" s="664" t="s">
        <v>1061</v>
      </c>
      <c r="C4944" s="71" t="s">
        <v>3319</v>
      </c>
      <c r="D4944" s="71">
        <v>400</v>
      </c>
      <c r="E4944" s="102">
        <v>5600</v>
      </c>
      <c r="F4944" s="102">
        <f t="shared" si="2438"/>
        <v>2464000</v>
      </c>
      <c r="G4944" s="102">
        <f t="shared" si="2439"/>
        <v>2240000</v>
      </c>
      <c r="H4944" s="690" t="s">
        <v>36</v>
      </c>
      <c r="I4944" s="71" t="s">
        <v>3320</v>
      </c>
      <c r="J4944" s="53">
        <f t="shared" si="2432"/>
        <v>120000</v>
      </c>
      <c r="K4944" s="63">
        <f t="shared" si="2440"/>
        <v>5.3571428571428568E-2</v>
      </c>
      <c r="L4944" s="1212" t="s">
        <v>3353</v>
      </c>
      <c r="M4944" s="468"/>
      <c r="N4944" s="1192">
        <f t="shared" si="2437"/>
        <v>44676</v>
      </c>
      <c r="O4944" s="71" t="s">
        <v>146</v>
      </c>
      <c r="P4944" s="103" t="str">
        <f t="shared" si="2441"/>
        <v>프리미어(먹)</v>
      </c>
      <c r="Q4944" s="71">
        <f t="shared" si="2442"/>
        <v>400</v>
      </c>
      <c r="R4944" s="102">
        <v>5300</v>
      </c>
      <c r="S4944" s="102">
        <f t="shared" si="2445"/>
        <v>2332000</v>
      </c>
      <c r="T4944" s="102">
        <f t="shared" si="2435"/>
        <v>2120000</v>
      </c>
      <c r="U4944" s="71" t="str">
        <f t="shared" si="2436"/>
        <v>O</v>
      </c>
      <c r="V4944" s="71"/>
      <c r="W4944" s="474">
        <f t="shared" si="2444"/>
        <v>120000</v>
      </c>
      <c r="X4944" s="71"/>
      <c r="Y4944" s="71"/>
    </row>
    <row r="4945" spans="1:25" ht="30" hidden="1" customHeight="1" x14ac:dyDescent="0.25">
      <c r="A4945" s="1145">
        <v>44676</v>
      </c>
      <c r="B4945" s="664" t="s">
        <v>1061</v>
      </c>
      <c r="C4945" s="71" t="s">
        <v>3321</v>
      </c>
      <c r="D4945" s="71">
        <v>400</v>
      </c>
      <c r="E4945" s="102">
        <v>6000</v>
      </c>
      <c r="F4945" s="102">
        <f t="shared" si="2438"/>
        <v>2640000</v>
      </c>
      <c r="G4945" s="102">
        <f t="shared" si="2439"/>
        <v>2400000</v>
      </c>
      <c r="H4945" s="690" t="s">
        <v>36</v>
      </c>
      <c r="I4945" s="71" t="s">
        <v>3320</v>
      </c>
      <c r="J4945" s="53">
        <f t="shared" si="2432"/>
        <v>-20000</v>
      </c>
      <c r="K4945" s="63">
        <f t="shared" si="2440"/>
        <v>-8.3333333333333332E-3</v>
      </c>
      <c r="L4945" s="1212" t="s">
        <v>3353</v>
      </c>
      <c r="M4945" s="468"/>
      <c r="N4945" s="1192">
        <f t="shared" si="2437"/>
        <v>44676</v>
      </c>
      <c r="O4945" s="71" t="s">
        <v>146</v>
      </c>
      <c r="P4945" s="103" t="str">
        <f t="shared" si="2441"/>
        <v>프리미어(적)</v>
      </c>
      <c r="Q4945" s="71">
        <f t="shared" si="2442"/>
        <v>400</v>
      </c>
      <c r="R4945" s="102">
        <v>6050</v>
      </c>
      <c r="S4945" s="102">
        <f t="shared" si="2445"/>
        <v>2662000</v>
      </c>
      <c r="T4945" s="102">
        <f t="shared" si="2435"/>
        <v>2420000</v>
      </c>
      <c r="U4945" s="71" t="str">
        <f t="shared" si="2436"/>
        <v>O</v>
      </c>
      <c r="V4945" s="71"/>
      <c r="W4945" s="474">
        <f t="shared" si="2444"/>
        <v>-20000</v>
      </c>
      <c r="X4945" s="71"/>
      <c r="Y4945" s="71"/>
    </row>
    <row r="4946" spans="1:25" ht="30" hidden="1" customHeight="1" x14ac:dyDescent="0.25">
      <c r="A4946" s="1145">
        <v>44676</v>
      </c>
      <c r="B4946" s="664" t="s">
        <v>1061</v>
      </c>
      <c r="C4946" s="71" t="s">
        <v>1289</v>
      </c>
      <c r="D4946" s="71">
        <v>800</v>
      </c>
      <c r="E4946" s="102">
        <v>5750</v>
      </c>
      <c r="F4946" s="102">
        <f t="shared" si="2438"/>
        <v>5060000</v>
      </c>
      <c r="G4946" s="102">
        <f t="shared" si="2439"/>
        <v>4600000</v>
      </c>
      <c r="H4946" s="690" t="s">
        <v>36</v>
      </c>
      <c r="I4946" s="71" t="s">
        <v>3320</v>
      </c>
      <c r="J4946" s="53">
        <f t="shared" si="2432"/>
        <v>256000</v>
      </c>
      <c r="K4946" s="63">
        <f t="shared" si="2440"/>
        <v>5.565217391304348E-2</v>
      </c>
      <c r="L4946" s="1212" t="s">
        <v>3353</v>
      </c>
      <c r="M4946" s="468"/>
      <c r="N4946" s="1192">
        <f t="shared" si="2437"/>
        <v>44676</v>
      </c>
      <c r="O4946" s="71" t="s">
        <v>146</v>
      </c>
      <c r="P4946" s="103" t="str">
        <f t="shared" si="2441"/>
        <v>프리미어(황)</v>
      </c>
      <c r="Q4946" s="71">
        <f t="shared" si="2442"/>
        <v>800</v>
      </c>
      <c r="R4946" s="102">
        <v>5430</v>
      </c>
      <c r="S4946" s="102">
        <f t="shared" si="2445"/>
        <v>4778400</v>
      </c>
      <c r="T4946" s="102">
        <f t="shared" si="2435"/>
        <v>4344000</v>
      </c>
      <c r="U4946" s="71" t="str">
        <f t="shared" si="2436"/>
        <v>O</v>
      </c>
      <c r="V4946" s="71"/>
      <c r="W4946" s="474">
        <f t="shared" si="2444"/>
        <v>256000</v>
      </c>
      <c r="X4946" s="71"/>
      <c r="Y4946" s="71"/>
    </row>
    <row r="4947" spans="1:25" ht="30" hidden="1" customHeight="1" x14ac:dyDescent="0.25">
      <c r="A4947" s="1145">
        <v>44676</v>
      </c>
      <c r="B4947" s="664" t="s">
        <v>1061</v>
      </c>
      <c r="C4947" s="71" t="s">
        <v>1290</v>
      </c>
      <c r="D4947" s="71">
        <v>600</v>
      </c>
      <c r="E4947" s="102">
        <v>7000</v>
      </c>
      <c r="F4947" s="102">
        <f t="shared" si="2438"/>
        <v>4620000</v>
      </c>
      <c r="G4947" s="102">
        <f t="shared" si="2439"/>
        <v>4200000</v>
      </c>
      <c r="H4947" s="690" t="s">
        <v>36</v>
      </c>
      <c r="I4947" s="71" t="s">
        <v>3320</v>
      </c>
      <c r="J4947" s="53">
        <f t="shared" si="2432"/>
        <v>300000</v>
      </c>
      <c r="K4947" s="63">
        <f t="shared" si="2440"/>
        <v>7.1428571428571425E-2</v>
      </c>
      <c r="L4947" s="1212" t="s">
        <v>3353</v>
      </c>
      <c r="M4947" s="468"/>
      <c r="N4947" s="1192">
        <f t="shared" si="2437"/>
        <v>44676</v>
      </c>
      <c r="O4947" s="71" t="s">
        <v>146</v>
      </c>
      <c r="P4947" s="103" t="str">
        <f t="shared" si="2441"/>
        <v>프리미어(청)</v>
      </c>
      <c r="Q4947" s="71">
        <f t="shared" si="2442"/>
        <v>600</v>
      </c>
      <c r="R4947" s="102">
        <v>6500</v>
      </c>
      <c r="S4947" s="102">
        <f t="shared" si="2445"/>
        <v>4290000</v>
      </c>
      <c r="T4947" s="102">
        <f t="shared" si="2435"/>
        <v>3900000</v>
      </c>
      <c r="U4947" s="71" t="str">
        <f t="shared" si="2436"/>
        <v>O</v>
      </c>
      <c r="V4947" s="71"/>
      <c r="W4947" s="474">
        <f t="shared" si="2444"/>
        <v>300000</v>
      </c>
      <c r="X4947" s="71"/>
      <c r="Y4947" s="71"/>
    </row>
    <row r="4948" spans="1:25" ht="30" hidden="1" customHeight="1" x14ac:dyDescent="0.25">
      <c r="A4948" s="1145">
        <v>44656</v>
      </c>
      <c r="B4948" s="664" t="s">
        <v>1061</v>
      </c>
      <c r="C4948" s="71" t="s">
        <v>3322</v>
      </c>
      <c r="D4948" s="71">
        <v>0</v>
      </c>
      <c r="E4948" s="102">
        <v>6200</v>
      </c>
      <c r="F4948" s="102">
        <f t="shared" si="2438"/>
        <v>0</v>
      </c>
      <c r="G4948" s="102">
        <f t="shared" si="2439"/>
        <v>0</v>
      </c>
      <c r="H4948" s="690" t="s">
        <v>36</v>
      </c>
      <c r="I4948" s="71" t="s">
        <v>3320</v>
      </c>
      <c r="J4948" s="53">
        <f t="shared" si="2432"/>
        <v>0</v>
      </c>
      <c r="K4948" s="63" t="e">
        <f t="shared" si="2440"/>
        <v>#DIV/0!</v>
      </c>
      <c r="L4948" s="1212" t="s">
        <v>3353</v>
      </c>
      <c r="M4948" s="468"/>
      <c r="N4948" s="1192">
        <f t="shared" si="2437"/>
        <v>44656</v>
      </c>
      <c r="O4948" s="71" t="s">
        <v>3323</v>
      </c>
      <c r="P4948" s="103" t="str">
        <f t="shared" si="2441"/>
        <v>한특 잉크(적)</v>
      </c>
      <c r="Q4948" s="71">
        <f t="shared" si="2442"/>
        <v>0</v>
      </c>
      <c r="R4948" s="102">
        <v>5900</v>
      </c>
      <c r="S4948" s="102">
        <f t="shared" si="2445"/>
        <v>0</v>
      </c>
      <c r="T4948" s="102">
        <f t="shared" si="2435"/>
        <v>0</v>
      </c>
      <c r="U4948" s="71" t="str">
        <f t="shared" si="2436"/>
        <v>O</v>
      </c>
      <c r="V4948" s="71"/>
      <c r="W4948" s="474">
        <f t="shared" si="2444"/>
        <v>0</v>
      </c>
      <c r="X4948" s="71"/>
      <c r="Y4948" s="71"/>
    </row>
    <row r="4949" spans="1:25" ht="30" hidden="1" customHeight="1" x14ac:dyDescent="0.25">
      <c r="A4949" s="1145">
        <v>44656</v>
      </c>
      <c r="B4949" s="664" t="s">
        <v>1061</v>
      </c>
      <c r="C4949" s="71" t="s">
        <v>3324</v>
      </c>
      <c r="D4949" s="71">
        <v>0</v>
      </c>
      <c r="E4949" s="102">
        <v>6000</v>
      </c>
      <c r="F4949" s="102">
        <f t="shared" si="2438"/>
        <v>0</v>
      </c>
      <c r="G4949" s="102">
        <f t="shared" si="2439"/>
        <v>0</v>
      </c>
      <c r="H4949" s="690" t="s">
        <v>36</v>
      </c>
      <c r="I4949" s="71" t="s">
        <v>3320</v>
      </c>
      <c r="J4949" s="53">
        <f t="shared" si="2432"/>
        <v>0</v>
      </c>
      <c r="K4949" s="63" t="e">
        <f t="shared" si="2440"/>
        <v>#DIV/0!</v>
      </c>
      <c r="L4949" s="1212" t="s">
        <v>3353</v>
      </c>
      <c r="M4949" s="468"/>
      <c r="N4949" s="1192">
        <f t="shared" si="2437"/>
        <v>44656</v>
      </c>
      <c r="O4949" s="71" t="s">
        <v>3323</v>
      </c>
      <c r="P4949" s="103" t="str">
        <f t="shared" si="2441"/>
        <v>한특 잉크(황)</v>
      </c>
      <c r="Q4949" s="71">
        <f t="shared" si="2442"/>
        <v>0</v>
      </c>
      <c r="R4949" s="102">
        <v>5500</v>
      </c>
      <c r="S4949" s="102">
        <f t="shared" si="2445"/>
        <v>0</v>
      </c>
      <c r="T4949" s="102">
        <f t="shared" si="2435"/>
        <v>0</v>
      </c>
      <c r="U4949" s="71" t="str">
        <f t="shared" si="2436"/>
        <v>O</v>
      </c>
      <c r="V4949" s="71"/>
      <c r="W4949" s="474">
        <f t="shared" si="2444"/>
        <v>0</v>
      </c>
      <c r="X4949" s="71"/>
      <c r="Y4949" s="71"/>
    </row>
    <row r="4950" spans="1:25" ht="30" hidden="1" customHeight="1" x14ac:dyDescent="0.25">
      <c r="A4950" s="1145">
        <v>44656</v>
      </c>
      <c r="B4950" s="664" t="s">
        <v>1061</v>
      </c>
      <c r="C4950" s="71" t="s">
        <v>3325</v>
      </c>
      <c r="D4950" s="71">
        <v>0</v>
      </c>
      <c r="E4950" s="102">
        <v>6500</v>
      </c>
      <c r="F4950" s="102">
        <f t="shared" si="2438"/>
        <v>0</v>
      </c>
      <c r="G4950" s="102">
        <f t="shared" si="2439"/>
        <v>0</v>
      </c>
      <c r="H4950" s="690" t="s">
        <v>36</v>
      </c>
      <c r="I4950" s="71" t="s">
        <v>3320</v>
      </c>
      <c r="J4950" s="53">
        <f t="shared" si="2432"/>
        <v>0</v>
      </c>
      <c r="K4950" s="63" t="e">
        <f t="shared" si="2440"/>
        <v>#DIV/0!</v>
      </c>
      <c r="L4950" s="1212" t="s">
        <v>3353</v>
      </c>
      <c r="M4950" s="468"/>
      <c r="N4950" s="1192">
        <f t="shared" si="2437"/>
        <v>44656</v>
      </c>
      <c r="O4950" s="71" t="s">
        <v>3323</v>
      </c>
      <c r="P4950" s="103" t="str">
        <f t="shared" si="2441"/>
        <v>한특 잉크(청)</v>
      </c>
      <c r="Q4950" s="71">
        <f t="shared" si="2442"/>
        <v>0</v>
      </c>
      <c r="R4950" s="102">
        <v>5800</v>
      </c>
      <c r="S4950" s="102">
        <f t="shared" si="2445"/>
        <v>0</v>
      </c>
      <c r="T4950" s="102">
        <f t="shared" si="2435"/>
        <v>0</v>
      </c>
      <c r="U4950" s="71" t="str">
        <f t="shared" si="2436"/>
        <v>O</v>
      </c>
      <c r="V4950" s="71"/>
      <c r="W4950" s="474">
        <f t="shared" si="2444"/>
        <v>0</v>
      </c>
      <c r="X4950" s="71"/>
      <c r="Y4950" s="71"/>
    </row>
    <row r="4951" spans="1:25" ht="30" hidden="1" customHeight="1" x14ac:dyDescent="0.25">
      <c r="A4951" s="1145">
        <v>44656</v>
      </c>
      <c r="B4951" s="664" t="s">
        <v>1061</v>
      </c>
      <c r="C4951" s="71" t="s">
        <v>3326</v>
      </c>
      <c r="D4951" s="71">
        <v>0</v>
      </c>
      <c r="E4951" s="102">
        <v>5600</v>
      </c>
      <c r="F4951" s="102">
        <f t="shared" si="2438"/>
        <v>0</v>
      </c>
      <c r="G4951" s="102">
        <f t="shared" si="2439"/>
        <v>0</v>
      </c>
      <c r="H4951" s="690" t="s">
        <v>36</v>
      </c>
      <c r="I4951" s="71" t="s">
        <v>3320</v>
      </c>
      <c r="J4951" s="53">
        <f t="shared" ref="J4951:J4971" si="2446">G4951-T4951</f>
        <v>0</v>
      </c>
      <c r="K4951" s="63" t="e">
        <f t="shared" si="2440"/>
        <v>#DIV/0!</v>
      </c>
      <c r="L4951" s="1212" t="s">
        <v>3353</v>
      </c>
      <c r="M4951" s="468"/>
      <c r="N4951" s="1192">
        <f t="shared" si="2437"/>
        <v>44656</v>
      </c>
      <c r="O4951" s="71" t="s">
        <v>3323</v>
      </c>
      <c r="P4951" s="103" t="str">
        <f t="shared" si="2441"/>
        <v>한특 잉크(먹)</v>
      </c>
      <c r="Q4951" s="71">
        <f t="shared" si="2442"/>
        <v>0</v>
      </c>
      <c r="R4951" s="102">
        <v>5000</v>
      </c>
      <c r="S4951" s="102">
        <f t="shared" si="2445"/>
        <v>0</v>
      </c>
      <c r="T4951" s="102">
        <f t="shared" si="2435"/>
        <v>0</v>
      </c>
      <c r="U4951" s="71" t="str">
        <f t="shared" si="2436"/>
        <v>O</v>
      </c>
      <c r="V4951" s="71"/>
      <c r="W4951" s="474">
        <f t="shared" si="2444"/>
        <v>0</v>
      </c>
      <c r="X4951" s="71"/>
      <c r="Y4951" s="71"/>
    </row>
    <row r="4952" spans="1:25" ht="30" hidden="1" customHeight="1" x14ac:dyDescent="0.25">
      <c r="A4952" s="1145">
        <v>44676</v>
      </c>
      <c r="B4952" s="664" t="s">
        <v>1060</v>
      </c>
      <c r="C4952" s="71" t="s">
        <v>3327</v>
      </c>
      <c r="D4952" s="71">
        <v>1</v>
      </c>
      <c r="E4952" s="102">
        <v>2350000</v>
      </c>
      <c r="F4952" s="102">
        <f t="shared" si="2438"/>
        <v>2585000</v>
      </c>
      <c r="G4952" s="102">
        <f t="shared" si="2439"/>
        <v>2350000</v>
      </c>
      <c r="H4952" s="690" t="s">
        <v>36</v>
      </c>
      <c r="I4952" s="71" t="s">
        <v>142</v>
      </c>
      <c r="J4952" s="53">
        <f t="shared" si="2446"/>
        <v>600000</v>
      </c>
      <c r="K4952" s="63">
        <f t="shared" si="2440"/>
        <v>0.25531914893617019</v>
      </c>
      <c r="L4952" s="1212" t="s">
        <v>3353</v>
      </c>
      <c r="M4952" s="468"/>
      <c r="N4952" s="1192">
        <f t="shared" si="2437"/>
        <v>44676</v>
      </c>
      <c r="O4952" s="71" t="s">
        <v>113</v>
      </c>
      <c r="P4952" s="103" t="str">
        <f t="shared" si="2441"/>
        <v>Apogee 워크플로우 구독료</v>
      </c>
      <c r="Q4952" s="71">
        <f t="shared" si="2442"/>
        <v>1</v>
      </c>
      <c r="R4952" s="102">
        <v>1750000</v>
      </c>
      <c r="S4952" s="102">
        <f t="shared" si="2445"/>
        <v>1925000.0000000002</v>
      </c>
      <c r="T4952" s="102">
        <f t="shared" si="2435"/>
        <v>1750000</v>
      </c>
      <c r="U4952" s="71"/>
      <c r="V4952" s="71"/>
      <c r="W4952" s="474"/>
      <c r="X4952" s="71"/>
      <c r="Y4952" s="71"/>
    </row>
    <row r="4953" spans="1:25" s="209" customFormat="1" ht="30" hidden="1" customHeight="1" x14ac:dyDescent="0.2">
      <c r="A4953" s="1145">
        <v>44656</v>
      </c>
      <c r="B4953" s="664" t="s">
        <v>764</v>
      </c>
      <c r="C4953" s="71" t="s">
        <v>236</v>
      </c>
      <c r="D4953" s="71">
        <v>10</v>
      </c>
      <c r="E4953" s="102">
        <v>100000</v>
      </c>
      <c r="F4953" s="163">
        <f t="shared" si="2438"/>
        <v>1100000</v>
      </c>
      <c r="G4953" s="102">
        <f t="shared" si="2439"/>
        <v>1000000</v>
      </c>
      <c r="H4953" s="690" t="s">
        <v>173</v>
      </c>
      <c r="I4953" s="71" t="s">
        <v>2231</v>
      </c>
      <c r="J4953" s="53">
        <f t="shared" si="2446"/>
        <v>500000</v>
      </c>
      <c r="K4953" s="63">
        <f t="shared" si="2440"/>
        <v>0.5</v>
      </c>
      <c r="L4953" s="1212" t="s">
        <v>3353</v>
      </c>
      <c r="M4953" s="468"/>
      <c r="N4953" s="1192">
        <f t="shared" si="2437"/>
        <v>44656</v>
      </c>
      <c r="O4953" s="71" t="s">
        <v>153</v>
      </c>
      <c r="P4953" s="164" t="str">
        <f t="shared" si="2441"/>
        <v>아스테이지(국전)</v>
      </c>
      <c r="Q4953" s="71">
        <f t="shared" si="2442"/>
        <v>10</v>
      </c>
      <c r="R4953" s="102">
        <v>50000</v>
      </c>
      <c r="S4953" s="102">
        <f t="shared" si="2445"/>
        <v>550000</v>
      </c>
      <c r="T4953" s="102">
        <f t="shared" si="2435"/>
        <v>500000</v>
      </c>
      <c r="U4953" s="71" t="str">
        <f>IF(J4953=W4953,"O", "X")</f>
        <v>O</v>
      </c>
      <c r="V4953" s="71"/>
      <c r="W4953" s="474">
        <v>500000</v>
      </c>
      <c r="X4953" s="71"/>
      <c r="Y4953" s="71"/>
    </row>
    <row r="4954" spans="1:25" ht="30" hidden="1" customHeight="1" x14ac:dyDescent="0.25">
      <c r="A4954" s="1145">
        <v>44668</v>
      </c>
      <c r="B4954" s="664" t="s">
        <v>1178</v>
      </c>
      <c r="C4954" s="71" t="s">
        <v>3101</v>
      </c>
      <c r="D4954" s="71">
        <v>800</v>
      </c>
      <c r="E4954" s="102">
        <v>5875</v>
      </c>
      <c r="F4954" s="102">
        <f t="shared" si="2438"/>
        <v>5170000</v>
      </c>
      <c r="G4954" s="102">
        <f t="shared" si="2439"/>
        <v>4700000</v>
      </c>
      <c r="H4954" s="690" t="s">
        <v>142</v>
      </c>
      <c r="I4954" s="103" t="s">
        <v>2273</v>
      </c>
      <c r="J4954" s="53">
        <f t="shared" si="2446"/>
        <v>2412000</v>
      </c>
      <c r="K4954" s="63">
        <f t="shared" ref="K4954:K4971" si="2447">(J4954/(F4954/11*10))</f>
        <v>0.51319148936170211</v>
      </c>
      <c r="L4954" s="1212" t="s">
        <v>3353</v>
      </c>
      <c r="M4954" s="468"/>
      <c r="N4954" s="1192">
        <f t="shared" si="2437"/>
        <v>44668</v>
      </c>
      <c r="O4954" s="71" t="s">
        <v>194</v>
      </c>
      <c r="P4954" s="164" t="str">
        <f t="shared" si="2441"/>
        <v>ENGAGE 27 WEB 850X780M</v>
      </c>
      <c r="Q4954" s="71">
        <f t="shared" si="2442"/>
        <v>800</v>
      </c>
      <c r="R4954" s="102">
        <v>2860</v>
      </c>
      <c r="S4954" s="102">
        <f t="shared" si="2445"/>
        <v>2516800</v>
      </c>
      <c r="T4954" s="102">
        <f t="shared" si="2435"/>
        <v>2288000</v>
      </c>
      <c r="U4954" s="71"/>
      <c r="V4954" s="71"/>
      <c r="W4954" s="474"/>
      <c r="X4954" s="71"/>
      <c r="Y4954" s="71"/>
    </row>
    <row r="4955" spans="1:25" ht="30" hidden="1" customHeight="1" x14ac:dyDescent="0.2">
      <c r="A4955" s="1145">
        <v>44676</v>
      </c>
      <c r="B4955" s="664" t="s">
        <v>627</v>
      </c>
      <c r="C4955" s="760" t="s">
        <v>3366</v>
      </c>
      <c r="D4955" s="71">
        <v>1</v>
      </c>
      <c r="E4955" s="102">
        <v>7000000</v>
      </c>
      <c r="F4955" s="163">
        <f>(E4955*D4955)*1.1</f>
        <v>7700000.0000000009</v>
      </c>
      <c r="G4955" s="102">
        <f>(E4955*D4955)</f>
        <v>7000000</v>
      </c>
      <c r="H4955" s="690" t="s">
        <v>1786</v>
      </c>
      <c r="I4955" s="71" t="s">
        <v>1431</v>
      </c>
      <c r="J4955" s="53">
        <f t="shared" si="2446"/>
        <v>2480385</v>
      </c>
      <c r="K4955" s="63">
        <f t="shared" si="2447"/>
        <v>0.35434071428571423</v>
      </c>
      <c r="L4955" s="1212" t="s">
        <v>3353</v>
      </c>
      <c r="M4955" s="468"/>
      <c r="N4955" s="1192">
        <f t="shared" si="2437"/>
        <v>44676</v>
      </c>
      <c r="O4955" s="999" t="s">
        <v>1431</v>
      </c>
      <c r="P4955" s="195" t="str">
        <f>(C4955)</f>
        <v>M600 판걸이튜브</v>
      </c>
      <c r="Q4955" s="71">
        <f>D4955</f>
        <v>1</v>
      </c>
      <c r="R4955" s="102">
        <v>4519615</v>
      </c>
      <c r="S4955" s="147">
        <f>(R4955*D4955)*1.1</f>
        <v>4971576.5</v>
      </c>
      <c r="T4955" s="147">
        <f>(R4955*Q4955)</f>
        <v>4519615</v>
      </c>
      <c r="U4955" s="209" t="str">
        <f>IF(J4955=W4955,"O", "X")</f>
        <v>X</v>
      </c>
      <c r="V4955" s="71"/>
      <c r="W4955" s="474"/>
      <c r="X4955" s="71"/>
      <c r="Y4955" s="71"/>
    </row>
    <row r="4956" spans="1:25" ht="30" hidden="1" customHeight="1" x14ac:dyDescent="0.2">
      <c r="A4956" s="1145">
        <v>44676</v>
      </c>
      <c r="B4956" s="664" t="s">
        <v>627</v>
      </c>
      <c r="C4956" s="760" t="s">
        <v>3367</v>
      </c>
      <c r="D4956" s="71">
        <v>1</v>
      </c>
      <c r="E4956" s="102">
        <v>4930000</v>
      </c>
      <c r="F4956" s="163">
        <f t="shared" si="2438"/>
        <v>5423000</v>
      </c>
      <c r="G4956" s="102">
        <f t="shared" si="2439"/>
        <v>4930000</v>
      </c>
      <c r="H4956" s="690" t="s">
        <v>985</v>
      </c>
      <c r="I4956" s="71" t="s">
        <v>1431</v>
      </c>
      <c r="J4956" s="53">
        <f t="shared" si="2446"/>
        <v>1430000</v>
      </c>
      <c r="K4956" s="63">
        <f t="shared" si="2447"/>
        <v>0.29006085192697767</v>
      </c>
      <c r="L4956" s="1212" t="s">
        <v>3353</v>
      </c>
      <c r="M4956" s="468"/>
      <c r="N4956" s="1192">
        <f t="shared" si="2437"/>
        <v>44676</v>
      </c>
      <c r="O4956" s="999" t="s">
        <v>3368</v>
      </c>
      <c r="P4956" s="195" t="str">
        <f t="shared" si="2441"/>
        <v>M600 판걸이튜브 서비스비용</v>
      </c>
      <c r="Q4956" s="71">
        <f>D4956</f>
        <v>1</v>
      </c>
      <c r="R4956" s="102">
        <v>3500000</v>
      </c>
      <c r="S4956" s="147">
        <f>(R4956*D4956)*1.1</f>
        <v>3850000.0000000005</v>
      </c>
      <c r="T4956" s="147">
        <f>(R4956*Q4956)</f>
        <v>3500000</v>
      </c>
      <c r="U4956" s="209" t="str">
        <f>IF(J4956=W4956,"O", "X")</f>
        <v>X</v>
      </c>
      <c r="V4956" s="71"/>
      <c r="W4956" s="474"/>
      <c r="X4956" s="71"/>
      <c r="Y4956" s="71"/>
    </row>
    <row r="4957" spans="1:25" ht="30" hidden="1" customHeight="1" x14ac:dyDescent="0.2">
      <c r="A4957" s="1145">
        <v>44678</v>
      </c>
      <c r="B4957" s="664" t="s">
        <v>562</v>
      </c>
      <c r="C4957" s="71" t="s">
        <v>3354</v>
      </c>
      <c r="D4957" s="71">
        <v>7</v>
      </c>
      <c r="E4957" s="102">
        <v>600000</v>
      </c>
      <c r="F4957" s="163">
        <f t="shared" si="2438"/>
        <v>4620000</v>
      </c>
      <c r="G4957" s="102">
        <f t="shared" si="2439"/>
        <v>4200000</v>
      </c>
      <c r="H4957" s="690" t="s">
        <v>173</v>
      </c>
      <c r="I4957" s="71" t="s">
        <v>108</v>
      </c>
      <c r="J4957" s="53">
        <f t="shared" si="2446"/>
        <v>2663703</v>
      </c>
      <c r="K4957" s="63">
        <f t="shared" si="2447"/>
        <v>0.63421499999999997</v>
      </c>
      <c r="L4957" s="1212" t="s">
        <v>3353</v>
      </c>
      <c r="M4957" s="468"/>
      <c r="N4957" s="664">
        <f t="shared" si="2437"/>
        <v>44678</v>
      </c>
      <c r="O4957" s="71" t="s">
        <v>2179</v>
      </c>
      <c r="P4957" s="103" t="str">
        <f>C4957</f>
        <v>CD74용 UV lamp 델리버리</v>
      </c>
      <c r="Q4957" s="71">
        <f>D4957</f>
        <v>7</v>
      </c>
      <c r="R4957" s="102">
        <f>219471</f>
        <v>219471</v>
      </c>
      <c r="S4957" s="102">
        <f t="shared" ref="S4957:S4971" si="2448">R4957*Q4957*1.1</f>
        <v>1689926.7000000002</v>
      </c>
      <c r="T4957" s="102">
        <f t="shared" ref="T4957:T4969" si="2449">R4957*Q4957</f>
        <v>1536297</v>
      </c>
      <c r="U4957" s="71"/>
      <c r="V4957" s="71"/>
      <c r="W4957" s="474"/>
      <c r="X4957" s="71"/>
      <c r="Y4957" s="71"/>
    </row>
    <row r="4958" spans="1:25" ht="30" hidden="1" customHeight="1" x14ac:dyDescent="0.2">
      <c r="A4958" s="1145">
        <v>44678</v>
      </c>
      <c r="B4958" s="664" t="s">
        <v>562</v>
      </c>
      <c r="C4958" s="71" t="s">
        <v>3355</v>
      </c>
      <c r="D4958" s="71">
        <v>3</v>
      </c>
      <c r="E4958" s="102">
        <v>600000</v>
      </c>
      <c r="F4958" s="163">
        <f t="shared" ref="F4958:F4964" si="2450">(E4958*D4958)*1.1</f>
        <v>1980000.0000000002</v>
      </c>
      <c r="G4958" s="102">
        <f t="shared" ref="G4958:G4964" si="2451">(E4958*D4958)</f>
        <v>1800000</v>
      </c>
      <c r="H4958" s="690" t="s">
        <v>173</v>
      </c>
      <c r="I4958" s="71" t="s">
        <v>108</v>
      </c>
      <c r="J4958" s="53">
        <f t="shared" si="2446"/>
        <v>1141587</v>
      </c>
      <c r="K4958" s="63">
        <f t="shared" si="2447"/>
        <v>0.63421499999999997</v>
      </c>
      <c r="L4958" s="1212" t="s">
        <v>3353</v>
      </c>
      <c r="M4958" s="468"/>
      <c r="N4958" s="664">
        <f t="shared" ref="N4958:N4964" si="2452">A4958</f>
        <v>44678</v>
      </c>
      <c r="O4958" s="71" t="s">
        <v>2179</v>
      </c>
      <c r="P4958" s="103" t="str">
        <f>C4958</f>
        <v>CD74용 UV lamp 인터덱</v>
      </c>
      <c r="Q4958" s="71">
        <f t="shared" ref="Q4958:Q4964" si="2453">D4958</f>
        <v>3</v>
      </c>
      <c r="R4958" s="102">
        <f>219471</f>
        <v>219471</v>
      </c>
      <c r="S4958" s="102">
        <f t="shared" si="2448"/>
        <v>724254.3</v>
      </c>
      <c r="T4958" s="102">
        <f t="shared" si="2449"/>
        <v>658413</v>
      </c>
      <c r="U4958" s="71"/>
      <c r="V4958" s="71"/>
      <c r="W4958" s="474"/>
      <c r="X4958" s="71"/>
      <c r="Y4958" s="71"/>
    </row>
    <row r="4959" spans="1:25" ht="30" hidden="1" customHeight="1" x14ac:dyDescent="0.25">
      <c r="A4959" s="1145">
        <v>44680</v>
      </c>
      <c r="B4959" s="664" t="s">
        <v>2103</v>
      </c>
      <c r="C4959" s="71" t="s">
        <v>3131</v>
      </c>
      <c r="D4959" s="71">
        <v>1</v>
      </c>
      <c r="E4959" s="102">
        <v>3927300</v>
      </c>
      <c r="F4959" s="102">
        <f t="shared" si="2450"/>
        <v>4320030</v>
      </c>
      <c r="G4959" s="102">
        <f t="shared" si="2451"/>
        <v>3927300</v>
      </c>
      <c r="H4959" s="690" t="s">
        <v>173</v>
      </c>
      <c r="I4959" s="71" t="s">
        <v>2230</v>
      </c>
      <c r="J4959" s="53">
        <f t="shared" si="2446"/>
        <v>3927300</v>
      </c>
      <c r="K4959" s="63">
        <f t="shared" si="2447"/>
        <v>1</v>
      </c>
      <c r="L4959" s="1212" t="s">
        <v>3353</v>
      </c>
      <c r="M4959" s="468"/>
      <c r="N4959" s="1192">
        <f t="shared" si="2452"/>
        <v>44680</v>
      </c>
      <c r="O4959" s="71"/>
      <c r="P4959" s="103" t="str">
        <f>(C4959)</f>
        <v>세흥인쇄 폐판</v>
      </c>
      <c r="Q4959" s="71">
        <f t="shared" si="2453"/>
        <v>1</v>
      </c>
      <c r="R4959" s="102"/>
      <c r="S4959" s="102">
        <f t="shared" si="2448"/>
        <v>0</v>
      </c>
      <c r="T4959" s="102">
        <f t="shared" si="2449"/>
        <v>0</v>
      </c>
      <c r="U4959" s="71"/>
      <c r="V4959" s="71"/>
      <c r="W4959" s="474"/>
      <c r="X4959" s="71"/>
      <c r="Y4959" s="71"/>
    </row>
    <row r="4960" spans="1:25" ht="30" hidden="1" customHeight="1" x14ac:dyDescent="0.25">
      <c r="A4960" s="1145">
        <v>44652</v>
      </c>
      <c r="B4960" s="664" t="s">
        <v>1119</v>
      </c>
      <c r="C4960" s="71" t="s">
        <v>3333</v>
      </c>
      <c r="D4960" s="71">
        <v>5</v>
      </c>
      <c r="E4960" s="102">
        <v>45000</v>
      </c>
      <c r="F4960" s="102">
        <f t="shared" si="2450"/>
        <v>247500.00000000003</v>
      </c>
      <c r="G4960" s="102">
        <f t="shared" si="2451"/>
        <v>225000</v>
      </c>
      <c r="H4960" s="690" t="s">
        <v>39</v>
      </c>
      <c r="I4960" s="71" t="s">
        <v>1432</v>
      </c>
      <c r="J4960" s="53">
        <f t="shared" si="2446"/>
        <v>105000</v>
      </c>
      <c r="K4960" s="63">
        <f t="shared" si="2447"/>
        <v>0.46666666666666662</v>
      </c>
      <c r="L4960" s="1212" t="s">
        <v>3353</v>
      </c>
      <c r="M4960" s="468" t="s">
        <v>3329</v>
      </c>
      <c r="N4960" s="1192">
        <f t="shared" si="2452"/>
        <v>44652</v>
      </c>
      <c r="O4960" s="71" t="s">
        <v>39</v>
      </c>
      <c r="P4960" s="103" t="str">
        <f>(C4960)</f>
        <v>주머니필터백</v>
      </c>
      <c r="Q4960" s="71">
        <f t="shared" si="2453"/>
        <v>5</v>
      </c>
      <c r="R4960" s="102">
        <v>24000</v>
      </c>
      <c r="S4960" s="102">
        <f t="shared" si="2448"/>
        <v>132000</v>
      </c>
      <c r="T4960" s="102">
        <f t="shared" si="2449"/>
        <v>120000</v>
      </c>
      <c r="U4960" s="71"/>
      <c r="V4960" s="71"/>
      <c r="W4960" s="474"/>
      <c r="X4960" s="71"/>
      <c r="Y4960" s="71"/>
    </row>
    <row r="4961" spans="1:25" ht="30" hidden="1" customHeight="1" x14ac:dyDescent="0.25">
      <c r="A4961" s="1145">
        <v>44672</v>
      </c>
      <c r="B4961" s="664" t="s">
        <v>591</v>
      </c>
      <c r="C4961" s="71" t="s">
        <v>3364</v>
      </c>
      <c r="D4961" s="71">
        <v>3</v>
      </c>
      <c r="E4961" s="102">
        <v>490000</v>
      </c>
      <c r="F4961" s="102">
        <f t="shared" si="2450"/>
        <v>1617000.0000000002</v>
      </c>
      <c r="G4961" s="102">
        <f t="shared" si="2451"/>
        <v>1470000</v>
      </c>
      <c r="H4961" s="690" t="s">
        <v>173</v>
      </c>
      <c r="I4961" s="71" t="s">
        <v>143</v>
      </c>
      <c r="J4961" s="53">
        <f t="shared" si="2446"/>
        <v>360000</v>
      </c>
      <c r="K4961" s="63">
        <f t="shared" si="2447"/>
        <v>0.24489795918367344</v>
      </c>
      <c r="L4961" s="1212" t="s">
        <v>3353</v>
      </c>
      <c r="M4961" s="468" t="s">
        <v>3374</v>
      </c>
      <c r="N4961" s="664">
        <f t="shared" si="2452"/>
        <v>44672</v>
      </c>
      <c r="O4961" s="71" t="s">
        <v>612</v>
      </c>
      <c r="P4961" s="103" t="str">
        <f t="shared" ref="P4961:P4969" si="2454">C4961</f>
        <v>Water Pan Roller 고모리2 윤전용</v>
      </c>
      <c r="Q4961" s="71">
        <f t="shared" si="2453"/>
        <v>3</v>
      </c>
      <c r="R4961" s="102">
        <v>370000</v>
      </c>
      <c r="S4961" s="102">
        <f t="shared" si="2448"/>
        <v>1221000</v>
      </c>
      <c r="T4961" s="102">
        <f t="shared" si="2449"/>
        <v>1110000</v>
      </c>
      <c r="U4961" s="71" t="str">
        <f t="shared" ref="U4961:U4969" si="2455">IF(J4961=W4961,"O", "X")</f>
        <v>X</v>
      </c>
      <c r="V4961" s="71"/>
      <c r="W4961" s="474"/>
      <c r="X4961" s="71"/>
      <c r="Y4961" s="71"/>
    </row>
    <row r="4962" spans="1:25" ht="30" hidden="1" customHeight="1" x14ac:dyDescent="0.25">
      <c r="A4962" s="1145">
        <v>44672</v>
      </c>
      <c r="B4962" s="664" t="s">
        <v>591</v>
      </c>
      <c r="C4962" s="71" t="s">
        <v>3360</v>
      </c>
      <c r="D4962" s="71">
        <v>2</v>
      </c>
      <c r="E4962" s="102">
        <v>460000</v>
      </c>
      <c r="F4962" s="102">
        <f t="shared" si="2450"/>
        <v>1012000.0000000001</v>
      </c>
      <c r="G4962" s="102">
        <f t="shared" si="2451"/>
        <v>920000</v>
      </c>
      <c r="H4962" s="690" t="s">
        <v>173</v>
      </c>
      <c r="I4962" s="71" t="s">
        <v>143</v>
      </c>
      <c r="J4962" s="53">
        <f t="shared" si="2446"/>
        <v>240000</v>
      </c>
      <c r="K4962" s="63">
        <f t="shared" si="2447"/>
        <v>0.2608695652173913</v>
      </c>
      <c r="L4962" s="1212" t="s">
        <v>3353</v>
      </c>
      <c r="M4962" s="468"/>
      <c r="N4962" s="664">
        <f t="shared" si="2452"/>
        <v>44672</v>
      </c>
      <c r="O4962" s="71" t="s">
        <v>612</v>
      </c>
      <c r="P4962" s="103" t="str">
        <f t="shared" si="2454"/>
        <v>Water Form Roller 고모리2 윤전용</v>
      </c>
      <c r="Q4962" s="71">
        <f t="shared" si="2453"/>
        <v>2</v>
      </c>
      <c r="R4962" s="102">
        <v>340000</v>
      </c>
      <c r="S4962" s="102">
        <f t="shared" si="2448"/>
        <v>748000.00000000012</v>
      </c>
      <c r="T4962" s="102">
        <f t="shared" si="2449"/>
        <v>680000</v>
      </c>
      <c r="U4962" s="71" t="str">
        <f t="shared" si="2455"/>
        <v>X</v>
      </c>
      <c r="V4962" s="71"/>
      <c r="W4962" s="474"/>
      <c r="X4962" s="71"/>
      <c r="Y4962" s="71"/>
    </row>
    <row r="4963" spans="1:25" ht="30" hidden="1" customHeight="1" x14ac:dyDescent="0.25">
      <c r="A4963" s="1145">
        <v>44672</v>
      </c>
      <c r="B4963" s="664" t="s">
        <v>591</v>
      </c>
      <c r="C4963" s="71" t="s">
        <v>3361</v>
      </c>
      <c r="D4963" s="71">
        <v>3</v>
      </c>
      <c r="E4963" s="102">
        <v>250000</v>
      </c>
      <c r="F4963" s="102">
        <f t="shared" si="2450"/>
        <v>825000.00000000012</v>
      </c>
      <c r="G4963" s="102">
        <f t="shared" si="2451"/>
        <v>750000</v>
      </c>
      <c r="H4963" s="690" t="s">
        <v>173</v>
      </c>
      <c r="I4963" s="71" t="s">
        <v>143</v>
      </c>
      <c r="J4963" s="53">
        <f t="shared" si="2446"/>
        <v>180000</v>
      </c>
      <c r="K4963" s="63">
        <f t="shared" si="2447"/>
        <v>0.23999999999999996</v>
      </c>
      <c r="L4963" s="1212" t="s">
        <v>3353</v>
      </c>
      <c r="M4963" s="468"/>
      <c r="N4963" s="664">
        <f t="shared" si="2452"/>
        <v>44672</v>
      </c>
      <c r="O4963" s="71" t="s">
        <v>612</v>
      </c>
      <c r="P4963" s="103" t="str">
        <f t="shared" si="2454"/>
        <v>Ink Form Roller  고모리2 윤전용</v>
      </c>
      <c r="Q4963" s="71">
        <f t="shared" si="2453"/>
        <v>3</v>
      </c>
      <c r="R4963" s="102">
        <v>190000</v>
      </c>
      <c r="S4963" s="102">
        <f t="shared" si="2448"/>
        <v>627000</v>
      </c>
      <c r="T4963" s="102">
        <f t="shared" si="2449"/>
        <v>570000</v>
      </c>
      <c r="U4963" s="71" t="str">
        <f t="shared" si="2455"/>
        <v>X</v>
      </c>
      <c r="V4963" s="71"/>
      <c r="W4963" s="474"/>
      <c r="X4963" s="71"/>
      <c r="Y4963" s="71"/>
    </row>
    <row r="4964" spans="1:25" ht="30" hidden="1" customHeight="1" x14ac:dyDescent="0.25">
      <c r="A4964" s="1145">
        <v>44672</v>
      </c>
      <c r="B4964" s="664" t="s">
        <v>591</v>
      </c>
      <c r="C4964" s="71" t="s">
        <v>3362</v>
      </c>
      <c r="D4964" s="71">
        <v>1</v>
      </c>
      <c r="E4964" s="102">
        <v>280000</v>
      </c>
      <c r="F4964" s="102">
        <f t="shared" si="2450"/>
        <v>308000</v>
      </c>
      <c r="G4964" s="102">
        <f t="shared" si="2451"/>
        <v>280000</v>
      </c>
      <c r="H4964" s="690" t="s">
        <v>173</v>
      </c>
      <c r="I4964" s="71" t="s">
        <v>143</v>
      </c>
      <c r="J4964" s="53">
        <f t="shared" si="2446"/>
        <v>70000</v>
      </c>
      <c r="K4964" s="63">
        <f t="shared" si="2447"/>
        <v>0.25</v>
      </c>
      <c r="L4964" s="1212" t="s">
        <v>3353</v>
      </c>
      <c r="M4964" s="468"/>
      <c r="N4964" s="664">
        <f t="shared" si="2452"/>
        <v>44672</v>
      </c>
      <c r="O4964" s="71" t="s">
        <v>612</v>
      </c>
      <c r="P4964" s="103" t="str">
        <f t="shared" si="2454"/>
        <v>Ink Roller  고모리2 윤전용</v>
      </c>
      <c r="Q4964" s="71">
        <f t="shared" si="2453"/>
        <v>1</v>
      </c>
      <c r="R4964" s="102">
        <v>210000</v>
      </c>
      <c r="S4964" s="102">
        <f t="shared" si="2448"/>
        <v>231000.00000000003</v>
      </c>
      <c r="T4964" s="102">
        <f t="shared" si="2449"/>
        <v>210000</v>
      </c>
      <c r="U4964" s="71" t="str">
        <f t="shared" si="2455"/>
        <v>X</v>
      </c>
      <c r="V4964" s="71"/>
      <c r="W4964" s="474"/>
      <c r="X4964" s="71"/>
      <c r="Y4964" s="71"/>
    </row>
    <row r="4965" spans="1:25" ht="30" hidden="1" customHeight="1" x14ac:dyDescent="0.25">
      <c r="A4965" s="1145">
        <v>44672</v>
      </c>
      <c r="B4965" s="664" t="s">
        <v>591</v>
      </c>
      <c r="C4965" s="71" t="s">
        <v>3362</v>
      </c>
      <c r="D4965" s="71">
        <v>1</v>
      </c>
      <c r="E4965" s="102">
        <v>280000</v>
      </c>
      <c r="F4965" s="102">
        <f t="shared" ref="F4965:F4971" si="2456">(E4965*D4965)*1.1</f>
        <v>308000</v>
      </c>
      <c r="G4965" s="102">
        <f t="shared" ref="G4965:G4971" si="2457">(E4965*D4965)</f>
        <v>280000</v>
      </c>
      <c r="H4965" s="690" t="s">
        <v>173</v>
      </c>
      <c r="I4965" s="71" t="s">
        <v>143</v>
      </c>
      <c r="J4965" s="53">
        <f t="shared" si="2446"/>
        <v>70000</v>
      </c>
      <c r="K4965" s="63">
        <f t="shared" si="2447"/>
        <v>0.25</v>
      </c>
      <c r="L4965" s="1212" t="s">
        <v>3353</v>
      </c>
      <c r="M4965" s="468"/>
      <c r="N4965" s="664">
        <f t="shared" ref="N4965:N4995" si="2458">A4965</f>
        <v>44672</v>
      </c>
      <c r="O4965" s="71" t="s">
        <v>612</v>
      </c>
      <c r="P4965" s="103" t="str">
        <f t="shared" si="2454"/>
        <v>Ink Roller  고모리2 윤전용</v>
      </c>
      <c r="Q4965" s="71">
        <f t="shared" ref="Q4965:Q4971" si="2459">D4965</f>
        <v>1</v>
      </c>
      <c r="R4965" s="102">
        <v>210000</v>
      </c>
      <c r="S4965" s="102">
        <f t="shared" si="2448"/>
        <v>231000.00000000003</v>
      </c>
      <c r="T4965" s="102">
        <f t="shared" si="2449"/>
        <v>210000</v>
      </c>
      <c r="U4965" s="71" t="str">
        <f t="shared" si="2455"/>
        <v>X</v>
      </c>
      <c r="V4965" s="71"/>
      <c r="W4965" s="474"/>
      <c r="X4965" s="71"/>
      <c r="Y4965" s="71"/>
    </row>
    <row r="4966" spans="1:25" ht="30" hidden="1" customHeight="1" x14ac:dyDescent="0.25">
      <c r="A4966" s="1145">
        <v>44672</v>
      </c>
      <c r="B4966" s="664" t="s">
        <v>591</v>
      </c>
      <c r="C4966" s="71" t="s">
        <v>3362</v>
      </c>
      <c r="D4966" s="71">
        <v>2</v>
      </c>
      <c r="E4966" s="102">
        <v>300000</v>
      </c>
      <c r="F4966" s="102">
        <f t="shared" si="2456"/>
        <v>660000</v>
      </c>
      <c r="G4966" s="102">
        <f t="shared" si="2457"/>
        <v>600000</v>
      </c>
      <c r="H4966" s="690" t="s">
        <v>173</v>
      </c>
      <c r="I4966" s="71" t="s">
        <v>143</v>
      </c>
      <c r="J4966" s="53">
        <f t="shared" si="2446"/>
        <v>160000</v>
      </c>
      <c r="K4966" s="63">
        <f t="shared" si="2447"/>
        <v>0.26666666666666666</v>
      </c>
      <c r="L4966" s="1212" t="s">
        <v>3353</v>
      </c>
      <c r="M4966" s="468"/>
      <c r="N4966" s="664">
        <f t="shared" si="2458"/>
        <v>44672</v>
      </c>
      <c r="O4966" s="71" t="s">
        <v>612</v>
      </c>
      <c r="P4966" s="103" t="str">
        <f t="shared" si="2454"/>
        <v>Ink Roller  고모리2 윤전용</v>
      </c>
      <c r="Q4966" s="71">
        <f t="shared" si="2459"/>
        <v>2</v>
      </c>
      <c r="R4966" s="102">
        <v>220000</v>
      </c>
      <c r="S4966" s="102">
        <f t="shared" si="2448"/>
        <v>484000.00000000006</v>
      </c>
      <c r="T4966" s="102">
        <f t="shared" si="2449"/>
        <v>440000</v>
      </c>
      <c r="U4966" s="71" t="str">
        <f t="shared" si="2455"/>
        <v>X</v>
      </c>
      <c r="V4966" s="71"/>
      <c r="W4966" s="474"/>
      <c r="X4966" s="71"/>
      <c r="Y4966" s="71"/>
    </row>
    <row r="4967" spans="1:25" ht="30" hidden="1" customHeight="1" x14ac:dyDescent="0.25">
      <c r="A4967" s="1145">
        <v>44672</v>
      </c>
      <c r="B4967" s="664" t="s">
        <v>591</v>
      </c>
      <c r="C4967" s="71" t="s">
        <v>3362</v>
      </c>
      <c r="D4967" s="71">
        <v>5</v>
      </c>
      <c r="E4967" s="102">
        <v>300000</v>
      </c>
      <c r="F4967" s="102">
        <f t="shared" si="2456"/>
        <v>1650000.0000000002</v>
      </c>
      <c r="G4967" s="102">
        <f t="shared" si="2457"/>
        <v>1500000</v>
      </c>
      <c r="H4967" s="690" t="s">
        <v>173</v>
      </c>
      <c r="I4967" s="71" t="s">
        <v>143</v>
      </c>
      <c r="J4967" s="53">
        <f t="shared" si="2446"/>
        <v>400000</v>
      </c>
      <c r="K4967" s="63">
        <f t="shared" si="2447"/>
        <v>0.26666666666666661</v>
      </c>
      <c r="L4967" s="1212" t="s">
        <v>3353</v>
      </c>
      <c r="M4967" s="468"/>
      <c r="N4967" s="664">
        <f t="shared" si="2458"/>
        <v>44672</v>
      </c>
      <c r="O4967" s="71" t="s">
        <v>612</v>
      </c>
      <c r="P4967" s="103" t="str">
        <f t="shared" si="2454"/>
        <v>Ink Roller  고모리2 윤전용</v>
      </c>
      <c r="Q4967" s="71">
        <f t="shared" si="2459"/>
        <v>5</v>
      </c>
      <c r="R4967" s="102">
        <v>220000</v>
      </c>
      <c r="S4967" s="102">
        <f t="shared" si="2448"/>
        <v>1210000</v>
      </c>
      <c r="T4967" s="102">
        <f t="shared" si="2449"/>
        <v>1100000</v>
      </c>
      <c r="U4967" s="71" t="str">
        <f t="shared" si="2455"/>
        <v>X</v>
      </c>
      <c r="V4967" s="71"/>
      <c r="W4967" s="474"/>
      <c r="X4967" s="71"/>
      <c r="Y4967" s="71"/>
    </row>
    <row r="4968" spans="1:25" ht="30" hidden="1" customHeight="1" x14ac:dyDescent="0.25">
      <c r="A4968" s="1145">
        <v>44672</v>
      </c>
      <c r="B4968" s="664" t="s">
        <v>591</v>
      </c>
      <c r="C4968" s="71" t="s">
        <v>3363</v>
      </c>
      <c r="D4968" s="71">
        <v>1</v>
      </c>
      <c r="E4968" s="102">
        <v>260000</v>
      </c>
      <c r="F4968" s="102">
        <f t="shared" si="2456"/>
        <v>286000</v>
      </c>
      <c r="G4968" s="102">
        <f t="shared" si="2457"/>
        <v>260000</v>
      </c>
      <c r="H4968" s="690" t="s">
        <v>173</v>
      </c>
      <c r="I4968" s="71" t="s">
        <v>143</v>
      </c>
      <c r="J4968" s="53">
        <f t="shared" si="2446"/>
        <v>70000</v>
      </c>
      <c r="K4968" s="63">
        <f t="shared" si="2447"/>
        <v>0.26923076923076922</v>
      </c>
      <c r="L4968" s="1212" t="s">
        <v>3353</v>
      </c>
      <c r="M4968" s="468"/>
      <c r="N4968" s="664">
        <f t="shared" si="2458"/>
        <v>44672</v>
      </c>
      <c r="O4968" s="71" t="s">
        <v>612</v>
      </c>
      <c r="P4968" s="103" t="str">
        <f t="shared" si="2454"/>
        <v>Ink Ductor Roller  고모리2 윤전용</v>
      </c>
      <c r="Q4968" s="71">
        <f t="shared" si="2459"/>
        <v>1</v>
      </c>
      <c r="R4968" s="102">
        <v>190000</v>
      </c>
      <c r="S4968" s="102">
        <f t="shared" si="2448"/>
        <v>209000.00000000003</v>
      </c>
      <c r="T4968" s="102">
        <f t="shared" si="2449"/>
        <v>190000</v>
      </c>
      <c r="U4968" s="71" t="str">
        <f t="shared" si="2455"/>
        <v>X</v>
      </c>
      <c r="V4968" s="71"/>
      <c r="W4968" s="474"/>
      <c r="X4968" s="71"/>
      <c r="Y4968" s="71"/>
    </row>
    <row r="4969" spans="1:25" ht="30" hidden="1" customHeight="1" x14ac:dyDescent="0.25">
      <c r="A4969" s="1145">
        <v>44672</v>
      </c>
      <c r="B4969" s="664" t="s">
        <v>591</v>
      </c>
      <c r="C4969" s="71" t="s">
        <v>3365</v>
      </c>
      <c r="D4969" s="71">
        <v>1</v>
      </c>
      <c r="E4969" s="102">
        <v>4930000</v>
      </c>
      <c r="F4969" s="102">
        <f t="shared" si="2456"/>
        <v>5423000</v>
      </c>
      <c r="G4969" s="102">
        <f t="shared" si="2457"/>
        <v>4930000</v>
      </c>
      <c r="H4969" s="690" t="s">
        <v>173</v>
      </c>
      <c r="I4969" s="71" t="s">
        <v>143</v>
      </c>
      <c r="J4969" s="53">
        <f t="shared" si="2446"/>
        <v>740000</v>
      </c>
      <c r="K4969" s="63">
        <f t="shared" si="2447"/>
        <v>0.15010141987829614</v>
      </c>
      <c r="L4969" s="1212" t="s">
        <v>3353</v>
      </c>
      <c r="M4969" s="468" t="s">
        <v>3374</v>
      </c>
      <c r="N4969" s="664">
        <f t="shared" si="2458"/>
        <v>44672</v>
      </c>
      <c r="O4969" s="71" t="s">
        <v>612</v>
      </c>
      <c r="P4969" s="103" t="str">
        <f t="shared" si="2454"/>
        <v>매엽용롤러 17개</v>
      </c>
      <c r="Q4969" s="71">
        <f t="shared" si="2459"/>
        <v>1</v>
      </c>
      <c r="R4969" s="102">
        <v>4190000</v>
      </c>
      <c r="S4969" s="102">
        <f t="shared" si="2448"/>
        <v>4609000</v>
      </c>
      <c r="T4969" s="102">
        <f t="shared" si="2449"/>
        <v>4190000</v>
      </c>
      <c r="U4969" s="71" t="str">
        <f t="shared" si="2455"/>
        <v>X</v>
      </c>
      <c r="V4969" s="71"/>
      <c r="W4969" s="474"/>
      <c r="X4969" s="71"/>
      <c r="Y4969" s="71"/>
    </row>
    <row r="4970" spans="1:25" ht="30" hidden="1" customHeight="1" x14ac:dyDescent="0.25">
      <c r="A4970" s="1145">
        <v>44672</v>
      </c>
      <c r="B4970" s="664" t="s">
        <v>575</v>
      </c>
      <c r="C4970" s="71" t="s">
        <v>1806</v>
      </c>
      <c r="D4970" s="71">
        <v>1</v>
      </c>
      <c r="E4970" s="102">
        <v>2625000</v>
      </c>
      <c r="F4970" s="102">
        <f t="shared" si="2456"/>
        <v>2887500.0000000005</v>
      </c>
      <c r="G4970" s="102">
        <f t="shared" si="2457"/>
        <v>2625000</v>
      </c>
      <c r="H4970" s="690" t="s">
        <v>985</v>
      </c>
      <c r="I4970" s="690" t="s">
        <v>985</v>
      </c>
      <c r="J4970" s="53">
        <f t="shared" si="2446"/>
        <v>1625000</v>
      </c>
      <c r="K4970" s="63">
        <f t="shared" si="2447"/>
        <v>0.61904761904761896</v>
      </c>
      <c r="L4970" s="1212" t="s">
        <v>3353</v>
      </c>
      <c r="M4970" s="468"/>
      <c r="N4970" s="1192">
        <f t="shared" si="2458"/>
        <v>44672</v>
      </c>
      <c r="O4970" s="71"/>
      <c r="P4970" s="164" t="str">
        <f>(C4970)</f>
        <v>M600 서비스 계약(1회차)</v>
      </c>
      <c r="Q4970" s="71">
        <f t="shared" si="2459"/>
        <v>1</v>
      </c>
      <c r="R4970" s="102"/>
      <c r="S4970" s="102">
        <f t="shared" si="2448"/>
        <v>0</v>
      </c>
      <c r="T4970" s="102">
        <v>1000000</v>
      </c>
      <c r="U4970" s="71"/>
      <c r="V4970" s="71"/>
      <c r="W4970" s="474"/>
      <c r="X4970" s="71"/>
      <c r="Y4970" s="71"/>
    </row>
    <row r="4971" spans="1:25" ht="30" hidden="1" customHeight="1" x14ac:dyDescent="0.25">
      <c r="A4971" s="1145">
        <v>44672</v>
      </c>
      <c r="B4971" s="664" t="s">
        <v>748</v>
      </c>
      <c r="C4971" s="71" t="s">
        <v>114</v>
      </c>
      <c r="D4971" s="71">
        <v>50</v>
      </c>
      <c r="E4971" s="102">
        <v>18000</v>
      </c>
      <c r="F4971" s="102">
        <f t="shared" si="2456"/>
        <v>990000.00000000012</v>
      </c>
      <c r="G4971" s="102">
        <f t="shared" si="2457"/>
        <v>900000</v>
      </c>
      <c r="H4971" s="690" t="s">
        <v>1431</v>
      </c>
      <c r="I4971" s="71" t="s">
        <v>1431</v>
      </c>
      <c r="J4971" s="53">
        <f t="shared" si="2446"/>
        <v>396300</v>
      </c>
      <c r="K4971" s="63">
        <f t="shared" si="2447"/>
        <v>0.4403333333333333</v>
      </c>
      <c r="L4971" s="1212" t="s">
        <v>3353</v>
      </c>
      <c r="M4971" s="468"/>
      <c r="N4971" s="1192">
        <f t="shared" si="2458"/>
        <v>44672</v>
      </c>
      <c r="O4971" s="71" t="s">
        <v>1431</v>
      </c>
      <c r="P4971" s="103" t="str">
        <f>(C4971)</f>
        <v>스트리퍼</v>
      </c>
      <c r="Q4971" s="71">
        <f t="shared" si="2459"/>
        <v>50</v>
      </c>
      <c r="R4971" s="102">
        <v>10074</v>
      </c>
      <c r="S4971" s="102">
        <f t="shared" si="2448"/>
        <v>554070</v>
      </c>
      <c r="T4971" s="102">
        <f>R4971*Q4971</f>
        <v>503700</v>
      </c>
      <c r="U4971" s="71"/>
      <c r="V4971" s="71"/>
      <c r="W4971" s="474"/>
      <c r="X4971" s="71"/>
      <c r="Y4971" s="71"/>
    </row>
    <row r="4972" spans="1:25" ht="30" hidden="1" customHeight="1" x14ac:dyDescent="0.25">
      <c r="A4972" s="1210" t="s">
        <v>3380</v>
      </c>
      <c r="B4972" s="1211" t="s">
        <v>544</v>
      </c>
      <c r="C4972" s="960"/>
      <c r="D4972" s="960"/>
      <c r="E4972" s="952"/>
      <c r="F4972" s="952"/>
      <c r="G4972" s="952"/>
      <c r="H4972" s="1206"/>
      <c r="I4972" s="960"/>
      <c r="J4972" s="952"/>
      <c r="K4972" s="953"/>
      <c r="L4972" s="1212" t="s">
        <v>3381</v>
      </c>
      <c r="M4972" s="1207"/>
      <c r="N4972" s="1208" t="str">
        <f t="shared" si="2458"/>
        <v>2022,5</v>
      </c>
      <c r="O4972" s="960"/>
      <c r="P4972" s="1209"/>
      <c r="Q4972" s="960"/>
      <c r="R4972" s="952"/>
      <c r="S4972" s="952"/>
      <c r="T4972" s="952"/>
      <c r="U4972" s="960"/>
      <c r="V4972" s="960"/>
      <c r="W4972" s="474">
        <f>(G4972-T4972)</f>
        <v>0</v>
      </c>
      <c r="X4972" s="71"/>
      <c r="Y4972" s="71"/>
    </row>
    <row r="4973" spans="1:25" ht="30" customHeight="1" x14ac:dyDescent="0.25">
      <c r="A4973" s="1145">
        <v>44709</v>
      </c>
      <c r="B4973" s="664" t="s">
        <v>641</v>
      </c>
      <c r="C4973" s="71" t="s">
        <v>3293</v>
      </c>
      <c r="D4973" s="71">
        <v>60</v>
      </c>
      <c r="E4973" s="102">
        <v>76000</v>
      </c>
      <c r="F4973" s="102">
        <f t="shared" ref="F4973:F5038" si="2460">(E4973*D4973)*1.1</f>
        <v>5016000</v>
      </c>
      <c r="G4973" s="102">
        <f t="shared" ref="G4973:G5038" si="2461">(E4973*D4973)</f>
        <v>4560000</v>
      </c>
      <c r="H4973" s="690" t="s">
        <v>172</v>
      </c>
      <c r="I4973" s="71" t="s">
        <v>2231</v>
      </c>
      <c r="J4973" s="53">
        <f t="shared" ref="J4973:J4995" si="2462">G4973-T4973</f>
        <v>1500000</v>
      </c>
      <c r="K4973" s="63">
        <f t="shared" ref="K4973:K4978" si="2463">(J4973/(F4973/11*10))</f>
        <v>0.32894736842105265</v>
      </c>
      <c r="L4973" s="1212" t="s">
        <v>3381</v>
      </c>
      <c r="M4973" s="468"/>
      <c r="N4973" s="1192">
        <f t="shared" si="2458"/>
        <v>44709</v>
      </c>
      <c r="O4973" s="71" t="s">
        <v>3291</v>
      </c>
      <c r="P4973" s="103" t="str">
        <f>(C4973)</f>
        <v>GOSS 신문윤전 습식세정포</v>
      </c>
      <c r="Q4973" s="71">
        <f t="shared" ref="Q4973:Q5039" si="2464">D4973</f>
        <v>60</v>
      </c>
      <c r="R4973" s="102">
        <v>51000</v>
      </c>
      <c r="S4973" s="102">
        <f t="shared" ref="S4973:S5006" si="2465">R4973*Q4973*1.1</f>
        <v>3366000.0000000005</v>
      </c>
      <c r="T4973" s="102">
        <f t="shared" ref="T4973:T5006" si="2466">R4973*Q4973</f>
        <v>3060000</v>
      </c>
      <c r="U4973" s="71" t="str">
        <f>IF(J4973=W4973,"O", "X")</f>
        <v>X</v>
      </c>
      <c r="V4973" s="71"/>
      <c r="W4973" s="474"/>
      <c r="X4973" s="71"/>
      <c r="Y4973" s="71"/>
    </row>
    <row r="4974" spans="1:25" ht="30" hidden="1" customHeight="1" x14ac:dyDescent="0.25">
      <c r="A4974" s="1145">
        <v>44685</v>
      </c>
      <c r="B4974" s="664" t="s">
        <v>3296</v>
      </c>
      <c r="C4974" s="71" t="s">
        <v>3297</v>
      </c>
      <c r="D4974" s="71">
        <v>20</v>
      </c>
      <c r="E4974" s="102">
        <v>155000</v>
      </c>
      <c r="F4974" s="102">
        <f t="shared" si="2460"/>
        <v>3410000.0000000005</v>
      </c>
      <c r="G4974" s="102">
        <f t="shared" si="2461"/>
        <v>3100000</v>
      </c>
      <c r="H4974" s="690" t="s">
        <v>172</v>
      </c>
      <c r="I4974" s="71" t="s">
        <v>3295</v>
      </c>
      <c r="J4974" s="53">
        <f t="shared" si="2462"/>
        <v>1130000</v>
      </c>
      <c r="K4974" s="63">
        <f t="shared" si="2463"/>
        <v>0.364516129032258</v>
      </c>
      <c r="L4974" s="1212" t="s">
        <v>3381</v>
      </c>
      <c r="M4974" s="468"/>
      <c r="N4974" s="1192">
        <f t="shared" si="2458"/>
        <v>44685</v>
      </c>
      <c r="O4974" s="71" t="s">
        <v>662</v>
      </c>
      <c r="P4974" s="103" t="str">
        <f>(C4974)</f>
        <v>실리콘 에멀전</v>
      </c>
      <c r="Q4974" s="71">
        <f t="shared" si="2464"/>
        <v>20</v>
      </c>
      <c r="R4974" s="102">
        <v>98500</v>
      </c>
      <c r="S4974" s="102">
        <f t="shared" si="2465"/>
        <v>2167000</v>
      </c>
      <c r="T4974" s="102">
        <f t="shared" si="2466"/>
        <v>1970000</v>
      </c>
      <c r="U4974" s="71" t="str">
        <f>IF(J4974=W4974,"O", "X")</f>
        <v>X</v>
      </c>
      <c r="V4974" s="71"/>
      <c r="W4974" s="474"/>
      <c r="X4974" s="71"/>
      <c r="Y4974" s="71"/>
    </row>
    <row r="4975" spans="1:25" ht="30" hidden="1" customHeight="1" x14ac:dyDescent="0.25">
      <c r="A4975" s="1145">
        <v>44685</v>
      </c>
      <c r="B4975" s="664" t="s">
        <v>3296</v>
      </c>
      <c r="C4975" s="71" t="s">
        <v>3297</v>
      </c>
      <c r="D4975" s="71">
        <v>20</v>
      </c>
      <c r="E4975" s="102">
        <v>155000</v>
      </c>
      <c r="F4975" s="102">
        <f t="shared" si="2460"/>
        <v>3410000.0000000005</v>
      </c>
      <c r="G4975" s="102">
        <f t="shared" si="2461"/>
        <v>3100000</v>
      </c>
      <c r="H4975" s="690" t="s">
        <v>172</v>
      </c>
      <c r="I4975" s="71" t="s">
        <v>3295</v>
      </c>
      <c r="J4975" s="53">
        <f t="shared" si="2462"/>
        <v>1130000</v>
      </c>
      <c r="K4975" s="63">
        <f t="shared" si="2463"/>
        <v>0.364516129032258</v>
      </c>
      <c r="L4975" s="1212" t="s">
        <v>3381</v>
      </c>
      <c r="M4975" s="468"/>
      <c r="N4975" s="1192">
        <f t="shared" si="2458"/>
        <v>44685</v>
      </c>
      <c r="O4975" s="71" t="s">
        <v>662</v>
      </c>
      <c r="P4975" s="103" t="str">
        <f>(C4975)</f>
        <v>실리콘 에멀전</v>
      </c>
      <c r="Q4975" s="71">
        <f t="shared" si="2464"/>
        <v>20</v>
      </c>
      <c r="R4975" s="102">
        <v>98500</v>
      </c>
      <c r="S4975" s="102">
        <f t="shared" si="2465"/>
        <v>2167000</v>
      </c>
      <c r="T4975" s="102">
        <f t="shared" si="2466"/>
        <v>1970000</v>
      </c>
      <c r="U4975" s="71" t="str">
        <f>IF(J4975=W4975,"O", "X")</f>
        <v>X</v>
      </c>
      <c r="V4975" s="71"/>
      <c r="W4975" s="474"/>
      <c r="X4975" s="71"/>
      <c r="Y4975" s="71"/>
    </row>
    <row r="4976" spans="1:25" ht="30" hidden="1" customHeight="1" x14ac:dyDescent="0.25">
      <c r="A4976" s="1145">
        <v>44711</v>
      </c>
      <c r="B4976" s="664" t="s">
        <v>546</v>
      </c>
      <c r="C4976" s="71" t="s">
        <v>3555</v>
      </c>
      <c r="D4976" s="71">
        <v>1</v>
      </c>
      <c r="E4976" s="102">
        <v>7000000</v>
      </c>
      <c r="F4976" s="102">
        <f t="shared" si="2460"/>
        <v>7700000.0000000009</v>
      </c>
      <c r="G4976" s="102">
        <f t="shared" si="2461"/>
        <v>7000000</v>
      </c>
      <c r="H4976" s="690" t="s">
        <v>113</v>
      </c>
      <c r="I4976" s="71" t="s">
        <v>113</v>
      </c>
      <c r="J4976" s="53">
        <f t="shared" si="2462"/>
        <v>3661550</v>
      </c>
      <c r="K4976" s="63">
        <f t="shared" si="2463"/>
        <v>0.52307857142857139</v>
      </c>
      <c r="L4976" s="1212" t="s">
        <v>3547</v>
      </c>
      <c r="M4976" s="468" t="s">
        <v>3561</v>
      </c>
      <c r="N4976" s="1192">
        <f t="shared" si="2458"/>
        <v>44711</v>
      </c>
      <c r="O4976" s="71" t="s">
        <v>2544</v>
      </c>
      <c r="P4976" s="103" t="str">
        <f>(C4976)</f>
        <v>서비스 비용(판걸이 튜브 교체)</v>
      </c>
      <c r="Q4976" s="71">
        <f t="shared" si="2464"/>
        <v>1</v>
      </c>
      <c r="R4976" s="102">
        <v>3338450</v>
      </c>
      <c r="S4976" s="102">
        <f t="shared" si="2465"/>
        <v>3672295.0000000005</v>
      </c>
      <c r="T4976" s="102">
        <f t="shared" si="2466"/>
        <v>3338450</v>
      </c>
      <c r="U4976" s="71"/>
      <c r="V4976" s="71"/>
      <c r="W4976" s="474"/>
      <c r="X4976" s="71"/>
      <c r="Y4976" s="71"/>
    </row>
    <row r="4977" spans="1:25" ht="30" hidden="1" customHeight="1" x14ac:dyDescent="0.25">
      <c r="A4977" s="1145">
        <v>44711</v>
      </c>
      <c r="B4977" s="664" t="s">
        <v>446</v>
      </c>
      <c r="C4977" s="71" t="s">
        <v>1148</v>
      </c>
      <c r="D4977" s="71">
        <v>8</v>
      </c>
      <c r="E4977" s="102">
        <v>340000</v>
      </c>
      <c r="F4977" s="102">
        <f t="shared" si="2460"/>
        <v>2992000.0000000005</v>
      </c>
      <c r="G4977" s="102">
        <f t="shared" si="2461"/>
        <v>2720000</v>
      </c>
      <c r="H4977" s="690" t="s">
        <v>1786</v>
      </c>
      <c r="I4977" s="71" t="s">
        <v>1786</v>
      </c>
      <c r="J4977" s="53">
        <f>G4977-T4977</f>
        <v>858568</v>
      </c>
      <c r="K4977" s="63">
        <f t="shared" si="2463"/>
        <v>0.31564999999999993</v>
      </c>
      <c r="L4977" s="1212" t="s">
        <v>3547</v>
      </c>
      <c r="M4977" s="468"/>
      <c r="N4977" s="1192">
        <f t="shared" si="2458"/>
        <v>44711</v>
      </c>
      <c r="O4977" s="71" t="s">
        <v>1786</v>
      </c>
      <c r="P4977" s="103" t="str">
        <f>(C4977)</f>
        <v>브레이크 라이닝</v>
      </c>
      <c r="Q4977" s="71">
        <f t="shared" si="2464"/>
        <v>8</v>
      </c>
      <c r="R4977" s="102">
        <v>232679</v>
      </c>
      <c r="S4977" s="102">
        <f>R4977*Q4977*1.1</f>
        <v>2047575.2000000002</v>
      </c>
      <c r="T4977" s="102">
        <f>R4977*Q4977</f>
        <v>1861432</v>
      </c>
      <c r="U4977" s="71"/>
      <c r="V4977" s="71"/>
      <c r="W4977" s="474"/>
      <c r="X4977" s="71"/>
      <c r="Y4977" s="71"/>
    </row>
    <row r="4978" spans="1:25" ht="30" hidden="1" customHeight="1" x14ac:dyDescent="0.25">
      <c r="A4978" s="1145">
        <v>44711</v>
      </c>
      <c r="B4978" s="664" t="s">
        <v>446</v>
      </c>
      <c r="C4978" s="71" t="s">
        <v>3549</v>
      </c>
      <c r="D4978" s="71">
        <v>1</v>
      </c>
      <c r="E4978" s="102">
        <v>4700000</v>
      </c>
      <c r="F4978" s="102">
        <f t="shared" si="2460"/>
        <v>5170000</v>
      </c>
      <c r="G4978" s="102">
        <f t="shared" si="2461"/>
        <v>4700000</v>
      </c>
      <c r="H4978" s="690" t="s">
        <v>1786</v>
      </c>
      <c r="I4978" s="71" t="s">
        <v>1786</v>
      </c>
      <c r="J4978" s="53">
        <f>G4978-T4978</f>
        <v>2131884</v>
      </c>
      <c r="K4978" s="63">
        <f t="shared" si="2463"/>
        <v>0.45359234042553193</v>
      </c>
      <c r="L4978" s="1212" t="s">
        <v>3381</v>
      </c>
      <c r="M4978" s="468"/>
      <c r="N4978" s="1192">
        <f t="shared" si="2458"/>
        <v>44711</v>
      </c>
      <c r="O4978" s="71" t="s">
        <v>1786</v>
      </c>
      <c r="P4978" s="103" t="str">
        <f t="shared" ref="P4978:P4997" si="2467">(C4978)</f>
        <v>엔코더</v>
      </c>
      <c r="Q4978" s="71">
        <f t="shared" si="2464"/>
        <v>1</v>
      </c>
      <c r="R4978" s="102">
        <v>2568116</v>
      </c>
      <c r="S4978" s="102">
        <f t="shared" si="2465"/>
        <v>2824927.6</v>
      </c>
      <c r="T4978" s="102">
        <f t="shared" si="2466"/>
        <v>2568116</v>
      </c>
      <c r="U4978" s="71"/>
      <c r="V4978" s="71"/>
      <c r="W4978" s="474"/>
      <c r="X4978" s="71"/>
      <c r="Y4978" s="71"/>
    </row>
    <row r="4979" spans="1:25" ht="30" hidden="1" customHeight="1" x14ac:dyDescent="0.25">
      <c r="A4979" s="1145">
        <v>44685</v>
      </c>
      <c r="B4979" s="664" t="s">
        <v>18</v>
      </c>
      <c r="C4979" s="71" t="s">
        <v>3294</v>
      </c>
      <c r="D4979" s="71">
        <v>10</v>
      </c>
      <c r="E4979" s="102">
        <v>110000</v>
      </c>
      <c r="F4979" s="102">
        <f t="shared" si="2460"/>
        <v>1210000</v>
      </c>
      <c r="G4979" s="102">
        <f t="shared" si="2461"/>
        <v>1100000</v>
      </c>
      <c r="H4979" s="690" t="s">
        <v>172</v>
      </c>
      <c r="I4979" s="71" t="s">
        <v>3295</v>
      </c>
      <c r="J4979" s="53">
        <f t="shared" si="2462"/>
        <v>10000</v>
      </c>
      <c r="K4979" s="63">
        <v>0.13800000000000001</v>
      </c>
      <c r="L4979" s="1212" t="s">
        <v>3381</v>
      </c>
      <c r="M4979" s="468"/>
      <c r="N4979" s="1192">
        <f t="shared" si="2458"/>
        <v>44685</v>
      </c>
      <c r="O4979" s="71" t="s">
        <v>150</v>
      </c>
      <c r="P4979" s="103" t="str">
        <f t="shared" si="2467"/>
        <v>1077*885 하이델 bar 블랑켓</v>
      </c>
      <c r="Q4979" s="71">
        <f t="shared" si="2464"/>
        <v>10</v>
      </c>
      <c r="R4979" s="102">
        <v>109000</v>
      </c>
      <c r="S4979" s="102">
        <f t="shared" si="2465"/>
        <v>1199000</v>
      </c>
      <c r="T4979" s="102">
        <f t="shared" si="2466"/>
        <v>1090000</v>
      </c>
      <c r="U4979" s="71"/>
      <c r="V4979" s="71"/>
      <c r="W4979" s="474"/>
      <c r="X4979" s="71"/>
      <c r="Y4979" s="71"/>
    </row>
    <row r="4980" spans="1:25" ht="30" hidden="1" customHeight="1" x14ac:dyDescent="0.25">
      <c r="A4980" s="1145">
        <v>44685</v>
      </c>
      <c r="B4980" s="664" t="s">
        <v>18</v>
      </c>
      <c r="C4980" s="71" t="s">
        <v>2070</v>
      </c>
      <c r="D4980" s="71">
        <v>20</v>
      </c>
      <c r="E4980" s="102">
        <v>100000</v>
      </c>
      <c r="F4980" s="102">
        <f t="shared" si="2460"/>
        <v>2200000</v>
      </c>
      <c r="G4980" s="102">
        <f t="shared" si="2461"/>
        <v>2000000</v>
      </c>
      <c r="H4980" s="690" t="s">
        <v>172</v>
      </c>
      <c r="I4980" s="71" t="s">
        <v>33</v>
      </c>
      <c r="J4980" s="53">
        <f t="shared" si="2462"/>
        <v>264000</v>
      </c>
      <c r="K4980" s="63">
        <v>0.10555555555555554</v>
      </c>
      <c r="L4980" s="1212" t="s">
        <v>3381</v>
      </c>
      <c r="M4980" s="468"/>
      <c r="N4980" s="1192">
        <f t="shared" si="2458"/>
        <v>44685</v>
      </c>
      <c r="O4980" s="71" t="s">
        <v>146</v>
      </c>
      <c r="P4980" s="103" t="str">
        <f t="shared" si="2467"/>
        <v>Blanket(1050*840)</v>
      </c>
      <c r="Q4980" s="71">
        <f t="shared" si="2464"/>
        <v>20</v>
      </c>
      <c r="R4980" s="102">
        <v>86800</v>
      </c>
      <c r="S4980" s="102">
        <f t="shared" si="2465"/>
        <v>1909600.0000000002</v>
      </c>
      <c r="T4980" s="102">
        <f t="shared" si="2466"/>
        <v>1736000</v>
      </c>
      <c r="U4980" s="71" t="s">
        <v>859</v>
      </c>
      <c r="V4980" s="71"/>
      <c r="W4980" s="474"/>
      <c r="X4980" s="71"/>
      <c r="Y4980" s="71"/>
    </row>
    <row r="4981" spans="1:25" ht="30" hidden="1" customHeight="1" x14ac:dyDescent="0.25">
      <c r="A4981" s="1145">
        <v>44686</v>
      </c>
      <c r="B4981" s="664" t="s">
        <v>548</v>
      </c>
      <c r="C4981" s="71" t="s">
        <v>3382</v>
      </c>
      <c r="D4981" s="71">
        <v>1</v>
      </c>
      <c r="E4981" s="102">
        <v>168000</v>
      </c>
      <c r="F4981" s="102">
        <f t="shared" si="2460"/>
        <v>184800.00000000003</v>
      </c>
      <c r="G4981" s="102">
        <f t="shared" si="2461"/>
        <v>168000</v>
      </c>
      <c r="H4981" s="690" t="s">
        <v>2029</v>
      </c>
      <c r="I4981" s="71" t="s">
        <v>180</v>
      </c>
      <c r="J4981" s="53">
        <f t="shared" si="2462"/>
        <v>60000</v>
      </c>
      <c r="K4981" s="63">
        <f>(J4981/(F4981/11*10))</f>
        <v>0.3571428571428571</v>
      </c>
      <c r="L4981" s="1212" t="s">
        <v>3381</v>
      </c>
      <c r="M4981" s="468"/>
      <c r="N4981" s="1192">
        <f t="shared" si="2458"/>
        <v>44686</v>
      </c>
      <c r="O4981" s="71" t="s">
        <v>3383</v>
      </c>
      <c r="P4981" s="164" t="str">
        <f t="shared" si="2467"/>
        <v>판 클리너(12개)</v>
      </c>
      <c r="Q4981" s="71">
        <f t="shared" si="2464"/>
        <v>1</v>
      </c>
      <c r="R4981" s="102">
        <v>108000</v>
      </c>
      <c r="S4981" s="102">
        <f t="shared" si="2465"/>
        <v>118800.00000000001</v>
      </c>
      <c r="T4981" s="102">
        <f t="shared" si="2466"/>
        <v>108000</v>
      </c>
      <c r="U4981" s="71" t="str">
        <f>IF(J4981=W4981,"O", "X")</f>
        <v>X</v>
      </c>
      <c r="V4981" s="71"/>
      <c r="W4981" s="474"/>
      <c r="X4981" s="71"/>
      <c r="Y4981" s="71"/>
    </row>
    <row r="4982" spans="1:25" ht="30" hidden="1" customHeight="1" x14ac:dyDescent="0.25">
      <c r="A4982" s="1145">
        <v>44692</v>
      </c>
      <c r="B4982" s="664" t="s">
        <v>18</v>
      </c>
      <c r="C4982" s="71" t="s">
        <v>3305</v>
      </c>
      <c r="D4982" s="71">
        <v>7</v>
      </c>
      <c r="E4982" s="102">
        <v>86000</v>
      </c>
      <c r="F4982" s="102">
        <f t="shared" si="2460"/>
        <v>662200</v>
      </c>
      <c r="G4982" s="102">
        <f t="shared" si="2461"/>
        <v>602000</v>
      </c>
      <c r="H4982" s="690" t="s">
        <v>172</v>
      </c>
      <c r="I4982" s="71" t="s">
        <v>3295</v>
      </c>
      <c r="J4982" s="53">
        <f t="shared" si="2462"/>
        <v>182000</v>
      </c>
      <c r="K4982" s="63">
        <f>(J4982/(F4982/11*10))</f>
        <v>0.30232558139534882</v>
      </c>
      <c r="L4982" s="1212" t="s">
        <v>3381</v>
      </c>
      <c r="M4982" s="468" t="s">
        <v>3306</v>
      </c>
      <c r="N4982" s="1192">
        <f t="shared" si="2458"/>
        <v>44692</v>
      </c>
      <c r="O4982" s="71" t="s">
        <v>146</v>
      </c>
      <c r="P4982" s="103" t="str">
        <f t="shared" si="2467"/>
        <v>파우더</v>
      </c>
      <c r="Q4982" s="71">
        <f t="shared" si="2464"/>
        <v>7</v>
      </c>
      <c r="R4982" s="102">
        <v>60000</v>
      </c>
      <c r="S4982" s="102">
        <f t="shared" si="2465"/>
        <v>462000.00000000006</v>
      </c>
      <c r="T4982" s="102">
        <f t="shared" si="2466"/>
        <v>420000</v>
      </c>
      <c r="U4982" s="71" t="str">
        <f>IF(J4982=W4982,"O", "X")</f>
        <v>X</v>
      </c>
      <c r="V4982" s="71"/>
      <c r="W4982" s="474"/>
      <c r="X4982" s="71"/>
      <c r="Y4982" s="71"/>
    </row>
    <row r="4983" spans="1:25" ht="30" hidden="1" customHeight="1" x14ac:dyDescent="0.25">
      <c r="A4983" s="1145">
        <v>44685</v>
      </c>
      <c r="B4983" s="664" t="s">
        <v>548</v>
      </c>
      <c r="C4983" s="71" t="s">
        <v>3384</v>
      </c>
      <c r="D4983" s="71">
        <v>300</v>
      </c>
      <c r="E4983" s="102">
        <v>450</v>
      </c>
      <c r="F4983" s="102">
        <f t="shared" si="2460"/>
        <v>148500</v>
      </c>
      <c r="G4983" s="102">
        <f t="shared" si="2461"/>
        <v>135000</v>
      </c>
      <c r="H4983" s="690" t="s">
        <v>2029</v>
      </c>
      <c r="I4983" s="71" t="s">
        <v>3385</v>
      </c>
      <c r="J4983" s="53">
        <f t="shared" si="2462"/>
        <v>39000</v>
      </c>
      <c r="K4983" s="63">
        <f>(J4983/(F4983/11*10))</f>
        <v>0.28888888888888886</v>
      </c>
      <c r="L4983" s="1212" t="s">
        <v>3381</v>
      </c>
      <c r="M4983" s="468"/>
      <c r="N4983" s="1192">
        <f t="shared" si="2458"/>
        <v>44685</v>
      </c>
      <c r="O4983" s="71" t="s">
        <v>2030</v>
      </c>
      <c r="P4983" s="164" t="str">
        <f t="shared" si="2467"/>
        <v>고무사카 빨간색</v>
      </c>
      <c r="Q4983" s="71">
        <f t="shared" si="2464"/>
        <v>300</v>
      </c>
      <c r="R4983" s="102">
        <v>320</v>
      </c>
      <c r="S4983" s="102">
        <f t="shared" si="2465"/>
        <v>105600.00000000001</v>
      </c>
      <c r="T4983" s="102">
        <f t="shared" si="2466"/>
        <v>96000</v>
      </c>
      <c r="U4983" s="71"/>
      <c r="V4983" s="71"/>
      <c r="W4983" s="474"/>
      <c r="X4983" s="71"/>
      <c r="Y4983" s="71"/>
    </row>
    <row r="4984" spans="1:25" ht="30" hidden="1" customHeight="1" x14ac:dyDescent="0.25">
      <c r="A4984" s="1145">
        <v>44705</v>
      </c>
      <c r="B4984" s="664" t="s">
        <v>18</v>
      </c>
      <c r="C4984" s="71" t="s">
        <v>3386</v>
      </c>
      <c r="D4984" s="71">
        <v>100</v>
      </c>
      <c r="E4984" s="102">
        <v>400</v>
      </c>
      <c r="F4984" s="102">
        <f t="shared" si="2460"/>
        <v>44000</v>
      </c>
      <c r="G4984" s="102">
        <f t="shared" si="2461"/>
        <v>40000</v>
      </c>
      <c r="H4984" s="690" t="s">
        <v>172</v>
      </c>
      <c r="I4984" s="71" t="s">
        <v>3295</v>
      </c>
      <c r="J4984" s="53">
        <f t="shared" si="2462"/>
        <v>-8000</v>
      </c>
      <c r="K4984" s="63">
        <f>(J4984/(F4984/11*10))</f>
        <v>-0.2</v>
      </c>
      <c r="L4984" s="1212" t="s">
        <v>3381</v>
      </c>
      <c r="M4984" s="468"/>
      <c r="N4984" s="1192">
        <f t="shared" si="2458"/>
        <v>44705</v>
      </c>
      <c r="O4984" s="71" t="s">
        <v>662</v>
      </c>
      <c r="P4984" s="103" t="str">
        <f t="shared" si="2467"/>
        <v>고무사카 노란색</v>
      </c>
      <c r="Q4984" s="71">
        <f t="shared" si="2464"/>
        <v>100</v>
      </c>
      <c r="R4984" s="102">
        <v>480</v>
      </c>
      <c r="S4984" s="102">
        <f t="shared" si="2465"/>
        <v>52800.000000000007</v>
      </c>
      <c r="T4984" s="102">
        <f t="shared" si="2466"/>
        <v>48000</v>
      </c>
      <c r="U4984" s="71"/>
      <c r="V4984" s="71"/>
      <c r="W4984" s="474"/>
      <c r="X4984" s="71"/>
      <c r="Y4984" s="71"/>
    </row>
    <row r="4985" spans="1:25" ht="30" hidden="1" customHeight="1" x14ac:dyDescent="0.25">
      <c r="A4985" s="1145">
        <v>44692</v>
      </c>
      <c r="B4985" s="664" t="s">
        <v>18</v>
      </c>
      <c r="C4985" s="71" t="s">
        <v>2070</v>
      </c>
      <c r="D4985" s="71">
        <v>10</v>
      </c>
      <c r="E4985" s="102">
        <v>100000</v>
      </c>
      <c r="F4985" s="102">
        <f t="shared" si="2460"/>
        <v>1100000</v>
      </c>
      <c r="G4985" s="102">
        <f t="shared" si="2461"/>
        <v>1000000</v>
      </c>
      <c r="H4985" s="690" t="s">
        <v>172</v>
      </c>
      <c r="I4985" s="71" t="s">
        <v>33</v>
      </c>
      <c r="J4985" s="53">
        <f t="shared" si="2462"/>
        <v>132000</v>
      </c>
      <c r="K4985" s="63">
        <v>0.10555555555555554</v>
      </c>
      <c r="L4985" s="1212" t="s">
        <v>3381</v>
      </c>
      <c r="M4985" s="468"/>
      <c r="N4985" s="1192">
        <f t="shared" si="2458"/>
        <v>44692</v>
      </c>
      <c r="O4985" s="71" t="s">
        <v>146</v>
      </c>
      <c r="P4985" s="103" t="str">
        <f t="shared" si="2467"/>
        <v>Blanket(1050*840)</v>
      </c>
      <c r="Q4985" s="71">
        <f t="shared" si="2464"/>
        <v>10</v>
      </c>
      <c r="R4985" s="102">
        <v>86800</v>
      </c>
      <c r="S4985" s="102">
        <f t="shared" si="2465"/>
        <v>954800.00000000012</v>
      </c>
      <c r="T4985" s="102">
        <f t="shared" si="2466"/>
        <v>868000</v>
      </c>
      <c r="U4985" s="71" t="s">
        <v>859</v>
      </c>
      <c r="V4985" s="71"/>
      <c r="W4985" s="474"/>
      <c r="X4985" s="71"/>
      <c r="Y4985" s="71"/>
    </row>
    <row r="4986" spans="1:25" ht="30" hidden="1" customHeight="1" x14ac:dyDescent="0.25">
      <c r="A4986" s="1145">
        <v>44705</v>
      </c>
      <c r="B4986" s="664" t="s">
        <v>18</v>
      </c>
      <c r="C4986" s="71" t="s">
        <v>3294</v>
      </c>
      <c r="D4986" s="71">
        <v>10</v>
      </c>
      <c r="E4986" s="102">
        <v>110000</v>
      </c>
      <c r="F4986" s="102">
        <f t="shared" si="2460"/>
        <v>1210000</v>
      </c>
      <c r="G4986" s="102">
        <f t="shared" si="2461"/>
        <v>1100000</v>
      </c>
      <c r="H4986" s="690" t="s">
        <v>172</v>
      </c>
      <c r="I4986" s="71" t="s">
        <v>3295</v>
      </c>
      <c r="J4986" s="53">
        <f t="shared" si="2462"/>
        <v>10000</v>
      </c>
      <c r="K4986" s="63">
        <v>0.13800000000000001</v>
      </c>
      <c r="L4986" s="1212" t="s">
        <v>3381</v>
      </c>
      <c r="M4986" s="468"/>
      <c r="N4986" s="1192">
        <f t="shared" si="2458"/>
        <v>44705</v>
      </c>
      <c r="O4986" s="71" t="s">
        <v>146</v>
      </c>
      <c r="P4986" s="103" t="str">
        <f t="shared" si="2467"/>
        <v>1077*885 하이델 bar 블랑켓</v>
      </c>
      <c r="Q4986" s="71">
        <f t="shared" si="2464"/>
        <v>10</v>
      </c>
      <c r="R4986" s="102">
        <v>109000</v>
      </c>
      <c r="S4986" s="102">
        <f t="shared" si="2465"/>
        <v>1199000</v>
      </c>
      <c r="T4986" s="102">
        <f t="shared" si="2466"/>
        <v>1090000</v>
      </c>
      <c r="U4986" s="71"/>
      <c r="V4986" s="71"/>
      <c r="W4986" s="474"/>
      <c r="X4986" s="71"/>
      <c r="Y4986" s="71"/>
    </row>
    <row r="4987" spans="1:25" ht="30" hidden="1" customHeight="1" x14ac:dyDescent="0.25">
      <c r="A4987" s="1145">
        <v>44706</v>
      </c>
      <c r="B4987" s="664" t="s">
        <v>3572</v>
      </c>
      <c r="C4987" s="71" t="s">
        <v>3568</v>
      </c>
      <c r="D4987" s="71">
        <v>1</v>
      </c>
      <c r="E4987" s="102">
        <v>25500000</v>
      </c>
      <c r="F4987" s="102">
        <f t="shared" si="2460"/>
        <v>28050000.000000004</v>
      </c>
      <c r="G4987" s="102">
        <f t="shared" si="2461"/>
        <v>25500000</v>
      </c>
      <c r="H4987" s="690" t="s">
        <v>113</v>
      </c>
      <c r="I4987" s="71" t="s">
        <v>113</v>
      </c>
      <c r="J4987" s="53"/>
      <c r="K4987" s="63"/>
      <c r="L4987" s="1212" t="s">
        <v>3381</v>
      </c>
      <c r="M4987" s="468"/>
      <c r="N4987" s="1192">
        <f t="shared" si="2458"/>
        <v>44706</v>
      </c>
      <c r="O4987" s="71" t="s">
        <v>113</v>
      </c>
      <c r="P4987" s="103" t="str">
        <f t="shared" si="2467"/>
        <v>M600 자동 판 교환 시스템 업그레이드 계약금</v>
      </c>
      <c r="Q4987" s="71">
        <f t="shared" si="2464"/>
        <v>1</v>
      </c>
      <c r="R4987" s="102"/>
      <c r="S4987" s="102">
        <f t="shared" si="2465"/>
        <v>0</v>
      </c>
      <c r="T4987" s="102">
        <f t="shared" si="2466"/>
        <v>0</v>
      </c>
      <c r="U4987" s="71"/>
      <c r="V4987" s="71"/>
      <c r="W4987" s="474"/>
      <c r="X4987" s="71"/>
      <c r="Y4987" s="71"/>
    </row>
    <row r="4988" spans="1:25" ht="30" hidden="1" customHeight="1" x14ac:dyDescent="0.25">
      <c r="A4988" s="1145">
        <v>44692</v>
      </c>
      <c r="B4988" s="664" t="s">
        <v>3289</v>
      </c>
      <c r="C4988" s="71" t="s">
        <v>277</v>
      </c>
      <c r="D4988" s="71">
        <v>10</v>
      </c>
      <c r="E4988" s="102">
        <v>172000</v>
      </c>
      <c r="F4988" s="102">
        <f t="shared" si="2460"/>
        <v>1892000.0000000002</v>
      </c>
      <c r="G4988" s="102">
        <f t="shared" si="2461"/>
        <v>1720000</v>
      </c>
      <c r="H4988" s="690" t="s">
        <v>172</v>
      </c>
      <c r="I4988" s="71" t="s">
        <v>108</v>
      </c>
      <c r="J4988" s="53">
        <f t="shared" si="2462"/>
        <v>421000</v>
      </c>
      <c r="K4988" s="63">
        <f t="shared" ref="K4988:K4993" si="2468">(J4988/(F4988/11*10))</f>
        <v>0.24476744186046509</v>
      </c>
      <c r="L4988" s="1212" t="s">
        <v>3381</v>
      </c>
      <c r="M4988" s="468"/>
      <c r="N4988" s="1192">
        <f t="shared" si="2458"/>
        <v>44692</v>
      </c>
      <c r="O4988" s="71" t="s">
        <v>662</v>
      </c>
      <c r="P4988" s="103" t="str">
        <f t="shared" si="2467"/>
        <v>윤전용 세척제(Web 504)</v>
      </c>
      <c r="Q4988" s="71">
        <f t="shared" si="2464"/>
        <v>10</v>
      </c>
      <c r="R4988" s="102">
        <v>129900</v>
      </c>
      <c r="S4988" s="102">
        <f t="shared" si="2465"/>
        <v>1428900</v>
      </c>
      <c r="T4988" s="102">
        <f t="shared" si="2466"/>
        <v>1299000</v>
      </c>
      <c r="U4988" s="71" t="str">
        <f>IF(J4988=W4988,"O", "X")</f>
        <v>X</v>
      </c>
      <c r="V4988" s="71"/>
      <c r="W4988" s="474"/>
      <c r="X4988" s="71"/>
      <c r="Y4988" s="71"/>
    </row>
    <row r="4989" spans="1:25" ht="30" hidden="1" customHeight="1" x14ac:dyDescent="0.25">
      <c r="A4989" s="1145">
        <v>44700</v>
      </c>
      <c r="B4989" s="664" t="s">
        <v>2261</v>
      </c>
      <c r="C4989" s="760" t="s">
        <v>181</v>
      </c>
      <c r="D4989" s="71">
        <v>10</v>
      </c>
      <c r="E4989" s="102">
        <v>192500</v>
      </c>
      <c r="F4989" s="102">
        <f t="shared" si="2460"/>
        <v>2117500</v>
      </c>
      <c r="G4989" s="102">
        <f t="shared" si="2461"/>
        <v>1925000</v>
      </c>
      <c r="H4989" s="690" t="s">
        <v>2029</v>
      </c>
      <c r="I4989" s="71" t="s">
        <v>182</v>
      </c>
      <c r="J4989" s="53">
        <f t="shared" si="2462"/>
        <v>710000</v>
      </c>
      <c r="K4989" s="63">
        <f t="shared" si="2468"/>
        <v>0.36883116883116884</v>
      </c>
      <c r="L4989" s="1212" t="s">
        <v>3381</v>
      </c>
      <c r="M4989" s="468"/>
      <c r="N4989" s="1192">
        <f t="shared" si="2458"/>
        <v>44700</v>
      </c>
      <c r="O4989" s="71" t="s">
        <v>2030</v>
      </c>
      <c r="P4989" s="103" t="str">
        <f t="shared" si="2467"/>
        <v>Fount Web 551AF</v>
      </c>
      <c r="Q4989" s="71">
        <f t="shared" si="2464"/>
        <v>10</v>
      </c>
      <c r="R4989" s="102">
        <v>121500</v>
      </c>
      <c r="S4989" s="102">
        <f t="shared" si="2465"/>
        <v>1336500</v>
      </c>
      <c r="T4989" s="102">
        <f t="shared" si="2466"/>
        <v>1215000</v>
      </c>
      <c r="U4989" s="71" t="str">
        <f>IF(J4989=W4989,"O", "X")</f>
        <v>X</v>
      </c>
      <c r="V4989" s="71"/>
      <c r="W4989" s="474">
        <v>640000</v>
      </c>
      <c r="X4989" s="71"/>
      <c r="Y4989" s="71"/>
    </row>
    <row r="4990" spans="1:25" ht="30" hidden="1" customHeight="1" x14ac:dyDescent="0.25">
      <c r="A4990" s="1145">
        <v>44700</v>
      </c>
      <c r="B4990" s="664" t="s">
        <v>3289</v>
      </c>
      <c r="C4990" s="71" t="s">
        <v>2070</v>
      </c>
      <c r="D4990" s="71">
        <v>10</v>
      </c>
      <c r="E4990" s="102">
        <v>108000</v>
      </c>
      <c r="F4990" s="102">
        <f t="shared" si="2460"/>
        <v>1188000</v>
      </c>
      <c r="G4990" s="102">
        <f t="shared" si="2461"/>
        <v>1080000</v>
      </c>
      <c r="H4990" s="690" t="s">
        <v>172</v>
      </c>
      <c r="I4990" s="71" t="s">
        <v>33</v>
      </c>
      <c r="J4990" s="53">
        <f t="shared" si="2462"/>
        <v>212000</v>
      </c>
      <c r="K4990" s="63">
        <f t="shared" si="2468"/>
        <v>0.1962962962962963</v>
      </c>
      <c r="L4990" s="1212" t="s">
        <v>3381</v>
      </c>
      <c r="M4990" s="468"/>
      <c r="N4990" s="1192">
        <f t="shared" si="2458"/>
        <v>44700</v>
      </c>
      <c r="O4990" s="71" t="s">
        <v>146</v>
      </c>
      <c r="P4990" s="103" t="str">
        <f t="shared" si="2467"/>
        <v>Blanket(1050*840)</v>
      </c>
      <c r="Q4990" s="71">
        <f t="shared" si="2464"/>
        <v>10</v>
      </c>
      <c r="R4990" s="102">
        <v>86800</v>
      </c>
      <c r="S4990" s="102">
        <f t="shared" si="2465"/>
        <v>954800.00000000012</v>
      </c>
      <c r="T4990" s="102">
        <f t="shared" si="2466"/>
        <v>868000</v>
      </c>
      <c r="U4990" s="71" t="str">
        <f>IF(J4990=W4990,"O", "X")</f>
        <v>X</v>
      </c>
      <c r="V4990" s="71"/>
      <c r="W4990" s="474">
        <v>275000</v>
      </c>
      <c r="X4990" s="71"/>
      <c r="Y4990" s="71"/>
    </row>
    <row r="4991" spans="1:25" s="209" customFormat="1" ht="31.5" hidden="1" customHeight="1" x14ac:dyDescent="0.2">
      <c r="A4991" s="1145">
        <v>44707</v>
      </c>
      <c r="B4991" s="664" t="s">
        <v>2261</v>
      </c>
      <c r="C4991" s="71" t="s">
        <v>3387</v>
      </c>
      <c r="D4991" s="71">
        <v>10</v>
      </c>
      <c r="E4991" s="102">
        <v>120000</v>
      </c>
      <c r="F4991" s="102">
        <f t="shared" si="2460"/>
        <v>1320000</v>
      </c>
      <c r="G4991" s="102">
        <f t="shared" si="2461"/>
        <v>1200000</v>
      </c>
      <c r="H4991" s="165" t="s">
        <v>172</v>
      </c>
      <c r="I4991" s="71" t="s">
        <v>184</v>
      </c>
      <c r="J4991" s="53">
        <f t="shared" si="2462"/>
        <v>80000</v>
      </c>
      <c r="K4991" s="63">
        <f t="shared" si="2468"/>
        <v>6.6666666666666666E-2</v>
      </c>
      <c r="L4991" s="1212" t="s">
        <v>3381</v>
      </c>
      <c r="M4991" s="468"/>
      <c r="N4991" s="1192">
        <f t="shared" si="2458"/>
        <v>44707</v>
      </c>
      <c r="O4991" s="71" t="s">
        <v>189</v>
      </c>
      <c r="P4991" s="103" t="str">
        <f t="shared" si="2467"/>
        <v>Blanket(990*725)</v>
      </c>
      <c r="Q4991" s="71">
        <f t="shared" si="2464"/>
        <v>10</v>
      </c>
      <c r="R4991" s="102">
        <v>112000</v>
      </c>
      <c r="S4991" s="102">
        <f t="shared" si="2465"/>
        <v>1232000</v>
      </c>
      <c r="T4991" s="102">
        <f t="shared" si="2466"/>
        <v>1120000</v>
      </c>
      <c r="U4991" s="71" t="str">
        <f>IF(J4991=W4991,"O", "X")</f>
        <v>O</v>
      </c>
      <c r="V4991" s="71"/>
      <c r="W4991" s="474">
        <v>80000</v>
      </c>
      <c r="X4991" s="71"/>
      <c r="Y4991" s="71"/>
    </row>
    <row r="4992" spans="1:25" ht="30" hidden="1" customHeight="1" x14ac:dyDescent="0.25">
      <c r="A4992" s="1145">
        <v>44707</v>
      </c>
      <c r="B4992" s="664" t="s">
        <v>3289</v>
      </c>
      <c r="C4992" s="71" t="s">
        <v>277</v>
      </c>
      <c r="D4992" s="71">
        <v>10</v>
      </c>
      <c r="E4992" s="102">
        <v>172000</v>
      </c>
      <c r="F4992" s="102">
        <f t="shared" si="2460"/>
        <v>1892000.0000000002</v>
      </c>
      <c r="G4992" s="102">
        <f t="shared" si="2461"/>
        <v>1720000</v>
      </c>
      <c r="H4992" s="690" t="s">
        <v>172</v>
      </c>
      <c r="I4992" s="71" t="s">
        <v>108</v>
      </c>
      <c r="J4992" s="53">
        <f t="shared" si="2462"/>
        <v>421000</v>
      </c>
      <c r="K4992" s="63">
        <f t="shared" si="2468"/>
        <v>0.24476744186046509</v>
      </c>
      <c r="L4992" s="1212" t="s">
        <v>3381</v>
      </c>
      <c r="M4992" s="468"/>
      <c r="N4992" s="1192">
        <f t="shared" si="2458"/>
        <v>44707</v>
      </c>
      <c r="O4992" s="71" t="s">
        <v>662</v>
      </c>
      <c r="P4992" s="103" t="str">
        <f t="shared" si="2467"/>
        <v>윤전용 세척제(Web 504)</v>
      </c>
      <c r="Q4992" s="71">
        <f t="shared" si="2464"/>
        <v>10</v>
      </c>
      <c r="R4992" s="102">
        <v>129900</v>
      </c>
      <c r="S4992" s="102">
        <f t="shared" si="2465"/>
        <v>1428900</v>
      </c>
      <c r="T4992" s="102">
        <f t="shared" si="2466"/>
        <v>1299000</v>
      </c>
      <c r="U4992" s="71" t="str">
        <f>IF(J4992=W4992,"O", "X")</f>
        <v>X</v>
      </c>
      <c r="V4992" s="71"/>
      <c r="W4992" s="474"/>
      <c r="X4992" s="71"/>
      <c r="Y4992" s="71"/>
    </row>
    <row r="4993" spans="1:25" ht="30" customHeight="1" x14ac:dyDescent="0.25">
      <c r="A4993" s="1145">
        <v>44707</v>
      </c>
      <c r="B4993" s="664" t="s">
        <v>641</v>
      </c>
      <c r="C4993" s="71" t="s">
        <v>3388</v>
      </c>
      <c r="D4993" s="71">
        <v>4</v>
      </c>
      <c r="E4993" s="102">
        <v>45000</v>
      </c>
      <c r="F4993" s="102">
        <f t="shared" si="2460"/>
        <v>198000.00000000003</v>
      </c>
      <c r="G4993" s="102">
        <f t="shared" si="2461"/>
        <v>180000</v>
      </c>
      <c r="H4993" s="690" t="s">
        <v>39</v>
      </c>
      <c r="I4993" s="71" t="s">
        <v>142</v>
      </c>
      <c r="J4993" s="53">
        <f t="shared" si="2462"/>
        <v>84000</v>
      </c>
      <c r="K4993" s="63">
        <f t="shared" si="2468"/>
        <v>0.46666666666666662</v>
      </c>
      <c r="L4993" s="1212" t="s">
        <v>3381</v>
      </c>
      <c r="M4993" s="468" t="s">
        <v>3329</v>
      </c>
      <c r="N4993" s="1192">
        <f t="shared" si="2458"/>
        <v>44707</v>
      </c>
      <c r="O4993" s="71" t="s">
        <v>39</v>
      </c>
      <c r="P4993" s="103" t="str">
        <f>(C4993)</f>
        <v>주머니필터백</v>
      </c>
      <c r="Q4993" s="71">
        <f t="shared" si="2464"/>
        <v>4</v>
      </c>
      <c r="R4993" s="102">
        <v>24000</v>
      </c>
      <c r="S4993" s="102">
        <f t="shared" si="2465"/>
        <v>105600.00000000001</v>
      </c>
      <c r="T4993" s="102">
        <f t="shared" si="2466"/>
        <v>96000</v>
      </c>
      <c r="U4993" s="71"/>
      <c r="V4993" s="71"/>
      <c r="W4993" s="474"/>
      <c r="X4993" s="71"/>
      <c r="Y4993" s="71"/>
    </row>
    <row r="4994" spans="1:25" ht="30" customHeight="1" x14ac:dyDescent="0.25">
      <c r="A4994" s="1145">
        <v>44707</v>
      </c>
      <c r="B4994" s="664" t="s">
        <v>641</v>
      </c>
      <c r="C4994" s="71" t="s">
        <v>3389</v>
      </c>
      <c r="D4994" s="71">
        <v>3</v>
      </c>
      <c r="E4994" s="102">
        <v>52000</v>
      </c>
      <c r="F4994" s="102">
        <f t="shared" si="2460"/>
        <v>171600</v>
      </c>
      <c r="G4994" s="102">
        <f t="shared" si="2461"/>
        <v>156000</v>
      </c>
      <c r="H4994" s="690" t="s">
        <v>172</v>
      </c>
      <c r="I4994" s="71" t="s">
        <v>142</v>
      </c>
      <c r="J4994" s="53">
        <f t="shared" si="2462"/>
        <v>-408000</v>
      </c>
      <c r="K4994" s="63">
        <f>(J4994/(F4994/11*10))</f>
        <v>-2.6153846153846154</v>
      </c>
      <c r="L4994" s="1212" t="s">
        <v>3381</v>
      </c>
      <c r="M4994" s="468"/>
      <c r="N4994" s="1192">
        <f t="shared" si="2458"/>
        <v>44707</v>
      </c>
      <c r="O4994" s="71" t="s">
        <v>2030</v>
      </c>
      <c r="P4994" s="103" t="str">
        <f t="shared" si="2467"/>
        <v>수이버 카바쇼바</v>
      </c>
      <c r="Q4994" s="71">
        <f t="shared" si="2464"/>
        <v>3</v>
      </c>
      <c r="R4994" s="102">
        <v>188000</v>
      </c>
      <c r="S4994" s="102">
        <f t="shared" si="2465"/>
        <v>620400</v>
      </c>
      <c r="T4994" s="102">
        <f t="shared" si="2466"/>
        <v>564000</v>
      </c>
      <c r="U4994" s="71" t="str">
        <f>IF(J4994=W4994,"O", "X")</f>
        <v>O</v>
      </c>
      <c r="V4994" s="71"/>
      <c r="W4994" s="474">
        <f>(G4994-T4994)</f>
        <v>-408000</v>
      </c>
      <c r="X4994" s="71"/>
      <c r="Y4994" s="71"/>
    </row>
    <row r="4995" spans="1:25" ht="30" customHeight="1" x14ac:dyDescent="0.25">
      <c r="A4995" s="1145">
        <v>44707</v>
      </c>
      <c r="B4995" s="664" t="s">
        <v>641</v>
      </c>
      <c r="C4995" s="71" t="s">
        <v>3390</v>
      </c>
      <c r="D4995" s="71">
        <v>3</v>
      </c>
      <c r="E4995" s="102">
        <v>480000</v>
      </c>
      <c r="F4995" s="102">
        <f t="shared" si="2460"/>
        <v>1584000.0000000002</v>
      </c>
      <c r="G4995" s="102">
        <f t="shared" si="2461"/>
        <v>1440000</v>
      </c>
      <c r="H4995" s="690" t="s">
        <v>172</v>
      </c>
      <c r="I4995" s="71" t="s">
        <v>142</v>
      </c>
      <c r="J4995" s="53">
        <f t="shared" si="2462"/>
        <v>750000</v>
      </c>
      <c r="K4995" s="63">
        <f>(J4995/(F4995/11*10))</f>
        <v>0.52083333333333326</v>
      </c>
      <c r="L4995" s="1212" t="s">
        <v>3381</v>
      </c>
      <c r="M4995" s="468"/>
      <c r="N4995" s="1192">
        <f t="shared" si="2458"/>
        <v>44707</v>
      </c>
      <c r="O4995" s="71" t="s">
        <v>2030</v>
      </c>
      <c r="P4995" s="103" t="str">
        <f t="shared" si="2467"/>
        <v>판걸이용 클러치</v>
      </c>
      <c r="Q4995" s="71">
        <f t="shared" si="2464"/>
        <v>3</v>
      </c>
      <c r="R4995" s="102">
        <v>230000</v>
      </c>
      <c r="S4995" s="102">
        <f t="shared" si="2465"/>
        <v>759000.00000000012</v>
      </c>
      <c r="T4995" s="102">
        <f t="shared" si="2466"/>
        <v>690000</v>
      </c>
      <c r="U4995" s="71" t="str">
        <f>IF(J4995=W4995,"O", "X")</f>
        <v>O</v>
      </c>
      <c r="V4995" s="71"/>
      <c r="W4995" s="474">
        <f>(G4995-T4995)</f>
        <v>750000</v>
      </c>
      <c r="X4995" s="71"/>
      <c r="Y4995" s="71"/>
    </row>
    <row r="4996" spans="1:25" ht="30" customHeight="1" x14ac:dyDescent="0.25">
      <c r="A4996" s="1145">
        <v>44707</v>
      </c>
      <c r="B4996" s="664" t="s">
        <v>641</v>
      </c>
      <c r="C4996" s="71" t="s">
        <v>220</v>
      </c>
      <c r="D4996" s="71">
        <v>7</v>
      </c>
      <c r="E4996" s="102">
        <v>272000</v>
      </c>
      <c r="F4996" s="102">
        <f t="shared" si="2460"/>
        <v>2094400.0000000002</v>
      </c>
      <c r="G4996" s="102">
        <f t="shared" si="2461"/>
        <v>1904000</v>
      </c>
      <c r="H4996" s="690" t="s">
        <v>172</v>
      </c>
      <c r="I4996" s="71" t="s">
        <v>142</v>
      </c>
      <c r="J4996" s="53">
        <v>414400</v>
      </c>
      <c r="K4996" s="63">
        <v>0.21764705882352939</v>
      </c>
      <c r="L4996" s="1212" t="s">
        <v>3381</v>
      </c>
      <c r="M4996" s="468" t="s">
        <v>3303</v>
      </c>
      <c r="N4996" s="1192">
        <v>44538</v>
      </c>
      <c r="O4996" s="71" t="s">
        <v>175</v>
      </c>
      <c r="P4996" s="103" t="str">
        <f t="shared" si="2467"/>
        <v>세정포-XL106</v>
      </c>
      <c r="Q4996" s="71">
        <f t="shared" si="2464"/>
        <v>7</v>
      </c>
      <c r="R4996" s="102">
        <v>212800</v>
      </c>
      <c r="S4996" s="102">
        <f t="shared" si="2465"/>
        <v>1638560.0000000002</v>
      </c>
      <c r="T4996" s="102">
        <f t="shared" si="2466"/>
        <v>1489600</v>
      </c>
      <c r="U4996" s="71" t="s">
        <v>859</v>
      </c>
      <c r="V4996" s="71"/>
      <c r="W4996" s="474"/>
      <c r="X4996" s="71"/>
      <c r="Y4996" s="71"/>
    </row>
    <row r="4997" spans="1:25" ht="30" customHeight="1" x14ac:dyDescent="0.25">
      <c r="A4997" s="1145">
        <v>44707</v>
      </c>
      <c r="B4997" s="664" t="s">
        <v>641</v>
      </c>
      <c r="C4997" s="71" t="s">
        <v>230</v>
      </c>
      <c r="D4997" s="71">
        <v>10</v>
      </c>
      <c r="E4997" s="102">
        <v>125000</v>
      </c>
      <c r="F4997" s="102">
        <f t="shared" si="2460"/>
        <v>1375000</v>
      </c>
      <c r="G4997" s="102">
        <f t="shared" si="2461"/>
        <v>1250000</v>
      </c>
      <c r="H4997" s="690" t="s">
        <v>172</v>
      </c>
      <c r="I4997" s="71" t="s">
        <v>142</v>
      </c>
      <c r="J4997" s="53">
        <v>260000</v>
      </c>
      <c r="K4997" s="63">
        <v>0.20799999999999999</v>
      </c>
      <c r="L4997" s="1212" t="s">
        <v>3381</v>
      </c>
      <c r="M4997" s="468" t="s">
        <v>3303</v>
      </c>
      <c r="N4997" s="1192">
        <v>44544</v>
      </c>
      <c r="O4997" s="71" t="s">
        <v>662</v>
      </c>
      <c r="P4997" s="103" t="str">
        <f t="shared" si="2467"/>
        <v>XL106 Blanket(1077*885)</v>
      </c>
      <c r="Q4997" s="71">
        <f t="shared" si="2464"/>
        <v>10</v>
      </c>
      <c r="R4997" s="102">
        <v>109000</v>
      </c>
      <c r="S4997" s="102">
        <f t="shared" si="2465"/>
        <v>1199000</v>
      </c>
      <c r="T4997" s="102">
        <f t="shared" si="2466"/>
        <v>1090000</v>
      </c>
      <c r="U4997" s="71" t="s">
        <v>859</v>
      </c>
      <c r="V4997" s="71"/>
      <c r="W4997" s="474"/>
      <c r="X4997" s="71"/>
      <c r="Y4997" s="71"/>
    </row>
    <row r="4998" spans="1:25" ht="30" customHeight="1" x14ac:dyDescent="0.25">
      <c r="A4998" s="1145">
        <v>44684</v>
      </c>
      <c r="B4998" s="664" t="s">
        <v>641</v>
      </c>
      <c r="C4998" s="71" t="s">
        <v>3299</v>
      </c>
      <c r="D4998" s="71">
        <v>10</v>
      </c>
      <c r="E4998" s="102">
        <v>68000</v>
      </c>
      <c r="F4998" s="102">
        <f t="shared" si="2460"/>
        <v>748000.00000000012</v>
      </c>
      <c r="G4998" s="102">
        <f t="shared" si="2461"/>
        <v>680000</v>
      </c>
      <c r="H4998" s="690" t="s">
        <v>172</v>
      </c>
      <c r="I4998" s="71" t="s">
        <v>142</v>
      </c>
      <c r="J4998" s="53">
        <v>136000</v>
      </c>
      <c r="K4998" s="63">
        <v>0.25</v>
      </c>
      <c r="L4998" s="1212" t="s">
        <v>3381</v>
      </c>
      <c r="M4998" s="468" t="s">
        <v>3304</v>
      </c>
      <c r="N4998" s="1192">
        <v>44544</v>
      </c>
      <c r="O4998" s="71" t="s">
        <v>175</v>
      </c>
      <c r="P4998" s="103" t="s">
        <v>3299</v>
      </c>
      <c r="Q4998" s="71">
        <f t="shared" si="2464"/>
        <v>10</v>
      </c>
      <c r="R4998" s="102">
        <v>40000</v>
      </c>
      <c r="S4998" s="102">
        <f t="shared" si="2465"/>
        <v>440000.00000000006</v>
      </c>
      <c r="T4998" s="102">
        <f t="shared" si="2466"/>
        <v>400000</v>
      </c>
      <c r="U4998" s="71" t="s">
        <v>859</v>
      </c>
      <c r="V4998" s="71"/>
      <c r="W4998" s="474"/>
      <c r="X4998" s="71"/>
      <c r="Y4998" s="71"/>
    </row>
    <row r="4999" spans="1:25" ht="30" customHeight="1" x14ac:dyDescent="0.25">
      <c r="A4999" s="1145">
        <v>44684</v>
      </c>
      <c r="B4999" s="664" t="s">
        <v>641</v>
      </c>
      <c r="C4999" s="71" t="s">
        <v>220</v>
      </c>
      <c r="D4999" s="71">
        <v>7</v>
      </c>
      <c r="E4999" s="102">
        <v>272000</v>
      </c>
      <c r="F4999" s="102">
        <f t="shared" si="2460"/>
        <v>2094400.0000000002</v>
      </c>
      <c r="G4999" s="102">
        <f t="shared" si="2461"/>
        <v>1904000</v>
      </c>
      <c r="H4999" s="690" t="s">
        <v>172</v>
      </c>
      <c r="I4999" s="71" t="s">
        <v>142</v>
      </c>
      <c r="J4999" s="53">
        <v>414400</v>
      </c>
      <c r="K4999" s="63">
        <v>0.21764705882352939</v>
      </c>
      <c r="L4999" s="1212" t="s">
        <v>3381</v>
      </c>
      <c r="M4999" s="468" t="s">
        <v>3303</v>
      </c>
      <c r="N4999" s="1192">
        <v>44538</v>
      </c>
      <c r="O4999" s="71" t="s">
        <v>175</v>
      </c>
      <c r="P4999" s="103" t="str">
        <f>(C4999)</f>
        <v>세정포-XL106</v>
      </c>
      <c r="Q4999" s="71">
        <f t="shared" si="2464"/>
        <v>7</v>
      </c>
      <c r="R4999" s="102">
        <v>212800</v>
      </c>
      <c r="S4999" s="102">
        <f t="shared" si="2465"/>
        <v>1638560.0000000002</v>
      </c>
      <c r="T4999" s="102">
        <f t="shared" si="2466"/>
        <v>1489600</v>
      </c>
      <c r="U4999" s="71" t="s">
        <v>859</v>
      </c>
      <c r="V4999" s="71"/>
      <c r="W4999" s="474"/>
      <c r="X4999" s="71"/>
      <c r="Y4999" s="71"/>
    </row>
    <row r="5000" spans="1:25" ht="30" customHeight="1" x14ac:dyDescent="0.25">
      <c r="A5000" s="1145">
        <v>44684</v>
      </c>
      <c r="B5000" s="664" t="s">
        <v>641</v>
      </c>
      <c r="C5000" s="71" t="s">
        <v>230</v>
      </c>
      <c r="D5000" s="71">
        <v>20</v>
      </c>
      <c r="E5000" s="102">
        <v>125000</v>
      </c>
      <c r="F5000" s="102">
        <f t="shared" si="2460"/>
        <v>2750000</v>
      </c>
      <c r="G5000" s="102">
        <f t="shared" si="2461"/>
        <v>2500000</v>
      </c>
      <c r="H5000" s="690" t="s">
        <v>172</v>
      </c>
      <c r="I5000" s="71" t="s">
        <v>142</v>
      </c>
      <c r="J5000" s="53">
        <v>260000</v>
      </c>
      <c r="K5000" s="63">
        <v>0.20799999999999999</v>
      </c>
      <c r="L5000" s="1212" t="s">
        <v>3381</v>
      </c>
      <c r="M5000" s="468" t="s">
        <v>3303</v>
      </c>
      <c r="N5000" s="1192">
        <v>44544</v>
      </c>
      <c r="O5000" s="71" t="s">
        <v>662</v>
      </c>
      <c r="P5000" s="103" t="str">
        <f>(C5000)</f>
        <v>XL106 Blanket(1077*885)</v>
      </c>
      <c r="Q5000" s="71">
        <f t="shared" si="2464"/>
        <v>20</v>
      </c>
      <c r="R5000" s="102">
        <v>109000</v>
      </c>
      <c r="S5000" s="102">
        <f t="shared" si="2465"/>
        <v>2398000</v>
      </c>
      <c r="T5000" s="102">
        <f t="shared" si="2466"/>
        <v>2180000</v>
      </c>
      <c r="U5000" s="71" t="s">
        <v>859</v>
      </c>
      <c r="V5000" s="71"/>
      <c r="W5000" s="474"/>
      <c r="X5000" s="71"/>
      <c r="Y5000" s="71"/>
    </row>
    <row r="5001" spans="1:25" ht="30" customHeight="1" x14ac:dyDescent="0.25">
      <c r="A5001" s="1145">
        <v>44692</v>
      </c>
      <c r="B5001" s="664" t="s">
        <v>3391</v>
      </c>
      <c r="C5001" s="71" t="s">
        <v>3392</v>
      </c>
      <c r="D5001" s="71">
        <v>4</v>
      </c>
      <c r="E5001" s="102">
        <v>240000</v>
      </c>
      <c r="F5001" s="102">
        <f t="shared" si="2460"/>
        <v>1056000</v>
      </c>
      <c r="G5001" s="102">
        <f t="shared" si="2461"/>
        <v>960000</v>
      </c>
      <c r="H5001" s="690" t="s">
        <v>172</v>
      </c>
      <c r="I5001" s="71" t="s">
        <v>142</v>
      </c>
      <c r="J5001" s="53">
        <f>G5001-T5001</f>
        <v>320000</v>
      </c>
      <c r="K5001" s="63">
        <f t="shared" ref="K5001:K5041" si="2469">(J5001/(F5001/11*10))</f>
        <v>0.33333333333333331</v>
      </c>
      <c r="L5001" s="1212" t="s">
        <v>3381</v>
      </c>
      <c r="M5001" s="468" t="s">
        <v>3393</v>
      </c>
      <c r="N5001" s="1192">
        <f t="shared" ref="N5001:N5040" si="2470">A5001</f>
        <v>44692</v>
      </c>
      <c r="O5001" s="71" t="s">
        <v>2030</v>
      </c>
      <c r="P5001" s="103" t="str">
        <f>(C5001)</f>
        <v>윤전 블랑켓</v>
      </c>
      <c r="Q5001" s="71">
        <f t="shared" si="2464"/>
        <v>4</v>
      </c>
      <c r="R5001" s="102">
        <v>160000</v>
      </c>
      <c r="S5001" s="102">
        <f t="shared" si="2465"/>
        <v>704000</v>
      </c>
      <c r="T5001" s="102">
        <f t="shared" si="2466"/>
        <v>640000</v>
      </c>
      <c r="U5001" s="71" t="str">
        <f>IF(J5001=W5001,"O", "X")</f>
        <v>O</v>
      </c>
      <c r="V5001" s="71" t="s">
        <v>3394</v>
      </c>
      <c r="W5001" s="474">
        <f>(G5001-T5001)</f>
        <v>320000</v>
      </c>
      <c r="X5001" s="71"/>
      <c r="Y5001" s="71"/>
    </row>
    <row r="5002" spans="1:25" ht="30" customHeight="1" x14ac:dyDescent="0.25">
      <c r="A5002" s="1145">
        <v>44692</v>
      </c>
      <c r="B5002" s="664" t="s">
        <v>3391</v>
      </c>
      <c r="C5002" s="760" t="s">
        <v>181</v>
      </c>
      <c r="D5002" s="71">
        <v>3</v>
      </c>
      <c r="E5002" s="102">
        <v>260000</v>
      </c>
      <c r="F5002" s="102">
        <f t="shared" si="2460"/>
        <v>858000.00000000012</v>
      </c>
      <c r="G5002" s="102">
        <f t="shared" si="2461"/>
        <v>780000</v>
      </c>
      <c r="H5002" s="690" t="s">
        <v>172</v>
      </c>
      <c r="I5002" s="71" t="s">
        <v>142</v>
      </c>
      <c r="J5002" s="53">
        <f>G5002-T5002</f>
        <v>415500</v>
      </c>
      <c r="K5002" s="63">
        <f t="shared" si="2469"/>
        <v>0.53269230769230758</v>
      </c>
      <c r="L5002" s="1212" t="s">
        <v>3381</v>
      </c>
      <c r="M5002" s="468" t="s">
        <v>3395</v>
      </c>
      <c r="N5002" s="1192">
        <f t="shared" si="2470"/>
        <v>44692</v>
      </c>
      <c r="O5002" s="71" t="s">
        <v>2030</v>
      </c>
      <c r="P5002" s="103" t="str">
        <f>(C5002)</f>
        <v>Fount Web 551AF</v>
      </c>
      <c r="Q5002" s="71">
        <f t="shared" si="2464"/>
        <v>3</v>
      </c>
      <c r="R5002" s="102">
        <v>121500</v>
      </c>
      <c r="S5002" s="102">
        <f t="shared" si="2465"/>
        <v>400950.00000000006</v>
      </c>
      <c r="T5002" s="102">
        <f t="shared" si="2466"/>
        <v>364500</v>
      </c>
      <c r="U5002" s="71" t="str">
        <f>IF(J5002=W5002,"O", "X")</f>
        <v>O</v>
      </c>
      <c r="V5002" s="71"/>
      <c r="W5002" s="474">
        <f>(G5002-T5002)</f>
        <v>415500</v>
      </c>
      <c r="X5002" s="71"/>
      <c r="Y5002" s="71"/>
    </row>
    <row r="5003" spans="1:25" ht="30" hidden="1" customHeight="1" x14ac:dyDescent="0.25">
      <c r="A5003" s="1145">
        <v>44700</v>
      </c>
      <c r="B5003" s="664" t="s">
        <v>442</v>
      </c>
      <c r="C5003" s="71" t="s">
        <v>3299</v>
      </c>
      <c r="D5003" s="71">
        <v>20</v>
      </c>
      <c r="E5003" s="102">
        <v>62500</v>
      </c>
      <c r="F5003" s="102">
        <f t="shared" si="2460"/>
        <v>1375000</v>
      </c>
      <c r="G5003" s="102">
        <f t="shared" si="2461"/>
        <v>1250000</v>
      </c>
      <c r="H5003" s="690" t="s">
        <v>172</v>
      </c>
      <c r="I5003" s="71" t="s">
        <v>108</v>
      </c>
      <c r="J5003" s="53">
        <v>136000</v>
      </c>
      <c r="K5003" s="63">
        <v>0.25</v>
      </c>
      <c r="L5003" s="1212" t="s">
        <v>3381</v>
      </c>
      <c r="M5003" s="468" t="s">
        <v>3304</v>
      </c>
      <c r="N5003" s="1192">
        <v>44544</v>
      </c>
      <c r="O5003" s="71" t="s">
        <v>175</v>
      </c>
      <c r="P5003" s="103" t="s">
        <v>3299</v>
      </c>
      <c r="Q5003" s="71">
        <f t="shared" si="2464"/>
        <v>20</v>
      </c>
      <c r="R5003" s="102">
        <v>40000</v>
      </c>
      <c r="S5003" s="102">
        <f t="shared" si="2465"/>
        <v>880000.00000000012</v>
      </c>
      <c r="T5003" s="102">
        <f t="shared" si="2466"/>
        <v>800000</v>
      </c>
      <c r="U5003" s="71" t="s">
        <v>859</v>
      </c>
      <c r="V5003" s="71"/>
      <c r="W5003" s="474"/>
      <c r="X5003" s="71"/>
      <c r="Y5003" s="71"/>
    </row>
    <row r="5004" spans="1:25" ht="30" hidden="1" customHeight="1" x14ac:dyDescent="0.25">
      <c r="A5004" s="1145">
        <v>44701</v>
      </c>
      <c r="B5004" s="664" t="s">
        <v>2</v>
      </c>
      <c r="C5004" s="71" t="s">
        <v>2023</v>
      </c>
      <c r="D5004" s="71">
        <v>2500</v>
      </c>
      <c r="E5004" s="102">
        <v>3860</v>
      </c>
      <c r="F5004" s="102">
        <f t="shared" si="2460"/>
        <v>10615000</v>
      </c>
      <c r="G5004" s="102">
        <f t="shared" si="2461"/>
        <v>9650000</v>
      </c>
      <c r="H5004" s="690" t="s">
        <v>172</v>
      </c>
      <c r="I5004" s="71" t="s">
        <v>3301</v>
      </c>
      <c r="J5004" s="53">
        <f t="shared" ref="J5004:J5041" si="2471">G5004-T5004</f>
        <v>-1700000</v>
      </c>
      <c r="K5004" s="63">
        <f t="shared" si="2469"/>
        <v>-0.17616580310880828</v>
      </c>
      <c r="L5004" s="1212" t="s">
        <v>3381</v>
      </c>
      <c r="M5004" s="468" t="s">
        <v>3302</v>
      </c>
      <c r="N5004" s="1192">
        <f t="shared" si="2470"/>
        <v>44701</v>
      </c>
      <c r="O5004" s="71" t="s">
        <v>3298</v>
      </c>
      <c r="P5004" s="103" t="str">
        <f>(C5004)</f>
        <v>CTP 판(1030*790mm)</v>
      </c>
      <c r="Q5004" s="71">
        <f t="shared" si="2464"/>
        <v>2500</v>
      </c>
      <c r="R5004" s="102">
        <v>4540</v>
      </c>
      <c r="S5004" s="102">
        <f t="shared" si="2465"/>
        <v>12485000.000000002</v>
      </c>
      <c r="T5004" s="102">
        <f t="shared" si="2466"/>
        <v>11350000</v>
      </c>
      <c r="U5004" s="71" t="str">
        <f t="shared" ref="U5004:U5010" si="2472">IF(J5004=W5004,"O", "X")</f>
        <v>X</v>
      </c>
      <c r="V5004" s="71"/>
      <c r="W5004" s="474"/>
      <c r="X5004" s="71"/>
      <c r="Y5004" s="71"/>
    </row>
    <row r="5005" spans="1:25" ht="30" hidden="1" customHeight="1" x14ac:dyDescent="0.25">
      <c r="A5005" s="1145">
        <v>44702</v>
      </c>
      <c r="B5005" s="664" t="s">
        <v>2</v>
      </c>
      <c r="C5005" s="71" t="s">
        <v>3396</v>
      </c>
      <c r="D5005" s="71">
        <v>4</v>
      </c>
      <c r="E5005" s="102">
        <v>52000</v>
      </c>
      <c r="F5005" s="102">
        <f t="shared" si="2460"/>
        <v>228800.00000000003</v>
      </c>
      <c r="G5005" s="102">
        <f t="shared" si="2461"/>
        <v>208000</v>
      </c>
      <c r="H5005" s="690" t="s">
        <v>172</v>
      </c>
      <c r="I5005" s="71" t="s">
        <v>2529</v>
      </c>
      <c r="J5005" s="53">
        <f t="shared" si="2471"/>
        <v>47180</v>
      </c>
      <c r="K5005" s="63">
        <f t="shared" si="2469"/>
        <v>0.22682692307692304</v>
      </c>
      <c r="L5005" s="1212" t="s">
        <v>3381</v>
      </c>
      <c r="M5005" s="468"/>
      <c r="N5005" s="1192">
        <f t="shared" si="2470"/>
        <v>44702</v>
      </c>
      <c r="O5005" s="71" t="s">
        <v>3298</v>
      </c>
      <c r="P5005" s="103" t="str">
        <f t="shared" ref="P5005:P5012" si="2473">(C5005)</f>
        <v>THR200(20L)보충액*</v>
      </c>
      <c r="Q5005" s="71">
        <f t="shared" si="2464"/>
        <v>4</v>
      </c>
      <c r="R5005" s="102">
        <v>40205</v>
      </c>
      <c r="S5005" s="102">
        <f t="shared" si="2465"/>
        <v>176902</v>
      </c>
      <c r="T5005" s="102">
        <f t="shared" si="2466"/>
        <v>160820</v>
      </c>
      <c r="U5005" s="71" t="str">
        <f t="shared" si="2472"/>
        <v>O</v>
      </c>
      <c r="V5005" s="71"/>
      <c r="W5005" s="474">
        <f t="shared" ref="W5005:W5010" si="2474">(G5005-T5005)</f>
        <v>47180</v>
      </c>
      <c r="X5005" s="71"/>
      <c r="Y5005" s="71"/>
    </row>
    <row r="5006" spans="1:25" ht="30" hidden="1" customHeight="1" x14ac:dyDescent="0.25">
      <c r="A5006" s="1145">
        <v>44703</v>
      </c>
      <c r="B5006" s="664" t="s">
        <v>2</v>
      </c>
      <c r="C5006" s="71" t="s">
        <v>3318</v>
      </c>
      <c r="D5006" s="71">
        <v>4</v>
      </c>
      <c r="E5006" s="102">
        <v>52000</v>
      </c>
      <c r="F5006" s="102">
        <f t="shared" si="2460"/>
        <v>228800.00000000003</v>
      </c>
      <c r="G5006" s="102">
        <f t="shared" si="2461"/>
        <v>208000</v>
      </c>
      <c r="H5006" s="690" t="s">
        <v>172</v>
      </c>
      <c r="I5006" s="71" t="s">
        <v>2529</v>
      </c>
      <c r="J5006" s="53">
        <f t="shared" si="2471"/>
        <v>47000</v>
      </c>
      <c r="K5006" s="63">
        <f t="shared" si="2469"/>
        <v>0.22596153846153844</v>
      </c>
      <c r="L5006" s="1212" t="s">
        <v>3381</v>
      </c>
      <c r="M5006" s="468"/>
      <c r="N5006" s="1192">
        <f t="shared" si="2470"/>
        <v>44703</v>
      </c>
      <c r="O5006" s="71" t="s">
        <v>3298</v>
      </c>
      <c r="P5006" s="103" t="str">
        <f t="shared" si="2473"/>
        <v>THD200(20L)현상액</v>
      </c>
      <c r="Q5006" s="71">
        <f t="shared" si="2464"/>
        <v>4</v>
      </c>
      <c r="R5006" s="102">
        <v>40250</v>
      </c>
      <c r="S5006" s="102">
        <f t="shared" si="2465"/>
        <v>177100</v>
      </c>
      <c r="T5006" s="102">
        <f t="shared" si="2466"/>
        <v>161000</v>
      </c>
      <c r="U5006" s="71" t="str">
        <f t="shared" si="2472"/>
        <v>O</v>
      </c>
      <c r="V5006" s="71"/>
      <c r="W5006" s="474">
        <f t="shared" si="2474"/>
        <v>47000</v>
      </c>
      <c r="X5006" s="71"/>
      <c r="Y5006" s="71"/>
    </row>
    <row r="5007" spans="1:25" ht="30" hidden="1" customHeight="1" x14ac:dyDescent="0.25">
      <c r="A5007" s="1145">
        <v>44692</v>
      </c>
      <c r="B5007" s="664" t="s">
        <v>442</v>
      </c>
      <c r="C5007" s="71" t="s">
        <v>206</v>
      </c>
      <c r="D5007" s="71">
        <v>2</v>
      </c>
      <c r="E5007" s="102">
        <v>366500</v>
      </c>
      <c r="F5007" s="102">
        <f t="shared" si="2460"/>
        <v>806300.00000000012</v>
      </c>
      <c r="G5007" s="102">
        <f t="shared" si="2461"/>
        <v>733000</v>
      </c>
      <c r="H5007" s="690" t="s">
        <v>2029</v>
      </c>
      <c r="I5007" s="71" t="s">
        <v>195</v>
      </c>
      <c r="J5007" s="53">
        <f t="shared" si="2471"/>
        <v>129940</v>
      </c>
      <c r="K5007" s="63">
        <f t="shared" si="2469"/>
        <v>0.17727148703956341</v>
      </c>
      <c r="L5007" s="1212" t="s">
        <v>3381</v>
      </c>
      <c r="M5007" s="468"/>
      <c r="N5007" s="1192">
        <f t="shared" si="2470"/>
        <v>44692</v>
      </c>
      <c r="O5007" s="71" t="s">
        <v>194</v>
      </c>
      <c r="P5007" s="103" t="str">
        <f t="shared" si="2473"/>
        <v>Agfa Film(24inch)</v>
      </c>
      <c r="Q5007" s="71">
        <f t="shared" si="2464"/>
        <v>2</v>
      </c>
      <c r="R5007" s="102">
        <v>301530</v>
      </c>
      <c r="S5007" s="102">
        <f t="shared" ref="S5007:S5038" si="2475">R5007*Q5007*1.1</f>
        <v>663366</v>
      </c>
      <c r="T5007" s="102">
        <f t="shared" ref="T5007:T5038" si="2476">R5007*Q5007</f>
        <v>603060</v>
      </c>
      <c r="U5007" s="71" t="str">
        <f t="shared" si="2472"/>
        <v>O</v>
      </c>
      <c r="V5007" s="71"/>
      <c r="W5007" s="474">
        <f t="shared" si="2474"/>
        <v>129940</v>
      </c>
      <c r="X5007" s="71"/>
      <c r="Y5007" s="71"/>
    </row>
    <row r="5008" spans="1:25" ht="30" hidden="1" customHeight="1" x14ac:dyDescent="0.25">
      <c r="A5008" s="1145">
        <v>44693</v>
      </c>
      <c r="B5008" s="664" t="s">
        <v>442</v>
      </c>
      <c r="C5008" s="71" t="s">
        <v>207</v>
      </c>
      <c r="D5008" s="71">
        <v>2</v>
      </c>
      <c r="E5008" s="102">
        <v>451000</v>
      </c>
      <c r="F5008" s="102">
        <f t="shared" si="2460"/>
        <v>992200.00000000012</v>
      </c>
      <c r="G5008" s="102">
        <f t="shared" si="2461"/>
        <v>902000</v>
      </c>
      <c r="H5008" s="690" t="s">
        <v>2029</v>
      </c>
      <c r="I5008" s="71" t="s">
        <v>195</v>
      </c>
      <c r="J5008" s="53">
        <f t="shared" si="2471"/>
        <v>902000</v>
      </c>
      <c r="K5008" s="63">
        <f t="shared" si="2469"/>
        <v>0.99999999999999989</v>
      </c>
      <c r="L5008" s="1212" t="s">
        <v>3381</v>
      </c>
      <c r="M5008" s="468"/>
      <c r="N5008" s="1192">
        <f t="shared" si="2470"/>
        <v>44693</v>
      </c>
      <c r="O5008" s="71" t="s">
        <v>194</v>
      </c>
      <c r="P5008" s="103" t="str">
        <f t="shared" si="2473"/>
        <v>Agfa Film(28inch)</v>
      </c>
      <c r="Q5008" s="71">
        <f t="shared" si="2464"/>
        <v>2</v>
      </c>
      <c r="R5008" s="102"/>
      <c r="S5008" s="102">
        <f t="shared" si="2475"/>
        <v>0</v>
      </c>
      <c r="T5008" s="102">
        <f t="shared" si="2476"/>
        <v>0</v>
      </c>
      <c r="U5008" s="71" t="str">
        <f t="shared" si="2472"/>
        <v>O</v>
      </c>
      <c r="V5008" s="71"/>
      <c r="W5008" s="474">
        <f t="shared" si="2474"/>
        <v>902000</v>
      </c>
      <c r="X5008" s="71"/>
      <c r="Y5008" s="71"/>
    </row>
    <row r="5009" spans="1:25" ht="30" hidden="1" customHeight="1" x14ac:dyDescent="0.25">
      <c r="A5009" s="1145">
        <v>44694</v>
      </c>
      <c r="B5009" s="664" t="s">
        <v>442</v>
      </c>
      <c r="C5009" s="71" t="s">
        <v>208</v>
      </c>
      <c r="D5009" s="71">
        <v>2</v>
      </c>
      <c r="E5009" s="102">
        <v>505000</v>
      </c>
      <c r="F5009" s="102">
        <f t="shared" si="2460"/>
        <v>1111000</v>
      </c>
      <c r="G5009" s="102">
        <f t="shared" si="2461"/>
        <v>1010000</v>
      </c>
      <c r="H5009" s="690" t="s">
        <v>2029</v>
      </c>
      <c r="I5009" s="71" t="s">
        <v>195</v>
      </c>
      <c r="J5009" s="53">
        <f t="shared" si="2471"/>
        <v>406740</v>
      </c>
      <c r="K5009" s="63">
        <f t="shared" si="2469"/>
        <v>0.40271287128712874</v>
      </c>
      <c r="L5009" s="1212" t="s">
        <v>3381</v>
      </c>
      <c r="M5009" s="468"/>
      <c r="N5009" s="1192">
        <f t="shared" si="2470"/>
        <v>44694</v>
      </c>
      <c r="O5009" s="71" t="s">
        <v>194</v>
      </c>
      <c r="P5009" s="103" t="str">
        <f t="shared" si="2473"/>
        <v>Agfa Film(32inch)</v>
      </c>
      <c r="Q5009" s="71">
        <f t="shared" si="2464"/>
        <v>2</v>
      </c>
      <c r="R5009" s="102">
        <v>301630</v>
      </c>
      <c r="S5009" s="102">
        <f t="shared" si="2475"/>
        <v>663586</v>
      </c>
      <c r="T5009" s="102">
        <f t="shared" si="2476"/>
        <v>603260</v>
      </c>
      <c r="U5009" s="71" t="str">
        <f t="shared" si="2472"/>
        <v>O</v>
      </c>
      <c r="V5009" s="71"/>
      <c r="W5009" s="474">
        <f t="shared" si="2474"/>
        <v>406740</v>
      </c>
      <c r="X5009" s="71"/>
      <c r="Y5009" s="71"/>
    </row>
    <row r="5010" spans="1:25" ht="30" hidden="1" customHeight="1" x14ac:dyDescent="0.2">
      <c r="A5010" s="1145">
        <v>44695</v>
      </c>
      <c r="B5010" s="664" t="s">
        <v>442</v>
      </c>
      <c r="C5010" s="71" t="s">
        <v>648</v>
      </c>
      <c r="D5010" s="71">
        <v>1</v>
      </c>
      <c r="E5010" s="102">
        <v>93000</v>
      </c>
      <c r="F5010" s="102">
        <f t="shared" si="2460"/>
        <v>102300.00000000001</v>
      </c>
      <c r="G5010" s="102">
        <f t="shared" si="2461"/>
        <v>93000</v>
      </c>
      <c r="H5010" s="165" t="s">
        <v>172</v>
      </c>
      <c r="I5010" s="71" t="s">
        <v>195</v>
      </c>
      <c r="J5010" s="53">
        <f t="shared" si="2471"/>
        <v>27000</v>
      </c>
      <c r="K5010" s="63">
        <f t="shared" si="2469"/>
        <v>0.29032258064516125</v>
      </c>
      <c r="L5010" s="1212" t="s">
        <v>3381</v>
      </c>
      <c r="M5010" s="468"/>
      <c r="N5010" s="1192">
        <f t="shared" si="2470"/>
        <v>44695</v>
      </c>
      <c r="O5010" s="71" t="s">
        <v>194</v>
      </c>
      <c r="P5010" s="103" t="str">
        <f t="shared" si="2473"/>
        <v>Agfa 정착액 G333C(20L)</v>
      </c>
      <c r="Q5010" s="71">
        <f t="shared" si="2464"/>
        <v>1</v>
      </c>
      <c r="R5010" s="102">
        <v>66000</v>
      </c>
      <c r="S5010" s="102">
        <f t="shared" si="2475"/>
        <v>72600</v>
      </c>
      <c r="T5010" s="102">
        <f t="shared" si="2476"/>
        <v>66000</v>
      </c>
      <c r="U5010" s="71" t="str">
        <f t="shared" si="2472"/>
        <v>O</v>
      </c>
      <c r="V5010" s="71"/>
      <c r="W5010" s="474">
        <f t="shared" si="2474"/>
        <v>27000</v>
      </c>
      <c r="X5010" s="71"/>
      <c r="Y5010" s="71"/>
    </row>
    <row r="5011" spans="1:25" ht="30" hidden="1" customHeight="1" x14ac:dyDescent="0.25">
      <c r="A5011" s="1145">
        <v>44695</v>
      </c>
      <c r="B5011" s="664" t="s">
        <v>442</v>
      </c>
      <c r="C5011" s="71" t="s">
        <v>3397</v>
      </c>
      <c r="D5011" s="71">
        <v>1</v>
      </c>
      <c r="E5011" s="102">
        <v>300000</v>
      </c>
      <c r="F5011" s="102">
        <f t="shared" si="2460"/>
        <v>330000</v>
      </c>
      <c r="G5011" s="102">
        <f t="shared" si="2461"/>
        <v>300000</v>
      </c>
      <c r="H5011" s="690" t="s">
        <v>2029</v>
      </c>
      <c r="I5011" s="71" t="s">
        <v>3385</v>
      </c>
      <c r="J5011" s="53">
        <f t="shared" si="2471"/>
        <v>-200000</v>
      </c>
      <c r="K5011" s="63">
        <f t="shared" si="2469"/>
        <v>-0.66666666666666663</v>
      </c>
      <c r="L5011" s="1212" t="s">
        <v>3381</v>
      </c>
      <c r="M5011" s="468"/>
      <c r="N5011" s="1192">
        <f t="shared" si="2470"/>
        <v>44695</v>
      </c>
      <c r="O5011" s="71" t="s">
        <v>243</v>
      </c>
      <c r="P5011" s="103" t="str">
        <f t="shared" si="2473"/>
        <v>필름출력기 서비스비용(출장비 포함)</v>
      </c>
      <c r="Q5011" s="71">
        <f t="shared" si="2464"/>
        <v>1</v>
      </c>
      <c r="R5011" s="102">
        <v>500000</v>
      </c>
      <c r="S5011" s="102">
        <f t="shared" si="2475"/>
        <v>550000</v>
      </c>
      <c r="T5011" s="102">
        <f t="shared" si="2476"/>
        <v>500000</v>
      </c>
      <c r="U5011" s="71"/>
      <c r="V5011" s="71"/>
      <c r="W5011" s="474"/>
      <c r="X5011" s="71"/>
      <c r="Y5011" s="71"/>
    </row>
    <row r="5012" spans="1:25" ht="30" hidden="1" customHeight="1" x14ac:dyDescent="0.25">
      <c r="A5012" s="1145">
        <v>44695</v>
      </c>
      <c r="B5012" s="664" t="s">
        <v>442</v>
      </c>
      <c r="C5012" s="71" t="s">
        <v>3398</v>
      </c>
      <c r="D5012" s="71">
        <v>1</v>
      </c>
      <c r="E5012" s="102">
        <v>4200000</v>
      </c>
      <c r="F5012" s="102">
        <f t="shared" si="2460"/>
        <v>4620000</v>
      </c>
      <c r="G5012" s="102">
        <f t="shared" si="2461"/>
        <v>4200000</v>
      </c>
      <c r="H5012" s="690" t="s">
        <v>2029</v>
      </c>
      <c r="I5012" s="71" t="s">
        <v>3385</v>
      </c>
      <c r="J5012" s="53">
        <f t="shared" si="2471"/>
        <v>3286000</v>
      </c>
      <c r="K5012" s="63">
        <f t="shared" si="2469"/>
        <v>0.7823809523809524</v>
      </c>
      <c r="L5012" s="1212" t="s">
        <v>3381</v>
      </c>
      <c r="M5012" s="468"/>
      <c r="N5012" s="1192">
        <f t="shared" si="2470"/>
        <v>44695</v>
      </c>
      <c r="O5012" s="71" t="s">
        <v>243</v>
      </c>
      <c r="P5012" s="164" t="str">
        <f t="shared" si="2473"/>
        <v>필름출력기 main board(Tanto 6120)</v>
      </c>
      <c r="Q5012" s="71">
        <f t="shared" si="2464"/>
        <v>1</v>
      </c>
      <c r="R5012" s="102">
        <v>914000</v>
      </c>
      <c r="S5012" s="102">
        <f t="shared" si="2475"/>
        <v>1005400.0000000001</v>
      </c>
      <c r="T5012" s="102">
        <f t="shared" si="2476"/>
        <v>914000</v>
      </c>
      <c r="U5012" s="71"/>
      <c r="V5012" s="71"/>
      <c r="W5012" s="474"/>
      <c r="X5012" s="71"/>
      <c r="Y5012" s="71"/>
    </row>
    <row r="5013" spans="1:25" ht="30" hidden="1" customHeight="1" x14ac:dyDescent="0.25">
      <c r="A5013" s="1145">
        <v>44693</v>
      </c>
      <c r="B5013" s="664" t="s">
        <v>444</v>
      </c>
      <c r="C5013" s="71" t="s">
        <v>3388</v>
      </c>
      <c r="D5013" s="71">
        <v>20</v>
      </c>
      <c r="E5013" s="102">
        <v>42000</v>
      </c>
      <c r="F5013" s="102">
        <f t="shared" si="2460"/>
        <v>924000.00000000012</v>
      </c>
      <c r="G5013" s="102">
        <f t="shared" si="2461"/>
        <v>840000</v>
      </c>
      <c r="H5013" s="690" t="s">
        <v>39</v>
      </c>
      <c r="I5013" s="71" t="s">
        <v>94</v>
      </c>
      <c r="J5013" s="53">
        <f t="shared" si="2471"/>
        <v>360000</v>
      </c>
      <c r="K5013" s="63">
        <f t="shared" si="2469"/>
        <v>0.42857142857142849</v>
      </c>
      <c r="L5013" s="1212" t="s">
        <v>3381</v>
      </c>
      <c r="M5013" s="468" t="s">
        <v>3329</v>
      </c>
      <c r="N5013" s="1192">
        <f t="shared" si="2470"/>
        <v>44693</v>
      </c>
      <c r="O5013" s="71" t="s">
        <v>39</v>
      </c>
      <c r="P5013" s="103" t="str">
        <f>(C5013)</f>
        <v>주머니필터백</v>
      </c>
      <c r="Q5013" s="71">
        <f t="shared" si="2464"/>
        <v>20</v>
      </c>
      <c r="R5013" s="102">
        <v>24000</v>
      </c>
      <c r="S5013" s="102">
        <f t="shared" si="2475"/>
        <v>528000</v>
      </c>
      <c r="T5013" s="102">
        <f t="shared" si="2476"/>
        <v>480000</v>
      </c>
      <c r="U5013" s="71"/>
      <c r="V5013" s="71"/>
      <c r="W5013" s="474"/>
      <c r="X5013" s="71"/>
      <c r="Y5013" s="71"/>
    </row>
    <row r="5014" spans="1:25" ht="30" hidden="1" customHeight="1" x14ac:dyDescent="0.25">
      <c r="A5014" s="1145">
        <v>44685</v>
      </c>
      <c r="B5014" s="664" t="s">
        <v>2798</v>
      </c>
      <c r="C5014" s="71" t="s">
        <v>167</v>
      </c>
      <c r="D5014" s="71">
        <v>10</v>
      </c>
      <c r="E5014" s="102">
        <v>125000</v>
      </c>
      <c r="F5014" s="102">
        <f t="shared" si="2460"/>
        <v>1375000</v>
      </c>
      <c r="G5014" s="102">
        <f t="shared" si="2461"/>
        <v>1250000</v>
      </c>
      <c r="H5014" s="690" t="s">
        <v>172</v>
      </c>
      <c r="I5014" s="71" t="s">
        <v>33</v>
      </c>
      <c r="J5014" s="53">
        <f t="shared" si="2471"/>
        <v>356000</v>
      </c>
      <c r="K5014" s="63">
        <f t="shared" si="2469"/>
        <v>0.2848</v>
      </c>
      <c r="L5014" s="1212" t="s">
        <v>3381</v>
      </c>
      <c r="M5014" s="468"/>
      <c r="N5014" s="1192">
        <f t="shared" si="2470"/>
        <v>44685</v>
      </c>
      <c r="O5014" s="71" t="s">
        <v>146</v>
      </c>
      <c r="P5014" s="103" t="str">
        <f t="shared" ref="P5014:P5041" si="2477">(C5014)</f>
        <v>Blanket(1060*860)</v>
      </c>
      <c r="Q5014" s="71">
        <f t="shared" si="2464"/>
        <v>10</v>
      </c>
      <c r="R5014" s="102">
        <v>89400</v>
      </c>
      <c r="S5014" s="102">
        <f t="shared" si="2475"/>
        <v>983400.00000000012</v>
      </c>
      <c r="T5014" s="102">
        <f t="shared" si="2476"/>
        <v>894000</v>
      </c>
      <c r="U5014" s="71" t="str">
        <f>IF(J5014=W5014,"O", "X")</f>
        <v>X</v>
      </c>
      <c r="V5014" s="71"/>
      <c r="W5014" s="474"/>
      <c r="X5014" s="71"/>
      <c r="Y5014" s="71"/>
    </row>
    <row r="5015" spans="1:25" ht="30" hidden="1" customHeight="1" x14ac:dyDescent="0.25">
      <c r="A5015" s="1145">
        <v>44698</v>
      </c>
      <c r="B5015" s="664" t="s">
        <v>444</v>
      </c>
      <c r="C5015" s="71" t="s">
        <v>3399</v>
      </c>
      <c r="D5015" s="71">
        <v>10</v>
      </c>
      <c r="E5015" s="102">
        <v>175000</v>
      </c>
      <c r="F5015" s="102">
        <f t="shared" si="2460"/>
        <v>1925000.0000000002</v>
      </c>
      <c r="G5015" s="102">
        <f t="shared" si="2461"/>
        <v>1750000</v>
      </c>
      <c r="H5015" s="690" t="s">
        <v>2029</v>
      </c>
      <c r="I5015" s="71" t="s">
        <v>180</v>
      </c>
      <c r="J5015" s="53">
        <f t="shared" si="2471"/>
        <v>450000</v>
      </c>
      <c r="K5015" s="63">
        <f t="shared" si="2469"/>
        <v>0.25714285714285712</v>
      </c>
      <c r="L5015" s="1212" t="s">
        <v>3381</v>
      </c>
      <c r="M5015" s="468"/>
      <c r="N5015" s="1192">
        <f t="shared" si="2470"/>
        <v>44698</v>
      </c>
      <c r="O5015" s="71" t="s">
        <v>191</v>
      </c>
      <c r="P5015" s="103" t="str">
        <f t="shared" si="2477"/>
        <v>UV wash offset UV</v>
      </c>
      <c r="Q5015" s="71">
        <f t="shared" si="2464"/>
        <v>10</v>
      </c>
      <c r="R5015" s="102">
        <v>130000</v>
      </c>
      <c r="S5015" s="102">
        <f t="shared" si="2475"/>
        <v>1430000</v>
      </c>
      <c r="T5015" s="102">
        <f t="shared" si="2476"/>
        <v>1300000</v>
      </c>
      <c r="U5015" s="71"/>
      <c r="V5015" s="71"/>
      <c r="W5015" s="474"/>
      <c r="X5015" s="71"/>
      <c r="Y5015" s="71"/>
    </row>
    <row r="5016" spans="1:25" ht="30" hidden="1" customHeight="1" x14ac:dyDescent="0.25">
      <c r="A5016" s="1145">
        <v>44712</v>
      </c>
      <c r="B5016" s="664" t="s">
        <v>2798</v>
      </c>
      <c r="C5016" s="71" t="s">
        <v>3290</v>
      </c>
      <c r="D5016" s="71">
        <v>1</v>
      </c>
      <c r="E5016" s="102">
        <v>660000</v>
      </c>
      <c r="F5016" s="102">
        <f t="shared" si="2460"/>
        <v>726000.00000000012</v>
      </c>
      <c r="G5016" s="102">
        <f t="shared" si="2461"/>
        <v>660000</v>
      </c>
      <c r="H5016" s="690" t="s">
        <v>172</v>
      </c>
      <c r="I5016" s="71" t="s">
        <v>38</v>
      </c>
      <c r="J5016" s="53">
        <f t="shared" si="2471"/>
        <v>198000</v>
      </c>
      <c r="K5016" s="63">
        <f t="shared" si="2469"/>
        <v>0.29999999999999993</v>
      </c>
      <c r="L5016" s="1212" t="s">
        <v>3381</v>
      </c>
      <c r="M5016" s="468"/>
      <c r="N5016" s="1192">
        <f t="shared" si="2470"/>
        <v>44712</v>
      </c>
      <c r="O5016" s="71" t="s">
        <v>3291</v>
      </c>
      <c r="P5016" s="103" t="str">
        <f t="shared" si="2477"/>
        <v>점보롤 세정포</v>
      </c>
      <c r="Q5016" s="71">
        <f t="shared" si="2464"/>
        <v>1</v>
      </c>
      <c r="R5016" s="102">
        <v>462000</v>
      </c>
      <c r="S5016" s="102">
        <f t="shared" si="2475"/>
        <v>508200.00000000006</v>
      </c>
      <c r="T5016" s="102">
        <f t="shared" si="2476"/>
        <v>462000</v>
      </c>
      <c r="U5016" s="71" t="str">
        <f t="shared" ref="U5016:U5038" si="2478">IF(J5016=W5016,"O", "X")</f>
        <v>O</v>
      </c>
      <c r="V5016" s="71" t="s">
        <v>3292</v>
      </c>
      <c r="W5016" s="474">
        <f>(G5016-T5016)</f>
        <v>198000</v>
      </c>
      <c r="X5016" s="71"/>
      <c r="Y5016" s="71"/>
    </row>
    <row r="5017" spans="1:25" ht="30" hidden="1" customHeight="1" x14ac:dyDescent="0.25">
      <c r="A5017" s="1145">
        <v>44685</v>
      </c>
      <c r="B5017" s="664" t="s">
        <v>26</v>
      </c>
      <c r="C5017" s="71" t="s">
        <v>3328</v>
      </c>
      <c r="D5017" s="71">
        <v>10</v>
      </c>
      <c r="E5017" s="102">
        <v>55000</v>
      </c>
      <c r="F5017" s="102">
        <f t="shared" si="2460"/>
        <v>605000</v>
      </c>
      <c r="G5017" s="102">
        <f t="shared" si="2461"/>
        <v>550000</v>
      </c>
      <c r="H5017" s="690" t="s">
        <v>172</v>
      </c>
      <c r="I5017" s="71" t="s">
        <v>3295</v>
      </c>
      <c r="J5017" s="53">
        <f t="shared" si="2471"/>
        <v>150000</v>
      </c>
      <c r="K5017" s="63">
        <f t="shared" si="2469"/>
        <v>0.27272727272727271</v>
      </c>
      <c r="L5017" s="1212" t="s">
        <v>3381</v>
      </c>
      <c r="M5017" s="468"/>
      <c r="N5017" s="1192">
        <f t="shared" si="2470"/>
        <v>44685</v>
      </c>
      <c r="O5017" s="71" t="s">
        <v>152</v>
      </c>
      <c r="P5017" s="103" t="str">
        <f t="shared" si="2477"/>
        <v>아스테이지(CD74용)</v>
      </c>
      <c r="Q5017" s="71">
        <f t="shared" si="2464"/>
        <v>10</v>
      </c>
      <c r="R5017" s="102">
        <v>40000</v>
      </c>
      <c r="S5017" s="102">
        <f t="shared" si="2475"/>
        <v>440000.00000000006</v>
      </c>
      <c r="T5017" s="102">
        <f t="shared" si="2476"/>
        <v>400000</v>
      </c>
      <c r="U5017" s="71" t="str">
        <f t="shared" si="2478"/>
        <v>X</v>
      </c>
      <c r="V5017" s="71"/>
      <c r="W5017" s="474"/>
      <c r="X5017" s="71"/>
      <c r="Y5017" s="71"/>
    </row>
    <row r="5018" spans="1:25" ht="30" hidden="1" customHeight="1" x14ac:dyDescent="0.25">
      <c r="A5018" s="1145">
        <v>44685</v>
      </c>
      <c r="B5018" s="664" t="s">
        <v>26</v>
      </c>
      <c r="C5018" s="71" t="s">
        <v>2087</v>
      </c>
      <c r="D5018" s="71">
        <v>10</v>
      </c>
      <c r="E5018" s="102">
        <v>75000</v>
      </c>
      <c r="F5018" s="102">
        <f t="shared" si="2460"/>
        <v>825000.00000000012</v>
      </c>
      <c r="G5018" s="102">
        <f t="shared" si="2461"/>
        <v>750000</v>
      </c>
      <c r="H5018" s="690" t="s">
        <v>172</v>
      </c>
      <c r="I5018" s="71" t="s">
        <v>3295</v>
      </c>
      <c r="J5018" s="53">
        <f t="shared" si="2471"/>
        <v>250000</v>
      </c>
      <c r="K5018" s="63">
        <f t="shared" si="2469"/>
        <v>0.33333333333333326</v>
      </c>
      <c r="L5018" s="1212" t="s">
        <v>3381</v>
      </c>
      <c r="M5018" s="468"/>
      <c r="N5018" s="1192">
        <f t="shared" si="2470"/>
        <v>44685</v>
      </c>
      <c r="O5018" s="71" t="s">
        <v>152</v>
      </c>
      <c r="P5018" s="103" t="str">
        <f t="shared" si="2477"/>
        <v>아스테이지(국전)</v>
      </c>
      <c r="Q5018" s="71">
        <f t="shared" si="2464"/>
        <v>10</v>
      </c>
      <c r="R5018" s="102">
        <v>50000</v>
      </c>
      <c r="S5018" s="102">
        <f t="shared" si="2475"/>
        <v>550000</v>
      </c>
      <c r="T5018" s="102">
        <f t="shared" si="2476"/>
        <v>500000</v>
      </c>
      <c r="U5018" s="71" t="str">
        <f t="shared" si="2478"/>
        <v>X</v>
      </c>
      <c r="V5018" s="71"/>
      <c r="W5018" s="474">
        <v>150000</v>
      </c>
      <c r="X5018" s="71"/>
      <c r="Y5018" s="71"/>
    </row>
    <row r="5019" spans="1:25" ht="30" hidden="1" customHeight="1" x14ac:dyDescent="0.25">
      <c r="A5019" s="1145">
        <v>44686</v>
      </c>
      <c r="B5019" s="664" t="s">
        <v>2255</v>
      </c>
      <c r="C5019" s="71" t="s">
        <v>3400</v>
      </c>
      <c r="D5019" s="71">
        <v>2400</v>
      </c>
      <c r="E5019" s="102">
        <v>3820</v>
      </c>
      <c r="F5019" s="102">
        <f t="shared" si="2460"/>
        <v>10084800</v>
      </c>
      <c r="G5019" s="102">
        <f t="shared" si="2461"/>
        <v>9168000</v>
      </c>
      <c r="H5019" s="690" t="s">
        <v>36</v>
      </c>
      <c r="I5019" s="71" t="s">
        <v>2529</v>
      </c>
      <c r="J5019" s="53">
        <f t="shared" si="2471"/>
        <v>2280000</v>
      </c>
      <c r="K5019" s="63">
        <f t="shared" si="2469"/>
        <v>0.2486910994764398</v>
      </c>
      <c r="L5019" s="1212" t="s">
        <v>3381</v>
      </c>
      <c r="M5019" s="102">
        <v>2680</v>
      </c>
      <c r="N5019" s="1192">
        <f t="shared" si="2470"/>
        <v>44686</v>
      </c>
      <c r="O5019" s="71" t="s">
        <v>3298</v>
      </c>
      <c r="P5019" s="103" t="str">
        <f t="shared" si="2477"/>
        <v>ENGAGE 900X571 - 27RO</v>
      </c>
      <c r="Q5019" s="71">
        <f t="shared" si="2464"/>
        <v>2400</v>
      </c>
      <c r="R5019" s="102">
        <v>2870</v>
      </c>
      <c r="S5019" s="102">
        <f t="shared" si="2475"/>
        <v>7576800.0000000009</v>
      </c>
      <c r="T5019" s="102">
        <f t="shared" si="2476"/>
        <v>6888000</v>
      </c>
      <c r="U5019" s="71" t="str">
        <f t="shared" si="2478"/>
        <v>O</v>
      </c>
      <c r="V5019" s="71"/>
      <c r="W5019" s="474">
        <f t="shared" ref="W5019:W5038" si="2479">(G5019-T5019)</f>
        <v>2280000</v>
      </c>
      <c r="X5019" s="71"/>
      <c r="Y5019" s="71"/>
    </row>
    <row r="5020" spans="1:25" ht="30" hidden="1" customHeight="1" x14ac:dyDescent="0.25">
      <c r="A5020" s="1145">
        <v>44685</v>
      </c>
      <c r="B5020" s="664" t="s">
        <v>2255</v>
      </c>
      <c r="C5020" s="71" t="s">
        <v>3401</v>
      </c>
      <c r="D5020" s="71"/>
      <c r="E5020" s="102">
        <v>3820</v>
      </c>
      <c r="F5020" s="102">
        <f t="shared" si="2460"/>
        <v>0</v>
      </c>
      <c r="G5020" s="102">
        <f t="shared" si="2461"/>
        <v>0</v>
      </c>
      <c r="H5020" s="690" t="s">
        <v>36</v>
      </c>
      <c r="I5020" s="71" t="s">
        <v>2529</v>
      </c>
      <c r="J5020" s="53">
        <f t="shared" si="2471"/>
        <v>0</v>
      </c>
      <c r="K5020" s="63" t="e">
        <f t="shared" si="2469"/>
        <v>#DIV/0!</v>
      </c>
      <c r="L5020" s="1212" t="s">
        <v>3381</v>
      </c>
      <c r="M5020" s="102">
        <v>2680</v>
      </c>
      <c r="N5020" s="1192">
        <f t="shared" si="2470"/>
        <v>44685</v>
      </c>
      <c r="O5020" s="71" t="s">
        <v>3298</v>
      </c>
      <c r="P5020" s="103" t="str">
        <f t="shared" si="2477"/>
        <v>ENGAGE 900X571 - 27RO*</v>
      </c>
      <c r="Q5020" s="71">
        <f t="shared" si="2464"/>
        <v>0</v>
      </c>
      <c r="R5020" s="102">
        <v>2870</v>
      </c>
      <c r="S5020" s="102">
        <f t="shared" si="2475"/>
        <v>0</v>
      </c>
      <c r="T5020" s="102">
        <f t="shared" si="2476"/>
        <v>0</v>
      </c>
      <c r="U5020" s="71" t="str">
        <f t="shared" si="2478"/>
        <v>O</v>
      </c>
      <c r="V5020" s="71"/>
      <c r="W5020" s="474">
        <f t="shared" si="2479"/>
        <v>0</v>
      </c>
      <c r="X5020" s="71"/>
      <c r="Y5020" s="71"/>
    </row>
    <row r="5021" spans="1:25" ht="30" hidden="1" customHeight="1" x14ac:dyDescent="0.25">
      <c r="A5021" s="1145">
        <v>44685</v>
      </c>
      <c r="B5021" s="664" t="s">
        <v>2255</v>
      </c>
      <c r="C5021" s="71" t="s">
        <v>3402</v>
      </c>
      <c r="D5021" s="71">
        <v>4000</v>
      </c>
      <c r="E5021" s="102">
        <v>3640</v>
      </c>
      <c r="F5021" s="102">
        <f t="shared" si="2460"/>
        <v>16016000.000000002</v>
      </c>
      <c r="G5021" s="102">
        <f t="shared" si="2461"/>
        <v>14560000</v>
      </c>
      <c r="H5021" s="690" t="s">
        <v>36</v>
      </c>
      <c r="I5021" s="71" t="s">
        <v>2529</v>
      </c>
      <c r="J5021" s="53">
        <f t="shared" si="2471"/>
        <v>3680000</v>
      </c>
      <c r="K5021" s="63">
        <f t="shared" si="2469"/>
        <v>0.25274725274725274</v>
      </c>
      <c r="L5021" s="1212" t="s">
        <v>3381</v>
      </c>
      <c r="M5021" s="102">
        <v>2540</v>
      </c>
      <c r="N5021" s="1192">
        <f t="shared" si="2470"/>
        <v>44685</v>
      </c>
      <c r="O5021" s="71" t="s">
        <v>3298</v>
      </c>
      <c r="P5021" s="103" t="str">
        <f t="shared" si="2477"/>
        <v>ENGAGE 30WEB(883*552)</v>
      </c>
      <c r="Q5021" s="71">
        <f t="shared" si="2464"/>
        <v>4000</v>
      </c>
      <c r="R5021" s="102">
        <v>2720</v>
      </c>
      <c r="S5021" s="102">
        <f t="shared" si="2475"/>
        <v>11968000.000000002</v>
      </c>
      <c r="T5021" s="102">
        <f t="shared" si="2476"/>
        <v>10880000</v>
      </c>
      <c r="U5021" s="71" t="str">
        <f t="shared" si="2478"/>
        <v>O</v>
      </c>
      <c r="V5021" s="71"/>
      <c r="W5021" s="474">
        <f t="shared" si="2479"/>
        <v>3680000</v>
      </c>
      <c r="X5021" s="71"/>
      <c r="Y5021" s="71"/>
    </row>
    <row r="5022" spans="1:25" ht="30" hidden="1" customHeight="1" x14ac:dyDescent="0.25">
      <c r="A5022" s="1145">
        <v>44685</v>
      </c>
      <c r="B5022" s="664" t="s">
        <v>2255</v>
      </c>
      <c r="C5022" s="71" t="s">
        <v>3403</v>
      </c>
      <c r="D5022" s="71"/>
      <c r="E5022" s="102">
        <v>3640</v>
      </c>
      <c r="F5022" s="102">
        <f t="shared" si="2460"/>
        <v>0</v>
      </c>
      <c r="G5022" s="102">
        <f t="shared" si="2461"/>
        <v>0</v>
      </c>
      <c r="H5022" s="690" t="s">
        <v>36</v>
      </c>
      <c r="I5022" s="71" t="s">
        <v>2529</v>
      </c>
      <c r="J5022" s="53">
        <f t="shared" si="2471"/>
        <v>0</v>
      </c>
      <c r="K5022" s="63" t="e">
        <f t="shared" si="2469"/>
        <v>#DIV/0!</v>
      </c>
      <c r="L5022" s="1212" t="s">
        <v>3381</v>
      </c>
      <c r="M5022" s="102">
        <v>2540</v>
      </c>
      <c r="N5022" s="1192">
        <f t="shared" si="2470"/>
        <v>44685</v>
      </c>
      <c r="O5022" s="71" t="s">
        <v>3298</v>
      </c>
      <c r="P5022" s="103" t="str">
        <f t="shared" si="2477"/>
        <v>ENGAGE 30WEB(883*552)*</v>
      </c>
      <c r="Q5022" s="71">
        <f t="shared" si="2464"/>
        <v>0</v>
      </c>
      <c r="R5022" s="102">
        <v>2720</v>
      </c>
      <c r="S5022" s="102">
        <f t="shared" si="2475"/>
        <v>0</v>
      </c>
      <c r="T5022" s="102">
        <f t="shared" si="2476"/>
        <v>0</v>
      </c>
      <c r="U5022" s="71" t="str">
        <f t="shared" si="2478"/>
        <v>O</v>
      </c>
      <c r="V5022" s="71"/>
      <c r="W5022" s="474">
        <f t="shared" si="2479"/>
        <v>0</v>
      </c>
      <c r="X5022" s="71"/>
      <c r="Y5022" s="71"/>
    </row>
    <row r="5023" spans="1:25" ht="30" hidden="1" customHeight="1" x14ac:dyDescent="0.25">
      <c r="A5023" s="1145">
        <v>44685</v>
      </c>
      <c r="B5023" s="664" t="s">
        <v>2255</v>
      </c>
      <c r="C5023" s="71" t="s">
        <v>3313</v>
      </c>
      <c r="D5023" s="71">
        <v>600</v>
      </c>
      <c r="E5023" s="102">
        <v>6150</v>
      </c>
      <c r="F5023" s="102">
        <f t="shared" si="2460"/>
        <v>4059000.0000000005</v>
      </c>
      <c r="G5023" s="102">
        <f t="shared" si="2461"/>
        <v>3690000</v>
      </c>
      <c r="H5023" s="690" t="s">
        <v>36</v>
      </c>
      <c r="I5023" s="71" t="s">
        <v>2529</v>
      </c>
      <c r="J5023" s="53">
        <f t="shared" si="2471"/>
        <v>930000</v>
      </c>
      <c r="K5023" s="63">
        <f t="shared" si="2469"/>
        <v>0.25203252032520324</v>
      </c>
      <c r="L5023" s="1212" t="s">
        <v>3381</v>
      </c>
      <c r="M5023" s="102">
        <v>4300</v>
      </c>
      <c r="N5023" s="1192">
        <f t="shared" si="2470"/>
        <v>44685</v>
      </c>
      <c r="O5023" s="71" t="s">
        <v>3298</v>
      </c>
      <c r="P5023" s="103" t="str">
        <f t="shared" si="2477"/>
        <v>ENGAGE 1030*800</v>
      </c>
      <c r="Q5023" s="71">
        <f t="shared" si="2464"/>
        <v>600</v>
      </c>
      <c r="R5023" s="102">
        <v>4600</v>
      </c>
      <c r="S5023" s="102">
        <f t="shared" si="2475"/>
        <v>3036000.0000000005</v>
      </c>
      <c r="T5023" s="102">
        <f t="shared" si="2476"/>
        <v>2760000</v>
      </c>
      <c r="U5023" s="71" t="str">
        <f t="shared" si="2478"/>
        <v>O</v>
      </c>
      <c r="V5023" s="71"/>
      <c r="W5023" s="474">
        <f t="shared" si="2479"/>
        <v>930000</v>
      </c>
      <c r="X5023" s="71"/>
      <c r="Y5023" s="71"/>
    </row>
    <row r="5024" spans="1:25" ht="30" hidden="1" customHeight="1" x14ac:dyDescent="0.25">
      <c r="A5024" s="1145">
        <v>44685</v>
      </c>
      <c r="B5024" s="664" t="s">
        <v>2255</v>
      </c>
      <c r="C5024" s="71" t="s">
        <v>3314</v>
      </c>
      <c r="D5024" s="71">
        <v>1200</v>
      </c>
      <c r="E5024" s="102">
        <v>6370</v>
      </c>
      <c r="F5024" s="102">
        <f t="shared" si="2460"/>
        <v>8408400</v>
      </c>
      <c r="G5024" s="102">
        <f t="shared" si="2461"/>
        <v>7644000</v>
      </c>
      <c r="H5024" s="690" t="s">
        <v>36</v>
      </c>
      <c r="I5024" s="71" t="s">
        <v>2529</v>
      </c>
      <c r="J5024" s="53">
        <f t="shared" si="2471"/>
        <v>1908000</v>
      </c>
      <c r="K5024" s="63">
        <f t="shared" si="2469"/>
        <v>0.24960753532182103</v>
      </c>
      <c r="L5024" s="1212" t="s">
        <v>3381</v>
      </c>
      <c r="M5024" s="102">
        <v>4470</v>
      </c>
      <c r="N5024" s="1192">
        <f t="shared" si="2470"/>
        <v>44685</v>
      </c>
      <c r="O5024" s="71" t="s">
        <v>3298</v>
      </c>
      <c r="P5024" s="103" t="str">
        <f t="shared" si="2477"/>
        <v>ENGAGE 1055*811</v>
      </c>
      <c r="Q5024" s="71">
        <f t="shared" si="2464"/>
        <v>1200</v>
      </c>
      <c r="R5024" s="102">
        <v>4780</v>
      </c>
      <c r="S5024" s="102">
        <f t="shared" si="2475"/>
        <v>6309600.0000000009</v>
      </c>
      <c r="T5024" s="102">
        <f t="shared" si="2476"/>
        <v>5736000</v>
      </c>
      <c r="U5024" s="71" t="str">
        <f t="shared" si="2478"/>
        <v>O</v>
      </c>
      <c r="V5024" s="71"/>
      <c r="W5024" s="474">
        <f t="shared" si="2479"/>
        <v>1908000</v>
      </c>
      <c r="X5024" s="71"/>
      <c r="Y5024" s="71"/>
    </row>
    <row r="5025" spans="1:25" ht="30" hidden="1" customHeight="1" x14ac:dyDescent="0.25">
      <c r="A5025" s="1145">
        <v>44685</v>
      </c>
      <c r="B5025" s="664" t="s">
        <v>2255</v>
      </c>
      <c r="C5025" s="71" t="s">
        <v>3404</v>
      </c>
      <c r="D5025" s="71"/>
      <c r="E5025" s="102">
        <v>6370</v>
      </c>
      <c r="F5025" s="102">
        <f t="shared" si="2460"/>
        <v>0</v>
      </c>
      <c r="G5025" s="102">
        <f t="shared" si="2461"/>
        <v>0</v>
      </c>
      <c r="H5025" s="690" t="s">
        <v>36</v>
      </c>
      <c r="I5025" s="71" t="s">
        <v>2529</v>
      </c>
      <c r="J5025" s="53">
        <f t="shared" si="2471"/>
        <v>0</v>
      </c>
      <c r="K5025" s="63" t="e">
        <f t="shared" si="2469"/>
        <v>#DIV/0!</v>
      </c>
      <c r="L5025" s="1212" t="s">
        <v>3381</v>
      </c>
      <c r="M5025" s="102">
        <v>4470</v>
      </c>
      <c r="N5025" s="1192">
        <f t="shared" si="2470"/>
        <v>44685</v>
      </c>
      <c r="O5025" s="71" t="s">
        <v>3298</v>
      </c>
      <c r="P5025" s="103" t="str">
        <f t="shared" si="2477"/>
        <v>ENGAGE 1055*811*</v>
      </c>
      <c r="Q5025" s="71">
        <f t="shared" si="2464"/>
        <v>0</v>
      </c>
      <c r="R5025" s="102">
        <v>47802</v>
      </c>
      <c r="S5025" s="102">
        <f t="shared" si="2475"/>
        <v>0</v>
      </c>
      <c r="T5025" s="102">
        <f t="shared" si="2476"/>
        <v>0</v>
      </c>
      <c r="U5025" s="71" t="str">
        <f t="shared" si="2478"/>
        <v>O</v>
      </c>
      <c r="V5025" s="71"/>
      <c r="W5025" s="474">
        <f t="shared" si="2479"/>
        <v>0</v>
      </c>
      <c r="X5025" s="71"/>
      <c r="Y5025" s="71"/>
    </row>
    <row r="5026" spans="1:25" ht="30" hidden="1" customHeight="1" x14ac:dyDescent="0.25">
      <c r="A5026" s="1145">
        <v>44685</v>
      </c>
      <c r="B5026" s="664" t="s">
        <v>2255</v>
      </c>
      <c r="C5026" s="71" t="s">
        <v>3315</v>
      </c>
      <c r="D5026" s="71"/>
      <c r="E5026" s="102">
        <v>4480</v>
      </c>
      <c r="F5026" s="102">
        <f t="shared" si="2460"/>
        <v>0</v>
      </c>
      <c r="G5026" s="102">
        <f t="shared" si="2461"/>
        <v>0</v>
      </c>
      <c r="H5026" s="690" t="s">
        <v>36</v>
      </c>
      <c r="I5026" s="71" t="s">
        <v>2529</v>
      </c>
      <c r="J5026" s="53">
        <f t="shared" si="2471"/>
        <v>0</v>
      </c>
      <c r="K5026" s="63" t="e">
        <f t="shared" si="2469"/>
        <v>#DIV/0!</v>
      </c>
      <c r="L5026" s="1212" t="s">
        <v>3381</v>
      </c>
      <c r="M5026" s="102">
        <v>3190</v>
      </c>
      <c r="N5026" s="1192">
        <f t="shared" si="2470"/>
        <v>44685</v>
      </c>
      <c r="O5026" s="71" t="s">
        <v>3298</v>
      </c>
      <c r="P5026" s="103" t="str">
        <f t="shared" si="2477"/>
        <v>ENGAGE 968*631</v>
      </c>
      <c r="Q5026" s="71">
        <f t="shared" si="2464"/>
        <v>0</v>
      </c>
      <c r="R5026" s="102">
        <f>(M5026*1.07)</f>
        <v>3413.3</v>
      </c>
      <c r="S5026" s="102">
        <f t="shared" si="2475"/>
        <v>0</v>
      </c>
      <c r="T5026" s="102">
        <f t="shared" si="2476"/>
        <v>0</v>
      </c>
      <c r="U5026" s="71" t="str">
        <f t="shared" si="2478"/>
        <v>O</v>
      </c>
      <c r="V5026" s="71"/>
      <c r="W5026" s="474">
        <f t="shared" si="2479"/>
        <v>0</v>
      </c>
      <c r="X5026" s="71"/>
      <c r="Y5026" s="71"/>
    </row>
    <row r="5027" spans="1:25" ht="30" hidden="1" customHeight="1" x14ac:dyDescent="0.25">
      <c r="A5027" s="1145">
        <v>44685</v>
      </c>
      <c r="B5027" s="664" t="s">
        <v>2255</v>
      </c>
      <c r="C5027" s="71" t="s">
        <v>3316</v>
      </c>
      <c r="D5027" s="71"/>
      <c r="E5027" s="102"/>
      <c r="F5027" s="102">
        <f t="shared" si="2460"/>
        <v>0</v>
      </c>
      <c r="G5027" s="102">
        <f t="shared" si="2461"/>
        <v>0</v>
      </c>
      <c r="H5027" s="690" t="s">
        <v>36</v>
      </c>
      <c r="I5027" s="71" t="s">
        <v>2529</v>
      </c>
      <c r="J5027" s="53">
        <f t="shared" si="2471"/>
        <v>0</v>
      </c>
      <c r="K5027" s="63" t="e">
        <f t="shared" si="2469"/>
        <v>#DIV/0!</v>
      </c>
      <c r="L5027" s="1212" t="s">
        <v>3381</v>
      </c>
      <c r="M5027" s="102">
        <v>5510</v>
      </c>
      <c r="N5027" s="1192">
        <f t="shared" si="2470"/>
        <v>44685</v>
      </c>
      <c r="O5027" s="71" t="s">
        <v>3298</v>
      </c>
      <c r="P5027" s="103" t="str">
        <f t="shared" si="2477"/>
        <v>ENGAGE 1092*800</v>
      </c>
      <c r="Q5027" s="71">
        <f t="shared" si="2464"/>
        <v>0</v>
      </c>
      <c r="R5027" s="102">
        <f>(M5027*1.07)</f>
        <v>5895.7000000000007</v>
      </c>
      <c r="S5027" s="102">
        <f t="shared" si="2475"/>
        <v>0</v>
      </c>
      <c r="T5027" s="102">
        <f t="shared" si="2476"/>
        <v>0</v>
      </c>
      <c r="U5027" s="71" t="str">
        <f t="shared" si="2478"/>
        <v>O</v>
      </c>
      <c r="V5027" s="71"/>
      <c r="W5027" s="474">
        <f t="shared" si="2479"/>
        <v>0</v>
      </c>
      <c r="X5027" s="71"/>
      <c r="Y5027" s="71"/>
    </row>
    <row r="5028" spans="1:25" ht="30" hidden="1" customHeight="1" x14ac:dyDescent="0.25">
      <c r="A5028" s="1145">
        <v>44685</v>
      </c>
      <c r="B5028" s="664" t="s">
        <v>2255</v>
      </c>
      <c r="C5028" s="71" t="s">
        <v>3396</v>
      </c>
      <c r="D5028" s="71"/>
      <c r="E5028" s="102">
        <v>56000</v>
      </c>
      <c r="F5028" s="102">
        <f t="shared" si="2460"/>
        <v>0</v>
      </c>
      <c r="G5028" s="102">
        <f t="shared" si="2461"/>
        <v>0</v>
      </c>
      <c r="H5028" s="690" t="s">
        <v>36</v>
      </c>
      <c r="I5028" s="71" t="s">
        <v>2529</v>
      </c>
      <c r="J5028" s="53">
        <f t="shared" si="2471"/>
        <v>0</v>
      </c>
      <c r="K5028" s="63" t="e">
        <f t="shared" si="2469"/>
        <v>#DIV/0!</v>
      </c>
      <c r="L5028" s="1212" t="s">
        <v>3381</v>
      </c>
      <c r="M5028" s="468"/>
      <c r="N5028" s="1192">
        <f t="shared" si="2470"/>
        <v>44685</v>
      </c>
      <c r="O5028" s="71" t="s">
        <v>3298</v>
      </c>
      <c r="P5028" s="103" t="str">
        <f t="shared" si="2477"/>
        <v>THR200(20L)보충액*</v>
      </c>
      <c r="Q5028" s="71">
        <f t="shared" si="2464"/>
        <v>0</v>
      </c>
      <c r="R5028" s="102">
        <v>43068</v>
      </c>
      <c r="S5028" s="102">
        <f t="shared" si="2475"/>
        <v>0</v>
      </c>
      <c r="T5028" s="102">
        <f t="shared" si="2476"/>
        <v>0</v>
      </c>
      <c r="U5028" s="71" t="str">
        <f t="shared" si="2478"/>
        <v>O</v>
      </c>
      <c r="V5028" s="71"/>
      <c r="W5028" s="474">
        <f t="shared" si="2479"/>
        <v>0</v>
      </c>
      <c r="X5028" s="71"/>
      <c r="Y5028" s="71"/>
    </row>
    <row r="5029" spans="1:25" ht="30" hidden="1" customHeight="1" x14ac:dyDescent="0.25">
      <c r="A5029" s="1145">
        <v>44685</v>
      </c>
      <c r="B5029" s="664" t="s">
        <v>2255</v>
      </c>
      <c r="C5029" s="71" t="s">
        <v>1386</v>
      </c>
      <c r="D5029" s="71">
        <v>55</v>
      </c>
      <c r="E5029" s="102">
        <v>56000</v>
      </c>
      <c r="F5029" s="102">
        <f t="shared" si="2460"/>
        <v>3388000.0000000005</v>
      </c>
      <c r="G5029" s="102">
        <f t="shared" si="2461"/>
        <v>3080000</v>
      </c>
      <c r="H5029" s="690" t="s">
        <v>179</v>
      </c>
      <c r="I5029" s="71" t="s">
        <v>3405</v>
      </c>
      <c r="J5029" s="53">
        <f t="shared" si="2471"/>
        <v>866250</v>
      </c>
      <c r="K5029" s="63">
        <f t="shared" si="2469"/>
        <v>0.28124999999999994</v>
      </c>
      <c r="L5029" s="1212" t="s">
        <v>3381</v>
      </c>
      <c r="M5029" s="468"/>
      <c r="N5029" s="1192">
        <f t="shared" si="2470"/>
        <v>44685</v>
      </c>
      <c r="O5029" s="71" t="s">
        <v>194</v>
      </c>
      <c r="P5029" s="164" t="str">
        <f t="shared" si="2477"/>
        <v>THR200(20L)보충액</v>
      </c>
      <c r="Q5029" s="71">
        <f t="shared" si="2464"/>
        <v>55</v>
      </c>
      <c r="R5029" s="102">
        <v>40250</v>
      </c>
      <c r="S5029" s="102">
        <f t="shared" si="2475"/>
        <v>2435125</v>
      </c>
      <c r="T5029" s="102">
        <f t="shared" si="2476"/>
        <v>2213750</v>
      </c>
      <c r="U5029" s="71" t="str">
        <f t="shared" si="2478"/>
        <v>O</v>
      </c>
      <c r="V5029" s="71"/>
      <c r="W5029" s="474">
        <f t="shared" si="2479"/>
        <v>866250</v>
      </c>
      <c r="X5029" s="71"/>
      <c r="Y5029" s="71"/>
    </row>
    <row r="5030" spans="1:25" ht="30" hidden="1" customHeight="1" x14ac:dyDescent="0.25">
      <c r="A5030" s="1145">
        <v>44685</v>
      </c>
      <c r="B5030" s="664" t="s">
        <v>2255</v>
      </c>
      <c r="C5030" s="71" t="s">
        <v>3318</v>
      </c>
      <c r="D5030" s="71"/>
      <c r="E5030" s="102">
        <v>55000</v>
      </c>
      <c r="F5030" s="102">
        <f t="shared" si="2460"/>
        <v>0</v>
      </c>
      <c r="G5030" s="102">
        <f t="shared" si="2461"/>
        <v>0</v>
      </c>
      <c r="H5030" s="690" t="s">
        <v>36</v>
      </c>
      <c r="I5030" s="71" t="s">
        <v>2529</v>
      </c>
      <c r="J5030" s="53">
        <f t="shared" si="2471"/>
        <v>0</v>
      </c>
      <c r="K5030" s="63" t="e">
        <f t="shared" si="2469"/>
        <v>#DIV/0!</v>
      </c>
      <c r="L5030" s="1212" t="s">
        <v>3381</v>
      </c>
      <c r="M5030" s="468"/>
      <c r="N5030" s="1192">
        <f t="shared" si="2470"/>
        <v>44685</v>
      </c>
      <c r="O5030" s="71" t="s">
        <v>3298</v>
      </c>
      <c r="P5030" s="103" t="str">
        <f t="shared" si="2477"/>
        <v>THD200(20L)현상액</v>
      </c>
      <c r="Q5030" s="71">
        <f t="shared" si="2464"/>
        <v>0</v>
      </c>
      <c r="R5030" s="102">
        <v>40250</v>
      </c>
      <c r="S5030" s="102">
        <f t="shared" si="2475"/>
        <v>0</v>
      </c>
      <c r="T5030" s="102">
        <f t="shared" si="2476"/>
        <v>0</v>
      </c>
      <c r="U5030" s="71" t="str">
        <f t="shared" si="2478"/>
        <v>O</v>
      </c>
      <c r="V5030" s="71"/>
      <c r="W5030" s="474">
        <f t="shared" si="2479"/>
        <v>0</v>
      </c>
      <c r="X5030" s="71"/>
      <c r="Y5030" s="71"/>
    </row>
    <row r="5031" spans="1:25" ht="30" hidden="1" customHeight="1" x14ac:dyDescent="0.25">
      <c r="A5031" s="1145">
        <v>44685</v>
      </c>
      <c r="B5031" s="664" t="s">
        <v>2254</v>
      </c>
      <c r="C5031" s="71" t="s">
        <v>3319</v>
      </c>
      <c r="D5031" s="71">
        <v>200</v>
      </c>
      <c r="E5031" s="102">
        <v>5600</v>
      </c>
      <c r="F5031" s="102">
        <f t="shared" si="2460"/>
        <v>1232000</v>
      </c>
      <c r="G5031" s="102">
        <f t="shared" si="2461"/>
        <v>1120000</v>
      </c>
      <c r="H5031" s="690" t="s">
        <v>36</v>
      </c>
      <c r="I5031" s="71" t="s">
        <v>3320</v>
      </c>
      <c r="J5031" s="53">
        <f t="shared" si="2471"/>
        <v>60000</v>
      </c>
      <c r="K5031" s="63">
        <f t="shared" si="2469"/>
        <v>5.3571428571428568E-2</v>
      </c>
      <c r="L5031" s="1212" t="s">
        <v>3381</v>
      </c>
      <c r="M5031" s="468"/>
      <c r="N5031" s="1192">
        <f t="shared" si="2470"/>
        <v>44685</v>
      </c>
      <c r="O5031" s="71" t="s">
        <v>146</v>
      </c>
      <c r="P5031" s="103" t="str">
        <f t="shared" si="2477"/>
        <v>프리미어(먹)</v>
      </c>
      <c r="Q5031" s="71">
        <f t="shared" si="2464"/>
        <v>200</v>
      </c>
      <c r="R5031" s="102">
        <v>5300</v>
      </c>
      <c r="S5031" s="102">
        <f t="shared" si="2475"/>
        <v>1166000</v>
      </c>
      <c r="T5031" s="102">
        <f t="shared" si="2476"/>
        <v>1060000</v>
      </c>
      <c r="U5031" s="71" t="str">
        <f t="shared" si="2478"/>
        <v>O</v>
      </c>
      <c r="V5031" s="71"/>
      <c r="W5031" s="474">
        <f t="shared" si="2479"/>
        <v>60000</v>
      </c>
      <c r="X5031" s="71"/>
      <c r="Y5031" s="71"/>
    </row>
    <row r="5032" spans="1:25" ht="30" hidden="1" customHeight="1" x14ac:dyDescent="0.25">
      <c r="A5032" s="1145">
        <v>44685</v>
      </c>
      <c r="B5032" s="664" t="s">
        <v>2254</v>
      </c>
      <c r="C5032" s="71" t="s">
        <v>3321</v>
      </c>
      <c r="D5032" s="71">
        <v>400</v>
      </c>
      <c r="E5032" s="102">
        <v>6000</v>
      </c>
      <c r="F5032" s="102">
        <f t="shared" si="2460"/>
        <v>2640000</v>
      </c>
      <c r="G5032" s="102">
        <f t="shared" si="2461"/>
        <v>2400000</v>
      </c>
      <c r="H5032" s="690" t="s">
        <v>36</v>
      </c>
      <c r="I5032" s="71" t="s">
        <v>3320</v>
      </c>
      <c r="J5032" s="53">
        <f t="shared" si="2471"/>
        <v>-20000</v>
      </c>
      <c r="K5032" s="63">
        <f t="shared" si="2469"/>
        <v>-8.3333333333333332E-3</v>
      </c>
      <c r="L5032" s="1212" t="s">
        <v>3381</v>
      </c>
      <c r="M5032" s="468"/>
      <c r="N5032" s="1192">
        <f t="shared" si="2470"/>
        <v>44685</v>
      </c>
      <c r="O5032" s="71" t="s">
        <v>146</v>
      </c>
      <c r="P5032" s="103" t="str">
        <f t="shared" si="2477"/>
        <v>프리미어(적)</v>
      </c>
      <c r="Q5032" s="71">
        <f t="shared" si="2464"/>
        <v>400</v>
      </c>
      <c r="R5032" s="102">
        <v>6050</v>
      </c>
      <c r="S5032" s="102">
        <f t="shared" si="2475"/>
        <v>2662000</v>
      </c>
      <c r="T5032" s="102">
        <f t="shared" si="2476"/>
        <v>2420000</v>
      </c>
      <c r="U5032" s="71" t="str">
        <f t="shared" si="2478"/>
        <v>O</v>
      </c>
      <c r="V5032" s="71"/>
      <c r="W5032" s="474">
        <f t="shared" si="2479"/>
        <v>-20000</v>
      </c>
      <c r="X5032" s="71"/>
      <c r="Y5032" s="71"/>
    </row>
    <row r="5033" spans="1:25" ht="30" hidden="1" customHeight="1" x14ac:dyDescent="0.25">
      <c r="A5033" s="1145">
        <v>44685</v>
      </c>
      <c r="B5033" s="664" t="s">
        <v>2254</v>
      </c>
      <c r="C5033" s="71" t="s">
        <v>1289</v>
      </c>
      <c r="D5033" s="71">
        <v>600</v>
      </c>
      <c r="E5033" s="102">
        <v>5750</v>
      </c>
      <c r="F5033" s="102">
        <f t="shared" si="2460"/>
        <v>3795000.0000000005</v>
      </c>
      <c r="G5033" s="102">
        <f t="shared" si="2461"/>
        <v>3450000</v>
      </c>
      <c r="H5033" s="690" t="s">
        <v>36</v>
      </c>
      <c r="I5033" s="71" t="s">
        <v>3320</v>
      </c>
      <c r="J5033" s="53">
        <f t="shared" si="2471"/>
        <v>192000</v>
      </c>
      <c r="K5033" s="63">
        <f t="shared" si="2469"/>
        <v>5.5652173913043473E-2</v>
      </c>
      <c r="L5033" s="1212" t="s">
        <v>3381</v>
      </c>
      <c r="M5033" s="468"/>
      <c r="N5033" s="1192">
        <f t="shared" si="2470"/>
        <v>44685</v>
      </c>
      <c r="O5033" s="71" t="s">
        <v>146</v>
      </c>
      <c r="P5033" s="103" t="str">
        <f t="shared" si="2477"/>
        <v>프리미어(황)</v>
      </c>
      <c r="Q5033" s="71">
        <f t="shared" si="2464"/>
        <v>600</v>
      </c>
      <c r="R5033" s="102">
        <v>5430</v>
      </c>
      <c r="S5033" s="102">
        <f t="shared" si="2475"/>
        <v>3583800.0000000005</v>
      </c>
      <c r="T5033" s="102">
        <f t="shared" si="2476"/>
        <v>3258000</v>
      </c>
      <c r="U5033" s="71" t="str">
        <f t="shared" si="2478"/>
        <v>O</v>
      </c>
      <c r="V5033" s="71"/>
      <c r="W5033" s="474">
        <f t="shared" si="2479"/>
        <v>192000</v>
      </c>
      <c r="X5033" s="71"/>
      <c r="Y5033" s="71"/>
    </row>
    <row r="5034" spans="1:25" ht="30" hidden="1" customHeight="1" x14ac:dyDescent="0.25">
      <c r="A5034" s="1145">
        <v>44685</v>
      </c>
      <c r="B5034" s="664" t="s">
        <v>2254</v>
      </c>
      <c r="C5034" s="71" t="s">
        <v>1290</v>
      </c>
      <c r="D5034" s="71">
        <v>400</v>
      </c>
      <c r="E5034" s="102">
        <v>7000</v>
      </c>
      <c r="F5034" s="102">
        <f t="shared" si="2460"/>
        <v>3080000.0000000005</v>
      </c>
      <c r="G5034" s="102">
        <f t="shared" si="2461"/>
        <v>2800000</v>
      </c>
      <c r="H5034" s="690" t="s">
        <v>36</v>
      </c>
      <c r="I5034" s="71" t="s">
        <v>3320</v>
      </c>
      <c r="J5034" s="53">
        <f t="shared" si="2471"/>
        <v>200000</v>
      </c>
      <c r="K5034" s="63">
        <f t="shared" si="2469"/>
        <v>7.1428571428571411E-2</v>
      </c>
      <c r="L5034" s="1212" t="s">
        <v>3381</v>
      </c>
      <c r="M5034" s="468"/>
      <c r="N5034" s="1192">
        <f t="shared" si="2470"/>
        <v>44685</v>
      </c>
      <c r="O5034" s="71" t="s">
        <v>146</v>
      </c>
      <c r="P5034" s="103" t="str">
        <f t="shared" si="2477"/>
        <v>프리미어(청)</v>
      </c>
      <c r="Q5034" s="71">
        <f t="shared" si="2464"/>
        <v>400</v>
      </c>
      <c r="R5034" s="102">
        <v>6500</v>
      </c>
      <c r="S5034" s="102">
        <f t="shared" si="2475"/>
        <v>2860000</v>
      </c>
      <c r="T5034" s="102">
        <f t="shared" si="2476"/>
        <v>2600000</v>
      </c>
      <c r="U5034" s="71" t="str">
        <f t="shared" si="2478"/>
        <v>O</v>
      </c>
      <c r="V5034" s="71"/>
      <c r="W5034" s="474">
        <f t="shared" si="2479"/>
        <v>200000</v>
      </c>
      <c r="X5034" s="71"/>
      <c r="Y5034" s="71"/>
    </row>
    <row r="5035" spans="1:25" ht="30" hidden="1" customHeight="1" x14ac:dyDescent="0.25">
      <c r="A5035" s="1145">
        <v>44685</v>
      </c>
      <c r="B5035" s="664" t="s">
        <v>2254</v>
      </c>
      <c r="C5035" s="71" t="s">
        <v>3322</v>
      </c>
      <c r="D5035" s="71">
        <v>0</v>
      </c>
      <c r="E5035" s="102">
        <v>6200</v>
      </c>
      <c r="F5035" s="102">
        <f t="shared" si="2460"/>
        <v>0</v>
      </c>
      <c r="G5035" s="102">
        <f t="shared" si="2461"/>
        <v>0</v>
      </c>
      <c r="H5035" s="690" t="s">
        <v>36</v>
      </c>
      <c r="I5035" s="71" t="s">
        <v>3320</v>
      </c>
      <c r="J5035" s="53">
        <f t="shared" si="2471"/>
        <v>0</v>
      </c>
      <c r="K5035" s="63" t="e">
        <f t="shared" si="2469"/>
        <v>#DIV/0!</v>
      </c>
      <c r="L5035" s="1212" t="s">
        <v>3381</v>
      </c>
      <c r="M5035" s="468"/>
      <c r="N5035" s="1192">
        <f t="shared" si="2470"/>
        <v>44685</v>
      </c>
      <c r="O5035" s="71" t="s">
        <v>3323</v>
      </c>
      <c r="P5035" s="103" t="str">
        <f t="shared" si="2477"/>
        <v>한특 잉크(적)</v>
      </c>
      <c r="Q5035" s="71">
        <f t="shared" si="2464"/>
        <v>0</v>
      </c>
      <c r="R5035" s="102">
        <v>5900</v>
      </c>
      <c r="S5035" s="102">
        <f t="shared" si="2475"/>
        <v>0</v>
      </c>
      <c r="T5035" s="102">
        <f t="shared" si="2476"/>
        <v>0</v>
      </c>
      <c r="U5035" s="71" t="str">
        <f t="shared" si="2478"/>
        <v>O</v>
      </c>
      <c r="V5035" s="71"/>
      <c r="W5035" s="474">
        <f t="shared" si="2479"/>
        <v>0</v>
      </c>
      <c r="X5035" s="71"/>
      <c r="Y5035" s="71"/>
    </row>
    <row r="5036" spans="1:25" ht="30" hidden="1" customHeight="1" x14ac:dyDescent="0.25">
      <c r="A5036" s="1145">
        <v>44685</v>
      </c>
      <c r="B5036" s="664" t="s">
        <v>2254</v>
      </c>
      <c r="C5036" s="71" t="s">
        <v>3324</v>
      </c>
      <c r="D5036" s="71">
        <v>0</v>
      </c>
      <c r="E5036" s="102">
        <v>6000</v>
      </c>
      <c r="F5036" s="102">
        <f t="shared" si="2460"/>
        <v>0</v>
      </c>
      <c r="G5036" s="102">
        <f t="shared" si="2461"/>
        <v>0</v>
      </c>
      <c r="H5036" s="690" t="s">
        <v>36</v>
      </c>
      <c r="I5036" s="71" t="s">
        <v>3320</v>
      </c>
      <c r="J5036" s="53">
        <f t="shared" si="2471"/>
        <v>0</v>
      </c>
      <c r="K5036" s="63" t="e">
        <f t="shared" si="2469"/>
        <v>#DIV/0!</v>
      </c>
      <c r="L5036" s="1212" t="s">
        <v>3381</v>
      </c>
      <c r="M5036" s="468"/>
      <c r="N5036" s="1192">
        <f t="shared" si="2470"/>
        <v>44685</v>
      </c>
      <c r="O5036" s="71" t="s">
        <v>3323</v>
      </c>
      <c r="P5036" s="103" t="str">
        <f t="shared" si="2477"/>
        <v>한특 잉크(황)</v>
      </c>
      <c r="Q5036" s="71">
        <f t="shared" si="2464"/>
        <v>0</v>
      </c>
      <c r="R5036" s="102">
        <v>5500</v>
      </c>
      <c r="S5036" s="102">
        <f t="shared" si="2475"/>
        <v>0</v>
      </c>
      <c r="T5036" s="102">
        <f t="shared" si="2476"/>
        <v>0</v>
      </c>
      <c r="U5036" s="71" t="str">
        <f t="shared" si="2478"/>
        <v>O</v>
      </c>
      <c r="V5036" s="71"/>
      <c r="W5036" s="474">
        <f t="shared" si="2479"/>
        <v>0</v>
      </c>
      <c r="X5036" s="71"/>
      <c r="Y5036" s="71"/>
    </row>
    <row r="5037" spans="1:25" ht="30" hidden="1" customHeight="1" x14ac:dyDescent="0.25">
      <c r="A5037" s="1145">
        <v>44685</v>
      </c>
      <c r="B5037" s="664" t="s">
        <v>2254</v>
      </c>
      <c r="C5037" s="71" t="s">
        <v>3325</v>
      </c>
      <c r="D5037" s="71">
        <v>0</v>
      </c>
      <c r="E5037" s="102">
        <v>6500</v>
      </c>
      <c r="F5037" s="102">
        <f t="shared" si="2460"/>
        <v>0</v>
      </c>
      <c r="G5037" s="102">
        <f t="shared" si="2461"/>
        <v>0</v>
      </c>
      <c r="H5037" s="690" t="s">
        <v>36</v>
      </c>
      <c r="I5037" s="71" t="s">
        <v>3320</v>
      </c>
      <c r="J5037" s="53">
        <f t="shared" si="2471"/>
        <v>0</v>
      </c>
      <c r="K5037" s="63" t="e">
        <f t="shared" si="2469"/>
        <v>#DIV/0!</v>
      </c>
      <c r="L5037" s="1212" t="s">
        <v>3381</v>
      </c>
      <c r="M5037" s="468"/>
      <c r="N5037" s="1192">
        <f t="shared" si="2470"/>
        <v>44685</v>
      </c>
      <c r="O5037" s="71" t="s">
        <v>3323</v>
      </c>
      <c r="P5037" s="103" t="str">
        <f t="shared" si="2477"/>
        <v>한특 잉크(청)</v>
      </c>
      <c r="Q5037" s="71">
        <f t="shared" si="2464"/>
        <v>0</v>
      </c>
      <c r="R5037" s="102">
        <v>5800</v>
      </c>
      <c r="S5037" s="102">
        <f t="shared" si="2475"/>
        <v>0</v>
      </c>
      <c r="T5037" s="102">
        <f t="shared" si="2476"/>
        <v>0</v>
      </c>
      <c r="U5037" s="71" t="str">
        <f t="shared" si="2478"/>
        <v>O</v>
      </c>
      <c r="V5037" s="71"/>
      <c r="W5037" s="474">
        <f t="shared" si="2479"/>
        <v>0</v>
      </c>
      <c r="X5037" s="71"/>
      <c r="Y5037" s="71"/>
    </row>
    <row r="5038" spans="1:25" ht="30" hidden="1" customHeight="1" x14ac:dyDescent="0.25">
      <c r="A5038" s="1145">
        <v>44685</v>
      </c>
      <c r="B5038" s="664" t="s">
        <v>2254</v>
      </c>
      <c r="C5038" s="71" t="s">
        <v>3326</v>
      </c>
      <c r="D5038" s="71">
        <v>0</v>
      </c>
      <c r="E5038" s="102">
        <v>5600</v>
      </c>
      <c r="F5038" s="102">
        <f t="shared" si="2460"/>
        <v>0</v>
      </c>
      <c r="G5038" s="102">
        <f t="shared" si="2461"/>
        <v>0</v>
      </c>
      <c r="H5038" s="690" t="s">
        <v>36</v>
      </c>
      <c r="I5038" s="71" t="s">
        <v>3320</v>
      </c>
      <c r="J5038" s="53">
        <f t="shared" si="2471"/>
        <v>0</v>
      </c>
      <c r="K5038" s="63" t="e">
        <f t="shared" si="2469"/>
        <v>#DIV/0!</v>
      </c>
      <c r="L5038" s="1212" t="s">
        <v>3381</v>
      </c>
      <c r="M5038" s="468"/>
      <c r="N5038" s="1192">
        <f t="shared" si="2470"/>
        <v>44685</v>
      </c>
      <c r="O5038" s="71" t="s">
        <v>3323</v>
      </c>
      <c r="P5038" s="103" t="str">
        <f t="shared" si="2477"/>
        <v>한특 잉크(먹)</v>
      </c>
      <c r="Q5038" s="71">
        <f t="shared" si="2464"/>
        <v>0</v>
      </c>
      <c r="R5038" s="102">
        <v>5000</v>
      </c>
      <c r="S5038" s="102">
        <f t="shared" si="2475"/>
        <v>0</v>
      </c>
      <c r="T5038" s="102">
        <f t="shared" si="2476"/>
        <v>0</v>
      </c>
      <c r="U5038" s="71" t="str">
        <f t="shared" si="2478"/>
        <v>O</v>
      </c>
      <c r="V5038" s="71"/>
      <c r="W5038" s="474">
        <f t="shared" si="2479"/>
        <v>0</v>
      </c>
      <c r="X5038" s="71"/>
      <c r="Y5038" s="71"/>
    </row>
    <row r="5039" spans="1:25" ht="30" hidden="1" customHeight="1" x14ac:dyDescent="0.25">
      <c r="A5039" s="1145">
        <v>44685</v>
      </c>
      <c r="B5039" s="664" t="s">
        <v>443</v>
      </c>
      <c r="C5039" s="71" t="s">
        <v>3327</v>
      </c>
      <c r="D5039" s="71">
        <v>1</v>
      </c>
      <c r="E5039" s="102">
        <v>2350000</v>
      </c>
      <c r="F5039" s="102">
        <f t="shared" ref="F5039:F5045" si="2480">(E5039*D5039)*1.1</f>
        <v>2585000</v>
      </c>
      <c r="G5039" s="102">
        <f t="shared" ref="G5039:G5045" si="2481">(E5039*D5039)</f>
        <v>2350000</v>
      </c>
      <c r="H5039" s="690" t="s">
        <v>36</v>
      </c>
      <c r="I5039" s="690" t="s">
        <v>36</v>
      </c>
      <c r="J5039" s="53">
        <f t="shared" si="2471"/>
        <v>600000</v>
      </c>
      <c r="K5039" s="63">
        <f t="shared" si="2469"/>
        <v>0.25531914893617019</v>
      </c>
      <c r="L5039" s="1212" t="s">
        <v>3381</v>
      </c>
      <c r="M5039" s="468"/>
      <c r="N5039" s="1192">
        <f t="shared" si="2470"/>
        <v>44685</v>
      </c>
      <c r="O5039" s="71" t="s">
        <v>113</v>
      </c>
      <c r="P5039" s="103" t="str">
        <f t="shared" si="2477"/>
        <v>Apogee 워크플로우 구독료</v>
      </c>
      <c r="Q5039" s="71">
        <f t="shared" si="2464"/>
        <v>1</v>
      </c>
      <c r="R5039" s="102">
        <v>1750000</v>
      </c>
      <c r="S5039" s="102">
        <f t="shared" ref="S5039:S5045" si="2482">R5039*Q5039*1.1</f>
        <v>1925000.0000000002</v>
      </c>
      <c r="T5039" s="102">
        <f t="shared" ref="T5039:T5045" si="2483">R5039*Q5039</f>
        <v>1750000</v>
      </c>
      <c r="U5039" s="71"/>
      <c r="V5039" s="71"/>
      <c r="W5039" s="474"/>
      <c r="X5039" s="71"/>
      <c r="Y5039" s="71"/>
    </row>
    <row r="5040" spans="1:25" ht="30" hidden="1" customHeight="1" x14ac:dyDescent="0.25">
      <c r="A5040" s="1145">
        <v>44692</v>
      </c>
      <c r="B5040" s="664" t="s">
        <v>443</v>
      </c>
      <c r="C5040" s="71" t="s">
        <v>3392</v>
      </c>
      <c r="D5040" s="71">
        <v>8</v>
      </c>
      <c r="E5040" s="102">
        <v>218000</v>
      </c>
      <c r="F5040" s="102">
        <f t="shared" si="2480"/>
        <v>1918400.0000000002</v>
      </c>
      <c r="G5040" s="102">
        <f t="shared" si="2481"/>
        <v>1744000</v>
      </c>
      <c r="H5040" s="690" t="s">
        <v>172</v>
      </c>
      <c r="I5040" s="71" t="s">
        <v>184</v>
      </c>
      <c r="J5040" s="53">
        <f t="shared" si="2471"/>
        <v>464000</v>
      </c>
      <c r="K5040" s="63">
        <f t="shared" si="2469"/>
        <v>0.26605504587155959</v>
      </c>
      <c r="L5040" s="1212" t="s">
        <v>3381</v>
      </c>
      <c r="M5040" s="468" t="s">
        <v>3393</v>
      </c>
      <c r="N5040" s="1192">
        <f t="shared" si="2470"/>
        <v>44692</v>
      </c>
      <c r="O5040" s="71" t="s">
        <v>2030</v>
      </c>
      <c r="P5040" s="103" t="str">
        <f t="shared" si="2477"/>
        <v>윤전 블랑켓</v>
      </c>
      <c r="Q5040" s="71">
        <f t="shared" ref="Q5040:Q5045" si="2484">D5040</f>
        <v>8</v>
      </c>
      <c r="R5040" s="102">
        <v>160000</v>
      </c>
      <c r="S5040" s="102">
        <f t="shared" si="2482"/>
        <v>1408000</v>
      </c>
      <c r="T5040" s="102">
        <f t="shared" si="2483"/>
        <v>1280000</v>
      </c>
      <c r="U5040" s="71" t="str">
        <f>IF(J5040=W5040,"O", "X")</f>
        <v>O</v>
      </c>
      <c r="V5040" s="71" t="s">
        <v>3394</v>
      </c>
      <c r="W5040" s="474">
        <f>(G5040-T5040)</f>
        <v>464000</v>
      </c>
      <c r="X5040" s="71"/>
      <c r="Y5040" s="71"/>
    </row>
    <row r="5041" spans="1:25" ht="30" hidden="1" customHeight="1" x14ac:dyDescent="0.25">
      <c r="A5041" s="1145">
        <v>44705</v>
      </c>
      <c r="B5041" s="664" t="s">
        <v>443</v>
      </c>
      <c r="C5041" s="71" t="s">
        <v>3406</v>
      </c>
      <c r="D5041" s="71">
        <v>1</v>
      </c>
      <c r="E5041" s="102">
        <v>14566000</v>
      </c>
      <c r="F5041" s="102">
        <f t="shared" si="2480"/>
        <v>16022600.000000002</v>
      </c>
      <c r="G5041" s="102">
        <f t="shared" si="2481"/>
        <v>14566000</v>
      </c>
      <c r="H5041" s="690" t="s">
        <v>281</v>
      </c>
      <c r="I5041" s="690" t="s">
        <v>281</v>
      </c>
      <c r="J5041" s="53">
        <f t="shared" si="2471"/>
        <v>2050000</v>
      </c>
      <c r="K5041" s="63">
        <f t="shared" si="2469"/>
        <v>0.14073870657696003</v>
      </c>
      <c r="L5041" s="1212" t="s">
        <v>3381</v>
      </c>
      <c r="M5041" s="468" t="s">
        <v>3551</v>
      </c>
      <c r="N5041" s="1192">
        <f>A5041</f>
        <v>44705</v>
      </c>
      <c r="O5041" s="71" t="s">
        <v>3552</v>
      </c>
      <c r="P5041" s="103" t="str">
        <f t="shared" si="2477"/>
        <v>드라이어수리</v>
      </c>
      <c r="Q5041" s="71">
        <f t="shared" si="2484"/>
        <v>1</v>
      </c>
      <c r="R5041" s="102">
        <f>4800000+6916000+800000</f>
        <v>12516000</v>
      </c>
      <c r="S5041" s="102">
        <f t="shared" si="2482"/>
        <v>13767600.000000002</v>
      </c>
      <c r="T5041" s="102">
        <f t="shared" si="2483"/>
        <v>12516000</v>
      </c>
      <c r="U5041" s="71"/>
      <c r="V5041" s="71"/>
      <c r="W5041" s="474"/>
      <c r="X5041" s="71"/>
      <c r="Y5041" s="71"/>
    </row>
    <row r="5042" spans="1:25" ht="30" hidden="1" customHeight="1" x14ac:dyDescent="0.25">
      <c r="A5042" s="1145">
        <v>44700</v>
      </c>
      <c r="B5042" s="664" t="s">
        <v>3407</v>
      </c>
      <c r="C5042" s="71" t="s">
        <v>3408</v>
      </c>
      <c r="D5042" s="71">
        <v>2</v>
      </c>
      <c r="E5042" s="102">
        <v>2500000</v>
      </c>
      <c r="F5042" s="102">
        <f t="shared" si="2480"/>
        <v>5500000</v>
      </c>
      <c r="G5042" s="102">
        <f t="shared" si="2481"/>
        <v>5000000</v>
      </c>
      <c r="H5042" s="690" t="s">
        <v>94</v>
      </c>
      <c r="I5042" s="71" t="s">
        <v>94</v>
      </c>
      <c r="J5042" s="60">
        <f>G5042-T5042</f>
        <v>2146476</v>
      </c>
      <c r="K5042" s="427">
        <f>(J5042/(F5042/11*10))</f>
        <v>0.42929519999999999</v>
      </c>
      <c r="L5042" s="1212" t="s">
        <v>3381</v>
      </c>
      <c r="M5042" s="468"/>
      <c r="N5042" s="664">
        <f>A5042</f>
        <v>44700</v>
      </c>
      <c r="O5042" s="71" t="s">
        <v>94</v>
      </c>
      <c r="P5042" s="103" t="str">
        <f>(C5042)</f>
        <v>Technotrans 도져</v>
      </c>
      <c r="Q5042" s="71">
        <f t="shared" si="2484"/>
        <v>2</v>
      </c>
      <c r="R5042" s="147">
        <v>1426762</v>
      </c>
      <c r="S5042" s="102">
        <f t="shared" si="2482"/>
        <v>3138876.4000000004</v>
      </c>
      <c r="T5042" s="102">
        <f t="shared" si="2483"/>
        <v>2853524</v>
      </c>
      <c r="U5042" s="71"/>
      <c r="V5042" s="71"/>
      <c r="W5042" s="474"/>
      <c r="X5042" s="71"/>
      <c r="Y5042" s="71"/>
    </row>
    <row r="5043" spans="1:25" ht="30" hidden="1" customHeight="1" x14ac:dyDescent="0.25">
      <c r="A5043" s="1145">
        <v>44705</v>
      </c>
      <c r="B5043" s="664" t="s">
        <v>3409</v>
      </c>
      <c r="C5043" s="71" t="s">
        <v>2031</v>
      </c>
      <c r="D5043" s="71">
        <v>5</v>
      </c>
      <c r="E5043" s="102">
        <v>50000</v>
      </c>
      <c r="F5043" s="102">
        <f t="shared" si="2480"/>
        <v>275000</v>
      </c>
      <c r="G5043" s="102">
        <f t="shared" si="2481"/>
        <v>250000</v>
      </c>
      <c r="H5043" s="690" t="s">
        <v>39</v>
      </c>
      <c r="I5043" s="71" t="s">
        <v>179</v>
      </c>
      <c r="J5043" s="53">
        <f>G5043-T5043</f>
        <v>129650</v>
      </c>
      <c r="K5043" s="63">
        <f>(J5043/(F5043/11*10))</f>
        <v>0.51859999999999995</v>
      </c>
      <c r="L5043" s="1212" t="s">
        <v>3381</v>
      </c>
      <c r="M5043" s="468"/>
      <c r="N5043" s="1192">
        <f>A5043</f>
        <v>44705</v>
      </c>
      <c r="O5043" s="71" t="s">
        <v>94</v>
      </c>
      <c r="P5043" s="164" t="str">
        <f>(C5043)</f>
        <v>필터백</v>
      </c>
      <c r="Q5043" s="71">
        <f t="shared" si="2484"/>
        <v>5</v>
      </c>
      <c r="R5043" s="102">
        <v>24070</v>
      </c>
      <c r="S5043" s="102">
        <f t="shared" si="2482"/>
        <v>132385</v>
      </c>
      <c r="T5043" s="102">
        <f t="shared" si="2483"/>
        <v>120350</v>
      </c>
      <c r="U5043" s="71" t="str">
        <f>IF(J5043=W5043,"O", "X")</f>
        <v>O</v>
      </c>
      <c r="V5043" s="71"/>
      <c r="W5043" s="474">
        <f>(G5043-T5043)</f>
        <v>129650</v>
      </c>
      <c r="X5043" s="71"/>
      <c r="Y5043" s="71"/>
    </row>
    <row r="5044" spans="1:25" ht="30" hidden="1" customHeight="1" x14ac:dyDescent="0.25">
      <c r="A5044" s="1145">
        <v>44694</v>
      </c>
      <c r="B5044" s="664" t="s">
        <v>3410</v>
      </c>
      <c r="C5044" s="71" t="s">
        <v>3411</v>
      </c>
      <c r="D5044" s="71">
        <v>5</v>
      </c>
      <c r="E5044" s="102">
        <v>650000</v>
      </c>
      <c r="F5044" s="102">
        <f t="shared" si="2480"/>
        <v>3575000.0000000005</v>
      </c>
      <c r="G5044" s="102">
        <f t="shared" si="2481"/>
        <v>3250000</v>
      </c>
      <c r="H5044" s="690" t="s">
        <v>179</v>
      </c>
      <c r="I5044" s="690" t="s">
        <v>179</v>
      </c>
      <c r="J5044" s="53">
        <f>G5044-T5044</f>
        <v>2132825</v>
      </c>
      <c r="K5044" s="63">
        <f>(J5044/(F5044/11*10))</f>
        <v>0.65625384615384608</v>
      </c>
      <c r="L5044" s="1212" t="s">
        <v>3381</v>
      </c>
      <c r="M5044" s="468"/>
      <c r="N5044" s="1192">
        <f>A5044</f>
        <v>44694</v>
      </c>
      <c r="O5044" s="71" t="s">
        <v>3412</v>
      </c>
      <c r="P5044" s="103" t="str">
        <f>(C5044)</f>
        <v>Baldwin UV 램프 국전</v>
      </c>
      <c r="Q5044" s="71">
        <f t="shared" si="2484"/>
        <v>5</v>
      </c>
      <c r="R5044" s="102">
        <v>223435</v>
      </c>
      <c r="S5044" s="102">
        <f t="shared" si="2482"/>
        <v>1228892.5</v>
      </c>
      <c r="T5044" s="102">
        <f t="shared" si="2483"/>
        <v>1117175</v>
      </c>
      <c r="U5044" s="71"/>
      <c r="V5044" s="71"/>
      <c r="W5044" s="474"/>
      <c r="X5044" s="71"/>
      <c r="Y5044" s="71"/>
    </row>
    <row r="5045" spans="1:25" s="209" customFormat="1" ht="30" hidden="1" customHeight="1" x14ac:dyDescent="0.25">
      <c r="A5045" s="1145">
        <v>44712</v>
      </c>
      <c r="B5045" s="664" t="s">
        <v>411</v>
      </c>
      <c r="C5045" s="71" t="s">
        <v>3413</v>
      </c>
      <c r="D5045" s="71">
        <v>10</v>
      </c>
      <c r="E5045" s="102">
        <v>100000</v>
      </c>
      <c r="F5045" s="102">
        <f t="shared" si="2480"/>
        <v>1100000</v>
      </c>
      <c r="G5045" s="102">
        <f t="shared" si="2481"/>
        <v>1000000</v>
      </c>
      <c r="H5045" s="690" t="s">
        <v>2029</v>
      </c>
      <c r="I5045" s="71" t="s">
        <v>3385</v>
      </c>
      <c r="J5045" s="53">
        <f>G5045-T5045</f>
        <v>500000</v>
      </c>
      <c r="K5045" s="63">
        <f>(J5045/(F5045/11*10))</f>
        <v>0.5</v>
      </c>
      <c r="L5045" s="1212" t="s">
        <v>3381</v>
      </c>
      <c r="M5045" s="468"/>
      <c r="N5045" s="1192">
        <f>A5045</f>
        <v>44712</v>
      </c>
      <c r="O5045" s="71" t="s">
        <v>190</v>
      </c>
      <c r="P5045" s="164" t="str">
        <f>(C5045)</f>
        <v>아스테이지(국전)</v>
      </c>
      <c r="Q5045" s="71">
        <f t="shared" si="2484"/>
        <v>10</v>
      </c>
      <c r="R5045" s="102">
        <v>50000</v>
      </c>
      <c r="S5045" s="102">
        <f t="shared" si="2482"/>
        <v>550000</v>
      </c>
      <c r="T5045" s="102">
        <f t="shared" si="2483"/>
        <v>500000</v>
      </c>
      <c r="U5045" s="71" t="str">
        <f>IF(J5045=W5045,"O", "X")</f>
        <v>O</v>
      </c>
      <c r="V5045" s="71"/>
      <c r="W5045" s="474">
        <v>500000</v>
      </c>
      <c r="X5045" s="71"/>
      <c r="Y5045" s="71"/>
    </row>
    <row r="5046" spans="1:25" ht="30" hidden="1" customHeight="1" x14ac:dyDescent="0.25">
      <c r="A5046" s="1210" t="s">
        <v>3416</v>
      </c>
      <c r="B5046" s="1211" t="s">
        <v>544</v>
      </c>
      <c r="C5046" s="960"/>
      <c r="D5046" s="960"/>
      <c r="E5046" s="952"/>
      <c r="F5046" s="952"/>
      <c r="G5046" s="952"/>
      <c r="H5046" s="1206"/>
      <c r="I5046" s="960"/>
      <c r="J5046" s="952"/>
      <c r="K5046" s="953"/>
      <c r="L5046" s="1212" t="s">
        <v>3417</v>
      </c>
      <c r="M5046" s="1207"/>
      <c r="N5046" s="1208" t="str">
        <f t="shared" ref="N5046:N5078" si="2485">A5046</f>
        <v>2022,6</v>
      </c>
      <c r="O5046" s="960"/>
      <c r="P5046" s="1209"/>
      <c r="Q5046" s="960"/>
      <c r="R5046" s="952"/>
      <c r="S5046" s="952"/>
      <c r="T5046" s="952"/>
      <c r="U5046" s="960"/>
      <c r="V5046" s="960"/>
      <c r="W5046" s="474">
        <f>(G5046-T5046)</f>
        <v>0</v>
      </c>
      <c r="X5046" s="71"/>
      <c r="Y5046" s="71"/>
    </row>
    <row r="5047" spans="1:25" ht="30" customHeight="1" x14ac:dyDescent="0.25">
      <c r="A5047" s="1145">
        <v>44740</v>
      </c>
      <c r="B5047" s="664" t="s">
        <v>641</v>
      </c>
      <c r="C5047" s="71" t="s">
        <v>3293</v>
      </c>
      <c r="D5047" s="71">
        <v>100</v>
      </c>
      <c r="E5047" s="102">
        <v>76000</v>
      </c>
      <c r="F5047" s="102">
        <f t="shared" ref="F5047:F5129" si="2486">(E5047*D5047)*1.1</f>
        <v>8360000.0000000009</v>
      </c>
      <c r="G5047" s="102">
        <f t="shared" ref="G5047:G5129" si="2487">(E5047*D5047)</f>
        <v>7600000</v>
      </c>
      <c r="H5047" s="690" t="s">
        <v>172</v>
      </c>
      <c r="I5047" s="71" t="s">
        <v>2231</v>
      </c>
      <c r="J5047" s="53">
        <f t="shared" ref="J5047:J5073" si="2488">G5047-T5047</f>
        <v>2500000</v>
      </c>
      <c r="K5047" s="63">
        <f t="shared" ref="K5047:K5058" si="2489">(J5047/(F5047/11*10))</f>
        <v>0.3289473684210526</v>
      </c>
      <c r="L5047" s="1212" t="s">
        <v>3417</v>
      </c>
      <c r="M5047" s="468"/>
      <c r="N5047" s="1192">
        <f t="shared" si="2485"/>
        <v>44740</v>
      </c>
      <c r="O5047" s="71" t="s">
        <v>3291</v>
      </c>
      <c r="P5047" s="103" t="str">
        <f t="shared" ref="P5047:P5057" si="2490">(C5047)</f>
        <v>GOSS 신문윤전 습식세정포</v>
      </c>
      <c r="Q5047" s="71">
        <f t="shared" ref="Q5047:Q5131" si="2491">D5047</f>
        <v>100</v>
      </c>
      <c r="R5047" s="102">
        <v>51000</v>
      </c>
      <c r="S5047" s="102">
        <f t="shared" ref="S5047:S5087" si="2492">R5047*Q5047*1.1</f>
        <v>5610000</v>
      </c>
      <c r="T5047" s="102">
        <f t="shared" ref="T5047:T5087" si="2493">R5047*Q5047</f>
        <v>5100000</v>
      </c>
      <c r="U5047" s="71" t="str">
        <f>IF(J5047=W5047,"O", "X")</f>
        <v>X</v>
      </c>
      <c r="V5047" s="71"/>
      <c r="W5047" s="474"/>
      <c r="X5047" s="71"/>
      <c r="Y5047" s="71"/>
    </row>
    <row r="5048" spans="1:25" ht="30" hidden="1" customHeight="1" x14ac:dyDescent="0.25">
      <c r="A5048" s="1145">
        <v>44740</v>
      </c>
      <c r="B5048" s="664" t="s">
        <v>3296</v>
      </c>
      <c r="C5048" s="71" t="s">
        <v>3297</v>
      </c>
      <c r="D5048" s="71">
        <v>20</v>
      </c>
      <c r="E5048" s="102">
        <v>155000</v>
      </c>
      <c r="F5048" s="102">
        <f t="shared" si="2486"/>
        <v>3410000.0000000005</v>
      </c>
      <c r="G5048" s="102">
        <f t="shared" si="2487"/>
        <v>3100000</v>
      </c>
      <c r="H5048" s="690" t="s">
        <v>172</v>
      </c>
      <c r="I5048" s="71" t="s">
        <v>3295</v>
      </c>
      <c r="J5048" s="53">
        <f t="shared" si="2488"/>
        <v>1130000</v>
      </c>
      <c r="K5048" s="63">
        <f t="shared" si="2489"/>
        <v>0.364516129032258</v>
      </c>
      <c r="L5048" s="1212" t="s">
        <v>3417</v>
      </c>
      <c r="M5048" s="468"/>
      <c r="N5048" s="1192">
        <f t="shared" si="2485"/>
        <v>44740</v>
      </c>
      <c r="O5048" s="71" t="s">
        <v>662</v>
      </c>
      <c r="P5048" s="103" t="str">
        <f t="shared" si="2490"/>
        <v>실리콘 에멀전</v>
      </c>
      <c r="Q5048" s="71">
        <f t="shared" si="2491"/>
        <v>20</v>
      </c>
      <c r="R5048" s="102">
        <v>98500</v>
      </c>
      <c r="S5048" s="102">
        <f t="shared" si="2492"/>
        <v>2167000</v>
      </c>
      <c r="T5048" s="102">
        <f t="shared" si="2493"/>
        <v>1970000</v>
      </c>
      <c r="U5048" s="71" t="str">
        <f>IF(J5048=W5048,"O", "X")</f>
        <v>X</v>
      </c>
      <c r="V5048" s="71"/>
      <c r="W5048" s="474"/>
      <c r="X5048" s="71"/>
      <c r="Y5048" s="71"/>
    </row>
    <row r="5049" spans="1:25" ht="30" hidden="1" customHeight="1" x14ac:dyDescent="0.25">
      <c r="A5049" s="1145">
        <v>44740</v>
      </c>
      <c r="B5049" s="664" t="s">
        <v>3296</v>
      </c>
      <c r="C5049" s="71" t="s">
        <v>3297</v>
      </c>
      <c r="D5049" s="71"/>
      <c r="E5049" s="102">
        <v>155000</v>
      </c>
      <c r="F5049" s="102">
        <f t="shared" si="2486"/>
        <v>0</v>
      </c>
      <c r="G5049" s="102">
        <f t="shared" si="2487"/>
        <v>0</v>
      </c>
      <c r="H5049" s="690" t="s">
        <v>172</v>
      </c>
      <c r="I5049" s="71" t="s">
        <v>3295</v>
      </c>
      <c r="J5049" s="53">
        <f t="shared" si="2488"/>
        <v>0</v>
      </c>
      <c r="K5049" s="63" t="e">
        <f t="shared" si="2489"/>
        <v>#DIV/0!</v>
      </c>
      <c r="L5049" s="1212" t="s">
        <v>3417</v>
      </c>
      <c r="M5049" s="468"/>
      <c r="N5049" s="1192">
        <f t="shared" si="2485"/>
        <v>44740</v>
      </c>
      <c r="O5049" s="71" t="s">
        <v>662</v>
      </c>
      <c r="P5049" s="103" t="str">
        <f t="shared" si="2490"/>
        <v>실리콘 에멀전</v>
      </c>
      <c r="Q5049" s="71">
        <f t="shared" si="2491"/>
        <v>0</v>
      </c>
      <c r="R5049" s="102">
        <v>98500</v>
      </c>
      <c r="S5049" s="102">
        <f t="shared" si="2492"/>
        <v>0</v>
      </c>
      <c r="T5049" s="102">
        <f t="shared" si="2493"/>
        <v>0</v>
      </c>
      <c r="U5049" s="71" t="str">
        <f>IF(J5049=W5049,"O", "X")</f>
        <v>O</v>
      </c>
      <c r="V5049" s="71"/>
      <c r="W5049" s="474"/>
      <c r="X5049" s="71"/>
      <c r="Y5049" s="71"/>
    </row>
    <row r="5050" spans="1:25" ht="30" hidden="1" customHeight="1" x14ac:dyDescent="0.25">
      <c r="A5050" s="1145">
        <v>44740</v>
      </c>
      <c r="B5050" s="664" t="s">
        <v>446</v>
      </c>
      <c r="C5050" s="71" t="s">
        <v>3555</v>
      </c>
      <c r="D5050" s="71">
        <v>1</v>
      </c>
      <c r="E5050" s="102">
        <v>7500000</v>
      </c>
      <c r="F5050" s="102">
        <f t="shared" si="2486"/>
        <v>8250000.0000000009</v>
      </c>
      <c r="G5050" s="102">
        <f t="shared" si="2487"/>
        <v>7500000</v>
      </c>
      <c r="H5050" s="690" t="s">
        <v>281</v>
      </c>
      <c r="I5050" s="71" t="s">
        <v>281</v>
      </c>
      <c r="J5050" s="53">
        <f t="shared" si="2488"/>
        <v>4095818</v>
      </c>
      <c r="K5050" s="63">
        <f t="shared" si="2489"/>
        <v>0.54610906666666659</v>
      </c>
      <c r="L5050" s="1212" t="s">
        <v>3556</v>
      </c>
      <c r="M5050" s="468" t="s">
        <v>3562</v>
      </c>
      <c r="N5050" s="1192">
        <f t="shared" ref="N5050:N5058" si="2494">A5050</f>
        <v>44740</v>
      </c>
      <c r="O5050" s="71" t="s">
        <v>3560</v>
      </c>
      <c r="P5050" s="103" t="str">
        <f t="shared" si="2490"/>
        <v>서비스 비용(판걸이 튜브 교체)</v>
      </c>
      <c r="Q5050" s="71">
        <f t="shared" si="2491"/>
        <v>1</v>
      </c>
      <c r="R5050" s="102">
        <f>1586000+1818182</f>
        <v>3404182</v>
      </c>
      <c r="S5050" s="102">
        <f t="shared" si="2492"/>
        <v>3744600.2</v>
      </c>
      <c r="T5050" s="102">
        <f t="shared" si="2493"/>
        <v>3404182</v>
      </c>
      <c r="U5050" s="71"/>
      <c r="V5050" s="71"/>
      <c r="W5050" s="474"/>
      <c r="X5050" s="71"/>
      <c r="Y5050" s="71"/>
    </row>
    <row r="5051" spans="1:25" ht="30" hidden="1" customHeight="1" x14ac:dyDescent="0.25">
      <c r="A5051" s="1145">
        <v>44740</v>
      </c>
      <c r="B5051" s="664" t="s">
        <v>446</v>
      </c>
      <c r="C5051" s="71" t="s">
        <v>3435</v>
      </c>
      <c r="D5051" s="71">
        <v>1</v>
      </c>
      <c r="E5051" s="102">
        <v>650000</v>
      </c>
      <c r="F5051" s="102">
        <f t="shared" si="2486"/>
        <v>715000</v>
      </c>
      <c r="G5051" s="102">
        <f t="shared" si="2487"/>
        <v>650000</v>
      </c>
      <c r="H5051" s="690" t="s">
        <v>1431</v>
      </c>
      <c r="I5051" s="71" t="s">
        <v>1431</v>
      </c>
      <c r="J5051" s="53">
        <f t="shared" si="2488"/>
        <v>240000</v>
      </c>
      <c r="K5051" s="63">
        <f t="shared" si="2489"/>
        <v>0.36923076923076925</v>
      </c>
      <c r="L5051" s="1212" t="s">
        <v>3556</v>
      </c>
      <c r="M5051" s="468"/>
      <c r="N5051" s="1192">
        <f t="shared" si="2494"/>
        <v>44740</v>
      </c>
      <c r="O5051" s="71" t="s">
        <v>1432</v>
      </c>
      <c r="P5051" s="103" t="str">
        <f t="shared" si="2490"/>
        <v>습수정화장치 beta.f 필터 세트</v>
      </c>
      <c r="Q5051" s="71">
        <f t="shared" si="2491"/>
        <v>1</v>
      </c>
      <c r="R5051" s="102">
        <v>410000</v>
      </c>
      <c r="S5051" s="102">
        <f t="shared" si="2492"/>
        <v>451000.00000000006</v>
      </c>
      <c r="T5051" s="102">
        <f t="shared" si="2493"/>
        <v>410000</v>
      </c>
      <c r="U5051" s="71"/>
      <c r="V5051" s="71"/>
      <c r="W5051" s="474"/>
      <c r="X5051" s="71"/>
      <c r="Y5051" s="71"/>
    </row>
    <row r="5052" spans="1:25" ht="30" hidden="1" customHeight="1" x14ac:dyDescent="0.25">
      <c r="A5052" s="1145">
        <v>44740</v>
      </c>
      <c r="B5052" s="664" t="s">
        <v>446</v>
      </c>
      <c r="C5052" s="71" t="s">
        <v>3569</v>
      </c>
      <c r="D5052" s="71">
        <v>1</v>
      </c>
      <c r="E5052" s="102">
        <v>2500000</v>
      </c>
      <c r="F5052" s="102">
        <f t="shared" si="2486"/>
        <v>2750000</v>
      </c>
      <c r="G5052" s="102">
        <f t="shared" si="2487"/>
        <v>2500000</v>
      </c>
      <c r="H5052" s="690" t="s">
        <v>281</v>
      </c>
      <c r="I5052" s="71" t="s">
        <v>281</v>
      </c>
      <c r="J5052" s="53">
        <f t="shared" ref="J5052:J5058" si="2495">G5052-T5052</f>
        <v>2500000</v>
      </c>
      <c r="K5052" s="63">
        <f t="shared" si="2489"/>
        <v>1</v>
      </c>
      <c r="L5052" s="1212" t="s">
        <v>3556</v>
      </c>
      <c r="M5052" s="468"/>
      <c r="N5052" s="1192">
        <f t="shared" si="2494"/>
        <v>44740</v>
      </c>
      <c r="O5052" s="71"/>
      <c r="P5052" s="103" t="str">
        <f t="shared" si="2490"/>
        <v>알레스 서비스 비용(IRC 작업)</v>
      </c>
      <c r="Q5052" s="71">
        <f t="shared" si="2491"/>
        <v>1</v>
      </c>
      <c r="R5052" s="102">
        <v>0</v>
      </c>
      <c r="S5052" s="102">
        <f>R5052*Q5052*1.1</f>
        <v>0</v>
      </c>
      <c r="T5052" s="102">
        <f>R5052*Q5052</f>
        <v>0</v>
      </c>
      <c r="U5052" s="71"/>
      <c r="V5052" s="71"/>
      <c r="W5052" s="474"/>
      <c r="X5052" s="71"/>
      <c r="Y5052" s="71"/>
    </row>
    <row r="5053" spans="1:25" ht="30" hidden="1" customHeight="1" x14ac:dyDescent="0.25">
      <c r="A5053" s="1145">
        <v>44740</v>
      </c>
      <c r="B5053" s="664" t="s">
        <v>446</v>
      </c>
      <c r="C5053" s="71" t="s">
        <v>114</v>
      </c>
      <c r="D5053" s="71">
        <v>50</v>
      </c>
      <c r="E5053" s="102">
        <v>18000</v>
      </c>
      <c r="F5053" s="102">
        <f t="shared" si="2486"/>
        <v>990000.00000000012</v>
      </c>
      <c r="G5053" s="102">
        <f t="shared" si="2487"/>
        <v>900000</v>
      </c>
      <c r="H5053" s="690" t="s">
        <v>1431</v>
      </c>
      <c r="I5053" s="71" t="s">
        <v>1431</v>
      </c>
      <c r="J5053" s="53">
        <f t="shared" si="2495"/>
        <v>396300</v>
      </c>
      <c r="K5053" s="63">
        <f t="shared" si="2489"/>
        <v>0.4403333333333333</v>
      </c>
      <c r="L5053" s="1212" t="s">
        <v>3556</v>
      </c>
      <c r="M5053" s="468"/>
      <c r="N5053" s="1192">
        <f t="shared" si="2494"/>
        <v>44740</v>
      </c>
      <c r="O5053" s="71" t="s">
        <v>1431</v>
      </c>
      <c r="P5053" s="103" t="str">
        <f t="shared" si="2490"/>
        <v>스트리퍼</v>
      </c>
      <c r="Q5053" s="71">
        <f t="shared" si="2491"/>
        <v>50</v>
      </c>
      <c r="R5053" s="102">
        <v>10074</v>
      </c>
      <c r="S5053" s="102">
        <f t="shared" si="2492"/>
        <v>554070</v>
      </c>
      <c r="T5053" s="102">
        <f t="shared" si="2493"/>
        <v>503700</v>
      </c>
      <c r="U5053" s="71"/>
      <c r="V5053" s="71"/>
      <c r="W5053" s="474"/>
      <c r="X5053" s="71"/>
      <c r="Y5053" s="71"/>
    </row>
    <row r="5054" spans="1:25" ht="30" hidden="1" customHeight="1" x14ac:dyDescent="0.25">
      <c r="A5054" s="1145">
        <v>44740</v>
      </c>
      <c r="B5054" s="664" t="s">
        <v>446</v>
      </c>
      <c r="C5054" s="71" t="s">
        <v>3557</v>
      </c>
      <c r="D5054" s="71">
        <v>12</v>
      </c>
      <c r="E5054" s="102">
        <v>88000</v>
      </c>
      <c r="F5054" s="102">
        <f t="shared" si="2486"/>
        <v>1161600</v>
      </c>
      <c r="G5054" s="102">
        <f t="shared" si="2487"/>
        <v>1056000</v>
      </c>
      <c r="H5054" s="690" t="s">
        <v>1431</v>
      </c>
      <c r="I5054" s="71" t="s">
        <v>1431</v>
      </c>
      <c r="J5054" s="53">
        <f t="shared" si="2495"/>
        <v>407856</v>
      </c>
      <c r="K5054" s="63">
        <f t="shared" si="2489"/>
        <v>0.38622727272727275</v>
      </c>
      <c r="L5054" s="1212" t="s">
        <v>3556</v>
      </c>
      <c r="M5054" s="468"/>
      <c r="N5054" s="1192">
        <f t="shared" si="2494"/>
        <v>44740</v>
      </c>
      <c r="O5054" s="71" t="s">
        <v>1431</v>
      </c>
      <c r="P5054" s="103" t="str">
        <f t="shared" si="2490"/>
        <v>Slow down finger blue</v>
      </c>
      <c r="Q5054" s="71">
        <f t="shared" si="2491"/>
        <v>12</v>
      </c>
      <c r="R5054" s="102">
        <v>54012</v>
      </c>
      <c r="S5054" s="102">
        <f t="shared" si="2492"/>
        <v>712958.4</v>
      </c>
      <c r="T5054" s="102">
        <f t="shared" si="2493"/>
        <v>648144</v>
      </c>
      <c r="U5054" s="71"/>
      <c r="V5054" s="71"/>
      <c r="W5054" s="474"/>
      <c r="X5054" s="71"/>
      <c r="Y5054" s="71"/>
    </row>
    <row r="5055" spans="1:25" ht="30" hidden="1" customHeight="1" x14ac:dyDescent="0.25">
      <c r="A5055" s="1145">
        <v>44740</v>
      </c>
      <c r="B5055" s="664" t="s">
        <v>446</v>
      </c>
      <c r="C5055" s="71" t="s">
        <v>3120</v>
      </c>
      <c r="D5055" s="71">
        <v>4</v>
      </c>
      <c r="E5055" s="102">
        <v>80000</v>
      </c>
      <c r="F5055" s="102">
        <f t="shared" si="2486"/>
        <v>352000</v>
      </c>
      <c r="G5055" s="102">
        <f t="shared" si="2487"/>
        <v>320000</v>
      </c>
      <c r="H5055" s="690" t="s">
        <v>1431</v>
      </c>
      <c r="I5055" s="71" t="s">
        <v>1431</v>
      </c>
      <c r="J5055" s="53">
        <f t="shared" si="2495"/>
        <v>182852</v>
      </c>
      <c r="K5055" s="63">
        <f t="shared" si="2489"/>
        <v>0.57141249999999999</v>
      </c>
      <c r="L5055" s="1212" t="s">
        <v>3556</v>
      </c>
      <c r="M5055" s="468"/>
      <c r="N5055" s="1192">
        <f t="shared" si="2494"/>
        <v>44740</v>
      </c>
      <c r="O5055" s="71" t="s">
        <v>1431</v>
      </c>
      <c r="P5055" s="103" t="str">
        <f t="shared" si="2490"/>
        <v>Perforating knife</v>
      </c>
      <c r="Q5055" s="71">
        <f t="shared" si="2491"/>
        <v>4</v>
      </c>
      <c r="R5055" s="102">
        <v>34287</v>
      </c>
      <c r="S5055" s="102">
        <f t="shared" si="2492"/>
        <v>150862.80000000002</v>
      </c>
      <c r="T5055" s="102">
        <f t="shared" si="2493"/>
        <v>137148</v>
      </c>
      <c r="U5055" s="71"/>
      <c r="V5055" s="71"/>
      <c r="W5055" s="474"/>
      <c r="X5055" s="71"/>
      <c r="Y5055" s="71"/>
    </row>
    <row r="5056" spans="1:25" ht="30" hidden="1" customHeight="1" x14ac:dyDescent="0.25">
      <c r="A5056" s="1145">
        <v>44740</v>
      </c>
      <c r="B5056" s="664" t="s">
        <v>446</v>
      </c>
      <c r="C5056" s="71" t="s">
        <v>3121</v>
      </c>
      <c r="D5056" s="71">
        <v>2</v>
      </c>
      <c r="E5056" s="102">
        <v>92000</v>
      </c>
      <c r="F5056" s="102">
        <f t="shared" si="2486"/>
        <v>202400.00000000003</v>
      </c>
      <c r="G5056" s="102">
        <f t="shared" si="2487"/>
        <v>184000</v>
      </c>
      <c r="H5056" s="690" t="s">
        <v>1431</v>
      </c>
      <c r="I5056" s="71" t="s">
        <v>1431</v>
      </c>
      <c r="J5056" s="53">
        <f t="shared" si="2495"/>
        <v>97190</v>
      </c>
      <c r="K5056" s="63">
        <f t="shared" si="2489"/>
        <v>0.5282065217391303</v>
      </c>
      <c r="L5056" s="1212" t="s">
        <v>3556</v>
      </c>
      <c r="M5056" s="468"/>
      <c r="N5056" s="1192">
        <f t="shared" si="2494"/>
        <v>44740</v>
      </c>
      <c r="O5056" s="71" t="s">
        <v>1431</v>
      </c>
      <c r="P5056" s="103" t="str">
        <f t="shared" si="2490"/>
        <v>Cutting knife</v>
      </c>
      <c r="Q5056" s="71">
        <f t="shared" si="2491"/>
        <v>2</v>
      </c>
      <c r="R5056" s="102">
        <v>43405</v>
      </c>
      <c r="S5056" s="102">
        <f t="shared" si="2492"/>
        <v>95491.000000000015</v>
      </c>
      <c r="T5056" s="102">
        <f t="shared" si="2493"/>
        <v>86810</v>
      </c>
      <c r="U5056" s="71"/>
      <c r="V5056" s="71"/>
      <c r="W5056" s="474"/>
      <c r="X5056" s="71"/>
      <c r="Y5056" s="71"/>
    </row>
    <row r="5057" spans="1:25" ht="30" hidden="1" customHeight="1" x14ac:dyDescent="0.25">
      <c r="A5057" s="1145">
        <v>44740</v>
      </c>
      <c r="B5057" s="664" t="s">
        <v>446</v>
      </c>
      <c r="C5057" s="71" t="s">
        <v>3558</v>
      </c>
      <c r="D5057" s="71">
        <v>300</v>
      </c>
      <c r="E5057" s="102">
        <v>2500</v>
      </c>
      <c r="F5057" s="102">
        <f t="shared" si="2486"/>
        <v>825000.00000000012</v>
      </c>
      <c r="G5057" s="102">
        <f t="shared" si="2487"/>
        <v>750000</v>
      </c>
      <c r="H5057" s="690" t="s">
        <v>1431</v>
      </c>
      <c r="I5057" s="71" t="s">
        <v>1431</v>
      </c>
      <c r="J5057" s="53">
        <f t="shared" si="2495"/>
        <v>332100</v>
      </c>
      <c r="K5057" s="63">
        <f t="shared" si="2489"/>
        <v>0.44279999999999992</v>
      </c>
      <c r="L5057" s="1212" t="s">
        <v>3556</v>
      </c>
      <c r="M5057" s="468"/>
      <c r="N5057" s="1192">
        <f t="shared" si="2494"/>
        <v>44740</v>
      </c>
      <c r="O5057" s="71" t="s">
        <v>1431</v>
      </c>
      <c r="P5057" s="103" t="str">
        <f t="shared" si="2490"/>
        <v>Pin Screw</v>
      </c>
      <c r="Q5057" s="71">
        <f t="shared" si="2491"/>
        <v>300</v>
      </c>
      <c r="R5057" s="102">
        <v>1393</v>
      </c>
      <c r="S5057" s="102">
        <f t="shared" si="2492"/>
        <v>459690.00000000006</v>
      </c>
      <c r="T5057" s="102">
        <f t="shared" si="2493"/>
        <v>417900</v>
      </c>
      <c r="U5057" s="71"/>
      <c r="V5057" s="71"/>
      <c r="W5057" s="474"/>
      <c r="X5057" s="71"/>
      <c r="Y5057" s="71"/>
    </row>
    <row r="5058" spans="1:25" ht="30" hidden="1" customHeight="1" x14ac:dyDescent="0.25">
      <c r="A5058" s="1145">
        <v>44740</v>
      </c>
      <c r="B5058" s="664" t="s">
        <v>446</v>
      </c>
      <c r="C5058" s="71" t="s">
        <v>3553</v>
      </c>
      <c r="D5058" s="71">
        <v>1</v>
      </c>
      <c r="E5058" s="102">
        <v>5500000</v>
      </c>
      <c r="F5058" s="102">
        <f>(E5058*D5058)*1.1</f>
        <v>6050000.0000000009</v>
      </c>
      <c r="G5058" s="102">
        <f>(E5058*D5058)</f>
        <v>5500000</v>
      </c>
      <c r="H5058" s="690" t="s">
        <v>113</v>
      </c>
      <c r="I5058" s="71" t="s">
        <v>113</v>
      </c>
      <c r="J5058" s="53">
        <f t="shared" si="2495"/>
        <v>1411394</v>
      </c>
      <c r="K5058" s="63">
        <f t="shared" si="2489"/>
        <v>0.25661709090909085</v>
      </c>
      <c r="L5058" s="1212" t="s">
        <v>3417</v>
      </c>
      <c r="M5058" s="468"/>
      <c r="N5058" s="1192">
        <f t="shared" si="2494"/>
        <v>44740</v>
      </c>
      <c r="O5058" s="71" t="s">
        <v>113</v>
      </c>
      <c r="P5058" s="103" t="str">
        <f>(C5058)</f>
        <v>좌우 핀맞춤 모터</v>
      </c>
      <c r="Q5058" s="71">
        <f>D5058</f>
        <v>1</v>
      </c>
      <c r="R5058" s="102">
        <v>4088606</v>
      </c>
      <c r="S5058" s="102">
        <f>R5058*Q5058*1.1</f>
        <v>4497466.6000000006</v>
      </c>
      <c r="T5058" s="102">
        <f>R5058*Q5058</f>
        <v>4088606</v>
      </c>
      <c r="U5058" s="71"/>
      <c r="V5058" s="71"/>
      <c r="W5058" s="474"/>
      <c r="X5058" s="71"/>
      <c r="Y5058" s="71"/>
    </row>
    <row r="5059" spans="1:25" ht="30" hidden="1" customHeight="1" x14ac:dyDescent="0.25">
      <c r="A5059" s="1145">
        <v>44740</v>
      </c>
      <c r="B5059" s="664" t="s">
        <v>18</v>
      </c>
      <c r="C5059" s="71" t="s">
        <v>3294</v>
      </c>
      <c r="D5059" s="71">
        <v>15</v>
      </c>
      <c r="E5059" s="102">
        <v>110000</v>
      </c>
      <c r="F5059" s="102">
        <f t="shared" si="2486"/>
        <v>1815000.0000000002</v>
      </c>
      <c r="G5059" s="102">
        <f t="shared" si="2487"/>
        <v>1650000</v>
      </c>
      <c r="H5059" s="690" t="s">
        <v>172</v>
      </c>
      <c r="I5059" s="71" t="s">
        <v>3295</v>
      </c>
      <c r="J5059" s="53">
        <f t="shared" si="2488"/>
        <v>15000</v>
      </c>
      <c r="K5059" s="63">
        <v>0.13800000000000001</v>
      </c>
      <c r="L5059" s="1212" t="s">
        <v>3417</v>
      </c>
      <c r="M5059" s="468"/>
      <c r="N5059" s="1192">
        <f t="shared" si="2485"/>
        <v>44740</v>
      </c>
      <c r="O5059" s="71" t="s">
        <v>150</v>
      </c>
      <c r="P5059" s="103" t="str">
        <f t="shared" ref="P5059:P5075" si="2496">(C5059)</f>
        <v>1077*885 하이델 bar 블랑켓</v>
      </c>
      <c r="Q5059" s="71">
        <f t="shared" si="2491"/>
        <v>15</v>
      </c>
      <c r="R5059" s="102">
        <v>109000</v>
      </c>
      <c r="S5059" s="102">
        <f t="shared" si="2492"/>
        <v>1798500.0000000002</v>
      </c>
      <c r="T5059" s="102">
        <f t="shared" si="2493"/>
        <v>1635000</v>
      </c>
      <c r="U5059" s="71"/>
      <c r="V5059" s="71"/>
      <c r="W5059" s="474"/>
      <c r="X5059" s="71"/>
      <c r="Y5059" s="71"/>
    </row>
    <row r="5060" spans="1:25" ht="30" hidden="1" customHeight="1" x14ac:dyDescent="0.25">
      <c r="A5060" s="1145">
        <v>44740</v>
      </c>
      <c r="B5060" s="664" t="s">
        <v>18</v>
      </c>
      <c r="C5060" s="71" t="s">
        <v>2070</v>
      </c>
      <c r="D5060" s="71">
        <v>15</v>
      </c>
      <c r="E5060" s="102">
        <v>100000</v>
      </c>
      <c r="F5060" s="102">
        <f t="shared" si="2486"/>
        <v>1650000.0000000002</v>
      </c>
      <c r="G5060" s="102">
        <f t="shared" si="2487"/>
        <v>1500000</v>
      </c>
      <c r="H5060" s="690" t="s">
        <v>172</v>
      </c>
      <c r="I5060" s="71" t="s">
        <v>33</v>
      </c>
      <c r="J5060" s="53">
        <f t="shared" si="2488"/>
        <v>198000</v>
      </c>
      <c r="K5060" s="63">
        <v>0.10555555555555554</v>
      </c>
      <c r="L5060" s="1212" t="s">
        <v>3417</v>
      </c>
      <c r="M5060" s="468"/>
      <c r="N5060" s="1192">
        <f t="shared" si="2485"/>
        <v>44740</v>
      </c>
      <c r="O5060" s="71" t="s">
        <v>146</v>
      </c>
      <c r="P5060" s="103" t="str">
        <f t="shared" si="2496"/>
        <v>Blanket(1050*840)</v>
      </c>
      <c r="Q5060" s="71">
        <f t="shared" si="2491"/>
        <v>15</v>
      </c>
      <c r="R5060" s="102">
        <v>86800</v>
      </c>
      <c r="S5060" s="102">
        <f t="shared" si="2492"/>
        <v>1432200</v>
      </c>
      <c r="T5060" s="102">
        <f t="shared" si="2493"/>
        <v>1302000</v>
      </c>
      <c r="U5060" s="71" t="s">
        <v>859</v>
      </c>
      <c r="V5060" s="71"/>
      <c r="W5060" s="474"/>
      <c r="X5060" s="71"/>
      <c r="Y5060" s="71"/>
    </row>
    <row r="5061" spans="1:25" ht="30" hidden="1" customHeight="1" x14ac:dyDescent="0.25">
      <c r="A5061" s="1145">
        <v>44740</v>
      </c>
      <c r="B5061" s="664" t="s">
        <v>548</v>
      </c>
      <c r="C5061" s="71" t="s">
        <v>3382</v>
      </c>
      <c r="D5061" s="71">
        <v>2</v>
      </c>
      <c r="E5061" s="102">
        <v>168000</v>
      </c>
      <c r="F5061" s="102">
        <f t="shared" si="2486"/>
        <v>369600.00000000006</v>
      </c>
      <c r="G5061" s="102">
        <f t="shared" si="2487"/>
        <v>336000</v>
      </c>
      <c r="H5061" s="690" t="s">
        <v>2029</v>
      </c>
      <c r="I5061" s="71" t="s">
        <v>180</v>
      </c>
      <c r="J5061" s="53">
        <f t="shared" si="2488"/>
        <v>108000</v>
      </c>
      <c r="K5061" s="63">
        <f>(J5061/(F5061/11*10))</f>
        <v>0.3214285714285714</v>
      </c>
      <c r="L5061" s="1212" t="s">
        <v>3417</v>
      </c>
      <c r="M5061" s="468"/>
      <c r="N5061" s="1192">
        <f t="shared" si="2485"/>
        <v>44740</v>
      </c>
      <c r="O5061" s="71" t="s">
        <v>3383</v>
      </c>
      <c r="P5061" s="164" t="str">
        <f t="shared" si="2496"/>
        <v>판 클리너(12개)</v>
      </c>
      <c r="Q5061" s="71">
        <f t="shared" si="2491"/>
        <v>2</v>
      </c>
      <c r="R5061" s="102">
        <v>114000</v>
      </c>
      <c r="S5061" s="102">
        <f t="shared" si="2492"/>
        <v>250800.00000000003</v>
      </c>
      <c r="T5061" s="102">
        <f t="shared" si="2493"/>
        <v>228000</v>
      </c>
      <c r="U5061" s="71" t="str">
        <f>IF(J5061=W5061,"O", "X")</f>
        <v>X</v>
      </c>
      <c r="V5061" s="71"/>
      <c r="W5061" s="474"/>
      <c r="X5061" s="71"/>
      <c r="Y5061" s="71"/>
    </row>
    <row r="5062" spans="1:25" ht="30" hidden="1" customHeight="1" x14ac:dyDescent="0.25">
      <c r="A5062" s="1145">
        <v>44740</v>
      </c>
      <c r="B5062" s="664" t="s">
        <v>18</v>
      </c>
      <c r="C5062" s="71" t="s">
        <v>3305</v>
      </c>
      <c r="D5062" s="71">
        <v>10</v>
      </c>
      <c r="E5062" s="102">
        <v>86000</v>
      </c>
      <c r="F5062" s="102">
        <f t="shared" si="2486"/>
        <v>946000.00000000012</v>
      </c>
      <c r="G5062" s="102">
        <f t="shared" si="2487"/>
        <v>860000</v>
      </c>
      <c r="H5062" s="690" t="s">
        <v>172</v>
      </c>
      <c r="I5062" s="71" t="s">
        <v>3295</v>
      </c>
      <c r="J5062" s="53">
        <f t="shared" si="2488"/>
        <v>260000</v>
      </c>
      <c r="K5062" s="63">
        <f>(J5062/(F5062/11*10))</f>
        <v>0.30232558139534882</v>
      </c>
      <c r="L5062" s="1212" t="s">
        <v>3417</v>
      </c>
      <c r="M5062" s="468" t="s">
        <v>3306</v>
      </c>
      <c r="N5062" s="1192">
        <f t="shared" si="2485"/>
        <v>44740</v>
      </c>
      <c r="O5062" s="71" t="s">
        <v>146</v>
      </c>
      <c r="P5062" s="103" t="str">
        <f t="shared" si="2496"/>
        <v>파우더</v>
      </c>
      <c r="Q5062" s="71">
        <f t="shared" si="2491"/>
        <v>10</v>
      </c>
      <c r="R5062" s="102">
        <v>60000</v>
      </c>
      <c r="S5062" s="102">
        <f t="shared" si="2492"/>
        <v>660000</v>
      </c>
      <c r="T5062" s="102">
        <f t="shared" si="2493"/>
        <v>600000</v>
      </c>
      <c r="U5062" s="71" t="str">
        <f>IF(J5062=W5062,"O", "X")</f>
        <v>X</v>
      </c>
      <c r="V5062" s="71"/>
      <c r="W5062" s="474"/>
      <c r="X5062" s="71"/>
      <c r="Y5062" s="71"/>
    </row>
    <row r="5063" spans="1:25" ht="30" hidden="1" customHeight="1" x14ac:dyDescent="0.25">
      <c r="A5063" s="1145">
        <v>44740</v>
      </c>
      <c r="B5063" s="664" t="s">
        <v>548</v>
      </c>
      <c r="C5063" s="71" t="s">
        <v>3384</v>
      </c>
      <c r="D5063" s="71">
        <v>100</v>
      </c>
      <c r="E5063" s="102">
        <v>450</v>
      </c>
      <c r="F5063" s="102">
        <f t="shared" si="2486"/>
        <v>49500.000000000007</v>
      </c>
      <c r="G5063" s="102">
        <f t="shared" si="2487"/>
        <v>45000</v>
      </c>
      <c r="H5063" s="690" t="s">
        <v>2029</v>
      </c>
      <c r="I5063" s="71" t="s">
        <v>3385</v>
      </c>
      <c r="J5063" s="53">
        <f t="shared" si="2488"/>
        <v>13000</v>
      </c>
      <c r="K5063" s="63">
        <f>(J5063/(F5063/11*10))</f>
        <v>0.28888888888888886</v>
      </c>
      <c r="L5063" s="1212" t="s">
        <v>3417</v>
      </c>
      <c r="M5063" s="468"/>
      <c r="N5063" s="1192">
        <f t="shared" si="2485"/>
        <v>44740</v>
      </c>
      <c r="O5063" s="71" t="s">
        <v>2030</v>
      </c>
      <c r="P5063" s="164" t="str">
        <f t="shared" si="2496"/>
        <v>고무사카 빨간색</v>
      </c>
      <c r="Q5063" s="71">
        <f t="shared" si="2491"/>
        <v>100</v>
      </c>
      <c r="R5063" s="102">
        <v>320</v>
      </c>
      <c r="S5063" s="102">
        <f t="shared" si="2492"/>
        <v>35200</v>
      </c>
      <c r="T5063" s="102">
        <f t="shared" si="2493"/>
        <v>32000</v>
      </c>
      <c r="U5063" s="71"/>
      <c r="V5063" s="71"/>
      <c r="W5063" s="474"/>
      <c r="X5063" s="71"/>
      <c r="Y5063" s="71"/>
    </row>
    <row r="5064" spans="1:25" ht="30" hidden="1" customHeight="1" x14ac:dyDescent="0.25">
      <c r="A5064" s="1145">
        <v>44740</v>
      </c>
      <c r="B5064" s="664" t="s">
        <v>18</v>
      </c>
      <c r="C5064" s="71" t="s">
        <v>3386</v>
      </c>
      <c r="D5064" s="71"/>
      <c r="E5064" s="102">
        <v>400</v>
      </c>
      <c r="F5064" s="102">
        <f t="shared" si="2486"/>
        <v>0</v>
      </c>
      <c r="G5064" s="102">
        <f t="shared" si="2487"/>
        <v>0</v>
      </c>
      <c r="H5064" s="690" t="s">
        <v>172</v>
      </c>
      <c r="I5064" s="71" t="s">
        <v>3295</v>
      </c>
      <c r="J5064" s="53">
        <f t="shared" si="2488"/>
        <v>0</v>
      </c>
      <c r="K5064" s="63" t="e">
        <f>(J5064/(F5064/11*10))</f>
        <v>#DIV/0!</v>
      </c>
      <c r="L5064" s="1212" t="s">
        <v>3417</v>
      </c>
      <c r="M5064" s="468"/>
      <c r="N5064" s="1192">
        <f t="shared" si="2485"/>
        <v>44740</v>
      </c>
      <c r="O5064" s="71" t="s">
        <v>662</v>
      </c>
      <c r="P5064" s="103" t="str">
        <f t="shared" si="2496"/>
        <v>고무사카 노란색</v>
      </c>
      <c r="Q5064" s="71">
        <f t="shared" si="2491"/>
        <v>0</v>
      </c>
      <c r="R5064" s="102">
        <v>480</v>
      </c>
      <c r="S5064" s="102">
        <f t="shared" si="2492"/>
        <v>0</v>
      </c>
      <c r="T5064" s="102">
        <f t="shared" si="2493"/>
        <v>0</v>
      </c>
      <c r="U5064" s="71"/>
      <c r="V5064" s="71"/>
      <c r="W5064" s="474"/>
      <c r="X5064" s="71"/>
      <c r="Y5064" s="71"/>
    </row>
    <row r="5065" spans="1:25" ht="30" hidden="1" customHeight="1" x14ac:dyDescent="0.25">
      <c r="A5065" s="1145">
        <v>44740</v>
      </c>
      <c r="B5065" s="664" t="s">
        <v>18</v>
      </c>
      <c r="C5065" s="71" t="s">
        <v>2070</v>
      </c>
      <c r="D5065" s="71"/>
      <c r="E5065" s="102">
        <v>100000</v>
      </c>
      <c r="F5065" s="102">
        <f t="shared" si="2486"/>
        <v>0</v>
      </c>
      <c r="G5065" s="102">
        <f t="shared" si="2487"/>
        <v>0</v>
      </c>
      <c r="H5065" s="690" t="s">
        <v>172</v>
      </c>
      <c r="I5065" s="71" t="s">
        <v>33</v>
      </c>
      <c r="J5065" s="53">
        <f t="shared" si="2488"/>
        <v>0</v>
      </c>
      <c r="K5065" s="63">
        <v>0.10555555555555554</v>
      </c>
      <c r="L5065" s="1212" t="s">
        <v>3417</v>
      </c>
      <c r="M5065" s="468"/>
      <c r="N5065" s="1192">
        <f t="shared" si="2485"/>
        <v>44740</v>
      </c>
      <c r="O5065" s="71" t="s">
        <v>146</v>
      </c>
      <c r="P5065" s="103" t="str">
        <f t="shared" si="2496"/>
        <v>Blanket(1050*840)</v>
      </c>
      <c r="Q5065" s="71">
        <f t="shared" si="2491"/>
        <v>0</v>
      </c>
      <c r="R5065" s="102">
        <v>86800</v>
      </c>
      <c r="S5065" s="102">
        <f t="shared" si="2492"/>
        <v>0</v>
      </c>
      <c r="T5065" s="102">
        <f t="shared" si="2493"/>
        <v>0</v>
      </c>
      <c r="U5065" s="71" t="s">
        <v>859</v>
      </c>
      <c r="V5065" s="71"/>
      <c r="W5065" s="474"/>
      <c r="X5065" s="71"/>
      <c r="Y5065" s="71"/>
    </row>
    <row r="5066" spans="1:25" ht="30" hidden="1" customHeight="1" x14ac:dyDescent="0.25">
      <c r="A5066" s="1145">
        <v>44740</v>
      </c>
      <c r="B5066" s="664" t="s">
        <v>18</v>
      </c>
      <c r="C5066" s="71" t="s">
        <v>3294</v>
      </c>
      <c r="D5066" s="71">
        <v>15</v>
      </c>
      <c r="E5066" s="102">
        <v>110000</v>
      </c>
      <c r="F5066" s="102">
        <f t="shared" si="2486"/>
        <v>1815000.0000000002</v>
      </c>
      <c r="G5066" s="102">
        <f t="shared" si="2487"/>
        <v>1650000</v>
      </c>
      <c r="H5066" s="690" t="s">
        <v>172</v>
      </c>
      <c r="I5066" s="71" t="s">
        <v>3295</v>
      </c>
      <c r="J5066" s="53">
        <f t="shared" si="2488"/>
        <v>15000</v>
      </c>
      <c r="K5066" s="63">
        <v>0.13800000000000001</v>
      </c>
      <c r="L5066" s="1212" t="s">
        <v>3417</v>
      </c>
      <c r="M5066" s="468"/>
      <c r="N5066" s="1192">
        <f t="shared" si="2485"/>
        <v>44740</v>
      </c>
      <c r="O5066" s="71" t="s">
        <v>146</v>
      </c>
      <c r="P5066" s="103" t="str">
        <f t="shared" si="2496"/>
        <v>1077*885 하이델 bar 블랑켓</v>
      </c>
      <c r="Q5066" s="71">
        <f t="shared" si="2491"/>
        <v>15</v>
      </c>
      <c r="R5066" s="102">
        <v>109000</v>
      </c>
      <c r="S5066" s="102">
        <f t="shared" si="2492"/>
        <v>1798500.0000000002</v>
      </c>
      <c r="T5066" s="102">
        <f t="shared" si="2493"/>
        <v>1635000</v>
      </c>
      <c r="U5066" s="71"/>
      <c r="V5066" s="71"/>
      <c r="W5066" s="474"/>
      <c r="X5066" s="71"/>
      <c r="Y5066" s="71"/>
    </row>
    <row r="5067" spans="1:25" ht="30" hidden="1" customHeight="1" x14ac:dyDescent="0.25">
      <c r="A5067" s="1145">
        <v>44740</v>
      </c>
      <c r="B5067" s="664" t="s">
        <v>2155</v>
      </c>
      <c r="C5067" s="71" t="s">
        <v>3426</v>
      </c>
      <c r="D5067" s="71">
        <v>1</v>
      </c>
      <c r="E5067" s="102">
        <v>7000000</v>
      </c>
      <c r="F5067" s="102">
        <f t="shared" si="2486"/>
        <v>7700000.0000000009</v>
      </c>
      <c r="G5067" s="102">
        <f t="shared" si="2487"/>
        <v>7000000</v>
      </c>
      <c r="H5067" s="690" t="s">
        <v>113</v>
      </c>
      <c r="I5067" s="71" t="s">
        <v>113</v>
      </c>
      <c r="J5067" s="53">
        <f>G5067-T5067</f>
        <v>2384053</v>
      </c>
      <c r="K5067" s="63">
        <f>(J5067/(F5067/11*10))</f>
        <v>0.34057899999999997</v>
      </c>
      <c r="L5067" s="1212" t="s">
        <v>3417</v>
      </c>
      <c r="M5067" s="468"/>
      <c r="N5067" s="1192">
        <f t="shared" si="2485"/>
        <v>44740</v>
      </c>
      <c r="O5067" s="71" t="s">
        <v>113</v>
      </c>
      <c r="P5067" s="103" t="str">
        <f t="shared" si="2496"/>
        <v>자동판걸이튜브</v>
      </c>
      <c r="Q5067" s="71">
        <f t="shared" si="2491"/>
        <v>1</v>
      </c>
      <c r="R5067" s="102">
        <v>4615947</v>
      </c>
      <c r="S5067" s="102">
        <f>R5067*Q5067*1.1</f>
        <v>5077541.7</v>
      </c>
      <c r="T5067" s="102">
        <f>R5067*Q5067</f>
        <v>4615947</v>
      </c>
      <c r="U5067" s="71"/>
      <c r="V5067" s="71"/>
      <c r="W5067" s="474"/>
      <c r="X5067" s="71"/>
      <c r="Y5067" s="71"/>
    </row>
    <row r="5068" spans="1:25" ht="30" hidden="1" customHeight="1" x14ac:dyDescent="0.25">
      <c r="A5068" s="1145">
        <v>44740</v>
      </c>
      <c r="B5068" s="664" t="s">
        <v>2155</v>
      </c>
      <c r="C5068" s="71" t="s">
        <v>1121</v>
      </c>
      <c r="D5068" s="71">
        <v>5</v>
      </c>
      <c r="E5068" s="102">
        <v>65000</v>
      </c>
      <c r="F5068" s="102">
        <f t="shared" si="2486"/>
        <v>357500</v>
      </c>
      <c r="G5068" s="102">
        <f t="shared" si="2487"/>
        <v>325000</v>
      </c>
      <c r="H5068" s="690" t="s">
        <v>113</v>
      </c>
      <c r="I5068" s="71" t="s">
        <v>113</v>
      </c>
      <c r="J5068" s="53">
        <f>G5068-T5068</f>
        <v>200000</v>
      </c>
      <c r="K5068" s="63">
        <f>(J5068/(F5068/11*10))</f>
        <v>0.61538461538461542</v>
      </c>
      <c r="L5068" s="1212" t="s">
        <v>3417</v>
      </c>
      <c r="M5068" s="468"/>
      <c r="N5068" s="1192">
        <f t="shared" si="2485"/>
        <v>44740</v>
      </c>
      <c r="O5068" s="71" t="s">
        <v>113</v>
      </c>
      <c r="P5068" s="103" t="str">
        <f t="shared" si="2496"/>
        <v>포텐시오미터</v>
      </c>
      <c r="Q5068" s="71">
        <f t="shared" si="2491"/>
        <v>5</v>
      </c>
      <c r="R5068" s="102">
        <v>25000</v>
      </c>
      <c r="S5068" s="102">
        <f>R5068*Q5068*1.1</f>
        <v>137500</v>
      </c>
      <c r="T5068" s="102">
        <f>R5068*Q5068</f>
        <v>125000</v>
      </c>
      <c r="U5068" s="71"/>
      <c r="V5068" s="71"/>
      <c r="W5068" s="474"/>
      <c r="X5068" s="71"/>
      <c r="Y5068" s="71"/>
    </row>
    <row r="5069" spans="1:25" ht="30" hidden="1" customHeight="1" x14ac:dyDescent="0.25">
      <c r="A5069" s="1145">
        <v>44740</v>
      </c>
      <c r="B5069" s="664" t="s">
        <v>2155</v>
      </c>
      <c r="C5069" s="71" t="s">
        <v>3548</v>
      </c>
      <c r="D5069" s="71">
        <v>1</v>
      </c>
      <c r="E5069" s="102">
        <v>1750000</v>
      </c>
      <c r="F5069" s="102">
        <f t="shared" si="2486"/>
        <v>1925000.0000000002</v>
      </c>
      <c r="G5069" s="102">
        <f t="shared" si="2487"/>
        <v>1750000</v>
      </c>
      <c r="H5069" s="690" t="s">
        <v>281</v>
      </c>
      <c r="I5069" s="71" t="s">
        <v>281</v>
      </c>
      <c r="J5069" s="53">
        <f>G5069-T5069</f>
        <v>1750000</v>
      </c>
      <c r="K5069" s="63">
        <f>(J5069/(F5069/11*10))</f>
        <v>0.99999999999999989</v>
      </c>
      <c r="L5069" s="1212" t="s">
        <v>3417</v>
      </c>
      <c r="M5069" s="468"/>
      <c r="N5069" s="1192"/>
      <c r="O5069" s="71"/>
      <c r="P5069" s="103" t="str">
        <f t="shared" si="2496"/>
        <v>자동판걸이튜브 서비스비용</v>
      </c>
      <c r="Q5069" s="71">
        <f t="shared" si="2491"/>
        <v>1</v>
      </c>
      <c r="R5069" s="102">
        <v>0</v>
      </c>
      <c r="S5069" s="102">
        <f>R5069*Q5069*1.1</f>
        <v>0</v>
      </c>
      <c r="T5069" s="102">
        <f>R5069*Q5069</f>
        <v>0</v>
      </c>
      <c r="U5069" s="71"/>
      <c r="V5069" s="71"/>
      <c r="W5069" s="474"/>
      <c r="X5069" s="71"/>
      <c r="Y5069" s="71"/>
    </row>
    <row r="5070" spans="1:25" ht="30" hidden="1" customHeight="1" x14ac:dyDescent="0.25">
      <c r="A5070" s="1145">
        <v>44740</v>
      </c>
      <c r="B5070" s="664" t="s">
        <v>3289</v>
      </c>
      <c r="C5070" s="71" t="s">
        <v>277</v>
      </c>
      <c r="D5070" s="71">
        <v>10</v>
      </c>
      <c r="E5070" s="102">
        <v>172000</v>
      </c>
      <c r="F5070" s="102">
        <f t="shared" si="2486"/>
        <v>1892000.0000000002</v>
      </c>
      <c r="G5070" s="102">
        <f t="shared" si="2487"/>
        <v>1720000</v>
      </c>
      <c r="H5070" s="690" t="s">
        <v>172</v>
      </c>
      <c r="I5070" s="71" t="s">
        <v>180</v>
      </c>
      <c r="J5070" s="53">
        <f t="shared" si="2488"/>
        <v>421000</v>
      </c>
      <c r="K5070" s="63">
        <f t="shared" ref="K5070:K5076" si="2497">(J5070/(F5070/11*10))</f>
        <v>0.24476744186046509</v>
      </c>
      <c r="L5070" s="1212" t="s">
        <v>3417</v>
      </c>
      <c r="M5070" s="468"/>
      <c r="N5070" s="1192">
        <f t="shared" si="2485"/>
        <v>44740</v>
      </c>
      <c r="O5070" s="71" t="s">
        <v>662</v>
      </c>
      <c r="P5070" s="103" t="str">
        <f t="shared" si="2496"/>
        <v>윤전용 세척제(Web 504)</v>
      </c>
      <c r="Q5070" s="71">
        <f t="shared" si="2491"/>
        <v>10</v>
      </c>
      <c r="R5070" s="102">
        <v>129900</v>
      </c>
      <c r="S5070" s="102">
        <f t="shared" si="2492"/>
        <v>1428900</v>
      </c>
      <c r="T5070" s="102">
        <f t="shared" si="2493"/>
        <v>1299000</v>
      </c>
      <c r="U5070" s="71" t="str">
        <f>IF(J5070=W5070,"O", "X")</f>
        <v>X</v>
      </c>
      <c r="V5070" s="71"/>
      <c r="W5070" s="474"/>
      <c r="X5070" s="71"/>
      <c r="Y5070" s="71"/>
    </row>
    <row r="5071" spans="1:25" ht="30" hidden="1" customHeight="1" x14ac:dyDescent="0.25">
      <c r="A5071" s="1145">
        <v>44740</v>
      </c>
      <c r="B5071" s="664" t="s">
        <v>2261</v>
      </c>
      <c r="C5071" s="760" t="s">
        <v>181</v>
      </c>
      <c r="D5071" s="71">
        <v>15</v>
      </c>
      <c r="E5071" s="102">
        <v>192500</v>
      </c>
      <c r="F5071" s="102">
        <f t="shared" si="2486"/>
        <v>3176250.0000000005</v>
      </c>
      <c r="G5071" s="102">
        <f t="shared" si="2487"/>
        <v>2887500</v>
      </c>
      <c r="H5071" s="690" t="s">
        <v>2029</v>
      </c>
      <c r="I5071" s="71" t="s">
        <v>182</v>
      </c>
      <c r="J5071" s="53">
        <f t="shared" si="2488"/>
        <v>1065000</v>
      </c>
      <c r="K5071" s="63">
        <f t="shared" si="2497"/>
        <v>0.36883116883116879</v>
      </c>
      <c r="L5071" s="1212" t="s">
        <v>3417</v>
      </c>
      <c r="M5071" s="468"/>
      <c r="N5071" s="1192">
        <f t="shared" si="2485"/>
        <v>44740</v>
      </c>
      <c r="O5071" s="71" t="s">
        <v>2030</v>
      </c>
      <c r="P5071" s="103" t="str">
        <f t="shared" si="2496"/>
        <v>Fount Web 551AF</v>
      </c>
      <c r="Q5071" s="71">
        <f t="shared" si="2491"/>
        <v>15</v>
      </c>
      <c r="R5071" s="102">
        <v>121500</v>
      </c>
      <c r="S5071" s="102">
        <f t="shared" si="2492"/>
        <v>2004750.0000000002</v>
      </c>
      <c r="T5071" s="102">
        <f t="shared" si="2493"/>
        <v>1822500</v>
      </c>
      <c r="U5071" s="71" t="str">
        <f>IF(J5071=W5071,"O", "X")</f>
        <v>X</v>
      </c>
      <c r="V5071" s="71"/>
      <c r="W5071" s="474">
        <v>640000</v>
      </c>
      <c r="X5071" s="71"/>
      <c r="Y5071" s="71"/>
    </row>
    <row r="5072" spans="1:25" ht="30" hidden="1" customHeight="1" x14ac:dyDescent="0.25">
      <c r="A5072" s="1145">
        <v>44740</v>
      </c>
      <c r="B5072" s="664" t="s">
        <v>3289</v>
      </c>
      <c r="C5072" s="71" t="s">
        <v>2070</v>
      </c>
      <c r="D5072" s="71"/>
      <c r="E5072" s="102">
        <v>108000</v>
      </c>
      <c r="F5072" s="102">
        <f t="shared" si="2486"/>
        <v>0</v>
      </c>
      <c r="G5072" s="102">
        <f t="shared" si="2487"/>
        <v>0</v>
      </c>
      <c r="H5072" s="690" t="s">
        <v>172</v>
      </c>
      <c r="I5072" s="71" t="s">
        <v>33</v>
      </c>
      <c r="J5072" s="53">
        <f t="shared" si="2488"/>
        <v>0</v>
      </c>
      <c r="K5072" s="63" t="e">
        <f t="shared" si="2497"/>
        <v>#DIV/0!</v>
      </c>
      <c r="L5072" s="1212" t="s">
        <v>3417</v>
      </c>
      <c r="M5072" s="468"/>
      <c r="N5072" s="1192">
        <f t="shared" si="2485"/>
        <v>44740</v>
      </c>
      <c r="O5072" s="71" t="s">
        <v>146</v>
      </c>
      <c r="P5072" s="103" t="str">
        <f t="shared" si="2496"/>
        <v>Blanket(1050*840)</v>
      </c>
      <c r="Q5072" s="71">
        <f t="shared" si="2491"/>
        <v>0</v>
      </c>
      <c r="R5072" s="102">
        <v>86800</v>
      </c>
      <c r="S5072" s="102">
        <f t="shared" si="2492"/>
        <v>0</v>
      </c>
      <c r="T5072" s="102">
        <f t="shared" si="2493"/>
        <v>0</v>
      </c>
      <c r="U5072" s="71" t="str">
        <f>IF(J5072=W5072,"O", "X")</f>
        <v>X</v>
      </c>
      <c r="V5072" s="71"/>
      <c r="W5072" s="474">
        <v>275000</v>
      </c>
      <c r="X5072" s="71"/>
      <c r="Y5072" s="71"/>
    </row>
    <row r="5073" spans="1:25" s="209" customFormat="1" ht="31.5" hidden="1" customHeight="1" x14ac:dyDescent="0.2">
      <c r="A5073" s="1145">
        <v>44740</v>
      </c>
      <c r="B5073" s="664" t="s">
        <v>3289</v>
      </c>
      <c r="C5073" s="71" t="s">
        <v>3387</v>
      </c>
      <c r="D5073" s="71">
        <v>10</v>
      </c>
      <c r="E5073" s="102">
        <v>120000</v>
      </c>
      <c r="F5073" s="102">
        <f t="shared" si="2486"/>
        <v>1320000</v>
      </c>
      <c r="G5073" s="102">
        <f t="shared" si="2487"/>
        <v>1200000</v>
      </c>
      <c r="H5073" s="165" t="s">
        <v>172</v>
      </c>
      <c r="I5073" s="71" t="s">
        <v>184</v>
      </c>
      <c r="J5073" s="53">
        <f t="shared" si="2488"/>
        <v>80000</v>
      </c>
      <c r="K5073" s="63">
        <f t="shared" si="2497"/>
        <v>6.6666666666666666E-2</v>
      </c>
      <c r="L5073" s="1212" t="s">
        <v>3417</v>
      </c>
      <c r="M5073" s="468"/>
      <c r="N5073" s="1192">
        <f t="shared" si="2485"/>
        <v>44740</v>
      </c>
      <c r="O5073" s="71" t="s">
        <v>189</v>
      </c>
      <c r="P5073" s="103" t="str">
        <f t="shared" si="2496"/>
        <v>Blanket(990*725)</v>
      </c>
      <c r="Q5073" s="71">
        <f t="shared" si="2491"/>
        <v>10</v>
      </c>
      <c r="R5073" s="102">
        <v>112000</v>
      </c>
      <c r="S5073" s="102">
        <f t="shared" si="2492"/>
        <v>1232000</v>
      </c>
      <c r="T5073" s="102">
        <f t="shared" si="2493"/>
        <v>1120000</v>
      </c>
      <c r="U5073" s="71" t="str">
        <f>IF(J5073=W5073,"O", "X")</f>
        <v>O</v>
      </c>
      <c r="V5073" s="71"/>
      <c r="W5073" s="474">
        <v>80000</v>
      </c>
      <c r="X5073" s="71"/>
      <c r="Y5073" s="71"/>
    </row>
    <row r="5074" spans="1:25" ht="30" hidden="1" customHeight="1" x14ac:dyDescent="0.25">
      <c r="A5074" s="1145">
        <v>44740</v>
      </c>
      <c r="B5074" s="664" t="s">
        <v>2261</v>
      </c>
      <c r="C5074" s="71" t="s">
        <v>3299</v>
      </c>
      <c r="D5074" s="71">
        <v>10</v>
      </c>
      <c r="E5074" s="102">
        <v>47600</v>
      </c>
      <c r="F5074" s="102">
        <f>(E5074*D5074)*1.1</f>
        <v>523600.00000000006</v>
      </c>
      <c r="G5074" s="102">
        <f>(E5074*D5074)</f>
        <v>476000</v>
      </c>
      <c r="H5074" s="690" t="s">
        <v>172</v>
      </c>
      <c r="I5074" s="71" t="s">
        <v>180</v>
      </c>
      <c r="J5074" s="53">
        <v>136000</v>
      </c>
      <c r="K5074" s="63">
        <v>0.25</v>
      </c>
      <c r="L5074" s="1212" t="s">
        <v>3417</v>
      </c>
      <c r="M5074" s="468" t="s">
        <v>3304</v>
      </c>
      <c r="N5074" s="1192">
        <v>44544</v>
      </c>
      <c r="O5074" s="71" t="s">
        <v>175</v>
      </c>
      <c r="P5074" s="103" t="s">
        <v>3299</v>
      </c>
      <c r="Q5074" s="71">
        <f>D5074</f>
        <v>10</v>
      </c>
      <c r="R5074" s="102">
        <v>40000</v>
      </c>
      <c r="S5074" s="102">
        <f t="shared" si="2492"/>
        <v>440000.00000000006</v>
      </c>
      <c r="T5074" s="102">
        <f t="shared" si="2493"/>
        <v>400000</v>
      </c>
      <c r="U5074" s="71" t="s">
        <v>859</v>
      </c>
      <c r="V5074" s="71"/>
      <c r="W5074" s="474"/>
      <c r="X5074" s="71"/>
      <c r="Y5074" s="71"/>
    </row>
    <row r="5075" spans="1:25" ht="30" hidden="1" customHeight="1" x14ac:dyDescent="0.25">
      <c r="A5075" s="1145">
        <v>44740</v>
      </c>
      <c r="B5075" s="664" t="s">
        <v>2261</v>
      </c>
      <c r="C5075" s="71" t="s">
        <v>277</v>
      </c>
      <c r="D5075" s="71">
        <v>5</v>
      </c>
      <c r="E5075" s="102">
        <v>172000</v>
      </c>
      <c r="F5075" s="102">
        <f t="shared" si="2486"/>
        <v>946000.00000000012</v>
      </c>
      <c r="G5075" s="102">
        <f t="shared" si="2487"/>
        <v>860000</v>
      </c>
      <c r="H5075" s="690" t="s">
        <v>172</v>
      </c>
      <c r="I5075" s="71" t="s">
        <v>180</v>
      </c>
      <c r="J5075" s="53">
        <f>G5075-T5075</f>
        <v>210500</v>
      </c>
      <c r="K5075" s="63">
        <f t="shared" si="2497"/>
        <v>0.24476744186046509</v>
      </c>
      <c r="L5075" s="1212" t="s">
        <v>3417</v>
      </c>
      <c r="M5075" s="468"/>
      <c r="N5075" s="1192">
        <f t="shared" si="2485"/>
        <v>44740</v>
      </c>
      <c r="O5075" s="71" t="s">
        <v>662</v>
      </c>
      <c r="P5075" s="103" t="str">
        <f t="shared" si="2496"/>
        <v>윤전용 세척제(Web 504)</v>
      </c>
      <c r="Q5075" s="71">
        <f t="shared" si="2491"/>
        <v>5</v>
      </c>
      <c r="R5075" s="102">
        <v>129900</v>
      </c>
      <c r="S5075" s="102">
        <f t="shared" si="2492"/>
        <v>714450</v>
      </c>
      <c r="T5075" s="102">
        <f t="shared" si="2493"/>
        <v>649500</v>
      </c>
      <c r="U5075" s="71" t="str">
        <f>IF(J5075=W5075,"O", "X")</f>
        <v>X</v>
      </c>
      <c r="V5075" s="71"/>
      <c r="W5075" s="474"/>
      <c r="X5075" s="71"/>
      <c r="Y5075" s="71"/>
    </row>
    <row r="5076" spans="1:25" ht="30" customHeight="1" x14ac:dyDescent="0.25">
      <c r="A5076" s="1145">
        <v>44740</v>
      </c>
      <c r="B5076" s="664" t="s">
        <v>641</v>
      </c>
      <c r="C5076" s="71" t="s">
        <v>3388</v>
      </c>
      <c r="D5076" s="71"/>
      <c r="E5076" s="102">
        <v>45000</v>
      </c>
      <c r="F5076" s="102">
        <f t="shared" si="2486"/>
        <v>0</v>
      </c>
      <c r="G5076" s="102">
        <f t="shared" si="2487"/>
        <v>0</v>
      </c>
      <c r="H5076" s="690" t="s">
        <v>39</v>
      </c>
      <c r="I5076" s="71" t="s">
        <v>142</v>
      </c>
      <c r="J5076" s="53">
        <f>G5076-T5076</f>
        <v>0</v>
      </c>
      <c r="K5076" s="63" t="e">
        <f t="shared" si="2497"/>
        <v>#DIV/0!</v>
      </c>
      <c r="L5076" s="1212" t="s">
        <v>3417</v>
      </c>
      <c r="M5076" s="468" t="s">
        <v>3329</v>
      </c>
      <c r="N5076" s="1192">
        <f t="shared" si="2485"/>
        <v>44740</v>
      </c>
      <c r="O5076" s="71" t="s">
        <v>39</v>
      </c>
      <c r="P5076" s="103" t="str">
        <f t="shared" ref="P5076:P5081" si="2498">(C5076)</f>
        <v>주머니필터백</v>
      </c>
      <c r="Q5076" s="71">
        <f t="shared" si="2491"/>
        <v>0</v>
      </c>
      <c r="R5076" s="102">
        <v>24000</v>
      </c>
      <c r="S5076" s="102">
        <f t="shared" si="2492"/>
        <v>0</v>
      </c>
      <c r="T5076" s="102">
        <f t="shared" si="2493"/>
        <v>0</v>
      </c>
      <c r="U5076" s="71"/>
      <c r="V5076" s="71"/>
      <c r="W5076" s="474"/>
      <c r="X5076" s="71"/>
      <c r="Y5076" s="71"/>
    </row>
    <row r="5077" spans="1:25" ht="30" customHeight="1" x14ac:dyDescent="0.25">
      <c r="A5077" s="1145">
        <v>44740</v>
      </c>
      <c r="B5077" s="664" t="s">
        <v>641</v>
      </c>
      <c r="C5077" s="71" t="s">
        <v>3389</v>
      </c>
      <c r="D5077" s="71"/>
      <c r="E5077" s="102">
        <v>52000</v>
      </c>
      <c r="F5077" s="102">
        <f t="shared" si="2486"/>
        <v>0</v>
      </c>
      <c r="G5077" s="102">
        <f t="shared" si="2487"/>
        <v>0</v>
      </c>
      <c r="H5077" s="690" t="s">
        <v>172</v>
      </c>
      <c r="I5077" s="71" t="s">
        <v>142</v>
      </c>
      <c r="J5077" s="53">
        <f>G5077-T5077</f>
        <v>0</v>
      </c>
      <c r="K5077" s="63" t="e">
        <f>(J5077/(F5077/11*10))</f>
        <v>#DIV/0!</v>
      </c>
      <c r="L5077" s="1212" t="s">
        <v>3417</v>
      </c>
      <c r="M5077" s="468"/>
      <c r="N5077" s="1192">
        <f t="shared" si="2485"/>
        <v>44740</v>
      </c>
      <c r="O5077" s="71" t="s">
        <v>2030</v>
      </c>
      <c r="P5077" s="103" t="str">
        <f t="shared" si="2498"/>
        <v>수이버 카바쇼바</v>
      </c>
      <c r="Q5077" s="71">
        <f t="shared" si="2491"/>
        <v>0</v>
      </c>
      <c r="R5077" s="102">
        <v>188000</v>
      </c>
      <c r="S5077" s="102">
        <f t="shared" si="2492"/>
        <v>0</v>
      </c>
      <c r="T5077" s="102">
        <f t="shared" si="2493"/>
        <v>0</v>
      </c>
      <c r="U5077" s="71" t="str">
        <f>IF(J5077=W5077,"O", "X")</f>
        <v>O</v>
      </c>
      <c r="V5077" s="71"/>
      <c r="W5077" s="474">
        <f>(G5077-T5077)</f>
        <v>0</v>
      </c>
      <c r="X5077" s="71"/>
      <c r="Y5077" s="71"/>
    </row>
    <row r="5078" spans="1:25" ht="30" customHeight="1" x14ac:dyDescent="0.25">
      <c r="A5078" s="1145">
        <v>44740</v>
      </c>
      <c r="B5078" s="664" t="s">
        <v>641</v>
      </c>
      <c r="C5078" s="71" t="s">
        <v>3390</v>
      </c>
      <c r="D5078" s="71">
        <v>3</v>
      </c>
      <c r="E5078" s="102">
        <v>480000</v>
      </c>
      <c r="F5078" s="102">
        <f t="shared" si="2486"/>
        <v>1584000.0000000002</v>
      </c>
      <c r="G5078" s="102">
        <f t="shared" si="2487"/>
        <v>1440000</v>
      </c>
      <c r="H5078" s="690" t="s">
        <v>172</v>
      </c>
      <c r="I5078" s="71" t="s">
        <v>142</v>
      </c>
      <c r="J5078" s="53">
        <f>G5078-T5078</f>
        <v>750000</v>
      </c>
      <c r="K5078" s="63">
        <f>(J5078/(F5078/11*10))</f>
        <v>0.52083333333333326</v>
      </c>
      <c r="L5078" s="1212" t="s">
        <v>3417</v>
      </c>
      <c r="M5078" s="468"/>
      <c r="N5078" s="1192">
        <f t="shared" si="2485"/>
        <v>44740</v>
      </c>
      <c r="O5078" s="71" t="s">
        <v>2030</v>
      </c>
      <c r="P5078" s="103" t="str">
        <f t="shared" si="2498"/>
        <v>판걸이용 클러치</v>
      </c>
      <c r="Q5078" s="71">
        <f t="shared" si="2491"/>
        <v>3</v>
      </c>
      <c r="R5078" s="102">
        <v>230000</v>
      </c>
      <c r="S5078" s="102">
        <f t="shared" si="2492"/>
        <v>759000.00000000012</v>
      </c>
      <c r="T5078" s="102">
        <f t="shared" si="2493"/>
        <v>690000</v>
      </c>
      <c r="U5078" s="71" t="str">
        <f>IF(J5078=W5078,"O", "X")</f>
        <v>O</v>
      </c>
      <c r="V5078" s="71"/>
      <c r="W5078" s="474">
        <f>(G5078-T5078)</f>
        <v>750000</v>
      </c>
      <c r="X5078" s="71"/>
      <c r="Y5078" s="71"/>
    </row>
    <row r="5079" spans="1:25" ht="30" customHeight="1" x14ac:dyDescent="0.25">
      <c r="A5079" s="1145">
        <v>44740</v>
      </c>
      <c r="B5079" s="664" t="s">
        <v>641</v>
      </c>
      <c r="C5079" s="71" t="s">
        <v>3420</v>
      </c>
      <c r="D5079" s="71">
        <v>2</v>
      </c>
      <c r="E5079" s="102">
        <v>580000</v>
      </c>
      <c r="F5079" s="102">
        <f>(E5079*D5079)*1.1</f>
        <v>1276000</v>
      </c>
      <c r="G5079" s="102">
        <f>(E5079*D5079)</f>
        <v>1160000</v>
      </c>
      <c r="H5079" s="690" t="s">
        <v>172</v>
      </c>
      <c r="I5079" s="71" t="s">
        <v>142</v>
      </c>
      <c r="J5079" s="53">
        <f>G5079-T5079</f>
        <v>174000</v>
      </c>
      <c r="K5079" s="63">
        <f>(J5079/(F5079/11*10))</f>
        <v>0.15</v>
      </c>
      <c r="L5079" s="1212" t="s">
        <v>3417</v>
      </c>
      <c r="M5079" s="468"/>
      <c r="N5079" s="1192">
        <f>A5079</f>
        <v>44740</v>
      </c>
      <c r="O5079" s="71" t="s">
        <v>2030</v>
      </c>
      <c r="P5079" s="103" t="str">
        <f t="shared" si="2498"/>
        <v>세척장치 연결고리</v>
      </c>
      <c r="Q5079" s="71">
        <f>D5079</f>
        <v>2</v>
      </c>
      <c r="R5079" s="102">
        <v>493000</v>
      </c>
      <c r="S5079" s="102">
        <f t="shared" si="2492"/>
        <v>1084600</v>
      </c>
      <c r="T5079" s="102">
        <f t="shared" si="2493"/>
        <v>986000</v>
      </c>
      <c r="U5079" s="71" t="str">
        <f>IF(J5079=W5079,"O", "X")</f>
        <v>O</v>
      </c>
      <c r="V5079" s="71"/>
      <c r="W5079" s="474">
        <f>(G5079-T5079)</f>
        <v>174000</v>
      </c>
      <c r="X5079" s="71"/>
      <c r="Y5079" s="71"/>
    </row>
    <row r="5080" spans="1:25" ht="30" customHeight="1" x14ac:dyDescent="0.25">
      <c r="A5080" s="1145">
        <v>44740</v>
      </c>
      <c r="B5080" s="664" t="s">
        <v>641</v>
      </c>
      <c r="C5080" s="71" t="s">
        <v>220</v>
      </c>
      <c r="D5080" s="71">
        <v>7</v>
      </c>
      <c r="E5080" s="102">
        <v>272000</v>
      </c>
      <c r="F5080" s="102">
        <f t="shared" si="2486"/>
        <v>2094400.0000000002</v>
      </c>
      <c r="G5080" s="102">
        <f t="shared" si="2487"/>
        <v>1904000</v>
      </c>
      <c r="H5080" s="690" t="s">
        <v>172</v>
      </c>
      <c r="I5080" s="71" t="s">
        <v>142</v>
      </c>
      <c r="J5080" s="53">
        <v>414400</v>
      </c>
      <c r="K5080" s="63">
        <v>0.21764705882352939</v>
      </c>
      <c r="L5080" s="1212" t="s">
        <v>3417</v>
      </c>
      <c r="M5080" s="468" t="s">
        <v>3303</v>
      </c>
      <c r="N5080" s="1192">
        <v>44538</v>
      </c>
      <c r="O5080" s="71" t="s">
        <v>175</v>
      </c>
      <c r="P5080" s="103" t="str">
        <f t="shared" si="2498"/>
        <v>세정포-XL106</v>
      </c>
      <c r="Q5080" s="71">
        <f t="shared" si="2491"/>
        <v>7</v>
      </c>
      <c r="R5080" s="102">
        <v>212800</v>
      </c>
      <c r="S5080" s="102">
        <f t="shared" si="2492"/>
        <v>1638560.0000000002</v>
      </c>
      <c r="T5080" s="102">
        <f t="shared" si="2493"/>
        <v>1489600</v>
      </c>
      <c r="U5080" s="71" t="s">
        <v>859</v>
      </c>
      <c r="V5080" s="71"/>
      <c r="W5080" s="474"/>
      <c r="X5080" s="71"/>
      <c r="Y5080" s="71"/>
    </row>
    <row r="5081" spans="1:25" ht="30" customHeight="1" x14ac:dyDescent="0.25">
      <c r="A5081" s="1145">
        <v>44740</v>
      </c>
      <c r="B5081" s="664" t="s">
        <v>641</v>
      </c>
      <c r="C5081" s="71" t="s">
        <v>230</v>
      </c>
      <c r="D5081" s="71">
        <v>10</v>
      </c>
      <c r="E5081" s="102">
        <v>125000</v>
      </c>
      <c r="F5081" s="102">
        <f t="shared" si="2486"/>
        <v>1375000</v>
      </c>
      <c r="G5081" s="102">
        <f t="shared" si="2487"/>
        <v>1250000</v>
      </c>
      <c r="H5081" s="690" t="s">
        <v>172</v>
      </c>
      <c r="I5081" s="71" t="s">
        <v>142</v>
      </c>
      <c r="J5081" s="53">
        <v>260000</v>
      </c>
      <c r="K5081" s="63">
        <v>0.20799999999999999</v>
      </c>
      <c r="L5081" s="1212" t="s">
        <v>3417</v>
      </c>
      <c r="M5081" s="468" t="s">
        <v>3303</v>
      </c>
      <c r="N5081" s="1192">
        <v>44544</v>
      </c>
      <c r="O5081" s="71" t="s">
        <v>662</v>
      </c>
      <c r="P5081" s="103" t="str">
        <f t="shared" si="2498"/>
        <v>XL106 Blanket(1077*885)</v>
      </c>
      <c r="Q5081" s="71">
        <f t="shared" si="2491"/>
        <v>10</v>
      </c>
      <c r="R5081" s="102">
        <v>109000</v>
      </c>
      <c r="S5081" s="102">
        <f t="shared" si="2492"/>
        <v>1199000</v>
      </c>
      <c r="T5081" s="102">
        <f t="shared" si="2493"/>
        <v>1090000</v>
      </c>
      <c r="U5081" s="71" t="s">
        <v>859</v>
      </c>
      <c r="V5081" s="71"/>
      <c r="W5081" s="474"/>
      <c r="X5081" s="71"/>
      <c r="Y5081" s="71"/>
    </row>
    <row r="5082" spans="1:25" ht="30" customHeight="1" x14ac:dyDescent="0.25">
      <c r="A5082" s="1145">
        <v>44740</v>
      </c>
      <c r="B5082" s="664" t="s">
        <v>641</v>
      </c>
      <c r="C5082" s="71" t="s">
        <v>3299</v>
      </c>
      <c r="D5082" s="71">
        <v>10</v>
      </c>
      <c r="E5082" s="102">
        <v>68000</v>
      </c>
      <c r="F5082" s="102">
        <f t="shared" si="2486"/>
        <v>748000.00000000012</v>
      </c>
      <c r="G5082" s="102">
        <f t="shared" si="2487"/>
        <v>680000</v>
      </c>
      <c r="H5082" s="690" t="s">
        <v>172</v>
      </c>
      <c r="I5082" s="71" t="s">
        <v>142</v>
      </c>
      <c r="J5082" s="53">
        <v>136000</v>
      </c>
      <c r="K5082" s="63">
        <v>0.25</v>
      </c>
      <c r="L5082" s="1212" t="s">
        <v>3417</v>
      </c>
      <c r="M5082" s="468" t="s">
        <v>3304</v>
      </c>
      <c r="N5082" s="1192">
        <v>44544</v>
      </c>
      <c r="O5082" s="71" t="s">
        <v>175</v>
      </c>
      <c r="P5082" s="103" t="s">
        <v>3299</v>
      </c>
      <c r="Q5082" s="71">
        <f t="shared" si="2491"/>
        <v>10</v>
      </c>
      <c r="R5082" s="102">
        <v>40000</v>
      </c>
      <c r="S5082" s="102">
        <f t="shared" si="2492"/>
        <v>440000.00000000006</v>
      </c>
      <c r="T5082" s="102">
        <f t="shared" si="2493"/>
        <v>400000</v>
      </c>
      <c r="U5082" s="71" t="s">
        <v>859</v>
      </c>
      <c r="V5082" s="71"/>
      <c r="W5082" s="474"/>
      <c r="X5082" s="71"/>
      <c r="Y5082" s="71"/>
    </row>
    <row r="5083" spans="1:25" ht="30" customHeight="1" x14ac:dyDescent="0.25">
      <c r="A5083" s="1145">
        <v>44740</v>
      </c>
      <c r="B5083" s="664" t="s">
        <v>641</v>
      </c>
      <c r="C5083" s="71" t="s">
        <v>220</v>
      </c>
      <c r="D5083" s="71">
        <v>7</v>
      </c>
      <c r="E5083" s="102">
        <v>272000</v>
      </c>
      <c r="F5083" s="102">
        <f t="shared" si="2486"/>
        <v>2094400.0000000002</v>
      </c>
      <c r="G5083" s="102">
        <f t="shared" si="2487"/>
        <v>1904000</v>
      </c>
      <c r="H5083" s="690" t="s">
        <v>172</v>
      </c>
      <c r="I5083" s="71" t="s">
        <v>142</v>
      </c>
      <c r="J5083" s="53">
        <v>414400</v>
      </c>
      <c r="K5083" s="63">
        <v>0.21764705882352939</v>
      </c>
      <c r="L5083" s="1212" t="s">
        <v>3417</v>
      </c>
      <c r="M5083" s="468" t="s">
        <v>3303</v>
      </c>
      <c r="N5083" s="1192">
        <v>44538</v>
      </c>
      <c r="O5083" s="71" t="s">
        <v>175</v>
      </c>
      <c r="P5083" s="103" t="str">
        <f>(C5083)</f>
        <v>세정포-XL106</v>
      </c>
      <c r="Q5083" s="71">
        <v>112</v>
      </c>
      <c r="R5083" s="102">
        <v>13300</v>
      </c>
      <c r="S5083" s="102">
        <f t="shared" si="2492"/>
        <v>1638560.0000000002</v>
      </c>
      <c r="T5083" s="102">
        <f t="shared" si="2493"/>
        <v>1489600</v>
      </c>
      <c r="U5083" s="71" t="s">
        <v>859</v>
      </c>
      <c r="V5083" s="71"/>
      <c r="W5083" s="474"/>
      <c r="X5083" s="71"/>
      <c r="Y5083" s="71"/>
    </row>
    <row r="5084" spans="1:25" ht="30" customHeight="1" x14ac:dyDescent="0.25">
      <c r="A5084" s="1145">
        <v>44740</v>
      </c>
      <c r="B5084" s="664" t="s">
        <v>641</v>
      </c>
      <c r="C5084" s="71" t="s">
        <v>230</v>
      </c>
      <c r="D5084" s="71">
        <v>10</v>
      </c>
      <c r="E5084" s="102">
        <v>125000</v>
      </c>
      <c r="F5084" s="102">
        <f t="shared" si="2486"/>
        <v>1375000</v>
      </c>
      <c r="G5084" s="102">
        <f t="shared" si="2487"/>
        <v>1250000</v>
      </c>
      <c r="H5084" s="690" t="s">
        <v>172</v>
      </c>
      <c r="I5084" s="71" t="s">
        <v>142</v>
      </c>
      <c r="J5084" s="53">
        <v>260000</v>
      </c>
      <c r="K5084" s="63">
        <v>0.20799999999999999</v>
      </c>
      <c r="L5084" s="1212" t="s">
        <v>3417</v>
      </c>
      <c r="M5084" s="468" t="s">
        <v>3303</v>
      </c>
      <c r="N5084" s="1192">
        <v>44544</v>
      </c>
      <c r="O5084" s="71" t="s">
        <v>662</v>
      </c>
      <c r="P5084" s="103" t="str">
        <f>(C5084)</f>
        <v>XL106 Blanket(1077*885)</v>
      </c>
      <c r="Q5084" s="71">
        <f t="shared" si="2491"/>
        <v>10</v>
      </c>
      <c r="R5084" s="102">
        <v>109000</v>
      </c>
      <c r="S5084" s="102">
        <f t="shared" si="2492"/>
        <v>1199000</v>
      </c>
      <c r="T5084" s="102">
        <f t="shared" si="2493"/>
        <v>1090000</v>
      </c>
      <c r="U5084" s="71" t="s">
        <v>859</v>
      </c>
      <c r="V5084" s="71"/>
      <c r="W5084" s="474"/>
      <c r="X5084" s="71"/>
      <c r="Y5084" s="71"/>
    </row>
    <row r="5085" spans="1:25" ht="30" customHeight="1" x14ac:dyDescent="0.25">
      <c r="A5085" s="1145">
        <v>44740</v>
      </c>
      <c r="B5085" s="664" t="s">
        <v>3391</v>
      </c>
      <c r="C5085" s="71" t="s">
        <v>3392</v>
      </c>
      <c r="D5085" s="71"/>
      <c r="E5085" s="102">
        <v>240000</v>
      </c>
      <c r="F5085" s="102">
        <f t="shared" si="2486"/>
        <v>0</v>
      </c>
      <c r="G5085" s="102">
        <f t="shared" si="2487"/>
        <v>0</v>
      </c>
      <c r="H5085" s="690" t="s">
        <v>172</v>
      </c>
      <c r="I5085" s="71" t="s">
        <v>142</v>
      </c>
      <c r="J5085" s="53">
        <f>G5085-T5085</f>
        <v>0</v>
      </c>
      <c r="K5085" s="63" t="e">
        <f>(J5085/(F5085/11*10))</f>
        <v>#DIV/0!</v>
      </c>
      <c r="L5085" s="1212" t="s">
        <v>3417</v>
      </c>
      <c r="M5085" s="468" t="s">
        <v>3393</v>
      </c>
      <c r="N5085" s="1192">
        <f>A5085</f>
        <v>44740</v>
      </c>
      <c r="O5085" s="71" t="s">
        <v>2030</v>
      </c>
      <c r="P5085" s="103" t="str">
        <f>(C5085)</f>
        <v>윤전 블랑켓</v>
      </c>
      <c r="Q5085" s="71">
        <f t="shared" si="2491"/>
        <v>0</v>
      </c>
      <c r="R5085" s="102">
        <v>160000</v>
      </c>
      <c r="S5085" s="102">
        <f t="shared" si="2492"/>
        <v>0</v>
      </c>
      <c r="T5085" s="102">
        <f t="shared" si="2493"/>
        <v>0</v>
      </c>
      <c r="U5085" s="71" t="str">
        <f>IF(J5085=W5085,"O", "X")</f>
        <v>O</v>
      </c>
      <c r="V5085" s="71" t="s">
        <v>3394</v>
      </c>
      <c r="W5085" s="474">
        <f>(G5085-T5085)</f>
        <v>0</v>
      </c>
      <c r="X5085" s="71"/>
      <c r="Y5085" s="71"/>
    </row>
    <row r="5086" spans="1:25" ht="30" customHeight="1" x14ac:dyDescent="0.25">
      <c r="A5086" s="1145">
        <v>44740</v>
      </c>
      <c r="B5086" s="664" t="s">
        <v>3391</v>
      </c>
      <c r="C5086" s="760" t="s">
        <v>181</v>
      </c>
      <c r="D5086" s="71"/>
      <c r="E5086" s="102">
        <v>260000</v>
      </c>
      <c r="F5086" s="102">
        <f t="shared" si="2486"/>
        <v>0</v>
      </c>
      <c r="G5086" s="102">
        <f t="shared" si="2487"/>
        <v>0</v>
      </c>
      <c r="H5086" s="690" t="s">
        <v>172</v>
      </c>
      <c r="I5086" s="71" t="s">
        <v>142</v>
      </c>
      <c r="J5086" s="53">
        <f>G5086-T5086</f>
        <v>0</v>
      </c>
      <c r="K5086" s="63" t="e">
        <f>(J5086/(F5086/11*10))</f>
        <v>#DIV/0!</v>
      </c>
      <c r="L5086" s="1212" t="s">
        <v>3417</v>
      </c>
      <c r="M5086" s="468" t="s">
        <v>3395</v>
      </c>
      <c r="N5086" s="1192">
        <f>A5086</f>
        <v>44740</v>
      </c>
      <c r="O5086" s="71" t="s">
        <v>2030</v>
      </c>
      <c r="P5086" s="103" t="str">
        <f>(C5086)</f>
        <v>Fount Web 551AF</v>
      </c>
      <c r="Q5086" s="71">
        <f t="shared" si="2491"/>
        <v>0</v>
      </c>
      <c r="R5086" s="102">
        <v>121500</v>
      </c>
      <c r="S5086" s="102">
        <f t="shared" si="2492"/>
        <v>0</v>
      </c>
      <c r="T5086" s="102">
        <f t="shared" si="2493"/>
        <v>0</v>
      </c>
      <c r="U5086" s="71" t="str">
        <f>IF(J5086=W5086,"O", "X")</f>
        <v>O</v>
      </c>
      <c r="V5086" s="71"/>
      <c r="W5086" s="474">
        <f>(G5086-T5086)</f>
        <v>0</v>
      </c>
      <c r="X5086" s="71"/>
      <c r="Y5086" s="71"/>
    </row>
    <row r="5087" spans="1:25" ht="30" hidden="1" customHeight="1" x14ac:dyDescent="0.25">
      <c r="A5087" s="1145">
        <v>44740</v>
      </c>
      <c r="B5087" s="664" t="s">
        <v>442</v>
      </c>
      <c r="C5087" s="71" t="s">
        <v>3299</v>
      </c>
      <c r="D5087" s="71">
        <v>30</v>
      </c>
      <c r="E5087" s="102">
        <v>69000</v>
      </c>
      <c r="F5087" s="102">
        <f t="shared" si="2486"/>
        <v>2277000</v>
      </c>
      <c r="G5087" s="102">
        <f t="shared" si="2487"/>
        <v>2070000</v>
      </c>
      <c r="H5087" s="690" t="s">
        <v>172</v>
      </c>
      <c r="I5087" s="71" t="s">
        <v>180</v>
      </c>
      <c r="J5087" s="53">
        <v>136000</v>
      </c>
      <c r="K5087" s="63">
        <v>0.25</v>
      </c>
      <c r="L5087" s="1212" t="s">
        <v>3417</v>
      </c>
      <c r="M5087" s="468" t="s">
        <v>3304</v>
      </c>
      <c r="N5087" s="1192">
        <v>44544</v>
      </c>
      <c r="O5087" s="71" t="s">
        <v>175</v>
      </c>
      <c r="P5087" s="103" t="s">
        <v>3299</v>
      </c>
      <c r="Q5087" s="71">
        <f t="shared" si="2491"/>
        <v>30</v>
      </c>
      <c r="R5087" s="102">
        <v>40000</v>
      </c>
      <c r="S5087" s="102">
        <f t="shared" si="2492"/>
        <v>1320000</v>
      </c>
      <c r="T5087" s="102">
        <f t="shared" si="2493"/>
        <v>1200000</v>
      </c>
      <c r="U5087" s="71" t="s">
        <v>859</v>
      </c>
      <c r="V5087" s="71"/>
      <c r="W5087" s="474"/>
      <c r="X5087" s="71"/>
      <c r="Y5087" s="71"/>
    </row>
    <row r="5088" spans="1:25" ht="30" hidden="1" customHeight="1" x14ac:dyDescent="0.25">
      <c r="A5088" s="1145">
        <v>44740</v>
      </c>
      <c r="B5088" s="664" t="s">
        <v>2</v>
      </c>
      <c r="C5088" s="71" t="s">
        <v>3359</v>
      </c>
      <c r="D5088" s="71">
        <v>1</v>
      </c>
      <c r="E5088" s="102">
        <v>172000</v>
      </c>
      <c r="F5088" s="102">
        <f t="shared" si="2486"/>
        <v>189200.00000000003</v>
      </c>
      <c r="G5088" s="102">
        <f t="shared" si="2487"/>
        <v>172000</v>
      </c>
      <c r="H5088" s="690" t="s">
        <v>172</v>
      </c>
      <c r="I5088" s="71" t="s">
        <v>38</v>
      </c>
      <c r="J5088" s="53">
        <f t="shared" ref="J5088:J5133" si="2499">G5088-T5088</f>
        <v>43600</v>
      </c>
      <c r="K5088" s="63">
        <f>(J5088/(F5088/11*10))</f>
        <v>0.25348837209302322</v>
      </c>
      <c r="L5088" s="1212" t="s">
        <v>3417</v>
      </c>
      <c r="M5088" s="468" t="s">
        <v>3300</v>
      </c>
      <c r="N5088" s="1192">
        <f>A5088</f>
        <v>44740</v>
      </c>
      <c r="O5088" s="71" t="s">
        <v>150</v>
      </c>
      <c r="P5088" s="103" t="s">
        <v>217</v>
      </c>
      <c r="Q5088" s="71">
        <f t="shared" si="2491"/>
        <v>1</v>
      </c>
      <c r="R5088" s="102">
        <v>90400</v>
      </c>
      <c r="S5088" s="102">
        <f t="shared" ref="S5088:S5119" si="2500">R5088*Q5088*1.1</f>
        <v>99440.000000000015</v>
      </c>
      <c r="T5088" s="102">
        <f>R5088*Q5088+38000</f>
        <v>128400</v>
      </c>
      <c r="U5088" s="71" t="str">
        <f t="shared" ref="U5088:U5096" si="2501">IF(J5088=W5088,"O", "X")</f>
        <v>X</v>
      </c>
      <c r="V5088" s="71"/>
      <c r="W5088" s="474"/>
      <c r="X5088" s="71"/>
      <c r="Y5088" s="71"/>
    </row>
    <row r="5089" spans="1:25" ht="30" hidden="1" customHeight="1" x14ac:dyDescent="0.25">
      <c r="A5089" s="1145">
        <v>44740</v>
      </c>
      <c r="B5089" s="664" t="s">
        <v>2</v>
      </c>
      <c r="C5089" s="71" t="s">
        <v>2023</v>
      </c>
      <c r="D5089" s="71"/>
      <c r="E5089" s="102">
        <v>3860</v>
      </c>
      <c r="F5089" s="102">
        <f t="shared" si="2486"/>
        <v>0</v>
      </c>
      <c r="G5089" s="102">
        <f t="shared" si="2487"/>
        <v>0</v>
      </c>
      <c r="H5089" s="690" t="s">
        <v>172</v>
      </c>
      <c r="I5089" s="71" t="s">
        <v>3301</v>
      </c>
      <c r="J5089" s="53">
        <f t="shared" si="2499"/>
        <v>0</v>
      </c>
      <c r="K5089" s="63" t="e">
        <f t="shared" ref="K5089:K5133" si="2502">(J5089/(F5089/11*10))</f>
        <v>#DIV/0!</v>
      </c>
      <c r="L5089" s="1212" t="s">
        <v>3417</v>
      </c>
      <c r="M5089" s="468" t="s">
        <v>3302</v>
      </c>
      <c r="N5089" s="1192">
        <f t="shared" ref="N5089:N5136" si="2503">A5089</f>
        <v>44740</v>
      </c>
      <c r="O5089" s="71" t="s">
        <v>3298</v>
      </c>
      <c r="P5089" s="103" t="str">
        <f>(C5089)</f>
        <v>CTP 판(1030*790mm)</v>
      </c>
      <c r="Q5089" s="71">
        <f t="shared" si="2491"/>
        <v>0</v>
      </c>
      <c r="R5089" s="102">
        <v>4540</v>
      </c>
      <c r="S5089" s="102">
        <f t="shared" si="2500"/>
        <v>0</v>
      </c>
      <c r="T5089" s="102">
        <f t="shared" ref="T5089:T5137" si="2504">R5089*Q5089</f>
        <v>0</v>
      </c>
      <c r="U5089" s="71" t="str">
        <f t="shared" si="2501"/>
        <v>O</v>
      </c>
      <c r="V5089" s="71"/>
      <c r="W5089" s="474"/>
      <c r="X5089" s="71"/>
      <c r="Y5089" s="71"/>
    </row>
    <row r="5090" spans="1:25" ht="30" hidden="1" customHeight="1" x14ac:dyDescent="0.25">
      <c r="A5090" s="1145">
        <v>44740</v>
      </c>
      <c r="B5090" s="664" t="s">
        <v>2</v>
      </c>
      <c r="C5090" s="71" t="s">
        <v>1386</v>
      </c>
      <c r="D5090" s="71"/>
      <c r="E5090" s="102">
        <v>52000</v>
      </c>
      <c r="F5090" s="102">
        <f t="shared" si="2486"/>
        <v>0</v>
      </c>
      <c r="G5090" s="102">
        <f t="shared" si="2487"/>
        <v>0</v>
      </c>
      <c r="H5090" s="690" t="s">
        <v>172</v>
      </c>
      <c r="I5090" s="71" t="s">
        <v>2529</v>
      </c>
      <c r="J5090" s="53">
        <f t="shared" si="2499"/>
        <v>0</v>
      </c>
      <c r="K5090" s="63" t="e">
        <f t="shared" si="2502"/>
        <v>#DIV/0!</v>
      </c>
      <c r="L5090" s="1212" t="s">
        <v>3417</v>
      </c>
      <c r="M5090" s="468"/>
      <c r="N5090" s="1192">
        <f t="shared" si="2503"/>
        <v>44740</v>
      </c>
      <c r="O5090" s="71" t="s">
        <v>3298</v>
      </c>
      <c r="P5090" s="103" t="str">
        <f t="shared" ref="P5090:P5098" si="2505">(C5090)</f>
        <v>THR200(20L)보충액</v>
      </c>
      <c r="Q5090" s="71">
        <f t="shared" si="2491"/>
        <v>0</v>
      </c>
      <c r="R5090" s="102">
        <v>40205</v>
      </c>
      <c r="S5090" s="102">
        <f t="shared" si="2500"/>
        <v>0</v>
      </c>
      <c r="T5090" s="102">
        <f t="shared" si="2504"/>
        <v>0</v>
      </c>
      <c r="U5090" s="71" t="str">
        <f t="shared" si="2501"/>
        <v>O</v>
      </c>
      <c r="V5090" s="71"/>
      <c r="W5090" s="474">
        <f t="shared" ref="W5090:W5096" si="2506">(G5090-T5090)</f>
        <v>0</v>
      </c>
      <c r="X5090" s="71"/>
      <c r="Y5090" s="71"/>
    </row>
    <row r="5091" spans="1:25" ht="30" hidden="1" customHeight="1" x14ac:dyDescent="0.25">
      <c r="A5091" s="1145">
        <v>44740</v>
      </c>
      <c r="B5091" s="664" t="s">
        <v>2</v>
      </c>
      <c r="C5091" s="71" t="s">
        <v>3318</v>
      </c>
      <c r="D5091" s="71"/>
      <c r="E5091" s="102">
        <v>52000</v>
      </c>
      <c r="F5091" s="102">
        <f t="shared" si="2486"/>
        <v>0</v>
      </c>
      <c r="G5091" s="102">
        <f t="shared" si="2487"/>
        <v>0</v>
      </c>
      <c r="H5091" s="690" t="s">
        <v>172</v>
      </c>
      <c r="I5091" s="71" t="s">
        <v>2529</v>
      </c>
      <c r="J5091" s="53">
        <f t="shared" si="2499"/>
        <v>0</v>
      </c>
      <c r="K5091" s="63" t="e">
        <f t="shared" si="2502"/>
        <v>#DIV/0!</v>
      </c>
      <c r="L5091" s="1212" t="s">
        <v>3417</v>
      </c>
      <c r="M5091" s="468"/>
      <c r="N5091" s="1192">
        <f t="shared" si="2503"/>
        <v>44740</v>
      </c>
      <c r="O5091" s="71" t="s">
        <v>3298</v>
      </c>
      <c r="P5091" s="103" t="str">
        <f t="shared" si="2505"/>
        <v>THD200(20L)현상액</v>
      </c>
      <c r="Q5091" s="71">
        <f t="shared" si="2491"/>
        <v>0</v>
      </c>
      <c r="R5091" s="102">
        <v>40250</v>
      </c>
      <c r="S5091" s="102">
        <f t="shared" si="2500"/>
        <v>0</v>
      </c>
      <c r="T5091" s="102">
        <f t="shared" si="2504"/>
        <v>0</v>
      </c>
      <c r="U5091" s="71" t="str">
        <f t="shared" si="2501"/>
        <v>O</v>
      </c>
      <c r="V5091" s="71"/>
      <c r="W5091" s="474">
        <f t="shared" si="2506"/>
        <v>0</v>
      </c>
      <c r="X5091" s="71"/>
      <c r="Y5091" s="71"/>
    </row>
    <row r="5092" spans="1:25" ht="30" hidden="1" customHeight="1" x14ac:dyDescent="0.25">
      <c r="A5092" s="1145">
        <v>44740</v>
      </c>
      <c r="B5092" s="664" t="s">
        <v>442</v>
      </c>
      <c r="C5092" s="71" t="s">
        <v>206</v>
      </c>
      <c r="D5092" s="71">
        <v>2</v>
      </c>
      <c r="E5092" s="102">
        <v>403000</v>
      </c>
      <c r="F5092" s="102">
        <f t="shared" si="2486"/>
        <v>886600.00000000012</v>
      </c>
      <c r="G5092" s="102">
        <f t="shared" si="2487"/>
        <v>806000</v>
      </c>
      <c r="H5092" s="690" t="s">
        <v>2029</v>
      </c>
      <c r="I5092" s="71" t="s">
        <v>195</v>
      </c>
      <c r="J5092" s="53">
        <f t="shared" si="2499"/>
        <v>202940</v>
      </c>
      <c r="K5092" s="63">
        <f t="shared" si="2502"/>
        <v>0.25178660049627788</v>
      </c>
      <c r="L5092" s="1212" t="s">
        <v>3417</v>
      </c>
      <c r="M5092" s="468"/>
      <c r="N5092" s="1192">
        <f t="shared" si="2503"/>
        <v>44740</v>
      </c>
      <c r="O5092" s="71" t="s">
        <v>194</v>
      </c>
      <c r="P5092" s="103" t="str">
        <f t="shared" si="2505"/>
        <v>Agfa Film(24inch)</v>
      </c>
      <c r="Q5092" s="71">
        <f t="shared" si="2491"/>
        <v>2</v>
      </c>
      <c r="R5092" s="102">
        <v>301530</v>
      </c>
      <c r="S5092" s="102">
        <f t="shared" si="2500"/>
        <v>663366</v>
      </c>
      <c r="T5092" s="102">
        <f t="shared" si="2504"/>
        <v>603060</v>
      </c>
      <c r="U5092" s="71" t="str">
        <f t="shared" si="2501"/>
        <v>O</v>
      </c>
      <c r="V5092" s="71"/>
      <c r="W5092" s="474">
        <f t="shared" si="2506"/>
        <v>202940</v>
      </c>
      <c r="X5092" s="71"/>
      <c r="Y5092" s="71"/>
    </row>
    <row r="5093" spans="1:25" ht="30" hidden="1" customHeight="1" x14ac:dyDescent="0.25">
      <c r="A5093" s="1145">
        <v>44740</v>
      </c>
      <c r="B5093" s="664" t="s">
        <v>442</v>
      </c>
      <c r="C5093" s="71" t="s">
        <v>207</v>
      </c>
      <c r="D5093" s="71">
        <v>2</v>
      </c>
      <c r="E5093" s="102">
        <v>496000</v>
      </c>
      <c r="F5093" s="102">
        <f t="shared" si="2486"/>
        <v>1091200</v>
      </c>
      <c r="G5093" s="102">
        <f t="shared" si="2487"/>
        <v>992000</v>
      </c>
      <c r="H5093" s="690" t="s">
        <v>2029</v>
      </c>
      <c r="I5093" s="71" t="s">
        <v>195</v>
      </c>
      <c r="J5093" s="53">
        <f t="shared" si="2499"/>
        <v>992000</v>
      </c>
      <c r="K5093" s="63">
        <f t="shared" si="2502"/>
        <v>1</v>
      </c>
      <c r="L5093" s="1212" t="s">
        <v>3417</v>
      </c>
      <c r="M5093" s="468"/>
      <c r="N5093" s="1192">
        <f t="shared" si="2503"/>
        <v>44740</v>
      </c>
      <c r="O5093" s="71" t="s">
        <v>194</v>
      </c>
      <c r="P5093" s="103" t="str">
        <f t="shared" si="2505"/>
        <v>Agfa Film(28inch)</v>
      </c>
      <c r="Q5093" s="71">
        <f t="shared" si="2491"/>
        <v>2</v>
      </c>
      <c r="R5093" s="102"/>
      <c r="S5093" s="102">
        <f t="shared" si="2500"/>
        <v>0</v>
      </c>
      <c r="T5093" s="102">
        <f t="shared" si="2504"/>
        <v>0</v>
      </c>
      <c r="U5093" s="71" t="str">
        <f t="shared" si="2501"/>
        <v>O</v>
      </c>
      <c r="V5093" s="71"/>
      <c r="W5093" s="474">
        <f t="shared" si="2506"/>
        <v>992000</v>
      </c>
      <c r="X5093" s="71"/>
      <c r="Y5093" s="71"/>
    </row>
    <row r="5094" spans="1:25" ht="30" hidden="1" customHeight="1" x14ac:dyDescent="0.25">
      <c r="A5094" s="1145">
        <v>44740</v>
      </c>
      <c r="B5094" s="664" t="s">
        <v>442</v>
      </c>
      <c r="C5094" s="71" t="s">
        <v>208</v>
      </c>
      <c r="D5094" s="71">
        <v>2</v>
      </c>
      <c r="E5094" s="102">
        <v>555000</v>
      </c>
      <c r="F5094" s="102">
        <f t="shared" si="2486"/>
        <v>1221000</v>
      </c>
      <c r="G5094" s="102">
        <f t="shared" si="2487"/>
        <v>1110000</v>
      </c>
      <c r="H5094" s="690" t="s">
        <v>2029</v>
      </c>
      <c r="I5094" s="71" t="s">
        <v>195</v>
      </c>
      <c r="J5094" s="53">
        <f t="shared" si="2499"/>
        <v>506740</v>
      </c>
      <c r="K5094" s="63">
        <f t="shared" si="2502"/>
        <v>0.45652252252252251</v>
      </c>
      <c r="L5094" s="1212" t="s">
        <v>3417</v>
      </c>
      <c r="M5094" s="468"/>
      <c r="N5094" s="1192">
        <f t="shared" si="2503"/>
        <v>44740</v>
      </c>
      <c r="O5094" s="71" t="s">
        <v>194</v>
      </c>
      <c r="P5094" s="103" t="str">
        <f t="shared" si="2505"/>
        <v>Agfa Film(32inch)</v>
      </c>
      <c r="Q5094" s="71">
        <f t="shared" si="2491"/>
        <v>2</v>
      </c>
      <c r="R5094" s="102">
        <v>301630</v>
      </c>
      <c r="S5094" s="102">
        <f t="shared" si="2500"/>
        <v>663586</v>
      </c>
      <c r="T5094" s="102">
        <f t="shared" si="2504"/>
        <v>603260</v>
      </c>
      <c r="U5094" s="71" t="str">
        <f t="shared" si="2501"/>
        <v>O</v>
      </c>
      <c r="V5094" s="71"/>
      <c r="W5094" s="474">
        <f t="shared" si="2506"/>
        <v>506740</v>
      </c>
      <c r="X5094" s="71"/>
      <c r="Y5094" s="71"/>
    </row>
    <row r="5095" spans="1:25" ht="30" hidden="1" customHeight="1" x14ac:dyDescent="0.2">
      <c r="A5095" s="1145">
        <v>44740</v>
      </c>
      <c r="B5095" s="664" t="s">
        <v>442</v>
      </c>
      <c r="C5095" s="71" t="s">
        <v>648</v>
      </c>
      <c r="D5095" s="71">
        <v>2</v>
      </c>
      <c r="E5095" s="102">
        <v>93000</v>
      </c>
      <c r="F5095" s="102">
        <f t="shared" si="2486"/>
        <v>204600.00000000003</v>
      </c>
      <c r="G5095" s="102">
        <f t="shared" si="2487"/>
        <v>186000</v>
      </c>
      <c r="H5095" s="165" t="s">
        <v>172</v>
      </c>
      <c r="I5095" s="71" t="s">
        <v>195</v>
      </c>
      <c r="J5095" s="53">
        <f t="shared" si="2499"/>
        <v>54000</v>
      </c>
      <c r="K5095" s="63">
        <f t="shared" si="2502"/>
        <v>0.29032258064516125</v>
      </c>
      <c r="L5095" s="1212" t="s">
        <v>3417</v>
      </c>
      <c r="M5095" s="468"/>
      <c r="N5095" s="1192">
        <f t="shared" si="2503"/>
        <v>44740</v>
      </c>
      <c r="O5095" s="71" t="s">
        <v>194</v>
      </c>
      <c r="P5095" s="103" t="str">
        <f t="shared" si="2505"/>
        <v>Agfa 정착액 G333C(20L)</v>
      </c>
      <c r="Q5095" s="71">
        <f t="shared" si="2491"/>
        <v>2</v>
      </c>
      <c r="R5095" s="102">
        <v>66000</v>
      </c>
      <c r="S5095" s="102">
        <f t="shared" si="2500"/>
        <v>145200</v>
      </c>
      <c r="T5095" s="102">
        <f t="shared" si="2504"/>
        <v>132000</v>
      </c>
      <c r="U5095" s="71" t="str">
        <f t="shared" si="2501"/>
        <v>O</v>
      </c>
      <c r="V5095" s="71"/>
      <c r="W5095" s="474">
        <f t="shared" si="2506"/>
        <v>54000</v>
      </c>
      <c r="X5095" s="71"/>
      <c r="Y5095" s="71"/>
    </row>
    <row r="5096" spans="1:25" ht="30" hidden="1" customHeight="1" x14ac:dyDescent="0.25">
      <c r="A5096" s="1145">
        <v>44740</v>
      </c>
      <c r="B5096" s="664" t="s">
        <v>442</v>
      </c>
      <c r="C5096" s="71" t="s">
        <v>651</v>
      </c>
      <c r="D5096" s="71">
        <v>7</v>
      </c>
      <c r="E5096" s="102">
        <v>45000</v>
      </c>
      <c r="F5096" s="102">
        <f t="shared" si="2486"/>
        <v>346500</v>
      </c>
      <c r="G5096" s="102">
        <f t="shared" si="2487"/>
        <v>315000</v>
      </c>
      <c r="H5096" s="690" t="s">
        <v>2029</v>
      </c>
      <c r="I5096" s="71" t="s">
        <v>195</v>
      </c>
      <c r="J5096" s="53">
        <f t="shared" si="2499"/>
        <v>150000</v>
      </c>
      <c r="K5096" s="63">
        <f t="shared" si="2502"/>
        <v>0.47619047619047616</v>
      </c>
      <c r="L5096" s="1212" t="s">
        <v>3417</v>
      </c>
      <c r="M5096" s="468"/>
      <c r="N5096" s="1192">
        <f t="shared" si="2503"/>
        <v>44740</v>
      </c>
      <c r="O5096" s="71" t="s">
        <v>194</v>
      </c>
      <c r="P5096" s="164" t="str">
        <f t="shared" si="2505"/>
        <v>Agfa 현상액 G101C(10L)</v>
      </c>
      <c r="Q5096" s="71">
        <v>6</v>
      </c>
      <c r="R5096" s="102">
        <v>27500</v>
      </c>
      <c r="S5096" s="102">
        <f t="shared" si="2500"/>
        <v>181500.00000000003</v>
      </c>
      <c r="T5096" s="102">
        <f t="shared" si="2504"/>
        <v>165000</v>
      </c>
      <c r="U5096" s="71" t="str">
        <f t="shared" si="2501"/>
        <v>O</v>
      </c>
      <c r="V5096" s="71"/>
      <c r="W5096" s="474">
        <f t="shared" si="2506"/>
        <v>150000</v>
      </c>
      <c r="X5096" s="71"/>
      <c r="Y5096" s="71"/>
    </row>
    <row r="5097" spans="1:25" ht="30" hidden="1" customHeight="1" x14ac:dyDescent="0.25">
      <c r="A5097" s="1145">
        <v>44740</v>
      </c>
      <c r="B5097" s="664" t="s">
        <v>442</v>
      </c>
      <c r="C5097" s="71" t="s">
        <v>3397</v>
      </c>
      <c r="D5097" s="71"/>
      <c r="E5097" s="102">
        <v>300000</v>
      </c>
      <c r="F5097" s="102">
        <f t="shared" si="2486"/>
        <v>0</v>
      </c>
      <c r="G5097" s="102">
        <f t="shared" si="2487"/>
        <v>0</v>
      </c>
      <c r="H5097" s="690" t="s">
        <v>2029</v>
      </c>
      <c r="I5097" s="71" t="s">
        <v>3385</v>
      </c>
      <c r="J5097" s="53">
        <f t="shared" si="2499"/>
        <v>0</v>
      </c>
      <c r="K5097" s="63" t="e">
        <f t="shared" si="2502"/>
        <v>#DIV/0!</v>
      </c>
      <c r="L5097" s="1212" t="s">
        <v>3417</v>
      </c>
      <c r="M5097" s="468"/>
      <c r="N5097" s="1192">
        <f t="shared" si="2503"/>
        <v>44740</v>
      </c>
      <c r="O5097" s="71" t="s">
        <v>243</v>
      </c>
      <c r="P5097" s="103" t="str">
        <f t="shared" si="2505"/>
        <v>필름출력기 서비스비용(출장비 포함)</v>
      </c>
      <c r="Q5097" s="71">
        <f t="shared" si="2491"/>
        <v>0</v>
      </c>
      <c r="R5097" s="102">
        <v>500000</v>
      </c>
      <c r="S5097" s="102">
        <f t="shared" si="2500"/>
        <v>0</v>
      </c>
      <c r="T5097" s="102">
        <f t="shared" si="2504"/>
        <v>0</v>
      </c>
      <c r="U5097" s="71"/>
      <c r="V5097" s="71"/>
      <c r="W5097" s="474"/>
      <c r="X5097" s="71"/>
      <c r="Y5097" s="71"/>
    </row>
    <row r="5098" spans="1:25" ht="30" hidden="1" customHeight="1" x14ac:dyDescent="0.25">
      <c r="A5098" s="1145">
        <v>44740</v>
      </c>
      <c r="B5098" s="664" t="s">
        <v>442</v>
      </c>
      <c r="C5098" s="71" t="s">
        <v>3398</v>
      </c>
      <c r="D5098" s="71"/>
      <c r="E5098" s="102">
        <v>4200000</v>
      </c>
      <c r="F5098" s="102">
        <f t="shared" si="2486"/>
        <v>0</v>
      </c>
      <c r="G5098" s="102">
        <f t="shared" si="2487"/>
        <v>0</v>
      </c>
      <c r="H5098" s="690" t="s">
        <v>2029</v>
      </c>
      <c r="I5098" s="71" t="s">
        <v>3385</v>
      </c>
      <c r="J5098" s="53">
        <f t="shared" si="2499"/>
        <v>0</v>
      </c>
      <c r="K5098" s="63" t="e">
        <f t="shared" si="2502"/>
        <v>#DIV/0!</v>
      </c>
      <c r="L5098" s="1212" t="s">
        <v>3417</v>
      </c>
      <c r="M5098" s="468"/>
      <c r="N5098" s="1192">
        <f t="shared" si="2503"/>
        <v>44740</v>
      </c>
      <c r="O5098" s="71" t="s">
        <v>243</v>
      </c>
      <c r="P5098" s="164" t="str">
        <f t="shared" si="2505"/>
        <v>필름출력기 main board(Tanto 6120)</v>
      </c>
      <c r="Q5098" s="71">
        <f t="shared" si="2491"/>
        <v>0</v>
      </c>
      <c r="R5098" s="102">
        <v>914000</v>
      </c>
      <c r="S5098" s="102">
        <f t="shared" si="2500"/>
        <v>0</v>
      </c>
      <c r="T5098" s="102">
        <f t="shared" si="2504"/>
        <v>0</v>
      </c>
      <c r="U5098" s="71"/>
      <c r="V5098" s="71"/>
      <c r="W5098" s="474"/>
      <c r="X5098" s="71"/>
      <c r="Y5098" s="71"/>
    </row>
    <row r="5099" spans="1:25" ht="30" hidden="1" customHeight="1" x14ac:dyDescent="0.25">
      <c r="A5099" s="1145">
        <v>44740</v>
      </c>
      <c r="B5099" s="664" t="s">
        <v>444</v>
      </c>
      <c r="C5099" s="71" t="s">
        <v>3388</v>
      </c>
      <c r="D5099" s="71"/>
      <c r="E5099" s="102">
        <v>42000</v>
      </c>
      <c r="F5099" s="102">
        <f t="shared" si="2486"/>
        <v>0</v>
      </c>
      <c r="G5099" s="102">
        <f t="shared" si="2487"/>
        <v>0</v>
      </c>
      <c r="H5099" s="690" t="s">
        <v>39</v>
      </c>
      <c r="I5099" s="71" t="s">
        <v>94</v>
      </c>
      <c r="J5099" s="53">
        <f t="shared" si="2499"/>
        <v>0</v>
      </c>
      <c r="K5099" s="63" t="e">
        <f t="shared" si="2502"/>
        <v>#DIV/0!</v>
      </c>
      <c r="L5099" s="1212" t="s">
        <v>3417</v>
      </c>
      <c r="M5099" s="468" t="s">
        <v>3329</v>
      </c>
      <c r="N5099" s="1192">
        <f t="shared" si="2503"/>
        <v>44740</v>
      </c>
      <c r="O5099" s="71" t="s">
        <v>39</v>
      </c>
      <c r="P5099" s="103" t="str">
        <f>(C5099)</f>
        <v>주머니필터백</v>
      </c>
      <c r="Q5099" s="71">
        <f t="shared" si="2491"/>
        <v>0</v>
      </c>
      <c r="R5099" s="102">
        <v>24000</v>
      </c>
      <c r="S5099" s="102">
        <f t="shared" si="2500"/>
        <v>0</v>
      </c>
      <c r="T5099" s="102">
        <f t="shared" si="2504"/>
        <v>0</v>
      </c>
      <c r="U5099" s="71"/>
      <c r="V5099" s="71"/>
      <c r="W5099" s="474"/>
      <c r="X5099" s="71"/>
      <c r="Y5099" s="71"/>
    </row>
    <row r="5100" spans="1:25" ht="30" hidden="1" customHeight="1" x14ac:dyDescent="0.25">
      <c r="A5100" s="1145">
        <v>44740</v>
      </c>
      <c r="B5100" s="664" t="s">
        <v>2798</v>
      </c>
      <c r="C5100" s="71" t="s">
        <v>167</v>
      </c>
      <c r="D5100" s="71">
        <v>20</v>
      </c>
      <c r="E5100" s="102">
        <v>125000</v>
      </c>
      <c r="F5100" s="102">
        <f t="shared" si="2486"/>
        <v>2750000</v>
      </c>
      <c r="G5100" s="102">
        <f t="shared" si="2487"/>
        <v>2500000</v>
      </c>
      <c r="H5100" s="690" t="s">
        <v>172</v>
      </c>
      <c r="I5100" s="71" t="s">
        <v>33</v>
      </c>
      <c r="J5100" s="53">
        <f t="shared" si="2499"/>
        <v>712000</v>
      </c>
      <c r="K5100" s="63">
        <f t="shared" si="2502"/>
        <v>0.2848</v>
      </c>
      <c r="L5100" s="1212" t="s">
        <v>3417</v>
      </c>
      <c r="M5100" s="468"/>
      <c r="N5100" s="1192">
        <f t="shared" si="2503"/>
        <v>44740</v>
      </c>
      <c r="O5100" s="71" t="s">
        <v>146</v>
      </c>
      <c r="P5100" s="103" t="str">
        <f t="shared" ref="P5100:P5136" si="2507">(C5100)</f>
        <v>Blanket(1060*860)</v>
      </c>
      <c r="Q5100" s="71">
        <f t="shared" si="2491"/>
        <v>20</v>
      </c>
      <c r="R5100" s="102">
        <v>89400</v>
      </c>
      <c r="S5100" s="102">
        <f t="shared" si="2500"/>
        <v>1966800.0000000002</v>
      </c>
      <c r="T5100" s="102">
        <f t="shared" si="2504"/>
        <v>1788000</v>
      </c>
      <c r="U5100" s="71" t="str">
        <f>IF(J5100=W5100,"O", "X")</f>
        <v>X</v>
      </c>
      <c r="V5100" s="71"/>
      <c r="W5100" s="474"/>
      <c r="X5100" s="71"/>
      <c r="Y5100" s="71"/>
    </row>
    <row r="5101" spans="1:25" ht="30" hidden="1" customHeight="1" x14ac:dyDescent="0.25">
      <c r="A5101" s="1145">
        <v>44740</v>
      </c>
      <c r="B5101" s="664" t="s">
        <v>444</v>
      </c>
      <c r="C5101" s="71" t="s">
        <v>3399</v>
      </c>
      <c r="D5101" s="71">
        <v>10</v>
      </c>
      <c r="E5101" s="102">
        <v>175000</v>
      </c>
      <c r="F5101" s="102">
        <f t="shared" si="2486"/>
        <v>1925000.0000000002</v>
      </c>
      <c r="G5101" s="102">
        <f t="shared" si="2487"/>
        <v>1750000</v>
      </c>
      <c r="H5101" s="690" t="s">
        <v>2029</v>
      </c>
      <c r="I5101" s="71" t="s">
        <v>180</v>
      </c>
      <c r="J5101" s="53">
        <f t="shared" si="2499"/>
        <v>450000</v>
      </c>
      <c r="K5101" s="63">
        <f t="shared" si="2502"/>
        <v>0.25714285714285712</v>
      </c>
      <c r="L5101" s="1212" t="s">
        <v>3417</v>
      </c>
      <c r="M5101" s="468"/>
      <c r="N5101" s="1192">
        <f t="shared" si="2503"/>
        <v>44740</v>
      </c>
      <c r="O5101" s="71" t="s">
        <v>191</v>
      </c>
      <c r="P5101" s="103" t="str">
        <f t="shared" si="2507"/>
        <v>UV wash offset UV</v>
      </c>
      <c r="Q5101" s="71">
        <f t="shared" si="2491"/>
        <v>10</v>
      </c>
      <c r="R5101" s="102">
        <v>130000</v>
      </c>
      <c r="S5101" s="102">
        <f t="shared" si="2500"/>
        <v>1430000</v>
      </c>
      <c r="T5101" s="102">
        <f t="shared" si="2504"/>
        <v>1300000</v>
      </c>
      <c r="U5101" s="71"/>
      <c r="V5101" s="71"/>
      <c r="W5101" s="474"/>
      <c r="X5101" s="71"/>
      <c r="Y5101" s="71"/>
    </row>
    <row r="5102" spans="1:25" ht="30" hidden="1" customHeight="1" x14ac:dyDescent="0.25">
      <c r="A5102" s="1145">
        <v>44740</v>
      </c>
      <c r="B5102" s="664" t="s">
        <v>2798</v>
      </c>
      <c r="C5102" s="71" t="s">
        <v>3290</v>
      </c>
      <c r="D5102" s="71"/>
      <c r="E5102" s="102">
        <v>660000</v>
      </c>
      <c r="F5102" s="102">
        <f t="shared" si="2486"/>
        <v>0</v>
      </c>
      <c r="G5102" s="102">
        <f t="shared" si="2487"/>
        <v>0</v>
      </c>
      <c r="H5102" s="690" t="s">
        <v>172</v>
      </c>
      <c r="I5102" s="71" t="s">
        <v>38</v>
      </c>
      <c r="J5102" s="53">
        <f t="shared" si="2499"/>
        <v>0</v>
      </c>
      <c r="K5102" s="63" t="e">
        <f t="shared" si="2502"/>
        <v>#DIV/0!</v>
      </c>
      <c r="L5102" s="1212" t="s">
        <v>3417</v>
      </c>
      <c r="M5102" s="468"/>
      <c r="N5102" s="1192">
        <f t="shared" si="2503"/>
        <v>44740</v>
      </c>
      <c r="O5102" s="71" t="s">
        <v>3291</v>
      </c>
      <c r="P5102" s="103" t="str">
        <f t="shared" si="2507"/>
        <v>점보롤 세정포</v>
      </c>
      <c r="Q5102" s="71">
        <f t="shared" si="2491"/>
        <v>0</v>
      </c>
      <c r="R5102" s="102">
        <v>462000</v>
      </c>
      <c r="S5102" s="102">
        <f t="shared" si="2500"/>
        <v>0</v>
      </c>
      <c r="T5102" s="102">
        <f t="shared" si="2504"/>
        <v>0</v>
      </c>
      <c r="U5102" s="71" t="str">
        <f t="shared" ref="U5102:U5128" si="2508">IF(J5102=W5102,"O", "X")</f>
        <v>O</v>
      </c>
      <c r="V5102" s="71" t="s">
        <v>3292</v>
      </c>
      <c r="W5102" s="474">
        <f>(G5102-T5102)</f>
        <v>0</v>
      </c>
      <c r="X5102" s="71"/>
      <c r="Y5102" s="71"/>
    </row>
    <row r="5103" spans="1:25" s="209" customFormat="1" ht="30" hidden="1" customHeight="1" x14ac:dyDescent="0.25">
      <c r="A5103" s="1145">
        <v>44740</v>
      </c>
      <c r="B5103" s="664" t="s">
        <v>2798</v>
      </c>
      <c r="C5103" s="71" t="s">
        <v>3419</v>
      </c>
      <c r="D5103" s="71">
        <v>1</v>
      </c>
      <c r="E5103" s="102">
        <v>100000</v>
      </c>
      <c r="F5103" s="102">
        <f t="shared" si="2486"/>
        <v>110000.00000000001</v>
      </c>
      <c r="G5103" s="102">
        <f t="shared" si="2487"/>
        <v>100000</v>
      </c>
      <c r="H5103" s="690" t="s">
        <v>2029</v>
      </c>
      <c r="I5103" s="71" t="s">
        <v>3385</v>
      </c>
      <c r="J5103" s="53">
        <f t="shared" si="2499"/>
        <v>50000</v>
      </c>
      <c r="K5103" s="63">
        <f>(J5103/(F5103/11*10))</f>
        <v>0.49999999999999994</v>
      </c>
      <c r="L5103" s="1212" t="s">
        <v>3417</v>
      </c>
      <c r="M5103" s="468"/>
      <c r="N5103" s="1192">
        <f>A5103</f>
        <v>44740</v>
      </c>
      <c r="O5103" s="71" t="s">
        <v>190</v>
      </c>
      <c r="P5103" s="164" t="str">
        <f>(C5103)</f>
        <v>아스테이지(국전)XL용</v>
      </c>
      <c r="Q5103" s="71">
        <f t="shared" si="2491"/>
        <v>1</v>
      </c>
      <c r="R5103" s="102">
        <v>50000</v>
      </c>
      <c r="S5103" s="102">
        <f t="shared" si="2500"/>
        <v>55000.000000000007</v>
      </c>
      <c r="T5103" s="102">
        <f t="shared" si="2504"/>
        <v>50000</v>
      </c>
      <c r="U5103" s="71" t="str">
        <f t="shared" si="2508"/>
        <v>X</v>
      </c>
      <c r="V5103" s="71"/>
      <c r="W5103" s="474">
        <v>500000</v>
      </c>
      <c r="X5103" s="71"/>
      <c r="Y5103" s="71"/>
    </row>
    <row r="5104" spans="1:25" ht="30" hidden="1" customHeight="1" x14ac:dyDescent="0.25">
      <c r="A5104" s="1145">
        <v>44740</v>
      </c>
      <c r="B5104" s="664" t="s">
        <v>26</v>
      </c>
      <c r="C5104" s="71" t="s">
        <v>3328</v>
      </c>
      <c r="D5104" s="71">
        <v>5</v>
      </c>
      <c r="E5104" s="102">
        <v>55000</v>
      </c>
      <c r="F5104" s="102">
        <f t="shared" si="2486"/>
        <v>302500</v>
      </c>
      <c r="G5104" s="102">
        <f t="shared" si="2487"/>
        <v>275000</v>
      </c>
      <c r="H5104" s="690" t="s">
        <v>172</v>
      </c>
      <c r="I5104" s="71" t="s">
        <v>3295</v>
      </c>
      <c r="J5104" s="53">
        <f t="shared" si="2499"/>
        <v>75000</v>
      </c>
      <c r="K5104" s="63">
        <f t="shared" si="2502"/>
        <v>0.27272727272727271</v>
      </c>
      <c r="L5104" s="1212" t="s">
        <v>3417</v>
      </c>
      <c r="M5104" s="468"/>
      <c r="N5104" s="1192">
        <f t="shared" si="2503"/>
        <v>44740</v>
      </c>
      <c r="O5104" s="71" t="s">
        <v>152</v>
      </c>
      <c r="P5104" s="103" t="str">
        <f t="shared" si="2507"/>
        <v>아스테이지(CD74용)</v>
      </c>
      <c r="Q5104" s="71">
        <f t="shared" si="2491"/>
        <v>5</v>
      </c>
      <c r="R5104" s="102">
        <v>40000</v>
      </c>
      <c r="S5104" s="102">
        <f t="shared" si="2500"/>
        <v>220000.00000000003</v>
      </c>
      <c r="T5104" s="102">
        <f t="shared" si="2504"/>
        <v>200000</v>
      </c>
      <c r="U5104" s="71" t="str">
        <f t="shared" si="2508"/>
        <v>X</v>
      </c>
      <c r="V5104" s="71"/>
      <c r="W5104" s="474"/>
      <c r="X5104" s="71"/>
      <c r="Y5104" s="71"/>
    </row>
    <row r="5105" spans="1:25" ht="30" hidden="1" customHeight="1" x14ac:dyDescent="0.25">
      <c r="A5105" s="1145">
        <v>44740</v>
      </c>
      <c r="B5105" s="664" t="s">
        <v>26</v>
      </c>
      <c r="C5105" s="71" t="s">
        <v>2087</v>
      </c>
      <c r="D5105" s="71">
        <v>10</v>
      </c>
      <c r="E5105" s="102">
        <v>75000</v>
      </c>
      <c r="F5105" s="102">
        <f t="shared" si="2486"/>
        <v>825000.00000000012</v>
      </c>
      <c r="G5105" s="102">
        <f t="shared" si="2487"/>
        <v>750000</v>
      </c>
      <c r="H5105" s="690" t="s">
        <v>172</v>
      </c>
      <c r="I5105" s="71" t="s">
        <v>3295</v>
      </c>
      <c r="J5105" s="53">
        <f t="shared" si="2499"/>
        <v>250000</v>
      </c>
      <c r="K5105" s="63">
        <f t="shared" si="2502"/>
        <v>0.33333333333333326</v>
      </c>
      <c r="L5105" s="1212" t="s">
        <v>3417</v>
      </c>
      <c r="M5105" s="468"/>
      <c r="N5105" s="1192">
        <f t="shared" si="2503"/>
        <v>44740</v>
      </c>
      <c r="O5105" s="71" t="s">
        <v>152</v>
      </c>
      <c r="P5105" s="103" t="str">
        <f t="shared" si="2507"/>
        <v>아스테이지(국전)</v>
      </c>
      <c r="Q5105" s="71">
        <f t="shared" si="2491"/>
        <v>10</v>
      </c>
      <c r="R5105" s="102">
        <v>50000</v>
      </c>
      <c r="S5105" s="102">
        <f t="shared" si="2500"/>
        <v>550000</v>
      </c>
      <c r="T5105" s="102">
        <f t="shared" si="2504"/>
        <v>500000</v>
      </c>
      <c r="U5105" s="71" t="str">
        <f t="shared" si="2508"/>
        <v>X</v>
      </c>
      <c r="V5105" s="71"/>
      <c r="W5105" s="474">
        <v>150000</v>
      </c>
      <c r="X5105" s="71"/>
      <c r="Y5105" s="71"/>
    </row>
    <row r="5106" spans="1:25" ht="30" hidden="1" customHeight="1" x14ac:dyDescent="0.25">
      <c r="A5106" s="1145">
        <v>44740</v>
      </c>
      <c r="B5106" s="664" t="s">
        <v>1060</v>
      </c>
      <c r="C5106" s="71" t="s">
        <v>3310</v>
      </c>
      <c r="D5106" s="71">
        <v>300</v>
      </c>
      <c r="E5106" s="102">
        <v>6180</v>
      </c>
      <c r="F5106" s="102">
        <f t="shared" si="2486"/>
        <v>2039400.0000000002</v>
      </c>
      <c r="G5106" s="102">
        <f t="shared" si="2487"/>
        <v>1854000</v>
      </c>
      <c r="H5106" s="690" t="s">
        <v>36</v>
      </c>
      <c r="I5106" s="71" t="s">
        <v>2529</v>
      </c>
      <c r="J5106" s="53">
        <f t="shared" si="2499"/>
        <v>309000</v>
      </c>
      <c r="K5106" s="63">
        <f t="shared" si="2502"/>
        <v>0.16666666666666666</v>
      </c>
      <c r="L5106" s="1212" t="s">
        <v>3417</v>
      </c>
      <c r="M5106" s="102">
        <v>4250</v>
      </c>
      <c r="N5106" s="1192">
        <f t="shared" si="2503"/>
        <v>44740</v>
      </c>
      <c r="O5106" s="71" t="s">
        <v>3298</v>
      </c>
      <c r="P5106" s="103" t="str">
        <f t="shared" si="2507"/>
        <v>ENGAGE 1030*790</v>
      </c>
      <c r="Q5106" s="71">
        <f t="shared" si="2491"/>
        <v>300</v>
      </c>
      <c r="R5106" s="102">
        <v>5150</v>
      </c>
      <c r="S5106" s="102">
        <f t="shared" si="2500"/>
        <v>1699500.0000000002</v>
      </c>
      <c r="T5106" s="102">
        <f t="shared" si="2504"/>
        <v>1545000</v>
      </c>
      <c r="U5106" s="71" t="str">
        <f t="shared" si="2508"/>
        <v>O</v>
      </c>
      <c r="V5106" s="71"/>
      <c r="W5106" s="474">
        <f t="shared" ref="W5106:W5128" si="2509">(G5106-T5106)</f>
        <v>309000</v>
      </c>
      <c r="X5106" s="71"/>
      <c r="Y5106" s="71"/>
    </row>
    <row r="5107" spans="1:25" ht="30" hidden="1" customHeight="1" x14ac:dyDescent="0.25">
      <c r="A5107" s="1145">
        <v>44740</v>
      </c>
      <c r="B5107" s="664" t="s">
        <v>2255</v>
      </c>
      <c r="C5107" s="71" t="s">
        <v>3400</v>
      </c>
      <c r="D5107" s="71">
        <v>1600</v>
      </c>
      <c r="E5107" s="102">
        <v>3890</v>
      </c>
      <c r="F5107" s="102">
        <f t="shared" si="2486"/>
        <v>6846400.0000000009</v>
      </c>
      <c r="G5107" s="102">
        <f t="shared" si="2487"/>
        <v>6224000</v>
      </c>
      <c r="H5107" s="690" t="s">
        <v>36</v>
      </c>
      <c r="I5107" s="71" t="s">
        <v>2529</v>
      </c>
      <c r="J5107" s="53">
        <f t="shared" si="2499"/>
        <v>1024000</v>
      </c>
      <c r="K5107" s="63">
        <f t="shared" si="2502"/>
        <v>0.16452442159383032</v>
      </c>
      <c r="L5107" s="1212" t="s">
        <v>3417</v>
      </c>
      <c r="M5107" s="102">
        <v>2680</v>
      </c>
      <c r="N5107" s="1192">
        <f t="shared" si="2503"/>
        <v>44740</v>
      </c>
      <c r="O5107" s="71" t="s">
        <v>3298</v>
      </c>
      <c r="P5107" s="103" t="str">
        <f t="shared" si="2507"/>
        <v>ENGAGE 900X571 - 27RO</v>
      </c>
      <c r="Q5107" s="71">
        <f t="shared" si="2491"/>
        <v>1600</v>
      </c>
      <c r="R5107" s="102">
        <v>3250</v>
      </c>
      <c r="S5107" s="102">
        <f t="shared" si="2500"/>
        <v>5720000</v>
      </c>
      <c r="T5107" s="102">
        <f t="shared" si="2504"/>
        <v>5200000</v>
      </c>
      <c r="U5107" s="71" t="str">
        <f t="shared" si="2508"/>
        <v>O</v>
      </c>
      <c r="V5107" s="71"/>
      <c r="W5107" s="474">
        <f t="shared" si="2509"/>
        <v>1024000</v>
      </c>
      <c r="X5107" s="71"/>
      <c r="Y5107" s="71"/>
    </row>
    <row r="5108" spans="1:25" ht="30" hidden="1" customHeight="1" x14ac:dyDescent="0.25">
      <c r="A5108" s="1145">
        <v>44740</v>
      </c>
      <c r="B5108" s="664" t="s">
        <v>2255</v>
      </c>
      <c r="C5108" s="71" t="s">
        <v>3401</v>
      </c>
      <c r="D5108" s="71"/>
      <c r="E5108" s="102">
        <v>3820</v>
      </c>
      <c r="F5108" s="102">
        <f t="shared" si="2486"/>
        <v>0</v>
      </c>
      <c r="G5108" s="102">
        <f t="shared" si="2487"/>
        <v>0</v>
      </c>
      <c r="H5108" s="690" t="s">
        <v>36</v>
      </c>
      <c r="I5108" s="71" t="s">
        <v>2529</v>
      </c>
      <c r="J5108" s="53">
        <f t="shared" si="2499"/>
        <v>0</v>
      </c>
      <c r="K5108" s="63" t="e">
        <f t="shared" si="2502"/>
        <v>#DIV/0!</v>
      </c>
      <c r="L5108" s="1212" t="s">
        <v>3417</v>
      </c>
      <c r="M5108" s="102">
        <v>2680</v>
      </c>
      <c r="N5108" s="1192">
        <f t="shared" si="2503"/>
        <v>44740</v>
      </c>
      <c r="O5108" s="71" t="s">
        <v>3298</v>
      </c>
      <c r="P5108" s="103" t="str">
        <f t="shared" si="2507"/>
        <v>ENGAGE 900X571 - 27RO*</v>
      </c>
      <c r="Q5108" s="71">
        <f t="shared" si="2491"/>
        <v>0</v>
      </c>
      <c r="R5108" s="102">
        <v>2870</v>
      </c>
      <c r="S5108" s="102">
        <f t="shared" si="2500"/>
        <v>0</v>
      </c>
      <c r="T5108" s="102">
        <f t="shared" si="2504"/>
        <v>0</v>
      </c>
      <c r="U5108" s="71" t="str">
        <f t="shared" si="2508"/>
        <v>O</v>
      </c>
      <c r="V5108" s="71"/>
      <c r="W5108" s="474">
        <f t="shared" si="2509"/>
        <v>0</v>
      </c>
      <c r="X5108" s="71"/>
      <c r="Y5108" s="71"/>
    </row>
    <row r="5109" spans="1:25" ht="30" hidden="1" customHeight="1" x14ac:dyDescent="0.25">
      <c r="A5109" s="1145">
        <v>44740</v>
      </c>
      <c r="B5109" s="664" t="s">
        <v>2255</v>
      </c>
      <c r="C5109" s="71" t="s">
        <v>3402</v>
      </c>
      <c r="D5109" s="71">
        <v>1000</v>
      </c>
      <c r="E5109" s="102">
        <v>3710</v>
      </c>
      <c r="F5109" s="102">
        <f t="shared" si="2486"/>
        <v>4081000.0000000005</v>
      </c>
      <c r="G5109" s="102">
        <f t="shared" si="2487"/>
        <v>3710000</v>
      </c>
      <c r="H5109" s="690" t="s">
        <v>36</v>
      </c>
      <c r="I5109" s="71" t="s">
        <v>2529</v>
      </c>
      <c r="J5109" s="53">
        <f t="shared" si="2499"/>
        <v>630000</v>
      </c>
      <c r="K5109" s="63">
        <f t="shared" si="2502"/>
        <v>0.16981132075471697</v>
      </c>
      <c r="L5109" s="1212" t="s">
        <v>3417</v>
      </c>
      <c r="M5109" s="102">
        <v>2540</v>
      </c>
      <c r="N5109" s="1192">
        <f t="shared" si="2503"/>
        <v>44740</v>
      </c>
      <c r="O5109" s="71" t="s">
        <v>3298</v>
      </c>
      <c r="P5109" s="103" t="str">
        <f t="shared" si="2507"/>
        <v>ENGAGE 30WEB(883*552)</v>
      </c>
      <c r="Q5109" s="71">
        <f t="shared" si="2491"/>
        <v>1000</v>
      </c>
      <c r="R5109" s="102">
        <v>3080</v>
      </c>
      <c r="S5109" s="102">
        <f t="shared" si="2500"/>
        <v>3388000.0000000005</v>
      </c>
      <c r="T5109" s="102">
        <f t="shared" si="2504"/>
        <v>3080000</v>
      </c>
      <c r="U5109" s="71" t="str">
        <f t="shared" si="2508"/>
        <v>O</v>
      </c>
      <c r="V5109" s="71"/>
      <c r="W5109" s="474">
        <f t="shared" si="2509"/>
        <v>630000</v>
      </c>
      <c r="X5109" s="71"/>
      <c r="Y5109" s="71"/>
    </row>
    <row r="5110" spans="1:25" ht="30" hidden="1" customHeight="1" x14ac:dyDescent="0.25">
      <c r="A5110" s="1145">
        <v>44740</v>
      </c>
      <c r="B5110" s="664" t="s">
        <v>2255</v>
      </c>
      <c r="C5110" s="71" t="s">
        <v>3403</v>
      </c>
      <c r="D5110" s="71"/>
      <c r="E5110" s="102">
        <v>3640</v>
      </c>
      <c r="F5110" s="102">
        <f t="shared" si="2486"/>
        <v>0</v>
      </c>
      <c r="G5110" s="102">
        <f t="shared" si="2487"/>
        <v>0</v>
      </c>
      <c r="H5110" s="690" t="s">
        <v>36</v>
      </c>
      <c r="I5110" s="71" t="s">
        <v>2529</v>
      </c>
      <c r="J5110" s="53">
        <f t="shared" si="2499"/>
        <v>0</v>
      </c>
      <c r="K5110" s="63" t="e">
        <f t="shared" si="2502"/>
        <v>#DIV/0!</v>
      </c>
      <c r="L5110" s="1212" t="s">
        <v>3417</v>
      </c>
      <c r="M5110" s="102">
        <v>2540</v>
      </c>
      <c r="N5110" s="1192">
        <f t="shared" si="2503"/>
        <v>44740</v>
      </c>
      <c r="O5110" s="71" t="s">
        <v>3298</v>
      </c>
      <c r="P5110" s="103" t="str">
        <f t="shared" si="2507"/>
        <v>ENGAGE 30WEB(883*552)*</v>
      </c>
      <c r="Q5110" s="71">
        <f t="shared" si="2491"/>
        <v>0</v>
      </c>
      <c r="R5110" s="102">
        <v>3080</v>
      </c>
      <c r="S5110" s="102">
        <f t="shared" si="2500"/>
        <v>0</v>
      </c>
      <c r="T5110" s="102">
        <f t="shared" si="2504"/>
        <v>0</v>
      </c>
      <c r="U5110" s="71" t="str">
        <f t="shared" si="2508"/>
        <v>O</v>
      </c>
      <c r="V5110" s="71"/>
      <c r="W5110" s="474">
        <f t="shared" si="2509"/>
        <v>0</v>
      </c>
      <c r="X5110" s="71"/>
      <c r="Y5110" s="71"/>
    </row>
    <row r="5111" spans="1:25" ht="30" hidden="1" customHeight="1" x14ac:dyDescent="0.25">
      <c r="A5111" s="1145">
        <v>44740</v>
      </c>
      <c r="B5111" s="664" t="s">
        <v>2255</v>
      </c>
      <c r="C5111" s="71" t="s">
        <v>3313</v>
      </c>
      <c r="D5111" s="71">
        <v>1300</v>
      </c>
      <c r="E5111" s="102">
        <v>6260</v>
      </c>
      <c r="F5111" s="102">
        <f t="shared" si="2486"/>
        <v>8951800</v>
      </c>
      <c r="G5111" s="102">
        <f t="shared" si="2487"/>
        <v>8138000</v>
      </c>
      <c r="H5111" s="690" t="s">
        <v>36</v>
      </c>
      <c r="I5111" s="71" t="s">
        <v>2529</v>
      </c>
      <c r="J5111" s="53">
        <f t="shared" si="2499"/>
        <v>1352000</v>
      </c>
      <c r="K5111" s="63">
        <f t="shared" si="2502"/>
        <v>0.16613418530351437</v>
      </c>
      <c r="L5111" s="1212" t="s">
        <v>3417</v>
      </c>
      <c r="M5111" s="102">
        <v>4300</v>
      </c>
      <c r="N5111" s="1192">
        <f t="shared" si="2503"/>
        <v>44740</v>
      </c>
      <c r="O5111" s="71" t="s">
        <v>3298</v>
      </c>
      <c r="P5111" s="103" t="str">
        <f t="shared" si="2507"/>
        <v>ENGAGE 1030*800</v>
      </c>
      <c r="Q5111" s="71">
        <f t="shared" si="2491"/>
        <v>1300</v>
      </c>
      <c r="R5111" s="102">
        <v>5220</v>
      </c>
      <c r="S5111" s="102">
        <f t="shared" si="2500"/>
        <v>7464600.0000000009</v>
      </c>
      <c r="T5111" s="102">
        <f t="shared" si="2504"/>
        <v>6786000</v>
      </c>
      <c r="U5111" s="71" t="str">
        <f t="shared" si="2508"/>
        <v>O</v>
      </c>
      <c r="V5111" s="71"/>
      <c r="W5111" s="474">
        <f t="shared" si="2509"/>
        <v>1352000</v>
      </c>
      <c r="X5111" s="71"/>
      <c r="Y5111" s="71"/>
    </row>
    <row r="5112" spans="1:25" ht="30" hidden="1" customHeight="1" x14ac:dyDescent="0.25">
      <c r="A5112" s="1145">
        <v>44740</v>
      </c>
      <c r="B5112" s="664" t="s">
        <v>2255</v>
      </c>
      <c r="C5112" s="71" t="s">
        <v>3314</v>
      </c>
      <c r="D5112" s="71">
        <v>1100</v>
      </c>
      <c r="E5112" s="102">
        <v>6490</v>
      </c>
      <c r="F5112" s="102">
        <f t="shared" si="2486"/>
        <v>7852900.0000000009</v>
      </c>
      <c r="G5112" s="102">
        <f t="shared" si="2487"/>
        <v>7139000</v>
      </c>
      <c r="H5112" s="690" t="s">
        <v>36</v>
      </c>
      <c r="I5112" s="71" t="s">
        <v>2529</v>
      </c>
      <c r="J5112" s="53">
        <f t="shared" si="2499"/>
        <v>1177000</v>
      </c>
      <c r="K5112" s="63">
        <f t="shared" si="2502"/>
        <v>0.1648690292758089</v>
      </c>
      <c r="L5112" s="1212" t="s">
        <v>3417</v>
      </c>
      <c r="M5112" s="102">
        <v>4470</v>
      </c>
      <c r="N5112" s="1192">
        <f t="shared" si="2503"/>
        <v>44740</v>
      </c>
      <c r="O5112" s="71" t="s">
        <v>3298</v>
      </c>
      <c r="P5112" s="103" t="str">
        <f t="shared" si="2507"/>
        <v>ENGAGE 1055*811</v>
      </c>
      <c r="Q5112" s="71">
        <f t="shared" si="2491"/>
        <v>1100</v>
      </c>
      <c r="R5112" s="102">
        <v>5420</v>
      </c>
      <c r="S5112" s="102">
        <f t="shared" si="2500"/>
        <v>6558200.0000000009</v>
      </c>
      <c r="T5112" s="102">
        <f t="shared" si="2504"/>
        <v>5962000</v>
      </c>
      <c r="U5112" s="71" t="str">
        <f t="shared" si="2508"/>
        <v>O</v>
      </c>
      <c r="V5112" s="71"/>
      <c r="W5112" s="474">
        <f t="shared" si="2509"/>
        <v>1177000</v>
      </c>
      <c r="X5112" s="71"/>
      <c r="Y5112" s="71"/>
    </row>
    <row r="5113" spans="1:25" ht="30" hidden="1" customHeight="1" x14ac:dyDescent="0.25">
      <c r="A5113" s="1145">
        <v>44740</v>
      </c>
      <c r="B5113" s="664" t="s">
        <v>2255</v>
      </c>
      <c r="C5113" s="71" t="s">
        <v>3404</v>
      </c>
      <c r="D5113" s="71"/>
      <c r="E5113" s="102">
        <v>6370</v>
      </c>
      <c r="F5113" s="102">
        <f t="shared" si="2486"/>
        <v>0</v>
      </c>
      <c r="G5113" s="102">
        <f t="shared" si="2487"/>
        <v>0</v>
      </c>
      <c r="H5113" s="690" t="s">
        <v>36</v>
      </c>
      <c r="I5113" s="71" t="s">
        <v>2529</v>
      </c>
      <c r="J5113" s="53">
        <f t="shared" si="2499"/>
        <v>0</v>
      </c>
      <c r="K5113" s="63" t="e">
        <f t="shared" si="2502"/>
        <v>#DIV/0!</v>
      </c>
      <c r="L5113" s="1212" t="s">
        <v>3417</v>
      </c>
      <c r="M5113" s="102">
        <v>4470</v>
      </c>
      <c r="N5113" s="1192">
        <f t="shared" si="2503"/>
        <v>44740</v>
      </c>
      <c r="O5113" s="71" t="s">
        <v>3298</v>
      </c>
      <c r="P5113" s="103" t="str">
        <f t="shared" si="2507"/>
        <v>ENGAGE 1055*811*</v>
      </c>
      <c r="Q5113" s="71">
        <f t="shared" si="2491"/>
        <v>0</v>
      </c>
      <c r="R5113" s="102">
        <v>5420</v>
      </c>
      <c r="S5113" s="102">
        <f t="shared" si="2500"/>
        <v>0</v>
      </c>
      <c r="T5113" s="102">
        <f t="shared" si="2504"/>
        <v>0</v>
      </c>
      <c r="U5113" s="71" t="str">
        <f t="shared" si="2508"/>
        <v>O</v>
      </c>
      <c r="V5113" s="71"/>
      <c r="W5113" s="474">
        <f t="shared" si="2509"/>
        <v>0</v>
      </c>
      <c r="X5113" s="71"/>
      <c r="Y5113" s="71"/>
    </row>
    <row r="5114" spans="1:25" ht="30" hidden="1" customHeight="1" x14ac:dyDescent="0.25">
      <c r="A5114" s="1145">
        <v>44740</v>
      </c>
      <c r="B5114" s="664" t="s">
        <v>2255</v>
      </c>
      <c r="C5114" s="71" t="s">
        <v>3315</v>
      </c>
      <c r="D5114" s="71">
        <v>500</v>
      </c>
      <c r="E5114" s="102">
        <v>4640</v>
      </c>
      <c r="F5114" s="102">
        <f t="shared" si="2486"/>
        <v>2552000</v>
      </c>
      <c r="G5114" s="102">
        <f t="shared" si="2487"/>
        <v>2320000</v>
      </c>
      <c r="H5114" s="690" t="s">
        <v>36</v>
      </c>
      <c r="I5114" s="71" t="s">
        <v>2529</v>
      </c>
      <c r="J5114" s="53">
        <f t="shared" si="2499"/>
        <v>385000</v>
      </c>
      <c r="K5114" s="63">
        <f t="shared" si="2502"/>
        <v>0.16594827586206898</v>
      </c>
      <c r="L5114" s="1212" t="s">
        <v>3417</v>
      </c>
      <c r="M5114" s="102">
        <v>3190</v>
      </c>
      <c r="N5114" s="1192">
        <f t="shared" si="2503"/>
        <v>44740</v>
      </c>
      <c r="O5114" s="71" t="s">
        <v>3298</v>
      </c>
      <c r="P5114" s="103" t="str">
        <f t="shared" si="2507"/>
        <v>ENGAGE 968*631</v>
      </c>
      <c r="Q5114" s="71">
        <f t="shared" si="2491"/>
        <v>500</v>
      </c>
      <c r="R5114" s="102">
        <v>3870</v>
      </c>
      <c r="S5114" s="102">
        <f t="shared" si="2500"/>
        <v>2128500</v>
      </c>
      <c r="T5114" s="102">
        <f t="shared" si="2504"/>
        <v>1935000</v>
      </c>
      <c r="U5114" s="71" t="str">
        <f t="shared" si="2508"/>
        <v>O</v>
      </c>
      <c r="V5114" s="71"/>
      <c r="W5114" s="474">
        <f t="shared" si="2509"/>
        <v>385000</v>
      </c>
      <c r="X5114" s="71"/>
      <c r="Y5114" s="71"/>
    </row>
    <row r="5115" spans="1:25" ht="30" hidden="1" customHeight="1" x14ac:dyDescent="0.25">
      <c r="A5115" s="1145">
        <v>44740</v>
      </c>
      <c r="B5115" s="664" t="s">
        <v>2255</v>
      </c>
      <c r="C5115" s="71" t="s">
        <v>3316</v>
      </c>
      <c r="D5115" s="71"/>
      <c r="E5115" s="102"/>
      <c r="F5115" s="102">
        <f t="shared" si="2486"/>
        <v>0</v>
      </c>
      <c r="G5115" s="102">
        <f t="shared" si="2487"/>
        <v>0</v>
      </c>
      <c r="H5115" s="690" t="s">
        <v>36</v>
      </c>
      <c r="I5115" s="71" t="s">
        <v>2529</v>
      </c>
      <c r="J5115" s="53">
        <f t="shared" si="2499"/>
        <v>0</v>
      </c>
      <c r="K5115" s="63" t="e">
        <f t="shared" si="2502"/>
        <v>#DIV/0!</v>
      </c>
      <c r="L5115" s="1212" t="s">
        <v>3417</v>
      </c>
      <c r="M5115" s="102">
        <v>5510</v>
      </c>
      <c r="N5115" s="1192">
        <f t="shared" si="2503"/>
        <v>44740</v>
      </c>
      <c r="O5115" s="71" t="s">
        <v>3298</v>
      </c>
      <c r="P5115" s="103" t="str">
        <f t="shared" si="2507"/>
        <v>ENGAGE 1092*800</v>
      </c>
      <c r="Q5115" s="71">
        <f t="shared" si="2491"/>
        <v>0</v>
      </c>
      <c r="R5115" s="102">
        <f>(M5115*1.07)</f>
        <v>5895.7000000000007</v>
      </c>
      <c r="S5115" s="102">
        <f t="shared" si="2500"/>
        <v>0</v>
      </c>
      <c r="T5115" s="102">
        <f t="shared" si="2504"/>
        <v>0</v>
      </c>
      <c r="U5115" s="71" t="str">
        <f t="shared" si="2508"/>
        <v>O</v>
      </c>
      <c r="V5115" s="71"/>
      <c r="W5115" s="474">
        <f t="shared" si="2509"/>
        <v>0</v>
      </c>
      <c r="X5115" s="71"/>
      <c r="Y5115" s="71"/>
    </row>
    <row r="5116" spans="1:25" ht="30" hidden="1" customHeight="1" x14ac:dyDescent="0.25">
      <c r="A5116" s="1145">
        <v>44740</v>
      </c>
      <c r="B5116" s="664" t="s">
        <v>2255</v>
      </c>
      <c r="C5116" s="71" t="s">
        <v>3396</v>
      </c>
      <c r="D5116" s="71"/>
      <c r="E5116" s="102">
        <v>56000</v>
      </c>
      <c r="F5116" s="102">
        <f t="shared" si="2486"/>
        <v>0</v>
      </c>
      <c r="G5116" s="102">
        <f t="shared" si="2487"/>
        <v>0</v>
      </c>
      <c r="H5116" s="690" t="s">
        <v>36</v>
      </c>
      <c r="I5116" s="71" t="s">
        <v>2529</v>
      </c>
      <c r="J5116" s="53">
        <f t="shared" si="2499"/>
        <v>0</v>
      </c>
      <c r="K5116" s="63" t="e">
        <f t="shared" si="2502"/>
        <v>#DIV/0!</v>
      </c>
      <c r="L5116" s="1212" t="s">
        <v>3417</v>
      </c>
      <c r="M5116" s="468"/>
      <c r="N5116" s="1192">
        <f t="shared" si="2503"/>
        <v>44740</v>
      </c>
      <c r="O5116" s="71" t="s">
        <v>3298</v>
      </c>
      <c r="P5116" s="103" t="str">
        <f t="shared" si="2507"/>
        <v>THR200(20L)보충액*</v>
      </c>
      <c r="Q5116" s="71">
        <f t="shared" si="2491"/>
        <v>0</v>
      </c>
      <c r="R5116" s="102">
        <v>43068</v>
      </c>
      <c r="S5116" s="102">
        <f t="shared" si="2500"/>
        <v>0</v>
      </c>
      <c r="T5116" s="102">
        <f t="shared" si="2504"/>
        <v>0</v>
      </c>
      <c r="U5116" s="71" t="str">
        <f t="shared" si="2508"/>
        <v>O</v>
      </c>
      <c r="V5116" s="71"/>
      <c r="W5116" s="474">
        <f t="shared" si="2509"/>
        <v>0</v>
      </c>
      <c r="X5116" s="71"/>
      <c r="Y5116" s="71"/>
    </row>
    <row r="5117" spans="1:25" ht="30" hidden="1" customHeight="1" x14ac:dyDescent="0.25">
      <c r="A5117" s="1145">
        <v>44740</v>
      </c>
      <c r="B5117" s="664" t="s">
        <v>2255</v>
      </c>
      <c r="C5117" s="71" t="s">
        <v>1386</v>
      </c>
      <c r="D5117" s="71">
        <v>35</v>
      </c>
      <c r="E5117" s="102">
        <v>57000</v>
      </c>
      <c r="F5117" s="102">
        <f t="shared" si="2486"/>
        <v>2194500</v>
      </c>
      <c r="G5117" s="102">
        <f t="shared" si="2487"/>
        <v>1995000</v>
      </c>
      <c r="H5117" s="690" t="s">
        <v>179</v>
      </c>
      <c r="I5117" s="71" t="s">
        <v>3405</v>
      </c>
      <c r="J5117" s="53">
        <f t="shared" si="2499"/>
        <v>586250</v>
      </c>
      <c r="K5117" s="63">
        <f t="shared" si="2502"/>
        <v>0.29385964912280704</v>
      </c>
      <c r="L5117" s="1212" t="s">
        <v>3417</v>
      </c>
      <c r="M5117" s="468"/>
      <c r="N5117" s="1192">
        <f t="shared" si="2503"/>
        <v>44740</v>
      </c>
      <c r="O5117" s="71" t="s">
        <v>194</v>
      </c>
      <c r="P5117" s="164" t="str">
        <f t="shared" si="2507"/>
        <v>THR200(20L)보충액</v>
      </c>
      <c r="Q5117" s="71">
        <f t="shared" si="2491"/>
        <v>35</v>
      </c>
      <c r="R5117" s="102">
        <v>40250</v>
      </c>
      <c r="S5117" s="102">
        <f t="shared" si="2500"/>
        <v>1549625.0000000002</v>
      </c>
      <c r="T5117" s="102">
        <f t="shared" si="2504"/>
        <v>1408750</v>
      </c>
      <c r="U5117" s="71" t="str">
        <f t="shared" si="2508"/>
        <v>O</v>
      </c>
      <c r="V5117" s="71"/>
      <c r="W5117" s="474">
        <f t="shared" si="2509"/>
        <v>586250</v>
      </c>
      <c r="X5117" s="71"/>
      <c r="Y5117" s="71"/>
    </row>
    <row r="5118" spans="1:25" ht="30" hidden="1" customHeight="1" x14ac:dyDescent="0.25">
      <c r="A5118" s="1145">
        <v>44740</v>
      </c>
      <c r="B5118" s="664" t="s">
        <v>2255</v>
      </c>
      <c r="C5118" s="71" t="s">
        <v>3318</v>
      </c>
      <c r="D5118" s="71"/>
      <c r="E5118" s="102">
        <v>55000</v>
      </c>
      <c r="F5118" s="102">
        <f t="shared" si="2486"/>
        <v>0</v>
      </c>
      <c r="G5118" s="102">
        <f t="shared" si="2487"/>
        <v>0</v>
      </c>
      <c r="H5118" s="690" t="s">
        <v>36</v>
      </c>
      <c r="I5118" s="71" t="s">
        <v>2529</v>
      </c>
      <c r="J5118" s="53">
        <f t="shared" si="2499"/>
        <v>0</v>
      </c>
      <c r="K5118" s="63" t="e">
        <f t="shared" si="2502"/>
        <v>#DIV/0!</v>
      </c>
      <c r="L5118" s="1212" t="s">
        <v>3417</v>
      </c>
      <c r="M5118" s="468"/>
      <c r="N5118" s="1192">
        <f t="shared" si="2503"/>
        <v>44740</v>
      </c>
      <c r="O5118" s="71" t="s">
        <v>3298</v>
      </c>
      <c r="P5118" s="103" t="str">
        <f t="shared" si="2507"/>
        <v>THD200(20L)현상액</v>
      </c>
      <c r="Q5118" s="71">
        <f t="shared" si="2491"/>
        <v>0</v>
      </c>
      <c r="R5118" s="102">
        <v>40250</v>
      </c>
      <c r="S5118" s="102">
        <f t="shared" si="2500"/>
        <v>0</v>
      </c>
      <c r="T5118" s="102">
        <f t="shared" si="2504"/>
        <v>0</v>
      </c>
      <c r="U5118" s="71" t="str">
        <f t="shared" si="2508"/>
        <v>O</v>
      </c>
      <c r="V5118" s="71"/>
      <c r="W5118" s="474">
        <f t="shared" si="2509"/>
        <v>0</v>
      </c>
      <c r="X5118" s="71"/>
      <c r="Y5118" s="71"/>
    </row>
    <row r="5119" spans="1:25" ht="30" hidden="1" customHeight="1" x14ac:dyDescent="0.25">
      <c r="A5119" s="1145">
        <v>44740</v>
      </c>
      <c r="B5119" s="664" t="s">
        <v>2254</v>
      </c>
      <c r="C5119" s="71" t="s">
        <v>3319</v>
      </c>
      <c r="D5119" s="71">
        <v>400</v>
      </c>
      <c r="E5119" s="102">
        <v>5600</v>
      </c>
      <c r="F5119" s="102">
        <f t="shared" si="2486"/>
        <v>2464000</v>
      </c>
      <c r="G5119" s="102">
        <f t="shared" si="2487"/>
        <v>2240000</v>
      </c>
      <c r="H5119" s="690" t="s">
        <v>36</v>
      </c>
      <c r="I5119" s="71" t="s">
        <v>3320</v>
      </c>
      <c r="J5119" s="53">
        <f t="shared" si="2499"/>
        <v>120000</v>
      </c>
      <c r="K5119" s="63">
        <f t="shared" si="2502"/>
        <v>5.3571428571428568E-2</v>
      </c>
      <c r="L5119" s="1212" t="s">
        <v>3417</v>
      </c>
      <c r="M5119" s="468"/>
      <c r="N5119" s="1192">
        <f t="shared" si="2503"/>
        <v>44740</v>
      </c>
      <c r="O5119" s="71" t="s">
        <v>146</v>
      </c>
      <c r="P5119" s="103" t="str">
        <f t="shared" si="2507"/>
        <v>프리미어(먹)</v>
      </c>
      <c r="Q5119" s="71">
        <f t="shared" si="2491"/>
        <v>400</v>
      </c>
      <c r="R5119" s="102">
        <v>5300</v>
      </c>
      <c r="S5119" s="102">
        <f t="shared" si="2500"/>
        <v>2332000</v>
      </c>
      <c r="T5119" s="102">
        <f t="shared" si="2504"/>
        <v>2120000</v>
      </c>
      <c r="U5119" s="71" t="str">
        <f t="shared" si="2508"/>
        <v>O</v>
      </c>
      <c r="V5119" s="71"/>
      <c r="W5119" s="474">
        <f t="shared" si="2509"/>
        <v>120000</v>
      </c>
      <c r="X5119" s="71"/>
      <c r="Y5119" s="71"/>
    </row>
    <row r="5120" spans="1:25" ht="30" hidden="1" customHeight="1" x14ac:dyDescent="0.25">
      <c r="A5120" s="1145">
        <v>44740</v>
      </c>
      <c r="B5120" s="664" t="s">
        <v>2254</v>
      </c>
      <c r="C5120" s="71" t="s">
        <v>3321</v>
      </c>
      <c r="D5120" s="71">
        <v>400</v>
      </c>
      <c r="E5120" s="102">
        <v>6000</v>
      </c>
      <c r="F5120" s="102">
        <f t="shared" si="2486"/>
        <v>2640000</v>
      </c>
      <c r="G5120" s="102">
        <f t="shared" si="2487"/>
        <v>2400000</v>
      </c>
      <c r="H5120" s="690" t="s">
        <v>36</v>
      </c>
      <c r="I5120" s="71" t="s">
        <v>3320</v>
      </c>
      <c r="J5120" s="53">
        <f t="shared" si="2499"/>
        <v>-20000</v>
      </c>
      <c r="K5120" s="63">
        <f t="shared" si="2502"/>
        <v>-8.3333333333333332E-3</v>
      </c>
      <c r="L5120" s="1212" t="s">
        <v>3417</v>
      </c>
      <c r="M5120" s="468"/>
      <c r="N5120" s="1192">
        <f t="shared" si="2503"/>
        <v>44740</v>
      </c>
      <c r="O5120" s="71" t="s">
        <v>146</v>
      </c>
      <c r="P5120" s="103" t="str">
        <f t="shared" si="2507"/>
        <v>프리미어(적)</v>
      </c>
      <c r="Q5120" s="71">
        <f t="shared" si="2491"/>
        <v>400</v>
      </c>
      <c r="R5120" s="102">
        <v>6050</v>
      </c>
      <c r="S5120" s="102">
        <f t="shared" ref="S5120:S5148" si="2510">R5120*Q5120*1.1</f>
        <v>2662000</v>
      </c>
      <c r="T5120" s="102">
        <f t="shared" si="2504"/>
        <v>2420000</v>
      </c>
      <c r="U5120" s="71" t="str">
        <f t="shared" si="2508"/>
        <v>O</v>
      </c>
      <c r="V5120" s="71"/>
      <c r="W5120" s="474">
        <f t="shared" si="2509"/>
        <v>-20000</v>
      </c>
      <c r="X5120" s="71"/>
      <c r="Y5120" s="71"/>
    </row>
    <row r="5121" spans="1:25" ht="30" hidden="1" customHeight="1" x14ac:dyDescent="0.25">
      <c r="A5121" s="1145">
        <v>44740</v>
      </c>
      <c r="B5121" s="664" t="s">
        <v>2254</v>
      </c>
      <c r="C5121" s="71" t="s">
        <v>1289</v>
      </c>
      <c r="D5121" s="71">
        <v>800</v>
      </c>
      <c r="E5121" s="102">
        <v>5750</v>
      </c>
      <c r="F5121" s="102">
        <f t="shared" si="2486"/>
        <v>5060000</v>
      </c>
      <c r="G5121" s="102">
        <f t="shared" si="2487"/>
        <v>4600000</v>
      </c>
      <c r="H5121" s="690" t="s">
        <v>36</v>
      </c>
      <c r="I5121" s="71" t="s">
        <v>3320</v>
      </c>
      <c r="J5121" s="53">
        <f t="shared" si="2499"/>
        <v>256000</v>
      </c>
      <c r="K5121" s="63">
        <f t="shared" si="2502"/>
        <v>5.565217391304348E-2</v>
      </c>
      <c r="L5121" s="1212" t="s">
        <v>3417</v>
      </c>
      <c r="M5121" s="468"/>
      <c r="N5121" s="1192">
        <f t="shared" si="2503"/>
        <v>44740</v>
      </c>
      <c r="O5121" s="71" t="s">
        <v>146</v>
      </c>
      <c r="P5121" s="103" t="str">
        <f t="shared" si="2507"/>
        <v>프리미어(황)</v>
      </c>
      <c r="Q5121" s="71">
        <f t="shared" si="2491"/>
        <v>800</v>
      </c>
      <c r="R5121" s="102">
        <v>5430</v>
      </c>
      <c r="S5121" s="102">
        <f t="shared" si="2510"/>
        <v>4778400</v>
      </c>
      <c r="T5121" s="102">
        <f t="shared" si="2504"/>
        <v>4344000</v>
      </c>
      <c r="U5121" s="71" t="str">
        <f t="shared" si="2508"/>
        <v>O</v>
      </c>
      <c r="V5121" s="71"/>
      <c r="W5121" s="474">
        <f t="shared" si="2509"/>
        <v>256000</v>
      </c>
      <c r="X5121" s="71"/>
      <c r="Y5121" s="71"/>
    </row>
    <row r="5122" spans="1:25" ht="30" hidden="1" customHeight="1" x14ac:dyDescent="0.25">
      <c r="A5122" s="1145">
        <v>44740</v>
      </c>
      <c r="B5122" s="664" t="s">
        <v>2254</v>
      </c>
      <c r="C5122" s="71" t="s">
        <v>1290</v>
      </c>
      <c r="D5122" s="71">
        <v>600</v>
      </c>
      <c r="E5122" s="102">
        <v>7000</v>
      </c>
      <c r="F5122" s="102">
        <f t="shared" si="2486"/>
        <v>4620000</v>
      </c>
      <c r="G5122" s="102">
        <f t="shared" si="2487"/>
        <v>4200000</v>
      </c>
      <c r="H5122" s="690" t="s">
        <v>36</v>
      </c>
      <c r="I5122" s="71" t="s">
        <v>3320</v>
      </c>
      <c r="J5122" s="53">
        <f t="shared" si="2499"/>
        <v>300000</v>
      </c>
      <c r="K5122" s="63">
        <f t="shared" si="2502"/>
        <v>7.1428571428571425E-2</v>
      </c>
      <c r="L5122" s="1212" t="s">
        <v>3417</v>
      </c>
      <c r="M5122" s="468"/>
      <c r="N5122" s="1192">
        <f t="shared" si="2503"/>
        <v>44740</v>
      </c>
      <c r="O5122" s="71" t="s">
        <v>146</v>
      </c>
      <c r="P5122" s="103" t="str">
        <f t="shared" si="2507"/>
        <v>프리미어(청)</v>
      </c>
      <c r="Q5122" s="71">
        <f t="shared" si="2491"/>
        <v>600</v>
      </c>
      <c r="R5122" s="102">
        <v>6500</v>
      </c>
      <c r="S5122" s="102">
        <f t="shared" si="2510"/>
        <v>4290000</v>
      </c>
      <c r="T5122" s="102">
        <f t="shared" si="2504"/>
        <v>3900000</v>
      </c>
      <c r="U5122" s="71" t="str">
        <f t="shared" si="2508"/>
        <v>O</v>
      </c>
      <c r="V5122" s="71"/>
      <c r="W5122" s="474">
        <f t="shared" si="2509"/>
        <v>300000</v>
      </c>
      <c r="X5122" s="71"/>
      <c r="Y5122" s="71"/>
    </row>
    <row r="5123" spans="1:25" ht="30" hidden="1" customHeight="1" x14ac:dyDescent="0.25">
      <c r="A5123" s="1145">
        <v>44740</v>
      </c>
      <c r="B5123" s="664" t="s">
        <v>2254</v>
      </c>
      <c r="C5123" s="71" t="s">
        <v>3322</v>
      </c>
      <c r="D5123" s="71">
        <v>0</v>
      </c>
      <c r="E5123" s="102">
        <v>6200</v>
      </c>
      <c r="F5123" s="102">
        <f t="shared" si="2486"/>
        <v>0</v>
      </c>
      <c r="G5123" s="102">
        <f t="shared" si="2487"/>
        <v>0</v>
      </c>
      <c r="H5123" s="690" t="s">
        <v>36</v>
      </c>
      <c r="I5123" s="71" t="s">
        <v>3320</v>
      </c>
      <c r="J5123" s="53">
        <f t="shared" si="2499"/>
        <v>0</v>
      </c>
      <c r="K5123" s="63" t="e">
        <f t="shared" si="2502"/>
        <v>#DIV/0!</v>
      </c>
      <c r="L5123" s="1212" t="s">
        <v>3417</v>
      </c>
      <c r="M5123" s="468"/>
      <c r="N5123" s="1192">
        <f t="shared" si="2503"/>
        <v>44740</v>
      </c>
      <c r="O5123" s="71" t="s">
        <v>3323</v>
      </c>
      <c r="P5123" s="103" t="str">
        <f t="shared" si="2507"/>
        <v>한특 잉크(적)</v>
      </c>
      <c r="Q5123" s="71">
        <f t="shared" si="2491"/>
        <v>0</v>
      </c>
      <c r="R5123" s="102">
        <v>5900</v>
      </c>
      <c r="S5123" s="102">
        <f t="shared" si="2510"/>
        <v>0</v>
      </c>
      <c r="T5123" s="102">
        <f t="shared" si="2504"/>
        <v>0</v>
      </c>
      <c r="U5123" s="71" t="str">
        <f t="shared" si="2508"/>
        <v>O</v>
      </c>
      <c r="V5123" s="71"/>
      <c r="W5123" s="474">
        <f t="shared" si="2509"/>
        <v>0</v>
      </c>
      <c r="X5123" s="71"/>
      <c r="Y5123" s="71"/>
    </row>
    <row r="5124" spans="1:25" ht="30" hidden="1" customHeight="1" x14ac:dyDescent="0.25">
      <c r="A5124" s="1145">
        <v>44740</v>
      </c>
      <c r="B5124" s="664" t="s">
        <v>2254</v>
      </c>
      <c r="C5124" s="71" t="s">
        <v>3324</v>
      </c>
      <c r="D5124" s="71">
        <v>0</v>
      </c>
      <c r="E5124" s="102">
        <v>6000</v>
      </c>
      <c r="F5124" s="102">
        <f t="shared" si="2486"/>
        <v>0</v>
      </c>
      <c r="G5124" s="102">
        <f t="shared" si="2487"/>
        <v>0</v>
      </c>
      <c r="H5124" s="690" t="s">
        <v>36</v>
      </c>
      <c r="I5124" s="71" t="s">
        <v>3320</v>
      </c>
      <c r="J5124" s="53">
        <f t="shared" si="2499"/>
        <v>0</v>
      </c>
      <c r="K5124" s="63" t="e">
        <f t="shared" si="2502"/>
        <v>#DIV/0!</v>
      </c>
      <c r="L5124" s="1212" t="s">
        <v>3417</v>
      </c>
      <c r="M5124" s="468"/>
      <c r="N5124" s="1192">
        <f t="shared" si="2503"/>
        <v>44740</v>
      </c>
      <c r="O5124" s="71" t="s">
        <v>3323</v>
      </c>
      <c r="P5124" s="103" t="str">
        <f t="shared" si="2507"/>
        <v>한특 잉크(황)</v>
      </c>
      <c r="Q5124" s="71">
        <f t="shared" si="2491"/>
        <v>0</v>
      </c>
      <c r="R5124" s="102">
        <v>5500</v>
      </c>
      <c r="S5124" s="102">
        <f t="shared" si="2510"/>
        <v>0</v>
      </c>
      <c r="T5124" s="102">
        <f t="shared" si="2504"/>
        <v>0</v>
      </c>
      <c r="U5124" s="71" t="str">
        <f t="shared" si="2508"/>
        <v>O</v>
      </c>
      <c r="V5124" s="71"/>
      <c r="W5124" s="474">
        <f t="shared" si="2509"/>
        <v>0</v>
      </c>
      <c r="X5124" s="71"/>
      <c r="Y5124" s="71"/>
    </row>
    <row r="5125" spans="1:25" ht="30" hidden="1" customHeight="1" x14ac:dyDescent="0.25">
      <c r="A5125" s="1145">
        <v>44740</v>
      </c>
      <c r="B5125" s="664" t="s">
        <v>575</v>
      </c>
      <c r="C5125" s="71" t="s">
        <v>3544</v>
      </c>
      <c r="D5125" s="71">
        <v>2</v>
      </c>
      <c r="E5125" s="102">
        <v>430000</v>
      </c>
      <c r="F5125" s="102">
        <f t="shared" si="2486"/>
        <v>946000.00000000012</v>
      </c>
      <c r="G5125" s="102">
        <f t="shared" si="2487"/>
        <v>860000</v>
      </c>
      <c r="H5125" s="690" t="s">
        <v>1786</v>
      </c>
      <c r="I5125" s="71" t="s">
        <v>1786</v>
      </c>
      <c r="J5125" s="53">
        <f t="shared" si="2499"/>
        <v>214000</v>
      </c>
      <c r="K5125" s="63">
        <f t="shared" si="2502"/>
        <v>0.24883720930232556</v>
      </c>
      <c r="L5125" s="1212" t="s">
        <v>3417</v>
      </c>
      <c r="M5125" s="468"/>
      <c r="N5125" s="1192">
        <f t="shared" si="2503"/>
        <v>44740</v>
      </c>
      <c r="O5125" s="71" t="s">
        <v>1786</v>
      </c>
      <c r="P5125" s="103" t="str">
        <f t="shared" si="2507"/>
        <v>인버터 냉각 팬 모터</v>
      </c>
      <c r="Q5125" s="71">
        <f t="shared" si="2491"/>
        <v>2</v>
      </c>
      <c r="R5125" s="102">
        <v>323000</v>
      </c>
      <c r="S5125" s="102">
        <f t="shared" si="2510"/>
        <v>710600</v>
      </c>
      <c r="T5125" s="102">
        <f t="shared" si="2504"/>
        <v>646000</v>
      </c>
      <c r="U5125" s="71"/>
      <c r="V5125" s="71"/>
      <c r="W5125" s="474"/>
      <c r="X5125" s="71"/>
      <c r="Y5125" s="71"/>
    </row>
    <row r="5126" spans="1:25" ht="30" hidden="1" customHeight="1" x14ac:dyDescent="0.25">
      <c r="A5126" s="1145">
        <v>44740</v>
      </c>
      <c r="B5126" s="664" t="s">
        <v>2254</v>
      </c>
      <c r="C5126" s="71" t="s">
        <v>3325</v>
      </c>
      <c r="D5126" s="71">
        <v>0</v>
      </c>
      <c r="E5126" s="102">
        <v>6500</v>
      </c>
      <c r="F5126" s="102">
        <f t="shared" si="2486"/>
        <v>0</v>
      </c>
      <c r="G5126" s="102">
        <f t="shared" si="2487"/>
        <v>0</v>
      </c>
      <c r="H5126" s="690" t="s">
        <v>36</v>
      </c>
      <c r="I5126" s="71" t="s">
        <v>3320</v>
      </c>
      <c r="J5126" s="53">
        <f t="shared" si="2499"/>
        <v>0</v>
      </c>
      <c r="K5126" s="63" t="e">
        <f t="shared" si="2502"/>
        <v>#DIV/0!</v>
      </c>
      <c r="L5126" s="1212" t="s">
        <v>3417</v>
      </c>
      <c r="M5126" s="468"/>
      <c r="N5126" s="1192">
        <f t="shared" si="2503"/>
        <v>44740</v>
      </c>
      <c r="O5126" s="71" t="s">
        <v>3323</v>
      </c>
      <c r="P5126" s="103" t="str">
        <f t="shared" si="2507"/>
        <v>한특 잉크(청)</v>
      </c>
      <c r="Q5126" s="71">
        <f t="shared" si="2491"/>
        <v>0</v>
      </c>
      <c r="R5126" s="102">
        <v>5800</v>
      </c>
      <c r="S5126" s="102">
        <f t="shared" si="2510"/>
        <v>0</v>
      </c>
      <c r="T5126" s="102">
        <f t="shared" si="2504"/>
        <v>0</v>
      </c>
      <c r="U5126" s="71" t="str">
        <f t="shared" si="2508"/>
        <v>O</v>
      </c>
      <c r="V5126" s="71"/>
      <c r="W5126" s="474">
        <f t="shared" si="2509"/>
        <v>0</v>
      </c>
      <c r="X5126" s="71"/>
      <c r="Y5126" s="71"/>
    </row>
    <row r="5127" spans="1:25" ht="30" hidden="1" customHeight="1" x14ac:dyDescent="0.25">
      <c r="A5127" s="1145">
        <v>44740</v>
      </c>
      <c r="B5127" s="664" t="s">
        <v>575</v>
      </c>
      <c r="C5127" s="71" t="s">
        <v>2119</v>
      </c>
      <c r="D5127" s="71">
        <v>2</v>
      </c>
      <c r="E5127" s="102">
        <v>50000</v>
      </c>
      <c r="F5127" s="102">
        <f t="shared" si="2486"/>
        <v>110000.00000000001</v>
      </c>
      <c r="G5127" s="102">
        <f t="shared" si="2487"/>
        <v>100000</v>
      </c>
      <c r="H5127" s="690" t="s">
        <v>1786</v>
      </c>
      <c r="I5127" s="71" t="s">
        <v>1786</v>
      </c>
      <c r="J5127" s="53">
        <f t="shared" si="2499"/>
        <v>60000</v>
      </c>
      <c r="K5127" s="63">
        <f t="shared" si="2502"/>
        <v>0.59999999999999987</v>
      </c>
      <c r="L5127" s="1212" t="s">
        <v>3417</v>
      </c>
      <c r="M5127" s="468"/>
      <c r="N5127" s="1192">
        <f t="shared" si="2503"/>
        <v>44740</v>
      </c>
      <c r="O5127" s="71" t="s">
        <v>1786</v>
      </c>
      <c r="P5127" s="103" t="str">
        <f t="shared" si="2507"/>
        <v>콘덴서</v>
      </c>
      <c r="Q5127" s="71">
        <f t="shared" si="2491"/>
        <v>2</v>
      </c>
      <c r="R5127" s="102">
        <v>20000</v>
      </c>
      <c r="S5127" s="102">
        <f>R5127*Q5127*1.1</f>
        <v>44000</v>
      </c>
      <c r="T5127" s="102">
        <f>R5127*Q5127</f>
        <v>40000</v>
      </c>
      <c r="U5127" s="71"/>
      <c r="V5127" s="71"/>
      <c r="W5127" s="474"/>
      <c r="X5127" s="71"/>
      <c r="Y5127" s="71"/>
    </row>
    <row r="5128" spans="1:25" ht="30" hidden="1" customHeight="1" x14ac:dyDescent="0.25">
      <c r="A5128" s="1145">
        <v>44740</v>
      </c>
      <c r="B5128" s="664" t="s">
        <v>2254</v>
      </c>
      <c r="C5128" s="71" t="s">
        <v>3326</v>
      </c>
      <c r="D5128" s="71">
        <v>0</v>
      </c>
      <c r="E5128" s="102">
        <v>5600</v>
      </c>
      <c r="F5128" s="102">
        <f t="shared" si="2486"/>
        <v>0</v>
      </c>
      <c r="G5128" s="102">
        <f t="shared" si="2487"/>
        <v>0</v>
      </c>
      <c r="H5128" s="690" t="s">
        <v>36</v>
      </c>
      <c r="I5128" s="71" t="s">
        <v>3320</v>
      </c>
      <c r="J5128" s="53">
        <f t="shared" si="2499"/>
        <v>0</v>
      </c>
      <c r="K5128" s="63" t="e">
        <f t="shared" si="2502"/>
        <v>#DIV/0!</v>
      </c>
      <c r="L5128" s="1212" t="s">
        <v>3417</v>
      </c>
      <c r="M5128" s="468"/>
      <c r="N5128" s="1192">
        <f t="shared" si="2503"/>
        <v>44740</v>
      </c>
      <c r="O5128" s="71" t="s">
        <v>3323</v>
      </c>
      <c r="P5128" s="103" t="str">
        <f t="shared" si="2507"/>
        <v>한특 잉크(먹)</v>
      </c>
      <c r="Q5128" s="71">
        <f t="shared" si="2491"/>
        <v>0</v>
      </c>
      <c r="R5128" s="102">
        <v>5000</v>
      </c>
      <c r="S5128" s="102">
        <f t="shared" si="2510"/>
        <v>0</v>
      </c>
      <c r="T5128" s="102">
        <f t="shared" si="2504"/>
        <v>0</v>
      </c>
      <c r="U5128" s="71" t="str">
        <f t="shared" si="2508"/>
        <v>O</v>
      </c>
      <c r="V5128" s="71"/>
      <c r="W5128" s="474">
        <f t="shared" si="2509"/>
        <v>0</v>
      </c>
      <c r="X5128" s="71"/>
      <c r="Y5128" s="71"/>
    </row>
    <row r="5129" spans="1:25" ht="30" hidden="1" customHeight="1" x14ac:dyDescent="0.25">
      <c r="A5129" s="1145">
        <v>44740</v>
      </c>
      <c r="B5129" s="664" t="s">
        <v>575</v>
      </c>
      <c r="C5129" s="71" t="s">
        <v>3545</v>
      </c>
      <c r="D5129" s="71">
        <v>1</v>
      </c>
      <c r="E5129" s="102">
        <v>650000</v>
      </c>
      <c r="F5129" s="102">
        <f t="shared" si="2486"/>
        <v>715000</v>
      </c>
      <c r="G5129" s="102">
        <f t="shared" si="2487"/>
        <v>650000</v>
      </c>
      <c r="H5129" s="690" t="s">
        <v>1786</v>
      </c>
      <c r="I5129" s="71" t="s">
        <v>1786</v>
      </c>
      <c r="J5129" s="53">
        <f t="shared" si="2499"/>
        <v>330706</v>
      </c>
      <c r="K5129" s="63">
        <f t="shared" si="2502"/>
        <v>0.50877846153846151</v>
      </c>
      <c r="L5129" s="1212" t="s">
        <v>3417</v>
      </c>
      <c r="M5129" s="468"/>
      <c r="N5129" s="1192">
        <f t="shared" si="2503"/>
        <v>44740</v>
      </c>
      <c r="O5129" s="71" t="s">
        <v>1786</v>
      </c>
      <c r="P5129" s="103" t="str">
        <f t="shared" si="2507"/>
        <v>드라이어 온도센서</v>
      </c>
      <c r="Q5129" s="71">
        <f t="shared" si="2491"/>
        <v>1</v>
      </c>
      <c r="R5129" s="102">
        <v>319294</v>
      </c>
      <c r="S5129" s="102">
        <f>R5129*Q5129*1.1</f>
        <v>351223.4</v>
      </c>
      <c r="T5129" s="102">
        <f>R5129*Q5129</f>
        <v>319294</v>
      </c>
      <c r="U5129" s="71"/>
      <c r="V5129" s="71"/>
      <c r="W5129" s="474"/>
      <c r="X5129" s="71"/>
      <c r="Y5129" s="71"/>
    </row>
    <row r="5130" spans="1:25" ht="30" hidden="1" customHeight="1" x14ac:dyDescent="0.25">
      <c r="A5130" s="1145">
        <v>44740</v>
      </c>
      <c r="B5130" s="664" t="s">
        <v>443</v>
      </c>
      <c r="C5130" s="71" t="s">
        <v>3327</v>
      </c>
      <c r="D5130" s="71">
        <v>1</v>
      </c>
      <c r="E5130" s="102">
        <v>2350000</v>
      </c>
      <c r="F5130" s="102">
        <f t="shared" ref="F5130:F5147" si="2511">(E5130*D5130)*1.1</f>
        <v>2585000</v>
      </c>
      <c r="G5130" s="102">
        <f t="shared" ref="G5130:G5147" si="2512">(E5130*D5130)</f>
        <v>2350000</v>
      </c>
      <c r="H5130" s="690" t="s">
        <v>36</v>
      </c>
      <c r="I5130" s="690" t="s">
        <v>36</v>
      </c>
      <c r="J5130" s="53">
        <f t="shared" si="2499"/>
        <v>600000</v>
      </c>
      <c r="K5130" s="63">
        <f t="shared" si="2502"/>
        <v>0.25531914893617019</v>
      </c>
      <c r="L5130" s="1212" t="s">
        <v>3417</v>
      </c>
      <c r="M5130" s="468"/>
      <c r="N5130" s="1192">
        <f t="shared" si="2503"/>
        <v>44740</v>
      </c>
      <c r="O5130" s="71" t="s">
        <v>113</v>
      </c>
      <c r="P5130" s="103" t="str">
        <f t="shared" si="2507"/>
        <v>Apogee 워크플로우 구독료</v>
      </c>
      <c r="Q5130" s="71">
        <f t="shared" si="2491"/>
        <v>1</v>
      </c>
      <c r="R5130" s="102">
        <v>1750000</v>
      </c>
      <c r="S5130" s="102">
        <f t="shared" si="2510"/>
        <v>1925000.0000000002</v>
      </c>
      <c r="T5130" s="102">
        <f t="shared" si="2504"/>
        <v>1750000</v>
      </c>
      <c r="U5130" s="71"/>
      <c r="V5130" s="71"/>
      <c r="W5130" s="474"/>
      <c r="X5130" s="71"/>
      <c r="Y5130" s="71"/>
    </row>
    <row r="5131" spans="1:25" ht="30" hidden="1" customHeight="1" x14ac:dyDescent="0.25">
      <c r="A5131" s="1145">
        <v>44740</v>
      </c>
      <c r="B5131" s="664" t="s">
        <v>575</v>
      </c>
      <c r="C5131" s="71" t="s">
        <v>2404</v>
      </c>
      <c r="D5131" s="71">
        <v>125</v>
      </c>
      <c r="E5131" s="102">
        <v>22000</v>
      </c>
      <c r="F5131" s="102">
        <f t="shared" si="2511"/>
        <v>3025000.0000000005</v>
      </c>
      <c r="G5131" s="102">
        <f t="shared" si="2512"/>
        <v>2750000</v>
      </c>
      <c r="H5131" s="690" t="s">
        <v>1786</v>
      </c>
      <c r="I5131" s="71" t="s">
        <v>1786</v>
      </c>
      <c r="J5131" s="53">
        <f t="shared" si="2499"/>
        <v>1090125</v>
      </c>
      <c r="K5131" s="63">
        <f t="shared" si="2502"/>
        <v>0.39640909090909082</v>
      </c>
      <c r="L5131" s="1212" t="s">
        <v>3417</v>
      </c>
      <c r="M5131" s="468"/>
      <c r="N5131" s="1192">
        <f t="shared" si="2503"/>
        <v>44740</v>
      </c>
      <c r="O5131" s="71" t="s">
        <v>1786</v>
      </c>
      <c r="P5131" s="103" t="str">
        <f t="shared" si="2507"/>
        <v>벨트(25MM)</v>
      </c>
      <c r="Q5131" s="71">
        <f t="shared" si="2491"/>
        <v>125</v>
      </c>
      <c r="R5131" s="102">
        <v>13279</v>
      </c>
      <c r="S5131" s="102">
        <f>R5131*Q5131*1.1</f>
        <v>1825862.5000000002</v>
      </c>
      <c r="T5131" s="102">
        <f>R5131*Q5131</f>
        <v>1659875</v>
      </c>
      <c r="U5131" s="71"/>
      <c r="V5131" s="71"/>
      <c r="W5131" s="474"/>
      <c r="X5131" s="71"/>
      <c r="Y5131" s="71"/>
    </row>
    <row r="5132" spans="1:25" ht="30" hidden="1" customHeight="1" x14ac:dyDescent="0.25">
      <c r="A5132" s="1145">
        <v>44740</v>
      </c>
      <c r="B5132" s="664" t="s">
        <v>443</v>
      </c>
      <c r="C5132" s="71" t="s">
        <v>3392</v>
      </c>
      <c r="D5132" s="71">
        <v>8</v>
      </c>
      <c r="E5132" s="102">
        <v>218000</v>
      </c>
      <c r="F5132" s="102">
        <f t="shared" si="2511"/>
        <v>1918400.0000000002</v>
      </c>
      <c r="G5132" s="102">
        <f t="shared" si="2512"/>
        <v>1744000</v>
      </c>
      <c r="H5132" s="690" t="s">
        <v>172</v>
      </c>
      <c r="I5132" s="71" t="s">
        <v>184</v>
      </c>
      <c r="J5132" s="53">
        <f t="shared" si="2499"/>
        <v>464000</v>
      </c>
      <c r="K5132" s="63">
        <f t="shared" si="2502"/>
        <v>0.26605504587155959</v>
      </c>
      <c r="L5132" s="1212" t="s">
        <v>3417</v>
      </c>
      <c r="M5132" s="468" t="s">
        <v>3393</v>
      </c>
      <c r="N5132" s="1192">
        <f t="shared" si="2503"/>
        <v>44740</v>
      </c>
      <c r="O5132" s="71" t="s">
        <v>2030</v>
      </c>
      <c r="P5132" s="103" t="str">
        <f t="shared" si="2507"/>
        <v>윤전 블랑켓</v>
      </c>
      <c r="Q5132" s="71">
        <f t="shared" ref="Q5132:Q5147" si="2513">D5132</f>
        <v>8</v>
      </c>
      <c r="R5132" s="102">
        <v>160000</v>
      </c>
      <c r="S5132" s="102">
        <f t="shared" si="2510"/>
        <v>1408000</v>
      </c>
      <c r="T5132" s="102">
        <f t="shared" si="2504"/>
        <v>1280000</v>
      </c>
      <c r="U5132" s="71" t="str">
        <f>IF(J5132=W5132,"O", "X")</f>
        <v>O</v>
      </c>
      <c r="V5132" s="71" t="s">
        <v>3394</v>
      </c>
      <c r="W5132" s="474">
        <f>(G5132-T5132)</f>
        <v>464000</v>
      </c>
      <c r="X5132" s="71"/>
      <c r="Y5132" s="71"/>
    </row>
    <row r="5133" spans="1:25" ht="30" hidden="1" customHeight="1" x14ac:dyDescent="0.25">
      <c r="A5133" s="1145">
        <v>44740</v>
      </c>
      <c r="B5133" s="664" t="s">
        <v>575</v>
      </c>
      <c r="C5133" s="71" t="s">
        <v>3546</v>
      </c>
      <c r="D5133" s="71">
        <v>30</v>
      </c>
      <c r="E5133" s="102">
        <v>20000</v>
      </c>
      <c r="F5133" s="102">
        <f t="shared" si="2511"/>
        <v>660000</v>
      </c>
      <c r="G5133" s="102">
        <f t="shared" si="2512"/>
        <v>600000</v>
      </c>
      <c r="H5133" s="690" t="s">
        <v>1786</v>
      </c>
      <c r="I5133" s="71" t="s">
        <v>1786</v>
      </c>
      <c r="J5133" s="53">
        <f t="shared" si="2499"/>
        <v>235350</v>
      </c>
      <c r="K5133" s="63">
        <f t="shared" si="2502"/>
        <v>0.39224999999999999</v>
      </c>
      <c r="L5133" s="1212" t="s">
        <v>3417</v>
      </c>
      <c r="M5133" s="468"/>
      <c r="N5133" s="1192">
        <f t="shared" si="2503"/>
        <v>44740</v>
      </c>
      <c r="O5133" s="71" t="s">
        <v>1786</v>
      </c>
      <c r="P5133" s="103" t="str">
        <f t="shared" si="2507"/>
        <v>벨트(14MM)</v>
      </c>
      <c r="Q5133" s="71">
        <f t="shared" si="2513"/>
        <v>30</v>
      </c>
      <c r="R5133" s="102">
        <v>12155</v>
      </c>
      <c r="S5133" s="102">
        <f t="shared" si="2510"/>
        <v>401115.00000000006</v>
      </c>
      <c r="T5133" s="102">
        <f t="shared" si="2504"/>
        <v>364650</v>
      </c>
      <c r="U5133" s="71"/>
      <c r="V5133" s="71"/>
      <c r="W5133" s="474"/>
      <c r="X5133" s="71"/>
      <c r="Y5133" s="71"/>
    </row>
    <row r="5134" spans="1:25" ht="30" hidden="1" customHeight="1" x14ac:dyDescent="0.25">
      <c r="A5134" s="1145">
        <v>44740</v>
      </c>
      <c r="B5134" s="664" t="s">
        <v>575</v>
      </c>
      <c r="C5134" s="71" t="s">
        <v>1148</v>
      </c>
      <c r="D5134" s="71">
        <v>8</v>
      </c>
      <c r="E5134" s="102">
        <v>320000</v>
      </c>
      <c r="F5134" s="102">
        <f t="shared" si="2511"/>
        <v>2816000</v>
      </c>
      <c r="G5134" s="102">
        <f t="shared" si="2512"/>
        <v>2560000</v>
      </c>
      <c r="H5134" s="690" t="s">
        <v>1786</v>
      </c>
      <c r="I5134" s="71" t="s">
        <v>1786</v>
      </c>
      <c r="J5134" s="53">
        <f>G5134-T5134</f>
        <v>698568</v>
      </c>
      <c r="K5134" s="63">
        <f t="shared" ref="K5134:K5143" si="2514">(J5134/(F5134/11*10))</f>
        <v>0.27287812500000003</v>
      </c>
      <c r="L5134" s="1212" t="s">
        <v>3417</v>
      </c>
      <c r="M5134" s="468"/>
      <c r="N5134" s="1192">
        <f t="shared" si="2503"/>
        <v>44740</v>
      </c>
      <c r="O5134" s="71" t="s">
        <v>1786</v>
      </c>
      <c r="P5134" s="103" t="str">
        <f t="shared" si="2507"/>
        <v>브레이크 라이닝</v>
      </c>
      <c r="Q5134" s="71">
        <f t="shared" si="2513"/>
        <v>8</v>
      </c>
      <c r="R5134" s="102">
        <v>232679</v>
      </c>
      <c r="S5134" s="102">
        <f t="shared" si="2510"/>
        <v>2047575.2000000002</v>
      </c>
      <c r="T5134" s="102">
        <f t="shared" si="2504"/>
        <v>1861432</v>
      </c>
      <c r="U5134" s="71"/>
      <c r="V5134" s="71"/>
      <c r="W5134" s="474"/>
      <c r="X5134" s="71"/>
      <c r="Y5134" s="71"/>
    </row>
    <row r="5135" spans="1:25" ht="30" hidden="1" customHeight="1" x14ac:dyDescent="0.25">
      <c r="A5135" s="1145">
        <v>44740</v>
      </c>
      <c r="B5135" s="664" t="s">
        <v>575</v>
      </c>
      <c r="C5135" s="71" t="s">
        <v>887</v>
      </c>
      <c r="D5135" s="71">
        <v>3</v>
      </c>
      <c r="E5135" s="102">
        <v>80000</v>
      </c>
      <c r="F5135" s="102">
        <f t="shared" si="2511"/>
        <v>264000</v>
      </c>
      <c r="G5135" s="102">
        <f t="shared" si="2512"/>
        <v>240000</v>
      </c>
      <c r="H5135" s="690" t="s">
        <v>1786</v>
      </c>
      <c r="I5135" s="71" t="s">
        <v>1786</v>
      </c>
      <c r="J5135" s="53">
        <f>G5135-T5135</f>
        <v>60000</v>
      </c>
      <c r="K5135" s="63">
        <f t="shared" si="2514"/>
        <v>0.25</v>
      </c>
      <c r="L5135" s="1212" t="s">
        <v>3417</v>
      </c>
      <c r="M5135" s="468"/>
      <c r="N5135" s="1192">
        <f t="shared" si="2503"/>
        <v>44740</v>
      </c>
      <c r="O5135" s="71" t="s">
        <v>1786</v>
      </c>
      <c r="P5135" s="103" t="str">
        <f t="shared" si="2507"/>
        <v>벨트 접착제</v>
      </c>
      <c r="Q5135" s="71">
        <f t="shared" si="2513"/>
        <v>3</v>
      </c>
      <c r="R5135" s="102">
        <v>60000</v>
      </c>
      <c r="S5135" s="102">
        <f t="shared" si="2510"/>
        <v>198000.00000000003</v>
      </c>
      <c r="T5135" s="102">
        <f t="shared" si="2504"/>
        <v>180000</v>
      </c>
      <c r="U5135" s="71"/>
      <c r="V5135" s="71"/>
      <c r="W5135" s="474"/>
      <c r="X5135" s="71"/>
      <c r="Y5135" s="71"/>
    </row>
    <row r="5136" spans="1:25" ht="30" hidden="1" customHeight="1" x14ac:dyDescent="0.25">
      <c r="A5136" s="1145">
        <v>44740</v>
      </c>
      <c r="B5136" s="664" t="s">
        <v>575</v>
      </c>
      <c r="C5136" s="71" t="s">
        <v>1298</v>
      </c>
      <c r="D5136" s="71">
        <v>6</v>
      </c>
      <c r="E5136" s="102">
        <v>130000</v>
      </c>
      <c r="F5136" s="102">
        <f t="shared" si="2511"/>
        <v>858000.00000000012</v>
      </c>
      <c r="G5136" s="102">
        <f t="shared" si="2512"/>
        <v>780000</v>
      </c>
      <c r="H5136" s="690" t="s">
        <v>1786</v>
      </c>
      <c r="I5136" s="71" t="s">
        <v>1786</v>
      </c>
      <c r="J5136" s="53">
        <f>G5136-T5136</f>
        <v>238458</v>
      </c>
      <c r="K5136" s="63">
        <f t="shared" si="2514"/>
        <v>0.30571538461538456</v>
      </c>
      <c r="L5136" s="1212" t="s">
        <v>3417</v>
      </c>
      <c r="M5136" s="468"/>
      <c r="N5136" s="1192">
        <f t="shared" si="2503"/>
        <v>44740</v>
      </c>
      <c r="O5136" s="71" t="s">
        <v>1786</v>
      </c>
      <c r="P5136" s="103" t="str">
        <f t="shared" si="2507"/>
        <v>재단칼</v>
      </c>
      <c r="Q5136" s="71">
        <f t="shared" si="2513"/>
        <v>6</v>
      </c>
      <c r="R5136" s="102">
        <v>90257</v>
      </c>
      <c r="S5136" s="102">
        <f>R5136*Q5136*1.1</f>
        <v>595696.20000000007</v>
      </c>
      <c r="T5136" s="102">
        <f>R5136*Q5136</f>
        <v>541542</v>
      </c>
      <c r="U5136" s="71"/>
      <c r="V5136" s="71"/>
      <c r="W5136" s="474"/>
      <c r="X5136" s="71"/>
      <c r="Y5136" s="71"/>
    </row>
    <row r="5137" spans="1:25" ht="30" hidden="1" customHeight="1" x14ac:dyDescent="0.25">
      <c r="A5137" s="1145">
        <v>44740</v>
      </c>
      <c r="B5137" s="664" t="s">
        <v>575</v>
      </c>
      <c r="C5137" s="71" t="s">
        <v>3421</v>
      </c>
      <c r="D5137" s="71">
        <v>1</v>
      </c>
      <c r="E5137" s="102">
        <v>15995000</v>
      </c>
      <c r="F5137" s="102">
        <f t="shared" si="2511"/>
        <v>17594500</v>
      </c>
      <c r="G5137" s="102">
        <f t="shared" si="2512"/>
        <v>15995000</v>
      </c>
      <c r="H5137" s="690" t="s">
        <v>173</v>
      </c>
      <c r="I5137" s="71" t="s">
        <v>143</v>
      </c>
      <c r="J5137" s="53">
        <f t="shared" ref="J5137:J5148" si="2515">G5137-T5137</f>
        <v>3525000</v>
      </c>
      <c r="K5137" s="63">
        <f t="shared" si="2514"/>
        <v>0.22038136917786808</v>
      </c>
      <c r="L5137" s="1212" t="s">
        <v>3417</v>
      </c>
      <c r="M5137" s="468" t="s">
        <v>3374</v>
      </c>
      <c r="N5137" s="664">
        <f t="shared" ref="N5137:N5147" si="2516">A5137</f>
        <v>44740</v>
      </c>
      <c r="O5137" s="71" t="s">
        <v>612</v>
      </c>
      <c r="P5137" s="103" t="str">
        <f>C5137</f>
        <v xml:space="preserve">매엽/윤전용롤러 </v>
      </c>
      <c r="Q5137" s="71">
        <f t="shared" si="2513"/>
        <v>1</v>
      </c>
      <c r="R5137" s="102">
        <v>12470000</v>
      </c>
      <c r="S5137" s="102">
        <f t="shared" si="2510"/>
        <v>13717000.000000002</v>
      </c>
      <c r="T5137" s="102">
        <f t="shared" si="2504"/>
        <v>12470000</v>
      </c>
      <c r="U5137" s="71" t="str">
        <f>IF(J5137=W5137,"O", "X")</f>
        <v>X</v>
      </c>
      <c r="V5137" s="71"/>
      <c r="W5137" s="474"/>
      <c r="X5137" s="71"/>
      <c r="Y5137" s="71"/>
    </row>
    <row r="5138" spans="1:25" ht="30" hidden="1" customHeight="1" x14ac:dyDescent="0.25">
      <c r="A5138" s="1145">
        <v>44740</v>
      </c>
      <c r="B5138" s="664" t="s">
        <v>575</v>
      </c>
      <c r="C5138" s="71" t="s">
        <v>3423</v>
      </c>
      <c r="D5138" s="71">
        <v>1</v>
      </c>
      <c r="E5138" s="102">
        <v>2625000</v>
      </c>
      <c r="F5138" s="102">
        <f t="shared" si="2511"/>
        <v>2887500.0000000005</v>
      </c>
      <c r="G5138" s="102">
        <f t="shared" si="2512"/>
        <v>2625000</v>
      </c>
      <c r="H5138" s="690" t="s">
        <v>985</v>
      </c>
      <c r="I5138" s="690" t="s">
        <v>985</v>
      </c>
      <c r="J5138" s="53">
        <f t="shared" si="2515"/>
        <v>1625000</v>
      </c>
      <c r="K5138" s="63">
        <f t="shared" si="2514"/>
        <v>0.61904761904761896</v>
      </c>
      <c r="L5138" s="1212" t="s">
        <v>3417</v>
      </c>
      <c r="M5138" s="468"/>
      <c r="N5138" s="1192">
        <f t="shared" si="2516"/>
        <v>44740</v>
      </c>
      <c r="O5138" s="71"/>
      <c r="P5138" s="164" t="str">
        <f t="shared" ref="P5138:P5143" si="2517">(C5138)</f>
        <v>M600 서비스 계약</v>
      </c>
      <c r="Q5138" s="71">
        <f t="shared" si="2513"/>
        <v>1</v>
      </c>
      <c r="R5138" s="102"/>
      <c r="S5138" s="102">
        <f t="shared" si="2510"/>
        <v>0</v>
      </c>
      <c r="T5138" s="102">
        <v>1000000</v>
      </c>
      <c r="U5138" s="71"/>
      <c r="V5138" s="71"/>
      <c r="W5138" s="474"/>
      <c r="X5138" s="71"/>
      <c r="Y5138" s="71"/>
    </row>
    <row r="5139" spans="1:25" ht="30" hidden="1" customHeight="1" x14ac:dyDescent="0.25">
      <c r="A5139" s="1145">
        <v>44740</v>
      </c>
      <c r="B5139" s="664" t="s">
        <v>3407</v>
      </c>
      <c r="C5139" s="71" t="s">
        <v>3408</v>
      </c>
      <c r="D5139" s="71">
        <v>2</v>
      </c>
      <c r="E5139" s="102">
        <v>2500000</v>
      </c>
      <c r="F5139" s="102">
        <f t="shared" si="2511"/>
        <v>5500000</v>
      </c>
      <c r="G5139" s="102">
        <f t="shared" si="2512"/>
        <v>5000000</v>
      </c>
      <c r="H5139" s="690" t="s">
        <v>94</v>
      </c>
      <c r="I5139" s="71" t="s">
        <v>94</v>
      </c>
      <c r="J5139" s="60">
        <f t="shared" si="2515"/>
        <v>2146476</v>
      </c>
      <c r="K5139" s="427">
        <f t="shared" si="2514"/>
        <v>0.42929519999999999</v>
      </c>
      <c r="L5139" s="1212" t="s">
        <v>3417</v>
      </c>
      <c r="M5139" s="468"/>
      <c r="N5139" s="664">
        <f t="shared" si="2516"/>
        <v>44740</v>
      </c>
      <c r="O5139" s="71" t="s">
        <v>94</v>
      </c>
      <c r="P5139" s="103" t="str">
        <f t="shared" si="2517"/>
        <v>Technotrans 도져</v>
      </c>
      <c r="Q5139" s="71">
        <f t="shared" si="2513"/>
        <v>2</v>
      </c>
      <c r="R5139" s="147">
        <v>1426762</v>
      </c>
      <c r="S5139" s="102">
        <f t="shared" si="2510"/>
        <v>3138876.4000000004</v>
      </c>
      <c r="T5139" s="102">
        <f t="shared" ref="T5139:T5148" si="2518">R5139*Q5139</f>
        <v>2853524</v>
      </c>
      <c r="U5139" s="71"/>
      <c r="V5139" s="71"/>
      <c r="W5139" s="474"/>
      <c r="X5139" s="71"/>
      <c r="Y5139" s="71"/>
    </row>
    <row r="5140" spans="1:25" ht="30" hidden="1" customHeight="1" x14ac:dyDescent="0.25">
      <c r="A5140" s="1145">
        <v>44740</v>
      </c>
      <c r="B5140" s="664" t="s">
        <v>3418</v>
      </c>
      <c r="C5140" s="71" t="s">
        <v>2031</v>
      </c>
      <c r="D5140" s="71">
        <v>10</v>
      </c>
      <c r="E5140" s="102">
        <v>40000</v>
      </c>
      <c r="F5140" s="102">
        <f t="shared" si="2511"/>
        <v>440000.00000000006</v>
      </c>
      <c r="G5140" s="102">
        <f t="shared" si="2512"/>
        <v>400000</v>
      </c>
      <c r="H5140" s="690" t="s">
        <v>173</v>
      </c>
      <c r="I5140" s="71" t="s">
        <v>179</v>
      </c>
      <c r="J5140" s="53">
        <f t="shared" si="2515"/>
        <v>300000</v>
      </c>
      <c r="K5140" s="63">
        <f t="shared" si="2514"/>
        <v>0.74999999999999989</v>
      </c>
      <c r="L5140" s="1212" t="s">
        <v>3417</v>
      </c>
      <c r="M5140" s="468"/>
      <c r="N5140" s="1192">
        <f t="shared" si="2516"/>
        <v>44740</v>
      </c>
      <c r="O5140" s="71" t="s">
        <v>190</v>
      </c>
      <c r="P5140" s="164" t="str">
        <f t="shared" si="2517"/>
        <v>필터백</v>
      </c>
      <c r="Q5140" s="71">
        <f t="shared" si="2513"/>
        <v>10</v>
      </c>
      <c r="R5140" s="102">
        <v>10000</v>
      </c>
      <c r="S5140" s="102">
        <f t="shared" si="2510"/>
        <v>110000.00000000001</v>
      </c>
      <c r="T5140" s="102">
        <f t="shared" si="2518"/>
        <v>100000</v>
      </c>
      <c r="U5140" s="71" t="str">
        <f>IF(J5140=W5140,"O", "X")</f>
        <v>O</v>
      </c>
      <c r="V5140" s="71"/>
      <c r="W5140" s="474">
        <f>(G5140-T5140)</f>
        <v>300000</v>
      </c>
      <c r="X5140" s="71"/>
      <c r="Y5140" s="71"/>
    </row>
    <row r="5141" spans="1:25" ht="30" hidden="1" customHeight="1" x14ac:dyDescent="0.25">
      <c r="A5141" s="1145">
        <v>44740</v>
      </c>
      <c r="B5141" s="664" t="s">
        <v>3410</v>
      </c>
      <c r="C5141" s="71" t="s">
        <v>3411</v>
      </c>
      <c r="D5141" s="71"/>
      <c r="E5141" s="102">
        <v>650000</v>
      </c>
      <c r="F5141" s="102">
        <f t="shared" si="2511"/>
        <v>0</v>
      </c>
      <c r="G5141" s="102">
        <f t="shared" si="2512"/>
        <v>0</v>
      </c>
      <c r="H5141" s="690" t="s">
        <v>179</v>
      </c>
      <c r="I5141" s="690" t="s">
        <v>179</v>
      </c>
      <c r="J5141" s="53">
        <f t="shared" si="2515"/>
        <v>0</v>
      </c>
      <c r="K5141" s="63" t="e">
        <f t="shared" si="2514"/>
        <v>#DIV/0!</v>
      </c>
      <c r="L5141" s="1212" t="s">
        <v>3417</v>
      </c>
      <c r="M5141" s="468"/>
      <c r="N5141" s="1192">
        <f t="shared" si="2516"/>
        <v>44740</v>
      </c>
      <c r="O5141" s="71" t="s">
        <v>3412</v>
      </c>
      <c r="P5141" s="103" t="str">
        <f t="shared" si="2517"/>
        <v>Baldwin UV 램프 국전</v>
      </c>
      <c r="Q5141" s="71">
        <f t="shared" si="2513"/>
        <v>0</v>
      </c>
      <c r="R5141" s="102">
        <v>223435</v>
      </c>
      <c r="S5141" s="102">
        <f t="shared" si="2510"/>
        <v>0</v>
      </c>
      <c r="T5141" s="102">
        <f t="shared" si="2518"/>
        <v>0</v>
      </c>
      <c r="U5141" s="71"/>
      <c r="V5141" s="71"/>
      <c r="W5141" s="474"/>
      <c r="X5141" s="71"/>
      <c r="Y5141" s="71"/>
    </row>
    <row r="5142" spans="1:25" s="209" customFormat="1" ht="30" hidden="1" customHeight="1" x14ac:dyDescent="0.25">
      <c r="A5142" s="1145">
        <v>44740</v>
      </c>
      <c r="B5142" s="664" t="s">
        <v>411</v>
      </c>
      <c r="C5142" s="71" t="s">
        <v>3413</v>
      </c>
      <c r="D5142" s="71"/>
      <c r="E5142" s="102">
        <v>100000</v>
      </c>
      <c r="F5142" s="102">
        <f t="shared" si="2511"/>
        <v>0</v>
      </c>
      <c r="G5142" s="102">
        <f t="shared" si="2512"/>
        <v>0</v>
      </c>
      <c r="H5142" s="690" t="s">
        <v>2029</v>
      </c>
      <c r="I5142" s="71" t="s">
        <v>3385</v>
      </c>
      <c r="J5142" s="53">
        <f t="shared" si="2515"/>
        <v>0</v>
      </c>
      <c r="K5142" s="63" t="e">
        <f t="shared" si="2514"/>
        <v>#DIV/0!</v>
      </c>
      <c r="L5142" s="1212" t="s">
        <v>3417</v>
      </c>
      <c r="M5142" s="468"/>
      <c r="N5142" s="1192">
        <f t="shared" si="2516"/>
        <v>44740</v>
      </c>
      <c r="O5142" s="71" t="s">
        <v>190</v>
      </c>
      <c r="P5142" s="164" t="str">
        <f t="shared" si="2517"/>
        <v>아스테이지(국전)</v>
      </c>
      <c r="Q5142" s="71">
        <f t="shared" si="2513"/>
        <v>0</v>
      </c>
      <c r="R5142" s="102">
        <v>50000</v>
      </c>
      <c r="S5142" s="102">
        <f t="shared" si="2510"/>
        <v>0</v>
      </c>
      <c r="T5142" s="102">
        <f t="shared" si="2518"/>
        <v>0</v>
      </c>
      <c r="U5142" s="71" t="str">
        <f>IF(J5142=W5142,"O", "X")</f>
        <v>X</v>
      </c>
      <c r="V5142" s="71"/>
      <c r="W5142" s="474">
        <v>500000</v>
      </c>
      <c r="X5142" s="71"/>
      <c r="Y5142" s="71"/>
    </row>
    <row r="5143" spans="1:25" ht="30" hidden="1" customHeight="1" x14ac:dyDescent="0.25">
      <c r="A5143" s="1145">
        <v>44740</v>
      </c>
      <c r="B5143" s="664" t="s">
        <v>2103</v>
      </c>
      <c r="C5143" s="71" t="s">
        <v>3131</v>
      </c>
      <c r="D5143" s="71">
        <v>2185</v>
      </c>
      <c r="E5143" s="102">
        <v>1600</v>
      </c>
      <c r="F5143" s="102">
        <f t="shared" si="2511"/>
        <v>3845600.0000000005</v>
      </c>
      <c r="G5143" s="102">
        <f t="shared" si="2512"/>
        <v>3496000</v>
      </c>
      <c r="H5143" s="690" t="s">
        <v>173</v>
      </c>
      <c r="I5143" s="71" t="s">
        <v>2230</v>
      </c>
      <c r="J5143" s="53">
        <f t="shared" si="2515"/>
        <v>3496000</v>
      </c>
      <c r="K5143" s="63">
        <f t="shared" si="2514"/>
        <v>0.99999999999999989</v>
      </c>
      <c r="L5143" s="1212" t="s">
        <v>3417</v>
      </c>
      <c r="M5143" s="468"/>
      <c r="N5143" s="1192">
        <f t="shared" si="2516"/>
        <v>44740</v>
      </c>
      <c r="O5143" s="71"/>
      <c r="P5143" s="103" t="str">
        <f t="shared" si="2517"/>
        <v>세흥인쇄 폐판</v>
      </c>
      <c r="Q5143" s="71">
        <f t="shared" si="2513"/>
        <v>2185</v>
      </c>
      <c r="R5143" s="102"/>
      <c r="S5143" s="102">
        <f t="shared" si="2510"/>
        <v>0</v>
      </c>
      <c r="T5143" s="102">
        <f t="shared" si="2518"/>
        <v>0</v>
      </c>
      <c r="U5143" s="71"/>
      <c r="V5143" s="71"/>
      <c r="W5143" s="474"/>
      <c r="X5143" s="71"/>
      <c r="Y5143" s="71"/>
    </row>
    <row r="5144" spans="1:25" ht="30" hidden="1" customHeight="1" x14ac:dyDescent="0.25">
      <c r="A5144" s="1145">
        <v>44740</v>
      </c>
      <c r="B5144" s="664" t="s">
        <v>564</v>
      </c>
      <c r="C5144" s="71" t="s">
        <v>2070</v>
      </c>
      <c r="D5144" s="71">
        <v>2</v>
      </c>
      <c r="E5144" s="102">
        <v>190000</v>
      </c>
      <c r="F5144" s="102">
        <f t="shared" si="2511"/>
        <v>418000.00000000006</v>
      </c>
      <c r="G5144" s="102">
        <f t="shared" si="2512"/>
        <v>380000</v>
      </c>
      <c r="H5144" s="690" t="s">
        <v>172</v>
      </c>
      <c r="I5144" s="71" t="s">
        <v>33</v>
      </c>
      <c r="J5144" s="53">
        <f t="shared" si="2515"/>
        <v>206400</v>
      </c>
      <c r="K5144" s="63">
        <v>0.10555555555555554</v>
      </c>
      <c r="L5144" s="1212" t="s">
        <v>3417</v>
      </c>
      <c r="M5144" s="468"/>
      <c r="N5144" s="1192">
        <f t="shared" si="2516"/>
        <v>44740</v>
      </c>
      <c r="O5144" s="71" t="s">
        <v>146</v>
      </c>
      <c r="P5144" s="103" t="str">
        <f>(C5144)</f>
        <v>Blanket(1050*840)</v>
      </c>
      <c r="Q5144" s="71">
        <f t="shared" si="2513"/>
        <v>2</v>
      </c>
      <c r="R5144" s="102">
        <v>86800</v>
      </c>
      <c r="S5144" s="102">
        <f t="shared" si="2510"/>
        <v>190960.00000000003</v>
      </c>
      <c r="T5144" s="102">
        <f t="shared" si="2518"/>
        <v>173600</v>
      </c>
      <c r="U5144" s="71" t="s">
        <v>859</v>
      </c>
      <c r="V5144" s="71"/>
      <c r="W5144" s="474"/>
      <c r="X5144" s="71"/>
      <c r="Y5144" s="71"/>
    </row>
    <row r="5145" spans="1:25" ht="30" hidden="1" customHeight="1" x14ac:dyDescent="0.25">
      <c r="A5145" s="1145">
        <v>44740</v>
      </c>
      <c r="B5145" s="664" t="s">
        <v>564</v>
      </c>
      <c r="C5145" s="760" t="s">
        <v>3422</v>
      </c>
      <c r="D5145" s="71">
        <v>2</v>
      </c>
      <c r="E5145" s="102">
        <v>310000</v>
      </c>
      <c r="F5145" s="102">
        <f t="shared" si="2511"/>
        <v>682000</v>
      </c>
      <c r="G5145" s="102">
        <f t="shared" si="2512"/>
        <v>620000</v>
      </c>
      <c r="H5145" s="690" t="s">
        <v>2029</v>
      </c>
      <c r="I5145" s="71" t="s">
        <v>182</v>
      </c>
      <c r="J5145" s="53">
        <f t="shared" si="2515"/>
        <v>317600</v>
      </c>
      <c r="K5145" s="63">
        <f>(J5145/(F5145/11*10))</f>
        <v>0.51225806451612899</v>
      </c>
      <c r="L5145" s="1212" t="s">
        <v>3417</v>
      </c>
      <c r="M5145" s="468"/>
      <c r="N5145" s="1192">
        <f t="shared" si="2516"/>
        <v>44740</v>
      </c>
      <c r="O5145" s="71" t="s">
        <v>2030</v>
      </c>
      <c r="P5145" s="103" t="str">
        <f>(C5145)</f>
        <v>Fount  554</v>
      </c>
      <c r="Q5145" s="71">
        <f t="shared" si="2513"/>
        <v>2</v>
      </c>
      <c r="R5145" s="102">
        <v>151200</v>
      </c>
      <c r="S5145" s="102">
        <f t="shared" si="2510"/>
        <v>332640</v>
      </c>
      <c r="T5145" s="102">
        <f t="shared" si="2518"/>
        <v>302400</v>
      </c>
      <c r="U5145" s="71" t="str">
        <f>IF(J5145=W5145,"O", "X")</f>
        <v>X</v>
      </c>
      <c r="V5145" s="71"/>
      <c r="W5145" s="474">
        <v>640000</v>
      </c>
      <c r="X5145" s="71"/>
      <c r="Y5145" s="71"/>
    </row>
    <row r="5146" spans="1:25" ht="30" hidden="1" customHeight="1" x14ac:dyDescent="0.25">
      <c r="A5146" s="1145">
        <v>44740</v>
      </c>
      <c r="B5146" s="664" t="s">
        <v>2249</v>
      </c>
      <c r="C5146" s="71" t="s">
        <v>3388</v>
      </c>
      <c r="D5146" s="71">
        <v>20</v>
      </c>
      <c r="E5146" s="102">
        <v>45000</v>
      </c>
      <c r="F5146" s="102">
        <f t="shared" si="2511"/>
        <v>990000.00000000012</v>
      </c>
      <c r="G5146" s="102">
        <f t="shared" si="2512"/>
        <v>900000</v>
      </c>
      <c r="H5146" s="690" t="s">
        <v>39</v>
      </c>
      <c r="I5146" s="71" t="s">
        <v>94</v>
      </c>
      <c r="J5146" s="53">
        <f t="shared" si="2515"/>
        <v>420000</v>
      </c>
      <c r="K5146" s="63">
        <f>(J5146/(F5146/11*10))</f>
        <v>0.46666666666666662</v>
      </c>
      <c r="L5146" s="1212" t="s">
        <v>3417</v>
      </c>
      <c r="M5146" s="468" t="s">
        <v>3329</v>
      </c>
      <c r="N5146" s="1192">
        <f t="shared" si="2516"/>
        <v>44740</v>
      </c>
      <c r="O5146" s="71" t="s">
        <v>39</v>
      </c>
      <c r="P5146" s="103" t="str">
        <f>(C5146)</f>
        <v>주머니필터백</v>
      </c>
      <c r="Q5146" s="71">
        <f t="shared" si="2513"/>
        <v>20</v>
      </c>
      <c r="R5146" s="102">
        <v>24000</v>
      </c>
      <c r="S5146" s="102">
        <f t="shared" si="2510"/>
        <v>528000</v>
      </c>
      <c r="T5146" s="102">
        <f t="shared" si="2518"/>
        <v>480000</v>
      </c>
      <c r="U5146" s="71"/>
      <c r="V5146" s="71"/>
      <c r="W5146" s="474"/>
      <c r="X5146" s="71"/>
      <c r="Y5146" s="71"/>
    </row>
    <row r="5147" spans="1:25" ht="30" hidden="1" customHeight="1" x14ac:dyDescent="0.25">
      <c r="A5147" s="1145">
        <v>44740</v>
      </c>
      <c r="B5147" s="664" t="s">
        <v>1178</v>
      </c>
      <c r="C5147" s="71" t="s">
        <v>3424</v>
      </c>
      <c r="D5147" s="71">
        <v>1</v>
      </c>
      <c r="E5147" s="102">
        <v>75000</v>
      </c>
      <c r="F5147" s="102">
        <f t="shared" si="2511"/>
        <v>82500</v>
      </c>
      <c r="G5147" s="102">
        <f t="shared" si="2512"/>
        <v>75000</v>
      </c>
      <c r="H5147" s="690" t="s">
        <v>142</v>
      </c>
      <c r="I5147" s="103" t="s">
        <v>2273</v>
      </c>
      <c r="J5147" s="53">
        <f t="shared" si="2515"/>
        <v>72140</v>
      </c>
      <c r="K5147" s="63">
        <f>(J5147/(F5147/11*10))</f>
        <v>0.96186666666666665</v>
      </c>
      <c r="L5147" s="1212" t="s">
        <v>3417</v>
      </c>
      <c r="M5147" s="468"/>
      <c r="N5147" s="1192">
        <f t="shared" si="2516"/>
        <v>44740</v>
      </c>
      <c r="O5147" s="71" t="s">
        <v>194</v>
      </c>
      <c r="P5147" s="164" t="str">
        <f>(C5147)</f>
        <v>판재단비용</v>
      </c>
      <c r="Q5147" s="71">
        <f t="shared" si="2513"/>
        <v>1</v>
      </c>
      <c r="R5147" s="102">
        <v>2860</v>
      </c>
      <c r="S5147" s="102">
        <f t="shared" si="2510"/>
        <v>3146.0000000000005</v>
      </c>
      <c r="T5147" s="102">
        <f t="shared" si="2518"/>
        <v>2860</v>
      </c>
      <c r="U5147" s="71"/>
      <c r="V5147" s="71"/>
      <c r="W5147" s="474"/>
      <c r="X5147" s="71"/>
      <c r="Y5147" s="71"/>
    </row>
    <row r="5148" spans="1:25" ht="30" hidden="1" customHeight="1" x14ac:dyDescent="0.25">
      <c r="A5148" s="1145">
        <v>44740</v>
      </c>
      <c r="B5148" s="664" t="s">
        <v>1178</v>
      </c>
      <c r="C5148" s="71" t="s">
        <v>3425</v>
      </c>
      <c r="D5148" s="71">
        <v>1</v>
      </c>
      <c r="E5148" s="102">
        <v>480000</v>
      </c>
      <c r="F5148" s="102">
        <f>(E5148*D5148)*1.1</f>
        <v>528000</v>
      </c>
      <c r="G5148" s="102">
        <f>(E5148*D5148)</f>
        <v>480000</v>
      </c>
      <c r="H5148" s="690" t="s">
        <v>142</v>
      </c>
      <c r="I5148" s="103" t="s">
        <v>2273</v>
      </c>
      <c r="J5148" s="53">
        <f t="shared" si="2515"/>
        <v>477140</v>
      </c>
      <c r="K5148" s="63">
        <f>(J5148/(F5148/11*10))</f>
        <v>0.99404166666666671</v>
      </c>
      <c r="L5148" s="1212" t="s">
        <v>3417</v>
      </c>
      <c r="M5148" s="468"/>
      <c r="N5148" s="1192">
        <f t="shared" ref="N5148:N5163" si="2519">A5148</f>
        <v>44740</v>
      </c>
      <c r="O5148" s="71" t="s">
        <v>194</v>
      </c>
      <c r="P5148" s="164" t="str">
        <f>(C5148)</f>
        <v>CTP 서비스</v>
      </c>
      <c r="Q5148" s="71">
        <f>D5148</f>
        <v>1</v>
      </c>
      <c r="R5148" s="102">
        <v>2860</v>
      </c>
      <c r="S5148" s="102">
        <f t="shared" si="2510"/>
        <v>3146.0000000000005</v>
      </c>
      <c r="T5148" s="102">
        <f t="shared" si="2518"/>
        <v>2860</v>
      </c>
      <c r="U5148" s="71"/>
      <c r="V5148" s="71"/>
      <c r="W5148" s="474"/>
      <c r="X5148" s="71"/>
      <c r="Y5148" s="71"/>
    </row>
    <row r="5149" spans="1:25" ht="30" hidden="1" customHeight="1" x14ac:dyDescent="0.25">
      <c r="A5149" s="1210" t="s">
        <v>3429</v>
      </c>
      <c r="B5149" s="1211" t="s">
        <v>544</v>
      </c>
      <c r="C5149" s="960"/>
      <c r="D5149" s="960"/>
      <c r="E5149" s="952"/>
      <c r="F5149" s="952"/>
      <c r="G5149" s="952"/>
      <c r="H5149" s="1206"/>
      <c r="I5149" s="960"/>
      <c r="J5149" s="952"/>
      <c r="K5149" s="953"/>
      <c r="L5149" s="1212" t="s">
        <v>3430</v>
      </c>
      <c r="M5149" s="1207"/>
      <c r="N5149" s="1208" t="str">
        <f t="shared" si="2519"/>
        <v>2022,7</v>
      </c>
      <c r="O5149" s="960"/>
      <c r="P5149" s="1209"/>
      <c r="Q5149" s="960"/>
      <c r="R5149" s="952"/>
      <c r="S5149" s="952"/>
      <c r="T5149" s="952"/>
      <c r="U5149" s="960"/>
      <c r="V5149" s="960"/>
      <c r="W5149" s="474">
        <f>(G5149-T5149)</f>
        <v>0</v>
      </c>
      <c r="X5149" s="71"/>
      <c r="Y5149" s="71"/>
    </row>
    <row r="5150" spans="1:25" ht="30" customHeight="1" x14ac:dyDescent="0.25">
      <c r="A5150" s="1145">
        <v>44769</v>
      </c>
      <c r="B5150" s="664" t="s">
        <v>641</v>
      </c>
      <c r="C5150" s="71" t="s">
        <v>3293</v>
      </c>
      <c r="D5150" s="71">
        <v>60</v>
      </c>
      <c r="E5150" s="102">
        <v>76000</v>
      </c>
      <c r="F5150" s="102">
        <f t="shared" ref="F5150:F5208" si="2520">(E5150*D5150)*1.1</f>
        <v>5016000</v>
      </c>
      <c r="G5150" s="102">
        <f t="shared" ref="G5150:G5208" si="2521">(E5150*D5150)</f>
        <v>4560000</v>
      </c>
      <c r="H5150" s="690" t="s">
        <v>172</v>
      </c>
      <c r="I5150" s="71" t="s">
        <v>2231</v>
      </c>
      <c r="J5150" s="53">
        <f>G5150-T5150</f>
        <v>1500000</v>
      </c>
      <c r="K5150" s="63">
        <f>(J5150/(F5150/11*10))</f>
        <v>0.32894736842105265</v>
      </c>
      <c r="L5150" s="1212" t="s">
        <v>3430</v>
      </c>
      <c r="M5150" s="468"/>
      <c r="N5150" s="1192">
        <f t="shared" si="2519"/>
        <v>44769</v>
      </c>
      <c r="O5150" s="71" t="s">
        <v>3291</v>
      </c>
      <c r="P5150" s="103" t="str">
        <f>(C5150)</f>
        <v>GOSS 신문윤전 습식세정포</v>
      </c>
      <c r="Q5150" s="71">
        <f t="shared" ref="Q5150:Q5171" si="2522">D5150</f>
        <v>60</v>
      </c>
      <c r="R5150" s="102">
        <v>51000</v>
      </c>
      <c r="S5150" s="102">
        <f>R5150*Q5150*1.1</f>
        <v>3366000.0000000005</v>
      </c>
      <c r="T5150" s="102">
        <f>R5150*Q5150</f>
        <v>3060000</v>
      </c>
      <c r="U5150" s="71" t="str">
        <f>IF(J5150=W5150,"O", "X")</f>
        <v>X</v>
      </c>
      <c r="V5150" s="71"/>
      <c r="W5150" s="474"/>
      <c r="X5150" s="71"/>
      <c r="Y5150" s="71"/>
    </row>
    <row r="5151" spans="1:25" ht="30" hidden="1" customHeight="1" x14ac:dyDescent="0.25">
      <c r="A5151" s="1145">
        <v>44753</v>
      </c>
      <c r="B5151" s="664" t="s">
        <v>3296</v>
      </c>
      <c r="C5151" s="71" t="s">
        <v>3297</v>
      </c>
      <c r="D5151" s="71">
        <v>20</v>
      </c>
      <c r="E5151" s="102">
        <v>155000</v>
      </c>
      <c r="F5151" s="102">
        <f t="shared" si="2520"/>
        <v>3410000.0000000005</v>
      </c>
      <c r="G5151" s="102">
        <f t="shared" si="2521"/>
        <v>3100000</v>
      </c>
      <c r="H5151" s="690" t="s">
        <v>172</v>
      </c>
      <c r="I5151" s="71" t="s">
        <v>3295</v>
      </c>
      <c r="J5151" s="53">
        <f>G5151-T5151</f>
        <v>1130000</v>
      </c>
      <c r="K5151" s="63">
        <f>(J5151/(F5151/11*10))</f>
        <v>0.364516129032258</v>
      </c>
      <c r="L5151" s="1212" t="s">
        <v>3430</v>
      </c>
      <c r="M5151" s="468"/>
      <c r="N5151" s="1192">
        <f t="shared" si="2519"/>
        <v>44753</v>
      </c>
      <c r="O5151" s="71" t="s">
        <v>662</v>
      </c>
      <c r="P5151" s="103" t="str">
        <f>(C5151)</f>
        <v>실리콘 에멀전</v>
      </c>
      <c r="Q5151" s="71">
        <f t="shared" si="2522"/>
        <v>20</v>
      </c>
      <c r="R5151" s="102">
        <v>98500</v>
      </c>
      <c r="S5151" s="102">
        <f>R5151*Q5151*1.1</f>
        <v>2167000</v>
      </c>
      <c r="T5151" s="102">
        <f>R5151*Q5151</f>
        <v>1970000</v>
      </c>
      <c r="U5151" s="71" t="str">
        <f>IF(J5151=W5151,"O", "X")</f>
        <v>X</v>
      </c>
      <c r="V5151" s="71"/>
      <c r="W5151" s="474"/>
      <c r="X5151" s="71"/>
      <c r="Y5151" s="71"/>
    </row>
    <row r="5152" spans="1:25" ht="30" hidden="1" customHeight="1" x14ac:dyDescent="0.25">
      <c r="A5152" s="1145">
        <v>44747</v>
      </c>
      <c r="B5152" s="664" t="s">
        <v>3571</v>
      </c>
      <c r="C5152" s="71" t="s">
        <v>3439</v>
      </c>
      <c r="D5152" s="71">
        <v>1</v>
      </c>
      <c r="E5152" s="102">
        <v>32000000</v>
      </c>
      <c r="F5152" s="102">
        <f>(E5152*D5152)*1.1</f>
        <v>35200000</v>
      </c>
      <c r="G5152" s="102">
        <f>(E5152*D5152)</f>
        <v>32000000</v>
      </c>
      <c r="H5152" s="690" t="s">
        <v>1786</v>
      </c>
      <c r="I5152" s="71" t="s">
        <v>1786</v>
      </c>
      <c r="J5152" s="53"/>
      <c r="K5152" s="63"/>
      <c r="L5152" s="1212" t="s">
        <v>3430</v>
      </c>
      <c r="M5152" s="468"/>
      <c r="N5152" s="1192">
        <f t="shared" si="2519"/>
        <v>44747</v>
      </c>
      <c r="O5152" s="71"/>
      <c r="P5152" s="164" t="str">
        <f>(C5152)</f>
        <v>주안 로토만 IRC 설치 잔금</v>
      </c>
      <c r="Q5152" s="71">
        <f t="shared" si="2522"/>
        <v>1</v>
      </c>
      <c r="R5152" s="102"/>
      <c r="S5152" s="102">
        <f>R5152*Q5152*1.1</f>
        <v>0</v>
      </c>
      <c r="T5152" s="102">
        <f>R5152*Q5152</f>
        <v>0</v>
      </c>
      <c r="U5152" s="71"/>
      <c r="V5152" s="71"/>
      <c r="W5152" s="474"/>
      <c r="X5152" s="71"/>
      <c r="Y5152" s="71"/>
    </row>
    <row r="5153" spans="1:25" ht="30" hidden="1" customHeight="1" x14ac:dyDescent="0.25">
      <c r="A5153" s="1145">
        <v>44754</v>
      </c>
      <c r="B5153" s="664" t="s">
        <v>18</v>
      </c>
      <c r="C5153" s="71" t="s">
        <v>3294</v>
      </c>
      <c r="D5153" s="71">
        <v>10</v>
      </c>
      <c r="E5153" s="102">
        <v>110000</v>
      </c>
      <c r="F5153" s="102">
        <f t="shared" si="2520"/>
        <v>1210000</v>
      </c>
      <c r="G5153" s="102">
        <f t="shared" si="2521"/>
        <v>1100000</v>
      </c>
      <c r="H5153" s="690" t="s">
        <v>172</v>
      </c>
      <c r="I5153" s="71" t="s">
        <v>3295</v>
      </c>
      <c r="J5153" s="53">
        <f t="shared" ref="J5153:J5167" si="2523">G5153-T5153</f>
        <v>10000</v>
      </c>
      <c r="K5153" s="63">
        <v>0.13800000000000001</v>
      </c>
      <c r="L5153" s="1212" t="s">
        <v>3430</v>
      </c>
      <c r="M5153" s="468"/>
      <c r="N5153" s="1192">
        <f t="shared" si="2519"/>
        <v>44754</v>
      </c>
      <c r="O5153" s="71" t="s">
        <v>150</v>
      </c>
      <c r="P5153" s="103" t="str">
        <f t="shared" ref="P5153:P5163" si="2524">(C5153)</f>
        <v>1077*885 하이델 bar 블랑켓</v>
      </c>
      <c r="Q5153" s="71">
        <f t="shared" si="2522"/>
        <v>10</v>
      </c>
      <c r="R5153" s="102">
        <v>109000</v>
      </c>
      <c r="S5153" s="102">
        <f t="shared" ref="S5153:S5184" si="2525">R5153*Q5153*1.1</f>
        <v>1199000</v>
      </c>
      <c r="T5153" s="102">
        <f t="shared" ref="T5153:T5184" si="2526">R5153*Q5153</f>
        <v>1090000</v>
      </c>
      <c r="U5153" s="71"/>
      <c r="V5153" s="71"/>
      <c r="W5153" s="474"/>
      <c r="X5153" s="71"/>
      <c r="Y5153" s="71"/>
    </row>
    <row r="5154" spans="1:25" ht="30" hidden="1" customHeight="1" x14ac:dyDescent="0.25">
      <c r="A5154" s="1145">
        <v>44754</v>
      </c>
      <c r="B5154" s="664" t="s">
        <v>18</v>
      </c>
      <c r="C5154" s="71" t="s">
        <v>2070</v>
      </c>
      <c r="D5154" s="71">
        <v>10</v>
      </c>
      <c r="E5154" s="102">
        <v>100000</v>
      </c>
      <c r="F5154" s="102">
        <f t="shared" si="2520"/>
        <v>1100000</v>
      </c>
      <c r="G5154" s="102">
        <f t="shared" si="2521"/>
        <v>1000000</v>
      </c>
      <c r="H5154" s="690" t="s">
        <v>172</v>
      </c>
      <c r="I5154" s="71" t="s">
        <v>33</v>
      </c>
      <c r="J5154" s="53">
        <f t="shared" si="2523"/>
        <v>132000</v>
      </c>
      <c r="K5154" s="63">
        <v>0.10555555555555554</v>
      </c>
      <c r="L5154" s="1212" t="s">
        <v>3430</v>
      </c>
      <c r="M5154" s="468"/>
      <c r="N5154" s="1192">
        <f t="shared" si="2519"/>
        <v>44754</v>
      </c>
      <c r="O5154" s="71" t="s">
        <v>146</v>
      </c>
      <c r="P5154" s="103" t="str">
        <f t="shared" si="2524"/>
        <v>Blanket(1050*840)</v>
      </c>
      <c r="Q5154" s="71">
        <f t="shared" si="2522"/>
        <v>10</v>
      </c>
      <c r="R5154" s="102">
        <v>86800</v>
      </c>
      <c r="S5154" s="102">
        <f t="shared" si="2525"/>
        <v>954800.00000000012</v>
      </c>
      <c r="T5154" s="102">
        <f t="shared" si="2526"/>
        <v>868000</v>
      </c>
      <c r="U5154" s="71" t="s">
        <v>859</v>
      </c>
      <c r="V5154" s="71"/>
      <c r="W5154" s="474"/>
      <c r="X5154" s="71"/>
      <c r="Y5154" s="71"/>
    </row>
    <row r="5155" spans="1:25" ht="30" hidden="1" customHeight="1" x14ac:dyDescent="0.25">
      <c r="A5155" s="1145">
        <v>44754</v>
      </c>
      <c r="B5155" s="664" t="s">
        <v>548</v>
      </c>
      <c r="C5155" s="71" t="s">
        <v>3382</v>
      </c>
      <c r="D5155" s="71">
        <v>2</v>
      </c>
      <c r="E5155" s="102">
        <v>168000</v>
      </c>
      <c r="F5155" s="102">
        <f t="shared" si="2520"/>
        <v>369600.00000000006</v>
      </c>
      <c r="G5155" s="102">
        <f t="shared" si="2521"/>
        <v>336000</v>
      </c>
      <c r="H5155" s="690" t="s">
        <v>2029</v>
      </c>
      <c r="I5155" s="71" t="s">
        <v>180</v>
      </c>
      <c r="J5155" s="53">
        <f t="shared" si="2523"/>
        <v>108000</v>
      </c>
      <c r="K5155" s="63">
        <f t="shared" ref="K5155:K5167" si="2527">(J5155/(F5155/11*10))</f>
        <v>0.3214285714285714</v>
      </c>
      <c r="L5155" s="1212" t="s">
        <v>3430</v>
      </c>
      <c r="M5155" s="468"/>
      <c r="N5155" s="1192">
        <f t="shared" si="2519"/>
        <v>44754</v>
      </c>
      <c r="O5155" s="71" t="s">
        <v>3383</v>
      </c>
      <c r="P5155" s="164" t="str">
        <f t="shared" si="2524"/>
        <v>판 클리너(12개)</v>
      </c>
      <c r="Q5155" s="71">
        <f t="shared" si="2522"/>
        <v>2</v>
      </c>
      <c r="R5155" s="102">
        <v>114000</v>
      </c>
      <c r="S5155" s="102">
        <f t="shared" si="2525"/>
        <v>250800.00000000003</v>
      </c>
      <c r="T5155" s="102">
        <f t="shared" si="2526"/>
        <v>228000</v>
      </c>
      <c r="U5155" s="71" t="str">
        <f>IF(J5155=W5155,"O", "X")</f>
        <v>X</v>
      </c>
      <c r="V5155" s="71"/>
      <c r="W5155" s="474"/>
      <c r="X5155" s="71"/>
      <c r="Y5155" s="71"/>
    </row>
    <row r="5156" spans="1:25" ht="30" hidden="1" customHeight="1" x14ac:dyDescent="0.25">
      <c r="A5156" s="1145">
        <v>44754</v>
      </c>
      <c r="B5156" s="664" t="s">
        <v>18</v>
      </c>
      <c r="C5156" s="71" t="s">
        <v>3305</v>
      </c>
      <c r="D5156" s="71">
        <v>10</v>
      </c>
      <c r="E5156" s="102">
        <v>86000</v>
      </c>
      <c r="F5156" s="102">
        <f t="shared" si="2520"/>
        <v>946000.00000000012</v>
      </c>
      <c r="G5156" s="102">
        <f t="shared" si="2521"/>
        <v>860000</v>
      </c>
      <c r="H5156" s="690" t="s">
        <v>172</v>
      </c>
      <c r="I5156" s="71" t="s">
        <v>3295</v>
      </c>
      <c r="J5156" s="53">
        <f t="shared" si="2523"/>
        <v>260000</v>
      </c>
      <c r="K5156" s="63">
        <f t="shared" si="2527"/>
        <v>0.30232558139534882</v>
      </c>
      <c r="L5156" s="1212" t="s">
        <v>3430</v>
      </c>
      <c r="M5156" s="468" t="s">
        <v>3306</v>
      </c>
      <c r="N5156" s="1192">
        <f t="shared" si="2519"/>
        <v>44754</v>
      </c>
      <c r="O5156" s="71" t="s">
        <v>146</v>
      </c>
      <c r="P5156" s="103" t="str">
        <f t="shared" si="2524"/>
        <v>파우더</v>
      </c>
      <c r="Q5156" s="71">
        <f t="shared" si="2522"/>
        <v>10</v>
      </c>
      <c r="R5156" s="102">
        <v>60000</v>
      </c>
      <c r="S5156" s="102">
        <f t="shared" si="2525"/>
        <v>660000</v>
      </c>
      <c r="T5156" s="102">
        <f t="shared" si="2526"/>
        <v>600000</v>
      </c>
      <c r="U5156" s="71" t="str">
        <f>IF(J5156=W5156,"O", "X")</f>
        <v>X</v>
      </c>
      <c r="V5156" s="71"/>
      <c r="W5156" s="474"/>
      <c r="X5156" s="71"/>
      <c r="Y5156" s="71"/>
    </row>
    <row r="5157" spans="1:25" ht="30" hidden="1" customHeight="1" x14ac:dyDescent="0.25">
      <c r="A5157" s="1145">
        <v>44754</v>
      </c>
      <c r="B5157" s="664" t="s">
        <v>548</v>
      </c>
      <c r="C5157" s="71" t="s">
        <v>3384</v>
      </c>
      <c r="D5157" s="71">
        <v>200</v>
      </c>
      <c r="E5157" s="102">
        <v>450</v>
      </c>
      <c r="F5157" s="102">
        <f t="shared" si="2520"/>
        <v>99000.000000000015</v>
      </c>
      <c r="G5157" s="102">
        <f t="shared" si="2521"/>
        <v>90000</v>
      </c>
      <c r="H5157" s="690" t="s">
        <v>2029</v>
      </c>
      <c r="I5157" s="71" t="s">
        <v>3385</v>
      </c>
      <c r="J5157" s="53">
        <f t="shared" si="2523"/>
        <v>26000</v>
      </c>
      <c r="K5157" s="63">
        <f t="shared" si="2527"/>
        <v>0.28888888888888886</v>
      </c>
      <c r="L5157" s="1212" t="s">
        <v>3430</v>
      </c>
      <c r="M5157" s="468"/>
      <c r="N5157" s="1192">
        <f t="shared" si="2519"/>
        <v>44754</v>
      </c>
      <c r="O5157" s="71" t="s">
        <v>2030</v>
      </c>
      <c r="P5157" s="164" t="str">
        <f t="shared" si="2524"/>
        <v>고무사카 빨간색</v>
      </c>
      <c r="Q5157" s="71">
        <f t="shared" si="2522"/>
        <v>200</v>
      </c>
      <c r="R5157" s="102">
        <v>320</v>
      </c>
      <c r="S5157" s="102">
        <f t="shared" si="2525"/>
        <v>70400</v>
      </c>
      <c r="T5157" s="102">
        <f t="shared" si="2526"/>
        <v>64000</v>
      </c>
      <c r="U5157" s="71"/>
      <c r="V5157" s="71"/>
      <c r="W5157" s="474"/>
      <c r="X5157" s="71"/>
      <c r="Y5157" s="71"/>
    </row>
    <row r="5158" spans="1:25" ht="30" hidden="1" customHeight="1" x14ac:dyDescent="0.25">
      <c r="A5158" s="1145">
        <v>44754</v>
      </c>
      <c r="B5158" s="664" t="s">
        <v>18</v>
      </c>
      <c r="C5158" s="71" t="s">
        <v>3386</v>
      </c>
      <c r="D5158" s="71">
        <v>100</v>
      </c>
      <c r="E5158" s="102">
        <v>400</v>
      </c>
      <c r="F5158" s="102">
        <f t="shared" si="2520"/>
        <v>44000</v>
      </c>
      <c r="G5158" s="102">
        <f t="shared" si="2521"/>
        <v>40000</v>
      </c>
      <c r="H5158" s="690" t="s">
        <v>172</v>
      </c>
      <c r="I5158" s="71" t="s">
        <v>3295</v>
      </c>
      <c r="J5158" s="53">
        <f t="shared" si="2523"/>
        <v>-8000</v>
      </c>
      <c r="K5158" s="63">
        <f t="shared" si="2527"/>
        <v>-0.2</v>
      </c>
      <c r="L5158" s="1212" t="s">
        <v>3430</v>
      </c>
      <c r="M5158" s="468"/>
      <c r="N5158" s="1192">
        <f t="shared" si="2519"/>
        <v>44754</v>
      </c>
      <c r="O5158" s="71" t="s">
        <v>662</v>
      </c>
      <c r="P5158" s="103" t="str">
        <f t="shared" si="2524"/>
        <v>고무사카 노란색</v>
      </c>
      <c r="Q5158" s="71">
        <f t="shared" si="2522"/>
        <v>100</v>
      </c>
      <c r="R5158" s="102">
        <v>480</v>
      </c>
      <c r="S5158" s="102">
        <f t="shared" si="2525"/>
        <v>52800.000000000007</v>
      </c>
      <c r="T5158" s="102">
        <f t="shared" si="2526"/>
        <v>48000</v>
      </c>
      <c r="U5158" s="71"/>
      <c r="V5158" s="71"/>
      <c r="W5158" s="474"/>
      <c r="X5158" s="71"/>
      <c r="Y5158" s="71"/>
    </row>
    <row r="5159" spans="1:25" ht="30" hidden="1" customHeight="1" x14ac:dyDescent="0.25">
      <c r="A5159" s="1145">
        <v>44746</v>
      </c>
      <c r="B5159" s="664" t="s">
        <v>3289</v>
      </c>
      <c r="C5159" s="71" t="s">
        <v>2070</v>
      </c>
      <c r="D5159" s="71">
        <v>10</v>
      </c>
      <c r="E5159" s="102">
        <v>108000</v>
      </c>
      <c r="F5159" s="102">
        <f>(E5159*D5159)*1.1</f>
        <v>1188000</v>
      </c>
      <c r="G5159" s="102">
        <f>(E5159*D5159)</f>
        <v>1080000</v>
      </c>
      <c r="H5159" s="690" t="s">
        <v>172</v>
      </c>
      <c r="I5159" s="71" t="s">
        <v>33</v>
      </c>
      <c r="J5159" s="53">
        <f t="shared" si="2523"/>
        <v>212000</v>
      </c>
      <c r="K5159" s="63">
        <f t="shared" si="2527"/>
        <v>0.1962962962962963</v>
      </c>
      <c r="L5159" s="1212" t="s">
        <v>3430</v>
      </c>
      <c r="M5159" s="468"/>
      <c r="N5159" s="1192">
        <f>A5159</f>
        <v>44746</v>
      </c>
      <c r="O5159" s="71" t="s">
        <v>146</v>
      </c>
      <c r="P5159" s="103" t="str">
        <f>(C5159)</f>
        <v>Blanket(1050*840)</v>
      </c>
      <c r="Q5159" s="71">
        <f>D5159</f>
        <v>10</v>
      </c>
      <c r="R5159" s="102">
        <v>86800</v>
      </c>
      <c r="S5159" s="102">
        <f t="shared" si="2525"/>
        <v>954800.00000000012</v>
      </c>
      <c r="T5159" s="102">
        <f t="shared" si="2526"/>
        <v>868000</v>
      </c>
      <c r="U5159" s="71" t="str">
        <f>IF(J5159=W5159,"O", "X")</f>
        <v>X</v>
      </c>
      <c r="V5159" s="71"/>
      <c r="W5159" s="474">
        <v>275000</v>
      </c>
      <c r="X5159" s="71"/>
      <c r="Y5159" s="71"/>
    </row>
    <row r="5160" spans="1:25" ht="30" hidden="1" customHeight="1" x14ac:dyDescent="0.25">
      <c r="A5160" s="1145">
        <v>44746</v>
      </c>
      <c r="B5160" s="664" t="s">
        <v>3289</v>
      </c>
      <c r="C5160" s="71" t="s">
        <v>277</v>
      </c>
      <c r="D5160" s="71">
        <v>10</v>
      </c>
      <c r="E5160" s="102">
        <v>172000</v>
      </c>
      <c r="F5160" s="102">
        <f t="shared" si="2520"/>
        <v>1892000.0000000002</v>
      </c>
      <c r="G5160" s="102">
        <f t="shared" si="2521"/>
        <v>1720000</v>
      </c>
      <c r="H5160" s="690" t="s">
        <v>172</v>
      </c>
      <c r="I5160" s="71" t="s">
        <v>180</v>
      </c>
      <c r="J5160" s="53">
        <f t="shared" si="2523"/>
        <v>421000</v>
      </c>
      <c r="K5160" s="63">
        <f t="shared" si="2527"/>
        <v>0.24476744186046509</v>
      </c>
      <c r="L5160" s="1212" t="s">
        <v>3430</v>
      </c>
      <c r="M5160" s="468"/>
      <c r="N5160" s="1192">
        <f t="shared" si="2519"/>
        <v>44746</v>
      </c>
      <c r="O5160" s="71" t="s">
        <v>662</v>
      </c>
      <c r="P5160" s="103" t="str">
        <f t="shared" si="2524"/>
        <v>윤전용 세척제(Web 504)</v>
      </c>
      <c r="Q5160" s="71">
        <f t="shared" si="2522"/>
        <v>10</v>
      </c>
      <c r="R5160" s="102">
        <v>129900</v>
      </c>
      <c r="S5160" s="102">
        <f t="shared" si="2525"/>
        <v>1428900</v>
      </c>
      <c r="T5160" s="102">
        <f t="shared" si="2526"/>
        <v>1299000</v>
      </c>
      <c r="U5160" s="71" t="str">
        <f>IF(J5160=W5160,"O", "X")</f>
        <v>X</v>
      </c>
      <c r="V5160" s="71"/>
      <c r="W5160" s="474"/>
      <c r="X5160" s="71"/>
      <c r="Y5160" s="71"/>
    </row>
    <row r="5161" spans="1:25" ht="30" hidden="1" customHeight="1" x14ac:dyDescent="0.25">
      <c r="A5161" s="1145">
        <v>44753</v>
      </c>
      <c r="B5161" s="664" t="s">
        <v>2261</v>
      </c>
      <c r="C5161" s="760" t="s">
        <v>181</v>
      </c>
      <c r="D5161" s="71">
        <v>10</v>
      </c>
      <c r="E5161" s="102">
        <v>192500</v>
      </c>
      <c r="F5161" s="102">
        <f t="shared" si="2520"/>
        <v>2117500</v>
      </c>
      <c r="G5161" s="102">
        <f t="shared" si="2521"/>
        <v>1925000</v>
      </c>
      <c r="H5161" s="690" t="s">
        <v>2029</v>
      </c>
      <c r="I5161" s="71" t="s">
        <v>182</v>
      </c>
      <c r="J5161" s="53">
        <f t="shared" si="2523"/>
        <v>710000</v>
      </c>
      <c r="K5161" s="63">
        <f t="shared" si="2527"/>
        <v>0.36883116883116884</v>
      </c>
      <c r="L5161" s="1212" t="s">
        <v>3430</v>
      </c>
      <c r="M5161" s="468"/>
      <c r="N5161" s="1192">
        <f t="shared" si="2519"/>
        <v>44753</v>
      </c>
      <c r="O5161" s="71" t="s">
        <v>2030</v>
      </c>
      <c r="P5161" s="103" t="str">
        <f t="shared" si="2524"/>
        <v>Fount Web 551AF</v>
      </c>
      <c r="Q5161" s="71">
        <f t="shared" si="2522"/>
        <v>10</v>
      </c>
      <c r="R5161" s="102">
        <v>121500</v>
      </c>
      <c r="S5161" s="102">
        <f t="shared" si="2525"/>
        <v>1336500</v>
      </c>
      <c r="T5161" s="102">
        <f t="shared" si="2526"/>
        <v>1215000</v>
      </c>
      <c r="U5161" s="71" t="str">
        <f>IF(J5161=W5161,"O", "X")</f>
        <v>X</v>
      </c>
      <c r="V5161" s="71"/>
      <c r="W5161" s="474">
        <v>640000</v>
      </c>
      <c r="X5161" s="71"/>
      <c r="Y5161" s="71"/>
    </row>
    <row r="5162" spans="1:25" ht="30" hidden="1" customHeight="1" x14ac:dyDescent="0.25">
      <c r="A5162" s="1145">
        <v>44753</v>
      </c>
      <c r="B5162" s="664" t="s">
        <v>3289</v>
      </c>
      <c r="C5162" s="71" t="s">
        <v>277</v>
      </c>
      <c r="D5162" s="71">
        <v>10</v>
      </c>
      <c r="E5162" s="102">
        <v>172000</v>
      </c>
      <c r="F5162" s="102">
        <f>(E5162*D5162)*1.1</f>
        <v>1892000.0000000002</v>
      </c>
      <c r="G5162" s="102">
        <f>(E5162*D5162)</f>
        <v>1720000</v>
      </c>
      <c r="H5162" s="690" t="s">
        <v>172</v>
      </c>
      <c r="I5162" s="71" t="s">
        <v>180</v>
      </c>
      <c r="J5162" s="53">
        <f t="shared" si="2523"/>
        <v>421000</v>
      </c>
      <c r="K5162" s="63">
        <f t="shared" si="2527"/>
        <v>0.24476744186046509</v>
      </c>
      <c r="L5162" s="1212" t="s">
        <v>3430</v>
      </c>
      <c r="M5162" s="468"/>
      <c r="N5162" s="1192">
        <f>A5162</f>
        <v>44753</v>
      </c>
      <c r="O5162" s="71" t="s">
        <v>662</v>
      </c>
      <c r="P5162" s="103" t="str">
        <f>(C5162)</f>
        <v>윤전용 세척제(Web 504)</v>
      </c>
      <c r="Q5162" s="71">
        <f>D5162</f>
        <v>10</v>
      </c>
      <c r="R5162" s="102">
        <v>129900</v>
      </c>
      <c r="S5162" s="102">
        <f t="shared" si="2525"/>
        <v>1428900</v>
      </c>
      <c r="T5162" s="102">
        <f t="shared" si="2526"/>
        <v>1299000</v>
      </c>
      <c r="U5162" s="71" t="str">
        <f>IF(J5162=W5162,"O", "X")</f>
        <v>X</v>
      </c>
      <c r="V5162" s="71"/>
      <c r="W5162" s="474"/>
      <c r="X5162" s="71"/>
      <c r="Y5162" s="71"/>
    </row>
    <row r="5163" spans="1:25" s="209" customFormat="1" ht="31.5" hidden="1" customHeight="1" x14ac:dyDescent="0.2">
      <c r="A5163" s="1145">
        <v>44764</v>
      </c>
      <c r="B5163" s="664" t="s">
        <v>3289</v>
      </c>
      <c r="C5163" s="71" t="s">
        <v>3387</v>
      </c>
      <c r="D5163" s="71">
        <v>10</v>
      </c>
      <c r="E5163" s="102">
        <v>120000</v>
      </c>
      <c r="F5163" s="102">
        <f t="shared" si="2520"/>
        <v>1320000</v>
      </c>
      <c r="G5163" s="102">
        <f t="shared" si="2521"/>
        <v>1200000</v>
      </c>
      <c r="H5163" s="165" t="s">
        <v>172</v>
      </c>
      <c r="I5163" s="71" t="s">
        <v>184</v>
      </c>
      <c r="J5163" s="53">
        <f t="shared" si="2523"/>
        <v>80000</v>
      </c>
      <c r="K5163" s="63">
        <f t="shared" si="2527"/>
        <v>6.6666666666666666E-2</v>
      </c>
      <c r="L5163" s="1212" t="s">
        <v>3430</v>
      </c>
      <c r="M5163" s="468"/>
      <c r="N5163" s="1192">
        <f t="shared" si="2519"/>
        <v>44764</v>
      </c>
      <c r="O5163" s="71" t="s">
        <v>189</v>
      </c>
      <c r="P5163" s="103" t="str">
        <f t="shared" si="2524"/>
        <v>Blanket(990*725)</v>
      </c>
      <c r="Q5163" s="71">
        <f t="shared" si="2522"/>
        <v>10</v>
      </c>
      <c r="R5163" s="102">
        <v>112000</v>
      </c>
      <c r="S5163" s="102">
        <f t="shared" si="2525"/>
        <v>1232000</v>
      </c>
      <c r="T5163" s="102">
        <f t="shared" si="2526"/>
        <v>1120000</v>
      </c>
      <c r="U5163" s="71" t="str">
        <f>IF(J5163=W5163,"O", "X")</f>
        <v>O</v>
      </c>
      <c r="V5163" s="71"/>
      <c r="W5163" s="474">
        <v>80000</v>
      </c>
      <c r="X5163" s="71"/>
      <c r="Y5163" s="71"/>
    </row>
    <row r="5164" spans="1:25" ht="30" hidden="1" customHeight="1" x14ac:dyDescent="0.25">
      <c r="A5164" s="1145">
        <v>44764</v>
      </c>
      <c r="B5164" s="664" t="s">
        <v>2261</v>
      </c>
      <c r="C5164" s="71" t="s">
        <v>3299</v>
      </c>
      <c r="D5164" s="71">
        <v>10</v>
      </c>
      <c r="E5164" s="102">
        <v>47600</v>
      </c>
      <c r="F5164" s="102">
        <f t="shared" si="2520"/>
        <v>523600.00000000006</v>
      </c>
      <c r="G5164" s="102">
        <f t="shared" si="2521"/>
        <v>476000</v>
      </c>
      <c r="H5164" s="690" t="s">
        <v>172</v>
      </c>
      <c r="I5164" s="71" t="s">
        <v>180</v>
      </c>
      <c r="J5164" s="53">
        <f t="shared" si="2523"/>
        <v>76000</v>
      </c>
      <c r="K5164" s="63">
        <f t="shared" si="2527"/>
        <v>0.15966386554621848</v>
      </c>
      <c r="L5164" s="1212" t="s">
        <v>3430</v>
      </c>
      <c r="M5164" s="468" t="s">
        <v>3304</v>
      </c>
      <c r="N5164" s="1192">
        <v>44544</v>
      </c>
      <c r="O5164" s="71" t="s">
        <v>175</v>
      </c>
      <c r="P5164" s="103" t="s">
        <v>3299</v>
      </c>
      <c r="Q5164" s="71">
        <f t="shared" si="2522"/>
        <v>10</v>
      </c>
      <c r="R5164" s="102">
        <v>40000</v>
      </c>
      <c r="S5164" s="102">
        <f t="shared" si="2525"/>
        <v>440000.00000000006</v>
      </c>
      <c r="T5164" s="102">
        <f t="shared" si="2526"/>
        <v>400000</v>
      </c>
      <c r="U5164" s="71" t="s">
        <v>859</v>
      </c>
      <c r="V5164" s="71"/>
      <c r="W5164" s="474"/>
      <c r="X5164" s="71"/>
      <c r="Y5164" s="71"/>
    </row>
    <row r="5165" spans="1:25" ht="30" customHeight="1" x14ac:dyDescent="0.25">
      <c r="A5165" s="1145">
        <v>44746</v>
      </c>
      <c r="B5165" s="664" t="s">
        <v>641</v>
      </c>
      <c r="C5165" s="71" t="s">
        <v>3434</v>
      </c>
      <c r="D5165" s="71">
        <v>10</v>
      </c>
      <c r="E5165" s="102">
        <v>80000</v>
      </c>
      <c r="F5165" s="102">
        <f t="shared" si="2520"/>
        <v>880000.00000000012</v>
      </c>
      <c r="G5165" s="102">
        <f t="shared" si="2521"/>
        <v>800000</v>
      </c>
      <c r="H5165" s="690" t="s">
        <v>172</v>
      </c>
      <c r="I5165" s="71" t="s">
        <v>142</v>
      </c>
      <c r="J5165" s="53">
        <f t="shared" si="2523"/>
        <v>80000</v>
      </c>
      <c r="K5165" s="63">
        <f t="shared" si="2527"/>
        <v>9.9999999999999992E-2</v>
      </c>
      <c r="L5165" s="1212" t="s">
        <v>3430</v>
      </c>
      <c r="M5165" s="468"/>
      <c r="N5165" s="1192">
        <f>A5165</f>
        <v>44746</v>
      </c>
      <c r="O5165" s="71" t="s">
        <v>2030</v>
      </c>
      <c r="P5165" s="103" t="str">
        <f t="shared" ref="P5165:P5171" si="2528">(C5165)</f>
        <v>아그파 CTP 베어링</v>
      </c>
      <c r="Q5165" s="71">
        <f t="shared" si="2522"/>
        <v>10</v>
      </c>
      <c r="R5165" s="102">
        <v>72000</v>
      </c>
      <c r="S5165" s="102">
        <f t="shared" si="2525"/>
        <v>792000.00000000012</v>
      </c>
      <c r="T5165" s="102">
        <f t="shared" si="2526"/>
        <v>720000</v>
      </c>
      <c r="U5165" s="71" t="str">
        <f>IF(J5165=W5165,"O", "X")</f>
        <v>O</v>
      </c>
      <c r="V5165" s="71"/>
      <c r="W5165" s="474">
        <f>(G5165-T5165)</f>
        <v>80000</v>
      </c>
      <c r="X5165" s="71"/>
      <c r="Y5165" s="71"/>
    </row>
    <row r="5166" spans="1:25" ht="30" customHeight="1" x14ac:dyDescent="0.25">
      <c r="A5166" s="1145">
        <v>44763</v>
      </c>
      <c r="B5166" s="664" t="s">
        <v>641</v>
      </c>
      <c r="C5166" s="71" t="s">
        <v>2031</v>
      </c>
      <c r="D5166" s="71">
        <v>3</v>
      </c>
      <c r="E5166" s="102">
        <v>45000</v>
      </c>
      <c r="F5166" s="102">
        <f t="shared" si="2520"/>
        <v>148500</v>
      </c>
      <c r="G5166" s="102">
        <f t="shared" si="2521"/>
        <v>135000</v>
      </c>
      <c r="H5166" s="690" t="s">
        <v>94</v>
      </c>
      <c r="I5166" s="71" t="s">
        <v>142</v>
      </c>
      <c r="J5166" s="53">
        <f t="shared" si="2523"/>
        <v>63000</v>
      </c>
      <c r="K5166" s="63">
        <f t="shared" si="2527"/>
        <v>0.46666666666666667</v>
      </c>
      <c r="L5166" s="1212" t="s">
        <v>3430</v>
      </c>
      <c r="M5166" s="468"/>
      <c r="N5166" s="1192">
        <f>A5166</f>
        <v>44763</v>
      </c>
      <c r="O5166" s="71" t="s">
        <v>2030</v>
      </c>
      <c r="P5166" s="103" t="str">
        <f t="shared" si="2528"/>
        <v>필터백</v>
      </c>
      <c r="Q5166" s="71">
        <f t="shared" si="2522"/>
        <v>3</v>
      </c>
      <c r="R5166" s="102">
        <v>24000</v>
      </c>
      <c r="S5166" s="102">
        <f t="shared" si="2525"/>
        <v>79200</v>
      </c>
      <c r="T5166" s="102">
        <f t="shared" si="2526"/>
        <v>72000</v>
      </c>
      <c r="U5166" s="71" t="str">
        <f>IF(J5166=W5166,"O", "X")</f>
        <v>O</v>
      </c>
      <c r="V5166" s="71"/>
      <c r="W5166" s="474">
        <f>(G5166-T5166)</f>
        <v>63000</v>
      </c>
      <c r="X5166" s="71"/>
      <c r="Y5166" s="71"/>
    </row>
    <row r="5167" spans="1:25" ht="30" customHeight="1" x14ac:dyDescent="0.25">
      <c r="A5167" s="1145">
        <v>44763</v>
      </c>
      <c r="B5167" s="664" t="s">
        <v>641</v>
      </c>
      <c r="C5167" s="71" t="s">
        <v>3420</v>
      </c>
      <c r="D5167" s="71">
        <v>2</v>
      </c>
      <c r="E5167" s="102">
        <v>580000</v>
      </c>
      <c r="F5167" s="102">
        <f t="shared" si="2520"/>
        <v>1276000</v>
      </c>
      <c r="G5167" s="102">
        <f t="shared" si="2521"/>
        <v>1160000</v>
      </c>
      <c r="H5167" s="690" t="s">
        <v>172</v>
      </c>
      <c r="I5167" s="71" t="s">
        <v>142</v>
      </c>
      <c r="J5167" s="53">
        <f t="shared" si="2523"/>
        <v>174000</v>
      </c>
      <c r="K5167" s="63">
        <f t="shared" si="2527"/>
        <v>0.15</v>
      </c>
      <c r="L5167" s="1212" t="s">
        <v>3430</v>
      </c>
      <c r="M5167" s="468"/>
      <c r="N5167" s="1192">
        <f>A5167</f>
        <v>44763</v>
      </c>
      <c r="O5167" s="71" t="s">
        <v>2030</v>
      </c>
      <c r="P5167" s="103" t="str">
        <f t="shared" si="2528"/>
        <v>세척장치 연결고리</v>
      </c>
      <c r="Q5167" s="71">
        <f t="shared" si="2522"/>
        <v>2</v>
      </c>
      <c r="R5167" s="102">
        <v>493000</v>
      </c>
      <c r="S5167" s="102">
        <f t="shared" si="2525"/>
        <v>1084600</v>
      </c>
      <c r="T5167" s="102">
        <f t="shared" si="2526"/>
        <v>986000</v>
      </c>
      <c r="U5167" s="71" t="str">
        <f>IF(J5167=W5167,"O", "X")</f>
        <v>O</v>
      </c>
      <c r="V5167" s="71"/>
      <c r="W5167" s="474">
        <f>(G5167-T5167)</f>
        <v>174000</v>
      </c>
      <c r="X5167" s="71"/>
      <c r="Y5167" s="71"/>
    </row>
    <row r="5168" spans="1:25" ht="30" customHeight="1" x14ac:dyDescent="0.25">
      <c r="A5168" s="1145">
        <v>44763</v>
      </c>
      <c r="B5168" s="664" t="s">
        <v>641</v>
      </c>
      <c r="C5168" s="71" t="s">
        <v>220</v>
      </c>
      <c r="D5168" s="71">
        <v>7</v>
      </c>
      <c r="E5168" s="102">
        <v>299000</v>
      </c>
      <c r="F5168" s="102">
        <f t="shared" si="2520"/>
        <v>2302300</v>
      </c>
      <c r="G5168" s="102">
        <f t="shared" si="2521"/>
        <v>2093000</v>
      </c>
      <c r="H5168" s="690" t="s">
        <v>172</v>
      </c>
      <c r="I5168" s="71" t="s">
        <v>142</v>
      </c>
      <c r="J5168" s="53">
        <v>414400</v>
      </c>
      <c r="K5168" s="63">
        <v>0.21764705882352939</v>
      </c>
      <c r="L5168" s="1212" t="s">
        <v>3430</v>
      </c>
      <c r="M5168" s="468" t="s">
        <v>3303</v>
      </c>
      <c r="N5168" s="1192">
        <v>44538</v>
      </c>
      <c r="O5168" s="71" t="s">
        <v>175</v>
      </c>
      <c r="P5168" s="103" t="str">
        <f t="shared" si="2528"/>
        <v>세정포-XL106</v>
      </c>
      <c r="Q5168" s="71">
        <f t="shared" si="2522"/>
        <v>7</v>
      </c>
      <c r="R5168" s="102">
        <v>212800</v>
      </c>
      <c r="S5168" s="102">
        <f t="shared" si="2525"/>
        <v>1638560.0000000002</v>
      </c>
      <c r="T5168" s="102">
        <f t="shared" si="2526"/>
        <v>1489600</v>
      </c>
      <c r="U5168" s="71" t="s">
        <v>859</v>
      </c>
      <c r="V5168" s="71"/>
      <c r="W5168" s="474"/>
      <c r="X5168" s="71"/>
      <c r="Y5168" s="71"/>
    </row>
    <row r="5169" spans="1:25" ht="30" customHeight="1" x14ac:dyDescent="0.25">
      <c r="A5169" s="1145">
        <v>44763</v>
      </c>
      <c r="B5169" s="664" t="s">
        <v>641</v>
      </c>
      <c r="C5169" s="71" t="s">
        <v>230</v>
      </c>
      <c r="D5169" s="71">
        <v>10</v>
      </c>
      <c r="E5169" s="102">
        <v>138000</v>
      </c>
      <c r="F5169" s="102">
        <f t="shared" si="2520"/>
        <v>1518000.0000000002</v>
      </c>
      <c r="G5169" s="102">
        <f t="shared" si="2521"/>
        <v>1380000</v>
      </c>
      <c r="H5169" s="690" t="s">
        <v>172</v>
      </c>
      <c r="I5169" s="71" t="s">
        <v>142</v>
      </c>
      <c r="J5169" s="53">
        <v>260000</v>
      </c>
      <c r="K5169" s="63">
        <v>0.20799999999999999</v>
      </c>
      <c r="L5169" s="1212" t="s">
        <v>3430</v>
      </c>
      <c r="M5169" s="468" t="s">
        <v>3303</v>
      </c>
      <c r="N5169" s="1192">
        <v>44544</v>
      </c>
      <c r="O5169" s="71" t="s">
        <v>662</v>
      </c>
      <c r="P5169" s="103" t="str">
        <f t="shared" si="2528"/>
        <v>XL106 Blanket(1077*885)</v>
      </c>
      <c r="Q5169" s="71">
        <f t="shared" si="2522"/>
        <v>10</v>
      </c>
      <c r="R5169" s="102">
        <v>109000</v>
      </c>
      <c r="S5169" s="102">
        <f t="shared" si="2525"/>
        <v>1199000</v>
      </c>
      <c r="T5169" s="102">
        <f t="shared" si="2526"/>
        <v>1090000</v>
      </c>
      <c r="U5169" s="71" t="s">
        <v>859</v>
      </c>
      <c r="V5169" s="71"/>
      <c r="W5169" s="474"/>
      <c r="X5169" s="71"/>
      <c r="Y5169" s="71"/>
    </row>
    <row r="5170" spans="1:25" ht="30" customHeight="1" x14ac:dyDescent="0.25">
      <c r="A5170" s="1145">
        <v>44763</v>
      </c>
      <c r="B5170" s="664" t="s">
        <v>641</v>
      </c>
      <c r="C5170" s="71" t="s">
        <v>3299</v>
      </c>
      <c r="D5170" s="71">
        <v>10</v>
      </c>
      <c r="E5170" s="102">
        <v>75000</v>
      </c>
      <c r="F5170" s="102">
        <f t="shared" si="2520"/>
        <v>825000.00000000012</v>
      </c>
      <c r="G5170" s="102">
        <f t="shared" si="2521"/>
        <v>750000</v>
      </c>
      <c r="H5170" s="690" t="s">
        <v>172</v>
      </c>
      <c r="I5170" s="71" t="s">
        <v>142</v>
      </c>
      <c r="J5170" s="53">
        <v>136000</v>
      </c>
      <c r="K5170" s="63">
        <v>0.25</v>
      </c>
      <c r="L5170" s="1212" t="s">
        <v>3430</v>
      </c>
      <c r="M5170" s="468" t="s">
        <v>3304</v>
      </c>
      <c r="N5170" s="1192">
        <v>44544</v>
      </c>
      <c r="O5170" s="71" t="s">
        <v>175</v>
      </c>
      <c r="P5170" s="103" t="s">
        <v>3299</v>
      </c>
      <c r="Q5170" s="71">
        <f t="shared" si="2522"/>
        <v>10</v>
      </c>
      <c r="R5170" s="102">
        <v>40000</v>
      </c>
      <c r="S5170" s="102">
        <f t="shared" si="2525"/>
        <v>440000.00000000006</v>
      </c>
      <c r="T5170" s="102">
        <f t="shared" si="2526"/>
        <v>400000</v>
      </c>
      <c r="U5170" s="71" t="s">
        <v>859</v>
      </c>
      <c r="V5170" s="71"/>
      <c r="W5170" s="474"/>
      <c r="X5170" s="71"/>
      <c r="Y5170" s="71"/>
    </row>
    <row r="5171" spans="1:25" ht="30" customHeight="1" x14ac:dyDescent="0.25">
      <c r="A5171" s="1145">
        <v>44760</v>
      </c>
      <c r="B5171" s="664" t="s">
        <v>565</v>
      </c>
      <c r="C5171" s="71" t="s">
        <v>3442</v>
      </c>
      <c r="D5171" s="71">
        <v>1</v>
      </c>
      <c r="E5171" s="102">
        <v>9357500</v>
      </c>
      <c r="F5171" s="102">
        <f t="shared" si="2520"/>
        <v>10293250</v>
      </c>
      <c r="G5171" s="102">
        <f t="shared" si="2521"/>
        <v>9357500</v>
      </c>
      <c r="H5171" s="690" t="s">
        <v>36</v>
      </c>
      <c r="I5171" s="71" t="s">
        <v>142</v>
      </c>
      <c r="J5171" s="53">
        <f>G5171-T5171</f>
        <v>4557500</v>
      </c>
      <c r="K5171" s="63">
        <f>(J5171/(F5171/11*10))</f>
        <v>0.48704247929468342</v>
      </c>
      <c r="L5171" s="1212" t="s">
        <v>3430</v>
      </c>
      <c r="M5171" s="468"/>
      <c r="N5171" s="1192"/>
      <c r="O5171" s="71"/>
      <c r="P5171" s="103" t="str">
        <f t="shared" si="2528"/>
        <v>잉크모듈키판</v>
      </c>
      <c r="Q5171" s="71">
        <f t="shared" si="2522"/>
        <v>1</v>
      </c>
      <c r="R5171" s="102">
        <v>4800000</v>
      </c>
      <c r="S5171" s="102">
        <f t="shared" si="2525"/>
        <v>5280000</v>
      </c>
      <c r="T5171" s="102">
        <f t="shared" si="2526"/>
        <v>4800000</v>
      </c>
      <c r="U5171" s="71"/>
      <c r="V5171" s="71"/>
      <c r="W5171" s="474"/>
      <c r="X5171" s="71"/>
      <c r="Y5171" s="71"/>
    </row>
    <row r="5172" spans="1:25" ht="30" hidden="1" customHeight="1" x14ac:dyDescent="0.25">
      <c r="A5172" s="1145"/>
      <c r="B5172" s="664" t="s">
        <v>442</v>
      </c>
      <c r="C5172" s="71" t="s">
        <v>3299</v>
      </c>
      <c r="D5172" s="71"/>
      <c r="E5172" s="102">
        <v>69000</v>
      </c>
      <c r="F5172" s="102">
        <f t="shared" si="2520"/>
        <v>0</v>
      </c>
      <c r="G5172" s="102">
        <f t="shared" si="2521"/>
        <v>0</v>
      </c>
      <c r="H5172" s="690" t="s">
        <v>172</v>
      </c>
      <c r="I5172" s="71" t="s">
        <v>180</v>
      </c>
      <c r="J5172" s="53">
        <v>136000</v>
      </c>
      <c r="K5172" s="63">
        <v>0.25</v>
      </c>
      <c r="L5172" s="1212" t="s">
        <v>3430</v>
      </c>
      <c r="M5172" s="468" t="s">
        <v>3304</v>
      </c>
      <c r="N5172" s="1192">
        <v>44544</v>
      </c>
      <c r="O5172" s="71" t="s">
        <v>175</v>
      </c>
      <c r="P5172" s="103" t="s">
        <v>3299</v>
      </c>
      <c r="Q5172" s="71">
        <f t="shared" ref="Q5172:Q5182" si="2529">D5172</f>
        <v>0</v>
      </c>
      <c r="R5172" s="102">
        <v>40000</v>
      </c>
      <c r="S5172" s="102">
        <f t="shared" si="2525"/>
        <v>0</v>
      </c>
      <c r="T5172" s="102">
        <f t="shared" si="2526"/>
        <v>0</v>
      </c>
      <c r="U5172" s="71" t="s">
        <v>859</v>
      </c>
      <c r="V5172" s="71"/>
      <c r="W5172" s="474"/>
      <c r="X5172" s="71"/>
      <c r="Y5172" s="71"/>
    </row>
    <row r="5173" spans="1:25" ht="30" hidden="1" customHeight="1" x14ac:dyDescent="0.25">
      <c r="A5173" s="1145"/>
      <c r="B5173" s="664" t="s">
        <v>2</v>
      </c>
      <c r="C5173" s="71" t="s">
        <v>3359</v>
      </c>
      <c r="D5173" s="71"/>
      <c r="E5173" s="102">
        <v>172000</v>
      </c>
      <c r="F5173" s="102">
        <f t="shared" si="2520"/>
        <v>0</v>
      </c>
      <c r="G5173" s="102">
        <f t="shared" si="2521"/>
        <v>0</v>
      </c>
      <c r="H5173" s="690" t="s">
        <v>172</v>
      </c>
      <c r="I5173" s="71" t="s">
        <v>38</v>
      </c>
      <c r="J5173" s="53">
        <f t="shared" ref="J5173:J5181" si="2530">G5173-T5173</f>
        <v>0</v>
      </c>
      <c r="K5173" s="63" t="e">
        <f t="shared" ref="K5173:K5181" si="2531">(J5173/(F5173/11*10))</f>
        <v>#DIV/0!</v>
      </c>
      <c r="L5173" s="1212" t="s">
        <v>3430</v>
      </c>
      <c r="M5173" s="468" t="s">
        <v>3300</v>
      </c>
      <c r="N5173" s="1192">
        <f t="shared" ref="N5173:N5187" si="2532">A5173</f>
        <v>0</v>
      </c>
      <c r="O5173" s="71" t="s">
        <v>150</v>
      </c>
      <c r="P5173" s="103" t="s">
        <v>217</v>
      </c>
      <c r="Q5173" s="71">
        <f t="shared" si="2529"/>
        <v>0</v>
      </c>
      <c r="R5173" s="102">
        <v>90400</v>
      </c>
      <c r="S5173" s="102">
        <f t="shared" si="2525"/>
        <v>0</v>
      </c>
      <c r="T5173" s="102">
        <f t="shared" si="2526"/>
        <v>0</v>
      </c>
      <c r="U5173" s="71" t="str">
        <f t="shared" ref="U5173:U5182" si="2533">IF(J5173=W5173,"O", "X")</f>
        <v>O</v>
      </c>
      <c r="V5173" s="71"/>
      <c r="W5173" s="474"/>
      <c r="X5173" s="71"/>
      <c r="Y5173" s="71"/>
    </row>
    <row r="5174" spans="1:25" ht="30" hidden="1" customHeight="1" x14ac:dyDescent="0.25">
      <c r="A5174" s="1145"/>
      <c r="B5174" s="664" t="s">
        <v>2</v>
      </c>
      <c r="C5174" s="71" t="s">
        <v>2023</v>
      </c>
      <c r="D5174" s="71"/>
      <c r="E5174" s="102">
        <v>3860</v>
      </c>
      <c r="F5174" s="102">
        <f t="shared" si="2520"/>
        <v>0</v>
      </c>
      <c r="G5174" s="102">
        <f t="shared" si="2521"/>
        <v>0</v>
      </c>
      <c r="H5174" s="690" t="s">
        <v>172</v>
      </c>
      <c r="I5174" s="71" t="s">
        <v>3301</v>
      </c>
      <c r="J5174" s="53">
        <f t="shared" si="2530"/>
        <v>0</v>
      </c>
      <c r="K5174" s="63" t="e">
        <f t="shared" si="2531"/>
        <v>#DIV/0!</v>
      </c>
      <c r="L5174" s="1212" t="s">
        <v>3430</v>
      </c>
      <c r="M5174" s="468" t="s">
        <v>3302</v>
      </c>
      <c r="N5174" s="1192">
        <f t="shared" si="2532"/>
        <v>0</v>
      </c>
      <c r="O5174" s="71" t="s">
        <v>3298</v>
      </c>
      <c r="P5174" s="103" t="str">
        <f>(C5174)</f>
        <v>CTP 판(1030*790mm)</v>
      </c>
      <c r="Q5174" s="71">
        <f t="shared" si="2529"/>
        <v>0</v>
      </c>
      <c r="R5174" s="102">
        <v>4540</v>
      </c>
      <c r="S5174" s="102">
        <f t="shared" si="2525"/>
        <v>0</v>
      </c>
      <c r="T5174" s="102">
        <f t="shared" si="2526"/>
        <v>0</v>
      </c>
      <c r="U5174" s="71" t="str">
        <f t="shared" si="2533"/>
        <v>O</v>
      </c>
      <c r="V5174" s="71"/>
      <c r="W5174" s="474"/>
      <c r="X5174" s="71"/>
      <c r="Y5174" s="71"/>
    </row>
    <row r="5175" spans="1:25" ht="30" hidden="1" customHeight="1" x14ac:dyDescent="0.25">
      <c r="A5175" s="1145"/>
      <c r="B5175" s="664" t="s">
        <v>2</v>
      </c>
      <c r="C5175" s="71" t="s">
        <v>1386</v>
      </c>
      <c r="D5175" s="71"/>
      <c r="E5175" s="102">
        <v>52000</v>
      </c>
      <c r="F5175" s="102">
        <f t="shared" si="2520"/>
        <v>0</v>
      </c>
      <c r="G5175" s="102">
        <f t="shared" si="2521"/>
        <v>0</v>
      </c>
      <c r="H5175" s="690" t="s">
        <v>172</v>
      </c>
      <c r="I5175" s="71" t="s">
        <v>2529</v>
      </c>
      <c r="J5175" s="53">
        <f t="shared" si="2530"/>
        <v>0</v>
      </c>
      <c r="K5175" s="63" t="e">
        <f t="shared" si="2531"/>
        <v>#DIV/0!</v>
      </c>
      <c r="L5175" s="1212" t="s">
        <v>3430</v>
      </c>
      <c r="M5175" s="468"/>
      <c r="N5175" s="1192">
        <f t="shared" si="2532"/>
        <v>0</v>
      </c>
      <c r="O5175" s="71" t="s">
        <v>3298</v>
      </c>
      <c r="P5175" s="103" t="str">
        <f t="shared" ref="P5175:P5185" si="2534">(C5175)</f>
        <v>THR200(20L)보충액</v>
      </c>
      <c r="Q5175" s="71">
        <f t="shared" si="2529"/>
        <v>0</v>
      </c>
      <c r="R5175" s="102">
        <v>40205</v>
      </c>
      <c r="S5175" s="102">
        <f t="shared" si="2525"/>
        <v>0</v>
      </c>
      <c r="T5175" s="102">
        <f t="shared" si="2526"/>
        <v>0</v>
      </c>
      <c r="U5175" s="71" t="str">
        <f t="shared" si="2533"/>
        <v>O</v>
      </c>
      <c r="V5175" s="71"/>
      <c r="W5175" s="474">
        <f t="shared" ref="W5175:W5182" si="2535">(G5175-T5175)</f>
        <v>0</v>
      </c>
      <c r="X5175" s="71"/>
      <c r="Y5175" s="71"/>
    </row>
    <row r="5176" spans="1:25" ht="30" hidden="1" customHeight="1" x14ac:dyDescent="0.25">
      <c r="A5176" s="1145"/>
      <c r="B5176" s="664" t="s">
        <v>2</v>
      </c>
      <c r="C5176" s="71" t="s">
        <v>3318</v>
      </c>
      <c r="D5176" s="71"/>
      <c r="E5176" s="102">
        <v>52000</v>
      </c>
      <c r="F5176" s="102">
        <f t="shared" si="2520"/>
        <v>0</v>
      </c>
      <c r="G5176" s="102">
        <f t="shared" si="2521"/>
        <v>0</v>
      </c>
      <c r="H5176" s="690" t="s">
        <v>172</v>
      </c>
      <c r="I5176" s="71" t="s">
        <v>2529</v>
      </c>
      <c r="J5176" s="53">
        <f t="shared" si="2530"/>
        <v>0</v>
      </c>
      <c r="K5176" s="63" t="e">
        <f t="shared" si="2531"/>
        <v>#DIV/0!</v>
      </c>
      <c r="L5176" s="1212" t="s">
        <v>3430</v>
      </c>
      <c r="M5176" s="468"/>
      <c r="N5176" s="1192">
        <f t="shared" si="2532"/>
        <v>0</v>
      </c>
      <c r="O5176" s="71" t="s">
        <v>3298</v>
      </c>
      <c r="P5176" s="103" t="str">
        <f t="shared" si="2534"/>
        <v>THD200(20L)현상액</v>
      </c>
      <c r="Q5176" s="71">
        <f t="shared" si="2529"/>
        <v>0</v>
      </c>
      <c r="R5176" s="102">
        <v>40250</v>
      </c>
      <c r="S5176" s="102">
        <f t="shared" si="2525"/>
        <v>0</v>
      </c>
      <c r="T5176" s="102">
        <f t="shared" si="2526"/>
        <v>0</v>
      </c>
      <c r="U5176" s="71" t="str">
        <f t="shared" si="2533"/>
        <v>O</v>
      </c>
      <c r="V5176" s="71"/>
      <c r="W5176" s="474">
        <f t="shared" si="2535"/>
        <v>0</v>
      </c>
      <c r="X5176" s="71"/>
      <c r="Y5176" s="71"/>
    </row>
    <row r="5177" spans="1:25" ht="30" hidden="1" customHeight="1" x14ac:dyDescent="0.25">
      <c r="A5177" s="1145"/>
      <c r="B5177" s="664" t="s">
        <v>442</v>
      </c>
      <c r="C5177" s="71" t="s">
        <v>651</v>
      </c>
      <c r="D5177" s="71"/>
      <c r="E5177" s="102">
        <v>45000</v>
      </c>
      <c r="F5177" s="102">
        <f>(E5177*D5177)*1.1</f>
        <v>0</v>
      </c>
      <c r="G5177" s="102">
        <f>(E5177*D5177)</f>
        <v>0</v>
      </c>
      <c r="H5177" s="690" t="s">
        <v>2029</v>
      </c>
      <c r="I5177" s="71" t="s">
        <v>195</v>
      </c>
      <c r="J5177" s="53">
        <f t="shared" si="2530"/>
        <v>0</v>
      </c>
      <c r="K5177" s="63" t="e">
        <f>(J5177/(F5177/11*10))</f>
        <v>#DIV/0!</v>
      </c>
      <c r="L5177" s="1212" t="s">
        <v>3430</v>
      </c>
      <c r="M5177" s="468"/>
      <c r="N5177" s="1192">
        <f>A5177</f>
        <v>0</v>
      </c>
      <c r="O5177" s="71" t="s">
        <v>194</v>
      </c>
      <c r="P5177" s="164" t="str">
        <f>(C5177)</f>
        <v>Agfa 현상액 G101C(10L)</v>
      </c>
      <c r="Q5177" s="71">
        <f t="shared" si="2529"/>
        <v>0</v>
      </c>
      <c r="R5177" s="102">
        <v>27500</v>
      </c>
      <c r="S5177" s="102">
        <f t="shared" si="2525"/>
        <v>0</v>
      </c>
      <c r="T5177" s="102">
        <f t="shared" si="2526"/>
        <v>0</v>
      </c>
      <c r="U5177" s="71" t="str">
        <f t="shared" si="2533"/>
        <v>O</v>
      </c>
      <c r="V5177" s="71"/>
      <c r="W5177" s="474">
        <f t="shared" si="2535"/>
        <v>0</v>
      </c>
      <c r="X5177" s="71"/>
      <c r="Y5177" s="71"/>
    </row>
    <row r="5178" spans="1:25" ht="30" hidden="1" customHeight="1" x14ac:dyDescent="0.25">
      <c r="A5178" s="1145">
        <v>44740</v>
      </c>
      <c r="B5178" s="664" t="s">
        <v>442</v>
      </c>
      <c r="C5178" s="71" t="s">
        <v>206</v>
      </c>
      <c r="D5178" s="71">
        <v>4</v>
      </c>
      <c r="E5178" s="102">
        <v>403000</v>
      </c>
      <c r="F5178" s="102">
        <f t="shared" si="2520"/>
        <v>1773200.0000000002</v>
      </c>
      <c r="G5178" s="102">
        <f t="shared" si="2521"/>
        <v>1612000</v>
      </c>
      <c r="H5178" s="690" t="s">
        <v>2029</v>
      </c>
      <c r="I5178" s="71" t="s">
        <v>195</v>
      </c>
      <c r="J5178" s="53">
        <f t="shared" si="2530"/>
        <v>365160</v>
      </c>
      <c r="K5178" s="63">
        <f t="shared" si="2531"/>
        <v>0.22652605459057068</v>
      </c>
      <c r="L5178" s="1212" t="s">
        <v>3430</v>
      </c>
      <c r="M5178" s="468"/>
      <c r="N5178" s="1192">
        <f t="shared" si="2532"/>
        <v>44740</v>
      </c>
      <c r="O5178" s="71" t="s">
        <v>194</v>
      </c>
      <c r="P5178" s="103" t="str">
        <f t="shared" si="2534"/>
        <v>Agfa Film(24inch)</v>
      </c>
      <c r="Q5178" s="71">
        <f t="shared" si="2529"/>
        <v>4</v>
      </c>
      <c r="R5178" s="102">
        <v>311710</v>
      </c>
      <c r="S5178" s="102">
        <f t="shared" si="2525"/>
        <v>1371524</v>
      </c>
      <c r="T5178" s="102">
        <f t="shared" si="2526"/>
        <v>1246840</v>
      </c>
      <c r="U5178" s="71" t="str">
        <f t="shared" si="2533"/>
        <v>O</v>
      </c>
      <c r="V5178" s="71"/>
      <c r="W5178" s="474">
        <f t="shared" si="2535"/>
        <v>365160</v>
      </c>
      <c r="X5178" s="71"/>
      <c r="Y5178" s="71"/>
    </row>
    <row r="5179" spans="1:25" ht="30" hidden="1" customHeight="1" x14ac:dyDescent="0.25">
      <c r="A5179" s="1145">
        <v>44740</v>
      </c>
      <c r="B5179" s="664" t="s">
        <v>442</v>
      </c>
      <c r="C5179" s="71" t="s">
        <v>207</v>
      </c>
      <c r="D5179" s="71">
        <v>4</v>
      </c>
      <c r="E5179" s="102">
        <v>496000</v>
      </c>
      <c r="F5179" s="102">
        <f t="shared" si="2520"/>
        <v>2182400</v>
      </c>
      <c r="G5179" s="102">
        <f t="shared" si="2521"/>
        <v>1984000</v>
      </c>
      <c r="H5179" s="690" t="s">
        <v>2029</v>
      </c>
      <c r="I5179" s="71" t="s">
        <v>195</v>
      </c>
      <c r="J5179" s="53">
        <f t="shared" si="2530"/>
        <v>530560</v>
      </c>
      <c r="K5179" s="63">
        <f>(J5179/(F5179/11*10))</f>
        <v>0.26741935483870966</v>
      </c>
      <c r="L5179" s="1212" t="s">
        <v>3430</v>
      </c>
      <c r="M5179" s="468"/>
      <c r="N5179" s="1192">
        <f t="shared" si="2532"/>
        <v>44740</v>
      </c>
      <c r="O5179" s="71" t="s">
        <v>194</v>
      </c>
      <c r="P5179" s="103" t="str">
        <f t="shared" si="2534"/>
        <v>Agfa Film(28inch)</v>
      </c>
      <c r="Q5179" s="71">
        <f t="shared" si="2529"/>
        <v>4</v>
      </c>
      <c r="R5179" s="102">
        <v>363360</v>
      </c>
      <c r="S5179" s="102">
        <f t="shared" si="2525"/>
        <v>1598784.0000000002</v>
      </c>
      <c r="T5179" s="102">
        <f t="shared" si="2526"/>
        <v>1453440</v>
      </c>
      <c r="U5179" s="71" t="str">
        <f t="shared" si="2533"/>
        <v>O</v>
      </c>
      <c r="V5179" s="71"/>
      <c r="W5179" s="474">
        <f t="shared" si="2535"/>
        <v>530560</v>
      </c>
      <c r="X5179" s="71"/>
      <c r="Y5179" s="71"/>
    </row>
    <row r="5180" spans="1:25" ht="30" hidden="1" customHeight="1" x14ac:dyDescent="0.25">
      <c r="A5180" s="1145">
        <v>44740</v>
      </c>
      <c r="B5180" s="664" t="s">
        <v>442</v>
      </c>
      <c r="C5180" s="71" t="s">
        <v>208</v>
      </c>
      <c r="D5180" s="71">
        <v>4</v>
      </c>
      <c r="E5180" s="102">
        <v>555000</v>
      </c>
      <c r="F5180" s="102">
        <f t="shared" si="2520"/>
        <v>2442000</v>
      </c>
      <c r="G5180" s="102">
        <f t="shared" si="2521"/>
        <v>2220000</v>
      </c>
      <c r="H5180" s="690" t="s">
        <v>2029</v>
      </c>
      <c r="I5180" s="71" t="s">
        <v>195</v>
      </c>
      <c r="J5180" s="53">
        <f t="shared" si="2530"/>
        <v>506800</v>
      </c>
      <c r="K5180" s="63">
        <f>(J5180/(F5180/11*10))</f>
        <v>0.22828828828828829</v>
      </c>
      <c r="L5180" s="1212" t="s">
        <v>3430</v>
      </c>
      <c r="M5180" s="468"/>
      <c r="N5180" s="1192">
        <f t="shared" si="2532"/>
        <v>44740</v>
      </c>
      <c r="O5180" s="71" t="s">
        <v>194</v>
      </c>
      <c r="P5180" s="103" t="str">
        <f t="shared" si="2534"/>
        <v>Agfa Film(32inch)</v>
      </c>
      <c r="Q5180" s="71">
        <f t="shared" si="2529"/>
        <v>4</v>
      </c>
      <c r="R5180" s="102">
        <v>428300</v>
      </c>
      <c r="S5180" s="102">
        <f t="shared" si="2525"/>
        <v>1884520.0000000002</v>
      </c>
      <c r="T5180" s="102">
        <f t="shared" si="2526"/>
        <v>1713200</v>
      </c>
      <c r="U5180" s="71" t="str">
        <f t="shared" si="2533"/>
        <v>O</v>
      </c>
      <c r="V5180" s="71"/>
      <c r="W5180" s="474">
        <f t="shared" si="2535"/>
        <v>506800</v>
      </c>
      <c r="X5180" s="71"/>
      <c r="Y5180" s="71"/>
    </row>
    <row r="5181" spans="1:25" ht="30" hidden="1" customHeight="1" x14ac:dyDescent="0.2">
      <c r="A5181" s="1145">
        <v>44740</v>
      </c>
      <c r="B5181" s="664" t="s">
        <v>442</v>
      </c>
      <c r="C5181" s="71" t="s">
        <v>648</v>
      </c>
      <c r="D5181" s="71">
        <v>2</v>
      </c>
      <c r="E5181" s="102">
        <v>93000</v>
      </c>
      <c r="F5181" s="102">
        <f t="shared" si="2520"/>
        <v>204600.00000000003</v>
      </c>
      <c r="G5181" s="102">
        <f t="shared" si="2521"/>
        <v>186000</v>
      </c>
      <c r="H5181" s="165" t="s">
        <v>172</v>
      </c>
      <c r="I5181" s="71" t="s">
        <v>195</v>
      </c>
      <c r="J5181" s="53">
        <f t="shared" si="2530"/>
        <v>54000</v>
      </c>
      <c r="K5181" s="63">
        <f t="shared" si="2531"/>
        <v>0.29032258064516125</v>
      </c>
      <c r="L5181" s="1212" t="s">
        <v>3430</v>
      </c>
      <c r="M5181" s="468"/>
      <c r="N5181" s="1192">
        <f t="shared" si="2532"/>
        <v>44740</v>
      </c>
      <c r="O5181" s="71" t="s">
        <v>194</v>
      </c>
      <c r="P5181" s="103" t="str">
        <f t="shared" si="2534"/>
        <v>Agfa 정착액 G333C(20L)</v>
      </c>
      <c r="Q5181" s="71">
        <f t="shared" si="2529"/>
        <v>2</v>
      </c>
      <c r="R5181" s="102">
        <v>66000</v>
      </c>
      <c r="S5181" s="102">
        <f t="shared" si="2525"/>
        <v>145200</v>
      </c>
      <c r="T5181" s="102">
        <f t="shared" si="2526"/>
        <v>132000</v>
      </c>
      <c r="U5181" s="71" t="str">
        <f t="shared" si="2533"/>
        <v>O</v>
      </c>
      <c r="V5181" s="71"/>
      <c r="W5181" s="474">
        <f t="shared" si="2535"/>
        <v>54000</v>
      </c>
      <c r="X5181" s="71"/>
      <c r="Y5181" s="71"/>
    </row>
    <row r="5182" spans="1:25" ht="30" hidden="1" customHeight="1" x14ac:dyDescent="0.25">
      <c r="A5182" s="1145">
        <v>44748</v>
      </c>
      <c r="B5182" s="664" t="s">
        <v>442</v>
      </c>
      <c r="C5182" s="71" t="s">
        <v>3431</v>
      </c>
      <c r="D5182" s="71">
        <v>2</v>
      </c>
      <c r="E5182" s="102">
        <v>142000</v>
      </c>
      <c r="F5182" s="102">
        <f t="shared" si="2520"/>
        <v>312400</v>
      </c>
      <c r="G5182" s="102">
        <f t="shared" si="2521"/>
        <v>284000</v>
      </c>
      <c r="H5182" s="690" t="s">
        <v>2029</v>
      </c>
      <c r="I5182" s="71" t="s">
        <v>195</v>
      </c>
      <c r="J5182" s="53"/>
      <c r="K5182" s="63"/>
      <c r="L5182" s="1212" t="s">
        <v>3430</v>
      </c>
      <c r="M5182" s="468"/>
      <c r="N5182" s="1192">
        <f t="shared" si="2532"/>
        <v>44748</v>
      </c>
      <c r="O5182" s="71" t="s">
        <v>150</v>
      </c>
      <c r="P5182" s="164" t="str">
        <f>(C5182)</f>
        <v>닥터호일 아스테이지</v>
      </c>
      <c r="Q5182" s="71">
        <f t="shared" si="2529"/>
        <v>2</v>
      </c>
      <c r="R5182" s="102">
        <v>95000</v>
      </c>
      <c r="S5182" s="102">
        <f t="shared" si="2525"/>
        <v>209000.00000000003</v>
      </c>
      <c r="T5182" s="102">
        <f t="shared" si="2526"/>
        <v>190000</v>
      </c>
      <c r="U5182" s="71" t="str">
        <f t="shared" si="2533"/>
        <v>X</v>
      </c>
      <c r="V5182" s="71"/>
      <c r="W5182" s="474">
        <f t="shared" si="2535"/>
        <v>94000</v>
      </c>
      <c r="X5182" s="71"/>
      <c r="Y5182" s="71"/>
    </row>
    <row r="5183" spans="1:25" ht="30" hidden="1" customHeight="1" x14ac:dyDescent="0.25">
      <c r="A5183" s="1145">
        <v>44756</v>
      </c>
      <c r="B5183" s="664" t="s">
        <v>442</v>
      </c>
      <c r="C5183" s="71" t="s">
        <v>3432</v>
      </c>
      <c r="D5183" s="71">
        <v>2</v>
      </c>
      <c r="E5183" s="102">
        <v>260000</v>
      </c>
      <c r="F5183" s="102">
        <f t="shared" si="2520"/>
        <v>572000</v>
      </c>
      <c r="G5183" s="102">
        <f t="shared" si="2521"/>
        <v>520000</v>
      </c>
      <c r="H5183" s="690" t="s">
        <v>2029</v>
      </c>
      <c r="I5183" s="71" t="s">
        <v>3385</v>
      </c>
      <c r="J5183" s="53"/>
      <c r="K5183" s="63"/>
      <c r="L5183" s="1212" t="s">
        <v>3430</v>
      </c>
      <c r="M5183" s="468"/>
      <c r="N5183" s="1192">
        <f t="shared" si="2532"/>
        <v>44756</v>
      </c>
      <c r="O5183" s="71"/>
      <c r="P5183" s="103" t="str">
        <f t="shared" si="2534"/>
        <v>팬톤칼라 북</v>
      </c>
      <c r="Q5183" s="71">
        <f t="shared" ref="Q5183:Q5220" si="2536">D5183</f>
        <v>2</v>
      </c>
      <c r="R5183" s="102"/>
      <c r="S5183" s="102">
        <f t="shared" si="2525"/>
        <v>0</v>
      </c>
      <c r="T5183" s="102">
        <f t="shared" si="2526"/>
        <v>0</v>
      </c>
      <c r="U5183" s="71"/>
      <c r="V5183" s="71"/>
      <c r="W5183" s="474"/>
      <c r="X5183" s="71"/>
      <c r="Y5183" s="71"/>
    </row>
    <row r="5184" spans="1:25" ht="30" hidden="1" customHeight="1" x14ac:dyDescent="0.25">
      <c r="A5184" s="1145">
        <v>44762</v>
      </c>
      <c r="B5184" s="664" t="s">
        <v>442</v>
      </c>
      <c r="C5184" s="71" t="s">
        <v>3433</v>
      </c>
      <c r="D5184" s="71">
        <v>6</v>
      </c>
      <c r="E5184" s="102">
        <v>115000</v>
      </c>
      <c r="F5184" s="102">
        <f t="shared" si="2520"/>
        <v>759000.00000000012</v>
      </c>
      <c r="G5184" s="102">
        <f t="shared" si="2521"/>
        <v>690000</v>
      </c>
      <c r="H5184" s="690" t="s">
        <v>2029</v>
      </c>
      <c r="I5184" s="71" t="s">
        <v>3385</v>
      </c>
      <c r="J5184" s="53"/>
      <c r="K5184" s="63"/>
      <c r="L5184" s="1212" t="s">
        <v>3430</v>
      </c>
      <c r="M5184" s="468"/>
      <c r="N5184" s="1192">
        <f t="shared" si="2532"/>
        <v>44762</v>
      </c>
      <c r="O5184" s="71" t="s">
        <v>147</v>
      </c>
      <c r="P5184" s="164" t="str">
        <f t="shared" si="2534"/>
        <v>블랑켓-하이델베르그 국전용</v>
      </c>
      <c r="Q5184" s="71">
        <f t="shared" si="2536"/>
        <v>6</v>
      </c>
      <c r="R5184" s="102">
        <v>86800</v>
      </c>
      <c r="S5184" s="102">
        <f t="shared" si="2525"/>
        <v>572880</v>
      </c>
      <c r="T5184" s="102">
        <f t="shared" si="2526"/>
        <v>520800</v>
      </c>
      <c r="U5184" s="71"/>
      <c r="V5184" s="71"/>
      <c r="W5184" s="474"/>
      <c r="X5184" s="71"/>
      <c r="Y5184" s="71"/>
    </row>
    <row r="5185" spans="1:25" ht="30" hidden="1" customHeight="1" x14ac:dyDescent="0.25">
      <c r="A5185" s="1145">
        <v>44747</v>
      </c>
      <c r="B5185" s="664" t="s">
        <v>2798</v>
      </c>
      <c r="C5185" s="71" t="s">
        <v>167</v>
      </c>
      <c r="D5185" s="71">
        <v>10</v>
      </c>
      <c r="E5185" s="102">
        <v>125000</v>
      </c>
      <c r="F5185" s="102">
        <f>(E5185*D5185)*1.1</f>
        <v>1375000</v>
      </c>
      <c r="G5185" s="102">
        <f>(E5185*D5185)</f>
        <v>1250000</v>
      </c>
      <c r="H5185" s="690" t="s">
        <v>172</v>
      </c>
      <c r="I5185" s="71" t="s">
        <v>33</v>
      </c>
      <c r="J5185" s="53">
        <f>G5185-T5185</f>
        <v>356000</v>
      </c>
      <c r="K5185" s="63">
        <f>(J5185/(F5185/11*10))</f>
        <v>0.2848</v>
      </c>
      <c r="L5185" s="1212" t="s">
        <v>3430</v>
      </c>
      <c r="M5185" s="468"/>
      <c r="N5185" s="1192">
        <f>A5185</f>
        <v>44747</v>
      </c>
      <c r="O5185" s="71" t="s">
        <v>146</v>
      </c>
      <c r="P5185" s="103" t="str">
        <f t="shared" si="2534"/>
        <v>Blanket(1060*860)</v>
      </c>
      <c r="Q5185" s="71">
        <f>D5185</f>
        <v>10</v>
      </c>
      <c r="R5185" s="102">
        <v>89400</v>
      </c>
      <c r="S5185" s="102">
        <f t="shared" ref="S5185:S5211" si="2537">R5185*Q5185*1.1</f>
        <v>983400.00000000012</v>
      </c>
      <c r="T5185" s="102">
        <f t="shared" ref="T5185:T5211" si="2538">R5185*Q5185</f>
        <v>894000</v>
      </c>
      <c r="U5185" s="71" t="str">
        <f>IF(J5185=W5185,"O", "X")</f>
        <v>X</v>
      </c>
      <c r="V5185" s="71"/>
      <c r="W5185" s="474"/>
      <c r="X5185" s="71"/>
      <c r="Y5185" s="71"/>
    </row>
    <row r="5186" spans="1:25" s="209" customFormat="1" ht="30" hidden="1" customHeight="1" x14ac:dyDescent="0.25">
      <c r="A5186" s="1145">
        <v>44756</v>
      </c>
      <c r="B5186" s="664" t="s">
        <v>2798</v>
      </c>
      <c r="C5186" s="71" t="s">
        <v>3419</v>
      </c>
      <c r="D5186" s="71">
        <v>2</v>
      </c>
      <c r="E5186" s="102">
        <v>100000</v>
      </c>
      <c r="F5186" s="102">
        <f>(E5186*D5186)*1.1</f>
        <v>220000.00000000003</v>
      </c>
      <c r="G5186" s="102">
        <f>(E5186*D5186)</f>
        <v>200000</v>
      </c>
      <c r="H5186" s="690" t="s">
        <v>2029</v>
      </c>
      <c r="I5186" s="71" t="s">
        <v>3385</v>
      </c>
      <c r="J5186" s="53">
        <f>G5186-T5186</f>
        <v>100000</v>
      </c>
      <c r="K5186" s="63">
        <f>(J5186/(F5186/11*10))</f>
        <v>0.49999999999999994</v>
      </c>
      <c r="L5186" s="1212" t="s">
        <v>3430</v>
      </c>
      <c r="M5186" s="468"/>
      <c r="N5186" s="1192">
        <f>A5186</f>
        <v>44756</v>
      </c>
      <c r="O5186" s="71" t="s">
        <v>190</v>
      </c>
      <c r="P5186" s="164" t="str">
        <f>(C5186)</f>
        <v>아스테이지(국전)XL용</v>
      </c>
      <c r="Q5186" s="71">
        <f>D5186</f>
        <v>2</v>
      </c>
      <c r="R5186" s="102">
        <v>50000</v>
      </c>
      <c r="S5186" s="102">
        <f t="shared" si="2537"/>
        <v>110000.00000000001</v>
      </c>
      <c r="T5186" s="102">
        <f t="shared" si="2538"/>
        <v>100000</v>
      </c>
      <c r="U5186" s="71" t="str">
        <f>IF(J5186=W5186,"O", "X")</f>
        <v>X</v>
      </c>
      <c r="V5186" s="71"/>
      <c r="W5186" s="474">
        <v>500000</v>
      </c>
      <c r="X5186" s="71"/>
      <c r="Y5186" s="71"/>
    </row>
    <row r="5187" spans="1:25" ht="30" hidden="1" customHeight="1" x14ac:dyDescent="0.25">
      <c r="A5187" s="1145">
        <v>44762</v>
      </c>
      <c r="B5187" s="664" t="s">
        <v>444</v>
      </c>
      <c r="C5187" s="71" t="s">
        <v>3435</v>
      </c>
      <c r="D5187" s="71">
        <v>3</v>
      </c>
      <c r="E5187" s="102">
        <v>950000</v>
      </c>
      <c r="F5187" s="102">
        <f t="shared" si="2520"/>
        <v>3135000.0000000005</v>
      </c>
      <c r="G5187" s="102">
        <f t="shared" si="2521"/>
        <v>2850000</v>
      </c>
      <c r="H5187" s="690" t="s">
        <v>94</v>
      </c>
      <c r="I5187" s="71" t="s">
        <v>94</v>
      </c>
      <c r="J5187" s="53">
        <f>G5187-T5187</f>
        <v>1620000</v>
      </c>
      <c r="K5187" s="63">
        <f>(J5187/(F5187/11*10))</f>
        <v>0.56842105263157883</v>
      </c>
      <c r="L5187" s="1212" t="s">
        <v>3430</v>
      </c>
      <c r="M5187" s="468"/>
      <c r="N5187" s="1192">
        <f t="shared" si="2532"/>
        <v>44762</v>
      </c>
      <c r="O5187" s="71" t="s">
        <v>1432</v>
      </c>
      <c r="P5187" s="103" t="str">
        <f>(C5187)</f>
        <v>습수정화장치 beta.f 필터 세트</v>
      </c>
      <c r="Q5187" s="71">
        <f t="shared" si="2536"/>
        <v>3</v>
      </c>
      <c r="R5187" s="102">
        <v>410000</v>
      </c>
      <c r="S5187" s="102">
        <f t="shared" si="2537"/>
        <v>1353000</v>
      </c>
      <c r="T5187" s="102">
        <f t="shared" si="2538"/>
        <v>1230000</v>
      </c>
      <c r="U5187" s="71"/>
      <c r="V5187" s="71"/>
      <c r="W5187" s="474"/>
      <c r="X5187" s="71"/>
      <c r="Y5187" s="71"/>
    </row>
    <row r="5188" spans="1:25" ht="30" hidden="1" customHeight="1" x14ac:dyDescent="0.25">
      <c r="A5188" s="1145">
        <v>44764</v>
      </c>
      <c r="B5188" s="664" t="s">
        <v>2798</v>
      </c>
      <c r="C5188" s="71" t="s">
        <v>167</v>
      </c>
      <c r="D5188" s="71">
        <v>10</v>
      </c>
      <c r="E5188" s="102">
        <v>125000</v>
      </c>
      <c r="F5188" s="102">
        <f>(E5188*D5188)*1.1</f>
        <v>1375000</v>
      </c>
      <c r="G5188" s="102">
        <f>(E5188*D5188)</f>
        <v>1250000</v>
      </c>
      <c r="H5188" s="690" t="s">
        <v>172</v>
      </c>
      <c r="I5188" s="71" t="s">
        <v>33</v>
      </c>
      <c r="J5188" s="53">
        <f t="shared" ref="J5188:J5211" si="2539">G5188-T5188</f>
        <v>356000</v>
      </c>
      <c r="K5188" s="63">
        <f>(J5188/(F5188/11*10))</f>
        <v>0.2848</v>
      </c>
      <c r="L5188" s="1212" t="s">
        <v>3430</v>
      </c>
      <c r="M5188" s="468"/>
      <c r="N5188" s="1192">
        <f>A5188</f>
        <v>44764</v>
      </c>
      <c r="O5188" s="71" t="s">
        <v>146</v>
      </c>
      <c r="P5188" s="103" t="str">
        <f>(C5188)</f>
        <v>Blanket(1060*860)</v>
      </c>
      <c r="Q5188" s="71">
        <f>D5188</f>
        <v>10</v>
      </c>
      <c r="R5188" s="102">
        <v>89400</v>
      </c>
      <c r="S5188" s="102">
        <f t="shared" si="2537"/>
        <v>983400.00000000012</v>
      </c>
      <c r="T5188" s="102">
        <f t="shared" si="2538"/>
        <v>894000</v>
      </c>
      <c r="U5188" s="71" t="str">
        <f t="shared" ref="U5188:U5209" si="2540">IF(J5188=W5188,"O", "X")</f>
        <v>X</v>
      </c>
      <c r="V5188" s="71"/>
      <c r="W5188" s="474"/>
      <c r="X5188" s="71"/>
      <c r="Y5188" s="71"/>
    </row>
    <row r="5189" spans="1:25" s="209" customFormat="1" ht="30" hidden="1" customHeight="1" x14ac:dyDescent="0.25">
      <c r="A5189" s="1145">
        <v>44768</v>
      </c>
      <c r="B5189" s="664" t="s">
        <v>2798</v>
      </c>
      <c r="C5189" s="71" t="s">
        <v>3272</v>
      </c>
      <c r="D5189" s="71">
        <v>2</v>
      </c>
      <c r="E5189" s="102">
        <v>670000</v>
      </c>
      <c r="F5189" s="102">
        <f t="shared" si="2520"/>
        <v>1474000.0000000002</v>
      </c>
      <c r="G5189" s="102">
        <f t="shared" si="2521"/>
        <v>1340000</v>
      </c>
      <c r="H5189" s="690" t="s">
        <v>2029</v>
      </c>
      <c r="I5189" s="71" t="s">
        <v>3385</v>
      </c>
      <c r="J5189" s="53">
        <f t="shared" si="2539"/>
        <v>140000</v>
      </c>
      <c r="K5189" s="63">
        <f>(J5189/(F5189/11*10))</f>
        <v>0.10447761194029849</v>
      </c>
      <c r="L5189" s="1212" t="s">
        <v>3430</v>
      </c>
      <c r="M5189" s="468"/>
      <c r="N5189" s="1192">
        <f>A5189</f>
        <v>44768</v>
      </c>
      <c r="O5189" s="71" t="s">
        <v>2030</v>
      </c>
      <c r="P5189" s="164" t="str">
        <f>(C5189)</f>
        <v>닥터블레이드XL용</v>
      </c>
      <c r="Q5189" s="71">
        <f t="shared" si="2536"/>
        <v>2</v>
      </c>
      <c r="R5189" s="102">
        <v>600000</v>
      </c>
      <c r="S5189" s="102">
        <f t="shared" si="2537"/>
        <v>1320000</v>
      </c>
      <c r="T5189" s="102">
        <f t="shared" si="2538"/>
        <v>1200000</v>
      </c>
      <c r="U5189" s="71" t="str">
        <f t="shared" si="2540"/>
        <v>X</v>
      </c>
      <c r="V5189" s="71"/>
      <c r="W5189" s="474">
        <v>500000</v>
      </c>
      <c r="X5189" s="71"/>
      <c r="Y5189" s="71"/>
    </row>
    <row r="5190" spans="1:25" ht="30" hidden="1" customHeight="1" x14ac:dyDescent="0.25">
      <c r="A5190" s="1145">
        <v>44747</v>
      </c>
      <c r="B5190" s="664" t="s">
        <v>26</v>
      </c>
      <c r="C5190" s="71" t="s">
        <v>3328</v>
      </c>
      <c r="D5190" s="71">
        <v>10</v>
      </c>
      <c r="E5190" s="102">
        <v>55000</v>
      </c>
      <c r="F5190" s="102">
        <f t="shared" si="2520"/>
        <v>605000</v>
      </c>
      <c r="G5190" s="102">
        <f t="shared" si="2521"/>
        <v>550000</v>
      </c>
      <c r="H5190" s="690" t="s">
        <v>172</v>
      </c>
      <c r="I5190" s="71" t="s">
        <v>3295</v>
      </c>
      <c r="J5190" s="53">
        <f t="shared" si="2539"/>
        <v>150000</v>
      </c>
      <c r="K5190" s="63">
        <f t="shared" ref="K5190:K5211" si="2541">(J5190/(F5190/11*10))</f>
        <v>0.27272727272727271</v>
      </c>
      <c r="L5190" s="1212" t="s">
        <v>3430</v>
      </c>
      <c r="M5190" s="468"/>
      <c r="N5190" s="1192">
        <f t="shared" ref="N5190:N5213" si="2542">A5190</f>
        <v>44747</v>
      </c>
      <c r="O5190" s="71" t="s">
        <v>152</v>
      </c>
      <c r="P5190" s="103" t="str">
        <f t="shared" ref="P5190:P5210" si="2543">(C5190)</f>
        <v>아스테이지(CD74용)</v>
      </c>
      <c r="Q5190" s="71">
        <f t="shared" si="2536"/>
        <v>10</v>
      </c>
      <c r="R5190" s="102">
        <v>40000</v>
      </c>
      <c r="S5190" s="102">
        <f t="shared" si="2537"/>
        <v>440000.00000000006</v>
      </c>
      <c r="T5190" s="102">
        <f t="shared" si="2538"/>
        <v>400000</v>
      </c>
      <c r="U5190" s="71" t="str">
        <f t="shared" si="2540"/>
        <v>X</v>
      </c>
      <c r="V5190" s="71"/>
      <c r="W5190" s="474"/>
      <c r="X5190" s="71"/>
      <c r="Y5190" s="71"/>
    </row>
    <row r="5191" spans="1:25" ht="30" hidden="1" customHeight="1" x14ac:dyDescent="0.25">
      <c r="A5191" s="1145">
        <v>44751</v>
      </c>
      <c r="B5191" s="664" t="s">
        <v>26</v>
      </c>
      <c r="C5191" s="71" t="s">
        <v>2087</v>
      </c>
      <c r="D5191" s="71">
        <v>5</v>
      </c>
      <c r="E5191" s="102">
        <v>75000</v>
      </c>
      <c r="F5191" s="102">
        <f t="shared" si="2520"/>
        <v>412500.00000000006</v>
      </c>
      <c r="G5191" s="102">
        <f t="shared" si="2521"/>
        <v>375000</v>
      </c>
      <c r="H5191" s="690" t="s">
        <v>172</v>
      </c>
      <c r="I5191" s="71" t="s">
        <v>3295</v>
      </c>
      <c r="J5191" s="53">
        <f t="shared" si="2539"/>
        <v>125000</v>
      </c>
      <c r="K5191" s="63">
        <f t="shared" si="2541"/>
        <v>0.33333333333333326</v>
      </c>
      <c r="L5191" s="1212" t="s">
        <v>3430</v>
      </c>
      <c r="M5191" s="468"/>
      <c r="N5191" s="1192">
        <f t="shared" si="2542"/>
        <v>44751</v>
      </c>
      <c r="O5191" s="71" t="s">
        <v>152</v>
      </c>
      <c r="P5191" s="103" t="str">
        <f t="shared" si="2543"/>
        <v>아스테이지(국전)</v>
      </c>
      <c r="Q5191" s="71">
        <f t="shared" si="2536"/>
        <v>5</v>
      </c>
      <c r="R5191" s="102">
        <v>50000</v>
      </c>
      <c r="S5191" s="102">
        <f t="shared" si="2537"/>
        <v>275000</v>
      </c>
      <c r="T5191" s="102">
        <f t="shared" si="2538"/>
        <v>250000</v>
      </c>
      <c r="U5191" s="71" t="str">
        <f t="shared" si="2540"/>
        <v>X</v>
      </c>
      <c r="V5191" s="71"/>
      <c r="W5191" s="474">
        <v>150000</v>
      </c>
      <c r="X5191" s="71"/>
      <c r="Y5191" s="71"/>
    </row>
    <row r="5192" spans="1:25" ht="30" hidden="1" customHeight="1" x14ac:dyDescent="0.25">
      <c r="A5192" s="1145">
        <v>44767</v>
      </c>
      <c r="B5192" s="664" t="s">
        <v>1060</v>
      </c>
      <c r="C5192" s="71" t="s">
        <v>3310</v>
      </c>
      <c r="D5192" s="71">
        <v>700</v>
      </c>
      <c r="E5192" s="102">
        <v>6230</v>
      </c>
      <c r="F5192" s="102">
        <f t="shared" si="2520"/>
        <v>4797100</v>
      </c>
      <c r="G5192" s="102">
        <f t="shared" si="2521"/>
        <v>4361000</v>
      </c>
      <c r="H5192" s="690" t="s">
        <v>36</v>
      </c>
      <c r="I5192" s="71" t="s">
        <v>2529</v>
      </c>
      <c r="J5192" s="53">
        <f t="shared" si="2539"/>
        <v>756000</v>
      </c>
      <c r="K5192" s="63">
        <f t="shared" si="2541"/>
        <v>0.17335473515248795</v>
      </c>
      <c r="L5192" s="1212" t="s">
        <v>3430</v>
      </c>
      <c r="M5192" s="102">
        <v>4250</v>
      </c>
      <c r="N5192" s="1192">
        <f t="shared" si="2542"/>
        <v>44767</v>
      </c>
      <c r="O5192" s="71" t="s">
        <v>3298</v>
      </c>
      <c r="P5192" s="103" t="str">
        <f t="shared" si="2543"/>
        <v>ENGAGE 1030*790</v>
      </c>
      <c r="Q5192" s="71">
        <f t="shared" si="2536"/>
        <v>700</v>
      </c>
      <c r="R5192" s="102">
        <v>5150</v>
      </c>
      <c r="S5192" s="102">
        <f t="shared" si="2537"/>
        <v>3965500.0000000005</v>
      </c>
      <c r="T5192" s="102">
        <f t="shared" si="2538"/>
        <v>3605000</v>
      </c>
      <c r="U5192" s="71" t="str">
        <f t="shared" si="2540"/>
        <v>O</v>
      </c>
      <c r="V5192" s="71"/>
      <c r="W5192" s="474">
        <f t="shared" ref="W5192:W5209" si="2544">(G5192-T5192)</f>
        <v>756000</v>
      </c>
      <c r="X5192" s="71"/>
      <c r="Y5192" s="71"/>
    </row>
    <row r="5193" spans="1:25" ht="30" hidden="1" customHeight="1" x14ac:dyDescent="0.25">
      <c r="A5193" s="1145">
        <v>44767</v>
      </c>
      <c r="B5193" s="664" t="s">
        <v>2255</v>
      </c>
      <c r="C5193" s="71" t="s">
        <v>3400</v>
      </c>
      <c r="D5193" s="71">
        <v>1500</v>
      </c>
      <c r="E5193" s="102">
        <v>3920</v>
      </c>
      <c r="F5193" s="102">
        <f t="shared" si="2520"/>
        <v>6468000.0000000009</v>
      </c>
      <c r="G5193" s="102">
        <f t="shared" si="2521"/>
        <v>5880000</v>
      </c>
      <c r="H5193" s="690" t="s">
        <v>36</v>
      </c>
      <c r="I5193" s="71" t="s">
        <v>2529</v>
      </c>
      <c r="J5193" s="53">
        <f t="shared" si="2539"/>
        <v>1005000</v>
      </c>
      <c r="K5193" s="63">
        <f t="shared" si="2541"/>
        <v>0.17091836734693874</v>
      </c>
      <c r="L5193" s="1212" t="s">
        <v>3430</v>
      </c>
      <c r="M5193" s="102">
        <v>2680</v>
      </c>
      <c r="N5193" s="1192">
        <f t="shared" si="2542"/>
        <v>44767</v>
      </c>
      <c r="O5193" s="71" t="s">
        <v>3298</v>
      </c>
      <c r="P5193" s="103" t="str">
        <f t="shared" si="2543"/>
        <v>ENGAGE 900X571 - 27RO</v>
      </c>
      <c r="Q5193" s="71">
        <f t="shared" si="2536"/>
        <v>1500</v>
      </c>
      <c r="R5193" s="102">
        <v>3250</v>
      </c>
      <c r="S5193" s="102">
        <f t="shared" si="2537"/>
        <v>5362500</v>
      </c>
      <c r="T5193" s="102">
        <f t="shared" si="2538"/>
        <v>4875000</v>
      </c>
      <c r="U5193" s="71" t="str">
        <f t="shared" si="2540"/>
        <v>O</v>
      </c>
      <c r="V5193" s="71"/>
      <c r="W5193" s="474">
        <f t="shared" si="2544"/>
        <v>1005000</v>
      </c>
      <c r="X5193" s="71"/>
      <c r="Y5193" s="71"/>
    </row>
    <row r="5194" spans="1:25" ht="30" hidden="1" customHeight="1" x14ac:dyDescent="0.25">
      <c r="A5194" s="1145">
        <v>44767</v>
      </c>
      <c r="B5194" s="664" t="s">
        <v>2255</v>
      </c>
      <c r="C5194" s="71" t="s">
        <v>3402</v>
      </c>
      <c r="D5194" s="71">
        <v>2100</v>
      </c>
      <c r="E5194" s="102">
        <v>3740</v>
      </c>
      <c r="F5194" s="102">
        <f t="shared" si="2520"/>
        <v>8639400</v>
      </c>
      <c r="G5194" s="102">
        <f t="shared" si="2521"/>
        <v>7854000</v>
      </c>
      <c r="H5194" s="690" t="s">
        <v>36</v>
      </c>
      <c r="I5194" s="71" t="s">
        <v>2529</v>
      </c>
      <c r="J5194" s="53">
        <f t="shared" si="2539"/>
        <v>1386000</v>
      </c>
      <c r="K5194" s="63">
        <f t="shared" si="2541"/>
        <v>0.17647058823529413</v>
      </c>
      <c r="L5194" s="1212" t="s">
        <v>3430</v>
      </c>
      <c r="M5194" s="102">
        <v>2540</v>
      </c>
      <c r="N5194" s="1192">
        <f t="shared" si="2542"/>
        <v>44767</v>
      </c>
      <c r="O5194" s="71" t="s">
        <v>3298</v>
      </c>
      <c r="P5194" s="103" t="str">
        <f t="shared" si="2543"/>
        <v>ENGAGE 30WEB(883*552)</v>
      </c>
      <c r="Q5194" s="71">
        <f t="shared" si="2536"/>
        <v>2100</v>
      </c>
      <c r="R5194" s="102">
        <v>3080</v>
      </c>
      <c r="S5194" s="102">
        <f t="shared" si="2537"/>
        <v>7114800.0000000009</v>
      </c>
      <c r="T5194" s="102">
        <f t="shared" si="2538"/>
        <v>6468000</v>
      </c>
      <c r="U5194" s="71" t="str">
        <f t="shared" si="2540"/>
        <v>O</v>
      </c>
      <c r="V5194" s="71"/>
      <c r="W5194" s="474">
        <f t="shared" si="2544"/>
        <v>1386000</v>
      </c>
      <c r="X5194" s="71"/>
      <c r="Y5194" s="71"/>
    </row>
    <row r="5195" spans="1:25" ht="30" hidden="1" customHeight="1" x14ac:dyDescent="0.25">
      <c r="A5195" s="1145">
        <v>44767</v>
      </c>
      <c r="B5195" s="664" t="s">
        <v>2255</v>
      </c>
      <c r="C5195" s="71" t="s">
        <v>3313</v>
      </c>
      <c r="D5195" s="71">
        <v>1800</v>
      </c>
      <c r="E5195" s="102">
        <v>6310</v>
      </c>
      <c r="F5195" s="102">
        <f t="shared" si="2520"/>
        <v>12493800.000000002</v>
      </c>
      <c r="G5195" s="102">
        <f t="shared" si="2521"/>
        <v>11358000</v>
      </c>
      <c r="H5195" s="690" t="s">
        <v>36</v>
      </c>
      <c r="I5195" s="71" t="s">
        <v>2529</v>
      </c>
      <c r="J5195" s="53">
        <f t="shared" si="2539"/>
        <v>1962000</v>
      </c>
      <c r="K5195" s="63">
        <f t="shared" si="2541"/>
        <v>0.17274167987321709</v>
      </c>
      <c r="L5195" s="1212" t="s">
        <v>3430</v>
      </c>
      <c r="M5195" s="102">
        <v>4300</v>
      </c>
      <c r="N5195" s="1192">
        <f t="shared" si="2542"/>
        <v>44767</v>
      </c>
      <c r="O5195" s="71" t="s">
        <v>3298</v>
      </c>
      <c r="P5195" s="103" t="str">
        <f t="shared" si="2543"/>
        <v>ENGAGE 1030*800</v>
      </c>
      <c r="Q5195" s="71">
        <f t="shared" si="2536"/>
        <v>1800</v>
      </c>
      <c r="R5195" s="102">
        <v>5220</v>
      </c>
      <c r="S5195" s="102">
        <f t="shared" si="2537"/>
        <v>10335600</v>
      </c>
      <c r="T5195" s="102">
        <f t="shared" si="2538"/>
        <v>9396000</v>
      </c>
      <c r="U5195" s="71" t="str">
        <f t="shared" si="2540"/>
        <v>O</v>
      </c>
      <c r="V5195" s="71"/>
      <c r="W5195" s="474">
        <f t="shared" si="2544"/>
        <v>1962000</v>
      </c>
      <c r="X5195" s="71"/>
      <c r="Y5195" s="71"/>
    </row>
    <row r="5196" spans="1:25" ht="30" hidden="1" customHeight="1" x14ac:dyDescent="0.25">
      <c r="A5196" s="1145">
        <v>44767</v>
      </c>
      <c r="B5196" s="664" t="s">
        <v>2255</v>
      </c>
      <c r="C5196" s="71" t="s">
        <v>3314</v>
      </c>
      <c r="D5196" s="71">
        <v>700</v>
      </c>
      <c r="E5196" s="102">
        <v>6540</v>
      </c>
      <c r="F5196" s="102">
        <f t="shared" si="2520"/>
        <v>5035800</v>
      </c>
      <c r="G5196" s="102">
        <f t="shared" si="2521"/>
        <v>4578000</v>
      </c>
      <c r="H5196" s="690" t="s">
        <v>36</v>
      </c>
      <c r="I5196" s="71" t="s">
        <v>2529</v>
      </c>
      <c r="J5196" s="53">
        <f t="shared" si="2539"/>
        <v>784000</v>
      </c>
      <c r="K5196" s="63">
        <f t="shared" si="2541"/>
        <v>0.17125382262996941</v>
      </c>
      <c r="L5196" s="1212" t="s">
        <v>3430</v>
      </c>
      <c r="M5196" s="102">
        <v>4470</v>
      </c>
      <c r="N5196" s="1192">
        <f t="shared" si="2542"/>
        <v>44767</v>
      </c>
      <c r="O5196" s="71" t="s">
        <v>3298</v>
      </c>
      <c r="P5196" s="103" t="str">
        <f t="shared" si="2543"/>
        <v>ENGAGE 1055*811</v>
      </c>
      <c r="Q5196" s="71">
        <f t="shared" si="2536"/>
        <v>700</v>
      </c>
      <c r="R5196" s="102">
        <v>5420</v>
      </c>
      <c r="S5196" s="102">
        <f t="shared" si="2537"/>
        <v>4173400.0000000005</v>
      </c>
      <c r="T5196" s="102">
        <f t="shared" si="2538"/>
        <v>3794000</v>
      </c>
      <c r="U5196" s="71" t="str">
        <f t="shared" si="2540"/>
        <v>O</v>
      </c>
      <c r="V5196" s="71"/>
      <c r="W5196" s="474">
        <f t="shared" si="2544"/>
        <v>784000</v>
      </c>
      <c r="X5196" s="71"/>
      <c r="Y5196" s="71"/>
    </row>
    <row r="5197" spans="1:25" ht="30" hidden="1" customHeight="1" x14ac:dyDescent="0.25">
      <c r="A5197" s="1145">
        <v>44767</v>
      </c>
      <c r="B5197" s="664" t="s">
        <v>2255</v>
      </c>
      <c r="C5197" s="71" t="s">
        <v>3315</v>
      </c>
      <c r="D5197" s="71">
        <v>0</v>
      </c>
      <c r="E5197" s="102">
        <v>4680</v>
      </c>
      <c r="F5197" s="102">
        <f t="shared" si="2520"/>
        <v>0</v>
      </c>
      <c r="G5197" s="102">
        <f t="shared" si="2521"/>
        <v>0</v>
      </c>
      <c r="H5197" s="690" t="s">
        <v>36</v>
      </c>
      <c r="I5197" s="71" t="s">
        <v>2529</v>
      </c>
      <c r="J5197" s="53">
        <f t="shared" si="2539"/>
        <v>0</v>
      </c>
      <c r="K5197" s="63" t="e">
        <f t="shared" si="2541"/>
        <v>#DIV/0!</v>
      </c>
      <c r="L5197" s="1212" t="s">
        <v>3430</v>
      </c>
      <c r="M5197" s="102">
        <v>3190</v>
      </c>
      <c r="N5197" s="1192">
        <f t="shared" si="2542"/>
        <v>44767</v>
      </c>
      <c r="O5197" s="71" t="s">
        <v>3298</v>
      </c>
      <c r="P5197" s="103" t="str">
        <f t="shared" si="2543"/>
        <v>ENGAGE 968*631</v>
      </c>
      <c r="Q5197" s="71">
        <f t="shared" si="2536"/>
        <v>0</v>
      </c>
      <c r="R5197" s="102">
        <v>3870</v>
      </c>
      <c r="S5197" s="102">
        <f t="shared" si="2537"/>
        <v>0</v>
      </c>
      <c r="T5197" s="102">
        <f t="shared" si="2538"/>
        <v>0</v>
      </c>
      <c r="U5197" s="71" t="str">
        <f t="shared" si="2540"/>
        <v>O</v>
      </c>
      <c r="V5197" s="71"/>
      <c r="W5197" s="474">
        <f t="shared" si="2544"/>
        <v>0</v>
      </c>
      <c r="X5197" s="71"/>
      <c r="Y5197" s="71"/>
    </row>
    <row r="5198" spans="1:25" ht="30" hidden="1" customHeight="1" x14ac:dyDescent="0.25">
      <c r="A5198" s="1145">
        <v>44767</v>
      </c>
      <c r="B5198" s="664" t="s">
        <v>2255</v>
      </c>
      <c r="C5198" s="71" t="s">
        <v>3316</v>
      </c>
      <c r="D5198" s="71"/>
      <c r="E5198" s="102"/>
      <c r="F5198" s="102">
        <f t="shared" si="2520"/>
        <v>0</v>
      </c>
      <c r="G5198" s="102">
        <f t="shared" si="2521"/>
        <v>0</v>
      </c>
      <c r="H5198" s="690" t="s">
        <v>36</v>
      </c>
      <c r="I5198" s="71" t="s">
        <v>2529</v>
      </c>
      <c r="J5198" s="53">
        <f t="shared" si="2539"/>
        <v>0</v>
      </c>
      <c r="K5198" s="63" t="e">
        <f t="shared" si="2541"/>
        <v>#DIV/0!</v>
      </c>
      <c r="L5198" s="1212" t="s">
        <v>3430</v>
      </c>
      <c r="M5198" s="102">
        <v>5510</v>
      </c>
      <c r="N5198" s="1192">
        <f t="shared" si="2542"/>
        <v>44767</v>
      </c>
      <c r="O5198" s="71" t="s">
        <v>3298</v>
      </c>
      <c r="P5198" s="103" t="str">
        <f t="shared" si="2543"/>
        <v>ENGAGE 1092*800</v>
      </c>
      <c r="Q5198" s="71">
        <f t="shared" si="2536"/>
        <v>0</v>
      </c>
      <c r="R5198" s="102">
        <f>(M5198*1.07)</f>
        <v>5895.7000000000007</v>
      </c>
      <c r="S5198" s="102">
        <f t="shared" si="2537"/>
        <v>0</v>
      </c>
      <c r="T5198" s="102">
        <f t="shared" si="2538"/>
        <v>0</v>
      </c>
      <c r="U5198" s="71" t="str">
        <f t="shared" si="2540"/>
        <v>O</v>
      </c>
      <c r="V5198" s="71"/>
      <c r="W5198" s="474">
        <f t="shared" si="2544"/>
        <v>0</v>
      </c>
      <c r="X5198" s="71"/>
      <c r="Y5198" s="71"/>
    </row>
    <row r="5199" spans="1:25" ht="30" hidden="1" customHeight="1" x14ac:dyDescent="0.25">
      <c r="A5199" s="1145">
        <v>44767</v>
      </c>
      <c r="B5199" s="664" t="s">
        <v>2255</v>
      </c>
      <c r="C5199" s="71" t="s">
        <v>1386</v>
      </c>
      <c r="D5199" s="71">
        <v>40</v>
      </c>
      <c r="E5199" s="102">
        <v>57500</v>
      </c>
      <c r="F5199" s="102">
        <f t="shared" si="2520"/>
        <v>2530000</v>
      </c>
      <c r="G5199" s="102">
        <f t="shared" si="2521"/>
        <v>2300000</v>
      </c>
      <c r="H5199" s="690" t="s">
        <v>179</v>
      </c>
      <c r="I5199" s="71" t="s">
        <v>3405</v>
      </c>
      <c r="J5199" s="53">
        <f t="shared" si="2539"/>
        <v>690000</v>
      </c>
      <c r="K5199" s="63">
        <f t="shared" si="2541"/>
        <v>0.3</v>
      </c>
      <c r="L5199" s="1212" t="s">
        <v>3430</v>
      </c>
      <c r="M5199" s="468"/>
      <c r="N5199" s="1192">
        <f t="shared" si="2542"/>
        <v>44767</v>
      </c>
      <c r="O5199" s="71" t="s">
        <v>194</v>
      </c>
      <c r="P5199" s="164" t="str">
        <f t="shared" si="2543"/>
        <v>THR200(20L)보충액</v>
      </c>
      <c r="Q5199" s="71">
        <f t="shared" si="2536"/>
        <v>40</v>
      </c>
      <c r="R5199" s="102">
        <v>40250</v>
      </c>
      <c r="S5199" s="102">
        <f t="shared" si="2537"/>
        <v>1771000.0000000002</v>
      </c>
      <c r="T5199" s="102">
        <f t="shared" si="2538"/>
        <v>1610000</v>
      </c>
      <c r="U5199" s="71" t="str">
        <f t="shared" si="2540"/>
        <v>O</v>
      </c>
      <c r="V5199" s="71"/>
      <c r="W5199" s="474">
        <f t="shared" si="2544"/>
        <v>690000</v>
      </c>
      <c r="X5199" s="71"/>
      <c r="Y5199" s="71"/>
    </row>
    <row r="5200" spans="1:25" ht="30" hidden="1" customHeight="1" x14ac:dyDescent="0.25">
      <c r="A5200" s="1145">
        <v>44767</v>
      </c>
      <c r="B5200" s="664" t="s">
        <v>2255</v>
      </c>
      <c r="C5200" s="71" t="s">
        <v>3318</v>
      </c>
      <c r="D5200" s="71">
        <v>5</v>
      </c>
      <c r="E5200" s="102">
        <v>57500</v>
      </c>
      <c r="F5200" s="102">
        <f t="shared" si="2520"/>
        <v>316250</v>
      </c>
      <c r="G5200" s="102">
        <f t="shared" si="2521"/>
        <v>287500</v>
      </c>
      <c r="H5200" s="690" t="s">
        <v>36</v>
      </c>
      <c r="I5200" s="71" t="s">
        <v>2529</v>
      </c>
      <c r="J5200" s="53">
        <f t="shared" si="2539"/>
        <v>86250</v>
      </c>
      <c r="K5200" s="63">
        <f t="shared" si="2541"/>
        <v>0.3</v>
      </c>
      <c r="L5200" s="1212" t="s">
        <v>3430</v>
      </c>
      <c r="M5200" s="468"/>
      <c r="N5200" s="1192">
        <f t="shared" si="2542"/>
        <v>44767</v>
      </c>
      <c r="O5200" s="71" t="s">
        <v>3298</v>
      </c>
      <c r="P5200" s="103" t="str">
        <f t="shared" si="2543"/>
        <v>THD200(20L)현상액</v>
      </c>
      <c r="Q5200" s="71">
        <f t="shared" si="2536"/>
        <v>5</v>
      </c>
      <c r="R5200" s="102">
        <v>40250</v>
      </c>
      <c r="S5200" s="102">
        <f t="shared" si="2537"/>
        <v>221375.00000000003</v>
      </c>
      <c r="T5200" s="102">
        <f t="shared" si="2538"/>
        <v>201250</v>
      </c>
      <c r="U5200" s="71" t="str">
        <f t="shared" si="2540"/>
        <v>O</v>
      </c>
      <c r="V5200" s="71"/>
      <c r="W5200" s="474">
        <f t="shared" si="2544"/>
        <v>86250</v>
      </c>
      <c r="X5200" s="71"/>
      <c r="Y5200" s="71"/>
    </row>
    <row r="5201" spans="1:25" ht="30" hidden="1" customHeight="1" x14ac:dyDescent="0.25">
      <c r="A5201" s="1145">
        <v>44767</v>
      </c>
      <c r="B5201" s="664" t="s">
        <v>2254</v>
      </c>
      <c r="C5201" s="71" t="s">
        <v>3319</v>
      </c>
      <c r="D5201" s="71">
        <v>200</v>
      </c>
      <c r="E5201" s="102">
        <v>5600</v>
      </c>
      <c r="F5201" s="102">
        <f t="shared" si="2520"/>
        <v>1232000</v>
      </c>
      <c r="G5201" s="102">
        <f t="shared" si="2521"/>
        <v>1120000</v>
      </c>
      <c r="H5201" s="690" t="s">
        <v>36</v>
      </c>
      <c r="I5201" s="71" t="s">
        <v>3320</v>
      </c>
      <c r="J5201" s="53">
        <f t="shared" si="2539"/>
        <v>60000</v>
      </c>
      <c r="K5201" s="63">
        <f t="shared" si="2541"/>
        <v>5.3571428571428568E-2</v>
      </c>
      <c r="L5201" s="1212" t="s">
        <v>3430</v>
      </c>
      <c r="M5201" s="468"/>
      <c r="N5201" s="1192">
        <f t="shared" si="2542"/>
        <v>44767</v>
      </c>
      <c r="O5201" s="71" t="s">
        <v>146</v>
      </c>
      <c r="P5201" s="103" t="str">
        <f t="shared" si="2543"/>
        <v>프리미어(먹)</v>
      </c>
      <c r="Q5201" s="71">
        <f t="shared" si="2536"/>
        <v>200</v>
      </c>
      <c r="R5201" s="102">
        <v>5300</v>
      </c>
      <c r="S5201" s="102">
        <f t="shared" si="2537"/>
        <v>1166000</v>
      </c>
      <c r="T5201" s="102">
        <f t="shared" si="2538"/>
        <v>1060000</v>
      </c>
      <c r="U5201" s="71" t="str">
        <f t="shared" si="2540"/>
        <v>O</v>
      </c>
      <c r="V5201" s="71"/>
      <c r="W5201" s="474">
        <f t="shared" si="2544"/>
        <v>60000</v>
      </c>
      <c r="X5201" s="71"/>
      <c r="Y5201" s="71"/>
    </row>
    <row r="5202" spans="1:25" ht="30" hidden="1" customHeight="1" x14ac:dyDescent="0.25">
      <c r="A5202" s="1145">
        <v>44767</v>
      </c>
      <c r="B5202" s="664" t="s">
        <v>2254</v>
      </c>
      <c r="C5202" s="71" t="s">
        <v>3321</v>
      </c>
      <c r="D5202" s="71">
        <v>400</v>
      </c>
      <c r="E5202" s="102">
        <v>6000</v>
      </c>
      <c r="F5202" s="102">
        <f t="shared" si="2520"/>
        <v>2640000</v>
      </c>
      <c r="G5202" s="102">
        <f t="shared" si="2521"/>
        <v>2400000</v>
      </c>
      <c r="H5202" s="690" t="s">
        <v>36</v>
      </c>
      <c r="I5202" s="71" t="s">
        <v>3320</v>
      </c>
      <c r="J5202" s="53">
        <f t="shared" si="2539"/>
        <v>-20000</v>
      </c>
      <c r="K5202" s="63">
        <f t="shared" si="2541"/>
        <v>-8.3333333333333332E-3</v>
      </c>
      <c r="L5202" s="1212" t="s">
        <v>3430</v>
      </c>
      <c r="M5202" s="468"/>
      <c r="N5202" s="1192">
        <f t="shared" si="2542"/>
        <v>44767</v>
      </c>
      <c r="O5202" s="71" t="s">
        <v>146</v>
      </c>
      <c r="P5202" s="103" t="str">
        <f t="shared" si="2543"/>
        <v>프리미어(적)</v>
      </c>
      <c r="Q5202" s="71">
        <f t="shared" si="2536"/>
        <v>400</v>
      </c>
      <c r="R5202" s="102">
        <v>6050</v>
      </c>
      <c r="S5202" s="102">
        <f t="shared" si="2537"/>
        <v>2662000</v>
      </c>
      <c r="T5202" s="102">
        <f t="shared" si="2538"/>
        <v>2420000</v>
      </c>
      <c r="U5202" s="71" t="str">
        <f t="shared" si="2540"/>
        <v>O</v>
      </c>
      <c r="V5202" s="71"/>
      <c r="W5202" s="474">
        <f t="shared" si="2544"/>
        <v>-20000</v>
      </c>
      <c r="X5202" s="71"/>
      <c r="Y5202" s="71"/>
    </row>
    <row r="5203" spans="1:25" ht="30" hidden="1" customHeight="1" x14ac:dyDescent="0.25">
      <c r="A5203" s="1145">
        <v>44767</v>
      </c>
      <c r="B5203" s="664" t="s">
        <v>2254</v>
      </c>
      <c r="C5203" s="71" t="s">
        <v>1289</v>
      </c>
      <c r="D5203" s="71">
        <v>800</v>
      </c>
      <c r="E5203" s="102">
        <v>5750</v>
      </c>
      <c r="F5203" s="102">
        <f t="shared" si="2520"/>
        <v>5060000</v>
      </c>
      <c r="G5203" s="102">
        <f t="shared" si="2521"/>
        <v>4600000</v>
      </c>
      <c r="H5203" s="690" t="s">
        <v>36</v>
      </c>
      <c r="I5203" s="71" t="s">
        <v>3320</v>
      </c>
      <c r="J5203" s="53">
        <f t="shared" si="2539"/>
        <v>256000</v>
      </c>
      <c r="K5203" s="63">
        <f t="shared" si="2541"/>
        <v>5.565217391304348E-2</v>
      </c>
      <c r="L5203" s="1212" t="s">
        <v>3430</v>
      </c>
      <c r="M5203" s="468"/>
      <c r="N5203" s="1192">
        <f t="shared" si="2542"/>
        <v>44767</v>
      </c>
      <c r="O5203" s="71" t="s">
        <v>146</v>
      </c>
      <c r="P5203" s="103" t="str">
        <f t="shared" si="2543"/>
        <v>프리미어(황)</v>
      </c>
      <c r="Q5203" s="71">
        <f t="shared" si="2536"/>
        <v>800</v>
      </c>
      <c r="R5203" s="102">
        <v>5430</v>
      </c>
      <c r="S5203" s="102">
        <f t="shared" si="2537"/>
        <v>4778400</v>
      </c>
      <c r="T5203" s="102">
        <f t="shared" si="2538"/>
        <v>4344000</v>
      </c>
      <c r="U5203" s="71" t="str">
        <f t="shared" si="2540"/>
        <v>O</v>
      </c>
      <c r="V5203" s="71"/>
      <c r="W5203" s="474">
        <f t="shared" si="2544"/>
        <v>256000</v>
      </c>
      <c r="X5203" s="71"/>
      <c r="Y5203" s="71"/>
    </row>
    <row r="5204" spans="1:25" ht="30" hidden="1" customHeight="1" x14ac:dyDescent="0.25">
      <c r="A5204" s="1145">
        <v>44767</v>
      </c>
      <c r="B5204" s="664" t="s">
        <v>2254</v>
      </c>
      <c r="C5204" s="71" t="s">
        <v>1290</v>
      </c>
      <c r="D5204" s="71">
        <v>600</v>
      </c>
      <c r="E5204" s="102">
        <v>7000</v>
      </c>
      <c r="F5204" s="102">
        <f t="shared" si="2520"/>
        <v>4620000</v>
      </c>
      <c r="G5204" s="102">
        <f t="shared" si="2521"/>
        <v>4200000</v>
      </c>
      <c r="H5204" s="690" t="s">
        <v>36</v>
      </c>
      <c r="I5204" s="71" t="s">
        <v>3320</v>
      </c>
      <c r="J5204" s="53">
        <f t="shared" si="2539"/>
        <v>300000</v>
      </c>
      <c r="K5204" s="63">
        <f t="shared" si="2541"/>
        <v>7.1428571428571425E-2</v>
      </c>
      <c r="L5204" s="1212" t="s">
        <v>3430</v>
      </c>
      <c r="M5204" s="468"/>
      <c r="N5204" s="1192">
        <f t="shared" si="2542"/>
        <v>44767</v>
      </c>
      <c r="O5204" s="71" t="s">
        <v>146</v>
      </c>
      <c r="P5204" s="103" t="str">
        <f t="shared" si="2543"/>
        <v>프리미어(청)</v>
      </c>
      <c r="Q5204" s="71">
        <f t="shared" si="2536"/>
        <v>600</v>
      </c>
      <c r="R5204" s="102">
        <v>6500</v>
      </c>
      <c r="S5204" s="102">
        <f t="shared" si="2537"/>
        <v>4290000</v>
      </c>
      <c r="T5204" s="102">
        <f t="shared" si="2538"/>
        <v>3900000</v>
      </c>
      <c r="U5204" s="71" t="str">
        <f t="shared" si="2540"/>
        <v>O</v>
      </c>
      <c r="V5204" s="71"/>
      <c r="W5204" s="474">
        <f t="shared" si="2544"/>
        <v>300000</v>
      </c>
      <c r="X5204" s="71"/>
      <c r="Y5204" s="71"/>
    </row>
    <row r="5205" spans="1:25" ht="30" hidden="1" customHeight="1" x14ac:dyDescent="0.25">
      <c r="A5205" s="1145">
        <v>44767</v>
      </c>
      <c r="B5205" s="664" t="s">
        <v>2254</v>
      </c>
      <c r="C5205" s="71" t="s">
        <v>3322</v>
      </c>
      <c r="D5205" s="71">
        <v>0</v>
      </c>
      <c r="E5205" s="102">
        <v>6200</v>
      </c>
      <c r="F5205" s="102">
        <f t="shared" si="2520"/>
        <v>0</v>
      </c>
      <c r="G5205" s="102">
        <f t="shared" si="2521"/>
        <v>0</v>
      </c>
      <c r="H5205" s="690" t="s">
        <v>36</v>
      </c>
      <c r="I5205" s="71" t="s">
        <v>3320</v>
      </c>
      <c r="J5205" s="53">
        <f t="shared" si="2539"/>
        <v>0</v>
      </c>
      <c r="K5205" s="63" t="e">
        <f t="shared" si="2541"/>
        <v>#DIV/0!</v>
      </c>
      <c r="L5205" s="1212" t="s">
        <v>3430</v>
      </c>
      <c r="M5205" s="468"/>
      <c r="N5205" s="1192">
        <f t="shared" si="2542"/>
        <v>44767</v>
      </c>
      <c r="O5205" s="71" t="s">
        <v>3323</v>
      </c>
      <c r="P5205" s="103" t="str">
        <f t="shared" si="2543"/>
        <v>한특 잉크(적)</v>
      </c>
      <c r="Q5205" s="71">
        <f t="shared" si="2536"/>
        <v>0</v>
      </c>
      <c r="R5205" s="102">
        <v>5900</v>
      </c>
      <c r="S5205" s="102">
        <f t="shared" si="2537"/>
        <v>0</v>
      </c>
      <c r="T5205" s="102">
        <f t="shared" si="2538"/>
        <v>0</v>
      </c>
      <c r="U5205" s="71" t="str">
        <f t="shared" si="2540"/>
        <v>O</v>
      </c>
      <c r="V5205" s="71"/>
      <c r="W5205" s="474">
        <f t="shared" si="2544"/>
        <v>0</v>
      </c>
      <c r="X5205" s="71"/>
      <c r="Y5205" s="71"/>
    </row>
    <row r="5206" spans="1:25" ht="30" hidden="1" customHeight="1" x14ac:dyDescent="0.25">
      <c r="A5206" s="1145">
        <v>44767</v>
      </c>
      <c r="B5206" s="664" t="s">
        <v>2254</v>
      </c>
      <c r="C5206" s="71" t="s">
        <v>3324</v>
      </c>
      <c r="D5206" s="71">
        <v>0</v>
      </c>
      <c r="E5206" s="102">
        <v>6000</v>
      </c>
      <c r="F5206" s="102">
        <f t="shared" si="2520"/>
        <v>0</v>
      </c>
      <c r="G5206" s="102">
        <f t="shared" si="2521"/>
        <v>0</v>
      </c>
      <c r="H5206" s="690" t="s">
        <v>36</v>
      </c>
      <c r="I5206" s="71" t="s">
        <v>3320</v>
      </c>
      <c r="J5206" s="53">
        <f t="shared" si="2539"/>
        <v>0</v>
      </c>
      <c r="K5206" s="63" t="e">
        <f t="shared" si="2541"/>
        <v>#DIV/0!</v>
      </c>
      <c r="L5206" s="1212" t="s">
        <v>3430</v>
      </c>
      <c r="M5206" s="468"/>
      <c r="N5206" s="1192">
        <f t="shared" si="2542"/>
        <v>44767</v>
      </c>
      <c r="O5206" s="71" t="s">
        <v>3323</v>
      </c>
      <c r="P5206" s="103" t="str">
        <f t="shared" si="2543"/>
        <v>한특 잉크(황)</v>
      </c>
      <c r="Q5206" s="71">
        <f t="shared" si="2536"/>
        <v>0</v>
      </c>
      <c r="R5206" s="102">
        <v>5500</v>
      </c>
      <c r="S5206" s="102">
        <f t="shared" si="2537"/>
        <v>0</v>
      </c>
      <c r="T5206" s="102">
        <f t="shared" si="2538"/>
        <v>0</v>
      </c>
      <c r="U5206" s="71" t="str">
        <f t="shared" si="2540"/>
        <v>O</v>
      </c>
      <c r="V5206" s="71"/>
      <c r="W5206" s="474">
        <f t="shared" si="2544"/>
        <v>0</v>
      </c>
      <c r="X5206" s="71"/>
      <c r="Y5206" s="71"/>
    </row>
    <row r="5207" spans="1:25" ht="30" hidden="1" customHeight="1" x14ac:dyDescent="0.25">
      <c r="A5207" s="1145">
        <v>44767</v>
      </c>
      <c r="B5207" s="664" t="s">
        <v>2254</v>
      </c>
      <c r="C5207" s="71" t="s">
        <v>3325</v>
      </c>
      <c r="D5207" s="71">
        <v>0</v>
      </c>
      <c r="E5207" s="102">
        <v>6500</v>
      </c>
      <c r="F5207" s="102">
        <f t="shared" si="2520"/>
        <v>0</v>
      </c>
      <c r="G5207" s="102">
        <f t="shared" si="2521"/>
        <v>0</v>
      </c>
      <c r="H5207" s="690" t="s">
        <v>36</v>
      </c>
      <c r="I5207" s="71" t="s">
        <v>3320</v>
      </c>
      <c r="J5207" s="53">
        <f t="shared" si="2539"/>
        <v>0</v>
      </c>
      <c r="K5207" s="63" t="e">
        <f t="shared" si="2541"/>
        <v>#DIV/0!</v>
      </c>
      <c r="L5207" s="1212" t="s">
        <v>3430</v>
      </c>
      <c r="M5207" s="468"/>
      <c r="N5207" s="1192">
        <f t="shared" si="2542"/>
        <v>44767</v>
      </c>
      <c r="O5207" s="71" t="s">
        <v>3323</v>
      </c>
      <c r="P5207" s="103" t="str">
        <f t="shared" si="2543"/>
        <v>한특 잉크(청)</v>
      </c>
      <c r="Q5207" s="71">
        <f t="shared" si="2536"/>
        <v>0</v>
      </c>
      <c r="R5207" s="102">
        <v>5800</v>
      </c>
      <c r="S5207" s="102">
        <f t="shared" si="2537"/>
        <v>0</v>
      </c>
      <c r="T5207" s="102">
        <f t="shared" si="2538"/>
        <v>0</v>
      </c>
      <c r="U5207" s="71" t="str">
        <f t="shared" si="2540"/>
        <v>O</v>
      </c>
      <c r="V5207" s="71"/>
      <c r="W5207" s="474">
        <f t="shared" si="2544"/>
        <v>0</v>
      </c>
      <c r="X5207" s="71"/>
      <c r="Y5207" s="71"/>
    </row>
    <row r="5208" spans="1:25" ht="30" hidden="1" customHeight="1" x14ac:dyDescent="0.25">
      <c r="A5208" s="1145">
        <v>44767</v>
      </c>
      <c r="B5208" s="664" t="s">
        <v>2254</v>
      </c>
      <c r="C5208" s="71" t="s">
        <v>3326</v>
      </c>
      <c r="D5208" s="71">
        <v>0</v>
      </c>
      <c r="E5208" s="102">
        <v>5600</v>
      </c>
      <c r="F5208" s="102">
        <f t="shared" si="2520"/>
        <v>0</v>
      </c>
      <c r="G5208" s="102">
        <f t="shared" si="2521"/>
        <v>0</v>
      </c>
      <c r="H5208" s="690" t="s">
        <v>36</v>
      </c>
      <c r="I5208" s="71" t="s">
        <v>3320</v>
      </c>
      <c r="J5208" s="53">
        <f t="shared" si="2539"/>
        <v>0</v>
      </c>
      <c r="K5208" s="63" t="e">
        <f t="shared" si="2541"/>
        <v>#DIV/0!</v>
      </c>
      <c r="L5208" s="1212" t="s">
        <v>3430</v>
      </c>
      <c r="M5208" s="468"/>
      <c r="N5208" s="1192">
        <f t="shared" si="2542"/>
        <v>44767</v>
      </c>
      <c r="O5208" s="71" t="s">
        <v>3323</v>
      </c>
      <c r="P5208" s="103" t="str">
        <f t="shared" si="2543"/>
        <v>한특 잉크(먹)</v>
      </c>
      <c r="Q5208" s="71">
        <f t="shared" si="2536"/>
        <v>0</v>
      </c>
      <c r="R5208" s="102">
        <v>5000</v>
      </c>
      <c r="S5208" s="102">
        <f t="shared" si="2537"/>
        <v>0</v>
      </c>
      <c r="T5208" s="102">
        <f t="shared" si="2538"/>
        <v>0</v>
      </c>
      <c r="U5208" s="71" t="str">
        <f t="shared" si="2540"/>
        <v>O</v>
      </c>
      <c r="V5208" s="71"/>
      <c r="W5208" s="474">
        <f t="shared" si="2544"/>
        <v>0</v>
      </c>
      <c r="X5208" s="71"/>
      <c r="Y5208" s="71"/>
    </row>
    <row r="5209" spans="1:25" ht="30" hidden="1" customHeight="1" x14ac:dyDescent="0.25">
      <c r="A5209" s="1145">
        <v>44754</v>
      </c>
      <c r="B5209" s="664" t="s">
        <v>443</v>
      </c>
      <c r="C5209" s="71" t="s">
        <v>3392</v>
      </c>
      <c r="D5209" s="71">
        <v>8</v>
      </c>
      <c r="E5209" s="102">
        <v>218000</v>
      </c>
      <c r="F5209" s="102">
        <f t="shared" ref="F5209:F5220" si="2545">(E5209*D5209)*1.1</f>
        <v>1918400.0000000002</v>
      </c>
      <c r="G5209" s="102">
        <f t="shared" ref="G5209:G5220" si="2546">(E5209*D5209)</f>
        <v>1744000</v>
      </c>
      <c r="H5209" s="690" t="s">
        <v>172</v>
      </c>
      <c r="I5209" s="71" t="s">
        <v>184</v>
      </c>
      <c r="J5209" s="53">
        <f t="shared" si="2539"/>
        <v>464000</v>
      </c>
      <c r="K5209" s="63">
        <f t="shared" si="2541"/>
        <v>0.26605504587155959</v>
      </c>
      <c r="L5209" s="1212" t="s">
        <v>3430</v>
      </c>
      <c r="M5209" s="468" t="s">
        <v>3393</v>
      </c>
      <c r="N5209" s="1192">
        <f t="shared" si="2542"/>
        <v>44754</v>
      </c>
      <c r="O5209" s="71" t="s">
        <v>2030</v>
      </c>
      <c r="P5209" s="103" t="str">
        <f t="shared" si="2543"/>
        <v>윤전 블랑켓</v>
      </c>
      <c r="Q5209" s="71">
        <f t="shared" si="2536"/>
        <v>8</v>
      </c>
      <c r="R5209" s="102">
        <v>160000</v>
      </c>
      <c r="S5209" s="102">
        <f t="shared" si="2537"/>
        <v>1408000</v>
      </c>
      <c r="T5209" s="102">
        <f t="shared" si="2538"/>
        <v>1280000</v>
      </c>
      <c r="U5209" s="71" t="str">
        <f t="shared" si="2540"/>
        <v>O</v>
      </c>
      <c r="V5209" s="71" t="s">
        <v>3394</v>
      </c>
      <c r="W5209" s="474">
        <f t="shared" si="2544"/>
        <v>464000</v>
      </c>
      <c r="X5209" s="71"/>
      <c r="Y5209" s="71"/>
    </row>
    <row r="5210" spans="1:25" ht="30" hidden="1" customHeight="1" x14ac:dyDescent="0.25">
      <c r="A5210" s="1145">
        <v>44756</v>
      </c>
      <c r="B5210" s="664" t="s">
        <v>575</v>
      </c>
      <c r="C5210" s="71" t="s">
        <v>1507</v>
      </c>
      <c r="D5210" s="71">
        <v>1</v>
      </c>
      <c r="E5210" s="102">
        <v>950000</v>
      </c>
      <c r="F5210" s="102">
        <f t="shared" si="2545"/>
        <v>1045000.0000000001</v>
      </c>
      <c r="G5210" s="102">
        <f t="shared" si="2546"/>
        <v>950000</v>
      </c>
      <c r="H5210" s="690" t="s">
        <v>1786</v>
      </c>
      <c r="I5210" s="71" t="s">
        <v>1786</v>
      </c>
      <c r="J5210" s="53">
        <f t="shared" si="2539"/>
        <v>125000</v>
      </c>
      <c r="K5210" s="63">
        <f t="shared" si="2541"/>
        <v>0.13157894736842105</v>
      </c>
      <c r="L5210" s="1212" t="s">
        <v>3430</v>
      </c>
      <c r="M5210" s="468"/>
      <c r="N5210" s="1192">
        <f t="shared" si="2542"/>
        <v>44756</v>
      </c>
      <c r="O5210" s="71" t="s">
        <v>3512</v>
      </c>
      <c r="P5210" s="103" t="str">
        <f t="shared" si="2543"/>
        <v>아지노 칼</v>
      </c>
      <c r="Q5210" s="71">
        <f t="shared" si="2536"/>
        <v>1</v>
      </c>
      <c r="R5210" s="147">
        <v>825000</v>
      </c>
      <c r="S5210" s="102">
        <f t="shared" si="2537"/>
        <v>907500.00000000012</v>
      </c>
      <c r="T5210" s="102">
        <f t="shared" si="2538"/>
        <v>825000</v>
      </c>
      <c r="U5210" s="71"/>
      <c r="V5210" s="71"/>
      <c r="W5210" s="474"/>
      <c r="X5210" s="71"/>
      <c r="Y5210" s="71"/>
    </row>
    <row r="5211" spans="1:25" ht="30" hidden="1" customHeight="1" x14ac:dyDescent="0.25">
      <c r="A5211" s="1145">
        <v>44771</v>
      </c>
      <c r="B5211" s="664" t="s">
        <v>575</v>
      </c>
      <c r="C5211" s="71" t="s">
        <v>3444</v>
      </c>
      <c r="D5211" s="71">
        <v>1</v>
      </c>
      <c r="E5211" s="102">
        <v>2350000</v>
      </c>
      <c r="F5211" s="102">
        <f>(E5211*D5211)*1.1</f>
        <v>2585000</v>
      </c>
      <c r="G5211" s="102">
        <f>(E5211*D5211)</f>
        <v>2350000</v>
      </c>
      <c r="H5211" s="690" t="s">
        <v>179</v>
      </c>
      <c r="I5211" s="71" t="s">
        <v>179</v>
      </c>
      <c r="J5211" s="53">
        <f t="shared" si="2539"/>
        <v>600000</v>
      </c>
      <c r="K5211" s="63">
        <f t="shared" si="2541"/>
        <v>0.25531914893617019</v>
      </c>
      <c r="L5211" s="1212" t="s">
        <v>3430</v>
      </c>
      <c r="M5211" s="468"/>
      <c r="N5211" s="1192">
        <f>A5211</f>
        <v>44771</v>
      </c>
      <c r="O5211" s="71" t="s">
        <v>145</v>
      </c>
      <c r="P5211" s="103" t="str">
        <f>(C5211)</f>
        <v>6 월 Apogee워크프로우 사용료</v>
      </c>
      <c r="Q5211" s="71">
        <f>D5211</f>
        <v>1</v>
      </c>
      <c r="R5211" s="147">
        <v>1750000</v>
      </c>
      <c r="S5211" s="102">
        <f t="shared" si="2537"/>
        <v>1925000.0000000002</v>
      </c>
      <c r="T5211" s="102">
        <f t="shared" si="2538"/>
        <v>1750000</v>
      </c>
      <c r="U5211" s="71"/>
      <c r="V5211" s="71"/>
      <c r="W5211" s="474"/>
      <c r="X5211" s="71"/>
      <c r="Y5211" s="71"/>
    </row>
    <row r="5212" spans="1:25" ht="30" hidden="1" customHeight="1" x14ac:dyDescent="0.25">
      <c r="A5212" s="1145">
        <v>44756</v>
      </c>
      <c r="B5212" s="664" t="s">
        <v>3407</v>
      </c>
      <c r="C5212" s="71" t="s">
        <v>3436</v>
      </c>
      <c r="D5212" s="71">
        <v>3</v>
      </c>
      <c r="E5212" s="102">
        <v>690000</v>
      </c>
      <c r="F5212" s="102">
        <f t="shared" si="2545"/>
        <v>2277000</v>
      </c>
      <c r="G5212" s="102">
        <f t="shared" si="2546"/>
        <v>2070000</v>
      </c>
      <c r="H5212" s="690" t="s">
        <v>2029</v>
      </c>
      <c r="I5212" s="71" t="s">
        <v>2184</v>
      </c>
      <c r="J5212" s="53">
        <f t="shared" ref="J5212:J5220" si="2547">G5212-T5212</f>
        <v>1380000</v>
      </c>
      <c r="K5212" s="63">
        <f t="shared" ref="K5212:K5220" si="2548">(J5212/(F5212/11*10))</f>
        <v>0.66666666666666663</v>
      </c>
      <c r="L5212" s="1212" t="s">
        <v>3430</v>
      </c>
      <c r="M5212" s="468"/>
      <c r="N5212" s="1192">
        <f t="shared" si="2542"/>
        <v>44756</v>
      </c>
      <c r="O5212" s="71" t="s">
        <v>2179</v>
      </c>
      <c r="P5212" s="103" t="str">
        <f t="shared" ref="P5212:P5220" si="2549">(C5212)</f>
        <v>Ryobi UV Lamp 델리바리용</v>
      </c>
      <c r="Q5212" s="71">
        <f t="shared" si="2536"/>
        <v>3</v>
      </c>
      <c r="R5212" s="147">
        <v>230000</v>
      </c>
      <c r="S5212" s="102">
        <f t="shared" ref="S5212:S5220" si="2550">R5212*Q5212*1.1</f>
        <v>759000.00000000012</v>
      </c>
      <c r="T5212" s="102">
        <f t="shared" ref="T5212:T5220" si="2551">R5212*Q5212</f>
        <v>690000</v>
      </c>
      <c r="U5212" s="71"/>
      <c r="V5212" s="71"/>
      <c r="W5212" s="474"/>
      <c r="X5212" s="71"/>
      <c r="Y5212" s="71"/>
    </row>
    <row r="5213" spans="1:25" ht="30" hidden="1" customHeight="1" x14ac:dyDescent="0.25">
      <c r="A5213" s="1145">
        <v>44756</v>
      </c>
      <c r="B5213" s="664" t="s">
        <v>856</v>
      </c>
      <c r="C5213" s="71" t="s">
        <v>3437</v>
      </c>
      <c r="D5213" s="71">
        <v>2</v>
      </c>
      <c r="E5213" s="102">
        <v>690000</v>
      </c>
      <c r="F5213" s="102">
        <f t="shared" si="2545"/>
        <v>1518000.0000000002</v>
      </c>
      <c r="G5213" s="102">
        <f t="shared" si="2546"/>
        <v>1380000</v>
      </c>
      <c r="H5213" s="690" t="s">
        <v>173</v>
      </c>
      <c r="I5213" s="71" t="s">
        <v>2184</v>
      </c>
      <c r="J5213" s="53">
        <f t="shared" si="2547"/>
        <v>890000</v>
      </c>
      <c r="K5213" s="63">
        <f t="shared" si="2548"/>
        <v>0.64492753623188392</v>
      </c>
      <c r="L5213" s="1212" t="s">
        <v>3430</v>
      </c>
      <c r="M5213" s="468"/>
      <c r="N5213" s="1192">
        <f t="shared" si="2542"/>
        <v>44756</v>
      </c>
      <c r="O5213" s="71" t="s">
        <v>2179</v>
      </c>
      <c r="P5213" s="103" t="str">
        <f t="shared" si="2549"/>
        <v>Ryobi UV Lamp 인터덱용</v>
      </c>
      <c r="Q5213" s="71">
        <f t="shared" si="2536"/>
        <v>2</v>
      </c>
      <c r="R5213" s="147">
        <v>245000</v>
      </c>
      <c r="S5213" s="102">
        <f t="shared" si="2550"/>
        <v>539000</v>
      </c>
      <c r="T5213" s="102">
        <f t="shared" si="2551"/>
        <v>490000</v>
      </c>
      <c r="U5213" s="71"/>
      <c r="V5213" s="71"/>
      <c r="W5213" s="474"/>
      <c r="X5213" s="71"/>
      <c r="Y5213" s="71"/>
    </row>
    <row r="5214" spans="1:25" ht="30" hidden="1" customHeight="1" x14ac:dyDescent="0.25">
      <c r="A5214" s="1145"/>
      <c r="B5214" s="664" t="s">
        <v>3410</v>
      </c>
      <c r="C5214" s="71" t="s">
        <v>3411</v>
      </c>
      <c r="D5214" s="71"/>
      <c r="E5214" s="102">
        <v>650000</v>
      </c>
      <c r="F5214" s="102">
        <f t="shared" si="2545"/>
        <v>0</v>
      </c>
      <c r="G5214" s="102">
        <f t="shared" si="2546"/>
        <v>0</v>
      </c>
      <c r="H5214" s="690" t="s">
        <v>179</v>
      </c>
      <c r="I5214" s="690" t="s">
        <v>179</v>
      </c>
      <c r="J5214" s="53">
        <f t="shared" si="2547"/>
        <v>0</v>
      </c>
      <c r="K5214" s="63" t="e">
        <f t="shared" si="2548"/>
        <v>#DIV/0!</v>
      </c>
      <c r="L5214" s="1212" t="s">
        <v>3430</v>
      </c>
      <c r="M5214" s="468"/>
      <c r="N5214" s="1192">
        <f>A5214</f>
        <v>0</v>
      </c>
      <c r="O5214" s="71" t="s">
        <v>3412</v>
      </c>
      <c r="P5214" s="103" t="str">
        <f t="shared" si="2549"/>
        <v>Baldwin UV 램프 국전</v>
      </c>
      <c r="Q5214" s="71">
        <f t="shared" si="2536"/>
        <v>0</v>
      </c>
      <c r="R5214" s="102">
        <v>223435</v>
      </c>
      <c r="S5214" s="102">
        <f t="shared" si="2550"/>
        <v>0</v>
      </c>
      <c r="T5214" s="102">
        <f t="shared" si="2551"/>
        <v>0</v>
      </c>
      <c r="U5214" s="71"/>
      <c r="V5214" s="71"/>
      <c r="W5214" s="474"/>
      <c r="X5214" s="71"/>
      <c r="Y5214" s="71"/>
    </row>
    <row r="5215" spans="1:25" s="209" customFormat="1" ht="30" hidden="1" customHeight="1" x14ac:dyDescent="0.25">
      <c r="A5215" s="1145">
        <v>44768</v>
      </c>
      <c r="B5215" s="664" t="s">
        <v>411</v>
      </c>
      <c r="C5215" s="71" t="s">
        <v>3413</v>
      </c>
      <c r="D5215" s="71">
        <v>10</v>
      </c>
      <c r="E5215" s="102">
        <v>100000</v>
      </c>
      <c r="F5215" s="102">
        <f t="shared" si="2545"/>
        <v>1100000</v>
      </c>
      <c r="G5215" s="102">
        <f t="shared" si="2546"/>
        <v>1000000</v>
      </c>
      <c r="H5215" s="690" t="s">
        <v>2029</v>
      </c>
      <c r="I5215" s="71" t="s">
        <v>3385</v>
      </c>
      <c r="J5215" s="53">
        <f t="shared" si="2547"/>
        <v>500000</v>
      </c>
      <c r="K5215" s="63">
        <f t="shared" si="2548"/>
        <v>0.5</v>
      </c>
      <c r="L5215" s="1212" t="s">
        <v>3430</v>
      </c>
      <c r="M5215" s="468"/>
      <c r="N5215" s="1192">
        <f>A5215</f>
        <v>44768</v>
      </c>
      <c r="O5215" s="71" t="s">
        <v>190</v>
      </c>
      <c r="P5215" s="164" t="str">
        <f t="shared" si="2549"/>
        <v>아스테이지(국전)</v>
      </c>
      <c r="Q5215" s="71">
        <f t="shared" si="2536"/>
        <v>10</v>
      </c>
      <c r="R5215" s="102">
        <v>50000</v>
      </c>
      <c r="S5215" s="102">
        <f t="shared" si="2550"/>
        <v>550000</v>
      </c>
      <c r="T5215" s="102">
        <f t="shared" si="2551"/>
        <v>500000</v>
      </c>
      <c r="U5215" s="71" t="str">
        <f>IF(J5215=W5215,"O", "X")</f>
        <v>O</v>
      </c>
      <c r="V5215" s="71"/>
      <c r="W5215" s="474">
        <v>500000</v>
      </c>
      <c r="X5215" s="71"/>
      <c r="Y5215" s="71"/>
    </row>
    <row r="5216" spans="1:25" ht="30" hidden="1" customHeight="1" x14ac:dyDescent="0.25">
      <c r="A5216" s="1145">
        <v>44771</v>
      </c>
      <c r="B5216" s="664" t="s">
        <v>2103</v>
      </c>
      <c r="C5216" s="71" t="s">
        <v>3131</v>
      </c>
      <c r="D5216" s="71">
        <v>822</v>
      </c>
      <c r="E5216" s="102">
        <v>1500</v>
      </c>
      <c r="F5216" s="102">
        <f t="shared" si="2545"/>
        <v>1356300</v>
      </c>
      <c r="G5216" s="102">
        <f t="shared" si="2546"/>
        <v>1233000</v>
      </c>
      <c r="H5216" s="690" t="s">
        <v>173</v>
      </c>
      <c r="I5216" s="71" t="s">
        <v>2230</v>
      </c>
      <c r="J5216" s="53">
        <f t="shared" si="2547"/>
        <v>1233000</v>
      </c>
      <c r="K5216" s="63">
        <f t="shared" si="2548"/>
        <v>1</v>
      </c>
      <c r="L5216" s="1212" t="s">
        <v>3430</v>
      </c>
      <c r="M5216" s="468"/>
      <c r="N5216" s="1192">
        <f t="shared" ref="N5216:N5223" si="2552">A5216</f>
        <v>44771</v>
      </c>
      <c r="O5216" s="71"/>
      <c r="P5216" s="103" t="str">
        <f t="shared" si="2549"/>
        <v>세흥인쇄 폐판</v>
      </c>
      <c r="Q5216" s="71">
        <f t="shared" si="2536"/>
        <v>822</v>
      </c>
      <c r="R5216" s="102"/>
      <c r="S5216" s="102">
        <f t="shared" si="2550"/>
        <v>0</v>
      </c>
      <c r="T5216" s="102">
        <f t="shared" si="2551"/>
        <v>0</v>
      </c>
      <c r="U5216" s="71"/>
      <c r="V5216" s="71"/>
      <c r="W5216" s="474"/>
      <c r="X5216" s="71"/>
      <c r="Y5216" s="71"/>
    </row>
    <row r="5217" spans="1:25" ht="30" hidden="1" customHeight="1" x14ac:dyDescent="0.25">
      <c r="A5217" s="1145">
        <v>44761</v>
      </c>
      <c r="B5217" s="664" t="s">
        <v>1178</v>
      </c>
      <c r="C5217" s="71" t="s">
        <v>3438</v>
      </c>
      <c r="D5217" s="71">
        <v>1</v>
      </c>
      <c r="E5217" s="102">
        <v>1000000</v>
      </c>
      <c r="F5217" s="102">
        <f t="shared" si="2545"/>
        <v>1100000</v>
      </c>
      <c r="G5217" s="102">
        <f t="shared" si="2546"/>
        <v>1000000</v>
      </c>
      <c r="H5217" s="690" t="s">
        <v>985</v>
      </c>
      <c r="I5217" s="71" t="s">
        <v>985</v>
      </c>
      <c r="J5217" s="53">
        <f t="shared" si="2547"/>
        <v>1000000</v>
      </c>
      <c r="K5217" s="63">
        <f t="shared" si="2548"/>
        <v>1</v>
      </c>
      <c r="L5217" s="1212" t="s">
        <v>3430</v>
      </c>
      <c r="M5217" s="468"/>
      <c r="N5217" s="1192">
        <f t="shared" si="2552"/>
        <v>44761</v>
      </c>
      <c r="O5217" s="71"/>
      <c r="P5217" s="103" t="str">
        <f t="shared" si="2549"/>
        <v>장력문제 서비스</v>
      </c>
      <c r="Q5217" s="71">
        <f t="shared" si="2536"/>
        <v>1</v>
      </c>
      <c r="R5217" s="102"/>
      <c r="S5217" s="102">
        <f t="shared" si="2550"/>
        <v>0</v>
      </c>
      <c r="T5217" s="102">
        <f t="shared" si="2551"/>
        <v>0</v>
      </c>
      <c r="U5217" s="71"/>
      <c r="V5217" s="71"/>
      <c r="W5217" s="474"/>
      <c r="X5217" s="71"/>
      <c r="Y5217" s="71"/>
    </row>
    <row r="5218" spans="1:25" ht="30" hidden="1" customHeight="1" x14ac:dyDescent="0.25">
      <c r="A5218" s="1145">
        <v>44747</v>
      </c>
      <c r="B5218" s="664" t="s">
        <v>3440</v>
      </c>
      <c r="C5218" s="71" t="s">
        <v>3441</v>
      </c>
      <c r="D5218" s="71">
        <v>1</v>
      </c>
      <c r="E5218" s="102">
        <v>9000000</v>
      </c>
      <c r="F5218" s="102">
        <f t="shared" si="2545"/>
        <v>9900000</v>
      </c>
      <c r="G5218" s="102">
        <f t="shared" si="2546"/>
        <v>9000000</v>
      </c>
      <c r="H5218" s="690" t="s">
        <v>985</v>
      </c>
      <c r="I5218" s="71" t="s">
        <v>985</v>
      </c>
      <c r="J5218" s="53">
        <f t="shared" si="2547"/>
        <v>317200</v>
      </c>
      <c r="K5218" s="63">
        <f t="shared" si="2548"/>
        <v>3.5244444444444446E-2</v>
      </c>
      <c r="L5218" s="1212" t="s">
        <v>3430</v>
      </c>
      <c r="M5218" s="468"/>
      <c r="N5218" s="1192">
        <f t="shared" si="2552"/>
        <v>44747</v>
      </c>
      <c r="O5218" s="71"/>
      <c r="P5218" s="103" t="str">
        <f t="shared" si="2549"/>
        <v>로토만 점검 서비스(로랜드 기술자 3일)</v>
      </c>
      <c r="Q5218" s="71">
        <f t="shared" si="2536"/>
        <v>1</v>
      </c>
      <c r="R5218" s="102">
        <v>8682800</v>
      </c>
      <c r="S5218" s="102">
        <f t="shared" si="2550"/>
        <v>9551080</v>
      </c>
      <c r="T5218" s="102">
        <f t="shared" si="2551"/>
        <v>8682800</v>
      </c>
      <c r="U5218" s="71"/>
      <c r="V5218" s="71"/>
      <c r="W5218" s="474"/>
      <c r="X5218" s="71"/>
      <c r="Y5218" s="71"/>
    </row>
    <row r="5219" spans="1:25" ht="30" hidden="1" customHeight="1" x14ac:dyDescent="0.25">
      <c r="A5219" s="1145">
        <v>44761</v>
      </c>
      <c r="B5219" s="664" t="s">
        <v>748</v>
      </c>
      <c r="C5219" s="71" t="s">
        <v>3443</v>
      </c>
      <c r="D5219" s="71">
        <v>1</v>
      </c>
      <c r="E5219" s="102">
        <v>280000</v>
      </c>
      <c r="F5219" s="102">
        <f t="shared" si="2545"/>
        <v>308000</v>
      </c>
      <c r="G5219" s="102">
        <f t="shared" si="2546"/>
        <v>280000</v>
      </c>
      <c r="H5219" s="690" t="s">
        <v>985</v>
      </c>
      <c r="I5219" s="71" t="s">
        <v>985</v>
      </c>
      <c r="J5219" s="53">
        <f t="shared" si="2547"/>
        <v>280000</v>
      </c>
      <c r="K5219" s="63">
        <f t="shared" si="2548"/>
        <v>1</v>
      </c>
      <c r="L5219" s="1212" t="s">
        <v>3430</v>
      </c>
      <c r="M5219" s="468"/>
      <c r="N5219" s="1192">
        <f t="shared" si="2552"/>
        <v>44761</v>
      </c>
      <c r="O5219" s="71"/>
      <c r="P5219" s="103" t="str">
        <f t="shared" si="2549"/>
        <v>드라이어 서비스(6/28)</v>
      </c>
      <c r="Q5219" s="71">
        <f t="shared" si="2536"/>
        <v>1</v>
      </c>
      <c r="R5219" s="102"/>
      <c r="S5219" s="102">
        <f t="shared" si="2550"/>
        <v>0</v>
      </c>
      <c r="T5219" s="102">
        <f t="shared" si="2551"/>
        <v>0</v>
      </c>
      <c r="U5219" s="71"/>
      <c r="V5219" s="71"/>
      <c r="W5219" s="474"/>
      <c r="X5219" s="71"/>
      <c r="Y5219" s="71"/>
    </row>
    <row r="5220" spans="1:25" ht="30" hidden="1" customHeight="1" x14ac:dyDescent="0.25">
      <c r="A5220" s="1145">
        <v>44771</v>
      </c>
      <c r="B5220" s="664" t="s">
        <v>3031</v>
      </c>
      <c r="C5220" s="71" t="s">
        <v>123</v>
      </c>
      <c r="D5220" s="71">
        <v>10</v>
      </c>
      <c r="E5220" s="102">
        <v>45000</v>
      </c>
      <c r="F5220" s="102">
        <f t="shared" si="2545"/>
        <v>495000.00000000006</v>
      </c>
      <c r="G5220" s="102">
        <f t="shared" si="2546"/>
        <v>450000</v>
      </c>
      <c r="H5220" s="690" t="s">
        <v>94</v>
      </c>
      <c r="I5220" s="71" t="s">
        <v>94</v>
      </c>
      <c r="J5220" s="53">
        <f t="shared" si="2547"/>
        <v>210000</v>
      </c>
      <c r="K5220" s="63">
        <f t="shared" si="2548"/>
        <v>0.46666666666666662</v>
      </c>
      <c r="L5220" s="1212" t="s">
        <v>3430</v>
      </c>
      <c r="M5220" s="468"/>
      <c r="N5220" s="1192">
        <f t="shared" si="2552"/>
        <v>44771</v>
      </c>
      <c r="O5220" s="71" t="s">
        <v>94</v>
      </c>
      <c r="P5220" s="103" t="str">
        <f t="shared" si="2549"/>
        <v>필터백</v>
      </c>
      <c r="Q5220" s="71">
        <f t="shared" si="2536"/>
        <v>10</v>
      </c>
      <c r="R5220" s="102">
        <v>24000</v>
      </c>
      <c r="S5220" s="102">
        <f t="shared" si="2550"/>
        <v>264000</v>
      </c>
      <c r="T5220" s="102">
        <f t="shared" si="2551"/>
        <v>240000</v>
      </c>
      <c r="U5220" s="71"/>
      <c r="V5220" s="71"/>
      <c r="W5220" s="474"/>
      <c r="X5220" s="71"/>
      <c r="Y5220" s="71"/>
    </row>
    <row r="5221" spans="1:25" ht="30" hidden="1" customHeight="1" x14ac:dyDescent="0.25">
      <c r="A5221" s="1210" t="s">
        <v>3456</v>
      </c>
      <c r="B5221" s="1211" t="s">
        <v>544</v>
      </c>
      <c r="C5221" s="960"/>
      <c r="D5221" s="960"/>
      <c r="E5221" s="952"/>
      <c r="F5221" s="952"/>
      <c r="G5221" s="952"/>
      <c r="H5221" s="1206"/>
      <c r="I5221" s="960"/>
      <c r="J5221" s="952"/>
      <c r="K5221" s="953"/>
      <c r="L5221" s="1212" t="s">
        <v>3458</v>
      </c>
      <c r="M5221" s="1207"/>
      <c r="N5221" s="1208" t="str">
        <f t="shared" si="2552"/>
        <v>2022,8</v>
      </c>
      <c r="O5221" s="960"/>
      <c r="P5221" s="1209"/>
      <c r="Q5221" s="960"/>
      <c r="R5221" s="952"/>
      <c r="S5221" s="952"/>
      <c r="T5221" s="952"/>
      <c r="U5221" s="960"/>
      <c r="V5221" s="960"/>
      <c r="W5221" s="474">
        <f>(G5221-T5221)</f>
        <v>0</v>
      </c>
      <c r="X5221" s="71"/>
      <c r="Y5221" s="71"/>
    </row>
    <row r="5222" spans="1:25" ht="30" hidden="1" customHeight="1" x14ac:dyDescent="0.25">
      <c r="A5222" s="1145">
        <v>44774</v>
      </c>
      <c r="B5222" s="664" t="s">
        <v>18</v>
      </c>
      <c r="C5222" s="71" t="s">
        <v>3294</v>
      </c>
      <c r="D5222" s="71">
        <v>10</v>
      </c>
      <c r="E5222" s="102">
        <v>110000</v>
      </c>
      <c r="F5222" s="102">
        <f t="shared" ref="F5222:F5235" si="2553">(E5222*D5222)*1.1</f>
        <v>1210000</v>
      </c>
      <c r="G5222" s="102">
        <f t="shared" ref="G5222:G5235" si="2554">(E5222*D5222)</f>
        <v>1100000</v>
      </c>
      <c r="H5222" s="690" t="s">
        <v>172</v>
      </c>
      <c r="I5222" s="71" t="s">
        <v>3295</v>
      </c>
      <c r="J5222" s="53">
        <f t="shared" ref="J5222:J5246" si="2555">G5222-T5222</f>
        <v>10000</v>
      </c>
      <c r="K5222" s="63">
        <v>0.13800000000000001</v>
      </c>
      <c r="L5222" s="1212" t="s">
        <v>3458</v>
      </c>
      <c r="M5222" s="468"/>
      <c r="N5222" s="1192">
        <f t="shared" si="2552"/>
        <v>44774</v>
      </c>
      <c r="O5222" s="71" t="s">
        <v>150</v>
      </c>
      <c r="P5222" s="103" t="str">
        <f t="shared" ref="P5222:P5252" si="2556">(C5222)</f>
        <v>1077*885 하이델 bar 블랑켓</v>
      </c>
      <c r="Q5222" s="71">
        <f t="shared" ref="Q5222:Q5235" si="2557">D5222</f>
        <v>10</v>
      </c>
      <c r="R5222" s="102">
        <v>109000</v>
      </c>
      <c r="S5222" s="102">
        <f t="shared" ref="S5222:S5253" si="2558">R5222*Q5222*1.1</f>
        <v>1199000</v>
      </c>
      <c r="T5222" s="102">
        <f t="shared" ref="T5222:T5253" si="2559">R5222*Q5222</f>
        <v>1090000</v>
      </c>
      <c r="U5222" s="71"/>
      <c r="V5222" s="71"/>
      <c r="W5222" s="474"/>
      <c r="X5222" s="71"/>
      <c r="Y5222" s="71"/>
    </row>
    <row r="5223" spans="1:25" ht="30" hidden="1" customHeight="1" x14ac:dyDescent="0.25">
      <c r="A5223" s="1145">
        <v>44774</v>
      </c>
      <c r="B5223" s="664" t="s">
        <v>18</v>
      </c>
      <c r="C5223" s="71" t="s">
        <v>2070</v>
      </c>
      <c r="D5223" s="71">
        <v>5</v>
      </c>
      <c r="E5223" s="102">
        <v>100000</v>
      </c>
      <c r="F5223" s="102">
        <f t="shared" si="2553"/>
        <v>550000</v>
      </c>
      <c r="G5223" s="102">
        <f t="shared" si="2554"/>
        <v>500000</v>
      </c>
      <c r="H5223" s="690" t="s">
        <v>172</v>
      </c>
      <c r="I5223" s="71" t="s">
        <v>33</v>
      </c>
      <c r="J5223" s="53">
        <f t="shared" si="2555"/>
        <v>66000</v>
      </c>
      <c r="K5223" s="63">
        <v>0.10555555555555554</v>
      </c>
      <c r="L5223" s="1212" t="s">
        <v>3457</v>
      </c>
      <c r="M5223" s="468"/>
      <c r="N5223" s="1192">
        <f t="shared" si="2552"/>
        <v>44774</v>
      </c>
      <c r="O5223" s="71" t="s">
        <v>146</v>
      </c>
      <c r="P5223" s="103" t="str">
        <f t="shared" si="2556"/>
        <v>Blanket(1050*840)</v>
      </c>
      <c r="Q5223" s="71">
        <f t="shared" si="2557"/>
        <v>5</v>
      </c>
      <c r="R5223" s="102">
        <v>86800</v>
      </c>
      <c r="S5223" s="102">
        <f t="shared" si="2558"/>
        <v>477400.00000000006</v>
      </c>
      <c r="T5223" s="102">
        <f t="shared" si="2559"/>
        <v>434000</v>
      </c>
      <c r="U5223" s="71" t="s">
        <v>859</v>
      </c>
      <c r="V5223" s="71"/>
      <c r="W5223" s="474"/>
      <c r="X5223" s="71"/>
      <c r="Y5223" s="71"/>
    </row>
    <row r="5224" spans="1:25" ht="30" hidden="1" customHeight="1" x14ac:dyDescent="0.25">
      <c r="A5224" s="1145">
        <v>44774</v>
      </c>
      <c r="B5224" s="664" t="s">
        <v>548</v>
      </c>
      <c r="C5224" s="71" t="s">
        <v>3384</v>
      </c>
      <c r="D5224" s="71">
        <v>200</v>
      </c>
      <c r="E5224" s="102">
        <v>450</v>
      </c>
      <c r="F5224" s="102">
        <f t="shared" si="2553"/>
        <v>99000.000000000015</v>
      </c>
      <c r="G5224" s="102">
        <f t="shared" si="2554"/>
        <v>90000</v>
      </c>
      <c r="H5224" s="690" t="s">
        <v>2029</v>
      </c>
      <c r="I5224" s="71" t="s">
        <v>3385</v>
      </c>
      <c r="J5224" s="53">
        <f t="shared" si="2555"/>
        <v>26000</v>
      </c>
      <c r="K5224" s="63">
        <f>(J5224/(F5224/11*10))</f>
        <v>0.28888888888888886</v>
      </c>
      <c r="L5224" s="1212" t="s">
        <v>3457</v>
      </c>
      <c r="M5224" s="468"/>
      <c r="N5224" s="1192">
        <f t="shared" ref="N5224:N5246" si="2560">A5224</f>
        <v>44774</v>
      </c>
      <c r="O5224" s="71" t="s">
        <v>2030</v>
      </c>
      <c r="P5224" s="164" t="str">
        <f t="shared" si="2556"/>
        <v>고무사카 빨간색</v>
      </c>
      <c r="Q5224" s="71">
        <f t="shared" si="2557"/>
        <v>200</v>
      </c>
      <c r="R5224" s="102">
        <v>320</v>
      </c>
      <c r="S5224" s="102">
        <f t="shared" si="2558"/>
        <v>70400</v>
      </c>
      <c r="T5224" s="102">
        <f t="shared" si="2559"/>
        <v>64000</v>
      </c>
      <c r="U5224" s="71"/>
      <c r="V5224" s="71"/>
      <c r="W5224" s="474"/>
      <c r="X5224" s="71"/>
      <c r="Y5224" s="71"/>
    </row>
    <row r="5225" spans="1:25" ht="30" hidden="1" customHeight="1" x14ac:dyDescent="0.25">
      <c r="A5225" s="1145">
        <v>44797</v>
      </c>
      <c r="B5225" s="664" t="s">
        <v>18</v>
      </c>
      <c r="C5225" s="71" t="s">
        <v>3294</v>
      </c>
      <c r="D5225" s="71">
        <v>15</v>
      </c>
      <c r="E5225" s="102">
        <v>110000</v>
      </c>
      <c r="F5225" s="102">
        <f t="shared" si="2553"/>
        <v>1815000.0000000002</v>
      </c>
      <c r="G5225" s="102">
        <f t="shared" si="2554"/>
        <v>1650000</v>
      </c>
      <c r="H5225" s="690" t="s">
        <v>172</v>
      </c>
      <c r="I5225" s="71" t="s">
        <v>3295</v>
      </c>
      <c r="J5225" s="53">
        <f t="shared" si="2555"/>
        <v>15000</v>
      </c>
      <c r="K5225" s="63">
        <v>0.13800000000000001</v>
      </c>
      <c r="L5225" s="1212" t="s">
        <v>3457</v>
      </c>
      <c r="M5225" s="468"/>
      <c r="N5225" s="1192">
        <f t="shared" si="2560"/>
        <v>44797</v>
      </c>
      <c r="O5225" s="71" t="s">
        <v>150</v>
      </c>
      <c r="P5225" s="103" t="str">
        <f t="shared" si="2556"/>
        <v>1077*885 하이델 bar 블랑켓</v>
      </c>
      <c r="Q5225" s="71">
        <f t="shared" si="2557"/>
        <v>15</v>
      </c>
      <c r="R5225" s="102">
        <v>109000</v>
      </c>
      <c r="S5225" s="102">
        <f t="shared" si="2558"/>
        <v>1798500.0000000002</v>
      </c>
      <c r="T5225" s="102">
        <f t="shared" si="2559"/>
        <v>1635000</v>
      </c>
      <c r="U5225" s="71"/>
      <c r="V5225" s="71"/>
      <c r="W5225" s="474"/>
      <c r="X5225" s="71"/>
      <c r="Y5225" s="71"/>
    </row>
    <row r="5226" spans="1:25" ht="30" hidden="1" customHeight="1" x14ac:dyDescent="0.25">
      <c r="A5226" s="1145">
        <v>44797</v>
      </c>
      <c r="B5226" s="664" t="s">
        <v>18</v>
      </c>
      <c r="C5226" s="71" t="s">
        <v>2070</v>
      </c>
      <c r="D5226" s="71">
        <v>5</v>
      </c>
      <c r="E5226" s="102">
        <v>100000</v>
      </c>
      <c r="F5226" s="102">
        <f t="shared" si="2553"/>
        <v>550000</v>
      </c>
      <c r="G5226" s="102">
        <f t="shared" si="2554"/>
        <v>500000</v>
      </c>
      <c r="H5226" s="690" t="s">
        <v>172</v>
      </c>
      <c r="I5226" s="71" t="s">
        <v>33</v>
      </c>
      <c r="J5226" s="53">
        <f t="shared" si="2555"/>
        <v>66000</v>
      </c>
      <c r="K5226" s="63">
        <v>0.10555555555555554</v>
      </c>
      <c r="L5226" s="1212" t="s">
        <v>3457</v>
      </c>
      <c r="M5226" s="468"/>
      <c r="N5226" s="1192">
        <f t="shared" si="2560"/>
        <v>44797</v>
      </c>
      <c r="O5226" s="71" t="s">
        <v>146</v>
      </c>
      <c r="P5226" s="103" t="str">
        <f t="shared" si="2556"/>
        <v>Blanket(1050*840)</v>
      </c>
      <c r="Q5226" s="71">
        <f t="shared" si="2557"/>
        <v>5</v>
      </c>
      <c r="R5226" s="102">
        <v>86800</v>
      </c>
      <c r="S5226" s="102">
        <f t="shared" si="2558"/>
        <v>477400.00000000006</v>
      </c>
      <c r="T5226" s="102">
        <f t="shared" si="2559"/>
        <v>434000</v>
      </c>
      <c r="U5226" s="71" t="s">
        <v>859</v>
      </c>
      <c r="V5226" s="71"/>
      <c r="W5226" s="474"/>
      <c r="X5226" s="71"/>
      <c r="Y5226" s="71"/>
    </row>
    <row r="5227" spans="1:25" ht="30" hidden="1" customHeight="1" x14ac:dyDescent="0.25">
      <c r="A5227" s="1145">
        <v>44797</v>
      </c>
      <c r="B5227" s="664" t="s">
        <v>18</v>
      </c>
      <c r="C5227" s="71" t="s">
        <v>3305</v>
      </c>
      <c r="D5227" s="71">
        <v>10</v>
      </c>
      <c r="E5227" s="102">
        <v>86000</v>
      </c>
      <c r="F5227" s="102">
        <f t="shared" si="2553"/>
        <v>946000.00000000012</v>
      </c>
      <c r="G5227" s="102">
        <f t="shared" si="2554"/>
        <v>860000</v>
      </c>
      <c r="H5227" s="690" t="s">
        <v>172</v>
      </c>
      <c r="I5227" s="71" t="s">
        <v>3295</v>
      </c>
      <c r="J5227" s="53">
        <f t="shared" si="2555"/>
        <v>260000</v>
      </c>
      <c r="K5227" s="63">
        <f t="shared" ref="K5227:K5246" si="2561">(J5227/(F5227/11*10))</f>
        <v>0.30232558139534882</v>
      </c>
      <c r="L5227" s="1212" t="s">
        <v>3457</v>
      </c>
      <c r="M5227" s="468" t="s">
        <v>3306</v>
      </c>
      <c r="N5227" s="1192">
        <f t="shared" si="2560"/>
        <v>44797</v>
      </c>
      <c r="O5227" s="71" t="s">
        <v>146</v>
      </c>
      <c r="P5227" s="103" t="str">
        <f t="shared" si="2556"/>
        <v>파우더</v>
      </c>
      <c r="Q5227" s="71">
        <f t="shared" si="2557"/>
        <v>10</v>
      </c>
      <c r="R5227" s="102">
        <v>60000</v>
      </c>
      <c r="S5227" s="102">
        <f t="shared" si="2558"/>
        <v>660000</v>
      </c>
      <c r="T5227" s="102">
        <f t="shared" si="2559"/>
        <v>600000</v>
      </c>
      <c r="U5227" s="71" t="str">
        <f>IF(J5227=W5227,"O", "X")</f>
        <v>X</v>
      </c>
      <c r="V5227" s="71"/>
      <c r="W5227" s="474"/>
      <c r="X5227" s="71"/>
      <c r="Y5227" s="71"/>
    </row>
    <row r="5228" spans="1:25" ht="30" hidden="1" customHeight="1" x14ac:dyDescent="0.25">
      <c r="A5228" s="1145">
        <v>44797</v>
      </c>
      <c r="B5228" s="664" t="s">
        <v>548</v>
      </c>
      <c r="C5228" s="71" t="s">
        <v>3384</v>
      </c>
      <c r="D5228" s="71">
        <v>200</v>
      </c>
      <c r="E5228" s="102">
        <v>450</v>
      </c>
      <c r="F5228" s="102">
        <f t="shared" si="2553"/>
        <v>99000.000000000015</v>
      </c>
      <c r="G5228" s="102">
        <f t="shared" si="2554"/>
        <v>90000</v>
      </c>
      <c r="H5228" s="690" t="s">
        <v>2029</v>
      </c>
      <c r="I5228" s="71" t="s">
        <v>3385</v>
      </c>
      <c r="J5228" s="53">
        <f t="shared" si="2555"/>
        <v>26000</v>
      </c>
      <c r="K5228" s="63">
        <f t="shared" si="2561"/>
        <v>0.28888888888888886</v>
      </c>
      <c r="L5228" s="1212" t="s">
        <v>3457</v>
      </c>
      <c r="M5228" s="468"/>
      <c r="N5228" s="1192">
        <f t="shared" si="2560"/>
        <v>44797</v>
      </c>
      <c r="O5228" s="71" t="s">
        <v>2030</v>
      </c>
      <c r="P5228" s="164" t="str">
        <f t="shared" si="2556"/>
        <v>고무사카 빨간색</v>
      </c>
      <c r="Q5228" s="71">
        <f t="shared" si="2557"/>
        <v>200</v>
      </c>
      <c r="R5228" s="102">
        <v>320</v>
      </c>
      <c r="S5228" s="102">
        <f t="shared" si="2558"/>
        <v>70400</v>
      </c>
      <c r="T5228" s="102">
        <f t="shared" si="2559"/>
        <v>64000</v>
      </c>
      <c r="U5228" s="71"/>
      <c r="V5228" s="71"/>
      <c r="W5228" s="474"/>
      <c r="X5228" s="71"/>
      <c r="Y5228" s="71"/>
    </row>
    <row r="5229" spans="1:25" ht="30" hidden="1" customHeight="1" x14ac:dyDescent="0.25">
      <c r="A5229" s="1145">
        <v>44774</v>
      </c>
      <c r="B5229" s="664" t="s">
        <v>3289</v>
      </c>
      <c r="C5229" s="71" t="s">
        <v>2070</v>
      </c>
      <c r="D5229" s="71">
        <v>10</v>
      </c>
      <c r="E5229" s="102">
        <v>108000</v>
      </c>
      <c r="F5229" s="102">
        <f t="shared" si="2553"/>
        <v>1188000</v>
      </c>
      <c r="G5229" s="102">
        <f t="shared" si="2554"/>
        <v>1080000</v>
      </c>
      <c r="H5229" s="690" t="s">
        <v>172</v>
      </c>
      <c r="I5229" s="71" t="s">
        <v>33</v>
      </c>
      <c r="J5229" s="53">
        <f t="shared" si="2555"/>
        <v>212000</v>
      </c>
      <c r="K5229" s="63">
        <f t="shared" si="2561"/>
        <v>0.1962962962962963</v>
      </c>
      <c r="L5229" s="1212" t="s">
        <v>3457</v>
      </c>
      <c r="M5229" s="468"/>
      <c r="N5229" s="1192">
        <f t="shared" si="2560"/>
        <v>44774</v>
      </c>
      <c r="O5229" s="71" t="s">
        <v>146</v>
      </c>
      <c r="P5229" s="103" t="str">
        <f t="shared" si="2556"/>
        <v>Blanket(1050*840)</v>
      </c>
      <c r="Q5229" s="71">
        <f t="shared" si="2557"/>
        <v>10</v>
      </c>
      <c r="R5229" s="102">
        <v>86800</v>
      </c>
      <c r="S5229" s="102">
        <f t="shared" si="2558"/>
        <v>954800.00000000012</v>
      </c>
      <c r="T5229" s="102">
        <f t="shared" si="2559"/>
        <v>868000</v>
      </c>
      <c r="U5229" s="71" t="str">
        <f t="shared" ref="U5229:U5236" si="2562">IF(J5229=W5229,"O", "X")</f>
        <v>X</v>
      </c>
      <c r="V5229" s="71"/>
      <c r="W5229" s="474">
        <v>275000</v>
      </c>
      <c r="X5229" s="71"/>
      <c r="Y5229" s="71"/>
    </row>
    <row r="5230" spans="1:25" s="209" customFormat="1" ht="31.5" hidden="1" customHeight="1" x14ac:dyDescent="0.2">
      <c r="A5230" s="1145">
        <v>44774</v>
      </c>
      <c r="B5230" s="664" t="s">
        <v>3289</v>
      </c>
      <c r="C5230" s="71" t="s">
        <v>3387</v>
      </c>
      <c r="D5230" s="71">
        <v>10</v>
      </c>
      <c r="E5230" s="102">
        <v>120000</v>
      </c>
      <c r="F5230" s="102">
        <f t="shared" si="2553"/>
        <v>1320000</v>
      </c>
      <c r="G5230" s="102">
        <f t="shared" si="2554"/>
        <v>1200000</v>
      </c>
      <c r="H5230" s="165" t="s">
        <v>172</v>
      </c>
      <c r="I5230" s="71" t="s">
        <v>184</v>
      </c>
      <c r="J5230" s="53">
        <f t="shared" si="2555"/>
        <v>80000</v>
      </c>
      <c r="K5230" s="63">
        <f t="shared" si="2561"/>
        <v>6.6666666666666666E-2</v>
      </c>
      <c r="L5230" s="1212" t="s">
        <v>3457</v>
      </c>
      <c r="M5230" s="468"/>
      <c r="N5230" s="1192">
        <f t="shared" si="2560"/>
        <v>44774</v>
      </c>
      <c r="O5230" s="71" t="s">
        <v>189</v>
      </c>
      <c r="P5230" s="103" t="str">
        <f t="shared" si="2556"/>
        <v>Blanket(990*725)</v>
      </c>
      <c r="Q5230" s="71">
        <f t="shared" si="2557"/>
        <v>10</v>
      </c>
      <c r="R5230" s="102">
        <v>112000</v>
      </c>
      <c r="S5230" s="102">
        <f t="shared" si="2558"/>
        <v>1232000</v>
      </c>
      <c r="T5230" s="102">
        <f t="shared" si="2559"/>
        <v>1120000</v>
      </c>
      <c r="U5230" s="71" t="str">
        <f t="shared" si="2562"/>
        <v>O</v>
      </c>
      <c r="V5230" s="71"/>
      <c r="W5230" s="474">
        <v>80000</v>
      </c>
      <c r="X5230" s="71"/>
      <c r="Y5230" s="71"/>
    </row>
    <row r="5231" spans="1:25" ht="30" hidden="1" customHeight="1" x14ac:dyDescent="0.25">
      <c r="A5231" s="1145">
        <v>44774</v>
      </c>
      <c r="B5231" s="664" t="s">
        <v>2261</v>
      </c>
      <c r="C5231" s="71" t="s">
        <v>277</v>
      </c>
      <c r="D5231" s="71">
        <v>10</v>
      </c>
      <c r="E5231" s="102">
        <v>172000</v>
      </c>
      <c r="F5231" s="102">
        <f t="shared" si="2553"/>
        <v>1892000.0000000002</v>
      </c>
      <c r="G5231" s="102">
        <f t="shared" si="2554"/>
        <v>1720000</v>
      </c>
      <c r="H5231" s="690" t="s">
        <v>172</v>
      </c>
      <c r="I5231" s="71" t="s">
        <v>108</v>
      </c>
      <c r="J5231" s="53">
        <f t="shared" si="2555"/>
        <v>421000</v>
      </c>
      <c r="K5231" s="63">
        <f t="shared" si="2561"/>
        <v>0.24476744186046509</v>
      </c>
      <c r="L5231" s="1212" t="s">
        <v>3457</v>
      </c>
      <c r="M5231" s="468"/>
      <c r="N5231" s="1192">
        <f t="shared" si="2560"/>
        <v>44774</v>
      </c>
      <c r="O5231" s="71" t="s">
        <v>662</v>
      </c>
      <c r="P5231" s="103" t="str">
        <f t="shared" si="2556"/>
        <v>윤전용 세척제(Web 504)</v>
      </c>
      <c r="Q5231" s="71">
        <f t="shared" si="2557"/>
        <v>10</v>
      </c>
      <c r="R5231" s="102">
        <v>129900</v>
      </c>
      <c r="S5231" s="102">
        <f t="shared" si="2558"/>
        <v>1428900</v>
      </c>
      <c r="T5231" s="102">
        <f t="shared" si="2559"/>
        <v>1299000</v>
      </c>
      <c r="U5231" s="71" t="str">
        <f t="shared" si="2562"/>
        <v>X</v>
      </c>
      <c r="V5231" s="71"/>
      <c r="W5231" s="474"/>
      <c r="X5231" s="71"/>
      <c r="Y5231" s="71"/>
    </row>
    <row r="5232" spans="1:25" ht="30" hidden="1" customHeight="1" x14ac:dyDescent="0.25">
      <c r="A5232" s="1145">
        <v>44791</v>
      </c>
      <c r="B5232" s="664" t="s">
        <v>2261</v>
      </c>
      <c r="C5232" s="760" t="s">
        <v>181</v>
      </c>
      <c r="D5232" s="71">
        <v>10</v>
      </c>
      <c r="E5232" s="102">
        <v>192500</v>
      </c>
      <c r="F5232" s="102">
        <f t="shared" si="2553"/>
        <v>2117500</v>
      </c>
      <c r="G5232" s="102">
        <f t="shared" si="2554"/>
        <v>1925000</v>
      </c>
      <c r="H5232" s="690" t="s">
        <v>2029</v>
      </c>
      <c r="I5232" s="71" t="s">
        <v>182</v>
      </c>
      <c r="J5232" s="53">
        <f t="shared" si="2555"/>
        <v>710000</v>
      </c>
      <c r="K5232" s="63">
        <f t="shared" si="2561"/>
        <v>0.36883116883116884</v>
      </c>
      <c r="L5232" s="1212" t="s">
        <v>3457</v>
      </c>
      <c r="M5232" s="468"/>
      <c r="N5232" s="1192">
        <f t="shared" si="2560"/>
        <v>44791</v>
      </c>
      <c r="O5232" s="71" t="s">
        <v>2030</v>
      </c>
      <c r="P5232" s="103" t="str">
        <f t="shared" si="2556"/>
        <v>Fount Web 551AF</v>
      </c>
      <c r="Q5232" s="71">
        <f t="shared" si="2557"/>
        <v>10</v>
      </c>
      <c r="R5232" s="102">
        <v>121500</v>
      </c>
      <c r="S5232" s="102">
        <f t="shared" si="2558"/>
        <v>1336500</v>
      </c>
      <c r="T5232" s="102">
        <f t="shared" si="2559"/>
        <v>1215000</v>
      </c>
      <c r="U5232" s="71" t="str">
        <f t="shared" si="2562"/>
        <v>X</v>
      </c>
      <c r="V5232" s="71"/>
      <c r="W5232" s="474">
        <v>640000</v>
      </c>
      <c r="X5232" s="71"/>
      <c r="Y5232" s="71"/>
    </row>
    <row r="5233" spans="1:25" ht="30" hidden="1" customHeight="1" x14ac:dyDescent="0.25">
      <c r="A5233" s="1145">
        <v>44799</v>
      </c>
      <c r="B5233" s="664" t="s">
        <v>2261</v>
      </c>
      <c r="C5233" s="71" t="s">
        <v>277</v>
      </c>
      <c r="D5233" s="71">
        <v>10</v>
      </c>
      <c r="E5233" s="102">
        <v>172000</v>
      </c>
      <c r="F5233" s="102">
        <f t="shared" si="2553"/>
        <v>1892000.0000000002</v>
      </c>
      <c r="G5233" s="102">
        <f t="shared" si="2554"/>
        <v>1720000</v>
      </c>
      <c r="H5233" s="690" t="s">
        <v>172</v>
      </c>
      <c r="I5233" s="71" t="s">
        <v>108</v>
      </c>
      <c r="J5233" s="53">
        <f t="shared" si="2555"/>
        <v>421000</v>
      </c>
      <c r="K5233" s="63">
        <f t="shared" si="2561"/>
        <v>0.24476744186046509</v>
      </c>
      <c r="L5233" s="1212" t="s">
        <v>3457</v>
      </c>
      <c r="M5233" s="468"/>
      <c r="N5233" s="1192">
        <f t="shared" si="2560"/>
        <v>44799</v>
      </c>
      <c r="O5233" s="71" t="s">
        <v>662</v>
      </c>
      <c r="P5233" s="103" t="str">
        <f t="shared" si="2556"/>
        <v>윤전용 세척제(Web 504)</v>
      </c>
      <c r="Q5233" s="71">
        <f t="shared" si="2557"/>
        <v>10</v>
      </c>
      <c r="R5233" s="102">
        <v>129900</v>
      </c>
      <c r="S5233" s="102">
        <f t="shared" si="2558"/>
        <v>1428900</v>
      </c>
      <c r="T5233" s="102">
        <f t="shared" si="2559"/>
        <v>1299000</v>
      </c>
      <c r="U5233" s="71" t="str">
        <f t="shared" si="2562"/>
        <v>X</v>
      </c>
      <c r="V5233" s="71"/>
      <c r="W5233" s="474"/>
      <c r="X5233" s="71"/>
      <c r="Y5233" s="71"/>
    </row>
    <row r="5234" spans="1:25" ht="30" hidden="1" customHeight="1" x14ac:dyDescent="0.25">
      <c r="A5234" s="1145">
        <v>44778</v>
      </c>
      <c r="B5234" s="664" t="s">
        <v>26</v>
      </c>
      <c r="C5234" s="71" t="s">
        <v>2087</v>
      </c>
      <c r="D5234" s="71">
        <v>5</v>
      </c>
      <c r="E5234" s="102">
        <v>75000</v>
      </c>
      <c r="F5234" s="102">
        <f t="shared" si="2553"/>
        <v>412500.00000000006</v>
      </c>
      <c r="G5234" s="102">
        <f t="shared" si="2554"/>
        <v>375000</v>
      </c>
      <c r="H5234" s="690" t="s">
        <v>172</v>
      </c>
      <c r="I5234" s="71" t="s">
        <v>3295</v>
      </c>
      <c r="J5234" s="53">
        <f t="shared" si="2555"/>
        <v>125000</v>
      </c>
      <c r="K5234" s="63">
        <f t="shared" si="2561"/>
        <v>0.33333333333333326</v>
      </c>
      <c r="L5234" s="1212" t="s">
        <v>3457</v>
      </c>
      <c r="M5234" s="468"/>
      <c r="N5234" s="1192">
        <f t="shared" si="2560"/>
        <v>44778</v>
      </c>
      <c r="O5234" s="71" t="s">
        <v>152</v>
      </c>
      <c r="P5234" s="103" t="str">
        <f t="shared" si="2556"/>
        <v>아스테이지(국전)</v>
      </c>
      <c r="Q5234" s="71">
        <f t="shared" si="2557"/>
        <v>5</v>
      </c>
      <c r="R5234" s="102">
        <v>50000</v>
      </c>
      <c r="S5234" s="102">
        <f t="shared" si="2558"/>
        <v>275000</v>
      </c>
      <c r="T5234" s="102">
        <f t="shared" si="2559"/>
        <v>250000</v>
      </c>
      <c r="U5234" s="71" t="str">
        <f t="shared" si="2562"/>
        <v>X</v>
      </c>
      <c r="V5234" s="71"/>
      <c r="W5234" s="474">
        <v>150000</v>
      </c>
      <c r="X5234" s="71"/>
      <c r="Y5234" s="71"/>
    </row>
    <row r="5235" spans="1:25" ht="30" hidden="1" customHeight="1" x14ac:dyDescent="0.25">
      <c r="A5235" s="1145">
        <v>44792</v>
      </c>
      <c r="B5235" s="664" t="s">
        <v>26</v>
      </c>
      <c r="C5235" s="71" t="s">
        <v>3328</v>
      </c>
      <c r="D5235" s="71">
        <v>5</v>
      </c>
      <c r="E5235" s="102">
        <v>55000</v>
      </c>
      <c r="F5235" s="102">
        <f t="shared" si="2553"/>
        <v>302500</v>
      </c>
      <c r="G5235" s="102">
        <f t="shared" si="2554"/>
        <v>275000</v>
      </c>
      <c r="H5235" s="690" t="s">
        <v>172</v>
      </c>
      <c r="I5235" s="71" t="s">
        <v>3295</v>
      </c>
      <c r="J5235" s="53">
        <f t="shared" si="2555"/>
        <v>75000</v>
      </c>
      <c r="K5235" s="63">
        <f t="shared" si="2561"/>
        <v>0.27272727272727271</v>
      </c>
      <c r="L5235" s="1212" t="s">
        <v>3457</v>
      </c>
      <c r="M5235" s="468"/>
      <c r="N5235" s="1192">
        <f t="shared" si="2560"/>
        <v>44792</v>
      </c>
      <c r="O5235" s="71" t="s">
        <v>152</v>
      </c>
      <c r="P5235" s="103" t="str">
        <f t="shared" si="2556"/>
        <v>아스테이지(CD74용)</v>
      </c>
      <c r="Q5235" s="71">
        <f t="shared" si="2557"/>
        <v>5</v>
      </c>
      <c r="R5235" s="102">
        <v>40000</v>
      </c>
      <c r="S5235" s="102">
        <f t="shared" si="2558"/>
        <v>220000.00000000003</v>
      </c>
      <c r="T5235" s="102">
        <f t="shared" si="2559"/>
        <v>200000</v>
      </c>
      <c r="U5235" s="71" t="str">
        <f t="shared" si="2562"/>
        <v>X</v>
      </c>
      <c r="V5235" s="71"/>
      <c r="W5235" s="474"/>
      <c r="X5235" s="71"/>
      <c r="Y5235" s="71"/>
    </row>
    <row r="5236" spans="1:25" ht="30" hidden="1" customHeight="1" x14ac:dyDescent="0.25">
      <c r="A5236" s="1145">
        <v>44793</v>
      </c>
      <c r="B5236" s="664" t="s">
        <v>26</v>
      </c>
      <c r="C5236" s="71" t="s">
        <v>2087</v>
      </c>
      <c r="D5236" s="71">
        <v>5</v>
      </c>
      <c r="E5236" s="102">
        <v>75000</v>
      </c>
      <c r="F5236" s="102">
        <f t="shared" ref="F5236:F5241" si="2563">(E5236*D5236)*1.1</f>
        <v>412500.00000000006</v>
      </c>
      <c r="G5236" s="102">
        <f t="shared" ref="G5236:G5241" si="2564">(E5236*D5236)</f>
        <v>375000</v>
      </c>
      <c r="H5236" s="690" t="s">
        <v>172</v>
      </c>
      <c r="I5236" s="71" t="s">
        <v>3295</v>
      </c>
      <c r="J5236" s="53">
        <f t="shared" si="2555"/>
        <v>125000</v>
      </c>
      <c r="K5236" s="63">
        <f t="shared" si="2561"/>
        <v>0.33333333333333326</v>
      </c>
      <c r="L5236" s="1212" t="s">
        <v>3457</v>
      </c>
      <c r="M5236" s="468"/>
      <c r="N5236" s="1192">
        <f t="shared" si="2560"/>
        <v>44793</v>
      </c>
      <c r="O5236" s="71" t="s">
        <v>152</v>
      </c>
      <c r="P5236" s="103" t="str">
        <f t="shared" si="2556"/>
        <v>아스테이지(국전)</v>
      </c>
      <c r="Q5236" s="71">
        <f t="shared" ref="Q5236:Q5241" si="2565">D5236</f>
        <v>5</v>
      </c>
      <c r="R5236" s="102">
        <v>50000</v>
      </c>
      <c r="S5236" s="102">
        <f t="shared" si="2558"/>
        <v>275000</v>
      </c>
      <c r="T5236" s="102">
        <f t="shared" si="2559"/>
        <v>250000</v>
      </c>
      <c r="U5236" s="71" t="str">
        <f t="shared" si="2562"/>
        <v>X</v>
      </c>
      <c r="V5236" s="71"/>
      <c r="W5236" s="474">
        <v>150000</v>
      </c>
      <c r="X5236" s="71"/>
      <c r="Y5236" s="71"/>
    </row>
    <row r="5237" spans="1:25" ht="30" hidden="1" customHeight="1" x14ac:dyDescent="0.25">
      <c r="A5237" s="1145">
        <v>44783</v>
      </c>
      <c r="B5237" s="664" t="s">
        <v>1014</v>
      </c>
      <c r="C5237" s="71" t="s">
        <v>123</v>
      </c>
      <c r="D5237" s="71">
        <v>20</v>
      </c>
      <c r="E5237" s="102">
        <v>50000</v>
      </c>
      <c r="F5237" s="102">
        <f t="shared" si="2563"/>
        <v>1100000</v>
      </c>
      <c r="G5237" s="102">
        <f t="shared" si="2564"/>
        <v>1000000</v>
      </c>
      <c r="H5237" s="690" t="s">
        <v>94</v>
      </c>
      <c r="I5237" s="71" t="s">
        <v>94</v>
      </c>
      <c r="J5237" s="53">
        <f t="shared" si="2555"/>
        <v>520000</v>
      </c>
      <c r="K5237" s="63">
        <f t="shared" si="2561"/>
        <v>0.52</v>
      </c>
      <c r="L5237" s="1212" t="s">
        <v>3457</v>
      </c>
      <c r="M5237" s="468"/>
      <c r="N5237" s="1192">
        <f t="shared" si="2560"/>
        <v>44783</v>
      </c>
      <c r="O5237" s="71" t="s">
        <v>94</v>
      </c>
      <c r="P5237" s="103" t="str">
        <f t="shared" si="2556"/>
        <v>필터백</v>
      </c>
      <c r="Q5237" s="71">
        <f t="shared" si="2565"/>
        <v>20</v>
      </c>
      <c r="R5237" s="102">
        <v>24000</v>
      </c>
      <c r="S5237" s="102">
        <f t="shared" si="2558"/>
        <v>528000</v>
      </c>
      <c r="T5237" s="102">
        <f t="shared" si="2559"/>
        <v>480000</v>
      </c>
      <c r="U5237" s="71"/>
      <c r="V5237" s="71"/>
      <c r="W5237" s="474"/>
      <c r="X5237" s="71"/>
      <c r="Y5237" s="71"/>
    </row>
    <row r="5238" spans="1:25" ht="30" hidden="1" customHeight="1" x14ac:dyDescent="0.25">
      <c r="A5238" s="1145">
        <v>44771</v>
      </c>
      <c r="B5238" s="664" t="s">
        <v>2798</v>
      </c>
      <c r="C5238" s="71" t="s">
        <v>167</v>
      </c>
      <c r="D5238" s="71">
        <v>10</v>
      </c>
      <c r="E5238" s="102">
        <v>125000</v>
      </c>
      <c r="F5238" s="102">
        <f t="shared" si="2563"/>
        <v>1375000</v>
      </c>
      <c r="G5238" s="102">
        <f t="shared" si="2564"/>
        <v>1250000</v>
      </c>
      <c r="H5238" s="690" t="s">
        <v>172</v>
      </c>
      <c r="I5238" s="71" t="s">
        <v>33</v>
      </c>
      <c r="J5238" s="53">
        <f t="shared" si="2555"/>
        <v>356000</v>
      </c>
      <c r="K5238" s="63">
        <f t="shared" si="2561"/>
        <v>0.2848</v>
      </c>
      <c r="L5238" s="1212" t="s">
        <v>3457</v>
      </c>
      <c r="M5238" s="468"/>
      <c r="N5238" s="1192">
        <f t="shared" si="2560"/>
        <v>44771</v>
      </c>
      <c r="O5238" s="71" t="s">
        <v>146</v>
      </c>
      <c r="P5238" s="103" t="str">
        <f t="shared" si="2556"/>
        <v>Blanket(1060*860)</v>
      </c>
      <c r="Q5238" s="71">
        <f t="shared" si="2565"/>
        <v>10</v>
      </c>
      <c r="R5238" s="102">
        <v>89400</v>
      </c>
      <c r="S5238" s="102">
        <f t="shared" si="2558"/>
        <v>983400.00000000012</v>
      </c>
      <c r="T5238" s="102">
        <f t="shared" si="2559"/>
        <v>894000</v>
      </c>
      <c r="U5238" s="71" t="str">
        <f>IF(J5238=W5238,"O", "X")</f>
        <v>X</v>
      </c>
      <c r="V5238" s="71"/>
      <c r="W5238" s="474"/>
      <c r="X5238" s="71"/>
      <c r="Y5238" s="71"/>
    </row>
    <row r="5239" spans="1:25" ht="30" hidden="1" customHeight="1" x14ac:dyDescent="0.25">
      <c r="A5239" s="1145">
        <v>44777</v>
      </c>
      <c r="B5239" s="664" t="s">
        <v>2798</v>
      </c>
      <c r="C5239" s="71" t="s">
        <v>3290</v>
      </c>
      <c r="D5239" s="71">
        <v>1</v>
      </c>
      <c r="E5239" s="102">
        <v>660000</v>
      </c>
      <c r="F5239" s="102">
        <f t="shared" si="2563"/>
        <v>726000.00000000012</v>
      </c>
      <c r="G5239" s="102">
        <f t="shared" si="2564"/>
        <v>660000</v>
      </c>
      <c r="H5239" s="690" t="s">
        <v>172</v>
      </c>
      <c r="I5239" s="71" t="s">
        <v>38</v>
      </c>
      <c r="J5239" s="53">
        <f t="shared" si="2555"/>
        <v>198000</v>
      </c>
      <c r="K5239" s="63">
        <f t="shared" si="2561"/>
        <v>0.29999999999999993</v>
      </c>
      <c r="L5239" s="1212" t="s">
        <v>3457</v>
      </c>
      <c r="M5239" s="468"/>
      <c r="N5239" s="1192">
        <f t="shared" si="2560"/>
        <v>44777</v>
      </c>
      <c r="O5239" s="71" t="s">
        <v>3291</v>
      </c>
      <c r="P5239" s="103" t="str">
        <f t="shared" si="2556"/>
        <v>점보롤 세정포</v>
      </c>
      <c r="Q5239" s="71">
        <f t="shared" si="2565"/>
        <v>1</v>
      </c>
      <c r="R5239" s="102">
        <v>462000</v>
      </c>
      <c r="S5239" s="102">
        <f t="shared" si="2558"/>
        <v>508200.00000000006</v>
      </c>
      <c r="T5239" s="102">
        <f t="shared" si="2559"/>
        <v>462000</v>
      </c>
      <c r="U5239" s="71" t="str">
        <f>IF(J5239=W5239,"O", "X")</f>
        <v>O</v>
      </c>
      <c r="V5239" s="71" t="s">
        <v>3292</v>
      </c>
      <c r="W5239" s="474">
        <f>(G5239-T5239)</f>
        <v>198000</v>
      </c>
      <c r="X5239" s="71"/>
      <c r="Y5239" s="71"/>
    </row>
    <row r="5240" spans="1:25" ht="30" hidden="1" customHeight="1" x14ac:dyDescent="0.25">
      <c r="A5240" s="1145">
        <v>44790</v>
      </c>
      <c r="B5240" s="664" t="s">
        <v>2798</v>
      </c>
      <c r="C5240" s="71" t="s">
        <v>167</v>
      </c>
      <c r="D5240" s="71">
        <v>10</v>
      </c>
      <c r="E5240" s="102">
        <v>125000</v>
      </c>
      <c r="F5240" s="102">
        <f t="shared" si="2563"/>
        <v>1375000</v>
      </c>
      <c r="G5240" s="102">
        <f t="shared" si="2564"/>
        <v>1250000</v>
      </c>
      <c r="H5240" s="690" t="s">
        <v>172</v>
      </c>
      <c r="I5240" s="71" t="s">
        <v>33</v>
      </c>
      <c r="J5240" s="53">
        <f t="shared" si="2555"/>
        <v>356000</v>
      </c>
      <c r="K5240" s="63">
        <f t="shared" si="2561"/>
        <v>0.2848</v>
      </c>
      <c r="L5240" s="1212" t="s">
        <v>3457</v>
      </c>
      <c r="M5240" s="468"/>
      <c r="N5240" s="1192">
        <f t="shared" si="2560"/>
        <v>44790</v>
      </c>
      <c r="O5240" s="71" t="s">
        <v>146</v>
      </c>
      <c r="P5240" s="103" t="str">
        <f t="shared" si="2556"/>
        <v>Blanket(1060*860)</v>
      </c>
      <c r="Q5240" s="71">
        <f t="shared" si="2565"/>
        <v>10</v>
      </c>
      <c r="R5240" s="102">
        <v>89400</v>
      </c>
      <c r="S5240" s="102">
        <f t="shared" si="2558"/>
        <v>983400.00000000012</v>
      </c>
      <c r="T5240" s="102">
        <f t="shared" si="2559"/>
        <v>894000</v>
      </c>
      <c r="U5240" s="71" t="str">
        <f>IF(J5240=W5240,"O", "X")</f>
        <v>X</v>
      </c>
      <c r="V5240" s="71"/>
      <c r="W5240" s="474"/>
      <c r="X5240" s="71"/>
      <c r="Y5240" s="71"/>
    </row>
    <row r="5241" spans="1:25" ht="30" hidden="1" customHeight="1" x14ac:dyDescent="0.25">
      <c r="A5241" s="1145">
        <v>44796</v>
      </c>
      <c r="B5241" s="664" t="s">
        <v>444</v>
      </c>
      <c r="C5241" s="71" t="s">
        <v>3399</v>
      </c>
      <c r="D5241" s="71">
        <v>10</v>
      </c>
      <c r="E5241" s="102">
        <v>175000</v>
      </c>
      <c r="F5241" s="102">
        <f t="shared" si="2563"/>
        <v>1925000.0000000002</v>
      </c>
      <c r="G5241" s="102">
        <f t="shared" si="2564"/>
        <v>1750000</v>
      </c>
      <c r="H5241" s="690" t="s">
        <v>2029</v>
      </c>
      <c r="I5241" s="71" t="s">
        <v>180</v>
      </c>
      <c r="J5241" s="53">
        <f t="shared" si="2555"/>
        <v>450000</v>
      </c>
      <c r="K5241" s="63">
        <f t="shared" si="2561"/>
        <v>0.25714285714285712</v>
      </c>
      <c r="L5241" s="1212" t="s">
        <v>3457</v>
      </c>
      <c r="M5241" s="468"/>
      <c r="N5241" s="1192">
        <f t="shared" si="2560"/>
        <v>44796</v>
      </c>
      <c r="O5241" s="71" t="s">
        <v>191</v>
      </c>
      <c r="P5241" s="103" t="str">
        <f t="shared" si="2556"/>
        <v>UV wash offset UV</v>
      </c>
      <c r="Q5241" s="71">
        <f t="shared" si="2565"/>
        <v>10</v>
      </c>
      <c r="R5241" s="102">
        <v>130000</v>
      </c>
      <c r="S5241" s="102">
        <f t="shared" si="2558"/>
        <v>1430000</v>
      </c>
      <c r="T5241" s="102">
        <f t="shared" si="2559"/>
        <v>1300000</v>
      </c>
      <c r="U5241" s="71"/>
      <c r="V5241" s="71"/>
      <c r="W5241" s="474"/>
      <c r="X5241" s="71"/>
      <c r="Y5241" s="71"/>
    </row>
    <row r="5242" spans="1:25" ht="30" hidden="1" customHeight="1" x14ac:dyDescent="0.25">
      <c r="A5242" s="1145">
        <v>44802</v>
      </c>
      <c r="B5242" s="664" t="s">
        <v>2798</v>
      </c>
      <c r="C5242" s="71" t="s">
        <v>167</v>
      </c>
      <c r="D5242" s="71">
        <v>10</v>
      </c>
      <c r="E5242" s="102">
        <v>125000</v>
      </c>
      <c r="F5242" s="102">
        <f t="shared" ref="F5242:F5249" si="2566">(E5242*D5242)*1.1</f>
        <v>1375000</v>
      </c>
      <c r="G5242" s="102">
        <f t="shared" ref="G5242:G5249" si="2567">(E5242*D5242)</f>
        <v>1250000</v>
      </c>
      <c r="H5242" s="690" t="s">
        <v>172</v>
      </c>
      <c r="I5242" s="71" t="s">
        <v>33</v>
      </c>
      <c r="J5242" s="53">
        <f t="shared" si="2555"/>
        <v>356000</v>
      </c>
      <c r="K5242" s="63">
        <f t="shared" si="2561"/>
        <v>0.2848</v>
      </c>
      <c r="L5242" s="1212" t="s">
        <v>3457</v>
      </c>
      <c r="M5242" s="468"/>
      <c r="N5242" s="1192">
        <f t="shared" si="2560"/>
        <v>44802</v>
      </c>
      <c r="O5242" s="71" t="s">
        <v>146</v>
      </c>
      <c r="P5242" s="103" t="str">
        <f t="shared" si="2556"/>
        <v>Blanket(1060*860)</v>
      </c>
      <c r="Q5242" s="71">
        <f t="shared" ref="Q5242:Q5249" si="2568">D5242</f>
        <v>10</v>
      </c>
      <c r="R5242" s="102">
        <v>89400</v>
      </c>
      <c r="S5242" s="102">
        <f t="shared" si="2558"/>
        <v>983400.00000000012</v>
      </c>
      <c r="T5242" s="102">
        <f t="shared" si="2559"/>
        <v>894000</v>
      </c>
      <c r="U5242" s="71" t="str">
        <f>IF(J5242=W5242,"O", "X")</f>
        <v>X</v>
      </c>
      <c r="V5242" s="71"/>
      <c r="W5242" s="474"/>
      <c r="X5242" s="71"/>
      <c r="Y5242" s="71"/>
    </row>
    <row r="5243" spans="1:25" ht="30" hidden="1" customHeight="1" x14ac:dyDescent="0.25">
      <c r="A5243" s="1145">
        <v>44785</v>
      </c>
      <c r="B5243" s="664" t="s">
        <v>3296</v>
      </c>
      <c r="C5243" s="71" t="s">
        <v>3297</v>
      </c>
      <c r="D5243" s="71">
        <v>20</v>
      </c>
      <c r="E5243" s="102">
        <v>155000</v>
      </c>
      <c r="F5243" s="102">
        <f t="shared" si="2566"/>
        <v>3410000.0000000005</v>
      </c>
      <c r="G5243" s="102">
        <f t="shared" si="2567"/>
        <v>3100000</v>
      </c>
      <c r="H5243" s="690" t="s">
        <v>172</v>
      </c>
      <c r="I5243" s="71" t="s">
        <v>3295</v>
      </c>
      <c r="J5243" s="53">
        <f t="shared" si="2555"/>
        <v>1130000</v>
      </c>
      <c r="K5243" s="63">
        <f t="shared" si="2561"/>
        <v>0.364516129032258</v>
      </c>
      <c r="L5243" s="1212" t="s">
        <v>3457</v>
      </c>
      <c r="M5243" s="468"/>
      <c r="N5243" s="1192">
        <f t="shared" si="2560"/>
        <v>44785</v>
      </c>
      <c r="O5243" s="71" t="s">
        <v>662</v>
      </c>
      <c r="P5243" s="103" t="str">
        <f t="shared" si="2556"/>
        <v>실리콘 에멀전</v>
      </c>
      <c r="Q5243" s="71">
        <f t="shared" si="2568"/>
        <v>20</v>
      </c>
      <c r="R5243" s="102">
        <v>98500</v>
      </c>
      <c r="S5243" s="102">
        <f t="shared" si="2558"/>
        <v>2167000</v>
      </c>
      <c r="T5243" s="102">
        <f t="shared" si="2559"/>
        <v>1970000</v>
      </c>
      <c r="U5243" s="71" t="str">
        <f>IF(J5243=W5243,"O", "X")</f>
        <v>X</v>
      </c>
      <c r="V5243" s="71"/>
      <c r="W5243" s="474"/>
      <c r="X5243" s="71"/>
      <c r="Y5243" s="71"/>
    </row>
    <row r="5244" spans="1:25" ht="30" customHeight="1" x14ac:dyDescent="0.25">
      <c r="A5244" s="1145">
        <v>44796</v>
      </c>
      <c r="B5244" s="664" t="s">
        <v>641</v>
      </c>
      <c r="C5244" s="71" t="s">
        <v>3293</v>
      </c>
      <c r="D5244" s="71">
        <v>60</v>
      </c>
      <c r="E5244" s="102">
        <v>76000</v>
      </c>
      <c r="F5244" s="102">
        <f t="shared" si="2566"/>
        <v>5016000</v>
      </c>
      <c r="G5244" s="102">
        <f t="shared" si="2567"/>
        <v>4560000</v>
      </c>
      <c r="H5244" s="690" t="s">
        <v>172</v>
      </c>
      <c r="I5244" s="71" t="s">
        <v>2231</v>
      </c>
      <c r="J5244" s="53">
        <f t="shared" si="2555"/>
        <v>1500000</v>
      </c>
      <c r="K5244" s="63">
        <f t="shared" si="2561"/>
        <v>0.32894736842105265</v>
      </c>
      <c r="L5244" s="1212" t="s">
        <v>3457</v>
      </c>
      <c r="M5244" s="468"/>
      <c r="N5244" s="1192">
        <f t="shared" si="2560"/>
        <v>44796</v>
      </c>
      <c r="O5244" s="71" t="s">
        <v>3291</v>
      </c>
      <c r="P5244" s="103" t="str">
        <f t="shared" si="2556"/>
        <v>GOSS 신문윤전 습식세정포</v>
      </c>
      <c r="Q5244" s="71">
        <f t="shared" si="2568"/>
        <v>60</v>
      </c>
      <c r="R5244" s="102">
        <v>51000</v>
      </c>
      <c r="S5244" s="102">
        <f t="shared" si="2558"/>
        <v>3366000.0000000005</v>
      </c>
      <c r="T5244" s="102">
        <f t="shared" si="2559"/>
        <v>3060000</v>
      </c>
      <c r="U5244" s="71" t="str">
        <f>IF(J5244=W5244,"O", "X")</f>
        <v>X</v>
      </c>
      <c r="V5244" s="71"/>
      <c r="W5244" s="474"/>
      <c r="X5244" s="71"/>
      <c r="Y5244" s="71"/>
    </row>
    <row r="5245" spans="1:25" ht="30" customHeight="1" x14ac:dyDescent="0.25">
      <c r="A5245" s="1145">
        <v>44795</v>
      </c>
      <c r="B5245" s="664" t="s">
        <v>641</v>
      </c>
      <c r="C5245" s="71" t="s">
        <v>2031</v>
      </c>
      <c r="D5245" s="71">
        <v>4</v>
      </c>
      <c r="E5245" s="102">
        <v>45000</v>
      </c>
      <c r="F5245" s="102">
        <f t="shared" si="2566"/>
        <v>198000.00000000003</v>
      </c>
      <c r="G5245" s="102">
        <f t="shared" si="2567"/>
        <v>180000</v>
      </c>
      <c r="H5245" s="690" t="s">
        <v>94</v>
      </c>
      <c r="I5245" s="71" t="s">
        <v>142</v>
      </c>
      <c r="J5245" s="53">
        <f t="shared" si="2555"/>
        <v>84000</v>
      </c>
      <c r="K5245" s="63">
        <f t="shared" si="2561"/>
        <v>0.46666666666666662</v>
      </c>
      <c r="L5245" s="1212" t="s">
        <v>3457</v>
      </c>
      <c r="M5245" s="468"/>
      <c r="N5245" s="1192">
        <f t="shared" si="2560"/>
        <v>44795</v>
      </c>
      <c r="O5245" s="71" t="s">
        <v>2030</v>
      </c>
      <c r="P5245" s="103" t="str">
        <f t="shared" si="2556"/>
        <v>필터백</v>
      </c>
      <c r="Q5245" s="71">
        <f t="shared" si="2568"/>
        <v>4</v>
      </c>
      <c r="R5245" s="102">
        <v>24000</v>
      </c>
      <c r="S5245" s="102">
        <f t="shared" si="2558"/>
        <v>105600.00000000001</v>
      </c>
      <c r="T5245" s="102">
        <f t="shared" si="2559"/>
        <v>96000</v>
      </c>
      <c r="U5245" s="71" t="str">
        <f>IF(J5245=W5245,"O", "X")</f>
        <v>O</v>
      </c>
      <c r="V5245" s="71"/>
      <c r="W5245" s="474">
        <f>(G5245-T5245)</f>
        <v>84000</v>
      </c>
      <c r="X5245" s="71"/>
      <c r="Y5245" s="71"/>
    </row>
    <row r="5246" spans="1:25" ht="30" customHeight="1" x14ac:dyDescent="0.25">
      <c r="A5246" s="1145">
        <v>44662</v>
      </c>
      <c r="B5246" s="664" t="s">
        <v>641</v>
      </c>
      <c r="C5246" s="71" t="s">
        <v>584</v>
      </c>
      <c r="D5246" s="71">
        <v>5</v>
      </c>
      <c r="E5246" s="102">
        <v>270000</v>
      </c>
      <c r="F5246" s="102">
        <f t="shared" si="2566"/>
        <v>1485000.0000000002</v>
      </c>
      <c r="G5246" s="102">
        <f t="shared" si="2567"/>
        <v>1350000</v>
      </c>
      <c r="H5246" s="690" t="s">
        <v>172</v>
      </c>
      <c r="I5246" s="71" t="s">
        <v>142</v>
      </c>
      <c r="J5246" s="53">
        <f t="shared" si="2555"/>
        <v>410000</v>
      </c>
      <c r="K5246" s="63">
        <f t="shared" si="2561"/>
        <v>0.30370370370370364</v>
      </c>
      <c r="L5246" s="1212" t="s">
        <v>3457</v>
      </c>
      <c r="M5246" s="468" t="s">
        <v>3374</v>
      </c>
      <c r="N5246" s="1192">
        <f t="shared" si="2560"/>
        <v>44662</v>
      </c>
      <c r="O5246" s="71" t="s">
        <v>150</v>
      </c>
      <c r="P5246" s="103" t="str">
        <f t="shared" si="2556"/>
        <v>데리바리 석션벨트</v>
      </c>
      <c r="Q5246" s="71">
        <f t="shared" si="2568"/>
        <v>5</v>
      </c>
      <c r="R5246" s="102">
        <v>188000</v>
      </c>
      <c r="S5246" s="102">
        <f t="shared" si="2558"/>
        <v>1034000.0000000001</v>
      </c>
      <c r="T5246" s="102">
        <f t="shared" si="2559"/>
        <v>940000</v>
      </c>
      <c r="U5246" s="71" t="str">
        <f>IF(J5246=W5246,"O", "X")</f>
        <v>O</v>
      </c>
      <c r="V5246" s="71"/>
      <c r="W5246" s="474">
        <f>(G5246-T5246)</f>
        <v>410000</v>
      </c>
      <c r="X5246" s="71"/>
      <c r="Y5246" s="71"/>
    </row>
    <row r="5247" spans="1:25" ht="30" customHeight="1" x14ac:dyDescent="0.25">
      <c r="A5247" s="1145">
        <v>44795</v>
      </c>
      <c r="B5247" s="664" t="s">
        <v>641</v>
      </c>
      <c r="C5247" s="71" t="s">
        <v>220</v>
      </c>
      <c r="D5247" s="71">
        <v>7</v>
      </c>
      <c r="E5247" s="102">
        <v>299000</v>
      </c>
      <c r="F5247" s="102">
        <f t="shared" si="2566"/>
        <v>2302300</v>
      </c>
      <c r="G5247" s="102">
        <f t="shared" si="2567"/>
        <v>2093000</v>
      </c>
      <c r="H5247" s="690" t="s">
        <v>172</v>
      </c>
      <c r="I5247" s="71" t="s">
        <v>142</v>
      </c>
      <c r="J5247" s="53">
        <v>414400</v>
      </c>
      <c r="K5247" s="63">
        <v>0.21764705882352939</v>
      </c>
      <c r="L5247" s="1212" t="s">
        <v>3457</v>
      </c>
      <c r="M5247" s="468" t="s">
        <v>3303</v>
      </c>
      <c r="N5247" s="1192">
        <v>44538</v>
      </c>
      <c r="O5247" s="71" t="s">
        <v>175</v>
      </c>
      <c r="P5247" s="103" t="str">
        <f t="shared" si="2556"/>
        <v>세정포-XL106</v>
      </c>
      <c r="Q5247" s="71">
        <f t="shared" si="2568"/>
        <v>7</v>
      </c>
      <c r="R5247" s="102">
        <v>212800</v>
      </c>
      <c r="S5247" s="102">
        <f t="shared" si="2558"/>
        <v>1638560.0000000002</v>
      </c>
      <c r="T5247" s="102">
        <f t="shared" si="2559"/>
        <v>1489600</v>
      </c>
      <c r="U5247" s="71" t="s">
        <v>859</v>
      </c>
      <c r="V5247" s="71"/>
      <c r="W5247" s="474"/>
      <c r="X5247" s="71"/>
      <c r="Y5247" s="71"/>
    </row>
    <row r="5248" spans="1:25" ht="30" customHeight="1" x14ac:dyDescent="0.25">
      <c r="A5248" s="1145">
        <v>44795</v>
      </c>
      <c r="B5248" s="664" t="s">
        <v>641</v>
      </c>
      <c r="C5248" s="71" t="s">
        <v>230</v>
      </c>
      <c r="D5248" s="71">
        <v>20</v>
      </c>
      <c r="E5248" s="102">
        <v>138000</v>
      </c>
      <c r="F5248" s="102">
        <f t="shared" si="2566"/>
        <v>3036000.0000000005</v>
      </c>
      <c r="G5248" s="102">
        <f t="shared" si="2567"/>
        <v>2760000</v>
      </c>
      <c r="H5248" s="690" t="s">
        <v>172</v>
      </c>
      <c r="I5248" s="71" t="s">
        <v>142</v>
      </c>
      <c r="J5248" s="53">
        <v>260000</v>
      </c>
      <c r="K5248" s="63">
        <v>0.20799999999999999</v>
      </c>
      <c r="L5248" s="1212" t="s">
        <v>3457</v>
      </c>
      <c r="M5248" s="468" t="s">
        <v>3303</v>
      </c>
      <c r="N5248" s="1192">
        <v>44544</v>
      </c>
      <c r="O5248" s="71" t="s">
        <v>662</v>
      </c>
      <c r="P5248" s="103" t="str">
        <f t="shared" si="2556"/>
        <v>XL106 Blanket(1077*885)</v>
      </c>
      <c r="Q5248" s="71">
        <f t="shared" si="2568"/>
        <v>20</v>
      </c>
      <c r="R5248" s="102">
        <v>109000</v>
      </c>
      <c r="S5248" s="102">
        <f t="shared" si="2558"/>
        <v>2398000</v>
      </c>
      <c r="T5248" s="102">
        <f t="shared" si="2559"/>
        <v>2180000</v>
      </c>
      <c r="U5248" s="71" t="s">
        <v>859</v>
      </c>
      <c r="V5248" s="71"/>
      <c r="W5248" s="474"/>
      <c r="X5248" s="71"/>
      <c r="Y5248" s="71"/>
    </row>
    <row r="5249" spans="1:25" ht="30" customHeight="1" x14ac:dyDescent="0.25">
      <c r="A5249" s="1145">
        <v>44781</v>
      </c>
      <c r="B5249" s="664" t="s">
        <v>565</v>
      </c>
      <c r="C5249" s="71" t="s">
        <v>3442</v>
      </c>
      <c r="D5249" s="71">
        <v>1</v>
      </c>
      <c r="E5249" s="102">
        <v>9357500</v>
      </c>
      <c r="F5249" s="102">
        <f t="shared" si="2566"/>
        <v>10293250</v>
      </c>
      <c r="G5249" s="102">
        <f t="shared" si="2567"/>
        <v>9357500</v>
      </c>
      <c r="H5249" s="690" t="s">
        <v>36</v>
      </c>
      <c r="I5249" s="71" t="s">
        <v>142</v>
      </c>
      <c r="J5249" s="53">
        <f>G5249-T5249</f>
        <v>4557500</v>
      </c>
      <c r="K5249" s="63">
        <f>(J5249/(F5249/11*10))</f>
        <v>0.48704247929468342</v>
      </c>
      <c r="L5249" s="1212" t="s">
        <v>3457</v>
      </c>
      <c r="M5249" s="468"/>
      <c r="N5249" s="1192"/>
      <c r="O5249" s="71"/>
      <c r="P5249" s="103" t="str">
        <f t="shared" si="2556"/>
        <v>잉크모듈키판</v>
      </c>
      <c r="Q5249" s="71">
        <f t="shared" si="2568"/>
        <v>1</v>
      </c>
      <c r="R5249" s="102">
        <v>4800000</v>
      </c>
      <c r="S5249" s="102">
        <f t="shared" si="2558"/>
        <v>5280000</v>
      </c>
      <c r="T5249" s="102">
        <f t="shared" si="2559"/>
        <v>4800000</v>
      </c>
      <c r="U5249" s="71"/>
      <c r="V5249" s="71"/>
      <c r="W5249" s="474"/>
      <c r="X5249" s="71"/>
      <c r="Y5249" s="71"/>
    </row>
    <row r="5250" spans="1:25" ht="30" hidden="1" customHeight="1" x14ac:dyDescent="0.25">
      <c r="A5250" s="1145">
        <v>44797</v>
      </c>
      <c r="B5250" s="664" t="s">
        <v>2975</v>
      </c>
      <c r="C5250" s="71" t="s">
        <v>3459</v>
      </c>
      <c r="D5250" s="71">
        <v>3</v>
      </c>
      <c r="E5250" s="102">
        <v>950000</v>
      </c>
      <c r="F5250" s="102">
        <f>(E5250*D5250)*1.1</f>
        <v>3135000.0000000005</v>
      </c>
      <c r="G5250" s="102">
        <f>(E5250*D5250)</f>
        <v>2850000</v>
      </c>
      <c r="H5250" s="690" t="s">
        <v>94</v>
      </c>
      <c r="I5250" s="690" t="s">
        <v>94</v>
      </c>
      <c r="J5250" s="53">
        <f>G5250-T5250</f>
        <v>1620000</v>
      </c>
      <c r="K5250" s="63">
        <f>(J5250/(F5250/11*10))</f>
        <v>0.56842105263157883</v>
      </c>
      <c r="L5250" s="1212" t="s">
        <v>3457</v>
      </c>
      <c r="M5250" s="468"/>
      <c r="N5250" s="1192">
        <f>A5250</f>
        <v>44797</v>
      </c>
      <c r="O5250" s="71" t="s">
        <v>94</v>
      </c>
      <c r="P5250" s="103" t="str">
        <f t="shared" si="2556"/>
        <v>Beta.f 필터 세트</v>
      </c>
      <c r="Q5250" s="71">
        <f>D5250</f>
        <v>3</v>
      </c>
      <c r="R5250" s="102">
        <v>410000</v>
      </c>
      <c r="S5250" s="102">
        <f t="shared" si="2558"/>
        <v>1353000</v>
      </c>
      <c r="T5250" s="102">
        <f t="shared" si="2559"/>
        <v>1230000</v>
      </c>
      <c r="U5250" s="71"/>
      <c r="V5250" s="71"/>
      <c r="W5250" s="474"/>
      <c r="X5250" s="71"/>
      <c r="Y5250" s="71"/>
    </row>
    <row r="5251" spans="1:25" ht="30" hidden="1" customHeight="1" x14ac:dyDescent="0.25">
      <c r="A5251" s="1145">
        <v>44796</v>
      </c>
      <c r="B5251" s="664" t="s">
        <v>673</v>
      </c>
      <c r="C5251" s="71" t="s">
        <v>1261</v>
      </c>
      <c r="D5251" s="71">
        <v>2</v>
      </c>
      <c r="E5251" s="102">
        <v>120000</v>
      </c>
      <c r="F5251" s="102">
        <f>(E5251*D5251)*1.1</f>
        <v>264000</v>
      </c>
      <c r="G5251" s="102">
        <f>(E5251*D5251)</f>
        <v>240000</v>
      </c>
      <c r="H5251" s="690" t="s">
        <v>173</v>
      </c>
      <c r="I5251" s="71" t="s">
        <v>108</v>
      </c>
      <c r="J5251" s="53">
        <f>G5251-T5251</f>
        <v>50000</v>
      </c>
      <c r="K5251" s="63">
        <f>(J5251/(F5251/11*10))</f>
        <v>0.20833333333333334</v>
      </c>
      <c r="L5251" s="1212" t="s">
        <v>3457</v>
      </c>
      <c r="M5251" s="468"/>
      <c r="N5251" s="1192">
        <f>A5251</f>
        <v>44796</v>
      </c>
      <c r="O5251" s="71" t="s">
        <v>150</v>
      </c>
      <c r="P5251" s="103" t="str">
        <f t="shared" si="2556"/>
        <v>아스테이지</v>
      </c>
      <c r="Q5251" s="71">
        <f>D5251</f>
        <v>2</v>
      </c>
      <c r="R5251" s="102">
        <v>95000</v>
      </c>
      <c r="S5251" s="102">
        <f t="shared" si="2558"/>
        <v>209000.00000000003</v>
      </c>
      <c r="T5251" s="102">
        <f t="shared" si="2559"/>
        <v>190000</v>
      </c>
      <c r="U5251" s="71" t="str">
        <f>IF(J5251=W5251,"O", "X")</f>
        <v>X</v>
      </c>
      <c r="V5251" s="71"/>
      <c r="W5251" s="474"/>
      <c r="X5251" s="71"/>
      <c r="Y5251" s="71"/>
    </row>
    <row r="5252" spans="1:25" ht="30" hidden="1" customHeight="1" x14ac:dyDescent="0.25">
      <c r="A5252" s="1145">
        <v>44804</v>
      </c>
      <c r="B5252" s="664" t="s">
        <v>2103</v>
      </c>
      <c r="C5252" s="71" t="s">
        <v>3131</v>
      </c>
      <c r="D5252" s="71">
        <v>665</v>
      </c>
      <c r="E5252" s="102">
        <v>1500</v>
      </c>
      <c r="F5252" s="102">
        <f>(E5252*D5252)*1.1</f>
        <v>1097250</v>
      </c>
      <c r="G5252" s="102">
        <f>(E5252*D5252)</f>
        <v>997500</v>
      </c>
      <c r="H5252" s="690" t="s">
        <v>173</v>
      </c>
      <c r="I5252" s="71" t="s">
        <v>2230</v>
      </c>
      <c r="J5252" s="53">
        <f>G5252-T5252</f>
        <v>997500</v>
      </c>
      <c r="K5252" s="63">
        <f>(J5252/(F5252/11*10))</f>
        <v>1</v>
      </c>
      <c r="L5252" s="1212" t="s">
        <v>3457</v>
      </c>
      <c r="M5252" s="468"/>
      <c r="N5252" s="1192">
        <f>A5252</f>
        <v>44804</v>
      </c>
      <c r="O5252" s="71"/>
      <c r="P5252" s="103" t="str">
        <f t="shared" si="2556"/>
        <v>세흥인쇄 폐판</v>
      </c>
      <c r="Q5252" s="71">
        <f>D5252</f>
        <v>665</v>
      </c>
      <c r="R5252" s="102"/>
      <c r="S5252" s="102">
        <f t="shared" si="2558"/>
        <v>0</v>
      </c>
      <c r="T5252" s="102">
        <f t="shared" si="2559"/>
        <v>0</v>
      </c>
      <c r="U5252" s="71"/>
      <c r="V5252" s="71"/>
      <c r="W5252" s="474"/>
      <c r="X5252" s="71"/>
      <c r="Y5252" s="71"/>
    </row>
    <row r="5253" spans="1:25" ht="30" hidden="1" customHeight="1" x14ac:dyDescent="0.25">
      <c r="A5253" s="1145">
        <v>44781</v>
      </c>
      <c r="B5253" s="664" t="s">
        <v>442</v>
      </c>
      <c r="C5253" s="71" t="s">
        <v>3299</v>
      </c>
      <c r="D5253" s="71">
        <v>15</v>
      </c>
      <c r="E5253" s="102">
        <v>69000</v>
      </c>
      <c r="F5253" s="102">
        <f>(E5253*D5253)*1.1</f>
        <v>1138500</v>
      </c>
      <c r="G5253" s="102">
        <f>(E5253*D5253)</f>
        <v>1035000</v>
      </c>
      <c r="H5253" s="690" t="s">
        <v>172</v>
      </c>
      <c r="I5253" s="71" t="s">
        <v>108</v>
      </c>
      <c r="J5253" s="53">
        <f>G5253-T5253</f>
        <v>435000</v>
      </c>
      <c r="K5253" s="63">
        <f>(J5253/(F5253/11*10))</f>
        <v>0.42028985507246375</v>
      </c>
      <c r="L5253" s="1212" t="s">
        <v>3457</v>
      </c>
      <c r="M5253" s="468" t="s">
        <v>3304</v>
      </c>
      <c r="N5253" s="1192">
        <v>44544</v>
      </c>
      <c r="O5253" s="71" t="s">
        <v>175</v>
      </c>
      <c r="P5253" s="103" t="s">
        <v>3299</v>
      </c>
      <c r="Q5253" s="71">
        <f>D5253</f>
        <v>15</v>
      </c>
      <c r="R5253" s="102">
        <v>40000</v>
      </c>
      <c r="S5253" s="102">
        <f t="shared" si="2558"/>
        <v>660000</v>
      </c>
      <c r="T5253" s="102">
        <f t="shared" si="2559"/>
        <v>600000</v>
      </c>
      <c r="U5253" s="71" t="s">
        <v>859</v>
      </c>
      <c r="V5253" s="71"/>
      <c r="W5253" s="474"/>
      <c r="X5253" s="71"/>
      <c r="Y5253" s="71"/>
    </row>
    <row r="5254" spans="1:25" ht="30" hidden="1" customHeight="1" x14ac:dyDescent="0.25">
      <c r="A5254" s="1145">
        <v>44781</v>
      </c>
      <c r="B5254" s="664" t="s">
        <v>2</v>
      </c>
      <c r="C5254" s="71" t="s">
        <v>3359</v>
      </c>
      <c r="D5254" s="71">
        <v>1</v>
      </c>
      <c r="E5254" s="102">
        <v>172000</v>
      </c>
      <c r="F5254" s="102">
        <f t="shared" ref="F5254:F5288" si="2569">(E5254*D5254)*1.1</f>
        <v>189200.00000000003</v>
      </c>
      <c r="G5254" s="102">
        <f t="shared" ref="G5254:G5288" si="2570">(E5254*D5254)</f>
        <v>172000</v>
      </c>
      <c r="H5254" s="690" t="s">
        <v>172</v>
      </c>
      <c r="I5254" s="71" t="s">
        <v>38</v>
      </c>
      <c r="J5254" s="53">
        <f t="shared" ref="J5254:J5260" si="2571">G5254-T5254</f>
        <v>81600</v>
      </c>
      <c r="K5254" s="63">
        <f t="shared" ref="K5254:K5260" si="2572">(J5254/(F5254/11*10))</f>
        <v>0.4744186046511627</v>
      </c>
      <c r="L5254" s="1212" t="s">
        <v>3457</v>
      </c>
      <c r="M5254" s="468" t="s">
        <v>3300</v>
      </c>
      <c r="N5254" s="1192">
        <f t="shared" ref="N5254:N5260" si="2573">A5254</f>
        <v>44781</v>
      </c>
      <c r="O5254" s="71" t="s">
        <v>150</v>
      </c>
      <c r="P5254" s="103" t="s">
        <v>217</v>
      </c>
      <c r="Q5254" s="71">
        <f t="shared" ref="Q5254:Q5288" si="2574">D5254</f>
        <v>1</v>
      </c>
      <c r="R5254" s="102">
        <v>90400</v>
      </c>
      <c r="S5254" s="102">
        <f t="shared" ref="S5254:S5260" si="2575">R5254*Q5254*1.1</f>
        <v>99440.000000000015</v>
      </c>
      <c r="T5254" s="102">
        <f t="shared" ref="T5254:T5260" si="2576">R5254*Q5254</f>
        <v>90400</v>
      </c>
      <c r="U5254" s="71" t="str">
        <f t="shared" ref="U5254:U5259" si="2577">IF(J5254=W5254,"O", "X")</f>
        <v>X</v>
      </c>
      <c r="V5254" s="71"/>
      <c r="W5254" s="474"/>
      <c r="X5254" s="71"/>
      <c r="Y5254" s="71"/>
    </row>
    <row r="5255" spans="1:25" ht="30" hidden="1" customHeight="1" x14ac:dyDescent="0.25">
      <c r="A5255" s="1145">
        <v>44781</v>
      </c>
      <c r="B5255" s="664" t="s">
        <v>442</v>
      </c>
      <c r="C5255" s="71" t="s">
        <v>206</v>
      </c>
      <c r="D5255" s="71">
        <v>2</v>
      </c>
      <c r="E5255" s="102">
        <v>403000</v>
      </c>
      <c r="F5255" s="102">
        <f t="shared" si="2569"/>
        <v>886600.00000000012</v>
      </c>
      <c r="G5255" s="102">
        <f t="shared" si="2570"/>
        <v>806000</v>
      </c>
      <c r="H5255" s="690" t="s">
        <v>2029</v>
      </c>
      <c r="I5255" s="71" t="s">
        <v>195</v>
      </c>
      <c r="J5255" s="53">
        <f t="shared" si="2571"/>
        <v>182580</v>
      </c>
      <c r="K5255" s="63">
        <f t="shared" si="2572"/>
        <v>0.22652605459057068</v>
      </c>
      <c r="L5255" s="1212" t="s">
        <v>3457</v>
      </c>
      <c r="M5255" s="468"/>
      <c r="N5255" s="1192">
        <f t="shared" si="2573"/>
        <v>44781</v>
      </c>
      <c r="O5255" s="71" t="s">
        <v>194</v>
      </c>
      <c r="P5255" s="103" t="str">
        <f t="shared" ref="P5255:P5261" si="2578">(C5255)</f>
        <v>Agfa Film(24inch)</v>
      </c>
      <c r="Q5255" s="71">
        <f t="shared" si="2574"/>
        <v>2</v>
      </c>
      <c r="R5255" s="102">
        <v>311710</v>
      </c>
      <c r="S5255" s="102">
        <f t="shared" si="2575"/>
        <v>685762</v>
      </c>
      <c r="T5255" s="102">
        <f t="shared" si="2576"/>
        <v>623420</v>
      </c>
      <c r="U5255" s="71" t="str">
        <f t="shared" si="2577"/>
        <v>O</v>
      </c>
      <c r="V5255" s="71"/>
      <c r="W5255" s="474">
        <f>(G5255-T5255)</f>
        <v>182580</v>
      </c>
      <c r="X5255" s="71"/>
      <c r="Y5255" s="71"/>
    </row>
    <row r="5256" spans="1:25" ht="30" hidden="1" customHeight="1" x14ac:dyDescent="0.25">
      <c r="A5256" s="1145">
        <v>44781</v>
      </c>
      <c r="B5256" s="664" t="s">
        <v>442</v>
      </c>
      <c r="C5256" s="71" t="s">
        <v>207</v>
      </c>
      <c r="D5256" s="71">
        <v>2</v>
      </c>
      <c r="E5256" s="102">
        <v>496000</v>
      </c>
      <c r="F5256" s="102">
        <f t="shared" si="2569"/>
        <v>1091200</v>
      </c>
      <c r="G5256" s="102">
        <f t="shared" si="2570"/>
        <v>992000</v>
      </c>
      <c r="H5256" s="690" t="s">
        <v>2029</v>
      </c>
      <c r="I5256" s="71" t="s">
        <v>195</v>
      </c>
      <c r="J5256" s="53">
        <f t="shared" si="2571"/>
        <v>265280</v>
      </c>
      <c r="K5256" s="63">
        <f t="shared" si="2572"/>
        <v>0.26741935483870966</v>
      </c>
      <c r="L5256" s="1212" t="s">
        <v>3457</v>
      </c>
      <c r="M5256" s="468"/>
      <c r="N5256" s="1192">
        <f t="shared" si="2573"/>
        <v>44781</v>
      </c>
      <c r="O5256" s="71" t="s">
        <v>194</v>
      </c>
      <c r="P5256" s="103" t="str">
        <f t="shared" si="2578"/>
        <v>Agfa Film(28inch)</v>
      </c>
      <c r="Q5256" s="71">
        <f t="shared" si="2574"/>
        <v>2</v>
      </c>
      <c r="R5256" s="102">
        <v>363360</v>
      </c>
      <c r="S5256" s="102">
        <f t="shared" si="2575"/>
        <v>799392.00000000012</v>
      </c>
      <c r="T5256" s="102">
        <f t="shared" si="2576"/>
        <v>726720</v>
      </c>
      <c r="U5256" s="71" t="str">
        <f t="shared" si="2577"/>
        <v>O</v>
      </c>
      <c r="V5256" s="71"/>
      <c r="W5256" s="474">
        <f>(G5256-T5256)</f>
        <v>265280</v>
      </c>
      <c r="X5256" s="71"/>
      <c r="Y5256" s="71"/>
    </row>
    <row r="5257" spans="1:25" ht="30" hidden="1" customHeight="1" x14ac:dyDescent="0.25">
      <c r="A5257" s="1145">
        <v>44781</v>
      </c>
      <c r="B5257" s="664" t="s">
        <v>442</v>
      </c>
      <c r="C5257" s="71" t="s">
        <v>208</v>
      </c>
      <c r="D5257" s="71">
        <v>2</v>
      </c>
      <c r="E5257" s="102">
        <v>555000</v>
      </c>
      <c r="F5257" s="102">
        <f t="shared" si="2569"/>
        <v>1221000</v>
      </c>
      <c r="G5257" s="102">
        <f t="shared" si="2570"/>
        <v>1110000</v>
      </c>
      <c r="H5257" s="690" t="s">
        <v>2029</v>
      </c>
      <c r="I5257" s="71" t="s">
        <v>195</v>
      </c>
      <c r="J5257" s="53">
        <f t="shared" si="2571"/>
        <v>253400</v>
      </c>
      <c r="K5257" s="63">
        <f t="shared" si="2572"/>
        <v>0.22828828828828829</v>
      </c>
      <c r="L5257" s="1212" t="s">
        <v>3457</v>
      </c>
      <c r="M5257" s="468"/>
      <c r="N5257" s="1192">
        <f t="shared" si="2573"/>
        <v>44781</v>
      </c>
      <c r="O5257" s="71" t="s">
        <v>194</v>
      </c>
      <c r="P5257" s="103" t="str">
        <f t="shared" si="2578"/>
        <v>Agfa Film(32inch)</v>
      </c>
      <c r="Q5257" s="71">
        <f t="shared" si="2574"/>
        <v>2</v>
      </c>
      <c r="R5257" s="102">
        <v>428300</v>
      </c>
      <c r="S5257" s="102">
        <f t="shared" si="2575"/>
        <v>942260.00000000012</v>
      </c>
      <c r="T5257" s="102">
        <f t="shared" si="2576"/>
        <v>856600</v>
      </c>
      <c r="U5257" s="71" t="str">
        <f t="shared" si="2577"/>
        <v>O</v>
      </c>
      <c r="V5257" s="71"/>
      <c r="W5257" s="474">
        <f>(G5257-T5257)</f>
        <v>253400</v>
      </c>
      <c r="X5257" s="71"/>
      <c r="Y5257" s="71"/>
    </row>
    <row r="5258" spans="1:25" ht="30" hidden="1" customHeight="1" x14ac:dyDescent="0.2">
      <c r="A5258" s="1145">
        <v>44781</v>
      </c>
      <c r="B5258" s="664" t="s">
        <v>442</v>
      </c>
      <c r="C5258" s="71" t="s">
        <v>648</v>
      </c>
      <c r="D5258" s="71">
        <v>2</v>
      </c>
      <c r="E5258" s="102">
        <v>93000</v>
      </c>
      <c r="F5258" s="102">
        <f t="shared" si="2569"/>
        <v>204600.00000000003</v>
      </c>
      <c r="G5258" s="102">
        <f t="shared" si="2570"/>
        <v>186000</v>
      </c>
      <c r="H5258" s="165" t="s">
        <v>172</v>
      </c>
      <c r="I5258" s="71" t="s">
        <v>195</v>
      </c>
      <c r="J5258" s="53">
        <f t="shared" si="2571"/>
        <v>54000</v>
      </c>
      <c r="K5258" s="63">
        <f t="shared" si="2572"/>
        <v>0.29032258064516125</v>
      </c>
      <c r="L5258" s="1212" t="s">
        <v>3457</v>
      </c>
      <c r="M5258" s="468"/>
      <c r="N5258" s="1192">
        <f t="shared" si="2573"/>
        <v>44781</v>
      </c>
      <c r="O5258" s="71" t="s">
        <v>194</v>
      </c>
      <c r="P5258" s="103" t="str">
        <f t="shared" si="2578"/>
        <v>Agfa 정착액 G333C(20L)</v>
      </c>
      <c r="Q5258" s="71">
        <f t="shared" si="2574"/>
        <v>2</v>
      </c>
      <c r="R5258" s="102">
        <v>66000</v>
      </c>
      <c r="S5258" s="102">
        <f t="shared" si="2575"/>
        <v>145200</v>
      </c>
      <c r="T5258" s="102">
        <f t="shared" si="2576"/>
        <v>132000</v>
      </c>
      <c r="U5258" s="71" t="str">
        <f t="shared" si="2577"/>
        <v>O</v>
      </c>
      <c r="V5258" s="71"/>
      <c r="W5258" s="474">
        <f>(G5258-T5258)</f>
        <v>54000</v>
      </c>
      <c r="X5258" s="71"/>
      <c r="Y5258" s="71"/>
    </row>
    <row r="5259" spans="1:25" ht="30" hidden="1" customHeight="1" x14ac:dyDescent="0.25">
      <c r="A5259" s="1145">
        <v>44781</v>
      </c>
      <c r="B5259" s="664" t="s">
        <v>2</v>
      </c>
      <c r="C5259" s="71" t="s">
        <v>1386</v>
      </c>
      <c r="D5259" s="71">
        <v>10</v>
      </c>
      <c r="E5259" s="102">
        <v>57000</v>
      </c>
      <c r="F5259" s="102">
        <f t="shared" si="2569"/>
        <v>627000</v>
      </c>
      <c r="G5259" s="102">
        <f t="shared" si="2570"/>
        <v>570000</v>
      </c>
      <c r="H5259" s="690" t="s">
        <v>172</v>
      </c>
      <c r="I5259" s="71" t="s">
        <v>2529</v>
      </c>
      <c r="J5259" s="53">
        <f t="shared" si="2571"/>
        <v>167950</v>
      </c>
      <c r="K5259" s="63">
        <f t="shared" si="2572"/>
        <v>0.29464912280701755</v>
      </c>
      <c r="L5259" s="1212" t="s">
        <v>3457</v>
      </c>
      <c r="M5259" s="468"/>
      <c r="N5259" s="1192">
        <f t="shared" si="2573"/>
        <v>44781</v>
      </c>
      <c r="O5259" s="71" t="s">
        <v>3298</v>
      </c>
      <c r="P5259" s="103" t="str">
        <f t="shared" si="2578"/>
        <v>THR200(20L)보충액</v>
      </c>
      <c r="Q5259" s="71">
        <f t="shared" si="2574"/>
        <v>10</v>
      </c>
      <c r="R5259" s="102">
        <v>40205</v>
      </c>
      <c r="S5259" s="102">
        <f t="shared" si="2575"/>
        <v>442255.00000000006</v>
      </c>
      <c r="T5259" s="102">
        <f t="shared" si="2576"/>
        <v>402050</v>
      </c>
      <c r="U5259" s="71" t="str">
        <f t="shared" si="2577"/>
        <v>O</v>
      </c>
      <c r="V5259" s="71"/>
      <c r="W5259" s="474">
        <f>(G5259-T5259)</f>
        <v>167950</v>
      </c>
      <c r="X5259" s="71"/>
      <c r="Y5259" s="71"/>
    </row>
    <row r="5260" spans="1:25" ht="30" hidden="1" customHeight="1" x14ac:dyDescent="0.25">
      <c r="A5260" s="1145">
        <v>44784</v>
      </c>
      <c r="B5260" s="664" t="s">
        <v>442</v>
      </c>
      <c r="C5260" s="71" t="s">
        <v>123</v>
      </c>
      <c r="D5260" s="71">
        <v>10</v>
      </c>
      <c r="E5260" s="102">
        <v>50000</v>
      </c>
      <c r="F5260" s="102">
        <f t="shared" si="2569"/>
        <v>550000</v>
      </c>
      <c r="G5260" s="102">
        <f t="shared" si="2570"/>
        <v>500000</v>
      </c>
      <c r="H5260" s="690" t="s">
        <v>94</v>
      </c>
      <c r="I5260" s="71" t="s">
        <v>94</v>
      </c>
      <c r="J5260" s="53">
        <f t="shared" si="2571"/>
        <v>260000</v>
      </c>
      <c r="K5260" s="63">
        <f t="shared" si="2572"/>
        <v>0.52</v>
      </c>
      <c r="L5260" s="1212" t="s">
        <v>3457</v>
      </c>
      <c r="M5260" s="468"/>
      <c r="N5260" s="1192">
        <f t="shared" si="2573"/>
        <v>44784</v>
      </c>
      <c r="O5260" s="71" t="s">
        <v>94</v>
      </c>
      <c r="P5260" s="103" t="str">
        <f t="shared" si="2578"/>
        <v>필터백</v>
      </c>
      <c r="Q5260" s="71">
        <f t="shared" si="2574"/>
        <v>10</v>
      </c>
      <c r="R5260" s="102">
        <v>24000</v>
      </c>
      <c r="S5260" s="102">
        <f t="shared" si="2575"/>
        <v>264000</v>
      </c>
      <c r="T5260" s="102">
        <f t="shared" si="2576"/>
        <v>240000</v>
      </c>
      <c r="U5260" s="71"/>
      <c r="V5260" s="71"/>
      <c r="W5260" s="474"/>
      <c r="X5260" s="71"/>
      <c r="Y5260" s="71"/>
    </row>
    <row r="5261" spans="1:25" ht="30" hidden="1" customHeight="1" x14ac:dyDescent="0.25">
      <c r="A5261" s="1145">
        <v>44784</v>
      </c>
      <c r="B5261" s="664" t="s">
        <v>442</v>
      </c>
      <c r="C5261" s="71" t="s">
        <v>651</v>
      </c>
      <c r="D5261" s="71">
        <v>7</v>
      </c>
      <c r="E5261" s="102">
        <v>45000</v>
      </c>
      <c r="F5261" s="102">
        <f t="shared" si="2569"/>
        <v>346500</v>
      </c>
      <c r="G5261" s="102">
        <f t="shared" si="2570"/>
        <v>315000</v>
      </c>
      <c r="H5261" s="690" t="s">
        <v>2029</v>
      </c>
      <c r="I5261" s="71" t="s">
        <v>195</v>
      </c>
      <c r="J5261" s="53">
        <f t="shared" ref="J5261:J5267" si="2579">G5261-T5261</f>
        <v>122500</v>
      </c>
      <c r="K5261" s="63">
        <f t="shared" ref="K5261:K5267" si="2580">(J5261/(F5261/11*10))</f>
        <v>0.3888888888888889</v>
      </c>
      <c r="L5261" s="1212" t="s">
        <v>3457</v>
      </c>
      <c r="M5261" s="468"/>
      <c r="N5261" s="1192">
        <f>A5261</f>
        <v>44784</v>
      </c>
      <c r="O5261" s="71" t="s">
        <v>194</v>
      </c>
      <c r="P5261" s="164" t="str">
        <f t="shared" si="2578"/>
        <v>Agfa 현상액 G101C(10L)</v>
      </c>
      <c r="Q5261" s="71">
        <f t="shared" si="2574"/>
        <v>7</v>
      </c>
      <c r="R5261" s="102">
        <v>27500</v>
      </c>
      <c r="S5261" s="102">
        <f t="shared" ref="S5261:S5267" si="2581">R5261*Q5261*1.1</f>
        <v>211750.00000000003</v>
      </c>
      <c r="T5261" s="102">
        <f t="shared" ref="T5261:T5267" si="2582">R5261*Q5261</f>
        <v>192500</v>
      </c>
      <c r="U5261" s="71" t="str">
        <f>IF(J5261=W5261,"O", "X")</f>
        <v>O</v>
      </c>
      <c r="V5261" s="71"/>
      <c r="W5261" s="474">
        <f>(G5261-T5261)</f>
        <v>122500</v>
      </c>
      <c r="X5261" s="71"/>
      <c r="Y5261" s="71"/>
    </row>
    <row r="5262" spans="1:25" ht="30" hidden="1" customHeight="1" x14ac:dyDescent="0.25">
      <c r="A5262" s="1145">
        <v>44798</v>
      </c>
      <c r="B5262" s="664" t="s">
        <v>442</v>
      </c>
      <c r="C5262" s="71" t="s">
        <v>3299</v>
      </c>
      <c r="D5262" s="71">
        <v>15</v>
      </c>
      <c r="E5262" s="102">
        <v>69000</v>
      </c>
      <c r="F5262" s="102">
        <f t="shared" si="2569"/>
        <v>1138500</v>
      </c>
      <c r="G5262" s="102">
        <f t="shared" si="2570"/>
        <v>1035000</v>
      </c>
      <c r="H5262" s="690" t="s">
        <v>172</v>
      </c>
      <c r="I5262" s="71" t="s">
        <v>108</v>
      </c>
      <c r="J5262" s="53">
        <f t="shared" si="2579"/>
        <v>435000</v>
      </c>
      <c r="K5262" s="63">
        <f t="shared" si="2580"/>
        <v>0.42028985507246375</v>
      </c>
      <c r="L5262" s="1212" t="s">
        <v>3457</v>
      </c>
      <c r="M5262" s="468" t="s">
        <v>3304</v>
      </c>
      <c r="N5262" s="1192">
        <v>44544</v>
      </c>
      <c r="O5262" s="71" t="s">
        <v>175</v>
      </c>
      <c r="P5262" s="103" t="s">
        <v>3299</v>
      </c>
      <c r="Q5262" s="71">
        <f t="shared" si="2574"/>
        <v>15</v>
      </c>
      <c r="R5262" s="102">
        <v>40000</v>
      </c>
      <c r="S5262" s="102">
        <f t="shared" si="2581"/>
        <v>660000</v>
      </c>
      <c r="T5262" s="102">
        <f t="shared" si="2582"/>
        <v>600000</v>
      </c>
      <c r="U5262" s="71" t="s">
        <v>859</v>
      </c>
      <c r="V5262" s="71"/>
      <c r="W5262" s="474"/>
      <c r="X5262" s="71"/>
      <c r="Y5262" s="71"/>
    </row>
    <row r="5263" spans="1:25" ht="30" hidden="1" customHeight="1" x14ac:dyDescent="0.25">
      <c r="A5263" s="1145">
        <v>44804</v>
      </c>
      <c r="B5263" s="664" t="s">
        <v>2155</v>
      </c>
      <c r="C5263" s="71" t="s">
        <v>3460</v>
      </c>
      <c r="D5263" s="71">
        <v>2</v>
      </c>
      <c r="E5263" s="102">
        <v>550000</v>
      </c>
      <c r="F5263" s="102">
        <f t="shared" si="2569"/>
        <v>1210000</v>
      </c>
      <c r="G5263" s="102">
        <f t="shared" si="2570"/>
        <v>1100000</v>
      </c>
      <c r="H5263" s="690" t="s">
        <v>1786</v>
      </c>
      <c r="I5263" s="71" t="s">
        <v>1786</v>
      </c>
      <c r="J5263" s="53">
        <f t="shared" si="2579"/>
        <v>88500</v>
      </c>
      <c r="K5263" s="63">
        <f t="shared" si="2580"/>
        <v>8.0454545454545459E-2</v>
      </c>
      <c r="L5263" s="1212" t="s">
        <v>3457</v>
      </c>
      <c r="M5263" s="468" t="s">
        <v>3513</v>
      </c>
      <c r="N5263" s="1192">
        <f>A5263</f>
        <v>44804</v>
      </c>
      <c r="O5263" s="71" t="s">
        <v>1786</v>
      </c>
      <c r="P5263" s="103" t="str">
        <f>(C5263)</f>
        <v>마이크로 스위치</v>
      </c>
      <c r="Q5263" s="71">
        <f t="shared" si="2574"/>
        <v>2</v>
      </c>
      <c r="R5263" s="102">
        <v>505750</v>
      </c>
      <c r="S5263" s="102">
        <f t="shared" si="2581"/>
        <v>1112650</v>
      </c>
      <c r="T5263" s="102">
        <f t="shared" si="2582"/>
        <v>1011500</v>
      </c>
      <c r="U5263" s="71"/>
      <c r="V5263" s="71"/>
      <c r="W5263" s="474"/>
      <c r="X5263" s="71"/>
      <c r="Y5263" s="71"/>
    </row>
    <row r="5264" spans="1:25" ht="30" hidden="1" customHeight="1" x14ac:dyDescent="0.25">
      <c r="A5264" s="1145">
        <v>44804</v>
      </c>
      <c r="B5264" s="664" t="s">
        <v>546</v>
      </c>
      <c r="C5264" s="71" t="s">
        <v>114</v>
      </c>
      <c r="D5264" s="71">
        <v>50</v>
      </c>
      <c r="E5264" s="102">
        <v>18000</v>
      </c>
      <c r="F5264" s="102">
        <f t="shared" si="2569"/>
        <v>990000.00000000012</v>
      </c>
      <c r="G5264" s="102">
        <f t="shared" si="2570"/>
        <v>900000</v>
      </c>
      <c r="H5264" s="690" t="s">
        <v>1786</v>
      </c>
      <c r="I5264" s="71" t="s">
        <v>1786</v>
      </c>
      <c r="J5264" s="53">
        <f t="shared" si="2579"/>
        <v>303700</v>
      </c>
      <c r="K5264" s="63">
        <f t="shared" si="2580"/>
        <v>0.33744444444444438</v>
      </c>
      <c r="L5264" s="1212" t="s">
        <v>3457</v>
      </c>
      <c r="M5264" s="468"/>
      <c r="N5264" s="1192">
        <f>A5264</f>
        <v>44804</v>
      </c>
      <c r="O5264" s="71" t="s">
        <v>1786</v>
      </c>
      <c r="P5264" s="103" t="str">
        <f>(C5264)</f>
        <v>스트리퍼</v>
      </c>
      <c r="Q5264" s="71">
        <f t="shared" si="2574"/>
        <v>50</v>
      </c>
      <c r="R5264" s="102">
        <v>11926</v>
      </c>
      <c r="S5264" s="102">
        <f t="shared" si="2581"/>
        <v>655930</v>
      </c>
      <c r="T5264" s="102">
        <f t="shared" si="2582"/>
        <v>596300</v>
      </c>
      <c r="U5264" s="71"/>
      <c r="V5264" s="71"/>
      <c r="W5264" s="474"/>
      <c r="X5264" s="71"/>
      <c r="Y5264" s="71"/>
    </row>
    <row r="5265" spans="1:25" ht="30" hidden="1" customHeight="1" x14ac:dyDescent="0.25">
      <c r="A5265" s="1145">
        <v>44804</v>
      </c>
      <c r="B5265" s="664" t="s">
        <v>546</v>
      </c>
      <c r="C5265" s="71" t="s">
        <v>3514</v>
      </c>
      <c r="D5265" s="71">
        <v>1</v>
      </c>
      <c r="E5265" s="102">
        <v>350000</v>
      </c>
      <c r="F5265" s="102">
        <f t="shared" si="2569"/>
        <v>385000.00000000006</v>
      </c>
      <c r="G5265" s="102">
        <f t="shared" si="2570"/>
        <v>350000</v>
      </c>
      <c r="H5265" s="690" t="s">
        <v>1786</v>
      </c>
      <c r="I5265" s="71" t="s">
        <v>1786</v>
      </c>
      <c r="J5265" s="53">
        <f t="shared" si="2579"/>
        <v>192498</v>
      </c>
      <c r="K5265" s="63">
        <f t="shared" si="2580"/>
        <v>0.54999428571428566</v>
      </c>
      <c r="L5265" s="1212" t="s">
        <v>3457</v>
      </c>
      <c r="M5265" s="468"/>
      <c r="N5265" s="1192">
        <f t="shared" ref="N5265:N5288" si="2583">A5265</f>
        <v>44804</v>
      </c>
      <c r="O5265" s="71" t="s">
        <v>1786</v>
      </c>
      <c r="P5265" s="103" t="str">
        <f>(C5265)</f>
        <v>잉크 키 보호 필름</v>
      </c>
      <c r="Q5265" s="71">
        <f t="shared" si="2574"/>
        <v>1</v>
      </c>
      <c r="R5265" s="102">
        <v>157502</v>
      </c>
      <c r="S5265" s="102">
        <f t="shared" si="2581"/>
        <v>173252.2</v>
      </c>
      <c r="T5265" s="102">
        <f t="shared" si="2582"/>
        <v>157502</v>
      </c>
      <c r="U5265" s="71"/>
      <c r="V5265" s="71"/>
      <c r="W5265" s="474"/>
      <c r="X5265" s="71"/>
      <c r="Y5265" s="71"/>
    </row>
    <row r="5266" spans="1:25" ht="30" hidden="1" customHeight="1" x14ac:dyDescent="0.25">
      <c r="A5266" s="1145">
        <v>44804</v>
      </c>
      <c r="B5266" s="664" t="s">
        <v>546</v>
      </c>
      <c r="C5266" s="71" t="s">
        <v>934</v>
      </c>
      <c r="D5266" s="71">
        <v>20</v>
      </c>
      <c r="E5266" s="102">
        <v>4500</v>
      </c>
      <c r="F5266" s="102">
        <f t="shared" si="2569"/>
        <v>99000.000000000015</v>
      </c>
      <c r="G5266" s="102">
        <f t="shared" si="2570"/>
        <v>90000</v>
      </c>
      <c r="H5266" s="690" t="s">
        <v>1786</v>
      </c>
      <c r="I5266" s="71" t="s">
        <v>1786</v>
      </c>
      <c r="J5266" s="53">
        <f t="shared" si="2579"/>
        <v>37440</v>
      </c>
      <c r="K5266" s="63">
        <f t="shared" si="2580"/>
        <v>0.41599999999999993</v>
      </c>
      <c r="L5266" s="1212" t="s">
        <v>3457</v>
      </c>
      <c r="M5266" s="468"/>
      <c r="N5266" s="1192">
        <f t="shared" si="2583"/>
        <v>44804</v>
      </c>
      <c r="O5266" s="71" t="s">
        <v>1431</v>
      </c>
      <c r="P5266" s="103" t="str">
        <f>(C5266)</f>
        <v>양면 테이프</v>
      </c>
      <c r="Q5266" s="71">
        <f t="shared" si="2574"/>
        <v>20</v>
      </c>
      <c r="R5266" s="102">
        <v>2628</v>
      </c>
      <c r="S5266" s="102">
        <f t="shared" si="2581"/>
        <v>57816.000000000007</v>
      </c>
      <c r="T5266" s="102">
        <f t="shared" si="2582"/>
        <v>52560</v>
      </c>
      <c r="U5266" s="71"/>
      <c r="V5266" s="71"/>
      <c r="W5266" s="474"/>
      <c r="X5266" s="71"/>
      <c r="Y5266" s="71"/>
    </row>
    <row r="5267" spans="1:25" ht="30" hidden="1" customHeight="1" x14ac:dyDescent="0.25">
      <c r="A5267" s="1145">
        <v>44804</v>
      </c>
      <c r="B5267" s="664" t="s">
        <v>546</v>
      </c>
      <c r="C5267" s="71" t="s">
        <v>3515</v>
      </c>
      <c r="D5267" s="71">
        <v>1</v>
      </c>
      <c r="E5267" s="102">
        <v>3695000</v>
      </c>
      <c r="F5267" s="102">
        <f t="shared" si="2569"/>
        <v>4064500.0000000005</v>
      </c>
      <c r="G5267" s="102">
        <f t="shared" si="2570"/>
        <v>3695000</v>
      </c>
      <c r="H5267" s="690" t="s">
        <v>1786</v>
      </c>
      <c r="I5267" s="71" t="s">
        <v>1786</v>
      </c>
      <c r="J5267" s="53">
        <f t="shared" si="2579"/>
        <v>3695000</v>
      </c>
      <c r="K5267" s="63">
        <f t="shared" si="2580"/>
        <v>0.99999999999999989</v>
      </c>
      <c r="L5267" s="1212" t="s">
        <v>3457</v>
      </c>
      <c r="M5267" s="468"/>
      <c r="N5267" s="1192">
        <f t="shared" si="2583"/>
        <v>44804</v>
      </c>
      <c r="O5267" s="71"/>
      <c r="P5267" s="103" t="str">
        <f>(C5267)</f>
        <v xml:space="preserve"> TSC 지원</v>
      </c>
      <c r="Q5267" s="71">
        <f t="shared" si="2574"/>
        <v>1</v>
      </c>
      <c r="R5267" s="102"/>
      <c r="S5267" s="102">
        <f t="shared" si="2581"/>
        <v>0</v>
      </c>
      <c r="T5267" s="102">
        <f t="shared" si="2582"/>
        <v>0</v>
      </c>
      <c r="U5267" s="71"/>
      <c r="V5267" s="71"/>
      <c r="W5267" s="474"/>
      <c r="X5267" s="71"/>
      <c r="Y5267" s="71"/>
    </row>
    <row r="5268" spans="1:25" ht="30" hidden="1" customHeight="1" x14ac:dyDescent="0.25">
      <c r="A5268" s="1145">
        <v>44798</v>
      </c>
      <c r="B5268" s="664" t="s">
        <v>1060</v>
      </c>
      <c r="C5268" s="71" t="s">
        <v>3310</v>
      </c>
      <c r="D5268" s="71">
        <v>600</v>
      </c>
      <c r="E5268" s="102">
        <v>6340</v>
      </c>
      <c r="F5268" s="102">
        <f t="shared" si="2569"/>
        <v>4184400.0000000005</v>
      </c>
      <c r="G5268" s="102">
        <f t="shared" si="2570"/>
        <v>3804000</v>
      </c>
      <c r="H5268" s="690" t="s">
        <v>36</v>
      </c>
      <c r="I5268" s="71" t="s">
        <v>2529</v>
      </c>
      <c r="J5268" s="53">
        <f t="shared" ref="J5268:J5289" si="2584">G5268-T5268</f>
        <v>714000</v>
      </c>
      <c r="K5268" s="63">
        <f t="shared" ref="K5268:K5289" si="2585">(J5268/(F5268/11*10))</f>
        <v>0.18769716088328073</v>
      </c>
      <c r="L5268" s="1212" t="s">
        <v>3457</v>
      </c>
      <c r="M5268" s="102">
        <v>4250</v>
      </c>
      <c r="N5268" s="1192">
        <f t="shared" si="2583"/>
        <v>44798</v>
      </c>
      <c r="O5268" s="71" t="s">
        <v>3298</v>
      </c>
      <c r="P5268" s="103" t="str">
        <f t="shared" ref="P5268:P5288" si="2586">(C5268)</f>
        <v>ENGAGE 1030*790</v>
      </c>
      <c r="Q5268" s="71">
        <f t="shared" si="2574"/>
        <v>600</v>
      </c>
      <c r="R5268" s="102">
        <v>5150</v>
      </c>
      <c r="S5268" s="102">
        <f t="shared" ref="S5268:S5288" si="2587">R5268*Q5268*1.1</f>
        <v>3399000.0000000005</v>
      </c>
      <c r="T5268" s="102">
        <f t="shared" ref="T5268:T5288" si="2588">R5268*Q5268</f>
        <v>3090000</v>
      </c>
      <c r="U5268" s="71" t="str">
        <f t="shared" ref="U5268:U5285" si="2589">IF(J5268=W5268,"O", "X")</f>
        <v>O</v>
      </c>
      <c r="V5268" s="71"/>
      <c r="W5268" s="474">
        <f t="shared" ref="W5268:W5285" si="2590">(G5268-T5268)</f>
        <v>714000</v>
      </c>
      <c r="X5268" s="71"/>
      <c r="Y5268" s="71"/>
    </row>
    <row r="5269" spans="1:25" ht="30" hidden="1" customHeight="1" x14ac:dyDescent="0.25">
      <c r="A5269" s="1145">
        <v>44798</v>
      </c>
      <c r="B5269" s="664" t="s">
        <v>2255</v>
      </c>
      <c r="C5269" s="71" t="s">
        <v>3400</v>
      </c>
      <c r="D5269" s="71">
        <v>2600</v>
      </c>
      <c r="E5269" s="102">
        <v>3990</v>
      </c>
      <c r="F5269" s="102">
        <f t="shared" si="2569"/>
        <v>11411400</v>
      </c>
      <c r="G5269" s="102">
        <f t="shared" si="2570"/>
        <v>10374000</v>
      </c>
      <c r="H5269" s="690" t="s">
        <v>36</v>
      </c>
      <c r="I5269" s="71" t="s">
        <v>2529</v>
      </c>
      <c r="J5269" s="53">
        <f t="shared" si="2584"/>
        <v>1924000</v>
      </c>
      <c r="K5269" s="63">
        <f t="shared" si="2585"/>
        <v>0.18546365914786966</v>
      </c>
      <c r="L5269" s="1212" t="s">
        <v>3457</v>
      </c>
      <c r="M5269" s="102">
        <v>2680</v>
      </c>
      <c r="N5269" s="1192">
        <f t="shared" si="2583"/>
        <v>44798</v>
      </c>
      <c r="O5269" s="71" t="s">
        <v>3298</v>
      </c>
      <c r="P5269" s="103" t="str">
        <f t="shared" si="2586"/>
        <v>ENGAGE 900X571 - 27RO</v>
      </c>
      <c r="Q5269" s="71">
        <f t="shared" si="2574"/>
        <v>2600</v>
      </c>
      <c r="R5269" s="102">
        <v>3250</v>
      </c>
      <c r="S5269" s="102">
        <f t="shared" si="2587"/>
        <v>9295000</v>
      </c>
      <c r="T5269" s="102">
        <f t="shared" si="2588"/>
        <v>8450000</v>
      </c>
      <c r="U5269" s="71" t="str">
        <f t="shared" si="2589"/>
        <v>O</v>
      </c>
      <c r="V5269" s="71"/>
      <c r="W5269" s="474">
        <f t="shared" si="2590"/>
        <v>1924000</v>
      </c>
      <c r="X5269" s="71"/>
      <c r="Y5269" s="71"/>
    </row>
    <row r="5270" spans="1:25" ht="30" hidden="1" customHeight="1" x14ac:dyDescent="0.25">
      <c r="A5270" s="1145">
        <v>44798</v>
      </c>
      <c r="B5270" s="664" t="s">
        <v>2255</v>
      </c>
      <c r="C5270" s="71" t="s">
        <v>3402</v>
      </c>
      <c r="D5270" s="71">
        <v>1600</v>
      </c>
      <c r="E5270" s="102">
        <v>3800</v>
      </c>
      <c r="F5270" s="102">
        <f t="shared" si="2569"/>
        <v>6688000.0000000009</v>
      </c>
      <c r="G5270" s="102">
        <f t="shared" si="2570"/>
        <v>6080000</v>
      </c>
      <c r="H5270" s="690" t="s">
        <v>36</v>
      </c>
      <c r="I5270" s="71" t="s">
        <v>2529</v>
      </c>
      <c r="J5270" s="53">
        <f t="shared" si="2584"/>
        <v>1152000</v>
      </c>
      <c r="K5270" s="63">
        <f t="shared" si="2585"/>
        <v>0.18947368421052629</v>
      </c>
      <c r="L5270" s="1212" t="s">
        <v>3457</v>
      </c>
      <c r="M5270" s="102">
        <v>2540</v>
      </c>
      <c r="N5270" s="1192">
        <f t="shared" si="2583"/>
        <v>44798</v>
      </c>
      <c r="O5270" s="71" t="s">
        <v>3298</v>
      </c>
      <c r="P5270" s="103" t="str">
        <f t="shared" si="2586"/>
        <v>ENGAGE 30WEB(883*552)</v>
      </c>
      <c r="Q5270" s="71">
        <f t="shared" si="2574"/>
        <v>1600</v>
      </c>
      <c r="R5270" s="102">
        <v>3080</v>
      </c>
      <c r="S5270" s="102">
        <f t="shared" si="2587"/>
        <v>5420800</v>
      </c>
      <c r="T5270" s="102">
        <f t="shared" si="2588"/>
        <v>4928000</v>
      </c>
      <c r="U5270" s="71" t="str">
        <f t="shared" si="2589"/>
        <v>O</v>
      </c>
      <c r="V5270" s="71"/>
      <c r="W5270" s="474">
        <f t="shared" si="2590"/>
        <v>1152000</v>
      </c>
      <c r="X5270" s="71"/>
      <c r="Y5270" s="71"/>
    </row>
    <row r="5271" spans="1:25" ht="30" hidden="1" customHeight="1" x14ac:dyDescent="0.25">
      <c r="A5271" s="1145">
        <v>44798</v>
      </c>
      <c r="B5271" s="664" t="s">
        <v>2255</v>
      </c>
      <c r="C5271" s="71" t="s">
        <v>3313</v>
      </c>
      <c r="D5271" s="71">
        <v>1400</v>
      </c>
      <c r="E5271" s="102">
        <v>6420</v>
      </c>
      <c r="F5271" s="102">
        <f t="shared" si="2569"/>
        <v>9886800</v>
      </c>
      <c r="G5271" s="102">
        <f t="shared" si="2570"/>
        <v>8988000</v>
      </c>
      <c r="H5271" s="690" t="s">
        <v>36</v>
      </c>
      <c r="I5271" s="71" t="s">
        <v>2529</v>
      </c>
      <c r="J5271" s="53">
        <f t="shared" si="2584"/>
        <v>1680000</v>
      </c>
      <c r="K5271" s="63">
        <f t="shared" si="2585"/>
        <v>0.18691588785046728</v>
      </c>
      <c r="L5271" s="1212" t="s">
        <v>3457</v>
      </c>
      <c r="M5271" s="102">
        <v>4300</v>
      </c>
      <c r="N5271" s="1192">
        <f t="shared" si="2583"/>
        <v>44798</v>
      </c>
      <c r="O5271" s="71" t="s">
        <v>3298</v>
      </c>
      <c r="P5271" s="103" t="str">
        <f t="shared" si="2586"/>
        <v>ENGAGE 1030*800</v>
      </c>
      <c r="Q5271" s="71">
        <f t="shared" si="2574"/>
        <v>1400</v>
      </c>
      <c r="R5271" s="102">
        <v>5220</v>
      </c>
      <c r="S5271" s="102">
        <f t="shared" si="2587"/>
        <v>8038800.0000000009</v>
      </c>
      <c r="T5271" s="102">
        <f t="shared" si="2588"/>
        <v>7308000</v>
      </c>
      <c r="U5271" s="71" t="str">
        <f t="shared" si="2589"/>
        <v>O</v>
      </c>
      <c r="V5271" s="71"/>
      <c r="W5271" s="474">
        <f t="shared" si="2590"/>
        <v>1680000</v>
      </c>
      <c r="X5271" s="71"/>
      <c r="Y5271" s="71"/>
    </row>
    <row r="5272" spans="1:25" ht="30" hidden="1" customHeight="1" x14ac:dyDescent="0.25">
      <c r="A5272" s="1145">
        <v>44798</v>
      </c>
      <c r="B5272" s="664" t="s">
        <v>2255</v>
      </c>
      <c r="C5272" s="71" t="s">
        <v>3314</v>
      </c>
      <c r="D5272" s="71">
        <v>900</v>
      </c>
      <c r="E5272" s="102">
        <v>6660</v>
      </c>
      <c r="F5272" s="102">
        <f t="shared" si="2569"/>
        <v>6593400.0000000009</v>
      </c>
      <c r="G5272" s="102">
        <f t="shared" si="2570"/>
        <v>5994000</v>
      </c>
      <c r="H5272" s="690" t="s">
        <v>36</v>
      </c>
      <c r="I5272" s="71" t="s">
        <v>2529</v>
      </c>
      <c r="J5272" s="53">
        <f t="shared" si="2584"/>
        <v>1116000</v>
      </c>
      <c r="K5272" s="63">
        <f t="shared" si="2585"/>
        <v>0.18618618618618615</v>
      </c>
      <c r="L5272" s="1212" t="s">
        <v>3457</v>
      </c>
      <c r="M5272" s="102">
        <v>4470</v>
      </c>
      <c r="N5272" s="1192">
        <f t="shared" si="2583"/>
        <v>44798</v>
      </c>
      <c r="O5272" s="71" t="s">
        <v>3298</v>
      </c>
      <c r="P5272" s="103" t="str">
        <f t="shared" si="2586"/>
        <v>ENGAGE 1055*811</v>
      </c>
      <c r="Q5272" s="71">
        <f t="shared" si="2574"/>
        <v>900</v>
      </c>
      <c r="R5272" s="102">
        <v>5420</v>
      </c>
      <c r="S5272" s="102">
        <f t="shared" si="2587"/>
        <v>5365800</v>
      </c>
      <c r="T5272" s="102">
        <f t="shared" si="2588"/>
        <v>4878000</v>
      </c>
      <c r="U5272" s="71" t="str">
        <f t="shared" si="2589"/>
        <v>O</v>
      </c>
      <c r="V5272" s="71"/>
      <c r="W5272" s="474">
        <f t="shared" si="2590"/>
        <v>1116000</v>
      </c>
      <c r="X5272" s="71"/>
      <c r="Y5272" s="71"/>
    </row>
    <row r="5273" spans="1:25" ht="30" hidden="1" customHeight="1" x14ac:dyDescent="0.25">
      <c r="A5273" s="1145">
        <v>44798</v>
      </c>
      <c r="B5273" s="664" t="s">
        <v>2255</v>
      </c>
      <c r="C5273" s="71" t="s">
        <v>3315</v>
      </c>
      <c r="D5273" s="71">
        <v>0</v>
      </c>
      <c r="E5273" s="102">
        <v>4680</v>
      </c>
      <c r="F5273" s="102">
        <f t="shared" si="2569"/>
        <v>0</v>
      </c>
      <c r="G5273" s="102">
        <f t="shared" si="2570"/>
        <v>0</v>
      </c>
      <c r="H5273" s="690" t="s">
        <v>36</v>
      </c>
      <c r="I5273" s="71" t="s">
        <v>2529</v>
      </c>
      <c r="J5273" s="53">
        <f t="shared" si="2584"/>
        <v>0</v>
      </c>
      <c r="K5273" s="63" t="e">
        <f t="shared" si="2585"/>
        <v>#DIV/0!</v>
      </c>
      <c r="L5273" s="1212" t="s">
        <v>3457</v>
      </c>
      <c r="M5273" s="102">
        <v>3190</v>
      </c>
      <c r="N5273" s="1192">
        <f t="shared" si="2583"/>
        <v>44798</v>
      </c>
      <c r="O5273" s="71" t="s">
        <v>3298</v>
      </c>
      <c r="P5273" s="103" t="str">
        <f t="shared" si="2586"/>
        <v>ENGAGE 968*631</v>
      </c>
      <c r="Q5273" s="71">
        <f t="shared" si="2574"/>
        <v>0</v>
      </c>
      <c r="R5273" s="102">
        <v>3870</v>
      </c>
      <c r="S5273" s="102">
        <f t="shared" si="2587"/>
        <v>0</v>
      </c>
      <c r="T5273" s="102">
        <f t="shared" si="2588"/>
        <v>0</v>
      </c>
      <c r="U5273" s="71" t="str">
        <f t="shared" si="2589"/>
        <v>O</v>
      </c>
      <c r="V5273" s="71"/>
      <c r="W5273" s="474">
        <f t="shared" si="2590"/>
        <v>0</v>
      </c>
      <c r="X5273" s="71"/>
      <c r="Y5273" s="71"/>
    </row>
    <row r="5274" spans="1:25" ht="30" hidden="1" customHeight="1" x14ac:dyDescent="0.25">
      <c r="A5274" s="1145">
        <v>44798</v>
      </c>
      <c r="B5274" s="664" t="s">
        <v>2255</v>
      </c>
      <c r="C5274" s="71" t="s">
        <v>3316</v>
      </c>
      <c r="D5274" s="71"/>
      <c r="E5274" s="102"/>
      <c r="F5274" s="102">
        <f t="shared" si="2569"/>
        <v>0</v>
      </c>
      <c r="G5274" s="102">
        <f t="shared" si="2570"/>
        <v>0</v>
      </c>
      <c r="H5274" s="690" t="s">
        <v>36</v>
      </c>
      <c r="I5274" s="71" t="s">
        <v>2529</v>
      </c>
      <c r="J5274" s="53">
        <f t="shared" si="2584"/>
        <v>0</v>
      </c>
      <c r="K5274" s="63" t="e">
        <f t="shared" si="2585"/>
        <v>#DIV/0!</v>
      </c>
      <c r="L5274" s="1212" t="s">
        <v>3457</v>
      </c>
      <c r="M5274" s="102">
        <v>5510</v>
      </c>
      <c r="N5274" s="1192">
        <f t="shared" si="2583"/>
        <v>44798</v>
      </c>
      <c r="O5274" s="71" t="s">
        <v>3298</v>
      </c>
      <c r="P5274" s="103" t="str">
        <f t="shared" si="2586"/>
        <v>ENGAGE 1092*800</v>
      </c>
      <c r="Q5274" s="71">
        <f t="shared" si="2574"/>
        <v>0</v>
      </c>
      <c r="R5274" s="102">
        <f>(M5274*1.07)</f>
        <v>5895.7000000000007</v>
      </c>
      <c r="S5274" s="102">
        <f t="shared" si="2587"/>
        <v>0</v>
      </c>
      <c r="T5274" s="102">
        <f t="shared" si="2588"/>
        <v>0</v>
      </c>
      <c r="U5274" s="71" t="str">
        <f t="shared" si="2589"/>
        <v>O</v>
      </c>
      <c r="V5274" s="71"/>
      <c r="W5274" s="474">
        <f t="shared" si="2590"/>
        <v>0</v>
      </c>
      <c r="X5274" s="71"/>
      <c r="Y5274" s="71"/>
    </row>
    <row r="5275" spans="1:25" ht="30" hidden="1" customHeight="1" x14ac:dyDescent="0.25">
      <c r="A5275" s="1145">
        <v>44798</v>
      </c>
      <c r="B5275" s="664" t="s">
        <v>2255</v>
      </c>
      <c r="C5275" s="71" t="s">
        <v>1386</v>
      </c>
      <c r="D5275" s="71">
        <v>35</v>
      </c>
      <c r="E5275" s="102">
        <v>58500</v>
      </c>
      <c r="F5275" s="102">
        <f t="shared" si="2569"/>
        <v>2252250</v>
      </c>
      <c r="G5275" s="102">
        <f t="shared" si="2570"/>
        <v>2047500</v>
      </c>
      <c r="H5275" s="690" t="s">
        <v>179</v>
      </c>
      <c r="I5275" s="71" t="s">
        <v>3405</v>
      </c>
      <c r="J5275" s="53">
        <f t="shared" si="2584"/>
        <v>638750</v>
      </c>
      <c r="K5275" s="63">
        <f t="shared" si="2585"/>
        <v>0.31196581196581197</v>
      </c>
      <c r="L5275" s="1212" t="s">
        <v>3457</v>
      </c>
      <c r="M5275" s="468"/>
      <c r="N5275" s="1192">
        <f t="shared" si="2583"/>
        <v>44798</v>
      </c>
      <c r="O5275" s="71" t="s">
        <v>194</v>
      </c>
      <c r="P5275" s="164" t="str">
        <f t="shared" si="2586"/>
        <v>THR200(20L)보충액</v>
      </c>
      <c r="Q5275" s="71">
        <f t="shared" si="2574"/>
        <v>35</v>
      </c>
      <c r="R5275" s="102">
        <v>40250</v>
      </c>
      <c r="S5275" s="102">
        <f t="shared" si="2587"/>
        <v>1549625.0000000002</v>
      </c>
      <c r="T5275" s="102">
        <f t="shared" si="2588"/>
        <v>1408750</v>
      </c>
      <c r="U5275" s="71" t="str">
        <f t="shared" si="2589"/>
        <v>O</v>
      </c>
      <c r="V5275" s="71"/>
      <c r="W5275" s="474">
        <f t="shared" si="2590"/>
        <v>638750</v>
      </c>
      <c r="X5275" s="71"/>
      <c r="Y5275" s="71"/>
    </row>
    <row r="5276" spans="1:25" ht="30" hidden="1" customHeight="1" x14ac:dyDescent="0.25">
      <c r="A5276" s="1145">
        <v>44798</v>
      </c>
      <c r="B5276" s="664" t="s">
        <v>2255</v>
      </c>
      <c r="C5276" s="71" t="s">
        <v>3318</v>
      </c>
      <c r="D5276" s="71">
        <v>5</v>
      </c>
      <c r="E5276" s="102">
        <v>58500</v>
      </c>
      <c r="F5276" s="102">
        <f t="shared" si="2569"/>
        <v>321750</v>
      </c>
      <c r="G5276" s="102">
        <f t="shared" si="2570"/>
        <v>292500</v>
      </c>
      <c r="H5276" s="690" t="s">
        <v>36</v>
      </c>
      <c r="I5276" s="71" t="s">
        <v>2529</v>
      </c>
      <c r="J5276" s="53">
        <f t="shared" si="2584"/>
        <v>91250</v>
      </c>
      <c r="K5276" s="63">
        <f t="shared" si="2585"/>
        <v>0.31196581196581197</v>
      </c>
      <c r="L5276" s="1212" t="s">
        <v>3457</v>
      </c>
      <c r="M5276" s="468"/>
      <c r="N5276" s="1192">
        <f t="shared" si="2583"/>
        <v>44798</v>
      </c>
      <c r="O5276" s="71" t="s">
        <v>3298</v>
      </c>
      <c r="P5276" s="103" t="str">
        <f t="shared" si="2586"/>
        <v>THD200(20L)현상액</v>
      </c>
      <c r="Q5276" s="71">
        <f t="shared" si="2574"/>
        <v>5</v>
      </c>
      <c r="R5276" s="102">
        <v>40250</v>
      </c>
      <c r="S5276" s="102">
        <f t="shared" si="2587"/>
        <v>221375.00000000003</v>
      </c>
      <c r="T5276" s="102">
        <f t="shared" si="2588"/>
        <v>201250</v>
      </c>
      <c r="U5276" s="71" t="str">
        <f t="shared" si="2589"/>
        <v>O</v>
      </c>
      <c r="V5276" s="71"/>
      <c r="W5276" s="474">
        <f t="shared" si="2590"/>
        <v>91250</v>
      </c>
      <c r="X5276" s="71"/>
      <c r="Y5276" s="71"/>
    </row>
    <row r="5277" spans="1:25" ht="30" hidden="1" customHeight="1" x14ac:dyDescent="0.25">
      <c r="A5277" s="1145">
        <v>44798</v>
      </c>
      <c r="B5277" s="664" t="s">
        <v>2254</v>
      </c>
      <c r="C5277" s="71" t="s">
        <v>3319</v>
      </c>
      <c r="D5277" s="71">
        <v>400</v>
      </c>
      <c r="E5277" s="102">
        <v>5600</v>
      </c>
      <c r="F5277" s="102">
        <f t="shared" si="2569"/>
        <v>2464000</v>
      </c>
      <c r="G5277" s="102">
        <f t="shared" si="2570"/>
        <v>2240000</v>
      </c>
      <c r="H5277" s="690" t="s">
        <v>36</v>
      </c>
      <c r="I5277" s="71" t="s">
        <v>3320</v>
      </c>
      <c r="J5277" s="53">
        <f t="shared" si="2584"/>
        <v>120000</v>
      </c>
      <c r="K5277" s="63">
        <f t="shared" si="2585"/>
        <v>5.3571428571428568E-2</v>
      </c>
      <c r="L5277" s="1212" t="s">
        <v>3457</v>
      </c>
      <c r="M5277" s="468"/>
      <c r="N5277" s="1192">
        <f t="shared" si="2583"/>
        <v>44798</v>
      </c>
      <c r="O5277" s="71" t="s">
        <v>146</v>
      </c>
      <c r="P5277" s="103" t="str">
        <f t="shared" si="2586"/>
        <v>프리미어(먹)</v>
      </c>
      <c r="Q5277" s="71">
        <f t="shared" si="2574"/>
        <v>400</v>
      </c>
      <c r="R5277" s="102">
        <v>5300</v>
      </c>
      <c r="S5277" s="102">
        <f t="shared" si="2587"/>
        <v>2332000</v>
      </c>
      <c r="T5277" s="102">
        <f t="shared" si="2588"/>
        <v>2120000</v>
      </c>
      <c r="U5277" s="71" t="str">
        <f t="shared" si="2589"/>
        <v>O</v>
      </c>
      <c r="V5277" s="71"/>
      <c r="W5277" s="474">
        <f t="shared" si="2590"/>
        <v>120000</v>
      </c>
      <c r="X5277" s="71"/>
      <c r="Y5277" s="71"/>
    </row>
    <row r="5278" spans="1:25" ht="30" hidden="1" customHeight="1" x14ac:dyDescent="0.25">
      <c r="A5278" s="1145">
        <v>44798</v>
      </c>
      <c r="B5278" s="664" t="s">
        <v>2254</v>
      </c>
      <c r="C5278" s="71" t="s">
        <v>3321</v>
      </c>
      <c r="D5278" s="71">
        <v>400</v>
      </c>
      <c r="E5278" s="102">
        <v>6000</v>
      </c>
      <c r="F5278" s="102">
        <f t="shared" si="2569"/>
        <v>2640000</v>
      </c>
      <c r="G5278" s="102">
        <f t="shared" si="2570"/>
        <v>2400000</v>
      </c>
      <c r="H5278" s="690" t="s">
        <v>36</v>
      </c>
      <c r="I5278" s="71" t="s">
        <v>3320</v>
      </c>
      <c r="J5278" s="53">
        <f t="shared" si="2584"/>
        <v>-20000</v>
      </c>
      <c r="K5278" s="63">
        <f t="shared" si="2585"/>
        <v>-8.3333333333333332E-3</v>
      </c>
      <c r="L5278" s="1212" t="s">
        <v>3457</v>
      </c>
      <c r="M5278" s="468"/>
      <c r="N5278" s="1192">
        <f t="shared" si="2583"/>
        <v>44798</v>
      </c>
      <c r="O5278" s="71" t="s">
        <v>146</v>
      </c>
      <c r="P5278" s="103" t="str">
        <f t="shared" si="2586"/>
        <v>프리미어(적)</v>
      </c>
      <c r="Q5278" s="71">
        <f t="shared" si="2574"/>
        <v>400</v>
      </c>
      <c r="R5278" s="102">
        <v>6050</v>
      </c>
      <c r="S5278" s="102">
        <f t="shared" si="2587"/>
        <v>2662000</v>
      </c>
      <c r="T5278" s="102">
        <f t="shared" si="2588"/>
        <v>2420000</v>
      </c>
      <c r="U5278" s="71" t="str">
        <f t="shared" si="2589"/>
        <v>O</v>
      </c>
      <c r="V5278" s="71"/>
      <c r="W5278" s="474">
        <f t="shared" si="2590"/>
        <v>-20000</v>
      </c>
      <c r="X5278" s="71"/>
      <c r="Y5278" s="71"/>
    </row>
    <row r="5279" spans="1:25" ht="30" hidden="1" customHeight="1" x14ac:dyDescent="0.25">
      <c r="A5279" s="1145">
        <v>44798</v>
      </c>
      <c r="B5279" s="664" t="s">
        <v>2254</v>
      </c>
      <c r="C5279" s="71" t="s">
        <v>1289</v>
      </c>
      <c r="D5279" s="71">
        <v>600</v>
      </c>
      <c r="E5279" s="102">
        <v>5750</v>
      </c>
      <c r="F5279" s="102">
        <f t="shared" si="2569"/>
        <v>3795000.0000000005</v>
      </c>
      <c r="G5279" s="102">
        <f t="shared" si="2570"/>
        <v>3450000</v>
      </c>
      <c r="H5279" s="690" t="s">
        <v>36</v>
      </c>
      <c r="I5279" s="71" t="s">
        <v>3320</v>
      </c>
      <c r="J5279" s="53">
        <f t="shared" si="2584"/>
        <v>192000</v>
      </c>
      <c r="K5279" s="63">
        <f t="shared" si="2585"/>
        <v>5.5652173913043473E-2</v>
      </c>
      <c r="L5279" s="1212" t="s">
        <v>3457</v>
      </c>
      <c r="M5279" s="468"/>
      <c r="N5279" s="1192">
        <f t="shared" si="2583"/>
        <v>44798</v>
      </c>
      <c r="O5279" s="71" t="s">
        <v>146</v>
      </c>
      <c r="P5279" s="103" t="str">
        <f t="shared" si="2586"/>
        <v>프리미어(황)</v>
      </c>
      <c r="Q5279" s="71">
        <f t="shared" si="2574"/>
        <v>600</v>
      </c>
      <c r="R5279" s="102">
        <v>5430</v>
      </c>
      <c r="S5279" s="102">
        <f t="shared" si="2587"/>
        <v>3583800.0000000005</v>
      </c>
      <c r="T5279" s="102">
        <f t="shared" si="2588"/>
        <v>3258000</v>
      </c>
      <c r="U5279" s="71" t="str">
        <f t="shared" si="2589"/>
        <v>O</v>
      </c>
      <c r="V5279" s="71"/>
      <c r="W5279" s="474">
        <f t="shared" si="2590"/>
        <v>192000</v>
      </c>
      <c r="X5279" s="71"/>
      <c r="Y5279" s="71"/>
    </row>
    <row r="5280" spans="1:25" ht="30" hidden="1" customHeight="1" x14ac:dyDescent="0.25">
      <c r="A5280" s="1145">
        <v>44798</v>
      </c>
      <c r="B5280" s="664" t="s">
        <v>2254</v>
      </c>
      <c r="C5280" s="71" t="s">
        <v>1290</v>
      </c>
      <c r="D5280" s="71">
        <v>400</v>
      </c>
      <c r="E5280" s="102">
        <v>7000</v>
      </c>
      <c r="F5280" s="102">
        <f t="shared" si="2569"/>
        <v>3080000.0000000005</v>
      </c>
      <c r="G5280" s="102">
        <f t="shared" si="2570"/>
        <v>2800000</v>
      </c>
      <c r="H5280" s="690" t="s">
        <v>36</v>
      </c>
      <c r="I5280" s="71" t="s">
        <v>3320</v>
      </c>
      <c r="J5280" s="53">
        <f t="shared" si="2584"/>
        <v>200000</v>
      </c>
      <c r="K5280" s="63">
        <f t="shared" si="2585"/>
        <v>7.1428571428571411E-2</v>
      </c>
      <c r="L5280" s="1212" t="s">
        <v>3457</v>
      </c>
      <c r="M5280" s="468"/>
      <c r="N5280" s="1192">
        <f t="shared" si="2583"/>
        <v>44798</v>
      </c>
      <c r="O5280" s="71" t="s">
        <v>146</v>
      </c>
      <c r="P5280" s="103" t="str">
        <f t="shared" si="2586"/>
        <v>프리미어(청)</v>
      </c>
      <c r="Q5280" s="71">
        <f t="shared" si="2574"/>
        <v>400</v>
      </c>
      <c r="R5280" s="102">
        <v>6500</v>
      </c>
      <c r="S5280" s="102">
        <f t="shared" si="2587"/>
        <v>2860000</v>
      </c>
      <c r="T5280" s="102">
        <f t="shared" si="2588"/>
        <v>2600000</v>
      </c>
      <c r="U5280" s="71" t="str">
        <f t="shared" si="2589"/>
        <v>O</v>
      </c>
      <c r="V5280" s="71"/>
      <c r="W5280" s="474">
        <f t="shared" si="2590"/>
        <v>200000</v>
      </c>
      <c r="X5280" s="71"/>
      <c r="Y5280" s="71"/>
    </row>
    <row r="5281" spans="1:25" ht="30" hidden="1" customHeight="1" x14ac:dyDescent="0.25">
      <c r="A5281" s="1145">
        <v>44798</v>
      </c>
      <c r="B5281" s="664" t="s">
        <v>2254</v>
      </c>
      <c r="C5281" s="71" t="s">
        <v>3322</v>
      </c>
      <c r="D5281" s="71">
        <v>0</v>
      </c>
      <c r="E5281" s="102">
        <v>6200</v>
      </c>
      <c r="F5281" s="102">
        <f t="shared" si="2569"/>
        <v>0</v>
      </c>
      <c r="G5281" s="102">
        <f t="shared" si="2570"/>
        <v>0</v>
      </c>
      <c r="H5281" s="690" t="s">
        <v>36</v>
      </c>
      <c r="I5281" s="71" t="s">
        <v>3320</v>
      </c>
      <c r="J5281" s="53">
        <f t="shared" si="2584"/>
        <v>0</v>
      </c>
      <c r="K5281" s="63" t="e">
        <f t="shared" si="2585"/>
        <v>#DIV/0!</v>
      </c>
      <c r="L5281" s="1212" t="s">
        <v>3457</v>
      </c>
      <c r="M5281" s="468"/>
      <c r="N5281" s="1192">
        <f t="shared" si="2583"/>
        <v>44798</v>
      </c>
      <c r="O5281" s="71" t="s">
        <v>3323</v>
      </c>
      <c r="P5281" s="103" t="str">
        <f t="shared" si="2586"/>
        <v>한특 잉크(적)</v>
      </c>
      <c r="Q5281" s="71">
        <f t="shared" si="2574"/>
        <v>0</v>
      </c>
      <c r="R5281" s="102">
        <v>5900</v>
      </c>
      <c r="S5281" s="102">
        <f t="shared" si="2587"/>
        <v>0</v>
      </c>
      <c r="T5281" s="102">
        <f t="shared" si="2588"/>
        <v>0</v>
      </c>
      <c r="U5281" s="71" t="str">
        <f t="shared" si="2589"/>
        <v>O</v>
      </c>
      <c r="V5281" s="71"/>
      <c r="W5281" s="474">
        <f t="shared" si="2590"/>
        <v>0</v>
      </c>
      <c r="X5281" s="71"/>
      <c r="Y5281" s="71"/>
    </row>
    <row r="5282" spans="1:25" ht="30" hidden="1" customHeight="1" x14ac:dyDescent="0.25">
      <c r="A5282" s="1145">
        <v>44798</v>
      </c>
      <c r="B5282" s="664" t="s">
        <v>2254</v>
      </c>
      <c r="C5282" s="71" t="s">
        <v>3324</v>
      </c>
      <c r="D5282" s="71">
        <v>0</v>
      </c>
      <c r="E5282" s="102">
        <v>6000</v>
      </c>
      <c r="F5282" s="102">
        <f t="shared" si="2569"/>
        <v>0</v>
      </c>
      <c r="G5282" s="102">
        <f t="shared" si="2570"/>
        <v>0</v>
      </c>
      <c r="H5282" s="690" t="s">
        <v>36</v>
      </c>
      <c r="I5282" s="71" t="s">
        <v>3320</v>
      </c>
      <c r="J5282" s="53">
        <f t="shared" si="2584"/>
        <v>0</v>
      </c>
      <c r="K5282" s="63" t="e">
        <f t="shared" si="2585"/>
        <v>#DIV/0!</v>
      </c>
      <c r="L5282" s="1212" t="s">
        <v>3457</v>
      </c>
      <c r="M5282" s="468"/>
      <c r="N5282" s="1192">
        <f t="shared" si="2583"/>
        <v>44798</v>
      </c>
      <c r="O5282" s="71" t="s">
        <v>3323</v>
      </c>
      <c r="P5282" s="103" t="str">
        <f t="shared" si="2586"/>
        <v>한특 잉크(황)</v>
      </c>
      <c r="Q5282" s="71">
        <f t="shared" si="2574"/>
        <v>0</v>
      </c>
      <c r="R5282" s="102">
        <v>5500</v>
      </c>
      <c r="S5282" s="102">
        <f t="shared" si="2587"/>
        <v>0</v>
      </c>
      <c r="T5282" s="102">
        <f t="shared" si="2588"/>
        <v>0</v>
      </c>
      <c r="U5282" s="71" t="str">
        <f t="shared" si="2589"/>
        <v>O</v>
      </c>
      <c r="V5282" s="71"/>
      <c r="W5282" s="474">
        <f t="shared" si="2590"/>
        <v>0</v>
      </c>
      <c r="X5282" s="71"/>
      <c r="Y5282" s="71"/>
    </row>
    <row r="5283" spans="1:25" ht="30" hidden="1" customHeight="1" x14ac:dyDescent="0.25">
      <c r="A5283" s="1145">
        <v>44798</v>
      </c>
      <c r="B5283" s="664" t="s">
        <v>2254</v>
      </c>
      <c r="C5283" s="71" t="s">
        <v>3325</v>
      </c>
      <c r="D5283" s="71">
        <v>0</v>
      </c>
      <c r="E5283" s="102">
        <v>6500</v>
      </c>
      <c r="F5283" s="102">
        <f t="shared" si="2569"/>
        <v>0</v>
      </c>
      <c r="G5283" s="102">
        <f t="shared" si="2570"/>
        <v>0</v>
      </c>
      <c r="H5283" s="690" t="s">
        <v>36</v>
      </c>
      <c r="I5283" s="71" t="s">
        <v>3320</v>
      </c>
      <c r="J5283" s="53">
        <f t="shared" si="2584"/>
        <v>0</v>
      </c>
      <c r="K5283" s="63" t="e">
        <f t="shared" si="2585"/>
        <v>#DIV/0!</v>
      </c>
      <c r="L5283" s="1212" t="s">
        <v>3457</v>
      </c>
      <c r="M5283" s="468"/>
      <c r="N5283" s="1192">
        <f t="shared" si="2583"/>
        <v>44798</v>
      </c>
      <c r="O5283" s="71" t="s">
        <v>3323</v>
      </c>
      <c r="P5283" s="103" t="str">
        <f t="shared" si="2586"/>
        <v>한특 잉크(청)</v>
      </c>
      <c r="Q5283" s="71">
        <f t="shared" si="2574"/>
        <v>0</v>
      </c>
      <c r="R5283" s="102">
        <v>5800</v>
      </c>
      <c r="S5283" s="102">
        <f t="shared" si="2587"/>
        <v>0</v>
      </c>
      <c r="T5283" s="102">
        <f t="shared" si="2588"/>
        <v>0</v>
      </c>
      <c r="U5283" s="71" t="str">
        <f t="shared" si="2589"/>
        <v>O</v>
      </c>
      <c r="V5283" s="71"/>
      <c r="W5283" s="474">
        <f t="shared" si="2590"/>
        <v>0</v>
      </c>
      <c r="X5283" s="71"/>
      <c r="Y5283" s="71"/>
    </row>
    <row r="5284" spans="1:25" ht="30" hidden="1" customHeight="1" x14ac:dyDescent="0.25">
      <c r="A5284" s="1145">
        <v>44798</v>
      </c>
      <c r="B5284" s="664" t="s">
        <v>2254</v>
      </c>
      <c r="C5284" s="71" t="s">
        <v>3326</v>
      </c>
      <c r="D5284" s="71">
        <v>0</v>
      </c>
      <c r="E5284" s="102">
        <v>5600</v>
      </c>
      <c r="F5284" s="102">
        <f t="shared" si="2569"/>
        <v>0</v>
      </c>
      <c r="G5284" s="102">
        <f t="shared" si="2570"/>
        <v>0</v>
      </c>
      <c r="H5284" s="690" t="s">
        <v>36</v>
      </c>
      <c r="I5284" s="71" t="s">
        <v>3320</v>
      </c>
      <c r="J5284" s="53">
        <f t="shared" si="2584"/>
        <v>0</v>
      </c>
      <c r="K5284" s="63" t="e">
        <f t="shared" si="2585"/>
        <v>#DIV/0!</v>
      </c>
      <c r="L5284" s="1212" t="s">
        <v>3457</v>
      </c>
      <c r="M5284" s="468"/>
      <c r="N5284" s="1192">
        <f t="shared" si="2583"/>
        <v>44798</v>
      </c>
      <c r="O5284" s="71" t="s">
        <v>3323</v>
      </c>
      <c r="P5284" s="103" t="str">
        <f t="shared" si="2586"/>
        <v>한특 잉크(먹)</v>
      </c>
      <c r="Q5284" s="71">
        <f t="shared" si="2574"/>
        <v>0</v>
      </c>
      <c r="R5284" s="102">
        <v>5000</v>
      </c>
      <c r="S5284" s="102">
        <f t="shared" si="2587"/>
        <v>0</v>
      </c>
      <c r="T5284" s="102">
        <f t="shared" si="2588"/>
        <v>0</v>
      </c>
      <c r="U5284" s="71" t="str">
        <f t="shared" si="2589"/>
        <v>O</v>
      </c>
      <c r="V5284" s="71"/>
      <c r="W5284" s="474">
        <f t="shared" si="2590"/>
        <v>0</v>
      </c>
      <c r="X5284" s="71"/>
      <c r="Y5284" s="71"/>
    </row>
    <row r="5285" spans="1:25" ht="30" hidden="1" customHeight="1" x14ac:dyDescent="0.25">
      <c r="A5285" s="1145">
        <v>44804</v>
      </c>
      <c r="B5285" s="664" t="s">
        <v>443</v>
      </c>
      <c r="C5285" s="71" t="s">
        <v>3462</v>
      </c>
      <c r="D5285" s="71">
        <v>1</v>
      </c>
      <c r="E5285" s="102">
        <v>11950000</v>
      </c>
      <c r="F5285" s="102">
        <f t="shared" si="2569"/>
        <v>13145000.000000002</v>
      </c>
      <c r="G5285" s="102">
        <f t="shared" si="2570"/>
        <v>11950000</v>
      </c>
      <c r="H5285" s="690" t="s">
        <v>1786</v>
      </c>
      <c r="I5285" s="71" t="s">
        <v>1786</v>
      </c>
      <c r="J5285" s="53">
        <f>G5285-T5285</f>
        <v>2054970</v>
      </c>
      <c r="K5285" s="63">
        <f>(J5285/(F5285/11*10))</f>
        <v>0.17196401673640166</v>
      </c>
      <c r="L5285" s="1212" t="s">
        <v>3457</v>
      </c>
      <c r="M5285" s="468"/>
      <c r="N5285" s="1192">
        <f t="shared" si="2583"/>
        <v>44804</v>
      </c>
      <c r="O5285" s="71" t="s">
        <v>1786</v>
      </c>
      <c r="P5285" s="103" t="str">
        <f t="shared" si="2586"/>
        <v>댄서 롤러 서포트외</v>
      </c>
      <c r="Q5285" s="71">
        <f t="shared" si="2574"/>
        <v>1</v>
      </c>
      <c r="R5285" s="102">
        <v>9895030</v>
      </c>
      <c r="S5285" s="102">
        <f t="shared" si="2587"/>
        <v>10884533</v>
      </c>
      <c r="T5285" s="102">
        <f t="shared" si="2588"/>
        <v>9895030</v>
      </c>
      <c r="U5285" s="71" t="str">
        <f t="shared" si="2589"/>
        <v>O</v>
      </c>
      <c r="V5285" s="71"/>
      <c r="W5285" s="474">
        <f t="shared" si="2590"/>
        <v>2054970</v>
      </c>
      <c r="X5285" s="71"/>
      <c r="Y5285" s="71"/>
    </row>
    <row r="5286" spans="1:25" ht="30" hidden="1" customHeight="1" x14ac:dyDescent="0.25">
      <c r="A5286" s="1145">
        <v>44804</v>
      </c>
      <c r="B5286" s="664" t="s">
        <v>575</v>
      </c>
      <c r="C5286" s="71" t="s">
        <v>1423</v>
      </c>
      <c r="D5286" s="71">
        <v>1</v>
      </c>
      <c r="E5286" s="102">
        <v>2625000</v>
      </c>
      <c r="F5286" s="102">
        <f t="shared" si="2569"/>
        <v>2887500.0000000005</v>
      </c>
      <c r="G5286" s="102">
        <f t="shared" si="2570"/>
        <v>2625000</v>
      </c>
      <c r="H5286" s="690" t="s">
        <v>985</v>
      </c>
      <c r="I5286" s="690" t="s">
        <v>985</v>
      </c>
      <c r="J5286" s="53">
        <f t="shared" si="2584"/>
        <v>2625000</v>
      </c>
      <c r="K5286" s="63">
        <f t="shared" si="2585"/>
        <v>0.99999999999999978</v>
      </c>
      <c r="L5286" s="1212" t="s">
        <v>3457</v>
      </c>
      <c r="M5286" s="468"/>
      <c r="N5286" s="1192">
        <f t="shared" si="2583"/>
        <v>44804</v>
      </c>
      <c r="O5286" s="71"/>
      <c r="P5286" s="164" t="str">
        <f t="shared" si="2586"/>
        <v>M600 서비스 계약(3회차)</v>
      </c>
      <c r="Q5286" s="71">
        <f t="shared" si="2574"/>
        <v>1</v>
      </c>
      <c r="R5286" s="102"/>
      <c r="S5286" s="102">
        <f t="shared" si="2587"/>
        <v>0</v>
      </c>
      <c r="T5286" s="102"/>
      <c r="U5286" s="71"/>
      <c r="V5286" s="71"/>
      <c r="W5286" s="474"/>
      <c r="X5286" s="71"/>
      <c r="Y5286" s="71"/>
    </row>
    <row r="5287" spans="1:25" ht="30" hidden="1" customHeight="1" x14ac:dyDescent="0.25">
      <c r="A5287" s="1145">
        <v>44804</v>
      </c>
      <c r="B5287" s="664" t="s">
        <v>575</v>
      </c>
      <c r="C5287" s="71" t="s">
        <v>3461</v>
      </c>
      <c r="D5287" s="71">
        <v>1</v>
      </c>
      <c r="E5287" s="102">
        <v>2350000</v>
      </c>
      <c r="F5287" s="102">
        <f t="shared" si="2569"/>
        <v>2585000</v>
      </c>
      <c r="G5287" s="102">
        <f t="shared" si="2570"/>
        <v>2350000</v>
      </c>
      <c r="H5287" s="690" t="s">
        <v>179</v>
      </c>
      <c r="I5287" s="71" t="s">
        <v>179</v>
      </c>
      <c r="J5287" s="53">
        <f t="shared" si="2584"/>
        <v>600000</v>
      </c>
      <c r="K5287" s="63">
        <f t="shared" si="2585"/>
        <v>0.25531914893617019</v>
      </c>
      <c r="L5287" s="1212" t="s">
        <v>3457</v>
      </c>
      <c r="M5287" s="468"/>
      <c r="N5287" s="1192">
        <f t="shared" si="2583"/>
        <v>44804</v>
      </c>
      <c r="O5287" s="71" t="s">
        <v>145</v>
      </c>
      <c r="P5287" s="103" t="str">
        <f t="shared" si="2586"/>
        <v>7 월 Apogee워크프로우 사용료</v>
      </c>
      <c r="Q5287" s="71">
        <f t="shared" si="2574"/>
        <v>1</v>
      </c>
      <c r="R5287" s="147">
        <v>1750000</v>
      </c>
      <c r="S5287" s="102">
        <f t="shared" si="2587"/>
        <v>1925000.0000000002</v>
      </c>
      <c r="T5287" s="102">
        <f t="shared" si="2588"/>
        <v>1750000</v>
      </c>
      <c r="U5287" s="71"/>
      <c r="V5287" s="71"/>
      <c r="W5287" s="474"/>
      <c r="X5287" s="71"/>
      <c r="Y5287" s="71"/>
    </row>
    <row r="5288" spans="1:25" ht="30" hidden="1" customHeight="1" x14ac:dyDescent="0.25">
      <c r="A5288" s="1145">
        <v>44804</v>
      </c>
      <c r="B5288" s="664" t="s">
        <v>443</v>
      </c>
      <c r="C5288" s="71" t="s">
        <v>3392</v>
      </c>
      <c r="D5288" s="71">
        <v>8</v>
      </c>
      <c r="E5288" s="102">
        <v>218000</v>
      </c>
      <c r="F5288" s="102">
        <f t="shared" si="2569"/>
        <v>1918400.0000000002</v>
      </c>
      <c r="G5288" s="102">
        <f t="shared" si="2570"/>
        <v>1744000</v>
      </c>
      <c r="H5288" s="690" t="s">
        <v>172</v>
      </c>
      <c r="I5288" s="71" t="s">
        <v>184</v>
      </c>
      <c r="J5288" s="53">
        <f t="shared" si="2584"/>
        <v>464000</v>
      </c>
      <c r="K5288" s="63">
        <f t="shared" si="2585"/>
        <v>0.26605504587155959</v>
      </c>
      <c r="L5288" s="1212" t="s">
        <v>3458</v>
      </c>
      <c r="M5288" s="468" t="s">
        <v>3393</v>
      </c>
      <c r="N5288" s="1192">
        <f t="shared" si="2583"/>
        <v>44804</v>
      </c>
      <c r="O5288" s="71" t="s">
        <v>2030</v>
      </c>
      <c r="P5288" s="103" t="str">
        <f t="shared" si="2586"/>
        <v>윤전 블랑켓</v>
      </c>
      <c r="Q5288" s="71">
        <f t="shared" si="2574"/>
        <v>8</v>
      </c>
      <c r="R5288" s="102">
        <v>160000</v>
      </c>
      <c r="S5288" s="102">
        <f t="shared" si="2587"/>
        <v>1408000</v>
      </c>
      <c r="T5288" s="102">
        <f t="shared" si="2588"/>
        <v>1280000</v>
      </c>
      <c r="U5288" s="71" t="str">
        <f>IF(J5288=W5288,"O", "X")</f>
        <v>O</v>
      </c>
      <c r="V5288" s="71" t="s">
        <v>3394</v>
      </c>
      <c r="W5288" s="474">
        <f>(G5288-T5288)</f>
        <v>464000</v>
      </c>
      <c r="X5288" s="71"/>
      <c r="Y5288" s="71"/>
    </row>
    <row r="5289" spans="1:25" ht="30" hidden="1" customHeight="1" x14ac:dyDescent="0.25">
      <c r="A5289" s="1145">
        <v>44804</v>
      </c>
      <c r="B5289" s="664" t="s">
        <v>1178</v>
      </c>
      <c r="C5289" s="71" t="s">
        <v>3468</v>
      </c>
      <c r="D5289" s="71">
        <v>1</v>
      </c>
      <c r="E5289" s="102">
        <v>15500000</v>
      </c>
      <c r="F5289" s="102">
        <f>(E5289*D5289)*1.1</f>
        <v>17050000</v>
      </c>
      <c r="G5289" s="102">
        <f>(E5289*D5289)</f>
        <v>15500000</v>
      </c>
      <c r="H5289" s="690" t="s">
        <v>1786</v>
      </c>
      <c r="I5289" s="71" t="s">
        <v>1786</v>
      </c>
      <c r="J5289" s="53">
        <f t="shared" si="2584"/>
        <v>6761650</v>
      </c>
      <c r="K5289" s="63">
        <f t="shared" si="2585"/>
        <v>0.43623548387096772</v>
      </c>
      <c r="L5289" s="1212" t="s">
        <v>3458</v>
      </c>
      <c r="M5289" s="468" t="s">
        <v>3583</v>
      </c>
      <c r="N5289" s="1192">
        <f t="shared" ref="N5289:N5340" si="2591">A5289</f>
        <v>44804</v>
      </c>
      <c r="O5289" s="71" t="s">
        <v>3584</v>
      </c>
      <c r="P5289" s="103" t="str">
        <f>(C5289)</f>
        <v>ESI 닙롤러외, 플렉소나이프외</v>
      </c>
      <c r="Q5289" s="71">
        <f>D5289</f>
        <v>1</v>
      </c>
      <c r="R5289" s="102">
        <f>1604031+7134319</f>
        <v>8738350</v>
      </c>
      <c r="S5289" s="102">
        <f>R5289*Q5289*1.1</f>
        <v>9612185</v>
      </c>
      <c r="T5289" s="102">
        <f>R5289*Q5289</f>
        <v>8738350</v>
      </c>
      <c r="U5289" s="71" t="str">
        <f>IF(J5289=W5289,"O", "X")</f>
        <v>O</v>
      </c>
      <c r="V5289" s="71"/>
      <c r="W5289" s="474">
        <f>(G5289-T5289)</f>
        <v>6761650</v>
      </c>
      <c r="X5289" s="71"/>
      <c r="Y5289" s="71"/>
    </row>
    <row r="5290" spans="1:25" ht="30" hidden="1" customHeight="1" x14ac:dyDescent="0.25">
      <c r="A5290" s="1210" t="s">
        <v>3470</v>
      </c>
      <c r="B5290" s="1211" t="s">
        <v>544</v>
      </c>
      <c r="C5290" s="960"/>
      <c r="D5290" s="960"/>
      <c r="E5290" s="952"/>
      <c r="F5290" s="952"/>
      <c r="G5290" s="952"/>
      <c r="H5290" s="1206"/>
      <c r="I5290" s="960"/>
      <c r="J5290" s="952"/>
      <c r="K5290" s="953"/>
      <c r="L5290" s="1212" t="s">
        <v>3472</v>
      </c>
      <c r="M5290" s="1207"/>
      <c r="N5290" s="1208" t="str">
        <f t="shared" si="2591"/>
        <v>2022,9</v>
      </c>
      <c r="O5290" s="960"/>
      <c r="P5290" s="1209"/>
      <c r="Q5290" s="960"/>
      <c r="R5290" s="952"/>
      <c r="S5290" s="952"/>
      <c r="T5290" s="952"/>
      <c r="U5290" s="960"/>
      <c r="V5290" s="960"/>
      <c r="W5290" s="474">
        <f>(G5290-T5290)</f>
        <v>0</v>
      </c>
      <c r="X5290" s="71"/>
      <c r="Y5290" s="71"/>
    </row>
    <row r="5291" spans="1:25" ht="30" hidden="1" customHeight="1" x14ac:dyDescent="0.25">
      <c r="A5291" s="1145">
        <v>44806</v>
      </c>
      <c r="B5291" s="664" t="s">
        <v>18</v>
      </c>
      <c r="C5291" s="71" t="s">
        <v>3294</v>
      </c>
      <c r="D5291" s="71">
        <v>20</v>
      </c>
      <c r="E5291" s="102">
        <v>110000</v>
      </c>
      <c r="F5291" s="102">
        <f t="shared" ref="F5291:F5366" si="2592">(E5291*D5291)*1.1</f>
        <v>2420000</v>
      </c>
      <c r="G5291" s="102">
        <f t="shared" ref="G5291:G5366" si="2593">(E5291*D5291)</f>
        <v>2200000</v>
      </c>
      <c r="H5291" s="690" t="s">
        <v>172</v>
      </c>
      <c r="I5291" s="71" t="s">
        <v>3295</v>
      </c>
      <c r="J5291" s="53">
        <f t="shared" ref="J5291:J5304" si="2594">G5291-T5291</f>
        <v>20000</v>
      </c>
      <c r="K5291" s="63">
        <v>0.13800000000000001</v>
      </c>
      <c r="L5291" s="1212" t="s">
        <v>3472</v>
      </c>
      <c r="M5291" s="468"/>
      <c r="N5291" s="1192">
        <f t="shared" si="2591"/>
        <v>44806</v>
      </c>
      <c r="O5291" s="71" t="s">
        <v>150</v>
      </c>
      <c r="P5291" s="103" t="str">
        <f t="shared" ref="P5291:P5321" si="2595">(C5291)</f>
        <v>1077*885 하이델 bar 블랑켓</v>
      </c>
      <c r="Q5291" s="71">
        <f t="shared" ref="Q5291:Q5366" si="2596">D5291</f>
        <v>20</v>
      </c>
      <c r="R5291" s="102">
        <v>109000</v>
      </c>
      <c r="S5291" s="102">
        <f t="shared" ref="S5291:S5321" si="2597">R5291*Q5291*1.1</f>
        <v>2398000</v>
      </c>
      <c r="T5291" s="102">
        <f t="shared" ref="T5291:T5321" si="2598">R5291*Q5291</f>
        <v>2180000</v>
      </c>
      <c r="U5291" s="71"/>
      <c r="V5291" s="71"/>
      <c r="W5291" s="474"/>
      <c r="X5291" s="71"/>
      <c r="Y5291" s="71"/>
    </row>
    <row r="5292" spans="1:25" ht="30" hidden="1" customHeight="1" x14ac:dyDescent="0.25">
      <c r="A5292" s="1145">
        <v>44806</v>
      </c>
      <c r="B5292" s="664" t="s">
        <v>18</v>
      </c>
      <c r="C5292" s="71" t="s">
        <v>2070</v>
      </c>
      <c r="D5292" s="71">
        <v>5</v>
      </c>
      <c r="E5292" s="102">
        <v>100000</v>
      </c>
      <c r="F5292" s="102">
        <f t="shared" si="2592"/>
        <v>550000</v>
      </c>
      <c r="G5292" s="102">
        <f t="shared" si="2593"/>
        <v>500000</v>
      </c>
      <c r="H5292" s="690" t="s">
        <v>172</v>
      </c>
      <c r="I5292" s="71" t="s">
        <v>33</v>
      </c>
      <c r="J5292" s="53">
        <f t="shared" si="2594"/>
        <v>66000</v>
      </c>
      <c r="K5292" s="63">
        <v>0.10555555555555554</v>
      </c>
      <c r="L5292" s="1212" t="s">
        <v>3472</v>
      </c>
      <c r="M5292" s="468"/>
      <c r="N5292" s="1192">
        <f t="shared" si="2591"/>
        <v>44806</v>
      </c>
      <c r="O5292" s="71" t="s">
        <v>146</v>
      </c>
      <c r="P5292" s="103" t="str">
        <f t="shared" si="2595"/>
        <v>Blanket(1050*840)</v>
      </c>
      <c r="Q5292" s="71">
        <f t="shared" si="2596"/>
        <v>5</v>
      </c>
      <c r="R5292" s="102">
        <v>86800</v>
      </c>
      <c r="S5292" s="102">
        <f t="shared" si="2597"/>
        <v>477400.00000000006</v>
      </c>
      <c r="T5292" s="102">
        <f t="shared" si="2598"/>
        <v>434000</v>
      </c>
      <c r="U5292" s="71" t="s">
        <v>859</v>
      </c>
      <c r="V5292" s="71"/>
      <c r="W5292" s="474"/>
      <c r="X5292" s="71"/>
      <c r="Y5292" s="71"/>
    </row>
    <row r="5293" spans="1:25" ht="30" hidden="1" customHeight="1" x14ac:dyDescent="0.25">
      <c r="A5293" s="1145">
        <v>44806</v>
      </c>
      <c r="B5293" s="664" t="s">
        <v>548</v>
      </c>
      <c r="C5293" s="71" t="s">
        <v>3384</v>
      </c>
      <c r="D5293" s="71">
        <v>200</v>
      </c>
      <c r="E5293" s="102">
        <v>450</v>
      </c>
      <c r="F5293" s="102">
        <f t="shared" si="2592"/>
        <v>99000.000000000015</v>
      </c>
      <c r="G5293" s="102">
        <f t="shared" si="2593"/>
        <v>90000</v>
      </c>
      <c r="H5293" s="690" t="s">
        <v>2029</v>
      </c>
      <c r="I5293" s="71" t="s">
        <v>3385</v>
      </c>
      <c r="J5293" s="53">
        <f t="shared" si="2594"/>
        <v>26000</v>
      </c>
      <c r="K5293" s="63">
        <f>(J5293/(F5293/11*10))</f>
        <v>0.28888888888888886</v>
      </c>
      <c r="L5293" s="1212" t="s">
        <v>3471</v>
      </c>
      <c r="M5293" s="468"/>
      <c r="N5293" s="1192">
        <f t="shared" si="2591"/>
        <v>44806</v>
      </c>
      <c r="O5293" s="71" t="s">
        <v>2030</v>
      </c>
      <c r="P5293" s="164" t="str">
        <f t="shared" si="2595"/>
        <v>고무사카 빨간색</v>
      </c>
      <c r="Q5293" s="71">
        <f t="shared" si="2596"/>
        <v>200</v>
      </c>
      <c r="R5293" s="102">
        <v>320</v>
      </c>
      <c r="S5293" s="102">
        <f t="shared" si="2597"/>
        <v>70400</v>
      </c>
      <c r="T5293" s="102">
        <f t="shared" si="2598"/>
        <v>64000</v>
      </c>
      <c r="U5293" s="71"/>
      <c r="V5293" s="71"/>
      <c r="W5293" s="474"/>
      <c r="X5293" s="71"/>
      <c r="Y5293" s="71"/>
    </row>
    <row r="5294" spans="1:25" ht="30" hidden="1" customHeight="1" x14ac:dyDescent="0.25">
      <c r="A5294" s="1145">
        <v>44806</v>
      </c>
      <c r="B5294" s="664" t="s">
        <v>18</v>
      </c>
      <c r="C5294" s="71" t="s">
        <v>3305</v>
      </c>
      <c r="D5294" s="71">
        <v>5</v>
      </c>
      <c r="E5294" s="102">
        <v>86000</v>
      </c>
      <c r="F5294" s="102">
        <f>(E5294*D5294)*1.1</f>
        <v>473000.00000000006</v>
      </c>
      <c r="G5294" s="102">
        <f>(E5294*D5294)</f>
        <v>430000</v>
      </c>
      <c r="H5294" s="690" t="s">
        <v>172</v>
      </c>
      <c r="I5294" s="71" t="s">
        <v>3295</v>
      </c>
      <c r="J5294" s="53">
        <f>G5294-T5294</f>
        <v>130000</v>
      </c>
      <c r="K5294" s="63">
        <f>(J5294/(F5294/11*10))</f>
        <v>0.30232558139534882</v>
      </c>
      <c r="L5294" s="1212" t="s">
        <v>3471</v>
      </c>
      <c r="M5294" s="468" t="s">
        <v>3306</v>
      </c>
      <c r="N5294" s="1192">
        <f>A5294</f>
        <v>44806</v>
      </c>
      <c r="O5294" s="71" t="s">
        <v>146</v>
      </c>
      <c r="P5294" s="103" t="str">
        <f>(C5294)</f>
        <v>파우더</v>
      </c>
      <c r="Q5294" s="71">
        <f>D5294</f>
        <v>5</v>
      </c>
      <c r="R5294" s="102">
        <v>60000</v>
      </c>
      <c r="S5294" s="102">
        <f>R5294*Q5294*1.1</f>
        <v>330000</v>
      </c>
      <c r="T5294" s="102">
        <f>R5294*Q5294</f>
        <v>300000</v>
      </c>
      <c r="U5294" s="71" t="str">
        <f>IF(J5294=W5294,"O", "X")</f>
        <v>X</v>
      </c>
      <c r="V5294" s="71"/>
      <c r="W5294" s="474"/>
      <c r="X5294" s="71"/>
      <c r="Y5294" s="71"/>
    </row>
    <row r="5295" spans="1:25" ht="30" hidden="1" customHeight="1" x14ac:dyDescent="0.25">
      <c r="A5295" s="1145">
        <v>44811</v>
      </c>
      <c r="B5295" s="664" t="s">
        <v>18</v>
      </c>
      <c r="C5295" s="71" t="s">
        <v>2070</v>
      </c>
      <c r="D5295" s="71">
        <v>10</v>
      </c>
      <c r="E5295" s="102">
        <v>100000</v>
      </c>
      <c r="F5295" s="102">
        <f t="shared" si="2592"/>
        <v>1100000</v>
      </c>
      <c r="G5295" s="102">
        <f t="shared" si="2593"/>
        <v>1000000</v>
      </c>
      <c r="H5295" s="690" t="s">
        <v>172</v>
      </c>
      <c r="I5295" s="71" t="s">
        <v>33</v>
      </c>
      <c r="J5295" s="53">
        <f t="shared" si="2594"/>
        <v>132000</v>
      </c>
      <c r="K5295" s="63">
        <v>0.10555555555555554</v>
      </c>
      <c r="L5295" s="1212" t="s">
        <v>3471</v>
      </c>
      <c r="M5295" s="468"/>
      <c r="N5295" s="1192">
        <f t="shared" si="2591"/>
        <v>44811</v>
      </c>
      <c r="O5295" s="71" t="s">
        <v>146</v>
      </c>
      <c r="P5295" s="103" t="str">
        <f t="shared" si="2595"/>
        <v>Blanket(1050*840)</v>
      </c>
      <c r="Q5295" s="71">
        <f t="shared" si="2596"/>
        <v>10</v>
      </c>
      <c r="R5295" s="102">
        <v>86800</v>
      </c>
      <c r="S5295" s="102">
        <f t="shared" si="2597"/>
        <v>954800.00000000012</v>
      </c>
      <c r="T5295" s="102">
        <f t="shared" si="2598"/>
        <v>868000</v>
      </c>
      <c r="U5295" s="71" t="s">
        <v>859</v>
      </c>
      <c r="V5295" s="71"/>
      <c r="W5295" s="474"/>
      <c r="X5295" s="71"/>
      <c r="Y5295" s="71"/>
    </row>
    <row r="5296" spans="1:25" ht="30" hidden="1" customHeight="1" x14ac:dyDescent="0.25">
      <c r="A5296" s="1145">
        <v>44811</v>
      </c>
      <c r="B5296" s="664" t="s">
        <v>18</v>
      </c>
      <c r="C5296" s="71" t="s">
        <v>3294</v>
      </c>
      <c r="D5296" s="71">
        <v>10</v>
      </c>
      <c r="E5296" s="102">
        <v>110000</v>
      </c>
      <c r="F5296" s="102">
        <f>(E5296*D5296)*1.1</f>
        <v>1210000</v>
      </c>
      <c r="G5296" s="102">
        <f>(E5296*D5296)</f>
        <v>1100000</v>
      </c>
      <c r="H5296" s="690" t="s">
        <v>172</v>
      </c>
      <c r="I5296" s="71" t="s">
        <v>3295</v>
      </c>
      <c r="J5296" s="53">
        <f>G5296-T5296</f>
        <v>10000</v>
      </c>
      <c r="K5296" s="63">
        <v>0.13800000000000001</v>
      </c>
      <c r="L5296" s="1212" t="s">
        <v>3471</v>
      </c>
      <c r="M5296" s="468"/>
      <c r="N5296" s="1192">
        <f>A5296</f>
        <v>44811</v>
      </c>
      <c r="O5296" s="71" t="s">
        <v>150</v>
      </c>
      <c r="P5296" s="103" t="str">
        <f>(C5296)</f>
        <v>1077*885 하이델 bar 블랑켓</v>
      </c>
      <c r="Q5296" s="71">
        <f>D5296</f>
        <v>10</v>
      </c>
      <c r="R5296" s="102">
        <v>109000</v>
      </c>
      <c r="S5296" s="102">
        <f>R5296*Q5296*1.1</f>
        <v>1199000</v>
      </c>
      <c r="T5296" s="102">
        <f>R5296*Q5296</f>
        <v>1090000</v>
      </c>
      <c r="U5296" s="71"/>
      <c r="V5296" s="71"/>
      <c r="W5296" s="474"/>
      <c r="X5296" s="71"/>
      <c r="Y5296" s="71"/>
    </row>
    <row r="5297" spans="1:25" ht="30" hidden="1" customHeight="1" x14ac:dyDescent="0.25">
      <c r="A5297" s="1145">
        <v>44819</v>
      </c>
      <c r="B5297" s="664" t="s">
        <v>548</v>
      </c>
      <c r="C5297" s="71" t="s">
        <v>3384</v>
      </c>
      <c r="D5297" s="71">
        <v>300</v>
      </c>
      <c r="E5297" s="102">
        <v>450</v>
      </c>
      <c r="F5297" s="102">
        <f t="shared" si="2592"/>
        <v>148500</v>
      </c>
      <c r="G5297" s="102">
        <f t="shared" si="2593"/>
        <v>135000</v>
      </c>
      <c r="H5297" s="690" t="s">
        <v>2029</v>
      </c>
      <c r="I5297" s="71" t="s">
        <v>3385</v>
      </c>
      <c r="J5297" s="53">
        <f t="shared" si="2594"/>
        <v>39000</v>
      </c>
      <c r="K5297" s="63">
        <f>(J5297/(F5297/11*10))</f>
        <v>0.28888888888888886</v>
      </c>
      <c r="L5297" s="1212" t="s">
        <v>3471</v>
      </c>
      <c r="M5297" s="468"/>
      <c r="N5297" s="1192">
        <f t="shared" si="2591"/>
        <v>44819</v>
      </c>
      <c r="O5297" s="71" t="s">
        <v>2030</v>
      </c>
      <c r="P5297" s="164" t="str">
        <f t="shared" si="2595"/>
        <v>고무사카 빨간색</v>
      </c>
      <c r="Q5297" s="71">
        <f t="shared" si="2596"/>
        <v>300</v>
      </c>
      <c r="R5297" s="102">
        <v>320</v>
      </c>
      <c r="S5297" s="102">
        <f t="shared" si="2597"/>
        <v>105600.00000000001</v>
      </c>
      <c r="T5297" s="102">
        <f t="shared" si="2598"/>
        <v>96000</v>
      </c>
      <c r="U5297" s="71"/>
      <c r="V5297" s="71"/>
      <c r="W5297" s="474"/>
      <c r="X5297" s="71"/>
      <c r="Y5297" s="71"/>
    </row>
    <row r="5298" spans="1:25" ht="30" hidden="1" customHeight="1" x14ac:dyDescent="0.2">
      <c r="A5298" s="1145">
        <v>44609</v>
      </c>
      <c r="B5298" s="664" t="s">
        <v>548</v>
      </c>
      <c r="C5298" s="71" t="s">
        <v>236</v>
      </c>
      <c r="D5298" s="71">
        <v>2</v>
      </c>
      <c r="E5298" s="102">
        <v>100000</v>
      </c>
      <c r="F5298" s="163">
        <f t="shared" ref="F5298:F5303" si="2599">(E5298*D5298)*1.1</f>
        <v>220000.00000000003</v>
      </c>
      <c r="G5298" s="102">
        <f t="shared" si="2593"/>
        <v>200000</v>
      </c>
      <c r="H5298" s="690" t="s">
        <v>173</v>
      </c>
      <c r="I5298" s="71" t="s">
        <v>2231</v>
      </c>
      <c r="J5298" s="53">
        <f t="shared" si="2594"/>
        <v>80000</v>
      </c>
      <c r="K5298" s="63">
        <f>(J5298/(F5298/11*10))</f>
        <v>0.39999999999999997</v>
      </c>
      <c r="L5298" s="1212" t="s">
        <v>3471</v>
      </c>
      <c r="M5298" s="468"/>
      <c r="N5298" s="1192">
        <f t="shared" si="2591"/>
        <v>44609</v>
      </c>
      <c r="O5298" s="71" t="s">
        <v>3021</v>
      </c>
      <c r="P5298" s="164" t="str">
        <f t="shared" si="2595"/>
        <v>아스테이지(국전)</v>
      </c>
      <c r="Q5298" s="71">
        <f t="shared" si="2596"/>
        <v>2</v>
      </c>
      <c r="R5298" s="102">
        <v>60000</v>
      </c>
      <c r="S5298" s="102">
        <f t="shared" si="2597"/>
        <v>132000</v>
      </c>
      <c r="T5298" s="102">
        <f t="shared" si="2598"/>
        <v>120000</v>
      </c>
      <c r="U5298" s="71" t="str">
        <f>IF(J5298=W5298,"O", "X")</f>
        <v>X</v>
      </c>
      <c r="V5298" s="71"/>
      <c r="W5298" s="474"/>
      <c r="X5298" s="71"/>
      <c r="Y5298" s="71"/>
    </row>
    <row r="5299" spans="1:25" ht="30" hidden="1" customHeight="1" x14ac:dyDescent="0.25">
      <c r="A5299" s="1145">
        <v>44819</v>
      </c>
      <c r="B5299" s="664" t="s">
        <v>18</v>
      </c>
      <c r="C5299" s="71" t="s">
        <v>3305</v>
      </c>
      <c r="D5299" s="71">
        <v>30</v>
      </c>
      <c r="E5299" s="102">
        <v>86000</v>
      </c>
      <c r="F5299" s="102">
        <f t="shared" si="2599"/>
        <v>2838000</v>
      </c>
      <c r="G5299" s="102">
        <f>(E5299*D5299)</f>
        <v>2580000</v>
      </c>
      <c r="H5299" s="690" t="s">
        <v>172</v>
      </c>
      <c r="I5299" s="71" t="s">
        <v>3295</v>
      </c>
      <c r="J5299" s="53">
        <f>G5299-T5299</f>
        <v>780000</v>
      </c>
      <c r="K5299" s="63">
        <f>(J5299/(F5299/11*10))</f>
        <v>0.30232558139534882</v>
      </c>
      <c r="L5299" s="1212" t="s">
        <v>3471</v>
      </c>
      <c r="M5299" s="468" t="s">
        <v>3306</v>
      </c>
      <c r="N5299" s="1192">
        <f>A5299</f>
        <v>44819</v>
      </c>
      <c r="O5299" s="71" t="s">
        <v>146</v>
      </c>
      <c r="P5299" s="103" t="str">
        <f>(C5299)</f>
        <v>파우더</v>
      </c>
      <c r="Q5299" s="71">
        <f>D5299</f>
        <v>30</v>
      </c>
      <c r="R5299" s="102">
        <v>60000</v>
      </c>
      <c r="S5299" s="102">
        <f>R5299*Q5299*1.1</f>
        <v>1980000.0000000002</v>
      </c>
      <c r="T5299" s="102">
        <f>R5299*Q5299</f>
        <v>1800000</v>
      </c>
      <c r="U5299" s="71" t="str">
        <f>IF(J5299=W5299,"O", "X")</f>
        <v>X</v>
      </c>
      <c r="V5299" s="71"/>
      <c r="W5299" s="474"/>
      <c r="X5299" s="71"/>
      <c r="Y5299" s="71"/>
    </row>
    <row r="5300" spans="1:25" ht="30" hidden="1" customHeight="1" x14ac:dyDescent="0.25">
      <c r="A5300" s="1145">
        <v>44824</v>
      </c>
      <c r="B5300" s="664" t="s">
        <v>18</v>
      </c>
      <c r="C5300" s="71" t="s">
        <v>3294</v>
      </c>
      <c r="D5300" s="71">
        <v>10</v>
      </c>
      <c r="E5300" s="102">
        <v>110000</v>
      </c>
      <c r="F5300" s="102">
        <f t="shared" si="2599"/>
        <v>1210000</v>
      </c>
      <c r="G5300" s="102">
        <f>(E5300*D5300)</f>
        <v>1100000</v>
      </c>
      <c r="H5300" s="690" t="s">
        <v>172</v>
      </c>
      <c r="I5300" s="71" t="s">
        <v>3295</v>
      </c>
      <c r="J5300" s="53">
        <f>G5300-T5300</f>
        <v>10000</v>
      </c>
      <c r="K5300" s="63">
        <v>0.13800000000000001</v>
      </c>
      <c r="L5300" s="1212" t="s">
        <v>3471</v>
      </c>
      <c r="M5300" s="468"/>
      <c r="N5300" s="1192">
        <f>A5300</f>
        <v>44824</v>
      </c>
      <c r="O5300" s="71" t="s">
        <v>150</v>
      </c>
      <c r="P5300" s="103" t="str">
        <f>(C5300)</f>
        <v>1077*885 하이델 bar 블랑켓</v>
      </c>
      <c r="Q5300" s="71">
        <f>D5300</f>
        <v>10</v>
      </c>
      <c r="R5300" s="102">
        <v>109000</v>
      </c>
      <c r="S5300" s="102">
        <f>R5300*Q5300*1.1</f>
        <v>1199000</v>
      </c>
      <c r="T5300" s="102">
        <f>R5300*Q5300</f>
        <v>1090000</v>
      </c>
      <c r="U5300" s="71"/>
      <c r="V5300" s="71"/>
      <c r="W5300" s="474"/>
      <c r="X5300" s="71"/>
      <c r="Y5300" s="71"/>
    </row>
    <row r="5301" spans="1:25" ht="30" hidden="1" customHeight="1" x14ac:dyDescent="0.25">
      <c r="A5301" s="1145">
        <v>44833</v>
      </c>
      <c r="B5301" s="664" t="s">
        <v>18</v>
      </c>
      <c r="C5301" s="71" t="s">
        <v>3294</v>
      </c>
      <c r="D5301" s="71">
        <v>10</v>
      </c>
      <c r="E5301" s="102">
        <v>110000</v>
      </c>
      <c r="F5301" s="102">
        <f t="shared" si="2599"/>
        <v>1210000</v>
      </c>
      <c r="G5301" s="102">
        <f>(E5301*D5301)</f>
        <v>1100000</v>
      </c>
      <c r="H5301" s="690" t="s">
        <v>172</v>
      </c>
      <c r="I5301" s="71" t="s">
        <v>3295</v>
      </c>
      <c r="J5301" s="53">
        <f>G5301-T5301</f>
        <v>10000</v>
      </c>
      <c r="K5301" s="63">
        <v>0.13800000000000001</v>
      </c>
      <c r="L5301" s="1212" t="s">
        <v>3471</v>
      </c>
      <c r="M5301" s="468"/>
      <c r="N5301" s="1192">
        <f>A5301</f>
        <v>44833</v>
      </c>
      <c r="O5301" s="71" t="s">
        <v>150</v>
      </c>
      <c r="P5301" s="103" t="str">
        <f>(C5301)</f>
        <v>1077*885 하이델 bar 블랑켓</v>
      </c>
      <c r="Q5301" s="71">
        <f>D5301</f>
        <v>10</v>
      </c>
      <c r="R5301" s="102">
        <v>109000</v>
      </c>
      <c r="S5301" s="102">
        <f>R5301*Q5301*1.1</f>
        <v>1199000</v>
      </c>
      <c r="T5301" s="102">
        <f>R5301*Q5301</f>
        <v>1090000</v>
      </c>
      <c r="U5301" s="71"/>
      <c r="V5301" s="71"/>
      <c r="W5301" s="474"/>
      <c r="X5301" s="71"/>
      <c r="Y5301" s="71"/>
    </row>
    <row r="5302" spans="1:25" ht="30" hidden="1" customHeight="1" x14ac:dyDescent="0.25">
      <c r="A5302" s="1145">
        <v>44833</v>
      </c>
      <c r="B5302" s="664" t="s">
        <v>548</v>
      </c>
      <c r="C5302" s="71" t="s">
        <v>3384</v>
      </c>
      <c r="D5302" s="71">
        <v>200</v>
      </c>
      <c r="E5302" s="102">
        <v>450</v>
      </c>
      <c r="F5302" s="102">
        <f t="shared" si="2599"/>
        <v>99000.000000000015</v>
      </c>
      <c r="G5302" s="102">
        <f>(E5302*D5302)</f>
        <v>90000</v>
      </c>
      <c r="H5302" s="690" t="s">
        <v>2029</v>
      </c>
      <c r="I5302" s="71" t="s">
        <v>3385</v>
      </c>
      <c r="J5302" s="53">
        <f>G5302-T5302</f>
        <v>26000</v>
      </c>
      <c r="K5302" s="63">
        <f>(J5302/(F5302/11*10))</f>
        <v>0.28888888888888886</v>
      </c>
      <c r="L5302" s="1212" t="s">
        <v>3471</v>
      </c>
      <c r="M5302" s="468"/>
      <c r="N5302" s="1192">
        <f>A5302</f>
        <v>44833</v>
      </c>
      <c r="O5302" s="71" t="s">
        <v>2030</v>
      </c>
      <c r="P5302" s="164" t="str">
        <f>(C5302)</f>
        <v>고무사카 빨간색</v>
      </c>
      <c r="Q5302" s="71">
        <f>D5302</f>
        <v>200</v>
      </c>
      <c r="R5302" s="102">
        <v>320</v>
      </c>
      <c r="S5302" s="102">
        <f>R5302*Q5302*1.1</f>
        <v>70400</v>
      </c>
      <c r="T5302" s="102">
        <f>R5302*Q5302</f>
        <v>64000</v>
      </c>
      <c r="U5302" s="71"/>
      <c r="V5302" s="71"/>
      <c r="W5302" s="474"/>
      <c r="X5302" s="71"/>
      <c r="Y5302" s="71"/>
    </row>
    <row r="5303" spans="1:25" ht="30" hidden="1" customHeight="1" x14ac:dyDescent="0.25">
      <c r="A5303" s="1145">
        <v>44833</v>
      </c>
      <c r="B5303" s="664" t="s">
        <v>548</v>
      </c>
      <c r="C5303" s="71" t="s">
        <v>3382</v>
      </c>
      <c r="D5303" s="71">
        <v>1</v>
      </c>
      <c r="E5303" s="102">
        <v>168000</v>
      </c>
      <c r="F5303" s="102">
        <f t="shared" si="2599"/>
        <v>184800.00000000003</v>
      </c>
      <c r="G5303" s="102">
        <f>(E5303*D5303)</f>
        <v>168000</v>
      </c>
      <c r="H5303" s="690" t="s">
        <v>2029</v>
      </c>
      <c r="I5303" s="71" t="s">
        <v>180</v>
      </c>
      <c r="J5303" s="53">
        <f>G5303-T5303</f>
        <v>54000</v>
      </c>
      <c r="K5303" s="63">
        <f>(J5303/(F5303/11*10))</f>
        <v>0.3214285714285714</v>
      </c>
      <c r="L5303" s="1212" t="s">
        <v>3471</v>
      </c>
      <c r="M5303" s="468"/>
      <c r="N5303" s="1192">
        <f>A5303</f>
        <v>44833</v>
      </c>
      <c r="O5303" s="71" t="s">
        <v>3383</v>
      </c>
      <c r="P5303" s="164" t="str">
        <f>(C5303)</f>
        <v>판 클리너(12개)</v>
      </c>
      <c r="Q5303" s="71">
        <f>D5303</f>
        <v>1</v>
      </c>
      <c r="R5303" s="102">
        <v>114000</v>
      </c>
      <c r="S5303" s="102">
        <f>R5303*Q5303*1.1</f>
        <v>125400.00000000001</v>
      </c>
      <c r="T5303" s="102">
        <f>R5303*Q5303</f>
        <v>114000</v>
      </c>
      <c r="U5303" s="71" t="str">
        <f>IF(J5303=W5303,"O", "X")</f>
        <v>X</v>
      </c>
      <c r="V5303" s="71"/>
      <c r="W5303" s="474"/>
      <c r="X5303" s="71"/>
      <c r="Y5303" s="71"/>
    </row>
    <row r="5304" spans="1:25" ht="30" hidden="1" customHeight="1" x14ac:dyDescent="0.25">
      <c r="A5304" s="1145">
        <v>44803</v>
      </c>
      <c r="B5304" s="664" t="s">
        <v>3289</v>
      </c>
      <c r="C5304" s="71" t="s">
        <v>2070</v>
      </c>
      <c r="D5304" s="71">
        <v>10</v>
      </c>
      <c r="E5304" s="102">
        <v>108000</v>
      </c>
      <c r="F5304" s="102">
        <f t="shared" si="2592"/>
        <v>1188000</v>
      </c>
      <c r="G5304" s="102">
        <f t="shared" si="2593"/>
        <v>1080000</v>
      </c>
      <c r="H5304" s="690" t="s">
        <v>172</v>
      </c>
      <c r="I5304" s="71" t="s">
        <v>33</v>
      </c>
      <c r="J5304" s="53">
        <f t="shared" si="2594"/>
        <v>212000</v>
      </c>
      <c r="K5304" s="63">
        <f>(J5304/(F5304/11*10))</f>
        <v>0.1962962962962963</v>
      </c>
      <c r="L5304" s="1212" t="s">
        <v>3471</v>
      </c>
      <c r="M5304" s="468"/>
      <c r="N5304" s="1192">
        <f t="shared" si="2591"/>
        <v>44803</v>
      </c>
      <c r="O5304" s="71" t="s">
        <v>146</v>
      </c>
      <c r="P5304" s="103" t="str">
        <f t="shared" si="2595"/>
        <v>Blanket(1050*840)</v>
      </c>
      <c r="Q5304" s="71">
        <f t="shared" si="2596"/>
        <v>10</v>
      </c>
      <c r="R5304" s="102">
        <v>86800</v>
      </c>
      <c r="S5304" s="102">
        <f t="shared" si="2597"/>
        <v>954800.00000000012</v>
      </c>
      <c r="T5304" s="102">
        <f t="shared" si="2598"/>
        <v>868000</v>
      </c>
      <c r="U5304" s="71" t="str">
        <f>IF(J5304=W5304,"O", "X")</f>
        <v>X</v>
      </c>
      <c r="V5304" s="71"/>
      <c r="W5304" s="474">
        <v>275000</v>
      </c>
      <c r="X5304" s="71"/>
      <c r="Y5304" s="71"/>
    </row>
    <row r="5305" spans="1:25" ht="30" hidden="1" customHeight="1" x14ac:dyDescent="0.25">
      <c r="A5305" s="1145">
        <v>44809</v>
      </c>
      <c r="B5305" s="664" t="s">
        <v>2261</v>
      </c>
      <c r="C5305" s="71" t="s">
        <v>3299</v>
      </c>
      <c r="D5305" s="71">
        <v>10</v>
      </c>
      <c r="E5305" s="102">
        <v>47600</v>
      </c>
      <c r="F5305" s="102">
        <f t="shared" si="2592"/>
        <v>523600.00000000006</v>
      </c>
      <c r="G5305" s="102">
        <f t="shared" si="2593"/>
        <v>476000</v>
      </c>
      <c r="H5305" s="690" t="s">
        <v>172</v>
      </c>
      <c r="I5305" s="71" t="s">
        <v>108</v>
      </c>
      <c r="J5305" s="53">
        <v>136000</v>
      </c>
      <c r="K5305" s="63">
        <v>0.25</v>
      </c>
      <c r="L5305" s="1212" t="s">
        <v>3471</v>
      </c>
      <c r="M5305" s="468" t="s">
        <v>3304</v>
      </c>
      <c r="N5305" s="1192">
        <v>44544</v>
      </c>
      <c r="O5305" s="71" t="s">
        <v>175</v>
      </c>
      <c r="P5305" s="103" t="s">
        <v>3299</v>
      </c>
      <c r="Q5305" s="71">
        <f t="shared" si="2596"/>
        <v>10</v>
      </c>
      <c r="R5305" s="102">
        <v>40000</v>
      </c>
      <c r="S5305" s="102">
        <f t="shared" si="2597"/>
        <v>440000.00000000006</v>
      </c>
      <c r="T5305" s="102">
        <f t="shared" si="2598"/>
        <v>400000</v>
      </c>
      <c r="U5305" s="71" t="s">
        <v>859</v>
      </c>
      <c r="V5305" s="71"/>
      <c r="W5305" s="474"/>
      <c r="X5305" s="71"/>
      <c r="Y5305" s="71"/>
    </row>
    <row r="5306" spans="1:25" ht="30" hidden="1" customHeight="1" x14ac:dyDescent="0.25">
      <c r="A5306" s="1145">
        <v>44809</v>
      </c>
      <c r="B5306" s="664" t="s">
        <v>2261</v>
      </c>
      <c r="C5306" s="71" t="s">
        <v>277</v>
      </c>
      <c r="D5306" s="71">
        <v>10</v>
      </c>
      <c r="E5306" s="102">
        <v>172000</v>
      </c>
      <c r="F5306" s="102">
        <f t="shared" si="2592"/>
        <v>1892000.0000000002</v>
      </c>
      <c r="G5306" s="102">
        <f t="shared" si="2593"/>
        <v>1720000</v>
      </c>
      <c r="H5306" s="690" t="s">
        <v>172</v>
      </c>
      <c r="I5306" s="71" t="s">
        <v>108</v>
      </c>
      <c r="J5306" s="53">
        <f t="shared" ref="J5306:J5322" si="2600">G5306-T5306</f>
        <v>421000</v>
      </c>
      <c r="K5306" s="63">
        <f t="shared" ref="K5306:K5322" si="2601">(J5306/(F5306/11*10))</f>
        <v>0.24476744186046509</v>
      </c>
      <c r="L5306" s="1212" t="s">
        <v>3471</v>
      </c>
      <c r="M5306" s="468"/>
      <c r="N5306" s="1192">
        <f t="shared" si="2591"/>
        <v>44809</v>
      </c>
      <c r="O5306" s="71" t="s">
        <v>662</v>
      </c>
      <c r="P5306" s="103" t="str">
        <f t="shared" si="2595"/>
        <v>윤전용 세척제(Web 504)</v>
      </c>
      <c r="Q5306" s="71">
        <f t="shared" si="2596"/>
        <v>10</v>
      </c>
      <c r="R5306" s="102">
        <v>129900</v>
      </c>
      <c r="S5306" s="102">
        <f t="shared" si="2597"/>
        <v>1428900</v>
      </c>
      <c r="T5306" s="102">
        <f t="shared" si="2598"/>
        <v>1299000</v>
      </c>
      <c r="U5306" s="71" t="str">
        <f t="shared" ref="U5306:U5313" si="2602">IF(J5306=W5306,"O", "X")</f>
        <v>X</v>
      </c>
      <c r="V5306" s="71"/>
      <c r="W5306" s="474"/>
      <c r="X5306" s="71"/>
      <c r="Y5306" s="71"/>
    </row>
    <row r="5307" spans="1:25" ht="30" hidden="1" customHeight="1" x14ac:dyDescent="0.25">
      <c r="A5307" s="1145">
        <v>44809</v>
      </c>
      <c r="B5307" s="664" t="s">
        <v>2261</v>
      </c>
      <c r="C5307" s="760" t="s">
        <v>181</v>
      </c>
      <c r="D5307" s="71">
        <v>10</v>
      </c>
      <c r="E5307" s="102">
        <v>192500</v>
      </c>
      <c r="F5307" s="102">
        <f t="shared" si="2592"/>
        <v>2117500</v>
      </c>
      <c r="G5307" s="102">
        <f t="shared" si="2593"/>
        <v>1925000</v>
      </c>
      <c r="H5307" s="690" t="s">
        <v>2029</v>
      </c>
      <c r="I5307" s="71" t="s">
        <v>182</v>
      </c>
      <c r="J5307" s="53">
        <f t="shared" si="2600"/>
        <v>710000</v>
      </c>
      <c r="K5307" s="63">
        <f t="shared" si="2601"/>
        <v>0.36883116883116884</v>
      </c>
      <c r="L5307" s="1212" t="s">
        <v>3471</v>
      </c>
      <c r="M5307" s="468"/>
      <c r="N5307" s="1192">
        <f t="shared" si="2591"/>
        <v>44809</v>
      </c>
      <c r="O5307" s="71" t="s">
        <v>2030</v>
      </c>
      <c r="P5307" s="103" t="str">
        <f t="shared" si="2595"/>
        <v>Fount Web 551AF</v>
      </c>
      <c r="Q5307" s="71">
        <f t="shared" si="2596"/>
        <v>10</v>
      </c>
      <c r="R5307" s="102">
        <v>121500</v>
      </c>
      <c r="S5307" s="102">
        <f t="shared" si="2597"/>
        <v>1336500</v>
      </c>
      <c r="T5307" s="102">
        <f t="shared" si="2598"/>
        <v>1215000</v>
      </c>
      <c r="U5307" s="71" t="str">
        <f t="shared" si="2602"/>
        <v>X</v>
      </c>
      <c r="V5307" s="71"/>
      <c r="W5307" s="474">
        <v>640000</v>
      </c>
      <c r="X5307" s="71"/>
      <c r="Y5307" s="71"/>
    </row>
    <row r="5308" spans="1:25" s="209" customFormat="1" ht="31.5" hidden="1" customHeight="1" x14ac:dyDescent="0.2">
      <c r="A5308" s="1145">
        <v>44819</v>
      </c>
      <c r="B5308" s="664" t="s">
        <v>3289</v>
      </c>
      <c r="C5308" s="71" t="s">
        <v>3387</v>
      </c>
      <c r="D5308" s="71">
        <v>10</v>
      </c>
      <c r="E5308" s="102">
        <v>120000</v>
      </c>
      <c r="F5308" s="102">
        <f t="shared" si="2592"/>
        <v>1320000</v>
      </c>
      <c r="G5308" s="102">
        <f t="shared" si="2593"/>
        <v>1200000</v>
      </c>
      <c r="H5308" s="165" t="s">
        <v>172</v>
      </c>
      <c r="I5308" s="71" t="s">
        <v>184</v>
      </c>
      <c r="J5308" s="53">
        <f t="shared" si="2600"/>
        <v>80000</v>
      </c>
      <c r="K5308" s="63">
        <f t="shared" si="2601"/>
        <v>6.6666666666666666E-2</v>
      </c>
      <c r="L5308" s="1212" t="s">
        <v>3471</v>
      </c>
      <c r="M5308" s="468"/>
      <c r="N5308" s="1192">
        <f t="shared" si="2591"/>
        <v>44819</v>
      </c>
      <c r="O5308" s="71" t="s">
        <v>189</v>
      </c>
      <c r="P5308" s="103" t="str">
        <f t="shared" si="2595"/>
        <v>Blanket(990*725)</v>
      </c>
      <c r="Q5308" s="71">
        <f t="shared" si="2596"/>
        <v>10</v>
      </c>
      <c r="R5308" s="102">
        <v>112000</v>
      </c>
      <c r="S5308" s="102">
        <f t="shared" si="2597"/>
        <v>1232000</v>
      </c>
      <c r="T5308" s="102">
        <f t="shared" si="2598"/>
        <v>1120000</v>
      </c>
      <c r="U5308" s="71" t="str">
        <f t="shared" si="2602"/>
        <v>O</v>
      </c>
      <c r="V5308" s="71"/>
      <c r="W5308" s="474">
        <v>80000</v>
      </c>
      <c r="X5308" s="71"/>
      <c r="Y5308" s="71"/>
    </row>
    <row r="5309" spans="1:25" ht="30" hidden="1" customHeight="1" x14ac:dyDescent="0.25">
      <c r="A5309" s="1145">
        <v>44824</v>
      </c>
      <c r="B5309" s="664" t="s">
        <v>2261</v>
      </c>
      <c r="C5309" s="71" t="s">
        <v>277</v>
      </c>
      <c r="D5309" s="71">
        <v>10</v>
      </c>
      <c r="E5309" s="102">
        <v>172000</v>
      </c>
      <c r="F5309" s="102">
        <f>(E5309*D5309)*1.1</f>
        <v>1892000.0000000002</v>
      </c>
      <c r="G5309" s="102">
        <f>(E5309*D5309)</f>
        <v>1720000</v>
      </c>
      <c r="H5309" s="690" t="s">
        <v>172</v>
      </c>
      <c r="I5309" s="71" t="s">
        <v>108</v>
      </c>
      <c r="J5309" s="53">
        <f t="shared" si="2600"/>
        <v>421000</v>
      </c>
      <c r="K5309" s="63">
        <f t="shared" si="2601"/>
        <v>0.24476744186046509</v>
      </c>
      <c r="L5309" s="1212" t="s">
        <v>3471</v>
      </c>
      <c r="M5309" s="468"/>
      <c r="N5309" s="1192">
        <f>A5309</f>
        <v>44824</v>
      </c>
      <c r="O5309" s="71" t="s">
        <v>662</v>
      </c>
      <c r="P5309" s="103" t="str">
        <f>(C5309)</f>
        <v>윤전용 세척제(Web 504)</v>
      </c>
      <c r="Q5309" s="71">
        <f>D5309</f>
        <v>10</v>
      </c>
      <c r="R5309" s="102">
        <v>129900</v>
      </c>
      <c r="S5309" s="102">
        <f>R5309*Q5309*1.1</f>
        <v>1428900</v>
      </c>
      <c r="T5309" s="102">
        <f>R5309*Q5309</f>
        <v>1299000</v>
      </c>
      <c r="U5309" s="71" t="str">
        <f t="shared" si="2602"/>
        <v>X</v>
      </c>
      <c r="V5309" s="71"/>
      <c r="W5309" s="474"/>
      <c r="X5309" s="71"/>
      <c r="Y5309" s="71"/>
    </row>
    <row r="5310" spans="1:25" ht="30" hidden="1" customHeight="1" x14ac:dyDescent="0.25">
      <c r="A5310" s="1145">
        <v>44824</v>
      </c>
      <c r="B5310" s="664" t="s">
        <v>2261</v>
      </c>
      <c r="C5310" s="760" t="s">
        <v>181</v>
      </c>
      <c r="D5310" s="71">
        <v>5</v>
      </c>
      <c r="E5310" s="102">
        <v>192500</v>
      </c>
      <c r="F5310" s="102">
        <f>(E5310*D5310)*1.1</f>
        <v>1058750</v>
      </c>
      <c r="G5310" s="102">
        <f>(E5310*D5310)</f>
        <v>962500</v>
      </c>
      <c r="H5310" s="690" t="s">
        <v>2029</v>
      </c>
      <c r="I5310" s="71" t="s">
        <v>182</v>
      </c>
      <c r="J5310" s="53">
        <f t="shared" si="2600"/>
        <v>355000</v>
      </c>
      <c r="K5310" s="63">
        <f t="shared" si="2601"/>
        <v>0.36883116883116884</v>
      </c>
      <c r="L5310" s="1212" t="s">
        <v>3471</v>
      </c>
      <c r="M5310" s="468"/>
      <c r="N5310" s="1192">
        <f>A5310</f>
        <v>44824</v>
      </c>
      <c r="O5310" s="71" t="s">
        <v>2030</v>
      </c>
      <c r="P5310" s="103" t="str">
        <f>(C5310)</f>
        <v>Fount Web 551AF</v>
      </c>
      <c r="Q5310" s="71">
        <f>D5310</f>
        <v>5</v>
      </c>
      <c r="R5310" s="102">
        <v>121500</v>
      </c>
      <c r="S5310" s="102">
        <f>R5310*Q5310*1.1</f>
        <v>668250</v>
      </c>
      <c r="T5310" s="102">
        <f>R5310*Q5310</f>
        <v>607500</v>
      </c>
      <c r="U5310" s="71" t="str">
        <f t="shared" si="2602"/>
        <v>X</v>
      </c>
      <c r="V5310" s="71"/>
      <c r="W5310" s="474">
        <v>640000</v>
      </c>
      <c r="X5310" s="71"/>
      <c r="Y5310" s="71"/>
    </row>
    <row r="5311" spans="1:25" ht="30" hidden="1" customHeight="1" x14ac:dyDescent="0.25">
      <c r="A5311" s="1145">
        <v>44827</v>
      </c>
      <c r="B5311" s="664" t="s">
        <v>3289</v>
      </c>
      <c r="C5311" s="71" t="s">
        <v>2070</v>
      </c>
      <c r="D5311" s="71">
        <v>10</v>
      </c>
      <c r="E5311" s="102">
        <v>108000</v>
      </c>
      <c r="F5311" s="102">
        <f>(E5311*D5311)*1.1</f>
        <v>1188000</v>
      </c>
      <c r="G5311" s="102">
        <f>(E5311*D5311)</f>
        <v>1080000</v>
      </c>
      <c r="H5311" s="690" t="s">
        <v>172</v>
      </c>
      <c r="I5311" s="71" t="s">
        <v>33</v>
      </c>
      <c r="J5311" s="53">
        <f t="shared" si="2600"/>
        <v>212000</v>
      </c>
      <c r="K5311" s="63">
        <f t="shared" si="2601"/>
        <v>0.1962962962962963</v>
      </c>
      <c r="L5311" s="1212" t="s">
        <v>3471</v>
      </c>
      <c r="M5311" s="468"/>
      <c r="N5311" s="1192">
        <f>A5311</f>
        <v>44827</v>
      </c>
      <c r="O5311" s="71" t="s">
        <v>146</v>
      </c>
      <c r="P5311" s="103" t="str">
        <f>(C5311)</f>
        <v>Blanket(1050*840)</v>
      </c>
      <c r="Q5311" s="71">
        <f>D5311</f>
        <v>10</v>
      </c>
      <c r="R5311" s="102">
        <v>86800</v>
      </c>
      <c r="S5311" s="102">
        <f>R5311*Q5311*1.1</f>
        <v>954800.00000000012</v>
      </c>
      <c r="T5311" s="102">
        <f>R5311*Q5311</f>
        <v>868000</v>
      </c>
      <c r="U5311" s="71" t="str">
        <f t="shared" si="2602"/>
        <v>X</v>
      </c>
      <c r="V5311" s="71"/>
      <c r="W5311" s="474">
        <v>275000</v>
      </c>
      <c r="X5311" s="71"/>
      <c r="Y5311" s="71"/>
    </row>
    <row r="5312" spans="1:25" ht="30" hidden="1" customHeight="1" x14ac:dyDescent="0.25">
      <c r="A5312" s="1145">
        <v>44827</v>
      </c>
      <c r="B5312" s="664" t="s">
        <v>2261</v>
      </c>
      <c r="C5312" s="71" t="s">
        <v>277</v>
      </c>
      <c r="D5312" s="71">
        <v>4</v>
      </c>
      <c r="E5312" s="102">
        <v>172000</v>
      </c>
      <c r="F5312" s="102">
        <f>(E5312*D5312)*1.1</f>
        <v>756800.00000000012</v>
      </c>
      <c r="G5312" s="102">
        <f>(E5312*D5312)</f>
        <v>688000</v>
      </c>
      <c r="H5312" s="690" t="s">
        <v>172</v>
      </c>
      <c r="I5312" s="71" t="s">
        <v>108</v>
      </c>
      <c r="J5312" s="53">
        <f t="shared" si="2600"/>
        <v>168400</v>
      </c>
      <c r="K5312" s="63">
        <f t="shared" si="2601"/>
        <v>0.24476744186046506</v>
      </c>
      <c r="L5312" s="1212" t="s">
        <v>3471</v>
      </c>
      <c r="M5312" s="468"/>
      <c r="N5312" s="1192">
        <f>A5312</f>
        <v>44827</v>
      </c>
      <c r="O5312" s="71" t="s">
        <v>662</v>
      </c>
      <c r="P5312" s="103" t="str">
        <f>(C5312)</f>
        <v>윤전용 세척제(Web 504)</v>
      </c>
      <c r="Q5312" s="71">
        <f>D5312</f>
        <v>4</v>
      </c>
      <c r="R5312" s="102">
        <v>129900</v>
      </c>
      <c r="S5312" s="102">
        <f>R5312*Q5312*1.1</f>
        <v>571560</v>
      </c>
      <c r="T5312" s="102">
        <f>R5312*Q5312</f>
        <v>519600</v>
      </c>
      <c r="U5312" s="71" t="str">
        <f t="shared" si="2602"/>
        <v>X</v>
      </c>
      <c r="V5312" s="71"/>
      <c r="W5312" s="474"/>
      <c r="X5312" s="71"/>
      <c r="Y5312" s="71"/>
    </row>
    <row r="5313" spans="1:25" ht="30" hidden="1" customHeight="1" x14ac:dyDescent="0.25">
      <c r="A5313" s="1145">
        <v>44827</v>
      </c>
      <c r="B5313" s="664" t="s">
        <v>2261</v>
      </c>
      <c r="C5313" s="760" t="s">
        <v>181</v>
      </c>
      <c r="D5313" s="71">
        <v>10</v>
      </c>
      <c r="E5313" s="102">
        <v>192500</v>
      </c>
      <c r="F5313" s="102">
        <f>(E5313*D5313)*1.1</f>
        <v>2117500</v>
      </c>
      <c r="G5313" s="102">
        <f>(E5313*D5313)</f>
        <v>1925000</v>
      </c>
      <c r="H5313" s="690" t="s">
        <v>2029</v>
      </c>
      <c r="I5313" s="71" t="s">
        <v>182</v>
      </c>
      <c r="J5313" s="53">
        <f t="shared" si="2600"/>
        <v>710000</v>
      </c>
      <c r="K5313" s="63">
        <f t="shared" si="2601"/>
        <v>0.36883116883116884</v>
      </c>
      <c r="L5313" s="1212" t="s">
        <v>3471</v>
      </c>
      <c r="M5313" s="468"/>
      <c r="N5313" s="1192">
        <f>A5313</f>
        <v>44827</v>
      </c>
      <c r="O5313" s="71" t="s">
        <v>2030</v>
      </c>
      <c r="P5313" s="103" t="str">
        <f>(C5313)</f>
        <v>Fount Web 551AF</v>
      </c>
      <c r="Q5313" s="71">
        <f>D5313</f>
        <v>10</v>
      </c>
      <c r="R5313" s="102">
        <v>121500</v>
      </c>
      <c r="S5313" s="102">
        <f>R5313*Q5313*1.1</f>
        <v>1336500</v>
      </c>
      <c r="T5313" s="102">
        <f>R5313*Q5313</f>
        <v>1215000</v>
      </c>
      <c r="U5313" s="71" t="str">
        <f t="shared" si="2602"/>
        <v>X</v>
      </c>
      <c r="V5313" s="71"/>
      <c r="W5313" s="474">
        <v>640000</v>
      </c>
      <c r="X5313" s="71"/>
      <c r="Y5313" s="71"/>
    </row>
    <row r="5314" spans="1:25" ht="30" hidden="1" customHeight="1" x14ac:dyDescent="0.25">
      <c r="A5314" s="1145">
        <v>44810</v>
      </c>
      <c r="B5314" s="664" t="s">
        <v>26</v>
      </c>
      <c r="C5314" s="71" t="s">
        <v>3328</v>
      </c>
      <c r="D5314" s="71">
        <v>5</v>
      </c>
      <c r="E5314" s="102">
        <v>55000</v>
      </c>
      <c r="F5314" s="102">
        <f t="shared" si="2592"/>
        <v>302500</v>
      </c>
      <c r="G5314" s="102">
        <f t="shared" si="2593"/>
        <v>275000</v>
      </c>
      <c r="H5314" s="690" t="s">
        <v>172</v>
      </c>
      <c r="I5314" s="71" t="s">
        <v>3295</v>
      </c>
      <c r="J5314" s="53">
        <f t="shared" si="2600"/>
        <v>75000</v>
      </c>
      <c r="K5314" s="63">
        <f t="shared" si="2601"/>
        <v>0.27272727272727271</v>
      </c>
      <c r="L5314" s="1212" t="s">
        <v>3471</v>
      </c>
      <c r="M5314" s="468"/>
      <c r="N5314" s="1192">
        <f t="shared" si="2591"/>
        <v>44810</v>
      </c>
      <c r="O5314" s="71" t="s">
        <v>152</v>
      </c>
      <c r="P5314" s="103" t="str">
        <f t="shared" si="2595"/>
        <v>아스테이지(CD74용)</v>
      </c>
      <c r="Q5314" s="71">
        <f t="shared" si="2596"/>
        <v>5</v>
      </c>
      <c r="R5314" s="102">
        <v>40000</v>
      </c>
      <c r="S5314" s="102">
        <f t="shared" si="2597"/>
        <v>220000.00000000003</v>
      </c>
      <c r="T5314" s="102">
        <f t="shared" si="2598"/>
        <v>200000</v>
      </c>
      <c r="U5314" s="71" t="str">
        <f>IF(J5314=W5314,"O", "X")</f>
        <v>X</v>
      </c>
      <c r="V5314" s="71"/>
      <c r="W5314" s="474"/>
      <c r="X5314" s="71"/>
      <c r="Y5314" s="71"/>
    </row>
    <row r="5315" spans="1:25" ht="30" hidden="1" customHeight="1" x14ac:dyDescent="0.25">
      <c r="A5315" s="1145">
        <v>44831</v>
      </c>
      <c r="B5315" s="664" t="s">
        <v>26</v>
      </c>
      <c r="C5315" s="71" t="s">
        <v>2087</v>
      </c>
      <c r="D5315" s="71">
        <v>5</v>
      </c>
      <c r="E5315" s="102">
        <v>75000</v>
      </c>
      <c r="F5315" s="102">
        <f t="shared" si="2592"/>
        <v>412500.00000000006</v>
      </c>
      <c r="G5315" s="102">
        <f t="shared" si="2593"/>
        <v>375000</v>
      </c>
      <c r="H5315" s="690" t="s">
        <v>172</v>
      </c>
      <c r="I5315" s="71" t="s">
        <v>3295</v>
      </c>
      <c r="J5315" s="53">
        <f t="shared" si="2600"/>
        <v>125000</v>
      </c>
      <c r="K5315" s="63">
        <f t="shared" si="2601"/>
        <v>0.33333333333333326</v>
      </c>
      <c r="L5315" s="1212" t="s">
        <v>3471</v>
      </c>
      <c r="M5315" s="468"/>
      <c r="N5315" s="1192">
        <f t="shared" si="2591"/>
        <v>44831</v>
      </c>
      <c r="O5315" s="71" t="s">
        <v>152</v>
      </c>
      <c r="P5315" s="103" t="str">
        <f t="shared" si="2595"/>
        <v>아스테이지(국전)</v>
      </c>
      <c r="Q5315" s="71">
        <f t="shared" si="2596"/>
        <v>5</v>
      </c>
      <c r="R5315" s="102">
        <v>50000</v>
      </c>
      <c r="S5315" s="102">
        <f t="shared" si="2597"/>
        <v>275000</v>
      </c>
      <c r="T5315" s="102">
        <f t="shared" si="2598"/>
        <v>250000</v>
      </c>
      <c r="U5315" s="71" t="str">
        <f>IF(J5315=W5315,"O", "X")</f>
        <v>X</v>
      </c>
      <c r="V5315" s="71"/>
      <c r="W5315" s="474">
        <v>150000</v>
      </c>
      <c r="X5315" s="71"/>
      <c r="Y5315" s="71"/>
    </row>
    <row r="5316" spans="1:25" ht="30" hidden="1" customHeight="1" x14ac:dyDescent="0.25">
      <c r="A5316" s="1145">
        <v>44826</v>
      </c>
      <c r="B5316" s="664" t="s">
        <v>1014</v>
      </c>
      <c r="C5316" s="71" t="s">
        <v>3435</v>
      </c>
      <c r="D5316" s="71">
        <v>2</v>
      </c>
      <c r="E5316" s="102">
        <v>1100000</v>
      </c>
      <c r="F5316" s="102">
        <f t="shared" si="2592"/>
        <v>2420000</v>
      </c>
      <c r="G5316" s="102">
        <f t="shared" si="2593"/>
        <v>2200000</v>
      </c>
      <c r="H5316" s="690" t="s">
        <v>94</v>
      </c>
      <c r="I5316" s="71" t="s">
        <v>94</v>
      </c>
      <c r="J5316" s="53">
        <f t="shared" si="2600"/>
        <v>1112000</v>
      </c>
      <c r="K5316" s="63">
        <f t="shared" si="2601"/>
        <v>0.50545454545454549</v>
      </c>
      <c r="L5316" s="1212" t="s">
        <v>3471</v>
      </c>
      <c r="M5316" s="468"/>
      <c r="N5316" s="1192">
        <f t="shared" si="2591"/>
        <v>44826</v>
      </c>
      <c r="O5316" s="71" t="s">
        <v>94</v>
      </c>
      <c r="P5316" s="103" t="str">
        <f t="shared" si="2595"/>
        <v>습수정화장치 beta.f 필터 세트</v>
      </c>
      <c r="Q5316" s="71">
        <f t="shared" si="2596"/>
        <v>2</v>
      </c>
      <c r="R5316" s="102">
        <v>544000</v>
      </c>
      <c r="S5316" s="102">
        <f t="shared" si="2597"/>
        <v>1196800</v>
      </c>
      <c r="T5316" s="102">
        <f t="shared" si="2598"/>
        <v>1088000</v>
      </c>
      <c r="U5316" s="71"/>
      <c r="V5316" s="71"/>
      <c r="W5316" s="474"/>
      <c r="X5316" s="71"/>
      <c r="Y5316" s="71"/>
    </row>
    <row r="5317" spans="1:25" ht="30" hidden="1" customHeight="1" x14ac:dyDescent="0.25">
      <c r="A5317" s="1145">
        <v>44818</v>
      </c>
      <c r="B5317" s="664" t="s">
        <v>2798</v>
      </c>
      <c r="C5317" s="71" t="s">
        <v>3474</v>
      </c>
      <c r="D5317" s="71">
        <v>10</v>
      </c>
      <c r="E5317" s="102">
        <v>860000</v>
      </c>
      <c r="F5317" s="102">
        <f t="shared" si="2592"/>
        <v>9460000</v>
      </c>
      <c r="G5317" s="102">
        <f t="shared" si="2593"/>
        <v>8600000</v>
      </c>
      <c r="H5317" s="690" t="s">
        <v>172</v>
      </c>
      <c r="I5317" s="71" t="s">
        <v>33</v>
      </c>
      <c r="J5317" s="53">
        <f t="shared" si="2600"/>
        <v>4229000</v>
      </c>
      <c r="K5317" s="63">
        <f t="shared" si="2601"/>
        <v>0.49174418604651166</v>
      </c>
      <c r="L5317" s="1212" t="s">
        <v>3471</v>
      </c>
      <c r="M5317" s="468"/>
      <c r="N5317" s="1192">
        <f t="shared" si="2591"/>
        <v>44818</v>
      </c>
      <c r="O5317" s="71" t="s">
        <v>3490</v>
      </c>
      <c r="P5317" s="103" t="str">
        <f t="shared" si="2595"/>
        <v>UV Lamp - KBA 전선타입</v>
      </c>
      <c r="Q5317" s="71">
        <f t="shared" si="2596"/>
        <v>10</v>
      </c>
      <c r="R5317" s="102">
        <v>437100</v>
      </c>
      <c r="S5317" s="102">
        <f t="shared" si="2597"/>
        <v>4808100</v>
      </c>
      <c r="T5317" s="102">
        <f t="shared" si="2598"/>
        <v>4371000</v>
      </c>
      <c r="U5317" s="71" t="str">
        <f t="shared" ref="U5317:U5327" si="2603">IF(J5317=W5317,"O", "X")</f>
        <v>X</v>
      </c>
      <c r="V5317" s="71"/>
      <c r="W5317" s="474"/>
      <c r="X5317" s="71"/>
      <c r="Y5317" s="71"/>
    </row>
    <row r="5318" spans="1:25" ht="30" hidden="1" customHeight="1" x14ac:dyDescent="0.25">
      <c r="A5318" s="1145">
        <v>44818</v>
      </c>
      <c r="B5318" s="664" t="s">
        <v>2798</v>
      </c>
      <c r="C5318" s="71" t="s">
        <v>3475</v>
      </c>
      <c r="D5318" s="71">
        <v>5</v>
      </c>
      <c r="E5318" s="102">
        <v>670000</v>
      </c>
      <c r="F5318" s="102">
        <f t="shared" si="2592"/>
        <v>3685000.0000000005</v>
      </c>
      <c r="G5318" s="102">
        <f t="shared" si="2593"/>
        <v>3350000</v>
      </c>
      <c r="H5318" s="690" t="s">
        <v>172</v>
      </c>
      <c r="I5318" s="71" t="s">
        <v>38</v>
      </c>
      <c r="J5318" s="53">
        <f t="shared" si="2600"/>
        <v>1527555</v>
      </c>
      <c r="K5318" s="63">
        <f t="shared" si="2601"/>
        <v>0.45598656716417907</v>
      </c>
      <c r="L5318" s="1212" t="s">
        <v>3471</v>
      </c>
      <c r="M5318" s="468"/>
      <c r="N5318" s="1192">
        <f t="shared" si="2591"/>
        <v>44818</v>
      </c>
      <c r="O5318" s="71" t="s">
        <v>3490</v>
      </c>
      <c r="P5318" s="103" t="str">
        <f t="shared" si="2595"/>
        <v>UV Lamp - KBA 똑딱이타입</v>
      </c>
      <c r="Q5318" s="71">
        <f t="shared" si="2596"/>
        <v>5</v>
      </c>
      <c r="R5318" s="102">
        <v>364489</v>
      </c>
      <c r="S5318" s="102">
        <f t="shared" si="2597"/>
        <v>2004689.5000000002</v>
      </c>
      <c r="T5318" s="102">
        <f t="shared" si="2598"/>
        <v>1822445</v>
      </c>
      <c r="U5318" s="71" t="str">
        <f t="shared" si="2603"/>
        <v>O</v>
      </c>
      <c r="V5318" s="71" t="s">
        <v>3292</v>
      </c>
      <c r="W5318" s="474">
        <f>(G5318-T5318)</f>
        <v>1527555</v>
      </c>
      <c r="X5318" s="71"/>
      <c r="Y5318" s="71"/>
    </row>
    <row r="5319" spans="1:25" ht="30" hidden="1" customHeight="1" x14ac:dyDescent="0.25">
      <c r="A5319" s="1145">
        <v>44824</v>
      </c>
      <c r="B5319" s="664" t="s">
        <v>2798</v>
      </c>
      <c r="C5319" s="71" t="s">
        <v>3290</v>
      </c>
      <c r="D5319" s="71">
        <v>1</v>
      </c>
      <c r="E5319" s="102">
        <v>660000</v>
      </c>
      <c r="F5319" s="102">
        <f>(E5319*D5319)*1.1</f>
        <v>726000.00000000012</v>
      </c>
      <c r="G5319" s="102">
        <f>(E5319*D5319)</f>
        <v>660000</v>
      </c>
      <c r="H5319" s="690" t="s">
        <v>172</v>
      </c>
      <c r="I5319" s="71" t="s">
        <v>38</v>
      </c>
      <c r="J5319" s="53">
        <f t="shared" si="2600"/>
        <v>198000</v>
      </c>
      <c r="K5319" s="63">
        <f t="shared" si="2601"/>
        <v>0.29999999999999993</v>
      </c>
      <c r="L5319" s="1212" t="s">
        <v>3471</v>
      </c>
      <c r="M5319" s="468"/>
      <c r="N5319" s="1192">
        <f>A5319</f>
        <v>44824</v>
      </c>
      <c r="O5319" s="71" t="s">
        <v>3291</v>
      </c>
      <c r="P5319" s="103" t="str">
        <f>(C5319)</f>
        <v>점보롤 세정포</v>
      </c>
      <c r="Q5319" s="71">
        <f>D5319</f>
        <v>1</v>
      </c>
      <c r="R5319" s="102">
        <v>462000</v>
      </c>
      <c r="S5319" s="102">
        <f>R5319*Q5319*1.1</f>
        <v>508200.00000000006</v>
      </c>
      <c r="T5319" s="102">
        <f>R5319*Q5319</f>
        <v>462000</v>
      </c>
      <c r="U5319" s="71" t="str">
        <f t="shared" si="2603"/>
        <v>O</v>
      </c>
      <c r="V5319" s="71" t="s">
        <v>3292</v>
      </c>
      <c r="W5319" s="474">
        <f>(G5319-T5319)</f>
        <v>198000</v>
      </c>
      <c r="X5319" s="71"/>
      <c r="Y5319" s="71"/>
    </row>
    <row r="5320" spans="1:25" ht="30" hidden="1" customHeight="1" x14ac:dyDescent="0.25">
      <c r="A5320" s="1145">
        <v>44824</v>
      </c>
      <c r="B5320" s="664" t="s">
        <v>2798</v>
      </c>
      <c r="C5320" s="71" t="s">
        <v>167</v>
      </c>
      <c r="D5320" s="71">
        <v>10</v>
      </c>
      <c r="E5320" s="102">
        <v>125000</v>
      </c>
      <c r="F5320" s="102">
        <f>(E5320*D5320)*1.1</f>
        <v>1375000</v>
      </c>
      <c r="G5320" s="102">
        <f>(E5320*D5320)</f>
        <v>1250000</v>
      </c>
      <c r="H5320" s="690" t="s">
        <v>172</v>
      </c>
      <c r="I5320" s="71" t="s">
        <v>33</v>
      </c>
      <c r="J5320" s="53">
        <f t="shared" si="2600"/>
        <v>356000</v>
      </c>
      <c r="K5320" s="63">
        <f t="shared" si="2601"/>
        <v>0.2848</v>
      </c>
      <c r="L5320" s="1212" t="s">
        <v>3471</v>
      </c>
      <c r="M5320" s="468"/>
      <c r="N5320" s="1192">
        <f>A5320</f>
        <v>44824</v>
      </c>
      <c r="O5320" s="71" t="s">
        <v>146</v>
      </c>
      <c r="P5320" s="103" t="str">
        <f>(C5320)</f>
        <v>Blanket(1060*860)</v>
      </c>
      <c r="Q5320" s="71">
        <f>D5320</f>
        <v>10</v>
      </c>
      <c r="R5320" s="102">
        <v>89400</v>
      </c>
      <c r="S5320" s="102">
        <f>R5320*Q5320*1.1</f>
        <v>983400.00000000012</v>
      </c>
      <c r="T5320" s="102">
        <f>R5320*Q5320</f>
        <v>894000</v>
      </c>
      <c r="U5320" s="71" t="str">
        <f t="shared" si="2603"/>
        <v>X</v>
      </c>
      <c r="V5320" s="71"/>
      <c r="W5320" s="474"/>
      <c r="X5320" s="71"/>
      <c r="Y5320" s="71"/>
    </row>
    <row r="5321" spans="1:25" ht="30" hidden="1" customHeight="1" x14ac:dyDescent="0.25">
      <c r="A5321" s="1145">
        <v>44826</v>
      </c>
      <c r="B5321" s="664" t="s">
        <v>2798</v>
      </c>
      <c r="C5321" s="71" t="s">
        <v>167</v>
      </c>
      <c r="D5321" s="71">
        <v>20</v>
      </c>
      <c r="E5321" s="102">
        <v>125000</v>
      </c>
      <c r="F5321" s="102">
        <f t="shared" si="2592"/>
        <v>2750000</v>
      </c>
      <c r="G5321" s="102">
        <f t="shared" si="2593"/>
        <v>2500000</v>
      </c>
      <c r="H5321" s="690" t="s">
        <v>172</v>
      </c>
      <c r="I5321" s="71" t="s">
        <v>33</v>
      </c>
      <c r="J5321" s="53">
        <f t="shared" si="2600"/>
        <v>712000</v>
      </c>
      <c r="K5321" s="63">
        <f t="shared" si="2601"/>
        <v>0.2848</v>
      </c>
      <c r="L5321" s="1212" t="s">
        <v>3471</v>
      </c>
      <c r="M5321" s="468"/>
      <c r="N5321" s="1192">
        <f t="shared" si="2591"/>
        <v>44826</v>
      </c>
      <c r="O5321" s="71" t="s">
        <v>146</v>
      </c>
      <c r="P5321" s="103" t="str">
        <f t="shared" si="2595"/>
        <v>Blanket(1060*860)</v>
      </c>
      <c r="Q5321" s="71">
        <f t="shared" si="2596"/>
        <v>20</v>
      </c>
      <c r="R5321" s="102">
        <v>89400</v>
      </c>
      <c r="S5321" s="102">
        <f t="shared" si="2597"/>
        <v>1966800.0000000002</v>
      </c>
      <c r="T5321" s="102">
        <f t="shared" si="2598"/>
        <v>1788000</v>
      </c>
      <c r="U5321" s="71" t="str">
        <f t="shared" si="2603"/>
        <v>X</v>
      </c>
      <c r="V5321" s="71"/>
      <c r="W5321" s="474"/>
      <c r="X5321" s="71"/>
      <c r="Y5321" s="71"/>
    </row>
    <row r="5322" spans="1:25" ht="30" hidden="1" customHeight="1" x14ac:dyDescent="0.25">
      <c r="A5322" s="1145">
        <v>44827</v>
      </c>
      <c r="B5322" s="664" t="s">
        <v>2798</v>
      </c>
      <c r="C5322" s="71" t="s">
        <v>3290</v>
      </c>
      <c r="D5322" s="71">
        <v>1</v>
      </c>
      <c r="E5322" s="102">
        <v>660000</v>
      </c>
      <c r="F5322" s="102">
        <f>(E5322*D5322)*1.1</f>
        <v>726000.00000000012</v>
      </c>
      <c r="G5322" s="102">
        <f>(E5322*D5322)</f>
        <v>660000</v>
      </c>
      <c r="H5322" s="690" t="s">
        <v>172</v>
      </c>
      <c r="I5322" s="71" t="s">
        <v>38</v>
      </c>
      <c r="J5322" s="53">
        <f t="shared" si="2600"/>
        <v>198000</v>
      </c>
      <c r="K5322" s="63">
        <f t="shared" si="2601"/>
        <v>0.29999999999999993</v>
      </c>
      <c r="L5322" s="1212" t="s">
        <v>3471</v>
      </c>
      <c r="M5322" s="468"/>
      <c r="N5322" s="1192">
        <f>A5322</f>
        <v>44827</v>
      </c>
      <c r="O5322" s="71" t="s">
        <v>3291</v>
      </c>
      <c r="P5322" s="103" t="str">
        <f>(C5322)</f>
        <v>점보롤 세정포</v>
      </c>
      <c r="Q5322" s="71">
        <f>D5322</f>
        <v>1</v>
      </c>
      <c r="R5322" s="102">
        <v>462000</v>
      </c>
      <c r="S5322" s="102">
        <f>R5322*Q5322*1.1</f>
        <v>508200.00000000006</v>
      </c>
      <c r="T5322" s="102">
        <f>R5322*Q5322</f>
        <v>462000</v>
      </c>
      <c r="U5322" s="71" t="str">
        <f t="shared" si="2603"/>
        <v>O</v>
      </c>
      <c r="V5322" s="71" t="s">
        <v>3292</v>
      </c>
      <c r="W5322" s="474">
        <f>(G5322-T5322)</f>
        <v>198000</v>
      </c>
      <c r="X5322" s="71"/>
      <c r="Y5322" s="71"/>
    </row>
    <row r="5323" spans="1:25" ht="30" hidden="1" customHeight="1" x14ac:dyDescent="0.25">
      <c r="A5323" s="1145">
        <v>44809</v>
      </c>
      <c r="B5323" s="664" t="s">
        <v>3296</v>
      </c>
      <c r="C5323" s="71" t="s">
        <v>3297</v>
      </c>
      <c r="D5323" s="71">
        <v>20</v>
      </c>
      <c r="E5323" s="102">
        <v>155000</v>
      </c>
      <c r="F5323" s="102">
        <f t="shared" si="2592"/>
        <v>3410000.0000000005</v>
      </c>
      <c r="G5323" s="102">
        <f t="shared" si="2593"/>
        <v>3100000</v>
      </c>
      <c r="H5323" s="690" t="s">
        <v>172</v>
      </c>
      <c r="I5323" s="71" t="s">
        <v>3295</v>
      </c>
      <c r="J5323" s="53">
        <f t="shared" ref="J5323:J5332" si="2604">G5323-T5323</f>
        <v>1130000</v>
      </c>
      <c r="K5323" s="63">
        <f t="shared" ref="K5323:K5332" si="2605">(J5323/(F5323/11*10))</f>
        <v>0.364516129032258</v>
      </c>
      <c r="L5323" s="1212" t="s">
        <v>3471</v>
      </c>
      <c r="M5323" s="468"/>
      <c r="N5323" s="1192">
        <f t="shared" si="2591"/>
        <v>44809</v>
      </c>
      <c r="O5323" s="71" t="s">
        <v>662</v>
      </c>
      <c r="P5323" s="103" t="str">
        <f>(C5323)</f>
        <v>실리콘 에멀전</v>
      </c>
      <c r="Q5323" s="71">
        <f t="shared" si="2596"/>
        <v>20</v>
      </c>
      <c r="R5323" s="102">
        <v>98500</v>
      </c>
      <c r="S5323" s="102">
        <f>R5323*Q5323*1.1</f>
        <v>2167000</v>
      </c>
      <c r="T5323" s="102">
        <f>R5323*Q5323</f>
        <v>1970000</v>
      </c>
      <c r="U5323" s="71" t="str">
        <f t="shared" si="2603"/>
        <v>X</v>
      </c>
      <c r="V5323" s="71"/>
      <c r="W5323" s="474"/>
      <c r="X5323" s="71"/>
      <c r="Y5323" s="71"/>
    </row>
    <row r="5324" spans="1:25" ht="30" hidden="1" customHeight="1" x14ac:dyDescent="0.25">
      <c r="A5324" s="1145">
        <v>44830</v>
      </c>
      <c r="B5324" s="664" t="s">
        <v>3296</v>
      </c>
      <c r="C5324" s="71" t="s">
        <v>3297</v>
      </c>
      <c r="D5324" s="71">
        <v>20</v>
      </c>
      <c r="E5324" s="102">
        <v>155000</v>
      </c>
      <c r="F5324" s="102">
        <f>(E5324*D5324)*1.1</f>
        <v>3410000.0000000005</v>
      </c>
      <c r="G5324" s="102">
        <f>(E5324*D5324)</f>
        <v>3100000</v>
      </c>
      <c r="H5324" s="690" t="s">
        <v>172</v>
      </c>
      <c r="I5324" s="71" t="s">
        <v>3295</v>
      </c>
      <c r="J5324" s="53">
        <f t="shared" si="2604"/>
        <v>1130000</v>
      </c>
      <c r="K5324" s="63">
        <f t="shared" si="2605"/>
        <v>0.364516129032258</v>
      </c>
      <c r="L5324" s="1212" t="s">
        <v>3471</v>
      </c>
      <c r="M5324" s="468"/>
      <c r="N5324" s="1192">
        <f>A5324</f>
        <v>44830</v>
      </c>
      <c r="O5324" s="71" t="s">
        <v>662</v>
      </c>
      <c r="P5324" s="103" t="str">
        <f>(C5324)</f>
        <v>실리콘 에멀전</v>
      </c>
      <c r="Q5324" s="71">
        <f>D5324</f>
        <v>20</v>
      </c>
      <c r="R5324" s="102">
        <v>98500</v>
      </c>
      <c r="S5324" s="102">
        <f>R5324*Q5324*1.1</f>
        <v>2167000</v>
      </c>
      <c r="T5324" s="102">
        <f>R5324*Q5324</f>
        <v>1970000</v>
      </c>
      <c r="U5324" s="71" t="str">
        <f t="shared" si="2603"/>
        <v>X</v>
      </c>
      <c r="V5324" s="71"/>
      <c r="W5324" s="474"/>
      <c r="X5324" s="71"/>
      <c r="Y5324" s="71"/>
    </row>
    <row r="5325" spans="1:25" ht="30" customHeight="1" x14ac:dyDescent="0.25">
      <c r="A5325" s="1145">
        <v>44830</v>
      </c>
      <c r="B5325" s="664" t="s">
        <v>641</v>
      </c>
      <c r="C5325" s="71" t="s">
        <v>3293</v>
      </c>
      <c r="D5325" s="71">
        <v>80</v>
      </c>
      <c r="E5325" s="102">
        <v>76000</v>
      </c>
      <c r="F5325" s="102">
        <f t="shared" si="2592"/>
        <v>6688000.0000000009</v>
      </c>
      <c r="G5325" s="102">
        <f t="shared" si="2593"/>
        <v>6080000</v>
      </c>
      <c r="H5325" s="690" t="s">
        <v>172</v>
      </c>
      <c r="I5325" s="71" t="s">
        <v>2231</v>
      </c>
      <c r="J5325" s="53">
        <f t="shared" si="2604"/>
        <v>2000000</v>
      </c>
      <c r="K5325" s="63">
        <f t="shared" si="2605"/>
        <v>0.3289473684210526</v>
      </c>
      <c r="L5325" s="1212" t="s">
        <v>3471</v>
      </c>
      <c r="M5325" s="468"/>
      <c r="N5325" s="1192">
        <f t="shared" si="2591"/>
        <v>44830</v>
      </c>
      <c r="O5325" s="71" t="s">
        <v>3291</v>
      </c>
      <c r="P5325" s="103" t="str">
        <f>(C5325)</f>
        <v>GOSS 신문윤전 습식세정포</v>
      </c>
      <c r="Q5325" s="71">
        <f t="shared" si="2596"/>
        <v>80</v>
      </c>
      <c r="R5325" s="102">
        <v>51000</v>
      </c>
      <c r="S5325" s="102">
        <f>R5325*Q5325*1.1</f>
        <v>4488000</v>
      </c>
      <c r="T5325" s="102">
        <f>R5325*Q5325</f>
        <v>4080000</v>
      </c>
      <c r="U5325" s="71" t="str">
        <f t="shared" si="2603"/>
        <v>X</v>
      </c>
      <c r="V5325" s="71"/>
      <c r="W5325" s="474"/>
      <c r="X5325" s="71"/>
      <c r="Y5325" s="71"/>
    </row>
    <row r="5326" spans="1:25" ht="30" customHeight="1" x14ac:dyDescent="0.25">
      <c r="A5326" s="1145">
        <v>44820</v>
      </c>
      <c r="B5326" s="664" t="s">
        <v>641</v>
      </c>
      <c r="C5326" s="71" t="s">
        <v>3476</v>
      </c>
      <c r="D5326" s="71">
        <v>2</v>
      </c>
      <c r="E5326" s="102">
        <v>250000</v>
      </c>
      <c r="F5326" s="102">
        <f t="shared" si="2592"/>
        <v>550000</v>
      </c>
      <c r="G5326" s="102">
        <f t="shared" si="2593"/>
        <v>500000</v>
      </c>
      <c r="H5326" s="690" t="s">
        <v>172</v>
      </c>
      <c r="I5326" s="71" t="s">
        <v>142</v>
      </c>
      <c r="J5326" s="53">
        <f t="shared" si="2604"/>
        <v>50000</v>
      </c>
      <c r="K5326" s="63">
        <f t="shared" si="2605"/>
        <v>0.1</v>
      </c>
      <c r="L5326" s="1212" t="s">
        <v>3471</v>
      </c>
      <c r="M5326" s="468"/>
      <c r="N5326" s="1192">
        <f t="shared" si="2591"/>
        <v>44820</v>
      </c>
      <c r="O5326" s="71" t="s">
        <v>2030</v>
      </c>
      <c r="P5326" s="103" t="str">
        <f t="shared" ref="P5326:P5339" si="2606">(C5326)</f>
        <v>델리바리 팬 - XL106용</v>
      </c>
      <c r="Q5326" s="71">
        <f t="shared" si="2596"/>
        <v>2</v>
      </c>
      <c r="R5326" s="102">
        <v>225000</v>
      </c>
      <c r="S5326" s="102">
        <f t="shared" ref="S5326:S5368" si="2607">R5326*Q5326*1.1</f>
        <v>495000.00000000006</v>
      </c>
      <c r="T5326" s="102">
        <f t="shared" ref="T5326:T5365" si="2608">R5326*Q5326</f>
        <v>450000</v>
      </c>
      <c r="U5326" s="71" t="str">
        <f t="shared" si="2603"/>
        <v>O</v>
      </c>
      <c r="V5326" s="71"/>
      <c r="W5326" s="474">
        <f>(G5326-T5326)</f>
        <v>50000</v>
      </c>
      <c r="X5326" s="71"/>
      <c r="Y5326" s="71"/>
    </row>
    <row r="5327" spans="1:25" ht="30" customHeight="1" x14ac:dyDescent="0.25">
      <c r="A5327" s="1145">
        <v>44820</v>
      </c>
      <c r="B5327" s="664" t="s">
        <v>641</v>
      </c>
      <c r="C5327" s="71" t="s">
        <v>3477</v>
      </c>
      <c r="D5327" s="71">
        <v>1</v>
      </c>
      <c r="E5327" s="102">
        <v>950000</v>
      </c>
      <c r="F5327" s="102">
        <f t="shared" si="2592"/>
        <v>1045000.0000000001</v>
      </c>
      <c r="G5327" s="102">
        <f t="shared" si="2593"/>
        <v>950000</v>
      </c>
      <c r="H5327" s="690" t="s">
        <v>172</v>
      </c>
      <c r="I5327" s="71" t="s">
        <v>142</v>
      </c>
      <c r="J5327" s="53">
        <f t="shared" si="2604"/>
        <v>95000</v>
      </c>
      <c r="K5327" s="63">
        <f t="shared" si="2605"/>
        <v>9.9999999999999992E-2</v>
      </c>
      <c r="L5327" s="1212" t="s">
        <v>3471</v>
      </c>
      <c r="M5327" s="468" t="s">
        <v>3374</v>
      </c>
      <c r="N5327" s="1192">
        <f t="shared" si="2591"/>
        <v>44820</v>
      </c>
      <c r="O5327" s="71" t="s">
        <v>150</v>
      </c>
      <c r="P5327" s="103" t="str">
        <f t="shared" si="2606"/>
        <v>파일센터링 센서 - XL106용</v>
      </c>
      <c r="Q5327" s="71">
        <f t="shared" si="2596"/>
        <v>1</v>
      </c>
      <c r="R5327" s="102">
        <f>950000*0.9</f>
        <v>855000</v>
      </c>
      <c r="S5327" s="102">
        <f t="shared" si="2607"/>
        <v>940500.00000000012</v>
      </c>
      <c r="T5327" s="102">
        <f t="shared" si="2608"/>
        <v>855000</v>
      </c>
      <c r="U5327" s="71" t="str">
        <f t="shared" si="2603"/>
        <v>O</v>
      </c>
      <c r="V5327" s="71"/>
      <c r="W5327" s="474">
        <f>(G5327-T5327)</f>
        <v>95000</v>
      </c>
      <c r="X5327" s="71"/>
      <c r="Y5327" s="71"/>
    </row>
    <row r="5328" spans="1:25" ht="30" customHeight="1" x14ac:dyDescent="0.25">
      <c r="A5328" s="1145">
        <v>44820</v>
      </c>
      <c r="B5328" s="664" t="s">
        <v>641</v>
      </c>
      <c r="C5328" s="71" t="s">
        <v>220</v>
      </c>
      <c r="D5328" s="71">
        <v>7</v>
      </c>
      <c r="E5328" s="102">
        <v>299000</v>
      </c>
      <c r="F5328" s="102">
        <f t="shared" si="2592"/>
        <v>2302300</v>
      </c>
      <c r="G5328" s="102">
        <f t="shared" si="2593"/>
        <v>2093000</v>
      </c>
      <c r="H5328" s="690" t="s">
        <v>172</v>
      </c>
      <c r="I5328" s="71" t="s">
        <v>142</v>
      </c>
      <c r="J5328" s="53">
        <f t="shared" si="2604"/>
        <v>603400</v>
      </c>
      <c r="K5328" s="63">
        <f t="shared" si="2605"/>
        <v>0.2882943143812709</v>
      </c>
      <c r="L5328" s="1212" t="s">
        <v>3471</v>
      </c>
      <c r="M5328" s="468" t="s">
        <v>3303</v>
      </c>
      <c r="N5328" s="1192">
        <f t="shared" si="2591"/>
        <v>44820</v>
      </c>
      <c r="O5328" s="71" t="s">
        <v>175</v>
      </c>
      <c r="P5328" s="103" t="str">
        <f t="shared" si="2606"/>
        <v>세정포-XL106</v>
      </c>
      <c r="Q5328" s="71">
        <f t="shared" si="2596"/>
        <v>7</v>
      </c>
      <c r="R5328" s="102">
        <v>212800</v>
      </c>
      <c r="S5328" s="102">
        <f t="shared" si="2607"/>
        <v>1638560.0000000002</v>
      </c>
      <c r="T5328" s="102">
        <f t="shared" si="2608"/>
        <v>1489600</v>
      </c>
      <c r="U5328" s="71" t="s">
        <v>859</v>
      </c>
      <c r="V5328" s="71"/>
      <c r="W5328" s="474"/>
      <c r="X5328" s="71"/>
      <c r="Y5328" s="71"/>
    </row>
    <row r="5329" spans="1:25" ht="30" customHeight="1" x14ac:dyDescent="0.25">
      <c r="A5329" s="1145">
        <v>44820</v>
      </c>
      <c r="B5329" s="664" t="s">
        <v>641</v>
      </c>
      <c r="C5329" s="71" t="s">
        <v>230</v>
      </c>
      <c r="D5329" s="71">
        <v>10</v>
      </c>
      <c r="E5329" s="102">
        <v>138000</v>
      </c>
      <c r="F5329" s="102">
        <f t="shared" si="2592"/>
        <v>1518000.0000000002</v>
      </c>
      <c r="G5329" s="102">
        <f t="shared" si="2593"/>
        <v>1380000</v>
      </c>
      <c r="H5329" s="690" t="s">
        <v>172</v>
      </c>
      <c r="I5329" s="71" t="s">
        <v>142</v>
      </c>
      <c r="J5329" s="53">
        <f t="shared" si="2604"/>
        <v>290000</v>
      </c>
      <c r="K5329" s="63">
        <f t="shared" si="2605"/>
        <v>0.21014492753623185</v>
      </c>
      <c r="L5329" s="1212" t="s">
        <v>3471</v>
      </c>
      <c r="M5329" s="468" t="s">
        <v>3303</v>
      </c>
      <c r="N5329" s="1192">
        <f t="shared" si="2591"/>
        <v>44820</v>
      </c>
      <c r="O5329" s="71" t="s">
        <v>662</v>
      </c>
      <c r="P5329" s="103" t="str">
        <f t="shared" si="2606"/>
        <v>XL106 Blanket(1077*885)</v>
      </c>
      <c r="Q5329" s="71">
        <f t="shared" si="2596"/>
        <v>10</v>
      </c>
      <c r="R5329" s="102">
        <v>109000</v>
      </c>
      <c r="S5329" s="102">
        <f t="shared" si="2607"/>
        <v>1199000</v>
      </c>
      <c r="T5329" s="102">
        <f t="shared" si="2608"/>
        <v>1090000</v>
      </c>
      <c r="U5329" s="71" t="s">
        <v>859</v>
      </c>
      <c r="V5329" s="71"/>
      <c r="W5329" s="474"/>
      <c r="X5329" s="71"/>
      <c r="Y5329" s="71"/>
    </row>
    <row r="5330" spans="1:25" ht="30" customHeight="1" x14ac:dyDescent="0.25">
      <c r="A5330" s="1145">
        <v>44820</v>
      </c>
      <c r="B5330" s="664" t="s">
        <v>641</v>
      </c>
      <c r="C5330" s="71" t="s">
        <v>3299</v>
      </c>
      <c r="D5330" s="71">
        <v>10</v>
      </c>
      <c r="E5330" s="102">
        <v>75000</v>
      </c>
      <c r="F5330" s="102">
        <f t="shared" si="2592"/>
        <v>825000.00000000012</v>
      </c>
      <c r="G5330" s="102">
        <f t="shared" si="2593"/>
        <v>750000</v>
      </c>
      <c r="H5330" s="690" t="s">
        <v>172</v>
      </c>
      <c r="I5330" s="71" t="s">
        <v>142</v>
      </c>
      <c r="J5330" s="53">
        <f t="shared" si="2604"/>
        <v>350000</v>
      </c>
      <c r="K5330" s="63">
        <f t="shared" si="2605"/>
        <v>0.46666666666666662</v>
      </c>
      <c r="L5330" s="1212" t="s">
        <v>3471</v>
      </c>
      <c r="M5330" s="468" t="s">
        <v>3304</v>
      </c>
      <c r="N5330" s="1192">
        <f t="shared" si="2591"/>
        <v>44820</v>
      </c>
      <c r="O5330" s="71" t="s">
        <v>175</v>
      </c>
      <c r="P5330" s="103" t="str">
        <f t="shared" si="2606"/>
        <v>매엽용 세척제(Wash k11)</v>
      </c>
      <c r="Q5330" s="71">
        <f t="shared" si="2596"/>
        <v>10</v>
      </c>
      <c r="R5330" s="102">
        <v>40000</v>
      </c>
      <c r="S5330" s="102">
        <f t="shared" si="2607"/>
        <v>440000.00000000006</v>
      </c>
      <c r="T5330" s="102">
        <f t="shared" si="2608"/>
        <v>400000</v>
      </c>
      <c r="U5330" s="71" t="s">
        <v>859</v>
      </c>
      <c r="V5330" s="71"/>
      <c r="W5330" s="474"/>
      <c r="X5330" s="71"/>
      <c r="Y5330" s="71"/>
    </row>
    <row r="5331" spans="1:25" ht="30" customHeight="1" x14ac:dyDescent="0.25">
      <c r="A5331" s="1145">
        <v>44806</v>
      </c>
      <c r="B5331" s="664" t="s">
        <v>565</v>
      </c>
      <c r="C5331" s="71" t="s">
        <v>3478</v>
      </c>
      <c r="D5331" s="71">
        <v>80</v>
      </c>
      <c r="E5331" s="102">
        <v>16500</v>
      </c>
      <c r="F5331" s="102">
        <f t="shared" si="2592"/>
        <v>1452000.0000000002</v>
      </c>
      <c r="G5331" s="102">
        <f t="shared" si="2593"/>
        <v>1320000</v>
      </c>
      <c r="H5331" s="690" t="s">
        <v>172</v>
      </c>
      <c r="I5331" s="71" t="s">
        <v>142</v>
      </c>
      <c r="J5331" s="53">
        <f t="shared" si="2604"/>
        <v>433280</v>
      </c>
      <c r="K5331" s="63">
        <f t="shared" si="2605"/>
        <v>0.32824242424242417</v>
      </c>
      <c r="L5331" s="1212" t="s">
        <v>3471</v>
      </c>
      <c r="M5331" s="468"/>
      <c r="N5331" s="1192">
        <f t="shared" si="2591"/>
        <v>44806</v>
      </c>
      <c r="O5331" s="71"/>
      <c r="P5331" s="103" t="str">
        <f t="shared" si="2606"/>
        <v>고모리 윤전 블랑켓 건식 세정포 - 국전용</v>
      </c>
      <c r="Q5331" s="71">
        <f t="shared" si="2596"/>
        <v>80</v>
      </c>
      <c r="R5331" s="102">
        <v>11084</v>
      </c>
      <c r="S5331" s="102">
        <f t="shared" si="2607"/>
        <v>975392.00000000012</v>
      </c>
      <c r="T5331" s="102">
        <f t="shared" si="2608"/>
        <v>886720</v>
      </c>
      <c r="U5331" s="71"/>
      <c r="V5331" s="71"/>
      <c r="W5331" s="474"/>
      <c r="X5331" s="71"/>
      <c r="Y5331" s="71"/>
    </row>
    <row r="5332" spans="1:25" ht="30" customHeight="1" x14ac:dyDescent="0.25">
      <c r="A5332" s="1145">
        <v>44811</v>
      </c>
      <c r="B5332" s="664" t="s">
        <v>565</v>
      </c>
      <c r="C5332" s="71" t="s">
        <v>3479</v>
      </c>
      <c r="D5332" s="71">
        <v>48</v>
      </c>
      <c r="E5332" s="102">
        <v>12100</v>
      </c>
      <c r="F5332" s="102">
        <f t="shared" si="2592"/>
        <v>638880</v>
      </c>
      <c r="G5332" s="102">
        <f t="shared" si="2593"/>
        <v>580800</v>
      </c>
      <c r="H5332" s="690" t="s">
        <v>172</v>
      </c>
      <c r="I5332" s="71" t="s">
        <v>142</v>
      </c>
      <c r="J5332" s="53">
        <f t="shared" si="2604"/>
        <v>179280</v>
      </c>
      <c r="K5332" s="63">
        <f t="shared" si="2605"/>
        <v>0.30867768595041323</v>
      </c>
      <c r="L5332" s="1212" t="s">
        <v>3471</v>
      </c>
      <c r="M5332" s="468"/>
      <c r="N5332" s="1192">
        <f t="shared" si="2591"/>
        <v>44811</v>
      </c>
      <c r="O5332" s="71"/>
      <c r="P5332" s="103" t="str">
        <f t="shared" si="2606"/>
        <v>고모리 윤전 블랑켓 건식 세정포 - 4x6용</v>
      </c>
      <c r="Q5332" s="71">
        <f t="shared" si="2596"/>
        <v>48</v>
      </c>
      <c r="R5332" s="102">
        <v>8365</v>
      </c>
      <c r="S5332" s="102">
        <f t="shared" si="2607"/>
        <v>441672.00000000006</v>
      </c>
      <c r="T5332" s="102">
        <f t="shared" si="2608"/>
        <v>401520</v>
      </c>
      <c r="U5332" s="71"/>
      <c r="V5332" s="71"/>
      <c r="W5332" s="474"/>
      <c r="X5332" s="71"/>
      <c r="Y5332" s="71"/>
    </row>
    <row r="5333" spans="1:25" ht="30" customHeight="1" x14ac:dyDescent="0.25">
      <c r="A5333" s="1145">
        <v>44811</v>
      </c>
      <c r="B5333" s="664" t="s">
        <v>565</v>
      </c>
      <c r="C5333" s="71" t="s">
        <v>3442</v>
      </c>
      <c r="D5333" s="71">
        <v>1</v>
      </c>
      <c r="E5333" s="102">
        <v>9357500</v>
      </c>
      <c r="F5333" s="102">
        <f t="shared" si="2592"/>
        <v>10293250</v>
      </c>
      <c r="G5333" s="102">
        <f t="shared" si="2593"/>
        <v>9357500</v>
      </c>
      <c r="H5333" s="690" t="s">
        <v>36</v>
      </c>
      <c r="I5333" s="71" t="s">
        <v>142</v>
      </c>
      <c r="J5333" s="53">
        <f>G5333-T5333</f>
        <v>4557500</v>
      </c>
      <c r="K5333" s="63">
        <f>(J5333/(F5333/11*10))</f>
        <v>0.48704247929468342</v>
      </c>
      <c r="L5333" s="1212" t="s">
        <v>3471</v>
      </c>
      <c r="M5333" s="468"/>
      <c r="N5333" s="1192">
        <f t="shared" si="2591"/>
        <v>44811</v>
      </c>
      <c r="O5333" s="71"/>
      <c r="P5333" s="103" t="str">
        <f t="shared" si="2606"/>
        <v>잉크모듈키판</v>
      </c>
      <c r="Q5333" s="71">
        <f t="shared" si="2596"/>
        <v>1</v>
      </c>
      <c r="R5333" s="102">
        <v>4800000</v>
      </c>
      <c r="S5333" s="102">
        <f t="shared" si="2607"/>
        <v>5280000</v>
      </c>
      <c r="T5333" s="102">
        <f t="shared" si="2608"/>
        <v>4800000</v>
      </c>
      <c r="U5333" s="71"/>
      <c r="V5333" s="71"/>
      <c r="W5333" s="474"/>
      <c r="X5333" s="71"/>
      <c r="Y5333" s="71"/>
    </row>
    <row r="5334" spans="1:25" ht="30" customHeight="1" x14ac:dyDescent="0.25">
      <c r="A5334" s="1145">
        <v>44830</v>
      </c>
      <c r="B5334" s="664" t="s">
        <v>565</v>
      </c>
      <c r="C5334" s="71" t="s">
        <v>3480</v>
      </c>
      <c r="D5334" s="71">
        <v>1</v>
      </c>
      <c r="E5334" s="102">
        <v>365000</v>
      </c>
      <c r="F5334" s="102">
        <f t="shared" si="2592"/>
        <v>401500.00000000006</v>
      </c>
      <c r="G5334" s="102">
        <f t="shared" si="2593"/>
        <v>365000</v>
      </c>
      <c r="H5334" s="690" t="s">
        <v>173</v>
      </c>
      <c r="I5334" s="71" t="s">
        <v>142</v>
      </c>
      <c r="J5334" s="53">
        <f t="shared" ref="J5334:J5339" si="2609">G5334-T5334</f>
        <v>0</v>
      </c>
      <c r="K5334" s="63">
        <f t="shared" ref="K5334:K5339" si="2610">(J5334/(F5334/11*10))</f>
        <v>0</v>
      </c>
      <c r="L5334" s="1212" t="s">
        <v>3471</v>
      </c>
      <c r="M5334" s="468"/>
      <c r="N5334" s="1192">
        <f t="shared" si="2591"/>
        <v>44830</v>
      </c>
      <c r="O5334" s="71" t="s">
        <v>194</v>
      </c>
      <c r="P5334" s="103" t="str">
        <f t="shared" si="2606"/>
        <v>CTP 방문 서비스</v>
      </c>
      <c r="Q5334" s="71">
        <f t="shared" si="2596"/>
        <v>1</v>
      </c>
      <c r="R5334" s="102">
        <v>365000</v>
      </c>
      <c r="S5334" s="102">
        <f t="shared" ref="S5334:S5339" si="2611">R5334*Q5334*1.1</f>
        <v>401500.00000000006</v>
      </c>
      <c r="T5334" s="102">
        <f t="shared" ref="T5334:T5339" si="2612">R5334*Q5334</f>
        <v>365000</v>
      </c>
      <c r="U5334" s="71"/>
      <c r="V5334" s="71"/>
      <c r="W5334" s="474"/>
      <c r="X5334" s="71"/>
      <c r="Y5334" s="71"/>
    </row>
    <row r="5335" spans="1:25" ht="30" customHeight="1" x14ac:dyDescent="0.25">
      <c r="A5335" s="1145">
        <v>44830</v>
      </c>
      <c r="B5335" s="664" t="s">
        <v>565</v>
      </c>
      <c r="C5335" s="71" t="s">
        <v>3481</v>
      </c>
      <c r="D5335" s="71">
        <v>1</v>
      </c>
      <c r="E5335" s="102">
        <v>75000</v>
      </c>
      <c r="F5335" s="102">
        <f t="shared" si="2592"/>
        <v>82500</v>
      </c>
      <c r="G5335" s="102">
        <f t="shared" si="2593"/>
        <v>75000</v>
      </c>
      <c r="H5335" s="690" t="s">
        <v>173</v>
      </c>
      <c r="I5335" s="71" t="s">
        <v>142</v>
      </c>
      <c r="J5335" s="53">
        <f t="shared" si="2609"/>
        <v>1200</v>
      </c>
      <c r="K5335" s="63">
        <f t="shared" si="2610"/>
        <v>1.6E-2</v>
      </c>
      <c r="L5335" s="1212" t="s">
        <v>3471</v>
      </c>
      <c r="M5335" s="468"/>
      <c r="N5335" s="1192">
        <f t="shared" si="2591"/>
        <v>44830</v>
      </c>
      <c r="O5335" s="71" t="s">
        <v>194</v>
      </c>
      <c r="P5335" s="103" t="str">
        <f t="shared" si="2606"/>
        <v>LX+000MEC0184 베어링</v>
      </c>
      <c r="Q5335" s="71">
        <f t="shared" si="2596"/>
        <v>1</v>
      </c>
      <c r="R5335" s="102">
        <v>73800</v>
      </c>
      <c r="S5335" s="102">
        <f t="shared" si="2611"/>
        <v>81180</v>
      </c>
      <c r="T5335" s="102">
        <f t="shared" si="2612"/>
        <v>73800</v>
      </c>
      <c r="U5335" s="71"/>
      <c r="V5335" s="71"/>
      <c r="W5335" s="474"/>
      <c r="X5335" s="71"/>
      <c r="Y5335" s="71"/>
    </row>
    <row r="5336" spans="1:25" ht="30" customHeight="1" x14ac:dyDescent="0.25">
      <c r="A5336" s="1145">
        <v>44830</v>
      </c>
      <c r="B5336" s="664" t="s">
        <v>565</v>
      </c>
      <c r="C5336" s="71" t="s">
        <v>3482</v>
      </c>
      <c r="D5336" s="71">
        <v>1</v>
      </c>
      <c r="E5336" s="102">
        <v>90000</v>
      </c>
      <c r="F5336" s="102">
        <f t="shared" si="2592"/>
        <v>99000.000000000015</v>
      </c>
      <c r="G5336" s="102">
        <f t="shared" si="2593"/>
        <v>90000</v>
      </c>
      <c r="H5336" s="690" t="s">
        <v>173</v>
      </c>
      <c r="I5336" s="71" t="s">
        <v>142</v>
      </c>
      <c r="J5336" s="53">
        <f t="shared" si="2609"/>
        <v>16200</v>
      </c>
      <c r="K5336" s="63">
        <f t="shared" si="2610"/>
        <v>0.17999999999999997</v>
      </c>
      <c r="L5336" s="1212" t="s">
        <v>3471</v>
      </c>
      <c r="M5336" s="468"/>
      <c r="N5336" s="1192">
        <f t="shared" si="2591"/>
        <v>44830</v>
      </c>
      <c r="O5336" s="71" t="s">
        <v>194</v>
      </c>
      <c r="P5336" s="103" t="str">
        <f t="shared" si="2606"/>
        <v>LX+000MEC0226 베어링</v>
      </c>
      <c r="Q5336" s="71">
        <f t="shared" si="2596"/>
        <v>1</v>
      </c>
      <c r="R5336" s="102">
        <v>73800</v>
      </c>
      <c r="S5336" s="102">
        <f t="shared" si="2611"/>
        <v>81180</v>
      </c>
      <c r="T5336" s="102">
        <f t="shared" si="2612"/>
        <v>73800</v>
      </c>
      <c r="U5336" s="71"/>
      <c r="V5336" s="71"/>
      <c r="W5336" s="474"/>
      <c r="X5336" s="71"/>
      <c r="Y5336" s="71"/>
    </row>
    <row r="5337" spans="1:25" ht="30" customHeight="1" x14ac:dyDescent="0.25">
      <c r="A5337" s="1145">
        <v>44830</v>
      </c>
      <c r="B5337" s="664" t="s">
        <v>565</v>
      </c>
      <c r="C5337" s="71" t="s">
        <v>3483</v>
      </c>
      <c r="D5337" s="71">
        <v>1</v>
      </c>
      <c r="E5337" s="102">
        <v>35000</v>
      </c>
      <c r="F5337" s="102">
        <f t="shared" si="2592"/>
        <v>38500</v>
      </c>
      <c r="G5337" s="102">
        <f t="shared" si="2593"/>
        <v>35000</v>
      </c>
      <c r="H5337" s="690" t="s">
        <v>173</v>
      </c>
      <c r="I5337" s="71" t="s">
        <v>142</v>
      </c>
      <c r="J5337" s="53">
        <f t="shared" si="2609"/>
        <v>-38800</v>
      </c>
      <c r="K5337" s="63">
        <f t="shared" si="2610"/>
        <v>-1.1085714285714285</v>
      </c>
      <c r="L5337" s="1212" t="s">
        <v>3471</v>
      </c>
      <c r="M5337" s="468"/>
      <c r="N5337" s="1192">
        <f t="shared" si="2591"/>
        <v>44830</v>
      </c>
      <c r="O5337" s="71" t="s">
        <v>194</v>
      </c>
      <c r="P5337" s="103" t="str">
        <f t="shared" si="2606"/>
        <v>LX+000RAC0276 O-ring</v>
      </c>
      <c r="Q5337" s="71">
        <f t="shared" si="2596"/>
        <v>1</v>
      </c>
      <c r="R5337" s="102">
        <v>73800</v>
      </c>
      <c r="S5337" s="102">
        <f t="shared" si="2611"/>
        <v>81180</v>
      </c>
      <c r="T5337" s="102">
        <f t="shared" si="2612"/>
        <v>73800</v>
      </c>
      <c r="U5337" s="71"/>
      <c r="V5337" s="71"/>
      <c r="W5337" s="474"/>
      <c r="X5337" s="71"/>
      <c r="Y5337" s="71"/>
    </row>
    <row r="5338" spans="1:25" ht="30" customHeight="1" x14ac:dyDescent="0.25">
      <c r="A5338" s="1145">
        <v>44830</v>
      </c>
      <c r="B5338" s="664" t="s">
        <v>565</v>
      </c>
      <c r="C5338" s="71" t="s">
        <v>3484</v>
      </c>
      <c r="D5338" s="71">
        <v>1</v>
      </c>
      <c r="E5338" s="102">
        <v>59000</v>
      </c>
      <c r="F5338" s="102">
        <f t="shared" si="2592"/>
        <v>64900.000000000007</v>
      </c>
      <c r="G5338" s="102">
        <f t="shared" si="2593"/>
        <v>59000</v>
      </c>
      <c r="H5338" s="690" t="s">
        <v>173</v>
      </c>
      <c r="I5338" s="71" t="s">
        <v>142</v>
      </c>
      <c r="J5338" s="53">
        <f t="shared" si="2609"/>
        <v>-14800</v>
      </c>
      <c r="K5338" s="63">
        <f t="shared" si="2610"/>
        <v>-0.25084745762711863</v>
      </c>
      <c r="L5338" s="1212" t="s">
        <v>3471</v>
      </c>
      <c r="M5338" s="468"/>
      <c r="N5338" s="1192">
        <f t="shared" si="2591"/>
        <v>44830</v>
      </c>
      <c r="O5338" s="71" t="s">
        <v>194</v>
      </c>
      <c r="P5338" s="103" t="str">
        <f t="shared" si="2606"/>
        <v>LX+ Spacer</v>
      </c>
      <c r="Q5338" s="71">
        <f t="shared" si="2596"/>
        <v>1</v>
      </c>
      <c r="R5338" s="102">
        <v>73800</v>
      </c>
      <c r="S5338" s="102">
        <f t="shared" si="2611"/>
        <v>81180</v>
      </c>
      <c r="T5338" s="102">
        <f t="shared" si="2612"/>
        <v>73800</v>
      </c>
      <c r="U5338" s="71"/>
      <c r="V5338" s="71"/>
      <c r="W5338" s="474"/>
      <c r="X5338" s="71"/>
      <c r="Y5338" s="71"/>
    </row>
    <row r="5339" spans="1:25" ht="30" customHeight="1" x14ac:dyDescent="0.25">
      <c r="A5339" s="1145">
        <v>44830</v>
      </c>
      <c r="B5339" s="664" t="s">
        <v>565</v>
      </c>
      <c r="C5339" s="71" t="s">
        <v>3485</v>
      </c>
      <c r="D5339" s="71">
        <v>1</v>
      </c>
      <c r="E5339" s="102">
        <v>189000</v>
      </c>
      <c r="F5339" s="102">
        <f t="shared" si="2592"/>
        <v>207900.00000000003</v>
      </c>
      <c r="G5339" s="102">
        <f t="shared" si="2593"/>
        <v>189000</v>
      </c>
      <c r="H5339" s="690" t="s">
        <v>173</v>
      </c>
      <c r="I5339" s="71" t="s">
        <v>142</v>
      </c>
      <c r="J5339" s="53">
        <f t="shared" si="2609"/>
        <v>115200</v>
      </c>
      <c r="K5339" s="63">
        <f t="shared" si="2610"/>
        <v>0.60952380952380947</v>
      </c>
      <c r="L5339" s="1212" t="s">
        <v>3471</v>
      </c>
      <c r="M5339" s="468"/>
      <c r="N5339" s="1192">
        <f t="shared" si="2591"/>
        <v>44830</v>
      </c>
      <c r="O5339" s="71" t="s">
        <v>194</v>
      </c>
      <c r="P5339" s="103" t="str">
        <f t="shared" si="2606"/>
        <v>LX+ Shaft</v>
      </c>
      <c r="Q5339" s="71">
        <f t="shared" si="2596"/>
        <v>1</v>
      </c>
      <c r="R5339" s="102">
        <v>73800</v>
      </c>
      <c r="S5339" s="102">
        <f t="shared" si="2611"/>
        <v>81180</v>
      </c>
      <c r="T5339" s="102">
        <f t="shared" si="2612"/>
        <v>73800</v>
      </c>
      <c r="U5339" s="71"/>
      <c r="V5339" s="71"/>
      <c r="W5339" s="474"/>
      <c r="X5339" s="71"/>
      <c r="Y5339" s="71"/>
    </row>
    <row r="5340" spans="1:25" ht="30" hidden="1" customHeight="1" x14ac:dyDescent="0.25">
      <c r="A5340" s="1145">
        <v>44804</v>
      </c>
      <c r="B5340" s="664" t="s">
        <v>442</v>
      </c>
      <c r="C5340" s="71" t="s">
        <v>773</v>
      </c>
      <c r="D5340" s="71">
        <v>6</v>
      </c>
      <c r="E5340" s="102">
        <v>215000</v>
      </c>
      <c r="F5340" s="102">
        <f t="shared" si="2592"/>
        <v>1419000</v>
      </c>
      <c r="G5340" s="102">
        <f t="shared" si="2593"/>
        <v>1290000</v>
      </c>
      <c r="H5340" s="690" t="s">
        <v>173</v>
      </c>
      <c r="I5340" s="71" t="s">
        <v>109</v>
      </c>
      <c r="J5340" s="53">
        <f t="shared" ref="J5340:J5345" si="2613">G5340-T5340</f>
        <v>450000</v>
      </c>
      <c r="K5340" s="63">
        <f t="shared" ref="K5340:K5345" si="2614">(J5340/(F5340/11*10))</f>
        <v>0.34883720930232559</v>
      </c>
      <c r="L5340" s="1212" t="s">
        <v>3332</v>
      </c>
      <c r="M5340" s="468"/>
      <c r="N5340" s="1192">
        <f t="shared" si="2591"/>
        <v>44804</v>
      </c>
      <c r="O5340" s="71" t="s">
        <v>151</v>
      </c>
      <c r="P5340" s="164" t="s">
        <v>1803</v>
      </c>
      <c r="Q5340" s="71">
        <v>5</v>
      </c>
      <c r="R5340" s="102">
        <v>178000</v>
      </c>
      <c r="S5340" s="102">
        <v>924000.00000000012</v>
      </c>
      <c r="T5340" s="102">
        <v>840000</v>
      </c>
      <c r="U5340" s="71" t="s">
        <v>859</v>
      </c>
      <c r="V5340" s="71"/>
      <c r="W5340" s="474">
        <v>120000</v>
      </c>
      <c r="X5340" s="71"/>
      <c r="Y5340" s="71"/>
    </row>
    <row r="5341" spans="1:25" ht="30" hidden="1" customHeight="1" x14ac:dyDescent="0.2">
      <c r="A5341" s="1145">
        <v>44811</v>
      </c>
      <c r="B5341" s="664" t="s">
        <v>442</v>
      </c>
      <c r="C5341" s="71" t="s">
        <v>648</v>
      </c>
      <c r="D5341" s="71">
        <v>2</v>
      </c>
      <c r="E5341" s="102">
        <v>93000</v>
      </c>
      <c r="F5341" s="102">
        <f>(E5341*D5341)*1.1</f>
        <v>204600.00000000003</v>
      </c>
      <c r="G5341" s="102">
        <f>(E5341*D5341)</f>
        <v>186000</v>
      </c>
      <c r="H5341" s="165" t="s">
        <v>172</v>
      </c>
      <c r="I5341" s="71" t="s">
        <v>195</v>
      </c>
      <c r="J5341" s="53">
        <f t="shared" si="2613"/>
        <v>54000</v>
      </c>
      <c r="K5341" s="63">
        <f t="shared" si="2614"/>
        <v>0.29032258064516125</v>
      </c>
      <c r="L5341" s="1212" t="s">
        <v>3471</v>
      </c>
      <c r="M5341" s="468"/>
      <c r="N5341" s="1192">
        <f t="shared" ref="N5341:N5346" si="2615">A5341</f>
        <v>44811</v>
      </c>
      <c r="O5341" s="71" t="s">
        <v>194</v>
      </c>
      <c r="P5341" s="103" t="str">
        <f t="shared" ref="P5341:P5346" si="2616">(C5341)</f>
        <v>Agfa 정착액 G333C(20L)</v>
      </c>
      <c r="Q5341" s="71">
        <f>D5341</f>
        <v>2</v>
      </c>
      <c r="R5341" s="102">
        <v>66000</v>
      </c>
      <c r="S5341" s="102">
        <f>R5341*Q5341*1.1</f>
        <v>145200</v>
      </c>
      <c r="T5341" s="102">
        <f>R5341*Q5341</f>
        <v>132000</v>
      </c>
      <c r="U5341" s="71" t="str">
        <f>IF(J5341=W5341,"O", "X")</f>
        <v>O</v>
      </c>
      <c r="V5341" s="71"/>
      <c r="W5341" s="474">
        <f>(G5341-T5341)</f>
        <v>54000</v>
      </c>
      <c r="X5341" s="71"/>
      <c r="Y5341" s="71"/>
    </row>
    <row r="5342" spans="1:25" ht="30" hidden="1" customHeight="1" x14ac:dyDescent="0.25">
      <c r="A5342" s="1145">
        <v>44811</v>
      </c>
      <c r="B5342" s="664" t="s">
        <v>442</v>
      </c>
      <c r="C5342" s="71" t="s">
        <v>206</v>
      </c>
      <c r="D5342" s="71">
        <v>2</v>
      </c>
      <c r="E5342" s="102">
        <v>403000</v>
      </c>
      <c r="F5342" s="102">
        <f t="shared" si="2592"/>
        <v>886600.00000000012</v>
      </c>
      <c r="G5342" s="102">
        <f t="shared" si="2593"/>
        <v>806000</v>
      </c>
      <c r="H5342" s="690" t="s">
        <v>2029</v>
      </c>
      <c r="I5342" s="71" t="s">
        <v>195</v>
      </c>
      <c r="J5342" s="53">
        <f t="shared" si="2613"/>
        <v>182580</v>
      </c>
      <c r="K5342" s="63">
        <f t="shared" si="2614"/>
        <v>0.22652605459057068</v>
      </c>
      <c r="L5342" s="1212" t="s">
        <v>3471</v>
      </c>
      <c r="M5342" s="468"/>
      <c r="N5342" s="1192">
        <f t="shared" si="2615"/>
        <v>44811</v>
      </c>
      <c r="O5342" s="71" t="s">
        <v>194</v>
      </c>
      <c r="P5342" s="103" t="str">
        <f t="shared" si="2616"/>
        <v>Agfa Film(24inch)</v>
      </c>
      <c r="Q5342" s="71">
        <f t="shared" si="2596"/>
        <v>2</v>
      </c>
      <c r="R5342" s="102">
        <v>311710</v>
      </c>
      <c r="S5342" s="102">
        <f t="shared" si="2607"/>
        <v>685762</v>
      </c>
      <c r="T5342" s="102">
        <f t="shared" si="2608"/>
        <v>623420</v>
      </c>
      <c r="U5342" s="71" t="str">
        <f>IF(J5342=W5342,"O", "X")</f>
        <v>O</v>
      </c>
      <c r="V5342" s="71"/>
      <c r="W5342" s="474">
        <f>(G5342-T5342)</f>
        <v>182580</v>
      </c>
      <c r="X5342" s="71"/>
      <c r="Y5342" s="71"/>
    </row>
    <row r="5343" spans="1:25" ht="30" hidden="1" customHeight="1" x14ac:dyDescent="0.25">
      <c r="A5343" s="1145">
        <v>44811</v>
      </c>
      <c r="B5343" s="664" t="s">
        <v>442</v>
      </c>
      <c r="C5343" s="71" t="s">
        <v>207</v>
      </c>
      <c r="D5343" s="71">
        <v>2</v>
      </c>
      <c r="E5343" s="102">
        <v>496000</v>
      </c>
      <c r="F5343" s="102">
        <f t="shared" si="2592"/>
        <v>1091200</v>
      </c>
      <c r="G5343" s="102">
        <f t="shared" si="2593"/>
        <v>992000</v>
      </c>
      <c r="H5343" s="690" t="s">
        <v>2029</v>
      </c>
      <c r="I5343" s="71" t="s">
        <v>195</v>
      </c>
      <c r="J5343" s="53">
        <f t="shared" si="2613"/>
        <v>265280</v>
      </c>
      <c r="K5343" s="63">
        <f t="shared" si="2614"/>
        <v>0.26741935483870966</v>
      </c>
      <c r="L5343" s="1212" t="s">
        <v>3471</v>
      </c>
      <c r="M5343" s="468"/>
      <c r="N5343" s="1192">
        <f t="shared" si="2615"/>
        <v>44811</v>
      </c>
      <c r="O5343" s="71" t="s">
        <v>194</v>
      </c>
      <c r="P5343" s="103" t="str">
        <f t="shared" si="2616"/>
        <v>Agfa Film(28inch)</v>
      </c>
      <c r="Q5343" s="71">
        <f t="shared" si="2596"/>
        <v>2</v>
      </c>
      <c r="R5343" s="102">
        <v>363360</v>
      </c>
      <c r="S5343" s="102">
        <f t="shared" si="2607"/>
        <v>799392.00000000012</v>
      </c>
      <c r="T5343" s="102">
        <f t="shared" si="2608"/>
        <v>726720</v>
      </c>
      <c r="U5343" s="71" t="str">
        <f>IF(J5343=W5343,"O", "X")</f>
        <v>O</v>
      </c>
      <c r="V5343" s="71"/>
      <c r="W5343" s="474">
        <f>(G5343-T5343)</f>
        <v>265280</v>
      </c>
      <c r="X5343" s="71"/>
      <c r="Y5343" s="71"/>
    </row>
    <row r="5344" spans="1:25" ht="30" hidden="1" customHeight="1" x14ac:dyDescent="0.25">
      <c r="A5344" s="1145">
        <v>44811</v>
      </c>
      <c r="B5344" s="664" t="s">
        <v>442</v>
      </c>
      <c r="C5344" s="71" t="s">
        <v>208</v>
      </c>
      <c r="D5344" s="71">
        <v>2</v>
      </c>
      <c r="E5344" s="102">
        <v>555000</v>
      </c>
      <c r="F5344" s="102">
        <f t="shared" si="2592"/>
        <v>1221000</v>
      </c>
      <c r="G5344" s="102">
        <f t="shared" si="2593"/>
        <v>1110000</v>
      </c>
      <c r="H5344" s="690" t="s">
        <v>2029</v>
      </c>
      <c r="I5344" s="71" t="s">
        <v>195</v>
      </c>
      <c r="J5344" s="53">
        <f t="shared" si="2613"/>
        <v>253400</v>
      </c>
      <c r="K5344" s="63">
        <f t="shared" si="2614"/>
        <v>0.22828828828828829</v>
      </c>
      <c r="L5344" s="1212" t="s">
        <v>3471</v>
      </c>
      <c r="M5344" s="468"/>
      <c r="N5344" s="1192">
        <f t="shared" si="2615"/>
        <v>44811</v>
      </c>
      <c r="O5344" s="71" t="s">
        <v>194</v>
      </c>
      <c r="P5344" s="103" t="str">
        <f t="shared" si="2616"/>
        <v>Agfa Film(32inch)</v>
      </c>
      <c r="Q5344" s="71">
        <f t="shared" si="2596"/>
        <v>2</v>
      </c>
      <c r="R5344" s="102">
        <v>428300</v>
      </c>
      <c r="S5344" s="102">
        <f t="shared" si="2607"/>
        <v>942260.00000000012</v>
      </c>
      <c r="T5344" s="102">
        <f t="shared" si="2608"/>
        <v>856600</v>
      </c>
      <c r="U5344" s="71" t="str">
        <f>IF(J5344=W5344,"O", "X")</f>
        <v>O</v>
      </c>
      <c r="V5344" s="71"/>
      <c r="W5344" s="474">
        <f>(G5344-T5344)</f>
        <v>253400</v>
      </c>
      <c r="X5344" s="71"/>
      <c r="Y5344" s="71"/>
    </row>
    <row r="5345" spans="1:25" ht="30" hidden="1" customHeight="1" x14ac:dyDescent="0.25">
      <c r="A5345" s="1145">
        <v>44818</v>
      </c>
      <c r="B5345" s="664" t="s">
        <v>442</v>
      </c>
      <c r="C5345" s="71" t="s">
        <v>123</v>
      </c>
      <c r="D5345" s="71">
        <v>10</v>
      </c>
      <c r="E5345" s="102">
        <v>50000</v>
      </c>
      <c r="F5345" s="102">
        <f>(E5345*D5345)*1.1</f>
        <v>550000</v>
      </c>
      <c r="G5345" s="102">
        <f>(E5345*D5345)</f>
        <v>500000</v>
      </c>
      <c r="H5345" s="690" t="s">
        <v>94</v>
      </c>
      <c r="I5345" s="71" t="s">
        <v>94</v>
      </c>
      <c r="J5345" s="53">
        <f t="shared" si="2613"/>
        <v>260000</v>
      </c>
      <c r="K5345" s="63">
        <f t="shared" si="2614"/>
        <v>0.52</v>
      </c>
      <c r="L5345" s="1212" t="s">
        <v>3471</v>
      </c>
      <c r="M5345" s="468"/>
      <c r="N5345" s="1192">
        <f t="shared" si="2615"/>
        <v>44818</v>
      </c>
      <c r="O5345" s="71" t="s">
        <v>94</v>
      </c>
      <c r="P5345" s="103" t="str">
        <f t="shared" si="2616"/>
        <v>필터백</v>
      </c>
      <c r="Q5345" s="71">
        <f>D5345</f>
        <v>10</v>
      </c>
      <c r="R5345" s="102">
        <v>24000</v>
      </c>
      <c r="S5345" s="102">
        <f>R5345*Q5345*1.1</f>
        <v>264000</v>
      </c>
      <c r="T5345" s="102">
        <f>R5345*Q5345</f>
        <v>240000</v>
      </c>
      <c r="U5345" s="71"/>
      <c r="V5345" s="71"/>
      <c r="W5345" s="474"/>
      <c r="X5345" s="71"/>
      <c r="Y5345" s="71"/>
    </row>
    <row r="5346" spans="1:25" s="209" customFormat="1" ht="30" hidden="1" customHeight="1" x14ac:dyDescent="0.2">
      <c r="A5346" s="1145">
        <v>44809</v>
      </c>
      <c r="B5346" s="664" t="s">
        <v>2155</v>
      </c>
      <c r="C5346" s="71" t="s">
        <v>236</v>
      </c>
      <c r="D5346" s="71">
        <v>2</v>
      </c>
      <c r="E5346" s="102">
        <v>105000</v>
      </c>
      <c r="F5346" s="163">
        <f t="shared" si="2592"/>
        <v>231000.00000000003</v>
      </c>
      <c r="G5346" s="102">
        <f t="shared" si="2593"/>
        <v>210000</v>
      </c>
      <c r="H5346" s="690" t="s">
        <v>173</v>
      </c>
      <c r="I5346" s="71" t="s">
        <v>2231</v>
      </c>
      <c r="J5346" s="53">
        <f>G5346-T5346</f>
        <v>110000</v>
      </c>
      <c r="K5346" s="63">
        <f>(J5346/(F5346/11*10))</f>
        <v>0.52380952380952372</v>
      </c>
      <c r="L5346" s="1212" t="s">
        <v>3486</v>
      </c>
      <c r="M5346" s="468"/>
      <c r="N5346" s="1192">
        <f t="shared" si="2615"/>
        <v>44809</v>
      </c>
      <c r="O5346" s="71" t="s">
        <v>153</v>
      </c>
      <c r="P5346" s="164" t="str">
        <f t="shared" si="2616"/>
        <v>아스테이지(국전)</v>
      </c>
      <c r="Q5346" s="71">
        <f t="shared" si="2596"/>
        <v>2</v>
      </c>
      <c r="R5346" s="102">
        <v>50000</v>
      </c>
      <c r="S5346" s="102">
        <f t="shared" si="2607"/>
        <v>110000.00000000001</v>
      </c>
      <c r="T5346" s="102">
        <f t="shared" si="2608"/>
        <v>100000</v>
      </c>
      <c r="U5346" s="71" t="str">
        <f>IF(J5346=W5346,"O", "X")</f>
        <v>X</v>
      </c>
      <c r="V5346" s="71"/>
      <c r="W5346" s="474">
        <v>500000</v>
      </c>
      <c r="X5346" s="71"/>
      <c r="Y5346" s="71"/>
    </row>
    <row r="5347" spans="1:25" ht="30" hidden="1" customHeight="1" x14ac:dyDescent="0.25">
      <c r="A5347" s="1145">
        <v>44829</v>
      </c>
      <c r="B5347" s="664" t="s">
        <v>1060</v>
      </c>
      <c r="C5347" s="71" t="s">
        <v>3310</v>
      </c>
      <c r="D5347" s="71">
        <v>300</v>
      </c>
      <c r="E5347" s="102">
        <v>6340</v>
      </c>
      <c r="F5347" s="102">
        <f t="shared" si="2592"/>
        <v>2092200.0000000002</v>
      </c>
      <c r="G5347" s="102">
        <f t="shared" si="2593"/>
        <v>1902000</v>
      </c>
      <c r="H5347" s="690" t="s">
        <v>36</v>
      </c>
      <c r="I5347" s="71" t="s">
        <v>2529</v>
      </c>
      <c r="J5347" s="53">
        <f t="shared" ref="J5347:J5365" si="2617">G5347-T5347</f>
        <v>357000</v>
      </c>
      <c r="K5347" s="63">
        <f t="shared" ref="K5347:K5365" si="2618">(J5347/(F5347/11*10))</f>
        <v>0.18769716088328073</v>
      </c>
      <c r="L5347" s="1212" t="s">
        <v>3471</v>
      </c>
      <c r="M5347" s="102">
        <v>4250</v>
      </c>
      <c r="N5347" s="1192">
        <f t="shared" ref="N5347:N5367" si="2619">A5347</f>
        <v>44829</v>
      </c>
      <c r="O5347" s="71" t="s">
        <v>3298</v>
      </c>
      <c r="P5347" s="103" t="str">
        <f t="shared" ref="P5347:P5368" si="2620">(C5347)</f>
        <v>ENGAGE 1030*790</v>
      </c>
      <c r="Q5347" s="71">
        <f t="shared" si="2596"/>
        <v>300</v>
      </c>
      <c r="R5347" s="102">
        <v>5150</v>
      </c>
      <c r="S5347" s="102">
        <f t="shared" si="2607"/>
        <v>1699500.0000000002</v>
      </c>
      <c r="T5347" s="102">
        <f t="shared" si="2608"/>
        <v>1545000</v>
      </c>
      <c r="U5347" s="71" t="str">
        <f t="shared" ref="U5347:U5365" si="2621">IF(J5347=W5347,"O", "X")</f>
        <v>O</v>
      </c>
      <c r="V5347" s="71"/>
      <c r="W5347" s="474">
        <f t="shared" ref="W5347:W5365" si="2622">(G5347-T5347)</f>
        <v>357000</v>
      </c>
      <c r="X5347" s="71"/>
      <c r="Y5347" s="71"/>
    </row>
    <row r="5348" spans="1:25" ht="30" hidden="1" customHeight="1" x14ac:dyDescent="0.25">
      <c r="A5348" s="1145">
        <v>44829</v>
      </c>
      <c r="B5348" s="664" t="s">
        <v>2255</v>
      </c>
      <c r="C5348" s="71" t="s">
        <v>3400</v>
      </c>
      <c r="D5348" s="71">
        <v>1600</v>
      </c>
      <c r="E5348" s="102">
        <v>3990</v>
      </c>
      <c r="F5348" s="102">
        <f t="shared" si="2592"/>
        <v>7022400.0000000009</v>
      </c>
      <c r="G5348" s="102">
        <f t="shared" si="2593"/>
        <v>6384000</v>
      </c>
      <c r="H5348" s="690" t="s">
        <v>36</v>
      </c>
      <c r="I5348" s="71" t="s">
        <v>2529</v>
      </c>
      <c r="J5348" s="53">
        <f t="shared" si="2617"/>
        <v>1184000</v>
      </c>
      <c r="K5348" s="63">
        <f t="shared" si="2618"/>
        <v>0.18546365914786964</v>
      </c>
      <c r="L5348" s="1212" t="s">
        <v>3471</v>
      </c>
      <c r="M5348" s="102">
        <v>2680</v>
      </c>
      <c r="N5348" s="1192">
        <f t="shared" si="2619"/>
        <v>44829</v>
      </c>
      <c r="O5348" s="71" t="s">
        <v>3298</v>
      </c>
      <c r="P5348" s="103" t="str">
        <f t="shared" si="2620"/>
        <v>ENGAGE 900X571 - 27RO</v>
      </c>
      <c r="Q5348" s="71">
        <f t="shared" si="2596"/>
        <v>1600</v>
      </c>
      <c r="R5348" s="102">
        <v>3250</v>
      </c>
      <c r="S5348" s="102">
        <f t="shared" si="2607"/>
        <v>5720000</v>
      </c>
      <c r="T5348" s="102">
        <f t="shared" si="2608"/>
        <v>5200000</v>
      </c>
      <c r="U5348" s="71" t="str">
        <f t="shared" si="2621"/>
        <v>O</v>
      </c>
      <c r="V5348" s="71"/>
      <c r="W5348" s="474">
        <f t="shared" si="2622"/>
        <v>1184000</v>
      </c>
      <c r="X5348" s="71"/>
      <c r="Y5348" s="71"/>
    </row>
    <row r="5349" spans="1:25" ht="30" hidden="1" customHeight="1" x14ac:dyDescent="0.25">
      <c r="A5349" s="1145">
        <v>44829</v>
      </c>
      <c r="B5349" s="664" t="s">
        <v>2255</v>
      </c>
      <c r="C5349" s="71" t="s">
        <v>3402</v>
      </c>
      <c r="D5349" s="71">
        <v>3100</v>
      </c>
      <c r="E5349" s="102">
        <v>3800</v>
      </c>
      <c r="F5349" s="102">
        <f t="shared" si="2592"/>
        <v>12958000.000000002</v>
      </c>
      <c r="G5349" s="102">
        <f t="shared" si="2593"/>
        <v>11780000</v>
      </c>
      <c r="H5349" s="690" t="s">
        <v>36</v>
      </c>
      <c r="I5349" s="71" t="s">
        <v>2529</v>
      </c>
      <c r="J5349" s="53">
        <f t="shared" si="2617"/>
        <v>2232000</v>
      </c>
      <c r="K5349" s="63">
        <f t="shared" si="2618"/>
        <v>0.18947368421052629</v>
      </c>
      <c r="L5349" s="1212" t="s">
        <v>3471</v>
      </c>
      <c r="M5349" s="102">
        <v>2540</v>
      </c>
      <c r="N5349" s="1192">
        <f t="shared" si="2619"/>
        <v>44829</v>
      </c>
      <c r="O5349" s="71" t="s">
        <v>3298</v>
      </c>
      <c r="P5349" s="103" t="str">
        <f t="shared" si="2620"/>
        <v>ENGAGE 30WEB(883*552)</v>
      </c>
      <c r="Q5349" s="71">
        <f t="shared" si="2596"/>
        <v>3100</v>
      </c>
      <c r="R5349" s="102">
        <v>3080</v>
      </c>
      <c r="S5349" s="102">
        <f t="shared" si="2607"/>
        <v>10502800</v>
      </c>
      <c r="T5349" s="102">
        <f t="shared" si="2608"/>
        <v>9548000</v>
      </c>
      <c r="U5349" s="71" t="str">
        <f t="shared" si="2621"/>
        <v>O</v>
      </c>
      <c r="V5349" s="71"/>
      <c r="W5349" s="474">
        <f t="shared" si="2622"/>
        <v>2232000</v>
      </c>
      <c r="X5349" s="71"/>
      <c r="Y5349" s="71"/>
    </row>
    <row r="5350" spans="1:25" ht="30" hidden="1" customHeight="1" x14ac:dyDescent="0.25">
      <c r="A5350" s="1145">
        <v>44829</v>
      </c>
      <c r="B5350" s="664" t="s">
        <v>2255</v>
      </c>
      <c r="C5350" s="71" t="s">
        <v>3313</v>
      </c>
      <c r="D5350" s="71">
        <v>1700</v>
      </c>
      <c r="E5350" s="102">
        <v>6420</v>
      </c>
      <c r="F5350" s="102">
        <f t="shared" si="2592"/>
        <v>12005400.000000002</v>
      </c>
      <c r="G5350" s="102">
        <f t="shared" si="2593"/>
        <v>10914000</v>
      </c>
      <c r="H5350" s="690" t="s">
        <v>36</v>
      </c>
      <c r="I5350" s="71" t="s">
        <v>2529</v>
      </c>
      <c r="J5350" s="53">
        <f t="shared" si="2617"/>
        <v>2040000</v>
      </c>
      <c r="K5350" s="63">
        <f t="shared" si="2618"/>
        <v>0.18691588785046725</v>
      </c>
      <c r="L5350" s="1212" t="s">
        <v>3471</v>
      </c>
      <c r="M5350" s="102">
        <v>4300</v>
      </c>
      <c r="N5350" s="1192">
        <f t="shared" si="2619"/>
        <v>44829</v>
      </c>
      <c r="O5350" s="71" t="s">
        <v>3298</v>
      </c>
      <c r="P5350" s="103" t="str">
        <f t="shared" si="2620"/>
        <v>ENGAGE 1030*800</v>
      </c>
      <c r="Q5350" s="71">
        <f t="shared" si="2596"/>
        <v>1700</v>
      </c>
      <c r="R5350" s="102">
        <v>5220</v>
      </c>
      <c r="S5350" s="102">
        <f t="shared" si="2607"/>
        <v>9761400</v>
      </c>
      <c r="T5350" s="102">
        <f t="shared" si="2608"/>
        <v>8874000</v>
      </c>
      <c r="U5350" s="71" t="str">
        <f t="shared" si="2621"/>
        <v>O</v>
      </c>
      <c r="V5350" s="71"/>
      <c r="W5350" s="474">
        <f t="shared" si="2622"/>
        <v>2040000</v>
      </c>
      <c r="X5350" s="71"/>
      <c r="Y5350" s="71"/>
    </row>
    <row r="5351" spans="1:25" ht="30" hidden="1" customHeight="1" x14ac:dyDescent="0.25">
      <c r="A5351" s="1145">
        <v>44829</v>
      </c>
      <c r="B5351" s="664" t="s">
        <v>2255</v>
      </c>
      <c r="C5351" s="71" t="s">
        <v>3314</v>
      </c>
      <c r="D5351" s="71">
        <v>900</v>
      </c>
      <c r="E5351" s="102">
        <v>6660</v>
      </c>
      <c r="F5351" s="102">
        <f t="shared" si="2592"/>
        <v>6593400.0000000009</v>
      </c>
      <c r="G5351" s="102">
        <f t="shared" si="2593"/>
        <v>5994000</v>
      </c>
      <c r="H5351" s="690" t="s">
        <v>36</v>
      </c>
      <c r="I5351" s="71" t="s">
        <v>2529</v>
      </c>
      <c r="J5351" s="53">
        <f t="shared" si="2617"/>
        <v>1116000</v>
      </c>
      <c r="K5351" s="63">
        <f t="shared" si="2618"/>
        <v>0.18618618618618615</v>
      </c>
      <c r="L5351" s="1212" t="s">
        <v>3471</v>
      </c>
      <c r="M5351" s="102">
        <v>4470</v>
      </c>
      <c r="N5351" s="1192">
        <f t="shared" si="2619"/>
        <v>44829</v>
      </c>
      <c r="O5351" s="71" t="s">
        <v>3298</v>
      </c>
      <c r="P5351" s="103" t="str">
        <f t="shared" si="2620"/>
        <v>ENGAGE 1055*811</v>
      </c>
      <c r="Q5351" s="71">
        <f t="shared" si="2596"/>
        <v>900</v>
      </c>
      <c r="R5351" s="102">
        <v>5420</v>
      </c>
      <c r="S5351" s="102">
        <f t="shared" si="2607"/>
        <v>5365800</v>
      </c>
      <c r="T5351" s="102">
        <f t="shared" si="2608"/>
        <v>4878000</v>
      </c>
      <c r="U5351" s="71" t="str">
        <f t="shared" si="2621"/>
        <v>O</v>
      </c>
      <c r="V5351" s="71"/>
      <c r="W5351" s="474">
        <f t="shared" si="2622"/>
        <v>1116000</v>
      </c>
      <c r="X5351" s="71"/>
      <c r="Y5351" s="71"/>
    </row>
    <row r="5352" spans="1:25" ht="30" hidden="1" customHeight="1" x14ac:dyDescent="0.25">
      <c r="A5352" s="1145">
        <v>44829</v>
      </c>
      <c r="B5352" s="664" t="s">
        <v>2255</v>
      </c>
      <c r="C5352" s="71" t="s">
        <v>3315</v>
      </c>
      <c r="D5352" s="71">
        <v>300</v>
      </c>
      <c r="E5352" s="102">
        <v>4760</v>
      </c>
      <c r="F5352" s="102">
        <f t="shared" si="2592"/>
        <v>1570800.0000000002</v>
      </c>
      <c r="G5352" s="102">
        <f t="shared" si="2593"/>
        <v>1428000</v>
      </c>
      <c r="H5352" s="690" t="s">
        <v>36</v>
      </c>
      <c r="I5352" s="71" t="s">
        <v>2529</v>
      </c>
      <c r="J5352" s="53">
        <f t="shared" si="2617"/>
        <v>267000</v>
      </c>
      <c r="K5352" s="63">
        <f t="shared" si="2618"/>
        <v>0.18697478991596636</v>
      </c>
      <c r="L5352" s="1212" t="s">
        <v>3471</v>
      </c>
      <c r="M5352" s="102">
        <v>3190</v>
      </c>
      <c r="N5352" s="1192">
        <f t="shared" si="2619"/>
        <v>44829</v>
      </c>
      <c r="O5352" s="71" t="s">
        <v>3298</v>
      </c>
      <c r="P5352" s="103" t="str">
        <f t="shared" si="2620"/>
        <v>ENGAGE 968*631</v>
      </c>
      <c r="Q5352" s="71">
        <f t="shared" si="2596"/>
        <v>300</v>
      </c>
      <c r="R5352" s="102">
        <v>3870</v>
      </c>
      <c r="S5352" s="102">
        <f t="shared" si="2607"/>
        <v>1277100</v>
      </c>
      <c r="T5352" s="102">
        <f t="shared" si="2608"/>
        <v>1161000</v>
      </c>
      <c r="U5352" s="71" t="str">
        <f t="shared" si="2621"/>
        <v>O</v>
      </c>
      <c r="V5352" s="71"/>
      <c r="W5352" s="474">
        <f t="shared" si="2622"/>
        <v>267000</v>
      </c>
      <c r="X5352" s="71"/>
      <c r="Y5352" s="71"/>
    </row>
    <row r="5353" spans="1:25" ht="30" hidden="1" customHeight="1" x14ac:dyDescent="0.25">
      <c r="A5353" s="1145">
        <v>44829</v>
      </c>
      <c r="B5353" s="664" t="s">
        <v>2255</v>
      </c>
      <c r="C5353" s="71" t="s">
        <v>3316</v>
      </c>
      <c r="D5353" s="71"/>
      <c r="E5353" s="102"/>
      <c r="F5353" s="102">
        <f t="shared" si="2592"/>
        <v>0</v>
      </c>
      <c r="G5353" s="102">
        <f t="shared" si="2593"/>
        <v>0</v>
      </c>
      <c r="H5353" s="690" t="s">
        <v>36</v>
      </c>
      <c r="I5353" s="71" t="s">
        <v>2529</v>
      </c>
      <c r="J5353" s="53">
        <f t="shared" si="2617"/>
        <v>0</v>
      </c>
      <c r="K5353" s="63" t="e">
        <f t="shared" si="2618"/>
        <v>#DIV/0!</v>
      </c>
      <c r="L5353" s="1212" t="s">
        <v>3471</v>
      </c>
      <c r="M5353" s="102">
        <v>5510</v>
      </c>
      <c r="N5353" s="1192">
        <f t="shared" si="2619"/>
        <v>44829</v>
      </c>
      <c r="O5353" s="71" t="s">
        <v>3298</v>
      </c>
      <c r="P5353" s="103" t="str">
        <f t="shared" si="2620"/>
        <v>ENGAGE 1092*800</v>
      </c>
      <c r="Q5353" s="71">
        <f t="shared" si="2596"/>
        <v>0</v>
      </c>
      <c r="R5353" s="102">
        <f>(M5353*1.07)</f>
        <v>5895.7000000000007</v>
      </c>
      <c r="S5353" s="102">
        <f t="shared" si="2607"/>
        <v>0</v>
      </c>
      <c r="T5353" s="102">
        <f t="shared" si="2608"/>
        <v>0</v>
      </c>
      <c r="U5353" s="71" t="str">
        <f t="shared" si="2621"/>
        <v>O</v>
      </c>
      <c r="V5353" s="71"/>
      <c r="W5353" s="474">
        <f t="shared" si="2622"/>
        <v>0</v>
      </c>
      <c r="X5353" s="71"/>
      <c r="Y5353" s="71"/>
    </row>
    <row r="5354" spans="1:25" ht="30" hidden="1" customHeight="1" x14ac:dyDescent="0.25">
      <c r="A5354" s="1145">
        <v>44829</v>
      </c>
      <c r="B5354" s="664" t="s">
        <v>2255</v>
      </c>
      <c r="C5354" s="71" t="s">
        <v>1386</v>
      </c>
      <c r="D5354" s="71">
        <v>45</v>
      </c>
      <c r="E5354" s="102">
        <v>58500</v>
      </c>
      <c r="F5354" s="102">
        <f t="shared" si="2592"/>
        <v>2895750.0000000005</v>
      </c>
      <c r="G5354" s="102">
        <f t="shared" si="2593"/>
        <v>2632500</v>
      </c>
      <c r="H5354" s="690" t="s">
        <v>179</v>
      </c>
      <c r="I5354" s="71" t="s">
        <v>3405</v>
      </c>
      <c r="J5354" s="53">
        <f t="shared" si="2617"/>
        <v>821250</v>
      </c>
      <c r="K5354" s="63">
        <f t="shared" si="2618"/>
        <v>0.31196581196581191</v>
      </c>
      <c r="L5354" s="1212" t="s">
        <v>3471</v>
      </c>
      <c r="M5354" s="468"/>
      <c r="N5354" s="1192">
        <f t="shared" si="2619"/>
        <v>44829</v>
      </c>
      <c r="O5354" s="71" t="s">
        <v>194</v>
      </c>
      <c r="P5354" s="164" t="str">
        <f t="shared" si="2620"/>
        <v>THR200(20L)보충액</v>
      </c>
      <c r="Q5354" s="71">
        <f t="shared" si="2596"/>
        <v>45</v>
      </c>
      <c r="R5354" s="102">
        <v>40250</v>
      </c>
      <c r="S5354" s="102">
        <f t="shared" si="2607"/>
        <v>1992375.0000000002</v>
      </c>
      <c r="T5354" s="102">
        <f t="shared" si="2608"/>
        <v>1811250</v>
      </c>
      <c r="U5354" s="71" t="str">
        <f t="shared" si="2621"/>
        <v>O</v>
      </c>
      <c r="V5354" s="71"/>
      <c r="W5354" s="474">
        <f t="shared" si="2622"/>
        <v>821250</v>
      </c>
      <c r="X5354" s="71"/>
      <c r="Y5354" s="71"/>
    </row>
    <row r="5355" spans="1:25" ht="30" hidden="1" customHeight="1" x14ac:dyDescent="0.25">
      <c r="A5355" s="1145">
        <v>44829</v>
      </c>
      <c r="B5355" s="664" t="s">
        <v>2255</v>
      </c>
      <c r="C5355" s="71" t="s">
        <v>3318</v>
      </c>
      <c r="D5355" s="71">
        <v>10</v>
      </c>
      <c r="E5355" s="102">
        <v>58500</v>
      </c>
      <c r="F5355" s="102">
        <f t="shared" si="2592"/>
        <v>643500</v>
      </c>
      <c r="G5355" s="102">
        <f t="shared" si="2593"/>
        <v>585000</v>
      </c>
      <c r="H5355" s="690" t="s">
        <v>36</v>
      </c>
      <c r="I5355" s="71" t="s">
        <v>2529</v>
      </c>
      <c r="J5355" s="53">
        <f t="shared" si="2617"/>
        <v>182500</v>
      </c>
      <c r="K5355" s="63">
        <f t="shared" si="2618"/>
        <v>0.31196581196581197</v>
      </c>
      <c r="L5355" s="1212" t="s">
        <v>3471</v>
      </c>
      <c r="M5355" s="468"/>
      <c r="N5355" s="1192">
        <f t="shared" si="2619"/>
        <v>44829</v>
      </c>
      <c r="O5355" s="71" t="s">
        <v>3298</v>
      </c>
      <c r="P5355" s="103" t="str">
        <f t="shared" si="2620"/>
        <v>THD200(20L)현상액</v>
      </c>
      <c r="Q5355" s="71">
        <f t="shared" si="2596"/>
        <v>10</v>
      </c>
      <c r="R5355" s="102">
        <v>40250</v>
      </c>
      <c r="S5355" s="102">
        <f t="shared" si="2607"/>
        <v>442750.00000000006</v>
      </c>
      <c r="T5355" s="102">
        <f t="shared" si="2608"/>
        <v>402500</v>
      </c>
      <c r="U5355" s="71" t="str">
        <f t="shared" si="2621"/>
        <v>O</v>
      </c>
      <c r="V5355" s="71"/>
      <c r="W5355" s="474">
        <f t="shared" si="2622"/>
        <v>182500</v>
      </c>
      <c r="X5355" s="71"/>
      <c r="Y5355" s="71"/>
    </row>
    <row r="5356" spans="1:25" ht="30" hidden="1" customHeight="1" x14ac:dyDescent="0.25">
      <c r="A5356" s="1145">
        <v>44829</v>
      </c>
      <c r="B5356" s="664" t="s">
        <v>2254</v>
      </c>
      <c r="C5356" s="71" t="s">
        <v>3319</v>
      </c>
      <c r="D5356" s="71">
        <v>200</v>
      </c>
      <c r="E5356" s="102">
        <v>6328</v>
      </c>
      <c r="F5356" s="102">
        <f t="shared" si="2592"/>
        <v>1392160</v>
      </c>
      <c r="G5356" s="102">
        <f t="shared" si="2593"/>
        <v>1265600</v>
      </c>
      <c r="H5356" s="690" t="s">
        <v>36</v>
      </c>
      <c r="I5356" s="71" t="s">
        <v>3320</v>
      </c>
      <c r="J5356" s="53">
        <f t="shared" si="2617"/>
        <v>205600</v>
      </c>
      <c r="K5356" s="63">
        <f t="shared" si="2618"/>
        <v>0.16245259165613149</v>
      </c>
      <c r="L5356" s="1212" t="s">
        <v>3471</v>
      </c>
      <c r="M5356" s="468"/>
      <c r="N5356" s="1192">
        <f t="shared" si="2619"/>
        <v>44829</v>
      </c>
      <c r="O5356" s="71" t="s">
        <v>146</v>
      </c>
      <c r="P5356" s="103" t="str">
        <f t="shared" si="2620"/>
        <v>프리미어(먹)</v>
      </c>
      <c r="Q5356" s="71">
        <f t="shared" si="2596"/>
        <v>200</v>
      </c>
      <c r="R5356" s="102">
        <v>5300</v>
      </c>
      <c r="S5356" s="102">
        <f t="shared" si="2607"/>
        <v>1166000</v>
      </c>
      <c r="T5356" s="102">
        <f t="shared" si="2608"/>
        <v>1060000</v>
      </c>
      <c r="U5356" s="71" t="str">
        <f t="shared" si="2621"/>
        <v>O</v>
      </c>
      <c r="V5356" s="71"/>
      <c r="W5356" s="474">
        <f t="shared" si="2622"/>
        <v>205600</v>
      </c>
      <c r="X5356" s="71"/>
      <c r="Y5356" s="71"/>
    </row>
    <row r="5357" spans="1:25" ht="30" hidden="1" customHeight="1" x14ac:dyDescent="0.25">
      <c r="A5357" s="1145">
        <v>44829</v>
      </c>
      <c r="B5357" s="664" t="s">
        <v>2254</v>
      </c>
      <c r="C5357" s="71" t="s">
        <v>3321</v>
      </c>
      <c r="D5357" s="71">
        <v>200</v>
      </c>
      <c r="E5357" s="102">
        <v>6780</v>
      </c>
      <c r="F5357" s="102">
        <f t="shared" si="2592"/>
        <v>1491600.0000000002</v>
      </c>
      <c r="G5357" s="102">
        <f t="shared" si="2593"/>
        <v>1356000</v>
      </c>
      <c r="H5357" s="690" t="s">
        <v>36</v>
      </c>
      <c r="I5357" s="71" t="s">
        <v>3320</v>
      </c>
      <c r="J5357" s="53">
        <f t="shared" si="2617"/>
        <v>146000</v>
      </c>
      <c r="K5357" s="63">
        <f t="shared" si="2618"/>
        <v>0.10766961651917402</v>
      </c>
      <c r="L5357" s="1212" t="s">
        <v>3471</v>
      </c>
      <c r="M5357" s="468"/>
      <c r="N5357" s="1192">
        <f t="shared" si="2619"/>
        <v>44829</v>
      </c>
      <c r="O5357" s="71" t="s">
        <v>146</v>
      </c>
      <c r="P5357" s="103" t="str">
        <f t="shared" si="2620"/>
        <v>프리미어(적)</v>
      </c>
      <c r="Q5357" s="71">
        <f t="shared" si="2596"/>
        <v>200</v>
      </c>
      <c r="R5357" s="102">
        <v>6050</v>
      </c>
      <c r="S5357" s="102">
        <f t="shared" si="2607"/>
        <v>1331000</v>
      </c>
      <c r="T5357" s="102">
        <f t="shared" si="2608"/>
        <v>1210000</v>
      </c>
      <c r="U5357" s="71" t="str">
        <f t="shared" si="2621"/>
        <v>O</v>
      </c>
      <c r="V5357" s="71"/>
      <c r="W5357" s="474">
        <f t="shared" si="2622"/>
        <v>146000</v>
      </c>
      <c r="X5357" s="71"/>
      <c r="Y5357" s="71"/>
    </row>
    <row r="5358" spans="1:25" ht="30" hidden="1" customHeight="1" x14ac:dyDescent="0.25">
      <c r="A5358" s="1145">
        <v>44829</v>
      </c>
      <c r="B5358" s="664" t="s">
        <v>2254</v>
      </c>
      <c r="C5358" s="71" t="s">
        <v>1289</v>
      </c>
      <c r="D5358" s="71">
        <v>400</v>
      </c>
      <c r="E5358" s="102">
        <v>6498</v>
      </c>
      <c r="F5358" s="102">
        <f t="shared" si="2592"/>
        <v>2859120</v>
      </c>
      <c r="G5358" s="102">
        <f t="shared" si="2593"/>
        <v>2599200</v>
      </c>
      <c r="H5358" s="690" t="s">
        <v>36</v>
      </c>
      <c r="I5358" s="71" t="s">
        <v>3320</v>
      </c>
      <c r="J5358" s="53">
        <f t="shared" si="2617"/>
        <v>427200</v>
      </c>
      <c r="K5358" s="63">
        <f t="shared" si="2618"/>
        <v>0.16435826408125578</v>
      </c>
      <c r="L5358" s="1212" t="s">
        <v>3471</v>
      </c>
      <c r="M5358" s="468"/>
      <c r="N5358" s="1192">
        <f t="shared" si="2619"/>
        <v>44829</v>
      </c>
      <c r="O5358" s="71" t="s">
        <v>146</v>
      </c>
      <c r="P5358" s="103" t="str">
        <f t="shared" si="2620"/>
        <v>프리미어(황)</v>
      </c>
      <c r="Q5358" s="71">
        <f t="shared" si="2596"/>
        <v>400</v>
      </c>
      <c r="R5358" s="102">
        <v>5430</v>
      </c>
      <c r="S5358" s="102">
        <f t="shared" si="2607"/>
        <v>2389200</v>
      </c>
      <c r="T5358" s="102">
        <f t="shared" si="2608"/>
        <v>2172000</v>
      </c>
      <c r="U5358" s="71" t="str">
        <f t="shared" si="2621"/>
        <v>O</v>
      </c>
      <c r="V5358" s="71"/>
      <c r="W5358" s="474">
        <f t="shared" si="2622"/>
        <v>427200</v>
      </c>
      <c r="X5358" s="71"/>
      <c r="Y5358" s="71"/>
    </row>
    <row r="5359" spans="1:25" ht="30" hidden="1" customHeight="1" x14ac:dyDescent="0.25">
      <c r="A5359" s="1145">
        <v>44829</v>
      </c>
      <c r="B5359" s="664" t="s">
        <v>2254</v>
      </c>
      <c r="C5359" s="71" t="s">
        <v>1290</v>
      </c>
      <c r="D5359" s="71">
        <v>400</v>
      </c>
      <c r="E5359" s="102">
        <v>7910</v>
      </c>
      <c r="F5359" s="102">
        <f t="shared" si="2592"/>
        <v>3480400.0000000005</v>
      </c>
      <c r="G5359" s="102">
        <f t="shared" si="2593"/>
        <v>3164000</v>
      </c>
      <c r="H5359" s="690" t="s">
        <v>36</v>
      </c>
      <c r="I5359" s="71" t="s">
        <v>3320</v>
      </c>
      <c r="J5359" s="53">
        <f t="shared" si="2617"/>
        <v>564000</v>
      </c>
      <c r="K5359" s="63">
        <f t="shared" si="2618"/>
        <v>0.1782553729456384</v>
      </c>
      <c r="L5359" s="1212" t="s">
        <v>3471</v>
      </c>
      <c r="M5359" s="468"/>
      <c r="N5359" s="1192">
        <f t="shared" si="2619"/>
        <v>44829</v>
      </c>
      <c r="O5359" s="71" t="s">
        <v>146</v>
      </c>
      <c r="P5359" s="103" t="str">
        <f t="shared" si="2620"/>
        <v>프리미어(청)</v>
      </c>
      <c r="Q5359" s="71">
        <f t="shared" si="2596"/>
        <v>400</v>
      </c>
      <c r="R5359" s="102">
        <v>6500</v>
      </c>
      <c r="S5359" s="102">
        <f t="shared" si="2607"/>
        <v>2860000</v>
      </c>
      <c r="T5359" s="102">
        <f t="shared" si="2608"/>
        <v>2600000</v>
      </c>
      <c r="U5359" s="71" t="str">
        <f t="shared" si="2621"/>
        <v>O</v>
      </c>
      <c r="V5359" s="71"/>
      <c r="W5359" s="474">
        <f t="shared" si="2622"/>
        <v>564000</v>
      </c>
      <c r="X5359" s="71"/>
      <c r="Y5359" s="71"/>
    </row>
    <row r="5360" spans="1:25" ht="30" hidden="1" customHeight="1" x14ac:dyDescent="0.25">
      <c r="A5360" s="1145">
        <v>44829</v>
      </c>
      <c r="B5360" s="664" t="s">
        <v>2254</v>
      </c>
      <c r="C5360" s="71" t="s">
        <v>3322</v>
      </c>
      <c r="D5360" s="71">
        <v>0</v>
      </c>
      <c r="E5360" s="102">
        <v>6200</v>
      </c>
      <c r="F5360" s="102">
        <f t="shared" si="2592"/>
        <v>0</v>
      </c>
      <c r="G5360" s="102">
        <f t="shared" si="2593"/>
        <v>0</v>
      </c>
      <c r="H5360" s="690" t="s">
        <v>36</v>
      </c>
      <c r="I5360" s="71" t="s">
        <v>3320</v>
      </c>
      <c r="J5360" s="53">
        <f t="shared" si="2617"/>
        <v>0</v>
      </c>
      <c r="K5360" s="63" t="e">
        <f t="shared" si="2618"/>
        <v>#DIV/0!</v>
      </c>
      <c r="L5360" s="1212" t="s">
        <v>3471</v>
      </c>
      <c r="M5360" s="468"/>
      <c r="N5360" s="1192">
        <f t="shared" si="2619"/>
        <v>44829</v>
      </c>
      <c r="O5360" s="71" t="s">
        <v>3323</v>
      </c>
      <c r="P5360" s="103" t="str">
        <f t="shared" si="2620"/>
        <v>한특 잉크(적)</v>
      </c>
      <c r="Q5360" s="71">
        <f t="shared" si="2596"/>
        <v>0</v>
      </c>
      <c r="R5360" s="102">
        <v>5900</v>
      </c>
      <c r="S5360" s="102">
        <f t="shared" si="2607"/>
        <v>0</v>
      </c>
      <c r="T5360" s="102">
        <f t="shared" si="2608"/>
        <v>0</v>
      </c>
      <c r="U5360" s="71" t="str">
        <f t="shared" si="2621"/>
        <v>O</v>
      </c>
      <c r="V5360" s="71"/>
      <c r="W5360" s="474">
        <f t="shared" si="2622"/>
        <v>0</v>
      </c>
      <c r="X5360" s="71"/>
      <c r="Y5360" s="71"/>
    </row>
    <row r="5361" spans="1:25" ht="30" hidden="1" customHeight="1" x14ac:dyDescent="0.25">
      <c r="A5361" s="1145">
        <v>44829</v>
      </c>
      <c r="B5361" s="664" t="s">
        <v>2254</v>
      </c>
      <c r="C5361" s="71" t="s">
        <v>3324</v>
      </c>
      <c r="D5361" s="71">
        <v>0</v>
      </c>
      <c r="E5361" s="102">
        <v>6000</v>
      </c>
      <c r="F5361" s="102">
        <f t="shared" si="2592"/>
        <v>0</v>
      </c>
      <c r="G5361" s="102">
        <f t="shared" si="2593"/>
        <v>0</v>
      </c>
      <c r="H5361" s="690" t="s">
        <v>36</v>
      </c>
      <c r="I5361" s="71" t="s">
        <v>3320</v>
      </c>
      <c r="J5361" s="53">
        <f t="shared" si="2617"/>
        <v>0</v>
      </c>
      <c r="K5361" s="63" t="e">
        <f t="shared" si="2618"/>
        <v>#DIV/0!</v>
      </c>
      <c r="L5361" s="1212" t="s">
        <v>3471</v>
      </c>
      <c r="M5361" s="468"/>
      <c r="N5361" s="1192">
        <f t="shared" si="2619"/>
        <v>44829</v>
      </c>
      <c r="O5361" s="71" t="s">
        <v>3323</v>
      </c>
      <c r="P5361" s="103" t="str">
        <f t="shared" si="2620"/>
        <v>한특 잉크(황)</v>
      </c>
      <c r="Q5361" s="71">
        <f t="shared" si="2596"/>
        <v>0</v>
      </c>
      <c r="R5361" s="102">
        <v>5500</v>
      </c>
      <c r="S5361" s="102">
        <f t="shared" si="2607"/>
        <v>0</v>
      </c>
      <c r="T5361" s="102">
        <f t="shared" si="2608"/>
        <v>0</v>
      </c>
      <c r="U5361" s="71" t="str">
        <f t="shared" si="2621"/>
        <v>O</v>
      </c>
      <c r="V5361" s="71"/>
      <c r="W5361" s="474">
        <f t="shared" si="2622"/>
        <v>0</v>
      </c>
      <c r="X5361" s="71"/>
      <c r="Y5361" s="71"/>
    </row>
    <row r="5362" spans="1:25" ht="28.5" hidden="1" customHeight="1" x14ac:dyDescent="0.25">
      <c r="A5362" s="1145">
        <v>44829</v>
      </c>
      <c r="B5362" s="664" t="s">
        <v>2254</v>
      </c>
      <c r="C5362" s="71" t="s">
        <v>3325</v>
      </c>
      <c r="D5362" s="71">
        <v>0</v>
      </c>
      <c r="E5362" s="102">
        <v>6500</v>
      </c>
      <c r="F5362" s="102">
        <f t="shared" si="2592"/>
        <v>0</v>
      </c>
      <c r="G5362" s="102">
        <f t="shared" si="2593"/>
        <v>0</v>
      </c>
      <c r="H5362" s="690" t="s">
        <v>36</v>
      </c>
      <c r="I5362" s="71" t="s">
        <v>3320</v>
      </c>
      <c r="J5362" s="53">
        <f t="shared" si="2617"/>
        <v>0</v>
      </c>
      <c r="K5362" s="63" t="e">
        <f t="shared" si="2618"/>
        <v>#DIV/0!</v>
      </c>
      <c r="L5362" s="1212" t="s">
        <v>3471</v>
      </c>
      <c r="M5362" s="468"/>
      <c r="N5362" s="1192">
        <f t="shared" si="2619"/>
        <v>44829</v>
      </c>
      <c r="O5362" s="71" t="s">
        <v>3323</v>
      </c>
      <c r="P5362" s="103" t="str">
        <f t="shared" si="2620"/>
        <v>한특 잉크(청)</v>
      </c>
      <c r="Q5362" s="71">
        <f t="shared" si="2596"/>
        <v>0</v>
      </c>
      <c r="R5362" s="102">
        <v>5800</v>
      </c>
      <c r="S5362" s="102">
        <f t="shared" si="2607"/>
        <v>0</v>
      </c>
      <c r="T5362" s="102">
        <f t="shared" si="2608"/>
        <v>0</v>
      </c>
      <c r="U5362" s="71" t="str">
        <f t="shared" si="2621"/>
        <v>O</v>
      </c>
      <c r="V5362" s="71"/>
      <c r="W5362" s="474">
        <f t="shared" si="2622"/>
        <v>0</v>
      </c>
      <c r="X5362" s="71"/>
      <c r="Y5362" s="71"/>
    </row>
    <row r="5363" spans="1:25" ht="30" hidden="1" customHeight="1" x14ac:dyDescent="0.25">
      <c r="A5363" s="1145">
        <v>44829</v>
      </c>
      <c r="B5363" s="664" t="s">
        <v>2254</v>
      </c>
      <c r="C5363" s="71" t="s">
        <v>3326</v>
      </c>
      <c r="D5363" s="71">
        <v>0</v>
      </c>
      <c r="E5363" s="102">
        <v>5600</v>
      </c>
      <c r="F5363" s="102">
        <f t="shared" si="2592"/>
        <v>0</v>
      </c>
      <c r="G5363" s="102">
        <f t="shared" si="2593"/>
        <v>0</v>
      </c>
      <c r="H5363" s="690" t="s">
        <v>36</v>
      </c>
      <c r="I5363" s="71" t="s">
        <v>3320</v>
      </c>
      <c r="J5363" s="53">
        <f t="shared" si="2617"/>
        <v>0</v>
      </c>
      <c r="K5363" s="63" t="e">
        <f t="shared" si="2618"/>
        <v>#DIV/0!</v>
      </c>
      <c r="L5363" s="1212" t="s">
        <v>3471</v>
      </c>
      <c r="M5363" s="468"/>
      <c r="N5363" s="1192">
        <f t="shared" si="2619"/>
        <v>44829</v>
      </c>
      <c r="O5363" s="71" t="s">
        <v>3323</v>
      </c>
      <c r="P5363" s="103" t="str">
        <f t="shared" si="2620"/>
        <v>한특 잉크(먹)</v>
      </c>
      <c r="Q5363" s="71">
        <f t="shared" si="2596"/>
        <v>0</v>
      </c>
      <c r="R5363" s="102">
        <v>5000</v>
      </c>
      <c r="S5363" s="102">
        <f t="shared" si="2607"/>
        <v>0</v>
      </c>
      <c r="T5363" s="102">
        <f t="shared" si="2608"/>
        <v>0</v>
      </c>
      <c r="U5363" s="71" t="str">
        <f t="shared" si="2621"/>
        <v>O</v>
      </c>
      <c r="V5363" s="71"/>
      <c r="W5363" s="474">
        <f t="shared" si="2622"/>
        <v>0</v>
      </c>
      <c r="X5363" s="71"/>
      <c r="Y5363" s="71"/>
    </row>
    <row r="5364" spans="1:25" ht="30" hidden="1" customHeight="1" x14ac:dyDescent="0.25">
      <c r="A5364" s="1145">
        <v>44829</v>
      </c>
      <c r="B5364" s="664" t="s">
        <v>443</v>
      </c>
      <c r="C5364" s="71" t="s">
        <v>3392</v>
      </c>
      <c r="D5364" s="71">
        <v>8</v>
      </c>
      <c r="E5364" s="102">
        <v>218000</v>
      </c>
      <c r="F5364" s="102">
        <f t="shared" si="2592"/>
        <v>1918400.0000000002</v>
      </c>
      <c r="G5364" s="102">
        <f t="shared" si="2593"/>
        <v>1744000</v>
      </c>
      <c r="H5364" s="690" t="s">
        <v>172</v>
      </c>
      <c r="I5364" s="71" t="s">
        <v>184</v>
      </c>
      <c r="J5364" s="53">
        <f t="shared" si="2617"/>
        <v>464000</v>
      </c>
      <c r="K5364" s="63">
        <f t="shared" si="2618"/>
        <v>0.26605504587155959</v>
      </c>
      <c r="L5364" s="1212" t="s">
        <v>3471</v>
      </c>
      <c r="M5364" s="468" t="s">
        <v>3393</v>
      </c>
      <c r="N5364" s="1192">
        <f t="shared" si="2619"/>
        <v>44829</v>
      </c>
      <c r="O5364" s="71" t="s">
        <v>2030</v>
      </c>
      <c r="P5364" s="103" t="str">
        <f t="shared" si="2620"/>
        <v>윤전 블랑켓</v>
      </c>
      <c r="Q5364" s="71">
        <f t="shared" si="2596"/>
        <v>8</v>
      </c>
      <c r="R5364" s="102">
        <v>160000</v>
      </c>
      <c r="S5364" s="102">
        <f t="shared" si="2607"/>
        <v>1408000</v>
      </c>
      <c r="T5364" s="102">
        <f t="shared" si="2608"/>
        <v>1280000</v>
      </c>
      <c r="U5364" s="71" t="str">
        <f t="shared" si="2621"/>
        <v>O</v>
      </c>
      <c r="V5364" s="71" t="s">
        <v>3394</v>
      </c>
      <c r="W5364" s="474">
        <f t="shared" si="2622"/>
        <v>464000</v>
      </c>
      <c r="X5364" s="71"/>
      <c r="Y5364" s="71"/>
    </row>
    <row r="5365" spans="1:25" ht="30" hidden="1" customHeight="1" x14ac:dyDescent="0.25">
      <c r="A5365" s="1145">
        <v>44829</v>
      </c>
      <c r="B5365" s="664" t="s">
        <v>443</v>
      </c>
      <c r="C5365" s="71" t="s">
        <v>3511</v>
      </c>
      <c r="D5365" s="71">
        <v>1</v>
      </c>
      <c r="E5365" s="102">
        <v>4110000</v>
      </c>
      <c r="F5365" s="102">
        <f t="shared" si="2592"/>
        <v>4521000</v>
      </c>
      <c r="G5365" s="102">
        <f t="shared" si="2593"/>
        <v>4110000</v>
      </c>
      <c r="H5365" s="690" t="s">
        <v>1786</v>
      </c>
      <c r="I5365" s="71" t="s">
        <v>1786</v>
      </c>
      <c r="J5365" s="53">
        <f t="shared" si="2617"/>
        <v>1000000</v>
      </c>
      <c r="K5365" s="63">
        <f t="shared" si="2618"/>
        <v>0.24330900243309003</v>
      </c>
      <c r="L5365" s="1212" t="s">
        <v>3471</v>
      </c>
      <c r="M5365" s="468"/>
      <c r="N5365" s="1192">
        <f t="shared" si="2619"/>
        <v>44829</v>
      </c>
      <c r="O5365" s="71" t="s">
        <v>3512</v>
      </c>
      <c r="P5365" s="103" t="str">
        <f t="shared" si="2620"/>
        <v>습수호킹롤러, 롤러 도금 재생</v>
      </c>
      <c r="Q5365" s="71">
        <f t="shared" si="2596"/>
        <v>1</v>
      </c>
      <c r="R5365" s="102">
        <v>3110000</v>
      </c>
      <c r="S5365" s="102">
        <f t="shared" si="2607"/>
        <v>3421000.0000000005</v>
      </c>
      <c r="T5365" s="102">
        <f t="shared" si="2608"/>
        <v>3110000</v>
      </c>
      <c r="U5365" s="71" t="str">
        <f t="shared" si="2621"/>
        <v>O</v>
      </c>
      <c r="V5365" s="71"/>
      <c r="W5365" s="474">
        <f t="shared" si="2622"/>
        <v>1000000</v>
      </c>
      <c r="X5365" s="71"/>
      <c r="Y5365" s="71"/>
    </row>
    <row r="5366" spans="1:25" ht="30" hidden="1" customHeight="1" x14ac:dyDescent="0.25">
      <c r="A5366" s="1145">
        <v>44829</v>
      </c>
      <c r="B5366" s="664" t="s">
        <v>575</v>
      </c>
      <c r="C5366" s="71" t="s">
        <v>3487</v>
      </c>
      <c r="D5366" s="71">
        <v>1</v>
      </c>
      <c r="E5366" s="102">
        <v>2350000</v>
      </c>
      <c r="F5366" s="102">
        <f t="shared" si="2592"/>
        <v>2585000</v>
      </c>
      <c r="G5366" s="102">
        <f t="shared" si="2593"/>
        <v>2350000</v>
      </c>
      <c r="H5366" s="690" t="s">
        <v>179</v>
      </c>
      <c r="I5366" s="71" t="s">
        <v>179</v>
      </c>
      <c r="J5366" s="53">
        <f>G5366-T5366</f>
        <v>600000</v>
      </c>
      <c r="K5366" s="63">
        <f>(J5366/(F5366/11*10))</f>
        <v>0.25531914893617019</v>
      </c>
      <c r="L5366" s="1212" t="s">
        <v>3471</v>
      </c>
      <c r="M5366" s="468"/>
      <c r="N5366" s="1192">
        <f t="shared" si="2619"/>
        <v>44829</v>
      </c>
      <c r="O5366" s="71" t="s">
        <v>145</v>
      </c>
      <c r="P5366" s="103" t="str">
        <f t="shared" si="2620"/>
        <v>8 월 Apogee워크프로우 사용료</v>
      </c>
      <c r="Q5366" s="71">
        <f t="shared" si="2596"/>
        <v>1</v>
      </c>
      <c r="R5366" s="147">
        <v>1750000</v>
      </c>
      <c r="S5366" s="102">
        <f t="shared" si="2607"/>
        <v>1925000.0000000002</v>
      </c>
      <c r="T5366" s="102">
        <f t="shared" ref="T5366:T5392" si="2623">R5366*Q5366</f>
        <v>1750000</v>
      </c>
      <c r="U5366" s="71"/>
      <c r="V5366" s="71"/>
      <c r="W5366" s="474"/>
      <c r="X5366" s="71"/>
      <c r="Y5366" s="71"/>
    </row>
    <row r="5367" spans="1:25" ht="30" hidden="1" customHeight="1" x14ac:dyDescent="0.25">
      <c r="A5367" s="1145">
        <v>44825</v>
      </c>
      <c r="B5367" s="664" t="s">
        <v>1178</v>
      </c>
      <c r="C5367" s="71" t="s">
        <v>3473</v>
      </c>
      <c r="D5367" s="71">
        <v>2</v>
      </c>
      <c r="E5367" s="102">
        <v>300000</v>
      </c>
      <c r="F5367" s="102">
        <f t="shared" ref="F5367:F5373" si="2624">(E5367*D5367)*1.1</f>
        <v>660000</v>
      </c>
      <c r="G5367" s="102">
        <f t="shared" ref="G5367:G5373" si="2625">(E5367*D5367)</f>
        <v>600000</v>
      </c>
      <c r="H5367" s="690" t="s">
        <v>1786</v>
      </c>
      <c r="I5367" s="71" t="s">
        <v>1786</v>
      </c>
      <c r="J5367" s="53">
        <f>G5367-T5367</f>
        <v>120000</v>
      </c>
      <c r="K5367" s="63">
        <f>(J5367/(F5367/11*10))</f>
        <v>0.2</v>
      </c>
      <c r="L5367" s="1212" t="s">
        <v>3471</v>
      </c>
      <c r="M5367" s="468"/>
      <c r="N5367" s="1192">
        <f t="shared" si="2619"/>
        <v>44825</v>
      </c>
      <c r="O5367" s="71" t="s">
        <v>2030</v>
      </c>
      <c r="P5367" s="103" t="str">
        <f t="shared" si="2620"/>
        <v>UV Wash 576</v>
      </c>
      <c r="Q5367" s="71">
        <f t="shared" ref="Q5367:Q5430" si="2626">D5367</f>
        <v>2</v>
      </c>
      <c r="R5367" s="102">
        <v>240000</v>
      </c>
      <c r="S5367" s="102">
        <f t="shared" si="2607"/>
        <v>528000</v>
      </c>
      <c r="T5367" s="102">
        <f t="shared" si="2623"/>
        <v>480000</v>
      </c>
      <c r="U5367" s="71" t="str">
        <f>IF(J5367=W5367,"O", "X")</f>
        <v>O</v>
      </c>
      <c r="V5367" s="71"/>
      <c r="W5367" s="474">
        <f>(G5367-T5367)</f>
        <v>120000</v>
      </c>
      <c r="X5367" s="71"/>
      <c r="Y5367" s="71"/>
    </row>
    <row r="5368" spans="1:25" s="209" customFormat="1" ht="30" hidden="1" customHeight="1" x14ac:dyDescent="0.25">
      <c r="A5368" s="1145">
        <v>44834</v>
      </c>
      <c r="B5368" s="664" t="s">
        <v>411</v>
      </c>
      <c r="C5368" s="71" t="s">
        <v>3413</v>
      </c>
      <c r="D5368" s="71">
        <v>10</v>
      </c>
      <c r="E5368" s="102">
        <v>100000</v>
      </c>
      <c r="F5368" s="102">
        <f t="shared" si="2624"/>
        <v>1100000</v>
      </c>
      <c r="G5368" s="102">
        <f t="shared" si="2625"/>
        <v>1000000</v>
      </c>
      <c r="H5368" s="690" t="s">
        <v>2029</v>
      </c>
      <c r="I5368" s="71" t="s">
        <v>3385</v>
      </c>
      <c r="J5368" s="53">
        <f>G5368-T5368</f>
        <v>500000</v>
      </c>
      <c r="K5368" s="63">
        <f>(J5368/(F5368/11*10))</f>
        <v>0.5</v>
      </c>
      <c r="L5368" s="1212" t="s">
        <v>3471</v>
      </c>
      <c r="M5368" s="468"/>
      <c r="N5368" s="1192">
        <f>A5368</f>
        <v>44834</v>
      </c>
      <c r="O5368" s="71" t="s">
        <v>190</v>
      </c>
      <c r="P5368" s="164" t="str">
        <f t="shared" si="2620"/>
        <v>아스테이지(국전)</v>
      </c>
      <c r="Q5368" s="71">
        <f t="shared" si="2626"/>
        <v>10</v>
      </c>
      <c r="R5368" s="102">
        <v>50000</v>
      </c>
      <c r="S5368" s="102">
        <f t="shared" si="2607"/>
        <v>550000</v>
      </c>
      <c r="T5368" s="102">
        <f t="shared" si="2623"/>
        <v>500000</v>
      </c>
      <c r="U5368" s="71" t="str">
        <f>IF(J5368=W5368,"O", "X")</f>
        <v>O</v>
      </c>
      <c r="V5368" s="71"/>
      <c r="W5368" s="474">
        <v>500000</v>
      </c>
      <c r="X5368" s="71"/>
      <c r="Y5368" s="71"/>
    </row>
    <row r="5369" spans="1:25" ht="30" hidden="1" customHeight="1" x14ac:dyDescent="0.25">
      <c r="A5369" s="1145">
        <v>44812</v>
      </c>
      <c r="B5369" s="664" t="s">
        <v>3571</v>
      </c>
      <c r="C5369" s="71" t="s">
        <v>3566</v>
      </c>
      <c r="D5369" s="71">
        <v>1</v>
      </c>
      <c r="E5369" s="102">
        <v>48300000</v>
      </c>
      <c r="F5369" s="102">
        <f t="shared" si="2624"/>
        <v>53130000.000000007</v>
      </c>
      <c r="G5369" s="102">
        <f t="shared" si="2625"/>
        <v>48300000</v>
      </c>
      <c r="H5369" s="690" t="s">
        <v>1786</v>
      </c>
      <c r="I5369" s="71" t="s">
        <v>1786</v>
      </c>
      <c r="J5369" s="53"/>
      <c r="K5369" s="63"/>
      <c r="L5369" s="1212" t="s">
        <v>3471</v>
      </c>
      <c r="M5369" s="102"/>
      <c r="N5369" s="1192">
        <f t="shared" ref="N5369:N5392" si="2627">A5369</f>
        <v>44812</v>
      </c>
      <c r="O5369" s="71" t="s">
        <v>1786</v>
      </c>
      <c r="P5369" s="103" t="str">
        <f t="shared" ref="P5369:P5426" si="2628">(C5369)</f>
        <v>M600 잉크키 모터 업그레이드 잔금</v>
      </c>
      <c r="Q5369" s="71">
        <f t="shared" si="2626"/>
        <v>1</v>
      </c>
      <c r="R5369" s="102"/>
      <c r="S5369" s="102">
        <f t="shared" ref="S5369:S5398" si="2629">R5369*Q5369*1.1</f>
        <v>0</v>
      </c>
      <c r="T5369" s="102">
        <f t="shared" si="2623"/>
        <v>0</v>
      </c>
      <c r="U5369" s="71" t="str">
        <f t="shared" ref="U5369:U5392" si="2630">IF(J5369=W5369,"O", "X")</f>
        <v>X</v>
      </c>
      <c r="V5369" s="71"/>
      <c r="W5369" s="474">
        <f t="shared" ref="W5369:W5392" si="2631">(G5369-T5369)</f>
        <v>48300000</v>
      </c>
      <c r="X5369" s="71"/>
      <c r="Y5369" s="71"/>
    </row>
    <row r="5370" spans="1:25" ht="30" hidden="1" customHeight="1" x14ac:dyDescent="0.25">
      <c r="A5370" s="1145">
        <v>44821</v>
      </c>
      <c r="B5370" s="664" t="s">
        <v>3573</v>
      </c>
      <c r="C5370" s="71" t="s">
        <v>3574</v>
      </c>
      <c r="D5370" s="71">
        <v>1</v>
      </c>
      <c r="E5370" s="102">
        <v>31818182</v>
      </c>
      <c r="F5370" s="102">
        <f t="shared" si="2624"/>
        <v>35000000.200000003</v>
      </c>
      <c r="G5370" s="102">
        <f t="shared" si="2625"/>
        <v>31818182</v>
      </c>
      <c r="H5370" s="690" t="s">
        <v>1786</v>
      </c>
      <c r="I5370" s="71" t="s">
        <v>1786</v>
      </c>
      <c r="J5370" s="53"/>
      <c r="K5370" s="63"/>
      <c r="L5370" s="1212" t="s">
        <v>3471</v>
      </c>
      <c r="M5370" s="102"/>
      <c r="N5370" s="1192">
        <f t="shared" si="2627"/>
        <v>44821</v>
      </c>
      <c r="O5370" s="71" t="s">
        <v>1786</v>
      </c>
      <c r="P5370" s="103" t="str">
        <f t="shared" si="2628"/>
        <v>Rotoman 전기부품 및 정비작업 계약 선금</v>
      </c>
      <c r="Q5370" s="71">
        <f t="shared" si="2626"/>
        <v>1</v>
      </c>
      <c r="R5370" s="102"/>
      <c r="S5370" s="102">
        <f t="shared" si="2629"/>
        <v>0</v>
      </c>
      <c r="T5370" s="102">
        <f t="shared" si="2623"/>
        <v>0</v>
      </c>
      <c r="U5370" s="71" t="str">
        <f t="shared" si="2630"/>
        <v>X</v>
      </c>
      <c r="V5370" s="71"/>
      <c r="W5370" s="474">
        <f t="shared" si="2631"/>
        <v>31818182</v>
      </c>
      <c r="X5370" s="71"/>
      <c r="Y5370" s="71"/>
    </row>
    <row r="5371" spans="1:25" ht="30" hidden="1" customHeight="1" x14ac:dyDescent="0.25">
      <c r="A5371" s="1145">
        <v>44818</v>
      </c>
      <c r="B5371" s="664" t="s">
        <v>3573</v>
      </c>
      <c r="C5371" s="71" t="s">
        <v>3488</v>
      </c>
      <c r="D5371" s="71">
        <v>1</v>
      </c>
      <c r="E5371" s="102">
        <v>28181818</v>
      </c>
      <c r="F5371" s="102">
        <f t="shared" si="2624"/>
        <v>30999999.800000001</v>
      </c>
      <c r="G5371" s="102">
        <f t="shared" si="2625"/>
        <v>28181818</v>
      </c>
      <c r="H5371" s="690" t="s">
        <v>1786</v>
      </c>
      <c r="I5371" s="71" t="s">
        <v>1786</v>
      </c>
      <c r="J5371" s="53"/>
      <c r="K5371" s="63"/>
      <c r="L5371" s="1212" t="s">
        <v>3471</v>
      </c>
      <c r="M5371" s="102"/>
      <c r="N5371" s="1192">
        <f t="shared" si="2627"/>
        <v>44818</v>
      </c>
      <c r="O5371" s="71" t="s">
        <v>1786</v>
      </c>
      <c r="P5371" s="103" t="str">
        <f t="shared" si="2628"/>
        <v>독일 엔지니어 방문 서비스 비용 50% 선금</v>
      </c>
      <c r="Q5371" s="71">
        <f t="shared" si="2626"/>
        <v>1</v>
      </c>
      <c r="R5371" s="102"/>
      <c r="S5371" s="102">
        <f t="shared" si="2629"/>
        <v>0</v>
      </c>
      <c r="T5371" s="102">
        <f t="shared" si="2623"/>
        <v>0</v>
      </c>
      <c r="U5371" s="71" t="str">
        <f t="shared" si="2630"/>
        <v>X</v>
      </c>
      <c r="V5371" s="71"/>
      <c r="W5371" s="474">
        <f t="shared" si="2631"/>
        <v>28181818</v>
      </c>
      <c r="X5371" s="71"/>
      <c r="Y5371" s="71"/>
    </row>
    <row r="5372" spans="1:25" ht="30" hidden="1" customHeight="1" x14ac:dyDescent="0.25">
      <c r="A5372" s="1145">
        <v>44817</v>
      </c>
      <c r="B5372" s="664" t="s">
        <v>1220</v>
      </c>
      <c r="C5372" s="71" t="s">
        <v>3489</v>
      </c>
      <c r="D5372" s="71">
        <v>1</v>
      </c>
      <c r="E5372" s="102">
        <v>900000</v>
      </c>
      <c r="F5372" s="102">
        <f t="shared" si="2624"/>
        <v>990000.00000000012</v>
      </c>
      <c r="G5372" s="102">
        <f t="shared" si="2625"/>
        <v>900000</v>
      </c>
      <c r="H5372" s="690" t="s">
        <v>1786</v>
      </c>
      <c r="I5372" s="71" t="s">
        <v>1786</v>
      </c>
      <c r="J5372" s="53">
        <f>G5372-T5372</f>
        <v>165149</v>
      </c>
      <c r="K5372" s="63">
        <f>(J5372/(F5372/11*10))</f>
        <v>0.18349888888888888</v>
      </c>
      <c r="L5372" s="1212" t="s">
        <v>3471</v>
      </c>
      <c r="M5372" s="102"/>
      <c r="N5372" s="1192">
        <f t="shared" si="2627"/>
        <v>44817</v>
      </c>
      <c r="O5372" s="71" t="s">
        <v>1786</v>
      </c>
      <c r="P5372" s="103" t="str">
        <f t="shared" si="2628"/>
        <v>신크로나이져 모터</v>
      </c>
      <c r="Q5372" s="71">
        <f t="shared" si="2626"/>
        <v>1</v>
      </c>
      <c r="R5372" s="102">
        <v>734851</v>
      </c>
      <c r="S5372" s="102">
        <f t="shared" si="2629"/>
        <v>808336.10000000009</v>
      </c>
      <c r="T5372" s="102">
        <f t="shared" si="2623"/>
        <v>734851</v>
      </c>
      <c r="U5372" s="71" t="str">
        <f t="shared" si="2630"/>
        <v>O</v>
      </c>
      <c r="V5372" s="71"/>
      <c r="W5372" s="474">
        <f t="shared" si="2631"/>
        <v>165149</v>
      </c>
      <c r="X5372" s="71"/>
      <c r="Y5372" s="71"/>
    </row>
    <row r="5373" spans="1:25" ht="30" hidden="1" customHeight="1" x14ac:dyDescent="0.25">
      <c r="A5373" s="1145">
        <v>44817</v>
      </c>
      <c r="B5373" s="664" t="s">
        <v>748</v>
      </c>
      <c r="C5373" s="71" t="s">
        <v>114</v>
      </c>
      <c r="D5373" s="71">
        <v>50</v>
      </c>
      <c r="E5373" s="102">
        <v>20000</v>
      </c>
      <c r="F5373" s="102">
        <f t="shared" si="2624"/>
        <v>1100000</v>
      </c>
      <c r="G5373" s="102">
        <f t="shared" si="2625"/>
        <v>1000000</v>
      </c>
      <c r="H5373" s="690" t="s">
        <v>1786</v>
      </c>
      <c r="I5373" s="71" t="s">
        <v>1786</v>
      </c>
      <c r="J5373" s="53">
        <f>G5373-T5373</f>
        <v>499300</v>
      </c>
      <c r="K5373" s="63">
        <f>(J5373/(F5373/11*10))</f>
        <v>0.49930000000000002</v>
      </c>
      <c r="L5373" s="1212" t="s">
        <v>3471</v>
      </c>
      <c r="M5373" s="102"/>
      <c r="N5373" s="1192">
        <f t="shared" si="2627"/>
        <v>44817</v>
      </c>
      <c r="O5373" s="71" t="s">
        <v>1786</v>
      </c>
      <c r="P5373" s="103" t="str">
        <f t="shared" si="2628"/>
        <v>스트리퍼</v>
      </c>
      <c r="Q5373" s="71">
        <f t="shared" si="2626"/>
        <v>50</v>
      </c>
      <c r="R5373" s="102">
        <v>10014</v>
      </c>
      <c r="S5373" s="102">
        <f t="shared" si="2629"/>
        <v>550770</v>
      </c>
      <c r="T5373" s="102">
        <f t="shared" si="2623"/>
        <v>500700</v>
      </c>
      <c r="U5373" s="71" t="str">
        <f t="shared" si="2630"/>
        <v>O</v>
      </c>
      <c r="V5373" s="71"/>
      <c r="W5373" s="474">
        <f t="shared" si="2631"/>
        <v>499300</v>
      </c>
      <c r="X5373" s="71"/>
      <c r="Y5373" s="71"/>
    </row>
    <row r="5374" spans="1:25" ht="30" hidden="1" customHeight="1" x14ac:dyDescent="0.25">
      <c r="A5374" s="1210" t="s">
        <v>3494</v>
      </c>
      <c r="B5374" s="1211" t="s">
        <v>544</v>
      </c>
      <c r="C5374" s="960"/>
      <c r="D5374" s="960"/>
      <c r="E5374" s="952"/>
      <c r="F5374" s="952"/>
      <c r="G5374" s="952"/>
      <c r="H5374" s="1206"/>
      <c r="I5374" s="960"/>
      <c r="J5374" s="952"/>
      <c r="K5374" s="953"/>
      <c r="L5374" s="1212" t="s">
        <v>3496</v>
      </c>
      <c r="M5374" s="1207"/>
      <c r="N5374" s="1208" t="str">
        <f t="shared" si="2627"/>
        <v>2022,10</v>
      </c>
      <c r="O5374" s="960"/>
      <c r="P5374" s="1209"/>
      <c r="Q5374" s="960"/>
      <c r="R5374" s="952"/>
      <c r="S5374" s="952"/>
      <c r="T5374" s="952"/>
      <c r="U5374" s="960"/>
      <c r="V5374" s="960"/>
      <c r="W5374" s="474">
        <f>(G5374-T5374)</f>
        <v>0</v>
      </c>
      <c r="X5374" s="71"/>
      <c r="Y5374" s="71"/>
    </row>
    <row r="5375" spans="1:25" ht="30" hidden="1" customHeight="1" x14ac:dyDescent="0.25">
      <c r="A5375" s="1145">
        <v>44838</v>
      </c>
      <c r="B5375" s="664" t="s">
        <v>1178</v>
      </c>
      <c r="C5375" s="71" t="s">
        <v>3500</v>
      </c>
      <c r="D5375" s="71">
        <v>1</v>
      </c>
      <c r="E5375" s="102">
        <v>3657273</v>
      </c>
      <c r="F5375" s="102">
        <f t="shared" ref="F5375:F5384" si="2632">(E5375*D5375)*1.1</f>
        <v>4023000.3000000003</v>
      </c>
      <c r="G5375" s="102">
        <f t="shared" ref="G5375:G5384" si="2633">(E5375*D5375)</f>
        <v>3657273</v>
      </c>
      <c r="H5375" s="690" t="s">
        <v>1431</v>
      </c>
      <c r="I5375" s="71" t="s">
        <v>1431</v>
      </c>
      <c r="J5375" s="53">
        <f t="shared" ref="J5375:J5380" si="2634">G5375-T5375</f>
        <v>257273</v>
      </c>
      <c r="K5375" s="63">
        <f t="shared" ref="K5375:K5380" si="2635">(J5375/(F5375/11*10))</f>
        <v>7.0345582623993333E-2</v>
      </c>
      <c r="L5375" s="1212" t="s">
        <v>3496</v>
      </c>
      <c r="M5375" s="468"/>
      <c r="N5375" s="1192">
        <f t="shared" si="2627"/>
        <v>44838</v>
      </c>
      <c r="O5375" s="71" t="s">
        <v>1786</v>
      </c>
      <c r="P5375" s="103" t="str">
        <f t="shared" si="2628"/>
        <v>엔드 플레이트 솜 및 VPN</v>
      </c>
      <c r="Q5375" s="71">
        <f t="shared" si="2626"/>
        <v>1</v>
      </c>
      <c r="R5375" s="102">
        <v>3400000</v>
      </c>
      <c r="S5375" s="102">
        <f t="shared" si="2629"/>
        <v>3740000.0000000005</v>
      </c>
      <c r="T5375" s="102">
        <f t="shared" si="2623"/>
        <v>3400000</v>
      </c>
      <c r="U5375" s="71" t="str">
        <f t="shared" si="2630"/>
        <v>O</v>
      </c>
      <c r="V5375" s="71"/>
      <c r="W5375" s="474">
        <f t="shared" si="2631"/>
        <v>257273</v>
      </c>
      <c r="X5375" s="71"/>
      <c r="Y5375" s="71"/>
    </row>
    <row r="5376" spans="1:25" ht="30" hidden="1" customHeight="1" x14ac:dyDescent="0.25">
      <c r="A5376" s="1145">
        <v>44854</v>
      </c>
      <c r="B5376" s="664" t="s">
        <v>748</v>
      </c>
      <c r="C5376" s="71" t="s">
        <v>3497</v>
      </c>
      <c r="D5376" s="71">
        <v>1</v>
      </c>
      <c r="E5376" s="102">
        <v>5800000</v>
      </c>
      <c r="F5376" s="102">
        <f t="shared" si="2632"/>
        <v>6380000.0000000009</v>
      </c>
      <c r="G5376" s="102">
        <f t="shared" si="2633"/>
        <v>5800000</v>
      </c>
      <c r="H5376" s="690" t="s">
        <v>1431</v>
      </c>
      <c r="I5376" s="71" t="s">
        <v>1431</v>
      </c>
      <c r="J5376" s="53">
        <f t="shared" si="2634"/>
        <v>1902171</v>
      </c>
      <c r="K5376" s="63">
        <f t="shared" si="2635"/>
        <v>0.32796051724137926</v>
      </c>
      <c r="L5376" s="1212" t="s">
        <v>3495</v>
      </c>
      <c r="M5376" s="468"/>
      <c r="N5376" s="1192">
        <f t="shared" si="2627"/>
        <v>44854</v>
      </c>
      <c r="O5376" s="71" t="s">
        <v>1786</v>
      </c>
      <c r="P5376" s="103" t="str">
        <f t="shared" si="2628"/>
        <v>상하 핀 맞춤 모터</v>
      </c>
      <c r="Q5376" s="71">
        <f t="shared" si="2626"/>
        <v>1</v>
      </c>
      <c r="R5376" s="102">
        <v>3897829</v>
      </c>
      <c r="S5376" s="102">
        <f t="shared" si="2629"/>
        <v>4287611.9000000004</v>
      </c>
      <c r="T5376" s="102">
        <f t="shared" si="2623"/>
        <v>3897829</v>
      </c>
      <c r="U5376" s="71" t="str">
        <f t="shared" si="2630"/>
        <v>O</v>
      </c>
      <c r="V5376" s="71"/>
      <c r="W5376" s="474">
        <f t="shared" si="2631"/>
        <v>1902171</v>
      </c>
      <c r="X5376" s="71"/>
      <c r="Y5376" s="71"/>
    </row>
    <row r="5377" spans="1:25" ht="30" hidden="1" customHeight="1" x14ac:dyDescent="0.25">
      <c r="A5377" s="1145">
        <v>44854</v>
      </c>
      <c r="B5377" s="664" t="s">
        <v>748</v>
      </c>
      <c r="C5377" s="71" t="s">
        <v>1793</v>
      </c>
      <c r="D5377" s="71">
        <v>1</v>
      </c>
      <c r="E5377" s="102">
        <v>5700000</v>
      </c>
      <c r="F5377" s="102">
        <f t="shared" si="2632"/>
        <v>6270000.0000000009</v>
      </c>
      <c r="G5377" s="102">
        <f t="shared" si="2633"/>
        <v>5700000</v>
      </c>
      <c r="H5377" s="690" t="s">
        <v>1431</v>
      </c>
      <c r="I5377" s="71" t="s">
        <v>1431</v>
      </c>
      <c r="J5377" s="53">
        <f t="shared" si="2634"/>
        <v>1291255</v>
      </c>
      <c r="K5377" s="63">
        <f t="shared" si="2635"/>
        <v>0.22653596491228067</v>
      </c>
      <c r="L5377" s="1212" t="s">
        <v>3495</v>
      </c>
      <c r="M5377" s="102"/>
      <c r="N5377" s="1192">
        <f t="shared" si="2627"/>
        <v>44854</v>
      </c>
      <c r="O5377" s="71" t="s">
        <v>1786</v>
      </c>
      <c r="P5377" s="103" t="str">
        <f t="shared" si="2628"/>
        <v>파워 서플라이</v>
      </c>
      <c r="Q5377" s="71">
        <f t="shared" si="2626"/>
        <v>1</v>
      </c>
      <c r="R5377" s="102">
        <v>4408745</v>
      </c>
      <c r="S5377" s="102">
        <f t="shared" si="2629"/>
        <v>4849619.5</v>
      </c>
      <c r="T5377" s="102">
        <f t="shared" si="2623"/>
        <v>4408745</v>
      </c>
      <c r="U5377" s="71" t="str">
        <f t="shared" si="2630"/>
        <v>O</v>
      </c>
      <c r="V5377" s="71"/>
      <c r="W5377" s="474">
        <f t="shared" si="2631"/>
        <v>1291255</v>
      </c>
      <c r="X5377" s="71"/>
      <c r="Y5377" s="71"/>
    </row>
    <row r="5378" spans="1:25" ht="30" customHeight="1" x14ac:dyDescent="0.25">
      <c r="A5378" s="1145">
        <v>44858</v>
      </c>
      <c r="B5378" s="664" t="s">
        <v>2352</v>
      </c>
      <c r="C5378" s="71" t="s">
        <v>2639</v>
      </c>
      <c r="D5378" s="71">
        <v>2</v>
      </c>
      <c r="E5378" s="102">
        <v>500000</v>
      </c>
      <c r="F5378" s="102">
        <f t="shared" si="2632"/>
        <v>1100000</v>
      </c>
      <c r="G5378" s="102">
        <f t="shared" si="2633"/>
        <v>1000000</v>
      </c>
      <c r="H5378" s="690" t="s">
        <v>1431</v>
      </c>
      <c r="I5378" s="71" t="s">
        <v>142</v>
      </c>
      <c r="J5378" s="53">
        <f t="shared" si="2634"/>
        <v>384986</v>
      </c>
      <c r="K5378" s="63">
        <f t="shared" si="2635"/>
        <v>0.38498599999999999</v>
      </c>
      <c r="L5378" s="1212" t="s">
        <v>3495</v>
      </c>
      <c r="M5378" s="102"/>
      <c r="N5378" s="1192">
        <f t="shared" si="2627"/>
        <v>44858</v>
      </c>
      <c r="O5378" s="71" t="s">
        <v>1786</v>
      </c>
      <c r="P5378" s="103" t="str">
        <f t="shared" si="2628"/>
        <v>통신 케이블</v>
      </c>
      <c r="Q5378" s="71">
        <f t="shared" si="2626"/>
        <v>2</v>
      </c>
      <c r="R5378" s="102">
        <v>307507</v>
      </c>
      <c r="S5378" s="102">
        <f t="shared" si="2629"/>
        <v>676515.4</v>
      </c>
      <c r="T5378" s="102">
        <f t="shared" si="2623"/>
        <v>615014</v>
      </c>
      <c r="U5378" s="71" t="str">
        <f t="shared" si="2630"/>
        <v>O</v>
      </c>
      <c r="V5378" s="71"/>
      <c r="W5378" s="474">
        <f t="shared" si="2631"/>
        <v>384986</v>
      </c>
      <c r="X5378" s="71"/>
      <c r="Y5378" s="71"/>
    </row>
    <row r="5379" spans="1:25" ht="30" customHeight="1" x14ac:dyDescent="0.25">
      <c r="A5379" s="1145">
        <v>44858</v>
      </c>
      <c r="B5379" s="664" t="s">
        <v>2352</v>
      </c>
      <c r="C5379" s="71" t="s">
        <v>3498</v>
      </c>
      <c r="D5379" s="71">
        <v>1</v>
      </c>
      <c r="E5379" s="102">
        <v>1100000</v>
      </c>
      <c r="F5379" s="102">
        <f t="shared" si="2632"/>
        <v>1210000</v>
      </c>
      <c r="G5379" s="102">
        <f t="shared" si="2633"/>
        <v>1100000</v>
      </c>
      <c r="H5379" s="690" t="s">
        <v>1431</v>
      </c>
      <c r="I5379" s="71" t="s">
        <v>142</v>
      </c>
      <c r="J5379" s="53">
        <f t="shared" si="2634"/>
        <v>496792</v>
      </c>
      <c r="K5379" s="63">
        <f t="shared" si="2635"/>
        <v>0.45162909090909092</v>
      </c>
      <c r="L5379" s="1212" t="s">
        <v>3495</v>
      </c>
      <c r="M5379" s="102"/>
      <c r="N5379" s="1192">
        <f t="shared" si="2627"/>
        <v>44858</v>
      </c>
      <c r="O5379" s="71" t="s">
        <v>1786</v>
      </c>
      <c r="P5379" s="103" t="str">
        <f t="shared" si="2628"/>
        <v>전자 통신 박스</v>
      </c>
      <c r="Q5379" s="71">
        <f t="shared" si="2626"/>
        <v>1</v>
      </c>
      <c r="R5379" s="102">
        <v>603208</v>
      </c>
      <c r="S5379" s="102">
        <f t="shared" si="2629"/>
        <v>663528.80000000005</v>
      </c>
      <c r="T5379" s="102">
        <f t="shared" si="2623"/>
        <v>603208</v>
      </c>
      <c r="U5379" s="71" t="str">
        <f t="shared" si="2630"/>
        <v>O</v>
      </c>
      <c r="V5379" s="71"/>
      <c r="W5379" s="474">
        <f t="shared" si="2631"/>
        <v>496792</v>
      </c>
      <c r="X5379" s="71"/>
      <c r="Y5379" s="71"/>
    </row>
    <row r="5380" spans="1:25" ht="30" customHeight="1" x14ac:dyDescent="0.25">
      <c r="A5380" s="1145">
        <v>44858</v>
      </c>
      <c r="B5380" s="664" t="s">
        <v>2352</v>
      </c>
      <c r="C5380" s="71" t="s">
        <v>2462</v>
      </c>
      <c r="D5380" s="71">
        <v>4</v>
      </c>
      <c r="E5380" s="102">
        <v>120000</v>
      </c>
      <c r="F5380" s="102">
        <f t="shared" si="2632"/>
        <v>528000</v>
      </c>
      <c r="G5380" s="102">
        <f t="shared" si="2633"/>
        <v>480000</v>
      </c>
      <c r="H5380" s="690" t="s">
        <v>1431</v>
      </c>
      <c r="I5380" s="71" t="s">
        <v>142</v>
      </c>
      <c r="J5380" s="53">
        <f t="shared" si="2634"/>
        <v>204000</v>
      </c>
      <c r="K5380" s="63">
        <f t="shared" si="2635"/>
        <v>0.42499999999999999</v>
      </c>
      <c r="L5380" s="1212" t="s">
        <v>3495</v>
      </c>
      <c r="M5380" s="102"/>
      <c r="N5380" s="1192">
        <f t="shared" si="2627"/>
        <v>44858</v>
      </c>
      <c r="O5380" s="71" t="s">
        <v>1786</v>
      </c>
      <c r="P5380" s="103" t="str">
        <f t="shared" si="2628"/>
        <v>스프링 블레이드</v>
      </c>
      <c r="Q5380" s="71">
        <f t="shared" si="2626"/>
        <v>4</v>
      </c>
      <c r="R5380" s="102">
        <v>69000</v>
      </c>
      <c r="S5380" s="102">
        <f t="shared" si="2629"/>
        <v>303600</v>
      </c>
      <c r="T5380" s="102">
        <f t="shared" si="2623"/>
        <v>276000</v>
      </c>
      <c r="U5380" s="71" t="str">
        <f t="shared" si="2630"/>
        <v>O</v>
      </c>
      <c r="V5380" s="71"/>
      <c r="W5380" s="474">
        <f t="shared" si="2631"/>
        <v>204000</v>
      </c>
      <c r="X5380" s="71"/>
      <c r="Y5380" s="71"/>
    </row>
    <row r="5381" spans="1:25" ht="30" hidden="1" customHeight="1" x14ac:dyDescent="0.25">
      <c r="A5381" s="1145">
        <v>44840</v>
      </c>
      <c r="B5381" s="664" t="s">
        <v>2261</v>
      </c>
      <c r="C5381" s="71" t="s">
        <v>277</v>
      </c>
      <c r="D5381" s="71">
        <v>10</v>
      </c>
      <c r="E5381" s="102">
        <v>172000</v>
      </c>
      <c r="F5381" s="102">
        <f t="shared" si="2632"/>
        <v>1892000.0000000002</v>
      </c>
      <c r="G5381" s="102">
        <f t="shared" si="2633"/>
        <v>1720000</v>
      </c>
      <c r="H5381" s="690" t="s">
        <v>172</v>
      </c>
      <c r="I5381" s="71" t="s">
        <v>108</v>
      </c>
      <c r="J5381" s="53">
        <f>G5381-T5381</f>
        <v>421000</v>
      </c>
      <c r="K5381" s="63">
        <f>(J5381/(F5381/11*10))</f>
        <v>0.24476744186046509</v>
      </c>
      <c r="L5381" s="1212" t="s">
        <v>3495</v>
      </c>
      <c r="M5381" s="468"/>
      <c r="N5381" s="1192">
        <f t="shared" si="2627"/>
        <v>44840</v>
      </c>
      <c r="O5381" s="71" t="s">
        <v>662</v>
      </c>
      <c r="P5381" s="103" t="str">
        <f t="shared" si="2628"/>
        <v>윤전용 세척제(Web 504)</v>
      </c>
      <c r="Q5381" s="71">
        <f t="shared" si="2626"/>
        <v>10</v>
      </c>
      <c r="R5381" s="102">
        <v>129900</v>
      </c>
      <c r="S5381" s="102">
        <f t="shared" si="2629"/>
        <v>1428900</v>
      </c>
      <c r="T5381" s="102">
        <f t="shared" si="2623"/>
        <v>1299000</v>
      </c>
      <c r="U5381" s="71" t="str">
        <f t="shared" si="2630"/>
        <v>X</v>
      </c>
      <c r="V5381" s="71"/>
      <c r="W5381" s="474"/>
      <c r="X5381" s="71"/>
      <c r="Y5381" s="71"/>
    </row>
    <row r="5382" spans="1:25" ht="30" hidden="1" customHeight="1" x14ac:dyDescent="0.25">
      <c r="A5382" s="1145">
        <v>44840</v>
      </c>
      <c r="B5382" s="664" t="s">
        <v>2261</v>
      </c>
      <c r="C5382" s="71" t="s">
        <v>3299</v>
      </c>
      <c r="D5382" s="71">
        <v>10</v>
      </c>
      <c r="E5382" s="102">
        <v>47600</v>
      </c>
      <c r="F5382" s="102">
        <f t="shared" si="2632"/>
        <v>523600.00000000006</v>
      </c>
      <c r="G5382" s="102">
        <f t="shared" si="2633"/>
        <v>476000</v>
      </c>
      <c r="H5382" s="690" t="s">
        <v>172</v>
      </c>
      <c r="I5382" s="71" t="s">
        <v>108</v>
      </c>
      <c r="J5382" s="53">
        <v>136000</v>
      </c>
      <c r="K5382" s="63">
        <v>0.25</v>
      </c>
      <c r="L5382" s="1212" t="s">
        <v>3495</v>
      </c>
      <c r="M5382" s="468" t="s">
        <v>3304</v>
      </c>
      <c r="N5382" s="1192">
        <v>44544</v>
      </c>
      <c r="O5382" s="71" t="s">
        <v>175</v>
      </c>
      <c r="P5382" s="103" t="s">
        <v>3299</v>
      </c>
      <c r="Q5382" s="71">
        <f t="shared" si="2626"/>
        <v>10</v>
      </c>
      <c r="R5382" s="102">
        <v>40000</v>
      </c>
      <c r="S5382" s="102">
        <f t="shared" si="2629"/>
        <v>440000.00000000006</v>
      </c>
      <c r="T5382" s="102">
        <f t="shared" si="2623"/>
        <v>400000</v>
      </c>
      <c r="U5382" s="71" t="s">
        <v>859</v>
      </c>
      <c r="V5382" s="71"/>
      <c r="W5382" s="474"/>
      <c r="X5382" s="71"/>
      <c r="Y5382" s="71"/>
    </row>
    <row r="5383" spans="1:25" ht="30" hidden="1" customHeight="1" x14ac:dyDescent="0.25">
      <c r="A5383" s="1145">
        <v>44846</v>
      </c>
      <c r="B5383" s="664" t="s">
        <v>2261</v>
      </c>
      <c r="C5383" s="760" t="s">
        <v>181</v>
      </c>
      <c r="D5383" s="71">
        <v>10</v>
      </c>
      <c r="E5383" s="102">
        <v>192500</v>
      </c>
      <c r="F5383" s="102">
        <f t="shared" si="2632"/>
        <v>2117500</v>
      </c>
      <c r="G5383" s="102">
        <f t="shared" si="2633"/>
        <v>1925000</v>
      </c>
      <c r="H5383" s="690" t="s">
        <v>2029</v>
      </c>
      <c r="I5383" s="71" t="s">
        <v>182</v>
      </c>
      <c r="J5383" s="53">
        <f>G5383-T5383</f>
        <v>710000</v>
      </c>
      <c r="K5383" s="63">
        <f t="shared" ref="K5383:K5398" si="2636">(J5383/(F5383/11*10))</f>
        <v>0.36883116883116884</v>
      </c>
      <c r="L5383" s="1212" t="s">
        <v>3495</v>
      </c>
      <c r="M5383" s="468"/>
      <c r="N5383" s="1192">
        <f t="shared" ref="N5383:N5389" si="2637">A5383</f>
        <v>44846</v>
      </c>
      <c r="O5383" s="71" t="s">
        <v>2030</v>
      </c>
      <c r="P5383" s="103" t="str">
        <f t="shared" ref="P5383:P5389" si="2638">(C5383)</f>
        <v>Fount Web 551AF</v>
      </c>
      <c r="Q5383" s="71">
        <f t="shared" si="2626"/>
        <v>10</v>
      </c>
      <c r="R5383" s="102">
        <v>121500</v>
      </c>
      <c r="S5383" s="102">
        <f t="shared" si="2629"/>
        <v>1336500</v>
      </c>
      <c r="T5383" s="102">
        <f t="shared" si="2623"/>
        <v>1215000</v>
      </c>
      <c r="U5383" s="71" t="str">
        <f t="shared" ref="U5383:U5389" si="2639">IF(J5383=W5383,"O", "X")</f>
        <v>X</v>
      </c>
      <c r="V5383" s="71"/>
      <c r="W5383" s="474">
        <v>640000</v>
      </c>
      <c r="X5383" s="71"/>
      <c r="Y5383" s="71"/>
    </row>
    <row r="5384" spans="1:25" s="209" customFormat="1" ht="31.5" hidden="1" customHeight="1" x14ac:dyDescent="0.2">
      <c r="A5384" s="1145">
        <v>44852</v>
      </c>
      <c r="B5384" s="664" t="s">
        <v>3289</v>
      </c>
      <c r="C5384" s="71" t="s">
        <v>3387</v>
      </c>
      <c r="D5384" s="71">
        <v>10</v>
      </c>
      <c r="E5384" s="102">
        <v>120000</v>
      </c>
      <c r="F5384" s="102">
        <f t="shared" si="2632"/>
        <v>1320000</v>
      </c>
      <c r="G5384" s="102">
        <f t="shared" si="2633"/>
        <v>1200000</v>
      </c>
      <c r="H5384" s="165" t="s">
        <v>172</v>
      </c>
      <c r="I5384" s="71" t="s">
        <v>184</v>
      </c>
      <c r="J5384" s="53">
        <f>G5384-T5384</f>
        <v>80000</v>
      </c>
      <c r="K5384" s="63">
        <f t="shared" si="2636"/>
        <v>6.6666666666666666E-2</v>
      </c>
      <c r="L5384" s="1212" t="s">
        <v>3495</v>
      </c>
      <c r="M5384" s="468"/>
      <c r="N5384" s="1192">
        <f t="shared" si="2637"/>
        <v>44852</v>
      </c>
      <c r="O5384" s="71" t="s">
        <v>189</v>
      </c>
      <c r="P5384" s="103" t="str">
        <f t="shared" si="2638"/>
        <v>Blanket(990*725)</v>
      </c>
      <c r="Q5384" s="71">
        <f t="shared" si="2626"/>
        <v>10</v>
      </c>
      <c r="R5384" s="102">
        <v>112000</v>
      </c>
      <c r="S5384" s="102">
        <f t="shared" si="2629"/>
        <v>1232000</v>
      </c>
      <c r="T5384" s="102">
        <f t="shared" si="2623"/>
        <v>1120000</v>
      </c>
      <c r="U5384" s="71" t="str">
        <f t="shared" si="2639"/>
        <v>O</v>
      </c>
      <c r="V5384" s="71"/>
      <c r="W5384" s="474">
        <v>80000</v>
      </c>
      <c r="X5384" s="71"/>
      <c r="Y5384" s="71"/>
    </row>
    <row r="5385" spans="1:25" ht="30" hidden="1" customHeight="1" x14ac:dyDescent="0.25">
      <c r="A5385" s="1145">
        <v>44858</v>
      </c>
      <c r="B5385" s="664" t="s">
        <v>2261</v>
      </c>
      <c r="C5385" s="71" t="s">
        <v>277</v>
      </c>
      <c r="D5385" s="71">
        <v>10</v>
      </c>
      <c r="E5385" s="102">
        <v>172000</v>
      </c>
      <c r="F5385" s="102">
        <f t="shared" ref="F5385:F5405" si="2640">(E5385*D5385)*1.1</f>
        <v>1892000.0000000002</v>
      </c>
      <c r="G5385" s="102">
        <f t="shared" ref="G5385:G5405" si="2641">(E5385*D5385)</f>
        <v>1720000</v>
      </c>
      <c r="H5385" s="690" t="s">
        <v>172</v>
      </c>
      <c r="I5385" s="71" t="s">
        <v>108</v>
      </c>
      <c r="J5385" s="53">
        <f>G5385-T5385</f>
        <v>421000</v>
      </c>
      <c r="K5385" s="63">
        <f t="shared" si="2636"/>
        <v>0.24476744186046509</v>
      </c>
      <c r="L5385" s="1212" t="s">
        <v>3495</v>
      </c>
      <c r="M5385" s="468"/>
      <c r="N5385" s="1192">
        <f t="shared" si="2637"/>
        <v>44858</v>
      </c>
      <c r="O5385" s="71" t="s">
        <v>662</v>
      </c>
      <c r="P5385" s="103" t="str">
        <f t="shared" si="2638"/>
        <v>윤전용 세척제(Web 504)</v>
      </c>
      <c r="Q5385" s="71">
        <f t="shared" si="2626"/>
        <v>10</v>
      </c>
      <c r="R5385" s="102">
        <v>129900</v>
      </c>
      <c r="S5385" s="102">
        <f>R5385*Q5385*1.1</f>
        <v>1428900</v>
      </c>
      <c r="T5385" s="102">
        <f>R5385*Q5385</f>
        <v>1299000</v>
      </c>
      <c r="U5385" s="71" t="str">
        <f t="shared" si="2639"/>
        <v>X</v>
      </c>
      <c r="V5385" s="71"/>
      <c r="W5385" s="474"/>
      <c r="X5385" s="71"/>
      <c r="Y5385" s="71"/>
    </row>
    <row r="5386" spans="1:25" ht="30" hidden="1" customHeight="1" x14ac:dyDescent="0.25">
      <c r="A5386" s="1145">
        <v>44858</v>
      </c>
      <c r="B5386" s="664" t="s">
        <v>2261</v>
      </c>
      <c r="C5386" s="760" t="s">
        <v>181</v>
      </c>
      <c r="D5386" s="71">
        <v>10</v>
      </c>
      <c r="E5386" s="102">
        <v>192500</v>
      </c>
      <c r="F5386" s="102">
        <f t="shared" si="2640"/>
        <v>2117500</v>
      </c>
      <c r="G5386" s="102">
        <f t="shared" si="2641"/>
        <v>1925000</v>
      </c>
      <c r="H5386" s="690" t="s">
        <v>2029</v>
      </c>
      <c r="I5386" s="71" t="s">
        <v>182</v>
      </c>
      <c r="J5386" s="53">
        <f t="shared" ref="J5386:J5398" si="2642">G5386-T5386</f>
        <v>710000</v>
      </c>
      <c r="K5386" s="63">
        <f t="shared" si="2636"/>
        <v>0.36883116883116884</v>
      </c>
      <c r="L5386" s="1212" t="s">
        <v>3495</v>
      </c>
      <c r="M5386" s="468"/>
      <c r="N5386" s="1192">
        <f t="shared" si="2637"/>
        <v>44858</v>
      </c>
      <c r="O5386" s="71" t="s">
        <v>2030</v>
      </c>
      <c r="P5386" s="103" t="str">
        <f t="shared" si="2638"/>
        <v>Fount Web 551AF</v>
      </c>
      <c r="Q5386" s="71">
        <f t="shared" si="2626"/>
        <v>10</v>
      </c>
      <c r="R5386" s="102">
        <v>121500</v>
      </c>
      <c r="S5386" s="102">
        <f>R5386*Q5386*1.1</f>
        <v>1336500</v>
      </c>
      <c r="T5386" s="102">
        <f>R5386*Q5386</f>
        <v>1215000</v>
      </c>
      <c r="U5386" s="71" t="str">
        <f t="shared" si="2639"/>
        <v>X</v>
      </c>
      <c r="V5386" s="71"/>
      <c r="W5386" s="474">
        <v>640000</v>
      </c>
      <c r="X5386" s="71"/>
      <c r="Y5386" s="71"/>
    </row>
    <row r="5387" spans="1:25" ht="30" hidden="1" customHeight="1" x14ac:dyDescent="0.25">
      <c r="A5387" s="1145">
        <v>44858</v>
      </c>
      <c r="B5387" s="664" t="s">
        <v>3289</v>
      </c>
      <c r="C5387" s="71" t="s">
        <v>2070</v>
      </c>
      <c r="D5387" s="71">
        <v>10</v>
      </c>
      <c r="E5387" s="102">
        <v>108000</v>
      </c>
      <c r="F5387" s="102">
        <f t="shared" si="2640"/>
        <v>1188000</v>
      </c>
      <c r="G5387" s="102">
        <f t="shared" si="2641"/>
        <v>1080000</v>
      </c>
      <c r="H5387" s="690" t="s">
        <v>172</v>
      </c>
      <c r="I5387" s="71" t="s">
        <v>33</v>
      </c>
      <c r="J5387" s="53">
        <f t="shared" si="2642"/>
        <v>212000</v>
      </c>
      <c r="K5387" s="63">
        <f t="shared" si="2636"/>
        <v>0.1962962962962963</v>
      </c>
      <c r="L5387" s="1212" t="s">
        <v>3495</v>
      </c>
      <c r="M5387" s="468"/>
      <c r="N5387" s="1192">
        <f t="shared" si="2637"/>
        <v>44858</v>
      </c>
      <c r="O5387" s="71" t="s">
        <v>146</v>
      </c>
      <c r="P5387" s="103" t="str">
        <f t="shared" si="2638"/>
        <v>Blanket(1050*840)</v>
      </c>
      <c r="Q5387" s="71">
        <f t="shared" si="2626"/>
        <v>10</v>
      </c>
      <c r="R5387" s="102">
        <v>86800</v>
      </c>
      <c r="S5387" s="102">
        <f>R5387*Q5387*1.1</f>
        <v>954800.00000000012</v>
      </c>
      <c r="T5387" s="102">
        <f>R5387*Q5387</f>
        <v>868000</v>
      </c>
      <c r="U5387" s="71" t="str">
        <f t="shared" si="2639"/>
        <v>X</v>
      </c>
      <c r="V5387" s="71"/>
      <c r="W5387" s="474">
        <v>275000</v>
      </c>
      <c r="X5387" s="71"/>
      <c r="Y5387" s="71"/>
    </row>
    <row r="5388" spans="1:25" ht="30" hidden="1" customHeight="1" x14ac:dyDescent="0.25">
      <c r="A5388" s="1145">
        <v>44845</v>
      </c>
      <c r="B5388" s="664" t="s">
        <v>3296</v>
      </c>
      <c r="C5388" s="71" t="s">
        <v>3297</v>
      </c>
      <c r="D5388" s="71">
        <v>20</v>
      </c>
      <c r="E5388" s="102">
        <v>155000</v>
      </c>
      <c r="F5388" s="102">
        <f t="shared" si="2640"/>
        <v>3410000.0000000005</v>
      </c>
      <c r="G5388" s="102">
        <f t="shared" si="2641"/>
        <v>3100000</v>
      </c>
      <c r="H5388" s="690" t="s">
        <v>172</v>
      </c>
      <c r="I5388" s="71" t="s">
        <v>3295</v>
      </c>
      <c r="J5388" s="53">
        <f t="shared" si="2642"/>
        <v>1130000</v>
      </c>
      <c r="K5388" s="63">
        <f t="shared" si="2636"/>
        <v>0.364516129032258</v>
      </c>
      <c r="L5388" s="1212" t="s">
        <v>3495</v>
      </c>
      <c r="M5388" s="468"/>
      <c r="N5388" s="1192">
        <f t="shared" si="2637"/>
        <v>44845</v>
      </c>
      <c r="O5388" s="71" t="s">
        <v>662</v>
      </c>
      <c r="P5388" s="103" t="str">
        <f t="shared" si="2638"/>
        <v>실리콘 에멀전</v>
      </c>
      <c r="Q5388" s="71">
        <f t="shared" si="2626"/>
        <v>20</v>
      </c>
      <c r="R5388" s="102">
        <v>98500</v>
      </c>
      <c r="S5388" s="102">
        <f>R5388*Q5388*1.1</f>
        <v>2167000</v>
      </c>
      <c r="T5388" s="102">
        <f>R5388*Q5388</f>
        <v>1970000</v>
      </c>
      <c r="U5388" s="71" t="str">
        <f t="shared" si="2639"/>
        <v>X</v>
      </c>
      <c r="V5388" s="71"/>
      <c r="W5388" s="474"/>
      <c r="X5388" s="71"/>
      <c r="Y5388" s="71"/>
    </row>
    <row r="5389" spans="1:25" ht="30" hidden="1" customHeight="1" x14ac:dyDescent="0.25">
      <c r="A5389" s="1145">
        <v>44865</v>
      </c>
      <c r="B5389" s="664" t="s">
        <v>3296</v>
      </c>
      <c r="C5389" s="71" t="s">
        <v>3297</v>
      </c>
      <c r="D5389" s="71">
        <v>20</v>
      </c>
      <c r="E5389" s="102">
        <v>155000</v>
      </c>
      <c r="F5389" s="102">
        <f t="shared" si="2640"/>
        <v>3410000.0000000005</v>
      </c>
      <c r="G5389" s="102">
        <f t="shared" si="2641"/>
        <v>3100000</v>
      </c>
      <c r="H5389" s="690" t="s">
        <v>172</v>
      </c>
      <c r="I5389" s="71" t="s">
        <v>3295</v>
      </c>
      <c r="J5389" s="53">
        <f t="shared" si="2642"/>
        <v>1130000</v>
      </c>
      <c r="K5389" s="63">
        <f t="shared" si="2636"/>
        <v>0.364516129032258</v>
      </c>
      <c r="L5389" s="1212" t="s">
        <v>3495</v>
      </c>
      <c r="M5389" s="468"/>
      <c r="N5389" s="1192">
        <f t="shared" si="2637"/>
        <v>44865</v>
      </c>
      <c r="O5389" s="71" t="s">
        <v>662</v>
      </c>
      <c r="P5389" s="103" t="str">
        <f t="shared" si="2638"/>
        <v>실리콘 에멀전</v>
      </c>
      <c r="Q5389" s="71">
        <f t="shared" si="2626"/>
        <v>20</v>
      </c>
      <c r="R5389" s="102">
        <v>98500</v>
      </c>
      <c r="S5389" s="102">
        <f>R5389*Q5389*1.1</f>
        <v>2167000</v>
      </c>
      <c r="T5389" s="102">
        <f>R5389*Q5389</f>
        <v>1970000</v>
      </c>
      <c r="U5389" s="71" t="str">
        <f t="shared" si="2639"/>
        <v>X</v>
      </c>
      <c r="V5389" s="71"/>
      <c r="W5389" s="474"/>
      <c r="X5389" s="71"/>
      <c r="Y5389" s="71"/>
    </row>
    <row r="5390" spans="1:25" ht="30" hidden="1" customHeight="1" x14ac:dyDescent="0.25">
      <c r="A5390" s="1145">
        <v>44865</v>
      </c>
      <c r="B5390" s="664" t="s">
        <v>2103</v>
      </c>
      <c r="C5390" s="71" t="s">
        <v>2577</v>
      </c>
      <c r="D5390" s="71">
        <v>1398</v>
      </c>
      <c r="E5390" s="102">
        <v>1500</v>
      </c>
      <c r="F5390" s="102">
        <f t="shared" si="2640"/>
        <v>2306700</v>
      </c>
      <c r="G5390" s="102">
        <f t="shared" si="2641"/>
        <v>2097000</v>
      </c>
      <c r="H5390" s="690" t="s">
        <v>173</v>
      </c>
      <c r="I5390" s="71" t="s">
        <v>2230</v>
      </c>
      <c r="J5390" s="53">
        <f t="shared" si="2642"/>
        <v>2097000</v>
      </c>
      <c r="K5390" s="63">
        <f t="shared" si="2636"/>
        <v>1</v>
      </c>
      <c r="L5390" s="1212" t="s">
        <v>3495</v>
      </c>
      <c r="M5390" s="468"/>
      <c r="N5390" s="1192">
        <f t="shared" si="2627"/>
        <v>44865</v>
      </c>
      <c r="O5390" s="71"/>
      <c r="P5390" s="164" t="str">
        <f t="shared" si="2628"/>
        <v>CTP 폐판</v>
      </c>
      <c r="Q5390" s="71">
        <f t="shared" si="2626"/>
        <v>1398</v>
      </c>
      <c r="R5390" s="102"/>
      <c r="S5390" s="102">
        <f t="shared" si="2629"/>
        <v>0</v>
      </c>
      <c r="T5390" s="102">
        <f t="shared" si="2623"/>
        <v>0</v>
      </c>
      <c r="U5390" s="71" t="str">
        <f t="shared" si="2630"/>
        <v>O</v>
      </c>
      <c r="V5390" s="71"/>
      <c r="W5390" s="474">
        <f t="shared" si="2631"/>
        <v>2097000</v>
      </c>
      <c r="X5390" s="71"/>
      <c r="Y5390" s="71"/>
    </row>
    <row r="5391" spans="1:25" ht="30" hidden="1" customHeight="1" x14ac:dyDescent="0.25">
      <c r="A5391" s="1145">
        <v>44847</v>
      </c>
      <c r="B5391" s="664" t="s">
        <v>1513</v>
      </c>
      <c r="C5391" s="71" t="s">
        <v>2648</v>
      </c>
      <c r="D5391" s="71">
        <v>10</v>
      </c>
      <c r="E5391" s="102">
        <v>50000</v>
      </c>
      <c r="F5391" s="102">
        <f t="shared" si="2640"/>
        <v>550000</v>
      </c>
      <c r="G5391" s="102">
        <f t="shared" si="2641"/>
        <v>500000</v>
      </c>
      <c r="H5391" s="690" t="s">
        <v>94</v>
      </c>
      <c r="I5391" s="71" t="s">
        <v>94</v>
      </c>
      <c r="J5391" s="53">
        <f t="shared" si="2642"/>
        <v>97500</v>
      </c>
      <c r="K5391" s="63">
        <f t="shared" si="2636"/>
        <v>0.19500000000000001</v>
      </c>
      <c r="L5391" s="1212" t="s">
        <v>3495</v>
      </c>
      <c r="M5391" s="468"/>
      <c r="N5391" s="1192">
        <f t="shared" si="2627"/>
        <v>44847</v>
      </c>
      <c r="O5391" s="71" t="s">
        <v>94</v>
      </c>
      <c r="P5391" s="103" t="str">
        <f t="shared" si="2628"/>
        <v>주머니 필터백</v>
      </c>
      <c r="Q5391" s="71">
        <f t="shared" si="2626"/>
        <v>10</v>
      </c>
      <c r="R5391" s="102">
        <v>40250</v>
      </c>
      <c r="S5391" s="102">
        <f t="shared" si="2629"/>
        <v>442750.00000000006</v>
      </c>
      <c r="T5391" s="102">
        <f t="shared" si="2623"/>
        <v>402500</v>
      </c>
      <c r="U5391" s="71" t="str">
        <f t="shared" si="2630"/>
        <v>O</v>
      </c>
      <c r="V5391" s="71"/>
      <c r="W5391" s="474">
        <f t="shared" si="2631"/>
        <v>97500</v>
      </c>
      <c r="X5391" s="71"/>
      <c r="Y5391" s="71"/>
    </row>
    <row r="5392" spans="1:25" ht="30" hidden="1" customHeight="1" x14ac:dyDescent="0.25">
      <c r="A5392" s="1145">
        <v>44845</v>
      </c>
      <c r="B5392" s="664" t="s">
        <v>1155</v>
      </c>
      <c r="C5392" s="71" t="s">
        <v>2648</v>
      </c>
      <c r="D5392" s="71">
        <v>10</v>
      </c>
      <c r="E5392" s="102">
        <v>37000</v>
      </c>
      <c r="F5392" s="102">
        <f t="shared" si="2640"/>
        <v>407000.00000000006</v>
      </c>
      <c r="G5392" s="102">
        <f t="shared" si="2641"/>
        <v>370000</v>
      </c>
      <c r="H5392" s="690" t="s">
        <v>94</v>
      </c>
      <c r="I5392" s="71" t="s">
        <v>94</v>
      </c>
      <c r="J5392" s="53">
        <f t="shared" si="2642"/>
        <v>317000</v>
      </c>
      <c r="K5392" s="63">
        <f t="shared" si="2636"/>
        <v>0.85675675675675667</v>
      </c>
      <c r="L5392" s="1212" t="s">
        <v>3495</v>
      </c>
      <c r="M5392" s="468"/>
      <c r="N5392" s="1192">
        <f t="shared" si="2627"/>
        <v>44845</v>
      </c>
      <c r="O5392" s="71" t="s">
        <v>94</v>
      </c>
      <c r="P5392" s="103" t="str">
        <f t="shared" si="2628"/>
        <v>주머니 필터백</v>
      </c>
      <c r="Q5392" s="71">
        <f t="shared" si="2626"/>
        <v>10</v>
      </c>
      <c r="R5392" s="102">
        <v>5300</v>
      </c>
      <c r="S5392" s="102">
        <f t="shared" si="2629"/>
        <v>58300.000000000007</v>
      </c>
      <c r="T5392" s="102">
        <f t="shared" si="2623"/>
        <v>53000</v>
      </c>
      <c r="U5392" s="71" t="str">
        <f t="shared" si="2630"/>
        <v>O</v>
      </c>
      <c r="V5392" s="71"/>
      <c r="W5392" s="474">
        <f t="shared" si="2631"/>
        <v>317000</v>
      </c>
      <c r="X5392" s="71"/>
      <c r="Y5392" s="71"/>
    </row>
    <row r="5393" spans="1:25" s="209" customFormat="1" ht="30" hidden="1" customHeight="1" x14ac:dyDescent="0.25">
      <c r="A5393" s="1145">
        <v>44838</v>
      </c>
      <c r="B5393" s="664" t="s">
        <v>411</v>
      </c>
      <c r="C5393" s="71" t="s">
        <v>3413</v>
      </c>
      <c r="D5393" s="71">
        <v>10</v>
      </c>
      <c r="E5393" s="102">
        <v>100000</v>
      </c>
      <c r="F5393" s="102">
        <f t="shared" si="2640"/>
        <v>1100000</v>
      </c>
      <c r="G5393" s="102">
        <f t="shared" si="2641"/>
        <v>1000000</v>
      </c>
      <c r="H5393" s="690" t="s">
        <v>2029</v>
      </c>
      <c r="I5393" s="71" t="s">
        <v>3385</v>
      </c>
      <c r="J5393" s="53">
        <f t="shared" si="2642"/>
        <v>500000</v>
      </c>
      <c r="K5393" s="63">
        <f t="shared" si="2636"/>
        <v>0.5</v>
      </c>
      <c r="L5393" s="1212" t="s">
        <v>3495</v>
      </c>
      <c r="M5393" s="468"/>
      <c r="N5393" s="1192">
        <f>A5393</f>
        <v>44838</v>
      </c>
      <c r="O5393" s="71" t="s">
        <v>190</v>
      </c>
      <c r="P5393" s="164" t="str">
        <f t="shared" si="2628"/>
        <v>아스테이지(국전)</v>
      </c>
      <c r="Q5393" s="71">
        <f t="shared" si="2626"/>
        <v>10</v>
      </c>
      <c r="R5393" s="102">
        <v>50000</v>
      </c>
      <c r="S5393" s="102">
        <f t="shared" si="2629"/>
        <v>550000</v>
      </c>
      <c r="T5393" s="102">
        <f t="shared" ref="T5393:T5398" si="2643">R5393*Q5393</f>
        <v>500000</v>
      </c>
      <c r="U5393" s="71" t="str">
        <f>IF(J5393=W5393,"O", "X")</f>
        <v>O</v>
      </c>
      <c r="V5393" s="71"/>
      <c r="W5393" s="474">
        <v>500000</v>
      </c>
      <c r="X5393" s="71"/>
      <c r="Y5393" s="71"/>
    </row>
    <row r="5394" spans="1:25" ht="30" hidden="1" customHeight="1" x14ac:dyDescent="0.25">
      <c r="A5394" s="1145">
        <v>44826</v>
      </c>
      <c r="B5394" s="664" t="s">
        <v>442</v>
      </c>
      <c r="C5394" s="71" t="s">
        <v>206</v>
      </c>
      <c r="D5394" s="71">
        <v>4</v>
      </c>
      <c r="E5394" s="102">
        <v>403000</v>
      </c>
      <c r="F5394" s="102">
        <f t="shared" si="2640"/>
        <v>1773200.0000000002</v>
      </c>
      <c r="G5394" s="102">
        <f t="shared" si="2641"/>
        <v>1612000</v>
      </c>
      <c r="H5394" s="690" t="s">
        <v>2029</v>
      </c>
      <c r="I5394" s="71" t="s">
        <v>195</v>
      </c>
      <c r="J5394" s="53">
        <f t="shared" si="2642"/>
        <v>365160</v>
      </c>
      <c r="K5394" s="63">
        <f t="shared" si="2636"/>
        <v>0.22652605459057068</v>
      </c>
      <c r="L5394" s="1212" t="s">
        <v>3495</v>
      </c>
      <c r="M5394" s="468"/>
      <c r="N5394" s="1192">
        <f t="shared" ref="N5394:N5399" si="2644">A5394</f>
        <v>44826</v>
      </c>
      <c r="O5394" s="71" t="s">
        <v>194</v>
      </c>
      <c r="P5394" s="103" t="str">
        <f t="shared" si="2628"/>
        <v>Agfa Film(24inch)</v>
      </c>
      <c r="Q5394" s="71">
        <f t="shared" si="2626"/>
        <v>4</v>
      </c>
      <c r="R5394" s="102">
        <v>311710</v>
      </c>
      <c r="S5394" s="102">
        <f t="shared" si="2629"/>
        <v>1371524</v>
      </c>
      <c r="T5394" s="102">
        <f t="shared" si="2643"/>
        <v>1246840</v>
      </c>
      <c r="U5394" s="71" t="str">
        <f>IF(J5394=W5394,"O", "X")</f>
        <v>O</v>
      </c>
      <c r="V5394" s="71"/>
      <c r="W5394" s="474">
        <f>(G5394-T5394)</f>
        <v>365160</v>
      </c>
      <c r="X5394" s="71"/>
      <c r="Y5394" s="71"/>
    </row>
    <row r="5395" spans="1:25" ht="30" hidden="1" customHeight="1" x14ac:dyDescent="0.25">
      <c r="A5395" s="1145">
        <v>44826</v>
      </c>
      <c r="B5395" s="664" t="s">
        <v>442</v>
      </c>
      <c r="C5395" s="71" t="s">
        <v>207</v>
      </c>
      <c r="D5395" s="71">
        <v>4</v>
      </c>
      <c r="E5395" s="102">
        <v>496000</v>
      </c>
      <c r="F5395" s="102">
        <f t="shared" si="2640"/>
        <v>2182400</v>
      </c>
      <c r="G5395" s="102">
        <f t="shared" si="2641"/>
        <v>1984000</v>
      </c>
      <c r="H5395" s="690" t="s">
        <v>2029</v>
      </c>
      <c r="I5395" s="71" t="s">
        <v>195</v>
      </c>
      <c r="J5395" s="53">
        <f t="shared" si="2642"/>
        <v>530560</v>
      </c>
      <c r="K5395" s="63">
        <f t="shared" si="2636"/>
        <v>0.26741935483870966</v>
      </c>
      <c r="L5395" s="1212" t="s">
        <v>3495</v>
      </c>
      <c r="M5395" s="468"/>
      <c r="N5395" s="1192">
        <f t="shared" si="2644"/>
        <v>44826</v>
      </c>
      <c r="O5395" s="71" t="s">
        <v>194</v>
      </c>
      <c r="P5395" s="103" t="str">
        <f t="shared" si="2628"/>
        <v>Agfa Film(28inch)</v>
      </c>
      <c r="Q5395" s="71">
        <f t="shared" si="2626"/>
        <v>4</v>
      </c>
      <c r="R5395" s="102">
        <v>363360</v>
      </c>
      <c r="S5395" s="102">
        <f t="shared" si="2629"/>
        <v>1598784.0000000002</v>
      </c>
      <c r="T5395" s="102">
        <f t="shared" si="2643"/>
        <v>1453440</v>
      </c>
      <c r="U5395" s="71" t="str">
        <f>IF(J5395=W5395,"O", "X")</f>
        <v>O</v>
      </c>
      <c r="V5395" s="71"/>
      <c r="W5395" s="474">
        <f>(G5395-T5395)</f>
        <v>530560</v>
      </c>
      <c r="X5395" s="71"/>
      <c r="Y5395" s="71"/>
    </row>
    <row r="5396" spans="1:25" ht="30" hidden="1" customHeight="1" x14ac:dyDescent="0.25">
      <c r="A5396" s="1145">
        <v>44826</v>
      </c>
      <c r="B5396" s="664" t="s">
        <v>442</v>
      </c>
      <c r="C5396" s="71" t="s">
        <v>208</v>
      </c>
      <c r="D5396" s="71">
        <v>4</v>
      </c>
      <c r="E5396" s="102">
        <v>555000</v>
      </c>
      <c r="F5396" s="102">
        <f t="shared" si="2640"/>
        <v>2442000</v>
      </c>
      <c r="G5396" s="102">
        <f t="shared" si="2641"/>
        <v>2220000</v>
      </c>
      <c r="H5396" s="690" t="s">
        <v>2029</v>
      </c>
      <c r="I5396" s="71" t="s">
        <v>195</v>
      </c>
      <c r="J5396" s="53">
        <f t="shared" si="2642"/>
        <v>506800</v>
      </c>
      <c r="K5396" s="63">
        <f t="shared" si="2636"/>
        <v>0.22828828828828829</v>
      </c>
      <c r="L5396" s="1212" t="s">
        <v>3495</v>
      </c>
      <c r="M5396" s="468"/>
      <c r="N5396" s="1192">
        <f t="shared" si="2644"/>
        <v>44826</v>
      </c>
      <c r="O5396" s="71" t="s">
        <v>194</v>
      </c>
      <c r="P5396" s="103" t="str">
        <f t="shared" si="2628"/>
        <v>Agfa Film(32inch)</v>
      </c>
      <c r="Q5396" s="71">
        <f t="shared" si="2626"/>
        <v>4</v>
      </c>
      <c r="R5396" s="102">
        <v>428300</v>
      </c>
      <c r="S5396" s="102">
        <f t="shared" si="2629"/>
        <v>1884520.0000000002</v>
      </c>
      <c r="T5396" s="102">
        <f t="shared" si="2643"/>
        <v>1713200</v>
      </c>
      <c r="U5396" s="71" t="str">
        <f>IF(J5396=W5396,"O", "X")</f>
        <v>O</v>
      </c>
      <c r="V5396" s="71"/>
      <c r="W5396" s="474">
        <f>(G5396-T5396)</f>
        <v>506800</v>
      </c>
      <c r="X5396" s="71"/>
      <c r="Y5396" s="71"/>
    </row>
    <row r="5397" spans="1:25" ht="30" hidden="1" customHeight="1" x14ac:dyDescent="0.2">
      <c r="A5397" s="1145">
        <v>44826</v>
      </c>
      <c r="B5397" s="664" t="s">
        <v>442</v>
      </c>
      <c r="C5397" s="71" t="s">
        <v>648</v>
      </c>
      <c r="D5397" s="71">
        <v>1</v>
      </c>
      <c r="E5397" s="102">
        <v>93000</v>
      </c>
      <c r="F5397" s="102">
        <f t="shared" si="2640"/>
        <v>102300.00000000001</v>
      </c>
      <c r="G5397" s="102">
        <f t="shared" si="2641"/>
        <v>93000</v>
      </c>
      <c r="H5397" s="165" t="s">
        <v>172</v>
      </c>
      <c r="I5397" s="71" t="s">
        <v>195</v>
      </c>
      <c r="J5397" s="53">
        <f t="shared" si="2642"/>
        <v>27000</v>
      </c>
      <c r="K5397" s="63">
        <f t="shared" si="2636"/>
        <v>0.29032258064516125</v>
      </c>
      <c r="L5397" s="1212" t="s">
        <v>3495</v>
      </c>
      <c r="M5397" s="468"/>
      <c r="N5397" s="1192">
        <f t="shared" si="2644"/>
        <v>44826</v>
      </c>
      <c r="O5397" s="71" t="s">
        <v>194</v>
      </c>
      <c r="P5397" s="103" t="str">
        <f t="shared" si="2628"/>
        <v>Agfa 정착액 G333C(20L)</v>
      </c>
      <c r="Q5397" s="71">
        <f t="shared" si="2626"/>
        <v>1</v>
      </c>
      <c r="R5397" s="102">
        <v>66000</v>
      </c>
      <c r="S5397" s="102">
        <f t="shared" si="2629"/>
        <v>72600</v>
      </c>
      <c r="T5397" s="102">
        <f t="shared" si="2643"/>
        <v>66000</v>
      </c>
      <c r="U5397" s="71" t="str">
        <f>IF(J5397=W5397,"O", "X")</f>
        <v>O</v>
      </c>
      <c r="V5397" s="71"/>
      <c r="W5397" s="474">
        <f>(G5397-T5397)</f>
        <v>27000</v>
      </c>
      <c r="X5397" s="71"/>
      <c r="Y5397" s="71"/>
    </row>
    <row r="5398" spans="1:25" ht="30" hidden="1" customHeight="1" x14ac:dyDescent="0.25">
      <c r="A5398" s="1145">
        <v>44858</v>
      </c>
      <c r="B5398" s="664" t="s">
        <v>442</v>
      </c>
      <c r="C5398" s="71" t="s">
        <v>3433</v>
      </c>
      <c r="D5398" s="71">
        <v>20</v>
      </c>
      <c r="E5398" s="102">
        <v>115000</v>
      </c>
      <c r="F5398" s="102">
        <f t="shared" si="2640"/>
        <v>2530000</v>
      </c>
      <c r="G5398" s="102">
        <f t="shared" si="2641"/>
        <v>2300000</v>
      </c>
      <c r="H5398" s="690" t="s">
        <v>2029</v>
      </c>
      <c r="I5398" s="71" t="s">
        <v>3385</v>
      </c>
      <c r="J5398" s="53">
        <f t="shared" si="2642"/>
        <v>564000</v>
      </c>
      <c r="K5398" s="63">
        <f t="shared" si="2636"/>
        <v>0.24521739130434783</v>
      </c>
      <c r="L5398" s="1212" t="s">
        <v>3495</v>
      </c>
      <c r="M5398" s="468"/>
      <c r="N5398" s="1192">
        <f t="shared" si="2644"/>
        <v>44858</v>
      </c>
      <c r="O5398" s="71" t="s">
        <v>147</v>
      </c>
      <c r="P5398" s="164" t="str">
        <f t="shared" si="2628"/>
        <v>블랑켓-하이델베르그 국전용</v>
      </c>
      <c r="Q5398" s="71">
        <f t="shared" si="2626"/>
        <v>20</v>
      </c>
      <c r="R5398" s="102">
        <v>86800</v>
      </c>
      <c r="S5398" s="102">
        <f t="shared" si="2629"/>
        <v>1909600.0000000002</v>
      </c>
      <c r="T5398" s="102">
        <f t="shared" si="2643"/>
        <v>1736000</v>
      </c>
      <c r="U5398" s="71"/>
      <c r="V5398" s="71"/>
      <c r="W5398" s="474"/>
      <c r="X5398" s="71"/>
      <c r="Y5398" s="71"/>
    </row>
    <row r="5399" spans="1:25" ht="30" hidden="1" customHeight="1" x14ac:dyDescent="0.25">
      <c r="A5399" s="1145">
        <v>44832</v>
      </c>
      <c r="B5399" s="664" t="s">
        <v>442</v>
      </c>
      <c r="C5399" s="71" t="s">
        <v>773</v>
      </c>
      <c r="D5399" s="71">
        <v>10</v>
      </c>
      <c r="E5399" s="102">
        <v>215000</v>
      </c>
      <c r="F5399" s="102">
        <f t="shared" si="2640"/>
        <v>2365000</v>
      </c>
      <c r="G5399" s="102">
        <f t="shared" si="2641"/>
        <v>2150000</v>
      </c>
      <c r="H5399" s="690" t="s">
        <v>173</v>
      </c>
      <c r="I5399" s="71" t="s">
        <v>109</v>
      </c>
      <c r="J5399" s="53">
        <v>120000</v>
      </c>
      <c r="K5399" s="63">
        <v>0.125</v>
      </c>
      <c r="L5399" s="1212" t="s">
        <v>3495</v>
      </c>
      <c r="M5399" s="468"/>
      <c r="N5399" s="1192">
        <f t="shared" si="2644"/>
        <v>44832</v>
      </c>
      <c r="O5399" s="71" t="s">
        <v>151</v>
      </c>
      <c r="P5399" s="164" t="s">
        <v>1803</v>
      </c>
      <c r="Q5399" s="71">
        <f t="shared" si="2626"/>
        <v>10</v>
      </c>
      <c r="R5399" s="102">
        <v>190000</v>
      </c>
      <c r="S5399" s="102">
        <f>R5399*Q5399*1.1</f>
        <v>2090000.0000000002</v>
      </c>
      <c r="T5399" s="102">
        <f>R5399*Q5399</f>
        <v>1900000</v>
      </c>
      <c r="U5399" s="71" t="s">
        <v>859</v>
      </c>
      <c r="V5399" s="71"/>
      <c r="W5399" s="474">
        <v>120000</v>
      </c>
      <c r="X5399" s="71"/>
      <c r="Y5399" s="71"/>
    </row>
    <row r="5400" spans="1:25" ht="30" hidden="1" customHeight="1" x14ac:dyDescent="0.25">
      <c r="A5400" s="1145">
        <v>44832</v>
      </c>
      <c r="B5400" s="664" t="s">
        <v>442</v>
      </c>
      <c r="C5400" s="71" t="s">
        <v>3299</v>
      </c>
      <c r="D5400" s="71">
        <v>20</v>
      </c>
      <c r="E5400" s="102">
        <v>69000</v>
      </c>
      <c r="F5400" s="102">
        <f t="shared" si="2640"/>
        <v>1518000.0000000002</v>
      </c>
      <c r="G5400" s="102">
        <f t="shared" si="2641"/>
        <v>1380000</v>
      </c>
      <c r="H5400" s="690" t="s">
        <v>172</v>
      </c>
      <c r="I5400" s="71" t="s">
        <v>108</v>
      </c>
      <c r="J5400" s="53">
        <f t="shared" ref="J5400:J5407" si="2645">G5400-T5400</f>
        <v>580000</v>
      </c>
      <c r="K5400" s="63">
        <f t="shared" ref="K5400:K5407" si="2646">(J5400/(F5400/11*10))</f>
        <v>0.42028985507246369</v>
      </c>
      <c r="L5400" s="1212" t="s">
        <v>3495</v>
      </c>
      <c r="M5400" s="468" t="s">
        <v>3304</v>
      </c>
      <c r="N5400" s="1192">
        <v>44544</v>
      </c>
      <c r="O5400" s="71" t="s">
        <v>175</v>
      </c>
      <c r="P5400" s="103" t="s">
        <v>3299</v>
      </c>
      <c r="Q5400" s="71">
        <f t="shared" si="2626"/>
        <v>20</v>
      </c>
      <c r="R5400" s="102">
        <v>40000</v>
      </c>
      <c r="S5400" s="102">
        <f t="shared" ref="S5400:S5407" si="2647">R5400*Q5400*1.1</f>
        <v>880000.00000000012</v>
      </c>
      <c r="T5400" s="102">
        <f t="shared" ref="T5400:T5407" si="2648">R5400*Q5400</f>
        <v>800000</v>
      </c>
      <c r="U5400" s="71" t="s">
        <v>859</v>
      </c>
      <c r="V5400" s="71"/>
      <c r="W5400" s="474"/>
      <c r="X5400" s="71"/>
      <c r="Y5400" s="71"/>
    </row>
    <row r="5401" spans="1:25" ht="30" hidden="1" customHeight="1" x14ac:dyDescent="0.25">
      <c r="A5401" s="1145">
        <v>44832</v>
      </c>
      <c r="B5401" s="664" t="s">
        <v>2</v>
      </c>
      <c r="C5401" s="71" t="s">
        <v>3359</v>
      </c>
      <c r="D5401" s="71">
        <v>6</v>
      </c>
      <c r="E5401" s="102">
        <v>172000</v>
      </c>
      <c r="F5401" s="102">
        <f t="shared" si="2640"/>
        <v>1135200</v>
      </c>
      <c r="G5401" s="102">
        <f t="shared" si="2641"/>
        <v>1032000</v>
      </c>
      <c r="H5401" s="690" t="s">
        <v>172</v>
      </c>
      <c r="I5401" s="71" t="s">
        <v>38</v>
      </c>
      <c r="J5401" s="53">
        <f t="shared" si="2645"/>
        <v>489600</v>
      </c>
      <c r="K5401" s="63">
        <f t="shared" si="2646"/>
        <v>0.47441860465116281</v>
      </c>
      <c r="L5401" s="1212" t="s">
        <v>3495</v>
      </c>
      <c r="M5401" s="468" t="s">
        <v>3300</v>
      </c>
      <c r="N5401" s="1192">
        <f t="shared" ref="N5401:N5406" si="2649">A5401</f>
        <v>44832</v>
      </c>
      <c r="O5401" s="71" t="s">
        <v>150</v>
      </c>
      <c r="P5401" s="103" t="s">
        <v>217</v>
      </c>
      <c r="Q5401" s="71">
        <f t="shared" si="2626"/>
        <v>6</v>
      </c>
      <c r="R5401" s="102">
        <v>90400</v>
      </c>
      <c r="S5401" s="102">
        <f t="shared" si="2647"/>
        <v>596640</v>
      </c>
      <c r="T5401" s="102">
        <f t="shared" si="2648"/>
        <v>542400</v>
      </c>
      <c r="U5401" s="71" t="str">
        <f t="shared" ref="U5401:U5406" si="2650">IF(J5401=W5401,"O", "X")</f>
        <v>X</v>
      </c>
      <c r="V5401" s="71"/>
      <c r="W5401" s="474"/>
      <c r="X5401" s="71"/>
      <c r="Y5401" s="71"/>
    </row>
    <row r="5402" spans="1:25" ht="30" hidden="1" customHeight="1" x14ac:dyDescent="0.25">
      <c r="A5402" s="1145">
        <v>44832</v>
      </c>
      <c r="B5402" s="664" t="s">
        <v>442</v>
      </c>
      <c r="C5402" s="71" t="s">
        <v>3431</v>
      </c>
      <c r="D5402" s="71">
        <v>4</v>
      </c>
      <c r="E5402" s="102">
        <v>142000</v>
      </c>
      <c r="F5402" s="102">
        <f t="shared" si="2640"/>
        <v>624800</v>
      </c>
      <c r="G5402" s="102">
        <f t="shared" si="2641"/>
        <v>568000</v>
      </c>
      <c r="H5402" s="690" t="s">
        <v>2029</v>
      </c>
      <c r="I5402" s="71" t="s">
        <v>195</v>
      </c>
      <c r="J5402" s="53">
        <f t="shared" si="2645"/>
        <v>188000</v>
      </c>
      <c r="K5402" s="63">
        <f t="shared" si="2646"/>
        <v>0.33098591549295775</v>
      </c>
      <c r="L5402" s="1212" t="s">
        <v>3495</v>
      </c>
      <c r="M5402" s="468"/>
      <c r="N5402" s="1192">
        <f t="shared" si="2649"/>
        <v>44832</v>
      </c>
      <c r="O5402" s="71" t="s">
        <v>150</v>
      </c>
      <c r="P5402" s="164" t="str">
        <f>(C5402)</f>
        <v>닥터호일 아스테이지</v>
      </c>
      <c r="Q5402" s="71">
        <f t="shared" si="2626"/>
        <v>4</v>
      </c>
      <c r="R5402" s="102">
        <v>95000</v>
      </c>
      <c r="S5402" s="102">
        <f t="shared" si="2647"/>
        <v>418000.00000000006</v>
      </c>
      <c r="T5402" s="102">
        <f t="shared" si="2648"/>
        <v>380000</v>
      </c>
      <c r="U5402" s="71" t="str">
        <f t="shared" si="2650"/>
        <v>O</v>
      </c>
      <c r="V5402" s="71"/>
      <c r="W5402" s="474">
        <f>(G5402-T5402)</f>
        <v>188000</v>
      </c>
      <c r="X5402" s="71"/>
      <c r="Y5402" s="71"/>
    </row>
    <row r="5403" spans="1:25" ht="30" hidden="1" customHeight="1" x14ac:dyDescent="0.25">
      <c r="A5403" s="1145">
        <v>44841</v>
      </c>
      <c r="B5403" s="664" t="s">
        <v>2</v>
      </c>
      <c r="C5403" s="71" t="s">
        <v>1386</v>
      </c>
      <c r="D5403" s="71">
        <v>26</v>
      </c>
      <c r="E5403" s="102">
        <v>57000</v>
      </c>
      <c r="F5403" s="102">
        <f t="shared" si="2640"/>
        <v>1630200.0000000002</v>
      </c>
      <c r="G5403" s="102">
        <f t="shared" si="2641"/>
        <v>1482000</v>
      </c>
      <c r="H5403" s="690" t="s">
        <v>172</v>
      </c>
      <c r="I5403" s="71" t="s">
        <v>2529</v>
      </c>
      <c r="J5403" s="53">
        <f t="shared" si="2645"/>
        <v>435500</v>
      </c>
      <c r="K5403" s="63">
        <f t="shared" si="2646"/>
        <v>0.29385964912280699</v>
      </c>
      <c r="L5403" s="1212" t="s">
        <v>3495</v>
      </c>
      <c r="M5403" s="468"/>
      <c r="N5403" s="1192">
        <f t="shared" si="2649"/>
        <v>44841</v>
      </c>
      <c r="O5403" s="71" t="s">
        <v>3298</v>
      </c>
      <c r="P5403" s="103" t="str">
        <f>(C5403)</f>
        <v>THR200(20L)보충액</v>
      </c>
      <c r="Q5403" s="71">
        <f t="shared" si="2626"/>
        <v>26</v>
      </c>
      <c r="R5403" s="102">
        <v>40250</v>
      </c>
      <c r="S5403" s="102">
        <f t="shared" si="2647"/>
        <v>1151150</v>
      </c>
      <c r="T5403" s="102">
        <f t="shared" si="2648"/>
        <v>1046500</v>
      </c>
      <c r="U5403" s="71" t="str">
        <f t="shared" si="2650"/>
        <v>O</v>
      </c>
      <c r="V5403" s="71"/>
      <c r="W5403" s="474">
        <f>(G5403-T5403)</f>
        <v>435500</v>
      </c>
      <c r="X5403" s="71"/>
      <c r="Y5403" s="71"/>
    </row>
    <row r="5404" spans="1:25" ht="30" hidden="1" customHeight="1" x14ac:dyDescent="0.25">
      <c r="A5404" s="1145">
        <v>44841</v>
      </c>
      <c r="B5404" s="664" t="s">
        <v>2</v>
      </c>
      <c r="C5404" s="71" t="s">
        <v>3318</v>
      </c>
      <c r="D5404" s="71">
        <v>5</v>
      </c>
      <c r="E5404" s="102">
        <v>57000</v>
      </c>
      <c r="F5404" s="102">
        <f t="shared" si="2640"/>
        <v>313500</v>
      </c>
      <c r="G5404" s="102">
        <f t="shared" si="2641"/>
        <v>285000</v>
      </c>
      <c r="H5404" s="690" t="s">
        <v>172</v>
      </c>
      <c r="I5404" s="71" t="s">
        <v>2529</v>
      </c>
      <c r="J5404" s="53">
        <f t="shared" si="2645"/>
        <v>83750</v>
      </c>
      <c r="K5404" s="63">
        <f t="shared" si="2646"/>
        <v>0.29385964912280704</v>
      </c>
      <c r="L5404" s="1212" t="s">
        <v>3495</v>
      </c>
      <c r="M5404" s="468"/>
      <c r="N5404" s="1192">
        <f t="shared" si="2649"/>
        <v>44841</v>
      </c>
      <c r="O5404" s="71" t="s">
        <v>3298</v>
      </c>
      <c r="P5404" s="103" t="str">
        <f>(C5404)</f>
        <v>THD200(20L)현상액</v>
      </c>
      <c r="Q5404" s="71">
        <f t="shared" si="2626"/>
        <v>5</v>
      </c>
      <c r="R5404" s="102">
        <v>40250</v>
      </c>
      <c r="S5404" s="102">
        <f t="shared" si="2647"/>
        <v>221375.00000000003</v>
      </c>
      <c r="T5404" s="102">
        <f t="shared" si="2648"/>
        <v>201250</v>
      </c>
      <c r="U5404" s="71" t="str">
        <f t="shared" si="2650"/>
        <v>O</v>
      </c>
      <c r="V5404" s="71"/>
      <c r="W5404" s="474">
        <f>(G5404-T5404)</f>
        <v>83750</v>
      </c>
      <c r="X5404" s="71"/>
      <c r="Y5404" s="71"/>
    </row>
    <row r="5405" spans="1:25" ht="30" hidden="1" customHeight="1" x14ac:dyDescent="0.25">
      <c r="A5405" s="1145">
        <v>44841</v>
      </c>
      <c r="B5405" s="664" t="s">
        <v>2</v>
      </c>
      <c r="C5405" s="71" t="s">
        <v>2075</v>
      </c>
      <c r="D5405" s="71">
        <v>2</v>
      </c>
      <c r="E5405" s="102">
        <v>98000</v>
      </c>
      <c r="F5405" s="102">
        <f t="shared" si="2640"/>
        <v>215600.00000000003</v>
      </c>
      <c r="G5405" s="102">
        <f t="shared" si="2641"/>
        <v>196000</v>
      </c>
      <c r="H5405" s="690" t="s">
        <v>173</v>
      </c>
      <c r="I5405" s="71" t="s">
        <v>2273</v>
      </c>
      <c r="J5405" s="53">
        <f t="shared" si="2645"/>
        <v>53000</v>
      </c>
      <c r="K5405" s="63">
        <f t="shared" si="2646"/>
        <v>0.27040816326530609</v>
      </c>
      <c r="L5405" s="1212" t="s">
        <v>3495</v>
      </c>
      <c r="M5405" s="468"/>
      <c r="N5405" s="664">
        <f t="shared" si="2649"/>
        <v>44841</v>
      </c>
      <c r="O5405" s="71" t="s">
        <v>145</v>
      </c>
      <c r="P5405" s="103" t="str">
        <f>C5405</f>
        <v>CTP 고무액</v>
      </c>
      <c r="Q5405" s="71">
        <f t="shared" si="2626"/>
        <v>2</v>
      </c>
      <c r="R5405" s="102">
        <v>71500</v>
      </c>
      <c r="S5405" s="102">
        <f t="shared" si="2647"/>
        <v>157300</v>
      </c>
      <c r="T5405" s="102">
        <f t="shared" si="2648"/>
        <v>143000</v>
      </c>
      <c r="U5405" s="71" t="str">
        <f t="shared" si="2650"/>
        <v>X</v>
      </c>
      <c r="V5405" s="71"/>
      <c r="W5405" s="474"/>
      <c r="X5405" s="71"/>
      <c r="Y5405" s="71"/>
    </row>
    <row r="5406" spans="1:25" ht="30" hidden="1" customHeight="1" x14ac:dyDescent="0.2">
      <c r="A5406" s="1145">
        <v>44841</v>
      </c>
      <c r="B5406" s="664" t="s">
        <v>442</v>
      </c>
      <c r="C5406" s="71" t="s">
        <v>648</v>
      </c>
      <c r="D5406" s="71">
        <v>2</v>
      </c>
      <c r="E5406" s="102">
        <v>93000</v>
      </c>
      <c r="F5406" s="102">
        <f>(E5406*D5406)*1.1</f>
        <v>204600.00000000003</v>
      </c>
      <c r="G5406" s="102">
        <f>(E5406*D5406)</f>
        <v>186000</v>
      </c>
      <c r="H5406" s="165" t="s">
        <v>172</v>
      </c>
      <c r="I5406" s="71" t="s">
        <v>195</v>
      </c>
      <c r="J5406" s="53">
        <f t="shared" si="2645"/>
        <v>54000</v>
      </c>
      <c r="K5406" s="63">
        <f t="shared" si="2646"/>
        <v>0.29032258064516125</v>
      </c>
      <c r="L5406" s="1212" t="s">
        <v>3495</v>
      </c>
      <c r="M5406" s="468"/>
      <c r="N5406" s="1192">
        <f t="shared" si="2649"/>
        <v>44841</v>
      </c>
      <c r="O5406" s="71" t="s">
        <v>194</v>
      </c>
      <c r="P5406" s="103" t="str">
        <f>(C5406)</f>
        <v>Agfa 정착액 G333C(20L)</v>
      </c>
      <c r="Q5406" s="71">
        <f t="shared" si="2626"/>
        <v>2</v>
      </c>
      <c r="R5406" s="102">
        <v>66000</v>
      </c>
      <c r="S5406" s="102">
        <f t="shared" si="2647"/>
        <v>145200</v>
      </c>
      <c r="T5406" s="102">
        <f t="shared" si="2648"/>
        <v>132000</v>
      </c>
      <c r="U5406" s="71" t="str">
        <f t="shared" si="2650"/>
        <v>O</v>
      </c>
      <c r="V5406" s="71"/>
      <c r="W5406" s="474">
        <f>(G5406-T5406)</f>
        <v>54000</v>
      </c>
      <c r="X5406" s="71"/>
      <c r="Y5406" s="71"/>
    </row>
    <row r="5407" spans="1:25" ht="30" hidden="1" customHeight="1" x14ac:dyDescent="0.25">
      <c r="A5407" s="1145">
        <v>44847</v>
      </c>
      <c r="B5407" s="664" t="s">
        <v>690</v>
      </c>
      <c r="C5407" s="71" t="s">
        <v>3270</v>
      </c>
      <c r="D5407" s="71">
        <v>10</v>
      </c>
      <c r="E5407" s="102">
        <v>45000</v>
      </c>
      <c r="F5407" s="102">
        <f>(E5407*D5407)*1.1</f>
        <v>495000.00000000006</v>
      </c>
      <c r="G5407" s="102">
        <f>(E5407*D5407)</f>
        <v>450000</v>
      </c>
      <c r="H5407" s="690" t="s">
        <v>173</v>
      </c>
      <c r="I5407" s="71" t="s">
        <v>2231</v>
      </c>
      <c r="J5407" s="53">
        <f t="shared" si="2645"/>
        <v>155700</v>
      </c>
      <c r="K5407" s="63">
        <f t="shared" si="2646"/>
        <v>0.34599999999999997</v>
      </c>
      <c r="L5407" s="1212" t="s">
        <v>3495</v>
      </c>
      <c r="M5407" s="468"/>
      <c r="N5407" s="1192"/>
      <c r="O5407" s="71" t="s">
        <v>145</v>
      </c>
      <c r="P5407" s="164" t="str">
        <f t="shared" si="2628"/>
        <v>Agfa 현상액 G101C(10L)</v>
      </c>
      <c r="Q5407" s="71">
        <f t="shared" si="2626"/>
        <v>10</v>
      </c>
      <c r="R5407" s="102">
        <v>29430</v>
      </c>
      <c r="S5407" s="102">
        <f t="shared" si="2647"/>
        <v>323730</v>
      </c>
      <c r="T5407" s="102">
        <f t="shared" si="2648"/>
        <v>294300</v>
      </c>
      <c r="U5407" s="71"/>
      <c r="V5407" s="71"/>
      <c r="W5407" s="474">
        <f>(G5407-T5407)</f>
        <v>155700</v>
      </c>
      <c r="X5407" s="71"/>
      <c r="Y5407" s="71"/>
    </row>
    <row r="5408" spans="1:25" ht="30" hidden="1" customHeight="1" x14ac:dyDescent="0.25">
      <c r="A5408" s="1145">
        <v>44829</v>
      </c>
      <c r="B5408" s="664" t="s">
        <v>1060</v>
      </c>
      <c r="C5408" s="71" t="s">
        <v>3310</v>
      </c>
      <c r="D5408" s="71">
        <v>0</v>
      </c>
      <c r="E5408" s="102">
        <v>6340</v>
      </c>
      <c r="F5408" s="102">
        <f t="shared" ref="F5408:F5426" si="2651">(E5408*D5408)*1.1</f>
        <v>0</v>
      </c>
      <c r="G5408" s="102">
        <f t="shared" ref="G5408:G5426" si="2652">(E5408*D5408)</f>
        <v>0</v>
      </c>
      <c r="H5408" s="690" t="s">
        <v>36</v>
      </c>
      <c r="I5408" s="71" t="s">
        <v>2529</v>
      </c>
      <c r="J5408" s="53">
        <f t="shared" ref="J5408:J5426" si="2653">G5408-T5408</f>
        <v>0</v>
      </c>
      <c r="K5408" s="63" t="e">
        <f t="shared" ref="K5408:K5426" si="2654">(J5408/(F5408/11*10))</f>
        <v>#DIV/0!</v>
      </c>
      <c r="L5408" s="1212" t="s">
        <v>3495</v>
      </c>
      <c r="M5408" s="102">
        <v>4250</v>
      </c>
      <c r="N5408" s="1192">
        <f t="shared" ref="N5408:N5426" si="2655">A5408</f>
        <v>44829</v>
      </c>
      <c r="O5408" s="71" t="s">
        <v>3298</v>
      </c>
      <c r="P5408" s="103" t="str">
        <f t="shared" si="2628"/>
        <v>ENGAGE 1030*790</v>
      </c>
      <c r="Q5408" s="71">
        <f t="shared" si="2626"/>
        <v>0</v>
      </c>
      <c r="R5408" s="102">
        <v>5150</v>
      </c>
      <c r="S5408" s="102">
        <f t="shared" ref="S5408:S5426" si="2656">R5408*Q5408*1.1</f>
        <v>0</v>
      </c>
      <c r="T5408" s="102">
        <f t="shared" ref="T5408:T5426" si="2657">R5408*Q5408</f>
        <v>0</v>
      </c>
      <c r="U5408" s="71" t="str">
        <f t="shared" ref="U5408:U5425" si="2658">IF(J5408=W5408,"O", "X")</f>
        <v>O</v>
      </c>
      <c r="V5408" s="71"/>
      <c r="W5408" s="474">
        <f t="shared" ref="W5408:W5425" si="2659">(G5408-T5408)</f>
        <v>0</v>
      </c>
      <c r="X5408" s="71"/>
      <c r="Y5408" s="71"/>
    </row>
    <row r="5409" spans="1:25" ht="30" hidden="1" customHeight="1" x14ac:dyDescent="0.25">
      <c r="A5409" s="1145">
        <v>44829</v>
      </c>
      <c r="B5409" s="664" t="s">
        <v>2255</v>
      </c>
      <c r="C5409" s="71" t="s">
        <v>3400</v>
      </c>
      <c r="D5409" s="71">
        <v>2000</v>
      </c>
      <c r="E5409" s="102">
        <v>4160</v>
      </c>
      <c r="F5409" s="102">
        <f t="shared" si="2651"/>
        <v>9152000</v>
      </c>
      <c r="G5409" s="102">
        <f t="shared" si="2652"/>
        <v>8320000</v>
      </c>
      <c r="H5409" s="690" t="s">
        <v>36</v>
      </c>
      <c r="I5409" s="71" t="s">
        <v>2529</v>
      </c>
      <c r="J5409" s="53">
        <f t="shared" si="2653"/>
        <v>1820000</v>
      </c>
      <c r="K5409" s="63">
        <f t="shared" si="2654"/>
        <v>0.21875</v>
      </c>
      <c r="L5409" s="1212" t="s">
        <v>3495</v>
      </c>
      <c r="M5409" s="102">
        <v>2680</v>
      </c>
      <c r="N5409" s="1192">
        <f t="shared" si="2655"/>
        <v>44829</v>
      </c>
      <c r="O5409" s="71" t="s">
        <v>3298</v>
      </c>
      <c r="P5409" s="103" t="str">
        <f t="shared" si="2628"/>
        <v>ENGAGE 900X571 - 27RO</v>
      </c>
      <c r="Q5409" s="71">
        <f t="shared" si="2626"/>
        <v>2000</v>
      </c>
      <c r="R5409" s="102">
        <v>3250</v>
      </c>
      <c r="S5409" s="102">
        <f t="shared" si="2656"/>
        <v>7150000.0000000009</v>
      </c>
      <c r="T5409" s="102">
        <f t="shared" si="2657"/>
        <v>6500000</v>
      </c>
      <c r="U5409" s="71" t="str">
        <f t="shared" si="2658"/>
        <v>O</v>
      </c>
      <c r="V5409" s="71"/>
      <c r="W5409" s="474">
        <f t="shared" si="2659"/>
        <v>1820000</v>
      </c>
      <c r="X5409" s="71"/>
      <c r="Y5409" s="71"/>
    </row>
    <row r="5410" spans="1:25" ht="30" hidden="1" customHeight="1" x14ac:dyDescent="0.25">
      <c r="A5410" s="1145">
        <v>44829</v>
      </c>
      <c r="B5410" s="664" t="s">
        <v>2255</v>
      </c>
      <c r="C5410" s="71" t="s">
        <v>3402</v>
      </c>
      <c r="D5410" s="71">
        <v>2000</v>
      </c>
      <c r="E5410" s="102">
        <v>3970</v>
      </c>
      <c r="F5410" s="102">
        <f t="shared" si="2651"/>
        <v>8734000</v>
      </c>
      <c r="G5410" s="102">
        <f t="shared" si="2652"/>
        <v>7940000</v>
      </c>
      <c r="H5410" s="690" t="s">
        <v>36</v>
      </c>
      <c r="I5410" s="71" t="s">
        <v>2529</v>
      </c>
      <c r="J5410" s="53">
        <f t="shared" si="2653"/>
        <v>1780000</v>
      </c>
      <c r="K5410" s="63">
        <f t="shared" si="2654"/>
        <v>0.22418136020151133</v>
      </c>
      <c r="L5410" s="1212" t="s">
        <v>3495</v>
      </c>
      <c r="M5410" s="102">
        <v>2540</v>
      </c>
      <c r="N5410" s="1192">
        <f t="shared" si="2655"/>
        <v>44829</v>
      </c>
      <c r="O5410" s="71" t="s">
        <v>3298</v>
      </c>
      <c r="P5410" s="103" t="str">
        <f t="shared" si="2628"/>
        <v>ENGAGE 30WEB(883*552)</v>
      </c>
      <c r="Q5410" s="71">
        <f t="shared" si="2626"/>
        <v>2000</v>
      </c>
      <c r="R5410" s="102">
        <v>3080</v>
      </c>
      <c r="S5410" s="102">
        <f t="shared" si="2656"/>
        <v>6776000.0000000009</v>
      </c>
      <c r="T5410" s="102">
        <f t="shared" si="2657"/>
        <v>6160000</v>
      </c>
      <c r="U5410" s="71" t="str">
        <f t="shared" si="2658"/>
        <v>O</v>
      </c>
      <c r="V5410" s="71"/>
      <c r="W5410" s="474">
        <f t="shared" si="2659"/>
        <v>1780000</v>
      </c>
      <c r="X5410" s="71"/>
      <c r="Y5410" s="71"/>
    </row>
    <row r="5411" spans="1:25" ht="30" hidden="1" customHeight="1" x14ac:dyDescent="0.25">
      <c r="A5411" s="1145">
        <v>44829</v>
      </c>
      <c r="B5411" s="664" t="s">
        <v>2255</v>
      </c>
      <c r="C5411" s="71" t="s">
        <v>3313</v>
      </c>
      <c r="D5411" s="71">
        <v>2000</v>
      </c>
      <c r="E5411" s="102">
        <v>6700</v>
      </c>
      <c r="F5411" s="102">
        <f t="shared" si="2651"/>
        <v>14740000.000000002</v>
      </c>
      <c r="G5411" s="102">
        <f t="shared" si="2652"/>
        <v>13400000</v>
      </c>
      <c r="H5411" s="690" t="s">
        <v>36</v>
      </c>
      <c r="I5411" s="71" t="s">
        <v>2529</v>
      </c>
      <c r="J5411" s="53">
        <f t="shared" si="2653"/>
        <v>2960000</v>
      </c>
      <c r="K5411" s="63">
        <f t="shared" si="2654"/>
        <v>0.22089552238805968</v>
      </c>
      <c r="L5411" s="1212" t="s">
        <v>3495</v>
      </c>
      <c r="M5411" s="102">
        <v>4300</v>
      </c>
      <c r="N5411" s="1192">
        <f t="shared" si="2655"/>
        <v>44829</v>
      </c>
      <c r="O5411" s="71" t="s">
        <v>3298</v>
      </c>
      <c r="P5411" s="103" t="str">
        <f t="shared" si="2628"/>
        <v>ENGAGE 1030*800</v>
      </c>
      <c r="Q5411" s="71">
        <f t="shared" si="2626"/>
        <v>2000</v>
      </c>
      <c r="R5411" s="102">
        <v>5220</v>
      </c>
      <c r="S5411" s="102">
        <f t="shared" si="2656"/>
        <v>11484000</v>
      </c>
      <c r="T5411" s="102">
        <f t="shared" si="2657"/>
        <v>10440000</v>
      </c>
      <c r="U5411" s="71" t="str">
        <f t="shared" si="2658"/>
        <v>O</v>
      </c>
      <c r="V5411" s="71"/>
      <c r="W5411" s="474">
        <f t="shared" si="2659"/>
        <v>2960000</v>
      </c>
      <c r="X5411" s="71"/>
      <c r="Y5411" s="71"/>
    </row>
    <row r="5412" spans="1:25" ht="30" hidden="1" customHeight="1" x14ac:dyDescent="0.25">
      <c r="A5412" s="1145">
        <v>44829</v>
      </c>
      <c r="B5412" s="664" t="s">
        <v>2255</v>
      </c>
      <c r="C5412" s="71" t="s">
        <v>3314</v>
      </c>
      <c r="D5412" s="71">
        <v>1200</v>
      </c>
      <c r="E5412" s="102">
        <v>6940</v>
      </c>
      <c r="F5412" s="102">
        <f t="shared" si="2651"/>
        <v>9160800</v>
      </c>
      <c r="G5412" s="102">
        <f t="shared" si="2652"/>
        <v>8328000</v>
      </c>
      <c r="H5412" s="690" t="s">
        <v>36</v>
      </c>
      <c r="I5412" s="71" t="s">
        <v>2529</v>
      </c>
      <c r="J5412" s="53">
        <f t="shared" si="2653"/>
        <v>1824000</v>
      </c>
      <c r="K5412" s="63">
        <f t="shared" si="2654"/>
        <v>0.21902017291066284</v>
      </c>
      <c r="L5412" s="1212" t="s">
        <v>3495</v>
      </c>
      <c r="M5412" s="102">
        <v>4470</v>
      </c>
      <c r="N5412" s="1192">
        <f t="shared" si="2655"/>
        <v>44829</v>
      </c>
      <c r="O5412" s="71" t="s">
        <v>3298</v>
      </c>
      <c r="P5412" s="103" t="str">
        <f t="shared" si="2628"/>
        <v>ENGAGE 1055*811</v>
      </c>
      <c r="Q5412" s="71">
        <f t="shared" si="2626"/>
        <v>1200</v>
      </c>
      <c r="R5412" s="102">
        <v>5420</v>
      </c>
      <c r="S5412" s="102">
        <f t="shared" si="2656"/>
        <v>7154400.0000000009</v>
      </c>
      <c r="T5412" s="102">
        <f t="shared" si="2657"/>
        <v>6504000</v>
      </c>
      <c r="U5412" s="71" t="str">
        <f t="shared" si="2658"/>
        <v>O</v>
      </c>
      <c r="V5412" s="71"/>
      <c r="W5412" s="474">
        <f t="shared" si="2659"/>
        <v>1824000</v>
      </c>
      <c r="X5412" s="71"/>
      <c r="Y5412" s="71"/>
    </row>
    <row r="5413" spans="1:25" ht="30" hidden="1" customHeight="1" x14ac:dyDescent="0.25">
      <c r="A5413" s="1145">
        <v>44829</v>
      </c>
      <c r="B5413" s="664" t="s">
        <v>2255</v>
      </c>
      <c r="C5413" s="71" t="s">
        <v>3315</v>
      </c>
      <c r="D5413" s="71">
        <v>600</v>
      </c>
      <c r="E5413" s="102">
        <v>4970</v>
      </c>
      <c r="F5413" s="102">
        <f t="shared" si="2651"/>
        <v>3280200.0000000005</v>
      </c>
      <c r="G5413" s="102">
        <f t="shared" si="2652"/>
        <v>2982000</v>
      </c>
      <c r="H5413" s="690" t="s">
        <v>36</v>
      </c>
      <c r="I5413" s="71" t="s">
        <v>2529</v>
      </c>
      <c r="J5413" s="53">
        <f t="shared" si="2653"/>
        <v>660000</v>
      </c>
      <c r="K5413" s="63">
        <f t="shared" si="2654"/>
        <v>0.22132796780684103</v>
      </c>
      <c r="L5413" s="1212" t="s">
        <v>3495</v>
      </c>
      <c r="M5413" s="102">
        <v>3190</v>
      </c>
      <c r="N5413" s="1192">
        <f t="shared" si="2655"/>
        <v>44829</v>
      </c>
      <c r="O5413" s="71" t="s">
        <v>3298</v>
      </c>
      <c r="P5413" s="103" t="str">
        <f t="shared" si="2628"/>
        <v>ENGAGE 968*631</v>
      </c>
      <c r="Q5413" s="71">
        <f t="shared" si="2626"/>
        <v>600</v>
      </c>
      <c r="R5413" s="102">
        <v>3870</v>
      </c>
      <c r="S5413" s="102">
        <f t="shared" si="2656"/>
        <v>2554200</v>
      </c>
      <c r="T5413" s="102">
        <f t="shared" si="2657"/>
        <v>2322000</v>
      </c>
      <c r="U5413" s="71" t="str">
        <f t="shared" si="2658"/>
        <v>O</v>
      </c>
      <c r="V5413" s="71"/>
      <c r="W5413" s="474">
        <f t="shared" si="2659"/>
        <v>660000</v>
      </c>
      <c r="X5413" s="71"/>
      <c r="Y5413" s="71"/>
    </row>
    <row r="5414" spans="1:25" ht="30" hidden="1" customHeight="1" x14ac:dyDescent="0.25">
      <c r="A5414" s="1145">
        <v>44829</v>
      </c>
      <c r="B5414" s="664" t="s">
        <v>2255</v>
      </c>
      <c r="C5414" s="71" t="s">
        <v>3316</v>
      </c>
      <c r="D5414" s="71"/>
      <c r="E5414" s="102"/>
      <c r="F5414" s="102">
        <f t="shared" si="2651"/>
        <v>0</v>
      </c>
      <c r="G5414" s="102">
        <f t="shared" si="2652"/>
        <v>0</v>
      </c>
      <c r="H5414" s="690" t="s">
        <v>36</v>
      </c>
      <c r="I5414" s="71" t="s">
        <v>2529</v>
      </c>
      <c r="J5414" s="53">
        <f t="shared" si="2653"/>
        <v>0</v>
      </c>
      <c r="K5414" s="63" t="e">
        <f t="shared" si="2654"/>
        <v>#DIV/0!</v>
      </c>
      <c r="L5414" s="1212" t="s">
        <v>3495</v>
      </c>
      <c r="M5414" s="102">
        <v>5510</v>
      </c>
      <c r="N5414" s="1192">
        <f t="shared" si="2655"/>
        <v>44829</v>
      </c>
      <c r="O5414" s="71" t="s">
        <v>3298</v>
      </c>
      <c r="P5414" s="103" t="str">
        <f t="shared" si="2628"/>
        <v>ENGAGE 1092*800</v>
      </c>
      <c r="Q5414" s="71">
        <f t="shared" si="2626"/>
        <v>0</v>
      </c>
      <c r="R5414" s="102">
        <f>(M5414*1.07)</f>
        <v>5895.7000000000007</v>
      </c>
      <c r="S5414" s="102">
        <f t="shared" si="2656"/>
        <v>0</v>
      </c>
      <c r="T5414" s="102">
        <f t="shared" si="2657"/>
        <v>0</v>
      </c>
      <c r="U5414" s="71" t="str">
        <f t="shared" si="2658"/>
        <v>O</v>
      </c>
      <c r="V5414" s="71"/>
      <c r="W5414" s="474">
        <f t="shared" si="2659"/>
        <v>0</v>
      </c>
      <c r="X5414" s="71"/>
      <c r="Y5414" s="71"/>
    </row>
    <row r="5415" spans="1:25" ht="30" hidden="1" customHeight="1" x14ac:dyDescent="0.25">
      <c r="A5415" s="1145">
        <v>44829</v>
      </c>
      <c r="B5415" s="664" t="s">
        <v>2255</v>
      </c>
      <c r="C5415" s="71" t="s">
        <v>1386</v>
      </c>
      <c r="D5415" s="71">
        <v>40</v>
      </c>
      <c r="E5415" s="102">
        <v>61000</v>
      </c>
      <c r="F5415" s="102">
        <f t="shared" si="2651"/>
        <v>2684000</v>
      </c>
      <c r="G5415" s="102">
        <f t="shared" si="2652"/>
        <v>2440000</v>
      </c>
      <c r="H5415" s="690" t="s">
        <v>179</v>
      </c>
      <c r="I5415" s="71" t="s">
        <v>3405</v>
      </c>
      <c r="J5415" s="53">
        <f t="shared" si="2653"/>
        <v>830000</v>
      </c>
      <c r="K5415" s="63">
        <f t="shared" si="2654"/>
        <v>0.3401639344262295</v>
      </c>
      <c r="L5415" s="1212" t="s">
        <v>3495</v>
      </c>
      <c r="M5415" s="468"/>
      <c r="N5415" s="1192">
        <f t="shared" si="2655"/>
        <v>44829</v>
      </c>
      <c r="O5415" s="71" t="s">
        <v>194</v>
      </c>
      <c r="P5415" s="164" t="str">
        <f t="shared" si="2628"/>
        <v>THR200(20L)보충액</v>
      </c>
      <c r="Q5415" s="71">
        <f t="shared" si="2626"/>
        <v>40</v>
      </c>
      <c r="R5415" s="102">
        <v>40250</v>
      </c>
      <c r="S5415" s="102">
        <f t="shared" si="2656"/>
        <v>1771000.0000000002</v>
      </c>
      <c r="T5415" s="102">
        <f t="shared" si="2657"/>
        <v>1610000</v>
      </c>
      <c r="U5415" s="71" t="str">
        <f t="shared" si="2658"/>
        <v>O</v>
      </c>
      <c r="V5415" s="71"/>
      <c r="W5415" s="474">
        <f t="shared" si="2659"/>
        <v>830000</v>
      </c>
      <c r="X5415" s="71"/>
      <c r="Y5415" s="71"/>
    </row>
    <row r="5416" spans="1:25" ht="30" hidden="1" customHeight="1" x14ac:dyDescent="0.25">
      <c r="A5416" s="1145">
        <v>44829</v>
      </c>
      <c r="B5416" s="664" t="s">
        <v>2255</v>
      </c>
      <c r="C5416" s="71" t="s">
        <v>3318</v>
      </c>
      <c r="D5416" s="71">
        <v>5</v>
      </c>
      <c r="E5416" s="102">
        <v>61000</v>
      </c>
      <c r="F5416" s="102">
        <f t="shared" si="2651"/>
        <v>335500</v>
      </c>
      <c r="G5416" s="102">
        <f t="shared" si="2652"/>
        <v>305000</v>
      </c>
      <c r="H5416" s="690" t="s">
        <v>36</v>
      </c>
      <c r="I5416" s="71" t="s">
        <v>2529</v>
      </c>
      <c r="J5416" s="53">
        <f t="shared" si="2653"/>
        <v>103750</v>
      </c>
      <c r="K5416" s="63">
        <f t="shared" si="2654"/>
        <v>0.3401639344262295</v>
      </c>
      <c r="L5416" s="1212" t="s">
        <v>3495</v>
      </c>
      <c r="M5416" s="468"/>
      <c r="N5416" s="1192">
        <f t="shared" si="2655"/>
        <v>44829</v>
      </c>
      <c r="O5416" s="71" t="s">
        <v>3298</v>
      </c>
      <c r="P5416" s="103" t="str">
        <f t="shared" si="2628"/>
        <v>THD200(20L)현상액</v>
      </c>
      <c r="Q5416" s="71">
        <f t="shared" si="2626"/>
        <v>5</v>
      </c>
      <c r="R5416" s="102">
        <v>40250</v>
      </c>
      <c r="S5416" s="102">
        <f t="shared" si="2656"/>
        <v>221375.00000000003</v>
      </c>
      <c r="T5416" s="102">
        <f t="shared" si="2657"/>
        <v>201250</v>
      </c>
      <c r="U5416" s="71" t="str">
        <f t="shared" si="2658"/>
        <v>O</v>
      </c>
      <c r="V5416" s="71"/>
      <c r="W5416" s="474">
        <f t="shared" si="2659"/>
        <v>103750</v>
      </c>
      <c r="X5416" s="71"/>
      <c r="Y5416" s="71"/>
    </row>
    <row r="5417" spans="1:25" ht="30" hidden="1" customHeight="1" x14ac:dyDescent="0.25">
      <c r="A5417" s="1145">
        <v>44858</v>
      </c>
      <c r="B5417" s="664" t="s">
        <v>2254</v>
      </c>
      <c r="C5417" s="71" t="s">
        <v>3319</v>
      </c>
      <c r="D5417" s="71">
        <v>200</v>
      </c>
      <c r="E5417" s="102">
        <v>6328</v>
      </c>
      <c r="F5417" s="102">
        <f t="shared" si="2651"/>
        <v>1392160</v>
      </c>
      <c r="G5417" s="102">
        <f t="shared" si="2652"/>
        <v>1265600</v>
      </c>
      <c r="H5417" s="690" t="s">
        <v>36</v>
      </c>
      <c r="I5417" s="71" t="s">
        <v>3320</v>
      </c>
      <c r="J5417" s="53">
        <f t="shared" si="2653"/>
        <v>205600</v>
      </c>
      <c r="K5417" s="63">
        <f t="shared" si="2654"/>
        <v>0.16245259165613149</v>
      </c>
      <c r="L5417" s="1212" t="s">
        <v>3495</v>
      </c>
      <c r="M5417" s="468"/>
      <c r="N5417" s="1192">
        <f t="shared" si="2655"/>
        <v>44858</v>
      </c>
      <c r="O5417" s="71" t="s">
        <v>146</v>
      </c>
      <c r="P5417" s="103" t="str">
        <f t="shared" si="2628"/>
        <v>프리미어(먹)</v>
      </c>
      <c r="Q5417" s="71">
        <f t="shared" si="2626"/>
        <v>200</v>
      </c>
      <c r="R5417" s="102">
        <v>5300</v>
      </c>
      <c r="S5417" s="102">
        <f t="shared" si="2656"/>
        <v>1166000</v>
      </c>
      <c r="T5417" s="102">
        <f t="shared" si="2657"/>
        <v>1060000</v>
      </c>
      <c r="U5417" s="71" t="str">
        <f t="shared" si="2658"/>
        <v>O</v>
      </c>
      <c r="V5417" s="71"/>
      <c r="W5417" s="474">
        <f t="shared" si="2659"/>
        <v>205600</v>
      </c>
      <c r="X5417" s="71"/>
      <c r="Y5417" s="71"/>
    </row>
    <row r="5418" spans="1:25" ht="30" hidden="1" customHeight="1" x14ac:dyDescent="0.25">
      <c r="A5418" s="1145">
        <v>44858</v>
      </c>
      <c r="B5418" s="664" t="s">
        <v>2254</v>
      </c>
      <c r="C5418" s="71" t="s">
        <v>3321</v>
      </c>
      <c r="D5418" s="71">
        <v>400</v>
      </c>
      <c r="E5418" s="102">
        <v>6780</v>
      </c>
      <c r="F5418" s="102">
        <f t="shared" si="2651"/>
        <v>2983200.0000000005</v>
      </c>
      <c r="G5418" s="102">
        <f t="shared" si="2652"/>
        <v>2712000</v>
      </c>
      <c r="H5418" s="690" t="s">
        <v>36</v>
      </c>
      <c r="I5418" s="71" t="s">
        <v>3320</v>
      </c>
      <c r="J5418" s="53">
        <f t="shared" si="2653"/>
        <v>292000</v>
      </c>
      <c r="K5418" s="63">
        <f t="shared" si="2654"/>
        <v>0.10766961651917402</v>
      </c>
      <c r="L5418" s="1212" t="s">
        <v>3495</v>
      </c>
      <c r="M5418" s="468"/>
      <c r="N5418" s="1192">
        <f t="shared" si="2655"/>
        <v>44858</v>
      </c>
      <c r="O5418" s="71" t="s">
        <v>146</v>
      </c>
      <c r="P5418" s="103" t="str">
        <f t="shared" si="2628"/>
        <v>프리미어(적)</v>
      </c>
      <c r="Q5418" s="71">
        <f t="shared" si="2626"/>
        <v>400</v>
      </c>
      <c r="R5418" s="102">
        <v>6050</v>
      </c>
      <c r="S5418" s="102">
        <f t="shared" si="2656"/>
        <v>2662000</v>
      </c>
      <c r="T5418" s="102">
        <f t="shared" si="2657"/>
        <v>2420000</v>
      </c>
      <c r="U5418" s="71" t="str">
        <f t="shared" si="2658"/>
        <v>O</v>
      </c>
      <c r="V5418" s="71"/>
      <c r="W5418" s="474">
        <f t="shared" si="2659"/>
        <v>292000</v>
      </c>
      <c r="X5418" s="71"/>
      <c r="Y5418" s="71"/>
    </row>
    <row r="5419" spans="1:25" ht="30" hidden="1" customHeight="1" x14ac:dyDescent="0.25">
      <c r="A5419" s="1145">
        <v>44858</v>
      </c>
      <c r="B5419" s="664" t="s">
        <v>2254</v>
      </c>
      <c r="C5419" s="71" t="s">
        <v>1289</v>
      </c>
      <c r="D5419" s="71">
        <v>800</v>
      </c>
      <c r="E5419" s="102">
        <v>6498</v>
      </c>
      <c r="F5419" s="102">
        <f t="shared" si="2651"/>
        <v>5718240</v>
      </c>
      <c r="G5419" s="102">
        <f t="shared" si="2652"/>
        <v>5198400</v>
      </c>
      <c r="H5419" s="690" t="s">
        <v>36</v>
      </c>
      <c r="I5419" s="71" t="s">
        <v>3320</v>
      </c>
      <c r="J5419" s="53">
        <f t="shared" si="2653"/>
        <v>854400</v>
      </c>
      <c r="K5419" s="63">
        <f t="shared" si="2654"/>
        <v>0.16435826408125578</v>
      </c>
      <c r="L5419" s="1212" t="s">
        <v>3495</v>
      </c>
      <c r="M5419" s="468"/>
      <c r="N5419" s="1192">
        <f t="shared" si="2655"/>
        <v>44858</v>
      </c>
      <c r="O5419" s="71" t="s">
        <v>146</v>
      </c>
      <c r="P5419" s="103" t="str">
        <f t="shared" si="2628"/>
        <v>프리미어(황)</v>
      </c>
      <c r="Q5419" s="71">
        <f t="shared" si="2626"/>
        <v>800</v>
      </c>
      <c r="R5419" s="102">
        <v>5430</v>
      </c>
      <c r="S5419" s="102">
        <f t="shared" si="2656"/>
        <v>4778400</v>
      </c>
      <c r="T5419" s="102">
        <f t="shared" si="2657"/>
        <v>4344000</v>
      </c>
      <c r="U5419" s="71" t="str">
        <f t="shared" si="2658"/>
        <v>O</v>
      </c>
      <c r="V5419" s="71"/>
      <c r="W5419" s="474">
        <f t="shared" si="2659"/>
        <v>854400</v>
      </c>
      <c r="X5419" s="71"/>
      <c r="Y5419" s="71"/>
    </row>
    <row r="5420" spans="1:25" ht="30" hidden="1" customHeight="1" x14ac:dyDescent="0.25">
      <c r="A5420" s="1145">
        <v>44858</v>
      </c>
      <c r="B5420" s="664" t="s">
        <v>2254</v>
      </c>
      <c r="C5420" s="71" t="s">
        <v>1290</v>
      </c>
      <c r="D5420" s="71">
        <v>400</v>
      </c>
      <c r="E5420" s="102">
        <v>7910</v>
      </c>
      <c r="F5420" s="102">
        <f t="shared" si="2651"/>
        <v>3480400.0000000005</v>
      </c>
      <c r="G5420" s="102">
        <f t="shared" si="2652"/>
        <v>3164000</v>
      </c>
      <c r="H5420" s="690" t="s">
        <v>36</v>
      </c>
      <c r="I5420" s="71" t="s">
        <v>3320</v>
      </c>
      <c r="J5420" s="53">
        <f t="shared" si="2653"/>
        <v>564000</v>
      </c>
      <c r="K5420" s="63">
        <f t="shared" si="2654"/>
        <v>0.1782553729456384</v>
      </c>
      <c r="L5420" s="1212" t="s">
        <v>3495</v>
      </c>
      <c r="M5420" s="468"/>
      <c r="N5420" s="1192">
        <f t="shared" si="2655"/>
        <v>44858</v>
      </c>
      <c r="O5420" s="71" t="s">
        <v>146</v>
      </c>
      <c r="P5420" s="103" t="str">
        <f t="shared" si="2628"/>
        <v>프리미어(청)</v>
      </c>
      <c r="Q5420" s="71">
        <f t="shared" si="2626"/>
        <v>400</v>
      </c>
      <c r="R5420" s="102">
        <v>6500</v>
      </c>
      <c r="S5420" s="102">
        <f t="shared" si="2656"/>
        <v>2860000</v>
      </c>
      <c r="T5420" s="102">
        <f t="shared" si="2657"/>
        <v>2600000</v>
      </c>
      <c r="U5420" s="71" t="str">
        <f t="shared" si="2658"/>
        <v>O</v>
      </c>
      <c r="V5420" s="71"/>
      <c r="W5420" s="474">
        <f t="shared" si="2659"/>
        <v>564000</v>
      </c>
      <c r="X5420" s="71"/>
      <c r="Y5420" s="71"/>
    </row>
    <row r="5421" spans="1:25" ht="30" hidden="1" customHeight="1" x14ac:dyDescent="0.25">
      <c r="A5421" s="1145">
        <v>44829</v>
      </c>
      <c r="B5421" s="664" t="s">
        <v>2254</v>
      </c>
      <c r="C5421" s="71" t="s">
        <v>3322</v>
      </c>
      <c r="D5421" s="71">
        <v>50</v>
      </c>
      <c r="E5421" s="102">
        <v>7150</v>
      </c>
      <c r="F5421" s="102">
        <f t="shared" si="2651"/>
        <v>393250.00000000006</v>
      </c>
      <c r="G5421" s="102">
        <f t="shared" si="2652"/>
        <v>357500</v>
      </c>
      <c r="H5421" s="690" t="s">
        <v>36</v>
      </c>
      <c r="I5421" s="71" t="s">
        <v>3320</v>
      </c>
      <c r="J5421" s="53">
        <f t="shared" si="2653"/>
        <v>32500</v>
      </c>
      <c r="K5421" s="63">
        <f t="shared" si="2654"/>
        <v>9.0909090909090898E-2</v>
      </c>
      <c r="L5421" s="1212" t="s">
        <v>3495</v>
      </c>
      <c r="M5421" s="468"/>
      <c r="N5421" s="1192">
        <f t="shared" si="2655"/>
        <v>44829</v>
      </c>
      <c r="O5421" s="71" t="s">
        <v>3323</v>
      </c>
      <c r="P5421" s="103" t="str">
        <f t="shared" si="2628"/>
        <v>한특 잉크(적)</v>
      </c>
      <c r="Q5421" s="71">
        <f t="shared" si="2626"/>
        <v>50</v>
      </c>
      <c r="R5421" s="102">
        <v>6500</v>
      </c>
      <c r="S5421" s="102">
        <f t="shared" si="2656"/>
        <v>357500</v>
      </c>
      <c r="T5421" s="102">
        <f t="shared" si="2657"/>
        <v>325000</v>
      </c>
      <c r="U5421" s="71" t="str">
        <f t="shared" si="2658"/>
        <v>O</v>
      </c>
      <c r="V5421" s="71"/>
      <c r="W5421" s="474">
        <f t="shared" si="2659"/>
        <v>32500</v>
      </c>
      <c r="X5421" s="71"/>
      <c r="Y5421" s="71"/>
    </row>
    <row r="5422" spans="1:25" ht="30" hidden="1" customHeight="1" x14ac:dyDescent="0.25">
      <c r="A5422" s="1145">
        <v>44829</v>
      </c>
      <c r="B5422" s="664" t="s">
        <v>2254</v>
      </c>
      <c r="C5422" s="71" t="s">
        <v>3324</v>
      </c>
      <c r="D5422" s="71">
        <v>100</v>
      </c>
      <c r="E5422" s="102">
        <v>6900</v>
      </c>
      <c r="F5422" s="102">
        <f t="shared" si="2651"/>
        <v>759000.00000000012</v>
      </c>
      <c r="G5422" s="102">
        <f t="shared" si="2652"/>
        <v>690000</v>
      </c>
      <c r="H5422" s="690" t="s">
        <v>36</v>
      </c>
      <c r="I5422" s="71" t="s">
        <v>3320</v>
      </c>
      <c r="J5422" s="53">
        <f t="shared" si="2653"/>
        <v>70000</v>
      </c>
      <c r="K5422" s="63">
        <f t="shared" si="2654"/>
        <v>0.10144927536231882</v>
      </c>
      <c r="L5422" s="1212" t="s">
        <v>3495</v>
      </c>
      <c r="M5422" s="468"/>
      <c r="N5422" s="1192">
        <f t="shared" si="2655"/>
        <v>44829</v>
      </c>
      <c r="O5422" s="71" t="s">
        <v>3323</v>
      </c>
      <c r="P5422" s="103" t="str">
        <f t="shared" si="2628"/>
        <v>한특 잉크(황)</v>
      </c>
      <c r="Q5422" s="71">
        <f t="shared" si="2626"/>
        <v>100</v>
      </c>
      <c r="R5422" s="102">
        <v>6200</v>
      </c>
      <c r="S5422" s="102">
        <f t="shared" si="2656"/>
        <v>682000</v>
      </c>
      <c r="T5422" s="102">
        <f t="shared" si="2657"/>
        <v>620000</v>
      </c>
      <c r="U5422" s="71" t="str">
        <f t="shared" si="2658"/>
        <v>O</v>
      </c>
      <c r="V5422" s="71"/>
      <c r="W5422" s="474">
        <f t="shared" si="2659"/>
        <v>70000</v>
      </c>
      <c r="X5422" s="71"/>
      <c r="Y5422" s="71"/>
    </row>
    <row r="5423" spans="1:25" ht="28.5" hidden="1" customHeight="1" x14ac:dyDescent="0.25">
      <c r="A5423" s="1145">
        <v>44829</v>
      </c>
      <c r="B5423" s="664" t="s">
        <v>2254</v>
      </c>
      <c r="C5423" s="71" t="s">
        <v>3325</v>
      </c>
      <c r="D5423" s="71">
        <v>50</v>
      </c>
      <c r="E5423" s="102">
        <v>7500</v>
      </c>
      <c r="F5423" s="102">
        <f t="shared" si="2651"/>
        <v>412500.00000000006</v>
      </c>
      <c r="G5423" s="102">
        <f t="shared" si="2652"/>
        <v>375000</v>
      </c>
      <c r="H5423" s="690" t="s">
        <v>36</v>
      </c>
      <c r="I5423" s="71" t="s">
        <v>3320</v>
      </c>
      <c r="J5423" s="53">
        <f t="shared" si="2653"/>
        <v>45000</v>
      </c>
      <c r="K5423" s="63">
        <f t="shared" si="2654"/>
        <v>0.11999999999999998</v>
      </c>
      <c r="L5423" s="1212" t="s">
        <v>3495</v>
      </c>
      <c r="M5423" s="468"/>
      <c r="N5423" s="1192">
        <f t="shared" si="2655"/>
        <v>44829</v>
      </c>
      <c r="O5423" s="71" t="s">
        <v>3323</v>
      </c>
      <c r="P5423" s="103" t="str">
        <f t="shared" si="2628"/>
        <v>한특 잉크(청)</v>
      </c>
      <c r="Q5423" s="71">
        <f t="shared" si="2626"/>
        <v>50</v>
      </c>
      <c r="R5423" s="102">
        <v>6600</v>
      </c>
      <c r="S5423" s="102">
        <f t="shared" si="2656"/>
        <v>363000.00000000006</v>
      </c>
      <c r="T5423" s="102">
        <f t="shared" si="2657"/>
        <v>330000</v>
      </c>
      <c r="U5423" s="71" t="str">
        <f t="shared" si="2658"/>
        <v>O</v>
      </c>
      <c r="V5423" s="71"/>
      <c r="W5423" s="474">
        <f t="shared" si="2659"/>
        <v>45000</v>
      </c>
      <c r="X5423" s="71"/>
      <c r="Y5423" s="71"/>
    </row>
    <row r="5424" spans="1:25" ht="30" hidden="1" customHeight="1" x14ac:dyDescent="0.25">
      <c r="A5424" s="1145">
        <v>44829</v>
      </c>
      <c r="B5424" s="664" t="s">
        <v>2254</v>
      </c>
      <c r="C5424" s="71" t="s">
        <v>3326</v>
      </c>
      <c r="D5424" s="71">
        <v>50</v>
      </c>
      <c r="E5424" s="102">
        <v>6450</v>
      </c>
      <c r="F5424" s="102">
        <f t="shared" si="2651"/>
        <v>354750</v>
      </c>
      <c r="G5424" s="102">
        <f t="shared" si="2652"/>
        <v>322500</v>
      </c>
      <c r="H5424" s="690" t="s">
        <v>36</v>
      </c>
      <c r="I5424" s="71" t="s">
        <v>3320</v>
      </c>
      <c r="J5424" s="53">
        <f t="shared" si="2653"/>
        <v>37500</v>
      </c>
      <c r="K5424" s="63">
        <f t="shared" si="2654"/>
        <v>0.11627906976744186</v>
      </c>
      <c r="L5424" s="1212" t="s">
        <v>3495</v>
      </c>
      <c r="M5424" s="468"/>
      <c r="N5424" s="1192">
        <f t="shared" si="2655"/>
        <v>44829</v>
      </c>
      <c r="O5424" s="71" t="s">
        <v>3323</v>
      </c>
      <c r="P5424" s="103" t="str">
        <f t="shared" si="2628"/>
        <v>한특 잉크(먹)</v>
      </c>
      <c r="Q5424" s="71">
        <f t="shared" si="2626"/>
        <v>50</v>
      </c>
      <c r="R5424" s="102">
        <v>5700</v>
      </c>
      <c r="S5424" s="102">
        <f t="shared" si="2656"/>
        <v>313500</v>
      </c>
      <c r="T5424" s="102">
        <f t="shared" si="2657"/>
        <v>285000</v>
      </c>
      <c r="U5424" s="71" t="str">
        <f t="shared" si="2658"/>
        <v>O</v>
      </c>
      <c r="V5424" s="71"/>
      <c r="W5424" s="474">
        <f t="shared" si="2659"/>
        <v>37500</v>
      </c>
      <c r="X5424" s="71"/>
      <c r="Y5424" s="71"/>
    </row>
    <row r="5425" spans="1:25" ht="30" hidden="1" customHeight="1" x14ac:dyDescent="0.25">
      <c r="A5425" s="1145">
        <v>44829</v>
      </c>
      <c r="B5425" s="664" t="s">
        <v>443</v>
      </c>
      <c r="C5425" s="71" t="s">
        <v>3392</v>
      </c>
      <c r="D5425" s="71">
        <v>8</v>
      </c>
      <c r="E5425" s="102">
        <v>218000</v>
      </c>
      <c r="F5425" s="102">
        <f t="shared" si="2651"/>
        <v>1918400.0000000002</v>
      </c>
      <c r="G5425" s="102">
        <f t="shared" si="2652"/>
        <v>1744000</v>
      </c>
      <c r="H5425" s="690" t="s">
        <v>172</v>
      </c>
      <c r="I5425" s="71" t="s">
        <v>184</v>
      </c>
      <c r="J5425" s="53">
        <f t="shared" si="2653"/>
        <v>464000</v>
      </c>
      <c r="K5425" s="63">
        <f t="shared" si="2654"/>
        <v>0.26605504587155959</v>
      </c>
      <c r="L5425" s="1212" t="s">
        <v>3495</v>
      </c>
      <c r="M5425" s="468" t="s">
        <v>3393</v>
      </c>
      <c r="N5425" s="1192">
        <f t="shared" si="2655"/>
        <v>44829</v>
      </c>
      <c r="O5425" s="71" t="s">
        <v>2030</v>
      </c>
      <c r="P5425" s="103" t="str">
        <f t="shared" si="2628"/>
        <v>윤전 블랑켓</v>
      </c>
      <c r="Q5425" s="71">
        <f t="shared" si="2626"/>
        <v>8</v>
      </c>
      <c r="R5425" s="102">
        <v>160000</v>
      </c>
      <c r="S5425" s="102">
        <f t="shared" si="2656"/>
        <v>1408000</v>
      </c>
      <c r="T5425" s="102">
        <f t="shared" si="2657"/>
        <v>1280000</v>
      </c>
      <c r="U5425" s="71" t="str">
        <f t="shared" si="2658"/>
        <v>O</v>
      </c>
      <c r="V5425" s="71" t="s">
        <v>3394</v>
      </c>
      <c r="W5425" s="474">
        <f t="shared" si="2659"/>
        <v>464000</v>
      </c>
      <c r="X5425" s="71"/>
      <c r="Y5425" s="71"/>
    </row>
    <row r="5426" spans="1:25" ht="30" customHeight="1" x14ac:dyDescent="0.25">
      <c r="A5426" s="1145">
        <v>44838</v>
      </c>
      <c r="B5426" s="664" t="s">
        <v>565</v>
      </c>
      <c r="C5426" s="71" t="s">
        <v>3478</v>
      </c>
      <c r="D5426" s="71">
        <v>64</v>
      </c>
      <c r="E5426" s="102">
        <v>18500</v>
      </c>
      <c r="F5426" s="102">
        <f t="shared" si="2651"/>
        <v>1302400</v>
      </c>
      <c r="G5426" s="102">
        <f t="shared" si="2652"/>
        <v>1184000</v>
      </c>
      <c r="H5426" s="690" t="s">
        <v>172</v>
      </c>
      <c r="I5426" s="71" t="s">
        <v>142</v>
      </c>
      <c r="J5426" s="53">
        <f t="shared" si="2653"/>
        <v>474624</v>
      </c>
      <c r="K5426" s="63">
        <f t="shared" si="2654"/>
        <v>0.40086486486486489</v>
      </c>
      <c r="L5426" s="1212" t="s">
        <v>3495</v>
      </c>
      <c r="M5426" s="468"/>
      <c r="N5426" s="1192">
        <f t="shared" si="2655"/>
        <v>44838</v>
      </c>
      <c r="O5426" s="71"/>
      <c r="P5426" s="103" t="str">
        <f t="shared" si="2628"/>
        <v>고모리 윤전 블랑켓 건식 세정포 - 국전용</v>
      </c>
      <c r="Q5426" s="71">
        <f t="shared" si="2626"/>
        <v>64</v>
      </c>
      <c r="R5426" s="102">
        <v>11084</v>
      </c>
      <c r="S5426" s="102">
        <f t="shared" si="2656"/>
        <v>780313.60000000009</v>
      </c>
      <c r="T5426" s="102">
        <f t="shared" si="2657"/>
        <v>709376</v>
      </c>
      <c r="U5426" s="71"/>
      <c r="V5426" s="71"/>
      <c r="W5426" s="474"/>
      <c r="X5426" s="71"/>
      <c r="Y5426" s="71"/>
    </row>
    <row r="5427" spans="1:25" ht="30" customHeight="1" x14ac:dyDescent="0.25">
      <c r="A5427" s="1145">
        <v>44853</v>
      </c>
      <c r="B5427" s="664" t="s">
        <v>565</v>
      </c>
      <c r="C5427" s="71" t="s">
        <v>3478</v>
      </c>
      <c r="D5427" s="71">
        <v>32</v>
      </c>
      <c r="E5427" s="102">
        <v>18500</v>
      </c>
      <c r="F5427" s="102">
        <f t="shared" ref="F5427:F5436" si="2660">(E5427*D5427)*1.1</f>
        <v>651200</v>
      </c>
      <c r="G5427" s="102">
        <f>(E5427*D5427)</f>
        <v>592000</v>
      </c>
      <c r="H5427" s="690" t="s">
        <v>172</v>
      </c>
      <c r="I5427" s="71" t="s">
        <v>142</v>
      </c>
      <c r="J5427" s="53">
        <f>G5427-T5427</f>
        <v>237312</v>
      </c>
      <c r="K5427" s="63">
        <f t="shared" ref="K5427:K5434" si="2661">(J5427/(F5427/11*10))</f>
        <v>0.40086486486486489</v>
      </c>
      <c r="L5427" s="1212" t="s">
        <v>3495</v>
      </c>
      <c r="M5427" s="468"/>
      <c r="N5427" s="1192">
        <f>A5427</f>
        <v>44853</v>
      </c>
      <c r="O5427" s="71"/>
      <c r="P5427" s="103" t="str">
        <f t="shared" ref="P5427:P5434" si="2662">(C5427)</f>
        <v>고모리 윤전 블랑켓 건식 세정포 - 국전용</v>
      </c>
      <c r="Q5427" s="71">
        <f t="shared" si="2626"/>
        <v>32</v>
      </c>
      <c r="R5427" s="102">
        <v>11084</v>
      </c>
      <c r="S5427" s="102">
        <f t="shared" ref="S5427:S5434" si="2663">R5427*Q5427*1.1</f>
        <v>390156.80000000005</v>
      </c>
      <c r="T5427" s="102">
        <f t="shared" ref="T5427:T5434" si="2664">R5427*Q5427</f>
        <v>354688</v>
      </c>
      <c r="U5427" s="71"/>
      <c r="V5427" s="71"/>
      <c r="W5427" s="474"/>
      <c r="X5427" s="71"/>
      <c r="Y5427" s="71"/>
    </row>
    <row r="5428" spans="1:25" ht="30" customHeight="1" x14ac:dyDescent="0.25">
      <c r="A5428" s="1145">
        <v>44853</v>
      </c>
      <c r="B5428" s="664" t="s">
        <v>565</v>
      </c>
      <c r="C5428" s="71" t="s">
        <v>3479</v>
      </c>
      <c r="D5428" s="71">
        <v>48</v>
      </c>
      <c r="E5428" s="102">
        <v>13500</v>
      </c>
      <c r="F5428" s="102">
        <f t="shared" si="2660"/>
        <v>712800</v>
      </c>
      <c r="G5428" s="102">
        <f>(E5428*D5428)</f>
        <v>648000</v>
      </c>
      <c r="H5428" s="690" t="s">
        <v>172</v>
      </c>
      <c r="I5428" s="71" t="s">
        <v>142</v>
      </c>
      <c r="J5428" s="53">
        <f>G5428-T5428</f>
        <v>246480</v>
      </c>
      <c r="K5428" s="63">
        <f t="shared" si="2661"/>
        <v>0.38037037037037036</v>
      </c>
      <c r="L5428" s="1212" t="s">
        <v>3495</v>
      </c>
      <c r="M5428" s="468"/>
      <c r="N5428" s="1192">
        <f>A5428</f>
        <v>44853</v>
      </c>
      <c r="O5428" s="71"/>
      <c r="P5428" s="103" t="str">
        <f t="shared" si="2662"/>
        <v>고모리 윤전 블랑켓 건식 세정포 - 4x6용</v>
      </c>
      <c r="Q5428" s="71">
        <f t="shared" si="2626"/>
        <v>48</v>
      </c>
      <c r="R5428" s="102">
        <v>8365</v>
      </c>
      <c r="S5428" s="102">
        <f t="shared" si="2663"/>
        <v>441672.00000000006</v>
      </c>
      <c r="T5428" s="102">
        <f t="shared" si="2664"/>
        <v>401520</v>
      </c>
      <c r="U5428" s="71"/>
      <c r="V5428" s="71"/>
      <c r="W5428" s="474"/>
      <c r="X5428" s="71"/>
      <c r="Y5428" s="71"/>
    </row>
    <row r="5429" spans="1:25" ht="30" customHeight="1" x14ac:dyDescent="0.25">
      <c r="A5429" s="1145">
        <v>44841</v>
      </c>
      <c r="B5429" s="664" t="s">
        <v>641</v>
      </c>
      <c r="C5429" s="71" t="s">
        <v>230</v>
      </c>
      <c r="D5429" s="71">
        <v>20</v>
      </c>
      <c r="E5429" s="102">
        <v>148000</v>
      </c>
      <c r="F5429" s="102">
        <f t="shared" si="2660"/>
        <v>3256000.0000000005</v>
      </c>
      <c r="G5429" s="102">
        <f>(E5429*D5429)</f>
        <v>2960000</v>
      </c>
      <c r="H5429" s="690" t="s">
        <v>172</v>
      </c>
      <c r="I5429" s="71" t="s">
        <v>142</v>
      </c>
      <c r="J5429" s="53">
        <f>G5429-T5429</f>
        <v>780000</v>
      </c>
      <c r="K5429" s="63">
        <f t="shared" si="2661"/>
        <v>0.26351351351351349</v>
      </c>
      <c r="L5429" s="1212" t="s">
        <v>3495</v>
      </c>
      <c r="M5429" s="468" t="s">
        <v>3303</v>
      </c>
      <c r="N5429" s="1192">
        <f>A5429</f>
        <v>44841</v>
      </c>
      <c r="O5429" s="71" t="s">
        <v>662</v>
      </c>
      <c r="P5429" s="103" t="str">
        <f t="shared" si="2662"/>
        <v>XL106 Blanket(1077*885)</v>
      </c>
      <c r="Q5429" s="71">
        <f t="shared" si="2626"/>
        <v>20</v>
      </c>
      <c r="R5429" s="102">
        <v>109000</v>
      </c>
      <c r="S5429" s="102">
        <f t="shared" si="2663"/>
        <v>2398000</v>
      </c>
      <c r="T5429" s="102">
        <f t="shared" si="2664"/>
        <v>2180000</v>
      </c>
      <c r="U5429" s="71" t="s">
        <v>859</v>
      </c>
      <c r="V5429" s="71"/>
      <c r="W5429" s="474"/>
      <c r="X5429" s="71"/>
      <c r="Y5429" s="71"/>
    </row>
    <row r="5430" spans="1:25" ht="30" customHeight="1" x14ac:dyDescent="0.25">
      <c r="A5430" s="1145">
        <v>44841</v>
      </c>
      <c r="B5430" s="664" t="s">
        <v>641</v>
      </c>
      <c r="C5430" s="71" t="s">
        <v>220</v>
      </c>
      <c r="D5430" s="71">
        <v>7</v>
      </c>
      <c r="E5430" s="102">
        <v>325000</v>
      </c>
      <c r="F5430" s="102">
        <f t="shared" si="2660"/>
        <v>2502500</v>
      </c>
      <c r="G5430" s="102">
        <f>(E5430*D5430)</f>
        <v>2275000</v>
      </c>
      <c r="H5430" s="690" t="s">
        <v>172</v>
      </c>
      <c r="I5430" s="71" t="s">
        <v>142</v>
      </c>
      <c r="J5430" s="53">
        <f>G5430-T5430</f>
        <v>785400</v>
      </c>
      <c r="K5430" s="63">
        <f t="shared" si="2661"/>
        <v>0.34523076923076923</v>
      </c>
      <c r="L5430" s="1212" t="s">
        <v>3495</v>
      </c>
      <c r="M5430" s="468" t="s">
        <v>3303</v>
      </c>
      <c r="N5430" s="1192">
        <f>A5430</f>
        <v>44841</v>
      </c>
      <c r="O5430" s="71" t="s">
        <v>175</v>
      </c>
      <c r="P5430" s="103" t="str">
        <f t="shared" si="2662"/>
        <v>세정포-XL106</v>
      </c>
      <c r="Q5430" s="71">
        <f t="shared" si="2626"/>
        <v>7</v>
      </c>
      <c r="R5430" s="102">
        <v>212800</v>
      </c>
      <c r="S5430" s="102">
        <f t="shared" si="2663"/>
        <v>1638560.0000000002</v>
      </c>
      <c r="T5430" s="102">
        <f t="shared" si="2664"/>
        <v>1489600</v>
      </c>
      <c r="U5430" s="71" t="s">
        <v>859</v>
      </c>
      <c r="V5430" s="71"/>
      <c r="W5430" s="474"/>
      <c r="X5430" s="71"/>
      <c r="Y5430" s="71"/>
    </row>
    <row r="5431" spans="1:25" ht="30" customHeight="1" x14ac:dyDescent="0.25">
      <c r="A5431" s="1145">
        <v>44841</v>
      </c>
      <c r="B5431" s="664" t="s">
        <v>641</v>
      </c>
      <c r="C5431" s="71" t="s">
        <v>3299</v>
      </c>
      <c r="D5431" s="71">
        <v>10</v>
      </c>
      <c r="E5431" s="102">
        <v>83000</v>
      </c>
      <c r="F5431" s="102">
        <f t="shared" si="2660"/>
        <v>913000.00000000012</v>
      </c>
      <c r="G5431" s="102">
        <f t="shared" ref="G5431:G5442" si="2665">(E5431*D5431)</f>
        <v>830000</v>
      </c>
      <c r="H5431" s="690" t="s">
        <v>172</v>
      </c>
      <c r="I5431" s="71" t="s">
        <v>142</v>
      </c>
      <c r="J5431" s="53">
        <f t="shared" ref="J5431:J5441" si="2666">G5431-T5431</f>
        <v>430000</v>
      </c>
      <c r="K5431" s="63">
        <f t="shared" si="2661"/>
        <v>0.5180722891566264</v>
      </c>
      <c r="L5431" s="1212" t="s">
        <v>3495</v>
      </c>
      <c r="M5431" s="468" t="s">
        <v>3304</v>
      </c>
      <c r="N5431" s="1192">
        <f t="shared" ref="N5431:N5442" si="2667">A5431</f>
        <v>44841</v>
      </c>
      <c r="O5431" s="71" t="s">
        <v>175</v>
      </c>
      <c r="P5431" s="103" t="str">
        <f t="shared" si="2662"/>
        <v>매엽용 세척제(Wash k11)</v>
      </c>
      <c r="Q5431" s="71">
        <f t="shared" ref="Q5431:Q5451" si="2668">D5431</f>
        <v>10</v>
      </c>
      <c r="R5431" s="102">
        <v>40000</v>
      </c>
      <c r="S5431" s="102">
        <f t="shared" si="2663"/>
        <v>440000.00000000006</v>
      </c>
      <c r="T5431" s="102">
        <f t="shared" si="2664"/>
        <v>400000</v>
      </c>
      <c r="U5431" s="71" t="s">
        <v>859</v>
      </c>
      <c r="V5431" s="71"/>
      <c r="W5431" s="474"/>
      <c r="X5431" s="71"/>
      <c r="Y5431" s="71"/>
    </row>
    <row r="5432" spans="1:25" ht="30" customHeight="1" x14ac:dyDescent="0.25">
      <c r="A5432" s="1145">
        <v>44841</v>
      </c>
      <c r="B5432" s="664" t="s">
        <v>641</v>
      </c>
      <c r="C5432" s="71" t="s">
        <v>584</v>
      </c>
      <c r="D5432" s="71">
        <v>4</v>
      </c>
      <c r="E5432" s="102">
        <v>270000</v>
      </c>
      <c r="F5432" s="102">
        <f t="shared" si="2660"/>
        <v>1188000</v>
      </c>
      <c r="G5432" s="102">
        <f t="shared" si="2665"/>
        <v>1080000</v>
      </c>
      <c r="H5432" s="690" t="s">
        <v>172</v>
      </c>
      <c r="I5432" s="71" t="s">
        <v>142</v>
      </c>
      <c r="J5432" s="53">
        <f t="shared" si="2666"/>
        <v>328000</v>
      </c>
      <c r="K5432" s="63">
        <f t="shared" si="2661"/>
        <v>0.3037037037037037</v>
      </c>
      <c r="L5432" s="1212" t="s">
        <v>3495</v>
      </c>
      <c r="M5432" s="468" t="s">
        <v>3374</v>
      </c>
      <c r="N5432" s="1192">
        <f t="shared" si="2667"/>
        <v>44841</v>
      </c>
      <c r="O5432" s="71" t="s">
        <v>150</v>
      </c>
      <c r="P5432" s="103" t="str">
        <f t="shared" si="2662"/>
        <v>데리바리 석션벨트</v>
      </c>
      <c r="Q5432" s="71">
        <f t="shared" si="2668"/>
        <v>4</v>
      </c>
      <c r="R5432" s="102">
        <v>188000</v>
      </c>
      <c r="S5432" s="102">
        <f t="shared" si="2663"/>
        <v>827200.00000000012</v>
      </c>
      <c r="T5432" s="102">
        <f t="shared" si="2664"/>
        <v>752000</v>
      </c>
      <c r="U5432" s="71" t="str">
        <f>IF(J5432=W5432,"O", "X")</f>
        <v>O</v>
      </c>
      <c r="V5432" s="71"/>
      <c r="W5432" s="474">
        <f>(G5432-T5432)</f>
        <v>328000</v>
      </c>
      <c r="X5432" s="71"/>
      <c r="Y5432" s="71"/>
    </row>
    <row r="5433" spans="1:25" ht="30" customHeight="1" x14ac:dyDescent="0.25">
      <c r="A5433" s="1145">
        <v>44841</v>
      </c>
      <c r="B5433" s="664" t="s">
        <v>641</v>
      </c>
      <c r="C5433" s="71" t="s">
        <v>2031</v>
      </c>
      <c r="D5433" s="71">
        <v>4</v>
      </c>
      <c r="E5433" s="102">
        <v>50000</v>
      </c>
      <c r="F5433" s="102">
        <f t="shared" si="2660"/>
        <v>220000.00000000003</v>
      </c>
      <c r="G5433" s="102">
        <f t="shared" si="2665"/>
        <v>200000</v>
      </c>
      <c r="H5433" s="690" t="s">
        <v>94</v>
      </c>
      <c r="I5433" s="71" t="s">
        <v>142</v>
      </c>
      <c r="J5433" s="53">
        <f t="shared" si="2666"/>
        <v>104000</v>
      </c>
      <c r="K5433" s="63">
        <f t="shared" si="2661"/>
        <v>0.51999999999999991</v>
      </c>
      <c r="L5433" s="1212" t="s">
        <v>3495</v>
      </c>
      <c r="M5433" s="468"/>
      <c r="N5433" s="1192">
        <f t="shared" si="2667"/>
        <v>44841</v>
      </c>
      <c r="O5433" s="71" t="s">
        <v>2030</v>
      </c>
      <c r="P5433" s="103" t="str">
        <f t="shared" si="2662"/>
        <v>필터백</v>
      </c>
      <c r="Q5433" s="71">
        <f t="shared" si="2668"/>
        <v>4</v>
      </c>
      <c r="R5433" s="102">
        <v>24000</v>
      </c>
      <c r="S5433" s="102">
        <f t="shared" si="2663"/>
        <v>105600.00000000001</v>
      </c>
      <c r="T5433" s="102">
        <f t="shared" si="2664"/>
        <v>96000</v>
      </c>
      <c r="U5433" s="71" t="str">
        <f>IF(J5433=W5433,"O", "X")</f>
        <v>O</v>
      </c>
      <c r="V5433" s="71"/>
      <c r="W5433" s="474">
        <f>(G5433-T5433)</f>
        <v>104000</v>
      </c>
      <c r="X5433" s="71"/>
      <c r="Y5433" s="71"/>
    </row>
    <row r="5434" spans="1:25" ht="30" customHeight="1" x14ac:dyDescent="0.25">
      <c r="A5434" s="1145">
        <v>44865</v>
      </c>
      <c r="B5434" s="664" t="s">
        <v>641</v>
      </c>
      <c r="C5434" s="71" t="s">
        <v>3293</v>
      </c>
      <c r="D5434" s="71">
        <v>60</v>
      </c>
      <c r="E5434" s="102">
        <v>84000</v>
      </c>
      <c r="F5434" s="102">
        <f t="shared" si="2660"/>
        <v>5544000</v>
      </c>
      <c r="G5434" s="102">
        <f t="shared" si="2665"/>
        <v>5040000</v>
      </c>
      <c r="H5434" s="690" t="s">
        <v>172</v>
      </c>
      <c r="I5434" s="71" t="s">
        <v>2231</v>
      </c>
      <c r="J5434" s="53">
        <f t="shared" si="2666"/>
        <v>1980000</v>
      </c>
      <c r="K5434" s="63">
        <f t="shared" si="2661"/>
        <v>0.39285714285714285</v>
      </c>
      <c r="L5434" s="1212" t="s">
        <v>3495</v>
      </c>
      <c r="M5434" s="468"/>
      <c r="N5434" s="1192">
        <f t="shared" si="2667"/>
        <v>44865</v>
      </c>
      <c r="O5434" s="71" t="s">
        <v>3291</v>
      </c>
      <c r="P5434" s="103" t="str">
        <f t="shared" si="2662"/>
        <v>GOSS 신문윤전 습식세정포</v>
      </c>
      <c r="Q5434" s="71">
        <f t="shared" si="2668"/>
        <v>60</v>
      </c>
      <c r="R5434" s="102">
        <v>51000</v>
      </c>
      <c r="S5434" s="102">
        <f t="shared" si="2663"/>
        <v>3366000.0000000005</v>
      </c>
      <c r="T5434" s="102">
        <f t="shared" si="2664"/>
        <v>3060000</v>
      </c>
      <c r="U5434" s="71" t="str">
        <f>IF(J5434=W5434,"O", "X")</f>
        <v>X</v>
      </c>
      <c r="V5434" s="71"/>
      <c r="W5434" s="474"/>
      <c r="X5434" s="71"/>
      <c r="Y5434" s="71"/>
    </row>
    <row r="5435" spans="1:25" ht="30" hidden="1" customHeight="1" x14ac:dyDescent="0.25">
      <c r="A5435" s="1145">
        <v>44847</v>
      </c>
      <c r="B5435" s="664" t="s">
        <v>18</v>
      </c>
      <c r="C5435" s="71" t="s">
        <v>3294</v>
      </c>
      <c r="D5435" s="71">
        <v>15</v>
      </c>
      <c r="E5435" s="102">
        <v>125000</v>
      </c>
      <c r="F5435" s="102">
        <f t="shared" si="2660"/>
        <v>2062500.0000000002</v>
      </c>
      <c r="G5435" s="102">
        <f t="shared" si="2665"/>
        <v>1875000</v>
      </c>
      <c r="H5435" s="690" t="s">
        <v>172</v>
      </c>
      <c r="I5435" s="71" t="s">
        <v>3295</v>
      </c>
      <c r="J5435" s="53">
        <f t="shared" si="2666"/>
        <v>240000</v>
      </c>
      <c r="K5435" s="63">
        <v>0.13800000000000001</v>
      </c>
      <c r="L5435" s="1212" t="s">
        <v>3495</v>
      </c>
      <c r="M5435" s="468"/>
      <c r="N5435" s="1192">
        <f t="shared" si="2667"/>
        <v>44847</v>
      </c>
      <c r="O5435" s="71" t="s">
        <v>150</v>
      </c>
      <c r="P5435" s="103" t="str">
        <f t="shared" ref="P5435:P5451" si="2669">(C5435)</f>
        <v>1077*885 하이델 bar 블랑켓</v>
      </c>
      <c r="Q5435" s="71">
        <f t="shared" si="2668"/>
        <v>15</v>
      </c>
      <c r="R5435" s="102">
        <v>109000</v>
      </c>
      <c r="S5435" s="102">
        <f t="shared" ref="S5435:S5441" si="2670">R5435*Q5435*1.1</f>
        <v>1798500.0000000002</v>
      </c>
      <c r="T5435" s="102">
        <f t="shared" ref="T5435:T5441" si="2671">R5435*Q5435</f>
        <v>1635000</v>
      </c>
      <c r="U5435" s="71"/>
      <c r="V5435" s="71"/>
      <c r="W5435" s="474"/>
      <c r="X5435" s="71"/>
      <c r="Y5435" s="71"/>
    </row>
    <row r="5436" spans="1:25" ht="30" hidden="1" customHeight="1" x14ac:dyDescent="0.2">
      <c r="A5436" s="1145">
        <v>44847</v>
      </c>
      <c r="B5436" s="664" t="s">
        <v>548</v>
      </c>
      <c r="C5436" s="71" t="s">
        <v>236</v>
      </c>
      <c r="D5436" s="71">
        <v>2</v>
      </c>
      <c r="E5436" s="102">
        <v>100000</v>
      </c>
      <c r="F5436" s="163">
        <f t="shared" si="2660"/>
        <v>220000.00000000003</v>
      </c>
      <c r="G5436" s="102">
        <f t="shared" si="2665"/>
        <v>200000</v>
      </c>
      <c r="H5436" s="690" t="s">
        <v>173</v>
      </c>
      <c r="I5436" s="71" t="s">
        <v>2231</v>
      </c>
      <c r="J5436" s="53">
        <f t="shared" si="2666"/>
        <v>80000</v>
      </c>
      <c r="K5436" s="63">
        <f>(J5436/(F5436/11*10))</f>
        <v>0.39999999999999997</v>
      </c>
      <c r="L5436" s="1212" t="s">
        <v>3495</v>
      </c>
      <c r="M5436" s="468"/>
      <c r="N5436" s="1192">
        <f t="shared" si="2667"/>
        <v>44847</v>
      </c>
      <c r="O5436" s="71" t="s">
        <v>3021</v>
      </c>
      <c r="P5436" s="164" t="str">
        <f t="shared" si="2669"/>
        <v>아스테이지(국전)</v>
      </c>
      <c r="Q5436" s="71">
        <f t="shared" si="2668"/>
        <v>2</v>
      </c>
      <c r="R5436" s="102">
        <v>60000</v>
      </c>
      <c r="S5436" s="102">
        <f t="shared" si="2670"/>
        <v>132000</v>
      </c>
      <c r="T5436" s="102">
        <f t="shared" si="2671"/>
        <v>120000</v>
      </c>
      <c r="U5436" s="71" t="str">
        <f>IF(J5436=W5436,"O", "X")</f>
        <v>X</v>
      </c>
      <c r="V5436" s="71"/>
      <c r="W5436" s="474"/>
      <c r="X5436" s="71"/>
      <c r="Y5436" s="71"/>
    </row>
    <row r="5437" spans="1:25" ht="30" hidden="1" customHeight="1" x14ac:dyDescent="0.25">
      <c r="A5437" s="1145">
        <v>44854</v>
      </c>
      <c r="B5437" s="664" t="s">
        <v>18</v>
      </c>
      <c r="C5437" s="71" t="s">
        <v>2070</v>
      </c>
      <c r="D5437" s="71">
        <v>10</v>
      </c>
      <c r="E5437" s="102">
        <v>115000</v>
      </c>
      <c r="F5437" s="102">
        <f t="shared" ref="F5437:F5442" si="2672">(E5437*D5437)*1.1</f>
        <v>1265000</v>
      </c>
      <c r="G5437" s="102">
        <f t="shared" si="2665"/>
        <v>1150000</v>
      </c>
      <c r="H5437" s="690" t="s">
        <v>172</v>
      </c>
      <c r="I5437" s="71" t="s">
        <v>33</v>
      </c>
      <c r="J5437" s="53">
        <f t="shared" si="2666"/>
        <v>282000</v>
      </c>
      <c r="K5437" s="63">
        <v>0.10555555555555554</v>
      </c>
      <c r="L5437" s="1212" t="s">
        <v>3495</v>
      </c>
      <c r="M5437" s="468"/>
      <c r="N5437" s="1192">
        <f t="shared" si="2667"/>
        <v>44854</v>
      </c>
      <c r="O5437" s="71" t="s">
        <v>146</v>
      </c>
      <c r="P5437" s="103" t="str">
        <f t="shared" si="2669"/>
        <v>Blanket(1050*840)</v>
      </c>
      <c r="Q5437" s="71">
        <f t="shared" si="2668"/>
        <v>10</v>
      </c>
      <c r="R5437" s="102">
        <v>86800</v>
      </c>
      <c r="S5437" s="102">
        <f t="shared" si="2670"/>
        <v>954800.00000000012</v>
      </c>
      <c r="T5437" s="102">
        <f t="shared" si="2671"/>
        <v>868000</v>
      </c>
      <c r="U5437" s="71" t="s">
        <v>859</v>
      </c>
      <c r="V5437" s="71"/>
      <c r="W5437" s="474"/>
      <c r="X5437" s="71"/>
      <c r="Y5437" s="71"/>
    </row>
    <row r="5438" spans="1:25" ht="30" hidden="1" customHeight="1" x14ac:dyDescent="0.25">
      <c r="A5438" s="1145">
        <v>44833</v>
      </c>
      <c r="B5438" s="664" t="s">
        <v>2798</v>
      </c>
      <c r="C5438" s="71" t="s">
        <v>3290</v>
      </c>
      <c r="D5438" s="71">
        <v>1</v>
      </c>
      <c r="E5438" s="102">
        <v>660000</v>
      </c>
      <c r="F5438" s="102">
        <f t="shared" si="2672"/>
        <v>726000.00000000012</v>
      </c>
      <c r="G5438" s="102">
        <f t="shared" si="2665"/>
        <v>660000</v>
      </c>
      <c r="H5438" s="690" t="s">
        <v>172</v>
      </c>
      <c r="I5438" s="71" t="s">
        <v>38</v>
      </c>
      <c r="J5438" s="53">
        <f t="shared" si="2666"/>
        <v>198000</v>
      </c>
      <c r="K5438" s="63">
        <f t="shared" ref="K5438:K5447" si="2673">(J5438/(F5438/11*10))</f>
        <v>0.29999999999999993</v>
      </c>
      <c r="L5438" s="1212" t="s">
        <v>3495</v>
      </c>
      <c r="M5438" s="468"/>
      <c r="N5438" s="1192">
        <f t="shared" si="2667"/>
        <v>44833</v>
      </c>
      <c r="O5438" s="71" t="s">
        <v>3291</v>
      </c>
      <c r="P5438" s="103" t="str">
        <f t="shared" si="2669"/>
        <v>점보롤 세정포</v>
      </c>
      <c r="Q5438" s="71">
        <f t="shared" si="2668"/>
        <v>1</v>
      </c>
      <c r="R5438" s="102">
        <v>462000</v>
      </c>
      <c r="S5438" s="102">
        <f t="shared" si="2670"/>
        <v>508200.00000000006</v>
      </c>
      <c r="T5438" s="102">
        <f t="shared" si="2671"/>
        <v>462000</v>
      </c>
      <c r="U5438" s="71" t="str">
        <f>IF(J5438=W5438,"O", "X")</f>
        <v>O</v>
      </c>
      <c r="V5438" s="71" t="s">
        <v>3292</v>
      </c>
      <c r="W5438" s="474">
        <f>(G5438-T5438)</f>
        <v>198000</v>
      </c>
      <c r="X5438" s="71"/>
      <c r="Y5438" s="71"/>
    </row>
    <row r="5439" spans="1:25" ht="30" hidden="1" customHeight="1" x14ac:dyDescent="0.25">
      <c r="A5439" s="1145">
        <v>44833</v>
      </c>
      <c r="B5439" s="664" t="s">
        <v>444</v>
      </c>
      <c r="C5439" s="71" t="s">
        <v>3399</v>
      </c>
      <c r="D5439" s="71">
        <v>10</v>
      </c>
      <c r="E5439" s="102">
        <v>175000</v>
      </c>
      <c r="F5439" s="102">
        <f t="shared" si="2672"/>
        <v>1925000.0000000002</v>
      </c>
      <c r="G5439" s="102">
        <f t="shared" si="2665"/>
        <v>1750000</v>
      </c>
      <c r="H5439" s="690" t="s">
        <v>2029</v>
      </c>
      <c r="I5439" s="71" t="s">
        <v>180</v>
      </c>
      <c r="J5439" s="53">
        <f t="shared" si="2666"/>
        <v>450000</v>
      </c>
      <c r="K5439" s="63">
        <f t="shared" si="2673"/>
        <v>0.25714285714285712</v>
      </c>
      <c r="L5439" s="1212" t="s">
        <v>3495</v>
      </c>
      <c r="M5439" s="468"/>
      <c r="N5439" s="1192">
        <f t="shared" si="2667"/>
        <v>44833</v>
      </c>
      <c r="O5439" s="71" t="s">
        <v>191</v>
      </c>
      <c r="P5439" s="103" t="str">
        <f t="shared" si="2669"/>
        <v>UV wash offset UV</v>
      </c>
      <c r="Q5439" s="71">
        <f t="shared" si="2668"/>
        <v>10</v>
      </c>
      <c r="R5439" s="102">
        <v>130000</v>
      </c>
      <c r="S5439" s="102">
        <f t="shared" si="2670"/>
        <v>1430000</v>
      </c>
      <c r="T5439" s="102">
        <f t="shared" si="2671"/>
        <v>1300000</v>
      </c>
      <c r="U5439" s="71"/>
      <c r="V5439" s="71"/>
      <c r="W5439" s="474"/>
      <c r="X5439" s="71"/>
      <c r="Y5439" s="71"/>
    </row>
    <row r="5440" spans="1:25" ht="31.5" hidden="1" customHeight="1" x14ac:dyDescent="0.25">
      <c r="A5440" s="1145">
        <v>44859</v>
      </c>
      <c r="B5440" s="664" t="s">
        <v>545</v>
      </c>
      <c r="C5440" s="71" t="s">
        <v>911</v>
      </c>
      <c r="D5440" s="71">
        <v>2</v>
      </c>
      <c r="E5440" s="102">
        <v>250000</v>
      </c>
      <c r="F5440" s="102">
        <f t="shared" si="2672"/>
        <v>550000</v>
      </c>
      <c r="G5440" s="102">
        <f t="shared" si="2665"/>
        <v>500000</v>
      </c>
      <c r="H5440" s="690" t="s">
        <v>173</v>
      </c>
      <c r="I5440" s="71" t="s">
        <v>2231</v>
      </c>
      <c r="J5440" s="53">
        <f t="shared" si="2666"/>
        <v>350000</v>
      </c>
      <c r="K5440" s="63">
        <f t="shared" si="2673"/>
        <v>0.7</v>
      </c>
      <c r="L5440" s="1212" t="s">
        <v>3495</v>
      </c>
      <c r="M5440" s="468"/>
      <c r="N5440" s="1192">
        <f t="shared" si="2667"/>
        <v>44859</v>
      </c>
      <c r="O5440" s="71" t="s">
        <v>994</v>
      </c>
      <c r="P5440" s="103" t="str">
        <f t="shared" si="2669"/>
        <v>콤푸레샤 에어필터</v>
      </c>
      <c r="Q5440" s="71">
        <f t="shared" si="2668"/>
        <v>2</v>
      </c>
      <c r="R5440" s="102">
        <v>75000</v>
      </c>
      <c r="S5440" s="102">
        <f t="shared" si="2670"/>
        <v>165000</v>
      </c>
      <c r="T5440" s="102">
        <f t="shared" si="2671"/>
        <v>150000</v>
      </c>
      <c r="U5440" s="71" t="str">
        <f>IF(J5440=W5440,"O", "X")</f>
        <v>O</v>
      </c>
      <c r="V5440" s="71"/>
      <c r="W5440" s="474">
        <f>(G5440-T5440)</f>
        <v>350000</v>
      </c>
      <c r="X5440" s="71"/>
      <c r="Y5440" s="71"/>
    </row>
    <row r="5441" spans="1:25" ht="28.5" hidden="1" customHeight="1" x14ac:dyDescent="0.25">
      <c r="A5441" s="1145">
        <v>44841</v>
      </c>
      <c r="B5441" s="664" t="s">
        <v>567</v>
      </c>
      <c r="C5441" s="71" t="s">
        <v>3435</v>
      </c>
      <c r="D5441" s="71">
        <v>1</v>
      </c>
      <c r="E5441" s="102">
        <v>985000</v>
      </c>
      <c r="F5441" s="102">
        <f t="shared" si="2672"/>
        <v>1083500</v>
      </c>
      <c r="G5441" s="102">
        <f t="shared" si="2665"/>
        <v>985000</v>
      </c>
      <c r="H5441" s="690" t="s">
        <v>94</v>
      </c>
      <c r="I5441" s="71" t="s">
        <v>94</v>
      </c>
      <c r="J5441" s="53">
        <f t="shared" si="2666"/>
        <v>441000</v>
      </c>
      <c r="K5441" s="63">
        <f t="shared" si="2673"/>
        <v>0.44771573604060916</v>
      </c>
      <c r="L5441" s="1212" t="s">
        <v>3495</v>
      </c>
      <c r="M5441" s="468"/>
      <c r="N5441" s="1192">
        <f t="shared" si="2667"/>
        <v>44841</v>
      </c>
      <c r="O5441" s="71" t="s">
        <v>94</v>
      </c>
      <c r="P5441" s="103" t="str">
        <f t="shared" si="2669"/>
        <v>습수정화장치 beta.f 필터 세트</v>
      </c>
      <c r="Q5441" s="71">
        <f t="shared" si="2668"/>
        <v>1</v>
      </c>
      <c r="R5441" s="102">
        <v>544000</v>
      </c>
      <c r="S5441" s="102">
        <f t="shared" si="2670"/>
        <v>598400</v>
      </c>
      <c r="T5441" s="102">
        <f t="shared" si="2671"/>
        <v>544000</v>
      </c>
      <c r="U5441" s="71"/>
      <c r="V5441" s="71"/>
      <c r="W5441" s="474"/>
      <c r="X5441" s="71"/>
      <c r="Y5441" s="71"/>
    </row>
    <row r="5442" spans="1:25" ht="30" hidden="1" customHeight="1" x14ac:dyDescent="0.25">
      <c r="A5442" s="1145">
        <v>44841</v>
      </c>
      <c r="B5442" s="664" t="s">
        <v>567</v>
      </c>
      <c r="C5442" s="71" t="s">
        <v>123</v>
      </c>
      <c r="D5442" s="71">
        <v>10</v>
      </c>
      <c r="E5442" s="102">
        <v>50000</v>
      </c>
      <c r="F5442" s="102">
        <f t="shared" si="2672"/>
        <v>550000</v>
      </c>
      <c r="G5442" s="102">
        <f t="shared" si="2665"/>
        <v>500000</v>
      </c>
      <c r="H5442" s="690" t="s">
        <v>94</v>
      </c>
      <c r="I5442" s="71" t="s">
        <v>94</v>
      </c>
      <c r="J5442" s="53">
        <f t="shared" ref="J5442:J5447" si="2674">G5442-T5442</f>
        <v>260000</v>
      </c>
      <c r="K5442" s="63">
        <f t="shared" si="2673"/>
        <v>0.52</v>
      </c>
      <c r="L5442" s="1212" t="s">
        <v>3495</v>
      </c>
      <c r="M5442" s="468"/>
      <c r="N5442" s="1192">
        <f t="shared" si="2667"/>
        <v>44841</v>
      </c>
      <c r="O5442" s="71" t="s">
        <v>94</v>
      </c>
      <c r="P5442" s="103" t="str">
        <f t="shared" si="2669"/>
        <v>필터백</v>
      </c>
      <c r="Q5442" s="71">
        <f t="shared" si="2668"/>
        <v>10</v>
      </c>
      <c r="R5442" s="102">
        <v>24000</v>
      </c>
      <c r="S5442" s="102">
        <f t="shared" ref="S5442:S5451" si="2675">R5442*Q5442*1.1</f>
        <v>264000</v>
      </c>
      <c r="T5442" s="102">
        <f t="shared" ref="T5442:T5448" si="2676">R5442*Q5442</f>
        <v>240000</v>
      </c>
      <c r="U5442" s="71"/>
      <c r="V5442" s="71"/>
      <c r="W5442" s="474"/>
      <c r="X5442" s="71"/>
      <c r="Y5442" s="71"/>
    </row>
    <row r="5443" spans="1:25" ht="30" hidden="1" customHeight="1" x14ac:dyDescent="0.25">
      <c r="A5443" s="1145">
        <v>44842</v>
      </c>
      <c r="B5443" s="664" t="s">
        <v>26</v>
      </c>
      <c r="C5443" s="71" t="s">
        <v>2087</v>
      </c>
      <c r="D5443" s="71">
        <v>5</v>
      </c>
      <c r="E5443" s="102">
        <v>85000</v>
      </c>
      <c r="F5443" s="102">
        <f t="shared" ref="F5443:F5451" si="2677">(E5443*D5443)*1.1</f>
        <v>467500.00000000006</v>
      </c>
      <c r="G5443" s="102">
        <f t="shared" ref="G5443:G5451" si="2678">(E5443*D5443)</f>
        <v>425000</v>
      </c>
      <c r="H5443" s="690" t="s">
        <v>172</v>
      </c>
      <c r="I5443" s="71" t="s">
        <v>3295</v>
      </c>
      <c r="J5443" s="53">
        <f t="shared" si="2674"/>
        <v>175000</v>
      </c>
      <c r="K5443" s="63">
        <f t="shared" si="2673"/>
        <v>0.41176470588235287</v>
      </c>
      <c r="L5443" s="1212" t="s">
        <v>3495</v>
      </c>
      <c r="M5443" s="468"/>
      <c r="N5443" s="1192">
        <f t="shared" ref="N5443:N5452" si="2679">A5443</f>
        <v>44842</v>
      </c>
      <c r="O5443" s="71" t="s">
        <v>152</v>
      </c>
      <c r="P5443" s="103" t="str">
        <f t="shared" si="2669"/>
        <v>아스테이지(국전)</v>
      </c>
      <c r="Q5443" s="71">
        <f t="shared" si="2668"/>
        <v>5</v>
      </c>
      <c r="R5443" s="102">
        <v>50000</v>
      </c>
      <c r="S5443" s="102">
        <f t="shared" si="2675"/>
        <v>275000</v>
      </c>
      <c r="T5443" s="102">
        <f t="shared" si="2676"/>
        <v>250000</v>
      </c>
      <c r="U5443" s="71" t="str">
        <f>IF(J5443=W5443,"O", "X")</f>
        <v>X</v>
      </c>
      <c r="V5443" s="71"/>
      <c r="W5443" s="474">
        <v>150000</v>
      </c>
      <c r="X5443" s="71"/>
      <c r="Y5443" s="71"/>
    </row>
    <row r="5444" spans="1:25" ht="30" hidden="1" customHeight="1" x14ac:dyDescent="0.25">
      <c r="A5444" s="1145">
        <v>44842</v>
      </c>
      <c r="B5444" s="664" t="s">
        <v>26</v>
      </c>
      <c r="C5444" s="71" t="s">
        <v>3328</v>
      </c>
      <c r="D5444" s="71">
        <v>5</v>
      </c>
      <c r="E5444" s="102">
        <v>65000</v>
      </c>
      <c r="F5444" s="102">
        <f t="shared" si="2677"/>
        <v>357500</v>
      </c>
      <c r="G5444" s="102">
        <f t="shared" si="2678"/>
        <v>325000</v>
      </c>
      <c r="H5444" s="690" t="s">
        <v>172</v>
      </c>
      <c r="I5444" s="71" t="s">
        <v>3295</v>
      </c>
      <c r="J5444" s="53">
        <f t="shared" si="2674"/>
        <v>125000</v>
      </c>
      <c r="K5444" s="63">
        <f t="shared" si="2673"/>
        <v>0.38461538461538464</v>
      </c>
      <c r="L5444" s="1212" t="s">
        <v>3495</v>
      </c>
      <c r="M5444" s="468"/>
      <c r="N5444" s="1192">
        <f t="shared" si="2679"/>
        <v>44842</v>
      </c>
      <c r="O5444" s="71" t="s">
        <v>152</v>
      </c>
      <c r="P5444" s="103" t="str">
        <f t="shared" si="2669"/>
        <v>아스테이지(CD74용)</v>
      </c>
      <c r="Q5444" s="71">
        <f t="shared" si="2668"/>
        <v>5</v>
      </c>
      <c r="R5444" s="102">
        <v>40000</v>
      </c>
      <c r="S5444" s="102">
        <f t="shared" si="2675"/>
        <v>220000.00000000003</v>
      </c>
      <c r="T5444" s="102">
        <f t="shared" si="2676"/>
        <v>200000</v>
      </c>
      <c r="U5444" s="71" t="str">
        <f>IF(J5444=W5444,"O", "X")</f>
        <v>X</v>
      </c>
      <c r="V5444" s="71"/>
      <c r="W5444" s="474"/>
      <c r="X5444" s="71"/>
      <c r="Y5444" s="71"/>
    </row>
    <row r="5445" spans="1:25" ht="30" hidden="1" customHeight="1" x14ac:dyDescent="0.25">
      <c r="A5445" s="1145">
        <v>44847</v>
      </c>
      <c r="B5445" s="664" t="s">
        <v>2155</v>
      </c>
      <c r="C5445" s="71" t="s">
        <v>1392</v>
      </c>
      <c r="D5445" s="71">
        <v>1</v>
      </c>
      <c r="E5445" s="102">
        <v>8400000</v>
      </c>
      <c r="F5445" s="102">
        <f t="shared" si="2677"/>
        <v>9240000</v>
      </c>
      <c r="G5445" s="102">
        <f t="shared" si="2678"/>
        <v>8400000</v>
      </c>
      <c r="H5445" s="690" t="s">
        <v>1786</v>
      </c>
      <c r="I5445" s="71" t="s">
        <v>1786</v>
      </c>
      <c r="J5445" s="53">
        <f t="shared" si="2674"/>
        <v>3345070</v>
      </c>
      <c r="K5445" s="63">
        <f t="shared" si="2673"/>
        <v>0.39822261904761908</v>
      </c>
      <c r="L5445" s="1212" t="s">
        <v>3495</v>
      </c>
      <c r="M5445" s="102"/>
      <c r="N5445" s="1192">
        <f t="shared" si="2679"/>
        <v>44847</v>
      </c>
      <c r="O5445" s="71" t="s">
        <v>1786</v>
      </c>
      <c r="P5445" s="103" t="str">
        <f t="shared" si="2669"/>
        <v>자동 판걸이 튜브</v>
      </c>
      <c r="Q5445" s="71">
        <f t="shared" si="2668"/>
        <v>1</v>
      </c>
      <c r="R5445" s="102">
        <f>4854930+200000</f>
        <v>5054930</v>
      </c>
      <c r="S5445" s="102">
        <f t="shared" si="2675"/>
        <v>5560423</v>
      </c>
      <c r="T5445" s="102">
        <f t="shared" si="2676"/>
        <v>5054930</v>
      </c>
      <c r="U5445" s="71"/>
      <c r="V5445" s="71"/>
      <c r="W5445" s="474"/>
      <c r="X5445" s="71"/>
      <c r="Y5445" s="71"/>
    </row>
    <row r="5446" spans="1:25" ht="30" hidden="1" customHeight="1" x14ac:dyDescent="0.25">
      <c r="A5446" s="1145">
        <v>44847</v>
      </c>
      <c r="B5446" s="664" t="s">
        <v>2155</v>
      </c>
      <c r="C5446" s="71" t="s">
        <v>1121</v>
      </c>
      <c r="D5446" s="71">
        <v>5</v>
      </c>
      <c r="E5446" s="102">
        <v>65000</v>
      </c>
      <c r="F5446" s="102">
        <f t="shared" si="2677"/>
        <v>357500</v>
      </c>
      <c r="G5446" s="102">
        <f t="shared" si="2678"/>
        <v>325000</v>
      </c>
      <c r="H5446" s="690" t="s">
        <v>1786</v>
      </c>
      <c r="I5446" s="71" t="s">
        <v>1786</v>
      </c>
      <c r="J5446" s="53">
        <f t="shared" si="2674"/>
        <v>205000</v>
      </c>
      <c r="K5446" s="63">
        <f t="shared" si="2673"/>
        <v>0.63076923076923075</v>
      </c>
      <c r="L5446" s="1212" t="s">
        <v>3495</v>
      </c>
      <c r="M5446" s="102"/>
      <c r="N5446" s="1192">
        <f t="shared" si="2679"/>
        <v>44847</v>
      </c>
      <c r="O5446" s="71"/>
      <c r="P5446" s="103" t="str">
        <f t="shared" si="2669"/>
        <v>포텐시오미터</v>
      </c>
      <c r="Q5446" s="71">
        <f t="shared" si="2668"/>
        <v>5</v>
      </c>
      <c r="R5446" s="102">
        <v>24000</v>
      </c>
      <c r="S5446" s="102">
        <f t="shared" si="2675"/>
        <v>132000</v>
      </c>
      <c r="T5446" s="102">
        <f t="shared" si="2676"/>
        <v>120000</v>
      </c>
      <c r="U5446" s="71"/>
      <c r="V5446" s="71"/>
      <c r="W5446" s="474"/>
      <c r="X5446" s="71"/>
      <c r="Y5446" s="71"/>
    </row>
    <row r="5447" spans="1:25" ht="30" hidden="1" customHeight="1" x14ac:dyDescent="0.25">
      <c r="A5447" s="1145">
        <v>44847</v>
      </c>
      <c r="B5447" s="664" t="s">
        <v>2155</v>
      </c>
      <c r="C5447" s="71" t="s">
        <v>3510</v>
      </c>
      <c r="D5447" s="71">
        <v>1</v>
      </c>
      <c r="E5447" s="102">
        <v>2500000</v>
      </c>
      <c r="F5447" s="102">
        <f t="shared" si="2677"/>
        <v>2750000</v>
      </c>
      <c r="G5447" s="102">
        <f t="shared" si="2678"/>
        <v>2500000</v>
      </c>
      <c r="H5447" s="690" t="s">
        <v>1786</v>
      </c>
      <c r="I5447" s="71" t="s">
        <v>1786</v>
      </c>
      <c r="J5447" s="53">
        <f t="shared" si="2674"/>
        <v>-468000</v>
      </c>
      <c r="K5447" s="63">
        <f t="shared" si="2673"/>
        <v>-0.18720000000000001</v>
      </c>
      <c r="L5447" s="1212" t="s">
        <v>3495</v>
      </c>
      <c r="M5447" s="102"/>
      <c r="N5447" s="1192">
        <f t="shared" si="2679"/>
        <v>44847</v>
      </c>
      <c r="O5447" s="71" t="s">
        <v>2030</v>
      </c>
      <c r="P5447" s="103" t="str">
        <f t="shared" si="2669"/>
        <v>프린피아 상부 판걸이 교체 서비스비용</v>
      </c>
      <c r="Q5447" s="71">
        <f t="shared" si="2668"/>
        <v>1</v>
      </c>
      <c r="R5447" s="102">
        <v>2968000</v>
      </c>
      <c r="S5447" s="102">
        <f t="shared" si="2675"/>
        <v>3264800.0000000005</v>
      </c>
      <c r="T5447" s="102">
        <f t="shared" si="2676"/>
        <v>2968000</v>
      </c>
      <c r="U5447" s="71"/>
      <c r="V5447" s="71"/>
      <c r="W5447" s="474"/>
      <c r="X5447" s="71"/>
      <c r="Y5447" s="71"/>
    </row>
    <row r="5448" spans="1:25" ht="30" hidden="1" customHeight="1" x14ac:dyDescent="0.25">
      <c r="A5448" s="1145">
        <v>44851</v>
      </c>
      <c r="B5448" s="664" t="s">
        <v>3571</v>
      </c>
      <c r="C5448" s="71" t="s">
        <v>3565</v>
      </c>
      <c r="D5448" s="71">
        <v>1</v>
      </c>
      <c r="E5448" s="102">
        <v>53200000</v>
      </c>
      <c r="F5448" s="102">
        <f t="shared" si="2677"/>
        <v>58520000.000000007</v>
      </c>
      <c r="G5448" s="102">
        <f t="shared" si="2678"/>
        <v>53200000</v>
      </c>
      <c r="H5448" s="690" t="s">
        <v>1786</v>
      </c>
      <c r="I5448" s="71" t="s">
        <v>1786</v>
      </c>
      <c r="J5448" s="53"/>
      <c r="K5448" s="63"/>
      <c r="L5448" s="1212" t="s">
        <v>3495</v>
      </c>
      <c r="M5448" s="102"/>
      <c r="N5448" s="1192">
        <f t="shared" si="2679"/>
        <v>44851</v>
      </c>
      <c r="O5448" s="71" t="s">
        <v>1786</v>
      </c>
      <c r="P5448" s="103" t="str">
        <f t="shared" si="2669"/>
        <v>Rotoman 유니트 베아링 교체 작업 잔금</v>
      </c>
      <c r="Q5448" s="71">
        <f t="shared" si="2668"/>
        <v>1</v>
      </c>
      <c r="R5448" s="102"/>
      <c r="S5448" s="102">
        <f t="shared" si="2675"/>
        <v>0</v>
      </c>
      <c r="T5448" s="102">
        <f t="shared" si="2676"/>
        <v>0</v>
      </c>
      <c r="U5448" s="71"/>
      <c r="V5448" s="71"/>
      <c r="W5448" s="474"/>
      <c r="X5448" s="71"/>
      <c r="Y5448" s="71"/>
    </row>
    <row r="5449" spans="1:25" ht="30" hidden="1" customHeight="1" x14ac:dyDescent="0.25">
      <c r="A5449" s="1145">
        <v>44865</v>
      </c>
      <c r="B5449" s="664" t="s">
        <v>575</v>
      </c>
      <c r="C5449" s="71" t="s">
        <v>1424</v>
      </c>
      <c r="D5449" s="71">
        <v>1</v>
      </c>
      <c r="E5449" s="102">
        <v>2625000</v>
      </c>
      <c r="F5449" s="102">
        <f t="shared" si="2677"/>
        <v>2887500.0000000005</v>
      </c>
      <c r="G5449" s="102">
        <f t="shared" si="2678"/>
        <v>2625000</v>
      </c>
      <c r="H5449" s="690" t="s">
        <v>985</v>
      </c>
      <c r="I5449" s="690" t="s">
        <v>985</v>
      </c>
      <c r="J5449" s="53">
        <f>G5449-T5449</f>
        <v>2625000</v>
      </c>
      <c r="K5449" s="63">
        <f>(J5449/(F5449/11*10))</f>
        <v>0.99999999999999978</v>
      </c>
      <c r="L5449" s="1212" t="s">
        <v>3495</v>
      </c>
      <c r="M5449" s="468"/>
      <c r="N5449" s="1192">
        <f t="shared" si="2679"/>
        <v>44865</v>
      </c>
      <c r="O5449" s="71"/>
      <c r="P5449" s="164" t="str">
        <f t="shared" si="2669"/>
        <v>M600 서비스 계약(4회차)</v>
      </c>
      <c r="Q5449" s="71">
        <f t="shared" si="2668"/>
        <v>1</v>
      </c>
      <c r="R5449" s="102"/>
      <c r="S5449" s="102">
        <f t="shared" si="2675"/>
        <v>0</v>
      </c>
      <c r="T5449" s="102"/>
      <c r="U5449" s="71"/>
      <c r="V5449" s="71"/>
      <c r="W5449" s="474"/>
      <c r="X5449" s="71"/>
      <c r="Y5449" s="71"/>
    </row>
    <row r="5450" spans="1:25" ht="30" hidden="1" customHeight="1" x14ac:dyDescent="0.25">
      <c r="A5450" s="1145">
        <v>44865</v>
      </c>
      <c r="B5450" s="664" t="s">
        <v>575</v>
      </c>
      <c r="C5450" s="71" t="s">
        <v>3499</v>
      </c>
      <c r="D5450" s="71">
        <v>1</v>
      </c>
      <c r="E5450" s="102">
        <v>2350000</v>
      </c>
      <c r="F5450" s="102">
        <f t="shared" si="2677"/>
        <v>2585000</v>
      </c>
      <c r="G5450" s="102">
        <f t="shared" si="2678"/>
        <v>2350000</v>
      </c>
      <c r="H5450" s="690" t="s">
        <v>179</v>
      </c>
      <c r="I5450" s="71" t="s">
        <v>179</v>
      </c>
      <c r="J5450" s="53">
        <f>G5450-T5450</f>
        <v>600000</v>
      </c>
      <c r="K5450" s="63">
        <f>(J5450/(F5450/11*10))</f>
        <v>0.25531914893617019</v>
      </c>
      <c r="L5450" s="1212" t="s">
        <v>3495</v>
      </c>
      <c r="M5450" s="468"/>
      <c r="N5450" s="1192">
        <f t="shared" si="2679"/>
        <v>44865</v>
      </c>
      <c r="O5450" s="71" t="s">
        <v>145</v>
      </c>
      <c r="P5450" s="103" t="str">
        <f t="shared" si="2669"/>
        <v>9 월 Apogee워크프로우 사용료</v>
      </c>
      <c r="Q5450" s="71">
        <f t="shared" si="2668"/>
        <v>1</v>
      </c>
      <c r="R5450" s="147">
        <v>1750000</v>
      </c>
      <c r="S5450" s="102">
        <f t="shared" si="2675"/>
        <v>1925000.0000000002</v>
      </c>
      <c r="T5450" s="102">
        <f>R5450*Q5450</f>
        <v>1750000</v>
      </c>
      <c r="U5450" s="71"/>
      <c r="V5450" s="71"/>
      <c r="W5450" s="474"/>
      <c r="X5450" s="71"/>
      <c r="Y5450" s="71"/>
    </row>
    <row r="5451" spans="1:25" ht="30" hidden="1" customHeight="1" x14ac:dyDescent="0.25">
      <c r="A5451" s="1145">
        <v>44861</v>
      </c>
      <c r="B5451" s="664" t="s">
        <v>3571</v>
      </c>
      <c r="C5451" s="71" t="s">
        <v>3585</v>
      </c>
      <c r="D5451" s="71">
        <v>1</v>
      </c>
      <c r="E5451" s="102">
        <v>18800000</v>
      </c>
      <c r="F5451" s="102">
        <f t="shared" si="2677"/>
        <v>20680000</v>
      </c>
      <c r="G5451" s="102">
        <f t="shared" si="2678"/>
        <v>18800000</v>
      </c>
      <c r="H5451" s="690" t="s">
        <v>1786</v>
      </c>
      <c r="I5451" s="71" t="s">
        <v>1786</v>
      </c>
      <c r="J5451" s="53"/>
      <c r="K5451" s="63"/>
      <c r="L5451" s="1212" t="s">
        <v>3495</v>
      </c>
      <c r="M5451" s="102"/>
      <c r="N5451" s="1192">
        <f t="shared" si="2679"/>
        <v>44861</v>
      </c>
      <c r="O5451" s="71" t="s">
        <v>1786</v>
      </c>
      <c r="P5451" s="103" t="str">
        <f t="shared" si="2669"/>
        <v>유니트 베어링 교체 - 폴더 정비 추가작업</v>
      </c>
      <c r="Q5451" s="71">
        <f t="shared" si="2668"/>
        <v>1</v>
      </c>
      <c r="R5451" s="102"/>
      <c r="S5451" s="102">
        <f t="shared" si="2675"/>
        <v>0</v>
      </c>
      <c r="T5451" s="102">
        <f>R5451*Q5451</f>
        <v>0</v>
      </c>
      <c r="U5451" s="71"/>
      <c r="V5451" s="71"/>
      <c r="W5451" s="474"/>
      <c r="X5451" s="71"/>
      <c r="Y5451" s="71"/>
    </row>
    <row r="5452" spans="1:25" ht="30" hidden="1" customHeight="1" x14ac:dyDescent="0.25">
      <c r="A5452" s="1210" t="s">
        <v>3587</v>
      </c>
      <c r="B5452" s="1211" t="s">
        <v>544</v>
      </c>
      <c r="C5452" s="960"/>
      <c r="D5452" s="960"/>
      <c r="E5452" s="952"/>
      <c r="F5452" s="952"/>
      <c r="G5452" s="952"/>
      <c r="H5452" s="1206"/>
      <c r="I5452" s="960"/>
      <c r="J5452" s="952"/>
      <c r="K5452" s="953"/>
      <c r="L5452" s="1212" t="s">
        <v>3588</v>
      </c>
      <c r="M5452" s="1207"/>
      <c r="N5452" s="1208" t="str">
        <f t="shared" si="2679"/>
        <v>2022,11</v>
      </c>
      <c r="O5452" s="960"/>
      <c r="P5452" s="1209"/>
      <c r="Q5452" s="960"/>
      <c r="R5452" s="952"/>
      <c r="S5452" s="952"/>
      <c r="T5452" s="952"/>
      <c r="U5452" s="960"/>
      <c r="V5452" s="960"/>
      <c r="W5452" s="474">
        <f>(G5452-T5452)</f>
        <v>0</v>
      </c>
      <c r="X5452" s="71"/>
      <c r="Y5452" s="71"/>
    </row>
    <row r="5453" spans="1:25" ht="30" hidden="1" customHeight="1" x14ac:dyDescent="0.25">
      <c r="A5453" s="1145">
        <v>44880</v>
      </c>
      <c r="B5453" s="664" t="s">
        <v>2490</v>
      </c>
      <c r="C5453" s="71" t="s">
        <v>2971</v>
      </c>
      <c r="D5453" s="71">
        <v>10</v>
      </c>
      <c r="E5453" s="102">
        <v>1380000</v>
      </c>
      <c r="F5453" s="102">
        <f t="shared" ref="F5453:F5484" si="2680">(E5453*D5453)*1.1</f>
        <v>15180000.000000002</v>
      </c>
      <c r="G5453" s="102">
        <f t="shared" ref="G5453:G5484" si="2681">(E5453*D5453)</f>
        <v>13800000</v>
      </c>
      <c r="H5453" s="690" t="s">
        <v>172</v>
      </c>
      <c r="I5453" s="71" t="s">
        <v>2226</v>
      </c>
      <c r="J5453" s="53">
        <f>G5453-T5453</f>
        <v>2900000</v>
      </c>
      <c r="K5453" s="63">
        <f>(J5453/(F5453/11*10))</f>
        <v>0.21014492753623185</v>
      </c>
      <c r="L5453" s="1212" t="s">
        <v>3588</v>
      </c>
      <c r="M5453" s="468"/>
      <c r="N5453" s="1192">
        <f t="shared" ref="N5453:N5484" si="2682">A5453</f>
        <v>44880</v>
      </c>
      <c r="O5453" s="71"/>
      <c r="P5453" s="103" t="str">
        <f t="shared" ref="P5453:P5484" si="2683">(C5453)</f>
        <v>IST 수은등 UV lamp</v>
      </c>
      <c r="Q5453" s="71">
        <f t="shared" ref="Q5453:Q5484" si="2684">D5453</f>
        <v>10</v>
      </c>
      <c r="R5453" s="102">
        <v>1090000</v>
      </c>
      <c r="S5453" s="102">
        <f t="shared" ref="S5453:S5484" si="2685">R5453*Q5453*1.1</f>
        <v>11990000.000000002</v>
      </c>
      <c r="T5453" s="102">
        <f t="shared" ref="T5453:T5484" si="2686">R5453*Q5453</f>
        <v>10900000</v>
      </c>
      <c r="U5453" s="71"/>
      <c r="V5453" s="71"/>
      <c r="W5453" s="474"/>
      <c r="X5453" s="71"/>
      <c r="Y5453" s="71"/>
    </row>
    <row r="5454" spans="1:25" ht="30" hidden="1" customHeight="1" x14ac:dyDescent="0.25">
      <c r="A5454" s="1145">
        <v>44886</v>
      </c>
      <c r="B5454" s="664" t="s">
        <v>1119</v>
      </c>
      <c r="C5454" s="71" t="s">
        <v>123</v>
      </c>
      <c r="D5454" s="71">
        <v>5</v>
      </c>
      <c r="E5454" s="102">
        <v>50000</v>
      </c>
      <c r="F5454" s="102">
        <f t="shared" si="2680"/>
        <v>275000</v>
      </c>
      <c r="G5454" s="102">
        <f t="shared" si="2681"/>
        <v>250000</v>
      </c>
      <c r="H5454" s="690" t="s">
        <v>94</v>
      </c>
      <c r="I5454" s="71" t="s">
        <v>94</v>
      </c>
      <c r="J5454" s="53">
        <f>G5454-T5454</f>
        <v>130000</v>
      </c>
      <c r="K5454" s="63">
        <f>(J5454/(F5454/11*10))</f>
        <v>0.52</v>
      </c>
      <c r="L5454" s="1212" t="s">
        <v>3588</v>
      </c>
      <c r="M5454" s="468"/>
      <c r="N5454" s="1192">
        <f t="shared" si="2682"/>
        <v>44886</v>
      </c>
      <c r="O5454" s="71" t="s">
        <v>94</v>
      </c>
      <c r="P5454" s="103" t="str">
        <f t="shared" si="2683"/>
        <v>필터백</v>
      </c>
      <c r="Q5454" s="71">
        <f t="shared" si="2684"/>
        <v>5</v>
      </c>
      <c r="R5454" s="102">
        <v>24000</v>
      </c>
      <c r="S5454" s="102">
        <f t="shared" si="2685"/>
        <v>132000</v>
      </c>
      <c r="T5454" s="102">
        <f t="shared" si="2686"/>
        <v>120000</v>
      </c>
      <c r="U5454" s="71"/>
      <c r="V5454" s="71"/>
      <c r="W5454" s="474"/>
      <c r="X5454" s="71"/>
      <c r="Y5454" s="71"/>
    </row>
    <row r="5455" spans="1:25" ht="30" hidden="1" customHeight="1" x14ac:dyDescent="0.25">
      <c r="A5455" s="1145">
        <v>44866</v>
      </c>
      <c r="B5455" s="664" t="s">
        <v>18</v>
      </c>
      <c r="C5455" s="71" t="s">
        <v>3294</v>
      </c>
      <c r="D5455" s="71">
        <v>15</v>
      </c>
      <c r="E5455" s="102">
        <v>125000</v>
      </c>
      <c r="F5455" s="102">
        <f t="shared" si="2680"/>
        <v>2062500.0000000002</v>
      </c>
      <c r="G5455" s="102">
        <f t="shared" si="2681"/>
        <v>1875000</v>
      </c>
      <c r="H5455" s="690" t="s">
        <v>172</v>
      </c>
      <c r="I5455" s="71" t="s">
        <v>3295</v>
      </c>
      <c r="J5455" s="53">
        <f t="shared" ref="J5455:J5517" si="2687">G5455-T5455</f>
        <v>240000</v>
      </c>
      <c r="K5455" s="63">
        <f t="shared" ref="K5455:K5517" si="2688">(J5455/(F5455/11*10))</f>
        <v>0.12799999999999997</v>
      </c>
      <c r="L5455" s="1212" t="s">
        <v>3607</v>
      </c>
      <c r="M5455" s="468"/>
      <c r="N5455" s="1192">
        <f t="shared" si="2682"/>
        <v>44866</v>
      </c>
      <c r="O5455" s="71" t="s">
        <v>150</v>
      </c>
      <c r="P5455" s="103" t="str">
        <f t="shared" si="2683"/>
        <v>1077*885 하이델 bar 블랑켓</v>
      </c>
      <c r="Q5455" s="71">
        <f t="shared" si="2684"/>
        <v>15</v>
      </c>
      <c r="R5455" s="102">
        <v>109000</v>
      </c>
      <c r="S5455" s="102">
        <f t="shared" si="2685"/>
        <v>1798500.0000000002</v>
      </c>
      <c r="T5455" s="102">
        <f t="shared" si="2686"/>
        <v>1635000</v>
      </c>
      <c r="U5455" s="71"/>
      <c r="V5455" s="71"/>
      <c r="W5455" s="474"/>
      <c r="X5455" s="71"/>
      <c r="Y5455" s="71"/>
    </row>
    <row r="5456" spans="1:25" ht="30" hidden="1" customHeight="1" x14ac:dyDescent="0.25">
      <c r="A5456" s="1145">
        <v>44866</v>
      </c>
      <c r="B5456" s="664" t="s">
        <v>548</v>
      </c>
      <c r="C5456" s="71" t="s">
        <v>3384</v>
      </c>
      <c r="D5456" s="71">
        <v>200</v>
      </c>
      <c r="E5456" s="102">
        <v>450</v>
      </c>
      <c r="F5456" s="102">
        <f t="shared" si="2680"/>
        <v>99000.000000000015</v>
      </c>
      <c r="G5456" s="102">
        <f t="shared" si="2681"/>
        <v>90000</v>
      </c>
      <c r="H5456" s="690" t="s">
        <v>2029</v>
      </c>
      <c r="I5456" s="71" t="s">
        <v>3385</v>
      </c>
      <c r="J5456" s="53">
        <f t="shared" si="2687"/>
        <v>26000</v>
      </c>
      <c r="K5456" s="63">
        <f t="shared" si="2688"/>
        <v>0.28888888888888886</v>
      </c>
      <c r="L5456" s="1212" t="s">
        <v>3607</v>
      </c>
      <c r="M5456" s="468"/>
      <c r="N5456" s="1192">
        <f t="shared" si="2682"/>
        <v>44866</v>
      </c>
      <c r="O5456" s="71" t="s">
        <v>2030</v>
      </c>
      <c r="P5456" s="103" t="str">
        <f t="shared" si="2683"/>
        <v>고무사카 빨간색</v>
      </c>
      <c r="Q5456" s="71">
        <f t="shared" si="2684"/>
        <v>200</v>
      </c>
      <c r="R5456" s="102">
        <v>320</v>
      </c>
      <c r="S5456" s="102">
        <f t="shared" si="2685"/>
        <v>70400</v>
      </c>
      <c r="T5456" s="102">
        <f t="shared" si="2686"/>
        <v>64000</v>
      </c>
      <c r="U5456" s="71"/>
      <c r="V5456" s="71"/>
      <c r="W5456" s="474"/>
      <c r="X5456" s="71"/>
      <c r="Y5456" s="71"/>
    </row>
    <row r="5457" spans="1:25" ht="30" hidden="1" customHeight="1" x14ac:dyDescent="0.25">
      <c r="A5457" s="1145">
        <v>44866</v>
      </c>
      <c r="B5457" s="664" t="s">
        <v>809</v>
      </c>
      <c r="C5457" s="71" t="s">
        <v>584</v>
      </c>
      <c r="D5457" s="71">
        <v>5</v>
      </c>
      <c r="E5457" s="102">
        <v>153000</v>
      </c>
      <c r="F5457" s="102">
        <f t="shared" si="2680"/>
        <v>841500.00000000012</v>
      </c>
      <c r="G5457" s="102">
        <f t="shared" si="2681"/>
        <v>765000</v>
      </c>
      <c r="H5457" s="690" t="s">
        <v>2029</v>
      </c>
      <c r="I5457" s="71" t="s">
        <v>2231</v>
      </c>
      <c r="J5457" s="53">
        <f t="shared" si="2687"/>
        <v>170000</v>
      </c>
      <c r="K5457" s="63">
        <f t="shared" si="2688"/>
        <v>0.22222222222222218</v>
      </c>
      <c r="L5457" s="1212" t="s">
        <v>3607</v>
      </c>
      <c r="M5457" s="468"/>
      <c r="N5457" s="1192">
        <f t="shared" si="2682"/>
        <v>44866</v>
      </c>
      <c r="O5457" s="71" t="s">
        <v>2030</v>
      </c>
      <c r="P5457" s="103" t="str">
        <f t="shared" si="2683"/>
        <v>데리바리 석션벨트</v>
      </c>
      <c r="Q5457" s="71">
        <f t="shared" si="2684"/>
        <v>5</v>
      </c>
      <c r="R5457" s="102">
        <v>119000</v>
      </c>
      <c r="S5457" s="102">
        <f t="shared" si="2685"/>
        <v>654500</v>
      </c>
      <c r="T5457" s="102">
        <f t="shared" si="2686"/>
        <v>595000</v>
      </c>
      <c r="U5457" s="71"/>
      <c r="V5457" s="71"/>
      <c r="W5457" s="474"/>
      <c r="X5457" s="71"/>
      <c r="Y5457" s="71"/>
    </row>
    <row r="5458" spans="1:25" ht="30" hidden="1" customHeight="1" x14ac:dyDescent="0.25">
      <c r="A5458" s="1145">
        <v>44875</v>
      </c>
      <c r="B5458" s="664" t="s">
        <v>548</v>
      </c>
      <c r="C5458" s="71" t="s">
        <v>236</v>
      </c>
      <c r="D5458" s="71">
        <v>4</v>
      </c>
      <c r="E5458" s="102">
        <v>100000</v>
      </c>
      <c r="F5458" s="102">
        <f t="shared" si="2680"/>
        <v>440000.00000000006</v>
      </c>
      <c r="G5458" s="102">
        <f t="shared" si="2681"/>
        <v>400000</v>
      </c>
      <c r="H5458" s="690" t="s">
        <v>173</v>
      </c>
      <c r="I5458" s="71" t="s">
        <v>2231</v>
      </c>
      <c r="J5458" s="53">
        <f t="shared" si="2687"/>
        <v>160000</v>
      </c>
      <c r="K5458" s="63">
        <f t="shared" si="2688"/>
        <v>0.39999999999999997</v>
      </c>
      <c r="L5458" s="1212" t="s">
        <v>3607</v>
      </c>
      <c r="M5458" s="468"/>
      <c r="N5458" s="1192">
        <f t="shared" si="2682"/>
        <v>44875</v>
      </c>
      <c r="O5458" s="71" t="s">
        <v>3021</v>
      </c>
      <c r="P5458" s="103" t="str">
        <f t="shared" si="2683"/>
        <v>아스테이지(국전)</v>
      </c>
      <c r="Q5458" s="71">
        <f t="shared" si="2684"/>
        <v>4</v>
      </c>
      <c r="R5458" s="102">
        <v>60000</v>
      </c>
      <c r="S5458" s="102">
        <f t="shared" si="2685"/>
        <v>264000</v>
      </c>
      <c r="T5458" s="102">
        <f t="shared" si="2686"/>
        <v>240000</v>
      </c>
      <c r="U5458" s="71" t="str">
        <f>IF(J5458=W5458,"O", "X")</f>
        <v>X</v>
      </c>
      <c r="V5458" s="71"/>
      <c r="W5458" s="474"/>
      <c r="X5458" s="71"/>
      <c r="Y5458" s="71"/>
    </row>
    <row r="5459" spans="1:25" ht="30" hidden="1" customHeight="1" x14ac:dyDescent="0.25">
      <c r="A5459" s="1145">
        <v>44863</v>
      </c>
      <c r="B5459" s="664" t="s">
        <v>2798</v>
      </c>
      <c r="C5459" s="71" t="s">
        <v>167</v>
      </c>
      <c r="D5459" s="71">
        <v>20</v>
      </c>
      <c r="E5459" s="102">
        <v>138000</v>
      </c>
      <c r="F5459" s="102">
        <f t="shared" si="2680"/>
        <v>3036000.0000000005</v>
      </c>
      <c r="G5459" s="102">
        <f t="shared" si="2681"/>
        <v>2760000</v>
      </c>
      <c r="H5459" s="690" t="s">
        <v>172</v>
      </c>
      <c r="I5459" s="71" t="s">
        <v>33</v>
      </c>
      <c r="J5459" s="53">
        <f t="shared" si="2687"/>
        <v>972000</v>
      </c>
      <c r="K5459" s="63">
        <f t="shared" si="2688"/>
        <v>0.35217391304347823</v>
      </c>
      <c r="L5459" s="1212" t="s">
        <v>3607</v>
      </c>
      <c r="M5459" s="468"/>
      <c r="N5459" s="1192">
        <f t="shared" si="2682"/>
        <v>44863</v>
      </c>
      <c r="O5459" s="71" t="s">
        <v>146</v>
      </c>
      <c r="P5459" s="103" t="str">
        <f t="shared" si="2683"/>
        <v>Blanket(1060*860)</v>
      </c>
      <c r="Q5459" s="71">
        <f t="shared" si="2684"/>
        <v>20</v>
      </c>
      <c r="R5459" s="102">
        <v>89400</v>
      </c>
      <c r="S5459" s="102">
        <f t="shared" si="2685"/>
        <v>1966800.0000000002</v>
      </c>
      <c r="T5459" s="102">
        <f t="shared" si="2686"/>
        <v>1788000</v>
      </c>
      <c r="U5459" s="71" t="str">
        <f>IF(J5459=W5459,"O", "X")</f>
        <v>X</v>
      </c>
      <c r="V5459" s="71"/>
      <c r="W5459" s="474"/>
      <c r="X5459" s="71"/>
      <c r="Y5459" s="71"/>
    </row>
    <row r="5460" spans="1:25" ht="30" hidden="1" customHeight="1" x14ac:dyDescent="0.25">
      <c r="A5460" s="1145">
        <v>44866</v>
      </c>
      <c r="B5460" s="664" t="s">
        <v>545</v>
      </c>
      <c r="C5460" s="71" t="s">
        <v>1441</v>
      </c>
      <c r="D5460" s="71">
        <v>4</v>
      </c>
      <c r="E5460" s="102">
        <v>255000</v>
      </c>
      <c r="F5460" s="102">
        <f t="shared" si="2680"/>
        <v>1122000</v>
      </c>
      <c r="G5460" s="102">
        <f t="shared" si="2681"/>
        <v>1020000</v>
      </c>
      <c r="H5460" s="690" t="s">
        <v>173</v>
      </c>
      <c r="I5460" s="71" t="s">
        <v>2231</v>
      </c>
      <c r="J5460" s="53">
        <f t="shared" si="2687"/>
        <v>340000</v>
      </c>
      <c r="K5460" s="63">
        <f t="shared" si="2688"/>
        <v>0.33333333333333331</v>
      </c>
      <c r="L5460" s="1212" t="s">
        <v>3607</v>
      </c>
      <c r="M5460" s="468" t="s">
        <v>3374</v>
      </c>
      <c r="N5460" s="1192">
        <f t="shared" si="2682"/>
        <v>44866</v>
      </c>
      <c r="O5460" s="71" t="s">
        <v>1555</v>
      </c>
      <c r="P5460" s="103" t="str">
        <f t="shared" si="2683"/>
        <v xml:space="preserve"> OKS340 체인구리스</v>
      </c>
      <c r="Q5460" s="71">
        <f t="shared" si="2684"/>
        <v>4</v>
      </c>
      <c r="R5460" s="102">
        <v>170000</v>
      </c>
      <c r="S5460" s="102">
        <f t="shared" si="2685"/>
        <v>748000.00000000012</v>
      </c>
      <c r="T5460" s="102">
        <f t="shared" si="2686"/>
        <v>680000</v>
      </c>
      <c r="U5460" s="71" t="str">
        <f>IF(J5460=W5460,"O", "X")</f>
        <v>X</v>
      </c>
      <c r="V5460" s="71"/>
      <c r="W5460" s="474"/>
      <c r="X5460" s="71"/>
      <c r="Y5460" s="71"/>
    </row>
    <row r="5461" spans="1:25" ht="30" customHeight="1" x14ac:dyDescent="0.25">
      <c r="A5461" s="1145">
        <v>44888</v>
      </c>
      <c r="B5461" s="664" t="s">
        <v>641</v>
      </c>
      <c r="C5461" s="71" t="s">
        <v>3293</v>
      </c>
      <c r="D5461" s="71">
        <v>60</v>
      </c>
      <c r="E5461" s="102">
        <v>84000</v>
      </c>
      <c r="F5461" s="102">
        <f t="shared" si="2680"/>
        <v>5544000</v>
      </c>
      <c r="G5461" s="102">
        <f t="shared" si="2681"/>
        <v>5040000</v>
      </c>
      <c r="H5461" s="690" t="s">
        <v>172</v>
      </c>
      <c r="I5461" s="71" t="s">
        <v>2231</v>
      </c>
      <c r="J5461" s="53">
        <f t="shared" si="2687"/>
        <v>1980000</v>
      </c>
      <c r="K5461" s="63">
        <f t="shared" si="2688"/>
        <v>0.39285714285714285</v>
      </c>
      <c r="L5461" s="1212" t="s">
        <v>3607</v>
      </c>
      <c r="M5461" s="468"/>
      <c r="N5461" s="1192">
        <f t="shared" si="2682"/>
        <v>44888</v>
      </c>
      <c r="O5461" s="71" t="s">
        <v>3291</v>
      </c>
      <c r="P5461" s="103" t="str">
        <f t="shared" si="2683"/>
        <v>GOSS 신문윤전 습식세정포</v>
      </c>
      <c r="Q5461" s="71">
        <f t="shared" si="2684"/>
        <v>60</v>
      </c>
      <c r="R5461" s="102">
        <v>51000</v>
      </c>
      <c r="S5461" s="102">
        <f t="shared" si="2685"/>
        <v>3366000.0000000005</v>
      </c>
      <c r="T5461" s="102">
        <f t="shared" si="2686"/>
        <v>3060000</v>
      </c>
      <c r="U5461" s="71" t="str">
        <f>IF(J5461=W5461,"O", "X")</f>
        <v>X</v>
      </c>
      <c r="V5461" s="71"/>
      <c r="W5461" s="474"/>
      <c r="X5461" s="71"/>
      <c r="Y5461" s="71"/>
    </row>
    <row r="5462" spans="1:25" ht="30" customHeight="1" x14ac:dyDescent="0.25">
      <c r="A5462" s="1145">
        <v>44872</v>
      </c>
      <c r="B5462" s="664" t="s">
        <v>2536</v>
      </c>
      <c r="C5462" s="71" t="s">
        <v>3478</v>
      </c>
      <c r="D5462" s="71">
        <v>64</v>
      </c>
      <c r="E5462" s="102">
        <v>18500</v>
      </c>
      <c r="F5462" s="102">
        <f t="shared" si="2680"/>
        <v>1302400</v>
      </c>
      <c r="G5462" s="102">
        <f t="shared" si="2681"/>
        <v>1184000</v>
      </c>
      <c r="H5462" s="690" t="s">
        <v>172</v>
      </c>
      <c r="I5462" s="71" t="s">
        <v>142</v>
      </c>
      <c r="J5462" s="53">
        <f t="shared" si="2687"/>
        <v>474624</v>
      </c>
      <c r="K5462" s="63">
        <f t="shared" si="2688"/>
        <v>0.40086486486486489</v>
      </c>
      <c r="L5462" s="1212" t="s">
        <v>3607</v>
      </c>
      <c r="M5462" s="468"/>
      <c r="N5462" s="1192">
        <f t="shared" si="2682"/>
        <v>44872</v>
      </c>
      <c r="O5462" s="71"/>
      <c r="P5462" s="103" t="str">
        <f t="shared" si="2683"/>
        <v>고모리 윤전 블랑켓 건식 세정포 - 국전용</v>
      </c>
      <c r="Q5462" s="71">
        <f t="shared" si="2684"/>
        <v>64</v>
      </c>
      <c r="R5462" s="102">
        <v>11084</v>
      </c>
      <c r="S5462" s="102">
        <f t="shared" si="2685"/>
        <v>780313.60000000009</v>
      </c>
      <c r="T5462" s="102">
        <f t="shared" si="2686"/>
        <v>709376</v>
      </c>
      <c r="U5462" s="71"/>
      <c r="V5462" s="71"/>
      <c r="W5462" s="474"/>
      <c r="X5462" s="71"/>
      <c r="Y5462" s="71"/>
    </row>
    <row r="5463" spans="1:25" ht="30" customHeight="1" x14ac:dyDescent="0.25">
      <c r="A5463" s="1145">
        <v>44875</v>
      </c>
      <c r="B5463" s="664" t="s">
        <v>2536</v>
      </c>
      <c r="C5463" s="71" t="s">
        <v>3589</v>
      </c>
      <c r="D5463" s="71">
        <v>20</v>
      </c>
      <c r="E5463" s="102">
        <v>24000</v>
      </c>
      <c r="F5463" s="102">
        <f t="shared" si="2680"/>
        <v>528000</v>
      </c>
      <c r="G5463" s="102">
        <f t="shared" si="2681"/>
        <v>480000</v>
      </c>
      <c r="H5463" s="690" t="s">
        <v>2029</v>
      </c>
      <c r="I5463" s="71" t="s">
        <v>142</v>
      </c>
      <c r="J5463" s="53">
        <f t="shared" si="2687"/>
        <v>124000</v>
      </c>
      <c r="K5463" s="63">
        <f t="shared" si="2688"/>
        <v>0.25833333333333336</v>
      </c>
      <c r="L5463" s="1212" t="s">
        <v>3607</v>
      </c>
      <c r="M5463" s="468"/>
      <c r="N5463" s="1192">
        <f t="shared" si="2682"/>
        <v>44875</v>
      </c>
      <c r="O5463" s="71"/>
      <c r="P5463" s="103" t="str">
        <f t="shared" si="2683"/>
        <v>블랑켓 접착 패킹지</v>
      </c>
      <c r="Q5463" s="71">
        <f t="shared" si="2684"/>
        <v>20</v>
      </c>
      <c r="R5463" s="102">
        <v>17800</v>
      </c>
      <c r="S5463" s="102">
        <f t="shared" si="2685"/>
        <v>391600.00000000006</v>
      </c>
      <c r="T5463" s="102">
        <f t="shared" si="2686"/>
        <v>356000</v>
      </c>
      <c r="U5463" s="71"/>
      <c r="V5463" s="71"/>
      <c r="W5463" s="474"/>
      <c r="X5463" s="71"/>
      <c r="Y5463" s="71"/>
    </row>
    <row r="5464" spans="1:25" ht="30" customHeight="1" x14ac:dyDescent="0.2">
      <c r="A5464" s="1145">
        <v>44881</v>
      </c>
      <c r="B5464" s="664" t="s">
        <v>2352</v>
      </c>
      <c r="C5464" s="71" t="s">
        <v>692</v>
      </c>
      <c r="D5464" s="71">
        <v>4</v>
      </c>
      <c r="E5464" s="102">
        <v>264000</v>
      </c>
      <c r="F5464" s="102">
        <f t="shared" si="2680"/>
        <v>1161600</v>
      </c>
      <c r="G5464" s="102">
        <f t="shared" si="2681"/>
        <v>1056000</v>
      </c>
      <c r="H5464" s="165" t="s">
        <v>142</v>
      </c>
      <c r="I5464" s="71" t="s">
        <v>142</v>
      </c>
      <c r="J5464" s="53">
        <f t="shared" si="2687"/>
        <v>416000</v>
      </c>
      <c r="K5464" s="63">
        <f t="shared" si="2688"/>
        <v>0.39393939393939392</v>
      </c>
      <c r="L5464" s="1212" t="s">
        <v>3607</v>
      </c>
      <c r="M5464" s="468" t="s">
        <v>2052</v>
      </c>
      <c r="N5464" s="1192">
        <f t="shared" si="2682"/>
        <v>44881</v>
      </c>
      <c r="O5464" s="71" t="s">
        <v>150</v>
      </c>
      <c r="P5464" s="103" t="str">
        <f t="shared" si="2683"/>
        <v>윤전 블랑켓</v>
      </c>
      <c r="Q5464" s="71">
        <f t="shared" si="2684"/>
        <v>4</v>
      </c>
      <c r="R5464" s="102">
        <v>160000</v>
      </c>
      <c r="S5464" s="102">
        <f t="shared" si="2685"/>
        <v>704000</v>
      </c>
      <c r="T5464" s="102">
        <f t="shared" si="2686"/>
        <v>640000</v>
      </c>
      <c r="U5464" s="71" t="str">
        <f>IF(J5464=W5464,"O", "X")</f>
        <v>O</v>
      </c>
      <c r="V5464" s="71" t="s">
        <v>784</v>
      </c>
      <c r="W5464" s="474">
        <f>(G5464-T5464)</f>
        <v>416000</v>
      </c>
      <c r="X5464" s="71"/>
      <c r="Y5464" s="71"/>
    </row>
    <row r="5465" spans="1:25" ht="30" customHeight="1" x14ac:dyDescent="0.25">
      <c r="A5465" s="1145">
        <v>44881</v>
      </c>
      <c r="B5465" s="664" t="s">
        <v>2352</v>
      </c>
      <c r="C5465" s="760" t="s">
        <v>218</v>
      </c>
      <c r="D5465" s="71">
        <v>3</v>
      </c>
      <c r="E5465" s="102">
        <v>286000</v>
      </c>
      <c r="F5465" s="102">
        <f t="shared" si="2680"/>
        <v>943800.00000000012</v>
      </c>
      <c r="G5465" s="102">
        <f t="shared" si="2681"/>
        <v>858000</v>
      </c>
      <c r="H5465" s="690" t="s">
        <v>142</v>
      </c>
      <c r="I5465" s="71" t="s">
        <v>142</v>
      </c>
      <c r="J5465" s="53">
        <f t="shared" si="2687"/>
        <v>520500</v>
      </c>
      <c r="K5465" s="63">
        <f t="shared" si="2688"/>
        <v>0.60664335664335656</v>
      </c>
      <c r="L5465" s="1212" t="s">
        <v>3607</v>
      </c>
      <c r="M5465" s="468" t="s">
        <v>2053</v>
      </c>
      <c r="N5465" s="1192">
        <f t="shared" si="2682"/>
        <v>44881</v>
      </c>
      <c r="O5465" s="71" t="s">
        <v>150</v>
      </c>
      <c r="P5465" s="103" t="str">
        <f t="shared" si="2683"/>
        <v>Fount Web 551AF</v>
      </c>
      <c r="Q5465" s="71">
        <f t="shared" si="2684"/>
        <v>3</v>
      </c>
      <c r="R5465" s="102">
        <v>112500</v>
      </c>
      <c r="S5465" s="102">
        <f t="shared" si="2685"/>
        <v>371250.00000000006</v>
      </c>
      <c r="T5465" s="102">
        <f t="shared" si="2686"/>
        <v>337500</v>
      </c>
      <c r="U5465" s="71" t="str">
        <f>IF(J5465=W5465,"O", "X")</f>
        <v>O</v>
      </c>
      <c r="V5465" s="71"/>
      <c r="W5465" s="474">
        <f>(G5465-T5465)</f>
        <v>520500</v>
      </c>
      <c r="X5465" s="71"/>
      <c r="Y5465" s="71"/>
    </row>
    <row r="5466" spans="1:25" s="209" customFormat="1" ht="30" customHeight="1" x14ac:dyDescent="0.25">
      <c r="A5466" s="1145">
        <v>44881</v>
      </c>
      <c r="B5466" s="664" t="s">
        <v>2352</v>
      </c>
      <c r="C5466" s="71" t="s">
        <v>583</v>
      </c>
      <c r="D5466" s="71">
        <v>16</v>
      </c>
      <c r="E5466" s="102">
        <v>98000</v>
      </c>
      <c r="F5466" s="102">
        <f t="shared" si="2680"/>
        <v>1724800.0000000002</v>
      </c>
      <c r="G5466" s="102">
        <f t="shared" si="2681"/>
        <v>1568000</v>
      </c>
      <c r="H5466" s="690" t="s">
        <v>142</v>
      </c>
      <c r="I5466" s="71" t="s">
        <v>142</v>
      </c>
      <c r="J5466" s="53">
        <f t="shared" si="2687"/>
        <v>864000</v>
      </c>
      <c r="K5466" s="63">
        <f t="shared" si="2688"/>
        <v>0.55102040816326525</v>
      </c>
      <c r="L5466" s="1212" t="s">
        <v>3607</v>
      </c>
      <c r="M5466" s="468" t="s">
        <v>2053</v>
      </c>
      <c r="N5466" s="1192">
        <f t="shared" si="2682"/>
        <v>44881</v>
      </c>
      <c r="O5466" s="71" t="s">
        <v>599</v>
      </c>
      <c r="P5466" s="103" t="str">
        <f t="shared" si="2683"/>
        <v>M600 윤전 세정포</v>
      </c>
      <c r="Q5466" s="71">
        <f t="shared" si="2684"/>
        <v>16</v>
      </c>
      <c r="R5466" s="102">
        <v>44000</v>
      </c>
      <c r="S5466" s="102">
        <f t="shared" si="2685"/>
        <v>774400.00000000012</v>
      </c>
      <c r="T5466" s="102">
        <f t="shared" si="2686"/>
        <v>704000</v>
      </c>
      <c r="U5466" s="71" t="str">
        <f>IF(J5466=W5466,"O", "X")</f>
        <v>O</v>
      </c>
      <c r="V5466" s="71"/>
      <c r="W5466" s="474">
        <f>(G5466-T5466)</f>
        <v>864000</v>
      </c>
      <c r="X5466" s="71"/>
      <c r="Y5466" s="71"/>
    </row>
    <row r="5467" spans="1:25" ht="30" customHeight="1" x14ac:dyDescent="0.25">
      <c r="A5467" s="1145">
        <v>44894</v>
      </c>
      <c r="B5467" s="664" t="s">
        <v>2536</v>
      </c>
      <c r="C5467" s="71" t="s">
        <v>3478</v>
      </c>
      <c r="D5467" s="71">
        <v>64</v>
      </c>
      <c r="E5467" s="102">
        <v>18500</v>
      </c>
      <c r="F5467" s="102">
        <f t="shared" si="2680"/>
        <v>1302400</v>
      </c>
      <c r="G5467" s="102">
        <f t="shared" si="2681"/>
        <v>1184000</v>
      </c>
      <c r="H5467" s="690" t="s">
        <v>172</v>
      </c>
      <c r="I5467" s="71" t="s">
        <v>142</v>
      </c>
      <c r="J5467" s="53">
        <f t="shared" si="2687"/>
        <v>474624</v>
      </c>
      <c r="K5467" s="63">
        <f t="shared" si="2688"/>
        <v>0.40086486486486489</v>
      </c>
      <c r="L5467" s="1212" t="s">
        <v>3607</v>
      </c>
      <c r="M5467" s="468"/>
      <c r="N5467" s="1192">
        <f t="shared" si="2682"/>
        <v>44894</v>
      </c>
      <c r="O5467" s="71"/>
      <c r="P5467" s="103" t="str">
        <f t="shared" si="2683"/>
        <v>고모리 윤전 블랑켓 건식 세정포 - 국전용</v>
      </c>
      <c r="Q5467" s="71">
        <f t="shared" si="2684"/>
        <v>64</v>
      </c>
      <c r="R5467" s="102">
        <v>11084</v>
      </c>
      <c r="S5467" s="102">
        <f t="shared" si="2685"/>
        <v>780313.60000000009</v>
      </c>
      <c r="T5467" s="102">
        <f t="shared" si="2686"/>
        <v>709376</v>
      </c>
      <c r="U5467" s="71"/>
      <c r="V5467" s="71"/>
      <c r="W5467" s="474"/>
      <c r="X5467" s="71"/>
      <c r="Y5467" s="71"/>
    </row>
    <row r="5468" spans="1:25" ht="30" customHeight="1" x14ac:dyDescent="0.25">
      <c r="A5468" s="1145">
        <v>44894</v>
      </c>
      <c r="B5468" s="664" t="s">
        <v>2536</v>
      </c>
      <c r="C5468" s="71" t="s">
        <v>3590</v>
      </c>
      <c r="D5468" s="71">
        <v>100</v>
      </c>
      <c r="E5468" s="102">
        <v>24000</v>
      </c>
      <c r="F5468" s="102">
        <f t="shared" si="2680"/>
        <v>2640000</v>
      </c>
      <c r="G5468" s="102">
        <f t="shared" si="2681"/>
        <v>2400000</v>
      </c>
      <c r="H5468" s="690" t="s">
        <v>2029</v>
      </c>
      <c r="I5468" s="71" t="s">
        <v>142</v>
      </c>
      <c r="J5468" s="53">
        <f t="shared" si="2687"/>
        <v>760000</v>
      </c>
      <c r="K5468" s="63">
        <f t="shared" si="2688"/>
        <v>0.31666666666666665</v>
      </c>
      <c r="L5468" s="1212" t="s">
        <v>3607</v>
      </c>
      <c r="M5468" s="468"/>
      <c r="N5468" s="1192">
        <f t="shared" si="2682"/>
        <v>44894</v>
      </c>
      <c r="O5468" s="71"/>
      <c r="P5468" s="103" t="str">
        <f t="shared" si="2683"/>
        <v>3M 양면 테이프</v>
      </c>
      <c r="Q5468" s="71">
        <f t="shared" si="2684"/>
        <v>100</v>
      </c>
      <c r="R5468" s="102">
        <v>16400</v>
      </c>
      <c r="S5468" s="102">
        <f t="shared" si="2685"/>
        <v>1804000.0000000002</v>
      </c>
      <c r="T5468" s="102">
        <f t="shared" si="2686"/>
        <v>1640000</v>
      </c>
      <c r="U5468" s="71"/>
      <c r="V5468" s="71"/>
      <c r="W5468" s="474"/>
      <c r="X5468" s="71"/>
      <c r="Y5468" s="71"/>
    </row>
    <row r="5469" spans="1:25" s="209" customFormat="1" ht="30" hidden="1" customHeight="1" x14ac:dyDescent="0.2">
      <c r="A5469" s="1145">
        <v>44868</v>
      </c>
      <c r="B5469" s="664" t="s">
        <v>2353</v>
      </c>
      <c r="C5469" s="71" t="s">
        <v>130</v>
      </c>
      <c r="D5469" s="71">
        <v>10</v>
      </c>
      <c r="E5469" s="102">
        <v>148000</v>
      </c>
      <c r="F5469" s="102">
        <f t="shared" si="2680"/>
        <v>1628000.0000000002</v>
      </c>
      <c r="G5469" s="102">
        <f t="shared" si="2681"/>
        <v>1480000</v>
      </c>
      <c r="H5469" s="165" t="s">
        <v>142</v>
      </c>
      <c r="I5469" s="71" t="s">
        <v>142</v>
      </c>
      <c r="J5469" s="53">
        <f t="shared" si="2687"/>
        <v>490000</v>
      </c>
      <c r="K5469" s="63">
        <f t="shared" si="2688"/>
        <v>0.33108108108108103</v>
      </c>
      <c r="L5469" s="1212" t="s">
        <v>3607</v>
      </c>
      <c r="M5469" s="468" t="s">
        <v>2050</v>
      </c>
      <c r="N5469" s="1192">
        <f t="shared" si="2682"/>
        <v>44868</v>
      </c>
      <c r="O5469" s="71" t="s">
        <v>150</v>
      </c>
      <c r="P5469" s="103" t="str">
        <f t="shared" si="2683"/>
        <v>XL106 Blanket(1077*885)</v>
      </c>
      <c r="Q5469" s="71">
        <f t="shared" si="2684"/>
        <v>10</v>
      </c>
      <c r="R5469" s="102">
        <v>99000</v>
      </c>
      <c r="S5469" s="102">
        <f t="shared" si="2685"/>
        <v>1089000</v>
      </c>
      <c r="T5469" s="102">
        <f t="shared" si="2686"/>
        <v>990000</v>
      </c>
      <c r="U5469" s="71" t="s">
        <v>859</v>
      </c>
      <c r="V5469" s="71"/>
      <c r="W5469" s="474">
        <v>260000</v>
      </c>
      <c r="X5469" s="71"/>
      <c r="Y5469" s="71"/>
    </row>
    <row r="5470" spans="1:25" ht="30" hidden="1" customHeight="1" x14ac:dyDescent="0.2">
      <c r="A5470" s="1145">
        <v>44868</v>
      </c>
      <c r="B5470" s="664" t="s">
        <v>2353</v>
      </c>
      <c r="C5470" s="71" t="s">
        <v>129</v>
      </c>
      <c r="D5470" s="71">
        <v>7</v>
      </c>
      <c r="E5470" s="102">
        <v>325000</v>
      </c>
      <c r="F5470" s="102">
        <f t="shared" si="2680"/>
        <v>2502500</v>
      </c>
      <c r="G5470" s="102">
        <f t="shared" si="2681"/>
        <v>2275000</v>
      </c>
      <c r="H5470" s="165" t="s">
        <v>142</v>
      </c>
      <c r="I5470" s="71" t="s">
        <v>142</v>
      </c>
      <c r="J5470" s="53">
        <f t="shared" si="2687"/>
        <v>785400</v>
      </c>
      <c r="K5470" s="63">
        <f t="shared" si="2688"/>
        <v>0.34523076923076923</v>
      </c>
      <c r="L5470" s="1212" t="s">
        <v>3607</v>
      </c>
      <c r="M5470" s="468" t="s">
        <v>2050</v>
      </c>
      <c r="N5470" s="1192">
        <f t="shared" si="2682"/>
        <v>44868</v>
      </c>
      <c r="O5470" s="71" t="s">
        <v>149</v>
      </c>
      <c r="P5470" s="103" t="str">
        <f t="shared" si="2683"/>
        <v>세정포-XL106</v>
      </c>
      <c r="Q5470" s="71">
        <f t="shared" si="2684"/>
        <v>7</v>
      </c>
      <c r="R5470" s="102">
        <v>212800</v>
      </c>
      <c r="S5470" s="102">
        <f t="shared" si="2685"/>
        <v>1638560.0000000002</v>
      </c>
      <c r="T5470" s="102">
        <f t="shared" si="2686"/>
        <v>1489600</v>
      </c>
      <c r="U5470" s="71" t="str">
        <f>IF(J5470=W5470,"O", "X")</f>
        <v>O</v>
      </c>
      <c r="V5470" s="71"/>
      <c r="W5470" s="474">
        <f>(G5470-T5470)</f>
        <v>785400</v>
      </c>
      <c r="X5470" s="71"/>
      <c r="Y5470" s="71"/>
    </row>
    <row r="5471" spans="1:25" s="209" customFormat="1" ht="30" hidden="1" customHeight="1" x14ac:dyDescent="0.2">
      <c r="A5471" s="1145">
        <v>44868</v>
      </c>
      <c r="B5471" s="664" t="s">
        <v>2353</v>
      </c>
      <c r="C5471" s="71" t="s">
        <v>138</v>
      </c>
      <c r="D5471" s="71">
        <v>10</v>
      </c>
      <c r="E5471" s="102">
        <v>83000</v>
      </c>
      <c r="F5471" s="102">
        <f t="shared" si="2680"/>
        <v>913000.00000000012</v>
      </c>
      <c r="G5471" s="102">
        <f t="shared" si="2681"/>
        <v>830000</v>
      </c>
      <c r="H5471" s="165" t="s">
        <v>142</v>
      </c>
      <c r="I5471" s="71" t="s">
        <v>142</v>
      </c>
      <c r="J5471" s="53">
        <f t="shared" si="2687"/>
        <v>422000</v>
      </c>
      <c r="K5471" s="63">
        <f t="shared" si="2688"/>
        <v>0.50843373493975896</v>
      </c>
      <c r="L5471" s="1212" t="s">
        <v>3607</v>
      </c>
      <c r="M5471" s="468" t="s">
        <v>2214</v>
      </c>
      <c r="N5471" s="1192">
        <f t="shared" si="2682"/>
        <v>44868</v>
      </c>
      <c r="O5471" s="71" t="s">
        <v>2030</v>
      </c>
      <c r="P5471" s="103" t="str">
        <f t="shared" si="2683"/>
        <v>매엽용 세척제(Wash 562)</v>
      </c>
      <c r="Q5471" s="71">
        <f t="shared" si="2684"/>
        <v>10</v>
      </c>
      <c r="R5471" s="102">
        <v>40800</v>
      </c>
      <c r="S5471" s="102">
        <f t="shared" si="2685"/>
        <v>448800.00000000006</v>
      </c>
      <c r="T5471" s="102">
        <f t="shared" si="2686"/>
        <v>408000</v>
      </c>
      <c r="U5471" s="71" t="s">
        <v>859</v>
      </c>
      <c r="V5471" s="71"/>
      <c r="W5471" s="474">
        <v>136000</v>
      </c>
      <c r="X5471" s="71"/>
      <c r="Y5471" s="71"/>
    </row>
    <row r="5472" spans="1:25" ht="30" hidden="1" customHeight="1" x14ac:dyDescent="0.25">
      <c r="A5472" s="1145">
        <v>44868</v>
      </c>
      <c r="B5472" s="664" t="s">
        <v>2353</v>
      </c>
      <c r="C5472" s="71" t="s">
        <v>2137</v>
      </c>
      <c r="D5472" s="71">
        <v>3</v>
      </c>
      <c r="E5472" s="102">
        <v>125000</v>
      </c>
      <c r="F5472" s="102">
        <f t="shared" si="2680"/>
        <v>412500.00000000006</v>
      </c>
      <c r="G5472" s="102">
        <f t="shared" si="2681"/>
        <v>375000</v>
      </c>
      <c r="H5472" s="690" t="s">
        <v>142</v>
      </c>
      <c r="I5472" s="71" t="s">
        <v>142</v>
      </c>
      <c r="J5472" s="53">
        <f t="shared" si="2687"/>
        <v>90000</v>
      </c>
      <c r="K5472" s="63">
        <f t="shared" si="2688"/>
        <v>0.23999999999999996</v>
      </c>
      <c r="L5472" s="1212" t="s">
        <v>3607</v>
      </c>
      <c r="M5472" s="468"/>
      <c r="N5472" s="1192">
        <f t="shared" si="2682"/>
        <v>44868</v>
      </c>
      <c r="O5472" s="71" t="s">
        <v>150</v>
      </c>
      <c r="P5472" s="103" t="str">
        <f t="shared" si="2683"/>
        <v>잉크집 아스테이지</v>
      </c>
      <c r="Q5472" s="71">
        <f t="shared" si="2684"/>
        <v>3</v>
      </c>
      <c r="R5472" s="102">
        <v>95000</v>
      </c>
      <c r="S5472" s="102">
        <f t="shared" si="2685"/>
        <v>313500</v>
      </c>
      <c r="T5472" s="102">
        <f t="shared" si="2686"/>
        <v>285000</v>
      </c>
      <c r="U5472" s="71"/>
      <c r="V5472" s="71"/>
      <c r="W5472" s="474"/>
      <c r="X5472" s="71"/>
      <c r="Y5472" s="71"/>
    </row>
    <row r="5473" spans="1:25" s="209" customFormat="1" ht="30" hidden="1" customHeight="1" x14ac:dyDescent="0.2">
      <c r="A5473" s="1145">
        <v>44880</v>
      </c>
      <c r="B5473" s="664" t="s">
        <v>2353</v>
      </c>
      <c r="C5473" s="71" t="s">
        <v>130</v>
      </c>
      <c r="D5473" s="71">
        <v>10</v>
      </c>
      <c r="E5473" s="102">
        <v>148000</v>
      </c>
      <c r="F5473" s="102">
        <f t="shared" si="2680"/>
        <v>1628000.0000000002</v>
      </c>
      <c r="G5473" s="102">
        <f t="shared" si="2681"/>
        <v>1480000</v>
      </c>
      <c r="H5473" s="165" t="s">
        <v>142</v>
      </c>
      <c r="I5473" s="71" t="s">
        <v>142</v>
      </c>
      <c r="J5473" s="53">
        <f t="shared" si="2687"/>
        <v>490000</v>
      </c>
      <c r="K5473" s="63">
        <f t="shared" si="2688"/>
        <v>0.33108108108108103</v>
      </c>
      <c r="L5473" s="1212" t="s">
        <v>3607</v>
      </c>
      <c r="M5473" s="468" t="s">
        <v>2050</v>
      </c>
      <c r="N5473" s="1192">
        <f t="shared" si="2682"/>
        <v>44880</v>
      </c>
      <c r="O5473" s="71" t="s">
        <v>150</v>
      </c>
      <c r="P5473" s="103" t="str">
        <f t="shared" si="2683"/>
        <v>XL106 Blanket(1077*885)</v>
      </c>
      <c r="Q5473" s="71">
        <f t="shared" si="2684"/>
        <v>10</v>
      </c>
      <c r="R5473" s="102">
        <v>99000</v>
      </c>
      <c r="S5473" s="102">
        <f t="shared" si="2685"/>
        <v>1089000</v>
      </c>
      <c r="T5473" s="102">
        <f t="shared" si="2686"/>
        <v>990000</v>
      </c>
      <c r="U5473" s="71" t="s">
        <v>859</v>
      </c>
      <c r="V5473" s="71"/>
      <c r="W5473" s="474">
        <v>260000</v>
      </c>
      <c r="X5473" s="71"/>
      <c r="Y5473" s="71"/>
    </row>
    <row r="5474" spans="1:25" ht="30" hidden="1" customHeight="1" x14ac:dyDescent="0.2">
      <c r="A5474" s="1145">
        <v>44880</v>
      </c>
      <c r="B5474" s="664" t="s">
        <v>2353</v>
      </c>
      <c r="C5474" s="71" t="s">
        <v>129</v>
      </c>
      <c r="D5474" s="71">
        <v>7</v>
      </c>
      <c r="E5474" s="102">
        <v>325000</v>
      </c>
      <c r="F5474" s="102">
        <f t="shared" si="2680"/>
        <v>2502500</v>
      </c>
      <c r="G5474" s="102">
        <f t="shared" si="2681"/>
        <v>2275000</v>
      </c>
      <c r="H5474" s="165" t="s">
        <v>142</v>
      </c>
      <c r="I5474" s="71" t="s">
        <v>142</v>
      </c>
      <c r="J5474" s="53">
        <f t="shared" si="2687"/>
        <v>785400</v>
      </c>
      <c r="K5474" s="63">
        <f t="shared" si="2688"/>
        <v>0.34523076923076923</v>
      </c>
      <c r="L5474" s="1212" t="s">
        <v>3607</v>
      </c>
      <c r="M5474" s="468" t="s">
        <v>2050</v>
      </c>
      <c r="N5474" s="1192">
        <f t="shared" si="2682"/>
        <v>44880</v>
      </c>
      <c r="O5474" s="71" t="s">
        <v>149</v>
      </c>
      <c r="P5474" s="103" t="str">
        <f t="shared" si="2683"/>
        <v>세정포-XL106</v>
      </c>
      <c r="Q5474" s="71">
        <f t="shared" si="2684"/>
        <v>7</v>
      </c>
      <c r="R5474" s="102">
        <v>212800</v>
      </c>
      <c r="S5474" s="102">
        <f t="shared" si="2685"/>
        <v>1638560.0000000002</v>
      </c>
      <c r="T5474" s="102">
        <f t="shared" si="2686"/>
        <v>1489600</v>
      </c>
      <c r="U5474" s="71" t="str">
        <f>IF(J5474=W5474,"O", "X")</f>
        <v>O</v>
      </c>
      <c r="V5474" s="71"/>
      <c r="W5474" s="474">
        <f>(G5474-T5474)</f>
        <v>785400</v>
      </c>
      <c r="X5474" s="71"/>
      <c r="Y5474" s="71"/>
    </row>
    <row r="5475" spans="1:25" ht="30" hidden="1" customHeight="1" x14ac:dyDescent="0.25">
      <c r="A5475" s="1145">
        <v>44868</v>
      </c>
      <c r="B5475" s="664" t="s">
        <v>2353</v>
      </c>
      <c r="C5475" s="71" t="s">
        <v>3420</v>
      </c>
      <c r="D5475" s="71">
        <v>3</v>
      </c>
      <c r="E5475" s="102">
        <v>580000</v>
      </c>
      <c r="F5475" s="102">
        <f t="shared" si="2680"/>
        <v>1914000.0000000002</v>
      </c>
      <c r="G5475" s="102">
        <f t="shared" si="2681"/>
        <v>1740000</v>
      </c>
      <c r="H5475" s="690" t="s">
        <v>2029</v>
      </c>
      <c r="I5475" s="71" t="s">
        <v>142</v>
      </c>
      <c r="J5475" s="53">
        <f>G5475-T5475</f>
        <v>261000</v>
      </c>
      <c r="K5475" s="63">
        <f>(J5475/(F5475/11*10))</f>
        <v>0.14999999999999997</v>
      </c>
      <c r="L5475" s="1212" t="s">
        <v>3607</v>
      </c>
      <c r="M5475" s="468"/>
      <c r="N5475" s="1192">
        <f t="shared" si="2682"/>
        <v>44868</v>
      </c>
      <c r="O5475" s="71" t="s">
        <v>2030</v>
      </c>
      <c r="P5475" s="103" t="str">
        <f t="shared" si="2683"/>
        <v>세척장치 연결고리</v>
      </c>
      <c r="Q5475" s="71">
        <f t="shared" si="2684"/>
        <v>3</v>
      </c>
      <c r="R5475" s="102">
        <v>493000</v>
      </c>
      <c r="S5475" s="102">
        <f t="shared" si="2685"/>
        <v>1626900.0000000002</v>
      </c>
      <c r="T5475" s="102">
        <f t="shared" si="2686"/>
        <v>1479000</v>
      </c>
      <c r="U5475" s="71"/>
      <c r="V5475" s="71"/>
      <c r="W5475" s="474"/>
      <c r="X5475" s="71"/>
      <c r="Y5475" s="71"/>
    </row>
    <row r="5476" spans="1:25" ht="30" hidden="1" customHeight="1" x14ac:dyDescent="0.25">
      <c r="A5476" s="1145">
        <v>44868</v>
      </c>
      <c r="B5476" s="664" t="s">
        <v>2353</v>
      </c>
      <c r="C5476" s="71" t="s">
        <v>3591</v>
      </c>
      <c r="D5476" s="71">
        <v>1</v>
      </c>
      <c r="E5476" s="102">
        <v>260000</v>
      </c>
      <c r="F5476" s="102">
        <f t="shared" si="2680"/>
        <v>286000</v>
      </c>
      <c r="G5476" s="102">
        <f t="shared" si="2681"/>
        <v>260000</v>
      </c>
      <c r="H5476" s="690" t="s">
        <v>2029</v>
      </c>
      <c r="I5476" s="71" t="s">
        <v>142</v>
      </c>
      <c r="J5476" s="53">
        <f>G5476-T5476</f>
        <v>40000</v>
      </c>
      <c r="K5476" s="63">
        <f>(J5476/(F5476/11*10))</f>
        <v>0.15384615384615385</v>
      </c>
      <c r="L5476" s="1212" t="s">
        <v>3607</v>
      </c>
      <c r="M5476" s="468"/>
      <c r="N5476" s="1192">
        <f t="shared" si="2682"/>
        <v>44868</v>
      </c>
      <c r="O5476" s="71" t="s">
        <v>150</v>
      </c>
      <c r="P5476" s="103" t="str">
        <f t="shared" si="2683"/>
        <v>판롤라 실린더</v>
      </c>
      <c r="Q5476" s="71">
        <f t="shared" si="2684"/>
        <v>1</v>
      </c>
      <c r="R5476" s="102">
        <v>220000</v>
      </c>
      <c r="S5476" s="102">
        <f t="shared" si="2685"/>
        <v>242000.00000000003</v>
      </c>
      <c r="T5476" s="102">
        <f t="shared" si="2686"/>
        <v>220000</v>
      </c>
      <c r="U5476" s="71"/>
      <c r="V5476" s="71"/>
      <c r="W5476" s="474"/>
      <c r="X5476" s="71"/>
      <c r="Y5476" s="71"/>
    </row>
    <row r="5477" spans="1:25" ht="30" hidden="1" customHeight="1" x14ac:dyDescent="0.25">
      <c r="A5477" s="1145">
        <v>44880</v>
      </c>
      <c r="B5477" s="664" t="s">
        <v>2353</v>
      </c>
      <c r="C5477" s="71" t="s">
        <v>3592</v>
      </c>
      <c r="D5477" s="71">
        <v>30</v>
      </c>
      <c r="E5477" s="102">
        <v>3000</v>
      </c>
      <c r="F5477" s="102">
        <f t="shared" si="2680"/>
        <v>99000.000000000015</v>
      </c>
      <c r="G5477" s="102">
        <f t="shared" si="2681"/>
        <v>90000</v>
      </c>
      <c r="H5477" s="690" t="s">
        <v>2029</v>
      </c>
      <c r="I5477" s="71" t="s">
        <v>142</v>
      </c>
      <c r="J5477" s="53">
        <f t="shared" si="2687"/>
        <v>39000</v>
      </c>
      <c r="K5477" s="63">
        <f t="shared" si="2688"/>
        <v>0.43333333333333324</v>
      </c>
      <c r="L5477" s="1212" t="s">
        <v>3607</v>
      </c>
      <c r="M5477" s="468"/>
      <c r="N5477" s="1192">
        <f t="shared" si="2682"/>
        <v>44880</v>
      </c>
      <c r="O5477" s="71"/>
      <c r="P5477" s="103" t="str">
        <f t="shared" si="2683"/>
        <v>수정펜</v>
      </c>
      <c r="Q5477" s="71">
        <f t="shared" si="2684"/>
        <v>30</v>
      </c>
      <c r="R5477" s="102">
        <v>1700</v>
      </c>
      <c r="S5477" s="102">
        <f t="shared" si="2685"/>
        <v>56100.000000000007</v>
      </c>
      <c r="T5477" s="102">
        <f t="shared" si="2686"/>
        <v>51000</v>
      </c>
      <c r="U5477" s="71"/>
      <c r="V5477" s="71"/>
      <c r="W5477" s="474"/>
      <c r="X5477" s="71"/>
      <c r="Y5477" s="71"/>
    </row>
    <row r="5478" spans="1:25" ht="30" hidden="1" customHeight="1" x14ac:dyDescent="0.25">
      <c r="A5478" s="1145">
        <v>44880</v>
      </c>
      <c r="B5478" s="664" t="s">
        <v>2353</v>
      </c>
      <c r="C5478" s="71" t="s">
        <v>3593</v>
      </c>
      <c r="D5478" s="71">
        <v>5</v>
      </c>
      <c r="E5478" s="102">
        <v>24000</v>
      </c>
      <c r="F5478" s="102">
        <f t="shared" si="2680"/>
        <v>132000</v>
      </c>
      <c r="G5478" s="102">
        <f t="shared" si="2681"/>
        <v>120000</v>
      </c>
      <c r="H5478" s="690" t="s">
        <v>2029</v>
      </c>
      <c r="I5478" s="71" t="s">
        <v>142</v>
      </c>
      <c r="J5478" s="53">
        <f t="shared" si="2687"/>
        <v>35000</v>
      </c>
      <c r="K5478" s="63">
        <f t="shared" si="2688"/>
        <v>0.29166666666666669</v>
      </c>
      <c r="L5478" s="1212" t="s">
        <v>3607</v>
      </c>
      <c r="M5478" s="468"/>
      <c r="N5478" s="1192">
        <f t="shared" si="2682"/>
        <v>44880</v>
      </c>
      <c r="O5478" s="71"/>
      <c r="P5478" s="103" t="str">
        <f t="shared" si="2683"/>
        <v>사각형 루페</v>
      </c>
      <c r="Q5478" s="71">
        <f t="shared" si="2684"/>
        <v>5</v>
      </c>
      <c r="R5478" s="102">
        <v>17000</v>
      </c>
      <c r="S5478" s="102">
        <f t="shared" si="2685"/>
        <v>93500.000000000015</v>
      </c>
      <c r="T5478" s="102">
        <f t="shared" si="2686"/>
        <v>85000</v>
      </c>
      <c r="U5478" s="71"/>
      <c r="V5478" s="71"/>
      <c r="W5478" s="474"/>
      <c r="X5478" s="71"/>
      <c r="Y5478" s="71"/>
    </row>
    <row r="5479" spans="1:25" ht="30" hidden="1" customHeight="1" x14ac:dyDescent="0.25">
      <c r="A5479" s="1145">
        <v>44880</v>
      </c>
      <c r="B5479" s="664" t="s">
        <v>2353</v>
      </c>
      <c r="C5479" s="71" t="s">
        <v>3390</v>
      </c>
      <c r="D5479" s="71">
        <v>6</v>
      </c>
      <c r="E5479" s="102">
        <v>480000</v>
      </c>
      <c r="F5479" s="102">
        <f t="shared" si="2680"/>
        <v>3168000.0000000005</v>
      </c>
      <c r="G5479" s="102">
        <f t="shared" si="2681"/>
        <v>2880000</v>
      </c>
      <c r="H5479" s="690" t="s">
        <v>2029</v>
      </c>
      <c r="I5479" s="71" t="s">
        <v>142</v>
      </c>
      <c r="J5479" s="53">
        <f>G5479-T5479</f>
        <v>564000</v>
      </c>
      <c r="K5479" s="63">
        <f>(J5479/(F5479/11*10))</f>
        <v>0.1958333333333333</v>
      </c>
      <c r="L5479" s="1212" t="s">
        <v>3607</v>
      </c>
      <c r="M5479" s="468"/>
      <c r="N5479" s="1192">
        <f t="shared" si="2682"/>
        <v>44880</v>
      </c>
      <c r="O5479" s="71"/>
      <c r="P5479" s="103" t="str">
        <f t="shared" si="2683"/>
        <v>판걸이용 클러치</v>
      </c>
      <c r="Q5479" s="71">
        <f t="shared" si="2684"/>
        <v>6</v>
      </c>
      <c r="R5479" s="102">
        <v>386000</v>
      </c>
      <c r="S5479" s="102">
        <f t="shared" si="2685"/>
        <v>2547600</v>
      </c>
      <c r="T5479" s="102">
        <f t="shared" si="2686"/>
        <v>2316000</v>
      </c>
      <c r="U5479" s="71"/>
      <c r="V5479" s="71"/>
      <c r="W5479" s="474"/>
      <c r="X5479" s="71"/>
      <c r="Y5479" s="71"/>
    </row>
    <row r="5480" spans="1:25" s="209" customFormat="1" ht="30" hidden="1" customHeight="1" x14ac:dyDescent="0.25">
      <c r="A5480" s="1145">
        <v>44894</v>
      </c>
      <c r="B5480" s="664" t="s">
        <v>2353</v>
      </c>
      <c r="C5480" s="71" t="s">
        <v>3594</v>
      </c>
      <c r="D5480" s="71">
        <v>2</v>
      </c>
      <c r="E5480" s="102">
        <v>98000</v>
      </c>
      <c r="F5480" s="102">
        <f t="shared" si="2680"/>
        <v>215600.00000000003</v>
      </c>
      <c r="G5480" s="102">
        <f t="shared" si="2681"/>
        <v>196000</v>
      </c>
      <c r="H5480" s="690" t="s">
        <v>2029</v>
      </c>
      <c r="I5480" s="71" t="s">
        <v>142</v>
      </c>
      <c r="J5480" s="53">
        <f t="shared" si="2687"/>
        <v>36000</v>
      </c>
      <c r="K5480" s="63">
        <f t="shared" si="2688"/>
        <v>0.18367346938775508</v>
      </c>
      <c r="L5480" s="1212" t="s">
        <v>3607</v>
      </c>
      <c r="M5480" s="468"/>
      <c r="N5480" s="1192">
        <f t="shared" si="2682"/>
        <v>44894</v>
      </c>
      <c r="O5480" s="71" t="s">
        <v>2030</v>
      </c>
      <c r="P5480" s="103" t="str">
        <f t="shared" si="2683"/>
        <v>오리발</v>
      </c>
      <c r="Q5480" s="71">
        <f t="shared" si="2684"/>
        <v>2</v>
      </c>
      <c r="R5480" s="102">
        <v>80000</v>
      </c>
      <c r="S5480" s="102">
        <f t="shared" si="2685"/>
        <v>176000</v>
      </c>
      <c r="T5480" s="102">
        <f t="shared" si="2686"/>
        <v>160000</v>
      </c>
      <c r="U5480" s="71"/>
      <c r="V5480" s="71"/>
      <c r="W5480" s="474"/>
      <c r="X5480" s="71"/>
      <c r="Y5480" s="71"/>
    </row>
    <row r="5481" spans="1:25" ht="30" hidden="1" customHeight="1" x14ac:dyDescent="0.25">
      <c r="A5481" s="1145">
        <v>44894</v>
      </c>
      <c r="B5481" s="664" t="s">
        <v>2353</v>
      </c>
      <c r="C5481" s="71" t="s">
        <v>3595</v>
      </c>
      <c r="D5481" s="71">
        <v>3</v>
      </c>
      <c r="E5481" s="102">
        <v>120000</v>
      </c>
      <c r="F5481" s="102">
        <f t="shared" si="2680"/>
        <v>396000.00000000006</v>
      </c>
      <c r="G5481" s="102">
        <f t="shared" si="2681"/>
        <v>360000</v>
      </c>
      <c r="H5481" s="690" t="s">
        <v>2029</v>
      </c>
      <c r="I5481" s="71" t="s">
        <v>142</v>
      </c>
      <c r="J5481" s="53">
        <f t="shared" si="2687"/>
        <v>0</v>
      </c>
      <c r="K5481" s="63">
        <f t="shared" si="2688"/>
        <v>0</v>
      </c>
      <c r="L5481" s="1212" t="s">
        <v>3607</v>
      </c>
      <c r="M5481" s="468"/>
      <c r="N5481" s="1192">
        <f t="shared" si="2682"/>
        <v>44894</v>
      </c>
      <c r="O5481" s="71" t="s">
        <v>2030</v>
      </c>
      <c r="P5481" s="103" t="str">
        <f t="shared" si="2683"/>
        <v>급지부 사이드 호스</v>
      </c>
      <c r="Q5481" s="71">
        <f t="shared" si="2684"/>
        <v>3</v>
      </c>
      <c r="R5481" s="102">
        <v>120000</v>
      </c>
      <c r="S5481" s="102">
        <f t="shared" si="2685"/>
        <v>396000.00000000006</v>
      </c>
      <c r="T5481" s="102">
        <f t="shared" si="2686"/>
        <v>360000</v>
      </c>
      <c r="U5481" s="71"/>
      <c r="V5481" s="71"/>
      <c r="W5481" s="474"/>
      <c r="X5481" s="71"/>
      <c r="Y5481" s="71"/>
    </row>
    <row r="5482" spans="1:25" ht="30" hidden="1" customHeight="1" x14ac:dyDescent="0.25">
      <c r="A5482" s="1145">
        <v>44894</v>
      </c>
      <c r="B5482" s="664" t="s">
        <v>2353</v>
      </c>
      <c r="C5482" s="71" t="s">
        <v>3596</v>
      </c>
      <c r="D5482" s="71">
        <v>4</v>
      </c>
      <c r="E5482" s="102">
        <v>135000</v>
      </c>
      <c r="F5482" s="102">
        <f t="shared" si="2680"/>
        <v>594000</v>
      </c>
      <c r="G5482" s="102">
        <f t="shared" si="2681"/>
        <v>540000</v>
      </c>
      <c r="H5482" s="690" t="s">
        <v>2029</v>
      </c>
      <c r="I5482" s="71" t="s">
        <v>142</v>
      </c>
      <c r="J5482" s="53">
        <f t="shared" si="2687"/>
        <v>0</v>
      </c>
      <c r="K5482" s="63">
        <f t="shared" si="2688"/>
        <v>0</v>
      </c>
      <c r="L5482" s="1212" t="s">
        <v>3607</v>
      </c>
      <c r="M5482" s="468"/>
      <c r="N5482" s="1192">
        <f t="shared" si="2682"/>
        <v>44894</v>
      </c>
      <c r="O5482" s="71" t="s">
        <v>2030</v>
      </c>
      <c r="P5482" s="103" t="str">
        <f t="shared" si="2683"/>
        <v>배지부 필터</v>
      </c>
      <c r="Q5482" s="71">
        <f t="shared" si="2684"/>
        <v>4</v>
      </c>
      <c r="R5482" s="102">
        <v>135000</v>
      </c>
      <c r="S5482" s="102">
        <f t="shared" si="2685"/>
        <v>594000</v>
      </c>
      <c r="T5482" s="102">
        <f t="shared" si="2686"/>
        <v>540000</v>
      </c>
      <c r="U5482" s="71"/>
      <c r="V5482" s="71"/>
      <c r="W5482" s="474"/>
      <c r="X5482" s="71"/>
      <c r="Y5482" s="71"/>
    </row>
    <row r="5483" spans="1:25" ht="30" hidden="1" customHeight="1" x14ac:dyDescent="0.25">
      <c r="A5483" s="1145">
        <v>44894</v>
      </c>
      <c r="B5483" s="664" t="s">
        <v>2353</v>
      </c>
      <c r="C5483" s="71" t="s">
        <v>3597</v>
      </c>
      <c r="D5483" s="71">
        <v>2</v>
      </c>
      <c r="E5483" s="102">
        <v>410000</v>
      </c>
      <c r="F5483" s="102">
        <f t="shared" si="2680"/>
        <v>902000.00000000012</v>
      </c>
      <c r="G5483" s="102">
        <f t="shared" si="2681"/>
        <v>820000</v>
      </c>
      <c r="H5483" s="690" t="s">
        <v>2029</v>
      </c>
      <c r="I5483" s="71" t="s">
        <v>142</v>
      </c>
      <c r="J5483" s="53">
        <f t="shared" si="2687"/>
        <v>0</v>
      </c>
      <c r="K5483" s="63">
        <f t="shared" si="2688"/>
        <v>0</v>
      </c>
      <c r="L5483" s="1212" t="s">
        <v>3607</v>
      </c>
      <c r="M5483" s="468"/>
      <c r="N5483" s="1192">
        <f t="shared" si="2682"/>
        <v>44894</v>
      </c>
      <c r="O5483" s="71" t="s">
        <v>2030</v>
      </c>
      <c r="P5483" s="103" t="str">
        <f t="shared" si="2683"/>
        <v>전기 판넬 필터</v>
      </c>
      <c r="Q5483" s="71">
        <f t="shared" si="2684"/>
        <v>2</v>
      </c>
      <c r="R5483" s="102">
        <v>410000</v>
      </c>
      <c r="S5483" s="102">
        <f t="shared" si="2685"/>
        <v>902000.00000000012</v>
      </c>
      <c r="T5483" s="102">
        <f t="shared" si="2686"/>
        <v>820000</v>
      </c>
      <c r="U5483" s="71"/>
      <c r="V5483" s="71"/>
      <c r="W5483" s="474"/>
      <c r="X5483" s="71"/>
      <c r="Y5483" s="71"/>
    </row>
    <row r="5484" spans="1:25" ht="30" hidden="1" customHeight="1" x14ac:dyDescent="0.25">
      <c r="A5484" s="1145">
        <v>44894</v>
      </c>
      <c r="B5484" s="664" t="s">
        <v>2353</v>
      </c>
      <c r="C5484" s="71" t="s">
        <v>3598</v>
      </c>
      <c r="D5484" s="71">
        <v>1</v>
      </c>
      <c r="E5484" s="102">
        <v>750000</v>
      </c>
      <c r="F5484" s="102">
        <f t="shared" si="2680"/>
        <v>825000.00000000012</v>
      </c>
      <c r="G5484" s="102">
        <f t="shared" si="2681"/>
        <v>750000</v>
      </c>
      <c r="H5484" s="690" t="s">
        <v>2029</v>
      </c>
      <c r="I5484" s="71" t="s">
        <v>142</v>
      </c>
      <c r="J5484" s="53">
        <f t="shared" si="2687"/>
        <v>350000</v>
      </c>
      <c r="K5484" s="63">
        <f t="shared" si="2688"/>
        <v>0.46666666666666662</v>
      </c>
      <c r="L5484" s="1212" t="s">
        <v>3607</v>
      </c>
      <c r="M5484" s="468"/>
      <c r="N5484" s="1192">
        <f t="shared" si="2682"/>
        <v>44894</v>
      </c>
      <c r="O5484" s="71" t="s">
        <v>2030</v>
      </c>
      <c r="P5484" s="103" t="str">
        <f t="shared" si="2683"/>
        <v>구동측 하리센서 케이블</v>
      </c>
      <c r="Q5484" s="71">
        <f t="shared" si="2684"/>
        <v>1</v>
      </c>
      <c r="R5484" s="102">
        <v>400000</v>
      </c>
      <c r="S5484" s="102">
        <f t="shared" si="2685"/>
        <v>440000.00000000006</v>
      </c>
      <c r="T5484" s="102">
        <f t="shared" si="2686"/>
        <v>400000</v>
      </c>
      <c r="U5484" s="71"/>
      <c r="V5484" s="71"/>
      <c r="W5484" s="474"/>
      <c r="X5484" s="71"/>
      <c r="Y5484" s="71"/>
    </row>
    <row r="5485" spans="1:25" ht="30" customHeight="1" x14ac:dyDescent="0.25">
      <c r="A5485" s="1145">
        <v>44890</v>
      </c>
      <c r="B5485" s="664" t="s">
        <v>565</v>
      </c>
      <c r="C5485" s="71" t="s">
        <v>3599</v>
      </c>
      <c r="D5485" s="71">
        <v>1</v>
      </c>
      <c r="E5485" s="102">
        <v>295000</v>
      </c>
      <c r="F5485" s="102">
        <f t="shared" ref="F5485:F5516" si="2689">(E5485*D5485)*1.1</f>
        <v>324500</v>
      </c>
      <c r="G5485" s="102">
        <f t="shared" ref="G5485:G5516" si="2690">(E5485*D5485)</f>
        <v>295000</v>
      </c>
      <c r="H5485" s="690" t="s">
        <v>2029</v>
      </c>
      <c r="I5485" s="71" t="s">
        <v>142</v>
      </c>
      <c r="J5485" s="53">
        <f t="shared" si="2687"/>
        <v>88000</v>
      </c>
      <c r="K5485" s="63">
        <f t="shared" si="2688"/>
        <v>0.29830508474576273</v>
      </c>
      <c r="L5485" s="1212" t="s">
        <v>3607</v>
      </c>
      <c r="M5485" s="468"/>
      <c r="N5485" s="1192">
        <f t="shared" ref="N5485:N5516" si="2691">A5485</f>
        <v>44890</v>
      </c>
      <c r="O5485" s="71" t="s">
        <v>194</v>
      </c>
      <c r="P5485" s="103" t="str">
        <f t="shared" ref="P5485:P5516" si="2692">(C5485)</f>
        <v>Kit Poppet Valves + Orings</v>
      </c>
      <c r="Q5485" s="71">
        <f t="shared" ref="Q5485:Q5516" si="2693">D5485</f>
        <v>1</v>
      </c>
      <c r="R5485" s="102">
        <v>207000</v>
      </c>
      <c r="S5485" s="102">
        <f t="shared" ref="S5485:S5516" si="2694">R5485*Q5485*1.1</f>
        <v>227700.00000000003</v>
      </c>
      <c r="T5485" s="102">
        <f t="shared" ref="T5485:T5516" si="2695">R5485*Q5485</f>
        <v>207000</v>
      </c>
      <c r="U5485" s="71"/>
      <c r="V5485" s="71"/>
      <c r="W5485" s="474"/>
      <c r="X5485" s="71"/>
      <c r="Y5485" s="71"/>
    </row>
    <row r="5486" spans="1:25" ht="1.5" customHeight="1" x14ac:dyDescent="0.25">
      <c r="A5486" s="1145">
        <v>44890</v>
      </c>
      <c r="B5486" s="664" t="s">
        <v>565</v>
      </c>
      <c r="C5486" s="71" t="s">
        <v>3600</v>
      </c>
      <c r="D5486" s="71"/>
      <c r="E5486" s="102"/>
      <c r="F5486" s="102">
        <f t="shared" si="2689"/>
        <v>0</v>
      </c>
      <c r="G5486" s="102">
        <f t="shared" si="2690"/>
        <v>0</v>
      </c>
      <c r="H5486" s="690"/>
      <c r="I5486" s="71" t="s">
        <v>142</v>
      </c>
      <c r="J5486" s="53">
        <f t="shared" si="2687"/>
        <v>0</v>
      </c>
      <c r="K5486" s="63" t="e">
        <f t="shared" si="2688"/>
        <v>#DIV/0!</v>
      </c>
      <c r="L5486" s="1212" t="s">
        <v>3607</v>
      </c>
      <c r="M5486" s="468"/>
      <c r="N5486" s="1192">
        <f t="shared" si="2691"/>
        <v>44890</v>
      </c>
      <c r="O5486" s="71"/>
      <c r="P5486" s="103" t="str">
        <f t="shared" si="2692"/>
        <v>부품?</v>
      </c>
      <c r="Q5486" s="71">
        <f t="shared" si="2693"/>
        <v>0</v>
      </c>
      <c r="R5486" s="102"/>
      <c r="S5486" s="102">
        <f t="shared" si="2694"/>
        <v>0</v>
      </c>
      <c r="T5486" s="102">
        <f t="shared" si="2695"/>
        <v>0</v>
      </c>
      <c r="U5486" s="71"/>
      <c r="V5486" s="71"/>
      <c r="W5486" s="474"/>
      <c r="X5486" s="71"/>
      <c r="Y5486" s="71"/>
    </row>
    <row r="5487" spans="1:25" ht="30" hidden="1" customHeight="1" x14ac:dyDescent="0.25">
      <c r="A5487" s="1145">
        <v>44873</v>
      </c>
      <c r="B5487" s="664" t="s">
        <v>26</v>
      </c>
      <c r="C5487" s="71" t="s">
        <v>2087</v>
      </c>
      <c r="D5487" s="71">
        <v>10</v>
      </c>
      <c r="E5487" s="102">
        <v>85000</v>
      </c>
      <c r="F5487" s="102">
        <f t="shared" si="2689"/>
        <v>935000.00000000012</v>
      </c>
      <c r="G5487" s="102">
        <f t="shared" si="2690"/>
        <v>850000</v>
      </c>
      <c r="H5487" s="690" t="s">
        <v>172</v>
      </c>
      <c r="I5487" s="71" t="s">
        <v>3295</v>
      </c>
      <c r="J5487" s="53">
        <f t="shared" si="2687"/>
        <v>350000</v>
      </c>
      <c r="K5487" s="63">
        <f t="shared" si="2688"/>
        <v>0.41176470588235287</v>
      </c>
      <c r="L5487" s="1212" t="s">
        <v>3607</v>
      </c>
      <c r="M5487" s="468"/>
      <c r="N5487" s="1192">
        <f t="shared" si="2691"/>
        <v>44873</v>
      </c>
      <c r="O5487" s="71" t="s">
        <v>152</v>
      </c>
      <c r="P5487" s="103" t="str">
        <f t="shared" si="2692"/>
        <v>아스테이지(국전)</v>
      </c>
      <c r="Q5487" s="71">
        <f t="shared" si="2693"/>
        <v>10</v>
      </c>
      <c r="R5487" s="102">
        <v>50000</v>
      </c>
      <c r="S5487" s="102">
        <f t="shared" si="2694"/>
        <v>550000</v>
      </c>
      <c r="T5487" s="102">
        <f t="shared" si="2695"/>
        <v>500000</v>
      </c>
      <c r="U5487" s="71" t="str">
        <f>IF(J5487=W5487,"O", "X")</f>
        <v>X</v>
      </c>
      <c r="V5487" s="71"/>
      <c r="W5487" s="474">
        <v>150000</v>
      </c>
      <c r="X5487" s="71"/>
      <c r="Y5487" s="71"/>
    </row>
    <row r="5488" spans="1:25" ht="30" hidden="1" customHeight="1" x14ac:dyDescent="0.25">
      <c r="A5488" s="1145">
        <v>44874</v>
      </c>
      <c r="B5488" s="664" t="s">
        <v>26</v>
      </c>
      <c r="C5488" s="71" t="s">
        <v>3328</v>
      </c>
      <c r="D5488" s="71">
        <v>5</v>
      </c>
      <c r="E5488" s="102">
        <v>65000</v>
      </c>
      <c r="F5488" s="102">
        <f t="shared" si="2689"/>
        <v>357500</v>
      </c>
      <c r="G5488" s="102">
        <f t="shared" si="2690"/>
        <v>325000</v>
      </c>
      <c r="H5488" s="690" t="s">
        <v>172</v>
      </c>
      <c r="I5488" s="71" t="s">
        <v>3295</v>
      </c>
      <c r="J5488" s="53">
        <f t="shared" si="2687"/>
        <v>125000</v>
      </c>
      <c r="K5488" s="63">
        <f t="shared" si="2688"/>
        <v>0.38461538461538464</v>
      </c>
      <c r="L5488" s="1212" t="s">
        <v>3607</v>
      </c>
      <c r="M5488" s="468"/>
      <c r="N5488" s="1192">
        <f t="shared" si="2691"/>
        <v>44874</v>
      </c>
      <c r="O5488" s="71" t="s">
        <v>152</v>
      </c>
      <c r="P5488" s="103" t="str">
        <f t="shared" si="2692"/>
        <v>아스테이지(CD74용)</v>
      </c>
      <c r="Q5488" s="71">
        <f t="shared" si="2693"/>
        <v>5</v>
      </c>
      <c r="R5488" s="102">
        <v>40000</v>
      </c>
      <c r="S5488" s="102">
        <f t="shared" si="2694"/>
        <v>220000.00000000003</v>
      </c>
      <c r="T5488" s="102">
        <f t="shared" si="2695"/>
        <v>200000</v>
      </c>
      <c r="U5488" s="71" t="str">
        <f>IF(J5488=W5488,"O", "X")</f>
        <v>X</v>
      </c>
      <c r="V5488" s="71"/>
      <c r="W5488" s="474"/>
      <c r="X5488" s="71"/>
      <c r="Y5488" s="71"/>
    </row>
    <row r="5489" spans="1:25" ht="30" hidden="1" customHeight="1" x14ac:dyDescent="0.25">
      <c r="A5489" s="1145">
        <v>44882</v>
      </c>
      <c r="B5489" s="664" t="s">
        <v>26</v>
      </c>
      <c r="C5489" s="71" t="s">
        <v>2087</v>
      </c>
      <c r="D5489" s="71">
        <v>5</v>
      </c>
      <c r="E5489" s="102">
        <v>85000</v>
      </c>
      <c r="F5489" s="102">
        <f t="shared" si="2689"/>
        <v>467500.00000000006</v>
      </c>
      <c r="G5489" s="102">
        <f t="shared" si="2690"/>
        <v>425000</v>
      </c>
      <c r="H5489" s="690" t="s">
        <v>172</v>
      </c>
      <c r="I5489" s="71" t="s">
        <v>3295</v>
      </c>
      <c r="J5489" s="53">
        <f t="shared" si="2687"/>
        <v>175000</v>
      </c>
      <c r="K5489" s="63">
        <f t="shared" si="2688"/>
        <v>0.41176470588235287</v>
      </c>
      <c r="L5489" s="1212" t="s">
        <v>3607</v>
      </c>
      <c r="M5489" s="468"/>
      <c r="N5489" s="1192">
        <f t="shared" si="2691"/>
        <v>44882</v>
      </c>
      <c r="O5489" s="71" t="s">
        <v>152</v>
      </c>
      <c r="P5489" s="103" t="str">
        <f t="shared" si="2692"/>
        <v>아스테이지(국전)</v>
      </c>
      <c r="Q5489" s="71">
        <f t="shared" si="2693"/>
        <v>5</v>
      </c>
      <c r="R5489" s="102">
        <v>50000</v>
      </c>
      <c r="S5489" s="102">
        <f t="shared" si="2694"/>
        <v>275000</v>
      </c>
      <c r="T5489" s="102">
        <f t="shared" si="2695"/>
        <v>250000</v>
      </c>
      <c r="U5489" s="71" t="str">
        <f>IF(J5489=W5489,"O", "X")</f>
        <v>X</v>
      </c>
      <c r="V5489" s="71"/>
      <c r="W5489" s="474">
        <v>150000</v>
      </c>
      <c r="X5489" s="71"/>
      <c r="Y5489" s="71"/>
    </row>
    <row r="5490" spans="1:25" ht="30" hidden="1" customHeight="1" x14ac:dyDescent="0.25">
      <c r="A5490" s="1145">
        <v>44894</v>
      </c>
      <c r="B5490" s="664" t="s">
        <v>746</v>
      </c>
      <c r="C5490" s="71" t="s">
        <v>2343</v>
      </c>
      <c r="D5490" s="71">
        <v>1</v>
      </c>
      <c r="E5490" s="102">
        <v>5450000</v>
      </c>
      <c r="F5490" s="102">
        <f t="shared" si="2689"/>
        <v>5995000.0000000009</v>
      </c>
      <c r="G5490" s="102">
        <f t="shared" si="2690"/>
        <v>5450000</v>
      </c>
      <c r="H5490" s="690" t="s">
        <v>94</v>
      </c>
      <c r="I5490" s="71" t="s">
        <v>94</v>
      </c>
      <c r="J5490" s="53">
        <f t="shared" si="2687"/>
        <v>1950000</v>
      </c>
      <c r="K5490" s="63">
        <f t="shared" si="2688"/>
        <v>0.35779816513761464</v>
      </c>
      <c r="L5490" s="1212" t="s">
        <v>3607</v>
      </c>
      <c r="M5490" s="468"/>
      <c r="N5490" s="1192">
        <f t="shared" si="2691"/>
        <v>44894</v>
      </c>
      <c r="O5490" s="71" t="s">
        <v>94</v>
      </c>
      <c r="P5490" s="103" t="str">
        <f t="shared" si="2692"/>
        <v>알콜공급장치</v>
      </c>
      <c r="Q5490" s="71">
        <f t="shared" si="2693"/>
        <v>1</v>
      </c>
      <c r="R5490" s="102">
        <v>3500000</v>
      </c>
      <c r="S5490" s="102">
        <f t="shared" si="2694"/>
        <v>3850000.0000000005</v>
      </c>
      <c r="T5490" s="102">
        <f t="shared" si="2695"/>
        <v>3500000</v>
      </c>
      <c r="U5490" s="71"/>
      <c r="V5490" s="71"/>
      <c r="W5490" s="474"/>
      <c r="X5490" s="71"/>
      <c r="Y5490" s="71"/>
    </row>
    <row r="5491" spans="1:25" ht="30" hidden="1" customHeight="1" x14ac:dyDescent="0.25">
      <c r="A5491" s="1145">
        <v>44860</v>
      </c>
      <c r="B5491" s="664" t="s">
        <v>442</v>
      </c>
      <c r="C5491" s="71" t="s">
        <v>3601</v>
      </c>
      <c r="D5491" s="71">
        <v>2</v>
      </c>
      <c r="E5491" s="102">
        <v>220000</v>
      </c>
      <c r="F5491" s="102">
        <f t="shared" si="2689"/>
        <v>484000.00000000006</v>
      </c>
      <c r="G5491" s="102">
        <f t="shared" si="2690"/>
        <v>440000</v>
      </c>
      <c r="H5491" s="690" t="s">
        <v>2029</v>
      </c>
      <c r="I5491" s="71" t="s">
        <v>195</v>
      </c>
      <c r="J5491" s="53">
        <f t="shared" si="2687"/>
        <v>80000</v>
      </c>
      <c r="K5491" s="63">
        <f t="shared" si="2688"/>
        <v>0.1818181818181818</v>
      </c>
      <c r="L5491" s="1212" t="s">
        <v>3607</v>
      </c>
      <c r="M5491" s="468"/>
      <c r="N5491" s="1192">
        <f t="shared" si="2691"/>
        <v>44860</v>
      </c>
      <c r="O5491" s="71"/>
      <c r="P5491" s="103" t="str">
        <f t="shared" si="2692"/>
        <v>필름현상기 롤라 중고</v>
      </c>
      <c r="Q5491" s="71">
        <f t="shared" si="2693"/>
        <v>2</v>
      </c>
      <c r="R5491" s="102">
        <v>180000</v>
      </c>
      <c r="S5491" s="102">
        <f t="shared" si="2694"/>
        <v>396000.00000000006</v>
      </c>
      <c r="T5491" s="102">
        <f t="shared" si="2695"/>
        <v>360000</v>
      </c>
      <c r="U5491" s="71"/>
      <c r="V5491" s="71"/>
      <c r="W5491" s="474"/>
      <c r="X5491" s="71"/>
      <c r="Y5491" s="71"/>
    </row>
    <row r="5492" spans="1:25" ht="30" hidden="1" customHeight="1" x14ac:dyDescent="0.25">
      <c r="A5492" s="1145">
        <v>44860</v>
      </c>
      <c r="B5492" s="664" t="s">
        <v>442</v>
      </c>
      <c r="C5492" s="71" t="s">
        <v>3602</v>
      </c>
      <c r="D5492" s="71">
        <v>1</v>
      </c>
      <c r="E5492" s="102">
        <v>50000</v>
      </c>
      <c r="F5492" s="102">
        <f t="shared" si="2689"/>
        <v>55000.000000000007</v>
      </c>
      <c r="G5492" s="102">
        <f t="shared" si="2690"/>
        <v>50000</v>
      </c>
      <c r="H5492" s="690" t="s">
        <v>2029</v>
      </c>
      <c r="I5492" s="71" t="s">
        <v>195</v>
      </c>
      <c r="J5492" s="53">
        <f t="shared" si="2687"/>
        <v>10000</v>
      </c>
      <c r="K5492" s="63">
        <f t="shared" si="2688"/>
        <v>0.19999999999999998</v>
      </c>
      <c r="L5492" s="1212" t="s">
        <v>3607</v>
      </c>
      <c r="M5492" s="468"/>
      <c r="N5492" s="1192">
        <f t="shared" si="2691"/>
        <v>44860</v>
      </c>
      <c r="O5492" s="71"/>
      <c r="P5492" s="103" t="str">
        <f t="shared" si="2692"/>
        <v>필름현상기 부품 하우징</v>
      </c>
      <c r="Q5492" s="71">
        <f t="shared" si="2693"/>
        <v>1</v>
      </c>
      <c r="R5492" s="102">
        <v>40000</v>
      </c>
      <c r="S5492" s="102">
        <f t="shared" si="2694"/>
        <v>44000</v>
      </c>
      <c r="T5492" s="102">
        <f t="shared" si="2695"/>
        <v>40000</v>
      </c>
      <c r="U5492" s="71"/>
      <c r="V5492" s="71"/>
      <c r="W5492" s="474"/>
      <c r="X5492" s="71"/>
      <c r="Y5492" s="71"/>
    </row>
    <row r="5493" spans="1:25" ht="30" hidden="1" customHeight="1" x14ac:dyDescent="0.25">
      <c r="A5493" s="1145">
        <v>44861</v>
      </c>
      <c r="B5493" s="664" t="s">
        <v>442</v>
      </c>
      <c r="C5493" s="71" t="s">
        <v>3299</v>
      </c>
      <c r="D5493" s="71">
        <v>15</v>
      </c>
      <c r="E5493" s="102">
        <v>69000</v>
      </c>
      <c r="F5493" s="102">
        <f t="shared" si="2689"/>
        <v>1138500</v>
      </c>
      <c r="G5493" s="102">
        <f t="shared" si="2690"/>
        <v>1035000</v>
      </c>
      <c r="H5493" s="690" t="s">
        <v>172</v>
      </c>
      <c r="I5493" s="71" t="s">
        <v>180</v>
      </c>
      <c r="J5493" s="53">
        <f t="shared" si="2687"/>
        <v>435000</v>
      </c>
      <c r="K5493" s="63">
        <f t="shared" si="2688"/>
        <v>0.42028985507246375</v>
      </c>
      <c r="L5493" s="1212" t="s">
        <v>3607</v>
      </c>
      <c r="M5493" s="468" t="s">
        <v>3304</v>
      </c>
      <c r="N5493" s="1192">
        <f t="shared" si="2691"/>
        <v>44861</v>
      </c>
      <c r="O5493" s="71" t="s">
        <v>175</v>
      </c>
      <c r="P5493" s="103" t="str">
        <f t="shared" si="2692"/>
        <v>매엽용 세척제(Wash k11)</v>
      </c>
      <c r="Q5493" s="71">
        <f t="shared" si="2693"/>
        <v>15</v>
      </c>
      <c r="R5493" s="102">
        <v>40000</v>
      </c>
      <c r="S5493" s="102">
        <f t="shared" si="2694"/>
        <v>660000</v>
      </c>
      <c r="T5493" s="102">
        <f t="shared" si="2695"/>
        <v>600000</v>
      </c>
      <c r="U5493" s="71" t="s">
        <v>859</v>
      </c>
      <c r="V5493" s="71"/>
      <c r="W5493" s="474"/>
      <c r="X5493" s="71"/>
      <c r="Y5493" s="71"/>
    </row>
    <row r="5494" spans="1:25" ht="30" hidden="1" customHeight="1" x14ac:dyDescent="0.25">
      <c r="A5494" s="1145">
        <v>44862</v>
      </c>
      <c r="B5494" s="664" t="s">
        <v>442</v>
      </c>
      <c r="C5494" s="71" t="s">
        <v>2605</v>
      </c>
      <c r="D5494" s="71">
        <v>1</v>
      </c>
      <c r="E5494" s="102">
        <v>300000</v>
      </c>
      <c r="F5494" s="102">
        <f t="shared" si="2689"/>
        <v>330000</v>
      </c>
      <c r="G5494" s="102">
        <f t="shared" si="2690"/>
        <v>300000</v>
      </c>
      <c r="H5494" s="690" t="s">
        <v>2029</v>
      </c>
      <c r="I5494" s="71" t="s">
        <v>3385</v>
      </c>
      <c r="J5494" s="53">
        <f t="shared" si="2687"/>
        <v>0</v>
      </c>
      <c r="K5494" s="63">
        <f t="shared" si="2688"/>
        <v>0</v>
      </c>
      <c r="L5494" s="1212" t="s">
        <v>3607</v>
      </c>
      <c r="M5494" s="468"/>
      <c r="N5494" s="1192">
        <f t="shared" si="2691"/>
        <v>44862</v>
      </c>
      <c r="O5494" s="71"/>
      <c r="P5494" s="103" t="str">
        <f t="shared" si="2692"/>
        <v>CTP 서비스 비용</v>
      </c>
      <c r="Q5494" s="71">
        <f t="shared" si="2693"/>
        <v>1</v>
      </c>
      <c r="R5494" s="102">
        <v>300000</v>
      </c>
      <c r="S5494" s="102">
        <f t="shared" si="2694"/>
        <v>330000</v>
      </c>
      <c r="T5494" s="102">
        <f t="shared" si="2695"/>
        <v>300000</v>
      </c>
      <c r="U5494" s="71"/>
      <c r="V5494" s="71"/>
      <c r="W5494" s="474"/>
      <c r="X5494" s="71"/>
      <c r="Y5494" s="71"/>
    </row>
    <row r="5495" spans="1:25" ht="30" hidden="1" customHeight="1" x14ac:dyDescent="0.25">
      <c r="A5495" s="1145">
        <v>44862</v>
      </c>
      <c r="B5495" s="664" t="s">
        <v>442</v>
      </c>
      <c r="C5495" s="71" t="s">
        <v>3603</v>
      </c>
      <c r="D5495" s="71">
        <v>1</v>
      </c>
      <c r="E5495" s="102">
        <v>95000</v>
      </c>
      <c r="F5495" s="102">
        <f t="shared" si="2689"/>
        <v>104500.00000000001</v>
      </c>
      <c r="G5495" s="102">
        <f t="shared" si="2690"/>
        <v>95000</v>
      </c>
      <c r="H5495" s="690" t="s">
        <v>2029</v>
      </c>
      <c r="I5495" s="71" t="s">
        <v>3385</v>
      </c>
      <c r="J5495" s="53">
        <f t="shared" si="2687"/>
        <v>95000</v>
      </c>
      <c r="K5495" s="63">
        <f t="shared" si="2688"/>
        <v>0.99999999999999989</v>
      </c>
      <c r="L5495" s="1212" t="s">
        <v>3607</v>
      </c>
      <c r="M5495" s="102"/>
      <c r="N5495" s="1192">
        <f t="shared" si="2691"/>
        <v>44862</v>
      </c>
      <c r="O5495" s="71"/>
      <c r="P5495" s="103" t="str">
        <f t="shared" si="2692"/>
        <v xml:space="preserve">   CTP부품 - Water Level Switch</v>
      </c>
      <c r="Q5495" s="71">
        <f t="shared" si="2693"/>
        <v>1</v>
      </c>
      <c r="R5495" s="102">
        <v>0</v>
      </c>
      <c r="S5495" s="102">
        <f t="shared" si="2694"/>
        <v>0</v>
      </c>
      <c r="T5495" s="102">
        <f t="shared" si="2695"/>
        <v>0</v>
      </c>
      <c r="U5495" s="71"/>
      <c r="V5495" s="71"/>
      <c r="W5495" s="474"/>
      <c r="X5495" s="71"/>
      <c r="Y5495" s="71"/>
    </row>
    <row r="5496" spans="1:25" ht="30" hidden="1" customHeight="1" x14ac:dyDescent="0.25">
      <c r="A5496" s="1145">
        <v>44862</v>
      </c>
      <c r="B5496" s="664" t="s">
        <v>442</v>
      </c>
      <c r="C5496" s="71" t="s">
        <v>3604</v>
      </c>
      <c r="D5496" s="71">
        <v>1</v>
      </c>
      <c r="E5496" s="102">
        <v>515000</v>
      </c>
      <c r="F5496" s="102">
        <f t="shared" si="2689"/>
        <v>566500</v>
      </c>
      <c r="G5496" s="102">
        <f t="shared" si="2690"/>
        <v>515000</v>
      </c>
      <c r="H5496" s="690" t="s">
        <v>2029</v>
      </c>
      <c r="I5496" s="71" t="s">
        <v>3385</v>
      </c>
      <c r="J5496" s="53">
        <f t="shared" si="2687"/>
        <v>16000</v>
      </c>
      <c r="K5496" s="63">
        <f t="shared" si="2688"/>
        <v>3.1067961165048542E-2</v>
      </c>
      <c r="L5496" s="1212" t="s">
        <v>3607</v>
      </c>
      <c r="M5496" s="102"/>
      <c r="N5496" s="1192">
        <f t="shared" si="2691"/>
        <v>44862</v>
      </c>
      <c r="O5496" s="71"/>
      <c r="P5496" s="103" t="str">
        <f t="shared" si="2692"/>
        <v xml:space="preserve">  CTP부품 - Replenish Bottle Probe</v>
      </c>
      <c r="Q5496" s="71">
        <f t="shared" si="2693"/>
        <v>1</v>
      </c>
      <c r="R5496" s="102">
        <v>499000</v>
      </c>
      <c r="S5496" s="102">
        <f t="shared" si="2694"/>
        <v>548900</v>
      </c>
      <c r="T5496" s="102">
        <f t="shared" si="2695"/>
        <v>499000</v>
      </c>
      <c r="U5496" s="71"/>
      <c r="V5496" s="71"/>
      <c r="W5496" s="474"/>
      <c r="X5496" s="71"/>
      <c r="Y5496" s="71"/>
    </row>
    <row r="5497" spans="1:25" ht="30" hidden="1" customHeight="1" x14ac:dyDescent="0.25">
      <c r="A5497" s="1145">
        <v>44862</v>
      </c>
      <c r="B5497" s="664" t="s">
        <v>442</v>
      </c>
      <c r="C5497" s="71" t="s">
        <v>3605</v>
      </c>
      <c r="D5497" s="71">
        <v>1</v>
      </c>
      <c r="E5497" s="102">
        <v>20000</v>
      </c>
      <c r="F5497" s="102">
        <f t="shared" si="2689"/>
        <v>22000</v>
      </c>
      <c r="G5497" s="102">
        <f t="shared" si="2690"/>
        <v>20000</v>
      </c>
      <c r="H5497" s="690" t="s">
        <v>2029</v>
      </c>
      <c r="I5497" s="71" t="s">
        <v>3385</v>
      </c>
      <c r="J5497" s="53">
        <f t="shared" si="2687"/>
        <v>20000</v>
      </c>
      <c r="K5497" s="63">
        <f t="shared" si="2688"/>
        <v>1</v>
      </c>
      <c r="L5497" s="1212" t="s">
        <v>3607</v>
      </c>
      <c r="M5497" s="102"/>
      <c r="N5497" s="1192">
        <f t="shared" si="2691"/>
        <v>44862</v>
      </c>
      <c r="O5497" s="71"/>
      <c r="P5497" s="103" t="str">
        <f t="shared" si="2692"/>
        <v xml:space="preserve">   CTP부품 - Filter</v>
      </c>
      <c r="Q5497" s="71">
        <f t="shared" si="2693"/>
        <v>1</v>
      </c>
      <c r="R5497" s="102">
        <v>0</v>
      </c>
      <c r="S5497" s="102">
        <f t="shared" si="2694"/>
        <v>0</v>
      </c>
      <c r="T5497" s="102">
        <f t="shared" si="2695"/>
        <v>0</v>
      </c>
      <c r="U5497" s="71"/>
      <c r="V5497" s="71"/>
      <c r="W5497" s="474"/>
      <c r="X5497" s="71"/>
      <c r="Y5497" s="71"/>
    </row>
    <row r="5498" spans="1:25" ht="30" hidden="1" customHeight="1" x14ac:dyDescent="0.25">
      <c r="A5498" s="1145">
        <v>44893</v>
      </c>
      <c r="B5498" s="664" t="s">
        <v>442</v>
      </c>
      <c r="C5498" s="71" t="s">
        <v>3299</v>
      </c>
      <c r="D5498" s="71">
        <v>20</v>
      </c>
      <c r="E5498" s="102">
        <v>69000</v>
      </c>
      <c r="F5498" s="102">
        <f t="shared" si="2689"/>
        <v>1518000.0000000002</v>
      </c>
      <c r="G5498" s="102">
        <f t="shared" si="2690"/>
        <v>1380000</v>
      </c>
      <c r="H5498" s="690" t="s">
        <v>172</v>
      </c>
      <c r="I5498" s="71" t="s">
        <v>180</v>
      </c>
      <c r="J5498" s="53">
        <f t="shared" si="2687"/>
        <v>580000</v>
      </c>
      <c r="K5498" s="63">
        <f t="shared" si="2688"/>
        <v>0.42028985507246369</v>
      </c>
      <c r="L5498" s="1212" t="s">
        <v>3607</v>
      </c>
      <c r="M5498" s="468" t="s">
        <v>3304</v>
      </c>
      <c r="N5498" s="1192">
        <f t="shared" si="2691"/>
        <v>44893</v>
      </c>
      <c r="O5498" s="71" t="s">
        <v>175</v>
      </c>
      <c r="P5498" s="103" t="str">
        <f t="shared" si="2692"/>
        <v>매엽용 세척제(Wash k11)</v>
      </c>
      <c r="Q5498" s="71">
        <f t="shared" si="2693"/>
        <v>20</v>
      </c>
      <c r="R5498" s="102">
        <v>40000</v>
      </c>
      <c r="S5498" s="102">
        <f t="shared" si="2694"/>
        <v>880000.00000000012</v>
      </c>
      <c r="T5498" s="102">
        <f t="shared" si="2695"/>
        <v>800000</v>
      </c>
      <c r="U5498" s="71" t="s">
        <v>859</v>
      </c>
      <c r="V5498" s="71"/>
      <c r="W5498" s="474"/>
      <c r="X5498" s="71"/>
      <c r="Y5498" s="71"/>
    </row>
    <row r="5499" spans="1:25" ht="30" hidden="1" customHeight="1" x14ac:dyDescent="0.25">
      <c r="A5499" s="1145">
        <v>44881</v>
      </c>
      <c r="B5499" s="664" t="s">
        <v>856</v>
      </c>
      <c r="C5499" s="1020" t="s">
        <v>3606</v>
      </c>
      <c r="D5499" s="71">
        <v>5</v>
      </c>
      <c r="E5499" s="102">
        <v>900000</v>
      </c>
      <c r="F5499" s="102">
        <f t="shared" si="2689"/>
        <v>4950000</v>
      </c>
      <c r="G5499" s="102">
        <f t="shared" si="2690"/>
        <v>4500000</v>
      </c>
      <c r="H5499" s="690" t="s">
        <v>2029</v>
      </c>
      <c r="I5499" s="71" t="s">
        <v>2226</v>
      </c>
      <c r="J5499" s="53">
        <f t="shared" si="2687"/>
        <v>2572500</v>
      </c>
      <c r="K5499" s="63">
        <f t="shared" si="2688"/>
        <v>0.57166666666666666</v>
      </c>
      <c r="L5499" s="1212" t="s">
        <v>3607</v>
      </c>
      <c r="M5499" s="102"/>
      <c r="N5499" s="1192">
        <f t="shared" si="2691"/>
        <v>44881</v>
      </c>
      <c r="O5499" s="71"/>
      <c r="P5499" s="1219" t="str">
        <f t="shared" si="2692"/>
        <v xml:space="preserve"> UV Lamp, 2130259, (honle 정품)
 F_930HOZ 200W/mm D22,5
 Lg1005,5mm U1500HFC</v>
      </c>
      <c r="Q5499" s="71">
        <f t="shared" si="2693"/>
        <v>5</v>
      </c>
      <c r="R5499" s="102">
        <v>385500</v>
      </c>
      <c r="S5499" s="102">
        <f t="shared" si="2694"/>
        <v>2120250</v>
      </c>
      <c r="T5499" s="102">
        <f t="shared" si="2695"/>
        <v>1927500</v>
      </c>
      <c r="U5499" s="71"/>
      <c r="V5499" s="71"/>
      <c r="W5499" s="474"/>
      <c r="X5499" s="71"/>
      <c r="Y5499" s="71"/>
    </row>
    <row r="5500" spans="1:25" s="209" customFormat="1" ht="30" hidden="1" customHeight="1" x14ac:dyDescent="0.25">
      <c r="A5500" s="1145">
        <v>44882</v>
      </c>
      <c r="B5500" s="664" t="s">
        <v>411</v>
      </c>
      <c r="C5500" s="71" t="s">
        <v>3413</v>
      </c>
      <c r="D5500" s="71">
        <v>10</v>
      </c>
      <c r="E5500" s="102">
        <v>100000</v>
      </c>
      <c r="F5500" s="102">
        <f t="shared" si="2689"/>
        <v>1100000</v>
      </c>
      <c r="G5500" s="102">
        <f t="shared" si="2690"/>
        <v>1000000</v>
      </c>
      <c r="H5500" s="690" t="s">
        <v>2029</v>
      </c>
      <c r="I5500" s="71" t="s">
        <v>3385</v>
      </c>
      <c r="J5500" s="53">
        <f t="shared" si="2687"/>
        <v>500000</v>
      </c>
      <c r="K5500" s="63">
        <f t="shared" si="2688"/>
        <v>0.5</v>
      </c>
      <c r="L5500" s="1212" t="s">
        <v>3607</v>
      </c>
      <c r="M5500" s="468"/>
      <c r="N5500" s="1192">
        <f t="shared" si="2691"/>
        <v>44882</v>
      </c>
      <c r="O5500" s="71" t="s">
        <v>190</v>
      </c>
      <c r="P5500" s="103" t="str">
        <f t="shared" si="2692"/>
        <v>아스테이지(국전)</v>
      </c>
      <c r="Q5500" s="71">
        <f t="shared" si="2693"/>
        <v>10</v>
      </c>
      <c r="R5500" s="102">
        <v>50000</v>
      </c>
      <c r="S5500" s="102">
        <f t="shared" si="2694"/>
        <v>550000</v>
      </c>
      <c r="T5500" s="102">
        <f t="shared" si="2695"/>
        <v>500000</v>
      </c>
      <c r="U5500" s="71" t="str">
        <f>IF(J5500=W5500,"O", "X")</f>
        <v>O</v>
      </c>
      <c r="V5500" s="71"/>
      <c r="W5500" s="474">
        <v>500000</v>
      </c>
      <c r="X5500" s="71"/>
      <c r="Y5500" s="71"/>
    </row>
    <row r="5501" spans="1:25" ht="30" hidden="1" customHeight="1" x14ac:dyDescent="0.25">
      <c r="A5501" s="1145">
        <v>44869</v>
      </c>
      <c r="B5501" s="664" t="s">
        <v>2261</v>
      </c>
      <c r="C5501" s="71" t="s">
        <v>277</v>
      </c>
      <c r="D5501" s="71">
        <v>10</v>
      </c>
      <c r="E5501" s="102">
        <v>172000</v>
      </c>
      <c r="F5501" s="102">
        <f t="shared" si="2689"/>
        <v>1892000.0000000002</v>
      </c>
      <c r="G5501" s="102">
        <f t="shared" si="2690"/>
        <v>1720000</v>
      </c>
      <c r="H5501" s="690" t="s">
        <v>172</v>
      </c>
      <c r="I5501" s="71" t="s">
        <v>180</v>
      </c>
      <c r="J5501" s="53">
        <f t="shared" si="2687"/>
        <v>421000</v>
      </c>
      <c r="K5501" s="63">
        <f t="shared" si="2688"/>
        <v>0.24476744186046509</v>
      </c>
      <c r="L5501" s="1212" t="s">
        <v>3607</v>
      </c>
      <c r="M5501" s="468"/>
      <c r="N5501" s="1192">
        <f t="shared" si="2691"/>
        <v>44869</v>
      </c>
      <c r="O5501" s="71" t="s">
        <v>662</v>
      </c>
      <c r="P5501" s="103" t="str">
        <f t="shared" si="2692"/>
        <v>윤전용 세척제(Web 504)</v>
      </c>
      <c r="Q5501" s="71">
        <f t="shared" si="2693"/>
        <v>10</v>
      </c>
      <c r="R5501" s="102">
        <v>129900</v>
      </c>
      <c r="S5501" s="102">
        <f t="shared" si="2694"/>
        <v>1428900</v>
      </c>
      <c r="T5501" s="102">
        <f t="shared" si="2695"/>
        <v>1299000</v>
      </c>
      <c r="U5501" s="71" t="str">
        <f>IF(J5501=W5501,"O", "X")</f>
        <v>X</v>
      </c>
      <c r="V5501" s="71"/>
      <c r="W5501" s="474"/>
      <c r="X5501" s="71"/>
      <c r="Y5501" s="71"/>
    </row>
    <row r="5502" spans="1:25" ht="30" hidden="1" customHeight="1" x14ac:dyDescent="0.25">
      <c r="A5502" s="1145">
        <v>44869</v>
      </c>
      <c r="B5502" s="664" t="s">
        <v>2261</v>
      </c>
      <c r="C5502" s="71" t="s">
        <v>3299</v>
      </c>
      <c r="D5502" s="71">
        <v>10</v>
      </c>
      <c r="E5502" s="102">
        <v>47600</v>
      </c>
      <c r="F5502" s="102">
        <f t="shared" si="2689"/>
        <v>523600.00000000006</v>
      </c>
      <c r="G5502" s="102">
        <f t="shared" si="2690"/>
        <v>476000</v>
      </c>
      <c r="H5502" s="690" t="s">
        <v>172</v>
      </c>
      <c r="I5502" s="71" t="s">
        <v>180</v>
      </c>
      <c r="J5502" s="53">
        <f t="shared" si="2687"/>
        <v>76000</v>
      </c>
      <c r="K5502" s="63">
        <f t="shared" si="2688"/>
        <v>0.15966386554621848</v>
      </c>
      <c r="L5502" s="1212" t="s">
        <v>3607</v>
      </c>
      <c r="M5502" s="468" t="s">
        <v>3304</v>
      </c>
      <c r="N5502" s="1192">
        <f t="shared" si="2691"/>
        <v>44869</v>
      </c>
      <c r="O5502" s="71" t="s">
        <v>175</v>
      </c>
      <c r="P5502" s="103" t="str">
        <f t="shared" si="2692"/>
        <v>매엽용 세척제(Wash k11)</v>
      </c>
      <c r="Q5502" s="71">
        <f t="shared" si="2693"/>
        <v>10</v>
      </c>
      <c r="R5502" s="102">
        <v>40000</v>
      </c>
      <c r="S5502" s="102">
        <f t="shared" si="2694"/>
        <v>440000.00000000006</v>
      </c>
      <c r="T5502" s="102">
        <f t="shared" si="2695"/>
        <v>400000</v>
      </c>
      <c r="U5502" s="71" t="s">
        <v>859</v>
      </c>
      <c r="V5502" s="71"/>
      <c r="W5502" s="474"/>
      <c r="X5502" s="71"/>
      <c r="Y5502" s="71"/>
    </row>
    <row r="5503" spans="1:25" s="209" customFormat="1" ht="31.5" hidden="1" customHeight="1" x14ac:dyDescent="0.2">
      <c r="A5503" s="1145">
        <v>44873</v>
      </c>
      <c r="B5503" s="664" t="s">
        <v>3289</v>
      </c>
      <c r="C5503" s="71" t="s">
        <v>3387</v>
      </c>
      <c r="D5503" s="71">
        <v>10</v>
      </c>
      <c r="E5503" s="102">
        <v>120000</v>
      </c>
      <c r="F5503" s="102">
        <f t="shared" si="2689"/>
        <v>1320000</v>
      </c>
      <c r="G5503" s="102">
        <f t="shared" si="2690"/>
        <v>1200000</v>
      </c>
      <c r="H5503" s="165" t="s">
        <v>172</v>
      </c>
      <c r="I5503" s="71" t="s">
        <v>184</v>
      </c>
      <c r="J5503" s="53">
        <f t="shared" si="2687"/>
        <v>80000</v>
      </c>
      <c r="K5503" s="63">
        <f t="shared" si="2688"/>
        <v>6.6666666666666666E-2</v>
      </c>
      <c r="L5503" s="1212" t="s">
        <v>3607</v>
      </c>
      <c r="M5503" s="468"/>
      <c r="N5503" s="1192">
        <f t="shared" si="2691"/>
        <v>44873</v>
      </c>
      <c r="O5503" s="71" t="s">
        <v>189</v>
      </c>
      <c r="P5503" s="103" t="str">
        <f t="shared" si="2692"/>
        <v>Blanket(990*725)</v>
      </c>
      <c r="Q5503" s="71">
        <f t="shared" si="2693"/>
        <v>10</v>
      </c>
      <c r="R5503" s="102">
        <v>112000</v>
      </c>
      <c r="S5503" s="102">
        <f t="shared" si="2694"/>
        <v>1232000</v>
      </c>
      <c r="T5503" s="102">
        <f t="shared" si="2695"/>
        <v>1120000</v>
      </c>
      <c r="U5503" s="71" t="str">
        <f>IF(J5503=W5503,"O", "X")</f>
        <v>O</v>
      </c>
      <c r="V5503" s="71"/>
      <c r="W5503" s="474">
        <v>80000</v>
      </c>
      <c r="X5503" s="71"/>
      <c r="Y5503" s="71"/>
    </row>
    <row r="5504" spans="1:25" ht="30" hidden="1" customHeight="1" x14ac:dyDescent="0.25">
      <c r="A5504" s="1145">
        <v>44873</v>
      </c>
      <c r="B5504" s="664" t="s">
        <v>3289</v>
      </c>
      <c r="C5504" s="71" t="s">
        <v>2070</v>
      </c>
      <c r="D5504" s="71">
        <v>10</v>
      </c>
      <c r="E5504" s="102">
        <v>108000</v>
      </c>
      <c r="F5504" s="102">
        <f t="shared" si="2689"/>
        <v>1188000</v>
      </c>
      <c r="G5504" s="102">
        <f t="shared" si="2690"/>
        <v>1080000</v>
      </c>
      <c r="H5504" s="690" t="s">
        <v>172</v>
      </c>
      <c r="I5504" s="71" t="s">
        <v>33</v>
      </c>
      <c r="J5504" s="53">
        <f t="shared" si="2687"/>
        <v>212000</v>
      </c>
      <c r="K5504" s="63">
        <f t="shared" si="2688"/>
        <v>0.1962962962962963</v>
      </c>
      <c r="L5504" s="1212" t="s">
        <v>3607</v>
      </c>
      <c r="M5504" s="468"/>
      <c r="N5504" s="1192">
        <f t="shared" si="2691"/>
        <v>44873</v>
      </c>
      <c r="O5504" s="71" t="s">
        <v>146</v>
      </c>
      <c r="P5504" s="103" t="str">
        <f t="shared" si="2692"/>
        <v>Blanket(1050*840)</v>
      </c>
      <c r="Q5504" s="71">
        <f t="shared" si="2693"/>
        <v>10</v>
      </c>
      <c r="R5504" s="102">
        <v>86800</v>
      </c>
      <c r="S5504" s="102">
        <f t="shared" si="2694"/>
        <v>954800.00000000012</v>
      </c>
      <c r="T5504" s="102">
        <f t="shared" si="2695"/>
        <v>868000</v>
      </c>
      <c r="U5504" s="71" t="str">
        <f>IF(J5504=W5504,"O", "X")</f>
        <v>X</v>
      </c>
      <c r="V5504" s="71"/>
      <c r="W5504" s="474">
        <v>275000</v>
      </c>
      <c r="X5504" s="71"/>
      <c r="Y5504" s="71"/>
    </row>
    <row r="5505" spans="1:25" ht="30" hidden="1" customHeight="1" x14ac:dyDescent="0.25">
      <c r="A5505" s="1145">
        <v>44873</v>
      </c>
      <c r="B5505" s="664" t="s">
        <v>2261</v>
      </c>
      <c r="C5505" s="71" t="s">
        <v>277</v>
      </c>
      <c r="D5505" s="71">
        <v>10</v>
      </c>
      <c r="E5505" s="102">
        <v>172000</v>
      </c>
      <c r="F5505" s="102">
        <f t="shared" si="2689"/>
        <v>1892000.0000000002</v>
      </c>
      <c r="G5505" s="102">
        <f t="shared" si="2690"/>
        <v>1720000</v>
      </c>
      <c r="H5505" s="690" t="s">
        <v>172</v>
      </c>
      <c r="I5505" s="71" t="s">
        <v>180</v>
      </c>
      <c r="J5505" s="53">
        <f t="shared" si="2687"/>
        <v>421000</v>
      </c>
      <c r="K5505" s="63">
        <f t="shared" si="2688"/>
        <v>0.24476744186046509</v>
      </c>
      <c r="L5505" s="1212" t="s">
        <v>3607</v>
      </c>
      <c r="M5505" s="468"/>
      <c r="N5505" s="1192">
        <f t="shared" si="2691"/>
        <v>44873</v>
      </c>
      <c r="O5505" s="71" t="s">
        <v>662</v>
      </c>
      <c r="P5505" s="103" t="str">
        <f t="shared" si="2692"/>
        <v>윤전용 세척제(Web 504)</v>
      </c>
      <c r="Q5505" s="71">
        <f t="shared" si="2693"/>
        <v>10</v>
      </c>
      <c r="R5505" s="102">
        <v>129900</v>
      </c>
      <c r="S5505" s="102">
        <f t="shared" si="2694"/>
        <v>1428900</v>
      </c>
      <c r="T5505" s="102">
        <f t="shared" si="2695"/>
        <v>1299000</v>
      </c>
      <c r="U5505" s="71" t="str">
        <f>IF(J5505=W5505,"O", "X")</f>
        <v>X</v>
      </c>
      <c r="V5505" s="71"/>
      <c r="W5505" s="474"/>
      <c r="X5505" s="71"/>
      <c r="Y5505" s="71"/>
    </row>
    <row r="5506" spans="1:25" ht="30" hidden="1" customHeight="1" x14ac:dyDescent="0.25">
      <c r="A5506" s="1145">
        <v>44873</v>
      </c>
      <c r="B5506" s="664" t="s">
        <v>2261</v>
      </c>
      <c r="C5506" s="760" t="s">
        <v>181</v>
      </c>
      <c r="D5506" s="71">
        <v>10</v>
      </c>
      <c r="E5506" s="102">
        <v>192500</v>
      </c>
      <c r="F5506" s="102">
        <f t="shared" si="2689"/>
        <v>2117500</v>
      </c>
      <c r="G5506" s="102">
        <f t="shared" si="2690"/>
        <v>1925000</v>
      </c>
      <c r="H5506" s="690" t="s">
        <v>2029</v>
      </c>
      <c r="I5506" s="71" t="s">
        <v>182</v>
      </c>
      <c r="J5506" s="53">
        <f t="shared" si="2687"/>
        <v>710000</v>
      </c>
      <c r="K5506" s="63">
        <f t="shared" si="2688"/>
        <v>0.36883116883116884</v>
      </c>
      <c r="L5506" s="1212" t="s">
        <v>3607</v>
      </c>
      <c r="M5506" s="468"/>
      <c r="N5506" s="1192">
        <f t="shared" si="2691"/>
        <v>44873</v>
      </c>
      <c r="O5506" s="71" t="s">
        <v>2030</v>
      </c>
      <c r="P5506" s="103" t="str">
        <f t="shared" si="2692"/>
        <v>Fount Web 551AF</v>
      </c>
      <c r="Q5506" s="71">
        <f t="shared" si="2693"/>
        <v>10</v>
      </c>
      <c r="R5506" s="102">
        <v>121500</v>
      </c>
      <c r="S5506" s="102">
        <f t="shared" si="2694"/>
        <v>1336500</v>
      </c>
      <c r="T5506" s="102">
        <f t="shared" si="2695"/>
        <v>1215000</v>
      </c>
      <c r="U5506" s="71" t="str">
        <f>IF(J5506=W5506,"O", "X")</f>
        <v>X</v>
      </c>
      <c r="V5506" s="71"/>
      <c r="W5506" s="474">
        <v>640000</v>
      </c>
      <c r="X5506" s="71"/>
      <c r="Y5506" s="71"/>
    </row>
    <row r="5507" spans="1:25" ht="30" hidden="1" customHeight="1" x14ac:dyDescent="0.25">
      <c r="A5507" s="1145">
        <v>44886</v>
      </c>
      <c r="B5507" s="664" t="s">
        <v>2261</v>
      </c>
      <c r="C5507" s="71" t="s">
        <v>277</v>
      </c>
      <c r="D5507" s="71">
        <v>10</v>
      </c>
      <c r="E5507" s="102">
        <v>172000</v>
      </c>
      <c r="F5507" s="102">
        <f t="shared" si="2689"/>
        <v>1892000.0000000002</v>
      </c>
      <c r="G5507" s="102">
        <f t="shared" si="2690"/>
        <v>1720000</v>
      </c>
      <c r="H5507" s="690" t="s">
        <v>172</v>
      </c>
      <c r="I5507" s="71" t="s">
        <v>180</v>
      </c>
      <c r="J5507" s="53">
        <f t="shared" si="2687"/>
        <v>421000</v>
      </c>
      <c r="K5507" s="63">
        <f t="shared" si="2688"/>
        <v>0.24476744186046509</v>
      </c>
      <c r="L5507" s="1212" t="s">
        <v>3607</v>
      </c>
      <c r="M5507" s="468"/>
      <c r="N5507" s="1192">
        <f t="shared" si="2691"/>
        <v>44886</v>
      </c>
      <c r="O5507" s="71" t="s">
        <v>662</v>
      </c>
      <c r="P5507" s="103" t="str">
        <f t="shared" si="2692"/>
        <v>윤전용 세척제(Web 504)</v>
      </c>
      <c r="Q5507" s="71">
        <f t="shared" si="2693"/>
        <v>10</v>
      </c>
      <c r="R5507" s="102">
        <v>129900</v>
      </c>
      <c r="S5507" s="102">
        <f t="shared" si="2694"/>
        <v>1428900</v>
      </c>
      <c r="T5507" s="102">
        <f t="shared" si="2695"/>
        <v>1299000</v>
      </c>
      <c r="U5507" s="71" t="str">
        <f>IF(J5507=W5507,"O", "X")</f>
        <v>X</v>
      </c>
      <c r="V5507" s="71"/>
      <c r="W5507" s="474"/>
      <c r="X5507" s="71"/>
      <c r="Y5507" s="71"/>
    </row>
    <row r="5508" spans="1:25" ht="30" hidden="1" customHeight="1" x14ac:dyDescent="0.25">
      <c r="A5508" s="1145">
        <v>44886</v>
      </c>
      <c r="B5508" s="664" t="s">
        <v>2261</v>
      </c>
      <c r="C5508" s="71" t="s">
        <v>3299</v>
      </c>
      <c r="D5508" s="71">
        <v>10</v>
      </c>
      <c r="E5508" s="102">
        <v>47600</v>
      </c>
      <c r="F5508" s="102">
        <f t="shared" si="2689"/>
        <v>523600.00000000006</v>
      </c>
      <c r="G5508" s="102">
        <f t="shared" si="2690"/>
        <v>476000</v>
      </c>
      <c r="H5508" s="690" t="s">
        <v>172</v>
      </c>
      <c r="I5508" s="71" t="s">
        <v>180</v>
      </c>
      <c r="J5508" s="53">
        <f t="shared" si="2687"/>
        <v>76000</v>
      </c>
      <c r="K5508" s="63">
        <f t="shared" si="2688"/>
        <v>0.15966386554621848</v>
      </c>
      <c r="L5508" s="1212" t="s">
        <v>3607</v>
      </c>
      <c r="M5508" s="468" t="s">
        <v>3304</v>
      </c>
      <c r="N5508" s="1192">
        <f t="shared" si="2691"/>
        <v>44886</v>
      </c>
      <c r="O5508" s="71" t="s">
        <v>175</v>
      </c>
      <c r="P5508" s="103" t="str">
        <f t="shared" si="2692"/>
        <v>매엽용 세척제(Wash k11)</v>
      </c>
      <c r="Q5508" s="71">
        <f t="shared" si="2693"/>
        <v>10</v>
      </c>
      <c r="R5508" s="102">
        <v>40000</v>
      </c>
      <c r="S5508" s="102">
        <f t="shared" si="2694"/>
        <v>440000.00000000006</v>
      </c>
      <c r="T5508" s="102">
        <f t="shared" si="2695"/>
        <v>400000</v>
      </c>
      <c r="U5508" s="71" t="s">
        <v>859</v>
      </c>
      <c r="V5508" s="71"/>
      <c r="W5508" s="474"/>
      <c r="X5508" s="71"/>
      <c r="Y5508" s="71"/>
    </row>
    <row r="5509" spans="1:25" ht="30" hidden="1" customHeight="1" x14ac:dyDescent="0.25">
      <c r="A5509" s="1145">
        <v>44886</v>
      </c>
      <c r="B5509" s="664" t="s">
        <v>2261</v>
      </c>
      <c r="C5509" s="760" t="s">
        <v>181</v>
      </c>
      <c r="D5509" s="71">
        <v>10</v>
      </c>
      <c r="E5509" s="102">
        <v>192500</v>
      </c>
      <c r="F5509" s="102">
        <f t="shared" si="2689"/>
        <v>2117500</v>
      </c>
      <c r="G5509" s="102">
        <f t="shared" si="2690"/>
        <v>1925000</v>
      </c>
      <c r="H5509" s="690" t="s">
        <v>2029</v>
      </c>
      <c r="I5509" s="71" t="s">
        <v>182</v>
      </c>
      <c r="J5509" s="53">
        <f t="shared" si="2687"/>
        <v>710000</v>
      </c>
      <c r="K5509" s="63">
        <f t="shared" si="2688"/>
        <v>0.36883116883116884</v>
      </c>
      <c r="L5509" s="1212" t="s">
        <v>3607</v>
      </c>
      <c r="M5509" s="468"/>
      <c r="N5509" s="1192">
        <f t="shared" si="2691"/>
        <v>44886</v>
      </c>
      <c r="O5509" s="71" t="s">
        <v>2030</v>
      </c>
      <c r="P5509" s="103" t="str">
        <f t="shared" si="2692"/>
        <v>Fount Web 551AF</v>
      </c>
      <c r="Q5509" s="71">
        <f t="shared" si="2693"/>
        <v>10</v>
      </c>
      <c r="R5509" s="102">
        <v>121500</v>
      </c>
      <c r="S5509" s="102">
        <f t="shared" si="2694"/>
        <v>1336500</v>
      </c>
      <c r="T5509" s="102">
        <f t="shared" si="2695"/>
        <v>1215000</v>
      </c>
      <c r="U5509" s="71" t="str">
        <f>IF(J5509=W5509,"O", "X")</f>
        <v>X</v>
      </c>
      <c r="V5509" s="71"/>
      <c r="W5509" s="474">
        <v>640000</v>
      </c>
      <c r="X5509" s="71"/>
      <c r="Y5509" s="71"/>
    </row>
    <row r="5510" spans="1:25" s="209" customFormat="1" ht="31.5" hidden="1" customHeight="1" x14ac:dyDescent="0.2">
      <c r="A5510" s="1145">
        <v>44889</v>
      </c>
      <c r="B5510" s="664" t="s">
        <v>3289</v>
      </c>
      <c r="C5510" s="71" t="s">
        <v>3387</v>
      </c>
      <c r="D5510" s="71">
        <v>10</v>
      </c>
      <c r="E5510" s="102">
        <v>120000</v>
      </c>
      <c r="F5510" s="102">
        <f t="shared" si="2689"/>
        <v>1320000</v>
      </c>
      <c r="G5510" s="102">
        <f t="shared" si="2690"/>
        <v>1200000</v>
      </c>
      <c r="H5510" s="165" t="s">
        <v>172</v>
      </c>
      <c r="I5510" s="71" t="s">
        <v>184</v>
      </c>
      <c r="J5510" s="53">
        <f t="shared" si="2687"/>
        <v>80000</v>
      </c>
      <c r="K5510" s="63">
        <f t="shared" si="2688"/>
        <v>6.6666666666666666E-2</v>
      </c>
      <c r="L5510" s="1212" t="s">
        <v>3607</v>
      </c>
      <c r="M5510" s="468"/>
      <c r="N5510" s="1192">
        <f t="shared" si="2691"/>
        <v>44889</v>
      </c>
      <c r="O5510" s="71" t="s">
        <v>189</v>
      </c>
      <c r="P5510" s="103" t="str">
        <f t="shared" si="2692"/>
        <v>Blanket(990*725)</v>
      </c>
      <c r="Q5510" s="71">
        <f t="shared" si="2693"/>
        <v>10</v>
      </c>
      <c r="R5510" s="102">
        <v>112000</v>
      </c>
      <c r="S5510" s="102">
        <f t="shared" si="2694"/>
        <v>1232000</v>
      </c>
      <c r="T5510" s="102">
        <f t="shared" si="2695"/>
        <v>1120000</v>
      </c>
      <c r="U5510" s="71" t="str">
        <f>IF(J5510=W5510,"O", "X")</f>
        <v>O</v>
      </c>
      <c r="V5510" s="71"/>
      <c r="W5510" s="474">
        <v>80000</v>
      </c>
      <c r="X5510" s="71"/>
      <c r="Y5510" s="71"/>
    </row>
    <row r="5511" spans="1:25" ht="30" hidden="1" customHeight="1" x14ac:dyDescent="0.25">
      <c r="A5511" s="1145">
        <v>44894</v>
      </c>
      <c r="B5511" s="664" t="s">
        <v>3289</v>
      </c>
      <c r="C5511" s="71" t="s">
        <v>2070</v>
      </c>
      <c r="D5511" s="71">
        <v>10</v>
      </c>
      <c r="E5511" s="102">
        <v>108000</v>
      </c>
      <c r="F5511" s="102">
        <f t="shared" si="2689"/>
        <v>1188000</v>
      </c>
      <c r="G5511" s="102">
        <f t="shared" si="2690"/>
        <v>1080000</v>
      </c>
      <c r="H5511" s="690" t="s">
        <v>172</v>
      </c>
      <c r="I5511" s="71" t="s">
        <v>33</v>
      </c>
      <c r="J5511" s="53">
        <f t="shared" si="2687"/>
        <v>212000</v>
      </c>
      <c r="K5511" s="63">
        <f t="shared" si="2688"/>
        <v>0.1962962962962963</v>
      </c>
      <c r="L5511" s="1212" t="s">
        <v>3607</v>
      </c>
      <c r="M5511" s="468"/>
      <c r="N5511" s="1192">
        <f t="shared" si="2691"/>
        <v>44894</v>
      </c>
      <c r="O5511" s="71" t="s">
        <v>146</v>
      </c>
      <c r="P5511" s="103" t="str">
        <f t="shared" si="2692"/>
        <v>Blanket(1050*840)</v>
      </c>
      <c r="Q5511" s="71">
        <f t="shared" si="2693"/>
        <v>10</v>
      </c>
      <c r="R5511" s="102">
        <v>86800</v>
      </c>
      <c r="S5511" s="102">
        <f t="shared" si="2694"/>
        <v>954800.00000000012</v>
      </c>
      <c r="T5511" s="102">
        <f t="shared" si="2695"/>
        <v>868000</v>
      </c>
      <c r="U5511" s="71" t="str">
        <f>IF(J5511=W5511,"O", "X")</f>
        <v>X</v>
      </c>
      <c r="V5511" s="71"/>
      <c r="W5511" s="474">
        <v>275000</v>
      </c>
      <c r="X5511" s="71"/>
      <c r="Y5511" s="71"/>
    </row>
    <row r="5512" spans="1:25" ht="30" hidden="1" customHeight="1" x14ac:dyDescent="0.25">
      <c r="A5512" s="1145">
        <v>44894</v>
      </c>
      <c r="B5512" s="664" t="s">
        <v>2261</v>
      </c>
      <c r="C5512" s="760" t="s">
        <v>181</v>
      </c>
      <c r="D5512" s="71">
        <v>5</v>
      </c>
      <c r="E5512" s="102">
        <v>192500</v>
      </c>
      <c r="F5512" s="102">
        <f t="shared" si="2689"/>
        <v>1058750</v>
      </c>
      <c r="G5512" s="102">
        <f t="shared" si="2690"/>
        <v>962500</v>
      </c>
      <c r="H5512" s="690" t="s">
        <v>2029</v>
      </c>
      <c r="I5512" s="71" t="s">
        <v>182</v>
      </c>
      <c r="J5512" s="53">
        <f t="shared" si="2687"/>
        <v>355000</v>
      </c>
      <c r="K5512" s="63">
        <f t="shared" si="2688"/>
        <v>0.36883116883116884</v>
      </c>
      <c r="L5512" s="1212" t="s">
        <v>3607</v>
      </c>
      <c r="M5512" s="468"/>
      <c r="N5512" s="1192">
        <f t="shared" si="2691"/>
        <v>44894</v>
      </c>
      <c r="O5512" s="71" t="s">
        <v>2030</v>
      </c>
      <c r="P5512" s="103" t="str">
        <f t="shared" si="2692"/>
        <v>Fount Web 551AF</v>
      </c>
      <c r="Q5512" s="71">
        <f t="shared" si="2693"/>
        <v>5</v>
      </c>
      <c r="R5512" s="102">
        <v>121500</v>
      </c>
      <c r="S5512" s="102">
        <f t="shared" si="2694"/>
        <v>668250</v>
      </c>
      <c r="T5512" s="102">
        <f t="shared" si="2695"/>
        <v>607500</v>
      </c>
      <c r="U5512" s="71" t="str">
        <f>IF(J5512=W5512,"O", "X")</f>
        <v>X</v>
      </c>
      <c r="V5512" s="71"/>
      <c r="W5512" s="474">
        <v>640000</v>
      </c>
      <c r="X5512" s="71"/>
      <c r="Y5512" s="71"/>
    </row>
    <row r="5513" spans="1:25" ht="30" hidden="1" customHeight="1" x14ac:dyDescent="0.25">
      <c r="A5513" s="1145">
        <v>44879</v>
      </c>
      <c r="B5513" s="664" t="s">
        <v>3296</v>
      </c>
      <c r="C5513" s="71" t="s">
        <v>3297</v>
      </c>
      <c r="D5513" s="71">
        <v>20</v>
      </c>
      <c r="E5513" s="102">
        <v>155000</v>
      </c>
      <c r="F5513" s="102">
        <f t="shared" si="2689"/>
        <v>3410000.0000000005</v>
      </c>
      <c r="G5513" s="102">
        <f t="shared" si="2690"/>
        <v>3100000</v>
      </c>
      <c r="H5513" s="690" t="s">
        <v>172</v>
      </c>
      <c r="I5513" s="71" t="s">
        <v>3295</v>
      </c>
      <c r="J5513" s="53">
        <f t="shared" si="2687"/>
        <v>1130000</v>
      </c>
      <c r="K5513" s="63">
        <f t="shared" si="2688"/>
        <v>0.364516129032258</v>
      </c>
      <c r="L5513" s="1212" t="s">
        <v>3607</v>
      </c>
      <c r="M5513" s="468"/>
      <c r="N5513" s="1192">
        <f t="shared" si="2691"/>
        <v>44879</v>
      </c>
      <c r="O5513" s="71" t="s">
        <v>662</v>
      </c>
      <c r="P5513" s="103" t="str">
        <f t="shared" si="2692"/>
        <v>실리콘 에멀전</v>
      </c>
      <c r="Q5513" s="71">
        <f t="shared" si="2693"/>
        <v>20</v>
      </c>
      <c r="R5513" s="102">
        <v>98500</v>
      </c>
      <c r="S5513" s="102">
        <f t="shared" si="2694"/>
        <v>2167000</v>
      </c>
      <c r="T5513" s="102">
        <f t="shared" si="2695"/>
        <v>1970000</v>
      </c>
      <c r="U5513" s="71" t="str">
        <f t="shared" ref="U5513:U5532" si="2696">IF(J5513=W5513,"O", "X")</f>
        <v>X</v>
      </c>
      <c r="V5513" s="71"/>
      <c r="W5513" s="474"/>
      <c r="X5513" s="71"/>
      <c r="Y5513" s="71"/>
    </row>
    <row r="5514" spans="1:25" ht="30" hidden="1" customHeight="1" x14ac:dyDescent="0.25">
      <c r="A5514" s="1145">
        <v>44893</v>
      </c>
      <c r="B5514" s="664" t="s">
        <v>3296</v>
      </c>
      <c r="C5514" s="71" t="s">
        <v>3297</v>
      </c>
      <c r="D5514" s="71">
        <v>20</v>
      </c>
      <c r="E5514" s="102">
        <v>155000</v>
      </c>
      <c r="F5514" s="102">
        <f t="shared" si="2689"/>
        <v>3410000.0000000005</v>
      </c>
      <c r="G5514" s="102">
        <f t="shared" si="2690"/>
        <v>3100000</v>
      </c>
      <c r="H5514" s="690" t="s">
        <v>172</v>
      </c>
      <c r="I5514" s="71" t="s">
        <v>3295</v>
      </c>
      <c r="J5514" s="53">
        <f t="shared" si="2687"/>
        <v>1130000</v>
      </c>
      <c r="K5514" s="63">
        <f t="shared" si="2688"/>
        <v>0.364516129032258</v>
      </c>
      <c r="L5514" s="1212" t="s">
        <v>3607</v>
      </c>
      <c r="M5514" s="468"/>
      <c r="N5514" s="1192">
        <f t="shared" si="2691"/>
        <v>44893</v>
      </c>
      <c r="O5514" s="71" t="s">
        <v>662</v>
      </c>
      <c r="P5514" s="103" t="str">
        <f t="shared" si="2692"/>
        <v>실리콘 에멀전</v>
      </c>
      <c r="Q5514" s="71">
        <f t="shared" si="2693"/>
        <v>20</v>
      </c>
      <c r="R5514" s="102">
        <v>98500</v>
      </c>
      <c r="S5514" s="102">
        <f t="shared" si="2694"/>
        <v>2167000</v>
      </c>
      <c r="T5514" s="102">
        <f t="shared" si="2695"/>
        <v>1970000</v>
      </c>
      <c r="U5514" s="71" t="str">
        <f t="shared" si="2696"/>
        <v>X</v>
      </c>
      <c r="V5514" s="71"/>
      <c r="W5514" s="474"/>
      <c r="X5514" s="71"/>
      <c r="Y5514" s="71"/>
    </row>
    <row r="5515" spans="1:25" ht="30" hidden="1" customHeight="1" x14ac:dyDescent="0.25">
      <c r="A5515" s="1145">
        <v>44890</v>
      </c>
      <c r="B5515" s="664" t="s">
        <v>1060</v>
      </c>
      <c r="C5515" s="71" t="s">
        <v>3310</v>
      </c>
      <c r="D5515" s="71">
        <v>600</v>
      </c>
      <c r="E5515" s="102">
        <v>6720</v>
      </c>
      <c r="F5515" s="102">
        <f t="shared" si="2689"/>
        <v>4435200</v>
      </c>
      <c r="G5515" s="102">
        <f t="shared" si="2690"/>
        <v>4032000</v>
      </c>
      <c r="H5515" s="690" t="s">
        <v>36</v>
      </c>
      <c r="I5515" s="71" t="s">
        <v>2529</v>
      </c>
      <c r="J5515" s="53">
        <f t="shared" si="2687"/>
        <v>942000</v>
      </c>
      <c r="K5515" s="63">
        <f t="shared" si="2688"/>
        <v>0.23363095238095238</v>
      </c>
      <c r="L5515" s="1212" t="s">
        <v>3607</v>
      </c>
      <c r="M5515" s="102">
        <v>4250</v>
      </c>
      <c r="N5515" s="1192">
        <f t="shared" si="2691"/>
        <v>44890</v>
      </c>
      <c r="O5515" s="71" t="s">
        <v>3298</v>
      </c>
      <c r="P5515" s="103" t="str">
        <f t="shared" si="2692"/>
        <v>ENGAGE 1030*790</v>
      </c>
      <c r="Q5515" s="71">
        <f t="shared" si="2693"/>
        <v>600</v>
      </c>
      <c r="R5515" s="102">
        <v>5150</v>
      </c>
      <c r="S5515" s="102">
        <f t="shared" si="2694"/>
        <v>3399000.0000000005</v>
      </c>
      <c r="T5515" s="102">
        <f t="shared" si="2695"/>
        <v>3090000</v>
      </c>
      <c r="U5515" s="71" t="str">
        <f t="shared" si="2696"/>
        <v>O</v>
      </c>
      <c r="V5515" s="71"/>
      <c r="W5515" s="474">
        <f t="shared" ref="W5515:W5532" si="2697">(G5515-T5515)</f>
        <v>942000</v>
      </c>
      <c r="X5515" s="71"/>
      <c r="Y5515" s="71"/>
    </row>
    <row r="5516" spans="1:25" ht="30" hidden="1" customHeight="1" x14ac:dyDescent="0.25">
      <c r="A5516" s="1145">
        <v>44890</v>
      </c>
      <c r="B5516" s="664" t="s">
        <v>2255</v>
      </c>
      <c r="C5516" s="71" t="s">
        <v>3400</v>
      </c>
      <c r="D5516" s="71">
        <v>1300</v>
      </c>
      <c r="E5516" s="102">
        <v>4230</v>
      </c>
      <c r="F5516" s="102">
        <f t="shared" si="2689"/>
        <v>6048900.0000000009</v>
      </c>
      <c r="G5516" s="102">
        <f t="shared" si="2690"/>
        <v>5499000</v>
      </c>
      <c r="H5516" s="690" t="s">
        <v>36</v>
      </c>
      <c r="I5516" s="71" t="s">
        <v>2529</v>
      </c>
      <c r="J5516" s="53">
        <f t="shared" si="2687"/>
        <v>1274000</v>
      </c>
      <c r="K5516" s="63">
        <f t="shared" si="2688"/>
        <v>0.23167848699763591</v>
      </c>
      <c r="L5516" s="1212" t="s">
        <v>3607</v>
      </c>
      <c r="M5516" s="102">
        <v>2680</v>
      </c>
      <c r="N5516" s="1192">
        <f t="shared" si="2691"/>
        <v>44890</v>
      </c>
      <c r="O5516" s="71" t="s">
        <v>3298</v>
      </c>
      <c r="P5516" s="103" t="str">
        <f t="shared" si="2692"/>
        <v>ENGAGE 900X571 - 27RO</v>
      </c>
      <c r="Q5516" s="71">
        <f t="shared" si="2693"/>
        <v>1300</v>
      </c>
      <c r="R5516" s="102">
        <v>3250</v>
      </c>
      <c r="S5516" s="102">
        <f t="shared" si="2694"/>
        <v>4647500</v>
      </c>
      <c r="T5516" s="102">
        <f t="shared" si="2695"/>
        <v>4225000</v>
      </c>
      <c r="U5516" s="71" t="str">
        <f t="shared" si="2696"/>
        <v>O</v>
      </c>
      <c r="V5516" s="71"/>
      <c r="W5516" s="474">
        <f t="shared" si="2697"/>
        <v>1274000</v>
      </c>
      <c r="X5516" s="71"/>
      <c r="Y5516" s="71"/>
    </row>
    <row r="5517" spans="1:25" ht="30" hidden="1" customHeight="1" x14ac:dyDescent="0.25">
      <c r="A5517" s="1145">
        <v>44890</v>
      </c>
      <c r="B5517" s="664" t="s">
        <v>2255</v>
      </c>
      <c r="C5517" s="71" t="s">
        <v>3402</v>
      </c>
      <c r="D5517" s="71">
        <v>3500</v>
      </c>
      <c r="E5517" s="102">
        <v>4030</v>
      </c>
      <c r="F5517" s="102">
        <f t="shared" ref="F5517:F5543" si="2698">(E5517*D5517)*1.1</f>
        <v>15515500.000000002</v>
      </c>
      <c r="G5517" s="102">
        <f t="shared" ref="G5517:G5543" si="2699">(E5517*D5517)</f>
        <v>14105000</v>
      </c>
      <c r="H5517" s="690" t="s">
        <v>36</v>
      </c>
      <c r="I5517" s="71" t="s">
        <v>2529</v>
      </c>
      <c r="J5517" s="53">
        <f t="shared" si="2687"/>
        <v>3325000</v>
      </c>
      <c r="K5517" s="63">
        <f t="shared" si="2688"/>
        <v>0.23573200992555829</v>
      </c>
      <c r="L5517" s="1212" t="s">
        <v>3607</v>
      </c>
      <c r="M5517" s="102">
        <v>2540</v>
      </c>
      <c r="N5517" s="1192">
        <f t="shared" ref="N5517:N5549" si="2700">A5517</f>
        <v>44890</v>
      </c>
      <c r="O5517" s="71" t="s">
        <v>3298</v>
      </c>
      <c r="P5517" s="103" t="str">
        <f t="shared" ref="P5517:P5543" si="2701">(C5517)</f>
        <v>ENGAGE 30WEB(883*552)</v>
      </c>
      <c r="Q5517" s="71">
        <f t="shared" ref="Q5517:Q5543" si="2702">D5517</f>
        <v>3500</v>
      </c>
      <c r="R5517" s="102">
        <v>3080</v>
      </c>
      <c r="S5517" s="102">
        <f t="shared" ref="S5517:S5543" si="2703">R5517*Q5517*1.1</f>
        <v>11858000.000000002</v>
      </c>
      <c r="T5517" s="102">
        <f t="shared" ref="T5517:T5543" si="2704">R5517*Q5517</f>
        <v>10780000</v>
      </c>
      <c r="U5517" s="71" t="str">
        <f t="shared" si="2696"/>
        <v>O</v>
      </c>
      <c r="V5517" s="71"/>
      <c r="W5517" s="474">
        <f t="shared" si="2697"/>
        <v>3325000</v>
      </c>
      <c r="X5517" s="71"/>
      <c r="Y5517" s="71"/>
    </row>
    <row r="5518" spans="1:25" ht="30" hidden="1" customHeight="1" x14ac:dyDescent="0.25">
      <c r="A5518" s="1145">
        <v>44890</v>
      </c>
      <c r="B5518" s="664" t="s">
        <v>2255</v>
      </c>
      <c r="C5518" s="71" t="s">
        <v>3313</v>
      </c>
      <c r="D5518" s="71">
        <v>400</v>
      </c>
      <c r="E5518" s="102">
        <v>6810</v>
      </c>
      <c r="F5518" s="102">
        <f t="shared" si="2698"/>
        <v>2996400.0000000005</v>
      </c>
      <c r="G5518" s="102">
        <f t="shared" si="2699"/>
        <v>2724000</v>
      </c>
      <c r="H5518" s="690" t="s">
        <v>36</v>
      </c>
      <c r="I5518" s="71" t="s">
        <v>2529</v>
      </c>
      <c r="J5518" s="53">
        <f t="shared" ref="J5518:J5532" si="2705">G5518-T5518</f>
        <v>636000</v>
      </c>
      <c r="K5518" s="63">
        <f t="shared" ref="K5518:K5532" si="2706">(J5518/(F5518/11*10))</f>
        <v>0.2334801762114537</v>
      </c>
      <c r="L5518" s="1212" t="s">
        <v>3607</v>
      </c>
      <c r="M5518" s="102">
        <v>4300</v>
      </c>
      <c r="N5518" s="1192">
        <f t="shared" si="2700"/>
        <v>44890</v>
      </c>
      <c r="O5518" s="71" t="s">
        <v>3298</v>
      </c>
      <c r="P5518" s="103" t="str">
        <f t="shared" si="2701"/>
        <v>ENGAGE 1030*800</v>
      </c>
      <c r="Q5518" s="71">
        <f t="shared" si="2702"/>
        <v>400</v>
      </c>
      <c r="R5518" s="102">
        <v>5220</v>
      </c>
      <c r="S5518" s="102">
        <f t="shared" si="2703"/>
        <v>2296800</v>
      </c>
      <c r="T5518" s="102">
        <f t="shared" si="2704"/>
        <v>2088000</v>
      </c>
      <c r="U5518" s="71" t="str">
        <f t="shared" si="2696"/>
        <v>O</v>
      </c>
      <c r="V5518" s="71"/>
      <c r="W5518" s="474">
        <f t="shared" si="2697"/>
        <v>636000</v>
      </c>
      <c r="X5518" s="71"/>
      <c r="Y5518" s="71"/>
    </row>
    <row r="5519" spans="1:25" ht="30" hidden="1" customHeight="1" x14ac:dyDescent="0.25">
      <c r="A5519" s="1145">
        <v>44890</v>
      </c>
      <c r="B5519" s="664" t="s">
        <v>2255</v>
      </c>
      <c r="C5519" s="71" t="s">
        <v>3314</v>
      </c>
      <c r="D5519" s="71">
        <v>900</v>
      </c>
      <c r="E5519" s="102">
        <v>7060</v>
      </c>
      <c r="F5519" s="102">
        <f t="shared" si="2698"/>
        <v>6989400.0000000009</v>
      </c>
      <c r="G5519" s="102">
        <f t="shared" si="2699"/>
        <v>6354000</v>
      </c>
      <c r="H5519" s="690" t="s">
        <v>36</v>
      </c>
      <c r="I5519" s="71" t="s">
        <v>2529</v>
      </c>
      <c r="J5519" s="53">
        <f t="shared" si="2705"/>
        <v>1476000</v>
      </c>
      <c r="K5519" s="63">
        <f t="shared" si="2706"/>
        <v>0.23229461756373934</v>
      </c>
      <c r="L5519" s="1212" t="s">
        <v>3607</v>
      </c>
      <c r="M5519" s="102">
        <v>4470</v>
      </c>
      <c r="N5519" s="1192">
        <f t="shared" si="2700"/>
        <v>44890</v>
      </c>
      <c r="O5519" s="71" t="s">
        <v>3298</v>
      </c>
      <c r="P5519" s="103" t="str">
        <f t="shared" si="2701"/>
        <v>ENGAGE 1055*811</v>
      </c>
      <c r="Q5519" s="71">
        <f t="shared" si="2702"/>
        <v>900</v>
      </c>
      <c r="R5519" s="102">
        <v>5420</v>
      </c>
      <c r="S5519" s="102">
        <f t="shared" si="2703"/>
        <v>5365800</v>
      </c>
      <c r="T5519" s="102">
        <f t="shared" si="2704"/>
        <v>4878000</v>
      </c>
      <c r="U5519" s="71" t="str">
        <f t="shared" si="2696"/>
        <v>O</v>
      </c>
      <c r="V5519" s="71"/>
      <c r="W5519" s="474">
        <f t="shared" si="2697"/>
        <v>1476000</v>
      </c>
      <c r="X5519" s="71"/>
      <c r="Y5519" s="71"/>
    </row>
    <row r="5520" spans="1:25" ht="30" hidden="1" customHeight="1" x14ac:dyDescent="0.25">
      <c r="A5520" s="1145">
        <v>44890</v>
      </c>
      <c r="B5520" s="664" t="s">
        <v>2255</v>
      </c>
      <c r="C5520" s="71" t="s">
        <v>3315</v>
      </c>
      <c r="D5520" s="71">
        <v>1200</v>
      </c>
      <c r="E5520" s="102">
        <v>5050</v>
      </c>
      <c r="F5520" s="102">
        <f t="shared" si="2698"/>
        <v>6666000.0000000009</v>
      </c>
      <c r="G5520" s="102">
        <f t="shared" si="2699"/>
        <v>6060000</v>
      </c>
      <c r="H5520" s="690" t="s">
        <v>36</v>
      </c>
      <c r="I5520" s="71" t="s">
        <v>2529</v>
      </c>
      <c r="J5520" s="53">
        <f t="shared" si="2705"/>
        <v>1416000</v>
      </c>
      <c r="K5520" s="63">
        <f t="shared" si="2706"/>
        <v>0.23366336633663362</v>
      </c>
      <c r="L5520" s="1212" t="s">
        <v>3607</v>
      </c>
      <c r="M5520" s="102">
        <v>3190</v>
      </c>
      <c r="N5520" s="1192">
        <f t="shared" si="2700"/>
        <v>44890</v>
      </c>
      <c r="O5520" s="71" t="s">
        <v>3298</v>
      </c>
      <c r="P5520" s="103" t="str">
        <f t="shared" si="2701"/>
        <v>ENGAGE 968*631</v>
      </c>
      <c r="Q5520" s="71">
        <f t="shared" si="2702"/>
        <v>1200</v>
      </c>
      <c r="R5520" s="102">
        <v>3870</v>
      </c>
      <c r="S5520" s="102">
        <f t="shared" si="2703"/>
        <v>5108400</v>
      </c>
      <c r="T5520" s="102">
        <f t="shared" si="2704"/>
        <v>4644000</v>
      </c>
      <c r="U5520" s="71" t="str">
        <f t="shared" si="2696"/>
        <v>O</v>
      </c>
      <c r="V5520" s="71"/>
      <c r="W5520" s="474">
        <f t="shared" si="2697"/>
        <v>1416000</v>
      </c>
      <c r="X5520" s="71"/>
      <c r="Y5520" s="71"/>
    </row>
    <row r="5521" spans="1:25" ht="30" hidden="1" customHeight="1" x14ac:dyDescent="0.25">
      <c r="A5521" s="1145">
        <v>44890</v>
      </c>
      <c r="B5521" s="664" t="s">
        <v>2255</v>
      </c>
      <c r="C5521" s="71" t="s">
        <v>3316</v>
      </c>
      <c r="D5521" s="71"/>
      <c r="E5521" s="102"/>
      <c r="F5521" s="102">
        <f t="shared" si="2698"/>
        <v>0</v>
      </c>
      <c r="G5521" s="102">
        <f t="shared" si="2699"/>
        <v>0</v>
      </c>
      <c r="H5521" s="690" t="s">
        <v>36</v>
      </c>
      <c r="I5521" s="71" t="s">
        <v>2529</v>
      </c>
      <c r="J5521" s="53">
        <f t="shared" si="2705"/>
        <v>0</v>
      </c>
      <c r="K5521" s="63" t="e">
        <f t="shared" si="2706"/>
        <v>#DIV/0!</v>
      </c>
      <c r="L5521" s="1212" t="s">
        <v>3607</v>
      </c>
      <c r="M5521" s="102">
        <v>5510</v>
      </c>
      <c r="N5521" s="1192">
        <f t="shared" si="2700"/>
        <v>44890</v>
      </c>
      <c r="O5521" s="71" t="s">
        <v>3298</v>
      </c>
      <c r="P5521" s="103" t="str">
        <f t="shared" si="2701"/>
        <v>ENGAGE 1092*800</v>
      </c>
      <c r="Q5521" s="71">
        <f t="shared" si="2702"/>
        <v>0</v>
      </c>
      <c r="R5521" s="102">
        <f>(M5521*1.07)</f>
        <v>5895.7000000000007</v>
      </c>
      <c r="S5521" s="102">
        <f t="shared" si="2703"/>
        <v>0</v>
      </c>
      <c r="T5521" s="102">
        <f t="shared" si="2704"/>
        <v>0</v>
      </c>
      <c r="U5521" s="71" t="str">
        <f t="shared" si="2696"/>
        <v>O</v>
      </c>
      <c r="V5521" s="71"/>
      <c r="W5521" s="474">
        <f t="shared" si="2697"/>
        <v>0</v>
      </c>
      <c r="X5521" s="71"/>
      <c r="Y5521" s="71"/>
    </row>
    <row r="5522" spans="1:25" ht="30" hidden="1" customHeight="1" x14ac:dyDescent="0.25">
      <c r="A5522" s="1145">
        <v>44890</v>
      </c>
      <c r="B5522" s="664" t="s">
        <v>2255</v>
      </c>
      <c r="C5522" s="71" t="s">
        <v>1386</v>
      </c>
      <c r="D5522" s="71">
        <v>45</v>
      </c>
      <c r="E5522" s="102">
        <v>62000</v>
      </c>
      <c r="F5522" s="102">
        <f t="shared" si="2698"/>
        <v>3069000.0000000005</v>
      </c>
      <c r="G5522" s="102">
        <f t="shared" si="2699"/>
        <v>2790000</v>
      </c>
      <c r="H5522" s="690" t="s">
        <v>179</v>
      </c>
      <c r="I5522" s="71" t="s">
        <v>3405</v>
      </c>
      <c r="J5522" s="53">
        <f t="shared" si="2705"/>
        <v>978750</v>
      </c>
      <c r="K5522" s="63">
        <f t="shared" si="2706"/>
        <v>0.35080645161290319</v>
      </c>
      <c r="L5522" s="1212" t="s">
        <v>3607</v>
      </c>
      <c r="M5522" s="468"/>
      <c r="N5522" s="1192">
        <f t="shared" si="2700"/>
        <v>44890</v>
      </c>
      <c r="O5522" s="71" t="s">
        <v>194</v>
      </c>
      <c r="P5522" s="103" t="str">
        <f t="shared" si="2701"/>
        <v>THR200(20L)보충액</v>
      </c>
      <c r="Q5522" s="71">
        <f t="shared" si="2702"/>
        <v>45</v>
      </c>
      <c r="R5522" s="102">
        <v>40250</v>
      </c>
      <c r="S5522" s="102">
        <f t="shared" si="2703"/>
        <v>1992375.0000000002</v>
      </c>
      <c r="T5522" s="102">
        <f t="shared" si="2704"/>
        <v>1811250</v>
      </c>
      <c r="U5522" s="71" t="str">
        <f t="shared" si="2696"/>
        <v>O</v>
      </c>
      <c r="V5522" s="71"/>
      <c r="W5522" s="474">
        <f t="shared" si="2697"/>
        <v>978750</v>
      </c>
      <c r="X5522" s="71"/>
      <c r="Y5522" s="71"/>
    </row>
    <row r="5523" spans="1:25" ht="30" hidden="1" customHeight="1" x14ac:dyDescent="0.25">
      <c r="A5523" s="1145">
        <v>44890</v>
      </c>
      <c r="B5523" s="664" t="s">
        <v>2255</v>
      </c>
      <c r="C5523" s="71" t="s">
        <v>3318</v>
      </c>
      <c r="D5523" s="71">
        <v>10</v>
      </c>
      <c r="E5523" s="102">
        <v>62000</v>
      </c>
      <c r="F5523" s="102">
        <f t="shared" si="2698"/>
        <v>682000</v>
      </c>
      <c r="G5523" s="102">
        <f t="shared" si="2699"/>
        <v>620000</v>
      </c>
      <c r="H5523" s="690" t="s">
        <v>36</v>
      </c>
      <c r="I5523" s="71" t="s">
        <v>2529</v>
      </c>
      <c r="J5523" s="53">
        <f t="shared" si="2705"/>
        <v>217500</v>
      </c>
      <c r="K5523" s="63">
        <f t="shared" si="2706"/>
        <v>0.35080645161290325</v>
      </c>
      <c r="L5523" s="1212" t="s">
        <v>3607</v>
      </c>
      <c r="M5523" s="468"/>
      <c r="N5523" s="1192">
        <f t="shared" si="2700"/>
        <v>44890</v>
      </c>
      <c r="O5523" s="71" t="s">
        <v>3298</v>
      </c>
      <c r="P5523" s="103" t="str">
        <f t="shared" si="2701"/>
        <v>THD200(20L)현상액</v>
      </c>
      <c r="Q5523" s="71">
        <f t="shared" si="2702"/>
        <v>10</v>
      </c>
      <c r="R5523" s="102">
        <v>40250</v>
      </c>
      <c r="S5523" s="102">
        <f t="shared" si="2703"/>
        <v>442750.00000000006</v>
      </c>
      <c r="T5523" s="102">
        <f t="shared" si="2704"/>
        <v>402500</v>
      </c>
      <c r="U5523" s="71" t="str">
        <f t="shared" si="2696"/>
        <v>O</v>
      </c>
      <c r="V5523" s="71"/>
      <c r="W5523" s="474">
        <f t="shared" si="2697"/>
        <v>217500</v>
      </c>
      <c r="X5523" s="71"/>
      <c r="Y5523" s="71"/>
    </row>
    <row r="5524" spans="1:25" ht="30" hidden="1" customHeight="1" x14ac:dyDescent="0.25">
      <c r="A5524" s="1145">
        <v>44890</v>
      </c>
      <c r="B5524" s="664" t="s">
        <v>2254</v>
      </c>
      <c r="C5524" s="71" t="s">
        <v>3319</v>
      </c>
      <c r="D5524" s="71">
        <v>400</v>
      </c>
      <c r="E5524" s="102">
        <v>6328</v>
      </c>
      <c r="F5524" s="102">
        <f t="shared" si="2698"/>
        <v>2784320</v>
      </c>
      <c r="G5524" s="102">
        <f t="shared" si="2699"/>
        <v>2531200</v>
      </c>
      <c r="H5524" s="690" t="s">
        <v>36</v>
      </c>
      <c r="I5524" s="71" t="s">
        <v>3320</v>
      </c>
      <c r="J5524" s="53">
        <f t="shared" si="2705"/>
        <v>191200</v>
      </c>
      <c r="K5524" s="63">
        <f t="shared" si="2706"/>
        <v>7.5537294563843241E-2</v>
      </c>
      <c r="L5524" s="1212" t="s">
        <v>3607</v>
      </c>
      <c r="M5524" s="468"/>
      <c r="N5524" s="1192">
        <f t="shared" si="2700"/>
        <v>44890</v>
      </c>
      <c r="O5524" s="71" t="s">
        <v>146</v>
      </c>
      <c r="P5524" s="103" t="str">
        <f t="shared" si="2701"/>
        <v>프리미어(먹)</v>
      </c>
      <c r="Q5524" s="71">
        <f t="shared" si="2702"/>
        <v>400</v>
      </c>
      <c r="R5524" s="102">
        <v>5850</v>
      </c>
      <c r="S5524" s="102">
        <f t="shared" si="2703"/>
        <v>2574000</v>
      </c>
      <c r="T5524" s="102">
        <f t="shared" si="2704"/>
        <v>2340000</v>
      </c>
      <c r="U5524" s="71" t="str">
        <f t="shared" si="2696"/>
        <v>O</v>
      </c>
      <c r="V5524" s="71"/>
      <c r="W5524" s="474">
        <f t="shared" si="2697"/>
        <v>191200</v>
      </c>
      <c r="X5524" s="71"/>
      <c r="Y5524" s="71"/>
    </row>
    <row r="5525" spans="1:25" ht="30" hidden="1" customHeight="1" x14ac:dyDescent="0.25">
      <c r="A5525" s="1145">
        <v>44890</v>
      </c>
      <c r="B5525" s="664" t="s">
        <v>2254</v>
      </c>
      <c r="C5525" s="71" t="s">
        <v>3321</v>
      </c>
      <c r="D5525" s="71">
        <v>400</v>
      </c>
      <c r="E5525" s="102">
        <v>6780</v>
      </c>
      <c r="F5525" s="102">
        <f t="shared" si="2698"/>
        <v>2983200.0000000005</v>
      </c>
      <c r="G5525" s="102">
        <f t="shared" si="2699"/>
        <v>2712000</v>
      </c>
      <c r="H5525" s="690" t="s">
        <v>36</v>
      </c>
      <c r="I5525" s="71" t="s">
        <v>3320</v>
      </c>
      <c r="J5525" s="53">
        <f t="shared" si="2705"/>
        <v>200000</v>
      </c>
      <c r="K5525" s="63">
        <f t="shared" si="2706"/>
        <v>7.3746312684365767E-2</v>
      </c>
      <c r="L5525" s="1212" t="s">
        <v>3607</v>
      </c>
      <c r="M5525" s="468"/>
      <c r="N5525" s="1192">
        <f t="shared" si="2700"/>
        <v>44890</v>
      </c>
      <c r="O5525" s="71" t="s">
        <v>146</v>
      </c>
      <c r="P5525" s="103" t="str">
        <f t="shared" si="2701"/>
        <v>프리미어(적)</v>
      </c>
      <c r="Q5525" s="71">
        <f t="shared" si="2702"/>
        <v>400</v>
      </c>
      <c r="R5525" s="102">
        <v>6280</v>
      </c>
      <c r="S5525" s="102">
        <f t="shared" si="2703"/>
        <v>2763200</v>
      </c>
      <c r="T5525" s="102">
        <f t="shared" si="2704"/>
        <v>2512000</v>
      </c>
      <c r="U5525" s="71" t="str">
        <f t="shared" si="2696"/>
        <v>O</v>
      </c>
      <c r="V5525" s="71"/>
      <c r="W5525" s="474">
        <f t="shared" si="2697"/>
        <v>200000</v>
      </c>
      <c r="X5525" s="71"/>
      <c r="Y5525" s="71"/>
    </row>
    <row r="5526" spans="1:25" ht="30" hidden="1" customHeight="1" x14ac:dyDescent="0.25">
      <c r="A5526" s="1145">
        <v>44890</v>
      </c>
      <c r="B5526" s="664" t="s">
        <v>2254</v>
      </c>
      <c r="C5526" s="71" t="s">
        <v>1289</v>
      </c>
      <c r="D5526" s="71">
        <v>600</v>
      </c>
      <c r="E5526" s="102">
        <v>6498</v>
      </c>
      <c r="F5526" s="102">
        <f t="shared" si="2698"/>
        <v>4288680</v>
      </c>
      <c r="G5526" s="102">
        <f t="shared" si="2699"/>
        <v>3898800</v>
      </c>
      <c r="H5526" s="690" t="s">
        <v>36</v>
      </c>
      <c r="I5526" s="71" t="s">
        <v>3320</v>
      </c>
      <c r="J5526" s="53">
        <f t="shared" si="2705"/>
        <v>286800</v>
      </c>
      <c r="K5526" s="63">
        <f t="shared" si="2706"/>
        <v>7.3561095721760547E-2</v>
      </c>
      <c r="L5526" s="1212" t="s">
        <v>3607</v>
      </c>
      <c r="M5526" s="468"/>
      <c r="N5526" s="1192">
        <f t="shared" si="2700"/>
        <v>44890</v>
      </c>
      <c r="O5526" s="71" t="s">
        <v>146</v>
      </c>
      <c r="P5526" s="103" t="str">
        <f t="shared" si="2701"/>
        <v>프리미어(황)</v>
      </c>
      <c r="Q5526" s="71">
        <f t="shared" si="2702"/>
        <v>600</v>
      </c>
      <c r="R5526" s="102">
        <v>6020</v>
      </c>
      <c r="S5526" s="102">
        <f t="shared" si="2703"/>
        <v>3973200.0000000005</v>
      </c>
      <c r="T5526" s="102">
        <f t="shared" si="2704"/>
        <v>3612000</v>
      </c>
      <c r="U5526" s="71" t="str">
        <f t="shared" si="2696"/>
        <v>O</v>
      </c>
      <c r="V5526" s="71"/>
      <c r="W5526" s="474">
        <f t="shared" si="2697"/>
        <v>286800</v>
      </c>
      <c r="X5526" s="71"/>
      <c r="Y5526" s="71"/>
    </row>
    <row r="5527" spans="1:25" ht="30" hidden="1" customHeight="1" x14ac:dyDescent="0.25">
      <c r="A5527" s="1145">
        <v>44890</v>
      </c>
      <c r="B5527" s="664" t="s">
        <v>2254</v>
      </c>
      <c r="C5527" s="71" t="s">
        <v>1290</v>
      </c>
      <c r="D5527" s="71">
        <v>600</v>
      </c>
      <c r="E5527" s="102">
        <v>7910</v>
      </c>
      <c r="F5527" s="102">
        <f t="shared" si="2698"/>
        <v>5220600</v>
      </c>
      <c r="G5527" s="102">
        <f t="shared" si="2699"/>
        <v>4746000</v>
      </c>
      <c r="H5527" s="690" t="s">
        <v>36</v>
      </c>
      <c r="I5527" s="71" t="s">
        <v>3320</v>
      </c>
      <c r="J5527" s="53">
        <f t="shared" si="2705"/>
        <v>360000</v>
      </c>
      <c r="K5527" s="63">
        <f t="shared" si="2706"/>
        <v>7.5853350189633378E-2</v>
      </c>
      <c r="L5527" s="1212" t="s">
        <v>3607</v>
      </c>
      <c r="M5527" s="468"/>
      <c r="N5527" s="1192">
        <f t="shared" si="2700"/>
        <v>44890</v>
      </c>
      <c r="O5527" s="71" t="s">
        <v>146</v>
      </c>
      <c r="P5527" s="103" t="str">
        <f t="shared" si="2701"/>
        <v>프리미어(청)</v>
      </c>
      <c r="Q5527" s="71">
        <f t="shared" si="2702"/>
        <v>600</v>
      </c>
      <c r="R5527" s="102">
        <v>7310</v>
      </c>
      <c r="S5527" s="102">
        <f t="shared" ref="S5527:S5532" si="2707">R5527*Q5527*1.1</f>
        <v>4824600</v>
      </c>
      <c r="T5527" s="102">
        <f t="shared" ref="T5527:T5532" si="2708">R5527*Q5527</f>
        <v>4386000</v>
      </c>
      <c r="U5527" s="71" t="str">
        <f t="shared" si="2696"/>
        <v>O</v>
      </c>
      <c r="V5527" s="71"/>
      <c r="W5527" s="474">
        <f t="shared" si="2697"/>
        <v>360000</v>
      </c>
      <c r="X5527" s="71"/>
      <c r="Y5527" s="71"/>
    </row>
    <row r="5528" spans="1:25" ht="30" hidden="1" customHeight="1" x14ac:dyDescent="0.25">
      <c r="A5528" s="1145">
        <v>44890</v>
      </c>
      <c r="B5528" s="664" t="s">
        <v>2254</v>
      </c>
      <c r="C5528" s="71" t="s">
        <v>3322</v>
      </c>
      <c r="D5528" s="71">
        <v>0</v>
      </c>
      <c r="E5528" s="102">
        <v>7150</v>
      </c>
      <c r="F5528" s="102">
        <f t="shared" si="2698"/>
        <v>0</v>
      </c>
      <c r="G5528" s="102">
        <f t="shared" si="2699"/>
        <v>0</v>
      </c>
      <c r="H5528" s="690" t="s">
        <v>36</v>
      </c>
      <c r="I5528" s="71" t="s">
        <v>3320</v>
      </c>
      <c r="J5528" s="53">
        <f t="shared" si="2705"/>
        <v>0</v>
      </c>
      <c r="K5528" s="63" t="e">
        <f t="shared" si="2706"/>
        <v>#DIV/0!</v>
      </c>
      <c r="L5528" s="1212" t="s">
        <v>3607</v>
      </c>
      <c r="M5528" s="468"/>
      <c r="N5528" s="1192">
        <f t="shared" si="2700"/>
        <v>44890</v>
      </c>
      <c r="O5528" s="71" t="s">
        <v>3323</v>
      </c>
      <c r="P5528" s="103" t="str">
        <f t="shared" si="2701"/>
        <v>한특 잉크(적)</v>
      </c>
      <c r="Q5528" s="71">
        <f t="shared" si="2702"/>
        <v>0</v>
      </c>
      <c r="R5528" s="102">
        <v>6500</v>
      </c>
      <c r="S5528" s="102">
        <f t="shared" si="2707"/>
        <v>0</v>
      </c>
      <c r="T5528" s="102">
        <f t="shared" si="2708"/>
        <v>0</v>
      </c>
      <c r="U5528" s="71" t="str">
        <f t="shared" si="2696"/>
        <v>O</v>
      </c>
      <c r="V5528" s="71"/>
      <c r="W5528" s="474">
        <f t="shared" si="2697"/>
        <v>0</v>
      </c>
      <c r="X5528" s="71"/>
      <c r="Y5528" s="71"/>
    </row>
    <row r="5529" spans="1:25" ht="30" hidden="1" customHeight="1" x14ac:dyDescent="0.25">
      <c r="A5529" s="1145">
        <v>44890</v>
      </c>
      <c r="B5529" s="664" t="s">
        <v>2254</v>
      </c>
      <c r="C5529" s="71" t="s">
        <v>3324</v>
      </c>
      <c r="D5529" s="71">
        <v>0</v>
      </c>
      <c r="E5529" s="102">
        <v>6900</v>
      </c>
      <c r="F5529" s="102">
        <f t="shared" si="2698"/>
        <v>0</v>
      </c>
      <c r="G5529" s="102">
        <f t="shared" si="2699"/>
        <v>0</v>
      </c>
      <c r="H5529" s="690" t="s">
        <v>36</v>
      </c>
      <c r="I5529" s="71" t="s">
        <v>3320</v>
      </c>
      <c r="J5529" s="53">
        <f t="shared" si="2705"/>
        <v>0</v>
      </c>
      <c r="K5529" s="63" t="e">
        <f t="shared" si="2706"/>
        <v>#DIV/0!</v>
      </c>
      <c r="L5529" s="1212" t="s">
        <v>3607</v>
      </c>
      <c r="M5529" s="468"/>
      <c r="N5529" s="1192">
        <f t="shared" si="2700"/>
        <v>44890</v>
      </c>
      <c r="O5529" s="71" t="s">
        <v>3323</v>
      </c>
      <c r="P5529" s="103" t="str">
        <f t="shared" si="2701"/>
        <v>한특 잉크(황)</v>
      </c>
      <c r="Q5529" s="71">
        <f t="shared" si="2702"/>
        <v>0</v>
      </c>
      <c r="R5529" s="102">
        <v>6200</v>
      </c>
      <c r="S5529" s="102">
        <f t="shared" si="2707"/>
        <v>0</v>
      </c>
      <c r="T5529" s="102">
        <f t="shared" si="2708"/>
        <v>0</v>
      </c>
      <c r="U5529" s="71" t="str">
        <f t="shared" si="2696"/>
        <v>O</v>
      </c>
      <c r="V5529" s="71"/>
      <c r="W5529" s="474">
        <f t="shared" si="2697"/>
        <v>0</v>
      </c>
      <c r="X5529" s="71"/>
      <c r="Y5529" s="71"/>
    </row>
    <row r="5530" spans="1:25" ht="28.5" hidden="1" customHeight="1" x14ac:dyDescent="0.25">
      <c r="A5530" s="1145">
        <v>44890</v>
      </c>
      <c r="B5530" s="664" t="s">
        <v>2254</v>
      </c>
      <c r="C5530" s="71" t="s">
        <v>3325</v>
      </c>
      <c r="D5530" s="71">
        <v>0</v>
      </c>
      <c r="E5530" s="102">
        <v>7500</v>
      </c>
      <c r="F5530" s="102">
        <f t="shared" si="2698"/>
        <v>0</v>
      </c>
      <c r="G5530" s="102">
        <f t="shared" si="2699"/>
        <v>0</v>
      </c>
      <c r="H5530" s="690" t="s">
        <v>36</v>
      </c>
      <c r="I5530" s="71" t="s">
        <v>3320</v>
      </c>
      <c r="J5530" s="53">
        <f t="shared" si="2705"/>
        <v>0</v>
      </c>
      <c r="K5530" s="63" t="e">
        <f t="shared" si="2706"/>
        <v>#DIV/0!</v>
      </c>
      <c r="L5530" s="1212" t="s">
        <v>3607</v>
      </c>
      <c r="M5530" s="468"/>
      <c r="N5530" s="1192">
        <f t="shared" si="2700"/>
        <v>44890</v>
      </c>
      <c r="O5530" s="71" t="s">
        <v>3323</v>
      </c>
      <c r="P5530" s="103" t="str">
        <f t="shared" si="2701"/>
        <v>한특 잉크(청)</v>
      </c>
      <c r="Q5530" s="71">
        <f t="shared" si="2702"/>
        <v>0</v>
      </c>
      <c r="R5530" s="102">
        <v>6600</v>
      </c>
      <c r="S5530" s="102">
        <f t="shared" si="2707"/>
        <v>0</v>
      </c>
      <c r="T5530" s="102">
        <f t="shared" si="2708"/>
        <v>0</v>
      </c>
      <c r="U5530" s="71" t="str">
        <f t="shared" si="2696"/>
        <v>O</v>
      </c>
      <c r="V5530" s="71"/>
      <c r="W5530" s="474">
        <f t="shared" si="2697"/>
        <v>0</v>
      </c>
      <c r="X5530" s="71"/>
      <c r="Y5530" s="71"/>
    </row>
    <row r="5531" spans="1:25" ht="30" hidden="1" customHeight="1" x14ac:dyDescent="0.25">
      <c r="A5531" s="1145">
        <v>44890</v>
      </c>
      <c r="B5531" s="664" t="s">
        <v>2254</v>
      </c>
      <c r="C5531" s="71" t="s">
        <v>3326</v>
      </c>
      <c r="D5531" s="71">
        <v>0</v>
      </c>
      <c r="E5531" s="102">
        <v>6450</v>
      </c>
      <c r="F5531" s="102">
        <f t="shared" si="2698"/>
        <v>0</v>
      </c>
      <c r="G5531" s="102">
        <f t="shared" si="2699"/>
        <v>0</v>
      </c>
      <c r="H5531" s="690" t="s">
        <v>36</v>
      </c>
      <c r="I5531" s="71" t="s">
        <v>3320</v>
      </c>
      <c r="J5531" s="53">
        <f t="shared" si="2705"/>
        <v>0</v>
      </c>
      <c r="K5531" s="63" t="e">
        <f t="shared" si="2706"/>
        <v>#DIV/0!</v>
      </c>
      <c r="L5531" s="1212" t="s">
        <v>3607</v>
      </c>
      <c r="M5531" s="468"/>
      <c r="N5531" s="1192">
        <f t="shared" si="2700"/>
        <v>44890</v>
      </c>
      <c r="O5531" s="71" t="s">
        <v>3323</v>
      </c>
      <c r="P5531" s="103" t="str">
        <f t="shared" si="2701"/>
        <v>한특 잉크(먹)</v>
      </c>
      <c r="Q5531" s="71">
        <f t="shared" si="2702"/>
        <v>0</v>
      </c>
      <c r="R5531" s="102">
        <v>5700</v>
      </c>
      <c r="S5531" s="102">
        <f t="shared" si="2707"/>
        <v>0</v>
      </c>
      <c r="T5531" s="102">
        <f t="shared" si="2708"/>
        <v>0</v>
      </c>
      <c r="U5531" s="71" t="str">
        <f t="shared" si="2696"/>
        <v>O</v>
      </c>
      <c r="V5531" s="71"/>
      <c r="W5531" s="474">
        <f t="shared" si="2697"/>
        <v>0</v>
      </c>
      <c r="X5531" s="71"/>
      <c r="Y5531" s="71"/>
    </row>
    <row r="5532" spans="1:25" ht="30" hidden="1" customHeight="1" x14ac:dyDescent="0.25">
      <c r="A5532" s="1145">
        <v>44890</v>
      </c>
      <c r="B5532" s="664" t="s">
        <v>443</v>
      </c>
      <c r="C5532" s="71" t="s">
        <v>3392</v>
      </c>
      <c r="D5532" s="71">
        <v>8</v>
      </c>
      <c r="E5532" s="102">
        <v>218000</v>
      </c>
      <c r="F5532" s="102">
        <f t="shared" si="2698"/>
        <v>1918400.0000000002</v>
      </c>
      <c r="G5532" s="102">
        <f t="shared" si="2699"/>
        <v>1744000</v>
      </c>
      <c r="H5532" s="690" t="s">
        <v>172</v>
      </c>
      <c r="I5532" s="71" t="s">
        <v>184</v>
      </c>
      <c r="J5532" s="53">
        <f t="shared" si="2705"/>
        <v>464000</v>
      </c>
      <c r="K5532" s="63">
        <f t="shared" si="2706"/>
        <v>0.26605504587155959</v>
      </c>
      <c r="L5532" s="1212" t="s">
        <v>3607</v>
      </c>
      <c r="M5532" s="468" t="s">
        <v>3393</v>
      </c>
      <c r="N5532" s="1192">
        <f t="shared" si="2700"/>
        <v>44890</v>
      </c>
      <c r="O5532" s="71" t="s">
        <v>2030</v>
      </c>
      <c r="P5532" s="103" t="str">
        <f t="shared" si="2701"/>
        <v>윤전 블랑켓</v>
      </c>
      <c r="Q5532" s="71">
        <f t="shared" si="2702"/>
        <v>8</v>
      </c>
      <c r="R5532" s="102">
        <v>160000</v>
      </c>
      <c r="S5532" s="102">
        <f t="shared" si="2707"/>
        <v>1408000</v>
      </c>
      <c r="T5532" s="102">
        <f t="shared" si="2708"/>
        <v>1280000</v>
      </c>
      <c r="U5532" s="71" t="str">
        <f t="shared" si="2696"/>
        <v>O</v>
      </c>
      <c r="V5532" s="71" t="s">
        <v>3394</v>
      </c>
      <c r="W5532" s="474">
        <f t="shared" si="2697"/>
        <v>464000</v>
      </c>
      <c r="X5532" s="71"/>
      <c r="Y5532" s="71"/>
    </row>
    <row r="5533" spans="1:25" ht="30" hidden="1" customHeight="1" x14ac:dyDescent="0.25">
      <c r="A5533" s="1145">
        <v>44895</v>
      </c>
      <c r="B5533" s="664" t="s">
        <v>3575</v>
      </c>
      <c r="C5533" s="71" t="s">
        <v>3608</v>
      </c>
      <c r="D5533" s="71">
        <v>1</v>
      </c>
      <c r="E5533" s="102">
        <v>59500000</v>
      </c>
      <c r="F5533" s="102">
        <f t="shared" si="2698"/>
        <v>65450000.000000007</v>
      </c>
      <c r="G5533" s="102">
        <f t="shared" si="2699"/>
        <v>59500000</v>
      </c>
      <c r="H5533" s="690" t="s">
        <v>1786</v>
      </c>
      <c r="I5533" s="71" t="s">
        <v>1786</v>
      </c>
      <c r="J5533" s="53"/>
      <c r="K5533" s="63"/>
      <c r="L5533" s="1212" t="s">
        <v>3607</v>
      </c>
      <c r="M5533" s="102"/>
      <c r="N5533" s="1192">
        <f t="shared" si="2700"/>
        <v>44895</v>
      </c>
      <c r="O5533" s="71" t="s">
        <v>1786</v>
      </c>
      <c r="P5533" s="103" t="str">
        <f t="shared" si="2701"/>
        <v>자동 판교환 시스템 업그레이드 잔금</v>
      </c>
      <c r="Q5533" s="71">
        <f t="shared" si="2702"/>
        <v>1</v>
      </c>
      <c r="R5533" s="102"/>
      <c r="S5533" s="102">
        <f t="shared" si="2703"/>
        <v>0</v>
      </c>
      <c r="T5533" s="102">
        <f t="shared" si="2704"/>
        <v>0</v>
      </c>
      <c r="U5533" s="71"/>
      <c r="V5533" s="71"/>
      <c r="W5533" s="474"/>
      <c r="X5533" s="71"/>
      <c r="Y5533" s="71"/>
    </row>
    <row r="5534" spans="1:25" ht="30" hidden="1" customHeight="1" x14ac:dyDescent="0.25">
      <c r="A5534" s="1145">
        <v>44895</v>
      </c>
      <c r="B5534" s="664" t="s">
        <v>3581</v>
      </c>
      <c r="C5534" s="71" t="s">
        <v>3609</v>
      </c>
      <c r="D5534" s="71">
        <v>1</v>
      </c>
      <c r="E5534" s="102">
        <v>29400000</v>
      </c>
      <c r="F5534" s="102">
        <f t="shared" si="2698"/>
        <v>32340000.000000004</v>
      </c>
      <c r="G5534" s="102">
        <f t="shared" si="2699"/>
        <v>29400000</v>
      </c>
      <c r="H5534" s="690" t="s">
        <v>1786</v>
      </c>
      <c r="I5534" s="71" t="s">
        <v>1786</v>
      </c>
      <c r="J5534" s="53"/>
      <c r="K5534" s="63"/>
      <c r="L5534" s="1212" t="s">
        <v>3607</v>
      </c>
      <c r="M5534" s="102"/>
      <c r="N5534" s="1192">
        <f t="shared" si="2700"/>
        <v>44895</v>
      </c>
      <c r="O5534" s="71" t="s">
        <v>1786</v>
      </c>
      <c r="P5534" s="103" t="str">
        <f t="shared" si="2701"/>
        <v>1호기 스플라이서/드라이어 수리</v>
      </c>
      <c r="Q5534" s="71">
        <f t="shared" si="2702"/>
        <v>1</v>
      </c>
      <c r="R5534" s="102"/>
      <c r="S5534" s="102">
        <f t="shared" si="2703"/>
        <v>0</v>
      </c>
      <c r="T5534" s="102">
        <f t="shared" si="2704"/>
        <v>0</v>
      </c>
      <c r="U5534" s="71"/>
      <c r="V5534" s="71"/>
      <c r="W5534" s="474"/>
      <c r="X5534" s="71"/>
      <c r="Y5534" s="71"/>
    </row>
    <row r="5535" spans="1:25" ht="30" hidden="1" customHeight="1" x14ac:dyDescent="0.25">
      <c r="A5535" s="1145">
        <v>44895</v>
      </c>
      <c r="B5535" s="664" t="s">
        <v>3620</v>
      </c>
      <c r="C5535" s="71" t="s">
        <v>3610</v>
      </c>
      <c r="D5535" s="71">
        <v>1</v>
      </c>
      <c r="E5535" s="102">
        <v>52000000</v>
      </c>
      <c r="F5535" s="102">
        <f t="shared" si="2698"/>
        <v>57200000.000000007</v>
      </c>
      <c r="G5535" s="102">
        <f t="shared" si="2699"/>
        <v>52000000</v>
      </c>
      <c r="H5535" s="690" t="s">
        <v>1786</v>
      </c>
      <c r="I5535" s="71" t="s">
        <v>1786</v>
      </c>
      <c r="J5535" s="53"/>
      <c r="K5535" s="63"/>
      <c r="L5535" s="1212" t="s">
        <v>3607</v>
      </c>
      <c r="M5535" s="102"/>
      <c r="N5535" s="1192">
        <f t="shared" si="2700"/>
        <v>44895</v>
      </c>
      <c r="O5535" s="71" t="s">
        <v>1786</v>
      </c>
      <c r="P5535" s="103" t="str">
        <f t="shared" si="2701"/>
        <v>제작사 엔지니어 기계 점검</v>
      </c>
      <c r="Q5535" s="71">
        <f t="shared" si="2702"/>
        <v>1</v>
      </c>
      <c r="R5535" s="102"/>
      <c r="S5535" s="102">
        <f t="shared" si="2703"/>
        <v>0</v>
      </c>
      <c r="T5535" s="102">
        <f t="shared" si="2704"/>
        <v>0</v>
      </c>
      <c r="U5535" s="71"/>
      <c r="V5535" s="71"/>
      <c r="W5535" s="474"/>
      <c r="X5535" s="71"/>
      <c r="Y5535" s="71"/>
    </row>
    <row r="5536" spans="1:25" ht="30" hidden="1" customHeight="1" x14ac:dyDescent="0.25">
      <c r="A5536" s="1145">
        <v>44895</v>
      </c>
      <c r="B5536" s="664" t="s">
        <v>443</v>
      </c>
      <c r="C5536" s="71" t="s">
        <v>3611</v>
      </c>
      <c r="D5536" s="71">
        <v>1</v>
      </c>
      <c r="E5536" s="102">
        <v>2350000</v>
      </c>
      <c r="F5536" s="102">
        <f t="shared" si="2698"/>
        <v>2585000</v>
      </c>
      <c r="G5536" s="102">
        <f t="shared" si="2699"/>
        <v>2350000</v>
      </c>
      <c r="H5536" s="690" t="s">
        <v>179</v>
      </c>
      <c r="I5536" s="690" t="s">
        <v>179</v>
      </c>
      <c r="J5536" s="53">
        <f>G5536-T5536</f>
        <v>600000</v>
      </c>
      <c r="K5536" s="63">
        <f>(J5536/(F5536/11*10))</f>
        <v>0.25531914893617019</v>
      </c>
      <c r="L5536" s="1212" t="s">
        <v>3607</v>
      </c>
      <c r="M5536" s="468"/>
      <c r="N5536" s="1192">
        <f t="shared" si="2700"/>
        <v>44895</v>
      </c>
      <c r="O5536" s="71" t="s">
        <v>1786</v>
      </c>
      <c r="P5536" s="103" t="str">
        <f t="shared" si="2701"/>
        <v>11월분 Apogee 사용료</v>
      </c>
      <c r="Q5536" s="71">
        <f t="shared" si="2702"/>
        <v>1</v>
      </c>
      <c r="R5536" s="147">
        <v>1750000</v>
      </c>
      <c r="S5536" s="102">
        <f>R5536*Q5536*1.1</f>
        <v>1925000.0000000002</v>
      </c>
      <c r="T5536" s="102">
        <f>R5536*Q5536</f>
        <v>1750000</v>
      </c>
      <c r="U5536" s="71"/>
      <c r="V5536" s="71"/>
      <c r="W5536" s="474"/>
      <c r="X5536" s="71"/>
      <c r="Y5536" s="71"/>
    </row>
    <row r="5537" spans="1:25" ht="30" hidden="1" customHeight="1" x14ac:dyDescent="0.25">
      <c r="A5537" s="1145">
        <v>44895</v>
      </c>
      <c r="B5537" s="664" t="s">
        <v>443</v>
      </c>
      <c r="C5537" s="71" t="s">
        <v>3612</v>
      </c>
      <c r="D5537" s="71">
        <v>150</v>
      </c>
      <c r="E5537" s="102">
        <v>18000</v>
      </c>
      <c r="F5537" s="102">
        <f t="shared" si="2698"/>
        <v>2970000.0000000005</v>
      </c>
      <c r="G5537" s="102">
        <f t="shared" si="2699"/>
        <v>2700000</v>
      </c>
      <c r="H5537" s="690" t="s">
        <v>1786</v>
      </c>
      <c r="I5537" s="71" t="s">
        <v>1786</v>
      </c>
      <c r="J5537" s="53">
        <f>G5537-T5537</f>
        <v>1198500</v>
      </c>
      <c r="K5537" s="63">
        <f>(J5537/(F5537/11*10))</f>
        <v>0.44388888888888883</v>
      </c>
      <c r="L5537" s="1212" t="s">
        <v>3607</v>
      </c>
      <c r="M5537" s="468"/>
      <c r="N5537" s="1192">
        <f t="shared" si="2700"/>
        <v>44895</v>
      </c>
      <c r="O5537" s="71" t="s">
        <v>1786</v>
      </c>
      <c r="P5537" s="103" t="str">
        <f t="shared" si="2701"/>
        <v>스트리퍼</v>
      </c>
      <c r="Q5537" s="71">
        <f t="shared" si="2702"/>
        <v>150</v>
      </c>
      <c r="R5537" s="102">
        <v>10010</v>
      </c>
      <c r="S5537" s="102">
        <f>R5537*Q5537*1.1</f>
        <v>1651650.0000000002</v>
      </c>
      <c r="T5537" s="102">
        <f>R5537*Q5537</f>
        <v>1501500</v>
      </c>
      <c r="U5537" s="71"/>
      <c r="V5537" s="71"/>
      <c r="W5537" s="474"/>
      <c r="X5537" s="71"/>
      <c r="Y5537" s="71"/>
    </row>
    <row r="5538" spans="1:25" ht="30" hidden="1" customHeight="1" x14ac:dyDescent="0.25">
      <c r="A5538" s="1145">
        <v>44895</v>
      </c>
      <c r="B5538" s="664" t="s">
        <v>446</v>
      </c>
      <c r="C5538" s="71" t="s">
        <v>3613</v>
      </c>
      <c r="D5538" s="71">
        <v>5</v>
      </c>
      <c r="E5538" s="102">
        <v>70000</v>
      </c>
      <c r="F5538" s="102">
        <f t="shared" si="2698"/>
        <v>385000.00000000006</v>
      </c>
      <c r="G5538" s="102">
        <f t="shared" si="2699"/>
        <v>350000</v>
      </c>
      <c r="H5538" s="690" t="s">
        <v>1786</v>
      </c>
      <c r="I5538" s="71" t="s">
        <v>1786</v>
      </c>
      <c r="J5538" s="53"/>
      <c r="K5538" s="63"/>
      <c r="L5538" s="1212" t="s">
        <v>3607</v>
      </c>
      <c r="M5538" s="102"/>
      <c r="N5538" s="1192">
        <f t="shared" si="2700"/>
        <v>44895</v>
      </c>
      <c r="O5538" s="71" t="s">
        <v>1786</v>
      </c>
      <c r="P5538" s="103" t="str">
        <f t="shared" si="2701"/>
        <v>포텐시오미터</v>
      </c>
      <c r="Q5538" s="71">
        <f t="shared" si="2702"/>
        <v>5</v>
      </c>
      <c r="R5538" s="102">
        <v>24000</v>
      </c>
      <c r="S5538" s="102">
        <f t="shared" si="2703"/>
        <v>132000</v>
      </c>
      <c r="T5538" s="102">
        <f t="shared" si="2704"/>
        <v>120000</v>
      </c>
      <c r="U5538" s="71"/>
      <c r="V5538" s="71"/>
      <c r="W5538" s="474"/>
      <c r="X5538" s="71"/>
      <c r="Y5538" s="71"/>
    </row>
    <row r="5539" spans="1:25" ht="30" hidden="1" customHeight="1" x14ac:dyDescent="0.25">
      <c r="A5539" s="1145">
        <v>44895</v>
      </c>
      <c r="B5539" s="664" t="s">
        <v>446</v>
      </c>
      <c r="C5539" s="71" t="s">
        <v>3612</v>
      </c>
      <c r="D5539" s="71">
        <v>50</v>
      </c>
      <c r="E5539" s="102">
        <v>18000</v>
      </c>
      <c r="F5539" s="102">
        <f t="shared" si="2698"/>
        <v>990000.00000000012</v>
      </c>
      <c r="G5539" s="102">
        <f t="shared" si="2699"/>
        <v>900000</v>
      </c>
      <c r="H5539" s="690" t="s">
        <v>1786</v>
      </c>
      <c r="I5539" s="71" t="s">
        <v>1786</v>
      </c>
      <c r="J5539" s="53"/>
      <c r="K5539" s="63"/>
      <c r="L5539" s="1212" t="s">
        <v>3607</v>
      </c>
      <c r="M5539" s="468"/>
      <c r="N5539" s="1192">
        <f t="shared" si="2700"/>
        <v>44895</v>
      </c>
      <c r="O5539" s="71" t="s">
        <v>1786</v>
      </c>
      <c r="P5539" s="103" t="str">
        <f t="shared" si="2701"/>
        <v>스트리퍼</v>
      </c>
      <c r="Q5539" s="71">
        <f t="shared" si="2702"/>
        <v>50</v>
      </c>
      <c r="R5539" s="102">
        <v>10014</v>
      </c>
      <c r="S5539" s="102">
        <f t="shared" si="2703"/>
        <v>550770</v>
      </c>
      <c r="T5539" s="102">
        <f t="shared" si="2704"/>
        <v>500700</v>
      </c>
      <c r="U5539" s="71"/>
      <c r="V5539" s="71"/>
      <c r="W5539" s="474"/>
      <c r="X5539" s="71"/>
      <c r="Y5539" s="71"/>
    </row>
    <row r="5540" spans="1:25" ht="30" hidden="1" customHeight="1" x14ac:dyDescent="0.25">
      <c r="A5540" s="1145">
        <v>44895</v>
      </c>
      <c r="B5540" s="664" t="s">
        <v>446</v>
      </c>
      <c r="C5540" s="71" t="s">
        <v>3614</v>
      </c>
      <c r="D5540" s="71">
        <v>1</v>
      </c>
      <c r="E5540" s="102">
        <v>630000</v>
      </c>
      <c r="F5540" s="102">
        <f t="shared" si="2698"/>
        <v>693000</v>
      </c>
      <c r="G5540" s="102">
        <f t="shared" si="2699"/>
        <v>630000</v>
      </c>
      <c r="H5540" s="690" t="s">
        <v>1786</v>
      </c>
      <c r="I5540" s="71" t="s">
        <v>1786</v>
      </c>
      <c r="J5540" s="53"/>
      <c r="K5540" s="63"/>
      <c r="L5540" s="1212" t="s">
        <v>3607</v>
      </c>
      <c r="M5540" s="468"/>
      <c r="N5540" s="1192">
        <f t="shared" si="2700"/>
        <v>44895</v>
      </c>
      <c r="O5540" s="71" t="s">
        <v>1786</v>
      </c>
      <c r="P5540" s="103" t="str">
        <f t="shared" si="2701"/>
        <v>전압 릴레이</v>
      </c>
      <c r="Q5540" s="71">
        <f t="shared" si="2702"/>
        <v>1</v>
      </c>
      <c r="R5540" s="102">
        <v>423906</v>
      </c>
      <c r="S5540" s="102">
        <f t="shared" si="2703"/>
        <v>466296.60000000003</v>
      </c>
      <c r="T5540" s="102">
        <f t="shared" si="2704"/>
        <v>423906</v>
      </c>
      <c r="U5540" s="71"/>
      <c r="V5540" s="71"/>
      <c r="W5540" s="474"/>
      <c r="X5540" s="71"/>
      <c r="Y5540" s="71"/>
    </row>
    <row r="5541" spans="1:25" s="209" customFormat="1" ht="30" hidden="1" customHeight="1" x14ac:dyDescent="0.25">
      <c r="A5541" s="1145">
        <v>44895</v>
      </c>
      <c r="B5541" s="664" t="s">
        <v>446</v>
      </c>
      <c r="C5541" s="71" t="s">
        <v>3615</v>
      </c>
      <c r="D5541" s="71">
        <v>1</v>
      </c>
      <c r="E5541" s="102">
        <v>270000</v>
      </c>
      <c r="F5541" s="102">
        <f t="shared" si="2698"/>
        <v>297000</v>
      </c>
      <c r="G5541" s="102">
        <f t="shared" si="2699"/>
        <v>270000</v>
      </c>
      <c r="H5541" s="690" t="s">
        <v>1786</v>
      </c>
      <c r="I5541" s="71" t="s">
        <v>1786</v>
      </c>
      <c r="J5541" s="53"/>
      <c r="K5541" s="63"/>
      <c r="L5541" s="1212" t="s">
        <v>3607</v>
      </c>
      <c r="M5541" s="468"/>
      <c r="N5541" s="1192">
        <f t="shared" si="2700"/>
        <v>44895</v>
      </c>
      <c r="O5541" s="71" t="s">
        <v>1786</v>
      </c>
      <c r="P5541" s="164" t="str">
        <f t="shared" si="2701"/>
        <v>타이밍 릴레이</v>
      </c>
      <c r="Q5541" s="71">
        <f t="shared" si="2702"/>
        <v>1</v>
      </c>
      <c r="R5541" s="102">
        <v>169494</v>
      </c>
      <c r="S5541" s="102">
        <f t="shared" si="2703"/>
        <v>186443.40000000002</v>
      </c>
      <c r="T5541" s="102">
        <f t="shared" si="2704"/>
        <v>169494</v>
      </c>
      <c r="U5541" s="71"/>
      <c r="V5541" s="71"/>
      <c r="W5541" s="474"/>
      <c r="X5541" s="71"/>
      <c r="Y5541" s="71"/>
    </row>
    <row r="5542" spans="1:25" ht="30" hidden="1" customHeight="1" x14ac:dyDescent="0.25">
      <c r="A5542" s="1145">
        <v>44895</v>
      </c>
      <c r="B5542" s="664" t="s">
        <v>446</v>
      </c>
      <c r="C5542" s="71" t="s">
        <v>3616</v>
      </c>
      <c r="D5542" s="71">
        <v>1</v>
      </c>
      <c r="E5542" s="102">
        <v>500000</v>
      </c>
      <c r="F5542" s="102">
        <f t="shared" si="2698"/>
        <v>550000</v>
      </c>
      <c r="G5542" s="102">
        <f t="shared" si="2699"/>
        <v>500000</v>
      </c>
      <c r="H5542" s="690" t="s">
        <v>1786</v>
      </c>
      <c r="I5542" s="71" t="s">
        <v>1786</v>
      </c>
      <c r="J5542" s="53"/>
      <c r="K5542" s="63"/>
      <c r="L5542" s="1212" t="s">
        <v>3607</v>
      </c>
      <c r="M5542" s="468"/>
      <c r="N5542" s="1192">
        <f t="shared" si="2700"/>
        <v>44895</v>
      </c>
      <c r="O5542" s="71" t="s">
        <v>1786</v>
      </c>
      <c r="P5542" s="103" t="str">
        <f t="shared" si="2701"/>
        <v>아스테이지</v>
      </c>
      <c r="Q5542" s="71">
        <f t="shared" si="2702"/>
        <v>1</v>
      </c>
      <c r="R5542" s="102"/>
      <c r="S5542" s="102">
        <f t="shared" si="2703"/>
        <v>0</v>
      </c>
      <c r="T5542" s="102">
        <f t="shared" si="2704"/>
        <v>0</v>
      </c>
      <c r="U5542" s="71"/>
      <c r="V5542" s="71"/>
      <c r="W5542" s="474"/>
      <c r="X5542" s="71"/>
      <c r="Y5542" s="71"/>
    </row>
    <row r="5543" spans="1:25" s="209" customFormat="1" ht="30" customHeight="1" x14ac:dyDescent="0.25">
      <c r="A5543" s="1145">
        <v>44895</v>
      </c>
      <c r="B5543" s="664" t="s">
        <v>2352</v>
      </c>
      <c r="C5543" s="71" t="s">
        <v>3617</v>
      </c>
      <c r="D5543" s="71">
        <v>30</v>
      </c>
      <c r="E5543" s="102">
        <v>16000</v>
      </c>
      <c r="F5543" s="102">
        <f t="shared" si="2698"/>
        <v>528000</v>
      </c>
      <c r="G5543" s="102">
        <f t="shared" si="2699"/>
        <v>480000</v>
      </c>
      <c r="H5543" s="690" t="s">
        <v>1786</v>
      </c>
      <c r="I5543" s="71" t="s">
        <v>142</v>
      </c>
      <c r="J5543" s="53"/>
      <c r="K5543" s="63"/>
      <c r="L5543" s="1212" t="s">
        <v>3607</v>
      </c>
      <c r="M5543" s="468"/>
      <c r="N5543" s="1192">
        <f t="shared" si="2700"/>
        <v>44895</v>
      </c>
      <c r="O5543" s="71" t="s">
        <v>1786</v>
      </c>
      <c r="P5543" s="164" t="str">
        <f t="shared" si="2701"/>
        <v>M-600 잉크집 호일</v>
      </c>
      <c r="Q5543" s="71">
        <f t="shared" si="2702"/>
        <v>30</v>
      </c>
      <c r="R5543" s="102"/>
      <c r="S5543" s="102">
        <f t="shared" si="2703"/>
        <v>0</v>
      </c>
      <c r="T5543" s="102">
        <f t="shared" si="2704"/>
        <v>0</v>
      </c>
      <c r="U5543" s="71"/>
      <c r="V5543" s="71"/>
      <c r="W5543" s="474"/>
      <c r="X5543" s="71"/>
      <c r="Y5543" s="71"/>
    </row>
    <row r="5544" spans="1:25" ht="30" hidden="1" customHeight="1" x14ac:dyDescent="0.25">
      <c r="A5544" s="1210" t="s">
        <v>3622</v>
      </c>
      <c r="B5544" s="1211" t="s">
        <v>544</v>
      </c>
      <c r="C5544" s="960"/>
      <c r="D5544" s="960"/>
      <c r="E5544" s="952"/>
      <c r="F5544" s="952"/>
      <c r="G5544" s="952"/>
      <c r="H5544" s="1206"/>
      <c r="I5544" s="960"/>
      <c r="J5544" s="952"/>
      <c r="K5544" s="953"/>
      <c r="L5544" s="1212" t="s">
        <v>3623</v>
      </c>
      <c r="M5544" s="1207"/>
      <c r="N5544" s="1208" t="str">
        <f t="shared" si="2700"/>
        <v>2022,12</v>
      </c>
      <c r="O5544" s="960"/>
      <c r="P5544" s="1209"/>
      <c r="Q5544" s="960"/>
      <c r="R5544" s="952"/>
      <c r="S5544" s="952"/>
      <c r="T5544" s="952"/>
      <c r="U5544" s="960"/>
      <c r="V5544" s="960"/>
      <c r="W5544" s="474">
        <f>(G5544-T5544)</f>
        <v>0</v>
      </c>
      <c r="X5544" s="71"/>
      <c r="Y5544" s="71"/>
    </row>
    <row r="5545" spans="1:25" s="209" customFormat="1" ht="30" hidden="1" customHeight="1" x14ac:dyDescent="0.2">
      <c r="A5545" s="1145">
        <v>44915</v>
      </c>
      <c r="B5545" s="664" t="s">
        <v>2155</v>
      </c>
      <c r="C5545" s="71" t="s">
        <v>236</v>
      </c>
      <c r="D5545" s="71">
        <v>2</v>
      </c>
      <c r="E5545" s="102">
        <v>105000</v>
      </c>
      <c r="F5545" s="163">
        <f t="shared" ref="F5545:F5551" si="2709">(E5545*D5545)*1.1</f>
        <v>231000.00000000003</v>
      </c>
      <c r="G5545" s="102">
        <f t="shared" ref="G5545:G5551" si="2710">(E5545*D5545)</f>
        <v>210000</v>
      </c>
      <c r="H5545" s="690" t="s">
        <v>173</v>
      </c>
      <c r="I5545" s="71" t="s">
        <v>2231</v>
      </c>
      <c r="J5545" s="53">
        <f t="shared" ref="J5545:J5551" si="2711">G5545-T5545</f>
        <v>110000</v>
      </c>
      <c r="K5545" s="63">
        <f t="shared" ref="K5545:K5551" si="2712">(J5545/(F5545/11*10))</f>
        <v>0.52380952380952372</v>
      </c>
      <c r="L5545" s="1212" t="s">
        <v>3624</v>
      </c>
      <c r="M5545" s="468"/>
      <c r="N5545" s="1192">
        <f t="shared" si="2700"/>
        <v>44915</v>
      </c>
      <c r="O5545" s="71" t="s">
        <v>153</v>
      </c>
      <c r="P5545" s="164" t="str">
        <f t="shared" ref="P5545:P5551" si="2713">(C5545)</f>
        <v>아스테이지(국전)</v>
      </c>
      <c r="Q5545" s="71">
        <f t="shared" ref="Q5545:Q5551" si="2714">D5545</f>
        <v>2</v>
      </c>
      <c r="R5545" s="102">
        <v>50000</v>
      </c>
      <c r="S5545" s="102">
        <f t="shared" ref="S5545:S5551" si="2715">R5545*Q5545*1.1</f>
        <v>110000.00000000001</v>
      </c>
      <c r="T5545" s="102">
        <f t="shared" ref="T5545:T5551" si="2716">R5545*Q5545</f>
        <v>100000</v>
      </c>
      <c r="U5545" s="71" t="str">
        <f>IF(J5545=W5545,"O", "X")</f>
        <v>X</v>
      </c>
      <c r="V5545" s="71"/>
      <c r="W5545" s="474">
        <v>500000</v>
      </c>
      <c r="X5545" s="71"/>
      <c r="Y5545" s="71"/>
    </row>
    <row r="5546" spans="1:25" ht="30" hidden="1" customHeight="1" x14ac:dyDescent="0.25">
      <c r="A5546" s="1145">
        <v>44900</v>
      </c>
      <c r="B5546" s="664" t="s">
        <v>2261</v>
      </c>
      <c r="C5546" s="71" t="s">
        <v>277</v>
      </c>
      <c r="D5546" s="71">
        <v>10</v>
      </c>
      <c r="E5546" s="102">
        <v>172000</v>
      </c>
      <c r="F5546" s="102">
        <f t="shared" si="2709"/>
        <v>1892000.0000000002</v>
      </c>
      <c r="G5546" s="102">
        <f t="shared" si="2710"/>
        <v>1720000</v>
      </c>
      <c r="H5546" s="690" t="s">
        <v>172</v>
      </c>
      <c r="I5546" s="71" t="s">
        <v>180</v>
      </c>
      <c r="J5546" s="53">
        <f t="shared" si="2711"/>
        <v>421000</v>
      </c>
      <c r="K5546" s="63">
        <f t="shared" si="2712"/>
        <v>0.24476744186046509</v>
      </c>
      <c r="L5546" s="1212" t="s">
        <v>3625</v>
      </c>
      <c r="M5546" s="468"/>
      <c r="N5546" s="1192">
        <f t="shared" si="2700"/>
        <v>44900</v>
      </c>
      <c r="O5546" s="71" t="s">
        <v>662</v>
      </c>
      <c r="P5546" s="103" t="str">
        <f t="shared" si="2713"/>
        <v>윤전용 세척제(Web 504)</v>
      </c>
      <c r="Q5546" s="71">
        <f t="shared" si="2714"/>
        <v>10</v>
      </c>
      <c r="R5546" s="102">
        <v>129900</v>
      </c>
      <c r="S5546" s="102">
        <f t="shared" si="2715"/>
        <v>1428900</v>
      </c>
      <c r="T5546" s="102">
        <f t="shared" si="2716"/>
        <v>1299000</v>
      </c>
      <c r="U5546" s="71" t="str">
        <f>IF(J5546=W5546,"O", "X")</f>
        <v>X</v>
      </c>
      <c r="V5546" s="71"/>
      <c r="W5546" s="474"/>
      <c r="X5546" s="71"/>
      <c r="Y5546" s="71"/>
    </row>
    <row r="5547" spans="1:25" ht="30" hidden="1" customHeight="1" x14ac:dyDescent="0.25">
      <c r="A5547" s="1145">
        <v>44900</v>
      </c>
      <c r="B5547" s="664" t="s">
        <v>2261</v>
      </c>
      <c r="C5547" s="760" t="s">
        <v>181</v>
      </c>
      <c r="D5547" s="71">
        <v>10</v>
      </c>
      <c r="E5547" s="102">
        <v>192500</v>
      </c>
      <c r="F5547" s="102">
        <f t="shared" si="2709"/>
        <v>2117500</v>
      </c>
      <c r="G5547" s="102">
        <f t="shared" si="2710"/>
        <v>1925000</v>
      </c>
      <c r="H5547" s="690" t="s">
        <v>2029</v>
      </c>
      <c r="I5547" s="71" t="s">
        <v>182</v>
      </c>
      <c r="J5547" s="53">
        <f t="shared" si="2711"/>
        <v>710000</v>
      </c>
      <c r="K5547" s="63">
        <f t="shared" si="2712"/>
        <v>0.36883116883116884</v>
      </c>
      <c r="L5547" s="1212" t="s">
        <v>3625</v>
      </c>
      <c r="M5547" s="468"/>
      <c r="N5547" s="1192">
        <f t="shared" si="2700"/>
        <v>44900</v>
      </c>
      <c r="O5547" s="71" t="s">
        <v>2030</v>
      </c>
      <c r="P5547" s="103" t="str">
        <f t="shared" si="2713"/>
        <v>Fount Web 551AF</v>
      </c>
      <c r="Q5547" s="71">
        <f t="shared" si="2714"/>
        <v>10</v>
      </c>
      <c r="R5547" s="102">
        <v>121500</v>
      </c>
      <c r="S5547" s="102">
        <f t="shared" si="2715"/>
        <v>1336500</v>
      </c>
      <c r="T5547" s="102">
        <f t="shared" si="2716"/>
        <v>1215000</v>
      </c>
      <c r="U5547" s="71" t="str">
        <f>IF(J5547=W5547,"O", "X")</f>
        <v>X</v>
      </c>
      <c r="V5547" s="71"/>
      <c r="W5547" s="474">
        <v>640000</v>
      </c>
      <c r="X5547" s="71"/>
      <c r="Y5547" s="71"/>
    </row>
    <row r="5548" spans="1:25" s="209" customFormat="1" ht="31.5" hidden="1" customHeight="1" x14ac:dyDescent="0.2">
      <c r="A5548" s="1145">
        <v>44904</v>
      </c>
      <c r="B5548" s="664" t="s">
        <v>3289</v>
      </c>
      <c r="C5548" s="71" t="s">
        <v>3387</v>
      </c>
      <c r="D5548" s="71">
        <v>10</v>
      </c>
      <c r="E5548" s="102">
        <v>120000</v>
      </c>
      <c r="F5548" s="102">
        <f t="shared" si="2709"/>
        <v>1320000</v>
      </c>
      <c r="G5548" s="102">
        <f t="shared" si="2710"/>
        <v>1200000</v>
      </c>
      <c r="H5548" s="165" t="s">
        <v>172</v>
      </c>
      <c r="I5548" s="71" t="s">
        <v>184</v>
      </c>
      <c r="J5548" s="53">
        <f t="shared" si="2711"/>
        <v>80000</v>
      </c>
      <c r="K5548" s="63">
        <f t="shared" si="2712"/>
        <v>6.6666666666666666E-2</v>
      </c>
      <c r="L5548" s="1212" t="s">
        <v>3625</v>
      </c>
      <c r="M5548" s="468"/>
      <c r="N5548" s="1192">
        <f t="shared" si="2700"/>
        <v>44904</v>
      </c>
      <c r="O5548" s="71" t="s">
        <v>189</v>
      </c>
      <c r="P5548" s="103" t="str">
        <f t="shared" si="2713"/>
        <v>Blanket(990*725)</v>
      </c>
      <c r="Q5548" s="71">
        <f t="shared" si="2714"/>
        <v>10</v>
      </c>
      <c r="R5548" s="102">
        <v>112000</v>
      </c>
      <c r="S5548" s="102">
        <f t="shared" si="2715"/>
        <v>1232000</v>
      </c>
      <c r="T5548" s="102">
        <f t="shared" si="2716"/>
        <v>1120000</v>
      </c>
      <c r="U5548" s="71" t="str">
        <f>IF(J5548=W5548,"O", "X")</f>
        <v>O</v>
      </c>
      <c r="V5548" s="71"/>
      <c r="W5548" s="474">
        <v>80000</v>
      </c>
      <c r="X5548" s="71"/>
      <c r="Y5548" s="71"/>
    </row>
    <row r="5549" spans="1:25" ht="30" hidden="1" customHeight="1" x14ac:dyDescent="0.25">
      <c r="A5549" s="1145">
        <v>44904</v>
      </c>
      <c r="B5549" s="664" t="s">
        <v>2261</v>
      </c>
      <c r="C5549" s="71" t="s">
        <v>3299</v>
      </c>
      <c r="D5549" s="71">
        <v>10</v>
      </c>
      <c r="E5549" s="102">
        <v>47600</v>
      </c>
      <c r="F5549" s="102">
        <f t="shared" si="2709"/>
        <v>523600.00000000006</v>
      </c>
      <c r="G5549" s="102">
        <f t="shared" si="2710"/>
        <v>476000</v>
      </c>
      <c r="H5549" s="690" t="s">
        <v>172</v>
      </c>
      <c r="I5549" s="71" t="s">
        <v>180</v>
      </c>
      <c r="J5549" s="53">
        <f t="shared" si="2711"/>
        <v>1000</v>
      </c>
      <c r="K5549" s="63">
        <f t="shared" si="2712"/>
        <v>2.1008403361344537E-3</v>
      </c>
      <c r="L5549" s="1212" t="s">
        <v>3625</v>
      </c>
      <c r="M5549" s="468" t="s">
        <v>3304</v>
      </c>
      <c r="N5549" s="1192">
        <f t="shared" si="2700"/>
        <v>44904</v>
      </c>
      <c r="O5549" s="71" t="s">
        <v>175</v>
      </c>
      <c r="P5549" s="103" t="str">
        <f t="shared" si="2713"/>
        <v>매엽용 세척제(Wash k11)</v>
      </c>
      <c r="Q5549" s="71">
        <f t="shared" si="2714"/>
        <v>10</v>
      </c>
      <c r="R5549" s="102">
        <v>47500</v>
      </c>
      <c r="S5549" s="102">
        <f t="shared" si="2715"/>
        <v>522500.00000000006</v>
      </c>
      <c r="T5549" s="102">
        <f t="shared" si="2716"/>
        <v>475000</v>
      </c>
      <c r="U5549" s="71" t="s">
        <v>859</v>
      </c>
      <c r="V5549" s="71"/>
      <c r="W5549" s="474"/>
      <c r="X5549" s="71"/>
      <c r="Y5549" s="71"/>
    </row>
    <row r="5550" spans="1:25" ht="30" hidden="1" customHeight="1" x14ac:dyDescent="0.25">
      <c r="A5550" s="1145">
        <v>44908</v>
      </c>
      <c r="B5550" s="664" t="s">
        <v>2261</v>
      </c>
      <c r="C5550" s="71" t="s">
        <v>277</v>
      </c>
      <c r="D5550" s="71">
        <v>10</v>
      </c>
      <c r="E5550" s="102">
        <v>172000</v>
      </c>
      <c r="F5550" s="102">
        <f t="shared" si="2709"/>
        <v>1892000.0000000002</v>
      </c>
      <c r="G5550" s="102">
        <f t="shared" si="2710"/>
        <v>1720000</v>
      </c>
      <c r="H5550" s="690" t="s">
        <v>172</v>
      </c>
      <c r="I5550" s="71" t="s">
        <v>180</v>
      </c>
      <c r="J5550" s="53">
        <f t="shared" si="2711"/>
        <v>421000</v>
      </c>
      <c r="K5550" s="63">
        <f t="shared" si="2712"/>
        <v>0.24476744186046509</v>
      </c>
      <c r="L5550" s="1212" t="s">
        <v>3625</v>
      </c>
      <c r="M5550" s="468"/>
      <c r="N5550" s="1192">
        <f>A5550</f>
        <v>44908</v>
      </c>
      <c r="O5550" s="71" t="s">
        <v>662</v>
      </c>
      <c r="P5550" s="103" t="str">
        <f t="shared" si="2713"/>
        <v>윤전용 세척제(Web 504)</v>
      </c>
      <c r="Q5550" s="71">
        <f t="shared" si="2714"/>
        <v>10</v>
      </c>
      <c r="R5550" s="102">
        <v>129900</v>
      </c>
      <c r="S5550" s="102">
        <f t="shared" si="2715"/>
        <v>1428900</v>
      </c>
      <c r="T5550" s="102">
        <f t="shared" si="2716"/>
        <v>1299000</v>
      </c>
      <c r="U5550" s="71" t="str">
        <f>IF(J5550=W5550,"O", "X")</f>
        <v>X</v>
      </c>
      <c r="V5550" s="71"/>
      <c r="W5550" s="474"/>
      <c r="X5550" s="71"/>
      <c r="Y5550" s="71"/>
    </row>
    <row r="5551" spans="1:25" ht="30" hidden="1" customHeight="1" x14ac:dyDescent="0.25">
      <c r="A5551" s="1145">
        <v>44908</v>
      </c>
      <c r="B5551" s="664" t="s">
        <v>2261</v>
      </c>
      <c r="C5551" s="760" t="s">
        <v>181</v>
      </c>
      <c r="D5551" s="71">
        <v>10</v>
      </c>
      <c r="E5551" s="102">
        <v>192500</v>
      </c>
      <c r="F5551" s="102">
        <f t="shared" si="2709"/>
        <v>2117500</v>
      </c>
      <c r="G5551" s="102">
        <f t="shared" si="2710"/>
        <v>1925000</v>
      </c>
      <c r="H5551" s="690" t="s">
        <v>2029</v>
      </c>
      <c r="I5551" s="71" t="s">
        <v>182</v>
      </c>
      <c r="J5551" s="53">
        <f t="shared" si="2711"/>
        <v>710000</v>
      </c>
      <c r="K5551" s="63">
        <f t="shared" si="2712"/>
        <v>0.36883116883116884</v>
      </c>
      <c r="L5551" s="1212" t="s">
        <v>3625</v>
      </c>
      <c r="M5551" s="468"/>
      <c r="N5551" s="1192">
        <f>A5551</f>
        <v>44908</v>
      </c>
      <c r="O5551" s="71" t="s">
        <v>2030</v>
      </c>
      <c r="P5551" s="103" t="str">
        <f t="shared" si="2713"/>
        <v>Fount Web 551AF</v>
      </c>
      <c r="Q5551" s="71">
        <f t="shared" si="2714"/>
        <v>10</v>
      </c>
      <c r="R5551" s="102">
        <v>121500</v>
      </c>
      <c r="S5551" s="102">
        <f t="shared" si="2715"/>
        <v>1336500</v>
      </c>
      <c r="T5551" s="102">
        <f t="shared" si="2716"/>
        <v>1215000</v>
      </c>
      <c r="U5551" s="71" t="str">
        <f>IF(J5551=W5551,"O", "X")</f>
        <v>X</v>
      </c>
      <c r="V5551" s="71"/>
      <c r="W5551" s="474">
        <v>640000</v>
      </c>
      <c r="X5551" s="71"/>
      <c r="Y5551" s="71"/>
    </row>
    <row r="5552" spans="1:25" ht="30" hidden="1" customHeight="1" x14ac:dyDescent="0.25">
      <c r="A5552" s="1145">
        <v>44916</v>
      </c>
      <c r="B5552" s="664" t="s">
        <v>2261</v>
      </c>
      <c r="C5552" s="71" t="s">
        <v>277</v>
      </c>
      <c r="D5552" s="71">
        <v>10</v>
      </c>
      <c r="E5552" s="102">
        <v>172000</v>
      </c>
      <c r="F5552" s="102">
        <f t="shared" ref="F5552:F5566" si="2717">(E5552*D5552)*1.1</f>
        <v>1892000.0000000002</v>
      </c>
      <c r="G5552" s="102">
        <f t="shared" ref="G5552:G5566" si="2718">(E5552*D5552)</f>
        <v>1720000</v>
      </c>
      <c r="H5552" s="690" t="s">
        <v>172</v>
      </c>
      <c r="I5552" s="71" t="s">
        <v>180</v>
      </c>
      <c r="J5552" s="53">
        <f t="shared" ref="J5552:J5562" si="2719">G5552-T5552</f>
        <v>421000</v>
      </c>
      <c r="K5552" s="63">
        <f t="shared" ref="K5552:K5563" si="2720">(J5552/(F5552/11*10))</f>
        <v>0.24476744186046509</v>
      </c>
      <c r="L5552" s="1212" t="s">
        <v>3625</v>
      </c>
      <c r="M5552" s="468"/>
      <c r="N5552" s="1192">
        <f t="shared" ref="N5552:N5560" si="2721">A5552</f>
        <v>44916</v>
      </c>
      <c r="O5552" s="71" t="s">
        <v>662</v>
      </c>
      <c r="P5552" s="103" t="str">
        <f t="shared" ref="P5552:P5560" si="2722">(C5552)</f>
        <v>윤전용 세척제(Web 504)</v>
      </c>
      <c r="Q5552" s="71">
        <f t="shared" ref="Q5552:Q5568" si="2723">D5552</f>
        <v>10</v>
      </c>
      <c r="R5552" s="102">
        <v>129900</v>
      </c>
      <c r="S5552" s="102">
        <f t="shared" ref="S5552:S5562" si="2724">R5552*Q5552*1.1</f>
        <v>1428900</v>
      </c>
      <c r="T5552" s="102">
        <f t="shared" ref="T5552:T5562" si="2725">R5552*Q5552</f>
        <v>1299000</v>
      </c>
      <c r="U5552" s="71" t="str">
        <f>IF(J5552=W5552,"O", "X")</f>
        <v>X</v>
      </c>
      <c r="V5552" s="71"/>
      <c r="W5552" s="474"/>
      <c r="X5552" s="71"/>
      <c r="Y5552" s="71"/>
    </row>
    <row r="5553" spans="1:25" ht="30" hidden="1" customHeight="1" x14ac:dyDescent="0.25">
      <c r="A5553" s="1145">
        <v>44916</v>
      </c>
      <c r="B5553" s="664" t="s">
        <v>2261</v>
      </c>
      <c r="C5553" s="760" t="s">
        <v>181</v>
      </c>
      <c r="D5553" s="71">
        <v>10</v>
      </c>
      <c r="E5553" s="102">
        <v>192500</v>
      </c>
      <c r="F5553" s="102">
        <f t="shared" si="2717"/>
        <v>2117500</v>
      </c>
      <c r="G5553" s="102">
        <f t="shared" si="2718"/>
        <v>1925000</v>
      </c>
      <c r="H5553" s="690" t="s">
        <v>2029</v>
      </c>
      <c r="I5553" s="71" t="s">
        <v>182</v>
      </c>
      <c r="J5553" s="53">
        <f t="shared" si="2719"/>
        <v>710000</v>
      </c>
      <c r="K5553" s="63">
        <f t="shared" si="2720"/>
        <v>0.36883116883116884</v>
      </c>
      <c r="L5553" s="1212" t="s">
        <v>3625</v>
      </c>
      <c r="M5553" s="468"/>
      <c r="N5553" s="1192">
        <f t="shared" si="2721"/>
        <v>44916</v>
      </c>
      <c r="O5553" s="71" t="s">
        <v>2030</v>
      </c>
      <c r="P5553" s="103" t="str">
        <f t="shared" si="2722"/>
        <v>Fount Web 551AF</v>
      </c>
      <c r="Q5553" s="71">
        <f t="shared" si="2723"/>
        <v>10</v>
      </c>
      <c r="R5553" s="102">
        <v>121500</v>
      </c>
      <c r="S5553" s="102">
        <f t="shared" si="2724"/>
        <v>1336500</v>
      </c>
      <c r="T5553" s="102">
        <f t="shared" si="2725"/>
        <v>1215000</v>
      </c>
      <c r="U5553" s="71" t="str">
        <f>IF(J5553=W5553,"O", "X")</f>
        <v>X</v>
      </c>
      <c r="V5553" s="71"/>
      <c r="W5553" s="474">
        <v>640000</v>
      </c>
      <c r="X5553" s="71"/>
      <c r="Y5553" s="71"/>
    </row>
    <row r="5554" spans="1:25" ht="30" hidden="1" customHeight="1" x14ac:dyDescent="0.25">
      <c r="A5554" s="1145">
        <v>44916</v>
      </c>
      <c r="B5554" s="664" t="s">
        <v>2261</v>
      </c>
      <c r="C5554" s="71" t="s">
        <v>3299</v>
      </c>
      <c r="D5554" s="71">
        <v>10</v>
      </c>
      <c r="E5554" s="102">
        <v>47600</v>
      </c>
      <c r="F5554" s="102">
        <f t="shared" si="2717"/>
        <v>523600.00000000006</v>
      </c>
      <c r="G5554" s="102">
        <f t="shared" si="2718"/>
        <v>476000</v>
      </c>
      <c r="H5554" s="690" t="s">
        <v>172</v>
      </c>
      <c r="I5554" s="71" t="s">
        <v>180</v>
      </c>
      <c r="J5554" s="53">
        <f t="shared" si="2719"/>
        <v>1000</v>
      </c>
      <c r="K5554" s="63">
        <f t="shared" si="2720"/>
        <v>2.1008403361344537E-3</v>
      </c>
      <c r="L5554" s="1212" t="s">
        <v>3625</v>
      </c>
      <c r="M5554" s="468" t="s">
        <v>3304</v>
      </c>
      <c r="N5554" s="1192">
        <f t="shared" si="2721"/>
        <v>44916</v>
      </c>
      <c r="O5554" s="71" t="s">
        <v>175</v>
      </c>
      <c r="P5554" s="103" t="str">
        <f t="shared" si="2722"/>
        <v>매엽용 세척제(Wash k11)</v>
      </c>
      <c r="Q5554" s="71">
        <f t="shared" si="2723"/>
        <v>10</v>
      </c>
      <c r="R5554" s="102">
        <v>47500</v>
      </c>
      <c r="S5554" s="102">
        <f t="shared" si="2724"/>
        <v>522500.00000000006</v>
      </c>
      <c r="T5554" s="102">
        <f t="shared" si="2725"/>
        <v>475000</v>
      </c>
      <c r="U5554" s="71" t="s">
        <v>859</v>
      </c>
      <c r="V5554" s="71"/>
      <c r="W5554" s="474"/>
      <c r="X5554" s="71"/>
      <c r="Y5554" s="71"/>
    </row>
    <row r="5555" spans="1:25" ht="30" hidden="1" customHeight="1" x14ac:dyDescent="0.25">
      <c r="A5555" s="1145">
        <v>44907</v>
      </c>
      <c r="B5555" s="664" t="s">
        <v>3296</v>
      </c>
      <c r="C5555" s="71" t="s">
        <v>3297</v>
      </c>
      <c r="D5555" s="71">
        <v>20</v>
      </c>
      <c r="E5555" s="102">
        <v>155000</v>
      </c>
      <c r="F5555" s="102">
        <f t="shared" si="2717"/>
        <v>3410000.0000000005</v>
      </c>
      <c r="G5555" s="102">
        <f t="shared" si="2718"/>
        <v>3100000</v>
      </c>
      <c r="H5555" s="690" t="s">
        <v>172</v>
      </c>
      <c r="I5555" s="71" t="s">
        <v>3295</v>
      </c>
      <c r="J5555" s="53">
        <f t="shared" si="2719"/>
        <v>933000</v>
      </c>
      <c r="K5555" s="63">
        <f t="shared" si="2720"/>
        <v>0.30096774193548381</v>
      </c>
      <c r="L5555" s="1212" t="s">
        <v>3625</v>
      </c>
      <c r="M5555" s="468"/>
      <c r="N5555" s="1192">
        <f t="shared" si="2721"/>
        <v>44907</v>
      </c>
      <c r="O5555" s="71" t="s">
        <v>662</v>
      </c>
      <c r="P5555" s="103" t="str">
        <f t="shared" si="2722"/>
        <v>실리콘 에멀전</v>
      </c>
      <c r="Q5555" s="71">
        <f t="shared" si="2723"/>
        <v>20</v>
      </c>
      <c r="R5555" s="102">
        <v>108350</v>
      </c>
      <c r="S5555" s="102">
        <f t="shared" si="2724"/>
        <v>2383700</v>
      </c>
      <c r="T5555" s="102">
        <f t="shared" si="2725"/>
        <v>2167000</v>
      </c>
      <c r="U5555" s="71" t="str">
        <f>IF(J5555=W5555,"O", "X")</f>
        <v>X</v>
      </c>
      <c r="V5555" s="71"/>
      <c r="W5555" s="474"/>
      <c r="X5555" s="71"/>
      <c r="Y5555" s="71"/>
    </row>
    <row r="5556" spans="1:25" ht="30" hidden="1" customHeight="1" x14ac:dyDescent="0.25">
      <c r="A5556" s="1145">
        <v>44921</v>
      </c>
      <c r="B5556" s="664" t="s">
        <v>3296</v>
      </c>
      <c r="C5556" s="71" t="s">
        <v>3297</v>
      </c>
      <c r="D5556" s="71">
        <v>20</v>
      </c>
      <c r="E5556" s="102">
        <v>155000</v>
      </c>
      <c r="F5556" s="102">
        <f t="shared" si="2717"/>
        <v>3410000.0000000005</v>
      </c>
      <c r="G5556" s="102">
        <f t="shared" si="2718"/>
        <v>3100000</v>
      </c>
      <c r="H5556" s="690" t="s">
        <v>172</v>
      </c>
      <c r="I5556" s="71" t="s">
        <v>3295</v>
      </c>
      <c r="J5556" s="53">
        <f t="shared" si="2719"/>
        <v>933000</v>
      </c>
      <c r="K5556" s="63">
        <f t="shared" si="2720"/>
        <v>0.30096774193548381</v>
      </c>
      <c r="L5556" s="1212" t="s">
        <v>3625</v>
      </c>
      <c r="M5556" s="468"/>
      <c r="N5556" s="1192">
        <f t="shared" si="2721"/>
        <v>44921</v>
      </c>
      <c r="O5556" s="71" t="s">
        <v>662</v>
      </c>
      <c r="P5556" s="103" t="str">
        <f t="shared" si="2722"/>
        <v>실리콘 에멀전</v>
      </c>
      <c r="Q5556" s="71">
        <f t="shared" si="2723"/>
        <v>20</v>
      </c>
      <c r="R5556" s="102">
        <v>108350</v>
      </c>
      <c r="S5556" s="102">
        <f t="shared" si="2724"/>
        <v>2383700</v>
      </c>
      <c r="T5556" s="102">
        <f t="shared" si="2725"/>
        <v>2167000</v>
      </c>
      <c r="U5556" s="71" t="str">
        <f>IF(J5556=W5556,"O", "X")</f>
        <v>X</v>
      </c>
      <c r="V5556" s="71"/>
      <c r="W5556" s="474"/>
      <c r="X5556" s="71"/>
      <c r="Y5556" s="71"/>
    </row>
    <row r="5557" spans="1:25" ht="30" hidden="1" customHeight="1" x14ac:dyDescent="0.25">
      <c r="A5557" s="1145">
        <v>44894</v>
      </c>
      <c r="B5557" s="664" t="s">
        <v>442</v>
      </c>
      <c r="C5557" s="71" t="s">
        <v>206</v>
      </c>
      <c r="D5557" s="71">
        <v>2</v>
      </c>
      <c r="E5557" s="102">
        <v>453000</v>
      </c>
      <c r="F5557" s="102">
        <f t="shared" si="2717"/>
        <v>996600.00000000012</v>
      </c>
      <c r="G5557" s="102">
        <f t="shared" si="2718"/>
        <v>906000</v>
      </c>
      <c r="H5557" s="690" t="s">
        <v>2029</v>
      </c>
      <c r="I5557" s="71" t="s">
        <v>195</v>
      </c>
      <c r="J5557" s="53">
        <f t="shared" si="2719"/>
        <v>157860</v>
      </c>
      <c r="K5557" s="63">
        <f t="shared" si="2720"/>
        <v>0.17423841059602646</v>
      </c>
      <c r="L5557" s="1212" t="s">
        <v>3625</v>
      </c>
      <c r="M5557" s="468"/>
      <c r="N5557" s="1192">
        <f t="shared" si="2721"/>
        <v>44894</v>
      </c>
      <c r="O5557" s="71" t="s">
        <v>194</v>
      </c>
      <c r="P5557" s="103" t="str">
        <f t="shared" si="2722"/>
        <v>Agfa Film(24inch)</v>
      </c>
      <c r="Q5557" s="71">
        <f t="shared" si="2723"/>
        <v>2</v>
      </c>
      <c r="R5557" s="102">
        <v>374070</v>
      </c>
      <c r="S5557" s="102">
        <f t="shared" si="2724"/>
        <v>822954.00000000012</v>
      </c>
      <c r="T5557" s="102">
        <f t="shared" si="2725"/>
        <v>748140</v>
      </c>
      <c r="U5557" s="71" t="str">
        <f>IF(J5557=W5557,"O", "X")</f>
        <v>O</v>
      </c>
      <c r="V5557" s="71"/>
      <c r="W5557" s="474">
        <f>(G5557-T5557)</f>
        <v>157860</v>
      </c>
      <c r="X5557" s="71"/>
      <c r="Y5557" s="71"/>
    </row>
    <row r="5558" spans="1:25" ht="30" hidden="1" customHeight="1" x14ac:dyDescent="0.25">
      <c r="A5558" s="1145">
        <v>44894</v>
      </c>
      <c r="B5558" s="664" t="s">
        <v>442</v>
      </c>
      <c r="C5558" s="71" t="s">
        <v>207</v>
      </c>
      <c r="D5558" s="71">
        <v>2</v>
      </c>
      <c r="E5558" s="102">
        <v>558000</v>
      </c>
      <c r="F5558" s="102">
        <f t="shared" si="2717"/>
        <v>1227600</v>
      </c>
      <c r="G5558" s="102">
        <f t="shared" si="2718"/>
        <v>1116000</v>
      </c>
      <c r="H5558" s="690" t="s">
        <v>2029</v>
      </c>
      <c r="I5558" s="71" t="s">
        <v>195</v>
      </c>
      <c r="J5558" s="53">
        <f t="shared" si="2719"/>
        <v>1116000</v>
      </c>
      <c r="K5558" s="63">
        <f t="shared" si="2720"/>
        <v>1</v>
      </c>
      <c r="L5558" s="1212" t="s">
        <v>3625</v>
      </c>
      <c r="M5558" s="468"/>
      <c r="N5558" s="1192">
        <f t="shared" si="2721"/>
        <v>44894</v>
      </c>
      <c r="O5558" s="71" t="s">
        <v>194</v>
      </c>
      <c r="P5558" s="103" t="str">
        <f t="shared" si="2722"/>
        <v>Agfa Film(28inch)</v>
      </c>
      <c r="Q5558" s="71">
        <f t="shared" si="2723"/>
        <v>2</v>
      </c>
      <c r="R5558" s="102"/>
      <c r="S5558" s="102">
        <f t="shared" si="2724"/>
        <v>0</v>
      </c>
      <c r="T5558" s="102">
        <f t="shared" si="2725"/>
        <v>0</v>
      </c>
      <c r="U5558" s="71" t="str">
        <f>IF(J5558=W5558,"O", "X")</f>
        <v>O</v>
      </c>
      <c r="V5558" s="71"/>
      <c r="W5558" s="474">
        <f>(G5558-T5558)</f>
        <v>1116000</v>
      </c>
      <c r="X5558" s="71"/>
      <c r="Y5558" s="71"/>
    </row>
    <row r="5559" spans="1:25" ht="30" hidden="1" customHeight="1" x14ac:dyDescent="0.25">
      <c r="A5559" s="1145">
        <v>44894</v>
      </c>
      <c r="B5559" s="664" t="s">
        <v>442</v>
      </c>
      <c r="C5559" s="71" t="s">
        <v>208</v>
      </c>
      <c r="D5559" s="71">
        <v>2</v>
      </c>
      <c r="E5559" s="102">
        <v>624000</v>
      </c>
      <c r="F5559" s="102">
        <f t="shared" si="2717"/>
        <v>1372800</v>
      </c>
      <c r="G5559" s="102">
        <f t="shared" si="2718"/>
        <v>1248000</v>
      </c>
      <c r="H5559" s="690" t="s">
        <v>2029</v>
      </c>
      <c r="I5559" s="71" t="s">
        <v>195</v>
      </c>
      <c r="J5559" s="53">
        <f t="shared" si="2719"/>
        <v>220000</v>
      </c>
      <c r="K5559" s="63">
        <f t="shared" si="2720"/>
        <v>0.17628205128205129</v>
      </c>
      <c r="L5559" s="1212" t="s">
        <v>3625</v>
      </c>
      <c r="M5559" s="468"/>
      <c r="N5559" s="1192">
        <f t="shared" si="2721"/>
        <v>44894</v>
      </c>
      <c r="O5559" s="71" t="s">
        <v>194</v>
      </c>
      <c r="P5559" s="103" t="str">
        <f t="shared" si="2722"/>
        <v>Agfa Film(32inch)</v>
      </c>
      <c r="Q5559" s="71">
        <f t="shared" si="2723"/>
        <v>2</v>
      </c>
      <c r="R5559" s="102">
        <v>514000</v>
      </c>
      <c r="S5559" s="102">
        <f t="shared" si="2724"/>
        <v>1130800</v>
      </c>
      <c r="T5559" s="102">
        <f t="shared" si="2725"/>
        <v>1028000</v>
      </c>
      <c r="U5559" s="71" t="str">
        <f>IF(J5559=W5559,"O", "X")</f>
        <v>O</v>
      </c>
      <c r="V5559" s="71"/>
      <c r="W5559" s="474">
        <f>(G5559-T5559)</f>
        <v>220000</v>
      </c>
      <c r="X5559" s="71"/>
      <c r="Y5559" s="71"/>
    </row>
    <row r="5560" spans="1:25" ht="30" hidden="1" customHeight="1" x14ac:dyDescent="0.25">
      <c r="A5560" s="1145">
        <v>44901</v>
      </c>
      <c r="B5560" s="664" t="s">
        <v>442</v>
      </c>
      <c r="C5560" s="71" t="s">
        <v>123</v>
      </c>
      <c r="D5560" s="71">
        <v>10</v>
      </c>
      <c r="E5560" s="102">
        <v>50000</v>
      </c>
      <c r="F5560" s="102">
        <f t="shared" si="2717"/>
        <v>550000</v>
      </c>
      <c r="G5560" s="102">
        <f t="shared" si="2718"/>
        <v>500000</v>
      </c>
      <c r="H5560" s="690" t="s">
        <v>94</v>
      </c>
      <c r="I5560" s="71" t="s">
        <v>94</v>
      </c>
      <c r="J5560" s="53">
        <f t="shared" si="2719"/>
        <v>260000</v>
      </c>
      <c r="K5560" s="63">
        <f t="shared" si="2720"/>
        <v>0.52</v>
      </c>
      <c r="L5560" s="1212" t="s">
        <v>3625</v>
      </c>
      <c r="M5560" s="468"/>
      <c r="N5560" s="1192">
        <f t="shared" si="2721"/>
        <v>44901</v>
      </c>
      <c r="O5560" s="71" t="s">
        <v>94</v>
      </c>
      <c r="P5560" s="103" t="str">
        <f t="shared" si="2722"/>
        <v>필터백</v>
      </c>
      <c r="Q5560" s="71">
        <f t="shared" si="2723"/>
        <v>10</v>
      </c>
      <c r="R5560" s="102">
        <v>24000</v>
      </c>
      <c r="S5560" s="102">
        <f t="shared" si="2724"/>
        <v>264000</v>
      </c>
      <c r="T5560" s="102">
        <f t="shared" si="2725"/>
        <v>240000</v>
      </c>
      <c r="U5560" s="71"/>
      <c r="V5560" s="71"/>
      <c r="W5560" s="474"/>
      <c r="X5560" s="71"/>
      <c r="Y5560" s="71"/>
    </row>
    <row r="5561" spans="1:25" ht="30" hidden="1" customHeight="1" x14ac:dyDescent="0.25">
      <c r="A5561" s="1145">
        <v>44907</v>
      </c>
      <c r="B5561" s="664" t="s">
        <v>442</v>
      </c>
      <c r="C5561" s="71" t="s">
        <v>3299</v>
      </c>
      <c r="D5561" s="71">
        <v>15</v>
      </c>
      <c r="E5561" s="102">
        <v>69000</v>
      </c>
      <c r="F5561" s="102">
        <f t="shared" si="2717"/>
        <v>1138500</v>
      </c>
      <c r="G5561" s="102">
        <f t="shared" si="2718"/>
        <v>1035000</v>
      </c>
      <c r="H5561" s="690" t="s">
        <v>172</v>
      </c>
      <c r="I5561" s="71" t="s">
        <v>180</v>
      </c>
      <c r="J5561" s="53">
        <f t="shared" si="2719"/>
        <v>322500</v>
      </c>
      <c r="K5561" s="63">
        <f t="shared" si="2720"/>
        <v>0.31159420289855072</v>
      </c>
      <c r="L5561" s="1212" t="s">
        <v>3625</v>
      </c>
      <c r="M5561" s="468" t="s">
        <v>3304</v>
      </c>
      <c r="N5561" s="1192">
        <v>44544</v>
      </c>
      <c r="O5561" s="71" t="s">
        <v>175</v>
      </c>
      <c r="P5561" s="103" t="s">
        <v>3299</v>
      </c>
      <c r="Q5561" s="71">
        <f t="shared" si="2723"/>
        <v>15</v>
      </c>
      <c r="R5561" s="102">
        <v>47500</v>
      </c>
      <c r="S5561" s="102">
        <f t="shared" si="2724"/>
        <v>783750.00000000012</v>
      </c>
      <c r="T5561" s="102">
        <f t="shared" si="2725"/>
        <v>712500</v>
      </c>
      <c r="U5561" s="71" t="s">
        <v>859</v>
      </c>
      <c r="V5561" s="71"/>
      <c r="W5561" s="474"/>
      <c r="X5561" s="71"/>
      <c r="Y5561" s="71"/>
    </row>
    <row r="5562" spans="1:25" ht="30" hidden="1" customHeight="1" x14ac:dyDescent="0.25">
      <c r="A5562" s="1145">
        <v>44910</v>
      </c>
      <c r="B5562" s="664" t="s">
        <v>442</v>
      </c>
      <c r="C5562" s="71" t="s">
        <v>651</v>
      </c>
      <c r="D5562" s="71">
        <v>12</v>
      </c>
      <c r="E5562" s="102">
        <v>50000</v>
      </c>
      <c r="F5562" s="102">
        <f t="shared" si="2717"/>
        <v>660000</v>
      </c>
      <c r="G5562" s="102">
        <f t="shared" si="2718"/>
        <v>600000</v>
      </c>
      <c r="H5562" s="690" t="s">
        <v>2029</v>
      </c>
      <c r="I5562" s="71" t="s">
        <v>195</v>
      </c>
      <c r="J5562" s="53">
        <f t="shared" si="2719"/>
        <v>246840</v>
      </c>
      <c r="K5562" s="63">
        <f t="shared" si="2720"/>
        <v>0.41139999999999999</v>
      </c>
      <c r="L5562" s="1212" t="s">
        <v>3625</v>
      </c>
      <c r="M5562" s="468"/>
      <c r="N5562" s="1192">
        <f t="shared" ref="N5562:N5573" si="2726">A5562</f>
        <v>44910</v>
      </c>
      <c r="O5562" s="71" t="s">
        <v>194</v>
      </c>
      <c r="P5562" s="164" t="str">
        <f t="shared" ref="P5562:P5568" si="2727">(C5562)</f>
        <v>Agfa 현상액 G101C(10L)</v>
      </c>
      <c r="Q5562" s="71">
        <f t="shared" si="2723"/>
        <v>12</v>
      </c>
      <c r="R5562" s="102">
        <v>29430</v>
      </c>
      <c r="S5562" s="102">
        <f t="shared" si="2724"/>
        <v>388476.00000000006</v>
      </c>
      <c r="T5562" s="102">
        <f t="shared" si="2725"/>
        <v>353160</v>
      </c>
      <c r="U5562" s="71" t="str">
        <f>IF(J5562=W5562,"O", "X")</f>
        <v>O</v>
      </c>
      <c r="V5562" s="71"/>
      <c r="W5562" s="474">
        <f>(G5562-T5562)</f>
        <v>246840</v>
      </c>
      <c r="X5562" s="71"/>
      <c r="Y5562" s="71"/>
    </row>
    <row r="5563" spans="1:25" ht="30" hidden="1" customHeight="1" x14ac:dyDescent="0.25">
      <c r="A5563" s="1145">
        <v>44916</v>
      </c>
      <c r="B5563" s="664" t="s">
        <v>690</v>
      </c>
      <c r="C5563" s="71" t="s">
        <v>691</v>
      </c>
      <c r="D5563" s="71">
        <v>6</v>
      </c>
      <c r="E5563" s="102">
        <v>395000</v>
      </c>
      <c r="F5563" s="102">
        <f t="shared" si="2717"/>
        <v>2607000</v>
      </c>
      <c r="G5563" s="102">
        <f t="shared" si="2718"/>
        <v>2370000</v>
      </c>
      <c r="H5563" s="690" t="s">
        <v>173</v>
      </c>
      <c r="I5563" s="71" t="s">
        <v>109</v>
      </c>
      <c r="J5563" s="53">
        <f>(G5563-(VLOOKUP(C5563,Price!B:D,3,FALSE)*D5563))</f>
        <v>510000</v>
      </c>
      <c r="K5563" s="63">
        <f t="shared" si="2720"/>
        <v>0.21518987341772153</v>
      </c>
      <c r="L5563" s="1212" t="s">
        <v>3625</v>
      </c>
      <c r="M5563" s="468"/>
      <c r="N5563" s="1192">
        <f t="shared" si="2726"/>
        <v>44916</v>
      </c>
      <c r="O5563" s="71" t="s">
        <v>151</v>
      </c>
      <c r="P5563" s="103" t="str">
        <f t="shared" si="2727"/>
        <v>피니토 하이델 국전용 블랑켓</v>
      </c>
      <c r="Q5563" s="71">
        <f t="shared" si="2723"/>
        <v>6</v>
      </c>
      <c r="R5563" s="102">
        <v>326000</v>
      </c>
      <c r="S5563" s="102">
        <f>(R5563*D5563)*1.1</f>
        <v>2151600</v>
      </c>
      <c r="T5563" s="102">
        <f>(R5563*Q5563)</f>
        <v>1956000</v>
      </c>
      <c r="U5563" s="71" t="str">
        <f>IF(J5563=W5563,"O", "X")</f>
        <v>X</v>
      </c>
      <c r="V5563" s="71"/>
      <c r="W5563" s="474">
        <f>(G5563-T5563)</f>
        <v>414000</v>
      </c>
      <c r="X5563" s="71"/>
      <c r="Y5563" s="71"/>
    </row>
    <row r="5564" spans="1:25" s="209" customFormat="1" ht="30" hidden="1" customHeight="1" x14ac:dyDescent="0.2">
      <c r="A5564" s="1145">
        <v>44901</v>
      </c>
      <c r="B5564" s="664" t="s">
        <v>2353</v>
      </c>
      <c r="C5564" s="71" t="s">
        <v>130</v>
      </c>
      <c r="D5564" s="71">
        <v>10</v>
      </c>
      <c r="E5564" s="102">
        <v>148000</v>
      </c>
      <c r="F5564" s="102">
        <f t="shared" si="2717"/>
        <v>1628000.0000000002</v>
      </c>
      <c r="G5564" s="102">
        <f t="shared" si="2718"/>
        <v>1480000</v>
      </c>
      <c r="H5564" s="165" t="s">
        <v>173</v>
      </c>
      <c r="I5564" s="71" t="s">
        <v>142</v>
      </c>
      <c r="J5564" s="53">
        <f t="shared" ref="J5564:J5573" si="2728">G5564-T5564</f>
        <v>490000</v>
      </c>
      <c r="K5564" s="63">
        <f t="shared" ref="K5564:K5573" si="2729">(J5564/(F5564/11*10))</f>
        <v>0.33108108108108103</v>
      </c>
      <c r="L5564" s="1212" t="s">
        <v>3625</v>
      </c>
      <c r="M5564" s="468" t="s">
        <v>2050</v>
      </c>
      <c r="N5564" s="1192">
        <f t="shared" si="2726"/>
        <v>44901</v>
      </c>
      <c r="O5564" s="71" t="s">
        <v>150</v>
      </c>
      <c r="P5564" s="103" t="str">
        <f t="shared" si="2727"/>
        <v>XL106 Blanket(1077*885)</v>
      </c>
      <c r="Q5564" s="71">
        <f t="shared" si="2723"/>
        <v>10</v>
      </c>
      <c r="R5564" s="102">
        <v>99000</v>
      </c>
      <c r="S5564" s="102">
        <f t="shared" ref="S5564:S5573" si="2730">R5564*Q5564*1.1</f>
        <v>1089000</v>
      </c>
      <c r="T5564" s="102">
        <f t="shared" ref="T5564:T5573" si="2731">R5564*Q5564</f>
        <v>990000</v>
      </c>
      <c r="U5564" s="71" t="s">
        <v>859</v>
      </c>
      <c r="V5564" s="71"/>
      <c r="W5564" s="474">
        <v>260000</v>
      </c>
      <c r="X5564" s="71"/>
      <c r="Y5564" s="71"/>
    </row>
    <row r="5565" spans="1:25" ht="30" hidden="1" customHeight="1" x14ac:dyDescent="0.2">
      <c r="A5565" s="1145">
        <v>44901</v>
      </c>
      <c r="B5565" s="664" t="s">
        <v>2353</v>
      </c>
      <c r="C5565" s="71" t="s">
        <v>129</v>
      </c>
      <c r="D5565" s="71">
        <v>7</v>
      </c>
      <c r="E5565" s="102">
        <v>325000</v>
      </c>
      <c r="F5565" s="102">
        <f t="shared" si="2717"/>
        <v>2502500</v>
      </c>
      <c r="G5565" s="102">
        <f t="shared" si="2718"/>
        <v>2275000</v>
      </c>
      <c r="H5565" s="165" t="s">
        <v>173</v>
      </c>
      <c r="I5565" s="71" t="s">
        <v>142</v>
      </c>
      <c r="J5565" s="53">
        <f t="shared" si="2728"/>
        <v>636440</v>
      </c>
      <c r="K5565" s="63">
        <f t="shared" si="2729"/>
        <v>0.27975384615384613</v>
      </c>
      <c r="L5565" s="1212" t="s">
        <v>3625</v>
      </c>
      <c r="M5565" s="468" t="s">
        <v>2050</v>
      </c>
      <c r="N5565" s="1192">
        <f t="shared" si="2726"/>
        <v>44901</v>
      </c>
      <c r="O5565" s="71" t="s">
        <v>149</v>
      </c>
      <c r="P5565" s="103" t="str">
        <f t="shared" si="2727"/>
        <v>세정포-XL106</v>
      </c>
      <c r="Q5565" s="71">
        <f t="shared" si="2723"/>
        <v>7</v>
      </c>
      <c r="R5565" s="102">
        <v>234080</v>
      </c>
      <c r="S5565" s="102">
        <f t="shared" si="2730"/>
        <v>1802416.0000000002</v>
      </c>
      <c r="T5565" s="102">
        <f t="shared" si="2731"/>
        <v>1638560</v>
      </c>
      <c r="U5565" s="71" t="str">
        <f>IF(J5565=W5565,"O", "X")</f>
        <v>O</v>
      </c>
      <c r="V5565" s="71"/>
      <c r="W5565" s="474">
        <f>(G5565-T5565)</f>
        <v>636440</v>
      </c>
      <c r="X5565" s="71"/>
      <c r="Y5565" s="71"/>
    </row>
    <row r="5566" spans="1:25" s="209" customFormat="1" ht="30" hidden="1" customHeight="1" x14ac:dyDescent="0.2">
      <c r="A5566" s="1145">
        <v>44901</v>
      </c>
      <c r="B5566" s="664" t="s">
        <v>2353</v>
      </c>
      <c r="C5566" s="71" t="s">
        <v>138</v>
      </c>
      <c r="D5566" s="71">
        <v>10</v>
      </c>
      <c r="E5566" s="102">
        <v>83000</v>
      </c>
      <c r="F5566" s="102">
        <f t="shared" si="2717"/>
        <v>913000.00000000012</v>
      </c>
      <c r="G5566" s="102">
        <f t="shared" si="2718"/>
        <v>830000</v>
      </c>
      <c r="H5566" s="165" t="s">
        <v>173</v>
      </c>
      <c r="I5566" s="71" t="s">
        <v>142</v>
      </c>
      <c r="J5566" s="53">
        <f t="shared" si="2728"/>
        <v>422000</v>
      </c>
      <c r="K5566" s="63">
        <f t="shared" si="2729"/>
        <v>0.50843373493975896</v>
      </c>
      <c r="L5566" s="1212" t="s">
        <v>3625</v>
      </c>
      <c r="M5566" s="468" t="s">
        <v>2214</v>
      </c>
      <c r="N5566" s="1192">
        <f t="shared" si="2726"/>
        <v>44901</v>
      </c>
      <c r="O5566" s="71" t="s">
        <v>2030</v>
      </c>
      <c r="P5566" s="103" t="str">
        <f t="shared" si="2727"/>
        <v>매엽용 세척제(Wash 562)</v>
      </c>
      <c r="Q5566" s="71">
        <f t="shared" si="2723"/>
        <v>10</v>
      </c>
      <c r="R5566" s="102">
        <v>40800</v>
      </c>
      <c r="S5566" s="102">
        <f t="shared" si="2730"/>
        <v>448800.00000000006</v>
      </c>
      <c r="T5566" s="102">
        <f t="shared" si="2731"/>
        <v>408000</v>
      </c>
      <c r="U5566" s="71" t="s">
        <v>859</v>
      </c>
      <c r="V5566" s="71"/>
      <c r="W5566" s="474">
        <v>136000</v>
      </c>
      <c r="X5566" s="71"/>
      <c r="Y5566" s="71"/>
    </row>
    <row r="5567" spans="1:25" ht="30" hidden="1" customHeight="1" x14ac:dyDescent="0.2">
      <c r="A5567" s="1145">
        <v>44901</v>
      </c>
      <c r="B5567" s="664" t="s">
        <v>2353</v>
      </c>
      <c r="C5567" s="71" t="s">
        <v>584</v>
      </c>
      <c r="D5567" s="71">
        <v>4</v>
      </c>
      <c r="E5567" s="102">
        <v>270000</v>
      </c>
      <c r="F5567" s="102">
        <f t="shared" ref="F5567:F5573" si="2732">(E5567*D5567)*1.1</f>
        <v>1188000</v>
      </c>
      <c r="G5567" s="102">
        <f t="shared" ref="G5567:G5573" si="2733">(E5567*D5567)</f>
        <v>1080000</v>
      </c>
      <c r="H5567" s="165" t="s">
        <v>173</v>
      </c>
      <c r="I5567" s="71" t="s">
        <v>142</v>
      </c>
      <c r="J5567" s="53">
        <f t="shared" si="2728"/>
        <v>328000</v>
      </c>
      <c r="K5567" s="63">
        <f t="shared" si="2729"/>
        <v>0.3037037037037037</v>
      </c>
      <c r="L5567" s="1212" t="s">
        <v>3625</v>
      </c>
      <c r="M5567" s="468"/>
      <c r="N5567" s="1192">
        <f t="shared" si="2726"/>
        <v>44901</v>
      </c>
      <c r="O5567" s="71" t="s">
        <v>150</v>
      </c>
      <c r="P5567" s="103" t="str">
        <f t="shared" si="2727"/>
        <v>데리바리 석션벨트</v>
      </c>
      <c r="Q5567" s="71">
        <f t="shared" si="2723"/>
        <v>4</v>
      </c>
      <c r="R5567" s="102">
        <v>188000</v>
      </c>
      <c r="S5567" s="102">
        <f t="shared" si="2730"/>
        <v>827200.00000000012</v>
      </c>
      <c r="T5567" s="102">
        <f t="shared" si="2731"/>
        <v>752000</v>
      </c>
      <c r="U5567" s="71" t="str">
        <f>IF(J5567=W5567,"O", "X")</f>
        <v>O</v>
      </c>
      <c r="V5567" s="71"/>
      <c r="W5567" s="474">
        <f>(G5567-T5567)</f>
        <v>328000</v>
      </c>
      <c r="X5567" s="71"/>
      <c r="Y5567" s="71"/>
    </row>
    <row r="5568" spans="1:25" ht="30" hidden="1" customHeight="1" x14ac:dyDescent="0.25">
      <c r="A5568" s="1145">
        <v>44901</v>
      </c>
      <c r="B5568" s="664" t="s">
        <v>2353</v>
      </c>
      <c r="C5568" s="71" t="s">
        <v>123</v>
      </c>
      <c r="D5568" s="71">
        <v>4</v>
      </c>
      <c r="E5568" s="102">
        <v>50000</v>
      </c>
      <c r="F5568" s="102">
        <f t="shared" si="2732"/>
        <v>220000.00000000003</v>
      </c>
      <c r="G5568" s="102">
        <f t="shared" si="2733"/>
        <v>200000</v>
      </c>
      <c r="H5568" s="690" t="s">
        <v>173</v>
      </c>
      <c r="I5568" s="71" t="s">
        <v>142</v>
      </c>
      <c r="J5568" s="53">
        <f t="shared" si="2728"/>
        <v>104000</v>
      </c>
      <c r="K5568" s="63">
        <f t="shared" si="2729"/>
        <v>0.51999999999999991</v>
      </c>
      <c r="L5568" s="1212" t="s">
        <v>3625</v>
      </c>
      <c r="M5568" s="468" t="s">
        <v>3162</v>
      </c>
      <c r="N5568" s="1192">
        <f t="shared" si="2726"/>
        <v>44901</v>
      </c>
      <c r="O5568" s="71" t="s">
        <v>94</v>
      </c>
      <c r="P5568" s="103" t="str">
        <f t="shared" si="2727"/>
        <v>필터백</v>
      </c>
      <c r="Q5568" s="71">
        <f t="shared" si="2723"/>
        <v>4</v>
      </c>
      <c r="R5568" s="102">
        <v>24000</v>
      </c>
      <c r="S5568" s="102">
        <f t="shared" si="2730"/>
        <v>105600.00000000001</v>
      </c>
      <c r="T5568" s="102">
        <f t="shared" si="2731"/>
        <v>96000</v>
      </c>
      <c r="U5568" s="71"/>
      <c r="V5568" s="71"/>
      <c r="W5568" s="474"/>
      <c r="X5568" s="71"/>
      <c r="Y5568" s="71"/>
    </row>
    <row r="5569" spans="1:25" s="209" customFormat="1" ht="30" hidden="1" customHeight="1" x14ac:dyDescent="0.2">
      <c r="A5569" s="1145">
        <v>44921</v>
      </c>
      <c r="B5569" s="664" t="s">
        <v>2353</v>
      </c>
      <c r="C5569" s="71" t="s">
        <v>130</v>
      </c>
      <c r="D5569" s="71">
        <v>10</v>
      </c>
      <c r="E5569" s="102">
        <v>148000</v>
      </c>
      <c r="F5569" s="102">
        <f t="shared" si="2732"/>
        <v>1628000.0000000002</v>
      </c>
      <c r="G5569" s="102">
        <f t="shared" si="2733"/>
        <v>1480000</v>
      </c>
      <c r="H5569" s="165" t="s">
        <v>173</v>
      </c>
      <c r="I5569" s="71" t="s">
        <v>142</v>
      </c>
      <c r="J5569" s="53">
        <f t="shared" si="2728"/>
        <v>490000</v>
      </c>
      <c r="K5569" s="63">
        <f t="shared" si="2729"/>
        <v>0.33108108108108103</v>
      </c>
      <c r="L5569" s="1212" t="s">
        <v>3625</v>
      </c>
      <c r="M5569" s="468" t="s">
        <v>2050</v>
      </c>
      <c r="N5569" s="1192">
        <f t="shared" si="2726"/>
        <v>44921</v>
      </c>
      <c r="O5569" s="71" t="s">
        <v>150</v>
      </c>
      <c r="P5569" s="103" t="str">
        <f>(C5569)</f>
        <v>XL106 Blanket(1077*885)</v>
      </c>
      <c r="Q5569" s="71">
        <f>D5569</f>
        <v>10</v>
      </c>
      <c r="R5569" s="102">
        <v>99000</v>
      </c>
      <c r="S5569" s="102">
        <f t="shared" si="2730"/>
        <v>1089000</v>
      </c>
      <c r="T5569" s="102">
        <f t="shared" si="2731"/>
        <v>990000</v>
      </c>
      <c r="U5569" s="71" t="s">
        <v>859</v>
      </c>
      <c r="V5569" s="71"/>
      <c r="W5569" s="474">
        <v>260000</v>
      </c>
      <c r="X5569" s="71"/>
      <c r="Y5569" s="71"/>
    </row>
    <row r="5570" spans="1:25" ht="30" hidden="1" customHeight="1" x14ac:dyDescent="0.2">
      <c r="A5570" s="1145">
        <v>44921</v>
      </c>
      <c r="B5570" s="664" t="s">
        <v>2353</v>
      </c>
      <c r="C5570" s="71" t="s">
        <v>129</v>
      </c>
      <c r="D5570" s="71">
        <v>7</v>
      </c>
      <c r="E5570" s="102">
        <v>325000</v>
      </c>
      <c r="F5570" s="102">
        <f t="shared" si="2732"/>
        <v>2502500</v>
      </c>
      <c r="G5570" s="102">
        <f t="shared" si="2733"/>
        <v>2275000</v>
      </c>
      <c r="H5570" s="165" t="s">
        <v>173</v>
      </c>
      <c r="I5570" s="71" t="s">
        <v>142</v>
      </c>
      <c r="J5570" s="53">
        <f t="shared" si="2728"/>
        <v>636440</v>
      </c>
      <c r="K5570" s="63">
        <f t="shared" si="2729"/>
        <v>0.27975384615384613</v>
      </c>
      <c r="L5570" s="1212" t="s">
        <v>3625</v>
      </c>
      <c r="M5570" s="468" t="s">
        <v>2050</v>
      </c>
      <c r="N5570" s="1192">
        <f t="shared" si="2726"/>
        <v>44921</v>
      </c>
      <c r="O5570" s="71" t="s">
        <v>149</v>
      </c>
      <c r="P5570" s="103" t="str">
        <f>(C5570)</f>
        <v>세정포-XL106</v>
      </c>
      <c r="Q5570" s="71">
        <f>D5570</f>
        <v>7</v>
      </c>
      <c r="R5570" s="102">
        <v>234080</v>
      </c>
      <c r="S5570" s="102">
        <f t="shared" si="2730"/>
        <v>1802416.0000000002</v>
      </c>
      <c r="T5570" s="102">
        <f t="shared" si="2731"/>
        <v>1638560</v>
      </c>
      <c r="U5570" s="71" t="str">
        <f>IF(J5570=W5570,"O", "X")</f>
        <v>O</v>
      </c>
      <c r="V5570" s="71"/>
      <c r="W5570" s="474">
        <f>(G5570-T5570)</f>
        <v>636440</v>
      </c>
      <c r="X5570" s="71"/>
      <c r="Y5570" s="71"/>
    </row>
    <row r="5571" spans="1:25" s="209" customFormat="1" ht="30" hidden="1" customHeight="1" x14ac:dyDescent="0.2">
      <c r="A5571" s="1145">
        <v>44921</v>
      </c>
      <c r="B5571" s="664" t="s">
        <v>2353</v>
      </c>
      <c r="C5571" s="71" t="s">
        <v>138</v>
      </c>
      <c r="D5571" s="71">
        <v>10</v>
      </c>
      <c r="E5571" s="102">
        <v>83000</v>
      </c>
      <c r="F5571" s="102">
        <f t="shared" si="2732"/>
        <v>913000.00000000012</v>
      </c>
      <c r="G5571" s="102">
        <f t="shared" si="2733"/>
        <v>830000</v>
      </c>
      <c r="H5571" s="165" t="s">
        <v>173</v>
      </c>
      <c r="I5571" s="71" t="s">
        <v>142</v>
      </c>
      <c r="J5571" s="53">
        <f t="shared" si="2728"/>
        <v>422000</v>
      </c>
      <c r="K5571" s="63">
        <f t="shared" si="2729"/>
        <v>0.50843373493975896</v>
      </c>
      <c r="L5571" s="1212" t="s">
        <v>3625</v>
      </c>
      <c r="M5571" s="468" t="s">
        <v>2214</v>
      </c>
      <c r="N5571" s="1192">
        <f t="shared" si="2726"/>
        <v>44921</v>
      </c>
      <c r="O5571" s="71" t="s">
        <v>2030</v>
      </c>
      <c r="P5571" s="103" t="str">
        <f>(C5571)</f>
        <v>매엽용 세척제(Wash 562)</v>
      </c>
      <c r="Q5571" s="71">
        <f>D5571</f>
        <v>10</v>
      </c>
      <c r="R5571" s="102">
        <v>40800</v>
      </c>
      <c r="S5571" s="102">
        <f t="shared" si="2730"/>
        <v>448800.00000000006</v>
      </c>
      <c r="T5571" s="102">
        <f t="shared" si="2731"/>
        <v>408000</v>
      </c>
      <c r="U5571" s="71" t="s">
        <v>859</v>
      </c>
      <c r="V5571" s="71"/>
      <c r="W5571" s="474">
        <v>136000</v>
      </c>
      <c r="X5571" s="71"/>
      <c r="Y5571" s="71"/>
    </row>
    <row r="5572" spans="1:25" ht="30" hidden="1" customHeight="1" x14ac:dyDescent="0.2">
      <c r="A5572" s="1145">
        <v>44921</v>
      </c>
      <c r="B5572" s="664" t="s">
        <v>2353</v>
      </c>
      <c r="C5572" s="71" t="s">
        <v>584</v>
      </c>
      <c r="D5572" s="71">
        <v>5</v>
      </c>
      <c r="E5572" s="102">
        <v>270000</v>
      </c>
      <c r="F5572" s="102">
        <f t="shared" si="2732"/>
        <v>1485000.0000000002</v>
      </c>
      <c r="G5572" s="102">
        <f t="shared" si="2733"/>
        <v>1350000</v>
      </c>
      <c r="H5572" s="165" t="s">
        <v>173</v>
      </c>
      <c r="I5572" s="71" t="s">
        <v>142</v>
      </c>
      <c r="J5572" s="53">
        <f t="shared" si="2728"/>
        <v>410000</v>
      </c>
      <c r="K5572" s="63">
        <f t="shared" si="2729"/>
        <v>0.30370370370370364</v>
      </c>
      <c r="L5572" s="1212" t="s">
        <v>3625</v>
      </c>
      <c r="M5572" s="468"/>
      <c r="N5572" s="1192">
        <f t="shared" si="2726"/>
        <v>44921</v>
      </c>
      <c r="O5572" s="71" t="s">
        <v>150</v>
      </c>
      <c r="P5572" s="103" t="str">
        <f>(C5572)</f>
        <v>데리바리 석션벨트</v>
      </c>
      <c r="Q5572" s="71">
        <f>D5572</f>
        <v>5</v>
      </c>
      <c r="R5572" s="102">
        <v>188000</v>
      </c>
      <c r="S5572" s="102">
        <f t="shared" si="2730"/>
        <v>1034000.0000000001</v>
      </c>
      <c r="T5572" s="102">
        <f t="shared" si="2731"/>
        <v>940000</v>
      </c>
      <c r="U5572" s="71" t="str">
        <f>IF(J5572=W5572,"O", "X")</f>
        <v>O</v>
      </c>
      <c r="V5572" s="71"/>
      <c r="W5572" s="474">
        <f>(G5572-T5572)</f>
        <v>410000</v>
      </c>
      <c r="X5572" s="71"/>
      <c r="Y5572" s="71"/>
    </row>
    <row r="5573" spans="1:25" ht="30" hidden="1" customHeight="1" x14ac:dyDescent="0.25">
      <c r="A5573" s="1145">
        <v>44921</v>
      </c>
      <c r="B5573" s="664" t="s">
        <v>2353</v>
      </c>
      <c r="C5573" s="71" t="s">
        <v>123</v>
      </c>
      <c r="D5573" s="71">
        <v>4</v>
      </c>
      <c r="E5573" s="102">
        <v>50000</v>
      </c>
      <c r="F5573" s="102">
        <f t="shared" si="2732"/>
        <v>220000.00000000003</v>
      </c>
      <c r="G5573" s="102">
        <f t="shared" si="2733"/>
        <v>200000</v>
      </c>
      <c r="H5573" s="690" t="s">
        <v>173</v>
      </c>
      <c r="I5573" s="71" t="s">
        <v>142</v>
      </c>
      <c r="J5573" s="53">
        <f t="shared" si="2728"/>
        <v>104000</v>
      </c>
      <c r="K5573" s="63">
        <f t="shared" si="2729"/>
        <v>0.51999999999999991</v>
      </c>
      <c r="L5573" s="1212" t="s">
        <v>3625</v>
      </c>
      <c r="M5573" s="468" t="s">
        <v>3162</v>
      </c>
      <c r="N5573" s="1192">
        <f t="shared" si="2726"/>
        <v>44921</v>
      </c>
      <c r="O5573" s="71" t="s">
        <v>94</v>
      </c>
      <c r="P5573" s="103" t="str">
        <f>(C5573)</f>
        <v>필터백</v>
      </c>
      <c r="Q5573" s="71">
        <f>D5573</f>
        <v>4</v>
      </c>
      <c r="R5573" s="102">
        <v>24000</v>
      </c>
      <c r="S5573" s="102">
        <f t="shared" si="2730"/>
        <v>105600.00000000001</v>
      </c>
      <c r="T5573" s="102">
        <f t="shared" si="2731"/>
        <v>96000</v>
      </c>
      <c r="U5573" s="71"/>
      <c r="V5573" s="71"/>
      <c r="W5573" s="474"/>
      <c r="X5573" s="71"/>
      <c r="Y5573" s="71"/>
    </row>
    <row r="5574" spans="1:25" ht="1.5" hidden="1" customHeight="1" x14ac:dyDescent="0.25">
      <c r="A5574" s="1145"/>
      <c r="B5574" s="664"/>
      <c r="C5574" s="71"/>
      <c r="D5574" s="71"/>
      <c r="E5574" s="102"/>
      <c r="F5574" s="102"/>
      <c r="G5574" s="102"/>
      <c r="H5574" s="690"/>
      <c r="I5574" s="71"/>
      <c r="J5574" s="53"/>
      <c r="K5574" s="63"/>
      <c r="L5574" s="1212" t="s">
        <v>3625</v>
      </c>
      <c r="M5574" s="468"/>
      <c r="N5574" s="1192"/>
      <c r="O5574" s="71"/>
      <c r="P5574" s="103"/>
      <c r="Q5574" s="71"/>
      <c r="R5574" s="102"/>
      <c r="S5574" s="102"/>
      <c r="T5574" s="102"/>
      <c r="U5574" s="71"/>
      <c r="V5574" s="71"/>
      <c r="W5574" s="474"/>
      <c r="X5574" s="71"/>
      <c r="Y5574" s="71"/>
    </row>
    <row r="5575" spans="1:25" ht="30" customHeight="1" x14ac:dyDescent="0.25">
      <c r="A5575" s="1145">
        <v>44908</v>
      </c>
      <c r="B5575" s="664" t="s">
        <v>2352</v>
      </c>
      <c r="C5575" s="760" t="s">
        <v>218</v>
      </c>
      <c r="D5575" s="71">
        <v>4</v>
      </c>
      <c r="E5575" s="102">
        <v>286000</v>
      </c>
      <c r="F5575" s="102">
        <f>(E5575*D5575)*1.1</f>
        <v>1258400</v>
      </c>
      <c r="G5575" s="102">
        <f>(E5575*D5575)</f>
        <v>1144000</v>
      </c>
      <c r="H5575" s="690" t="s">
        <v>173</v>
      </c>
      <c r="I5575" s="71" t="s">
        <v>142</v>
      </c>
      <c r="J5575" s="53">
        <f>G5575-T5575</f>
        <v>694000</v>
      </c>
      <c r="K5575" s="63">
        <f>(J5575/(F5575/11*10))</f>
        <v>0.60664335664335667</v>
      </c>
      <c r="L5575" s="1212" t="s">
        <v>3625</v>
      </c>
      <c r="M5575" s="468" t="s">
        <v>2053</v>
      </c>
      <c r="N5575" s="1192">
        <f>A5575</f>
        <v>44908</v>
      </c>
      <c r="O5575" s="71" t="s">
        <v>150</v>
      </c>
      <c r="P5575" s="103" t="str">
        <f>(C5575)</f>
        <v>Fount Web 551AF</v>
      </c>
      <c r="Q5575" s="71">
        <f>D5575</f>
        <v>4</v>
      </c>
      <c r="R5575" s="102">
        <v>112500</v>
      </c>
      <c r="S5575" s="102">
        <f>R5575*Q5575*1.1</f>
        <v>495000.00000000006</v>
      </c>
      <c r="T5575" s="102">
        <f>R5575*Q5575</f>
        <v>450000</v>
      </c>
      <c r="U5575" s="71" t="str">
        <f>IF(J5575=W5575,"O", "X")</f>
        <v>O</v>
      </c>
      <c r="V5575" s="71"/>
      <c r="W5575" s="474">
        <f>(G5575-T5575)</f>
        <v>694000</v>
      </c>
      <c r="X5575" s="71"/>
      <c r="Y5575" s="71"/>
    </row>
    <row r="5576" spans="1:25" ht="30" customHeight="1" x14ac:dyDescent="0.25">
      <c r="A5576" s="1145">
        <v>44909</v>
      </c>
      <c r="B5576" s="664" t="s">
        <v>2536</v>
      </c>
      <c r="C5576" s="71" t="s">
        <v>3478</v>
      </c>
      <c r="D5576" s="71">
        <v>64</v>
      </c>
      <c r="E5576" s="102">
        <v>18500</v>
      </c>
      <c r="F5576" s="102">
        <f>(E5576*D5576)*1.1</f>
        <v>1302400</v>
      </c>
      <c r="G5576" s="102">
        <f>(E5576*D5576)</f>
        <v>1184000</v>
      </c>
      <c r="H5576" s="690" t="s">
        <v>172</v>
      </c>
      <c r="I5576" s="71" t="s">
        <v>142</v>
      </c>
      <c r="J5576" s="53">
        <f>G5576-T5576</f>
        <v>474624</v>
      </c>
      <c r="K5576" s="63">
        <f>(J5576/(F5576/11*10))</f>
        <v>0.40086486486486489</v>
      </c>
      <c r="L5576" s="1212" t="s">
        <v>3625</v>
      </c>
      <c r="M5576" s="468"/>
      <c r="N5576" s="1192">
        <f>A5576</f>
        <v>44909</v>
      </c>
      <c r="O5576" s="71"/>
      <c r="P5576" s="103" t="str">
        <f>(C5576)</f>
        <v>고모리 윤전 블랑켓 건식 세정포 - 국전용</v>
      </c>
      <c r="Q5576" s="71">
        <f>D5576</f>
        <v>64</v>
      </c>
      <c r="R5576" s="102">
        <v>11084</v>
      </c>
      <c r="S5576" s="102">
        <f>R5576*Q5576*1.1</f>
        <v>780313.60000000009</v>
      </c>
      <c r="T5576" s="102">
        <f>R5576*Q5576</f>
        <v>709376</v>
      </c>
      <c r="U5576" s="71"/>
      <c r="V5576" s="71"/>
      <c r="W5576" s="474"/>
      <c r="X5576" s="71"/>
      <c r="Y5576" s="71"/>
    </row>
    <row r="5577" spans="1:25" ht="30" customHeight="1" x14ac:dyDescent="0.2">
      <c r="A5577" s="1145">
        <v>44910</v>
      </c>
      <c r="B5577" s="664" t="s">
        <v>2352</v>
      </c>
      <c r="C5577" s="71" t="s">
        <v>692</v>
      </c>
      <c r="D5577" s="71">
        <v>4</v>
      </c>
      <c r="E5577" s="102">
        <v>264000</v>
      </c>
      <c r="F5577" s="102">
        <f>(E5577*D5577)*1.1</f>
        <v>1161600</v>
      </c>
      <c r="G5577" s="102">
        <f>(E5577*D5577)</f>
        <v>1056000</v>
      </c>
      <c r="H5577" s="165" t="s">
        <v>173</v>
      </c>
      <c r="I5577" s="71" t="s">
        <v>142</v>
      </c>
      <c r="J5577" s="53">
        <f>G5577-T5577</f>
        <v>416000</v>
      </c>
      <c r="K5577" s="63">
        <f>(J5577/(F5577/11*10))</f>
        <v>0.39393939393939392</v>
      </c>
      <c r="L5577" s="1212" t="s">
        <v>3625</v>
      </c>
      <c r="M5577" s="468" t="s">
        <v>2052</v>
      </c>
      <c r="N5577" s="1192">
        <f>A5577</f>
        <v>44910</v>
      </c>
      <c r="O5577" s="71" t="s">
        <v>150</v>
      </c>
      <c r="P5577" s="103" t="str">
        <f>(C5577)</f>
        <v>윤전 블랑켓</v>
      </c>
      <c r="Q5577" s="71">
        <f>D5577</f>
        <v>4</v>
      </c>
      <c r="R5577" s="102">
        <v>160000</v>
      </c>
      <c r="S5577" s="102">
        <f>R5577*Q5577*1.1</f>
        <v>704000</v>
      </c>
      <c r="T5577" s="102">
        <f>R5577*Q5577</f>
        <v>640000</v>
      </c>
      <c r="U5577" s="71" t="str">
        <f>IF(J5577=W5577,"O", "X")</f>
        <v>O</v>
      </c>
      <c r="V5577" s="71" t="s">
        <v>784</v>
      </c>
      <c r="W5577" s="474">
        <f>(G5577-T5577)</f>
        <v>416000</v>
      </c>
      <c r="X5577" s="71"/>
      <c r="Y5577" s="71"/>
    </row>
    <row r="5578" spans="1:25" ht="30" customHeight="1" x14ac:dyDescent="0.25">
      <c r="A5578" s="1145">
        <v>44923</v>
      </c>
      <c r="B5578" s="664" t="s">
        <v>2352</v>
      </c>
      <c r="C5578" s="760" t="s">
        <v>218</v>
      </c>
      <c r="D5578" s="71">
        <v>3</v>
      </c>
      <c r="E5578" s="102">
        <v>286000</v>
      </c>
      <c r="F5578" s="102">
        <f t="shared" ref="F5578:F5595" si="2734">(E5578*D5578)*1.1</f>
        <v>943800.00000000012</v>
      </c>
      <c r="G5578" s="102">
        <f t="shared" ref="G5578:G5595" si="2735">(E5578*D5578)</f>
        <v>858000</v>
      </c>
      <c r="H5578" s="690" t="s">
        <v>173</v>
      </c>
      <c r="I5578" s="71" t="s">
        <v>142</v>
      </c>
      <c r="J5578" s="53">
        <f>G5578-T5578</f>
        <v>520500</v>
      </c>
      <c r="K5578" s="63">
        <f>(J5578/(F5578/11*10))</f>
        <v>0.60664335664335656</v>
      </c>
      <c r="L5578" s="1212" t="s">
        <v>3625</v>
      </c>
      <c r="M5578" s="468" t="s">
        <v>2053</v>
      </c>
      <c r="N5578" s="1192">
        <f>A5578</f>
        <v>44923</v>
      </c>
      <c r="O5578" s="71" t="s">
        <v>150</v>
      </c>
      <c r="P5578" s="103" t="str">
        <f t="shared" ref="P5578:P5611" si="2736">(C5578)</f>
        <v>Fount Web 551AF</v>
      </c>
      <c r="Q5578" s="71">
        <f t="shared" ref="Q5578:Q5611" si="2737">D5578</f>
        <v>3</v>
      </c>
      <c r="R5578" s="102">
        <v>112500</v>
      </c>
      <c r="S5578" s="102">
        <f>R5578*Q5578*1.1</f>
        <v>371250.00000000006</v>
      </c>
      <c r="T5578" s="102">
        <f>R5578*Q5578</f>
        <v>337500</v>
      </c>
      <c r="U5578" s="71" t="str">
        <f>IF(J5578=W5578,"O", "X")</f>
        <v>O</v>
      </c>
      <c r="V5578" s="71"/>
      <c r="W5578" s="474">
        <f>(G5578-T5578)</f>
        <v>520500</v>
      </c>
      <c r="X5578" s="71"/>
      <c r="Y5578" s="71"/>
    </row>
    <row r="5579" spans="1:25" ht="30" customHeight="1" x14ac:dyDescent="0.25">
      <c r="A5579" s="1145">
        <v>44923</v>
      </c>
      <c r="B5579" s="664" t="s">
        <v>2536</v>
      </c>
      <c r="C5579" s="71" t="s">
        <v>3382</v>
      </c>
      <c r="D5579" s="71">
        <v>4</v>
      </c>
      <c r="E5579" s="102">
        <v>180000</v>
      </c>
      <c r="F5579" s="102">
        <f t="shared" si="2734"/>
        <v>792000.00000000012</v>
      </c>
      <c r="G5579" s="102">
        <f t="shared" si="2735"/>
        <v>720000</v>
      </c>
      <c r="H5579" s="690" t="s">
        <v>2029</v>
      </c>
      <c r="I5579" s="71" t="s">
        <v>142</v>
      </c>
      <c r="J5579" s="53">
        <f>G5579-T5579</f>
        <v>240000</v>
      </c>
      <c r="K5579" s="63">
        <f>(J5579/(F5579/11*10))</f>
        <v>0.33333333333333326</v>
      </c>
      <c r="L5579" s="1212" t="s">
        <v>3625</v>
      </c>
      <c r="M5579" s="468"/>
      <c r="N5579" s="1192">
        <f>A5579</f>
        <v>44923</v>
      </c>
      <c r="O5579" s="71" t="s">
        <v>149</v>
      </c>
      <c r="P5579" s="103" t="str">
        <f t="shared" si="2736"/>
        <v>판 클리너(12개)</v>
      </c>
      <c r="Q5579" s="71">
        <f t="shared" si="2737"/>
        <v>4</v>
      </c>
      <c r="R5579" s="102">
        <v>120000</v>
      </c>
      <c r="S5579" s="102">
        <f>R5579*Q5579*1.1</f>
        <v>528000</v>
      </c>
      <c r="T5579" s="102">
        <f>R5579*Q5579</f>
        <v>480000</v>
      </c>
      <c r="U5579" s="71"/>
      <c r="V5579" s="71"/>
      <c r="W5579" s="474"/>
      <c r="X5579" s="71"/>
      <c r="Y5579" s="71"/>
    </row>
    <row r="5580" spans="1:25" ht="30" customHeight="1" x14ac:dyDescent="0.25">
      <c r="A5580" s="1145">
        <v>44916</v>
      </c>
      <c r="B5580" s="664" t="s">
        <v>641</v>
      </c>
      <c r="C5580" s="71" t="s">
        <v>3293</v>
      </c>
      <c r="D5580" s="71">
        <v>60</v>
      </c>
      <c r="E5580" s="102">
        <v>84000</v>
      </c>
      <c r="F5580" s="102">
        <f t="shared" si="2734"/>
        <v>5544000</v>
      </c>
      <c r="G5580" s="102">
        <f t="shared" si="2735"/>
        <v>5040000</v>
      </c>
      <c r="H5580" s="690" t="s">
        <v>172</v>
      </c>
      <c r="I5580" s="71" t="s">
        <v>2231</v>
      </c>
      <c r="J5580" s="53">
        <f t="shared" ref="J5580:J5599" si="2738">G5580-T5580</f>
        <v>1980000</v>
      </c>
      <c r="K5580" s="63">
        <f t="shared" ref="K5580:K5599" si="2739">(J5580/(F5580/11*10))</f>
        <v>0.39285714285714285</v>
      </c>
      <c r="L5580" s="1212" t="s">
        <v>3625</v>
      </c>
      <c r="M5580" s="468"/>
      <c r="N5580" s="1192">
        <f t="shared" ref="N5580:N5612" si="2740">A5580</f>
        <v>44916</v>
      </c>
      <c r="O5580" s="71" t="s">
        <v>3291</v>
      </c>
      <c r="P5580" s="103" t="str">
        <f t="shared" si="2736"/>
        <v>GOSS 신문윤전 습식세정포</v>
      </c>
      <c r="Q5580" s="71">
        <f t="shared" si="2737"/>
        <v>60</v>
      </c>
      <c r="R5580" s="102">
        <v>51000</v>
      </c>
      <c r="S5580" s="102">
        <f t="shared" ref="S5580:S5599" si="2741">R5580*Q5580*1.1</f>
        <v>3366000.0000000005</v>
      </c>
      <c r="T5580" s="102">
        <f t="shared" ref="T5580:T5599" si="2742">R5580*Q5580</f>
        <v>3060000</v>
      </c>
      <c r="U5580" s="71" t="str">
        <f>IF(J5580=W5580,"O", "X")</f>
        <v>X</v>
      </c>
      <c r="V5580" s="71"/>
      <c r="W5580" s="474"/>
      <c r="X5580" s="71"/>
      <c r="Y5580" s="71"/>
    </row>
    <row r="5581" spans="1:25" s="209" customFormat="1" ht="30" hidden="1" customHeight="1" x14ac:dyDescent="0.25">
      <c r="A5581" s="1145">
        <v>44912</v>
      </c>
      <c r="B5581" s="664" t="s">
        <v>411</v>
      </c>
      <c r="C5581" s="71" t="s">
        <v>3413</v>
      </c>
      <c r="D5581" s="71">
        <v>10</v>
      </c>
      <c r="E5581" s="102">
        <v>100000</v>
      </c>
      <c r="F5581" s="102">
        <f t="shared" si="2734"/>
        <v>1100000</v>
      </c>
      <c r="G5581" s="102">
        <f t="shared" si="2735"/>
        <v>1000000</v>
      </c>
      <c r="H5581" s="690" t="s">
        <v>2029</v>
      </c>
      <c r="I5581" s="71" t="s">
        <v>3385</v>
      </c>
      <c r="J5581" s="53">
        <f t="shared" si="2738"/>
        <v>500000</v>
      </c>
      <c r="K5581" s="63">
        <f t="shared" si="2739"/>
        <v>0.5</v>
      </c>
      <c r="L5581" s="1212" t="s">
        <v>3625</v>
      </c>
      <c r="M5581" s="468"/>
      <c r="N5581" s="1192">
        <f t="shared" si="2740"/>
        <v>44912</v>
      </c>
      <c r="O5581" s="71" t="s">
        <v>190</v>
      </c>
      <c r="P5581" s="103" t="str">
        <f t="shared" si="2736"/>
        <v>아스테이지(국전)</v>
      </c>
      <c r="Q5581" s="71">
        <f t="shared" si="2737"/>
        <v>10</v>
      </c>
      <c r="R5581" s="102">
        <v>50000</v>
      </c>
      <c r="S5581" s="102">
        <f t="shared" si="2741"/>
        <v>550000</v>
      </c>
      <c r="T5581" s="102">
        <f t="shared" si="2742"/>
        <v>500000</v>
      </c>
      <c r="U5581" s="71" t="str">
        <f>IF(J5581=W5581,"O", "X")</f>
        <v>O</v>
      </c>
      <c r="V5581" s="71"/>
      <c r="W5581" s="474">
        <v>500000</v>
      </c>
      <c r="X5581" s="71"/>
      <c r="Y5581" s="71"/>
    </row>
    <row r="5582" spans="1:25" ht="30" hidden="1" customHeight="1" x14ac:dyDescent="0.25">
      <c r="A5582" s="1145">
        <v>44921</v>
      </c>
      <c r="B5582" s="664" t="s">
        <v>1060</v>
      </c>
      <c r="C5582" s="71" t="s">
        <v>3310</v>
      </c>
      <c r="D5582" s="71">
        <v>0</v>
      </c>
      <c r="E5582" s="102">
        <v>6500</v>
      </c>
      <c r="F5582" s="102">
        <f t="shared" si="2734"/>
        <v>0</v>
      </c>
      <c r="G5582" s="102">
        <f t="shared" si="2735"/>
        <v>0</v>
      </c>
      <c r="H5582" s="690" t="s">
        <v>36</v>
      </c>
      <c r="I5582" s="71" t="s">
        <v>2529</v>
      </c>
      <c r="J5582" s="53">
        <f t="shared" si="2738"/>
        <v>0</v>
      </c>
      <c r="K5582" s="63" t="e">
        <f t="shared" si="2739"/>
        <v>#DIV/0!</v>
      </c>
      <c r="L5582" s="1212" t="s">
        <v>3625</v>
      </c>
      <c r="M5582" s="102">
        <v>4250</v>
      </c>
      <c r="N5582" s="1192">
        <f t="shared" si="2740"/>
        <v>44921</v>
      </c>
      <c r="O5582" s="71" t="s">
        <v>3298</v>
      </c>
      <c r="P5582" s="103" t="str">
        <f t="shared" si="2736"/>
        <v>ENGAGE 1030*790</v>
      </c>
      <c r="Q5582" s="71">
        <f t="shared" si="2737"/>
        <v>0</v>
      </c>
      <c r="R5582" s="102">
        <v>5150</v>
      </c>
      <c r="S5582" s="102">
        <f t="shared" si="2741"/>
        <v>0</v>
      </c>
      <c r="T5582" s="102">
        <f t="shared" si="2742"/>
        <v>0</v>
      </c>
      <c r="U5582" s="71" t="s">
        <v>859</v>
      </c>
      <c r="V5582" s="71"/>
      <c r="W5582" s="474">
        <v>942000</v>
      </c>
      <c r="X5582" s="71"/>
      <c r="Y5582" s="71"/>
    </row>
    <row r="5583" spans="1:25" ht="30" hidden="1" customHeight="1" x14ac:dyDescent="0.25">
      <c r="A5583" s="1145">
        <v>44921</v>
      </c>
      <c r="B5583" s="664" t="s">
        <v>2255</v>
      </c>
      <c r="C5583" s="71" t="s">
        <v>3400</v>
      </c>
      <c r="D5583" s="71">
        <v>1750</v>
      </c>
      <c r="E5583" s="102">
        <v>4090</v>
      </c>
      <c r="F5583" s="102">
        <f t="shared" si="2734"/>
        <v>7873250.0000000009</v>
      </c>
      <c r="G5583" s="102">
        <f t="shared" si="2735"/>
        <v>7157500</v>
      </c>
      <c r="H5583" s="690" t="s">
        <v>36</v>
      </c>
      <c r="I5583" s="71" t="s">
        <v>2529</v>
      </c>
      <c r="J5583" s="53">
        <f t="shared" si="2738"/>
        <v>1470000</v>
      </c>
      <c r="K5583" s="63">
        <f t="shared" si="2739"/>
        <v>0.20537897310513445</v>
      </c>
      <c r="L5583" s="1212" t="s">
        <v>3625</v>
      </c>
      <c r="M5583" s="102">
        <v>2680</v>
      </c>
      <c r="N5583" s="1192">
        <f t="shared" si="2740"/>
        <v>44921</v>
      </c>
      <c r="O5583" s="71" t="s">
        <v>3298</v>
      </c>
      <c r="P5583" s="103" t="str">
        <f t="shared" si="2736"/>
        <v>ENGAGE 900X571 - 27RO</v>
      </c>
      <c r="Q5583" s="71">
        <f t="shared" si="2737"/>
        <v>1750</v>
      </c>
      <c r="R5583" s="102">
        <v>3250</v>
      </c>
      <c r="S5583" s="102">
        <f t="shared" si="2741"/>
        <v>6256250.0000000009</v>
      </c>
      <c r="T5583" s="102">
        <f t="shared" si="2742"/>
        <v>5687500</v>
      </c>
      <c r="U5583" s="71" t="s">
        <v>859</v>
      </c>
      <c r="V5583" s="71"/>
      <c r="W5583" s="474">
        <v>1274000</v>
      </c>
      <c r="X5583" s="71"/>
      <c r="Y5583" s="71"/>
    </row>
    <row r="5584" spans="1:25" ht="30" hidden="1" customHeight="1" x14ac:dyDescent="0.25">
      <c r="A5584" s="1145">
        <v>44921</v>
      </c>
      <c r="B5584" s="664" t="s">
        <v>2255</v>
      </c>
      <c r="C5584" s="71" t="s">
        <v>3402</v>
      </c>
      <c r="D5584" s="71">
        <v>3550</v>
      </c>
      <c r="E5584" s="102">
        <v>3900</v>
      </c>
      <c r="F5584" s="102">
        <f t="shared" si="2734"/>
        <v>15229500.000000002</v>
      </c>
      <c r="G5584" s="102">
        <f t="shared" si="2735"/>
        <v>13845000</v>
      </c>
      <c r="H5584" s="690" t="s">
        <v>36</v>
      </c>
      <c r="I5584" s="71" t="s">
        <v>2529</v>
      </c>
      <c r="J5584" s="53">
        <f t="shared" si="2738"/>
        <v>2911000</v>
      </c>
      <c r="K5584" s="63">
        <f t="shared" si="2739"/>
        <v>0.21025641025641023</v>
      </c>
      <c r="L5584" s="1212" t="s">
        <v>3625</v>
      </c>
      <c r="M5584" s="102">
        <v>2540</v>
      </c>
      <c r="N5584" s="1192">
        <f t="shared" si="2740"/>
        <v>44921</v>
      </c>
      <c r="O5584" s="71" t="s">
        <v>3298</v>
      </c>
      <c r="P5584" s="103" t="str">
        <f t="shared" si="2736"/>
        <v>ENGAGE 30WEB(883*552)</v>
      </c>
      <c r="Q5584" s="71">
        <f t="shared" si="2737"/>
        <v>3550</v>
      </c>
      <c r="R5584" s="102">
        <v>3080</v>
      </c>
      <c r="S5584" s="102">
        <f t="shared" si="2741"/>
        <v>12027400.000000002</v>
      </c>
      <c r="T5584" s="102">
        <f t="shared" si="2742"/>
        <v>10934000</v>
      </c>
      <c r="U5584" s="71" t="s">
        <v>859</v>
      </c>
      <c r="V5584" s="71"/>
      <c r="W5584" s="474">
        <v>3325000</v>
      </c>
      <c r="X5584" s="71"/>
      <c r="Y5584" s="71"/>
    </row>
    <row r="5585" spans="1:25" ht="30" hidden="1" customHeight="1" x14ac:dyDescent="0.25">
      <c r="A5585" s="1145">
        <v>44921</v>
      </c>
      <c r="B5585" s="664" t="s">
        <v>2255</v>
      </c>
      <c r="C5585" s="71" t="s">
        <v>3313</v>
      </c>
      <c r="D5585" s="71">
        <v>900</v>
      </c>
      <c r="E5585" s="102">
        <v>6590</v>
      </c>
      <c r="F5585" s="102">
        <f t="shared" si="2734"/>
        <v>6524100.0000000009</v>
      </c>
      <c r="G5585" s="102">
        <f t="shared" si="2735"/>
        <v>5931000</v>
      </c>
      <c r="H5585" s="690" t="s">
        <v>36</v>
      </c>
      <c r="I5585" s="71" t="s">
        <v>2529</v>
      </c>
      <c r="J5585" s="53">
        <f t="shared" si="2738"/>
        <v>1233000</v>
      </c>
      <c r="K5585" s="63">
        <f t="shared" si="2739"/>
        <v>0.20789074355083456</v>
      </c>
      <c r="L5585" s="1212" t="s">
        <v>3625</v>
      </c>
      <c r="M5585" s="102">
        <v>4300</v>
      </c>
      <c r="N5585" s="1192">
        <f t="shared" si="2740"/>
        <v>44921</v>
      </c>
      <c r="O5585" s="71" t="s">
        <v>3298</v>
      </c>
      <c r="P5585" s="103" t="str">
        <f t="shared" si="2736"/>
        <v>ENGAGE 1030*800</v>
      </c>
      <c r="Q5585" s="71">
        <f t="shared" si="2737"/>
        <v>900</v>
      </c>
      <c r="R5585" s="102">
        <v>5220</v>
      </c>
      <c r="S5585" s="102">
        <f t="shared" si="2741"/>
        <v>5167800</v>
      </c>
      <c r="T5585" s="102">
        <f t="shared" si="2742"/>
        <v>4698000</v>
      </c>
      <c r="U5585" s="71" t="s">
        <v>859</v>
      </c>
      <c r="V5585" s="71"/>
      <c r="W5585" s="474">
        <v>636000</v>
      </c>
      <c r="X5585" s="71"/>
      <c r="Y5585" s="71"/>
    </row>
    <row r="5586" spans="1:25" ht="30" hidden="1" customHeight="1" x14ac:dyDescent="0.25">
      <c r="A5586" s="1145">
        <v>44921</v>
      </c>
      <c r="B5586" s="664" t="s">
        <v>2255</v>
      </c>
      <c r="C5586" s="71" t="s">
        <v>3314</v>
      </c>
      <c r="D5586" s="71">
        <v>0</v>
      </c>
      <c r="E5586" s="102">
        <v>6830</v>
      </c>
      <c r="F5586" s="102">
        <f t="shared" si="2734"/>
        <v>0</v>
      </c>
      <c r="G5586" s="102">
        <f t="shared" si="2735"/>
        <v>0</v>
      </c>
      <c r="H5586" s="690" t="s">
        <v>36</v>
      </c>
      <c r="I5586" s="71" t="s">
        <v>2529</v>
      </c>
      <c r="J5586" s="53">
        <f t="shared" si="2738"/>
        <v>0</v>
      </c>
      <c r="K5586" s="63" t="e">
        <f t="shared" si="2739"/>
        <v>#DIV/0!</v>
      </c>
      <c r="L5586" s="1212" t="s">
        <v>3625</v>
      </c>
      <c r="M5586" s="102">
        <v>4470</v>
      </c>
      <c r="N5586" s="1192">
        <f t="shared" si="2740"/>
        <v>44921</v>
      </c>
      <c r="O5586" s="71" t="s">
        <v>3298</v>
      </c>
      <c r="P5586" s="103" t="str">
        <f t="shared" si="2736"/>
        <v>ENGAGE 1055*811</v>
      </c>
      <c r="Q5586" s="71">
        <f t="shared" si="2737"/>
        <v>0</v>
      </c>
      <c r="R5586" s="102">
        <v>5420</v>
      </c>
      <c r="S5586" s="102">
        <f t="shared" si="2741"/>
        <v>0</v>
      </c>
      <c r="T5586" s="102">
        <f t="shared" si="2742"/>
        <v>0</v>
      </c>
      <c r="U5586" s="71" t="s">
        <v>859</v>
      </c>
      <c r="V5586" s="71"/>
      <c r="W5586" s="474">
        <v>1476000</v>
      </c>
      <c r="X5586" s="71"/>
      <c r="Y5586" s="71"/>
    </row>
    <row r="5587" spans="1:25" ht="30" hidden="1" customHeight="1" x14ac:dyDescent="0.25">
      <c r="A5587" s="1145">
        <v>44921</v>
      </c>
      <c r="B5587" s="664" t="s">
        <v>2255</v>
      </c>
      <c r="C5587" s="71" t="s">
        <v>3315</v>
      </c>
      <c r="D5587" s="71">
        <v>600</v>
      </c>
      <c r="E5587" s="102">
        <v>4880</v>
      </c>
      <c r="F5587" s="102">
        <f t="shared" si="2734"/>
        <v>3220800.0000000005</v>
      </c>
      <c r="G5587" s="102">
        <f t="shared" si="2735"/>
        <v>2928000</v>
      </c>
      <c r="H5587" s="690" t="s">
        <v>36</v>
      </c>
      <c r="I5587" s="71" t="s">
        <v>2529</v>
      </c>
      <c r="J5587" s="53">
        <f t="shared" si="2738"/>
        <v>606000</v>
      </c>
      <c r="K5587" s="63">
        <f t="shared" si="2739"/>
        <v>0.20696721311475408</v>
      </c>
      <c r="L5587" s="1212" t="s">
        <v>3625</v>
      </c>
      <c r="M5587" s="102">
        <v>3190</v>
      </c>
      <c r="N5587" s="1192">
        <f t="shared" si="2740"/>
        <v>44921</v>
      </c>
      <c r="O5587" s="71" t="s">
        <v>3298</v>
      </c>
      <c r="P5587" s="103" t="str">
        <f t="shared" si="2736"/>
        <v>ENGAGE 968*631</v>
      </c>
      <c r="Q5587" s="71">
        <f t="shared" si="2737"/>
        <v>600</v>
      </c>
      <c r="R5587" s="102">
        <v>3870</v>
      </c>
      <c r="S5587" s="102">
        <f t="shared" si="2741"/>
        <v>2554200</v>
      </c>
      <c r="T5587" s="102">
        <f t="shared" si="2742"/>
        <v>2322000</v>
      </c>
      <c r="U5587" s="71" t="s">
        <v>859</v>
      </c>
      <c r="V5587" s="71"/>
      <c r="W5587" s="474">
        <v>1416000</v>
      </c>
      <c r="X5587" s="71"/>
      <c r="Y5587" s="71"/>
    </row>
    <row r="5588" spans="1:25" ht="30" hidden="1" customHeight="1" x14ac:dyDescent="0.25">
      <c r="A5588" s="1145">
        <v>44921</v>
      </c>
      <c r="B5588" s="664" t="s">
        <v>2255</v>
      </c>
      <c r="C5588" s="71" t="s">
        <v>3316</v>
      </c>
      <c r="D5588" s="71"/>
      <c r="E5588" s="102"/>
      <c r="F5588" s="102">
        <f t="shared" si="2734"/>
        <v>0</v>
      </c>
      <c r="G5588" s="102">
        <f t="shared" si="2735"/>
        <v>0</v>
      </c>
      <c r="H5588" s="690" t="s">
        <v>36</v>
      </c>
      <c r="I5588" s="71" t="s">
        <v>2529</v>
      </c>
      <c r="J5588" s="53">
        <f t="shared" si="2738"/>
        <v>0</v>
      </c>
      <c r="K5588" s="63" t="e">
        <f t="shared" si="2739"/>
        <v>#DIV/0!</v>
      </c>
      <c r="L5588" s="1212" t="s">
        <v>3625</v>
      </c>
      <c r="M5588" s="102">
        <v>5510</v>
      </c>
      <c r="N5588" s="1192">
        <f t="shared" si="2740"/>
        <v>44921</v>
      </c>
      <c r="O5588" s="71" t="s">
        <v>3298</v>
      </c>
      <c r="P5588" s="103" t="str">
        <f t="shared" si="2736"/>
        <v>ENGAGE 1092*800</v>
      </c>
      <c r="Q5588" s="71">
        <f t="shared" si="2737"/>
        <v>0</v>
      </c>
      <c r="R5588" s="102">
        <f>(M5588*1.07)</f>
        <v>5895.7000000000007</v>
      </c>
      <c r="S5588" s="102">
        <f t="shared" si="2741"/>
        <v>0</v>
      </c>
      <c r="T5588" s="102">
        <f t="shared" si="2742"/>
        <v>0</v>
      </c>
      <c r="U5588" s="71" t="s">
        <v>859</v>
      </c>
      <c r="V5588" s="71"/>
      <c r="W5588" s="474">
        <v>0</v>
      </c>
      <c r="X5588" s="71"/>
      <c r="Y5588" s="71"/>
    </row>
    <row r="5589" spans="1:25" ht="30" hidden="1" customHeight="1" x14ac:dyDescent="0.25">
      <c r="A5589" s="1145">
        <v>44921</v>
      </c>
      <c r="B5589" s="664" t="s">
        <v>2255</v>
      </c>
      <c r="C5589" s="71" t="s">
        <v>1386</v>
      </c>
      <c r="D5589" s="71">
        <v>40</v>
      </c>
      <c r="E5589" s="102">
        <v>60000</v>
      </c>
      <c r="F5589" s="102">
        <f t="shared" si="2734"/>
        <v>2640000</v>
      </c>
      <c r="G5589" s="102">
        <f t="shared" si="2735"/>
        <v>2400000</v>
      </c>
      <c r="H5589" s="690" t="s">
        <v>179</v>
      </c>
      <c r="I5589" s="71" t="s">
        <v>3405</v>
      </c>
      <c r="J5589" s="53">
        <f t="shared" si="2738"/>
        <v>790000</v>
      </c>
      <c r="K5589" s="63">
        <f t="shared" si="2739"/>
        <v>0.32916666666666666</v>
      </c>
      <c r="L5589" s="1212" t="s">
        <v>3625</v>
      </c>
      <c r="M5589" s="468"/>
      <c r="N5589" s="1192">
        <f t="shared" si="2740"/>
        <v>44921</v>
      </c>
      <c r="O5589" s="71" t="s">
        <v>194</v>
      </c>
      <c r="P5589" s="103" t="str">
        <f t="shared" si="2736"/>
        <v>THR200(20L)보충액</v>
      </c>
      <c r="Q5589" s="71">
        <f t="shared" si="2737"/>
        <v>40</v>
      </c>
      <c r="R5589" s="102">
        <v>40250</v>
      </c>
      <c r="S5589" s="102">
        <f t="shared" si="2741"/>
        <v>1771000.0000000002</v>
      </c>
      <c r="T5589" s="102">
        <f t="shared" si="2742"/>
        <v>1610000</v>
      </c>
      <c r="U5589" s="71" t="s">
        <v>859</v>
      </c>
      <c r="V5589" s="71"/>
      <c r="W5589" s="474">
        <v>978750</v>
      </c>
      <c r="X5589" s="71"/>
      <c r="Y5589" s="71"/>
    </row>
    <row r="5590" spans="1:25" ht="30" hidden="1" customHeight="1" x14ac:dyDescent="0.25">
      <c r="A5590" s="1145">
        <v>44921</v>
      </c>
      <c r="B5590" s="664" t="s">
        <v>2255</v>
      </c>
      <c r="C5590" s="71" t="s">
        <v>3318</v>
      </c>
      <c r="D5590" s="71">
        <v>0</v>
      </c>
      <c r="E5590" s="102">
        <v>60000</v>
      </c>
      <c r="F5590" s="102">
        <f t="shared" si="2734"/>
        <v>0</v>
      </c>
      <c r="G5590" s="102">
        <f t="shared" si="2735"/>
        <v>0</v>
      </c>
      <c r="H5590" s="690" t="s">
        <v>36</v>
      </c>
      <c r="I5590" s="71" t="s">
        <v>2529</v>
      </c>
      <c r="J5590" s="53">
        <f t="shared" si="2738"/>
        <v>0</v>
      </c>
      <c r="K5590" s="63" t="e">
        <f t="shared" si="2739"/>
        <v>#DIV/0!</v>
      </c>
      <c r="L5590" s="1212" t="s">
        <v>3625</v>
      </c>
      <c r="M5590" s="468"/>
      <c r="N5590" s="1192">
        <f t="shared" si="2740"/>
        <v>44921</v>
      </c>
      <c r="O5590" s="71" t="s">
        <v>3298</v>
      </c>
      <c r="P5590" s="103" t="str">
        <f t="shared" si="2736"/>
        <v>THD200(20L)현상액</v>
      </c>
      <c r="Q5590" s="71">
        <f t="shared" si="2737"/>
        <v>0</v>
      </c>
      <c r="R5590" s="102">
        <v>40250</v>
      </c>
      <c r="S5590" s="102">
        <f t="shared" si="2741"/>
        <v>0</v>
      </c>
      <c r="T5590" s="102">
        <f t="shared" si="2742"/>
        <v>0</v>
      </c>
      <c r="U5590" s="71" t="s">
        <v>859</v>
      </c>
      <c r="V5590" s="71"/>
      <c r="W5590" s="474">
        <v>217500</v>
      </c>
      <c r="X5590" s="71"/>
      <c r="Y5590" s="71"/>
    </row>
    <row r="5591" spans="1:25" ht="30" hidden="1" customHeight="1" x14ac:dyDescent="0.25">
      <c r="A5591" s="1145">
        <v>44921</v>
      </c>
      <c r="B5591" s="664" t="s">
        <v>2254</v>
      </c>
      <c r="C5591" s="71" t="s">
        <v>3319</v>
      </c>
      <c r="D5591" s="71">
        <v>200</v>
      </c>
      <c r="E5591" s="102">
        <v>6328</v>
      </c>
      <c r="F5591" s="102">
        <f t="shared" si="2734"/>
        <v>1392160</v>
      </c>
      <c r="G5591" s="102">
        <f t="shared" si="2735"/>
        <v>1265600</v>
      </c>
      <c r="H5591" s="690" t="s">
        <v>36</v>
      </c>
      <c r="I5591" s="71" t="s">
        <v>3320</v>
      </c>
      <c r="J5591" s="53">
        <f t="shared" si="2738"/>
        <v>95600</v>
      </c>
      <c r="K5591" s="63">
        <f t="shared" si="2739"/>
        <v>7.5537294563843241E-2</v>
      </c>
      <c r="L5591" s="1212" t="s">
        <v>3625</v>
      </c>
      <c r="M5591" s="468"/>
      <c r="N5591" s="1192">
        <f t="shared" si="2740"/>
        <v>44921</v>
      </c>
      <c r="O5591" s="71" t="s">
        <v>146</v>
      </c>
      <c r="P5591" s="103" t="str">
        <f t="shared" si="2736"/>
        <v>프리미어(먹)</v>
      </c>
      <c r="Q5591" s="71">
        <f t="shared" si="2737"/>
        <v>200</v>
      </c>
      <c r="R5591" s="102">
        <v>5850</v>
      </c>
      <c r="S5591" s="102">
        <f t="shared" si="2741"/>
        <v>1287000</v>
      </c>
      <c r="T5591" s="102">
        <f t="shared" si="2742"/>
        <v>1170000</v>
      </c>
      <c r="U5591" s="71" t="s">
        <v>859</v>
      </c>
      <c r="V5591" s="71"/>
      <c r="W5591" s="474">
        <v>411200</v>
      </c>
      <c r="X5591" s="71"/>
      <c r="Y5591" s="71"/>
    </row>
    <row r="5592" spans="1:25" ht="30" hidden="1" customHeight="1" x14ac:dyDescent="0.25">
      <c r="A5592" s="1145">
        <v>44921</v>
      </c>
      <c r="B5592" s="664" t="s">
        <v>2254</v>
      </c>
      <c r="C5592" s="71" t="s">
        <v>3321</v>
      </c>
      <c r="D5592" s="71">
        <v>200</v>
      </c>
      <c r="E5592" s="102">
        <v>6780</v>
      </c>
      <c r="F5592" s="102">
        <f t="shared" si="2734"/>
        <v>1491600.0000000002</v>
      </c>
      <c r="G5592" s="102">
        <f t="shared" si="2735"/>
        <v>1356000</v>
      </c>
      <c r="H5592" s="690" t="s">
        <v>36</v>
      </c>
      <c r="I5592" s="71" t="s">
        <v>3320</v>
      </c>
      <c r="J5592" s="53">
        <f t="shared" si="2738"/>
        <v>100000</v>
      </c>
      <c r="K5592" s="63">
        <f t="shared" si="2739"/>
        <v>7.3746312684365767E-2</v>
      </c>
      <c r="L5592" s="1212" t="s">
        <v>3625</v>
      </c>
      <c r="M5592" s="468"/>
      <c r="N5592" s="1192">
        <f t="shared" si="2740"/>
        <v>44921</v>
      </c>
      <c r="O5592" s="71" t="s">
        <v>146</v>
      </c>
      <c r="P5592" s="103" t="str">
        <f t="shared" si="2736"/>
        <v>프리미어(적)</v>
      </c>
      <c r="Q5592" s="71">
        <f t="shared" si="2737"/>
        <v>200</v>
      </c>
      <c r="R5592" s="102">
        <v>6280</v>
      </c>
      <c r="S5592" s="102">
        <f t="shared" si="2741"/>
        <v>1381600</v>
      </c>
      <c r="T5592" s="102">
        <f t="shared" si="2742"/>
        <v>1256000</v>
      </c>
      <c r="U5592" s="71" t="s">
        <v>859</v>
      </c>
      <c r="V5592" s="71"/>
      <c r="W5592" s="474">
        <v>292000</v>
      </c>
      <c r="X5592" s="71"/>
      <c r="Y5592" s="71"/>
    </row>
    <row r="5593" spans="1:25" ht="30" hidden="1" customHeight="1" x14ac:dyDescent="0.25">
      <c r="A5593" s="1145">
        <v>44921</v>
      </c>
      <c r="B5593" s="664" t="s">
        <v>2254</v>
      </c>
      <c r="C5593" s="71" t="s">
        <v>1289</v>
      </c>
      <c r="D5593" s="71">
        <v>600</v>
      </c>
      <c r="E5593" s="102">
        <v>6498</v>
      </c>
      <c r="F5593" s="102">
        <f t="shared" si="2734"/>
        <v>4288680</v>
      </c>
      <c r="G5593" s="102">
        <f t="shared" si="2735"/>
        <v>3898800</v>
      </c>
      <c r="H5593" s="690" t="s">
        <v>36</v>
      </c>
      <c r="I5593" s="71" t="s">
        <v>3320</v>
      </c>
      <c r="J5593" s="53">
        <f t="shared" si="2738"/>
        <v>286800</v>
      </c>
      <c r="K5593" s="63">
        <f t="shared" si="2739"/>
        <v>7.3561095721760547E-2</v>
      </c>
      <c r="L5593" s="1212" t="s">
        <v>3625</v>
      </c>
      <c r="M5593" s="468"/>
      <c r="N5593" s="1192">
        <f t="shared" si="2740"/>
        <v>44921</v>
      </c>
      <c r="O5593" s="71" t="s">
        <v>146</v>
      </c>
      <c r="P5593" s="103" t="str">
        <f t="shared" si="2736"/>
        <v>프리미어(황)</v>
      </c>
      <c r="Q5593" s="71">
        <f t="shared" si="2737"/>
        <v>600</v>
      </c>
      <c r="R5593" s="102">
        <v>6020</v>
      </c>
      <c r="S5593" s="102">
        <f t="shared" si="2741"/>
        <v>3973200.0000000005</v>
      </c>
      <c r="T5593" s="102">
        <f t="shared" si="2742"/>
        <v>3612000</v>
      </c>
      <c r="U5593" s="71" t="s">
        <v>859</v>
      </c>
      <c r="V5593" s="71"/>
      <c r="W5593" s="474">
        <v>640800</v>
      </c>
      <c r="X5593" s="71"/>
      <c r="Y5593" s="71"/>
    </row>
    <row r="5594" spans="1:25" ht="30" hidden="1" customHeight="1" x14ac:dyDescent="0.25">
      <c r="A5594" s="1145">
        <v>44921</v>
      </c>
      <c r="B5594" s="664" t="s">
        <v>2254</v>
      </c>
      <c r="C5594" s="71" t="s">
        <v>1290</v>
      </c>
      <c r="D5594" s="71">
        <v>200</v>
      </c>
      <c r="E5594" s="102">
        <v>7910</v>
      </c>
      <c r="F5594" s="102">
        <f t="shared" si="2734"/>
        <v>1740200.0000000002</v>
      </c>
      <c r="G5594" s="102">
        <f t="shared" si="2735"/>
        <v>1582000</v>
      </c>
      <c r="H5594" s="690" t="s">
        <v>36</v>
      </c>
      <c r="I5594" s="71" t="s">
        <v>3320</v>
      </c>
      <c r="J5594" s="53">
        <f t="shared" si="2738"/>
        <v>120000</v>
      </c>
      <c r="K5594" s="63">
        <f t="shared" si="2739"/>
        <v>7.5853350189633365E-2</v>
      </c>
      <c r="L5594" s="1212" t="s">
        <v>3625</v>
      </c>
      <c r="M5594" s="468"/>
      <c r="N5594" s="1192">
        <f t="shared" si="2740"/>
        <v>44921</v>
      </c>
      <c r="O5594" s="71" t="s">
        <v>146</v>
      </c>
      <c r="P5594" s="103" t="str">
        <f t="shared" si="2736"/>
        <v>프리미어(청)</v>
      </c>
      <c r="Q5594" s="71">
        <f t="shared" si="2737"/>
        <v>200</v>
      </c>
      <c r="R5594" s="102">
        <v>7310</v>
      </c>
      <c r="S5594" s="102">
        <f t="shared" si="2741"/>
        <v>1608200.0000000002</v>
      </c>
      <c r="T5594" s="102">
        <f t="shared" si="2742"/>
        <v>1462000</v>
      </c>
      <c r="U5594" s="71" t="s">
        <v>859</v>
      </c>
      <c r="V5594" s="71"/>
      <c r="W5594" s="474">
        <v>846000</v>
      </c>
      <c r="X5594" s="71"/>
      <c r="Y5594" s="71"/>
    </row>
    <row r="5595" spans="1:25" ht="30" hidden="1" customHeight="1" x14ac:dyDescent="0.25">
      <c r="A5595" s="1145">
        <v>44921</v>
      </c>
      <c r="B5595" s="664" t="s">
        <v>2254</v>
      </c>
      <c r="C5595" s="71" t="s">
        <v>3322</v>
      </c>
      <c r="D5595" s="71">
        <v>0</v>
      </c>
      <c r="E5595" s="102">
        <v>7150</v>
      </c>
      <c r="F5595" s="102">
        <f t="shared" si="2734"/>
        <v>0</v>
      </c>
      <c r="G5595" s="102">
        <f t="shared" si="2735"/>
        <v>0</v>
      </c>
      <c r="H5595" s="690" t="s">
        <v>36</v>
      </c>
      <c r="I5595" s="71" t="s">
        <v>3320</v>
      </c>
      <c r="J5595" s="53">
        <f t="shared" si="2738"/>
        <v>0</v>
      </c>
      <c r="K5595" s="63" t="e">
        <f t="shared" si="2739"/>
        <v>#DIV/0!</v>
      </c>
      <c r="L5595" s="1212" t="s">
        <v>3625</v>
      </c>
      <c r="M5595" s="468"/>
      <c r="N5595" s="1192">
        <f t="shared" si="2740"/>
        <v>44921</v>
      </c>
      <c r="O5595" s="71" t="s">
        <v>3323</v>
      </c>
      <c r="P5595" s="103" t="str">
        <f t="shared" si="2736"/>
        <v>한특 잉크(적)</v>
      </c>
      <c r="Q5595" s="71">
        <f t="shared" si="2737"/>
        <v>0</v>
      </c>
      <c r="R5595" s="102">
        <v>6500</v>
      </c>
      <c r="S5595" s="102">
        <f t="shared" si="2741"/>
        <v>0</v>
      </c>
      <c r="T5595" s="102">
        <f t="shared" si="2742"/>
        <v>0</v>
      </c>
      <c r="U5595" s="71" t="s">
        <v>859</v>
      </c>
      <c r="V5595" s="71"/>
      <c r="W5595" s="474">
        <v>0</v>
      </c>
      <c r="X5595" s="71"/>
      <c r="Y5595" s="71"/>
    </row>
    <row r="5596" spans="1:25" ht="30" hidden="1" customHeight="1" x14ac:dyDescent="0.25">
      <c r="A5596" s="1145">
        <v>44921</v>
      </c>
      <c r="B5596" s="664" t="s">
        <v>2254</v>
      </c>
      <c r="C5596" s="71" t="s">
        <v>3324</v>
      </c>
      <c r="D5596" s="71">
        <v>0</v>
      </c>
      <c r="E5596" s="102">
        <v>6900</v>
      </c>
      <c r="F5596" s="102">
        <v>0</v>
      </c>
      <c r="G5596" s="102">
        <v>0</v>
      </c>
      <c r="H5596" s="690" t="s">
        <v>36</v>
      </c>
      <c r="I5596" s="71" t="s">
        <v>3320</v>
      </c>
      <c r="J5596" s="53">
        <f t="shared" si="2738"/>
        <v>0</v>
      </c>
      <c r="K5596" s="63" t="e">
        <f t="shared" si="2739"/>
        <v>#DIV/0!</v>
      </c>
      <c r="L5596" s="1212" t="s">
        <v>3625</v>
      </c>
      <c r="M5596" s="468"/>
      <c r="N5596" s="1192">
        <f t="shared" si="2740"/>
        <v>44921</v>
      </c>
      <c r="O5596" s="71" t="s">
        <v>3323</v>
      </c>
      <c r="P5596" s="103" t="str">
        <f t="shared" si="2736"/>
        <v>한특 잉크(황)</v>
      </c>
      <c r="Q5596" s="71">
        <f t="shared" si="2737"/>
        <v>0</v>
      </c>
      <c r="R5596" s="102">
        <v>6200</v>
      </c>
      <c r="S5596" s="102">
        <f t="shared" si="2741"/>
        <v>0</v>
      </c>
      <c r="T5596" s="102">
        <f t="shared" si="2742"/>
        <v>0</v>
      </c>
      <c r="U5596" s="71" t="s">
        <v>859</v>
      </c>
      <c r="V5596" s="71"/>
      <c r="W5596" s="474">
        <v>0</v>
      </c>
      <c r="X5596" s="71"/>
      <c r="Y5596" s="71"/>
    </row>
    <row r="5597" spans="1:25" ht="28.5" hidden="1" customHeight="1" x14ac:dyDescent="0.25">
      <c r="A5597" s="1145">
        <v>44921</v>
      </c>
      <c r="B5597" s="664" t="s">
        <v>2254</v>
      </c>
      <c r="C5597" s="71" t="s">
        <v>3325</v>
      </c>
      <c r="D5597" s="71">
        <v>0</v>
      </c>
      <c r="E5597" s="102">
        <v>7500</v>
      </c>
      <c r="F5597" s="102">
        <v>0</v>
      </c>
      <c r="G5597" s="102">
        <v>0</v>
      </c>
      <c r="H5597" s="690" t="s">
        <v>36</v>
      </c>
      <c r="I5597" s="71" t="s">
        <v>3320</v>
      </c>
      <c r="J5597" s="53">
        <f t="shared" si="2738"/>
        <v>0</v>
      </c>
      <c r="K5597" s="63" t="e">
        <f t="shared" si="2739"/>
        <v>#DIV/0!</v>
      </c>
      <c r="L5597" s="1212" t="s">
        <v>3625</v>
      </c>
      <c r="M5597" s="468"/>
      <c r="N5597" s="1192">
        <f t="shared" si="2740"/>
        <v>44921</v>
      </c>
      <c r="O5597" s="71" t="s">
        <v>3323</v>
      </c>
      <c r="P5597" s="103" t="str">
        <f t="shared" si="2736"/>
        <v>한특 잉크(청)</v>
      </c>
      <c r="Q5597" s="71">
        <f t="shared" si="2737"/>
        <v>0</v>
      </c>
      <c r="R5597" s="102">
        <v>6600</v>
      </c>
      <c r="S5597" s="102">
        <f t="shared" si="2741"/>
        <v>0</v>
      </c>
      <c r="T5597" s="102">
        <f t="shared" si="2742"/>
        <v>0</v>
      </c>
      <c r="U5597" s="71" t="s">
        <v>859</v>
      </c>
      <c r="V5597" s="71"/>
      <c r="W5597" s="474">
        <v>0</v>
      </c>
      <c r="X5597" s="71"/>
      <c r="Y5597" s="71"/>
    </row>
    <row r="5598" spans="1:25" ht="30" hidden="1" customHeight="1" x14ac:dyDescent="0.25">
      <c r="A5598" s="1145">
        <v>44921</v>
      </c>
      <c r="B5598" s="664" t="s">
        <v>2254</v>
      </c>
      <c r="C5598" s="71" t="s">
        <v>3326</v>
      </c>
      <c r="D5598" s="71">
        <v>0</v>
      </c>
      <c r="E5598" s="102">
        <v>6450</v>
      </c>
      <c r="F5598" s="102">
        <v>0</v>
      </c>
      <c r="G5598" s="102">
        <v>0</v>
      </c>
      <c r="H5598" s="690" t="s">
        <v>36</v>
      </c>
      <c r="I5598" s="71" t="s">
        <v>3320</v>
      </c>
      <c r="J5598" s="53">
        <f t="shared" si="2738"/>
        <v>0</v>
      </c>
      <c r="K5598" s="63" t="e">
        <f t="shared" si="2739"/>
        <v>#DIV/0!</v>
      </c>
      <c r="L5598" s="1212" t="s">
        <v>3625</v>
      </c>
      <c r="M5598" s="468"/>
      <c r="N5598" s="1192">
        <f t="shared" si="2740"/>
        <v>44921</v>
      </c>
      <c r="O5598" s="71" t="s">
        <v>3323</v>
      </c>
      <c r="P5598" s="103" t="str">
        <f t="shared" si="2736"/>
        <v>한특 잉크(먹)</v>
      </c>
      <c r="Q5598" s="71">
        <f t="shared" si="2737"/>
        <v>0</v>
      </c>
      <c r="R5598" s="102">
        <v>5700</v>
      </c>
      <c r="S5598" s="102">
        <f t="shared" si="2741"/>
        <v>0</v>
      </c>
      <c r="T5598" s="102">
        <f t="shared" si="2742"/>
        <v>0</v>
      </c>
      <c r="U5598" s="71" t="s">
        <v>859</v>
      </c>
      <c r="V5598" s="71"/>
      <c r="W5598" s="474">
        <v>0</v>
      </c>
      <c r="X5598" s="71"/>
      <c r="Y5598" s="71"/>
    </row>
    <row r="5599" spans="1:25" ht="30" hidden="1" customHeight="1" x14ac:dyDescent="0.25">
      <c r="A5599" s="1145">
        <v>44921</v>
      </c>
      <c r="B5599" s="664" t="s">
        <v>443</v>
      </c>
      <c r="C5599" s="71" t="s">
        <v>3392</v>
      </c>
      <c r="D5599" s="71">
        <v>16</v>
      </c>
      <c r="E5599" s="102">
        <v>218000</v>
      </c>
      <c r="F5599" s="102">
        <f>(E5599*D5599)*1.1</f>
        <v>3836800.0000000005</v>
      </c>
      <c r="G5599" s="102">
        <f>(E5599*D5599)</f>
        <v>3488000</v>
      </c>
      <c r="H5599" s="690" t="s">
        <v>172</v>
      </c>
      <c r="I5599" s="71" t="s">
        <v>184</v>
      </c>
      <c r="J5599" s="53">
        <f t="shared" si="2738"/>
        <v>928000</v>
      </c>
      <c r="K5599" s="63">
        <f t="shared" si="2739"/>
        <v>0.26605504587155959</v>
      </c>
      <c r="L5599" s="1212" t="s">
        <v>3625</v>
      </c>
      <c r="M5599" s="468" t="s">
        <v>3393</v>
      </c>
      <c r="N5599" s="1192">
        <f t="shared" si="2740"/>
        <v>44921</v>
      </c>
      <c r="O5599" s="71" t="s">
        <v>2030</v>
      </c>
      <c r="P5599" s="103" t="str">
        <f t="shared" si="2736"/>
        <v>윤전 블랑켓</v>
      </c>
      <c r="Q5599" s="71">
        <f t="shared" si="2737"/>
        <v>16</v>
      </c>
      <c r="R5599" s="102">
        <v>160000</v>
      </c>
      <c r="S5599" s="102">
        <f t="shared" si="2741"/>
        <v>2816000</v>
      </c>
      <c r="T5599" s="102">
        <f t="shared" si="2742"/>
        <v>2560000</v>
      </c>
      <c r="U5599" s="71" t="s">
        <v>859</v>
      </c>
      <c r="V5599" s="71" t="s">
        <v>3394</v>
      </c>
      <c r="W5599" s="474">
        <v>464000</v>
      </c>
      <c r="X5599" s="71"/>
      <c r="Y5599" s="71"/>
    </row>
    <row r="5600" spans="1:25" ht="30" hidden="1" customHeight="1" x14ac:dyDescent="0.25">
      <c r="A5600" s="1145">
        <v>44897</v>
      </c>
      <c r="B5600" s="664" t="s">
        <v>3620</v>
      </c>
      <c r="C5600" s="71" t="s">
        <v>3626</v>
      </c>
      <c r="D5600" s="71">
        <v>1</v>
      </c>
      <c r="E5600" s="102">
        <v>111290000</v>
      </c>
      <c r="F5600" s="102">
        <f>(E5600*D5600)*1.1</f>
        <v>122419000.00000001</v>
      </c>
      <c r="G5600" s="102">
        <f>(E5600*D5600)</f>
        <v>111290000</v>
      </c>
      <c r="H5600" s="690" t="s">
        <v>1786</v>
      </c>
      <c r="I5600" s="71" t="s">
        <v>1786</v>
      </c>
      <c r="J5600" s="53"/>
      <c r="K5600" s="63"/>
      <c r="L5600" s="1212" t="s">
        <v>3625</v>
      </c>
      <c r="M5600" s="102"/>
      <c r="N5600" s="1192">
        <f t="shared" si="2740"/>
        <v>44897</v>
      </c>
      <c r="O5600" s="71" t="s">
        <v>1786</v>
      </c>
      <c r="P5600" s="103" t="str">
        <f t="shared" si="2736"/>
        <v>Rotoman 수리 작업 계약금</v>
      </c>
      <c r="Q5600" s="71">
        <f t="shared" si="2737"/>
        <v>1</v>
      </c>
      <c r="R5600" s="102"/>
      <c r="S5600" s="102"/>
      <c r="T5600" s="102"/>
      <c r="U5600" s="71"/>
      <c r="V5600" s="71"/>
      <c r="W5600" s="474"/>
      <c r="X5600" s="71"/>
      <c r="Y5600" s="71"/>
    </row>
    <row r="5601" spans="1:25" ht="30" hidden="1" customHeight="1" x14ac:dyDescent="0.25">
      <c r="A5601" s="1145">
        <v>44896</v>
      </c>
      <c r="B5601" s="664" t="s">
        <v>1178</v>
      </c>
      <c r="C5601" s="71" t="s">
        <v>1852</v>
      </c>
      <c r="D5601" s="71">
        <v>15</v>
      </c>
      <c r="E5601" s="102">
        <v>58000</v>
      </c>
      <c r="F5601" s="102">
        <f>(E5601*D5601)*1.1</f>
        <v>957000.00000000012</v>
      </c>
      <c r="G5601" s="102">
        <f>(E5601*D5601)</f>
        <v>870000</v>
      </c>
      <c r="H5601" s="690" t="s">
        <v>142</v>
      </c>
      <c r="I5601" s="71" t="s">
        <v>142</v>
      </c>
      <c r="J5601" s="53">
        <f>G5601-T5601</f>
        <v>266250</v>
      </c>
      <c r="K5601" s="63">
        <f>(J5601/(F5601/11*10))</f>
        <v>0.30603448275862066</v>
      </c>
      <c r="L5601" s="1212" t="s">
        <v>3625</v>
      </c>
      <c r="M5601" s="102"/>
      <c r="N5601" s="1192">
        <f t="shared" si="2740"/>
        <v>44896</v>
      </c>
      <c r="O5601" s="71" t="s">
        <v>145</v>
      </c>
      <c r="P5601" s="103" t="str">
        <f t="shared" si="2736"/>
        <v>CTP 보충액</v>
      </c>
      <c r="Q5601" s="71">
        <f t="shared" si="2737"/>
        <v>15</v>
      </c>
      <c r="R5601" s="102">
        <v>40250</v>
      </c>
      <c r="S5601" s="102">
        <f>R5601*Q5601*1.1</f>
        <v>664125</v>
      </c>
      <c r="T5601" s="102">
        <f>R5601*Q5601</f>
        <v>603750</v>
      </c>
      <c r="U5601" s="71"/>
      <c r="V5601" s="71"/>
      <c r="W5601" s="474"/>
      <c r="X5601" s="71"/>
      <c r="Y5601" s="71"/>
    </row>
    <row r="5602" spans="1:25" ht="30" hidden="1" customHeight="1" x14ac:dyDescent="0.25">
      <c r="A5602" s="1145">
        <v>44908</v>
      </c>
      <c r="B5602" s="664" t="s">
        <v>3627</v>
      </c>
      <c r="C5602" s="71" t="s">
        <v>3628</v>
      </c>
      <c r="D5602" s="71">
        <v>1</v>
      </c>
      <c r="E5602" s="102">
        <v>5500000</v>
      </c>
      <c r="F5602" s="102">
        <f t="shared" ref="F5602:F5611" si="2743">(E5602*D5602)*1.1</f>
        <v>6050000.0000000009</v>
      </c>
      <c r="G5602" s="102">
        <f t="shared" ref="G5602:G5611" si="2744">(E5602*D5602)</f>
        <v>5500000</v>
      </c>
      <c r="H5602" s="690" t="s">
        <v>173</v>
      </c>
      <c r="I5602" s="71" t="s">
        <v>2231</v>
      </c>
      <c r="J5602" s="53">
        <f>G5602-T5602</f>
        <v>1650000</v>
      </c>
      <c r="K5602" s="63">
        <f>(J5602/(F5602/11*10))</f>
        <v>0.29999999999999993</v>
      </c>
      <c r="L5602" s="1212" t="s">
        <v>3625</v>
      </c>
      <c r="M5602" s="102"/>
      <c r="N5602" s="1192">
        <f t="shared" si="2740"/>
        <v>44908</v>
      </c>
      <c r="O5602" s="71" t="s">
        <v>3635</v>
      </c>
      <c r="P5602" s="103" t="str">
        <f t="shared" si="2736"/>
        <v>X-rite 농도계</v>
      </c>
      <c r="Q5602" s="71">
        <f t="shared" si="2737"/>
        <v>1</v>
      </c>
      <c r="R5602" s="102">
        <v>3850000</v>
      </c>
      <c r="S5602" s="102">
        <f>R5602*Q5602*1.1</f>
        <v>4235000</v>
      </c>
      <c r="T5602" s="102">
        <f>R5602*Q5602</f>
        <v>3850000</v>
      </c>
      <c r="U5602" s="71"/>
      <c r="V5602" s="71"/>
      <c r="W5602" s="474"/>
      <c r="X5602" s="71"/>
      <c r="Y5602" s="71"/>
    </row>
    <row r="5603" spans="1:25" ht="30" hidden="1" customHeight="1" x14ac:dyDescent="0.25">
      <c r="A5603" s="1145">
        <v>44909</v>
      </c>
      <c r="B5603" s="664" t="s">
        <v>804</v>
      </c>
      <c r="C5603" s="71" t="s">
        <v>3629</v>
      </c>
      <c r="D5603" s="71">
        <v>2</v>
      </c>
      <c r="E5603" s="102">
        <v>800000</v>
      </c>
      <c r="F5603" s="102">
        <f t="shared" si="2743"/>
        <v>1760000.0000000002</v>
      </c>
      <c r="G5603" s="102">
        <f t="shared" si="2744"/>
        <v>1600000</v>
      </c>
      <c r="H5603" s="690" t="s">
        <v>94</v>
      </c>
      <c r="I5603" s="71" t="s">
        <v>94</v>
      </c>
      <c r="J5603" s="53">
        <f>G5603-T5603</f>
        <v>512000</v>
      </c>
      <c r="K5603" s="63">
        <f>(J5603/(F5603/11*10))</f>
        <v>0.31999999999999995</v>
      </c>
      <c r="L5603" s="1212" t="s">
        <v>3625</v>
      </c>
      <c r="M5603" s="102"/>
      <c r="N5603" s="1192">
        <f t="shared" si="2740"/>
        <v>44909</v>
      </c>
      <c r="O5603" s="71" t="s">
        <v>94</v>
      </c>
      <c r="P5603" s="103" t="str">
        <f t="shared" si="2736"/>
        <v>Technotrans 습수정화장치 필터세트</v>
      </c>
      <c r="Q5603" s="71">
        <f t="shared" si="2737"/>
        <v>2</v>
      </c>
      <c r="R5603" s="102">
        <v>544000</v>
      </c>
      <c r="S5603" s="102">
        <f>R5603*Q5603*1.1</f>
        <v>1196800</v>
      </c>
      <c r="T5603" s="102">
        <f>R5603*Q5603</f>
        <v>1088000</v>
      </c>
      <c r="U5603" s="71"/>
      <c r="V5603" s="71"/>
      <c r="W5603" s="474"/>
      <c r="X5603" s="71"/>
      <c r="Y5603" s="71"/>
    </row>
    <row r="5604" spans="1:25" ht="30" hidden="1" customHeight="1" x14ac:dyDescent="0.25">
      <c r="A5604" s="1145">
        <v>44915</v>
      </c>
      <c r="B5604" s="664" t="s">
        <v>746</v>
      </c>
      <c r="C5604" s="71" t="s">
        <v>123</v>
      </c>
      <c r="D5604" s="71">
        <v>10</v>
      </c>
      <c r="E5604" s="102">
        <v>38000</v>
      </c>
      <c r="F5604" s="102">
        <f t="shared" si="2743"/>
        <v>418000.00000000006</v>
      </c>
      <c r="G5604" s="102">
        <f t="shared" si="2744"/>
        <v>380000</v>
      </c>
      <c r="H5604" s="690" t="s">
        <v>94</v>
      </c>
      <c r="I5604" s="71" t="s">
        <v>94</v>
      </c>
      <c r="J5604" s="53">
        <f>G5604-T5604</f>
        <v>140000</v>
      </c>
      <c r="K5604" s="63">
        <f>(J5604/(F5604/11*10))</f>
        <v>0.36842105263157887</v>
      </c>
      <c r="L5604" s="1212" t="s">
        <v>3625</v>
      </c>
      <c r="M5604" s="102"/>
      <c r="N5604" s="1192">
        <f t="shared" si="2740"/>
        <v>44915</v>
      </c>
      <c r="O5604" s="71" t="s">
        <v>94</v>
      </c>
      <c r="P5604" s="103" t="str">
        <f t="shared" si="2736"/>
        <v>필터백</v>
      </c>
      <c r="Q5604" s="71">
        <f t="shared" si="2737"/>
        <v>10</v>
      </c>
      <c r="R5604" s="102">
        <v>24000</v>
      </c>
      <c r="S5604" s="102">
        <f>R5604*Q5604*1.1</f>
        <v>264000</v>
      </c>
      <c r="T5604" s="102">
        <f>R5604*Q5604</f>
        <v>240000</v>
      </c>
      <c r="U5604" s="71"/>
      <c r="V5604" s="71"/>
      <c r="W5604" s="474"/>
      <c r="X5604" s="71"/>
      <c r="Y5604" s="71"/>
    </row>
    <row r="5605" spans="1:25" ht="30" customHeight="1" x14ac:dyDescent="0.25">
      <c r="A5605" s="1145">
        <v>44916</v>
      </c>
      <c r="B5605" s="664" t="s">
        <v>565</v>
      </c>
      <c r="C5605" s="71" t="s">
        <v>3630</v>
      </c>
      <c r="D5605" s="71">
        <v>1</v>
      </c>
      <c r="E5605" s="102">
        <v>35000000</v>
      </c>
      <c r="F5605" s="102">
        <f t="shared" si="2743"/>
        <v>38500000</v>
      </c>
      <c r="G5605" s="102">
        <f t="shared" si="2744"/>
        <v>35000000</v>
      </c>
      <c r="H5605" s="690" t="s">
        <v>179</v>
      </c>
      <c r="I5605" s="71" t="s">
        <v>142</v>
      </c>
      <c r="J5605" s="53">
        <f>G5605-T5605</f>
        <v>6160000</v>
      </c>
      <c r="K5605" s="63">
        <f>(J5605/(F5605/11*10))</f>
        <v>0.17599999999999999</v>
      </c>
      <c r="L5605" s="1212" t="s">
        <v>3625</v>
      </c>
      <c r="M5605" s="102"/>
      <c r="N5605" s="1192">
        <f t="shared" si="2740"/>
        <v>44916</v>
      </c>
      <c r="O5605" s="71" t="s">
        <v>3636</v>
      </c>
      <c r="P5605" s="103" t="str">
        <f t="shared" si="2736"/>
        <v>고모리46윤전기 애프터버너 백금촉매교환</v>
      </c>
      <c r="Q5605" s="71">
        <f t="shared" si="2737"/>
        <v>1</v>
      </c>
      <c r="R5605" s="102">
        <v>28840000</v>
      </c>
      <c r="S5605" s="102">
        <f>R5605*Q5605*1.1</f>
        <v>31724000.000000004</v>
      </c>
      <c r="T5605" s="102">
        <f>R5605*Q5605</f>
        <v>28840000</v>
      </c>
      <c r="U5605" s="71"/>
      <c r="V5605" s="71"/>
      <c r="W5605" s="474"/>
      <c r="X5605" s="71"/>
      <c r="Y5605" s="71"/>
    </row>
    <row r="5606" spans="1:25" ht="30" hidden="1" customHeight="1" x14ac:dyDescent="0.25">
      <c r="A5606" s="1145">
        <v>44922</v>
      </c>
      <c r="B5606" s="664" t="s">
        <v>3581</v>
      </c>
      <c r="C5606" s="71" t="s">
        <v>3631</v>
      </c>
      <c r="D5606" s="71">
        <v>1</v>
      </c>
      <c r="E5606" s="102">
        <v>46110000</v>
      </c>
      <c r="F5606" s="102">
        <f t="shared" si="2743"/>
        <v>50721000.000000007</v>
      </c>
      <c r="G5606" s="102">
        <f t="shared" si="2744"/>
        <v>46110000</v>
      </c>
      <c r="H5606" s="690" t="s">
        <v>1786</v>
      </c>
      <c r="I5606" s="71" t="s">
        <v>1786</v>
      </c>
      <c r="J5606" s="53"/>
      <c r="K5606" s="63"/>
      <c r="L5606" s="1212" t="s">
        <v>3625</v>
      </c>
      <c r="M5606" s="102"/>
      <c r="N5606" s="1192">
        <f t="shared" si="2740"/>
        <v>44922</v>
      </c>
      <c r="O5606" s="71" t="s">
        <v>1786</v>
      </c>
      <c r="P5606" s="103" t="str">
        <f t="shared" si="2736"/>
        <v>자동 판 교환 업그레이드 개조작업 선금</v>
      </c>
      <c r="Q5606" s="71">
        <f t="shared" si="2737"/>
        <v>1</v>
      </c>
      <c r="R5606" s="102"/>
      <c r="S5606" s="102"/>
      <c r="T5606" s="102"/>
      <c r="U5606" s="71"/>
      <c r="V5606" s="71"/>
      <c r="W5606" s="474"/>
      <c r="X5606" s="71"/>
      <c r="Y5606" s="71"/>
    </row>
    <row r="5607" spans="1:25" ht="30" hidden="1" customHeight="1" x14ac:dyDescent="0.25">
      <c r="A5607" s="1145">
        <v>44917</v>
      </c>
      <c r="B5607" s="664" t="s">
        <v>443</v>
      </c>
      <c r="C5607" s="71" t="s">
        <v>3632</v>
      </c>
      <c r="D5607" s="71">
        <v>1</v>
      </c>
      <c r="E5607" s="102">
        <v>2350000</v>
      </c>
      <c r="F5607" s="102">
        <f t="shared" si="2743"/>
        <v>2585000</v>
      </c>
      <c r="G5607" s="102">
        <f t="shared" si="2744"/>
        <v>2350000</v>
      </c>
      <c r="H5607" s="690" t="s">
        <v>179</v>
      </c>
      <c r="I5607" s="690" t="s">
        <v>179</v>
      </c>
      <c r="J5607" s="53">
        <f>G5607-T5607</f>
        <v>600000</v>
      </c>
      <c r="K5607" s="63">
        <f>(J5607/(F5607/11*10))</f>
        <v>0.25531914893617019</v>
      </c>
      <c r="L5607" s="1212" t="s">
        <v>3625</v>
      </c>
      <c r="M5607" s="468"/>
      <c r="N5607" s="1192">
        <f t="shared" si="2740"/>
        <v>44917</v>
      </c>
      <c r="O5607" s="71" t="s">
        <v>194</v>
      </c>
      <c r="P5607" s="103" t="str">
        <f t="shared" si="2736"/>
        <v>12월분 Apogee 사용료</v>
      </c>
      <c r="Q5607" s="71">
        <f t="shared" si="2737"/>
        <v>1</v>
      </c>
      <c r="R5607" s="147">
        <v>1750000</v>
      </c>
      <c r="S5607" s="102">
        <f>R5607*Q5607*1.1</f>
        <v>1925000.0000000002</v>
      </c>
      <c r="T5607" s="102">
        <f>R5607*Q5607</f>
        <v>1750000</v>
      </c>
      <c r="U5607" s="71"/>
      <c r="V5607" s="71"/>
      <c r="W5607" s="474"/>
      <c r="X5607" s="71"/>
      <c r="Y5607" s="71"/>
    </row>
    <row r="5608" spans="1:25" ht="30" hidden="1" customHeight="1" x14ac:dyDescent="0.25">
      <c r="A5608" s="1145">
        <v>44925</v>
      </c>
      <c r="B5608" s="664" t="s">
        <v>26</v>
      </c>
      <c r="C5608" s="71" t="s">
        <v>3328</v>
      </c>
      <c r="D5608" s="71">
        <v>5</v>
      </c>
      <c r="E5608" s="102">
        <v>65000</v>
      </c>
      <c r="F5608" s="102">
        <f t="shared" si="2743"/>
        <v>357500</v>
      </c>
      <c r="G5608" s="102">
        <f t="shared" si="2744"/>
        <v>325000</v>
      </c>
      <c r="H5608" s="690" t="s">
        <v>172</v>
      </c>
      <c r="I5608" s="71" t="s">
        <v>3295</v>
      </c>
      <c r="J5608" s="53">
        <f>G5608-T5608</f>
        <v>125000</v>
      </c>
      <c r="K5608" s="63">
        <f>(J5608/(F5608/11*10))</f>
        <v>0.38461538461538464</v>
      </c>
      <c r="L5608" s="1212" t="s">
        <v>3625</v>
      </c>
      <c r="M5608" s="468"/>
      <c r="N5608" s="1192">
        <f t="shared" si="2740"/>
        <v>44925</v>
      </c>
      <c r="O5608" s="71" t="s">
        <v>152</v>
      </c>
      <c r="P5608" s="103" t="str">
        <f t="shared" si="2736"/>
        <v>아스테이지(CD74용)</v>
      </c>
      <c r="Q5608" s="71">
        <f t="shared" si="2737"/>
        <v>5</v>
      </c>
      <c r="R5608" s="102">
        <v>40000</v>
      </c>
      <c r="S5608" s="102">
        <f>R5608*Q5608*1.1</f>
        <v>220000.00000000003</v>
      </c>
      <c r="T5608" s="102">
        <f>R5608*Q5608</f>
        <v>200000</v>
      </c>
      <c r="U5608" s="71" t="str">
        <f>IF(J5608=W5608,"O", "X")</f>
        <v>X</v>
      </c>
      <c r="V5608" s="71"/>
      <c r="W5608" s="474"/>
      <c r="X5608" s="71"/>
      <c r="Y5608" s="71"/>
    </row>
    <row r="5609" spans="1:25" ht="30" hidden="1" customHeight="1" x14ac:dyDescent="0.25">
      <c r="A5609" s="1145">
        <v>44925</v>
      </c>
      <c r="B5609" s="664" t="s">
        <v>26</v>
      </c>
      <c r="C5609" s="71" t="s">
        <v>2087</v>
      </c>
      <c r="D5609" s="71">
        <v>10</v>
      </c>
      <c r="E5609" s="102">
        <v>85000</v>
      </c>
      <c r="F5609" s="102">
        <f t="shared" si="2743"/>
        <v>935000.00000000012</v>
      </c>
      <c r="G5609" s="102">
        <f t="shared" si="2744"/>
        <v>850000</v>
      </c>
      <c r="H5609" s="690" t="s">
        <v>172</v>
      </c>
      <c r="I5609" s="71" t="s">
        <v>3295</v>
      </c>
      <c r="J5609" s="53">
        <f>G5609-T5609</f>
        <v>350000</v>
      </c>
      <c r="K5609" s="63">
        <f>(J5609/(F5609/11*10))</f>
        <v>0.41176470588235287</v>
      </c>
      <c r="L5609" s="1212" t="s">
        <v>3625</v>
      </c>
      <c r="M5609" s="468"/>
      <c r="N5609" s="1192">
        <f t="shared" si="2740"/>
        <v>44925</v>
      </c>
      <c r="O5609" s="71" t="s">
        <v>152</v>
      </c>
      <c r="P5609" s="103" t="str">
        <f t="shared" si="2736"/>
        <v>아스테이지(국전)</v>
      </c>
      <c r="Q5609" s="71">
        <f t="shared" si="2737"/>
        <v>10</v>
      </c>
      <c r="R5609" s="102">
        <v>50000</v>
      </c>
      <c r="S5609" s="102">
        <f>R5609*Q5609*1.1</f>
        <v>550000</v>
      </c>
      <c r="T5609" s="102">
        <f>R5609*Q5609</f>
        <v>500000</v>
      </c>
      <c r="U5609" s="71" t="str">
        <f>IF(J5609=W5609,"O", "X")</f>
        <v>X</v>
      </c>
      <c r="V5609" s="71"/>
      <c r="W5609" s="474">
        <v>150000</v>
      </c>
      <c r="X5609" s="71"/>
      <c r="Y5609" s="71"/>
    </row>
    <row r="5610" spans="1:25" ht="30" hidden="1" customHeight="1" x14ac:dyDescent="0.25">
      <c r="A5610" s="1145">
        <v>44925</v>
      </c>
      <c r="B5610" s="664" t="s">
        <v>546</v>
      </c>
      <c r="C5610" s="71" t="s">
        <v>3613</v>
      </c>
      <c r="D5610" s="71">
        <v>10</v>
      </c>
      <c r="E5610" s="102">
        <v>70000</v>
      </c>
      <c r="F5610" s="102">
        <f t="shared" si="2743"/>
        <v>770000.00000000012</v>
      </c>
      <c r="G5610" s="102">
        <f t="shared" si="2744"/>
        <v>700000</v>
      </c>
      <c r="H5610" s="690" t="s">
        <v>1786</v>
      </c>
      <c r="I5610" s="71" t="s">
        <v>1786</v>
      </c>
      <c r="J5610" s="53">
        <f>G5610-T5610</f>
        <v>395870</v>
      </c>
      <c r="K5610" s="63">
        <f>(J5610/(F5610/11*10))</f>
        <v>0.56552857142857138</v>
      </c>
      <c r="L5610" s="1212" t="s">
        <v>3625</v>
      </c>
      <c r="M5610" s="468"/>
      <c r="N5610" s="1192">
        <f t="shared" si="2740"/>
        <v>44925</v>
      </c>
      <c r="O5610" s="71" t="s">
        <v>1786</v>
      </c>
      <c r="P5610" s="103" t="str">
        <f t="shared" si="2736"/>
        <v>포텐시오미터</v>
      </c>
      <c r="Q5610" s="71">
        <f t="shared" si="2737"/>
        <v>10</v>
      </c>
      <c r="R5610" s="102">
        <v>30413</v>
      </c>
      <c r="S5610" s="102">
        <f>R5610*Q5610*1.1</f>
        <v>334543</v>
      </c>
      <c r="T5610" s="102">
        <f>R5610*Q5610</f>
        <v>304130</v>
      </c>
      <c r="U5610" s="71"/>
      <c r="V5610" s="71"/>
      <c r="W5610" s="474"/>
      <c r="X5610" s="71"/>
      <c r="Y5610" s="71"/>
    </row>
    <row r="5611" spans="1:25" ht="30" hidden="1" customHeight="1" x14ac:dyDescent="0.25">
      <c r="A5611" s="1145">
        <v>44925</v>
      </c>
      <c r="B5611" s="664" t="s">
        <v>546</v>
      </c>
      <c r="C5611" s="71" t="s">
        <v>1638</v>
      </c>
      <c r="D5611" s="71">
        <v>30</v>
      </c>
      <c r="E5611" s="102">
        <v>26000</v>
      </c>
      <c r="F5611" s="102">
        <f t="shared" si="2743"/>
        <v>858000.00000000012</v>
      </c>
      <c r="G5611" s="102">
        <f t="shared" si="2744"/>
        <v>780000</v>
      </c>
      <c r="H5611" s="690" t="s">
        <v>1786</v>
      </c>
      <c r="I5611" s="71" t="s">
        <v>1786</v>
      </c>
      <c r="J5611" s="53">
        <f>G5611-T5611</f>
        <v>404760</v>
      </c>
      <c r="K5611" s="63">
        <f>(J5611/(F5611/11*10))</f>
        <v>0.51892307692307682</v>
      </c>
      <c r="L5611" s="1212" t="s">
        <v>3625</v>
      </c>
      <c r="M5611" s="468"/>
      <c r="N5611" s="1192">
        <f t="shared" si="2740"/>
        <v>44925</v>
      </c>
      <c r="O5611" s="71" t="s">
        <v>1786</v>
      </c>
      <c r="P5611" s="103" t="str">
        <f t="shared" si="2736"/>
        <v>링크, 체인</v>
      </c>
      <c r="Q5611" s="71">
        <f t="shared" si="2737"/>
        <v>30</v>
      </c>
      <c r="R5611" s="102">
        <v>12508</v>
      </c>
      <c r="S5611" s="102">
        <f>R5611*Q5611*1.1</f>
        <v>412764.00000000006</v>
      </c>
      <c r="T5611" s="102">
        <f>R5611*Q5611</f>
        <v>375240</v>
      </c>
      <c r="U5611" s="71"/>
      <c r="V5611" s="71"/>
      <c r="W5611" s="474"/>
      <c r="X5611" s="71"/>
      <c r="Y5611" s="71"/>
    </row>
    <row r="5612" spans="1:25" ht="30" hidden="1" customHeight="1" x14ac:dyDescent="0.25">
      <c r="A5612" s="1210" t="s">
        <v>3633</v>
      </c>
      <c r="B5612" s="1211" t="s">
        <v>544</v>
      </c>
      <c r="C5612" s="960"/>
      <c r="D5612" s="960"/>
      <c r="E5612" s="952"/>
      <c r="F5612" s="952"/>
      <c r="G5612" s="952"/>
      <c r="H5612" s="1206"/>
      <c r="I5612" s="960"/>
      <c r="J5612" s="952"/>
      <c r="K5612" s="953"/>
      <c r="L5612" s="1212" t="s">
        <v>3634</v>
      </c>
      <c r="M5612" s="1207"/>
      <c r="N5612" s="1208" t="str">
        <f t="shared" si="2740"/>
        <v>2023,1</v>
      </c>
      <c r="O5612" s="960"/>
      <c r="P5612" s="1209"/>
      <c r="Q5612" s="960"/>
      <c r="R5612" s="952"/>
      <c r="S5612" s="952"/>
      <c r="T5612" s="952"/>
      <c r="U5612" s="960"/>
      <c r="V5612" s="960"/>
      <c r="W5612" s="474">
        <f>(G5612-T5612)</f>
        <v>0</v>
      </c>
      <c r="X5612" s="71"/>
      <c r="Y5612" s="71"/>
    </row>
    <row r="5613" spans="1:25" ht="30" hidden="1" customHeight="1" x14ac:dyDescent="0.25">
      <c r="A5613" s="1145">
        <v>44900</v>
      </c>
      <c r="B5613" s="664" t="s">
        <v>18</v>
      </c>
      <c r="C5613" s="71" t="s">
        <v>2070</v>
      </c>
      <c r="D5613" s="71">
        <v>10</v>
      </c>
      <c r="E5613" s="102">
        <v>115000</v>
      </c>
      <c r="F5613" s="102">
        <f t="shared" ref="F5613:F5629" si="2745">(E5613*D5613)*1.1</f>
        <v>1265000</v>
      </c>
      <c r="G5613" s="102">
        <f t="shared" ref="G5613:G5629" si="2746">(E5613*D5613)</f>
        <v>1150000</v>
      </c>
      <c r="H5613" s="690" t="s">
        <v>172</v>
      </c>
      <c r="I5613" s="71" t="s">
        <v>33</v>
      </c>
      <c r="J5613" s="53">
        <f t="shared" ref="J5613:J5627" si="2747">G5613-T5613</f>
        <v>168000</v>
      </c>
      <c r="K5613" s="63">
        <v>0.10555555555555554</v>
      </c>
      <c r="L5613" s="1212" t="s">
        <v>3634</v>
      </c>
      <c r="M5613" s="468"/>
      <c r="N5613" s="1192">
        <f t="shared" ref="N5613:N5623" si="2748">A5613</f>
        <v>44900</v>
      </c>
      <c r="O5613" s="71" t="s">
        <v>146</v>
      </c>
      <c r="P5613" s="103" t="str">
        <f t="shared" ref="P5613:P5629" si="2749">(C5613)</f>
        <v>Blanket(1050*840)</v>
      </c>
      <c r="Q5613" s="71">
        <f t="shared" ref="Q5613:Q5629" si="2750">D5613</f>
        <v>10</v>
      </c>
      <c r="R5613" s="102">
        <v>98200</v>
      </c>
      <c r="S5613" s="102">
        <f t="shared" ref="S5613:S5633" si="2751">R5613*Q5613*1.1</f>
        <v>1080200</v>
      </c>
      <c r="T5613" s="102">
        <f t="shared" ref="T5613:T5633" si="2752">R5613*Q5613</f>
        <v>982000</v>
      </c>
      <c r="U5613" s="71" t="s">
        <v>859</v>
      </c>
      <c r="V5613" s="71"/>
      <c r="W5613" s="474"/>
      <c r="X5613" s="71"/>
      <c r="Y5613" s="71"/>
    </row>
    <row r="5614" spans="1:25" ht="30" hidden="1" customHeight="1" x14ac:dyDescent="0.25">
      <c r="A5614" s="1145">
        <v>44900</v>
      </c>
      <c r="B5614" s="664" t="s">
        <v>548</v>
      </c>
      <c r="C5614" s="71" t="s">
        <v>3384</v>
      </c>
      <c r="D5614" s="71">
        <v>200</v>
      </c>
      <c r="E5614" s="102">
        <v>450</v>
      </c>
      <c r="F5614" s="102">
        <f t="shared" si="2745"/>
        <v>99000.000000000015</v>
      </c>
      <c r="G5614" s="102">
        <f t="shared" si="2746"/>
        <v>90000</v>
      </c>
      <c r="H5614" s="690" t="s">
        <v>2029</v>
      </c>
      <c r="I5614" s="71" t="s">
        <v>3385</v>
      </c>
      <c r="J5614" s="53">
        <f t="shared" si="2747"/>
        <v>26000</v>
      </c>
      <c r="K5614" s="63">
        <f>(J5614/(F5614/11*10))</f>
        <v>0.28888888888888886</v>
      </c>
      <c r="L5614" s="1212" t="s">
        <v>3634</v>
      </c>
      <c r="M5614" s="468"/>
      <c r="N5614" s="1192">
        <f t="shared" si="2748"/>
        <v>44900</v>
      </c>
      <c r="O5614" s="71" t="s">
        <v>2030</v>
      </c>
      <c r="P5614" s="103" t="str">
        <f t="shared" si="2749"/>
        <v>고무사카 빨간색</v>
      </c>
      <c r="Q5614" s="71">
        <f t="shared" si="2750"/>
        <v>200</v>
      </c>
      <c r="R5614" s="102">
        <v>320</v>
      </c>
      <c r="S5614" s="102">
        <f t="shared" si="2751"/>
        <v>70400</v>
      </c>
      <c r="T5614" s="102">
        <f t="shared" si="2752"/>
        <v>64000</v>
      </c>
      <c r="U5614" s="71"/>
      <c r="V5614" s="71"/>
      <c r="W5614" s="474"/>
      <c r="X5614" s="71"/>
      <c r="Y5614" s="71"/>
    </row>
    <row r="5615" spans="1:25" ht="30" hidden="1" customHeight="1" x14ac:dyDescent="0.25">
      <c r="A5615" s="1145">
        <v>44900</v>
      </c>
      <c r="B5615" s="664" t="s">
        <v>18</v>
      </c>
      <c r="C5615" s="71" t="s">
        <v>3305</v>
      </c>
      <c r="D5615" s="71">
        <v>6</v>
      </c>
      <c r="E5615" s="102">
        <v>86000</v>
      </c>
      <c r="F5615" s="102">
        <f t="shared" si="2745"/>
        <v>567600</v>
      </c>
      <c r="G5615" s="102">
        <f t="shared" si="2746"/>
        <v>516000</v>
      </c>
      <c r="H5615" s="690" t="s">
        <v>172</v>
      </c>
      <c r="I5615" s="71" t="s">
        <v>3295</v>
      </c>
      <c r="J5615" s="53">
        <f t="shared" si="2747"/>
        <v>156000</v>
      </c>
      <c r="K5615" s="63">
        <f t="shared" ref="K5615:K5627" si="2753">(J5615/(F5615/11*10))</f>
        <v>0.30232558139534882</v>
      </c>
      <c r="L5615" s="1212" t="s">
        <v>3634</v>
      </c>
      <c r="M5615" s="468" t="s">
        <v>3306</v>
      </c>
      <c r="N5615" s="1192">
        <f t="shared" si="2748"/>
        <v>44900</v>
      </c>
      <c r="O5615" s="71" t="s">
        <v>146</v>
      </c>
      <c r="P5615" s="103" t="str">
        <f t="shared" si="2749"/>
        <v>파우더</v>
      </c>
      <c r="Q5615" s="71">
        <f t="shared" si="2750"/>
        <v>6</v>
      </c>
      <c r="R5615" s="102">
        <v>60000</v>
      </c>
      <c r="S5615" s="102">
        <f t="shared" si="2751"/>
        <v>396000.00000000006</v>
      </c>
      <c r="T5615" s="102">
        <f t="shared" si="2752"/>
        <v>360000</v>
      </c>
      <c r="U5615" s="71" t="str">
        <f>IF(J5615=W5615,"O", "X")</f>
        <v>X</v>
      </c>
      <c r="V5615" s="71"/>
      <c r="W5615" s="474"/>
      <c r="X5615" s="71"/>
      <c r="Y5615" s="71"/>
    </row>
    <row r="5616" spans="1:25" ht="30" hidden="1" customHeight="1" x14ac:dyDescent="0.25">
      <c r="A5616" s="1145">
        <v>44900</v>
      </c>
      <c r="B5616" s="664" t="s">
        <v>548</v>
      </c>
      <c r="C5616" s="71" t="s">
        <v>3382</v>
      </c>
      <c r="D5616" s="71">
        <v>1</v>
      </c>
      <c r="E5616" s="102">
        <v>168000</v>
      </c>
      <c r="F5616" s="102">
        <f t="shared" si="2745"/>
        <v>184800.00000000003</v>
      </c>
      <c r="G5616" s="102">
        <f t="shared" si="2746"/>
        <v>168000</v>
      </c>
      <c r="H5616" s="690" t="s">
        <v>2029</v>
      </c>
      <c r="I5616" s="71" t="s">
        <v>180</v>
      </c>
      <c r="J5616" s="53">
        <f t="shared" si="2747"/>
        <v>48000</v>
      </c>
      <c r="K5616" s="63">
        <f t="shared" si="2753"/>
        <v>0.28571428571428564</v>
      </c>
      <c r="L5616" s="1212" t="s">
        <v>3634</v>
      </c>
      <c r="M5616" s="468"/>
      <c r="N5616" s="1192">
        <f t="shared" si="2748"/>
        <v>44900</v>
      </c>
      <c r="O5616" s="71" t="s">
        <v>3383</v>
      </c>
      <c r="P5616" s="164" t="str">
        <f t="shared" si="2749"/>
        <v>판 클리너(12개)</v>
      </c>
      <c r="Q5616" s="71">
        <f t="shared" si="2750"/>
        <v>1</v>
      </c>
      <c r="R5616" s="102">
        <v>120000</v>
      </c>
      <c r="S5616" s="102">
        <f t="shared" si="2751"/>
        <v>132000</v>
      </c>
      <c r="T5616" s="102">
        <f t="shared" si="2752"/>
        <v>120000</v>
      </c>
      <c r="U5616" s="71" t="str">
        <f>IF(J5616=W5616,"O", "X")</f>
        <v>X</v>
      </c>
      <c r="V5616" s="71"/>
      <c r="W5616" s="474"/>
      <c r="X5616" s="71"/>
      <c r="Y5616" s="71"/>
    </row>
    <row r="5617" spans="1:25" ht="30" hidden="1" customHeight="1" x14ac:dyDescent="0.25">
      <c r="A5617" s="1145">
        <v>44944</v>
      </c>
      <c r="B5617" s="664" t="s">
        <v>3410</v>
      </c>
      <c r="C5617" s="71" t="s">
        <v>2974</v>
      </c>
      <c r="D5617" s="71">
        <v>3</v>
      </c>
      <c r="E5617" s="102">
        <v>650000</v>
      </c>
      <c r="F5617" s="102">
        <f t="shared" si="2745"/>
        <v>2145000</v>
      </c>
      <c r="G5617" s="102">
        <f t="shared" si="2746"/>
        <v>1950000</v>
      </c>
      <c r="H5617" s="690" t="s">
        <v>142</v>
      </c>
      <c r="I5617" s="690" t="s">
        <v>142</v>
      </c>
      <c r="J5617" s="53">
        <f t="shared" si="2747"/>
        <v>1279695</v>
      </c>
      <c r="K5617" s="63">
        <f t="shared" si="2753"/>
        <v>0.65625384615384619</v>
      </c>
      <c r="L5617" s="1212" t="s">
        <v>3665</v>
      </c>
      <c r="M5617" s="468"/>
      <c r="N5617" s="1192">
        <f t="shared" si="2748"/>
        <v>44944</v>
      </c>
      <c r="O5617" s="71" t="s">
        <v>3412</v>
      </c>
      <c r="P5617" s="103" t="str">
        <f t="shared" si="2749"/>
        <v>Baldwin UV 램프 국전</v>
      </c>
      <c r="Q5617" s="71">
        <f t="shared" si="2750"/>
        <v>3</v>
      </c>
      <c r="R5617" s="102">
        <v>223435</v>
      </c>
      <c r="S5617" s="102">
        <f t="shared" si="2751"/>
        <v>737335.50000000012</v>
      </c>
      <c r="T5617" s="102">
        <f t="shared" si="2752"/>
        <v>670305</v>
      </c>
      <c r="U5617" s="71"/>
      <c r="V5617" s="71"/>
      <c r="W5617" s="474"/>
      <c r="X5617" s="71"/>
      <c r="Y5617" s="71"/>
    </row>
    <row r="5618" spans="1:25" ht="30" hidden="1" customHeight="1" x14ac:dyDescent="0.25">
      <c r="A5618" s="1145">
        <v>44914</v>
      </c>
      <c r="B5618" s="664" t="s">
        <v>591</v>
      </c>
      <c r="C5618" s="71" t="s">
        <v>3645</v>
      </c>
      <c r="D5618" s="71">
        <v>1</v>
      </c>
      <c r="E5618" s="102">
        <v>4983000</v>
      </c>
      <c r="F5618" s="102">
        <f t="shared" si="2745"/>
        <v>5481300</v>
      </c>
      <c r="G5618" s="102">
        <f t="shared" si="2746"/>
        <v>4983000</v>
      </c>
      <c r="H5618" s="690" t="s">
        <v>173</v>
      </c>
      <c r="I5618" s="71" t="s">
        <v>143</v>
      </c>
      <c r="J5618" s="53">
        <f t="shared" si="2747"/>
        <v>578000</v>
      </c>
      <c r="K5618" s="63">
        <f t="shared" si="2753"/>
        <v>0.11599438089504314</v>
      </c>
      <c r="L5618" s="1212" t="s">
        <v>3665</v>
      </c>
      <c r="M5618" s="102"/>
      <c r="N5618" s="1192">
        <f t="shared" si="2748"/>
        <v>44914</v>
      </c>
      <c r="O5618" s="71" t="s">
        <v>612</v>
      </c>
      <c r="P5618" s="103" t="str">
        <f t="shared" si="2749"/>
        <v>매엽 롤러 세트</v>
      </c>
      <c r="Q5618" s="71">
        <f t="shared" si="2750"/>
        <v>1</v>
      </c>
      <c r="R5618" s="102">
        <v>4405000</v>
      </c>
      <c r="S5618" s="102">
        <f t="shared" si="2751"/>
        <v>4845500</v>
      </c>
      <c r="T5618" s="102">
        <f t="shared" si="2752"/>
        <v>4405000</v>
      </c>
      <c r="U5618" s="71"/>
      <c r="V5618" s="71"/>
      <c r="W5618" s="474"/>
      <c r="X5618" s="71"/>
      <c r="Y5618" s="71"/>
    </row>
    <row r="5619" spans="1:25" ht="30" hidden="1" customHeight="1" x14ac:dyDescent="0.25">
      <c r="A5619" s="1145">
        <v>44935</v>
      </c>
      <c r="B5619" s="664" t="s">
        <v>575</v>
      </c>
      <c r="C5619" s="71" t="s">
        <v>3646</v>
      </c>
      <c r="D5619" s="71">
        <v>1</v>
      </c>
      <c r="E5619" s="102">
        <v>200000</v>
      </c>
      <c r="F5619" s="102">
        <f t="shared" si="2745"/>
        <v>220000.00000000003</v>
      </c>
      <c r="G5619" s="102">
        <f t="shared" si="2746"/>
        <v>200000</v>
      </c>
      <c r="H5619" s="690" t="s">
        <v>1786</v>
      </c>
      <c r="I5619" s="71" t="s">
        <v>1786</v>
      </c>
      <c r="J5619" s="53">
        <f t="shared" si="2747"/>
        <v>140000</v>
      </c>
      <c r="K5619" s="63">
        <f t="shared" si="2753"/>
        <v>0.69999999999999984</v>
      </c>
      <c r="L5619" s="1212" t="s">
        <v>3665</v>
      </c>
      <c r="M5619" s="102"/>
      <c r="N5619" s="1192">
        <f t="shared" si="2748"/>
        <v>44935</v>
      </c>
      <c r="O5619" s="71" t="s">
        <v>3668</v>
      </c>
      <c r="P5619" s="103" t="str">
        <f t="shared" si="2749"/>
        <v>유니트 드라이브 온도 센서</v>
      </c>
      <c r="Q5619" s="71">
        <f t="shared" si="2750"/>
        <v>1</v>
      </c>
      <c r="R5619" s="102">
        <v>60000</v>
      </c>
      <c r="S5619" s="102">
        <f t="shared" si="2751"/>
        <v>66000</v>
      </c>
      <c r="T5619" s="102">
        <f t="shared" si="2752"/>
        <v>60000</v>
      </c>
      <c r="U5619" s="71"/>
      <c r="V5619" s="71"/>
      <c r="W5619" s="474"/>
      <c r="X5619" s="71"/>
      <c r="Y5619" s="71"/>
    </row>
    <row r="5620" spans="1:25" ht="30" hidden="1" customHeight="1" x14ac:dyDescent="0.25">
      <c r="A5620" s="1145">
        <v>44914</v>
      </c>
      <c r="B5620" s="664" t="s">
        <v>591</v>
      </c>
      <c r="C5620" s="71" t="s">
        <v>3647</v>
      </c>
      <c r="D5620" s="71">
        <v>1</v>
      </c>
      <c r="E5620" s="102">
        <v>6798000</v>
      </c>
      <c r="F5620" s="102">
        <f t="shared" si="2745"/>
        <v>7477800.0000000009</v>
      </c>
      <c r="G5620" s="102">
        <f t="shared" si="2746"/>
        <v>6798000</v>
      </c>
      <c r="H5620" s="690" t="s">
        <v>173</v>
      </c>
      <c r="I5620" s="71" t="s">
        <v>143</v>
      </c>
      <c r="J5620" s="53">
        <f t="shared" si="2747"/>
        <v>1556500</v>
      </c>
      <c r="K5620" s="63">
        <f t="shared" si="2753"/>
        <v>0.22896440129449835</v>
      </c>
      <c r="L5620" s="1212" t="s">
        <v>3665</v>
      </c>
      <c r="M5620" s="102"/>
      <c r="N5620" s="1192">
        <f t="shared" si="2748"/>
        <v>44914</v>
      </c>
      <c r="O5620" s="71" t="s">
        <v>612</v>
      </c>
      <c r="P5620" s="103" t="str">
        <f t="shared" si="2749"/>
        <v>윤전 롤러 세트</v>
      </c>
      <c r="Q5620" s="71">
        <f t="shared" si="2750"/>
        <v>1</v>
      </c>
      <c r="R5620" s="102">
        <v>5241500</v>
      </c>
      <c r="S5620" s="102">
        <f t="shared" si="2751"/>
        <v>5765650</v>
      </c>
      <c r="T5620" s="102">
        <f t="shared" si="2752"/>
        <v>5241500</v>
      </c>
      <c r="U5620" s="71"/>
      <c r="V5620" s="71"/>
      <c r="W5620" s="474"/>
      <c r="X5620" s="71"/>
      <c r="Y5620" s="71"/>
    </row>
    <row r="5621" spans="1:25" ht="30" hidden="1" customHeight="1" x14ac:dyDescent="0.25">
      <c r="A5621" s="1145">
        <v>44945</v>
      </c>
      <c r="B5621" s="664" t="s">
        <v>546</v>
      </c>
      <c r="C5621" s="71" t="s">
        <v>114</v>
      </c>
      <c r="D5621" s="71">
        <v>50</v>
      </c>
      <c r="E5621" s="102">
        <v>18000</v>
      </c>
      <c r="F5621" s="102">
        <f t="shared" si="2745"/>
        <v>990000.00000000012</v>
      </c>
      <c r="G5621" s="102">
        <f t="shared" si="2746"/>
        <v>900000</v>
      </c>
      <c r="H5621" s="690" t="s">
        <v>1786</v>
      </c>
      <c r="I5621" s="690" t="s">
        <v>1786</v>
      </c>
      <c r="J5621" s="53">
        <f t="shared" si="2747"/>
        <v>361200</v>
      </c>
      <c r="K5621" s="63">
        <f t="shared" si="2753"/>
        <v>0.40133333333333326</v>
      </c>
      <c r="L5621" s="1212" t="s">
        <v>3665</v>
      </c>
      <c r="M5621" s="468"/>
      <c r="N5621" s="1192">
        <f t="shared" si="2748"/>
        <v>44945</v>
      </c>
      <c r="O5621" s="71" t="s">
        <v>1786</v>
      </c>
      <c r="P5621" s="164" t="str">
        <f t="shared" si="2749"/>
        <v>스트리퍼</v>
      </c>
      <c r="Q5621" s="71">
        <f t="shared" si="2750"/>
        <v>50</v>
      </c>
      <c r="R5621" s="102">
        <v>10776</v>
      </c>
      <c r="S5621" s="102">
        <f t="shared" si="2751"/>
        <v>592680</v>
      </c>
      <c r="T5621" s="102">
        <f t="shared" si="2752"/>
        <v>538800</v>
      </c>
      <c r="U5621" s="71"/>
      <c r="V5621" s="71"/>
      <c r="W5621" s="474"/>
      <c r="X5621" s="71"/>
      <c r="Y5621" s="71"/>
    </row>
    <row r="5622" spans="1:25" ht="30" hidden="1" customHeight="1" x14ac:dyDescent="0.25">
      <c r="A5622" s="1145">
        <v>44945</v>
      </c>
      <c r="B5622" s="664" t="s">
        <v>2155</v>
      </c>
      <c r="C5622" s="71" t="s">
        <v>1148</v>
      </c>
      <c r="D5622" s="71">
        <v>8</v>
      </c>
      <c r="E5622" s="102">
        <v>350000</v>
      </c>
      <c r="F5622" s="102">
        <f t="shared" si="2745"/>
        <v>3080000.0000000005</v>
      </c>
      <c r="G5622" s="102">
        <f t="shared" si="2746"/>
        <v>2800000</v>
      </c>
      <c r="H5622" s="690" t="s">
        <v>1786</v>
      </c>
      <c r="I5622" s="71" t="s">
        <v>1786</v>
      </c>
      <c r="J5622" s="53">
        <f t="shared" si="2747"/>
        <v>938568</v>
      </c>
      <c r="K5622" s="63">
        <f t="shared" si="2753"/>
        <v>0.33520285714285708</v>
      </c>
      <c r="L5622" s="1212" t="s">
        <v>3665</v>
      </c>
      <c r="M5622" s="468"/>
      <c r="N5622" s="1192">
        <f t="shared" si="2748"/>
        <v>44945</v>
      </c>
      <c r="O5622" s="71" t="s">
        <v>1786</v>
      </c>
      <c r="P5622" s="103" t="str">
        <f t="shared" si="2749"/>
        <v>브레이크 라이닝</v>
      </c>
      <c r="Q5622" s="71">
        <f t="shared" si="2750"/>
        <v>8</v>
      </c>
      <c r="R5622" s="147">
        <v>232679</v>
      </c>
      <c r="S5622" s="102">
        <f t="shared" si="2751"/>
        <v>2047575.2000000002</v>
      </c>
      <c r="T5622" s="102">
        <f t="shared" si="2752"/>
        <v>1861432</v>
      </c>
      <c r="U5622" s="71"/>
      <c r="V5622" s="71"/>
      <c r="W5622" s="474"/>
      <c r="X5622" s="71"/>
      <c r="Y5622" s="71"/>
    </row>
    <row r="5623" spans="1:25" ht="30" hidden="1" customHeight="1" x14ac:dyDescent="0.25">
      <c r="A5623" s="1145">
        <v>44931</v>
      </c>
      <c r="B5623" s="664" t="s">
        <v>748</v>
      </c>
      <c r="C5623" s="71" t="s">
        <v>114</v>
      </c>
      <c r="D5623" s="71">
        <v>100</v>
      </c>
      <c r="E5623" s="102">
        <v>20000</v>
      </c>
      <c r="F5623" s="102">
        <f t="shared" si="2745"/>
        <v>2200000</v>
      </c>
      <c r="G5623" s="102">
        <f t="shared" si="2746"/>
        <v>2000000</v>
      </c>
      <c r="H5623" s="690" t="s">
        <v>1786</v>
      </c>
      <c r="I5623" s="71" t="s">
        <v>1786</v>
      </c>
      <c r="J5623" s="53">
        <f t="shared" si="2747"/>
        <v>922400</v>
      </c>
      <c r="K5623" s="63">
        <f t="shared" si="2753"/>
        <v>0.4612</v>
      </c>
      <c r="L5623" s="1212" t="s">
        <v>3665</v>
      </c>
      <c r="M5623" s="102"/>
      <c r="N5623" s="1192">
        <f t="shared" si="2748"/>
        <v>44931</v>
      </c>
      <c r="O5623" s="71" t="s">
        <v>1786</v>
      </c>
      <c r="P5623" s="103" t="str">
        <f t="shared" si="2749"/>
        <v>스트리퍼</v>
      </c>
      <c r="Q5623" s="71">
        <f t="shared" si="2750"/>
        <v>100</v>
      </c>
      <c r="R5623" s="102">
        <v>10776</v>
      </c>
      <c r="S5623" s="102">
        <f t="shared" si="2751"/>
        <v>1185360</v>
      </c>
      <c r="T5623" s="102">
        <f t="shared" si="2752"/>
        <v>1077600</v>
      </c>
      <c r="U5623" s="71"/>
      <c r="V5623" s="71"/>
      <c r="W5623" s="474"/>
      <c r="X5623" s="71"/>
      <c r="Y5623" s="71"/>
    </row>
    <row r="5624" spans="1:25" ht="30" hidden="1" customHeight="1" x14ac:dyDescent="0.25">
      <c r="A5624" s="1145">
        <v>44931</v>
      </c>
      <c r="B5624" s="664" t="s">
        <v>748</v>
      </c>
      <c r="C5624" s="71" t="s">
        <v>1638</v>
      </c>
      <c r="D5624" s="71">
        <v>100</v>
      </c>
      <c r="E5624" s="102">
        <v>25000</v>
      </c>
      <c r="F5624" s="102">
        <f t="shared" si="2745"/>
        <v>2750000</v>
      </c>
      <c r="G5624" s="102">
        <f t="shared" si="2746"/>
        <v>2500000</v>
      </c>
      <c r="H5624" s="690" t="s">
        <v>1786</v>
      </c>
      <c r="I5624" s="71" t="s">
        <v>1786</v>
      </c>
      <c r="J5624" s="53">
        <f t="shared" si="2747"/>
        <v>1205800</v>
      </c>
      <c r="K5624" s="63">
        <f t="shared" si="2753"/>
        <v>0.48232000000000003</v>
      </c>
      <c r="L5624" s="1212" t="s">
        <v>3665</v>
      </c>
      <c r="M5624" s="468"/>
      <c r="N5624" s="1192">
        <f t="shared" ref="N5624:N5633" si="2754">A5624</f>
        <v>44931</v>
      </c>
      <c r="O5624" s="71" t="s">
        <v>1786</v>
      </c>
      <c r="P5624" s="103" t="str">
        <f t="shared" si="2749"/>
        <v>링크, 체인</v>
      </c>
      <c r="Q5624" s="71">
        <f t="shared" si="2750"/>
        <v>100</v>
      </c>
      <c r="R5624" s="102">
        <v>12942</v>
      </c>
      <c r="S5624" s="102">
        <f t="shared" si="2751"/>
        <v>1423620</v>
      </c>
      <c r="T5624" s="102">
        <f t="shared" si="2752"/>
        <v>1294200</v>
      </c>
      <c r="U5624" s="71"/>
      <c r="V5624" s="71"/>
      <c r="W5624" s="474"/>
      <c r="X5624" s="71"/>
      <c r="Y5624" s="71"/>
    </row>
    <row r="5625" spans="1:25" ht="30" hidden="1" customHeight="1" x14ac:dyDescent="0.25">
      <c r="A5625" s="1145">
        <v>44939</v>
      </c>
      <c r="B5625" s="664" t="s">
        <v>748</v>
      </c>
      <c r="C5625" s="71" t="s">
        <v>3648</v>
      </c>
      <c r="D5625" s="71">
        <v>1</v>
      </c>
      <c r="E5625" s="102">
        <v>1550000</v>
      </c>
      <c r="F5625" s="102">
        <f t="shared" si="2745"/>
        <v>1705000.0000000002</v>
      </c>
      <c r="G5625" s="102">
        <f t="shared" si="2746"/>
        <v>1550000</v>
      </c>
      <c r="H5625" s="690" t="s">
        <v>1786</v>
      </c>
      <c r="I5625" s="71" t="s">
        <v>1786</v>
      </c>
      <c r="J5625" s="53">
        <f t="shared" si="2747"/>
        <v>450232</v>
      </c>
      <c r="K5625" s="63">
        <f t="shared" si="2753"/>
        <v>0.2904722580645161</v>
      </c>
      <c r="L5625" s="1212" t="s">
        <v>3665</v>
      </c>
      <c r="M5625" s="468"/>
      <c r="N5625" s="1192">
        <f t="shared" si="2754"/>
        <v>44939</v>
      </c>
      <c r="O5625" s="71" t="s">
        <v>94</v>
      </c>
      <c r="P5625" s="103" t="str">
        <f t="shared" si="2749"/>
        <v>잉크 레벨 센서</v>
      </c>
      <c r="Q5625" s="71">
        <f t="shared" si="2750"/>
        <v>1</v>
      </c>
      <c r="R5625" s="102">
        <v>1099768</v>
      </c>
      <c r="S5625" s="102">
        <f t="shared" si="2751"/>
        <v>1209744.8</v>
      </c>
      <c r="T5625" s="102">
        <f t="shared" si="2752"/>
        <v>1099768</v>
      </c>
      <c r="U5625" s="71"/>
      <c r="V5625" s="71"/>
      <c r="W5625" s="474"/>
      <c r="X5625" s="71"/>
      <c r="Y5625" s="71"/>
    </row>
    <row r="5626" spans="1:25" s="209" customFormat="1" ht="30" customHeight="1" x14ac:dyDescent="0.25">
      <c r="A5626" s="1145">
        <v>44930</v>
      </c>
      <c r="B5626" s="664" t="s">
        <v>2536</v>
      </c>
      <c r="C5626" s="71" t="s">
        <v>3649</v>
      </c>
      <c r="D5626" s="71">
        <v>1</v>
      </c>
      <c r="E5626" s="102">
        <v>680000</v>
      </c>
      <c r="F5626" s="102">
        <f t="shared" si="2745"/>
        <v>748000.00000000012</v>
      </c>
      <c r="G5626" s="102">
        <f t="shared" si="2746"/>
        <v>680000</v>
      </c>
      <c r="H5626" s="690" t="s">
        <v>1786</v>
      </c>
      <c r="I5626" s="71" t="s">
        <v>1786</v>
      </c>
      <c r="J5626" s="53">
        <f t="shared" si="2747"/>
        <v>0</v>
      </c>
      <c r="K5626" s="63">
        <f t="shared" si="2753"/>
        <v>0</v>
      </c>
      <c r="L5626" s="1212" t="s">
        <v>3665</v>
      </c>
      <c r="M5626" s="468"/>
      <c r="N5626" s="1192">
        <f t="shared" si="2754"/>
        <v>44930</v>
      </c>
      <c r="O5626" s="71" t="s">
        <v>3512</v>
      </c>
      <c r="P5626" s="164" t="str">
        <f t="shared" si="2749"/>
        <v>잉크 전달 롤러 축</v>
      </c>
      <c r="Q5626" s="71">
        <f t="shared" si="2750"/>
        <v>1</v>
      </c>
      <c r="R5626" s="102">
        <v>680000</v>
      </c>
      <c r="S5626" s="102">
        <f t="shared" si="2751"/>
        <v>748000.00000000012</v>
      </c>
      <c r="T5626" s="102">
        <f t="shared" si="2752"/>
        <v>680000</v>
      </c>
      <c r="U5626" s="71"/>
      <c r="V5626" s="71"/>
      <c r="W5626" s="474"/>
      <c r="X5626" s="71"/>
      <c r="Y5626" s="71"/>
    </row>
    <row r="5627" spans="1:25" ht="30" customHeight="1" x14ac:dyDescent="0.25">
      <c r="A5627" s="1145">
        <v>44930</v>
      </c>
      <c r="B5627" s="664" t="s">
        <v>2536</v>
      </c>
      <c r="C5627" s="71" t="s">
        <v>3650</v>
      </c>
      <c r="D5627" s="71">
        <v>1</v>
      </c>
      <c r="E5627" s="102">
        <v>300000</v>
      </c>
      <c r="F5627" s="102">
        <f t="shared" si="2745"/>
        <v>330000</v>
      </c>
      <c r="G5627" s="102">
        <f t="shared" si="2746"/>
        <v>300000</v>
      </c>
      <c r="H5627" s="690" t="s">
        <v>1786</v>
      </c>
      <c r="I5627" s="71" t="s">
        <v>1786</v>
      </c>
      <c r="J5627" s="53">
        <f t="shared" si="2747"/>
        <v>0</v>
      </c>
      <c r="K5627" s="63">
        <f t="shared" si="2753"/>
        <v>0</v>
      </c>
      <c r="L5627" s="1212" t="s">
        <v>3665</v>
      </c>
      <c r="M5627" s="468"/>
      <c r="N5627" s="1192">
        <f t="shared" si="2754"/>
        <v>44930</v>
      </c>
      <c r="O5627" s="71" t="s">
        <v>3512</v>
      </c>
      <c r="P5627" s="103" t="str">
        <f t="shared" si="2749"/>
        <v>잉크 전달 롤러 베어링</v>
      </c>
      <c r="Q5627" s="71">
        <f t="shared" si="2750"/>
        <v>1</v>
      </c>
      <c r="R5627" s="102">
        <v>300000</v>
      </c>
      <c r="S5627" s="102">
        <f t="shared" si="2751"/>
        <v>330000</v>
      </c>
      <c r="T5627" s="102">
        <f t="shared" si="2752"/>
        <v>300000</v>
      </c>
      <c r="U5627" s="71"/>
      <c r="V5627" s="71"/>
      <c r="W5627" s="474"/>
      <c r="X5627" s="71"/>
      <c r="Y5627" s="71"/>
    </row>
    <row r="5628" spans="1:25" s="209" customFormat="1" ht="30" hidden="1" customHeight="1" x14ac:dyDescent="0.25">
      <c r="A5628" s="1145">
        <v>44946</v>
      </c>
      <c r="B5628" s="664" t="s">
        <v>3651</v>
      </c>
      <c r="C5628" s="71" t="s">
        <v>1696</v>
      </c>
      <c r="D5628" s="71">
        <v>10</v>
      </c>
      <c r="E5628" s="102">
        <v>136000</v>
      </c>
      <c r="F5628" s="102">
        <f t="shared" si="2745"/>
        <v>1496000.0000000002</v>
      </c>
      <c r="G5628" s="102">
        <f t="shared" si="2746"/>
        <v>1360000</v>
      </c>
      <c r="H5628" s="690" t="s">
        <v>142</v>
      </c>
      <c r="I5628" s="71" t="s">
        <v>142</v>
      </c>
      <c r="J5628" s="53">
        <f t="shared" ref="J5628:J5633" si="2755">G5628-T5628</f>
        <v>210000</v>
      </c>
      <c r="K5628" s="63">
        <f t="shared" ref="K5628:K5639" si="2756">(J5628/(F5628/11*10))</f>
        <v>0.15441176470588233</v>
      </c>
      <c r="L5628" s="1212" t="s">
        <v>3665</v>
      </c>
      <c r="M5628" s="468"/>
      <c r="N5628" s="1192">
        <f t="shared" si="2754"/>
        <v>44946</v>
      </c>
      <c r="O5628" s="71" t="s">
        <v>94</v>
      </c>
      <c r="P5628" s="164" t="str">
        <f t="shared" si="2749"/>
        <v>Nozzle D 3.0</v>
      </c>
      <c r="Q5628" s="71">
        <f t="shared" si="2750"/>
        <v>10</v>
      </c>
      <c r="R5628" s="102">
        <v>115000</v>
      </c>
      <c r="S5628" s="102">
        <f t="shared" si="2751"/>
        <v>1265000</v>
      </c>
      <c r="T5628" s="102">
        <f t="shared" si="2752"/>
        <v>1150000</v>
      </c>
      <c r="U5628" s="71"/>
      <c r="V5628" s="71"/>
      <c r="W5628" s="474"/>
      <c r="X5628" s="71"/>
      <c r="Y5628" s="71"/>
    </row>
    <row r="5629" spans="1:25" ht="30" customHeight="1" x14ac:dyDescent="0.25">
      <c r="A5629" s="1145">
        <v>44930</v>
      </c>
      <c r="B5629" s="664" t="s">
        <v>2536</v>
      </c>
      <c r="C5629" s="71" t="s">
        <v>3652</v>
      </c>
      <c r="D5629" s="71">
        <v>1</v>
      </c>
      <c r="E5629" s="102">
        <v>1115000</v>
      </c>
      <c r="F5629" s="102">
        <f t="shared" si="2745"/>
        <v>1226500</v>
      </c>
      <c r="G5629" s="102">
        <f t="shared" si="2746"/>
        <v>1115000</v>
      </c>
      <c r="H5629" s="690" t="s">
        <v>985</v>
      </c>
      <c r="I5629" s="71" t="s">
        <v>985</v>
      </c>
      <c r="J5629" s="53">
        <f t="shared" si="2755"/>
        <v>415000</v>
      </c>
      <c r="K5629" s="63">
        <f t="shared" si="2756"/>
        <v>0.37219730941704038</v>
      </c>
      <c r="L5629" s="1212" t="s">
        <v>3665</v>
      </c>
      <c r="M5629" s="468"/>
      <c r="N5629" s="1192">
        <f t="shared" si="2754"/>
        <v>44930</v>
      </c>
      <c r="O5629" s="71" t="s">
        <v>2122</v>
      </c>
      <c r="P5629" s="103" t="str">
        <f t="shared" si="2749"/>
        <v>M-600 롤러 수리 서비스</v>
      </c>
      <c r="Q5629" s="71">
        <f t="shared" si="2750"/>
        <v>1</v>
      </c>
      <c r="R5629" s="102">
        <v>700000</v>
      </c>
      <c r="S5629" s="102">
        <f t="shared" si="2751"/>
        <v>770000.00000000012</v>
      </c>
      <c r="T5629" s="102">
        <f t="shared" si="2752"/>
        <v>700000</v>
      </c>
      <c r="U5629" s="71"/>
      <c r="V5629" s="71"/>
      <c r="W5629" s="474"/>
      <c r="X5629" s="71"/>
      <c r="Y5629" s="71"/>
    </row>
    <row r="5630" spans="1:25" ht="30" customHeight="1" x14ac:dyDescent="0.25">
      <c r="A5630" s="1145">
        <v>44937</v>
      </c>
      <c r="B5630" s="664" t="s">
        <v>2536</v>
      </c>
      <c r="C5630" s="71" t="s">
        <v>3479</v>
      </c>
      <c r="D5630" s="71">
        <v>64</v>
      </c>
      <c r="E5630" s="102">
        <v>13500</v>
      </c>
      <c r="F5630" s="102">
        <f t="shared" ref="F5630:F5637" si="2757">(E5630*D5630)*1.1</f>
        <v>950400.00000000012</v>
      </c>
      <c r="G5630" s="102">
        <f t="shared" ref="G5630:G5637" si="2758">(E5630*D5630)</f>
        <v>864000</v>
      </c>
      <c r="H5630" s="690" t="s">
        <v>142</v>
      </c>
      <c r="I5630" s="71" t="s">
        <v>179</v>
      </c>
      <c r="J5630" s="53">
        <f t="shared" si="2755"/>
        <v>328640</v>
      </c>
      <c r="K5630" s="63">
        <f t="shared" si="2756"/>
        <v>0.3803703703703703</v>
      </c>
      <c r="L5630" s="1212" t="s">
        <v>3665</v>
      </c>
      <c r="M5630" s="468"/>
      <c r="N5630" s="1192">
        <f t="shared" si="2754"/>
        <v>44937</v>
      </c>
      <c r="O5630" s="71"/>
      <c r="P5630" s="103" t="str">
        <f t="shared" ref="P5630:P5656" si="2759">(C5630)</f>
        <v>고모리 윤전 블랑켓 건식 세정포 - 4x6용</v>
      </c>
      <c r="Q5630" s="71">
        <f t="shared" ref="Q5630:Q5656" si="2760">D5630</f>
        <v>64</v>
      </c>
      <c r="R5630" s="102">
        <v>8365</v>
      </c>
      <c r="S5630" s="102">
        <f t="shared" si="2751"/>
        <v>588896</v>
      </c>
      <c r="T5630" s="102">
        <f t="shared" si="2752"/>
        <v>535360</v>
      </c>
      <c r="U5630" s="71"/>
      <c r="V5630" s="71"/>
      <c r="W5630" s="474"/>
      <c r="X5630" s="71"/>
      <c r="Y5630" s="71"/>
    </row>
    <row r="5631" spans="1:25" ht="30" customHeight="1" x14ac:dyDescent="0.25">
      <c r="A5631" s="1145">
        <v>44937</v>
      </c>
      <c r="B5631" s="664" t="s">
        <v>2536</v>
      </c>
      <c r="C5631" s="71" t="s">
        <v>3478</v>
      </c>
      <c r="D5631" s="71">
        <v>64</v>
      </c>
      <c r="E5631" s="102">
        <v>18500</v>
      </c>
      <c r="F5631" s="102">
        <f t="shared" si="2757"/>
        <v>1302400</v>
      </c>
      <c r="G5631" s="102">
        <f t="shared" si="2758"/>
        <v>1184000</v>
      </c>
      <c r="H5631" s="690" t="s">
        <v>142</v>
      </c>
      <c r="I5631" s="71" t="s">
        <v>179</v>
      </c>
      <c r="J5631" s="53">
        <f t="shared" si="2755"/>
        <v>474624</v>
      </c>
      <c r="K5631" s="63">
        <f t="shared" si="2756"/>
        <v>0.40086486486486489</v>
      </c>
      <c r="L5631" s="1212" t="s">
        <v>3665</v>
      </c>
      <c r="M5631" s="468"/>
      <c r="N5631" s="1192">
        <f t="shared" si="2754"/>
        <v>44937</v>
      </c>
      <c r="O5631" s="71"/>
      <c r="P5631" s="103" t="str">
        <f t="shared" si="2759"/>
        <v>고모리 윤전 블랑켓 건식 세정포 - 국전용</v>
      </c>
      <c r="Q5631" s="71">
        <f t="shared" si="2760"/>
        <v>64</v>
      </c>
      <c r="R5631" s="102">
        <v>11084</v>
      </c>
      <c r="S5631" s="102">
        <f t="shared" si="2751"/>
        <v>780313.60000000009</v>
      </c>
      <c r="T5631" s="102">
        <f t="shared" si="2752"/>
        <v>709376</v>
      </c>
      <c r="U5631" s="71"/>
      <c r="V5631" s="71"/>
      <c r="W5631" s="474"/>
      <c r="X5631" s="71"/>
      <c r="Y5631" s="71"/>
    </row>
    <row r="5632" spans="1:25" ht="30" customHeight="1" x14ac:dyDescent="0.25">
      <c r="A5632" s="1145">
        <v>44943</v>
      </c>
      <c r="B5632" s="664" t="s">
        <v>2352</v>
      </c>
      <c r="C5632" s="71" t="s">
        <v>692</v>
      </c>
      <c r="D5632" s="71">
        <v>4</v>
      </c>
      <c r="E5632" s="102">
        <v>264000</v>
      </c>
      <c r="F5632" s="102">
        <f t="shared" si="2757"/>
        <v>1161600</v>
      </c>
      <c r="G5632" s="102">
        <f t="shared" si="2758"/>
        <v>1056000</v>
      </c>
      <c r="H5632" s="690" t="s">
        <v>142</v>
      </c>
      <c r="I5632" s="71" t="s">
        <v>179</v>
      </c>
      <c r="J5632" s="53">
        <f t="shared" si="2755"/>
        <v>416000</v>
      </c>
      <c r="K5632" s="63">
        <f t="shared" si="2756"/>
        <v>0.39393939393939392</v>
      </c>
      <c r="L5632" s="1212" t="s">
        <v>3665</v>
      </c>
      <c r="M5632" s="468" t="s">
        <v>2052</v>
      </c>
      <c r="N5632" s="1192">
        <f t="shared" si="2754"/>
        <v>44943</v>
      </c>
      <c r="O5632" s="71" t="s">
        <v>150</v>
      </c>
      <c r="P5632" s="103" t="str">
        <f t="shared" si="2759"/>
        <v>윤전 블랑켓</v>
      </c>
      <c r="Q5632" s="71">
        <f t="shared" si="2760"/>
        <v>4</v>
      </c>
      <c r="R5632" s="102">
        <v>160000</v>
      </c>
      <c r="S5632" s="102">
        <f t="shared" si="2751"/>
        <v>704000</v>
      </c>
      <c r="T5632" s="102">
        <f t="shared" si="2752"/>
        <v>640000</v>
      </c>
      <c r="U5632" s="71" t="str">
        <f>IF(J5632=W5632,"O", "X")</f>
        <v>O</v>
      </c>
      <c r="V5632" s="71" t="s">
        <v>784</v>
      </c>
      <c r="W5632" s="474">
        <f>(G5632-T5632)</f>
        <v>416000</v>
      </c>
      <c r="X5632" s="71"/>
      <c r="Y5632" s="71"/>
    </row>
    <row r="5633" spans="1:25" ht="30" customHeight="1" x14ac:dyDescent="0.25">
      <c r="A5633" s="1145">
        <v>44942</v>
      </c>
      <c r="B5633" s="664" t="s">
        <v>2536</v>
      </c>
      <c r="C5633" s="71" t="s">
        <v>3653</v>
      </c>
      <c r="D5633" s="71">
        <v>1</v>
      </c>
      <c r="E5633" s="102">
        <v>600000</v>
      </c>
      <c r="F5633" s="102">
        <f t="shared" si="2757"/>
        <v>660000</v>
      </c>
      <c r="G5633" s="102">
        <f t="shared" si="2758"/>
        <v>600000</v>
      </c>
      <c r="H5633" s="690" t="s">
        <v>1786</v>
      </c>
      <c r="I5633" s="71" t="s">
        <v>1786</v>
      </c>
      <c r="J5633" s="53">
        <f t="shared" si="2755"/>
        <v>260000</v>
      </c>
      <c r="K5633" s="63">
        <f t="shared" si="2756"/>
        <v>0.43333333333333335</v>
      </c>
      <c r="L5633" s="1212" t="s">
        <v>3665</v>
      </c>
      <c r="M5633" s="468"/>
      <c r="N5633" s="1192">
        <f t="shared" si="2754"/>
        <v>44942</v>
      </c>
      <c r="O5633" s="71" t="s">
        <v>1786</v>
      </c>
      <c r="P5633" s="103" t="str">
        <f t="shared" si="2759"/>
        <v>오일 분배기</v>
      </c>
      <c r="Q5633" s="71">
        <f t="shared" si="2760"/>
        <v>1</v>
      </c>
      <c r="R5633" s="102">
        <v>340000</v>
      </c>
      <c r="S5633" s="102">
        <f t="shared" si="2751"/>
        <v>374000.00000000006</v>
      </c>
      <c r="T5633" s="102">
        <f t="shared" si="2752"/>
        <v>340000</v>
      </c>
      <c r="U5633" s="71"/>
      <c r="V5633" s="71"/>
      <c r="W5633" s="474"/>
      <c r="X5633" s="71"/>
      <c r="Y5633" s="71"/>
    </row>
    <row r="5634" spans="1:25" ht="30" customHeight="1" x14ac:dyDescent="0.25">
      <c r="A5634" s="1145">
        <v>44953</v>
      </c>
      <c r="B5634" s="664" t="s">
        <v>641</v>
      </c>
      <c r="C5634" s="71" t="s">
        <v>3293</v>
      </c>
      <c r="D5634" s="71">
        <v>100</v>
      </c>
      <c r="E5634" s="102">
        <v>84000</v>
      </c>
      <c r="F5634" s="102">
        <f t="shared" si="2757"/>
        <v>9240000</v>
      </c>
      <c r="G5634" s="102">
        <f t="shared" si="2758"/>
        <v>8400000</v>
      </c>
      <c r="H5634" s="690" t="s">
        <v>172</v>
      </c>
      <c r="I5634" s="71" t="s">
        <v>38</v>
      </c>
      <c r="J5634" s="53">
        <f t="shared" ref="J5634:J5656" si="2761">G5634-T5634</f>
        <v>3300000</v>
      </c>
      <c r="K5634" s="63">
        <f t="shared" si="2756"/>
        <v>0.39285714285714285</v>
      </c>
      <c r="L5634" s="1212" t="s">
        <v>3665</v>
      </c>
      <c r="M5634" s="468"/>
      <c r="N5634" s="1192">
        <f t="shared" ref="N5634:N5639" si="2762">A5634</f>
        <v>44953</v>
      </c>
      <c r="O5634" s="71" t="s">
        <v>3291</v>
      </c>
      <c r="P5634" s="103" t="str">
        <f t="shared" si="2759"/>
        <v>GOSS 신문윤전 습식세정포</v>
      </c>
      <c r="Q5634" s="71">
        <f t="shared" si="2760"/>
        <v>100</v>
      </c>
      <c r="R5634" s="102">
        <v>51000</v>
      </c>
      <c r="S5634" s="102">
        <f t="shared" ref="S5634:S5656" si="2763">R5634*Q5634*1.1</f>
        <v>5610000</v>
      </c>
      <c r="T5634" s="102">
        <f t="shared" ref="T5634:T5656" si="2764">R5634*Q5634</f>
        <v>5100000</v>
      </c>
      <c r="U5634" s="71" t="str">
        <f>IF(J5634=W5634,"O", "X")</f>
        <v>X</v>
      </c>
      <c r="V5634" s="71"/>
      <c r="W5634" s="474"/>
      <c r="X5634" s="71"/>
      <c r="Y5634" s="71"/>
    </row>
    <row r="5635" spans="1:25" s="209" customFormat="1" ht="30" hidden="1" customHeight="1" x14ac:dyDescent="0.25">
      <c r="A5635" s="1145">
        <v>44938</v>
      </c>
      <c r="B5635" s="664" t="s">
        <v>2353</v>
      </c>
      <c r="C5635" s="71" t="s">
        <v>130</v>
      </c>
      <c r="D5635" s="71">
        <v>15</v>
      </c>
      <c r="E5635" s="102">
        <v>148000</v>
      </c>
      <c r="F5635" s="102">
        <f t="shared" si="2757"/>
        <v>2442000</v>
      </c>
      <c r="G5635" s="102">
        <f t="shared" si="2758"/>
        <v>2220000</v>
      </c>
      <c r="H5635" s="690" t="s">
        <v>142</v>
      </c>
      <c r="I5635" s="71" t="s">
        <v>179</v>
      </c>
      <c r="J5635" s="53">
        <f t="shared" si="2761"/>
        <v>735000</v>
      </c>
      <c r="K5635" s="63">
        <f t="shared" si="2756"/>
        <v>0.33108108108108109</v>
      </c>
      <c r="L5635" s="1212" t="s">
        <v>3665</v>
      </c>
      <c r="M5635" s="468" t="s">
        <v>2050</v>
      </c>
      <c r="N5635" s="1192">
        <f t="shared" si="2762"/>
        <v>44938</v>
      </c>
      <c r="O5635" s="71" t="s">
        <v>150</v>
      </c>
      <c r="P5635" s="103" t="str">
        <f t="shared" si="2759"/>
        <v>XL106 Blanket(1077*885)</v>
      </c>
      <c r="Q5635" s="71">
        <f t="shared" si="2760"/>
        <v>15</v>
      </c>
      <c r="R5635" s="102">
        <v>99000</v>
      </c>
      <c r="S5635" s="102">
        <f t="shared" si="2763"/>
        <v>1633500.0000000002</v>
      </c>
      <c r="T5635" s="102">
        <f t="shared" si="2764"/>
        <v>1485000</v>
      </c>
      <c r="U5635" s="71" t="s">
        <v>859</v>
      </c>
      <c r="V5635" s="71"/>
      <c r="W5635" s="474">
        <v>260000</v>
      </c>
      <c r="X5635" s="71"/>
      <c r="Y5635" s="71"/>
    </row>
    <row r="5636" spans="1:25" ht="30" hidden="1" customHeight="1" x14ac:dyDescent="0.25">
      <c r="A5636" s="1145">
        <v>44938</v>
      </c>
      <c r="B5636" s="664" t="s">
        <v>2353</v>
      </c>
      <c r="C5636" s="71" t="s">
        <v>129</v>
      </c>
      <c r="D5636" s="71">
        <v>7</v>
      </c>
      <c r="E5636" s="102">
        <v>325000</v>
      </c>
      <c r="F5636" s="102">
        <f t="shared" si="2757"/>
        <v>2502500</v>
      </c>
      <c r="G5636" s="102">
        <f t="shared" si="2758"/>
        <v>2275000</v>
      </c>
      <c r="H5636" s="690" t="s">
        <v>142</v>
      </c>
      <c r="I5636" s="71" t="s">
        <v>179</v>
      </c>
      <c r="J5636" s="53">
        <f t="shared" si="2761"/>
        <v>636440</v>
      </c>
      <c r="K5636" s="63">
        <f t="shared" si="2756"/>
        <v>0.27975384615384613</v>
      </c>
      <c r="L5636" s="1212" t="s">
        <v>3665</v>
      </c>
      <c r="M5636" s="468" t="s">
        <v>2050</v>
      </c>
      <c r="N5636" s="1192">
        <f t="shared" si="2762"/>
        <v>44938</v>
      </c>
      <c r="O5636" s="71" t="s">
        <v>149</v>
      </c>
      <c r="P5636" s="103" t="str">
        <f t="shared" si="2759"/>
        <v>세정포-XL106</v>
      </c>
      <c r="Q5636" s="71">
        <f t="shared" si="2760"/>
        <v>7</v>
      </c>
      <c r="R5636" s="102">
        <v>234080</v>
      </c>
      <c r="S5636" s="102">
        <f t="shared" si="2763"/>
        <v>1802416.0000000002</v>
      </c>
      <c r="T5636" s="102">
        <f t="shared" si="2764"/>
        <v>1638560</v>
      </c>
      <c r="U5636" s="71" t="str">
        <f>IF(J5636=W5636,"O", "X")</f>
        <v>O</v>
      </c>
      <c r="V5636" s="71"/>
      <c r="W5636" s="474">
        <f>(G5636-T5636)</f>
        <v>636440</v>
      </c>
      <c r="X5636" s="71"/>
      <c r="Y5636" s="71"/>
    </row>
    <row r="5637" spans="1:25" s="209" customFormat="1" ht="30" hidden="1" customHeight="1" x14ac:dyDescent="0.25">
      <c r="A5637" s="1145">
        <v>44938</v>
      </c>
      <c r="B5637" s="664" t="s">
        <v>2353</v>
      </c>
      <c r="C5637" s="71" t="s">
        <v>138</v>
      </c>
      <c r="D5637" s="71">
        <v>10</v>
      </c>
      <c r="E5637" s="102">
        <v>83000</v>
      </c>
      <c r="F5637" s="102">
        <f t="shared" si="2757"/>
        <v>913000.00000000012</v>
      </c>
      <c r="G5637" s="102">
        <f t="shared" si="2758"/>
        <v>830000</v>
      </c>
      <c r="H5637" s="690" t="s">
        <v>142</v>
      </c>
      <c r="I5637" s="71" t="s">
        <v>179</v>
      </c>
      <c r="J5637" s="53">
        <f t="shared" si="2761"/>
        <v>422000</v>
      </c>
      <c r="K5637" s="63">
        <f t="shared" si="2756"/>
        <v>0.50843373493975896</v>
      </c>
      <c r="L5637" s="1212" t="s">
        <v>3665</v>
      </c>
      <c r="M5637" s="468" t="s">
        <v>2214</v>
      </c>
      <c r="N5637" s="1192">
        <f t="shared" si="2762"/>
        <v>44938</v>
      </c>
      <c r="O5637" s="71" t="s">
        <v>2030</v>
      </c>
      <c r="P5637" s="103" t="str">
        <f t="shared" si="2759"/>
        <v>매엽용 세척제(Wash 562)</v>
      </c>
      <c r="Q5637" s="71">
        <f t="shared" si="2760"/>
        <v>10</v>
      </c>
      <c r="R5637" s="102">
        <v>40800</v>
      </c>
      <c r="S5637" s="102">
        <f t="shared" si="2763"/>
        <v>448800.00000000006</v>
      </c>
      <c r="T5637" s="102">
        <f t="shared" si="2764"/>
        <v>408000</v>
      </c>
      <c r="U5637" s="71" t="s">
        <v>859</v>
      </c>
      <c r="V5637" s="71"/>
      <c r="W5637" s="474">
        <v>136000</v>
      </c>
      <c r="X5637" s="71"/>
      <c r="Y5637" s="71"/>
    </row>
    <row r="5638" spans="1:25" ht="30" hidden="1" customHeight="1" x14ac:dyDescent="0.25">
      <c r="A5638" s="1145">
        <v>44938</v>
      </c>
      <c r="B5638" s="664" t="s">
        <v>2353</v>
      </c>
      <c r="C5638" s="71" t="s">
        <v>584</v>
      </c>
      <c r="D5638" s="71">
        <v>4</v>
      </c>
      <c r="E5638" s="102">
        <v>270000</v>
      </c>
      <c r="F5638" s="102">
        <f>(E5638*D5638)*1.1</f>
        <v>1188000</v>
      </c>
      <c r="G5638" s="102">
        <f>(E5638*D5638)</f>
        <v>1080000</v>
      </c>
      <c r="H5638" s="690" t="s">
        <v>142</v>
      </c>
      <c r="I5638" s="71" t="s">
        <v>179</v>
      </c>
      <c r="J5638" s="53">
        <f t="shared" si="2761"/>
        <v>328000</v>
      </c>
      <c r="K5638" s="63">
        <f t="shared" si="2756"/>
        <v>0.3037037037037037</v>
      </c>
      <c r="L5638" s="1212" t="s">
        <v>3665</v>
      </c>
      <c r="M5638" s="468"/>
      <c r="N5638" s="1192">
        <f t="shared" si="2762"/>
        <v>44938</v>
      </c>
      <c r="O5638" s="71" t="s">
        <v>150</v>
      </c>
      <c r="P5638" s="103" t="str">
        <f t="shared" si="2759"/>
        <v>데리바리 석션벨트</v>
      </c>
      <c r="Q5638" s="71">
        <f t="shared" si="2760"/>
        <v>4</v>
      </c>
      <c r="R5638" s="102">
        <v>188000</v>
      </c>
      <c r="S5638" s="102">
        <f t="shared" si="2763"/>
        <v>827200.00000000012</v>
      </c>
      <c r="T5638" s="102">
        <f t="shared" si="2764"/>
        <v>752000</v>
      </c>
      <c r="U5638" s="71" t="str">
        <f>IF(J5638=W5638,"O", "X")</f>
        <v>O</v>
      </c>
      <c r="V5638" s="71"/>
      <c r="W5638" s="474">
        <f>(G5638-T5638)</f>
        <v>328000</v>
      </c>
      <c r="X5638" s="71"/>
      <c r="Y5638" s="71"/>
    </row>
    <row r="5639" spans="1:25" ht="30" hidden="1" customHeight="1" x14ac:dyDescent="0.25">
      <c r="A5639" s="1145">
        <v>44938</v>
      </c>
      <c r="B5639" s="664" t="s">
        <v>2353</v>
      </c>
      <c r="C5639" s="71" t="s">
        <v>123</v>
      </c>
      <c r="D5639" s="71">
        <v>4</v>
      </c>
      <c r="E5639" s="102">
        <v>50000</v>
      </c>
      <c r="F5639" s="102">
        <f>(E5639*D5639)*1.1</f>
        <v>220000.00000000003</v>
      </c>
      <c r="G5639" s="102">
        <f>(E5639*D5639)</f>
        <v>200000</v>
      </c>
      <c r="H5639" s="690" t="s">
        <v>142</v>
      </c>
      <c r="I5639" s="71" t="s">
        <v>179</v>
      </c>
      <c r="J5639" s="53">
        <f t="shared" si="2761"/>
        <v>104000</v>
      </c>
      <c r="K5639" s="63">
        <f t="shared" si="2756"/>
        <v>0.51999999999999991</v>
      </c>
      <c r="L5639" s="1212" t="s">
        <v>3665</v>
      </c>
      <c r="M5639" s="468" t="s">
        <v>3162</v>
      </c>
      <c r="N5639" s="1192">
        <f t="shared" si="2762"/>
        <v>44938</v>
      </c>
      <c r="O5639" s="71" t="s">
        <v>94</v>
      </c>
      <c r="P5639" s="103" t="str">
        <f t="shared" si="2759"/>
        <v>필터백</v>
      </c>
      <c r="Q5639" s="71">
        <f t="shared" si="2760"/>
        <v>4</v>
      </c>
      <c r="R5639" s="102">
        <v>24000</v>
      </c>
      <c r="S5639" s="102">
        <f t="shared" si="2763"/>
        <v>105600.00000000001</v>
      </c>
      <c r="T5639" s="102">
        <f t="shared" si="2764"/>
        <v>96000</v>
      </c>
      <c r="U5639" s="71"/>
      <c r="V5639" s="71"/>
      <c r="W5639" s="474"/>
      <c r="X5639" s="71"/>
      <c r="Y5639" s="71"/>
    </row>
    <row r="5640" spans="1:25" ht="30" hidden="1" customHeight="1" x14ac:dyDescent="0.25">
      <c r="A5640" s="1145">
        <v>44921</v>
      </c>
      <c r="B5640" s="664" t="s">
        <v>1060</v>
      </c>
      <c r="C5640" s="71" t="s">
        <v>3655</v>
      </c>
      <c r="D5640" s="71">
        <v>1000</v>
      </c>
      <c r="E5640" s="102">
        <v>5610</v>
      </c>
      <c r="F5640" s="102">
        <f t="shared" ref="F5640:F5651" si="2765">(E5640*D5640)*1.1</f>
        <v>6171000.0000000009</v>
      </c>
      <c r="G5640" s="102">
        <f t="shared" ref="G5640:G5651" si="2766">(E5640*D5640)</f>
        <v>5610000</v>
      </c>
      <c r="H5640" s="690" t="s">
        <v>36</v>
      </c>
      <c r="I5640" s="71" t="s">
        <v>2529</v>
      </c>
      <c r="J5640" s="53">
        <f t="shared" si="2761"/>
        <v>1727000</v>
      </c>
      <c r="K5640" s="63">
        <f t="shared" ref="K5640:K5656" si="2767">(J5640/(F5640/11*10))</f>
        <v>0.30784313725490192</v>
      </c>
      <c r="L5640" s="1212" t="s">
        <v>3665</v>
      </c>
      <c r="M5640" s="102" t="s">
        <v>3662</v>
      </c>
      <c r="N5640" s="1192">
        <f t="shared" ref="N5640:N5656" si="2768">A5640</f>
        <v>44921</v>
      </c>
      <c r="O5640" s="71" t="s">
        <v>150</v>
      </c>
      <c r="P5640" s="103" t="str">
        <f t="shared" si="2759"/>
        <v>Saphira CTP 판 1030 x 790</v>
      </c>
      <c r="Q5640" s="71">
        <f t="shared" si="2760"/>
        <v>1000</v>
      </c>
      <c r="R5640" s="102">
        <v>3883</v>
      </c>
      <c r="S5640" s="102">
        <f t="shared" si="2763"/>
        <v>4271300</v>
      </c>
      <c r="T5640" s="102">
        <f t="shared" si="2764"/>
        <v>3883000</v>
      </c>
      <c r="U5640" s="71" t="s">
        <v>859</v>
      </c>
      <c r="V5640" s="71"/>
      <c r="W5640" s="474">
        <v>942000</v>
      </c>
      <c r="X5640" s="71"/>
      <c r="Y5640" s="71"/>
    </row>
    <row r="5641" spans="1:25" ht="30" hidden="1" customHeight="1" x14ac:dyDescent="0.25">
      <c r="A5641" s="1145">
        <v>44921</v>
      </c>
      <c r="B5641" s="664" t="s">
        <v>2255</v>
      </c>
      <c r="C5641" s="71" t="s">
        <v>3656</v>
      </c>
      <c r="D5641" s="71">
        <v>2200</v>
      </c>
      <c r="E5641" s="102">
        <v>3550</v>
      </c>
      <c r="F5641" s="102">
        <f t="shared" si="2765"/>
        <v>8591000</v>
      </c>
      <c r="G5641" s="102">
        <f t="shared" si="2766"/>
        <v>7810000</v>
      </c>
      <c r="H5641" s="690" t="s">
        <v>36</v>
      </c>
      <c r="I5641" s="71" t="s">
        <v>2529</v>
      </c>
      <c r="J5641" s="53">
        <f t="shared" si="2761"/>
        <v>2417800</v>
      </c>
      <c r="K5641" s="63">
        <f t="shared" si="2767"/>
        <v>0.30957746478873238</v>
      </c>
      <c r="L5641" s="1212" t="s">
        <v>3665</v>
      </c>
      <c r="M5641" s="102" t="s">
        <v>3662</v>
      </c>
      <c r="N5641" s="1192">
        <f t="shared" si="2768"/>
        <v>44921</v>
      </c>
      <c r="O5641" s="71" t="s">
        <v>150</v>
      </c>
      <c r="P5641" s="103" t="str">
        <f t="shared" si="2759"/>
        <v>Saphira CTP 판 900 x 571</v>
      </c>
      <c r="Q5641" s="71">
        <f t="shared" si="2760"/>
        <v>2200</v>
      </c>
      <c r="R5641" s="102">
        <v>2451</v>
      </c>
      <c r="S5641" s="102">
        <f t="shared" si="2763"/>
        <v>5931420.0000000009</v>
      </c>
      <c r="T5641" s="102">
        <f t="shared" si="2764"/>
        <v>5392200</v>
      </c>
      <c r="U5641" s="71" t="s">
        <v>859</v>
      </c>
      <c r="V5641" s="71"/>
      <c r="W5641" s="474">
        <v>1274000</v>
      </c>
      <c r="X5641" s="71"/>
      <c r="Y5641" s="71"/>
    </row>
    <row r="5642" spans="1:25" ht="30" hidden="1" customHeight="1" x14ac:dyDescent="0.25">
      <c r="A5642" s="1145">
        <v>44921</v>
      </c>
      <c r="B5642" s="664" t="s">
        <v>2255</v>
      </c>
      <c r="C5642" s="71" t="s">
        <v>3657</v>
      </c>
      <c r="D5642" s="71">
        <v>2700</v>
      </c>
      <c r="E5642" s="102">
        <v>3350</v>
      </c>
      <c r="F5642" s="102">
        <f t="shared" si="2765"/>
        <v>9949500</v>
      </c>
      <c r="G5642" s="102">
        <f t="shared" si="2766"/>
        <v>9045000</v>
      </c>
      <c r="H5642" s="690" t="s">
        <v>36</v>
      </c>
      <c r="I5642" s="71" t="s">
        <v>2529</v>
      </c>
      <c r="J5642" s="53">
        <f t="shared" si="2761"/>
        <v>2762100</v>
      </c>
      <c r="K5642" s="63">
        <f t="shared" si="2767"/>
        <v>0.30537313432835822</v>
      </c>
      <c r="L5642" s="1212" t="s">
        <v>3665</v>
      </c>
      <c r="M5642" s="102" t="s">
        <v>3662</v>
      </c>
      <c r="N5642" s="1192">
        <f t="shared" si="2768"/>
        <v>44921</v>
      </c>
      <c r="O5642" s="71" t="s">
        <v>150</v>
      </c>
      <c r="P5642" s="103" t="str">
        <f t="shared" si="2759"/>
        <v>Saphira CTP 판 883 x 552</v>
      </c>
      <c r="Q5642" s="71">
        <f t="shared" si="2760"/>
        <v>2700</v>
      </c>
      <c r="R5642" s="102">
        <v>2327</v>
      </c>
      <c r="S5642" s="102">
        <f t="shared" si="2763"/>
        <v>6911190.0000000009</v>
      </c>
      <c r="T5642" s="102">
        <f t="shared" si="2764"/>
        <v>6282900</v>
      </c>
      <c r="U5642" s="71" t="s">
        <v>859</v>
      </c>
      <c r="V5642" s="71"/>
      <c r="W5642" s="474">
        <v>3325000</v>
      </c>
      <c r="X5642" s="71"/>
      <c r="Y5642" s="71"/>
    </row>
    <row r="5643" spans="1:25" ht="30" hidden="1" customHeight="1" x14ac:dyDescent="0.25">
      <c r="A5643" s="1145">
        <v>44921</v>
      </c>
      <c r="B5643" s="664" t="s">
        <v>2255</v>
      </c>
      <c r="C5643" s="71" t="s">
        <v>3658</v>
      </c>
      <c r="D5643" s="71">
        <v>1500</v>
      </c>
      <c r="E5643" s="102">
        <v>5700</v>
      </c>
      <c r="F5643" s="102">
        <f t="shared" si="2765"/>
        <v>9405000</v>
      </c>
      <c r="G5643" s="102">
        <f t="shared" si="2766"/>
        <v>8550000</v>
      </c>
      <c r="H5643" s="690" t="s">
        <v>36</v>
      </c>
      <c r="I5643" s="71" t="s">
        <v>2529</v>
      </c>
      <c r="J5643" s="53">
        <f t="shared" si="2761"/>
        <v>2649000</v>
      </c>
      <c r="K5643" s="63">
        <f t="shared" si="2767"/>
        <v>0.30982456140350878</v>
      </c>
      <c r="L5643" s="1212" t="s">
        <v>3665</v>
      </c>
      <c r="M5643" s="102" t="s">
        <v>3662</v>
      </c>
      <c r="N5643" s="1192">
        <f t="shared" si="2768"/>
        <v>44921</v>
      </c>
      <c r="O5643" s="71" t="s">
        <v>150</v>
      </c>
      <c r="P5643" s="103" t="str">
        <f t="shared" si="2759"/>
        <v>Saphira CTP 판 1030 x 800</v>
      </c>
      <c r="Q5643" s="71">
        <f t="shared" si="2760"/>
        <v>1500</v>
      </c>
      <c r="R5643" s="102">
        <v>3934</v>
      </c>
      <c r="S5643" s="102">
        <f t="shared" si="2763"/>
        <v>6491100.0000000009</v>
      </c>
      <c r="T5643" s="102">
        <f t="shared" si="2764"/>
        <v>5901000</v>
      </c>
      <c r="U5643" s="71" t="s">
        <v>859</v>
      </c>
      <c r="V5643" s="71"/>
      <c r="W5643" s="474">
        <v>636000</v>
      </c>
      <c r="X5643" s="71"/>
      <c r="Y5643" s="71"/>
    </row>
    <row r="5644" spans="1:25" ht="30" hidden="1" customHeight="1" x14ac:dyDescent="0.25">
      <c r="A5644" s="1145">
        <v>44921</v>
      </c>
      <c r="B5644" s="664" t="s">
        <v>2255</v>
      </c>
      <c r="C5644" s="71" t="s">
        <v>3659</v>
      </c>
      <c r="D5644" s="71">
        <v>1300</v>
      </c>
      <c r="E5644" s="102">
        <v>5900</v>
      </c>
      <c r="F5644" s="102">
        <f t="shared" si="2765"/>
        <v>8437000</v>
      </c>
      <c r="G5644" s="102">
        <f t="shared" si="2766"/>
        <v>7670000</v>
      </c>
      <c r="H5644" s="690" t="s">
        <v>36</v>
      </c>
      <c r="I5644" s="71" t="s">
        <v>2529</v>
      </c>
      <c r="J5644" s="53">
        <f t="shared" si="2761"/>
        <v>2368600</v>
      </c>
      <c r="K5644" s="63">
        <f t="shared" si="2767"/>
        <v>0.30881355932203391</v>
      </c>
      <c r="L5644" s="1212" t="s">
        <v>3665</v>
      </c>
      <c r="M5644" s="102" t="s">
        <v>3662</v>
      </c>
      <c r="N5644" s="1192">
        <f t="shared" si="2768"/>
        <v>44921</v>
      </c>
      <c r="O5644" s="71" t="s">
        <v>150</v>
      </c>
      <c r="P5644" s="103" t="str">
        <f t="shared" si="2759"/>
        <v>Saphira CTP 판 1055 x 811</v>
      </c>
      <c r="Q5644" s="71">
        <f t="shared" si="2760"/>
        <v>1300</v>
      </c>
      <c r="R5644" s="102">
        <v>4078</v>
      </c>
      <c r="S5644" s="102">
        <f t="shared" si="2763"/>
        <v>5831540.0000000009</v>
      </c>
      <c r="T5644" s="102">
        <f t="shared" si="2764"/>
        <v>5301400</v>
      </c>
      <c r="U5644" s="71" t="s">
        <v>859</v>
      </c>
      <c r="V5644" s="71"/>
      <c r="W5644" s="474">
        <v>1476000</v>
      </c>
      <c r="X5644" s="71"/>
      <c r="Y5644" s="71"/>
    </row>
    <row r="5645" spans="1:25" ht="30" hidden="1" customHeight="1" x14ac:dyDescent="0.25">
      <c r="A5645" s="1145">
        <v>44921</v>
      </c>
      <c r="B5645" s="664" t="s">
        <v>2255</v>
      </c>
      <c r="C5645" s="71" t="s">
        <v>3660</v>
      </c>
      <c r="D5645" s="71">
        <v>1000</v>
      </c>
      <c r="E5645" s="102">
        <v>4210</v>
      </c>
      <c r="F5645" s="102">
        <f t="shared" si="2765"/>
        <v>4631000</v>
      </c>
      <c r="G5645" s="102">
        <f t="shared" si="2766"/>
        <v>4210000</v>
      </c>
      <c r="H5645" s="690" t="s">
        <v>36</v>
      </c>
      <c r="I5645" s="71" t="s">
        <v>2529</v>
      </c>
      <c r="J5645" s="53">
        <f t="shared" si="2761"/>
        <v>1296000</v>
      </c>
      <c r="K5645" s="63">
        <f t="shared" si="2767"/>
        <v>0.30783847980997625</v>
      </c>
      <c r="L5645" s="1212" t="s">
        <v>3665</v>
      </c>
      <c r="M5645" s="102" t="s">
        <v>3662</v>
      </c>
      <c r="N5645" s="1192">
        <f t="shared" si="2768"/>
        <v>44921</v>
      </c>
      <c r="O5645" s="71" t="s">
        <v>150</v>
      </c>
      <c r="P5645" s="103" t="str">
        <f t="shared" si="2759"/>
        <v>Saphira CTP 판 968 x 631</v>
      </c>
      <c r="Q5645" s="71">
        <f t="shared" si="2760"/>
        <v>1000</v>
      </c>
      <c r="R5645" s="102">
        <v>2914</v>
      </c>
      <c r="S5645" s="102">
        <f t="shared" si="2763"/>
        <v>3205400.0000000005</v>
      </c>
      <c r="T5645" s="102">
        <f t="shared" si="2764"/>
        <v>2914000</v>
      </c>
      <c r="U5645" s="71" t="s">
        <v>859</v>
      </c>
      <c r="V5645" s="71"/>
      <c r="W5645" s="474">
        <v>1416000</v>
      </c>
      <c r="X5645" s="71"/>
      <c r="Y5645" s="71"/>
    </row>
    <row r="5646" spans="1:25" ht="30" hidden="1" customHeight="1" x14ac:dyDescent="0.25">
      <c r="A5646" s="1145">
        <v>44921</v>
      </c>
      <c r="B5646" s="664" t="s">
        <v>2255</v>
      </c>
      <c r="C5646" s="71" t="s">
        <v>3661</v>
      </c>
      <c r="D5646" s="71">
        <v>30</v>
      </c>
      <c r="E5646" s="102">
        <v>51040</v>
      </c>
      <c r="F5646" s="102">
        <f t="shared" si="2765"/>
        <v>1684320.0000000002</v>
      </c>
      <c r="G5646" s="102">
        <f t="shared" si="2766"/>
        <v>1531200</v>
      </c>
      <c r="H5646" s="690" t="s">
        <v>179</v>
      </c>
      <c r="I5646" s="71" t="s">
        <v>3405</v>
      </c>
      <c r="J5646" s="53">
        <f t="shared" si="2761"/>
        <v>341400</v>
      </c>
      <c r="K5646" s="63">
        <f t="shared" si="2767"/>
        <v>0.22296238244514102</v>
      </c>
      <c r="L5646" s="1212" t="s">
        <v>3665</v>
      </c>
      <c r="M5646" s="468"/>
      <c r="N5646" s="1192">
        <f t="shared" si="2768"/>
        <v>44921</v>
      </c>
      <c r="O5646" s="71" t="s">
        <v>194</v>
      </c>
      <c r="P5646" s="103" t="str">
        <f t="shared" si="2759"/>
        <v>사피라 현상액</v>
      </c>
      <c r="Q5646" s="71">
        <f t="shared" si="2760"/>
        <v>30</v>
      </c>
      <c r="R5646" s="102">
        <v>39660</v>
      </c>
      <c r="S5646" s="102">
        <f t="shared" si="2763"/>
        <v>1308780</v>
      </c>
      <c r="T5646" s="102">
        <f t="shared" si="2764"/>
        <v>1189800</v>
      </c>
      <c r="U5646" s="71" t="s">
        <v>859</v>
      </c>
      <c r="V5646" s="71"/>
      <c r="W5646" s="474">
        <v>978750</v>
      </c>
      <c r="X5646" s="71"/>
      <c r="Y5646" s="71"/>
    </row>
    <row r="5647" spans="1:25" ht="30" hidden="1" customHeight="1" x14ac:dyDescent="0.25">
      <c r="A5647" s="1145">
        <v>44921</v>
      </c>
      <c r="B5647" s="664" t="s">
        <v>2254</v>
      </c>
      <c r="C5647" s="71" t="s">
        <v>3319</v>
      </c>
      <c r="D5647" s="71">
        <v>400</v>
      </c>
      <c r="E5647" s="102">
        <v>6328</v>
      </c>
      <c r="F5647" s="102">
        <f t="shared" si="2765"/>
        <v>2784320</v>
      </c>
      <c r="G5647" s="102">
        <f t="shared" si="2766"/>
        <v>2531200</v>
      </c>
      <c r="H5647" s="690" t="s">
        <v>36</v>
      </c>
      <c r="I5647" s="71" t="s">
        <v>3320</v>
      </c>
      <c r="J5647" s="53">
        <f t="shared" si="2761"/>
        <v>191200</v>
      </c>
      <c r="K5647" s="63">
        <f t="shared" si="2767"/>
        <v>7.5537294563843241E-2</v>
      </c>
      <c r="L5647" s="1212" t="s">
        <v>3665</v>
      </c>
      <c r="M5647" s="468"/>
      <c r="N5647" s="1192">
        <f t="shared" si="2768"/>
        <v>44921</v>
      </c>
      <c r="O5647" s="71" t="s">
        <v>146</v>
      </c>
      <c r="P5647" s="103" t="str">
        <f t="shared" si="2759"/>
        <v>프리미어(먹)</v>
      </c>
      <c r="Q5647" s="71">
        <f t="shared" si="2760"/>
        <v>400</v>
      </c>
      <c r="R5647" s="102">
        <v>5850</v>
      </c>
      <c r="S5647" s="102">
        <f t="shared" si="2763"/>
        <v>2574000</v>
      </c>
      <c r="T5647" s="102">
        <f t="shared" si="2764"/>
        <v>2340000</v>
      </c>
      <c r="U5647" s="71" t="s">
        <v>859</v>
      </c>
      <c r="V5647" s="71"/>
      <c r="W5647" s="474">
        <v>411200</v>
      </c>
      <c r="X5647" s="71"/>
      <c r="Y5647" s="71"/>
    </row>
    <row r="5648" spans="1:25" ht="30" hidden="1" customHeight="1" x14ac:dyDescent="0.25">
      <c r="A5648" s="1145">
        <v>44921</v>
      </c>
      <c r="B5648" s="664" t="s">
        <v>2254</v>
      </c>
      <c r="C5648" s="71" t="s">
        <v>3321</v>
      </c>
      <c r="D5648" s="71">
        <v>600</v>
      </c>
      <c r="E5648" s="102">
        <v>6780</v>
      </c>
      <c r="F5648" s="102">
        <f t="shared" si="2765"/>
        <v>4474800</v>
      </c>
      <c r="G5648" s="102">
        <f t="shared" si="2766"/>
        <v>4068000</v>
      </c>
      <c r="H5648" s="690" t="s">
        <v>36</v>
      </c>
      <c r="I5648" s="71" t="s">
        <v>3320</v>
      </c>
      <c r="J5648" s="53">
        <f t="shared" si="2761"/>
        <v>300000</v>
      </c>
      <c r="K5648" s="63">
        <f t="shared" si="2767"/>
        <v>7.3746312684365781E-2</v>
      </c>
      <c r="L5648" s="1212" t="s">
        <v>3665</v>
      </c>
      <c r="M5648" s="468"/>
      <c r="N5648" s="1192">
        <f t="shared" si="2768"/>
        <v>44921</v>
      </c>
      <c r="O5648" s="71" t="s">
        <v>146</v>
      </c>
      <c r="P5648" s="103" t="str">
        <f t="shared" si="2759"/>
        <v>프리미어(적)</v>
      </c>
      <c r="Q5648" s="71">
        <f t="shared" si="2760"/>
        <v>600</v>
      </c>
      <c r="R5648" s="102">
        <v>6280</v>
      </c>
      <c r="S5648" s="102">
        <f t="shared" si="2763"/>
        <v>4144800.0000000005</v>
      </c>
      <c r="T5648" s="102">
        <f t="shared" si="2764"/>
        <v>3768000</v>
      </c>
      <c r="U5648" s="71" t="s">
        <v>859</v>
      </c>
      <c r="V5648" s="71"/>
      <c r="W5648" s="474">
        <v>292000</v>
      </c>
      <c r="X5648" s="71"/>
      <c r="Y5648" s="71"/>
    </row>
    <row r="5649" spans="1:25" ht="30" hidden="1" customHeight="1" x14ac:dyDescent="0.25">
      <c r="A5649" s="1145">
        <v>44921</v>
      </c>
      <c r="B5649" s="664" t="s">
        <v>2254</v>
      </c>
      <c r="C5649" s="71" t="s">
        <v>1289</v>
      </c>
      <c r="D5649" s="71">
        <v>800</v>
      </c>
      <c r="E5649" s="102">
        <v>6498</v>
      </c>
      <c r="F5649" s="102">
        <f t="shared" si="2765"/>
        <v>5718240</v>
      </c>
      <c r="G5649" s="102">
        <f t="shared" si="2766"/>
        <v>5198400</v>
      </c>
      <c r="H5649" s="690" t="s">
        <v>36</v>
      </c>
      <c r="I5649" s="71" t="s">
        <v>3320</v>
      </c>
      <c r="J5649" s="53">
        <f t="shared" si="2761"/>
        <v>382400</v>
      </c>
      <c r="K5649" s="63">
        <f t="shared" si="2767"/>
        <v>7.3561095721760547E-2</v>
      </c>
      <c r="L5649" s="1212" t="s">
        <v>3665</v>
      </c>
      <c r="M5649" s="468"/>
      <c r="N5649" s="1192">
        <f t="shared" si="2768"/>
        <v>44921</v>
      </c>
      <c r="O5649" s="71" t="s">
        <v>146</v>
      </c>
      <c r="P5649" s="103" t="str">
        <f t="shared" si="2759"/>
        <v>프리미어(황)</v>
      </c>
      <c r="Q5649" s="71">
        <f t="shared" si="2760"/>
        <v>800</v>
      </c>
      <c r="R5649" s="102">
        <v>6020</v>
      </c>
      <c r="S5649" s="102">
        <f t="shared" si="2763"/>
        <v>5297600</v>
      </c>
      <c r="T5649" s="102">
        <f t="shared" si="2764"/>
        <v>4816000</v>
      </c>
      <c r="U5649" s="71" t="s">
        <v>859</v>
      </c>
      <c r="V5649" s="71"/>
      <c r="W5649" s="474">
        <v>640800</v>
      </c>
      <c r="X5649" s="71"/>
      <c r="Y5649" s="71"/>
    </row>
    <row r="5650" spans="1:25" ht="30" hidden="1" customHeight="1" x14ac:dyDescent="0.25">
      <c r="A5650" s="1145">
        <v>44921</v>
      </c>
      <c r="B5650" s="664" t="s">
        <v>2254</v>
      </c>
      <c r="C5650" s="71" t="s">
        <v>1290</v>
      </c>
      <c r="D5650" s="71">
        <v>800</v>
      </c>
      <c r="E5650" s="102">
        <v>7910</v>
      </c>
      <c r="F5650" s="102">
        <f t="shared" si="2765"/>
        <v>6960800.0000000009</v>
      </c>
      <c r="G5650" s="102">
        <f t="shared" si="2766"/>
        <v>6328000</v>
      </c>
      <c r="H5650" s="690" t="s">
        <v>36</v>
      </c>
      <c r="I5650" s="71" t="s">
        <v>3320</v>
      </c>
      <c r="J5650" s="53">
        <f t="shared" si="2761"/>
        <v>480000</v>
      </c>
      <c r="K5650" s="63">
        <f t="shared" si="2767"/>
        <v>7.5853350189633365E-2</v>
      </c>
      <c r="L5650" s="1212" t="s">
        <v>3665</v>
      </c>
      <c r="M5650" s="468"/>
      <c r="N5650" s="1192">
        <f t="shared" si="2768"/>
        <v>44921</v>
      </c>
      <c r="O5650" s="71" t="s">
        <v>146</v>
      </c>
      <c r="P5650" s="103" t="str">
        <f t="shared" si="2759"/>
        <v>프리미어(청)</v>
      </c>
      <c r="Q5650" s="71">
        <f t="shared" si="2760"/>
        <v>800</v>
      </c>
      <c r="R5650" s="102">
        <v>7310</v>
      </c>
      <c r="S5650" s="102">
        <f t="shared" si="2763"/>
        <v>6432800.0000000009</v>
      </c>
      <c r="T5650" s="102">
        <f t="shared" si="2764"/>
        <v>5848000</v>
      </c>
      <c r="U5650" s="71" t="s">
        <v>859</v>
      </c>
      <c r="V5650" s="71"/>
      <c r="W5650" s="474">
        <v>846000</v>
      </c>
      <c r="X5650" s="71"/>
      <c r="Y5650" s="71"/>
    </row>
    <row r="5651" spans="1:25" ht="30" hidden="1" customHeight="1" x14ac:dyDescent="0.25">
      <c r="A5651" s="1145">
        <v>44921</v>
      </c>
      <c r="B5651" s="664" t="s">
        <v>2254</v>
      </c>
      <c r="C5651" s="71" t="s">
        <v>3322</v>
      </c>
      <c r="D5651" s="71">
        <v>0</v>
      </c>
      <c r="E5651" s="102">
        <v>7150</v>
      </c>
      <c r="F5651" s="102">
        <f t="shared" si="2765"/>
        <v>0</v>
      </c>
      <c r="G5651" s="102">
        <f t="shared" si="2766"/>
        <v>0</v>
      </c>
      <c r="H5651" s="690" t="s">
        <v>36</v>
      </c>
      <c r="I5651" s="71" t="s">
        <v>3320</v>
      </c>
      <c r="J5651" s="53">
        <f t="shared" si="2761"/>
        <v>0</v>
      </c>
      <c r="K5651" s="63" t="e">
        <f t="shared" si="2767"/>
        <v>#DIV/0!</v>
      </c>
      <c r="L5651" s="1212" t="s">
        <v>3665</v>
      </c>
      <c r="M5651" s="468"/>
      <c r="N5651" s="1192">
        <f t="shared" si="2768"/>
        <v>44921</v>
      </c>
      <c r="O5651" s="71" t="s">
        <v>3323</v>
      </c>
      <c r="P5651" s="103" t="str">
        <f t="shared" si="2759"/>
        <v>한특 잉크(적)</v>
      </c>
      <c r="Q5651" s="71">
        <f t="shared" si="2760"/>
        <v>0</v>
      </c>
      <c r="R5651" s="102">
        <v>6500</v>
      </c>
      <c r="S5651" s="102">
        <f t="shared" si="2763"/>
        <v>0</v>
      </c>
      <c r="T5651" s="102">
        <f t="shared" si="2764"/>
        <v>0</v>
      </c>
      <c r="U5651" s="71" t="s">
        <v>859</v>
      </c>
      <c r="V5651" s="71"/>
      <c r="W5651" s="474">
        <v>0</v>
      </c>
      <c r="X5651" s="71"/>
      <c r="Y5651" s="71"/>
    </row>
    <row r="5652" spans="1:25" ht="30" hidden="1" customHeight="1" x14ac:dyDescent="0.25">
      <c r="A5652" s="1145">
        <v>44921</v>
      </c>
      <c r="B5652" s="664" t="s">
        <v>2254</v>
      </c>
      <c r="C5652" s="71" t="s">
        <v>3324</v>
      </c>
      <c r="D5652" s="71">
        <v>0</v>
      </c>
      <c r="E5652" s="102">
        <v>6900</v>
      </c>
      <c r="F5652" s="102">
        <v>0</v>
      </c>
      <c r="G5652" s="102">
        <v>0</v>
      </c>
      <c r="H5652" s="690" t="s">
        <v>36</v>
      </c>
      <c r="I5652" s="71" t="s">
        <v>3320</v>
      </c>
      <c r="J5652" s="53">
        <f t="shared" si="2761"/>
        <v>0</v>
      </c>
      <c r="K5652" s="63" t="e">
        <f t="shared" si="2767"/>
        <v>#DIV/0!</v>
      </c>
      <c r="L5652" s="1212" t="s">
        <v>3665</v>
      </c>
      <c r="M5652" s="468"/>
      <c r="N5652" s="1192">
        <f t="shared" si="2768"/>
        <v>44921</v>
      </c>
      <c r="O5652" s="71" t="s">
        <v>3323</v>
      </c>
      <c r="P5652" s="103" t="str">
        <f t="shared" si="2759"/>
        <v>한특 잉크(황)</v>
      </c>
      <c r="Q5652" s="71">
        <f t="shared" si="2760"/>
        <v>0</v>
      </c>
      <c r="R5652" s="102">
        <v>6200</v>
      </c>
      <c r="S5652" s="102">
        <f t="shared" si="2763"/>
        <v>0</v>
      </c>
      <c r="T5652" s="102">
        <f t="shared" si="2764"/>
        <v>0</v>
      </c>
      <c r="U5652" s="71" t="s">
        <v>859</v>
      </c>
      <c r="V5652" s="71"/>
      <c r="W5652" s="474">
        <v>0</v>
      </c>
      <c r="X5652" s="71"/>
      <c r="Y5652" s="71"/>
    </row>
    <row r="5653" spans="1:25" ht="28.5" hidden="1" customHeight="1" x14ac:dyDescent="0.25">
      <c r="A5653" s="1145">
        <v>44921</v>
      </c>
      <c r="B5653" s="664" t="s">
        <v>2254</v>
      </c>
      <c r="C5653" s="71" t="s">
        <v>3325</v>
      </c>
      <c r="D5653" s="71">
        <v>0</v>
      </c>
      <c r="E5653" s="102">
        <v>7500</v>
      </c>
      <c r="F5653" s="102">
        <v>0</v>
      </c>
      <c r="G5653" s="102">
        <v>0</v>
      </c>
      <c r="H5653" s="690" t="s">
        <v>36</v>
      </c>
      <c r="I5653" s="71" t="s">
        <v>3320</v>
      </c>
      <c r="J5653" s="53">
        <f t="shared" si="2761"/>
        <v>0</v>
      </c>
      <c r="K5653" s="63" t="e">
        <f t="shared" si="2767"/>
        <v>#DIV/0!</v>
      </c>
      <c r="L5653" s="1212" t="s">
        <v>3665</v>
      </c>
      <c r="M5653" s="468"/>
      <c r="N5653" s="1192">
        <f t="shared" si="2768"/>
        <v>44921</v>
      </c>
      <c r="O5653" s="71" t="s">
        <v>3323</v>
      </c>
      <c r="P5653" s="103" t="str">
        <f t="shared" si="2759"/>
        <v>한특 잉크(청)</v>
      </c>
      <c r="Q5653" s="71">
        <f t="shared" si="2760"/>
        <v>0</v>
      </c>
      <c r="R5653" s="102">
        <v>6600</v>
      </c>
      <c r="S5653" s="102">
        <f t="shared" si="2763"/>
        <v>0</v>
      </c>
      <c r="T5653" s="102">
        <f t="shared" si="2764"/>
        <v>0</v>
      </c>
      <c r="U5653" s="71" t="s">
        <v>859</v>
      </c>
      <c r="V5653" s="71"/>
      <c r="W5653" s="474">
        <v>0</v>
      </c>
      <c r="X5653" s="71"/>
      <c r="Y5653" s="71"/>
    </row>
    <row r="5654" spans="1:25" ht="30" hidden="1" customHeight="1" x14ac:dyDescent="0.25">
      <c r="A5654" s="1145">
        <v>44921</v>
      </c>
      <c r="B5654" s="664" t="s">
        <v>2254</v>
      </c>
      <c r="C5654" s="71" t="s">
        <v>3326</v>
      </c>
      <c r="D5654" s="71">
        <v>0</v>
      </c>
      <c r="E5654" s="102">
        <v>6450</v>
      </c>
      <c r="F5654" s="102">
        <v>0</v>
      </c>
      <c r="G5654" s="102">
        <v>0</v>
      </c>
      <c r="H5654" s="690" t="s">
        <v>36</v>
      </c>
      <c r="I5654" s="71" t="s">
        <v>3320</v>
      </c>
      <c r="J5654" s="53">
        <f t="shared" si="2761"/>
        <v>0</v>
      </c>
      <c r="K5654" s="63" t="e">
        <f t="shared" si="2767"/>
        <v>#DIV/0!</v>
      </c>
      <c r="L5654" s="1212" t="s">
        <v>3665</v>
      </c>
      <c r="M5654" s="468"/>
      <c r="N5654" s="1192">
        <f t="shared" si="2768"/>
        <v>44921</v>
      </c>
      <c r="O5654" s="71" t="s">
        <v>3323</v>
      </c>
      <c r="P5654" s="103" t="str">
        <f t="shared" si="2759"/>
        <v>한특 잉크(먹)</v>
      </c>
      <c r="Q5654" s="71">
        <f t="shared" si="2760"/>
        <v>0</v>
      </c>
      <c r="R5654" s="102">
        <v>5700</v>
      </c>
      <c r="S5654" s="102">
        <f t="shared" si="2763"/>
        <v>0</v>
      </c>
      <c r="T5654" s="102">
        <f t="shared" si="2764"/>
        <v>0</v>
      </c>
      <c r="U5654" s="71" t="s">
        <v>859</v>
      </c>
      <c r="V5654" s="71"/>
      <c r="W5654" s="474">
        <v>0</v>
      </c>
      <c r="X5654" s="71"/>
      <c r="Y5654" s="71"/>
    </row>
    <row r="5655" spans="1:25" ht="30" hidden="1" customHeight="1" x14ac:dyDescent="0.25">
      <c r="A5655" s="1145">
        <v>44921</v>
      </c>
      <c r="B5655" s="664" t="s">
        <v>443</v>
      </c>
      <c r="C5655" s="71" t="s">
        <v>3392</v>
      </c>
      <c r="D5655" s="71">
        <v>8</v>
      </c>
      <c r="E5655" s="102">
        <v>218000</v>
      </c>
      <c r="F5655" s="102">
        <f t="shared" ref="F5655:F5661" si="2769">(E5655*D5655)*1.1</f>
        <v>1918400.0000000002</v>
      </c>
      <c r="G5655" s="102">
        <f t="shared" ref="G5655:G5660" si="2770">(E5655*D5655)</f>
        <v>1744000</v>
      </c>
      <c r="H5655" s="690" t="s">
        <v>172</v>
      </c>
      <c r="I5655" s="71" t="s">
        <v>184</v>
      </c>
      <c r="J5655" s="53">
        <f t="shared" si="2761"/>
        <v>464000</v>
      </c>
      <c r="K5655" s="63">
        <f t="shared" si="2767"/>
        <v>0.26605504587155959</v>
      </c>
      <c r="L5655" s="1212" t="s">
        <v>3665</v>
      </c>
      <c r="M5655" s="468" t="s">
        <v>3393</v>
      </c>
      <c r="N5655" s="1192">
        <f t="shared" si="2768"/>
        <v>44921</v>
      </c>
      <c r="O5655" s="71" t="s">
        <v>2030</v>
      </c>
      <c r="P5655" s="103" t="str">
        <f t="shared" si="2759"/>
        <v>윤전 블랑켓</v>
      </c>
      <c r="Q5655" s="71">
        <f t="shared" si="2760"/>
        <v>8</v>
      </c>
      <c r="R5655" s="102">
        <v>160000</v>
      </c>
      <c r="S5655" s="102">
        <f t="shared" si="2763"/>
        <v>1408000</v>
      </c>
      <c r="T5655" s="102">
        <f t="shared" si="2764"/>
        <v>1280000</v>
      </c>
      <c r="U5655" s="71" t="s">
        <v>859</v>
      </c>
      <c r="V5655" s="71" t="s">
        <v>3394</v>
      </c>
      <c r="W5655" s="474">
        <v>464000</v>
      </c>
      <c r="X5655" s="71"/>
      <c r="Y5655" s="71"/>
    </row>
    <row r="5656" spans="1:25" ht="30" hidden="1" customHeight="1" x14ac:dyDescent="0.25">
      <c r="A5656" s="1145">
        <v>44948</v>
      </c>
      <c r="B5656" s="664" t="s">
        <v>443</v>
      </c>
      <c r="C5656" s="71" t="s">
        <v>3654</v>
      </c>
      <c r="D5656" s="71">
        <v>1</v>
      </c>
      <c r="E5656" s="102">
        <v>2350000</v>
      </c>
      <c r="F5656" s="102">
        <f t="shared" si="2769"/>
        <v>2585000</v>
      </c>
      <c r="G5656" s="102">
        <f t="shared" si="2770"/>
        <v>2350000</v>
      </c>
      <c r="H5656" s="690" t="s">
        <v>179</v>
      </c>
      <c r="I5656" s="690" t="s">
        <v>179</v>
      </c>
      <c r="J5656" s="53">
        <f t="shared" si="2761"/>
        <v>600000</v>
      </c>
      <c r="K5656" s="63">
        <f t="shared" si="2767"/>
        <v>0.25531914893617019</v>
      </c>
      <c r="L5656" s="1212" t="s">
        <v>3665</v>
      </c>
      <c r="M5656" s="468"/>
      <c r="N5656" s="1192">
        <f t="shared" si="2768"/>
        <v>44948</v>
      </c>
      <c r="O5656" s="71" t="s">
        <v>194</v>
      </c>
      <c r="P5656" s="103" t="str">
        <f t="shared" si="2759"/>
        <v>1월분 Apogee 사용료</v>
      </c>
      <c r="Q5656" s="71">
        <f t="shared" si="2760"/>
        <v>1</v>
      </c>
      <c r="R5656" s="147">
        <v>1750000</v>
      </c>
      <c r="S5656" s="102">
        <f t="shared" si="2763"/>
        <v>1925000.0000000002</v>
      </c>
      <c r="T5656" s="102">
        <f t="shared" si="2764"/>
        <v>1750000</v>
      </c>
      <c r="U5656" s="71"/>
      <c r="V5656" s="71"/>
      <c r="W5656" s="474"/>
      <c r="X5656" s="71"/>
      <c r="Y5656" s="71"/>
    </row>
    <row r="5657" spans="1:25" ht="30" hidden="1" customHeight="1" x14ac:dyDescent="0.25">
      <c r="A5657" s="1145">
        <v>44928</v>
      </c>
      <c r="B5657" s="664" t="s">
        <v>18</v>
      </c>
      <c r="C5657" s="71" t="s">
        <v>2070</v>
      </c>
      <c r="D5657" s="71">
        <v>10</v>
      </c>
      <c r="E5657" s="102">
        <v>115000</v>
      </c>
      <c r="F5657" s="102">
        <f t="shared" si="2769"/>
        <v>1265000</v>
      </c>
      <c r="G5657" s="102">
        <f t="shared" si="2770"/>
        <v>1150000</v>
      </c>
      <c r="H5657" s="690" t="s">
        <v>172</v>
      </c>
      <c r="I5657" s="71" t="s">
        <v>33</v>
      </c>
      <c r="J5657" s="53">
        <f t="shared" ref="J5657:J5664" si="2771">G5657-T5657</f>
        <v>168000</v>
      </c>
      <c r="K5657" s="63">
        <v>0.10555555555555554</v>
      </c>
      <c r="L5657" s="1212" t="s">
        <v>3665</v>
      </c>
      <c r="M5657" s="468"/>
      <c r="N5657" s="1192">
        <f t="shared" ref="N5657:N5664" si="2772">A5657</f>
        <v>44928</v>
      </c>
      <c r="O5657" s="71" t="s">
        <v>146</v>
      </c>
      <c r="P5657" s="103" t="str">
        <f t="shared" ref="P5657:P5664" si="2773">(C5657)</f>
        <v>Blanket(1050*840)</v>
      </c>
      <c r="Q5657" s="71">
        <f>D5657</f>
        <v>10</v>
      </c>
      <c r="R5657" s="102">
        <v>98200</v>
      </c>
      <c r="S5657" s="102">
        <f t="shared" ref="S5657:S5664" si="2774">R5657*Q5657*1.1</f>
        <v>1080200</v>
      </c>
      <c r="T5657" s="102">
        <f t="shared" ref="T5657:T5664" si="2775">R5657*Q5657</f>
        <v>982000</v>
      </c>
      <c r="U5657" s="71" t="s">
        <v>859</v>
      </c>
      <c r="V5657" s="71"/>
      <c r="W5657" s="474"/>
      <c r="X5657" s="71"/>
      <c r="Y5657" s="71"/>
    </row>
    <row r="5658" spans="1:25" ht="30" hidden="1" customHeight="1" x14ac:dyDescent="0.25">
      <c r="A5658" s="1145">
        <v>44928</v>
      </c>
      <c r="B5658" s="664" t="s">
        <v>548</v>
      </c>
      <c r="C5658" s="71" t="s">
        <v>3384</v>
      </c>
      <c r="D5658" s="71">
        <v>300</v>
      </c>
      <c r="E5658" s="102">
        <v>450</v>
      </c>
      <c r="F5658" s="102">
        <f t="shared" si="2769"/>
        <v>148500</v>
      </c>
      <c r="G5658" s="102">
        <f t="shared" si="2770"/>
        <v>135000</v>
      </c>
      <c r="H5658" s="690" t="s">
        <v>2029</v>
      </c>
      <c r="I5658" s="71" t="s">
        <v>3385</v>
      </c>
      <c r="J5658" s="53">
        <f t="shared" si="2771"/>
        <v>39000</v>
      </c>
      <c r="K5658" s="63">
        <f t="shared" ref="K5658:K5664" si="2776">(J5658/(F5658/11*10))</f>
        <v>0.28888888888888886</v>
      </c>
      <c r="L5658" s="1212" t="s">
        <v>3665</v>
      </c>
      <c r="M5658" s="468"/>
      <c r="N5658" s="1192">
        <f t="shared" si="2772"/>
        <v>44928</v>
      </c>
      <c r="O5658" s="71" t="s">
        <v>2030</v>
      </c>
      <c r="P5658" s="103" t="str">
        <f t="shared" si="2773"/>
        <v>고무사카 빨간색</v>
      </c>
      <c r="Q5658" s="71">
        <f>D5658</f>
        <v>300</v>
      </c>
      <c r="R5658" s="102">
        <v>320</v>
      </c>
      <c r="S5658" s="102">
        <f t="shared" si="2774"/>
        <v>105600.00000000001</v>
      </c>
      <c r="T5658" s="102">
        <f t="shared" si="2775"/>
        <v>96000</v>
      </c>
      <c r="U5658" s="71"/>
      <c r="V5658" s="71"/>
      <c r="W5658" s="474"/>
      <c r="X5658" s="71"/>
      <c r="Y5658" s="71"/>
    </row>
    <row r="5659" spans="1:25" ht="30" hidden="1" customHeight="1" x14ac:dyDescent="0.25">
      <c r="A5659" s="1145">
        <v>44928</v>
      </c>
      <c r="B5659" s="664" t="s">
        <v>548</v>
      </c>
      <c r="C5659" s="71" t="s">
        <v>3382</v>
      </c>
      <c r="D5659" s="71">
        <v>1</v>
      </c>
      <c r="E5659" s="102">
        <v>168000</v>
      </c>
      <c r="F5659" s="102">
        <f t="shared" si="2769"/>
        <v>184800.00000000003</v>
      </c>
      <c r="G5659" s="102">
        <f t="shared" si="2770"/>
        <v>168000</v>
      </c>
      <c r="H5659" s="690" t="s">
        <v>2029</v>
      </c>
      <c r="I5659" s="71" t="s">
        <v>180</v>
      </c>
      <c r="J5659" s="53">
        <f t="shared" si="2771"/>
        <v>54000</v>
      </c>
      <c r="K5659" s="63">
        <f t="shared" si="2776"/>
        <v>0.3214285714285714</v>
      </c>
      <c r="L5659" s="1212" t="s">
        <v>3665</v>
      </c>
      <c r="M5659" s="468"/>
      <c r="N5659" s="1192">
        <f t="shared" si="2772"/>
        <v>44928</v>
      </c>
      <c r="O5659" s="71" t="s">
        <v>3383</v>
      </c>
      <c r="P5659" s="164" t="str">
        <f t="shared" si="2773"/>
        <v>판 클리너(12개)</v>
      </c>
      <c r="Q5659" s="71">
        <f>D5659</f>
        <v>1</v>
      </c>
      <c r="R5659" s="102">
        <v>114000</v>
      </c>
      <c r="S5659" s="102">
        <f t="shared" si="2774"/>
        <v>125400.00000000001</v>
      </c>
      <c r="T5659" s="102">
        <f t="shared" si="2775"/>
        <v>114000</v>
      </c>
      <c r="U5659" s="71" t="str">
        <f>IF(J5659=W5659,"O", "X")</f>
        <v>X</v>
      </c>
      <c r="V5659" s="71"/>
      <c r="W5659" s="474"/>
      <c r="X5659" s="71"/>
      <c r="Y5659" s="71"/>
    </row>
    <row r="5660" spans="1:25" ht="30" hidden="1" customHeight="1" x14ac:dyDescent="0.25">
      <c r="A5660" s="1145">
        <v>44942</v>
      </c>
      <c r="B5660" s="664" t="s">
        <v>18</v>
      </c>
      <c r="C5660" s="71" t="s">
        <v>3305</v>
      </c>
      <c r="D5660" s="71">
        <v>20</v>
      </c>
      <c r="E5660" s="102">
        <v>86000</v>
      </c>
      <c r="F5660" s="102">
        <f t="shared" si="2769"/>
        <v>1892000.0000000002</v>
      </c>
      <c r="G5660" s="102">
        <f t="shared" si="2770"/>
        <v>1720000</v>
      </c>
      <c r="H5660" s="690" t="s">
        <v>172</v>
      </c>
      <c r="I5660" s="71" t="s">
        <v>3295</v>
      </c>
      <c r="J5660" s="53">
        <f t="shared" si="2771"/>
        <v>520000</v>
      </c>
      <c r="K5660" s="63">
        <f t="shared" si="2776"/>
        <v>0.30232558139534882</v>
      </c>
      <c r="L5660" s="1212" t="s">
        <v>3665</v>
      </c>
      <c r="M5660" s="468" t="s">
        <v>3306</v>
      </c>
      <c r="N5660" s="1192">
        <f t="shared" si="2772"/>
        <v>44942</v>
      </c>
      <c r="O5660" s="71" t="s">
        <v>146</v>
      </c>
      <c r="P5660" s="103" t="str">
        <f t="shared" si="2773"/>
        <v>파우더</v>
      </c>
      <c r="Q5660" s="71">
        <f>D5660</f>
        <v>20</v>
      </c>
      <c r="R5660" s="102">
        <v>60000</v>
      </c>
      <c r="S5660" s="102">
        <f t="shared" si="2774"/>
        <v>1320000</v>
      </c>
      <c r="T5660" s="102">
        <f t="shared" si="2775"/>
        <v>1200000</v>
      </c>
      <c r="U5660" s="71" t="str">
        <f>IF(J5660=W5660,"O", "X")</f>
        <v>X</v>
      </c>
      <c r="V5660" s="71"/>
      <c r="W5660" s="474"/>
      <c r="X5660" s="71"/>
      <c r="Y5660" s="71"/>
    </row>
    <row r="5661" spans="1:25" ht="30" hidden="1" customHeight="1" x14ac:dyDescent="0.2">
      <c r="A5661" s="1145">
        <v>44942</v>
      </c>
      <c r="B5661" s="664" t="s">
        <v>548</v>
      </c>
      <c r="C5661" s="71" t="s">
        <v>236</v>
      </c>
      <c r="D5661" s="71">
        <v>2</v>
      </c>
      <c r="E5661" s="102">
        <v>100000</v>
      </c>
      <c r="F5661" s="163">
        <f t="shared" si="2769"/>
        <v>220000.00000000003</v>
      </c>
      <c r="G5661" s="102">
        <f t="shared" ref="G5661:G5676" si="2777">(E5661*D5661)</f>
        <v>200000</v>
      </c>
      <c r="H5661" s="690" t="s">
        <v>173</v>
      </c>
      <c r="I5661" s="71" t="s">
        <v>2231</v>
      </c>
      <c r="J5661" s="53">
        <f t="shared" si="2771"/>
        <v>80000</v>
      </c>
      <c r="K5661" s="63">
        <f t="shared" si="2776"/>
        <v>0.39999999999999997</v>
      </c>
      <c r="L5661" s="1212" t="s">
        <v>3665</v>
      </c>
      <c r="M5661" s="468"/>
      <c r="N5661" s="1192">
        <f t="shared" si="2772"/>
        <v>44942</v>
      </c>
      <c r="O5661" s="71" t="s">
        <v>3021</v>
      </c>
      <c r="P5661" s="164" t="str">
        <f t="shared" si="2773"/>
        <v>아스테이지(국전)</v>
      </c>
      <c r="Q5661" s="71">
        <f t="shared" ref="Q5661:Q5676" si="2778">D5661</f>
        <v>2</v>
      </c>
      <c r="R5661" s="102">
        <v>60000</v>
      </c>
      <c r="S5661" s="102">
        <f t="shared" si="2774"/>
        <v>132000</v>
      </c>
      <c r="T5661" s="102">
        <f t="shared" si="2775"/>
        <v>120000</v>
      </c>
      <c r="U5661" s="71" t="str">
        <f>IF(J5661=W5661,"O", "X")</f>
        <v>X</v>
      </c>
      <c r="V5661" s="71"/>
      <c r="W5661" s="474"/>
      <c r="X5661" s="71"/>
      <c r="Y5661" s="71"/>
    </row>
    <row r="5662" spans="1:25" ht="30" hidden="1" customHeight="1" x14ac:dyDescent="0.25">
      <c r="A5662" s="1145">
        <v>44942</v>
      </c>
      <c r="B5662" s="664" t="s">
        <v>548</v>
      </c>
      <c r="C5662" s="71" t="s">
        <v>3382</v>
      </c>
      <c r="D5662" s="71">
        <v>1</v>
      </c>
      <c r="E5662" s="102">
        <v>168000</v>
      </c>
      <c r="F5662" s="102">
        <f t="shared" ref="F5662:F5676" si="2779">(E5662*D5662)*1.1</f>
        <v>184800.00000000003</v>
      </c>
      <c r="G5662" s="102">
        <f t="shared" si="2777"/>
        <v>168000</v>
      </c>
      <c r="H5662" s="690" t="s">
        <v>2029</v>
      </c>
      <c r="I5662" s="71" t="s">
        <v>180</v>
      </c>
      <c r="J5662" s="53">
        <f t="shared" si="2771"/>
        <v>54000</v>
      </c>
      <c r="K5662" s="63">
        <f t="shared" si="2776"/>
        <v>0.3214285714285714</v>
      </c>
      <c r="L5662" s="1212" t="s">
        <v>3665</v>
      </c>
      <c r="M5662" s="468"/>
      <c r="N5662" s="1192">
        <f t="shared" si="2772"/>
        <v>44942</v>
      </c>
      <c r="O5662" s="71" t="s">
        <v>3383</v>
      </c>
      <c r="P5662" s="164" t="str">
        <f t="shared" si="2773"/>
        <v>판 클리너(12개)</v>
      </c>
      <c r="Q5662" s="71">
        <f t="shared" si="2778"/>
        <v>1</v>
      </c>
      <c r="R5662" s="102">
        <v>114000</v>
      </c>
      <c r="S5662" s="102">
        <f t="shared" si="2774"/>
        <v>125400.00000000001</v>
      </c>
      <c r="T5662" s="102">
        <f t="shared" si="2775"/>
        <v>114000</v>
      </c>
      <c r="U5662" s="71" t="str">
        <f>IF(J5662=W5662,"O", "X")</f>
        <v>X</v>
      </c>
      <c r="V5662" s="71"/>
      <c r="W5662" s="474"/>
      <c r="X5662" s="71"/>
      <c r="Y5662" s="71"/>
    </row>
    <row r="5663" spans="1:25" ht="30" hidden="1" customHeight="1" x14ac:dyDescent="0.25">
      <c r="A5663" s="1145">
        <v>44953</v>
      </c>
      <c r="B5663" s="664" t="s">
        <v>444</v>
      </c>
      <c r="C5663" s="71" t="s">
        <v>3399</v>
      </c>
      <c r="D5663" s="71">
        <v>5</v>
      </c>
      <c r="E5663" s="102">
        <v>195000</v>
      </c>
      <c r="F5663" s="102">
        <f t="shared" si="2779"/>
        <v>1072500</v>
      </c>
      <c r="G5663" s="102">
        <f t="shared" si="2777"/>
        <v>975000</v>
      </c>
      <c r="H5663" s="690" t="s">
        <v>2029</v>
      </c>
      <c r="I5663" s="71" t="s">
        <v>180</v>
      </c>
      <c r="J5663" s="53">
        <f t="shared" si="2771"/>
        <v>325000</v>
      </c>
      <c r="K5663" s="63">
        <f t="shared" si="2776"/>
        <v>0.33333333333333331</v>
      </c>
      <c r="L5663" s="1212" t="s">
        <v>3665</v>
      </c>
      <c r="M5663" s="468"/>
      <c r="N5663" s="1192">
        <f t="shared" si="2772"/>
        <v>44953</v>
      </c>
      <c r="O5663" s="71" t="s">
        <v>191</v>
      </c>
      <c r="P5663" s="103" t="str">
        <f t="shared" si="2773"/>
        <v>UV wash offset UV</v>
      </c>
      <c r="Q5663" s="71">
        <f t="shared" si="2778"/>
        <v>5</v>
      </c>
      <c r="R5663" s="102">
        <v>130000</v>
      </c>
      <c r="S5663" s="102">
        <f t="shared" si="2774"/>
        <v>715000</v>
      </c>
      <c r="T5663" s="102">
        <f t="shared" si="2775"/>
        <v>650000</v>
      </c>
      <c r="U5663" s="71"/>
      <c r="V5663" s="71"/>
      <c r="W5663" s="474"/>
      <c r="X5663" s="71"/>
      <c r="Y5663" s="71"/>
    </row>
    <row r="5664" spans="1:25" ht="30" hidden="1" customHeight="1" x14ac:dyDescent="0.25">
      <c r="A5664" s="1145">
        <v>44953</v>
      </c>
      <c r="B5664" s="664" t="s">
        <v>545</v>
      </c>
      <c r="C5664" s="71" t="s">
        <v>3663</v>
      </c>
      <c r="D5664" s="71">
        <v>2</v>
      </c>
      <c r="E5664" s="102">
        <v>700000</v>
      </c>
      <c r="F5664" s="102">
        <f t="shared" si="2779"/>
        <v>1540000.0000000002</v>
      </c>
      <c r="G5664" s="102">
        <f t="shared" si="2777"/>
        <v>1400000</v>
      </c>
      <c r="H5664" s="690" t="s">
        <v>2029</v>
      </c>
      <c r="I5664" s="71" t="s">
        <v>3385</v>
      </c>
      <c r="J5664" s="53">
        <f t="shared" si="2771"/>
        <v>200000</v>
      </c>
      <c r="K5664" s="63">
        <f t="shared" si="2776"/>
        <v>0.14285714285714282</v>
      </c>
      <c r="L5664" s="1212" t="s">
        <v>3665</v>
      </c>
      <c r="M5664" s="102"/>
      <c r="N5664" s="1192">
        <f t="shared" si="2772"/>
        <v>44953</v>
      </c>
      <c r="O5664" s="71" t="s">
        <v>150</v>
      </c>
      <c r="P5664" s="103" t="str">
        <f t="shared" si="2773"/>
        <v>닥터 블레이드 XL용</v>
      </c>
      <c r="Q5664" s="71">
        <f t="shared" si="2778"/>
        <v>2</v>
      </c>
      <c r="R5664" s="102">
        <v>600000</v>
      </c>
      <c r="S5664" s="102">
        <f t="shared" si="2774"/>
        <v>1320000</v>
      </c>
      <c r="T5664" s="102">
        <f t="shared" si="2775"/>
        <v>1200000</v>
      </c>
      <c r="U5664" s="71"/>
      <c r="V5664" s="71"/>
      <c r="W5664" s="474"/>
      <c r="X5664" s="71"/>
      <c r="Y5664" s="71"/>
    </row>
    <row r="5665" spans="1:25" ht="30" hidden="1" customHeight="1" x14ac:dyDescent="0.25">
      <c r="A5665" s="1145">
        <v>44935</v>
      </c>
      <c r="B5665" s="664" t="s">
        <v>442</v>
      </c>
      <c r="C5665" s="71" t="s">
        <v>3299</v>
      </c>
      <c r="D5665" s="71">
        <v>12</v>
      </c>
      <c r="E5665" s="102">
        <v>69000</v>
      </c>
      <c r="F5665" s="102">
        <f t="shared" si="2779"/>
        <v>910800.00000000012</v>
      </c>
      <c r="G5665" s="102">
        <f t="shared" si="2777"/>
        <v>828000</v>
      </c>
      <c r="H5665" s="690" t="s">
        <v>172</v>
      </c>
      <c r="I5665" s="71" t="s">
        <v>180</v>
      </c>
      <c r="J5665" s="53">
        <f t="shared" ref="J5665:J5671" si="2780">G5665-T5665</f>
        <v>258000</v>
      </c>
      <c r="K5665" s="63">
        <f t="shared" ref="K5665:K5671" si="2781">(J5665/(F5665/11*10))</f>
        <v>0.31159420289855067</v>
      </c>
      <c r="L5665" s="1212" t="s">
        <v>3665</v>
      </c>
      <c r="M5665" s="468" t="s">
        <v>3304</v>
      </c>
      <c r="N5665" s="1192">
        <v>44544</v>
      </c>
      <c r="O5665" s="71" t="s">
        <v>175</v>
      </c>
      <c r="P5665" s="103" t="s">
        <v>3299</v>
      </c>
      <c r="Q5665" s="71">
        <f t="shared" si="2778"/>
        <v>12</v>
      </c>
      <c r="R5665" s="102">
        <v>47500</v>
      </c>
      <c r="S5665" s="102">
        <f t="shared" ref="S5665:S5671" si="2782">R5665*Q5665*1.1</f>
        <v>627000</v>
      </c>
      <c r="T5665" s="102">
        <f t="shared" ref="T5665:T5671" si="2783">R5665*Q5665</f>
        <v>570000</v>
      </c>
      <c r="U5665" s="71" t="s">
        <v>859</v>
      </c>
      <c r="V5665" s="71"/>
      <c r="W5665" s="474"/>
      <c r="X5665" s="71"/>
      <c r="Y5665" s="71"/>
    </row>
    <row r="5666" spans="1:25" ht="30" hidden="1" customHeight="1" x14ac:dyDescent="0.25">
      <c r="A5666" s="1145">
        <v>44942</v>
      </c>
      <c r="B5666" s="664" t="s">
        <v>442</v>
      </c>
      <c r="C5666" s="71" t="s">
        <v>206</v>
      </c>
      <c r="D5666" s="71">
        <v>4</v>
      </c>
      <c r="E5666" s="102">
        <v>453000</v>
      </c>
      <c r="F5666" s="102">
        <f t="shared" si="2779"/>
        <v>1993200.0000000002</v>
      </c>
      <c r="G5666" s="102">
        <f t="shared" si="2777"/>
        <v>1812000</v>
      </c>
      <c r="H5666" s="690" t="s">
        <v>2029</v>
      </c>
      <c r="I5666" s="71" t="s">
        <v>195</v>
      </c>
      <c r="J5666" s="53">
        <f t="shared" si="2780"/>
        <v>315720</v>
      </c>
      <c r="K5666" s="63">
        <f t="shared" si="2781"/>
        <v>0.17423841059602646</v>
      </c>
      <c r="L5666" s="1212" t="s">
        <v>3665</v>
      </c>
      <c r="M5666" s="468"/>
      <c r="N5666" s="1192">
        <f t="shared" ref="N5666:N5674" si="2784">A5666</f>
        <v>44942</v>
      </c>
      <c r="O5666" s="71" t="s">
        <v>194</v>
      </c>
      <c r="P5666" s="103" t="str">
        <f t="shared" ref="P5666:P5676" si="2785">(C5666)</f>
        <v>Agfa Film(24inch)</v>
      </c>
      <c r="Q5666" s="71">
        <f t="shared" si="2778"/>
        <v>4</v>
      </c>
      <c r="R5666" s="102">
        <v>374070</v>
      </c>
      <c r="S5666" s="102">
        <f t="shared" si="2782"/>
        <v>1645908.0000000002</v>
      </c>
      <c r="T5666" s="102">
        <f t="shared" si="2783"/>
        <v>1496280</v>
      </c>
      <c r="U5666" s="71" t="str">
        <f t="shared" ref="U5666:U5671" si="2786">IF(J5666=W5666,"O", "X")</f>
        <v>O</v>
      </c>
      <c r="V5666" s="71"/>
      <c r="W5666" s="474">
        <f t="shared" ref="W5666:W5671" si="2787">(G5666-T5666)</f>
        <v>315720</v>
      </c>
      <c r="X5666" s="71"/>
      <c r="Y5666" s="71"/>
    </row>
    <row r="5667" spans="1:25" ht="30" hidden="1" customHeight="1" x14ac:dyDescent="0.25">
      <c r="A5667" s="1145">
        <v>44942</v>
      </c>
      <c r="B5667" s="664" t="s">
        <v>442</v>
      </c>
      <c r="C5667" s="71" t="s">
        <v>207</v>
      </c>
      <c r="D5667" s="71">
        <v>4</v>
      </c>
      <c r="E5667" s="102">
        <v>558000</v>
      </c>
      <c r="F5667" s="102">
        <f t="shared" si="2779"/>
        <v>2455200</v>
      </c>
      <c r="G5667" s="102">
        <f t="shared" si="2777"/>
        <v>2232000</v>
      </c>
      <c r="H5667" s="690" t="s">
        <v>2029</v>
      </c>
      <c r="I5667" s="71" t="s">
        <v>195</v>
      </c>
      <c r="J5667" s="53">
        <f t="shared" si="2780"/>
        <v>2232000</v>
      </c>
      <c r="K5667" s="63">
        <f t="shared" si="2781"/>
        <v>1</v>
      </c>
      <c r="L5667" s="1212" t="s">
        <v>3665</v>
      </c>
      <c r="M5667" s="468"/>
      <c r="N5667" s="1192">
        <f t="shared" si="2784"/>
        <v>44942</v>
      </c>
      <c r="O5667" s="71" t="s">
        <v>194</v>
      </c>
      <c r="P5667" s="103" t="str">
        <f t="shared" si="2785"/>
        <v>Agfa Film(28inch)</v>
      </c>
      <c r="Q5667" s="71">
        <f t="shared" si="2778"/>
        <v>4</v>
      </c>
      <c r="R5667" s="102"/>
      <c r="S5667" s="102">
        <f t="shared" si="2782"/>
        <v>0</v>
      </c>
      <c r="T5667" s="102">
        <f t="shared" si="2783"/>
        <v>0</v>
      </c>
      <c r="U5667" s="71" t="str">
        <f t="shared" si="2786"/>
        <v>O</v>
      </c>
      <c r="V5667" s="71"/>
      <c r="W5667" s="474">
        <f t="shared" si="2787"/>
        <v>2232000</v>
      </c>
      <c r="X5667" s="71"/>
      <c r="Y5667" s="71"/>
    </row>
    <row r="5668" spans="1:25" ht="30" hidden="1" customHeight="1" x14ac:dyDescent="0.25">
      <c r="A5668" s="1145">
        <v>44942</v>
      </c>
      <c r="B5668" s="664" t="s">
        <v>442</v>
      </c>
      <c r="C5668" s="71" t="s">
        <v>208</v>
      </c>
      <c r="D5668" s="71">
        <v>4</v>
      </c>
      <c r="E5668" s="102">
        <v>624000</v>
      </c>
      <c r="F5668" s="102">
        <f t="shared" si="2779"/>
        <v>2745600</v>
      </c>
      <c r="G5668" s="102">
        <f t="shared" si="2777"/>
        <v>2496000</v>
      </c>
      <c r="H5668" s="690" t="s">
        <v>2029</v>
      </c>
      <c r="I5668" s="71" t="s">
        <v>195</v>
      </c>
      <c r="J5668" s="53">
        <f t="shared" si="2780"/>
        <v>440000</v>
      </c>
      <c r="K5668" s="63">
        <f t="shared" si="2781"/>
        <v>0.17628205128205129</v>
      </c>
      <c r="L5668" s="1212" t="s">
        <v>3665</v>
      </c>
      <c r="M5668" s="468"/>
      <c r="N5668" s="1192">
        <f t="shared" si="2784"/>
        <v>44942</v>
      </c>
      <c r="O5668" s="71" t="s">
        <v>194</v>
      </c>
      <c r="P5668" s="103" t="str">
        <f t="shared" si="2785"/>
        <v>Agfa Film(32inch)</v>
      </c>
      <c r="Q5668" s="71">
        <f t="shared" si="2778"/>
        <v>4</v>
      </c>
      <c r="R5668" s="102">
        <v>514000</v>
      </c>
      <c r="S5668" s="102">
        <f t="shared" si="2782"/>
        <v>2261600</v>
      </c>
      <c r="T5668" s="102">
        <f t="shared" si="2783"/>
        <v>2056000</v>
      </c>
      <c r="U5668" s="71" t="str">
        <f t="shared" si="2786"/>
        <v>O</v>
      </c>
      <c r="V5668" s="71"/>
      <c r="W5668" s="474">
        <f t="shared" si="2787"/>
        <v>440000</v>
      </c>
      <c r="X5668" s="71"/>
      <c r="Y5668" s="71"/>
    </row>
    <row r="5669" spans="1:25" ht="30" hidden="1" customHeight="1" x14ac:dyDescent="0.2">
      <c r="A5669" s="1145">
        <v>44942</v>
      </c>
      <c r="B5669" s="664" t="s">
        <v>442</v>
      </c>
      <c r="C5669" s="71" t="s">
        <v>648</v>
      </c>
      <c r="D5669" s="71">
        <v>2</v>
      </c>
      <c r="E5669" s="102">
        <v>93000</v>
      </c>
      <c r="F5669" s="102">
        <f t="shared" si="2779"/>
        <v>204600.00000000003</v>
      </c>
      <c r="G5669" s="102">
        <f t="shared" si="2777"/>
        <v>186000</v>
      </c>
      <c r="H5669" s="165" t="s">
        <v>172</v>
      </c>
      <c r="I5669" s="71" t="s">
        <v>195</v>
      </c>
      <c r="J5669" s="53">
        <f t="shared" si="2780"/>
        <v>54000</v>
      </c>
      <c r="K5669" s="63">
        <f t="shared" si="2781"/>
        <v>0.29032258064516125</v>
      </c>
      <c r="L5669" s="1212" t="s">
        <v>3665</v>
      </c>
      <c r="M5669" s="468"/>
      <c r="N5669" s="1192">
        <f t="shared" si="2784"/>
        <v>44942</v>
      </c>
      <c r="O5669" s="71" t="s">
        <v>194</v>
      </c>
      <c r="P5669" s="103" t="str">
        <f t="shared" si="2785"/>
        <v>Agfa 정착액 G333C(20L)</v>
      </c>
      <c r="Q5669" s="71">
        <f t="shared" si="2778"/>
        <v>2</v>
      </c>
      <c r="R5669" s="102">
        <v>66000</v>
      </c>
      <c r="S5669" s="102">
        <f t="shared" si="2782"/>
        <v>145200</v>
      </c>
      <c r="T5669" s="102">
        <f t="shared" si="2783"/>
        <v>132000</v>
      </c>
      <c r="U5669" s="71" t="str">
        <f t="shared" si="2786"/>
        <v>O</v>
      </c>
      <c r="V5669" s="71"/>
      <c r="W5669" s="474">
        <f t="shared" si="2787"/>
        <v>54000</v>
      </c>
      <c r="X5669" s="71"/>
      <c r="Y5669" s="71"/>
    </row>
    <row r="5670" spans="1:25" ht="30" hidden="1" customHeight="1" x14ac:dyDescent="0.25">
      <c r="A5670" s="1145">
        <v>44956</v>
      </c>
      <c r="B5670" s="664" t="s">
        <v>3664</v>
      </c>
      <c r="C5670" s="71" t="s">
        <v>111</v>
      </c>
      <c r="D5670" s="71">
        <v>500</v>
      </c>
      <c r="E5670" s="102">
        <v>380</v>
      </c>
      <c r="F5670" s="102">
        <f t="shared" si="2779"/>
        <v>209000.00000000003</v>
      </c>
      <c r="G5670" s="102">
        <f t="shared" si="2777"/>
        <v>190000</v>
      </c>
      <c r="H5670" s="690" t="s">
        <v>2029</v>
      </c>
      <c r="I5670" s="71" t="s">
        <v>3385</v>
      </c>
      <c r="J5670" s="53">
        <f t="shared" si="2780"/>
        <v>40000</v>
      </c>
      <c r="K5670" s="63">
        <f t="shared" si="2781"/>
        <v>0.21052631578947364</v>
      </c>
      <c r="L5670" s="1212" t="s">
        <v>3665</v>
      </c>
      <c r="M5670" s="468"/>
      <c r="N5670" s="1192">
        <f t="shared" si="2784"/>
        <v>44956</v>
      </c>
      <c r="O5670" s="71" t="s">
        <v>150</v>
      </c>
      <c r="P5670" s="103" t="str">
        <f t="shared" si="2785"/>
        <v>고무사카 빨간색</v>
      </c>
      <c r="Q5670" s="71">
        <f t="shared" si="2778"/>
        <v>500</v>
      </c>
      <c r="R5670" s="102">
        <v>300</v>
      </c>
      <c r="S5670" s="102">
        <f t="shared" si="2782"/>
        <v>165000</v>
      </c>
      <c r="T5670" s="102">
        <f t="shared" si="2783"/>
        <v>150000</v>
      </c>
      <c r="U5670" s="71" t="str">
        <f t="shared" si="2786"/>
        <v>O</v>
      </c>
      <c r="V5670" s="71"/>
      <c r="W5670" s="474">
        <f t="shared" si="2787"/>
        <v>40000</v>
      </c>
      <c r="X5670" s="71"/>
      <c r="Y5670" s="71"/>
    </row>
    <row r="5671" spans="1:25" ht="30" hidden="1" customHeight="1" x14ac:dyDescent="0.25">
      <c r="A5671" s="1145">
        <v>44951</v>
      </c>
      <c r="B5671" s="664" t="s">
        <v>746</v>
      </c>
      <c r="C5671" s="71" t="s">
        <v>2198</v>
      </c>
      <c r="D5671" s="71">
        <v>1</v>
      </c>
      <c r="E5671" s="102">
        <v>2370000</v>
      </c>
      <c r="F5671" s="102">
        <f t="shared" si="2779"/>
        <v>2607000</v>
      </c>
      <c r="G5671" s="102">
        <f t="shared" si="2777"/>
        <v>2370000</v>
      </c>
      <c r="H5671" s="690" t="s">
        <v>94</v>
      </c>
      <c r="I5671" s="71" t="s">
        <v>94</v>
      </c>
      <c r="J5671" s="53">
        <f t="shared" si="2780"/>
        <v>747819</v>
      </c>
      <c r="K5671" s="63">
        <f t="shared" si="2781"/>
        <v>0.31553544303797471</v>
      </c>
      <c r="L5671" s="1212" t="s">
        <v>3665</v>
      </c>
      <c r="M5671" s="468"/>
      <c r="N5671" s="1192">
        <f t="shared" si="2784"/>
        <v>44951</v>
      </c>
      <c r="O5671" s="71" t="s">
        <v>94</v>
      </c>
      <c r="P5671" s="103" t="str">
        <f t="shared" si="2785"/>
        <v>Technotrans 도져</v>
      </c>
      <c r="Q5671" s="71">
        <f t="shared" si="2778"/>
        <v>1</v>
      </c>
      <c r="R5671" s="102">
        <v>1622181</v>
      </c>
      <c r="S5671" s="102">
        <f t="shared" si="2782"/>
        <v>1784399.1</v>
      </c>
      <c r="T5671" s="102">
        <f t="shared" si="2783"/>
        <v>1622181</v>
      </c>
      <c r="U5671" s="71" t="str">
        <f t="shared" si="2786"/>
        <v>O</v>
      </c>
      <c r="V5671" s="71"/>
      <c r="W5671" s="474">
        <f t="shared" si="2787"/>
        <v>747819</v>
      </c>
      <c r="X5671" s="71"/>
      <c r="Y5671" s="71"/>
    </row>
    <row r="5672" spans="1:25" s="209" customFormat="1" ht="30" hidden="1" customHeight="1" x14ac:dyDescent="0.25">
      <c r="A5672" s="1145">
        <v>44957</v>
      </c>
      <c r="B5672" s="664" t="s">
        <v>567</v>
      </c>
      <c r="C5672" s="71" t="s">
        <v>123</v>
      </c>
      <c r="D5672" s="71">
        <v>10</v>
      </c>
      <c r="E5672" s="102">
        <v>50000</v>
      </c>
      <c r="F5672" s="102">
        <f t="shared" si="2779"/>
        <v>550000</v>
      </c>
      <c r="G5672" s="102">
        <f t="shared" si="2777"/>
        <v>500000</v>
      </c>
      <c r="H5672" s="690" t="s">
        <v>94</v>
      </c>
      <c r="I5672" s="71" t="s">
        <v>94</v>
      </c>
      <c r="J5672" s="53">
        <f>G5672-T5672</f>
        <v>260000</v>
      </c>
      <c r="K5672" s="63">
        <f>(J5672/(F5672/11*10))</f>
        <v>0.52</v>
      </c>
      <c r="L5672" s="1212" t="s">
        <v>3665</v>
      </c>
      <c r="M5672" s="468"/>
      <c r="N5672" s="1192">
        <f t="shared" si="2784"/>
        <v>44957</v>
      </c>
      <c r="O5672" s="71" t="s">
        <v>94</v>
      </c>
      <c r="P5672" s="164" t="str">
        <f t="shared" si="2785"/>
        <v>필터백</v>
      </c>
      <c r="Q5672" s="71">
        <f t="shared" si="2778"/>
        <v>10</v>
      </c>
      <c r="R5672" s="102">
        <v>24000</v>
      </c>
      <c r="S5672" s="102">
        <f>R5672*Q5672*1.1</f>
        <v>264000</v>
      </c>
      <c r="T5672" s="102">
        <f>R5672*Q5672</f>
        <v>240000</v>
      </c>
      <c r="U5672" s="71"/>
      <c r="V5672" s="71"/>
      <c r="W5672" s="474"/>
      <c r="X5672" s="71"/>
      <c r="Y5672" s="71"/>
    </row>
    <row r="5673" spans="1:25" ht="30" hidden="1" customHeight="1" x14ac:dyDescent="0.25">
      <c r="A5673" s="1145">
        <v>44957</v>
      </c>
      <c r="B5673" s="664" t="s">
        <v>1178</v>
      </c>
      <c r="C5673" s="71" t="s">
        <v>3666</v>
      </c>
      <c r="D5673" s="71">
        <v>1</v>
      </c>
      <c r="E5673" s="102">
        <v>6363636</v>
      </c>
      <c r="F5673" s="102">
        <f t="shared" si="2779"/>
        <v>6999999.6000000006</v>
      </c>
      <c r="G5673" s="102">
        <f t="shared" si="2777"/>
        <v>6363636</v>
      </c>
      <c r="H5673" s="690" t="s">
        <v>142</v>
      </c>
      <c r="I5673" s="71" t="s">
        <v>142</v>
      </c>
      <c r="J5673" s="53">
        <f>G5673-T5673</f>
        <v>1113636</v>
      </c>
      <c r="K5673" s="63">
        <f>(J5673/(F5673/11*10))</f>
        <v>0.17499995285714015</v>
      </c>
      <c r="L5673" s="1212" t="s">
        <v>3665</v>
      </c>
      <c r="M5673" s="468"/>
      <c r="N5673" s="1192">
        <f t="shared" si="2784"/>
        <v>44957</v>
      </c>
      <c r="O5673" s="71" t="s">
        <v>145</v>
      </c>
      <c r="P5673" s="103" t="str">
        <f t="shared" si="2785"/>
        <v>CTP 판 850*780 1250매</v>
      </c>
      <c r="Q5673" s="71">
        <f t="shared" si="2778"/>
        <v>1</v>
      </c>
      <c r="R5673" s="102">
        <f>4200*1250</f>
        <v>5250000</v>
      </c>
      <c r="S5673" s="102">
        <f>R5673*Q5673*1.1</f>
        <v>5775000.0000000009</v>
      </c>
      <c r="T5673" s="102">
        <f>R5673*Q5673</f>
        <v>5250000</v>
      </c>
      <c r="U5673" s="71"/>
      <c r="V5673" s="71"/>
      <c r="W5673" s="474"/>
      <c r="X5673" s="71"/>
      <c r="Y5673" s="71"/>
    </row>
    <row r="5674" spans="1:25" s="209" customFormat="1" ht="30" hidden="1" customHeight="1" x14ac:dyDescent="0.25">
      <c r="A5674" s="1145">
        <v>44957</v>
      </c>
      <c r="B5674" s="664" t="s">
        <v>1178</v>
      </c>
      <c r="C5674" s="71" t="s">
        <v>984</v>
      </c>
      <c r="D5674" s="71">
        <v>15</v>
      </c>
      <c r="E5674" s="102">
        <v>58000</v>
      </c>
      <c r="F5674" s="102">
        <f t="shared" si="2779"/>
        <v>957000.00000000012</v>
      </c>
      <c r="G5674" s="102">
        <f t="shared" si="2777"/>
        <v>870000</v>
      </c>
      <c r="H5674" s="690" t="s">
        <v>142</v>
      </c>
      <c r="I5674" s="71" t="s">
        <v>142</v>
      </c>
      <c r="J5674" s="53">
        <f>G5674-T5674</f>
        <v>266250</v>
      </c>
      <c r="K5674" s="63">
        <f>(J5674/(F5674/11*10))</f>
        <v>0.30603448275862066</v>
      </c>
      <c r="L5674" s="1212" t="s">
        <v>3665</v>
      </c>
      <c r="M5674" s="468"/>
      <c r="N5674" s="1192">
        <f t="shared" si="2784"/>
        <v>44957</v>
      </c>
      <c r="O5674" s="71" t="s">
        <v>145</v>
      </c>
      <c r="P5674" s="164" t="str">
        <f t="shared" si="2785"/>
        <v>CTP 현상액</v>
      </c>
      <c r="Q5674" s="71">
        <f t="shared" si="2778"/>
        <v>15</v>
      </c>
      <c r="R5674" s="102">
        <v>40250</v>
      </c>
      <c r="S5674" s="102">
        <f>R5674*Q5674*1.1</f>
        <v>664125</v>
      </c>
      <c r="T5674" s="102">
        <f>R5674*Q5674</f>
        <v>603750</v>
      </c>
      <c r="U5674" s="71"/>
      <c r="V5674" s="71"/>
      <c r="W5674" s="474"/>
      <c r="X5674" s="71"/>
      <c r="Y5674" s="71"/>
    </row>
    <row r="5675" spans="1:25" s="209" customFormat="1" ht="30" hidden="1" customHeight="1" x14ac:dyDescent="0.25">
      <c r="A5675" s="1145">
        <v>44957</v>
      </c>
      <c r="B5675" s="664" t="s">
        <v>411</v>
      </c>
      <c r="C5675" s="71" t="s">
        <v>3413</v>
      </c>
      <c r="D5675" s="71">
        <v>10</v>
      </c>
      <c r="E5675" s="102">
        <v>100000</v>
      </c>
      <c r="F5675" s="102">
        <f t="shared" si="2779"/>
        <v>1100000</v>
      </c>
      <c r="G5675" s="102">
        <f t="shared" si="2777"/>
        <v>1000000</v>
      </c>
      <c r="H5675" s="690" t="s">
        <v>2029</v>
      </c>
      <c r="I5675" s="71" t="s">
        <v>3385</v>
      </c>
      <c r="J5675" s="53">
        <f>G5675-T5675</f>
        <v>500000</v>
      </c>
      <c r="K5675" s="63">
        <f>(J5675/(F5675/11*10))</f>
        <v>0.5</v>
      </c>
      <c r="L5675" s="1212" t="s">
        <v>3665</v>
      </c>
      <c r="M5675" s="468"/>
      <c r="N5675" s="1192">
        <f t="shared" ref="N5675:N5738" si="2788">A5675</f>
        <v>44957</v>
      </c>
      <c r="O5675" s="71" t="s">
        <v>190</v>
      </c>
      <c r="P5675" s="103" t="str">
        <f t="shared" si="2785"/>
        <v>아스테이지(국전)</v>
      </c>
      <c r="Q5675" s="71">
        <f t="shared" si="2778"/>
        <v>10</v>
      </c>
      <c r="R5675" s="102">
        <v>50000</v>
      </c>
      <c r="S5675" s="102">
        <f>R5675*Q5675*1.1</f>
        <v>550000</v>
      </c>
      <c r="T5675" s="102">
        <f>R5675*Q5675</f>
        <v>500000</v>
      </c>
      <c r="U5675" s="71" t="str">
        <f>IF(J5675=W5675,"O", "X")</f>
        <v>O</v>
      </c>
      <c r="V5675" s="71"/>
      <c r="W5675" s="474">
        <v>500000</v>
      </c>
      <c r="X5675" s="71"/>
      <c r="Y5675" s="71"/>
    </row>
    <row r="5676" spans="1:25" ht="30" hidden="1" customHeight="1" x14ac:dyDescent="0.25">
      <c r="A5676" s="1145">
        <v>44935</v>
      </c>
      <c r="B5676" s="664" t="s">
        <v>2103</v>
      </c>
      <c r="C5676" s="71" t="s">
        <v>3667</v>
      </c>
      <c r="D5676" s="71">
        <v>1958</v>
      </c>
      <c r="E5676" s="102">
        <v>1500</v>
      </c>
      <c r="F5676" s="102">
        <f t="shared" si="2779"/>
        <v>3230700.0000000005</v>
      </c>
      <c r="G5676" s="102">
        <f t="shared" si="2777"/>
        <v>2937000</v>
      </c>
      <c r="H5676" s="690" t="s">
        <v>173</v>
      </c>
      <c r="I5676" s="71" t="s">
        <v>3385</v>
      </c>
      <c r="J5676" s="53">
        <f>G5676-T5676</f>
        <v>2937000</v>
      </c>
      <c r="K5676" s="63">
        <f>(J5676/(F5676/11*10))</f>
        <v>0.99999999999999989</v>
      </c>
      <c r="L5676" s="1212" t="s">
        <v>3665</v>
      </c>
      <c r="M5676" s="468"/>
      <c r="N5676" s="1192">
        <f t="shared" si="2788"/>
        <v>44935</v>
      </c>
      <c r="O5676" s="71"/>
      <c r="P5676" s="103" t="str">
        <f t="shared" si="2785"/>
        <v>폐판</v>
      </c>
      <c r="Q5676" s="71">
        <f t="shared" si="2778"/>
        <v>1958</v>
      </c>
      <c r="R5676" s="102"/>
      <c r="S5676" s="102"/>
      <c r="T5676" s="102"/>
      <c r="U5676" s="71"/>
      <c r="V5676" s="71"/>
      <c r="W5676" s="474"/>
      <c r="X5676" s="71"/>
      <c r="Y5676" s="71"/>
    </row>
    <row r="5677" spans="1:25" ht="30" hidden="1" customHeight="1" x14ac:dyDescent="0.25">
      <c r="A5677" s="1210" t="s">
        <v>3677</v>
      </c>
      <c r="B5677" s="1211" t="s">
        <v>544</v>
      </c>
      <c r="C5677" s="960"/>
      <c r="D5677" s="960"/>
      <c r="E5677" s="952"/>
      <c r="F5677" s="952"/>
      <c r="G5677" s="952"/>
      <c r="H5677" s="1206"/>
      <c r="I5677" s="960"/>
      <c r="J5677" s="952"/>
      <c r="K5677" s="953"/>
      <c r="L5677" s="1212" t="s">
        <v>3679</v>
      </c>
      <c r="M5677" s="1207"/>
      <c r="N5677" s="1208" t="str">
        <f t="shared" si="2788"/>
        <v>2023,2</v>
      </c>
      <c r="O5677" s="960"/>
      <c r="P5677" s="1209"/>
      <c r="Q5677" s="960"/>
      <c r="R5677" s="952"/>
      <c r="S5677" s="952"/>
      <c r="T5677" s="952"/>
      <c r="U5677" s="960"/>
      <c r="V5677" s="960"/>
      <c r="W5677" s="474">
        <f>(G5677-T5677)</f>
        <v>0</v>
      </c>
      <c r="X5677" s="71"/>
      <c r="Y5677" s="71"/>
    </row>
    <row r="5678" spans="1:25" ht="30" hidden="1" customHeight="1" x14ac:dyDescent="0.25">
      <c r="A5678" s="1145">
        <v>44957</v>
      </c>
      <c r="B5678" s="664" t="s">
        <v>546</v>
      </c>
      <c r="C5678" s="71" t="s">
        <v>1148</v>
      </c>
      <c r="D5678" s="71">
        <v>8</v>
      </c>
      <c r="E5678" s="102">
        <v>350000</v>
      </c>
      <c r="F5678" s="102">
        <f t="shared" ref="F5678:F5688" si="2789">(E5678*D5678)*1.1</f>
        <v>3080000.0000000005</v>
      </c>
      <c r="G5678" s="102">
        <f t="shared" ref="G5678:G5688" si="2790">(E5678*D5678)</f>
        <v>2800000</v>
      </c>
      <c r="H5678" s="690" t="s">
        <v>1786</v>
      </c>
      <c r="I5678" s="71" t="s">
        <v>1786</v>
      </c>
      <c r="J5678" s="53">
        <f>G5678-T5678</f>
        <v>938568</v>
      </c>
      <c r="K5678" s="63">
        <f>(J5678/(F5678/11*10))</f>
        <v>0.33520285714285708</v>
      </c>
      <c r="L5678" s="1212" t="s">
        <v>3686</v>
      </c>
      <c r="M5678" s="468"/>
      <c r="N5678" s="1192">
        <f t="shared" si="2788"/>
        <v>44957</v>
      </c>
      <c r="O5678" s="71" t="s">
        <v>1786</v>
      </c>
      <c r="P5678" s="103" t="str">
        <f>(C5678)</f>
        <v>브레이크 라이닝</v>
      </c>
      <c r="Q5678" s="71">
        <f>D5678</f>
        <v>8</v>
      </c>
      <c r="R5678" s="147">
        <v>232679</v>
      </c>
      <c r="S5678" s="102">
        <f>R5678*Q5678*1.1</f>
        <v>2047575.2000000002</v>
      </c>
      <c r="T5678" s="102">
        <f>R5678*Q5678</f>
        <v>1861432</v>
      </c>
      <c r="U5678" s="71"/>
      <c r="V5678" s="71"/>
      <c r="W5678" s="474"/>
      <c r="X5678" s="71"/>
      <c r="Y5678" s="71"/>
    </row>
    <row r="5679" spans="1:25" ht="30" hidden="1" customHeight="1" x14ac:dyDescent="0.25">
      <c r="A5679" s="1145">
        <v>44973</v>
      </c>
      <c r="B5679" s="664" t="s">
        <v>627</v>
      </c>
      <c r="C5679" s="71" t="s">
        <v>114</v>
      </c>
      <c r="D5679" s="71">
        <v>20</v>
      </c>
      <c r="E5679" s="102">
        <v>22000</v>
      </c>
      <c r="F5679" s="102">
        <f t="shared" si="2789"/>
        <v>484000.00000000006</v>
      </c>
      <c r="G5679" s="102">
        <f t="shared" si="2790"/>
        <v>440000</v>
      </c>
      <c r="H5679" s="690" t="s">
        <v>1786</v>
      </c>
      <c r="I5679" s="71" t="s">
        <v>1786</v>
      </c>
      <c r="J5679" s="53">
        <f>G5679-T5679</f>
        <v>224480</v>
      </c>
      <c r="K5679" s="63">
        <f>(J5679/(F5679/11*10))</f>
        <v>0.51018181818181807</v>
      </c>
      <c r="L5679" s="1212" t="s">
        <v>3678</v>
      </c>
      <c r="M5679" s="102"/>
      <c r="N5679" s="1192">
        <f t="shared" si="2788"/>
        <v>44973</v>
      </c>
      <c r="O5679" s="71" t="s">
        <v>1786</v>
      </c>
      <c r="P5679" s="103" t="str">
        <f>(C5679)</f>
        <v>스트리퍼</v>
      </c>
      <c r="Q5679" s="71">
        <f>D5679</f>
        <v>20</v>
      </c>
      <c r="R5679" s="102">
        <v>10776</v>
      </c>
      <c r="S5679" s="102">
        <f>R5679*Q5679*1.1</f>
        <v>237072.00000000003</v>
      </c>
      <c r="T5679" s="102">
        <f>R5679*Q5679</f>
        <v>215520</v>
      </c>
      <c r="U5679" s="71"/>
      <c r="V5679" s="71"/>
      <c r="W5679" s="474"/>
      <c r="X5679" s="71"/>
      <c r="Y5679" s="71"/>
    </row>
    <row r="5680" spans="1:25" ht="30" hidden="1" customHeight="1" x14ac:dyDescent="0.25">
      <c r="A5680" s="1145">
        <v>44973</v>
      </c>
      <c r="B5680" s="664" t="s">
        <v>1593</v>
      </c>
      <c r="C5680" s="71" t="s">
        <v>3680</v>
      </c>
      <c r="D5680" s="71">
        <v>1</v>
      </c>
      <c r="E5680" s="102">
        <v>1294850</v>
      </c>
      <c r="F5680" s="102">
        <f t="shared" si="2789"/>
        <v>1424335</v>
      </c>
      <c r="G5680" s="102">
        <f t="shared" si="2790"/>
        <v>1294850</v>
      </c>
      <c r="H5680" s="690" t="s">
        <v>142</v>
      </c>
      <c r="I5680" s="690" t="s">
        <v>142</v>
      </c>
      <c r="J5680" s="53"/>
      <c r="K5680" s="63"/>
      <c r="L5680" s="1212" t="s">
        <v>3678</v>
      </c>
      <c r="M5680" s="102"/>
      <c r="N5680" s="1192">
        <f t="shared" si="2788"/>
        <v>44973</v>
      </c>
      <c r="O5680" s="71" t="s">
        <v>1786</v>
      </c>
      <c r="P5680" s="103" t="str">
        <f t="shared" ref="P5680:P5688" si="2791">(C5680)</f>
        <v>Solenoid coil 외 부품</v>
      </c>
      <c r="Q5680" s="71">
        <f t="shared" ref="Q5680:Q5688" si="2792">D5680</f>
        <v>1</v>
      </c>
      <c r="R5680" s="102"/>
      <c r="S5680" s="102"/>
      <c r="T5680" s="102"/>
      <c r="U5680" s="71"/>
      <c r="V5680" s="71"/>
      <c r="W5680" s="474"/>
      <c r="X5680" s="71"/>
      <c r="Y5680" s="71"/>
    </row>
    <row r="5681" spans="1:25" ht="30" hidden="1" customHeight="1" x14ac:dyDescent="0.25">
      <c r="A5681" s="1145">
        <v>44974</v>
      </c>
      <c r="B5681" s="664" t="s">
        <v>575</v>
      </c>
      <c r="C5681" s="71" t="s">
        <v>2317</v>
      </c>
      <c r="D5681" s="71">
        <v>2</v>
      </c>
      <c r="E5681" s="102">
        <v>340000</v>
      </c>
      <c r="F5681" s="102">
        <f t="shared" si="2789"/>
        <v>748000.00000000012</v>
      </c>
      <c r="G5681" s="102">
        <f t="shared" si="2790"/>
        <v>680000</v>
      </c>
      <c r="H5681" s="690" t="s">
        <v>1786</v>
      </c>
      <c r="I5681" s="71" t="s">
        <v>1786</v>
      </c>
      <c r="J5681" s="53">
        <f t="shared" ref="J5681:J5686" si="2793">G5681-T5681</f>
        <v>143338.53413805307</v>
      </c>
      <c r="K5681" s="63">
        <f t="shared" ref="K5681:K5686" si="2794">(J5681/(F5681/11*10))</f>
        <v>0.21079196196772507</v>
      </c>
      <c r="L5681" s="1212" t="s">
        <v>3678</v>
      </c>
      <c r="M5681" s="102"/>
      <c r="N5681" s="1192">
        <f t="shared" si="2788"/>
        <v>44974</v>
      </c>
      <c r="O5681" s="71" t="s">
        <v>1786</v>
      </c>
      <c r="P5681" s="103" t="str">
        <f t="shared" si="2791"/>
        <v>물 센서</v>
      </c>
      <c r="Q5681" s="71">
        <f t="shared" si="2792"/>
        <v>2</v>
      </c>
      <c r="R5681" s="102">
        <v>268330.73293097346</v>
      </c>
      <c r="S5681" s="102">
        <f t="shared" ref="S5681:S5686" si="2795">R5681*Q5681*1.1</f>
        <v>590327.61244814168</v>
      </c>
      <c r="T5681" s="102">
        <f t="shared" ref="T5681:T5686" si="2796">R5681*Q5681</f>
        <v>536661.46586194693</v>
      </c>
      <c r="U5681" s="71"/>
      <c r="V5681" s="71"/>
      <c r="W5681" s="474"/>
      <c r="X5681" s="71"/>
      <c r="Y5681" s="71"/>
    </row>
    <row r="5682" spans="1:25" ht="30" hidden="1" customHeight="1" x14ac:dyDescent="0.25">
      <c r="A5682" s="1145">
        <v>44974</v>
      </c>
      <c r="B5682" s="664" t="s">
        <v>575</v>
      </c>
      <c r="C5682" s="71" t="s">
        <v>920</v>
      </c>
      <c r="D5682" s="71">
        <v>4</v>
      </c>
      <c r="E5682" s="102">
        <v>220000</v>
      </c>
      <c r="F5682" s="102">
        <f t="shared" si="2789"/>
        <v>968000.00000000012</v>
      </c>
      <c r="G5682" s="102">
        <f t="shared" si="2790"/>
        <v>880000</v>
      </c>
      <c r="H5682" s="690" t="s">
        <v>1786</v>
      </c>
      <c r="I5682" s="71" t="s">
        <v>1786</v>
      </c>
      <c r="J5682" s="53">
        <f t="shared" si="2793"/>
        <v>172024</v>
      </c>
      <c r="K5682" s="63">
        <f t="shared" si="2794"/>
        <v>0.19548181818181815</v>
      </c>
      <c r="L5682" s="1212" t="s">
        <v>3678</v>
      </c>
      <c r="M5682" s="468"/>
      <c r="N5682" s="1192">
        <f t="shared" si="2788"/>
        <v>44974</v>
      </c>
      <c r="O5682" s="71" t="s">
        <v>1786</v>
      </c>
      <c r="P5682" s="103" t="str">
        <f t="shared" si="2791"/>
        <v>에어 실린더</v>
      </c>
      <c r="Q5682" s="71">
        <f t="shared" si="2792"/>
        <v>4</v>
      </c>
      <c r="R5682" s="102">
        <v>176994</v>
      </c>
      <c r="S5682" s="102">
        <f t="shared" si="2795"/>
        <v>778773.60000000009</v>
      </c>
      <c r="T5682" s="102">
        <f t="shared" si="2796"/>
        <v>707976</v>
      </c>
      <c r="U5682" s="71"/>
      <c r="V5682" s="71"/>
      <c r="W5682" s="474"/>
      <c r="X5682" s="71"/>
      <c r="Y5682" s="71"/>
    </row>
    <row r="5683" spans="1:25" ht="30" hidden="1" customHeight="1" x14ac:dyDescent="0.25">
      <c r="A5683" s="1145">
        <v>44974</v>
      </c>
      <c r="B5683" s="664" t="s">
        <v>575</v>
      </c>
      <c r="C5683" s="71" t="s">
        <v>1298</v>
      </c>
      <c r="D5683" s="71">
        <v>8</v>
      </c>
      <c r="E5683" s="102">
        <v>130000</v>
      </c>
      <c r="F5683" s="102">
        <f t="shared" si="2789"/>
        <v>1144000</v>
      </c>
      <c r="G5683" s="102">
        <f t="shared" si="2790"/>
        <v>1040000</v>
      </c>
      <c r="H5683" s="690" t="s">
        <v>1786</v>
      </c>
      <c r="I5683" s="71" t="s">
        <v>1786</v>
      </c>
      <c r="J5683" s="53">
        <f t="shared" si="2793"/>
        <v>291760</v>
      </c>
      <c r="K5683" s="63">
        <f t="shared" si="2794"/>
        <v>0.28053846153846151</v>
      </c>
      <c r="L5683" s="1212" t="s">
        <v>3678</v>
      </c>
      <c r="M5683" s="468"/>
      <c r="N5683" s="1192">
        <f t="shared" si="2788"/>
        <v>44974</v>
      </c>
      <c r="O5683" s="71" t="s">
        <v>1786</v>
      </c>
      <c r="P5683" s="103" t="str">
        <f t="shared" si="2791"/>
        <v>재단칼</v>
      </c>
      <c r="Q5683" s="71">
        <f t="shared" si="2792"/>
        <v>8</v>
      </c>
      <c r="R5683" s="147">
        <v>93530</v>
      </c>
      <c r="S5683" s="102">
        <f t="shared" si="2795"/>
        <v>823064.00000000012</v>
      </c>
      <c r="T5683" s="102">
        <f t="shared" si="2796"/>
        <v>748240</v>
      </c>
      <c r="U5683" s="71"/>
      <c r="V5683" s="71"/>
      <c r="W5683" s="474"/>
      <c r="X5683" s="71"/>
      <c r="Y5683" s="71"/>
    </row>
    <row r="5684" spans="1:25" ht="30" hidden="1" customHeight="1" x14ac:dyDescent="0.25">
      <c r="A5684" s="1145">
        <v>44974</v>
      </c>
      <c r="B5684" s="664" t="s">
        <v>575</v>
      </c>
      <c r="C5684" s="71" t="s">
        <v>884</v>
      </c>
      <c r="D5684" s="71">
        <v>10</v>
      </c>
      <c r="E5684" s="102">
        <v>62000</v>
      </c>
      <c r="F5684" s="102">
        <f t="shared" si="2789"/>
        <v>682000</v>
      </c>
      <c r="G5684" s="102">
        <f t="shared" si="2790"/>
        <v>620000</v>
      </c>
      <c r="H5684" s="690" t="s">
        <v>1786</v>
      </c>
      <c r="I5684" s="71" t="s">
        <v>1786</v>
      </c>
      <c r="J5684" s="53">
        <f t="shared" si="2793"/>
        <v>126580</v>
      </c>
      <c r="K5684" s="63">
        <f t="shared" si="2794"/>
        <v>0.20416129032258065</v>
      </c>
      <c r="L5684" s="1212" t="s">
        <v>3678</v>
      </c>
      <c r="M5684" s="102"/>
      <c r="N5684" s="1192">
        <f t="shared" si="2788"/>
        <v>44974</v>
      </c>
      <c r="O5684" s="71" t="s">
        <v>1786</v>
      </c>
      <c r="P5684" s="103" t="str">
        <f t="shared" si="2791"/>
        <v>재단목</v>
      </c>
      <c r="Q5684" s="71">
        <f t="shared" si="2792"/>
        <v>10</v>
      </c>
      <c r="R5684" s="102">
        <v>49342</v>
      </c>
      <c r="S5684" s="102">
        <f t="shared" si="2795"/>
        <v>542762</v>
      </c>
      <c r="T5684" s="102">
        <f t="shared" si="2796"/>
        <v>493420</v>
      </c>
      <c r="U5684" s="71"/>
      <c r="V5684" s="71"/>
      <c r="W5684" s="474"/>
      <c r="X5684" s="71"/>
      <c r="Y5684" s="71"/>
    </row>
    <row r="5685" spans="1:25" ht="30" hidden="1" customHeight="1" x14ac:dyDescent="0.25">
      <c r="A5685" s="1145">
        <v>44974</v>
      </c>
      <c r="B5685" s="664" t="s">
        <v>575</v>
      </c>
      <c r="C5685" s="71" t="s">
        <v>2404</v>
      </c>
      <c r="D5685" s="71">
        <v>100</v>
      </c>
      <c r="E5685" s="102">
        <v>22000</v>
      </c>
      <c r="F5685" s="102">
        <f t="shared" si="2789"/>
        <v>2420000</v>
      </c>
      <c r="G5685" s="102">
        <f t="shared" si="2790"/>
        <v>2200000</v>
      </c>
      <c r="H5685" s="690" t="s">
        <v>1786</v>
      </c>
      <c r="I5685" s="71" t="s">
        <v>1786</v>
      </c>
      <c r="J5685" s="53">
        <f t="shared" si="2793"/>
        <v>796500</v>
      </c>
      <c r="K5685" s="63">
        <f t="shared" si="2794"/>
        <v>0.36204545454545456</v>
      </c>
      <c r="L5685" s="1212" t="s">
        <v>3678</v>
      </c>
      <c r="M5685" s="468"/>
      <c r="N5685" s="1192">
        <f t="shared" si="2788"/>
        <v>44974</v>
      </c>
      <c r="O5685" s="71" t="s">
        <v>1786</v>
      </c>
      <c r="P5685" s="103" t="str">
        <f t="shared" si="2791"/>
        <v>벨트(25MM)</v>
      </c>
      <c r="Q5685" s="71">
        <f t="shared" si="2792"/>
        <v>100</v>
      </c>
      <c r="R5685" s="102">
        <v>14035</v>
      </c>
      <c r="S5685" s="102">
        <f t="shared" si="2795"/>
        <v>1543850.0000000002</v>
      </c>
      <c r="T5685" s="102">
        <f t="shared" si="2796"/>
        <v>1403500</v>
      </c>
      <c r="U5685" s="71"/>
      <c r="V5685" s="71"/>
      <c r="W5685" s="474"/>
      <c r="X5685" s="71"/>
      <c r="Y5685" s="71"/>
    </row>
    <row r="5686" spans="1:25" ht="30" hidden="1" customHeight="1" x14ac:dyDescent="0.25">
      <c r="A5686" s="1145">
        <v>44974</v>
      </c>
      <c r="B5686" s="664" t="s">
        <v>575</v>
      </c>
      <c r="C5686" s="71" t="s">
        <v>1530</v>
      </c>
      <c r="D5686" s="71">
        <v>4</v>
      </c>
      <c r="E5686" s="102">
        <v>100000</v>
      </c>
      <c r="F5686" s="102">
        <f t="shared" si="2789"/>
        <v>440000.00000000006</v>
      </c>
      <c r="G5686" s="102">
        <f t="shared" si="2790"/>
        <v>400000</v>
      </c>
      <c r="H5686" s="690" t="s">
        <v>1786</v>
      </c>
      <c r="I5686" s="71" t="s">
        <v>1786</v>
      </c>
      <c r="J5686" s="53">
        <f t="shared" si="2793"/>
        <v>198468</v>
      </c>
      <c r="K5686" s="63">
        <f t="shared" si="2794"/>
        <v>0.49616999999999994</v>
      </c>
      <c r="L5686" s="1212" t="s">
        <v>3678</v>
      </c>
      <c r="M5686" s="468"/>
      <c r="N5686" s="1192">
        <f t="shared" si="2788"/>
        <v>44974</v>
      </c>
      <c r="O5686" s="71" t="s">
        <v>1786</v>
      </c>
      <c r="P5686" s="103" t="str">
        <f t="shared" si="2791"/>
        <v>쇼바</v>
      </c>
      <c r="Q5686" s="71">
        <f t="shared" si="2792"/>
        <v>4</v>
      </c>
      <c r="R5686" s="102">
        <v>50383</v>
      </c>
      <c r="S5686" s="102">
        <f t="shared" si="2795"/>
        <v>221685.2</v>
      </c>
      <c r="T5686" s="102">
        <f t="shared" si="2796"/>
        <v>201532</v>
      </c>
      <c r="U5686" s="71"/>
      <c r="V5686" s="71"/>
      <c r="W5686" s="474"/>
      <c r="X5686" s="71"/>
      <c r="Y5686" s="71"/>
    </row>
    <row r="5687" spans="1:25" s="209" customFormat="1" ht="30" customHeight="1" x14ac:dyDescent="0.25">
      <c r="A5687" s="1145">
        <v>44971</v>
      </c>
      <c r="B5687" s="664" t="s">
        <v>565</v>
      </c>
      <c r="C5687" s="71" t="s">
        <v>3681</v>
      </c>
      <c r="D5687" s="71">
        <v>1</v>
      </c>
      <c r="E5687" s="102">
        <v>9000000</v>
      </c>
      <c r="F5687" s="102">
        <f t="shared" si="2789"/>
        <v>9900000</v>
      </c>
      <c r="G5687" s="102">
        <f t="shared" si="2790"/>
        <v>9000000</v>
      </c>
      <c r="H5687" s="690" t="s">
        <v>142</v>
      </c>
      <c r="I5687" s="71" t="s">
        <v>142</v>
      </c>
      <c r="J5687" s="53"/>
      <c r="K5687" s="63"/>
      <c r="L5687" s="1212" t="s">
        <v>3678</v>
      </c>
      <c r="M5687" s="468"/>
      <c r="N5687" s="1192">
        <f t="shared" si="2788"/>
        <v>44971</v>
      </c>
      <c r="O5687" s="71" t="s">
        <v>3691</v>
      </c>
      <c r="P5687" s="103" t="str">
        <f t="shared" si="2791"/>
        <v>Pressio 일제 신문포장기계 RV-9</v>
      </c>
      <c r="Q5687" s="71">
        <f t="shared" si="2792"/>
        <v>1</v>
      </c>
      <c r="R5687" s="102"/>
      <c r="S5687" s="102"/>
      <c r="T5687" s="102"/>
      <c r="U5687" s="71"/>
      <c r="V5687" s="71"/>
      <c r="W5687" s="474"/>
      <c r="X5687" s="71"/>
      <c r="Y5687" s="71"/>
    </row>
    <row r="5688" spans="1:25" ht="30" customHeight="1" x14ac:dyDescent="0.25">
      <c r="A5688" s="1145">
        <v>44971</v>
      </c>
      <c r="B5688" s="664" t="s">
        <v>565</v>
      </c>
      <c r="C5688" s="71" t="s">
        <v>3682</v>
      </c>
      <c r="D5688" s="71">
        <v>2</v>
      </c>
      <c r="E5688" s="102">
        <v>25251000</v>
      </c>
      <c r="F5688" s="102">
        <f t="shared" si="2789"/>
        <v>55552200.000000007</v>
      </c>
      <c r="G5688" s="102">
        <f t="shared" si="2790"/>
        <v>50502000</v>
      </c>
      <c r="H5688" s="690" t="s">
        <v>142</v>
      </c>
      <c r="I5688" s="71" t="s">
        <v>142</v>
      </c>
      <c r="J5688" s="53"/>
      <c r="K5688" s="63"/>
      <c r="L5688" s="1212" t="s">
        <v>3678</v>
      </c>
      <c r="M5688" s="468"/>
      <c r="N5688" s="1192">
        <f t="shared" si="2788"/>
        <v>44971</v>
      </c>
      <c r="O5688" s="71" t="s">
        <v>1786</v>
      </c>
      <c r="P5688" s="103" t="str">
        <f t="shared" si="2791"/>
        <v>GOSS NEWSLINER 메인 클러치</v>
      </c>
      <c r="Q5688" s="71">
        <f t="shared" si="2792"/>
        <v>2</v>
      </c>
      <c r="R5688" s="102"/>
      <c r="S5688" s="102"/>
      <c r="T5688" s="102"/>
      <c r="U5688" s="71"/>
      <c r="V5688" s="71"/>
      <c r="W5688" s="474"/>
      <c r="X5688" s="71"/>
      <c r="Y5688" s="71"/>
    </row>
    <row r="5689" spans="1:25" ht="30" customHeight="1" x14ac:dyDescent="0.25">
      <c r="A5689" s="1145">
        <v>44984</v>
      </c>
      <c r="B5689" s="664" t="s">
        <v>641</v>
      </c>
      <c r="C5689" s="71" t="s">
        <v>3293</v>
      </c>
      <c r="D5689" s="71">
        <v>60</v>
      </c>
      <c r="E5689" s="102">
        <v>84000</v>
      </c>
      <c r="F5689" s="102">
        <f>(E5689*D5689)*1.1</f>
        <v>5544000</v>
      </c>
      <c r="G5689" s="102">
        <f>(E5689*D5689)</f>
        <v>5040000</v>
      </c>
      <c r="H5689" s="690" t="s">
        <v>172</v>
      </c>
      <c r="I5689" s="71" t="s">
        <v>38</v>
      </c>
      <c r="J5689" s="53">
        <f>G5689-T5689</f>
        <v>1980000</v>
      </c>
      <c r="K5689" s="63">
        <f>(J5689/(F5689/11*10))</f>
        <v>0.39285714285714285</v>
      </c>
      <c r="L5689" s="1212" t="s">
        <v>3678</v>
      </c>
      <c r="M5689" s="468"/>
      <c r="N5689" s="1192">
        <f t="shared" si="2788"/>
        <v>44984</v>
      </c>
      <c r="O5689" s="71" t="s">
        <v>3291</v>
      </c>
      <c r="P5689" s="103" t="str">
        <f>(C5689)</f>
        <v>GOSS 신문윤전 습식세정포</v>
      </c>
      <c r="Q5689" s="71">
        <f>D5689</f>
        <v>60</v>
      </c>
      <c r="R5689" s="102">
        <v>51000</v>
      </c>
      <c r="S5689" s="102">
        <f>R5689*Q5689*1.1</f>
        <v>3366000.0000000005</v>
      </c>
      <c r="T5689" s="102">
        <f>R5689*Q5689</f>
        <v>3060000</v>
      </c>
      <c r="U5689" s="71" t="str">
        <f>IF(J5689=W5689,"O", "X")</f>
        <v>X</v>
      </c>
      <c r="V5689" s="71"/>
      <c r="W5689" s="474"/>
      <c r="X5689" s="71"/>
      <c r="Y5689" s="71"/>
    </row>
    <row r="5690" spans="1:25" ht="30" customHeight="1" x14ac:dyDescent="0.25">
      <c r="A5690" s="1145">
        <v>44973</v>
      </c>
      <c r="B5690" s="664" t="s">
        <v>2536</v>
      </c>
      <c r="C5690" s="71" t="s">
        <v>114</v>
      </c>
      <c r="D5690" s="71">
        <v>50</v>
      </c>
      <c r="E5690" s="102">
        <v>22000</v>
      </c>
      <c r="F5690" s="102">
        <f>(E5690*D5690)*1.1</f>
        <v>1210000</v>
      </c>
      <c r="G5690" s="102">
        <f>(E5690*D5690)</f>
        <v>1100000</v>
      </c>
      <c r="H5690" s="690" t="s">
        <v>1786</v>
      </c>
      <c r="I5690" s="71" t="s">
        <v>1786</v>
      </c>
      <c r="J5690" s="53">
        <f>G5690-T5690</f>
        <v>561200</v>
      </c>
      <c r="K5690" s="63">
        <f>(J5690/(F5690/11*10))</f>
        <v>0.51018181818181818</v>
      </c>
      <c r="L5690" s="1212" t="s">
        <v>3678</v>
      </c>
      <c r="M5690" s="468"/>
      <c r="N5690" s="1192">
        <f t="shared" si="2788"/>
        <v>44973</v>
      </c>
      <c r="O5690" s="71" t="s">
        <v>1786</v>
      </c>
      <c r="P5690" s="103" t="str">
        <f>(C5690)</f>
        <v>스트리퍼</v>
      </c>
      <c r="Q5690" s="71">
        <f>D5690</f>
        <v>50</v>
      </c>
      <c r="R5690" s="102">
        <v>10776</v>
      </c>
      <c r="S5690" s="102">
        <f>R5690*Q5690*1.1</f>
        <v>592680</v>
      </c>
      <c r="T5690" s="102">
        <f>R5690*Q5690</f>
        <v>538800</v>
      </c>
      <c r="U5690" s="71"/>
      <c r="V5690" s="71"/>
      <c r="W5690" s="474"/>
      <c r="X5690" s="71"/>
      <c r="Y5690" s="71"/>
    </row>
    <row r="5691" spans="1:25" ht="30" customHeight="1" x14ac:dyDescent="0.25">
      <c r="A5691" s="1145">
        <v>44960</v>
      </c>
      <c r="B5691" s="664" t="s">
        <v>2352</v>
      </c>
      <c r="C5691" s="760" t="s">
        <v>218</v>
      </c>
      <c r="D5691" s="71">
        <v>3</v>
      </c>
      <c r="E5691" s="102">
        <v>286000</v>
      </c>
      <c r="F5691" s="102">
        <f t="shared" ref="F5691:F5696" si="2797">(E5691*D5691)*1.1</f>
        <v>943800.00000000012</v>
      </c>
      <c r="G5691" s="102">
        <f t="shared" ref="G5691:G5696" si="2798">(E5691*D5691)</f>
        <v>858000</v>
      </c>
      <c r="H5691" s="690" t="s">
        <v>142</v>
      </c>
      <c r="I5691" s="71" t="s">
        <v>179</v>
      </c>
      <c r="J5691" s="53">
        <f t="shared" ref="J5691:J5696" si="2799">G5691-T5691</f>
        <v>520500</v>
      </c>
      <c r="K5691" s="63">
        <f t="shared" ref="K5691:K5696" si="2800">(J5691/(F5691/11*10))</f>
        <v>0.60664335664335656</v>
      </c>
      <c r="L5691" s="1212" t="s">
        <v>3678</v>
      </c>
      <c r="M5691" s="468" t="s">
        <v>2053</v>
      </c>
      <c r="N5691" s="1192">
        <f t="shared" si="2788"/>
        <v>44960</v>
      </c>
      <c r="O5691" s="71" t="s">
        <v>150</v>
      </c>
      <c r="P5691" s="103" t="str">
        <f t="shared" ref="P5691:P5696" si="2801">(C5691)</f>
        <v>Fount Web 551AF</v>
      </c>
      <c r="Q5691" s="71">
        <f t="shared" ref="Q5691:Q5696" si="2802">D5691</f>
        <v>3</v>
      </c>
      <c r="R5691" s="102">
        <v>112500</v>
      </c>
      <c r="S5691" s="102">
        <f t="shared" ref="S5691:S5696" si="2803">R5691*Q5691*1.1</f>
        <v>371250.00000000006</v>
      </c>
      <c r="T5691" s="102">
        <f t="shared" ref="T5691:T5696" si="2804">R5691*Q5691</f>
        <v>337500</v>
      </c>
      <c r="U5691" s="71" t="str">
        <f>IF(J5691=W5691,"O", "X")</f>
        <v>O</v>
      </c>
      <c r="V5691" s="71"/>
      <c r="W5691" s="474">
        <f>(G5691-T5691)</f>
        <v>520500</v>
      </c>
      <c r="X5691" s="71"/>
      <c r="Y5691" s="71"/>
    </row>
    <row r="5692" spans="1:25" ht="30" customHeight="1" x14ac:dyDescent="0.25">
      <c r="A5692" s="1145">
        <v>44974</v>
      </c>
      <c r="B5692" s="664" t="s">
        <v>2352</v>
      </c>
      <c r="C5692" s="71" t="s">
        <v>692</v>
      </c>
      <c r="D5692" s="71">
        <v>6</v>
      </c>
      <c r="E5692" s="102">
        <v>264000</v>
      </c>
      <c r="F5692" s="102">
        <f t="shared" si="2797"/>
        <v>1742400.0000000002</v>
      </c>
      <c r="G5692" s="102">
        <f t="shared" si="2798"/>
        <v>1584000</v>
      </c>
      <c r="H5692" s="690" t="s">
        <v>142</v>
      </c>
      <c r="I5692" s="71" t="s">
        <v>179</v>
      </c>
      <c r="J5692" s="53">
        <f t="shared" si="2799"/>
        <v>624000</v>
      </c>
      <c r="K5692" s="63">
        <f t="shared" si="2800"/>
        <v>0.39393939393939387</v>
      </c>
      <c r="L5692" s="1212" t="s">
        <v>3678</v>
      </c>
      <c r="M5692" s="468" t="s">
        <v>2052</v>
      </c>
      <c r="N5692" s="1192">
        <f t="shared" si="2788"/>
        <v>44974</v>
      </c>
      <c r="O5692" s="71" t="s">
        <v>150</v>
      </c>
      <c r="P5692" s="103" t="str">
        <f t="shared" si="2801"/>
        <v>윤전 블랑켓</v>
      </c>
      <c r="Q5692" s="71">
        <f t="shared" si="2802"/>
        <v>6</v>
      </c>
      <c r="R5692" s="102">
        <v>160000</v>
      </c>
      <c r="S5692" s="102">
        <f t="shared" si="2803"/>
        <v>1056000</v>
      </c>
      <c r="T5692" s="102">
        <f t="shared" si="2804"/>
        <v>960000</v>
      </c>
      <c r="U5692" s="71" t="str">
        <f>IF(J5692=W5692,"O", "X")</f>
        <v>O</v>
      </c>
      <c r="V5692" s="71" t="s">
        <v>784</v>
      </c>
      <c r="W5692" s="474">
        <f>(G5692-T5692)</f>
        <v>624000</v>
      </c>
      <c r="X5692" s="71"/>
      <c r="Y5692" s="71"/>
    </row>
    <row r="5693" spans="1:25" s="209" customFormat="1" ht="30" customHeight="1" x14ac:dyDescent="0.25">
      <c r="A5693" s="1145">
        <v>44974</v>
      </c>
      <c r="B5693" s="664" t="s">
        <v>2352</v>
      </c>
      <c r="C5693" s="71" t="s">
        <v>583</v>
      </c>
      <c r="D5693" s="71">
        <v>16</v>
      </c>
      <c r="E5693" s="102">
        <v>98000</v>
      </c>
      <c r="F5693" s="102">
        <f t="shared" si="2797"/>
        <v>1724800.0000000002</v>
      </c>
      <c r="G5693" s="102">
        <f t="shared" si="2798"/>
        <v>1568000</v>
      </c>
      <c r="H5693" s="690" t="s">
        <v>142</v>
      </c>
      <c r="I5693" s="71" t="s">
        <v>142</v>
      </c>
      <c r="J5693" s="53">
        <f t="shared" si="2799"/>
        <v>864000</v>
      </c>
      <c r="K5693" s="63">
        <f t="shared" si="2800"/>
        <v>0.55102040816326525</v>
      </c>
      <c r="L5693" s="1212" t="s">
        <v>3678</v>
      </c>
      <c r="M5693" s="468" t="s">
        <v>2053</v>
      </c>
      <c r="N5693" s="1192">
        <f t="shared" si="2788"/>
        <v>44974</v>
      </c>
      <c r="O5693" s="71" t="s">
        <v>599</v>
      </c>
      <c r="P5693" s="103" t="str">
        <f t="shared" si="2801"/>
        <v>M600 윤전 세정포</v>
      </c>
      <c r="Q5693" s="71">
        <f t="shared" si="2802"/>
        <v>16</v>
      </c>
      <c r="R5693" s="102">
        <v>44000</v>
      </c>
      <c r="S5693" s="102">
        <f t="shared" si="2803"/>
        <v>774400.00000000012</v>
      </c>
      <c r="T5693" s="102">
        <f t="shared" si="2804"/>
        <v>704000</v>
      </c>
      <c r="U5693" s="71" t="str">
        <f>IF(J5693=W5693,"O", "X")</f>
        <v>O</v>
      </c>
      <c r="V5693" s="71"/>
      <c r="W5693" s="474">
        <f>(G5693-T5693)</f>
        <v>864000</v>
      </c>
      <c r="X5693" s="71"/>
      <c r="Y5693" s="71"/>
    </row>
    <row r="5694" spans="1:25" s="209" customFormat="1" ht="30" hidden="1" customHeight="1" x14ac:dyDescent="0.25">
      <c r="A5694" s="1145">
        <v>44964</v>
      </c>
      <c r="B5694" s="664" t="s">
        <v>2353</v>
      </c>
      <c r="C5694" s="71" t="s">
        <v>130</v>
      </c>
      <c r="D5694" s="71">
        <v>10</v>
      </c>
      <c r="E5694" s="102">
        <v>148000</v>
      </c>
      <c r="F5694" s="102">
        <f t="shared" si="2797"/>
        <v>1628000.0000000002</v>
      </c>
      <c r="G5694" s="102">
        <f t="shared" si="2798"/>
        <v>1480000</v>
      </c>
      <c r="H5694" s="690" t="s">
        <v>142</v>
      </c>
      <c r="I5694" s="71" t="s">
        <v>179</v>
      </c>
      <c r="J5694" s="53">
        <f t="shared" si="2799"/>
        <v>490000</v>
      </c>
      <c r="K5694" s="63">
        <f t="shared" si="2800"/>
        <v>0.33108108108108103</v>
      </c>
      <c r="L5694" s="1212" t="s">
        <v>3678</v>
      </c>
      <c r="M5694" s="468" t="s">
        <v>2050</v>
      </c>
      <c r="N5694" s="1192">
        <f t="shared" si="2788"/>
        <v>44964</v>
      </c>
      <c r="O5694" s="71" t="s">
        <v>150</v>
      </c>
      <c r="P5694" s="103" t="str">
        <f t="shared" si="2801"/>
        <v>XL106 Blanket(1077*885)</v>
      </c>
      <c r="Q5694" s="71">
        <f t="shared" si="2802"/>
        <v>10</v>
      </c>
      <c r="R5694" s="102">
        <v>99000</v>
      </c>
      <c r="S5694" s="102">
        <f t="shared" si="2803"/>
        <v>1089000</v>
      </c>
      <c r="T5694" s="102">
        <f t="shared" si="2804"/>
        <v>990000</v>
      </c>
      <c r="U5694" s="71" t="s">
        <v>859</v>
      </c>
      <c r="V5694" s="71"/>
      <c r="W5694" s="474">
        <v>260000</v>
      </c>
      <c r="X5694" s="71"/>
      <c r="Y5694" s="71"/>
    </row>
    <row r="5695" spans="1:25" ht="30" hidden="1" customHeight="1" x14ac:dyDescent="0.25">
      <c r="A5695" s="1145">
        <v>44964</v>
      </c>
      <c r="B5695" s="664" t="s">
        <v>2353</v>
      </c>
      <c r="C5695" s="71" t="s">
        <v>129</v>
      </c>
      <c r="D5695" s="71">
        <v>7</v>
      </c>
      <c r="E5695" s="102">
        <v>325000</v>
      </c>
      <c r="F5695" s="102">
        <f t="shared" si="2797"/>
        <v>2502500</v>
      </c>
      <c r="G5695" s="102">
        <f t="shared" si="2798"/>
        <v>2275000</v>
      </c>
      <c r="H5695" s="690" t="s">
        <v>142</v>
      </c>
      <c r="I5695" s="71" t="s">
        <v>179</v>
      </c>
      <c r="J5695" s="53">
        <f t="shared" si="2799"/>
        <v>636440</v>
      </c>
      <c r="K5695" s="63">
        <f t="shared" si="2800"/>
        <v>0.27975384615384613</v>
      </c>
      <c r="L5695" s="1212" t="s">
        <v>3678</v>
      </c>
      <c r="M5695" s="468" t="s">
        <v>2050</v>
      </c>
      <c r="N5695" s="1192">
        <f t="shared" si="2788"/>
        <v>44964</v>
      </c>
      <c r="O5695" s="71" t="s">
        <v>149</v>
      </c>
      <c r="P5695" s="103" t="str">
        <f t="shared" si="2801"/>
        <v>세정포-XL106</v>
      </c>
      <c r="Q5695" s="71">
        <f t="shared" si="2802"/>
        <v>7</v>
      </c>
      <c r="R5695" s="102">
        <v>234080</v>
      </c>
      <c r="S5695" s="102">
        <f t="shared" si="2803"/>
        <v>1802416.0000000002</v>
      </c>
      <c r="T5695" s="102">
        <f t="shared" si="2804"/>
        <v>1638560</v>
      </c>
      <c r="U5695" s="71" t="str">
        <f>IF(J5695=W5695,"O", "X")</f>
        <v>O</v>
      </c>
      <c r="V5695" s="71"/>
      <c r="W5695" s="474">
        <f>(G5695-T5695)</f>
        <v>636440</v>
      </c>
      <c r="X5695" s="71"/>
      <c r="Y5695" s="71"/>
    </row>
    <row r="5696" spans="1:25" ht="30" hidden="1" customHeight="1" x14ac:dyDescent="0.25">
      <c r="A5696" s="1145">
        <v>44964</v>
      </c>
      <c r="B5696" s="664" t="s">
        <v>2353</v>
      </c>
      <c r="C5696" s="71" t="s">
        <v>707</v>
      </c>
      <c r="D5696" s="71">
        <v>1</v>
      </c>
      <c r="E5696" s="102">
        <v>264000</v>
      </c>
      <c r="F5696" s="102">
        <f t="shared" si="2797"/>
        <v>290400</v>
      </c>
      <c r="G5696" s="102">
        <f t="shared" si="2798"/>
        <v>264000</v>
      </c>
      <c r="H5696" s="690" t="s">
        <v>142</v>
      </c>
      <c r="I5696" s="71" t="s">
        <v>179</v>
      </c>
      <c r="J5696" s="53">
        <f t="shared" si="2799"/>
        <v>75600</v>
      </c>
      <c r="K5696" s="63">
        <f t="shared" si="2800"/>
        <v>0.28636363636363638</v>
      </c>
      <c r="L5696" s="1212" t="s">
        <v>3678</v>
      </c>
      <c r="M5696" s="102"/>
      <c r="N5696" s="1192">
        <f t="shared" si="2788"/>
        <v>44964</v>
      </c>
      <c r="O5696" s="71" t="s">
        <v>150</v>
      </c>
      <c r="P5696" s="103" t="str">
        <f t="shared" si="2801"/>
        <v>롤러 오일</v>
      </c>
      <c r="Q5696" s="71">
        <f t="shared" si="2802"/>
        <v>1</v>
      </c>
      <c r="R5696" s="102">
        <v>188400</v>
      </c>
      <c r="S5696" s="102">
        <f t="shared" si="2803"/>
        <v>207240.00000000003</v>
      </c>
      <c r="T5696" s="102">
        <f t="shared" si="2804"/>
        <v>188400</v>
      </c>
      <c r="U5696" s="71"/>
      <c r="V5696" s="71"/>
      <c r="W5696" s="474"/>
      <c r="X5696" s="71"/>
      <c r="Y5696" s="71"/>
    </row>
    <row r="5697" spans="1:25" s="209" customFormat="1" ht="30" hidden="1" customHeight="1" x14ac:dyDescent="0.25">
      <c r="A5697" s="1145">
        <v>44980</v>
      </c>
      <c r="B5697" s="664" t="s">
        <v>2353</v>
      </c>
      <c r="C5697" s="71" t="s">
        <v>130</v>
      </c>
      <c r="D5697" s="71">
        <v>20</v>
      </c>
      <c r="E5697" s="102">
        <v>148000</v>
      </c>
      <c r="F5697" s="102">
        <f t="shared" ref="F5697:F5707" si="2805">(E5697*D5697)*1.1</f>
        <v>3256000.0000000005</v>
      </c>
      <c r="G5697" s="102">
        <f t="shared" ref="G5697:G5707" si="2806">(E5697*D5697)</f>
        <v>2960000</v>
      </c>
      <c r="H5697" s="690" t="s">
        <v>142</v>
      </c>
      <c r="I5697" s="71" t="s">
        <v>179</v>
      </c>
      <c r="J5697" s="53">
        <f>G5697-T5697</f>
        <v>720000</v>
      </c>
      <c r="K5697" s="63">
        <f>(J5697/(F5697/11*10))</f>
        <v>0.2432432432432432</v>
      </c>
      <c r="L5697" s="1212" t="s">
        <v>3678</v>
      </c>
      <c r="M5697" s="468" t="s">
        <v>2050</v>
      </c>
      <c r="N5697" s="1192">
        <f t="shared" si="2788"/>
        <v>44980</v>
      </c>
      <c r="O5697" s="71" t="s">
        <v>2030</v>
      </c>
      <c r="P5697" s="103" t="str">
        <f>(C5697)</f>
        <v>XL106 Blanket(1077*885)</v>
      </c>
      <c r="Q5697" s="71">
        <f t="shared" ref="Q5697:Q5707" si="2807">D5697</f>
        <v>20</v>
      </c>
      <c r="R5697" s="102">
        <v>112000</v>
      </c>
      <c r="S5697" s="102">
        <f>R5697*Q5697*1.1</f>
        <v>2464000</v>
      </c>
      <c r="T5697" s="102">
        <f>R5697*Q5697</f>
        <v>2240000</v>
      </c>
      <c r="U5697" s="71" t="s">
        <v>859</v>
      </c>
      <c r="V5697" s="71"/>
      <c r="W5697" s="474">
        <v>260000</v>
      </c>
      <c r="X5697" s="71"/>
      <c r="Y5697" s="71"/>
    </row>
    <row r="5698" spans="1:25" ht="30" hidden="1" customHeight="1" x14ac:dyDescent="0.25">
      <c r="A5698" s="1145">
        <v>44980</v>
      </c>
      <c r="B5698" s="664" t="s">
        <v>2353</v>
      </c>
      <c r="C5698" s="71" t="s">
        <v>129</v>
      </c>
      <c r="D5698" s="71">
        <v>5</v>
      </c>
      <c r="E5698" s="102">
        <v>325000</v>
      </c>
      <c r="F5698" s="102">
        <f t="shared" si="2805"/>
        <v>1787500.0000000002</v>
      </c>
      <c r="G5698" s="102">
        <f t="shared" si="2806"/>
        <v>1625000</v>
      </c>
      <c r="H5698" s="690" t="s">
        <v>142</v>
      </c>
      <c r="I5698" s="71" t="s">
        <v>179</v>
      </c>
      <c r="J5698" s="53">
        <f>G5698-T5698</f>
        <v>454600</v>
      </c>
      <c r="K5698" s="63">
        <f>(J5698/(F5698/11*10))</f>
        <v>0.27975384615384613</v>
      </c>
      <c r="L5698" s="1212" t="s">
        <v>3678</v>
      </c>
      <c r="M5698" s="468" t="s">
        <v>2050</v>
      </c>
      <c r="N5698" s="1192">
        <f t="shared" si="2788"/>
        <v>44980</v>
      </c>
      <c r="O5698" s="71" t="s">
        <v>149</v>
      </c>
      <c r="P5698" s="103" t="str">
        <f>(C5698)</f>
        <v>세정포-XL106</v>
      </c>
      <c r="Q5698" s="71">
        <f t="shared" si="2807"/>
        <v>5</v>
      </c>
      <c r="R5698" s="102">
        <v>234080</v>
      </c>
      <c r="S5698" s="102">
        <f>R5698*Q5698*1.1</f>
        <v>1287440</v>
      </c>
      <c r="T5698" s="102">
        <f>R5698*Q5698</f>
        <v>1170400</v>
      </c>
      <c r="U5698" s="71" t="str">
        <f>IF(J5698=W5698,"O", "X")</f>
        <v>O</v>
      </c>
      <c r="V5698" s="71"/>
      <c r="W5698" s="474">
        <f>(G5698-T5698)</f>
        <v>454600</v>
      </c>
      <c r="X5698" s="71"/>
      <c r="Y5698" s="71"/>
    </row>
    <row r="5699" spans="1:25" s="209" customFormat="1" ht="30" hidden="1" customHeight="1" x14ac:dyDescent="0.25">
      <c r="A5699" s="1145">
        <v>44980</v>
      </c>
      <c r="B5699" s="664" t="s">
        <v>2353</v>
      </c>
      <c r="C5699" s="71" t="s">
        <v>3299</v>
      </c>
      <c r="D5699" s="71">
        <v>7</v>
      </c>
      <c r="E5699" s="102">
        <v>83000</v>
      </c>
      <c r="F5699" s="102">
        <f t="shared" si="2805"/>
        <v>639100</v>
      </c>
      <c r="G5699" s="102">
        <f t="shared" si="2806"/>
        <v>581000</v>
      </c>
      <c r="H5699" s="690" t="s">
        <v>142</v>
      </c>
      <c r="I5699" s="71" t="s">
        <v>179</v>
      </c>
      <c r="J5699" s="53">
        <f>G5699-T5699</f>
        <v>248500</v>
      </c>
      <c r="K5699" s="63">
        <f>(J5699/(F5699/11*10))</f>
        <v>0.42771084337349397</v>
      </c>
      <c r="L5699" s="1212" t="s">
        <v>3678</v>
      </c>
      <c r="M5699" s="468" t="s">
        <v>2214</v>
      </c>
      <c r="N5699" s="1192">
        <f t="shared" si="2788"/>
        <v>44980</v>
      </c>
      <c r="O5699" s="71" t="s">
        <v>3383</v>
      </c>
      <c r="P5699" s="103" t="str">
        <f>(C5699)</f>
        <v>매엽용 세척제(Wash k11)</v>
      </c>
      <c r="Q5699" s="71">
        <f t="shared" si="2807"/>
        <v>7</v>
      </c>
      <c r="R5699" s="102">
        <v>47500</v>
      </c>
      <c r="S5699" s="102">
        <f>R5699*Q5699*1.1</f>
        <v>365750.00000000006</v>
      </c>
      <c r="T5699" s="102">
        <f>R5699*Q5699</f>
        <v>332500</v>
      </c>
      <c r="U5699" s="71" t="s">
        <v>859</v>
      </c>
      <c r="V5699" s="71"/>
      <c r="W5699" s="474">
        <v>136000</v>
      </c>
      <c r="X5699" s="71"/>
      <c r="Y5699" s="71"/>
    </row>
    <row r="5700" spans="1:25" ht="30" hidden="1" customHeight="1" x14ac:dyDescent="0.25">
      <c r="A5700" s="1145">
        <v>44964</v>
      </c>
      <c r="B5700" s="664" t="s">
        <v>2353</v>
      </c>
      <c r="C5700" s="71" t="s">
        <v>123</v>
      </c>
      <c r="D5700" s="71">
        <v>3</v>
      </c>
      <c r="E5700" s="102">
        <v>50000</v>
      </c>
      <c r="F5700" s="102">
        <f t="shared" si="2805"/>
        <v>165000</v>
      </c>
      <c r="G5700" s="102">
        <f t="shared" si="2806"/>
        <v>150000</v>
      </c>
      <c r="H5700" s="690" t="s">
        <v>142</v>
      </c>
      <c r="I5700" s="71" t="s">
        <v>179</v>
      </c>
      <c r="J5700" s="53">
        <f>G5700-T5700</f>
        <v>78000</v>
      </c>
      <c r="K5700" s="63">
        <f>(J5700/(F5700/11*10))</f>
        <v>0.52</v>
      </c>
      <c r="L5700" s="1212" t="s">
        <v>3678</v>
      </c>
      <c r="M5700" s="102"/>
      <c r="N5700" s="1192">
        <f t="shared" si="2788"/>
        <v>44964</v>
      </c>
      <c r="O5700" s="71" t="s">
        <v>94</v>
      </c>
      <c r="P5700" s="103" t="str">
        <f>(C5700)</f>
        <v>필터백</v>
      </c>
      <c r="Q5700" s="71">
        <f t="shared" si="2807"/>
        <v>3</v>
      </c>
      <c r="R5700" s="102">
        <v>24000</v>
      </c>
      <c r="S5700" s="102">
        <f>R5700*Q5700*1.1</f>
        <v>79200</v>
      </c>
      <c r="T5700" s="102">
        <f>R5700*Q5700</f>
        <v>72000</v>
      </c>
      <c r="U5700" s="71"/>
      <c r="V5700" s="71"/>
      <c r="W5700" s="474"/>
      <c r="X5700" s="71"/>
      <c r="Y5700" s="71"/>
    </row>
    <row r="5701" spans="1:25" ht="30" hidden="1" customHeight="1" x14ac:dyDescent="0.25">
      <c r="A5701" s="1145">
        <v>44964</v>
      </c>
      <c r="B5701" s="664" t="s">
        <v>2353</v>
      </c>
      <c r="C5701" s="71" t="s">
        <v>3683</v>
      </c>
      <c r="D5701" s="71">
        <v>5</v>
      </c>
      <c r="E5701" s="102">
        <v>320000</v>
      </c>
      <c r="F5701" s="102">
        <f t="shared" si="2805"/>
        <v>1760000.0000000002</v>
      </c>
      <c r="G5701" s="102">
        <f t="shared" si="2806"/>
        <v>1600000</v>
      </c>
      <c r="H5701" s="690" t="s">
        <v>142</v>
      </c>
      <c r="I5701" s="71" t="s">
        <v>179</v>
      </c>
      <c r="J5701" s="53">
        <f>G5701-T5701</f>
        <v>450000</v>
      </c>
      <c r="K5701" s="63">
        <f>(J5701/(F5701/11*10))</f>
        <v>0.28124999999999994</v>
      </c>
      <c r="L5701" s="1212" t="s">
        <v>3678</v>
      </c>
      <c r="M5701" s="468"/>
      <c r="N5701" s="1192">
        <f t="shared" si="2788"/>
        <v>44964</v>
      </c>
      <c r="O5701" s="71" t="s">
        <v>150</v>
      </c>
      <c r="P5701" s="103" t="str">
        <f>(C5701)</f>
        <v>세척장치 고무</v>
      </c>
      <c r="Q5701" s="71">
        <f t="shared" si="2807"/>
        <v>5</v>
      </c>
      <c r="R5701" s="102">
        <v>230000</v>
      </c>
      <c r="S5701" s="102">
        <f>R5701*Q5701*1.1</f>
        <v>1265000</v>
      </c>
      <c r="T5701" s="102">
        <f>R5701*Q5701</f>
        <v>1150000</v>
      </c>
      <c r="U5701" s="71"/>
      <c r="V5701" s="71"/>
      <c r="W5701" s="474"/>
      <c r="X5701" s="71"/>
      <c r="Y5701" s="71"/>
    </row>
    <row r="5702" spans="1:25" ht="30" hidden="1" customHeight="1" x14ac:dyDescent="0.25">
      <c r="A5702" s="1145">
        <v>44980</v>
      </c>
      <c r="B5702" s="664" t="s">
        <v>2353</v>
      </c>
      <c r="C5702" s="71" t="s">
        <v>2409</v>
      </c>
      <c r="D5702" s="71">
        <v>5</v>
      </c>
      <c r="E5702" s="102">
        <v>178200</v>
      </c>
      <c r="F5702" s="102">
        <f t="shared" si="2805"/>
        <v>980100.00000000012</v>
      </c>
      <c r="G5702" s="102">
        <f t="shared" si="2806"/>
        <v>891000</v>
      </c>
      <c r="H5702" s="690" t="s">
        <v>142</v>
      </c>
      <c r="I5702" s="71" t="s">
        <v>142</v>
      </c>
      <c r="J5702" s="53">
        <f t="shared" ref="J5702:J5707" si="2808">G5702-T5702</f>
        <v>141000</v>
      </c>
      <c r="K5702" s="63">
        <f t="shared" ref="K5702:K5707" si="2809">(J5702/(F5702/11*10))</f>
        <v>0.15824915824915822</v>
      </c>
      <c r="L5702" s="1212" t="s">
        <v>3678</v>
      </c>
      <c r="M5702" s="468"/>
      <c r="N5702" s="1192">
        <f t="shared" si="2788"/>
        <v>44980</v>
      </c>
      <c r="O5702" s="71" t="s">
        <v>150</v>
      </c>
      <c r="P5702" s="103" t="str">
        <f>C5702</f>
        <v>판걸이 실린더 바깥쪽</v>
      </c>
      <c r="Q5702" s="71">
        <f t="shared" si="2807"/>
        <v>5</v>
      </c>
      <c r="R5702" s="102">
        <v>150000</v>
      </c>
      <c r="S5702" s="102">
        <f t="shared" ref="S5702:S5707" si="2810">R5702*Q5702*1.1</f>
        <v>825000.00000000012</v>
      </c>
      <c r="T5702" s="102">
        <f t="shared" ref="T5702:T5707" si="2811">R5702*Q5702</f>
        <v>750000</v>
      </c>
      <c r="U5702" s="71" t="str">
        <f>IF(J5702=W5702,"O", "X")</f>
        <v>X</v>
      </c>
      <c r="V5702" s="71"/>
      <c r="W5702" s="474"/>
      <c r="X5702" s="71"/>
      <c r="Y5702" s="71"/>
    </row>
    <row r="5703" spans="1:25" ht="30" hidden="1" customHeight="1" x14ac:dyDescent="0.25">
      <c r="A5703" s="1145">
        <v>44958</v>
      </c>
      <c r="B5703" s="664" t="s">
        <v>3289</v>
      </c>
      <c r="C5703" s="71" t="s">
        <v>2070</v>
      </c>
      <c r="D5703" s="71">
        <v>10</v>
      </c>
      <c r="E5703" s="102">
        <v>110000</v>
      </c>
      <c r="F5703" s="102">
        <f t="shared" si="2805"/>
        <v>1210000</v>
      </c>
      <c r="G5703" s="102">
        <f t="shared" si="2806"/>
        <v>1100000</v>
      </c>
      <c r="H5703" s="690" t="s">
        <v>172</v>
      </c>
      <c r="I5703" s="71" t="s">
        <v>33</v>
      </c>
      <c r="J5703" s="53">
        <f t="shared" si="2808"/>
        <v>118000</v>
      </c>
      <c r="K5703" s="63">
        <f t="shared" si="2809"/>
        <v>0.10727272727272727</v>
      </c>
      <c r="L5703" s="1212" t="s">
        <v>3678</v>
      </c>
      <c r="M5703" s="468" t="s">
        <v>3684</v>
      </c>
      <c r="N5703" s="1192">
        <f t="shared" si="2788"/>
        <v>44958</v>
      </c>
      <c r="O5703" s="71" t="s">
        <v>146</v>
      </c>
      <c r="P5703" s="103" t="str">
        <f t="shared" ref="P5703:P5718" si="2812">(C5703)</f>
        <v>Blanket(1050*840)</v>
      </c>
      <c r="Q5703" s="71">
        <f t="shared" si="2807"/>
        <v>10</v>
      </c>
      <c r="R5703" s="102">
        <v>98200</v>
      </c>
      <c r="S5703" s="102">
        <f t="shared" si="2810"/>
        <v>1080200</v>
      </c>
      <c r="T5703" s="102">
        <f t="shared" si="2811"/>
        <v>982000</v>
      </c>
      <c r="U5703" s="71" t="str">
        <f>IF(J5703=W5703,"O", "X")</f>
        <v>X</v>
      </c>
      <c r="V5703" s="71"/>
      <c r="W5703" s="474">
        <v>275000</v>
      </c>
      <c r="X5703" s="71"/>
      <c r="Y5703" s="71"/>
    </row>
    <row r="5704" spans="1:25" ht="30" hidden="1" customHeight="1" x14ac:dyDescent="0.25">
      <c r="A5704" s="1145">
        <v>44958</v>
      </c>
      <c r="B5704" s="664" t="s">
        <v>2261</v>
      </c>
      <c r="C5704" s="760" t="s">
        <v>181</v>
      </c>
      <c r="D5704" s="71">
        <v>20</v>
      </c>
      <c r="E5704" s="102">
        <v>193000</v>
      </c>
      <c r="F5704" s="102">
        <f t="shared" si="2805"/>
        <v>4246000</v>
      </c>
      <c r="G5704" s="102">
        <f t="shared" si="2806"/>
        <v>3860000</v>
      </c>
      <c r="H5704" s="690" t="s">
        <v>2029</v>
      </c>
      <c r="I5704" s="71" t="s">
        <v>182</v>
      </c>
      <c r="J5704" s="53">
        <f t="shared" si="2808"/>
        <v>1752000</v>
      </c>
      <c r="K5704" s="63">
        <f t="shared" si="2809"/>
        <v>0.45388601036269433</v>
      </c>
      <c r="L5704" s="1212" t="s">
        <v>3678</v>
      </c>
      <c r="M5704" s="468" t="s">
        <v>3684</v>
      </c>
      <c r="N5704" s="1192">
        <f t="shared" si="2788"/>
        <v>44958</v>
      </c>
      <c r="O5704" s="71" t="s">
        <v>2030</v>
      </c>
      <c r="P5704" s="103" t="str">
        <f t="shared" si="2812"/>
        <v>Fount Web 551AF</v>
      </c>
      <c r="Q5704" s="71">
        <v>17</v>
      </c>
      <c r="R5704" s="102">
        <v>124000</v>
      </c>
      <c r="S5704" s="102">
        <f t="shared" si="2810"/>
        <v>2318800</v>
      </c>
      <c r="T5704" s="102">
        <f t="shared" si="2811"/>
        <v>2108000</v>
      </c>
      <c r="U5704" s="71" t="str">
        <f>IF(J5704=W5704,"O", "X")</f>
        <v>X</v>
      </c>
      <c r="V5704" s="71"/>
      <c r="W5704" s="474">
        <v>640000</v>
      </c>
      <c r="X5704" s="71"/>
      <c r="Y5704" s="71"/>
    </row>
    <row r="5705" spans="1:25" s="209" customFormat="1" ht="31.5" hidden="1" customHeight="1" x14ac:dyDescent="0.2">
      <c r="A5705" s="1145">
        <v>44958</v>
      </c>
      <c r="B5705" s="664" t="s">
        <v>3289</v>
      </c>
      <c r="C5705" s="71" t="s">
        <v>3387</v>
      </c>
      <c r="D5705" s="71">
        <v>20</v>
      </c>
      <c r="E5705" s="102">
        <v>130000</v>
      </c>
      <c r="F5705" s="102">
        <f t="shared" si="2805"/>
        <v>2860000</v>
      </c>
      <c r="G5705" s="102">
        <f t="shared" si="2806"/>
        <v>2600000</v>
      </c>
      <c r="H5705" s="165" t="s">
        <v>172</v>
      </c>
      <c r="I5705" s="71" t="s">
        <v>184</v>
      </c>
      <c r="J5705" s="53">
        <f t="shared" si="2808"/>
        <v>360000</v>
      </c>
      <c r="K5705" s="63">
        <f t="shared" si="2809"/>
        <v>0.13846153846153847</v>
      </c>
      <c r="L5705" s="1212" t="s">
        <v>3678</v>
      </c>
      <c r="M5705" s="468" t="s">
        <v>3684</v>
      </c>
      <c r="N5705" s="1192">
        <f t="shared" si="2788"/>
        <v>44958</v>
      </c>
      <c r="O5705" s="71" t="s">
        <v>189</v>
      </c>
      <c r="P5705" s="103" t="str">
        <f t="shared" si="2812"/>
        <v>Blanket(990*725)</v>
      </c>
      <c r="Q5705" s="71">
        <f t="shared" si="2807"/>
        <v>20</v>
      </c>
      <c r="R5705" s="102">
        <v>112000</v>
      </c>
      <c r="S5705" s="102">
        <f t="shared" si="2810"/>
        <v>2464000</v>
      </c>
      <c r="T5705" s="102">
        <f t="shared" si="2811"/>
        <v>2240000</v>
      </c>
      <c r="U5705" s="71" t="str">
        <f>IF(J5705=W5705,"O", "X")</f>
        <v>X</v>
      </c>
      <c r="V5705" s="71"/>
      <c r="W5705" s="474">
        <v>80000</v>
      </c>
      <c r="X5705" s="71"/>
      <c r="Y5705" s="71"/>
    </row>
    <row r="5706" spans="1:25" ht="30" hidden="1" customHeight="1" x14ac:dyDescent="0.25">
      <c r="A5706" s="1145">
        <v>44958</v>
      </c>
      <c r="B5706" s="664" t="s">
        <v>2261</v>
      </c>
      <c r="C5706" s="71" t="s">
        <v>277</v>
      </c>
      <c r="D5706" s="71">
        <v>15</v>
      </c>
      <c r="E5706" s="102">
        <v>172000</v>
      </c>
      <c r="F5706" s="102">
        <f t="shared" si="2805"/>
        <v>2838000</v>
      </c>
      <c r="G5706" s="102">
        <f t="shared" si="2806"/>
        <v>2580000</v>
      </c>
      <c r="H5706" s="690" t="s">
        <v>172</v>
      </c>
      <c r="I5706" s="71" t="s">
        <v>180</v>
      </c>
      <c r="J5706" s="53">
        <f t="shared" si="2808"/>
        <v>585000</v>
      </c>
      <c r="K5706" s="63">
        <f t="shared" si="2809"/>
        <v>0.22674418604651161</v>
      </c>
      <c r="L5706" s="1212" t="s">
        <v>3678</v>
      </c>
      <c r="M5706" s="468"/>
      <c r="N5706" s="1192">
        <f t="shared" si="2788"/>
        <v>44958</v>
      </c>
      <c r="O5706" s="71" t="s">
        <v>662</v>
      </c>
      <c r="P5706" s="103" t="str">
        <f t="shared" si="2812"/>
        <v>윤전용 세척제(Web 504)</v>
      </c>
      <c r="Q5706" s="71">
        <f t="shared" si="2807"/>
        <v>15</v>
      </c>
      <c r="R5706" s="102">
        <v>133000</v>
      </c>
      <c r="S5706" s="102">
        <f t="shared" si="2810"/>
        <v>2194500</v>
      </c>
      <c r="T5706" s="102">
        <f t="shared" si="2811"/>
        <v>1995000</v>
      </c>
      <c r="U5706" s="71" t="str">
        <f>IF(J5706=W5706,"O", "X")</f>
        <v>X</v>
      </c>
      <c r="V5706" s="71"/>
      <c r="W5706" s="474"/>
      <c r="X5706" s="71"/>
      <c r="Y5706" s="71"/>
    </row>
    <row r="5707" spans="1:25" ht="30" hidden="1" customHeight="1" x14ac:dyDescent="0.25">
      <c r="A5707" s="1145">
        <v>44958</v>
      </c>
      <c r="B5707" s="664" t="s">
        <v>2261</v>
      </c>
      <c r="C5707" s="71" t="s">
        <v>3299</v>
      </c>
      <c r="D5707" s="71">
        <v>5</v>
      </c>
      <c r="E5707" s="102">
        <v>52000</v>
      </c>
      <c r="F5707" s="102">
        <f t="shared" si="2805"/>
        <v>286000</v>
      </c>
      <c r="G5707" s="102">
        <f t="shared" si="2806"/>
        <v>260000</v>
      </c>
      <c r="H5707" s="690" t="s">
        <v>172</v>
      </c>
      <c r="I5707" s="71" t="s">
        <v>180</v>
      </c>
      <c r="J5707" s="53">
        <f t="shared" si="2808"/>
        <v>22500</v>
      </c>
      <c r="K5707" s="63">
        <f t="shared" si="2809"/>
        <v>8.6538461538461536E-2</v>
      </c>
      <c r="L5707" s="1212" t="s">
        <v>3678</v>
      </c>
      <c r="M5707" s="468" t="s">
        <v>3684</v>
      </c>
      <c r="N5707" s="1192">
        <f t="shared" si="2788"/>
        <v>44958</v>
      </c>
      <c r="O5707" s="71" t="s">
        <v>175</v>
      </c>
      <c r="P5707" s="103" t="str">
        <f t="shared" si="2812"/>
        <v>매엽용 세척제(Wash k11)</v>
      </c>
      <c r="Q5707" s="71">
        <f t="shared" si="2807"/>
        <v>5</v>
      </c>
      <c r="R5707" s="102">
        <v>47500</v>
      </c>
      <c r="S5707" s="102">
        <f t="shared" si="2810"/>
        <v>261250.00000000003</v>
      </c>
      <c r="T5707" s="102">
        <f t="shared" si="2811"/>
        <v>237500</v>
      </c>
      <c r="U5707" s="71" t="s">
        <v>859</v>
      </c>
      <c r="V5707" s="71"/>
      <c r="W5707" s="474"/>
      <c r="X5707" s="71"/>
      <c r="Y5707" s="71"/>
    </row>
    <row r="5708" spans="1:25" ht="30" hidden="1" customHeight="1" x14ac:dyDescent="0.25">
      <c r="A5708" s="1145">
        <v>44958</v>
      </c>
      <c r="B5708" s="664" t="s">
        <v>2261</v>
      </c>
      <c r="C5708" s="760" t="s">
        <v>181</v>
      </c>
      <c r="D5708" s="71">
        <v>10</v>
      </c>
      <c r="E5708" s="102">
        <v>193000</v>
      </c>
      <c r="F5708" s="102">
        <f t="shared" ref="F5708:F5717" si="2813">(E5708*D5708)*1.1</f>
        <v>2123000</v>
      </c>
      <c r="G5708" s="102">
        <f t="shared" ref="G5708:G5717" si="2814">(E5708*D5708)</f>
        <v>1930000</v>
      </c>
      <c r="H5708" s="690" t="s">
        <v>2029</v>
      </c>
      <c r="I5708" s="71" t="s">
        <v>182</v>
      </c>
      <c r="J5708" s="53">
        <f t="shared" ref="J5708:J5724" si="2815">G5708-T5708</f>
        <v>690000</v>
      </c>
      <c r="K5708" s="63">
        <f t="shared" ref="K5708:K5715" si="2816">(J5708/(F5708/11*10))</f>
        <v>0.35751295336787564</v>
      </c>
      <c r="L5708" s="1212" t="s">
        <v>3678</v>
      </c>
      <c r="M5708" s="468"/>
      <c r="N5708" s="1192">
        <f t="shared" si="2788"/>
        <v>44958</v>
      </c>
      <c r="O5708" s="71" t="s">
        <v>2030</v>
      </c>
      <c r="P5708" s="103" t="str">
        <f t="shared" si="2812"/>
        <v>Fount Web 551AF</v>
      </c>
      <c r="Q5708" s="71">
        <f t="shared" ref="Q5708:Q5717" si="2817">D5708</f>
        <v>10</v>
      </c>
      <c r="R5708" s="102">
        <v>124000</v>
      </c>
      <c r="S5708" s="102">
        <f t="shared" ref="S5708:S5724" si="2818">R5708*Q5708*1.1</f>
        <v>1364000</v>
      </c>
      <c r="T5708" s="102">
        <f t="shared" ref="T5708:T5724" si="2819">R5708*Q5708</f>
        <v>1240000</v>
      </c>
      <c r="U5708" s="71" t="str">
        <f>IF(J5708=W5708,"O", "X")</f>
        <v>X</v>
      </c>
      <c r="V5708" s="71"/>
      <c r="W5708" s="474">
        <v>640000</v>
      </c>
      <c r="X5708" s="71"/>
      <c r="Y5708" s="71"/>
    </row>
    <row r="5709" spans="1:25" ht="30" hidden="1" customHeight="1" x14ac:dyDescent="0.25">
      <c r="A5709" s="1145">
        <v>44959</v>
      </c>
      <c r="B5709" s="664" t="s">
        <v>2261</v>
      </c>
      <c r="C5709" s="71" t="s">
        <v>277</v>
      </c>
      <c r="D5709" s="71">
        <v>10</v>
      </c>
      <c r="E5709" s="102">
        <v>172000</v>
      </c>
      <c r="F5709" s="102">
        <f t="shared" si="2813"/>
        <v>1892000.0000000002</v>
      </c>
      <c r="G5709" s="102">
        <f t="shared" si="2814"/>
        <v>1720000</v>
      </c>
      <c r="H5709" s="690" t="s">
        <v>172</v>
      </c>
      <c r="I5709" s="71" t="s">
        <v>180</v>
      </c>
      <c r="J5709" s="53">
        <f t="shared" si="2815"/>
        <v>390000</v>
      </c>
      <c r="K5709" s="63">
        <f t="shared" si="2816"/>
        <v>0.22674418604651159</v>
      </c>
      <c r="L5709" s="1212" t="s">
        <v>3678</v>
      </c>
      <c r="M5709" s="468"/>
      <c r="N5709" s="1192">
        <f t="shared" si="2788"/>
        <v>44959</v>
      </c>
      <c r="O5709" s="71" t="s">
        <v>662</v>
      </c>
      <c r="P5709" s="103" t="str">
        <f t="shared" si="2812"/>
        <v>윤전용 세척제(Web 504)</v>
      </c>
      <c r="Q5709" s="71">
        <f t="shared" si="2817"/>
        <v>10</v>
      </c>
      <c r="R5709" s="102">
        <v>133000</v>
      </c>
      <c r="S5709" s="102">
        <f t="shared" si="2818"/>
        <v>1463000.0000000002</v>
      </c>
      <c r="T5709" s="102">
        <f t="shared" si="2819"/>
        <v>1330000</v>
      </c>
      <c r="U5709" s="71" t="str">
        <f>IF(J5709=W5709,"O", "X")</f>
        <v>X</v>
      </c>
      <c r="V5709" s="71"/>
      <c r="W5709" s="474"/>
      <c r="X5709" s="71"/>
      <c r="Y5709" s="71"/>
    </row>
    <row r="5710" spans="1:25" ht="30" hidden="1" customHeight="1" x14ac:dyDescent="0.25">
      <c r="A5710" s="1145">
        <v>44959</v>
      </c>
      <c r="B5710" s="664" t="s">
        <v>2261</v>
      </c>
      <c r="C5710" s="71" t="s">
        <v>3299</v>
      </c>
      <c r="D5710" s="71">
        <v>5</v>
      </c>
      <c r="E5710" s="102">
        <v>52000</v>
      </c>
      <c r="F5710" s="102">
        <f t="shared" si="2813"/>
        <v>286000</v>
      </c>
      <c r="G5710" s="102">
        <f t="shared" si="2814"/>
        <v>260000</v>
      </c>
      <c r="H5710" s="690" t="s">
        <v>172</v>
      </c>
      <c r="I5710" s="71" t="s">
        <v>180</v>
      </c>
      <c r="J5710" s="53">
        <f t="shared" si="2815"/>
        <v>22500</v>
      </c>
      <c r="K5710" s="63">
        <f t="shared" si="2816"/>
        <v>8.6538461538461536E-2</v>
      </c>
      <c r="L5710" s="1212" t="s">
        <v>3678</v>
      </c>
      <c r="M5710" s="468" t="s">
        <v>3684</v>
      </c>
      <c r="N5710" s="1192">
        <f t="shared" si="2788"/>
        <v>44959</v>
      </c>
      <c r="O5710" s="71" t="s">
        <v>175</v>
      </c>
      <c r="P5710" s="103" t="str">
        <f t="shared" si="2812"/>
        <v>매엽용 세척제(Wash k11)</v>
      </c>
      <c r="Q5710" s="71">
        <f t="shared" si="2817"/>
        <v>5</v>
      </c>
      <c r="R5710" s="102">
        <v>47500</v>
      </c>
      <c r="S5710" s="102">
        <f t="shared" si="2818"/>
        <v>261250.00000000003</v>
      </c>
      <c r="T5710" s="102">
        <f t="shared" si="2819"/>
        <v>237500</v>
      </c>
      <c r="U5710" s="71" t="s">
        <v>859</v>
      </c>
      <c r="V5710" s="71"/>
      <c r="W5710" s="474"/>
      <c r="X5710" s="71"/>
      <c r="Y5710" s="71"/>
    </row>
    <row r="5711" spans="1:25" ht="30" hidden="1" customHeight="1" x14ac:dyDescent="0.25">
      <c r="A5711" s="1145">
        <v>44972</v>
      </c>
      <c r="B5711" s="664" t="s">
        <v>3289</v>
      </c>
      <c r="C5711" s="71" t="s">
        <v>2070</v>
      </c>
      <c r="D5711" s="71">
        <v>10</v>
      </c>
      <c r="E5711" s="102">
        <v>110000</v>
      </c>
      <c r="F5711" s="102">
        <f t="shared" si="2813"/>
        <v>1210000</v>
      </c>
      <c r="G5711" s="102">
        <f t="shared" si="2814"/>
        <v>1100000</v>
      </c>
      <c r="H5711" s="690" t="s">
        <v>172</v>
      </c>
      <c r="I5711" s="71" t="s">
        <v>33</v>
      </c>
      <c r="J5711" s="53">
        <f t="shared" si="2815"/>
        <v>118000</v>
      </c>
      <c r="K5711" s="63">
        <f t="shared" si="2816"/>
        <v>0.10727272727272727</v>
      </c>
      <c r="L5711" s="1212" t="s">
        <v>3678</v>
      </c>
      <c r="M5711" s="468"/>
      <c r="N5711" s="1192">
        <f t="shared" si="2788"/>
        <v>44972</v>
      </c>
      <c r="O5711" s="71" t="s">
        <v>146</v>
      </c>
      <c r="P5711" s="103" t="str">
        <f t="shared" si="2812"/>
        <v>Blanket(1050*840)</v>
      </c>
      <c r="Q5711" s="71">
        <f t="shared" si="2817"/>
        <v>10</v>
      </c>
      <c r="R5711" s="102">
        <v>98200</v>
      </c>
      <c r="S5711" s="102">
        <f t="shared" si="2818"/>
        <v>1080200</v>
      </c>
      <c r="T5711" s="102">
        <f t="shared" si="2819"/>
        <v>982000</v>
      </c>
      <c r="U5711" s="71" t="str">
        <f>IF(J5711=W5711,"O", "X")</f>
        <v>X</v>
      </c>
      <c r="V5711" s="71"/>
      <c r="W5711" s="474">
        <v>275000</v>
      </c>
      <c r="X5711" s="71"/>
      <c r="Y5711" s="71"/>
    </row>
    <row r="5712" spans="1:25" ht="30" hidden="1" customHeight="1" x14ac:dyDescent="0.25">
      <c r="A5712" s="1145">
        <v>44977</v>
      </c>
      <c r="B5712" s="664" t="s">
        <v>2261</v>
      </c>
      <c r="C5712" s="71" t="s">
        <v>277</v>
      </c>
      <c r="D5712" s="71">
        <v>10</v>
      </c>
      <c r="E5712" s="102">
        <v>172000</v>
      </c>
      <c r="F5712" s="102">
        <f t="shared" si="2813"/>
        <v>1892000.0000000002</v>
      </c>
      <c r="G5712" s="102">
        <f t="shared" si="2814"/>
        <v>1720000</v>
      </c>
      <c r="H5712" s="690" t="s">
        <v>172</v>
      </c>
      <c r="I5712" s="71" t="s">
        <v>180</v>
      </c>
      <c r="J5712" s="53">
        <f t="shared" si="2815"/>
        <v>390000</v>
      </c>
      <c r="K5712" s="63">
        <f t="shared" si="2816"/>
        <v>0.22674418604651159</v>
      </c>
      <c r="L5712" s="1212" t="s">
        <v>3678</v>
      </c>
      <c r="M5712" s="468"/>
      <c r="N5712" s="1192">
        <f t="shared" si="2788"/>
        <v>44977</v>
      </c>
      <c r="O5712" s="71" t="s">
        <v>662</v>
      </c>
      <c r="P5712" s="103" t="str">
        <f t="shared" si="2812"/>
        <v>윤전용 세척제(Web 504)</v>
      </c>
      <c r="Q5712" s="71">
        <f t="shared" si="2817"/>
        <v>10</v>
      </c>
      <c r="R5712" s="102">
        <v>133000</v>
      </c>
      <c r="S5712" s="102">
        <f t="shared" si="2818"/>
        <v>1463000.0000000002</v>
      </c>
      <c r="T5712" s="102">
        <f t="shared" si="2819"/>
        <v>1330000</v>
      </c>
      <c r="U5712" s="71" t="str">
        <f>IF(J5712=W5712,"O", "X")</f>
        <v>X</v>
      </c>
      <c r="V5712" s="71"/>
      <c r="W5712" s="474"/>
      <c r="X5712" s="71"/>
      <c r="Y5712" s="71"/>
    </row>
    <row r="5713" spans="1:25" ht="30" hidden="1" customHeight="1" x14ac:dyDescent="0.25">
      <c r="A5713" s="1145">
        <v>44977</v>
      </c>
      <c r="B5713" s="664" t="s">
        <v>2261</v>
      </c>
      <c r="C5713" s="71" t="s">
        <v>3299</v>
      </c>
      <c r="D5713" s="71">
        <v>10</v>
      </c>
      <c r="E5713" s="102">
        <v>52000</v>
      </c>
      <c r="F5713" s="102">
        <f t="shared" si="2813"/>
        <v>572000</v>
      </c>
      <c r="G5713" s="102">
        <f t="shared" si="2814"/>
        <v>520000</v>
      </c>
      <c r="H5713" s="690" t="s">
        <v>172</v>
      </c>
      <c r="I5713" s="71" t="s">
        <v>180</v>
      </c>
      <c r="J5713" s="53">
        <f t="shared" si="2815"/>
        <v>45000</v>
      </c>
      <c r="K5713" s="63">
        <f t="shared" si="2816"/>
        <v>8.6538461538461536E-2</v>
      </c>
      <c r="L5713" s="1212" t="s">
        <v>3678</v>
      </c>
      <c r="M5713" s="468" t="s">
        <v>3684</v>
      </c>
      <c r="N5713" s="1192">
        <f t="shared" si="2788"/>
        <v>44977</v>
      </c>
      <c r="O5713" s="71" t="s">
        <v>175</v>
      </c>
      <c r="P5713" s="103" t="str">
        <f t="shared" si="2812"/>
        <v>매엽용 세척제(Wash k11)</v>
      </c>
      <c r="Q5713" s="71">
        <f t="shared" si="2817"/>
        <v>10</v>
      </c>
      <c r="R5713" s="102">
        <v>47500</v>
      </c>
      <c r="S5713" s="102">
        <f t="shared" si="2818"/>
        <v>522500.00000000006</v>
      </c>
      <c r="T5713" s="102">
        <f t="shared" si="2819"/>
        <v>475000</v>
      </c>
      <c r="U5713" s="71" t="s">
        <v>859</v>
      </c>
      <c r="V5713" s="71"/>
      <c r="W5713" s="474"/>
      <c r="X5713" s="71"/>
      <c r="Y5713" s="71"/>
    </row>
    <row r="5714" spans="1:25" ht="30" hidden="1" customHeight="1" x14ac:dyDescent="0.25">
      <c r="A5714" s="1145">
        <v>44958</v>
      </c>
      <c r="B5714" s="664" t="s">
        <v>3296</v>
      </c>
      <c r="C5714" s="71" t="s">
        <v>3297</v>
      </c>
      <c r="D5714" s="71">
        <v>40</v>
      </c>
      <c r="E5714" s="102">
        <v>162500</v>
      </c>
      <c r="F5714" s="102">
        <f t="shared" si="2813"/>
        <v>7150000.0000000009</v>
      </c>
      <c r="G5714" s="102">
        <f t="shared" si="2814"/>
        <v>6500000</v>
      </c>
      <c r="H5714" s="690" t="s">
        <v>172</v>
      </c>
      <c r="I5714" s="71" t="s">
        <v>3295</v>
      </c>
      <c r="J5714" s="53">
        <f t="shared" si="2815"/>
        <v>1700000</v>
      </c>
      <c r="K5714" s="63">
        <f t="shared" si="2816"/>
        <v>0.2615384615384615</v>
      </c>
      <c r="L5714" s="1212" t="s">
        <v>3678</v>
      </c>
      <c r="M5714" s="468"/>
      <c r="N5714" s="1192">
        <f t="shared" si="2788"/>
        <v>44958</v>
      </c>
      <c r="O5714" s="71" t="s">
        <v>662</v>
      </c>
      <c r="P5714" s="103" t="str">
        <f t="shared" si="2812"/>
        <v>실리콘 에멀전</v>
      </c>
      <c r="Q5714" s="71">
        <f t="shared" si="2817"/>
        <v>40</v>
      </c>
      <c r="R5714" s="102">
        <v>120000</v>
      </c>
      <c r="S5714" s="102">
        <f t="shared" si="2818"/>
        <v>5280000</v>
      </c>
      <c r="T5714" s="102">
        <f t="shared" si="2819"/>
        <v>4800000</v>
      </c>
      <c r="U5714" s="71" t="str">
        <f>IF(J5714=W5714,"O", "X")</f>
        <v>X</v>
      </c>
      <c r="V5714" s="71"/>
      <c r="W5714" s="474"/>
      <c r="X5714" s="71"/>
      <c r="Y5714" s="71"/>
    </row>
    <row r="5715" spans="1:25" ht="30" hidden="1" customHeight="1" x14ac:dyDescent="0.25">
      <c r="A5715" s="1145">
        <v>44981</v>
      </c>
      <c r="B5715" s="664" t="s">
        <v>3296</v>
      </c>
      <c r="C5715" s="71" t="s">
        <v>3297</v>
      </c>
      <c r="D5715" s="71">
        <v>20</v>
      </c>
      <c r="E5715" s="102">
        <v>162500</v>
      </c>
      <c r="F5715" s="102">
        <f t="shared" si="2813"/>
        <v>3575000.0000000005</v>
      </c>
      <c r="G5715" s="102">
        <f t="shared" si="2814"/>
        <v>3250000</v>
      </c>
      <c r="H5715" s="690" t="s">
        <v>172</v>
      </c>
      <c r="I5715" s="71" t="s">
        <v>3295</v>
      </c>
      <c r="J5715" s="53">
        <f t="shared" si="2815"/>
        <v>850000</v>
      </c>
      <c r="K5715" s="63">
        <f t="shared" si="2816"/>
        <v>0.2615384615384615</v>
      </c>
      <c r="L5715" s="1212" t="s">
        <v>3678</v>
      </c>
      <c r="M5715" s="468"/>
      <c r="N5715" s="1192">
        <f t="shared" si="2788"/>
        <v>44981</v>
      </c>
      <c r="O5715" s="71" t="s">
        <v>662</v>
      </c>
      <c r="P5715" s="103" t="str">
        <f t="shared" si="2812"/>
        <v>실리콘 에멀전</v>
      </c>
      <c r="Q5715" s="71">
        <f t="shared" si="2817"/>
        <v>20</v>
      </c>
      <c r="R5715" s="102">
        <v>120000</v>
      </c>
      <c r="S5715" s="102">
        <f t="shared" si="2818"/>
        <v>2640000</v>
      </c>
      <c r="T5715" s="102">
        <f t="shared" si="2819"/>
        <v>2400000</v>
      </c>
      <c r="U5715" s="71" t="str">
        <f>IF(J5715=W5715,"O", "X")</f>
        <v>X</v>
      </c>
      <c r="V5715" s="71"/>
      <c r="W5715" s="474"/>
      <c r="X5715" s="71"/>
      <c r="Y5715" s="71"/>
    </row>
    <row r="5716" spans="1:25" ht="30" hidden="1" customHeight="1" x14ac:dyDescent="0.25">
      <c r="A5716" s="1145">
        <v>44978</v>
      </c>
      <c r="B5716" s="664" t="s">
        <v>18</v>
      </c>
      <c r="C5716" s="71" t="s">
        <v>2070</v>
      </c>
      <c r="D5716" s="71">
        <v>10</v>
      </c>
      <c r="E5716" s="102">
        <v>115000</v>
      </c>
      <c r="F5716" s="102">
        <f t="shared" si="2813"/>
        <v>1265000</v>
      </c>
      <c r="G5716" s="102">
        <f t="shared" si="2814"/>
        <v>1150000</v>
      </c>
      <c r="H5716" s="690" t="s">
        <v>172</v>
      </c>
      <c r="I5716" s="71" t="s">
        <v>33</v>
      </c>
      <c r="J5716" s="53">
        <f t="shared" si="2815"/>
        <v>168000</v>
      </c>
      <c r="K5716" s="63">
        <v>0.10555555555555554</v>
      </c>
      <c r="L5716" s="1212" t="s">
        <v>3678</v>
      </c>
      <c r="M5716" s="468"/>
      <c r="N5716" s="1192">
        <f t="shared" si="2788"/>
        <v>44978</v>
      </c>
      <c r="O5716" s="71" t="s">
        <v>146</v>
      </c>
      <c r="P5716" s="103" t="str">
        <f t="shared" si="2812"/>
        <v>Blanket(1050*840)</v>
      </c>
      <c r="Q5716" s="71">
        <f t="shared" si="2817"/>
        <v>10</v>
      </c>
      <c r="R5716" s="102">
        <v>98200</v>
      </c>
      <c r="S5716" s="102">
        <f t="shared" si="2818"/>
        <v>1080200</v>
      </c>
      <c r="T5716" s="102">
        <f t="shared" si="2819"/>
        <v>982000</v>
      </c>
      <c r="U5716" s="71" t="s">
        <v>859</v>
      </c>
      <c r="V5716" s="71"/>
      <c r="W5716" s="474"/>
      <c r="X5716" s="71"/>
      <c r="Y5716" s="71"/>
    </row>
    <row r="5717" spans="1:25" ht="30" hidden="1" customHeight="1" x14ac:dyDescent="0.25">
      <c r="A5717" s="1145">
        <v>44978</v>
      </c>
      <c r="B5717" s="664" t="s">
        <v>548</v>
      </c>
      <c r="C5717" s="71" t="s">
        <v>3384</v>
      </c>
      <c r="D5717" s="71">
        <v>300</v>
      </c>
      <c r="E5717" s="102">
        <v>450</v>
      </c>
      <c r="F5717" s="102">
        <f t="shared" si="2813"/>
        <v>148500</v>
      </c>
      <c r="G5717" s="102">
        <f t="shared" si="2814"/>
        <v>135000</v>
      </c>
      <c r="H5717" s="690" t="s">
        <v>2029</v>
      </c>
      <c r="I5717" s="71" t="s">
        <v>3385</v>
      </c>
      <c r="J5717" s="53">
        <f t="shared" si="2815"/>
        <v>39000</v>
      </c>
      <c r="K5717" s="63">
        <f t="shared" ref="K5717:K5722" si="2820">(J5717/(F5717/11*10))</f>
        <v>0.28888888888888886</v>
      </c>
      <c r="L5717" s="1212" t="s">
        <v>3678</v>
      </c>
      <c r="M5717" s="468"/>
      <c r="N5717" s="1192">
        <f t="shared" si="2788"/>
        <v>44978</v>
      </c>
      <c r="O5717" s="71" t="s">
        <v>2030</v>
      </c>
      <c r="P5717" s="103" t="str">
        <f t="shared" si="2812"/>
        <v>고무사카 빨간색</v>
      </c>
      <c r="Q5717" s="71">
        <f t="shared" si="2817"/>
        <v>300</v>
      </c>
      <c r="R5717" s="102">
        <v>320</v>
      </c>
      <c r="S5717" s="102">
        <f t="shared" si="2818"/>
        <v>105600.00000000001</v>
      </c>
      <c r="T5717" s="102">
        <f t="shared" si="2819"/>
        <v>96000</v>
      </c>
      <c r="U5717" s="71"/>
      <c r="V5717" s="71"/>
      <c r="W5717" s="474"/>
      <c r="X5717" s="71"/>
      <c r="Y5717" s="71"/>
    </row>
    <row r="5718" spans="1:25" ht="30" hidden="1" customHeight="1" x14ac:dyDescent="0.25">
      <c r="A5718" s="1145">
        <v>44978</v>
      </c>
      <c r="B5718" s="664" t="s">
        <v>18</v>
      </c>
      <c r="C5718" s="71" t="s">
        <v>3305</v>
      </c>
      <c r="D5718" s="71">
        <v>8</v>
      </c>
      <c r="E5718" s="102">
        <v>86000</v>
      </c>
      <c r="F5718" s="102">
        <f t="shared" ref="F5718:F5724" si="2821">(E5718*D5718)*1.1</f>
        <v>756800.00000000012</v>
      </c>
      <c r="G5718" s="102">
        <f t="shared" ref="G5718:G5724" si="2822">(E5718*D5718)</f>
        <v>688000</v>
      </c>
      <c r="H5718" s="690" t="s">
        <v>172</v>
      </c>
      <c r="I5718" s="71" t="s">
        <v>3295</v>
      </c>
      <c r="J5718" s="53">
        <f t="shared" si="2815"/>
        <v>128000</v>
      </c>
      <c r="K5718" s="63">
        <f t="shared" si="2820"/>
        <v>0.18604651162790695</v>
      </c>
      <c r="L5718" s="1212" t="s">
        <v>3678</v>
      </c>
      <c r="M5718" s="468" t="s">
        <v>3306</v>
      </c>
      <c r="N5718" s="1192">
        <f t="shared" si="2788"/>
        <v>44978</v>
      </c>
      <c r="O5718" s="71" t="s">
        <v>146</v>
      </c>
      <c r="P5718" s="103" t="str">
        <f t="shared" si="2812"/>
        <v>파우더</v>
      </c>
      <c r="Q5718" s="71">
        <f t="shared" ref="Q5718:Q5724" si="2823">D5718</f>
        <v>8</v>
      </c>
      <c r="R5718" s="102">
        <v>70000</v>
      </c>
      <c r="S5718" s="102">
        <f t="shared" si="2818"/>
        <v>616000</v>
      </c>
      <c r="T5718" s="102">
        <f t="shared" si="2819"/>
        <v>560000</v>
      </c>
      <c r="U5718" s="71" t="str">
        <f>IF(J5718=W5718,"O", "X")</f>
        <v>X</v>
      </c>
      <c r="V5718" s="71"/>
      <c r="W5718" s="474"/>
      <c r="X5718" s="71"/>
      <c r="Y5718" s="71"/>
    </row>
    <row r="5719" spans="1:25" ht="30" hidden="1" customHeight="1" x14ac:dyDescent="0.25">
      <c r="A5719" s="1145">
        <v>44953</v>
      </c>
      <c r="B5719" s="664" t="s">
        <v>442</v>
      </c>
      <c r="C5719" s="71" t="s">
        <v>3299</v>
      </c>
      <c r="D5719" s="71">
        <v>25</v>
      </c>
      <c r="E5719" s="102">
        <v>69000</v>
      </c>
      <c r="F5719" s="102">
        <f t="shared" si="2821"/>
        <v>1897500.0000000002</v>
      </c>
      <c r="G5719" s="102">
        <f t="shared" si="2822"/>
        <v>1725000</v>
      </c>
      <c r="H5719" s="690" t="s">
        <v>172</v>
      </c>
      <c r="I5719" s="71" t="s">
        <v>180</v>
      </c>
      <c r="J5719" s="53">
        <f t="shared" si="2815"/>
        <v>537500</v>
      </c>
      <c r="K5719" s="63">
        <f t="shared" si="2820"/>
        <v>0.31159420289855067</v>
      </c>
      <c r="L5719" s="1212" t="s">
        <v>3678</v>
      </c>
      <c r="M5719" s="468" t="s">
        <v>3304</v>
      </c>
      <c r="N5719" s="1192">
        <f t="shared" si="2788"/>
        <v>44953</v>
      </c>
      <c r="O5719" s="71" t="s">
        <v>175</v>
      </c>
      <c r="P5719" s="103" t="s">
        <v>3299</v>
      </c>
      <c r="Q5719" s="71">
        <f t="shared" si="2823"/>
        <v>25</v>
      </c>
      <c r="R5719" s="102">
        <v>47500</v>
      </c>
      <c r="S5719" s="102">
        <f t="shared" si="2818"/>
        <v>1306250</v>
      </c>
      <c r="T5719" s="102">
        <f t="shared" si="2819"/>
        <v>1187500</v>
      </c>
      <c r="U5719" s="71" t="s">
        <v>859</v>
      </c>
      <c r="V5719" s="71"/>
      <c r="W5719" s="474"/>
      <c r="X5719" s="71"/>
      <c r="Y5719" s="71"/>
    </row>
    <row r="5720" spans="1:25" ht="30" hidden="1" customHeight="1" x14ac:dyDescent="0.25">
      <c r="A5720" s="1145">
        <v>44966</v>
      </c>
      <c r="B5720" s="664" t="s">
        <v>442</v>
      </c>
      <c r="C5720" s="71" t="s">
        <v>651</v>
      </c>
      <c r="D5720" s="71">
        <v>10</v>
      </c>
      <c r="E5720" s="102">
        <v>50000</v>
      </c>
      <c r="F5720" s="102">
        <f t="shared" si="2821"/>
        <v>550000</v>
      </c>
      <c r="G5720" s="102">
        <f t="shared" si="2822"/>
        <v>500000</v>
      </c>
      <c r="H5720" s="690" t="s">
        <v>2029</v>
      </c>
      <c r="I5720" s="71" t="s">
        <v>195</v>
      </c>
      <c r="J5720" s="53">
        <f t="shared" si="2815"/>
        <v>205700</v>
      </c>
      <c r="K5720" s="63">
        <f t="shared" si="2820"/>
        <v>0.41139999999999999</v>
      </c>
      <c r="L5720" s="1212" t="s">
        <v>3678</v>
      </c>
      <c r="M5720" s="468"/>
      <c r="N5720" s="1192">
        <f t="shared" si="2788"/>
        <v>44966</v>
      </c>
      <c r="O5720" s="71" t="s">
        <v>194</v>
      </c>
      <c r="P5720" s="164" t="str">
        <f>(C5720)</f>
        <v>Agfa 현상액 G101C(10L)</v>
      </c>
      <c r="Q5720" s="71">
        <f t="shared" si="2823"/>
        <v>10</v>
      </c>
      <c r="R5720" s="102">
        <v>29430</v>
      </c>
      <c r="S5720" s="102">
        <f t="shared" si="2818"/>
        <v>323730</v>
      </c>
      <c r="T5720" s="102">
        <f t="shared" si="2819"/>
        <v>294300</v>
      </c>
      <c r="U5720" s="71" t="str">
        <f>IF(J5720=W5720,"O", "X")</f>
        <v>O</v>
      </c>
      <c r="V5720" s="71"/>
      <c r="W5720" s="474">
        <f>(G5720-T5720)</f>
        <v>205700</v>
      </c>
      <c r="X5720" s="71"/>
      <c r="Y5720" s="71"/>
    </row>
    <row r="5721" spans="1:25" s="209" customFormat="1" ht="30" hidden="1" customHeight="1" x14ac:dyDescent="0.25">
      <c r="A5721" s="1145">
        <v>44981</v>
      </c>
      <c r="B5721" s="664" t="s">
        <v>442</v>
      </c>
      <c r="C5721" s="71" t="s">
        <v>3685</v>
      </c>
      <c r="D5721" s="71">
        <v>500</v>
      </c>
      <c r="E5721" s="102">
        <v>4250</v>
      </c>
      <c r="F5721" s="102">
        <f t="shared" si="2821"/>
        <v>2337500</v>
      </c>
      <c r="G5721" s="102">
        <f t="shared" si="2822"/>
        <v>2125000</v>
      </c>
      <c r="H5721" s="690" t="s">
        <v>173</v>
      </c>
      <c r="I5721" s="71" t="s">
        <v>2230</v>
      </c>
      <c r="J5721" s="53">
        <f t="shared" si="2815"/>
        <v>152500</v>
      </c>
      <c r="K5721" s="63">
        <f t="shared" si="2820"/>
        <v>7.1764705882352939E-2</v>
      </c>
      <c r="L5721" s="1212" t="s">
        <v>3678</v>
      </c>
      <c r="M5721" s="468"/>
      <c r="N5721" s="1192">
        <f t="shared" si="2788"/>
        <v>44981</v>
      </c>
      <c r="O5721" s="71" t="s">
        <v>150</v>
      </c>
      <c r="P5721" s="164" t="str">
        <f>(C5721)</f>
        <v>CTP 판 1030*790</v>
      </c>
      <c r="Q5721" s="71">
        <f t="shared" si="2823"/>
        <v>500</v>
      </c>
      <c r="R5721" s="102">
        <v>3945</v>
      </c>
      <c r="S5721" s="102">
        <f t="shared" si="2818"/>
        <v>2169750</v>
      </c>
      <c r="T5721" s="102">
        <f t="shared" si="2819"/>
        <v>1972500</v>
      </c>
      <c r="U5721" s="71"/>
      <c r="V5721" s="71"/>
      <c r="W5721" s="474"/>
      <c r="X5721" s="71"/>
      <c r="Y5721" s="71"/>
    </row>
    <row r="5722" spans="1:25" ht="30" hidden="1" customHeight="1" x14ac:dyDescent="0.25">
      <c r="A5722" s="1145">
        <v>44981</v>
      </c>
      <c r="B5722" s="664" t="s">
        <v>442</v>
      </c>
      <c r="C5722" s="71" t="s">
        <v>984</v>
      </c>
      <c r="D5722" s="71">
        <v>10</v>
      </c>
      <c r="E5722" s="102">
        <v>57000</v>
      </c>
      <c r="F5722" s="102">
        <f t="shared" si="2821"/>
        <v>627000</v>
      </c>
      <c r="G5722" s="102">
        <f t="shared" si="2822"/>
        <v>570000</v>
      </c>
      <c r="H5722" s="690" t="s">
        <v>173</v>
      </c>
      <c r="I5722" s="71" t="s">
        <v>2230</v>
      </c>
      <c r="J5722" s="53">
        <f t="shared" si="2815"/>
        <v>332040</v>
      </c>
      <c r="K5722" s="63">
        <f t="shared" si="2820"/>
        <v>0.58252631578947367</v>
      </c>
      <c r="L5722" s="1212" t="s">
        <v>3678</v>
      </c>
      <c r="M5722" s="468"/>
      <c r="N5722" s="1192">
        <f t="shared" si="2788"/>
        <v>44981</v>
      </c>
      <c r="O5722" s="71" t="s">
        <v>150</v>
      </c>
      <c r="P5722" s="103" t="str">
        <f>(C5722)</f>
        <v>CTP 현상액</v>
      </c>
      <c r="Q5722" s="71">
        <v>6</v>
      </c>
      <c r="R5722" s="102">
        <v>39660</v>
      </c>
      <c r="S5722" s="102">
        <f t="shared" si="2818"/>
        <v>261756.00000000003</v>
      </c>
      <c r="T5722" s="102">
        <f t="shared" si="2819"/>
        <v>237960</v>
      </c>
      <c r="U5722" s="71"/>
      <c r="V5722" s="71"/>
      <c r="W5722" s="474"/>
      <c r="X5722" s="71"/>
      <c r="Y5722" s="71"/>
    </row>
    <row r="5723" spans="1:25" ht="30" hidden="1" customHeight="1" x14ac:dyDescent="0.25">
      <c r="A5723" s="1145">
        <v>44966</v>
      </c>
      <c r="B5723" s="664" t="s">
        <v>26</v>
      </c>
      <c r="C5723" s="71" t="s">
        <v>2087</v>
      </c>
      <c r="D5723" s="71">
        <v>5</v>
      </c>
      <c r="E5723" s="102">
        <v>85000</v>
      </c>
      <c r="F5723" s="102">
        <f t="shared" si="2821"/>
        <v>467500.00000000006</v>
      </c>
      <c r="G5723" s="102">
        <f t="shared" si="2822"/>
        <v>425000</v>
      </c>
      <c r="H5723" s="690" t="s">
        <v>172</v>
      </c>
      <c r="I5723" s="71" t="s">
        <v>3295</v>
      </c>
      <c r="J5723" s="53">
        <f t="shared" si="2815"/>
        <v>175000</v>
      </c>
      <c r="K5723" s="63">
        <f>(J5723/(F5723/11*10))</f>
        <v>0.41176470588235287</v>
      </c>
      <c r="L5723" s="1212" t="s">
        <v>3678</v>
      </c>
      <c r="M5723" s="468"/>
      <c r="N5723" s="1192">
        <f t="shared" si="2788"/>
        <v>44966</v>
      </c>
      <c r="O5723" s="71" t="s">
        <v>152</v>
      </c>
      <c r="P5723" s="103" t="str">
        <f>(C5723)</f>
        <v>아스테이지(국전)</v>
      </c>
      <c r="Q5723" s="71">
        <f t="shared" si="2823"/>
        <v>5</v>
      </c>
      <c r="R5723" s="102">
        <v>50000</v>
      </c>
      <c r="S5723" s="102">
        <f t="shared" si="2818"/>
        <v>275000</v>
      </c>
      <c r="T5723" s="102">
        <f t="shared" si="2819"/>
        <v>250000</v>
      </c>
      <c r="U5723" s="71" t="str">
        <f>IF(J5723=W5723,"O", "X")</f>
        <v>X</v>
      </c>
      <c r="V5723" s="71"/>
      <c r="W5723" s="474">
        <v>150000</v>
      </c>
      <c r="X5723" s="71"/>
      <c r="Y5723" s="71"/>
    </row>
    <row r="5724" spans="1:25" ht="30" hidden="1" customHeight="1" x14ac:dyDescent="0.25">
      <c r="A5724" s="1145">
        <v>44966</v>
      </c>
      <c r="B5724" s="664" t="s">
        <v>26</v>
      </c>
      <c r="C5724" s="71" t="s">
        <v>3328</v>
      </c>
      <c r="D5724" s="71">
        <v>5</v>
      </c>
      <c r="E5724" s="102">
        <v>65000</v>
      </c>
      <c r="F5724" s="102">
        <f t="shared" si="2821"/>
        <v>357500</v>
      </c>
      <c r="G5724" s="102">
        <f t="shared" si="2822"/>
        <v>325000</v>
      </c>
      <c r="H5724" s="690" t="s">
        <v>172</v>
      </c>
      <c r="I5724" s="71" t="s">
        <v>3295</v>
      </c>
      <c r="J5724" s="53">
        <f t="shared" si="2815"/>
        <v>125000</v>
      </c>
      <c r="K5724" s="63">
        <f>(J5724/(F5724/11*10))</f>
        <v>0.38461538461538464</v>
      </c>
      <c r="L5724" s="1212" t="s">
        <v>3678</v>
      </c>
      <c r="M5724" s="468"/>
      <c r="N5724" s="1192">
        <f t="shared" si="2788"/>
        <v>44966</v>
      </c>
      <c r="O5724" s="71" t="s">
        <v>152</v>
      </c>
      <c r="P5724" s="103" t="str">
        <f>(C5724)</f>
        <v>아스테이지(CD74용)</v>
      </c>
      <c r="Q5724" s="71">
        <f t="shared" si="2823"/>
        <v>5</v>
      </c>
      <c r="R5724" s="102">
        <v>40000</v>
      </c>
      <c r="S5724" s="102">
        <f t="shared" si="2818"/>
        <v>220000.00000000003</v>
      </c>
      <c r="T5724" s="102">
        <f t="shared" si="2819"/>
        <v>200000</v>
      </c>
      <c r="U5724" s="71" t="str">
        <f>IF(J5724=W5724,"O", "X")</f>
        <v>X</v>
      </c>
      <c r="V5724" s="71"/>
      <c r="W5724" s="474"/>
      <c r="X5724" s="71"/>
      <c r="Y5724" s="71"/>
    </row>
    <row r="5725" spans="1:25" ht="30" hidden="1" customHeight="1" x14ac:dyDescent="0.25">
      <c r="A5725" s="1145">
        <v>44980</v>
      </c>
      <c r="B5725" s="664" t="s">
        <v>26</v>
      </c>
      <c r="C5725" s="71" t="s">
        <v>2087</v>
      </c>
      <c r="D5725" s="71">
        <v>5</v>
      </c>
      <c r="E5725" s="102">
        <v>85000</v>
      </c>
      <c r="F5725" s="102">
        <f t="shared" ref="F5725:F5739" si="2824">(E5725*D5725)*1.1</f>
        <v>467500.00000000006</v>
      </c>
      <c r="G5725" s="102">
        <f t="shared" ref="G5725:G5739" si="2825">(E5725*D5725)</f>
        <v>425000</v>
      </c>
      <c r="H5725" s="690" t="s">
        <v>172</v>
      </c>
      <c r="I5725" s="71" t="s">
        <v>3295</v>
      </c>
      <c r="J5725" s="53">
        <f t="shared" ref="J5725:J5745" si="2826">G5725-T5725</f>
        <v>175000</v>
      </c>
      <c r="K5725" s="63">
        <f t="shared" ref="K5725:K5745" si="2827">(J5725/(F5725/11*10))</f>
        <v>0.41176470588235287</v>
      </c>
      <c r="L5725" s="1212" t="s">
        <v>3678</v>
      </c>
      <c r="M5725" s="468"/>
      <c r="N5725" s="1192">
        <f t="shared" si="2788"/>
        <v>44980</v>
      </c>
      <c r="O5725" s="71" t="s">
        <v>152</v>
      </c>
      <c r="P5725" s="103" t="str">
        <f t="shared" ref="P5725:P5748" si="2828">(C5725)</f>
        <v>아스테이지(국전)</v>
      </c>
      <c r="Q5725" s="71">
        <f t="shared" ref="Q5725:Q5748" si="2829">D5725</f>
        <v>5</v>
      </c>
      <c r="R5725" s="102">
        <v>50000</v>
      </c>
      <c r="S5725" s="102">
        <f t="shared" ref="S5725:S5745" si="2830">R5725*Q5725*1.1</f>
        <v>275000</v>
      </c>
      <c r="T5725" s="102">
        <f t="shared" ref="T5725:T5745" si="2831">R5725*Q5725</f>
        <v>250000</v>
      </c>
      <c r="U5725" s="71" t="str">
        <f>IF(J5725=W5725,"O", "X")</f>
        <v>X</v>
      </c>
      <c r="V5725" s="71"/>
      <c r="W5725" s="474">
        <v>150000</v>
      </c>
      <c r="X5725" s="71"/>
      <c r="Y5725" s="71"/>
    </row>
    <row r="5726" spans="1:25" ht="30" hidden="1" customHeight="1" x14ac:dyDescent="0.25">
      <c r="A5726" s="1145">
        <v>44979</v>
      </c>
      <c r="B5726" s="664" t="s">
        <v>2798</v>
      </c>
      <c r="C5726" s="71" t="s">
        <v>167</v>
      </c>
      <c r="D5726" s="71">
        <v>10</v>
      </c>
      <c r="E5726" s="102">
        <v>138000</v>
      </c>
      <c r="F5726" s="102">
        <f t="shared" si="2824"/>
        <v>1518000.0000000002</v>
      </c>
      <c r="G5726" s="102">
        <f t="shared" si="2825"/>
        <v>1380000</v>
      </c>
      <c r="H5726" s="690" t="s">
        <v>172</v>
      </c>
      <c r="I5726" s="71" t="s">
        <v>33</v>
      </c>
      <c r="J5726" s="53">
        <f t="shared" si="2826"/>
        <v>368000</v>
      </c>
      <c r="K5726" s="63">
        <f t="shared" si="2827"/>
        <v>0.26666666666666661</v>
      </c>
      <c r="L5726" s="1212" t="s">
        <v>3678</v>
      </c>
      <c r="M5726" s="468"/>
      <c r="N5726" s="1192">
        <f t="shared" si="2788"/>
        <v>44979</v>
      </c>
      <c r="O5726" s="71" t="s">
        <v>146</v>
      </c>
      <c r="P5726" s="103" t="str">
        <f t="shared" si="2828"/>
        <v>Blanket(1060*860)</v>
      </c>
      <c r="Q5726" s="71">
        <f t="shared" si="2829"/>
        <v>10</v>
      </c>
      <c r="R5726" s="102">
        <v>101200</v>
      </c>
      <c r="S5726" s="102">
        <f t="shared" si="2830"/>
        <v>1113200</v>
      </c>
      <c r="T5726" s="102">
        <f t="shared" si="2831"/>
        <v>1012000</v>
      </c>
      <c r="U5726" s="71" t="str">
        <f>IF(J5726=W5726,"O", "X")</f>
        <v>X</v>
      </c>
      <c r="V5726" s="71"/>
      <c r="W5726" s="474"/>
      <c r="X5726" s="71"/>
      <c r="Y5726" s="71"/>
    </row>
    <row r="5727" spans="1:25" ht="30" hidden="1" customHeight="1" x14ac:dyDescent="0.25">
      <c r="A5727" s="1145">
        <v>44979</v>
      </c>
      <c r="B5727" s="664" t="s">
        <v>444</v>
      </c>
      <c r="C5727" s="71" t="s">
        <v>3399</v>
      </c>
      <c r="D5727" s="71">
        <v>5</v>
      </c>
      <c r="E5727" s="102">
        <v>195000</v>
      </c>
      <c r="F5727" s="102">
        <f t="shared" si="2824"/>
        <v>1072500</v>
      </c>
      <c r="G5727" s="102">
        <f t="shared" si="2825"/>
        <v>975000</v>
      </c>
      <c r="H5727" s="690" t="s">
        <v>2029</v>
      </c>
      <c r="I5727" s="71" t="s">
        <v>180</v>
      </c>
      <c r="J5727" s="53">
        <f t="shared" si="2826"/>
        <v>325000</v>
      </c>
      <c r="K5727" s="63">
        <f t="shared" si="2827"/>
        <v>0.33333333333333331</v>
      </c>
      <c r="L5727" s="1212" t="s">
        <v>3678</v>
      </c>
      <c r="M5727" s="468"/>
      <c r="N5727" s="1192">
        <f t="shared" si="2788"/>
        <v>44979</v>
      </c>
      <c r="O5727" s="71" t="s">
        <v>191</v>
      </c>
      <c r="P5727" s="103" t="str">
        <f t="shared" si="2828"/>
        <v>UV wash offset UV</v>
      </c>
      <c r="Q5727" s="71">
        <f t="shared" si="2829"/>
        <v>5</v>
      </c>
      <c r="R5727" s="102">
        <v>130000</v>
      </c>
      <c r="S5727" s="102">
        <f t="shared" si="2830"/>
        <v>715000</v>
      </c>
      <c r="T5727" s="102">
        <f t="shared" si="2831"/>
        <v>650000</v>
      </c>
      <c r="U5727" s="71"/>
      <c r="V5727" s="71"/>
      <c r="W5727" s="474"/>
      <c r="X5727" s="71"/>
      <c r="Y5727" s="71"/>
    </row>
    <row r="5728" spans="1:25" ht="30" hidden="1" customHeight="1" x14ac:dyDescent="0.25">
      <c r="A5728" s="1145">
        <v>44982</v>
      </c>
      <c r="B5728" s="664" t="s">
        <v>1060</v>
      </c>
      <c r="C5728" s="71" t="s">
        <v>3655</v>
      </c>
      <c r="D5728" s="71">
        <v>700</v>
      </c>
      <c r="E5728" s="102">
        <v>5470</v>
      </c>
      <c r="F5728" s="102">
        <f t="shared" si="2824"/>
        <v>4211900</v>
      </c>
      <c r="G5728" s="102">
        <f t="shared" si="2825"/>
        <v>3829000</v>
      </c>
      <c r="H5728" s="690" t="s">
        <v>36</v>
      </c>
      <c r="I5728" s="71" t="s">
        <v>2529</v>
      </c>
      <c r="J5728" s="53">
        <f t="shared" si="2826"/>
        <v>1110900</v>
      </c>
      <c r="K5728" s="63">
        <f t="shared" si="2827"/>
        <v>0.29012797074954294</v>
      </c>
      <c r="L5728" s="1212" t="s">
        <v>3678</v>
      </c>
      <c r="M5728" s="102" t="s">
        <v>3662</v>
      </c>
      <c r="N5728" s="1192">
        <f t="shared" si="2788"/>
        <v>44982</v>
      </c>
      <c r="O5728" s="71" t="s">
        <v>150</v>
      </c>
      <c r="P5728" s="103" t="str">
        <f t="shared" si="2828"/>
        <v>Saphira CTP 판 1030 x 790</v>
      </c>
      <c r="Q5728" s="71">
        <f t="shared" si="2829"/>
        <v>700</v>
      </c>
      <c r="R5728" s="102">
        <v>3883</v>
      </c>
      <c r="S5728" s="102">
        <f t="shared" si="2830"/>
        <v>2989910.0000000005</v>
      </c>
      <c r="T5728" s="102">
        <f t="shared" si="2831"/>
        <v>2718100</v>
      </c>
      <c r="U5728" s="71" t="s">
        <v>859</v>
      </c>
      <c r="V5728" s="71"/>
      <c r="W5728" s="474">
        <v>942000</v>
      </c>
      <c r="X5728" s="71"/>
      <c r="Y5728" s="71"/>
    </row>
    <row r="5729" spans="1:25" ht="30" hidden="1" customHeight="1" x14ac:dyDescent="0.25">
      <c r="A5729" s="1145">
        <v>44982</v>
      </c>
      <c r="B5729" s="664" t="s">
        <v>2255</v>
      </c>
      <c r="C5729" s="71" t="s">
        <v>3656</v>
      </c>
      <c r="D5729" s="71">
        <v>2900</v>
      </c>
      <c r="E5729" s="102">
        <v>3460</v>
      </c>
      <c r="F5729" s="102">
        <f t="shared" si="2824"/>
        <v>11037400</v>
      </c>
      <c r="G5729" s="102">
        <f t="shared" si="2825"/>
        <v>10034000</v>
      </c>
      <c r="H5729" s="690" t="s">
        <v>36</v>
      </c>
      <c r="I5729" s="71" t="s">
        <v>2529</v>
      </c>
      <c r="J5729" s="53">
        <f t="shared" si="2826"/>
        <v>2926100</v>
      </c>
      <c r="K5729" s="63">
        <f t="shared" si="2827"/>
        <v>0.29161849710982657</v>
      </c>
      <c r="L5729" s="1212" t="s">
        <v>3678</v>
      </c>
      <c r="M5729" s="102" t="s">
        <v>3662</v>
      </c>
      <c r="N5729" s="1192">
        <f t="shared" si="2788"/>
        <v>44982</v>
      </c>
      <c r="O5729" s="71" t="s">
        <v>150</v>
      </c>
      <c r="P5729" s="103" t="str">
        <f t="shared" si="2828"/>
        <v>Saphira CTP 판 900 x 571</v>
      </c>
      <c r="Q5729" s="71">
        <f t="shared" si="2829"/>
        <v>2900</v>
      </c>
      <c r="R5729" s="102">
        <v>2451</v>
      </c>
      <c r="S5729" s="102">
        <f t="shared" si="2830"/>
        <v>7818690.0000000009</v>
      </c>
      <c r="T5729" s="102">
        <f t="shared" si="2831"/>
        <v>7107900</v>
      </c>
      <c r="U5729" s="71" t="s">
        <v>859</v>
      </c>
      <c r="V5729" s="71"/>
      <c r="W5729" s="474">
        <v>1274000</v>
      </c>
      <c r="X5729" s="71"/>
      <c r="Y5729" s="71"/>
    </row>
    <row r="5730" spans="1:25" ht="30" hidden="1" customHeight="1" x14ac:dyDescent="0.25">
      <c r="A5730" s="1145">
        <v>44982</v>
      </c>
      <c r="B5730" s="664" t="s">
        <v>2255</v>
      </c>
      <c r="C5730" s="71" t="s">
        <v>3657</v>
      </c>
      <c r="D5730" s="71">
        <v>2900</v>
      </c>
      <c r="E5730" s="102">
        <v>3270</v>
      </c>
      <c r="F5730" s="102">
        <f t="shared" si="2824"/>
        <v>10431300</v>
      </c>
      <c r="G5730" s="102">
        <f t="shared" si="2825"/>
        <v>9483000</v>
      </c>
      <c r="H5730" s="690" t="s">
        <v>36</v>
      </c>
      <c r="I5730" s="71" t="s">
        <v>2529</v>
      </c>
      <c r="J5730" s="53">
        <f t="shared" si="2826"/>
        <v>2734700</v>
      </c>
      <c r="K5730" s="63">
        <f t="shared" si="2827"/>
        <v>0.28837920489296637</v>
      </c>
      <c r="L5730" s="1212" t="s">
        <v>3678</v>
      </c>
      <c r="M5730" s="102" t="s">
        <v>3662</v>
      </c>
      <c r="N5730" s="1192">
        <f t="shared" si="2788"/>
        <v>44982</v>
      </c>
      <c r="O5730" s="71" t="s">
        <v>150</v>
      </c>
      <c r="P5730" s="103" t="str">
        <f t="shared" si="2828"/>
        <v>Saphira CTP 판 883 x 552</v>
      </c>
      <c r="Q5730" s="71">
        <f t="shared" si="2829"/>
        <v>2900</v>
      </c>
      <c r="R5730" s="102">
        <v>2327</v>
      </c>
      <c r="S5730" s="102">
        <f t="shared" si="2830"/>
        <v>7423130.0000000009</v>
      </c>
      <c r="T5730" s="102">
        <f t="shared" si="2831"/>
        <v>6748300</v>
      </c>
      <c r="U5730" s="71" t="s">
        <v>859</v>
      </c>
      <c r="V5730" s="71"/>
      <c r="W5730" s="474">
        <v>3325000</v>
      </c>
      <c r="X5730" s="71"/>
      <c r="Y5730" s="71"/>
    </row>
    <row r="5731" spans="1:25" ht="30" hidden="1" customHeight="1" x14ac:dyDescent="0.25">
      <c r="A5731" s="1145">
        <v>44982</v>
      </c>
      <c r="B5731" s="664" t="s">
        <v>2255</v>
      </c>
      <c r="C5731" s="71" t="s">
        <v>3658</v>
      </c>
      <c r="D5731" s="71">
        <v>2700</v>
      </c>
      <c r="E5731" s="102">
        <v>5550</v>
      </c>
      <c r="F5731" s="102">
        <f t="shared" si="2824"/>
        <v>16483500.000000002</v>
      </c>
      <c r="G5731" s="102">
        <f t="shared" si="2825"/>
        <v>14985000</v>
      </c>
      <c r="H5731" s="690" t="s">
        <v>36</v>
      </c>
      <c r="I5731" s="71" t="s">
        <v>2529</v>
      </c>
      <c r="J5731" s="53">
        <f t="shared" si="2826"/>
        <v>4363200</v>
      </c>
      <c r="K5731" s="63">
        <f t="shared" si="2827"/>
        <v>0.29117117117117114</v>
      </c>
      <c r="L5731" s="1212" t="s">
        <v>3678</v>
      </c>
      <c r="M5731" s="102" t="s">
        <v>3662</v>
      </c>
      <c r="N5731" s="1192">
        <f t="shared" si="2788"/>
        <v>44982</v>
      </c>
      <c r="O5731" s="71" t="s">
        <v>150</v>
      </c>
      <c r="P5731" s="103" t="str">
        <f t="shared" si="2828"/>
        <v>Saphira CTP 판 1030 x 800</v>
      </c>
      <c r="Q5731" s="71">
        <f t="shared" si="2829"/>
        <v>2700</v>
      </c>
      <c r="R5731" s="102">
        <v>3934</v>
      </c>
      <c r="S5731" s="102">
        <f t="shared" si="2830"/>
        <v>11683980.000000002</v>
      </c>
      <c r="T5731" s="102">
        <f t="shared" si="2831"/>
        <v>10621800</v>
      </c>
      <c r="U5731" s="71" t="s">
        <v>859</v>
      </c>
      <c r="V5731" s="71"/>
      <c r="W5731" s="474">
        <v>636000</v>
      </c>
      <c r="X5731" s="71"/>
      <c r="Y5731" s="71"/>
    </row>
    <row r="5732" spans="1:25" ht="30" hidden="1" customHeight="1" x14ac:dyDescent="0.25">
      <c r="A5732" s="1145">
        <v>44982</v>
      </c>
      <c r="B5732" s="664" t="s">
        <v>2255</v>
      </c>
      <c r="C5732" s="71" t="s">
        <v>3659</v>
      </c>
      <c r="D5732" s="71">
        <v>2100</v>
      </c>
      <c r="E5732" s="102">
        <v>5750</v>
      </c>
      <c r="F5732" s="102">
        <f t="shared" si="2824"/>
        <v>13282500.000000002</v>
      </c>
      <c r="G5732" s="102">
        <f t="shared" si="2825"/>
        <v>12075000</v>
      </c>
      <c r="H5732" s="690" t="s">
        <v>36</v>
      </c>
      <c r="I5732" s="71" t="s">
        <v>2529</v>
      </c>
      <c r="J5732" s="53">
        <f t="shared" si="2826"/>
        <v>3511200</v>
      </c>
      <c r="K5732" s="63">
        <f t="shared" si="2827"/>
        <v>0.29078260869565214</v>
      </c>
      <c r="L5732" s="1212" t="s">
        <v>3678</v>
      </c>
      <c r="M5732" s="102" t="s">
        <v>3662</v>
      </c>
      <c r="N5732" s="1192">
        <f t="shared" si="2788"/>
        <v>44982</v>
      </c>
      <c r="O5732" s="71" t="s">
        <v>150</v>
      </c>
      <c r="P5732" s="103" t="str">
        <f t="shared" si="2828"/>
        <v>Saphira CTP 판 1055 x 811</v>
      </c>
      <c r="Q5732" s="71">
        <f t="shared" si="2829"/>
        <v>2100</v>
      </c>
      <c r="R5732" s="102">
        <v>4078</v>
      </c>
      <c r="S5732" s="102">
        <f t="shared" si="2830"/>
        <v>9420180</v>
      </c>
      <c r="T5732" s="102">
        <f t="shared" si="2831"/>
        <v>8563800</v>
      </c>
      <c r="U5732" s="71" t="s">
        <v>859</v>
      </c>
      <c r="V5732" s="71"/>
      <c r="W5732" s="474">
        <v>1476000</v>
      </c>
      <c r="X5732" s="71"/>
      <c r="Y5732" s="71"/>
    </row>
    <row r="5733" spans="1:25" ht="30" hidden="1" customHeight="1" x14ac:dyDescent="0.25">
      <c r="A5733" s="1145">
        <v>44982</v>
      </c>
      <c r="B5733" s="664" t="s">
        <v>2255</v>
      </c>
      <c r="C5733" s="71" t="s">
        <v>3660</v>
      </c>
      <c r="D5733" s="71">
        <v>0</v>
      </c>
      <c r="E5733" s="102">
        <v>4100</v>
      </c>
      <c r="F5733" s="102">
        <f t="shared" si="2824"/>
        <v>0</v>
      </c>
      <c r="G5733" s="102">
        <f t="shared" si="2825"/>
        <v>0</v>
      </c>
      <c r="H5733" s="690" t="s">
        <v>36</v>
      </c>
      <c r="I5733" s="71" t="s">
        <v>2529</v>
      </c>
      <c r="J5733" s="53">
        <f t="shared" si="2826"/>
        <v>0</v>
      </c>
      <c r="K5733" s="63" t="e">
        <f t="shared" si="2827"/>
        <v>#DIV/0!</v>
      </c>
      <c r="L5733" s="1212" t="s">
        <v>3678</v>
      </c>
      <c r="M5733" s="102" t="s">
        <v>3662</v>
      </c>
      <c r="N5733" s="1192">
        <f t="shared" si="2788"/>
        <v>44982</v>
      </c>
      <c r="O5733" s="71" t="s">
        <v>150</v>
      </c>
      <c r="P5733" s="103" t="str">
        <f t="shared" si="2828"/>
        <v>Saphira CTP 판 968 x 631</v>
      </c>
      <c r="Q5733" s="71">
        <f t="shared" si="2829"/>
        <v>0</v>
      </c>
      <c r="R5733" s="102">
        <v>2914</v>
      </c>
      <c r="S5733" s="102">
        <f t="shared" si="2830"/>
        <v>0</v>
      </c>
      <c r="T5733" s="102">
        <f t="shared" si="2831"/>
        <v>0</v>
      </c>
      <c r="U5733" s="71" t="s">
        <v>859</v>
      </c>
      <c r="V5733" s="71"/>
      <c r="W5733" s="474">
        <v>1416000</v>
      </c>
      <c r="X5733" s="71"/>
      <c r="Y5733" s="71"/>
    </row>
    <row r="5734" spans="1:25" ht="30" hidden="1" customHeight="1" x14ac:dyDescent="0.25">
      <c r="A5734" s="1145">
        <v>44982</v>
      </c>
      <c r="B5734" s="664" t="s">
        <v>2255</v>
      </c>
      <c r="C5734" s="71" t="s">
        <v>3661</v>
      </c>
      <c r="D5734" s="71">
        <v>40</v>
      </c>
      <c r="E5734" s="102">
        <v>49720</v>
      </c>
      <c r="F5734" s="102">
        <f t="shared" si="2824"/>
        <v>2187680</v>
      </c>
      <c r="G5734" s="102">
        <f t="shared" si="2825"/>
        <v>1988800</v>
      </c>
      <c r="H5734" s="690" t="s">
        <v>179</v>
      </c>
      <c r="I5734" s="71" t="s">
        <v>3405</v>
      </c>
      <c r="J5734" s="53">
        <f t="shared" si="2826"/>
        <v>402400</v>
      </c>
      <c r="K5734" s="63">
        <f t="shared" si="2827"/>
        <v>0.20233306516492358</v>
      </c>
      <c r="L5734" s="1212" t="s">
        <v>3678</v>
      </c>
      <c r="M5734" s="468"/>
      <c r="N5734" s="1192">
        <f t="shared" si="2788"/>
        <v>44982</v>
      </c>
      <c r="O5734" s="71" t="s">
        <v>194</v>
      </c>
      <c r="P5734" s="103" t="str">
        <f t="shared" si="2828"/>
        <v>사피라 현상액</v>
      </c>
      <c r="Q5734" s="71">
        <f t="shared" si="2829"/>
        <v>40</v>
      </c>
      <c r="R5734" s="102">
        <v>39660</v>
      </c>
      <c r="S5734" s="102">
        <f t="shared" si="2830"/>
        <v>1745040.0000000002</v>
      </c>
      <c r="T5734" s="102">
        <f t="shared" si="2831"/>
        <v>1586400</v>
      </c>
      <c r="U5734" s="71" t="s">
        <v>859</v>
      </c>
      <c r="V5734" s="71"/>
      <c r="W5734" s="474">
        <v>978750</v>
      </c>
      <c r="X5734" s="71"/>
      <c r="Y5734" s="71"/>
    </row>
    <row r="5735" spans="1:25" ht="30" hidden="1" customHeight="1" x14ac:dyDescent="0.25">
      <c r="A5735" s="1145">
        <v>44982</v>
      </c>
      <c r="B5735" s="664" t="s">
        <v>2254</v>
      </c>
      <c r="C5735" s="71" t="s">
        <v>3319</v>
      </c>
      <c r="D5735" s="71">
        <v>200</v>
      </c>
      <c r="E5735" s="102">
        <v>6328</v>
      </c>
      <c r="F5735" s="102">
        <f t="shared" si="2824"/>
        <v>1392160</v>
      </c>
      <c r="G5735" s="102">
        <f t="shared" si="2825"/>
        <v>1265600</v>
      </c>
      <c r="H5735" s="690" t="s">
        <v>36</v>
      </c>
      <c r="I5735" s="71" t="s">
        <v>3320</v>
      </c>
      <c r="J5735" s="53">
        <f t="shared" si="2826"/>
        <v>95600</v>
      </c>
      <c r="K5735" s="63">
        <f t="shared" si="2827"/>
        <v>7.5537294563843241E-2</v>
      </c>
      <c r="L5735" s="1212" t="s">
        <v>3678</v>
      </c>
      <c r="M5735" s="468"/>
      <c r="N5735" s="1192">
        <f t="shared" si="2788"/>
        <v>44982</v>
      </c>
      <c r="O5735" s="71" t="s">
        <v>146</v>
      </c>
      <c r="P5735" s="103" t="str">
        <f t="shared" si="2828"/>
        <v>프리미어(먹)</v>
      </c>
      <c r="Q5735" s="71">
        <f t="shared" si="2829"/>
        <v>200</v>
      </c>
      <c r="R5735" s="102">
        <v>5850</v>
      </c>
      <c r="S5735" s="102">
        <f t="shared" si="2830"/>
        <v>1287000</v>
      </c>
      <c r="T5735" s="102">
        <f t="shared" si="2831"/>
        <v>1170000</v>
      </c>
      <c r="U5735" s="71" t="s">
        <v>859</v>
      </c>
      <c r="V5735" s="71"/>
      <c r="W5735" s="474">
        <v>411200</v>
      </c>
      <c r="X5735" s="71"/>
      <c r="Y5735" s="71"/>
    </row>
    <row r="5736" spans="1:25" ht="30" hidden="1" customHeight="1" x14ac:dyDescent="0.25">
      <c r="A5736" s="1145">
        <v>44982</v>
      </c>
      <c r="B5736" s="664" t="s">
        <v>2254</v>
      </c>
      <c r="C5736" s="71" t="s">
        <v>3321</v>
      </c>
      <c r="D5736" s="71">
        <v>400</v>
      </c>
      <c r="E5736" s="102">
        <v>6780</v>
      </c>
      <c r="F5736" s="102">
        <f t="shared" si="2824"/>
        <v>2983200.0000000005</v>
      </c>
      <c r="G5736" s="102">
        <f t="shared" si="2825"/>
        <v>2712000</v>
      </c>
      <c r="H5736" s="690" t="s">
        <v>36</v>
      </c>
      <c r="I5736" s="71" t="s">
        <v>3320</v>
      </c>
      <c r="J5736" s="53">
        <f t="shared" si="2826"/>
        <v>200000</v>
      </c>
      <c r="K5736" s="63">
        <f t="shared" si="2827"/>
        <v>7.3746312684365767E-2</v>
      </c>
      <c r="L5736" s="1212" t="s">
        <v>3678</v>
      </c>
      <c r="M5736" s="468"/>
      <c r="N5736" s="1192">
        <f t="shared" si="2788"/>
        <v>44982</v>
      </c>
      <c r="O5736" s="71" t="s">
        <v>146</v>
      </c>
      <c r="P5736" s="103" t="str">
        <f t="shared" si="2828"/>
        <v>프리미어(적)</v>
      </c>
      <c r="Q5736" s="71">
        <f t="shared" si="2829"/>
        <v>400</v>
      </c>
      <c r="R5736" s="102">
        <v>6280</v>
      </c>
      <c r="S5736" s="102">
        <f t="shared" si="2830"/>
        <v>2763200</v>
      </c>
      <c r="T5736" s="102">
        <f t="shared" si="2831"/>
        <v>2512000</v>
      </c>
      <c r="U5736" s="71" t="s">
        <v>859</v>
      </c>
      <c r="V5736" s="71"/>
      <c r="W5736" s="474">
        <v>292000</v>
      </c>
      <c r="X5736" s="71"/>
      <c r="Y5736" s="71"/>
    </row>
    <row r="5737" spans="1:25" ht="30" hidden="1" customHeight="1" x14ac:dyDescent="0.25">
      <c r="A5737" s="1145">
        <v>44982</v>
      </c>
      <c r="B5737" s="664" t="s">
        <v>2254</v>
      </c>
      <c r="C5737" s="71" t="s">
        <v>1289</v>
      </c>
      <c r="D5737" s="71">
        <v>600</v>
      </c>
      <c r="E5737" s="102">
        <v>6498</v>
      </c>
      <c r="F5737" s="102">
        <f t="shared" si="2824"/>
        <v>4288680</v>
      </c>
      <c r="G5737" s="102">
        <f t="shared" si="2825"/>
        <v>3898800</v>
      </c>
      <c r="H5737" s="690" t="s">
        <v>36</v>
      </c>
      <c r="I5737" s="71" t="s">
        <v>3320</v>
      </c>
      <c r="J5737" s="53">
        <f t="shared" si="2826"/>
        <v>286800</v>
      </c>
      <c r="K5737" s="63">
        <f t="shared" si="2827"/>
        <v>7.3561095721760547E-2</v>
      </c>
      <c r="L5737" s="1212" t="s">
        <v>3678</v>
      </c>
      <c r="M5737" s="468"/>
      <c r="N5737" s="1192">
        <f t="shared" si="2788"/>
        <v>44982</v>
      </c>
      <c r="O5737" s="71" t="s">
        <v>146</v>
      </c>
      <c r="P5737" s="103" t="str">
        <f t="shared" si="2828"/>
        <v>프리미어(황)</v>
      </c>
      <c r="Q5737" s="71">
        <f t="shared" si="2829"/>
        <v>600</v>
      </c>
      <c r="R5737" s="102">
        <v>6020</v>
      </c>
      <c r="S5737" s="102">
        <f t="shared" si="2830"/>
        <v>3973200.0000000005</v>
      </c>
      <c r="T5737" s="102">
        <f t="shared" si="2831"/>
        <v>3612000</v>
      </c>
      <c r="U5737" s="71" t="s">
        <v>859</v>
      </c>
      <c r="V5737" s="71"/>
      <c r="W5737" s="474">
        <v>640800</v>
      </c>
      <c r="X5737" s="71"/>
      <c r="Y5737" s="71"/>
    </row>
    <row r="5738" spans="1:25" ht="30" hidden="1" customHeight="1" x14ac:dyDescent="0.25">
      <c r="A5738" s="1145">
        <v>44982</v>
      </c>
      <c r="B5738" s="664" t="s">
        <v>2254</v>
      </c>
      <c r="C5738" s="71" t="s">
        <v>1290</v>
      </c>
      <c r="D5738" s="71">
        <v>400</v>
      </c>
      <c r="E5738" s="102">
        <v>7910</v>
      </c>
      <c r="F5738" s="102">
        <f t="shared" si="2824"/>
        <v>3480400.0000000005</v>
      </c>
      <c r="G5738" s="102">
        <f t="shared" si="2825"/>
        <v>3164000</v>
      </c>
      <c r="H5738" s="690" t="s">
        <v>36</v>
      </c>
      <c r="I5738" s="71" t="s">
        <v>3320</v>
      </c>
      <c r="J5738" s="53">
        <f t="shared" si="2826"/>
        <v>240000</v>
      </c>
      <c r="K5738" s="63">
        <f t="shared" si="2827"/>
        <v>7.5853350189633365E-2</v>
      </c>
      <c r="L5738" s="1212" t="s">
        <v>3678</v>
      </c>
      <c r="M5738" s="468"/>
      <c r="N5738" s="1192">
        <f t="shared" si="2788"/>
        <v>44982</v>
      </c>
      <c r="O5738" s="71" t="s">
        <v>146</v>
      </c>
      <c r="P5738" s="103" t="str">
        <f t="shared" si="2828"/>
        <v>프리미어(청)</v>
      </c>
      <c r="Q5738" s="71">
        <f t="shared" si="2829"/>
        <v>400</v>
      </c>
      <c r="R5738" s="102">
        <v>7310</v>
      </c>
      <c r="S5738" s="102">
        <f t="shared" si="2830"/>
        <v>3216400.0000000005</v>
      </c>
      <c r="T5738" s="102">
        <f t="shared" si="2831"/>
        <v>2924000</v>
      </c>
      <c r="U5738" s="71" t="s">
        <v>859</v>
      </c>
      <c r="V5738" s="71"/>
      <c r="W5738" s="474">
        <v>846000</v>
      </c>
      <c r="X5738" s="71"/>
      <c r="Y5738" s="71"/>
    </row>
    <row r="5739" spans="1:25" ht="30" hidden="1" customHeight="1" x14ac:dyDescent="0.25">
      <c r="A5739" s="1145">
        <v>44982</v>
      </c>
      <c r="B5739" s="664" t="s">
        <v>2254</v>
      </c>
      <c r="C5739" s="71" t="s">
        <v>3322</v>
      </c>
      <c r="D5739" s="71">
        <v>0</v>
      </c>
      <c r="E5739" s="102">
        <v>7150</v>
      </c>
      <c r="F5739" s="102">
        <f t="shared" si="2824"/>
        <v>0</v>
      </c>
      <c r="G5739" s="102">
        <f t="shared" si="2825"/>
        <v>0</v>
      </c>
      <c r="H5739" s="690" t="s">
        <v>36</v>
      </c>
      <c r="I5739" s="71" t="s">
        <v>3320</v>
      </c>
      <c r="J5739" s="53">
        <f t="shared" si="2826"/>
        <v>0</v>
      </c>
      <c r="K5739" s="63" t="e">
        <f t="shared" si="2827"/>
        <v>#DIV/0!</v>
      </c>
      <c r="L5739" s="1212" t="s">
        <v>3678</v>
      </c>
      <c r="M5739" s="468"/>
      <c r="N5739" s="1192">
        <f t="shared" ref="N5739:N5755" si="2832">A5739</f>
        <v>44982</v>
      </c>
      <c r="O5739" s="71" t="s">
        <v>3323</v>
      </c>
      <c r="P5739" s="103" t="str">
        <f t="shared" si="2828"/>
        <v>한특 잉크(적)</v>
      </c>
      <c r="Q5739" s="71">
        <f t="shared" si="2829"/>
        <v>0</v>
      </c>
      <c r="R5739" s="102">
        <v>6500</v>
      </c>
      <c r="S5739" s="102">
        <f t="shared" si="2830"/>
        <v>0</v>
      </c>
      <c r="T5739" s="102">
        <f t="shared" si="2831"/>
        <v>0</v>
      </c>
      <c r="U5739" s="71" t="s">
        <v>859</v>
      </c>
      <c r="V5739" s="71"/>
      <c r="W5739" s="474">
        <v>0</v>
      </c>
      <c r="X5739" s="71"/>
      <c r="Y5739" s="71"/>
    </row>
    <row r="5740" spans="1:25" ht="30" hidden="1" customHeight="1" x14ac:dyDescent="0.25">
      <c r="A5740" s="1145">
        <v>44982</v>
      </c>
      <c r="B5740" s="664" t="s">
        <v>2254</v>
      </c>
      <c r="C5740" s="71" t="s">
        <v>3324</v>
      </c>
      <c r="D5740" s="71">
        <v>0</v>
      </c>
      <c r="E5740" s="102">
        <v>6900</v>
      </c>
      <c r="F5740" s="102">
        <v>0</v>
      </c>
      <c r="G5740" s="102">
        <v>0</v>
      </c>
      <c r="H5740" s="690" t="s">
        <v>36</v>
      </c>
      <c r="I5740" s="71" t="s">
        <v>3320</v>
      </c>
      <c r="J5740" s="53">
        <f t="shared" si="2826"/>
        <v>0</v>
      </c>
      <c r="K5740" s="63" t="e">
        <f t="shared" si="2827"/>
        <v>#DIV/0!</v>
      </c>
      <c r="L5740" s="1212" t="s">
        <v>3678</v>
      </c>
      <c r="M5740" s="468"/>
      <c r="N5740" s="1192">
        <f t="shared" si="2832"/>
        <v>44982</v>
      </c>
      <c r="O5740" s="71" t="s">
        <v>3323</v>
      </c>
      <c r="P5740" s="103" t="str">
        <f t="shared" si="2828"/>
        <v>한특 잉크(황)</v>
      </c>
      <c r="Q5740" s="71">
        <f t="shared" si="2829"/>
        <v>0</v>
      </c>
      <c r="R5740" s="102">
        <v>6200</v>
      </c>
      <c r="S5740" s="102">
        <f t="shared" si="2830"/>
        <v>0</v>
      </c>
      <c r="T5740" s="102">
        <f t="shared" si="2831"/>
        <v>0</v>
      </c>
      <c r="U5740" s="71" t="s">
        <v>859</v>
      </c>
      <c r="V5740" s="71"/>
      <c r="W5740" s="474">
        <v>0</v>
      </c>
      <c r="X5740" s="71"/>
      <c r="Y5740" s="71"/>
    </row>
    <row r="5741" spans="1:25" ht="28.5" hidden="1" customHeight="1" x14ac:dyDescent="0.25">
      <c r="A5741" s="1145">
        <v>44982</v>
      </c>
      <c r="B5741" s="664" t="s">
        <v>2254</v>
      </c>
      <c r="C5741" s="71" t="s">
        <v>3325</v>
      </c>
      <c r="D5741" s="71">
        <v>0</v>
      </c>
      <c r="E5741" s="102">
        <v>7500</v>
      </c>
      <c r="F5741" s="102">
        <v>0</v>
      </c>
      <c r="G5741" s="102">
        <v>0</v>
      </c>
      <c r="H5741" s="690" t="s">
        <v>36</v>
      </c>
      <c r="I5741" s="71" t="s">
        <v>3320</v>
      </c>
      <c r="J5741" s="53">
        <f t="shared" si="2826"/>
        <v>0</v>
      </c>
      <c r="K5741" s="63" t="e">
        <f t="shared" si="2827"/>
        <v>#DIV/0!</v>
      </c>
      <c r="L5741" s="1212" t="s">
        <v>3678</v>
      </c>
      <c r="M5741" s="468"/>
      <c r="N5741" s="1192">
        <f t="shared" si="2832"/>
        <v>44982</v>
      </c>
      <c r="O5741" s="71" t="s">
        <v>3323</v>
      </c>
      <c r="P5741" s="103" t="str">
        <f t="shared" si="2828"/>
        <v>한특 잉크(청)</v>
      </c>
      <c r="Q5741" s="71">
        <f t="shared" si="2829"/>
        <v>0</v>
      </c>
      <c r="R5741" s="102">
        <v>6600</v>
      </c>
      <c r="S5741" s="102">
        <f t="shared" si="2830"/>
        <v>0</v>
      </c>
      <c r="T5741" s="102">
        <f t="shared" si="2831"/>
        <v>0</v>
      </c>
      <c r="U5741" s="71" t="s">
        <v>859</v>
      </c>
      <c r="V5741" s="71"/>
      <c r="W5741" s="474">
        <v>0</v>
      </c>
      <c r="X5741" s="71"/>
      <c r="Y5741" s="71"/>
    </row>
    <row r="5742" spans="1:25" ht="30" hidden="1" customHeight="1" x14ac:dyDescent="0.25">
      <c r="A5742" s="1145">
        <v>44982</v>
      </c>
      <c r="B5742" s="664" t="s">
        <v>2254</v>
      </c>
      <c r="C5742" s="71" t="s">
        <v>3326</v>
      </c>
      <c r="D5742" s="71">
        <v>0</v>
      </c>
      <c r="E5742" s="102">
        <v>6450</v>
      </c>
      <c r="F5742" s="102">
        <v>0</v>
      </c>
      <c r="G5742" s="102">
        <v>0</v>
      </c>
      <c r="H5742" s="690" t="s">
        <v>36</v>
      </c>
      <c r="I5742" s="71" t="s">
        <v>3320</v>
      </c>
      <c r="J5742" s="53">
        <f t="shared" si="2826"/>
        <v>0</v>
      </c>
      <c r="K5742" s="63" t="e">
        <f t="shared" si="2827"/>
        <v>#DIV/0!</v>
      </c>
      <c r="L5742" s="1212" t="s">
        <v>3678</v>
      </c>
      <c r="M5742" s="468"/>
      <c r="N5742" s="1192">
        <f t="shared" si="2832"/>
        <v>44982</v>
      </c>
      <c r="O5742" s="71" t="s">
        <v>3323</v>
      </c>
      <c r="P5742" s="103" t="str">
        <f t="shared" si="2828"/>
        <v>한특 잉크(먹)</v>
      </c>
      <c r="Q5742" s="71">
        <f t="shared" si="2829"/>
        <v>0</v>
      </c>
      <c r="R5742" s="102">
        <v>5700</v>
      </c>
      <c r="S5742" s="102">
        <f t="shared" si="2830"/>
        <v>0</v>
      </c>
      <c r="T5742" s="102">
        <f t="shared" si="2831"/>
        <v>0</v>
      </c>
      <c r="U5742" s="71" t="s">
        <v>859</v>
      </c>
      <c r="V5742" s="71"/>
      <c r="W5742" s="474">
        <v>0</v>
      </c>
      <c r="X5742" s="71"/>
      <c r="Y5742" s="71"/>
    </row>
    <row r="5743" spans="1:25" ht="30" hidden="1" customHeight="1" x14ac:dyDescent="0.25">
      <c r="A5743" s="1145">
        <v>44982</v>
      </c>
      <c r="B5743" s="664" t="s">
        <v>443</v>
      </c>
      <c r="C5743" s="71" t="s">
        <v>3392</v>
      </c>
      <c r="D5743" s="71">
        <v>8</v>
      </c>
      <c r="E5743" s="102">
        <v>218000</v>
      </c>
      <c r="F5743" s="102">
        <f t="shared" ref="F5743:F5748" si="2833">(E5743*D5743)*1.1</f>
        <v>1918400.0000000002</v>
      </c>
      <c r="G5743" s="102">
        <f t="shared" ref="G5743:G5748" si="2834">(E5743*D5743)</f>
        <v>1744000</v>
      </c>
      <c r="H5743" s="690" t="s">
        <v>172</v>
      </c>
      <c r="I5743" s="71" t="s">
        <v>184</v>
      </c>
      <c r="J5743" s="53">
        <f t="shared" si="2826"/>
        <v>412000</v>
      </c>
      <c r="K5743" s="63">
        <f t="shared" si="2827"/>
        <v>0.23623853211009171</v>
      </c>
      <c r="L5743" s="1212" t="s">
        <v>3678</v>
      </c>
      <c r="M5743" s="468" t="s">
        <v>3393</v>
      </c>
      <c r="N5743" s="1192">
        <f t="shared" si="2832"/>
        <v>44982</v>
      </c>
      <c r="O5743" s="71" t="s">
        <v>2030</v>
      </c>
      <c r="P5743" s="103" t="str">
        <f t="shared" si="2828"/>
        <v>윤전 블랑켓</v>
      </c>
      <c r="Q5743" s="71">
        <f t="shared" si="2829"/>
        <v>8</v>
      </c>
      <c r="R5743" s="102">
        <v>166500</v>
      </c>
      <c r="S5743" s="102">
        <f t="shared" si="2830"/>
        <v>1465200.0000000002</v>
      </c>
      <c r="T5743" s="102">
        <f t="shared" si="2831"/>
        <v>1332000</v>
      </c>
      <c r="U5743" s="71" t="s">
        <v>859</v>
      </c>
      <c r="V5743" s="71" t="s">
        <v>3394</v>
      </c>
      <c r="W5743" s="474">
        <v>464000</v>
      </c>
      <c r="X5743" s="71"/>
      <c r="Y5743" s="71"/>
    </row>
    <row r="5744" spans="1:25" ht="30" hidden="1" customHeight="1" x14ac:dyDescent="0.25">
      <c r="A5744" s="1145">
        <v>44982</v>
      </c>
      <c r="B5744" s="664" t="s">
        <v>443</v>
      </c>
      <c r="C5744" s="71" t="s">
        <v>3654</v>
      </c>
      <c r="D5744" s="71">
        <v>1</v>
      </c>
      <c r="E5744" s="102">
        <v>2350000</v>
      </c>
      <c r="F5744" s="102">
        <f t="shared" si="2833"/>
        <v>2585000</v>
      </c>
      <c r="G5744" s="102">
        <f t="shared" si="2834"/>
        <v>2350000</v>
      </c>
      <c r="H5744" s="690" t="s">
        <v>179</v>
      </c>
      <c r="I5744" s="690" t="s">
        <v>179</v>
      </c>
      <c r="J5744" s="53">
        <f t="shared" si="2826"/>
        <v>600000</v>
      </c>
      <c r="K5744" s="63">
        <f t="shared" si="2827"/>
        <v>0.25531914893617019</v>
      </c>
      <c r="L5744" s="1212" t="s">
        <v>3678</v>
      </c>
      <c r="M5744" s="468"/>
      <c r="N5744" s="1192">
        <f t="shared" si="2832"/>
        <v>44982</v>
      </c>
      <c r="O5744" s="71" t="s">
        <v>194</v>
      </c>
      <c r="P5744" s="103" t="str">
        <f t="shared" si="2828"/>
        <v>1월분 Apogee 사용료</v>
      </c>
      <c r="Q5744" s="71">
        <f t="shared" si="2829"/>
        <v>1</v>
      </c>
      <c r="R5744" s="147">
        <v>1750000</v>
      </c>
      <c r="S5744" s="102">
        <f t="shared" si="2830"/>
        <v>1925000.0000000002</v>
      </c>
      <c r="T5744" s="102">
        <f t="shared" si="2831"/>
        <v>1750000</v>
      </c>
      <c r="U5744" s="71"/>
      <c r="V5744" s="71"/>
      <c r="W5744" s="474"/>
      <c r="X5744" s="71"/>
      <c r="Y5744" s="71"/>
    </row>
    <row r="5745" spans="1:25" s="209" customFormat="1" ht="30" hidden="1" customHeight="1" x14ac:dyDescent="0.25">
      <c r="A5745" s="1145">
        <v>44982</v>
      </c>
      <c r="B5745" s="664" t="s">
        <v>1178</v>
      </c>
      <c r="C5745" s="71" t="s">
        <v>3688</v>
      </c>
      <c r="D5745" s="71">
        <v>1</v>
      </c>
      <c r="E5745" s="102">
        <v>700000</v>
      </c>
      <c r="F5745" s="102">
        <f t="shared" si="2833"/>
        <v>770000.00000000012</v>
      </c>
      <c r="G5745" s="102">
        <f t="shared" si="2834"/>
        <v>700000</v>
      </c>
      <c r="H5745" s="690" t="s">
        <v>1786</v>
      </c>
      <c r="I5745" s="690" t="s">
        <v>1786</v>
      </c>
      <c r="J5745" s="53">
        <f t="shared" si="2826"/>
        <v>300000</v>
      </c>
      <c r="K5745" s="63">
        <f t="shared" si="2827"/>
        <v>0.42857142857142849</v>
      </c>
      <c r="L5745" s="1212" t="s">
        <v>3678</v>
      </c>
      <c r="M5745" s="468"/>
      <c r="N5745" s="1192">
        <f t="shared" si="2832"/>
        <v>44982</v>
      </c>
      <c r="O5745" s="71" t="s">
        <v>2470</v>
      </c>
      <c r="P5745" s="164" t="str">
        <f t="shared" si="2828"/>
        <v>Durapoint blade</v>
      </c>
      <c r="Q5745" s="71">
        <f t="shared" si="2829"/>
        <v>1</v>
      </c>
      <c r="R5745" s="102">
        <v>400000</v>
      </c>
      <c r="S5745" s="102">
        <f t="shared" si="2830"/>
        <v>440000.00000000006</v>
      </c>
      <c r="T5745" s="102">
        <f t="shared" si="2831"/>
        <v>400000</v>
      </c>
      <c r="U5745" s="71"/>
      <c r="V5745" s="71"/>
      <c r="W5745" s="474"/>
      <c r="X5745" s="71"/>
      <c r="Y5745" s="71"/>
    </row>
    <row r="5746" spans="1:25" ht="30" hidden="1" customHeight="1" x14ac:dyDescent="0.25">
      <c r="A5746" s="1145">
        <v>44982</v>
      </c>
      <c r="B5746" s="664" t="s">
        <v>1178</v>
      </c>
      <c r="C5746" s="71" t="s">
        <v>3687</v>
      </c>
      <c r="D5746" s="71">
        <v>1</v>
      </c>
      <c r="E5746" s="102">
        <v>1000000</v>
      </c>
      <c r="F5746" s="102">
        <f t="shared" si="2833"/>
        <v>1100000</v>
      </c>
      <c r="G5746" s="102">
        <f t="shared" si="2834"/>
        <v>1000000</v>
      </c>
      <c r="H5746" s="690" t="s">
        <v>985</v>
      </c>
      <c r="I5746" s="71" t="s">
        <v>985</v>
      </c>
      <c r="J5746" s="53"/>
      <c r="K5746" s="63"/>
      <c r="L5746" s="1212" t="s">
        <v>3678</v>
      </c>
      <c r="M5746" s="468"/>
      <c r="N5746" s="1192">
        <f t="shared" si="2832"/>
        <v>44982</v>
      </c>
      <c r="O5746" s="71"/>
      <c r="P5746" s="103" t="str">
        <f t="shared" si="2828"/>
        <v>ESI 수리 서비스비용</v>
      </c>
      <c r="Q5746" s="71">
        <f t="shared" si="2829"/>
        <v>1</v>
      </c>
      <c r="R5746" s="102"/>
      <c r="S5746" s="102"/>
      <c r="T5746" s="102"/>
      <c r="U5746" s="71"/>
      <c r="V5746" s="71"/>
      <c r="W5746" s="474"/>
      <c r="X5746" s="71"/>
      <c r="Y5746" s="71"/>
    </row>
    <row r="5747" spans="1:25" s="209" customFormat="1" ht="30" hidden="1" customHeight="1" x14ac:dyDescent="0.25">
      <c r="A5747" s="1145">
        <v>44982</v>
      </c>
      <c r="B5747" s="664" t="s">
        <v>546</v>
      </c>
      <c r="C5747" s="71" t="s">
        <v>3689</v>
      </c>
      <c r="D5747" s="71">
        <v>1</v>
      </c>
      <c r="E5747" s="102">
        <v>31000000</v>
      </c>
      <c r="F5747" s="102">
        <f t="shared" si="2833"/>
        <v>34100000</v>
      </c>
      <c r="G5747" s="102">
        <f t="shared" si="2834"/>
        <v>31000000</v>
      </c>
      <c r="H5747" s="690" t="s">
        <v>1786</v>
      </c>
      <c r="I5747" s="690" t="s">
        <v>1786</v>
      </c>
      <c r="J5747" s="53">
        <f>G5747-T5747</f>
        <v>12440560</v>
      </c>
      <c r="K5747" s="63">
        <f>(J5747/(F5747/11*10))</f>
        <v>0.40130838709677419</v>
      </c>
      <c r="L5747" s="1212" t="s">
        <v>3678</v>
      </c>
      <c r="M5747" s="468"/>
      <c r="N5747" s="1192">
        <f t="shared" si="2832"/>
        <v>44982</v>
      </c>
      <c r="O5747" s="71" t="s">
        <v>1786</v>
      </c>
      <c r="P5747" s="164" t="str">
        <f t="shared" si="2828"/>
        <v>스플라이서 CPU</v>
      </c>
      <c r="Q5747" s="71">
        <f t="shared" si="2829"/>
        <v>1</v>
      </c>
      <c r="R5747" s="102">
        <v>18559440</v>
      </c>
      <c r="S5747" s="102">
        <f>R5747*Q5747*1.1</f>
        <v>20415384</v>
      </c>
      <c r="T5747" s="102">
        <f>R5747*Q5747</f>
        <v>18559440</v>
      </c>
      <c r="U5747" s="71"/>
      <c r="V5747" s="71"/>
      <c r="W5747" s="474"/>
      <c r="X5747" s="71"/>
      <c r="Y5747" s="71"/>
    </row>
    <row r="5748" spans="1:25" ht="30" hidden="1" customHeight="1" x14ac:dyDescent="0.25">
      <c r="A5748" s="1145">
        <v>44985</v>
      </c>
      <c r="B5748" s="664" t="s">
        <v>411</v>
      </c>
      <c r="C5748" s="71" t="s">
        <v>3690</v>
      </c>
      <c r="D5748" s="71">
        <v>1</v>
      </c>
      <c r="E5748" s="102">
        <v>1985000</v>
      </c>
      <c r="F5748" s="102">
        <f t="shared" si="2833"/>
        <v>2183500</v>
      </c>
      <c r="G5748" s="102">
        <f t="shared" si="2834"/>
        <v>1985000</v>
      </c>
      <c r="H5748" s="690" t="s">
        <v>94</v>
      </c>
      <c r="I5748" s="71" t="s">
        <v>94</v>
      </c>
      <c r="J5748" s="53">
        <f>G5748-T5748</f>
        <v>1122800</v>
      </c>
      <c r="K5748" s="63">
        <f>(J5748/(F5748/11*10))</f>
        <v>0.56564231738035264</v>
      </c>
      <c r="L5748" s="1212" t="s">
        <v>3678</v>
      </c>
      <c r="M5748" s="102"/>
      <c r="N5748" s="1192">
        <f t="shared" si="2832"/>
        <v>44985</v>
      </c>
      <c r="O5748" s="71" t="s">
        <v>94</v>
      </c>
      <c r="P5748" s="103" t="str">
        <f t="shared" si="2828"/>
        <v>솔레노이드 밸브 외 부품</v>
      </c>
      <c r="Q5748" s="71">
        <f t="shared" si="2829"/>
        <v>1</v>
      </c>
      <c r="R5748" s="102">
        <f>573*1400+60000</f>
        <v>862200</v>
      </c>
      <c r="S5748" s="102">
        <f>R5748*Q5748*1.1</f>
        <v>948420.00000000012</v>
      </c>
      <c r="T5748" s="102">
        <f>R5748*Q5748</f>
        <v>862200</v>
      </c>
      <c r="U5748" s="71"/>
      <c r="V5748" s="71"/>
      <c r="W5748" s="474"/>
      <c r="X5748" s="71"/>
      <c r="Y5748" s="71"/>
    </row>
    <row r="5749" spans="1:25" ht="30" hidden="1" customHeight="1" x14ac:dyDescent="0.25">
      <c r="A5749" s="1210" t="s">
        <v>3698</v>
      </c>
      <c r="B5749" s="1211" t="s">
        <v>544</v>
      </c>
      <c r="C5749" s="960"/>
      <c r="D5749" s="960"/>
      <c r="E5749" s="952"/>
      <c r="F5749" s="952"/>
      <c r="G5749" s="952"/>
      <c r="H5749" s="1206"/>
      <c r="I5749" s="960"/>
      <c r="J5749" s="952"/>
      <c r="K5749" s="953"/>
      <c r="L5749" s="1212" t="s">
        <v>3700</v>
      </c>
      <c r="M5749" s="1207"/>
      <c r="N5749" s="1208" t="str">
        <f t="shared" si="2832"/>
        <v>2023,3</v>
      </c>
      <c r="O5749" s="960"/>
      <c r="P5749" s="1209"/>
      <c r="Q5749" s="960"/>
      <c r="R5749" s="952"/>
      <c r="S5749" s="952"/>
      <c r="T5749" s="952"/>
      <c r="U5749" s="960"/>
      <c r="V5749" s="960"/>
      <c r="W5749" s="474">
        <f>(G5749-T5749)</f>
        <v>0</v>
      </c>
      <c r="X5749" s="71"/>
      <c r="Y5749" s="71"/>
    </row>
    <row r="5750" spans="1:25" ht="30" hidden="1" customHeight="1" x14ac:dyDescent="0.25">
      <c r="A5750" s="1145">
        <v>44988</v>
      </c>
      <c r="B5750" s="664" t="s">
        <v>2103</v>
      </c>
      <c r="C5750" s="71" t="s">
        <v>3667</v>
      </c>
      <c r="D5750" s="71">
        <v>1800</v>
      </c>
      <c r="E5750" s="102">
        <v>1400</v>
      </c>
      <c r="F5750" s="102">
        <f t="shared" ref="F5750:F5766" si="2835">(E5750*D5750)*1.1</f>
        <v>2772000</v>
      </c>
      <c r="G5750" s="102">
        <f t="shared" ref="G5750:G5766" si="2836">(E5750*D5750)</f>
        <v>2520000</v>
      </c>
      <c r="H5750" s="690" t="s">
        <v>173</v>
      </c>
      <c r="I5750" s="71" t="s">
        <v>3385</v>
      </c>
      <c r="J5750" s="53">
        <f t="shared" ref="J5750:J5755" si="2837">G5750-T5750</f>
        <v>2520000</v>
      </c>
      <c r="K5750" s="63">
        <f t="shared" ref="K5750:K5755" si="2838">(J5750/(F5750/11*10))</f>
        <v>1</v>
      </c>
      <c r="L5750" s="1212" t="s">
        <v>3701</v>
      </c>
      <c r="M5750" s="468"/>
      <c r="N5750" s="1192">
        <f t="shared" si="2832"/>
        <v>44988</v>
      </c>
      <c r="O5750" s="71"/>
      <c r="P5750" s="103" t="str">
        <f t="shared" ref="P5750:P5766" si="2839">(C5750)</f>
        <v>폐판</v>
      </c>
      <c r="Q5750" s="71">
        <f t="shared" ref="Q5750:Q5766" si="2840">D5750</f>
        <v>1800</v>
      </c>
      <c r="R5750" s="102"/>
      <c r="S5750" s="102"/>
      <c r="T5750" s="102"/>
      <c r="U5750" s="71"/>
      <c r="V5750" s="71"/>
      <c r="W5750" s="474"/>
      <c r="X5750" s="71"/>
      <c r="Y5750" s="71"/>
    </row>
    <row r="5751" spans="1:25" ht="30" hidden="1" customHeight="1" x14ac:dyDescent="0.25">
      <c r="A5751" s="1145">
        <v>45013</v>
      </c>
      <c r="B5751" s="664" t="s">
        <v>746</v>
      </c>
      <c r="C5751" s="71" t="s">
        <v>123</v>
      </c>
      <c r="D5751" s="71">
        <v>10</v>
      </c>
      <c r="E5751" s="102">
        <v>38000</v>
      </c>
      <c r="F5751" s="102">
        <f t="shared" si="2835"/>
        <v>418000.00000000006</v>
      </c>
      <c r="G5751" s="102">
        <f t="shared" si="2836"/>
        <v>380000</v>
      </c>
      <c r="H5751" s="690" t="s">
        <v>94</v>
      </c>
      <c r="I5751" s="71" t="s">
        <v>94</v>
      </c>
      <c r="J5751" s="53">
        <f t="shared" si="2837"/>
        <v>140000</v>
      </c>
      <c r="K5751" s="63">
        <f t="shared" si="2838"/>
        <v>0.36842105263157887</v>
      </c>
      <c r="L5751" s="1212" t="s">
        <v>3701</v>
      </c>
      <c r="M5751" s="468"/>
      <c r="N5751" s="1192">
        <f t="shared" si="2832"/>
        <v>45013</v>
      </c>
      <c r="O5751" s="71" t="s">
        <v>94</v>
      </c>
      <c r="P5751" s="103" t="str">
        <f t="shared" si="2839"/>
        <v>필터백</v>
      </c>
      <c r="Q5751" s="71">
        <f t="shared" si="2840"/>
        <v>10</v>
      </c>
      <c r="R5751" s="102">
        <v>24000</v>
      </c>
      <c r="S5751" s="102">
        <f>R5751*Q5751*1.1</f>
        <v>264000</v>
      </c>
      <c r="T5751" s="102">
        <f>R5751*Q5751</f>
        <v>240000</v>
      </c>
      <c r="U5751" s="71"/>
      <c r="V5751" s="71"/>
      <c r="W5751" s="474"/>
      <c r="X5751" s="71"/>
      <c r="Y5751" s="71"/>
    </row>
    <row r="5752" spans="1:25" ht="30" hidden="1" customHeight="1" x14ac:dyDescent="0.25">
      <c r="A5752" s="1145">
        <v>45006</v>
      </c>
      <c r="B5752" s="664" t="s">
        <v>2975</v>
      </c>
      <c r="C5752" s="71" t="s">
        <v>3459</v>
      </c>
      <c r="D5752" s="71">
        <v>3</v>
      </c>
      <c r="E5752" s="102">
        <v>950000</v>
      </c>
      <c r="F5752" s="102">
        <f t="shared" si="2835"/>
        <v>3135000.0000000005</v>
      </c>
      <c r="G5752" s="102">
        <f t="shared" si="2836"/>
        <v>2850000</v>
      </c>
      <c r="H5752" s="690" t="s">
        <v>94</v>
      </c>
      <c r="I5752" s="71" t="s">
        <v>94</v>
      </c>
      <c r="J5752" s="53">
        <f t="shared" si="2837"/>
        <v>1218000</v>
      </c>
      <c r="K5752" s="63">
        <f t="shared" si="2838"/>
        <v>0.42736842105263151</v>
      </c>
      <c r="L5752" s="1212" t="s">
        <v>3699</v>
      </c>
      <c r="M5752" s="102"/>
      <c r="N5752" s="1192">
        <f t="shared" si="2832"/>
        <v>45006</v>
      </c>
      <c r="O5752" s="71" t="s">
        <v>94</v>
      </c>
      <c r="P5752" s="103" t="str">
        <f t="shared" si="2839"/>
        <v>Beta.f 필터 세트</v>
      </c>
      <c r="Q5752" s="71">
        <f t="shared" si="2840"/>
        <v>3</v>
      </c>
      <c r="R5752" s="102">
        <v>544000</v>
      </c>
      <c r="S5752" s="102">
        <f>R5752*Q5752*1.1</f>
        <v>1795200.0000000002</v>
      </c>
      <c r="T5752" s="102">
        <f>R5752*Q5752</f>
        <v>1632000</v>
      </c>
      <c r="U5752" s="71"/>
      <c r="V5752" s="71"/>
      <c r="W5752" s="474"/>
      <c r="X5752" s="71"/>
      <c r="Y5752" s="71"/>
    </row>
    <row r="5753" spans="1:25" ht="30" hidden="1" customHeight="1" x14ac:dyDescent="0.25">
      <c r="A5753" s="1145">
        <v>44992</v>
      </c>
      <c r="B5753" s="664" t="s">
        <v>673</v>
      </c>
      <c r="C5753" s="71" t="s">
        <v>1261</v>
      </c>
      <c r="D5753" s="71">
        <v>2</v>
      </c>
      <c r="E5753" s="102">
        <v>120000</v>
      </c>
      <c r="F5753" s="102">
        <f t="shared" si="2835"/>
        <v>264000</v>
      </c>
      <c r="G5753" s="102">
        <f t="shared" si="2836"/>
        <v>240000</v>
      </c>
      <c r="H5753" s="690" t="s">
        <v>173</v>
      </c>
      <c r="I5753" s="71" t="s">
        <v>2231</v>
      </c>
      <c r="J5753" s="53">
        <f t="shared" si="2837"/>
        <v>50000</v>
      </c>
      <c r="K5753" s="63">
        <f t="shared" si="2838"/>
        <v>0.20833333333333334</v>
      </c>
      <c r="L5753" s="1212" t="s">
        <v>3699</v>
      </c>
      <c r="M5753" s="468"/>
      <c r="N5753" s="1192">
        <f t="shared" si="2832"/>
        <v>44992</v>
      </c>
      <c r="O5753" s="71" t="s">
        <v>150</v>
      </c>
      <c r="P5753" s="103" t="str">
        <f t="shared" si="2839"/>
        <v>아스테이지</v>
      </c>
      <c r="Q5753" s="71">
        <f t="shared" si="2840"/>
        <v>2</v>
      </c>
      <c r="R5753" s="102">
        <v>95000</v>
      </c>
      <c r="S5753" s="102">
        <f>R5753*Q5753*1.1</f>
        <v>209000.00000000003</v>
      </c>
      <c r="T5753" s="102">
        <f>R5753*Q5753</f>
        <v>190000</v>
      </c>
      <c r="U5753" s="71"/>
      <c r="V5753" s="71"/>
      <c r="W5753" s="474"/>
      <c r="X5753" s="71"/>
      <c r="Y5753" s="71"/>
    </row>
    <row r="5754" spans="1:25" ht="30" hidden="1" customHeight="1" x14ac:dyDescent="0.25">
      <c r="A5754" s="1145">
        <v>44992</v>
      </c>
      <c r="B5754" s="664" t="s">
        <v>1155</v>
      </c>
      <c r="C5754" s="71" t="s">
        <v>123</v>
      </c>
      <c r="D5754" s="71">
        <v>10</v>
      </c>
      <c r="E5754" s="102">
        <v>37000</v>
      </c>
      <c r="F5754" s="102">
        <f t="shared" si="2835"/>
        <v>407000.00000000006</v>
      </c>
      <c r="G5754" s="102">
        <f t="shared" si="2836"/>
        <v>370000</v>
      </c>
      <c r="H5754" s="690" t="s">
        <v>94</v>
      </c>
      <c r="I5754" s="71" t="s">
        <v>94</v>
      </c>
      <c r="J5754" s="53">
        <f t="shared" si="2837"/>
        <v>130000</v>
      </c>
      <c r="K5754" s="63">
        <f t="shared" si="2838"/>
        <v>0.35135135135135132</v>
      </c>
      <c r="L5754" s="1212" t="s">
        <v>3699</v>
      </c>
      <c r="M5754" s="468"/>
      <c r="N5754" s="1192">
        <f t="shared" si="2832"/>
        <v>44992</v>
      </c>
      <c r="O5754" s="71" t="s">
        <v>94</v>
      </c>
      <c r="P5754" s="103" t="str">
        <f t="shared" si="2839"/>
        <v>필터백</v>
      </c>
      <c r="Q5754" s="71">
        <f t="shared" si="2840"/>
        <v>10</v>
      </c>
      <c r="R5754" s="102">
        <v>24000</v>
      </c>
      <c r="S5754" s="102">
        <f>R5754*Q5754*1.1</f>
        <v>264000</v>
      </c>
      <c r="T5754" s="102">
        <f>R5754*Q5754</f>
        <v>240000</v>
      </c>
      <c r="U5754" s="71"/>
      <c r="V5754" s="71"/>
      <c r="W5754" s="474"/>
      <c r="X5754" s="71"/>
      <c r="Y5754" s="71"/>
    </row>
    <row r="5755" spans="1:25" s="209" customFormat="1" ht="30" hidden="1" customHeight="1" x14ac:dyDescent="0.25">
      <c r="A5755" s="1145">
        <v>44992</v>
      </c>
      <c r="B5755" s="664" t="s">
        <v>1155</v>
      </c>
      <c r="C5755" s="71" t="s">
        <v>3459</v>
      </c>
      <c r="D5755" s="71">
        <v>1</v>
      </c>
      <c r="E5755" s="102">
        <v>850000</v>
      </c>
      <c r="F5755" s="102">
        <f t="shared" si="2835"/>
        <v>935000.00000000012</v>
      </c>
      <c r="G5755" s="102">
        <f t="shared" si="2836"/>
        <v>850000</v>
      </c>
      <c r="H5755" s="690" t="s">
        <v>94</v>
      </c>
      <c r="I5755" s="71" t="s">
        <v>94</v>
      </c>
      <c r="J5755" s="53">
        <f t="shared" si="2837"/>
        <v>306000</v>
      </c>
      <c r="K5755" s="63">
        <f t="shared" si="2838"/>
        <v>0.35999999999999993</v>
      </c>
      <c r="L5755" s="1212" t="s">
        <v>3699</v>
      </c>
      <c r="M5755" s="468"/>
      <c r="N5755" s="1192">
        <f t="shared" si="2832"/>
        <v>44992</v>
      </c>
      <c r="O5755" s="71" t="s">
        <v>94</v>
      </c>
      <c r="P5755" s="164" t="str">
        <f t="shared" si="2839"/>
        <v>Beta.f 필터 세트</v>
      </c>
      <c r="Q5755" s="71">
        <f t="shared" si="2840"/>
        <v>1</v>
      </c>
      <c r="R5755" s="102">
        <v>544000</v>
      </c>
      <c r="S5755" s="102">
        <f>R5755*Q5755*1.1</f>
        <v>598400</v>
      </c>
      <c r="T5755" s="102">
        <f>R5755*Q5755</f>
        <v>544000</v>
      </c>
      <c r="U5755" s="71"/>
      <c r="V5755" s="71"/>
      <c r="W5755" s="474"/>
      <c r="X5755" s="71"/>
      <c r="Y5755" s="71"/>
    </row>
    <row r="5756" spans="1:25" ht="30" hidden="1" customHeight="1" x14ac:dyDescent="0.25">
      <c r="A5756" s="1145">
        <v>45003</v>
      </c>
      <c r="B5756" s="664" t="s">
        <v>26</v>
      </c>
      <c r="C5756" s="71" t="s">
        <v>2087</v>
      </c>
      <c r="D5756" s="71">
        <v>5</v>
      </c>
      <c r="E5756" s="102">
        <v>85000</v>
      </c>
      <c r="F5756" s="102">
        <f t="shared" si="2835"/>
        <v>467500.00000000006</v>
      </c>
      <c r="G5756" s="102">
        <f t="shared" si="2836"/>
        <v>425000</v>
      </c>
      <c r="H5756" s="690" t="s">
        <v>172</v>
      </c>
      <c r="I5756" s="71" t="s">
        <v>3295</v>
      </c>
      <c r="J5756" s="53">
        <f t="shared" ref="J5756:J5766" si="2841">G5756-T5756</f>
        <v>175000</v>
      </c>
      <c r="K5756" s="63">
        <f t="shared" ref="K5756:K5766" si="2842">(J5756/(F5756/11*10))</f>
        <v>0.41176470588235287</v>
      </c>
      <c r="L5756" s="1212" t="s">
        <v>3699</v>
      </c>
      <c r="M5756" s="468"/>
      <c r="N5756" s="1192">
        <f t="shared" ref="N5756:N5766" si="2843">A5756</f>
        <v>45003</v>
      </c>
      <c r="O5756" s="71" t="s">
        <v>152</v>
      </c>
      <c r="P5756" s="103" t="str">
        <f t="shared" si="2839"/>
        <v>아스테이지(국전)</v>
      </c>
      <c r="Q5756" s="71">
        <f t="shared" si="2840"/>
        <v>5</v>
      </c>
      <c r="R5756" s="102">
        <v>50000</v>
      </c>
      <c r="S5756" s="102">
        <f t="shared" ref="S5756:S5766" si="2844">R5756*Q5756*1.1</f>
        <v>275000</v>
      </c>
      <c r="T5756" s="102">
        <f t="shared" ref="T5756:T5766" si="2845">R5756*Q5756</f>
        <v>250000</v>
      </c>
      <c r="U5756" s="71" t="str">
        <f>IF(J5756=W5756,"O", "X")</f>
        <v>X</v>
      </c>
      <c r="V5756" s="71"/>
      <c r="W5756" s="474">
        <v>150000</v>
      </c>
      <c r="X5756" s="71"/>
      <c r="Y5756" s="71"/>
    </row>
    <row r="5757" spans="1:25" ht="30" customHeight="1" x14ac:dyDescent="0.25">
      <c r="A5757" s="1145">
        <v>45012</v>
      </c>
      <c r="B5757" s="664" t="s">
        <v>641</v>
      </c>
      <c r="C5757" s="71" t="s">
        <v>3293</v>
      </c>
      <c r="D5757" s="71">
        <v>60</v>
      </c>
      <c r="E5757" s="102">
        <v>84000</v>
      </c>
      <c r="F5757" s="102">
        <f t="shared" si="2835"/>
        <v>5544000</v>
      </c>
      <c r="G5757" s="102">
        <f t="shared" si="2836"/>
        <v>5040000</v>
      </c>
      <c r="H5757" s="690" t="s">
        <v>172</v>
      </c>
      <c r="I5757" s="71" t="s">
        <v>38</v>
      </c>
      <c r="J5757" s="53">
        <f t="shared" si="2841"/>
        <v>1980000</v>
      </c>
      <c r="K5757" s="63">
        <f t="shared" si="2842"/>
        <v>0.39285714285714285</v>
      </c>
      <c r="L5757" s="1212" t="s">
        <v>3699</v>
      </c>
      <c r="M5757" s="468"/>
      <c r="N5757" s="1192">
        <f t="shared" si="2843"/>
        <v>45012</v>
      </c>
      <c r="O5757" s="71" t="s">
        <v>3291</v>
      </c>
      <c r="P5757" s="103" t="str">
        <f t="shared" si="2839"/>
        <v>GOSS 신문윤전 습식세정포</v>
      </c>
      <c r="Q5757" s="71">
        <f t="shared" si="2840"/>
        <v>60</v>
      </c>
      <c r="R5757" s="102">
        <v>51000</v>
      </c>
      <c r="S5757" s="102">
        <f t="shared" si="2844"/>
        <v>3366000.0000000005</v>
      </c>
      <c r="T5757" s="102">
        <f t="shared" si="2845"/>
        <v>3060000</v>
      </c>
      <c r="U5757" s="71" t="str">
        <f>IF(J5757=W5757,"O", "X")</f>
        <v>X</v>
      </c>
      <c r="V5757" s="71"/>
      <c r="W5757" s="474"/>
      <c r="X5757" s="71"/>
      <c r="Y5757" s="71"/>
    </row>
    <row r="5758" spans="1:25" s="209" customFormat="1" ht="30" hidden="1" customHeight="1" x14ac:dyDescent="0.25">
      <c r="A5758" s="1145">
        <v>44994</v>
      </c>
      <c r="B5758" s="664" t="s">
        <v>411</v>
      </c>
      <c r="C5758" s="71" t="s">
        <v>3413</v>
      </c>
      <c r="D5758" s="71">
        <v>10</v>
      </c>
      <c r="E5758" s="102">
        <v>100000</v>
      </c>
      <c r="F5758" s="102">
        <f t="shared" si="2835"/>
        <v>1100000</v>
      </c>
      <c r="G5758" s="102">
        <f t="shared" si="2836"/>
        <v>1000000</v>
      </c>
      <c r="H5758" s="690" t="s">
        <v>2029</v>
      </c>
      <c r="I5758" s="71" t="s">
        <v>3385</v>
      </c>
      <c r="J5758" s="53">
        <f t="shared" si="2841"/>
        <v>500000</v>
      </c>
      <c r="K5758" s="63">
        <f t="shared" si="2842"/>
        <v>0.5</v>
      </c>
      <c r="L5758" s="1212" t="s">
        <v>3699</v>
      </c>
      <c r="M5758" s="468"/>
      <c r="N5758" s="1192">
        <f t="shared" si="2843"/>
        <v>44994</v>
      </c>
      <c r="O5758" s="71" t="s">
        <v>190</v>
      </c>
      <c r="P5758" s="103" t="str">
        <f t="shared" si="2839"/>
        <v>아스테이지(국전)</v>
      </c>
      <c r="Q5758" s="71">
        <f t="shared" si="2840"/>
        <v>10</v>
      </c>
      <c r="R5758" s="102">
        <v>50000</v>
      </c>
      <c r="S5758" s="102">
        <f t="shared" si="2844"/>
        <v>550000</v>
      </c>
      <c r="T5758" s="102">
        <f t="shared" si="2845"/>
        <v>500000</v>
      </c>
      <c r="U5758" s="71" t="str">
        <f>IF(J5758=W5758,"O", "X")</f>
        <v>O</v>
      </c>
      <c r="V5758" s="71"/>
      <c r="W5758" s="474">
        <v>500000</v>
      </c>
      <c r="X5758" s="71"/>
      <c r="Y5758" s="71"/>
    </row>
    <row r="5759" spans="1:25" ht="30" customHeight="1" x14ac:dyDescent="0.25">
      <c r="A5759" s="1145">
        <v>44988</v>
      </c>
      <c r="B5759" s="664" t="s">
        <v>2536</v>
      </c>
      <c r="C5759" s="71" t="s">
        <v>3478</v>
      </c>
      <c r="D5759" s="71">
        <v>64</v>
      </c>
      <c r="E5759" s="102">
        <v>18500</v>
      </c>
      <c r="F5759" s="102">
        <f t="shared" si="2835"/>
        <v>1302400</v>
      </c>
      <c r="G5759" s="102">
        <f t="shared" si="2836"/>
        <v>1184000</v>
      </c>
      <c r="H5759" s="690" t="s">
        <v>142</v>
      </c>
      <c r="I5759" s="71" t="s">
        <v>179</v>
      </c>
      <c r="J5759" s="53">
        <f t="shared" si="2841"/>
        <v>474624</v>
      </c>
      <c r="K5759" s="63">
        <f t="shared" si="2842"/>
        <v>0.40086486486486489</v>
      </c>
      <c r="L5759" s="1212" t="s">
        <v>3699</v>
      </c>
      <c r="M5759" s="468"/>
      <c r="N5759" s="1192">
        <f t="shared" si="2843"/>
        <v>44988</v>
      </c>
      <c r="O5759" s="71"/>
      <c r="P5759" s="103" t="str">
        <f t="shared" si="2839"/>
        <v>고모리 윤전 블랑켓 건식 세정포 - 국전용</v>
      </c>
      <c r="Q5759" s="71">
        <f t="shared" si="2840"/>
        <v>64</v>
      </c>
      <c r="R5759" s="102">
        <v>11084</v>
      </c>
      <c r="S5759" s="102">
        <f t="shared" si="2844"/>
        <v>780313.60000000009</v>
      </c>
      <c r="T5759" s="102">
        <f t="shared" si="2845"/>
        <v>709376</v>
      </c>
      <c r="U5759" s="71"/>
      <c r="V5759" s="71"/>
      <c r="W5759" s="474"/>
      <c r="X5759" s="71"/>
      <c r="Y5759" s="71"/>
    </row>
    <row r="5760" spans="1:25" ht="30" customHeight="1" x14ac:dyDescent="0.25">
      <c r="A5760" s="1145">
        <v>44995</v>
      </c>
      <c r="B5760" s="664" t="s">
        <v>2536</v>
      </c>
      <c r="C5760" s="71" t="s">
        <v>3590</v>
      </c>
      <c r="D5760" s="71">
        <v>100</v>
      </c>
      <c r="E5760" s="102">
        <v>24000</v>
      </c>
      <c r="F5760" s="102">
        <f t="shared" si="2835"/>
        <v>2640000</v>
      </c>
      <c r="G5760" s="102">
        <f t="shared" si="2836"/>
        <v>2400000</v>
      </c>
      <c r="H5760" s="690" t="s">
        <v>142</v>
      </c>
      <c r="I5760" s="71" t="s">
        <v>179</v>
      </c>
      <c r="J5760" s="53">
        <f t="shared" si="2841"/>
        <v>760000</v>
      </c>
      <c r="K5760" s="63">
        <f t="shared" si="2842"/>
        <v>0.31666666666666665</v>
      </c>
      <c r="L5760" s="1212" t="s">
        <v>3699</v>
      </c>
      <c r="M5760" s="468"/>
      <c r="N5760" s="1192">
        <f t="shared" si="2843"/>
        <v>44995</v>
      </c>
      <c r="O5760" s="71" t="s">
        <v>3709</v>
      </c>
      <c r="P5760" s="103" t="str">
        <f t="shared" si="2839"/>
        <v>3M 양면 테이프</v>
      </c>
      <c r="Q5760" s="71">
        <f t="shared" si="2840"/>
        <v>100</v>
      </c>
      <c r="R5760" s="102">
        <v>16400</v>
      </c>
      <c r="S5760" s="102">
        <f t="shared" si="2844"/>
        <v>1804000.0000000002</v>
      </c>
      <c r="T5760" s="102">
        <f t="shared" si="2845"/>
        <v>1640000</v>
      </c>
      <c r="U5760" s="71"/>
      <c r="V5760" s="71"/>
      <c r="W5760" s="474"/>
      <c r="X5760" s="71"/>
      <c r="Y5760" s="71"/>
    </row>
    <row r="5761" spans="1:25" ht="30" customHeight="1" x14ac:dyDescent="0.25">
      <c r="A5761" s="1145">
        <v>45002</v>
      </c>
      <c r="B5761" s="664" t="s">
        <v>2352</v>
      </c>
      <c r="C5761" s="760" t="s">
        <v>218</v>
      </c>
      <c r="D5761" s="71">
        <v>4</v>
      </c>
      <c r="E5761" s="102">
        <v>286000</v>
      </c>
      <c r="F5761" s="102">
        <f t="shared" si="2835"/>
        <v>1258400</v>
      </c>
      <c r="G5761" s="102">
        <f t="shared" si="2836"/>
        <v>1144000</v>
      </c>
      <c r="H5761" s="690" t="s">
        <v>142</v>
      </c>
      <c r="I5761" s="71" t="s">
        <v>179</v>
      </c>
      <c r="J5761" s="53">
        <f t="shared" si="2841"/>
        <v>648000</v>
      </c>
      <c r="K5761" s="63">
        <f t="shared" si="2842"/>
        <v>0.56643356643356646</v>
      </c>
      <c r="L5761" s="1212" t="s">
        <v>3699</v>
      </c>
      <c r="M5761" s="468" t="s">
        <v>2053</v>
      </c>
      <c r="N5761" s="1192">
        <f t="shared" si="2843"/>
        <v>45002</v>
      </c>
      <c r="O5761" s="71" t="s">
        <v>150</v>
      </c>
      <c r="P5761" s="103" t="str">
        <f t="shared" si="2839"/>
        <v>Fount Web 551AF</v>
      </c>
      <c r="Q5761" s="71">
        <f t="shared" si="2840"/>
        <v>4</v>
      </c>
      <c r="R5761" s="102">
        <v>124000</v>
      </c>
      <c r="S5761" s="102">
        <f t="shared" si="2844"/>
        <v>545600</v>
      </c>
      <c r="T5761" s="102">
        <f t="shared" si="2845"/>
        <v>496000</v>
      </c>
      <c r="U5761" s="71" t="str">
        <f>IF(J5761=W5761,"O", "X")</f>
        <v>O</v>
      </c>
      <c r="V5761" s="71"/>
      <c r="W5761" s="474">
        <f>(G5761-T5761)</f>
        <v>648000</v>
      </c>
      <c r="X5761" s="71"/>
      <c r="Y5761" s="71"/>
    </row>
    <row r="5762" spans="1:25" ht="30" customHeight="1" x14ac:dyDescent="0.25">
      <c r="A5762" s="1145">
        <v>45007</v>
      </c>
      <c r="B5762" s="664" t="s">
        <v>2536</v>
      </c>
      <c r="C5762" s="71" t="s">
        <v>3479</v>
      </c>
      <c r="D5762" s="71">
        <v>64</v>
      </c>
      <c r="E5762" s="102">
        <v>13500</v>
      </c>
      <c r="F5762" s="102">
        <f t="shared" si="2835"/>
        <v>950400.00000000012</v>
      </c>
      <c r="G5762" s="102">
        <f t="shared" si="2836"/>
        <v>864000</v>
      </c>
      <c r="H5762" s="690" t="s">
        <v>142</v>
      </c>
      <c r="I5762" s="71" t="s">
        <v>179</v>
      </c>
      <c r="J5762" s="53">
        <f t="shared" si="2841"/>
        <v>328640</v>
      </c>
      <c r="K5762" s="63">
        <f t="shared" si="2842"/>
        <v>0.3803703703703703</v>
      </c>
      <c r="L5762" s="1212" t="s">
        <v>3699</v>
      </c>
      <c r="M5762" s="468"/>
      <c r="N5762" s="1192">
        <f t="shared" si="2843"/>
        <v>45007</v>
      </c>
      <c r="O5762" s="71"/>
      <c r="P5762" s="103" t="str">
        <f t="shared" si="2839"/>
        <v>고모리 윤전 블랑켓 건식 세정포 - 4x6용</v>
      </c>
      <c r="Q5762" s="71">
        <f t="shared" si="2840"/>
        <v>64</v>
      </c>
      <c r="R5762" s="102">
        <v>8365</v>
      </c>
      <c r="S5762" s="102">
        <f t="shared" si="2844"/>
        <v>588896</v>
      </c>
      <c r="T5762" s="102">
        <f t="shared" si="2845"/>
        <v>535360</v>
      </c>
      <c r="U5762" s="71"/>
      <c r="V5762" s="71"/>
      <c r="W5762" s="474"/>
      <c r="X5762" s="71"/>
      <c r="Y5762" s="71"/>
    </row>
    <row r="5763" spans="1:25" ht="30" customHeight="1" x14ac:dyDescent="0.25">
      <c r="A5763" s="1145">
        <v>45007</v>
      </c>
      <c r="B5763" s="664" t="s">
        <v>2536</v>
      </c>
      <c r="C5763" s="71" t="s">
        <v>3478</v>
      </c>
      <c r="D5763" s="71">
        <v>32</v>
      </c>
      <c r="E5763" s="102">
        <v>18500</v>
      </c>
      <c r="F5763" s="102">
        <f t="shared" si="2835"/>
        <v>651200</v>
      </c>
      <c r="G5763" s="102">
        <f t="shared" si="2836"/>
        <v>592000</v>
      </c>
      <c r="H5763" s="690" t="s">
        <v>142</v>
      </c>
      <c r="I5763" s="71" t="s">
        <v>179</v>
      </c>
      <c r="J5763" s="53">
        <f t="shared" si="2841"/>
        <v>237312</v>
      </c>
      <c r="K5763" s="63">
        <f t="shared" si="2842"/>
        <v>0.40086486486486489</v>
      </c>
      <c r="L5763" s="1212" t="s">
        <v>3699</v>
      </c>
      <c r="M5763" s="468"/>
      <c r="N5763" s="1192">
        <f t="shared" si="2843"/>
        <v>45007</v>
      </c>
      <c r="O5763" s="71"/>
      <c r="P5763" s="103" t="str">
        <f t="shared" si="2839"/>
        <v>고모리 윤전 블랑켓 건식 세정포 - 국전용</v>
      </c>
      <c r="Q5763" s="71">
        <f t="shared" si="2840"/>
        <v>32</v>
      </c>
      <c r="R5763" s="102">
        <v>11084</v>
      </c>
      <c r="S5763" s="102">
        <f t="shared" si="2844"/>
        <v>390156.80000000005</v>
      </c>
      <c r="T5763" s="102">
        <f t="shared" si="2845"/>
        <v>354688</v>
      </c>
      <c r="U5763" s="71"/>
      <c r="V5763" s="71"/>
      <c r="W5763" s="474"/>
      <c r="X5763" s="71"/>
      <c r="Y5763" s="71"/>
    </row>
    <row r="5764" spans="1:25" s="209" customFormat="1" ht="30" hidden="1" customHeight="1" x14ac:dyDescent="0.25">
      <c r="A5764" s="1145">
        <v>45001</v>
      </c>
      <c r="B5764" s="664" t="s">
        <v>2353</v>
      </c>
      <c r="C5764" s="71" t="s">
        <v>130</v>
      </c>
      <c r="D5764" s="71">
        <v>10</v>
      </c>
      <c r="E5764" s="102">
        <v>148000</v>
      </c>
      <c r="F5764" s="102">
        <f t="shared" si="2835"/>
        <v>1628000.0000000002</v>
      </c>
      <c r="G5764" s="102">
        <f t="shared" si="2836"/>
        <v>1480000</v>
      </c>
      <c r="H5764" s="690" t="s">
        <v>142</v>
      </c>
      <c r="I5764" s="71" t="s">
        <v>179</v>
      </c>
      <c r="J5764" s="53">
        <f t="shared" si="2841"/>
        <v>360000</v>
      </c>
      <c r="K5764" s="63">
        <f t="shared" si="2842"/>
        <v>0.2432432432432432</v>
      </c>
      <c r="L5764" s="1212" t="s">
        <v>3699</v>
      </c>
      <c r="M5764" s="468" t="s">
        <v>2050</v>
      </c>
      <c r="N5764" s="1192">
        <f t="shared" si="2843"/>
        <v>45001</v>
      </c>
      <c r="O5764" s="71" t="s">
        <v>2030</v>
      </c>
      <c r="P5764" s="103" t="str">
        <f t="shared" si="2839"/>
        <v>XL106 Blanket(1077*885)</v>
      </c>
      <c r="Q5764" s="71">
        <f t="shared" si="2840"/>
        <v>10</v>
      </c>
      <c r="R5764" s="102">
        <v>112000</v>
      </c>
      <c r="S5764" s="102">
        <f t="shared" si="2844"/>
        <v>1232000</v>
      </c>
      <c r="T5764" s="102">
        <f t="shared" si="2845"/>
        <v>1120000</v>
      </c>
      <c r="U5764" s="71" t="s">
        <v>859</v>
      </c>
      <c r="V5764" s="71"/>
      <c r="W5764" s="474">
        <v>260000</v>
      </c>
      <c r="X5764" s="71"/>
      <c r="Y5764" s="71"/>
    </row>
    <row r="5765" spans="1:25" ht="30" hidden="1" customHeight="1" x14ac:dyDescent="0.25">
      <c r="A5765" s="1145">
        <v>45001</v>
      </c>
      <c r="B5765" s="664" t="s">
        <v>2353</v>
      </c>
      <c r="C5765" s="71" t="s">
        <v>129</v>
      </c>
      <c r="D5765" s="71">
        <v>7</v>
      </c>
      <c r="E5765" s="102">
        <v>325000</v>
      </c>
      <c r="F5765" s="102">
        <f t="shared" si="2835"/>
        <v>2502500</v>
      </c>
      <c r="G5765" s="102">
        <f t="shared" si="2836"/>
        <v>2275000</v>
      </c>
      <c r="H5765" s="690" t="s">
        <v>142</v>
      </c>
      <c r="I5765" s="71" t="s">
        <v>179</v>
      </c>
      <c r="J5765" s="53">
        <f t="shared" si="2841"/>
        <v>636440</v>
      </c>
      <c r="K5765" s="63">
        <f t="shared" si="2842"/>
        <v>0.27975384615384613</v>
      </c>
      <c r="L5765" s="1212" t="s">
        <v>3699</v>
      </c>
      <c r="M5765" s="468" t="s">
        <v>2050</v>
      </c>
      <c r="N5765" s="1192">
        <f t="shared" si="2843"/>
        <v>45001</v>
      </c>
      <c r="O5765" s="71" t="s">
        <v>149</v>
      </c>
      <c r="P5765" s="103" t="str">
        <f t="shared" si="2839"/>
        <v>세정포-XL106</v>
      </c>
      <c r="Q5765" s="71">
        <f t="shared" si="2840"/>
        <v>7</v>
      </c>
      <c r="R5765" s="102">
        <v>234080</v>
      </c>
      <c r="S5765" s="102">
        <f t="shared" si="2844"/>
        <v>1802416.0000000002</v>
      </c>
      <c r="T5765" s="102">
        <f t="shared" si="2845"/>
        <v>1638560</v>
      </c>
      <c r="U5765" s="71" t="str">
        <f>IF(J5765=W5765,"O", "X")</f>
        <v>O</v>
      </c>
      <c r="V5765" s="71"/>
      <c r="W5765" s="474">
        <f>(G5765-T5765)</f>
        <v>636440</v>
      </c>
      <c r="X5765" s="71"/>
      <c r="Y5765" s="71"/>
    </row>
    <row r="5766" spans="1:25" s="209" customFormat="1" ht="30" hidden="1" customHeight="1" x14ac:dyDescent="0.25">
      <c r="A5766" s="1145">
        <v>45001</v>
      </c>
      <c r="B5766" s="664" t="s">
        <v>2353</v>
      </c>
      <c r="C5766" s="71" t="s">
        <v>3299</v>
      </c>
      <c r="D5766" s="71">
        <v>10</v>
      </c>
      <c r="E5766" s="102">
        <v>83000</v>
      </c>
      <c r="F5766" s="102">
        <f t="shared" si="2835"/>
        <v>913000.00000000012</v>
      </c>
      <c r="G5766" s="102">
        <f t="shared" si="2836"/>
        <v>830000</v>
      </c>
      <c r="H5766" s="690" t="s">
        <v>142</v>
      </c>
      <c r="I5766" s="71" t="s">
        <v>179</v>
      </c>
      <c r="J5766" s="53">
        <f t="shared" si="2841"/>
        <v>355000</v>
      </c>
      <c r="K5766" s="63">
        <f t="shared" si="2842"/>
        <v>0.42771084337349391</v>
      </c>
      <c r="L5766" s="1212" t="s">
        <v>3699</v>
      </c>
      <c r="M5766" s="468" t="s">
        <v>2214</v>
      </c>
      <c r="N5766" s="1192">
        <f t="shared" si="2843"/>
        <v>45001</v>
      </c>
      <c r="O5766" s="71" t="s">
        <v>3383</v>
      </c>
      <c r="P5766" s="103" t="str">
        <f t="shared" si="2839"/>
        <v>매엽용 세척제(Wash k11)</v>
      </c>
      <c r="Q5766" s="71">
        <f t="shared" si="2840"/>
        <v>10</v>
      </c>
      <c r="R5766" s="102">
        <v>47500</v>
      </c>
      <c r="S5766" s="102">
        <f t="shared" si="2844"/>
        <v>522500.00000000006</v>
      </c>
      <c r="T5766" s="102">
        <f t="shared" si="2845"/>
        <v>475000</v>
      </c>
      <c r="U5766" s="71" t="s">
        <v>859</v>
      </c>
      <c r="V5766" s="71"/>
      <c r="W5766" s="474">
        <v>136000</v>
      </c>
      <c r="X5766" s="71"/>
      <c r="Y5766" s="71"/>
    </row>
    <row r="5767" spans="1:25" s="209" customFormat="1" ht="30" hidden="1" customHeight="1" x14ac:dyDescent="0.25">
      <c r="A5767" s="1145">
        <v>45015</v>
      </c>
      <c r="B5767" s="664" t="s">
        <v>2353</v>
      </c>
      <c r="C5767" s="71" t="s">
        <v>130</v>
      </c>
      <c r="D5767" s="71">
        <v>10</v>
      </c>
      <c r="E5767" s="102">
        <v>148000</v>
      </c>
      <c r="F5767" s="102">
        <f>(E5767*D5767)*1.1</f>
        <v>1628000.0000000002</v>
      </c>
      <c r="G5767" s="102">
        <f>(E5767*D5767)</f>
        <v>1480000</v>
      </c>
      <c r="H5767" s="690" t="s">
        <v>142</v>
      </c>
      <c r="I5767" s="71" t="s">
        <v>179</v>
      </c>
      <c r="J5767" s="53">
        <f>G5767-T5767</f>
        <v>360000</v>
      </c>
      <c r="K5767" s="63">
        <f>(J5767/(F5767/11*10))</f>
        <v>0.2432432432432432</v>
      </c>
      <c r="L5767" s="1212" t="s">
        <v>3699</v>
      </c>
      <c r="M5767" s="468" t="s">
        <v>2050</v>
      </c>
      <c r="N5767" s="1192">
        <f>A5767</f>
        <v>45015</v>
      </c>
      <c r="O5767" s="71" t="s">
        <v>2030</v>
      </c>
      <c r="P5767" s="103" t="str">
        <f>(C5767)</f>
        <v>XL106 Blanket(1077*885)</v>
      </c>
      <c r="Q5767" s="71">
        <f>D5767</f>
        <v>10</v>
      </c>
      <c r="R5767" s="102">
        <v>112000</v>
      </c>
      <c r="S5767" s="102">
        <f>R5767*Q5767*1.1</f>
        <v>1232000</v>
      </c>
      <c r="T5767" s="102">
        <f>R5767*Q5767</f>
        <v>1120000</v>
      </c>
      <c r="U5767" s="71" t="s">
        <v>859</v>
      </c>
      <c r="V5767" s="71"/>
      <c r="W5767" s="474">
        <v>260000</v>
      </c>
      <c r="X5767" s="71"/>
      <c r="Y5767" s="71"/>
    </row>
    <row r="5768" spans="1:25" ht="30" hidden="1" customHeight="1" x14ac:dyDescent="0.25">
      <c r="A5768" s="1145">
        <v>45015</v>
      </c>
      <c r="B5768" s="664" t="s">
        <v>2353</v>
      </c>
      <c r="C5768" s="71" t="s">
        <v>129</v>
      </c>
      <c r="D5768" s="71">
        <v>7</v>
      </c>
      <c r="E5768" s="102">
        <v>325000</v>
      </c>
      <c r="F5768" s="102">
        <f>(E5768*D5768)*1.1</f>
        <v>2502500</v>
      </c>
      <c r="G5768" s="102">
        <f>(E5768*D5768)</f>
        <v>2275000</v>
      </c>
      <c r="H5768" s="690" t="s">
        <v>142</v>
      </c>
      <c r="I5768" s="71" t="s">
        <v>179</v>
      </c>
      <c r="J5768" s="53">
        <f>G5768-T5768</f>
        <v>636440</v>
      </c>
      <c r="K5768" s="63">
        <f>(J5768/(F5768/11*10))</f>
        <v>0.27975384615384613</v>
      </c>
      <c r="L5768" s="1212" t="s">
        <v>3699</v>
      </c>
      <c r="M5768" s="468" t="s">
        <v>2050</v>
      </c>
      <c r="N5768" s="1192">
        <f>A5768</f>
        <v>45015</v>
      </c>
      <c r="O5768" s="71" t="s">
        <v>149</v>
      </c>
      <c r="P5768" s="103" t="str">
        <f>(C5768)</f>
        <v>세정포-XL106</v>
      </c>
      <c r="Q5768" s="71">
        <f>D5768</f>
        <v>7</v>
      </c>
      <c r="R5768" s="102">
        <v>234080</v>
      </c>
      <c r="S5768" s="102">
        <f>R5768*Q5768*1.1</f>
        <v>1802416.0000000002</v>
      </c>
      <c r="T5768" s="102">
        <f>R5768*Q5768</f>
        <v>1638560</v>
      </c>
      <c r="U5768" s="71" t="str">
        <f>IF(J5768=W5768,"O", "X")</f>
        <v>O</v>
      </c>
      <c r="V5768" s="71"/>
      <c r="W5768" s="474">
        <f>(G5768-T5768)</f>
        <v>636440</v>
      </c>
      <c r="X5768" s="71"/>
      <c r="Y5768" s="71"/>
    </row>
    <row r="5769" spans="1:25" ht="30" hidden="1" customHeight="1" x14ac:dyDescent="0.25">
      <c r="A5769" s="1145">
        <v>45001</v>
      </c>
      <c r="B5769" s="664" t="s">
        <v>2353</v>
      </c>
      <c r="C5769" s="71" t="s">
        <v>123</v>
      </c>
      <c r="D5769" s="71">
        <v>6</v>
      </c>
      <c r="E5769" s="102">
        <v>50000</v>
      </c>
      <c r="F5769" s="102">
        <f>(E5769*D5769)*1.1</f>
        <v>330000</v>
      </c>
      <c r="G5769" s="102">
        <f>(E5769*D5769)</f>
        <v>300000</v>
      </c>
      <c r="H5769" s="690" t="s">
        <v>142</v>
      </c>
      <c r="I5769" s="71" t="s">
        <v>179</v>
      </c>
      <c r="J5769" s="53">
        <f>G5769-T5769</f>
        <v>156000</v>
      </c>
      <c r="K5769" s="63">
        <f>(J5769/(F5769/11*10))</f>
        <v>0.52</v>
      </c>
      <c r="L5769" s="1212" t="s">
        <v>3699</v>
      </c>
      <c r="M5769" s="102"/>
      <c r="N5769" s="1192">
        <f>A5769</f>
        <v>45001</v>
      </c>
      <c r="O5769" s="71" t="s">
        <v>94</v>
      </c>
      <c r="P5769" s="103" t="str">
        <f>(C5769)</f>
        <v>필터백</v>
      </c>
      <c r="Q5769" s="71">
        <f>D5769</f>
        <v>6</v>
      </c>
      <c r="R5769" s="102">
        <v>24000</v>
      </c>
      <c r="S5769" s="102">
        <f>R5769*Q5769*1.1</f>
        <v>158400</v>
      </c>
      <c r="T5769" s="102">
        <f>R5769*Q5769</f>
        <v>144000</v>
      </c>
      <c r="U5769" s="71"/>
      <c r="V5769" s="71"/>
      <c r="W5769" s="474"/>
      <c r="X5769" s="71"/>
      <c r="Y5769" s="71"/>
    </row>
    <row r="5770" spans="1:25" ht="30" hidden="1" customHeight="1" x14ac:dyDescent="0.25">
      <c r="A5770" s="1145">
        <v>45015</v>
      </c>
      <c r="B5770" s="664" t="s">
        <v>2353</v>
      </c>
      <c r="C5770" s="71" t="s">
        <v>584</v>
      </c>
      <c r="D5770" s="71">
        <v>4</v>
      </c>
      <c r="E5770" s="102">
        <v>270000</v>
      </c>
      <c r="F5770" s="102">
        <f>(E5770*D5770)*1.1</f>
        <v>1188000</v>
      </c>
      <c r="G5770" s="102">
        <f>(E5770*D5770)</f>
        <v>1080000</v>
      </c>
      <c r="H5770" s="690" t="s">
        <v>142</v>
      </c>
      <c r="I5770" s="71" t="s">
        <v>179</v>
      </c>
      <c r="J5770" s="53">
        <f>G5770-T5770</f>
        <v>328000</v>
      </c>
      <c r="K5770" s="63">
        <f>(J5770/(F5770/11*10))</f>
        <v>0.3037037037037037</v>
      </c>
      <c r="L5770" s="1212" t="s">
        <v>3699</v>
      </c>
      <c r="M5770" s="468"/>
      <c r="N5770" s="1192">
        <f>A5770</f>
        <v>45015</v>
      </c>
      <c r="O5770" s="71" t="s">
        <v>150</v>
      </c>
      <c r="P5770" s="103" t="str">
        <f>(C5770)</f>
        <v>데리바리 석션벨트</v>
      </c>
      <c r="Q5770" s="71">
        <f>D5770</f>
        <v>4</v>
      </c>
      <c r="R5770" s="102">
        <v>188000</v>
      </c>
      <c r="S5770" s="102">
        <f>R5770*Q5770*1.1</f>
        <v>827200.00000000012</v>
      </c>
      <c r="T5770" s="102">
        <f>R5770*Q5770</f>
        <v>752000</v>
      </c>
      <c r="U5770" s="71" t="str">
        <f>IF(J5770=W5770,"O", "X")</f>
        <v>O</v>
      </c>
      <c r="V5770" s="71"/>
      <c r="W5770" s="474">
        <f>(G5770-T5770)</f>
        <v>328000</v>
      </c>
      <c r="X5770" s="71"/>
      <c r="Y5770" s="71"/>
    </row>
    <row r="5771" spans="1:25" ht="30" hidden="1" customHeight="1" x14ac:dyDescent="0.25">
      <c r="A5771" s="1145">
        <v>45015</v>
      </c>
      <c r="B5771" s="664" t="s">
        <v>2353</v>
      </c>
      <c r="C5771" s="71" t="s">
        <v>123</v>
      </c>
      <c r="D5771" s="71">
        <v>4</v>
      </c>
      <c r="E5771" s="102">
        <v>50000</v>
      </c>
      <c r="F5771" s="102">
        <f t="shared" ref="F5771:F5776" si="2846">(E5771*D5771)*1.1</f>
        <v>220000.00000000003</v>
      </c>
      <c r="G5771" s="102">
        <f t="shared" ref="G5771:G5776" si="2847">(E5771*D5771)</f>
        <v>200000</v>
      </c>
      <c r="H5771" s="690" t="s">
        <v>142</v>
      </c>
      <c r="I5771" s="71" t="s">
        <v>179</v>
      </c>
      <c r="J5771" s="53">
        <f t="shared" ref="J5771:J5776" si="2848">G5771-T5771</f>
        <v>104000</v>
      </c>
      <c r="K5771" s="63">
        <f t="shared" ref="K5771:K5776" si="2849">(J5771/(F5771/11*10))</f>
        <v>0.51999999999999991</v>
      </c>
      <c r="L5771" s="1212" t="s">
        <v>3699</v>
      </c>
      <c r="M5771" s="102"/>
      <c r="N5771" s="1192">
        <f t="shared" ref="N5771:N5786" si="2850">A5771</f>
        <v>45015</v>
      </c>
      <c r="O5771" s="71" t="s">
        <v>94</v>
      </c>
      <c r="P5771" s="103" t="str">
        <f t="shared" ref="P5771:P5776" si="2851">(C5771)</f>
        <v>필터백</v>
      </c>
      <c r="Q5771" s="71">
        <f t="shared" ref="Q5771:Q5776" si="2852">D5771</f>
        <v>4</v>
      </c>
      <c r="R5771" s="102">
        <v>24000</v>
      </c>
      <c r="S5771" s="102">
        <f t="shared" ref="S5771:S5776" si="2853">R5771*Q5771*1.1</f>
        <v>105600.00000000001</v>
      </c>
      <c r="T5771" s="102">
        <f t="shared" ref="T5771:T5776" si="2854">R5771*Q5771</f>
        <v>96000</v>
      </c>
      <c r="U5771" s="71"/>
      <c r="V5771" s="71"/>
      <c r="W5771" s="474"/>
      <c r="X5771" s="71"/>
      <c r="Y5771" s="71"/>
    </row>
    <row r="5772" spans="1:25" ht="30" hidden="1" customHeight="1" x14ac:dyDescent="0.25">
      <c r="A5772" s="1145">
        <v>45005</v>
      </c>
      <c r="B5772" s="664" t="s">
        <v>3296</v>
      </c>
      <c r="C5772" s="71" t="s">
        <v>3297</v>
      </c>
      <c r="D5772" s="71">
        <v>20</v>
      </c>
      <c r="E5772" s="102">
        <v>162500</v>
      </c>
      <c r="F5772" s="102">
        <f t="shared" si="2846"/>
        <v>3575000.0000000005</v>
      </c>
      <c r="G5772" s="102">
        <f t="shared" si="2847"/>
        <v>3250000</v>
      </c>
      <c r="H5772" s="690" t="s">
        <v>172</v>
      </c>
      <c r="I5772" s="71" t="s">
        <v>3295</v>
      </c>
      <c r="J5772" s="53">
        <f t="shared" si="2848"/>
        <v>850000</v>
      </c>
      <c r="K5772" s="63">
        <f t="shared" si="2849"/>
        <v>0.2615384615384615</v>
      </c>
      <c r="L5772" s="1212" t="s">
        <v>3699</v>
      </c>
      <c r="M5772" s="468"/>
      <c r="N5772" s="1192">
        <f t="shared" si="2850"/>
        <v>45005</v>
      </c>
      <c r="O5772" s="71" t="s">
        <v>662</v>
      </c>
      <c r="P5772" s="103" t="str">
        <f t="shared" si="2851"/>
        <v>실리콘 에멀전</v>
      </c>
      <c r="Q5772" s="71">
        <f t="shared" si="2852"/>
        <v>20</v>
      </c>
      <c r="R5772" s="102">
        <v>120000</v>
      </c>
      <c r="S5772" s="102">
        <f t="shared" si="2853"/>
        <v>2640000</v>
      </c>
      <c r="T5772" s="102">
        <f t="shared" si="2854"/>
        <v>2400000</v>
      </c>
      <c r="U5772" s="71" t="str">
        <f>IF(J5772=W5772,"O", "X")</f>
        <v>X</v>
      </c>
      <c r="V5772" s="71"/>
      <c r="W5772" s="474"/>
      <c r="X5772" s="71"/>
      <c r="Y5772" s="71"/>
    </row>
    <row r="5773" spans="1:25" ht="30" hidden="1" customHeight="1" x14ac:dyDescent="0.25">
      <c r="A5773" s="1145">
        <v>45007</v>
      </c>
      <c r="B5773" s="664" t="s">
        <v>2798</v>
      </c>
      <c r="C5773" s="71" t="s">
        <v>167</v>
      </c>
      <c r="D5773" s="71">
        <v>10</v>
      </c>
      <c r="E5773" s="102">
        <v>138000</v>
      </c>
      <c r="F5773" s="102">
        <f t="shared" si="2846"/>
        <v>1518000.0000000002</v>
      </c>
      <c r="G5773" s="102">
        <f t="shared" si="2847"/>
        <v>1380000</v>
      </c>
      <c r="H5773" s="690" t="s">
        <v>172</v>
      </c>
      <c r="I5773" s="71" t="s">
        <v>33</v>
      </c>
      <c r="J5773" s="53">
        <f t="shared" si="2848"/>
        <v>368000</v>
      </c>
      <c r="K5773" s="63">
        <f t="shared" si="2849"/>
        <v>0.26666666666666661</v>
      </c>
      <c r="L5773" s="1212" t="s">
        <v>3699</v>
      </c>
      <c r="M5773" s="468"/>
      <c r="N5773" s="1192">
        <f t="shared" si="2850"/>
        <v>45007</v>
      </c>
      <c r="O5773" s="71" t="s">
        <v>146</v>
      </c>
      <c r="P5773" s="103" t="str">
        <f t="shared" si="2851"/>
        <v>Blanket(1060*860)</v>
      </c>
      <c r="Q5773" s="71">
        <f t="shared" si="2852"/>
        <v>10</v>
      </c>
      <c r="R5773" s="102">
        <v>101200</v>
      </c>
      <c r="S5773" s="102">
        <f t="shared" si="2853"/>
        <v>1113200</v>
      </c>
      <c r="T5773" s="102">
        <f t="shared" si="2854"/>
        <v>1012000</v>
      </c>
      <c r="U5773" s="71" t="str">
        <f>IF(J5773=W5773,"O", "X")</f>
        <v>X</v>
      </c>
      <c r="V5773" s="71"/>
      <c r="W5773" s="474"/>
      <c r="X5773" s="71"/>
      <c r="Y5773" s="71"/>
    </row>
    <row r="5774" spans="1:25" ht="30" hidden="1" customHeight="1" x14ac:dyDescent="0.25">
      <c r="A5774" s="1145">
        <v>45007</v>
      </c>
      <c r="B5774" s="664" t="s">
        <v>444</v>
      </c>
      <c r="C5774" s="71" t="s">
        <v>3399</v>
      </c>
      <c r="D5774" s="71">
        <v>5</v>
      </c>
      <c r="E5774" s="102">
        <v>195000</v>
      </c>
      <c r="F5774" s="102">
        <f t="shared" si="2846"/>
        <v>1072500</v>
      </c>
      <c r="G5774" s="102">
        <f t="shared" si="2847"/>
        <v>975000</v>
      </c>
      <c r="H5774" s="690" t="s">
        <v>2029</v>
      </c>
      <c r="I5774" s="71" t="s">
        <v>180</v>
      </c>
      <c r="J5774" s="53">
        <f t="shared" si="2848"/>
        <v>325000</v>
      </c>
      <c r="K5774" s="63">
        <f t="shared" si="2849"/>
        <v>0.33333333333333331</v>
      </c>
      <c r="L5774" s="1212" t="s">
        <v>3699</v>
      </c>
      <c r="M5774" s="468"/>
      <c r="N5774" s="1192">
        <f t="shared" si="2850"/>
        <v>45007</v>
      </c>
      <c r="O5774" s="71" t="s">
        <v>191</v>
      </c>
      <c r="P5774" s="103" t="str">
        <f t="shared" si="2851"/>
        <v>UV wash offset UV</v>
      </c>
      <c r="Q5774" s="71">
        <f t="shared" si="2852"/>
        <v>5</v>
      </c>
      <c r="R5774" s="102">
        <v>130000</v>
      </c>
      <c r="S5774" s="102">
        <f t="shared" si="2853"/>
        <v>715000</v>
      </c>
      <c r="T5774" s="102">
        <f t="shared" si="2854"/>
        <v>650000</v>
      </c>
      <c r="U5774" s="71"/>
      <c r="V5774" s="71"/>
      <c r="W5774" s="474"/>
      <c r="X5774" s="71"/>
      <c r="Y5774" s="71"/>
    </row>
    <row r="5775" spans="1:25" ht="30" hidden="1" customHeight="1" x14ac:dyDescent="0.25">
      <c r="A5775" s="1145">
        <v>45008</v>
      </c>
      <c r="B5775" s="664" t="s">
        <v>2798</v>
      </c>
      <c r="C5775" s="71" t="s">
        <v>3474</v>
      </c>
      <c r="D5775" s="71">
        <v>5</v>
      </c>
      <c r="E5775" s="102">
        <v>900000</v>
      </c>
      <c r="F5775" s="102">
        <f t="shared" si="2846"/>
        <v>4950000</v>
      </c>
      <c r="G5775" s="102">
        <f t="shared" si="2847"/>
        <v>4500000</v>
      </c>
      <c r="H5775" s="690" t="s">
        <v>172</v>
      </c>
      <c r="I5775" s="71" t="s">
        <v>33</v>
      </c>
      <c r="J5775" s="53">
        <f t="shared" si="2848"/>
        <v>2314500</v>
      </c>
      <c r="K5775" s="63">
        <f t="shared" si="2849"/>
        <v>0.51433333333333331</v>
      </c>
      <c r="L5775" s="1212" t="s">
        <v>3699</v>
      </c>
      <c r="M5775" s="468"/>
      <c r="N5775" s="1192">
        <f t="shared" si="2850"/>
        <v>45008</v>
      </c>
      <c r="O5775" s="71" t="s">
        <v>3490</v>
      </c>
      <c r="P5775" s="103" t="str">
        <f t="shared" si="2851"/>
        <v>UV Lamp - KBA 전선타입</v>
      </c>
      <c r="Q5775" s="71">
        <f t="shared" si="2852"/>
        <v>5</v>
      </c>
      <c r="R5775" s="102">
        <v>437100</v>
      </c>
      <c r="S5775" s="102">
        <f t="shared" si="2853"/>
        <v>2404050</v>
      </c>
      <c r="T5775" s="102">
        <f t="shared" si="2854"/>
        <v>2185500</v>
      </c>
      <c r="U5775" s="71" t="str">
        <f>IF(J5775=W5775,"O", "X")</f>
        <v>X</v>
      </c>
      <c r="V5775" s="71"/>
      <c r="W5775" s="474"/>
      <c r="X5775" s="71"/>
      <c r="Y5775" s="71"/>
    </row>
    <row r="5776" spans="1:25" ht="30" hidden="1" customHeight="1" x14ac:dyDescent="0.25">
      <c r="A5776" s="1145">
        <v>45008</v>
      </c>
      <c r="B5776" s="664" t="s">
        <v>2798</v>
      </c>
      <c r="C5776" s="71" t="s">
        <v>3475</v>
      </c>
      <c r="D5776" s="71">
        <v>3</v>
      </c>
      <c r="E5776" s="102">
        <v>700000</v>
      </c>
      <c r="F5776" s="102">
        <f t="shared" si="2846"/>
        <v>2310000</v>
      </c>
      <c r="G5776" s="102">
        <f t="shared" si="2847"/>
        <v>2100000</v>
      </c>
      <c r="H5776" s="690" t="s">
        <v>172</v>
      </c>
      <c r="I5776" s="71" t="s">
        <v>38</v>
      </c>
      <c r="J5776" s="53">
        <f t="shared" si="2848"/>
        <v>1006533</v>
      </c>
      <c r="K5776" s="63">
        <f t="shared" si="2849"/>
        <v>0.47930142857142854</v>
      </c>
      <c r="L5776" s="1212" t="s">
        <v>3699</v>
      </c>
      <c r="M5776" s="468"/>
      <c r="N5776" s="1192">
        <f t="shared" si="2850"/>
        <v>45008</v>
      </c>
      <c r="O5776" s="71" t="s">
        <v>3490</v>
      </c>
      <c r="P5776" s="103" t="str">
        <f t="shared" si="2851"/>
        <v>UV Lamp - KBA 똑딱이타입</v>
      </c>
      <c r="Q5776" s="71">
        <f t="shared" si="2852"/>
        <v>3</v>
      </c>
      <c r="R5776" s="102">
        <v>364489</v>
      </c>
      <c r="S5776" s="102">
        <f t="shared" si="2853"/>
        <v>1202813.7000000002</v>
      </c>
      <c r="T5776" s="102">
        <f t="shared" si="2854"/>
        <v>1093467</v>
      </c>
      <c r="U5776" s="71" t="str">
        <f>IF(J5776=W5776,"O", "X")</f>
        <v>O</v>
      </c>
      <c r="V5776" s="71" t="s">
        <v>3292</v>
      </c>
      <c r="W5776" s="474">
        <f>(G5776-T5776)</f>
        <v>1006533</v>
      </c>
      <c r="X5776" s="71"/>
      <c r="Y5776" s="71"/>
    </row>
    <row r="5777" spans="1:25" ht="30" hidden="1" customHeight="1" x14ac:dyDescent="0.25">
      <c r="A5777" s="1145">
        <v>45006</v>
      </c>
      <c r="B5777" s="664" t="s">
        <v>18</v>
      </c>
      <c r="C5777" s="71" t="s">
        <v>2070</v>
      </c>
      <c r="D5777" s="71">
        <v>10</v>
      </c>
      <c r="E5777" s="102">
        <v>115000</v>
      </c>
      <c r="F5777" s="102">
        <f>(E5777*D5777)*1.1</f>
        <v>1265000</v>
      </c>
      <c r="G5777" s="102">
        <f>(E5777*D5777)</f>
        <v>1150000</v>
      </c>
      <c r="H5777" s="690" t="s">
        <v>172</v>
      </c>
      <c r="I5777" s="71" t="s">
        <v>33</v>
      </c>
      <c r="J5777" s="53">
        <f t="shared" ref="J5777:J5786" si="2855">G5777-T5777</f>
        <v>168000</v>
      </c>
      <c r="K5777" s="63">
        <v>0.10555555555555554</v>
      </c>
      <c r="L5777" s="1212" t="s">
        <v>3699</v>
      </c>
      <c r="M5777" s="468"/>
      <c r="N5777" s="1192">
        <f t="shared" si="2850"/>
        <v>45006</v>
      </c>
      <c r="O5777" s="71" t="s">
        <v>146</v>
      </c>
      <c r="P5777" s="103" t="str">
        <f t="shared" ref="P5777:P5786" si="2856">(C5777)</f>
        <v>Blanket(1050*840)</v>
      </c>
      <c r="Q5777" s="71">
        <f>D5777</f>
        <v>10</v>
      </c>
      <c r="R5777" s="102">
        <v>98200</v>
      </c>
      <c r="S5777" s="102">
        <f t="shared" ref="S5777:S5786" si="2857">R5777*Q5777*1.1</f>
        <v>1080200</v>
      </c>
      <c r="T5777" s="102">
        <f t="shared" ref="T5777:T5786" si="2858">R5777*Q5777</f>
        <v>982000</v>
      </c>
      <c r="U5777" s="71" t="s">
        <v>859</v>
      </c>
      <c r="V5777" s="71"/>
      <c r="W5777" s="474"/>
      <c r="X5777" s="71"/>
      <c r="Y5777" s="71"/>
    </row>
    <row r="5778" spans="1:25" ht="30" hidden="1" customHeight="1" x14ac:dyDescent="0.2">
      <c r="A5778" s="1145">
        <v>45006</v>
      </c>
      <c r="B5778" s="664" t="s">
        <v>548</v>
      </c>
      <c r="C5778" s="71" t="s">
        <v>236</v>
      </c>
      <c r="D5778" s="71">
        <v>4</v>
      </c>
      <c r="E5778" s="102">
        <v>100000</v>
      </c>
      <c r="F5778" s="163">
        <f>(E5778*D5778)*1.1</f>
        <v>440000.00000000006</v>
      </c>
      <c r="G5778" s="102">
        <f t="shared" ref="G5778:G5786" si="2859">(E5778*D5778)</f>
        <v>400000</v>
      </c>
      <c r="H5778" s="690" t="s">
        <v>173</v>
      </c>
      <c r="I5778" s="71" t="s">
        <v>2231</v>
      </c>
      <c r="J5778" s="53">
        <f t="shared" si="2855"/>
        <v>160000</v>
      </c>
      <c r="K5778" s="63">
        <f t="shared" ref="K5778:K5786" si="2860">(J5778/(F5778/11*10))</f>
        <v>0.39999999999999997</v>
      </c>
      <c r="L5778" s="1212" t="s">
        <v>3699</v>
      </c>
      <c r="M5778" s="468"/>
      <c r="N5778" s="1192">
        <f t="shared" si="2850"/>
        <v>45006</v>
      </c>
      <c r="O5778" s="71" t="s">
        <v>3021</v>
      </c>
      <c r="P5778" s="164" t="str">
        <f t="shared" si="2856"/>
        <v>아스테이지(국전)</v>
      </c>
      <c r="Q5778" s="71">
        <f t="shared" ref="Q5778:Q5783" si="2861">D5778</f>
        <v>4</v>
      </c>
      <c r="R5778" s="102">
        <v>60000</v>
      </c>
      <c r="S5778" s="102">
        <f t="shared" si="2857"/>
        <v>264000</v>
      </c>
      <c r="T5778" s="102">
        <f t="shared" si="2858"/>
        <v>240000</v>
      </c>
      <c r="U5778" s="71" t="str">
        <f>IF(J5778=W5778,"O", "X")</f>
        <v>X</v>
      </c>
      <c r="V5778" s="71"/>
      <c r="W5778" s="474"/>
      <c r="X5778" s="71"/>
      <c r="Y5778" s="71"/>
    </row>
    <row r="5779" spans="1:25" ht="30" hidden="1" customHeight="1" x14ac:dyDescent="0.25">
      <c r="A5779" s="1145">
        <v>45006</v>
      </c>
      <c r="B5779" s="664" t="s">
        <v>548</v>
      </c>
      <c r="C5779" s="71" t="s">
        <v>3382</v>
      </c>
      <c r="D5779" s="71">
        <v>1</v>
      </c>
      <c r="E5779" s="102">
        <v>168000</v>
      </c>
      <c r="F5779" s="102">
        <f t="shared" ref="F5779:F5786" si="2862">(E5779*D5779)*1.1</f>
        <v>184800.00000000003</v>
      </c>
      <c r="G5779" s="102">
        <f t="shared" si="2859"/>
        <v>168000</v>
      </c>
      <c r="H5779" s="690" t="s">
        <v>2029</v>
      </c>
      <c r="I5779" s="71" t="s">
        <v>180</v>
      </c>
      <c r="J5779" s="53">
        <f t="shared" si="2855"/>
        <v>54000</v>
      </c>
      <c r="K5779" s="63">
        <f t="shared" si="2860"/>
        <v>0.3214285714285714</v>
      </c>
      <c r="L5779" s="1212" t="s">
        <v>3699</v>
      </c>
      <c r="M5779" s="468"/>
      <c r="N5779" s="1192">
        <f t="shared" si="2850"/>
        <v>45006</v>
      </c>
      <c r="O5779" s="71" t="s">
        <v>3383</v>
      </c>
      <c r="P5779" s="164" t="str">
        <f t="shared" si="2856"/>
        <v>판 클리너(12개)</v>
      </c>
      <c r="Q5779" s="71">
        <f t="shared" si="2861"/>
        <v>1</v>
      </c>
      <c r="R5779" s="102">
        <v>114000</v>
      </c>
      <c r="S5779" s="102">
        <f t="shared" si="2857"/>
        <v>125400.00000000001</v>
      </c>
      <c r="T5779" s="102">
        <f t="shared" si="2858"/>
        <v>114000</v>
      </c>
      <c r="U5779" s="71" t="str">
        <f>IF(J5779=W5779,"O", "X")</f>
        <v>X</v>
      </c>
      <c r="V5779" s="71"/>
      <c r="W5779" s="474"/>
      <c r="X5779" s="71"/>
      <c r="Y5779" s="71"/>
    </row>
    <row r="5780" spans="1:25" ht="30" hidden="1" customHeight="1" x14ac:dyDescent="0.25">
      <c r="A5780" s="1145">
        <v>44993</v>
      </c>
      <c r="B5780" s="664" t="s">
        <v>442</v>
      </c>
      <c r="C5780" s="71" t="s">
        <v>3299</v>
      </c>
      <c r="D5780" s="71">
        <v>15</v>
      </c>
      <c r="E5780" s="102">
        <v>69000</v>
      </c>
      <c r="F5780" s="102">
        <f t="shared" si="2862"/>
        <v>1138500</v>
      </c>
      <c r="G5780" s="102">
        <f t="shared" si="2859"/>
        <v>1035000</v>
      </c>
      <c r="H5780" s="690" t="s">
        <v>172</v>
      </c>
      <c r="I5780" s="71" t="s">
        <v>180</v>
      </c>
      <c r="J5780" s="53">
        <f t="shared" si="2855"/>
        <v>322500</v>
      </c>
      <c r="K5780" s="63">
        <f t="shared" si="2860"/>
        <v>0.31159420289855072</v>
      </c>
      <c r="L5780" s="1212" t="s">
        <v>3699</v>
      </c>
      <c r="M5780" s="468" t="s">
        <v>3304</v>
      </c>
      <c r="N5780" s="1192">
        <f t="shared" si="2850"/>
        <v>44993</v>
      </c>
      <c r="O5780" s="71" t="s">
        <v>175</v>
      </c>
      <c r="P5780" s="164" t="str">
        <f t="shared" si="2856"/>
        <v>매엽용 세척제(Wash k11)</v>
      </c>
      <c r="Q5780" s="71">
        <f t="shared" si="2861"/>
        <v>15</v>
      </c>
      <c r="R5780" s="102">
        <v>47500</v>
      </c>
      <c r="S5780" s="102">
        <f t="shared" si="2857"/>
        <v>783750.00000000012</v>
      </c>
      <c r="T5780" s="102">
        <f t="shared" si="2858"/>
        <v>712500</v>
      </c>
      <c r="U5780" s="71" t="s">
        <v>859</v>
      </c>
      <c r="V5780" s="71"/>
      <c r="W5780" s="474"/>
      <c r="X5780" s="71"/>
      <c r="Y5780" s="71"/>
    </row>
    <row r="5781" spans="1:25" ht="30" hidden="1" customHeight="1" x14ac:dyDescent="0.25">
      <c r="A5781" s="1145">
        <v>45001</v>
      </c>
      <c r="B5781" s="664" t="s">
        <v>442</v>
      </c>
      <c r="C5781" s="71" t="s">
        <v>3702</v>
      </c>
      <c r="D5781" s="71">
        <v>5</v>
      </c>
      <c r="E5781" s="102">
        <v>36000</v>
      </c>
      <c r="F5781" s="102">
        <f t="shared" si="2862"/>
        <v>198000.00000000003</v>
      </c>
      <c r="G5781" s="102">
        <f t="shared" si="2859"/>
        <v>180000</v>
      </c>
      <c r="H5781" s="690" t="s">
        <v>2029</v>
      </c>
      <c r="I5781" s="71" t="s">
        <v>195</v>
      </c>
      <c r="J5781" s="53">
        <f t="shared" si="2855"/>
        <v>-170000</v>
      </c>
      <c r="K5781" s="63">
        <f t="shared" si="2860"/>
        <v>-0.94444444444444431</v>
      </c>
      <c r="L5781" s="1212" t="s">
        <v>3699</v>
      </c>
      <c r="M5781" s="468"/>
      <c r="N5781" s="1192">
        <f t="shared" si="2850"/>
        <v>45001</v>
      </c>
      <c r="O5781" s="71" t="s">
        <v>3710</v>
      </c>
      <c r="P5781" s="164" t="str">
        <f t="shared" si="2856"/>
        <v>필름 현상기 부품, 부싱</v>
      </c>
      <c r="Q5781" s="71">
        <v>1</v>
      </c>
      <c r="R5781" s="147">
        <v>350000</v>
      </c>
      <c r="S5781" s="102">
        <f t="shared" si="2857"/>
        <v>385000.00000000006</v>
      </c>
      <c r="T5781" s="102">
        <f t="shared" si="2858"/>
        <v>350000</v>
      </c>
      <c r="U5781" s="71"/>
      <c r="V5781" s="71"/>
      <c r="W5781" s="474"/>
      <c r="X5781" s="71"/>
      <c r="Y5781" s="71"/>
    </row>
    <row r="5782" spans="1:25" s="209" customFormat="1" ht="30" hidden="1" customHeight="1" x14ac:dyDescent="0.25">
      <c r="A5782" s="1145">
        <v>45002</v>
      </c>
      <c r="B5782" s="664" t="s">
        <v>442</v>
      </c>
      <c r="C5782" s="71" t="s">
        <v>3685</v>
      </c>
      <c r="D5782" s="71">
        <v>1000</v>
      </c>
      <c r="E5782" s="102">
        <v>4250</v>
      </c>
      <c r="F5782" s="102">
        <f t="shared" si="2862"/>
        <v>4675000</v>
      </c>
      <c r="G5782" s="102">
        <f t="shared" si="2859"/>
        <v>4250000</v>
      </c>
      <c r="H5782" s="690" t="s">
        <v>173</v>
      </c>
      <c r="I5782" s="71" t="s">
        <v>2230</v>
      </c>
      <c r="J5782" s="53">
        <f t="shared" si="2855"/>
        <v>305000</v>
      </c>
      <c r="K5782" s="63">
        <f t="shared" si="2860"/>
        <v>7.1764705882352939E-2</v>
      </c>
      <c r="L5782" s="1212" t="s">
        <v>3699</v>
      </c>
      <c r="M5782" s="468"/>
      <c r="N5782" s="1192">
        <f t="shared" si="2850"/>
        <v>45002</v>
      </c>
      <c r="O5782" s="71" t="s">
        <v>150</v>
      </c>
      <c r="P5782" s="164" t="str">
        <f t="shared" si="2856"/>
        <v>CTP 판 1030*790</v>
      </c>
      <c r="Q5782" s="71">
        <f t="shared" si="2861"/>
        <v>1000</v>
      </c>
      <c r="R5782" s="102">
        <v>3945</v>
      </c>
      <c r="S5782" s="102">
        <f t="shared" si="2857"/>
        <v>4339500</v>
      </c>
      <c r="T5782" s="102">
        <f t="shared" si="2858"/>
        <v>3945000</v>
      </c>
      <c r="U5782" s="71"/>
      <c r="V5782" s="71"/>
      <c r="W5782" s="474"/>
      <c r="X5782" s="71"/>
      <c r="Y5782" s="71"/>
    </row>
    <row r="5783" spans="1:25" ht="30" hidden="1" customHeight="1" x14ac:dyDescent="0.25">
      <c r="A5783" s="1145">
        <v>45002</v>
      </c>
      <c r="B5783" s="664" t="s">
        <v>442</v>
      </c>
      <c r="C5783" s="71" t="s">
        <v>984</v>
      </c>
      <c r="D5783" s="71">
        <v>10</v>
      </c>
      <c r="E5783" s="102">
        <v>57000</v>
      </c>
      <c r="F5783" s="102">
        <f t="shared" si="2862"/>
        <v>627000</v>
      </c>
      <c r="G5783" s="102">
        <f t="shared" si="2859"/>
        <v>570000</v>
      </c>
      <c r="H5783" s="690" t="s">
        <v>173</v>
      </c>
      <c r="I5783" s="71" t="s">
        <v>2230</v>
      </c>
      <c r="J5783" s="53">
        <f t="shared" si="2855"/>
        <v>173400</v>
      </c>
      <c r="K5783" s="63">
        <f t="shared" si="2860"/>
        <v>0.30421052631578949</v>
      </c>
      <c r="L5783" s="1212" t="s">
        <v>3699</v>
      </c>
      <c r="M5783" s="468"/>
      <c r="N5783" s="1192">
        <f t="shared" si="2850"/>
        <v>45002</v>
      </c>
      <c r="O5783" s="71" t="s">
        <v>150</v>
      </c>
      <c r="P5783" s="103" t="str">
        <f t="shared" si="2856"/>
        <v>CTP 현상액</v>
      </c>
      <c r="Q5783" s="71">
        <f t="shared" si="2861"/>
        <v>10</v>
      </c>
      <c r="R5783" s="102">
        <v>39660</v>
      </c>
      <c r="S5783" s="102">
        <f t="shared" si="2857"/>
        <v>436260.00000000006</v>
      </c>
      <c r="T5783" s="102">
        <f t="shared" si="2858"/>
        <v>396600</v>
      </c>
      <c r="U5783" s="71"/>
      <c r="V5783" s="71"/>
      <c r="W5783" s="474"/>
      <c r="X5783" s="71"/>
      <c r="Y5783" s="71"/>
    </row>
    <row r="5784" spans="1:25" ht="30" hidden="1" customHeight="1" x14ac:dyDescent="0.25">
      <c r="A5784" s="1145">
        <v>44991</v>
      </c>
      <c r="B5784" s="664" t="s">
        <v>2261</v>
      </c>
      <c r="C5784" s="760" t="s">
        <v>181</v>
      </c>
      <c r="D5784" s="71">
        <v>10</v>
      </c>
      <c r="E5784" s="102">
        <v>193000</v>
      </c>
      <c r="F5784" s="102">
        <f t="shared" si="2862"/>
        <v>2123000</v>
      </c>
      <c r="G5784" s="102">
        <f t="shared" si="2859"/>
        <v>1930000</v>
      </c>
      <c r="H5784" s="690" t="s">
        <v>2029</v>
      </c>
      <c r="I5784" s="71" t="s">
        <v>182</v>
      </c>
      <c r="J5784" s="53">
        <f t="shared" si="2855"/>
        <v>690000</v>
      </c>
      <c r="K5784" s="63">
        <f t="shared" si="2860"/>
        <v>0.35751295336787564</v>
      </c>
      <c r="L5784" s="1212" t="s">
        <v>3699</v>
      </c>
      <c r="M5784" s="468"/>
      <c r="N5784" s="1192">
        <f t="shared" si="2850"/>
        <v>44991</v>
      </c>
      <c r="O5784" s="71" t="s">
        <v>2030</v>
      </c>
      <c r="P5784" s="103" t="str">
        <f t="shared" si="2856"/>
        <v>Fount Web 551AF</v>
      </c>
      <c r="Q5784" s="71">
        <f>D5784</f>
        <v>10</v>
      </c>
      <c r="R5784" s="102">
        <v>124000</v>
      </c>
      <c r="S5784" s="102">
        <f t="shared" si="2857"/>
        <v>1364000</v>
      </c>
      <c r="T5784" s="102">
        <f t="shared" si="2858"/>
        <v>1240000</v>
      </c>
      <c r="U5784" s="71" t="str">
        <f>IF(J5784=W5784,"O", "X")</f>
        <v>X</v>
      </c>
      <c r="V5784" s="71"/>
      <c r="W5784" s="474">
        <v>640000</v>
      </c>
      <c r="X5784" s="71"/>
      <c r="Y5784" s="71"/>
    </row>
    <row r="5785" spans="1:25" ht="30" hidden="1" customHeight="1" x14ac:dyDescent="0.25">
      <c r="A5785" s="1145">
        <v>44991</v>
      </c>
      <c r="B5785" s="664" t="s">
        <v>2261</v>
      </c>
      <c r="C5785" s="71" t="s">
        <v>277</v>
      </c>
      <c r="D5785" s="71">
        <v>10</v>
      </c>
      <c r="E5785" s="102">
        <v>172000</v>
      </c>
      <c r="F5785" s="102">
        <f t="shared" si="2862"/>
        <v>1892000.0000000002</v>
      </c>
      <c r="G5785" s="102">
        <f t="shared" si="2859"/>
        <v>1720000</v>
      </c>
      <c r="H5785" s="690" t="s">
        <v>172</v>
      </c>
      <c r="I5785" s="71" t="s">
        <v>108</v>
      </c>
      <c r="J5785" s="53">
        <f t="shared" si="2855"/>
        <v>390000</v>
      </c>
      <c r="K5785" s="63">
        <f t="shared" si="2860"/>
        <v>0.22674418604651159</v>
      </c>
      <c r="L5785" s="1212" t="s">
        <v>3699</v>
      </c>
      <c r="M5785" s="468"/>
      <c r="N5785" s="1192">
        <f t="shared" si="2850"/>
        <v>44991</v>
      </c>
      <c r="O5785" s="71" t="s">
        <v>662</v>
      </c>
      <c r="P5785" s="103" t="str">
        <f t="shared" si="2856"/>
        <v>윤전용 세척제(Web 504)</v>
      </c>
      <c r="Q5785" s="71">
        <f>D5785</f>
        <v>10</v>
      </c>
      <c r="R5785" s="102">
        <v>133000</v>
      </c>
      <c r="S5785" s="102">
        <f t="shared" si="2857"/>
        <v>1463000.0000000002</v>
      </c>
      <c r="T5785" s="102">
        <f t="shared" si="2858"/>
        <v>1330000</v>
      </c>
      <c r="U5785" s="71" t="str">
        <f>IF(J5785=W5785,"O", "X")</f>
        <v>X</v>
      </c>
      <c r="V5785" s="71"/>
      <c r="W5785" s="474"/>
      <c r="X5785" s="71"/>
      <c r="Y5785" s="71"/>
    </row>
    <row r="5786" spans="1:25" ht="30" hidden="1" customHeight="1" x14ac:dyDescent="0.25">
      <c r="A5786" s="1145">
        <v>44999</v>
      </c>
      <c r="B5786" s="664" t="s">
        <v>2261</v>
      </c>
      <c r="C5786" s="71" t="s">
        <v>3299</v>
      </c>
      <c r="D5786" s="71">
        <v>10</v>
      </c>
      <c r="E5786" s="102">
        <v>52000</v>
      </c>
      <c r="F5786" s="102">
        <f t="shared" si="2862"/>
        <v>572000</v>
      </c>
      <c r="G5786" s="102">
        <f t="shared" si="2859"/>
        <v>520000</v>
      </c>
      <c r="H5786" s="690" t="s">
        <v>172</v>
      </c>
      <c r="I5786" s="71" t="s">
        <v>180</v>
      </c>
      <c r="J5786" s="53">
        <f t="shared" si="2855"/>
        <v>45000</v>
      </c>
      <c r="K5786" s="63">
        <f t="shared" si="2860"/>
        <v>8.6538461538461536E-2</v>
      </c>
      <c r="L5786" s="1212" t="s">
        <v>3699</v>
      </c>
      <c r="M5786" s="468" t="s">
        <v>3684</v>
      </c>
      <c r="N5786" s="1192">
        <f t="shared" si="2850"/>
        <v>44999</v>
      </c>
      <c r="O5786" s="71" t="s">
        <v>175</v>
      </c>
      <c r="P5786" s="103" t="str">
        <f t="shared" si="2856"/>
        <v>매엽용 세척제(Wash k11)</v>
      </c>
      <c r="Q5786" s="71">
        <f>D5786</f>
        <v>10</v>
      </c>
      <c r="R5786" s="102">
        <v>47500</v>
      </c>
      <c r="S5786" s="102">
        <f t="shared" si="2857"/>
        <v>522500.00000000006</v>
      </c>
      <c r="T5786" s="102">
        <f t="shared" si="2858"/>
        <v>475000</v>
      </c>
      <c r="U5786" s="71" t="s">
        <v>859</v>
      </c>
      <c r="V5786" s="71"/>
      <c r="W5786" s="474"/>
      <c r="X5786" s="71"/>
      <c r="Y5786" s="71"/>
    </row>
    <row r="5787" spans="1:25" ht="30" hidden="1" customHeight="1" x14ac:dyDescent="0.25">
      <c r="A5787" s="1145">
        <v>45007</v>
      </c>
      <c r="B5787" s="664" t="s">
        <v>2261</v>
      </c>
      <c r="C5787" s="760" t="s">
        <v>181</v>
      </c>
      <c r="D5787" s="71">
        <v>5</v>
      </c>
      <c r="E5787" s="102">
        <v>193000</v>
      </c>
      <c r="F5787" s="102">
        <f t="shared" ref="F5787:F5800" si="2863">(E5787*D5787)*1.1</f>
        <v>1061500</v>
      </c>
      <c r="G5787" s="102">
        <f t="shared" ref="G5787:G5800" si="2864">(E5787*D5787)</f>
        <v>965000</v>
      </c>
      <c r="H5787" s="690" t="s">
        <v>2029</v>
      </c>
      <c r="I5787" s="71" t="s">
        <v>182</v>
      </c>
      <c r="J5787" s="53">
        <f t="shared" ref="J5787:J5806" si="2865">G5787-T5787</f>
        <v>345000</v>
      </c>
      <c r="K5787" s="63">
        <f t="shared" ref="K5787:K5806" si="2866">(J5787/(F5787/11*10))</f>
        <v>0.35751295336787564</v>
      </c>
      <c r="L5787" s="1212" t="s">
        <v>3699</v>
      </c>
      <c r="M5787" s="468"/>
      <c r="N5787" s="1192">
        <f t="shared" ref="N5787:N5820" si="2867">A5787</f>
        <v>45007</v>
      </c>
      <c r="O5787" s="71" t="s">
        <v>2030</v>
      </c>
      <c r="P5787" s="103" t="str">
        <f t="shared" ref="P5787:P5818" si="2868">(C5787)</f>
        <v>Fount Web 551AF</v>
      </c>
      <c r="Q5787" s="71">
        <f t="shared" ref="Q5787:Q5818" si="2869">D5787</f>
        <v>5</v>
      </c>
      <c r="R5787" s="102">
        <v>124000</v>
      </c>
      <c r="S5787" s="102">
        <f t="shared" ref="S5787:S5806" si="2870">R5787*Q5787*1.1</f>
        <v>682000</v>
      </c>
      <c r="T5787" s="102">
        <f t="shared" ref="T5787:T5806" si="2871">R5787*Q5787</f>
        <v>620000</v>
      </c>
      <c r="U5787" s="71" t="str">
        <f>IF(J5787=W5787,"O", "X")</f>
        <v>X</v>
      </c>
      <c r="V5787" s="71"/>
      <c r="W5787" s="474">
        <v>640000</v>
      </c>
      <c r="X5787" s="71"/>
      <c r="Y5787" s="71"/>
    </row>
    <row r="5788" spans="1:25" ht="30" hidden="1" customHeight="1" x14ac:dyDescent="0.25">
      <c r="A5788" s="1145">
        <v>45007</v>
      </c>
      <c r="B5788" s="664" t="s">
        <v>2261</v>
      </c>
      <c r="C5788" s="71" t="s">
        <v>277</v>
      </c>
      <c r="D5788" s="71">
        <v>10</v>
      </c>
      <c r="E5788" s="102">
        <v>172000</v>
      </c>
      <c r="F5788" s="102">
        <f t="shared" si="2863"/>
        <v>1892000.0000000002</v>
      </c>
      <c r="G5788" s="102">
        <f t="shared" si="2864"/>
        <v>1720000</v>
      </c>
      <c r="H5788" s="690" t="s">
        <v>172</v>
      </c>
      <c r="I5788" s="71" t="s">
        <v>108</v>
      </c>
      <c r="J5788" s="53">
        <f t="shared" si="2865"/>
        <v>390000</v>
      </c>
      <c r="K5788" s="63">
        <f t="shared" si="2866"/>
        <v>0.22674418604651159</v>
      </c>
      <c r="L5788" s="1212" t="s">
        <v>3699</v>
      </c>
      <c r="M5788" s="468"/>
      <c r="N5788" s="1192">
        <f t="shared" si="2867"/>
        <v>45007</v>
      </c>
      <c r="O5788" s="71" t="s">
        <v>662</v>
      </c>
      <c r="P5788" s="103" t="str">
        <f t="shared" si="2868"/>
        <v>윤전용 세척제(Web 504)</v>
      </c>
      <c r="Q5788" s="71">
        <f t="shared" si="2869"/>
        <v>10</v>
      </c>
      <c r="R5788" s="102">
        <v>133000</v>
      </c>
      <c r="S5788" s="102">
        <f t="shared" si="2870"/>
        <v>1463000.0000000002</v>
      </c>
      <c r="T5788" s="102">
        <f t="shared" si="2871"/>
        <v>1330000</v>
      </c>
      <c r="U5788" s="71" t="str">
        <f>IF(J5788=W5788,"O", "X")</f>
        <v>X</v>
      </c>
      <c r="V5788" s="71"/>
      <c r="W5788" s="474"/>
      <c r="X5788" s="71"/>
      <c r="Y5788" s="71"/>
    </row>
    <row r="5789" spans="1:25" ht="30" hidden="1" customHeight="1" x14ac:dyDescent="0.25">
      <c r="A5789" s="1145">
        <v>45010</v>
      </c>
      <c r="B5789" s="664" t="s">
        <v>1060</v>
      </c>
      <c r="C5789" s="71" t="s">
        <v>3655</v>
      </c>
      <c r="D5789" s="71">
        <v>700</v>
      </c>
      <c r="E5789" s="102">
        <v>5570</v>
      </c>
      <c r="F5789" s="102">
        <f t="shared" si="2863"/>
        <v>4288900</v>
      </c>
      <c r="G5789" s="102">
        <f t="shared" si="2864"/>
        <v>3899000</v>
      </c>
      <c r="H5789" s="690" t="s">
        <v>36</v>
      </c>
      <c r="I5789" s="71" t="s">
        <v>2529</v>
      </c>
      <c r="J5789" s="53">
        <f t="shared" si="2865"/>
        <v>1180900</v>
      </c>
      <c r="K5789" s="63">
        <f t="shared" si="2866"/>
        <v>0.30287253141831239</v>
      </c>
      <c r="L5789" s="1212" t="s">
        <v>3699</v>
      </c>
      <c r="M5789" s="102" t="s">
        <v>3662</v>
      </c>
      <c r="N5789" s="1192">
        <f t="shared" si="2867"/>
        <v>45010</v>
      </c>
      <c r="O5789" s="71" t="s">
        <v>150</v>
      </c>
      <c r="P5789" s="103" t="str">
        <f t="shared" si="2868"/>
        <v>Saphira CTP 판 1030 x 790</v>
      </c>
      <c r="Q5789" s="71">
        <f t="shared" si="2869"/>
        <v>700</v>
      </c>
      <c r="R5789" s="102">
        <v>3883</v>
      </c>
      <c r="S5789" s="102">
        <f t="shared" si="2870"/>
        <v>2989910.0000000005</v>
      </c>
      <c r="T5789" s="102">
        <f t="shared" si="2871"/>
        <v>2718100</v>
      </c>
      <c r="U5789" s="71" t="s">
        <v>859</v>
      </c>
      <c r="V5789" s="71"/>
      <c r="W5789" s="474">
        <v>942000</v>
      </c>
      <c r="X5789" s="71"/>
      <c r="Y5789" s="71"/>
    </row>
    <row r="5790" spans="1:25" ht="30" hidden="1" customHeight="1" x14ac:dyDescent="0.25">
      <c r="A5790" s="1145">
        <v>45010</v>
      </c>
      <c r="B5790" s="664" t="s">
        <v>2255</v>
      </c>
      <c r="C5790" s="71" t="s">
        <v>3656</v>
      </c>
      <c r="D5790" s="71">
        <v>2600</v>
      </c>
      <c r="E5790" s="102">
        <v>3520</v>
      </c>
      <c r="F5790" s="102">
        <f t="shared" si="2863"/>
        <v>10067200</v>
      </c>
      <c r="G5790" s="102">
        <f t="shared" si="2864"/>
        <v>9152000</v>
      </c>
      <c r="H5790" s="690" t="s">
        <v>36</v>
      </c>
      <c r="I5790" s="71" t="s">
        <v>2529</v>
      </c>
      <c r="J5790" s="53">
        <f t="shared" si="2865"/>
        <v>2779400</v>
      </c>
      <c r="K5790" s="63">
        <f t="shared" si="2866"/>
        <v>0.30369318181818183</v>
      </c>
      <c r="L5790" s="1212" t="s">
        <v>3699</v>
      </c>
      <c r="M5790" s="102" t="s">
        <v>3662</v>
      </c>
      <c r="N5790" s="1192">
        <f t="shared" si="2867"/>
        <v>45010</v>
      </c>
      <c r="O5790" s="71" t="s">
        <v>150</v>
      </c>
      <c r="P5790" s="103" t="str">
        <f t="shared" si="2868"/>
        <v>Saphira CTP 판 900 x 571</v>
      </c>
      <c r="Q5790" s="71">
        <f t="shared" si="2869"/>
        <v>2600</v>
      </c>
      <c r="R5790" s="102">
        <v>2451</v>
      </c>
      <c r="S5790" s="102">
        <f t="shared" si="2870"/>
        <v>7009860.0000000009</v>
      </c>
      <c r="T5790" s="102">
        <f t="shared" si="2871"/>
        <v>6372600</v>
      </c>
      <c r="U5790" s="71" t="s">
        <v>859</v>
      </c>
      <c r="V5790" s="71"/>
      <c r="W5790" s="474">
        <v>1274000</v>
      </c>
      <c r="X5790" s="71"/>
      <c r="Y5790" s="71"/>
    </row>
    <row r="5791" spans="1:25" ht="30" hidden="1" customHeight="1" x14ac:dyDescent="0.25">
      <c r="A5791" s="1145">
        <v>45010</v>
      </c>
      <c r="B5791" s="664" t="s">
        <v>2255</v>
      </c>
      <c r="C5791" s="71" t="s">
        <v>3657</v>
      </c>
      <c r="D5791" s="71">
        <v>2800</v>
      </c>
      <c r="E5791" s="102">
        <v>3320</v>
      </c>
      <c r="F5791" s="102">
        <f t="shared" si="2863"/>
        <v>10225600</v>
      </c>
      <c r="G5791" s="102">
        <f t="shared" si="2864"/>
        <v>9296000</v>
      </c>
      <c r="H5791" s="690" t="s">
        <v>36</v>
      </c>
      <c r="I5791" s="71" t="s">
        <v>2529</v>
      </c>
      <c r="J5791" s="53">
        <f t="shared" si="2865"/>
        <v>2780400</v>
      </c>
      <c r="K5791" s="63">
        <f t="shared" si="2866"/>
        <v>0.29909638554216866</v>
      </c>
      <c r="L5791" s="1212" t="s">
        <v>3699</v>
      </c>
      <c r="M5791" s="102" t="s">
        <v>3662</v>
      </c>
      <c r="N5791" s="1192">
        <f t="shared" si="2867"/>
        <v>45010</v>
      </c>
      <c r="O5791" s="71" t="s">
        <v>150</v>
      </c>
      <c r="P5791" s="103" t="str">
        <f t="shared" si="2868"/>
        <v>Saphira CTP 판 883 x 552</v>
      </c>
      <c r="Q5791" s="71">
        <f t="shared" si="2869"/>
        <v>2800</v>
      </c>
      <c r="R5791" s="102">
        <v>2327</v>
      </c>
      <c r="S5791" s="102">
        <f t="shared" si="2870"/>
        <v>7167160.0000000009</v>
      </c>
      <c r="T5791" s="102">
        <f t="shared" si="2871"/>
        <v>6515600</v>
      </c>
      <c r="U5791" s="71" t="s">
        <v>859</v>
      </c>
      <c r="V5791" s="71"/>
      <c r="W5791" s="474">
        <v>3325000</v>
      </c>
      <c r="X5791" s="71"/>
      <c r="Y5791" s="71"/>
    </row>
    <row r="5792" spans="1:25" ht="30" hidden="1" customHeight="1" x14ac:dyDescent="0.25">
      <c r="A5792" s="1145">
        <v>45010</v>
      </c>
      <c r="B5792" s="664" t="s">
        <v>2255</v>
      </c>
      <c r="C5792" s="71" t="s">
        <v>3658</v>
      </c>
      <c r="D5792" s="71">
        <v>2500</v>
      </c>
      <c r="E5792" s="102">
        <v>5650</v>
      </c>
      <c r="F5792" s="102">
        <f t="shared" si="2863"/>
        <v>15537500.000000002</v>
      </c>
      <c r="G5792" s="102">
        <f t="shared" si="2864"/>
        <v>14125000</v>
      </c>
      <c r="H5792" s="690" t="s">
        <v>36</v>
      </c>
      <c r="I5792" s="71" t="s">
        <v>2529</v>
      </c>
      <c r="J5792" s="53">
        <f t="shared" si="2865"/>
        <v>4290000</v>
      </c>
      <c r="K5792" s="63">
        <f t="shared" si="2866"/>
        <v>0.30371681415929197</v>
      </c>
      <c r="L5792" s="1212" t="s">
        <v>3699</v>
      </c>
      <c r="M5792" s="102" t="s">
        <v>3662</v>
      </c>
      <c r="N5792" s="1192">
        <f t="shared" si="2867"/>
        <v>45010</v>
      </c>
      <c r="O5792" s="71" t="s">
        <v>150</v>
      </c>
      <c r="P5792" s="103" t="str">
        <f t="shared" si="2868"/>
        <v>Saphira CTP 판 1030 x 800</v>
      </c>
      <c r="Q5792" s="71">
        <f t="shared" si="2869"/>
        <v>2500</v>
      </c>
      <c r="R5792" s="102">
        <v>3934</v>
      </c>
      <c r="S5792" s="102">
        <f t="shared" si="2870"/>
        <v>10818500</v>
      </c>
      <c r="T5792" s="102">
        <f t="shared" si="2871"/>
        <v>9835000</v>
      </c>
      <c r="U5792" s="71" t="s">
        <v>859</v>
      </c>
      <c r="V5792" s="71"/>
      <c r="W5792" s="474">
        <v>636000</v>
      </c>
      <c r="X5792" s="71"/>
      <c r="Y5792" s="71"/>
    </row>
    <row r="5793" spans="1:25" ht="30" hidden="1" customHeight="1" x14ac:dyDescent="0.25">
      <c r="A5793" s="1145">
        <v>45010</v>
      </c>
      <c r="B5793" s="664" t="s">
        <v>2255</v>
      </c>
      <c r="C5793" s="71" t="s">
        <v>3659</v>
      </c>
      <c r="D5793" s="71">
        <v>2100</v>
      </c>
      <c r="E5793" s="102">
        <v>5850</v>
      </c>
      <c r="F5793" s="102">
        <f t="shared" si="2863"/>
        <v>13513500.000000002</v>
      </c>
      <c r="G5793" s="102">
        <f t="shared" si="2864"/>
        <v>12285000</v>
      </c>
      <c r="H5793" s="690" t="s">
        <v>36</v>
      </c>
      <c r="I5793" s="71" t="s">
        <v>2529</v>
      </c>
      <c r="J5793" s="53">
        <f t="shared" si="2865"/>
        <v>3721200</v>
      </c>
      <c r="K5793" s="63">
        <f t="shared" si="2866"/>
        <v>0.30290598290598286</v>
      </c>
      <c r="L5793" s="1212" t="s">
        <v>3699</v>
      </c>
      <c r="M5793" s="102" t="s">
        <v>3662</v>
      </c>
      <c r="N5793" s="1192">
        <f t="shared" si="2867"/>
        <v>45010</v>
      </c>
      <c r="O5793" s="71" t="s">
        <v>150</v>
      </c>
      <c r="P5793" s="103" t="str">
        <f t="shared" si="2868"/>
        <v>Saphira CTP 판 1055 x 811</v>
      </c>
      <c r="Q5793" s="71">
        <f t="shared" si="2869"/>
        <v>2100</v>
      </c>
      <c r="R5793" s="102">
        <v>4078</v>
      </c>
      <c r="S5793" s="102">
        <f t="shared" si="2870"/>
        <v>9420180</v>
      </c>
      <c r="T5793" s="102">
        <f t="shared" si="2871"/>
        <v>8563800</v>
      </c>
      <c r="U5793" s="71" t="s">
        <v>859</v>
      </c>
      <c r="V5793" s="71"/>
      <c r="W5793" s="474">
        <v>1476000</v>
      </c>
      <c r="X5793" s="71"/>
      <c r="Y5793" s="71"/>
    </row>
    <row r="5794" spans="1:25" ht="30" hidden="1" customHeight="1" x14ac:dyDescent="0.25">
      <c r="A5794" s="1145">
        <v>45010</v>
      </c>
      <c r="B5794" s="664" t="s">
        <v>2255</v>
      </c>
      <c r="C5794" s="71" t="s">
        <v>3660</v>
      </c>
      <c r="D5794" s="71">
        <v>0</v>
      </c>
      <c r="E5794" s="102">
        <v>4100</v>
      </c>
      <c r="F5794" s="102">
        <f t="shared" si="2863"/>
        <v>0</v>
      </c>
      <c r="G5794" s="102">
        <f t="shared" si="2864"/>
        <v>0</v>
      </c>
      <c r="H5794" s="690" t="s">
        <v>36</v>
      </c>
      <c r="I5794" s="71" t="s">
        <v>2529</v>
      </c>
      <c r="J5794" s="53">
        <f t="shared" si="2865"/>
        <v>0</v>
      </c>
      <c r="K5794" s="63" t="e">
        <f t="shared" si="2866"/>
        <v>#DIV/0!</v>
      </c>
      <c r="L5794" s="1212" t="s">
        <v>3699</v>
      </c>
      <c r="M5794" s="102" t="s">
        <v>3662</v>
      </c>
      <c r="N5794" s="1192">
        <f t="shared" si="2867"/>
        <v>45010</v>
      </c>
      <c r="O5794" s="71" t="s">
        <v>150</v>
      </c>
      <c r="P5794" s="103" t="str">
        <f t="shared" si="2868"/>
        <v>Saphira CTP 판 968 x 631</v>
      </c>
      <c r="Q5794" s="71">
        <f t="shared" si="2869"/>
        <v>0</v>
      </c>
      <c r="R5794" s="102">
        <v>2914</v>
      </c>
      <c r="S5794" s="102">
        <f t="shared" si="2870"/>
        <v>0</v>
      </c>
      <c r="T5794" s="102">
        <f t="shared" si="2871"/>
        <v>0</v>
      </c>
      <c r="U5794" s="71" t="s">
        <v>859</v>
      </c>
      <c r="V5794" s="71"/>
      <c r="W5794" s="474">
        <v>1416000</v>
      </c>
      <c r="X5794" s="71"/>
      <c r="Y5794" s="71"/>
    </row>
    <row r="5795" spans="1:25" ht="30" hidden="1" customHeight="1" x14ac:dyDescent="0.25">
      <c r="A5795" s="1145">
        <v>45010</v>
      </c>
      <c r="B5795" s="664" t="s">
        <v>2255</v>
      </c>
      <c r="C5795" s="71" t="s">
        <v>3661</v>
      </c>
      <c r="D5795" s="71">
        <v>40</v>
      </c>
      <c r="E5795" s="102">
        <v>50600</v>
      </c>
      <c r="F5795" s="102">
        <f t="shared" si="2863"/>
        <v>2226400</v>
      </c>
      <c r="G5795" s="102">
        <f t="shared" si="2864"/>
        <v>2024000</v>
      </c>
      <c r="H5795" s="690" t="s">
        <v>179</v>
      </c>
      <c r="I5795" s="71" t="s">
        <v>3405</v>
      </c>
      <c r="J5795" s="53">
        <f t="shared" si="2865"/>
        <v>437600</v>
      </c>
      <c r="K5795" s="63">
        <f t="shared" si="2866"/>
        <v>0.21620553359683795</v>
      </c>
      <c r="L5795" s="1212" t="s">
        <v>3699</v>
      </c>
      <c r="M5795" s="468"/>
      <c r="N5795" s="1192">
        <f t="shared" si="2867"/>
        <v>45010</v>
      </c>
      <c r="O5795" s="71" t="s">
        <v>194</v>
      </c>
      <c r="P5795" s="103" t="str">
        <f t="shared" si="2868"/>
        <v>사피라 현상액</v>
      </c>
      <c r="Q5795" s="71">
        <f t="shared" si="2869"/>
        <v>40</v>
      </c>
      <c r="R5795" s="102">
        <v>39660</v>
      </c>
      <c r="S5795" s="102">
        <f t="shared" si="2870"/>
        <v>1745040.0000000002</v>
      </c>
      <c r="T5795" s="102">
        <f t="shared" si="2871"/>
        <v>1586400</v>
      </c>
      <c r="U5795" s="71" t="s">
        <v>859</v>
      </c>
      <c r="V5795" s="71"/>
      <c r="W5795" s="474">
        <v>978750</v>
      </c>
      <c r="X5795" s="71"/>
      <c r="Y5795" s="71"/>
    </row>
    <row r="5796" spans="1:25" ht="30" hidden="1" customHeight="1" x14ac:dyDescent="0.25">
      <c r="A5796" s="1145">
        <v>45010</v>
      </c>
      <c r="B5796" s="664" t="s">
        <v>2254</v>
      </c>
      <c r="C5796" s="71" t="s">
        <v>3319</v>
      </c>
      <c r="D5796" s="71">
        <v>200</v>
      </c>
      <c r="E5796" s="102">
        <v>6328</v>
      </c>
      <c r="F5796" s="102">
        <f t="shared" si="2863"/>
        <v>1392160</v>
      </c>
      <c r="G5796" s="102">
        <f t="shared" si="2864"/>
        <v>1265600</v>
      </c>
      <c r="H5796" s="690" t="s">
        <v>36</v>
      </c>
      <c r="I5796" s="71" t="s">
        <v>3320</v>
      </c>
      <c r="J5796" s="53">
        <f t="shared" si="2865"/>
        <v>95600</v>
      </c>
      <c r="K5796" s="63">
        <f t="shared" si="2866"/>
        <v>7.5537294563843241E-2</v>
      </c>
      <c r="L5796" s="1212" t="s">
        <v>3699</v>
      </c>
      <c r="M5796" s="468"/>
      <c r="N5796" s="1192">
        <f t="shared" si="2867"/>
        <v>45010</v>
      </c>
      <c r="O5796" s="71" t="s">
        <v>146</v>
      </c>
      <c r="P5796" s="103" t="str">
        <f t="shared" si="2868"/>
        <v>프리미어(먹)</v>
      </c>
      <c r="Q5796" s="71">
        <f t="shared" si="2869"/>
        <v>200</v>
      </c>
      <c r="R5796" s="102">
        <v>5850</v>
      </c>
      <c r="S5796" s="102">
        <f t="shared" si="2870"/>
        <v>1287000</v>
      </c>
      <c r="T5796" s="102">
        <f t="shared" si="2871"/>
        <v>1170000</v>
      </c>
      <c r="U5796" s="71" t="s">
        <v>859</v>
      </c>
      <c r="V5796" s="71"/>
      <c r="W5796" s="474">
        <v>411200</v>
      </c>
      <c r="X5796" s="71"/>
      <c r="Y5796" s="71"/>
    </row>
    <row r="5797" spans="1:25" ht="30" hidden="1" customHeight="1" x14ac:dyDescent="0.25">
      <c r="A5797" s="1145">
        <v>45010</v>
      </c>
      <c r="B5797" s="664" t="s">
        <v>2254</v>
      </c>
      <c r="C5797" s="71" t="s">
        <v>3321</v>
      </c>
      <c r="D5797" s="71">
        <v>400</v>
      </c>
      <c r="E5797" s="102">
        <v>6780</v>
      </c>
      <c r="F5797" s="102">
        <f t="shared" si="2863"/>
        <v>2983200.0000000005</v>
      </c>
      <c r="G5797" s="102">
        <f t="shared" si="2864"/>
        <v>2712000</v>
      </c>
      <c r="H5797" s="690" t="s">
        <v>36</v>
      </c>
      <c r="I5797" s="71" t="s">
        <v>3320</v>
      </c>
      <c r="J5797" s="53">
        <f t="shared" si="2865"/>
        <v>200000</v>
      </c>
      <c r="K5797" s="63">
        <f t="shared" si="2866"/>
        <v>7.3746312684365767E-2</v>
      </c>
      <c r="L5797" s="1212" t="s">
        <v>3699</v>
      </c>
      <c r="M5797" s="468"/>
      <c r="N5797" s="1192">
        <f t="shared" si="2867"/>
        <v>45010</v>
      </c>
      <c r="O5797" s="71" t="s">
        <v>146</v>
      </c>
      <c r="P5797" s="103" t="str">
        <f t="shared" si="2868"/>
        <v>프리미어(적)</v>
      </c>
      <c r="Q5797" s="71">
        <f t="shared" si="2869"/>
        <v>400</v>
      </c>
      <c r="R5797" s="102">
        <v>6280</v>
      </c>
      <c r="S5797" s="102">
        <f t="shared" si="2870"/>
        <v>2763200</v>
      </c>
      <c r="T5797" s="102">
        <f t="shared" si="2871"/>
        <v>2512000</v>
      </c>
      <c r="U5797" s="71" t="s">
        <v>859</v>
      </c>
      <c r="V5797" s="71"/>
      <c r="W5797" s="474">
        <v>292000</v>
      </c>
      <c r="X5797" s="71"/>
      <c r="Y5797" s="71"/>
    </row>
    <row r="5798" spans="1:25" ht="30" hidden="1" customHeight="1" x14ac:dyDescent="0.25">
      <c r="A5798" s="1145">
        <v>45010</v>
      </c>
      <c r="B5798" s="664" t="s">
        <v>2254</v>
      </c>
      <c r="C5798" s="71" t="s">
        <v>1289</v>
      </c>
      <c r="D5798" s="71">
        <v>800</v>
      </c>
      <c r="E5798" s="102">
        <v>6498</v>
      </c>
      <c r="F5798" s="102">
        <f t="shared" si="2863"/>
        <v>5718240</v>
      </c>
      <c r="G5798" s="102">
        <f t="shared" si="2864"/>
        <v>5198400</v>
      </c>
      <c r="H5798" s="690" t="s">
        <v>36</v>
      </c>
      <c r="I5798" s="71" t="s">
        <v>3320</v>
      </c>
      <c r="J5798" s="53">
        <f t="shared" si="2865"/>
        <v>382400</v>
      </c>
      <c r="K5798" s="63">
        <f t="shared" si="2866"/>
        <v>7.3561095721760547E-2</v>
      </c>
      <c r="L5798" s="1212" t="s">
        <v>3699</v>
      </c>
      <c r="M5798" s="468"/>
      <c r="N5798" s="1192">
        <f t="shared" si="2867"/>
        <v>45010</v>
      </c>
      <c r="O5798" s="71" t="s">
        <v>146</v>
      </c>
      <c r="P5798" s="103" t="str">
        <f t="shared" si="2868"/>
        <v>프리미어(황)</v>
      </c>
      <c r="Q5798" s="71">
        <f t="shared" si="2869"/>
        <v>800</v>
      </c>
      <c r="R5798" s="102">
        <v>6020</v>
      </c>
      <c r="S5798" s="102">
        <f t="shared" si="2870"/>
        <v>5297600</v>
      </c>
      <c r="T5798" s="102">
        <f t="shared" si="2871"/>
        <v>4816000</v>
      </c>
      <c r="U5798" s="71" t="s">
        <v>859</v>
      </c>
      <c r="V5798" s="71"/>
      <c r="W5798" s="474">
        <v>640800</v>
      </c>
      <c r="X5798" s="71"/>
      <c r="Y5798" s="71"/>
    </row>
    <row r="5799" spans="1:25" ht="30" hidden="1" customHeight="1" x14ac:dyDescent="0.25">
      <c r="A5799" s="1145">
        <v>45010</v>
      </c>
      <c r="B5799" s="664" t="s">
        <v>2254</v>
      </c>
      <c r="C5799" s="71" t="s">
        <v>1290</v>
      </c>
      <c r="D5799" s="71">
        <v>400</v>
      </c>
      <c r="E5799" s="102">
        <v>7910</v>
      </c>
      <c r="F5799" s="102">
        <f t="shared" si="2863"/>
        <v>3480400.0000000005</v>
      </c>
      <c r="G5799" s="102">
        <f t="shared" si="2864"/>
        <v>3164000</v>
      </c>
      <c r="H5799" s="690" t="s">
        <v>36</v>
      </c>
      <c r="I5799" s="71" t="s">
        <v>3320</v>
      </c>
      <c r="J5799" s="53">
        <f t="shared" si="2865"/>
        <v>240000</v>
      </c>
      <c r="K5799" s="63">
        <f t="shared" si="2866"/>
        <v>7.5853350189633365E-2</v>
      </c>
      <c r="L5799" s="1212" t="s">
        <v>3699</v>
      </c>
      <c r="M5799" s="468"/>
      <c r="N5799" s="1192">
        <f t="shared" si="2867"/>
        <v>45010</v>
      </c>
      <c r="O5799" s="71" t="s">
        <v>146</v>
      </c>
      <c r="P5799" s="103" t="str">
        <f t="shared" si="2868"/>
        <v>프리미어(청)</v>
      </c>
      <c r="Q5799" s="71">
        <f t="shared" si="2869"/>
        <v>400</v>
      </c>
      <c r="R5799" s="102">
        <v>7310</v>
      </c>
      <c r="S5799" s="102">
        <f t="shared" si="2870"/>
        <v>3216400.0000000005</v>
      </c>
      <c r="T5799" s="102">
        <f t="shared" si="2871"/>
        <v>2924000</v>
      </c>
      <c r="U5799" s="71" t="s">
        <v>859</v>
      </c>
      <c r="V5799" s="71"/>
      <c r="W5799" s="474">
        <v>846000</v>
      </c>
      <c r="X5799" s="71"/>
      <c r="Y5799" s="71"/>
    </row>
    <row r="5800" spans="1:25" ht="30" hidden="1" customHeight="1" x14ac:dyDescent="0.25">
      <c r="A5800" s="1145">
        <v>45010</v>
      </c>
      <c r="B5800" s="664" t="s">
        <v>2254</v>
      </c>
      <c r="C5800" s="71" t="s">
        <v>3322</v>
      </c>
      <c r="D5800" s="71">
        <v>0</v>
      </c>
      <c r="E5800" s="102">
        <v>7150</v>
      </c>
      <c r="F5800" s="102">
        <f t="shared" si="2863"/>
        <v>0</v>
      </c>
      <c r="G5800" s="102">
        <f t="shared" si="2864"/>
        <v>0</v>
      </c>
      <c r="H5800" s="690" t="s">
        <v>36</v>
      </c>
      <c r="I5800" s="71" t="s">
        <v>3320</v>
      </c>
      <c r="J5800" s="53">
        <f t="shared" si="2865"/>
        <v>0</v>
      </c>
      <c r="K5800" s="63" t="e">
        <f t="shared" si="2866"/>
        <v>#DIV/0!</v>
      </c>
      <c r="L5800" s="1212" t="s">
        <v>3699</v>
      </c>
      <c r="M5800" s="468"/>
      <c r="N5800" s="1192">
        <f t="shared" si="2867"/>
        <v>45010</v>
      </c>
      <c r="O5800" s="71" t="s">
        <v>3323</v>
      </c>
      <c r="P5800" s="103" t="str">
        <f t="shared" si="2868"/>
        <v>한특 잉크(적)</v>
      </c>
      <c r="Q5800" s="71">
        <f t="shared" si="2869"/>
        <v>0</v>
      </c>
      <c r="R5800" s="102">
        <v>6500</v>
      </c>
      <c r="S5800" s="102">
        <f t="shared" si="2870"/>
        <v>0</v>
      </c>
      <c r="T5800" s="102">
        <f t="shared" si="2871"/>
        <v>0</v>
      </c>
      <c r="U5800" s="71" t="s">
        <v>859</v>
      </c>
      <c r="V5800" s="71"/>
      <c r="W5800" s="474">
        <v>0</v>
      </c>
      <c r="X5800" s="71"/>
      <c r="Y5800" s="71"/>
    </row>
    <row r="5801" spans="1:25" ht="30" hidden="1" customHeight="1" x14ac:dyDescent="0.25">
      <c r="A5801" s="1145">
        <v>45010</v>
      </c>
      <c r="B5801" s="664" t="s">
        <v>2254</v>
      </c>
      <c r="C5801" s="71" t="s">
        <v>3324</v>
      </c>
      <c r="D5801" s="71">
        <v>0</v>
      </c>
      <c r="E5801" s="102">
        <v>6900</v>
      </c>
      <c r="F5801" s="102">
        <v>0</v>
      </c>
      <c r="G5801" s="102">
        <v>0</v>
      </c>
      <c r="H5801" s="690" t="s">
        <v>36</v>
      </c>
      <c r="I5801" s="71" t="s">
        <v>3320</v>
      </c>
      <c r="J5801" s="53">
        <f t="shared" si="2865"/>
        <v>0</v>
      </c>
      <c r="K5801" s="63" t="e">
        <f t="shared" si="2866"/>
        <v>#DIV/0!</v>
      </c>
      <c r="L5801" s="1212" t="s">
        <v>3699</v>
      </c>
      <c r="M5801" s="468"/>
      <c r="N5801" s="1192">
        <f t="shared" si="2867"/>
        <v>45010</v>
      </c>
      <c r="O5801" s="71" t="s">
        <v>3323</v>
      </c>
      <c r="P5801" s="103" t="str">
        <f t="shared" si="2868"/>
        <v>한특 잉크(황)</v>
      </c>
      <c r="Q5801" s="71">
        <f t="shared" si="2869"/>
        <v>0</v>
      </c>
      <c r="R5801" s="102">
        <v>6200</v>
      </c>
      <c r="S5801" s="102">
        <f t="shared" si="2870"/>
        <v>0</v>
      </c>
      <c r="T5801" s="102">
        <f t="shared" si="2871"/>
        <v>0</v>
      </c>
      <c r="U5801" s="71" t="s">
        <v>859</v>
      </c>
      <c r="V5801" s="71"/>
      <c r="W5801" s="474">
        <v>0</v>
      </c>
      <c r="X5801" s="71"/>
      <c r="Y5801" s="71"/>
    </row>
    <row r="5802" spans="1:25" ht="28.5" hidden="1" customHeight="1" x14ac:dyDescent="0.25">
      <c r="A5802" s="1145">
        <v>45010</v>
      </c>
      <c r="B5802" s="664" t="s">
        <v>2254</v>
      </c>
      <c r="C5802" s="71" t="s">
        <v>3325</v>
      </c>
      <c r="D5802" s="71">
        <v>0</v>
      </c>
      <c r="E5802" s="102">
        <v>7500</v>
      </c>
      <c r="F5802" s="102">
        <v>0</v>
      </c>
      <c r="G5802" s="102">
        <v>0</v>
      </c>
      <c r="H5802" s="690" t="s">
        <v>36</v>
      </c>
      <c r="I5802" s="71" t="s">
        <v>3320</v>
      </c>
      <c r="J5802" s="53">
        <f t="shared" si="2865"/>
        <v>0</v>
      </c>
      <c r="K5802" s="63" t="e">
        <f t="shared" si="2866"/>
        <v>#DIV/0!</v>
      </c>
      <c r="L5802" s="1212" t="s">
        <v>3699</v>
      </c>
      <c r="M5802" s="468"/>
      <c r="N5802" s="1192">
        <f t="shared" si="2867"/>
        <v>45010</v>
      </c>
      <c r="O5802" s="71" t="s">
        <v>3323</v>
      </c>
      <c r="P5802" s="103" t="str">
        <f t="shared" si="2868"/>
        <v>한특 잉크(청)</v>
      </c>
      <c r="Q5802" s="71">
        <f t="shared" si="2869"/>
        <v>0</v>
      </c>
      <c r="R5802" s="102">
        <v>6600</v>
      </c>
      <c r="S5802" s="102">
        <f t="shared" si="2870"/>
        <v>0</v>
      </c>
      <c r="T5802" s="102">
        <f t="shared" si="2871"/>
        <v>0</v>
      </c>
      <c r="U5802" s="71" t="s">
        <v>859</v>
      </c>
      <c r="V5802" s="71"/>
      <c r="W5802" s="474">
        <v>0</v>
      </c>
      <c r="X5802" s="71"/>
      <c r="Y5802" s="71"/>
    </row>
    <row r="5803" spans="1:25" ht="30" hidden="1" customHeight="1" x14ac:dyDescent="0.25">
      <c r="A5803" s="1145">
        <v>45010</v>
      </c>
      <c r="B5803" s="664" t="s">
        <v>2254</v>
      </c>
      <c r="C5803" s="71" t="s">
        <v>3326</v>
      </c>
      <c r="D5803" s="71">
        <v>0</v>
      </c>
      <c r="E5803" s="102">
        <v>6450</v>
      </c>
      <c r="F5803" s="102">
        <v>0</v>
      </c>
      <c r="G5803" s="102">
        <v>0</v>
      </c>
      <c r="H5803" s="690" t="s">
        <v>36</v>
      </c>
      <c r="I5803" s="71" t="s">
        <v>3320</v>
      </c>
      <c r="J5803" s="53">
        <f t="shared" si="2865"/>
        <v>0</v>
      </c>
      <c r="K5803" s="63" t="e">
        <f t="shared" si="2866"/>
        <v>#DIV/0!</v>
      </c>
      <c r="L5803" s="1212" t="s">
        <v>3699</v>
      </c>
      <c r="M5803" s="468"/>
      <c r="N5803" s="1192">
        <f t="shared" si="2867"/>
        <v>45010</v>
      </c>
      <c r="O5803" s="71" t="s">
        <v>3323</v>
      </c>
      <c r="P5803" s="103" t="str">
        <f t="shared" si="2868"/>
        <v>한특 잉크(먹)</v>
      </c>
      <c r="Q5803" s="71">
        <f t="shared" si="2869"/>
        <v>0</v>
      </c>
      <c r="R5803" s="102">
        <v>5700</v>
      </c>
      <c r="S5803" s="102">
        <f t="shared" si="2870"/>
        <v>0</v>
      </c>
      <c r="T5803" s="102">
        <f t="shared" si="2871"/>
        <v>0</v>
      </c>
      <c r="U5803" s="71" t="s">
        <v>859</v>
      </c>
      <c r="V5803" s="71"/>
      <c r="W5803" s="474">
        <v>0</v>
      </c>
      <c r="X5803" s="71"/>
      <c r="Y5803" s="71"/>
    </row>
    <row r="5804" spans="1:25" ht="30" hidden="1" customHeight="1" x14ac:dyDescent="0.25">
      <c r="A5804" s="1145">
        <v>45010</v>
      </c>
      <c r="B5804" s="664" t="s">
        <v>443</v>
      </c>
      <c r="C5804" s="71" t="s">
        <v>3392</v>
      </c>
      <c r="D5804" s="71">
        <v>8</v>
      </c>
      <c r="E5804" s="102">
        <v>218000</v>
      </c>
      <c r="F5804" s="102">
        <f>(E5804*D5804)*1.1</f>
        <v>1918400.0000000002</v>
      </c>
      <c r="G5804" s="102">
        <f>(E5804*D5804)</f>
        <v>1744000</v>
      </c>
      <c r="H5804" s="690" t="s">
        <v>172</v>
      </c>
      <c r="I5804" s="71" t="s">
        <v>184</v>
      </c>
      <c r="J5804" s="53">
        <f t="shared" si="2865"/>
        <v>412000</v>
      </c>
      <c r="K5804" s="63">
        <f t="shared" si="2866"/>
        <v>0.23623853211009171</v>
      </c>
      <c r="L5804" s="1212" t="s">
        <v>3699</v>
      </c>
      <c r="M5804" s="468" t="s">
        <v>3393</v>
      </c>
      <c r="N5804" s="1192">
        <f t="shared" si="2867"/>
        <v>45010</v>
      </c>
      <c r="O5804" s="71" t="s">
        <v>2030</v>
      </c>
      <c r="P5804" s="103" t="str">
        <f t="shared" si="2868"/>
        <v>윤전 블랑켓</v>
      </c>
      <c r="Q5804" s="71">
        <f t="shared" si="2869"/>
        <v>8</v>
      </c>
      <c r="R5804" s="102">
        <v>166500</v>
      </c>
      <c r="S5804" s="102">
        <f t="shared" si="2870"/>
        <v>1465200.0000000002</v>
      </c>
      <c r="T5804" s="102">
        <f t="shared" si="2871"/>
        <v>1332000</v>
      </c>
      <c r="U5804" s="71" t="s">
        <v>859</v>
      </c>
      <c r="V5804" s="71" t="s">
        <v>3394</v>
      </c>
      <c r="W5804" s="474">
        <v>464000</v>
      </c>
      <c r="X5804" s="71"/>
      <c r="Y5804" s="71"/>
    </row>
    <row r="5805" spans="1:25" ht="30" hidden="1" customHeight="1" x14ac:dyDescent="0.25">
      <c r="A5805" s="1145">
        <v>45010</v>
      </c>
      <c r="B5805" s="664" t="s">
        <v>443</v>
      </c>
      <c r="C5805" s="71" t="s">
        <v>3703</v>
      </c>
      <c r="D5805" s="71">
        <v>1</v>
      </c>
      <c r="E5805" s="102">
        <v>2350000</v>
      </c>
      <c r="F5805" s="102">
        <f>(E5805*D5805)*1.1</f>
        <v>2585000</v>
      </c>
      <c r="G5805" s="102">
        <f>(E5805*D5805)</f>
        <v>2350000</v>
      </c>
      <c r="H5805" s="690" t="s">
        <v>179</v>
      </c>
      <c r="I5805" s="690" t="s">
        <v>179</v>
      </c>
      <c r="J5805" s="53">
        <f t="shared" si="2865"/>
        <v>600000</v>
      </c>
      <c r="K5805" s="63">
        <f t="shared" si="2866"/>
        <v>0.25531914893617019</v>
      </c>
      <c r="L5805" s="1212" t="s">
        <v>3699</v>
      </c>
      <c r="M5805" s="468"/>
      <c r="N5805" s="1192">
        <f t="shared" si="2867"/>
        <v>45010</v>
      </c>
      <c r="O5805" s="71" t="s">
        <v>194</v>
      </c>
      <c r="P5805" s="103" t="str">
        <f t="shared" si="2868"/>
        <v>3월분 Apogee 사용료</v>
      </c>
      <c r="Q5805" s="71">
        <f t="shared" si="2869"/>
        <v>1</v>
      </c>
      <c r="R5805" s="147">
        <v>1750000</v>
      </c>
      <c r="S5805" s="102">
        <f t="shared" si="2870"/>
        <v>1925000.0000000002</v>
      </c>
      <c r="T5805" s="102">
        <f t="shared" si="2871"/>
        <v>1750000</v>
      </c>
      <c r="U5805" s="71"/>
      <c r="V5805" s="71"/>
      <c r="W5805" s="474"/>
      <c r="X5805" s="71"/>
      <c r="Y5805" s="71"/>
    </row>
    <row r="5806" spans="1:25" ht="30" hidden="1" customHeight="1" x14ac:dyDescent="0.25">
      <c r="A5806" s="1145">
        <v>45016</v>
      </c>
      <c r="B5806" s="664" t="s">
        <v>1178</v>
      </c>
      <c r="C5806" s="71" t="s">
        <v>3704</v>
      </c>
      <c r="D5806" s="71">
        <v>150</v>
      </c>
      <c r="E5806" s="102">
        <v>24000</v>
      </c>
      <c r="F5806" s="102">
        <f>(E5806*D5806)*1.1</f>
        <v>3960000.0000000005</v>
      </c>
      <c r="G5806" s="102">
        <f>(E5806*D5806)</f>
        <v>3600000</v>
      </c>
      <c r="H5806" s="690" t="s">
        <v>142</v>
      </c>
      <c r="I5806" s="690" t="s">
        <v>142</v>
      </c>
      <c r="J5806" s="53">
        <f t="shared" si="2865"/>
        <v>1800000</v>
      </c>
      <c r="K5806" s="63">
        <f t="shared" si="2866"/>
        <v>0.49999999999999994</v>
      </c>
      <c r="L5806" s="1212" t="s">
        <v>3699</v>
      </c>
      <c r="M5806" s="468"/>
      <c r="N5806" s="1192">
        <f t="shared" si="2867"/>
        <v>45016</v>
      </c>
      <c r="O5806" s="71" t="s">
        <v>3711</v>
      </c>
      <c r="P5806" s="103" t="str">
        <f t="shared" si="2868"/>
        <v>습식 엔드씰</v>
      </c>
      <c r="Q5806" s="71">
        <f t="shared" si="2869"/>
        <v>150</v>
      </c>
      <c r="R5806" s="102">
        <v>12000</v>
      </c>
      <c r="S5806" s="102">
        <f t="shared" si="2870"/>
        <v>1980000.0000000002</v>
      </c>
      <c r="T5806" s="102">
        <f t="shared" si="2871"/>
        <v>1800000</v>
      </c>
      <c r="U5806" s="71"/>
      <c r="V5806" s="71"/>
      <c r="W5806" s="474"/>
      <c r="X5806" s="71"/>
      <c r="Y5806" s="71"/>
    </row>
    <row r="5807" spans="1:25" s="209" customFormat="1" ht="30" hidden="1" customHeight="1" x14ac:dyDescent="0.25">
      <c r="A5807" s="1145">
        <v>45016</v>
      </c>
      <c r="B5807" s="664" t="s">
        <v>1178</v>
      </c>
      <c r="C5807" s="71" t="s">
        <v>3705</v>
      </c>
      <c r="D5807" s="71">
        <v>1</v>
      </c>
      <c r="E5807" s="102">
        <v>1236364</v>
      </c>
      <c r="F5807" s="102">
        <f>(E5807*D5807)*1.1</f>
        <v>1360000.4000000001</v>
      </c>
      <c r="G5807" s="102">
        <f>(E5807*D5807)</f>
        <v>1236364</v>
      </c>
      <c r="H5807" s="690" t="s">
        <v>142</v>
      </c>
      <c r="I5807" s="690" t="s">
        <v>142</v>
      </c>
      <c r="J5807" s="53">
        <f t="shared" ref="J5807:J5818" si="2872">G5807-T5807</f>
        <v>126364</v>
      </c>
      <c r="K5807" s="63">
        <f t="shared" ref="K5807:K5818" si="2873">(J5807/(F5807/11*10))</f>
        <v>0.10220614640995694</v>
      </c>
      <c r="L5807" s="1212" t="s">
        <v>3699</v>
      </c>
      <c r="M5807" s="468"/>
      <c r="N5807" s="1192">
        <f t="shared" si="2867"/>
        <v>45016</v>
      </c>
      <c r="O5807" s="71" t="s">
        <v>194</v>
      </c>
      <c r="P5807" s="164" t="str">
        <f t="shared" si="2868"/>
        <v>850*780 재단판 200장</v>
      </c>
      <c r="Q5807" s="71">
        <f t="shared" si="2869"/>
        <v>1</v>
      </c>
      <c r="R5807" s="102">
        <v>1110000</v>
      </c>
      <c r="S5807" s="102">
        <f t="shared" ref="S5807:S5818" si="2874">R5807*Q5807*1.1</f>
        <v>1221000</v>
      </c>
      <c r="T5807" s="102">
        <f t="shared" ref="T5807:T5818" si="2875">R5807*Q5807</f>
        <v>1110000</v>
      </c>
      <c r="U5807" s="71"/>
      <c r="V5807" s="71"/>
      <c r="W5807" s="474"/>
      <c r="X5807" s="71"/>
      <c r="Y5807" s="71"/>
    </row>
    <row r="5808" spans="1:25" ht="30" hidden="1" customHeight="1" x14ac:dyDescent="0.25">
      <c r="A5808" s="1145">
        <v>44984</v>
      </c>
      <c r="B5808" s="664" t="s">
        <v>546</v>
      </c>
      <c r="C5808" s="71" t="s">
        <v>3706</v>
      </c>
      <c r="D5808" s="71">
        <v>10</v>
      </c>
      <c r="E5808" s="102">
        <v>250000</v>
      </c>
      <c r="F5808" s="102">
        <f t="shared" ref="F5808:F5818" si="2876">(E5808*D5808)*1.1</f>
        <v>2750000</v>
      </c>
      <c r="G5808" s="102">
        <f t="shared" ref="G5808:G5818" si="2877">(E5808*D5808)</f>
        <v>2500000</v>
      </c>
      <c r="H5808" s="690" t="s">
        <v>1786</v>
      </c>
      <c r="I5808" s="71" t="s">
        <v>1786</v>
      </c>
      <c r="J5808" s="53">
        <f t="shared" si="2872"/>
        <v>1052260</v>
      </c>
      <c r="K5808" s="63">
        <f t="shared" si="2873"/>
        <v>0.420904</v>
      </c>
      <c r="L5808" s="1212" t="s">
        <v>3699</v>
      </c>
      <c r="M5808" s="102"/>
      <c r="N5808" s="1192">
        <f t="shared" si="2867"/>
        <v>44984</v>
      </c>
      <c r="O5808" s="71" t="s">
        <v>1786</v>
      </c>
      <c r="P5808" s="103" t="str">
        <f t="shared" si="2868"/>
        <v>Flaked adhesive tape</v>
      </c>
      <c r="Q5808" s="71">
        <f t="shared" si="2869"/>
        <v>10</v>
      </c>
      <c r="R5808" s="102">
        <v>144774</v>
      </c>
      <c r="S5808" s="102">
        <f t="shared" si="2874"/>
        <v>1592514.0000000002</v>
      </c>
      <c r="T5808" s="102">
        <f t="shared" si="2875"/>
        <v>1447740</v>
      </c>
      <c r="U5808" s="71"/>
      <c r="V5808" s="71"/>
      <c r="W5808" s="474"/>
      <c r="X5808" s="71"/>
      <c r="Y5808" s="71"/>
    </row>
    <row r="5809" spans="1:25" ht="30" hidden="1" customHeight="1" x14ac:dyDescent="0.25">
      <c r="A5809" s="1145">
        <v>44984</v>
      </c>
      <c r="B5809" s="664" t="s">
        <v>546</v>
      </c>
      <c r="C5809" s="71" t="s">
        <v>3124</v>
      </c>
      <c r="D5809" s="71">
        <v>12</v>
      </c>
      <c r="E5809" s="102">
        <v>90000</v>
      </c>
      <c r="F5809" s="102">
        <f t="shared" si="2876"/>
        <v>1188000</v>
      </c>
      <c r="G5809" s="102">
        <f t="shared" si="2877"/>
        <v>1080000</v>
      </c>
      <c r="H5809" s="690" t="s">
        <v>1786</v>
      </c>
      <c r="I5809" s="71" t="s">
        <v>1786</v>
      </c>
      <c r="J5809" s="53">
        <f t="shared" si="2872"/>
        <v>431280</v>
      </c>
      <c r="K5809" s="63">
        <f t="shared" si="2873"/>
        <v>0.39933333333333332</v>
      </c>
      <c r="L5809" s="1212" t="s">
        <v>3699</v>
      </c>
      <c r="M5809" s="102"/>
      <c r="N5809" s="1192">
        <f t="shared" si="2867"/>
        <v>44984</v>
      </c>
      <c r="O5809" s="71" t="s">
        <v>1786</v>
      </c>
      <c r="P5809" s="103" t="str">
        <f t="shared" si="2868"/>
        <v>Slow-down finger blue</v>
      </c>
      <c r="Q5809" s="71">
        <f t="shared" si="2869"/>
        <v>12</v>
      </c>
      <c r="R5809" s="102">
        <v>54060</v>
      </c>
      <c r="S5809" s="102">
        <f t="shared" si="2874"/>
        <v>713592</v>
      </c>
      <c r="T5809" s="102">
        <f t="shared" si="2875"/>
        <v>648720</v>
      </c>
      <c r="U5809" s="71"/>
      <c r="V5809" s="71"/>
      <c r="W5809" s="474"/>
      <c r="X5809" s="71"/>
      <c r="Y5809" s="71"/>
    </row>
    <row r="5810" spans="1:25" ht="30" hidden="1" customHeight="1" x14ac:dyDescent="0.25">
      <c r="A5810" s="1145">
        <v>44984</v>
      </c>
      <c r="B5810" s="664" t="s">
        <v>546</v>
      </c>
      <c r="C5810" s="71" t="s">
        <v>1148</v>
      </c>
      <c r="D5810" s="71">
        <v>8</v>
      </c>
      <c r="E5810" s="102">
        <v>370000</v>
      </c>
      <c r="F5810" s="102">
        <f t="shared" si="2876"/>
        <v>3256000.0000000005</v>
      </c>
      <c r="G5810" s="102">
        <f t="shared" si="2877"/>
        <v>2960000</v>
      </c>
      <c r="H5810" s="690" t="s">
        <v>1786</v>
      </c>
      <c r="I5810" s="71" t="s">
        <v>1786</v>
      </c>
      <c r="J5810" s="53">
        <f t="shared" si="2872"/>
        <v>1244584</v>
      </c>
      <c r="K5810" s="63">
        <f t="shared" si="2873"/>
        <v>0.42046756756756748</v>
      </c>
      <c r="L5810" s="1212" t="s">
        <v>3699</v>
      </c>
      <c r="M5810" s="468"/>
      <c r="N5810" s="1192">
        <f t="shared" si="2867"/>
        <v>44984</v>
      </c>
      <c r="O5810" s="71" t="s">
        <v>1786</v>
      </c>
      <c r="P5810" s="164" t="str">
        <f t="shared" si="2868"/>
        <v>브레이크 라이닝</v>
      </c>
      <c r="Q5810" s="71">
        <f t="shared" si="2869"/>
        <v>8</v>
      </c>
      <c r="R5810" s="102">
        <v>214427</v>
      </c>
      <c r="S5810" s="102">
        <f t="shared" si="2874"/>
        <v>1886957.6</v>
      </c>
      <c r="T5810" s="102">
        <f t="shared" si="2875"/>
        <v>1715416</v>
      </c>
      <c r="U5810" s="71"/>
      <c r="V5810" s="71"/>
      <c r="W5810" s="474"/>
      <c r="X5810" s="71"/>
      <c r="Y5810" s="71"/>
    </row>
    <row r="5811" spans="1:25" ht="30" hidden="1" customHeight="1" x14ac:dyDescent="0.25">
      <c r="A5811" s="1145">
        <v>44984</v>
      </c>
      <c r="B5811" s="664" t="s">
        <v>546</v>
      </c>
      <c r="C5811" s="71" t="s">
        <v>114</v>
      </c>
      <c r="D5811" s="71">
        <v>100</v>
      </c>
      <c r="E5811" s="102">
        <v>18000</v>
      </c>
      <c r="F5811" s="102">
        <f t="shared" si="2876"/>
        <v>1980000.0000000002</v>
      </c>
      <c r="G5811" s="102">
        <f t="shared" si="2877"/>
        <v>1800000</v>
      </c>
      <c r="H5811" s="690" t="s">
        <v>1786</v>
      </c>
      <c r="I5811" s="71" t="s">
        <v>1786</v>
      </c>
      <c r="J5811" s="53">
        <f t="shared" si="2872"/>
        <v>800000</v>
      </c>
      <c r="K5811" s="63">
        <f t="shared" si="2873"/>
        <v>0.44444444444444436</v>
      </c>
      <c r="L5811" s="1212" t="s">
        <v>3699</v>
      </c>
      <c r="M5811" s="468"/>
      <c r="N5811" s="1192">
        <f t="shared" si="2867"/>
        <v>44984</v>
      </c>
      <c r="O5811" s="71" t="s">
        <v>1786</v>
      </c>
      <c r="P5811" s="103" t="str">
        <f t="shared" si="2868"/>
        <v>스트리퍼</v>
      </c>
      <c r="Q5811" s="71">
        <f t="shared" si="2869"/>
        <v>100</v>
      </c>
      <c r="R5811" s="147">
        <v>10000</v>
      </c>
      <c r="S5811" s="102">
        <f t="shared" si="2874"/>
        <v>1100000</v>
      </c>
      <c r="T5811" s="102">
        <f t="shared" si="2875"/>
        <v>1000000</v>
      </c>
      <c r="U5811" s="71"/>
      <c r="V5811" s="71"/>
      <c r="W5811" s="474"/>
      <c r="X5811" s="71"/>
      <c r="Y5811" s="71"/>
    </row>
    <row r="5812" spans="1:25" ht="30" hidden="1" customHeight="1" x14ac:dyDescent="0.25">
      <c r="A5812" s="1145">
        <v>44984</v>
      </c>
      <c r="B5812" s="664" t="s">
        <v>546</v>
      </c>
      <c r="C5812" s="71" t="s">
        <v>2435</v>
      </c>
      <c r="D5812" s="71">
        <v>30</v>
      </c>
      <c r="E5812" s="102">
        <v>20000</v>
      </c>
      <c r="F5812" s="102">
        <f t="shared" si="2876"/>
        <v>660000</v>
      </c>
      <c r="G5812" s="102">
        <f t="shared" si="2877"/>
        <v>600000</v>
      </c>
      <c r="H5812" s="690" t="s">
        <v>1786</v>
      </c>
      <c r="I5812" s="71" t="s">
        <v>1786</v>
      </c>
      <c r="J5812" s="53">
        <f t="shared" si="2872"/>
        <v>186210</v>
      </c>
      <c r="K5812" s="63">
        <f t="shared" si="2873"/>
        <v>0.31035000000000001</v>
      </c>
      <c r="L5812" s="1212" t="s">
        <v>3699</v>
      </c>
      <c r="M5812" s="102"/>
      <c r="N5812" s="1192">
        <f t="shared" si="2867"/>
        <v>44984</v>
      </c>
      <c r="O5812" s="71" t="s">
        <v>1786</v>
      </c>
      <c r="P5812" s="103" t="str">
        <f t="shared" si="2868"/>
        <v>잉크 파운틴 호일</v>
      </c>
      <c r="Q5812" s="71">
        <f t="shared" si="2869"/>
        <v>30</v>
      </c>
      <c r="R5812" s="102">
        <v>13793</v>
      </c>
      <c r="S5812" s="102">
        <f t="shared" si="2874"/>
        <v>455169.00000000006</v>
      </c>
      <c r="T5812" s="102">
        <f t="shared" si="2875"/>
        <v>413790</v>
      </c>
      <c r="U5812" s="71"/>
      <c r="V5812" s="71"/>
      <c r="W5812" s="474"/>
      <c r="X5812" s="71"/>
      <c r="Y5812" s="71"/>
    </row>
    <row r="5813" spans="1:25" ht="30" hidden="1" customHeight="1" x14ac:dyDescent="0.25">
      <c r="A5813" s="1145">
        <v>44984</v>
      </c>
      <c r="B5813" s="664" t="s">
        <v>546</v>
      </c>
      <c r="C5813" s="71" t="s">
        <v>1918</v>
      </c>
      <c r="D5813" s="71">
        <v>30</v>
      </c>
      <c r="E5813" s="102">
        <v>27000</v>
      </c>
      <c r="F5813" s="102">
        <f t="shared" si="2876"/>
        <v>891000.00000000012</v>
      </c>
      <c r="G5813" s="102">
        <f t="shared" si="2877"/>
        <v>810000</v>
      </c>
      <c r="H5813" s="690" t="s">
        <v>1786</v>
      </c>
      <c r="I5813" s="71" t="s">
        <v>1786</v>
      </c>
      <c r="J5813" s="53">
        <f t="shared" si="2872"/>
        <v>398280</v>
      </c>
      <c r="K5813" s="63">
        <f t="shared" si="2873"/>
        <v>0.49170370370370364</v>
      </c>
      <c r="L5813" s="1212" t="s">
        <v>3699</v>
      </c>
      <c r="M5813" s="468"/>
      <c r="N5813" s="1192">
        <f t="shared" si="2867"/>
        <v>44984</v>
      </c>
      <c r="O5813" s="71" t="s">
        <v>1786</v>
      </c>
      <c r="P5813" s="103" t="str">
        <f t="shared" si="2868"/>
        <v>브러쉬</v>
      </c>
      <c r="Q5813" s="71">
        <f t="shared" si="2869"/>
        <v>30</v>
      </c>
      <c r="R5813" s="102">
        <v>13724</v>
      </c>
      <c r="S5813" s="102">
        <f t="shared" si="2874"/>
        <v>452892.00000000006</v>
      </c>
      <c r="T5813" s="102">
        <f t="shared" si="2875"/>
        <v>411720</v>
      </c>
      <c r="U5813" s="71"/>
      <c r="V5813" s="71"/>
      <c r="W5813" s="474"/>
      <c r="X5813" s="71"/>
      <c r="Y5813" s="71"/>
    </row>
    <row r="5814" spans="1:25" ht="30" hidden="1" customHeight="1" x14ac:dyDescent="0.25">
      <c r="A5814" s="1145">
        <v>44984</v>
      </c>
      <c r="B5814" s="664" t="s">
        <v>2155</v>
      </c>
      <c r="C5814" s="71" t="s">
        <v>1121</v>
      </c>
      <c r="D5814" s="71">
        <v>5</v>
      </c>
      <c r="E5814" s="102">
        <v>70000</v>
      </c>
      <c r="F5814" s="102">
        <f t="shared" si="2876"/>
        <v>385000.00000000006</v>
      </c>
      <c r="G5814" s="102">
        <f t="shared" si="2877"/>
        <v>350000</v>
      </c>
      <c r="H5814" s="690" t="s">
        <v>1786</v>
      </c>
      <c r="I5814" s="71" t="s">
        <v>1786</v>
      </c>
      <c r="J5814" s="53">
        <f t="shared" si="2872"/>
        <v>200000</v>
      </c>
      <c r="K5814" s="63">
        <f t="shared" si="2873"/>
        <v>0.57142857142857129</v>
      </c>
      <c r="L5814" s="1212" t="s">
        <v>3699</v>
      </c>
      <c r="M5814" s="468"/>
      <c r="N5814" s="1192">
        <f t="shared" si="2867"/>
        <v>44984</v>
      </c>
      <c r="O5814" s="71" t="s">
        <v>1786</v>
      </c>
      <c r="P5814" s="103" t="str">
        <f t="shared" si="2868"/>
        <v>포텐시오미터</v>
      </c>
      <c r="Q5814" s="71">
        <f t="shared" si="2869"/>
        <v>5</v>
      </c>
      <c r="R5814" s="102">
        <v>30000</v>
      </c>
      <c r="S5814" s="102">
        <f t="shared" si="2874"/>
        <v>165000</v>
      </c>
      <c r="T5814" s="102">
        <f t="shared" si="2875"/>
        <v>150000</v>
      </c>
      <c r="U5814" s="71"/>
      <c r="V5814" s="71"/>
      <c r="W5814" s="474"/>
      <c r="X5814" s="71"/>
      <c r="Y5814" s="71"/>
    </row>
    <row r="5815" spans="1:25" s="209" customFormat="1" ht="30" hidden="1" customHeight="1" x14ac:dyDescent="0.25">
      <c r="A5815" s="1145">
        <v>45016</v>
      </c>
      <c r="B5815" s="664" t="s">
        <v>1178</v>
      </c>
      <c r="C5815" s="71" t="s">
        <v>3707</v>
      </c>
      <c r="D5815" s="71">
        <v>1</v>
      </c>
      <c r="E5815" s="102">
        <v>309091</v>
      </c>
      <c r="F5815" s="102">
        <f t="shared" si="2876"/>
        <v>340000.10000000003</v>
      </c>
      <c r="G5815" s="102">
        <f t="shared" si="2877"/>
        <v>309091</v>
      </c>
      <c r="H5815" s="690" t="s">
        <v>142</v>
      </c>
      <c r="I5815" s="690" t="s">
        <v>142</v>
      </c>
      <c r="J5815" s="53">
        <f t="shared" si="2872"/>
        <v>31591</v>
      </c>
      <c r="K5815" s="63">
        <f t="shared" si="2873"/>
        <v>0.10220614640995694</v>
      </c>
      <c r="L5815" s="1212" t="s">
        <v>3699</v>
      </c>
      <c r="M5815" s="468"/>
      <c r="N5815" s="1192">
        <f t="shared" si="2867"/>
        <v>45016</v>
      </c>
      <c r="O5815" s="71" t="s">
        <v>194</v>
      </c>
      <c r="P5815" s="164" t="str">
        <f t="shared" si="2868"/>
        <v>850*770 재단판 50장</v>
      </c>
      <c r="Q5815" s="71">
        <f t="shared" si="2869"/>
        <v>1</v>
      </c>
      <c r="R5815" s="102">
        <v>277500</v>
      </c>
      <c r="S5815" s="102">
        <f t="shared" si="2874"/>
        <v>305250</v>
      </c>
      <c r="T5815" s="102">
        <f t="shared" si="2875"/>
        <v>277500</v>
      </c>
      <c r="U5815" s="71"/>
      <c r="V5815" s="71"/>
      <c r="W5815" s="474"/>
      <c r="X5815" s="71"/>
      <c r="Y5815" s="71"/>
    </row>
    <row r="5816" spans="1:25" ht="30" hidden="1" customHeight="1" x14ac:dyDescent="0.25">
      <c r="A5816" s="1145">
        <v>44930</v>
      </c>
      <c r="B5816" s="664" t="s">
        <v>575</v>
      </c>
      <c r="C5816" s="71" t="s">
        <v>3648</v>
      </c>
      <c r="D5816" s="71">
        <v>1</v>
      </c>
      <c r="E5816" s="102">
        <v>1500000</v>
      </c>
      <c r="F5816" s="102">
        <f t="shared" si="2876"/>
        <v>1650000.0000000002</v>
      </c>
      <c r="G5816" s="102">
        <f t="shared" si="2877"/>
        <v>1500000</v>
      </c>
      <c r="H5816" s="690" t="s">
        <v>1786</v>
      </c>
      <c r="I5816" s="71" t="s">
        <v>1786</v>
      </c>
      <c r="J5816" s="53">
        <f t="shared" si="2872"/>
        <v>400232</v>
      </c>
      <c r="K5816" s="63">
        <f t="shared" si="2873"/>
        <v>0.2668213333333333</v>
      </c>
      <c r="L5816" s="1212" t="s">
        <v>3699</v>
      </c>
      <c r="M5816" s="468"/>
      <c r="N5816" s="1192">
        <f t="shared" si="2867"/>
        <v>44930</v>
      </c>
      <c r="O5816" s="71" t="s">
        <v>94</v>
      </c>
      <c r="P5816" s="103" t="str">
        <f t="shared" si="2868"/>
        <v>잉크 레벨 센서</v>
      </c>
      <c r="Q5816" s="71">
        <f t="shared" si="2869"/>
        <v>1</v>
      </c>
      <c r="R5816" s="102">
        <v>1099768</v>
      </c>
      <c r="S5816" s="102">
        <f t="shared" si="2874"/>
        <v>1209744.8</v>
      </c>
      <c r="T5816" s="102">
        <f t="shared" si="2875"/>
        <v>1099768</v>
      </c>
      <c r="U5816" s="71"/>
      <c r="V5816" s="71"/>
      <c r="W5816" s="474"/>
      <c r="X5816" s="71"/>
      <c r="Y5816" s="71"/>
    </row>
    <row r="5817" spans="1:25" s="209" customFormat="1" ht="30" hidden="1" customHeight="1" x14ac:dyDescent="0.25">
      <c r="A5817" s="1145">
        <v>44953</v>
      </c>
      <c r="B5817" s="664" t="s">
        <v>575</v>
      </c>
      <c r="C5817" s="71" t="s">
        <v>1148</v>
      </c>
      <c r="D5817" s="71">
        <v>8</v>
      </c>
      <c r="E5817" s="102">
        <v>320000</v>
      </c>
      <c r="F5817" s="102">
        <f t="shared" si="2876"/>
        <v>2816000</v>
      </c>
      <c r="G5817" s="102">
        <f t="shared" si="2877"/>
        <v>2560000</v>
      </c>
      <c r="H5817" s="690" t="s">
        <v>1786</v>
      </c>
      <c r="I5817" s="71" t="s">
        <v>1786</v>
      </c>
      <c r="J5817" s="53">
        <f t="shared" si="2872"/>
        <v>608632</v>
      </c>
      <c r="K5817" s="63">
        <f t="shared" si="2873"/>
        <v>0.237746875</v>
      </c>
      <c r="L5817" s="1212" t="s">
        <v>3699</v>
      </c>
      <c r="M5817" s="468"/>
      <c r="N5817" s="1192">
        <f t="shared" si="2867"/>
        <v>44953</v>
      </c>
      <c r="O5817" s="71" t="s">
        <v>1786</v>
      </c>
      <c r="P5817" s="164" t="str">
        <f t="shared" si="2868"/>
        <v>브레이크 라이닝</v>
      </c>
      <c r="Q5817" s="71">
        <f t="shared" si="2869"/>
        <v>8</v>
      </c>
      <c r="R5817" s="102">
        <v>243921</v>
      </c>
      <c r="S5817" s="102">
        <f t="shared" si="2874"/>
        <v>2146504.8000000003</v>
      </c>
      <c r="T5817" s="102">
        <f t="shared" si="2875"/>
        <v>1951368</v>
      </c>
      <c r="U5817" s="71"/>
      <c r="V5817" s="71"/>
      <c r="W5817" s="474"/>
      <c r="X5817" s="71"/>
      <c r="Y5817" s="71"/>
    </row>
    <row r="5818" spans="1:25" ht="30" hidden="1" customHeight="1" x14ac:dyDescent="0.25">
      <c r="A5818" s="1145">
        <v>44953</v>
      </c>
      <c r="B5818" s="664" t="s">
        <v>575</v>
      </c>
      <c r="C5818" s="71" t="s">
        <v>3708</v>
      </c>
      <c r="D5818" s="71">
        <v>1</v>
      </c>
      <c r="E5818" s="102">
        <v>6500000</v>
      </c>
      <c r="F5818" s="102">
        <f t="shared" si="2876"/>
        <v>7150000.0000000009</v>
      </c>
      <c r="G5818" s="102">
        <f t="shared" si="2877"/>
        <v>6500000</v>
      </c>
      <c r="H5818" s="690" t="s">
        <v>1786</v>
      </c>
      <c r="I5818" s="71" t="s">
        <v>1786</v>
      </c>
      <c r="J5818" s="53">
        <f t="shared" si="2872"/>
        <v>2250192</v>
      </c>
      <c r="K5818" s="63">
        <f t="shared" si="2873"/>
        <v>0.34618338461538456</v>
      </c>
      <c r="L5818" s="1212" t="s">
        <v>3699</v>
      </c>
      <c r="M5818" s="102"/>
      <c r="N5818" s="1192">
        <f t="shared" si="2867"/>
        <v>44953</v>
      </c>
      <c r="O5818" s="71" t="s">
        <v>1786</v>
      </c>
      <c r="P5818" s="103" t="str">
        <f t="shared" si="2868"/>
        <v>브레이크 디스크</v>
      </c>
      <c r="Q5818" s="71">
        <f t="shared" si="2869"/>
        <v>1</v>
      </c>
      <c r="R5818" s="102">
        <v>4249808</v>
      </c>
      <c r="S5818" s="102">
        <f t="shared" si="2874"/>
        <v>4674788.8000000007</v>
      </c>
      <c r="T5818" s="102">
        <f t="shared" si="2875"/>
        <v>4249808</v>
      </c>
      <c r="U5818" s="71"/>
      <c r="V5818" s="71"/>
      <c r="W5818" s="474"/>
      <c r="X5818" s="71"/>
      <c r="Y5818" s="71"/>
    </row>
    <row r="5819" spans="1:25" ht="30" hidden="1" customHeight="1" x14ac:dyDescent="0.25">
      <c r="A5819" s="1210" t="s">
        <v>3715</v>
      </c>
      <c r="B5819" s="1211" t="s">
        <v>544</v>
      </c>
      <c r="C5819" s="960"/>
      <c r="D5819" s="960"/>
      <c r="E5819" s="952"/>
      <c r="F5819" s="952"/>
      <c r="G5819" s="952"/>
      <c r="H5819" s="1206"/>
      <c r="I5819" s="960"/>
      <c r="J5819" s="952"/>
      <c r="K5819" s="953"/>
      <c r="L5819" s="1212" t="s">
        <v>3717</v>
      </c>
      <c r="M5819" s="1207"/>
      <c r="N5819" s="1208" t="str">
        <f t="shared" si="2867"/>
        <v>2023,4</v>
      </c>
      <c r="O5819" s="960"/>
      <c r="P5819" s="1209"/>
      <c r="Q5819" s="960"/>
      <c r="R5819" s="952"/>
      <c r="S5819" s="952"/>
      <c r="T5819" s="952"/>
      <c r="U5819" s="960"/>
      <c r="V5819" s="960"/>
      <c r="W5819" s="474">
        <f>(G5819-T5819)</f>
        <v>0</v>
      </c>
      <c r="X5819" s="71"/>
      <c r="Y5819" s="71"/>
    </row>
    <row r="5820" spans="1:25" ht="30" hidden="1" customHeight="1" x14ac:dyDescent="0.25">
      <c r="A5820" s="1145">
        <v>45023</v>
      </c>
      <c r="B5820" s="664" t="s">
        <v>3340</v>
      </c>
      <c r="C5820" s="71" t="s">
        <v>3718</v>
      </c>
      <c r="D5820" s="71">
        <v>1</v>
      </c>
      <c r="E5820" s="102">
        <v>5500000</v>
      </c>
      <c r="F5820" s="102">
        <f>(E5820*D5820)*1.1</f>
        <v>6050000.0000000009</v>
      </c>
      <c r="G5820" s="102">
        <f>(E5820*D5820)</f>
        <v>5500000</v>
      </c>
      <c r="H5820" s="690" t="s">
        <v>173</v>
      </c>
      <c r="I5820" s="690" t="s">
        <v>2231</v>
      </c>
      <c r="J5820" s="53">
        <f>G5820-T5820</f>
        <v>1650000</v>
      </c>
      <c r="K5820" s="63">
        <f>(J5820/(F5820/11*10))</f>
        <v>0.29999999999999993</v>
      </c>
      <c r="L5820" s="1212" t="s">
        <v>3729</v>
      </c>
      <c r="M5820" s="468"/>
      <c r="N5820" s="1192">
        <f t="shared" si="2867"/>
        <v>45023</v>
      </c>
      <c r="O5820" s="71" t="s">
        <v>3635</v>
      </c>
      <c r="P5820" s="103" t="str">
        <f>(C5820)</f>
        <v>X-rite Basic 농도계</v>
      </c>
      <c r="Q5820" s="71">
        <f>D5820</f>
        <v>1</v>
      </c>
      <c r="R5820" s="102">
        <v>3850000</v>
      </c>
      <c r="S5820" s="102">
        <f>R5820*Q5820*1.1</f>
        <v>4235000</v>
      </c>
      <c r="T5820" s="102">
        <f>R5820*Q5820</f>
        <v>3850000</v>
      </c>
      <c r="U5820" s="71"/>
      <c r="V5820" s="71"/>
      <c r="W5820" s="474"/>
      <c r="X5820" s="71"/>
      <c r="Y5820" s="71"/>
    </row>
    <row r="5821" spans="1:25" ht="30" hidden="1" customHeight="1" x14ac:dyDescent="0.25">
      <c r="A5821" s="1145">
        <v>45016</v>
      </c>
      <c r="B5821" s="664" t="s">
        <v>442</v>
      </c>
      <c r="C5821" s="71" t="s">
        <v>3299</v>
      </c>
      <c r="D5821" s="71">
        <v>15</v>
      </c>
      <c r="E5821" s="102">
        <v>69000</v>
      </c>
      <c r="F5821" s="102">
        <f t="shared" ref="F5821:F5826" si="2878">(E5821*D5821)*1.1</f>
        <v>1138500</v>
      </c>
      <c r="G5821" s="102">
        <f t="shared" ref="G5821:G5826" si="2879">(E5821*D5821)</f>
        <v>1035000</v>
      </c>
      <c r="H5821" s="690" t="s">
        <v>172</v>
      </c>
      <c r="I5821" s="71" t="s">
        <v>180</v>
      </c>
      <c r="J5821" s="53">
        <f t="shared" ref="J5821:J5826" si="2880">G5821-T5821</f>
        <v>322500</v>
      </c>
      <c r="K5821" s="63">
        <f t="shared" ref="K5821:K5826" si="2881">(J5821/(F5821/11*10))</f>
        <v>0.31159420289855072</v>
      </c>
      <c r="L5821" s="1212" t="s">
        <v>3716</v>
      </c>
      <c r="M5821" s="468" t="s">
        <v>3304</v>
      </c>
      <c r="N5821" s="1192">
        <f t="shared" ref="N5821:N5826" si="2882">A5821</f>
        <v>45016</v>
      </c>
      <c r="O5821" s="71" t="s">
        <v>175</v>
      </c>
      <c r="P5821" s="164" t="str">
        <f t="shared" ref="P5821:P5826" si="2883">(C5821)</f>
        <v>매엽용 세척제(Wash k11)</v>
      </c>
      <c r="Q5821" s="71">
        <f t="shared" ref="Q5821:Q5826" si="2884">D5821</f>
        <v>15</v>
      </c>
      <c r="R5821" s="102">
        <v>47500</v>
      </c>
      <c r="S5821" s="102">
        <f t="shared" ref="S5821:S5826" si="2885">R5821*Q5821*1.1</f>
        <v>783750.00000000012</v>
      </c>
      <c r="T5821" s="102">
        <f t="shared" ref="T5821:T5826" si="2886">R5821*Q5821</f>
        <v>712500</v>
      </c>
      <c r="U5821" s="71" t="s">
        <v>859</v>
      </c>
      <c r="V5821" s="71"/>
      <c r="W5821" s="474"/>
      <c r="X5821" s="71"/>
      <c r="Y5821" s="71"/>
    </row>
    <row r="5822" spans="1:25" ht="30" hidden="1" customHeight="1" x14ac:dyDescent="0.25">
      <c r="A5822" s="1145">
        <v>45028</v>
      </c>
      <c r="B5822" s="664" t="s">
        <v>442</v>
      </c>
      <c r="C5822" s="71" t="s">
        <v>206</v>
      </c>
      <c r="D5822" s="71">
        <v>2</v>
      </c>
      <c r="E5822" s="102">
        <v>453000</v>
      </c>
      <c r="F5822" s="102">
        <f t="shared" si="2878"/>
        <v>996600.00000000012</v>
      </c>
      <c r="G5822" s="102">
        <f t="shared" si="2879"/>
        <v>906000</v>
      </c>
      <c r="H5822" s="690" t="s">
        <v>2029</v>
      </c>
      <c r="I5822" s="71" t="s">
        <v>195</v>
      </c>
      <c r="J5822" s="53">
        <f t="shared" si="2880"/>
        <v>144640</v>
      </c>
      <c r="K5822" s="63">
        <f t="shared" si="2881"/>
        <v>0.15964679911699778</v>
      </c>
      <c r="L5822" s="1212" t="s">
        <v>3716</v>
      </c>
      <c r="M5822" s="468"/>
      <c r="N5822" s="1192">
        <f t="shared" si="2882"/>
        <v>45028</v>
      </c>
      <c r="O5822" s="71" t="s">
        <v>194</v>
      </c>
      <c r="P5822" s="103" t="str">
        <f t="shared" si="2883"/>
        <v>Agfa Film(24inch)</v>
      </c>
      <c r="Q5822" s="71">
        <f t="shared" si="2884"/>
        <v>2</v>
      </c>
      <c r="R5822" s="102">
        <v>380680</v>
      </c>
      <c r="S5822" s="102">
        <f t="shared" si="2885"/>
        <v>837496.00000000012</v>
      </c>
      <c r="T5822" s="102">
        <f t="shared" si="2886"/>
        <v>761360</v>
      </c>
      <c r="U5822" s="71" t="str">
        <f t="shared" ref="U5822:U5830" si="2887">IF(J5822=W5822,"O", "X")</f>
        <v>O</v>
      </c>
      <c r="V5822" s="71"/>
      <c r="W5822" s="474">
        <f>(G5822-T5822)</f>
        <v>144640</v>
      </c>
      <c r="X5822" s="71"/>
      <c r="Y5822" s="71"/>
    </row>
    <row r="5823" spans="1:25" ht="30" hidden="1" customHeight="1" x14ac:dyDescent="0.25">
      <c r="A5823" s="1145">
        <v>45028</v>
      </c>
      <c r="B5823" s="664" t="s">
        <v>442</v>
      </c>
      <c r="C5823" s="71" t="s">
        <v>207</v>
      </c>
      <c r="D5823" s="71">
        <v>2</v>
      </c>
      <c r="E5823" s="102">
        <v>558000</v>
      </c>
      <c r="F5823" s="102">
        <f t="shared" si="2878"/>
        <v>1227600</v>
      </c>
      <c r="G5823" s="102">
        <f t="shared" si="2879"/>
        <v>1116000</v>
      </c>
      <c r="H5823" s="690" t="s">
        <v>2029</v>
      </c>
      <c r="I5823" s="71" t="s">
        <v>195</v>
      </c>
      <c r="J5823" s="53">
        <f t="shared" si="2880"/>
        <v>228480</v>
      </c>
      <c r="K5823" s="63">
        <f t="shared" si="2881"/>
        <v>0.20473118279569893</v>
      </c>
      <c r="L5823" s="1212" t="s">
        <v>3716</v>
      </c>
      <c r="M5823" s="468"/>
      <c r="N5823" s="1192">
        <f t="shared" si="2882"/>
        <v>45028</v>
      </c>
      <c r="O5823" s="71" t="s">
        <v>194</v>
      </c>
      <c r="P5823" s="103" t="str">
        <f t="shared" si="2883"/>
        <v>Agfa Film(28inch)</v>
      </c>
      <c r="Q5823" s="71">
        <f t="shared" si="2884"/>
        <v>2</v>
      </c>
      <c r="R5823" s="102">
        <v>443760</v>
      </c>
      <c r="S5823" s="102">
        <f t="shared" si="2885"/>
        <v>976272.00000000012</v>
      </c>
      <c r="T5823" s="102">
        <f t="shared" si="2886"/>
        <v>887520</v>
      </c>
      <c r="U5823" s="71" t="str">
        <f t="shared" si="2887"/>
        <v>O</v>
      </c>
      <c r="V5823" s="71"/>
      <c r="W5823" s="474">
        <f>(G5823-T5823)</f>
        <v>228480</v>
      </c>
      <c r="X5823" s="71"/>
      <c r="Y5823" s="71"/>
    </row>
    <row r="5824" spans="1:25" ht="30" hidden="1" customHeight="1" x14ac:dyDescent="0.25">
      <c r="A5824" s="1145">
        <v>45028</v>
      </c>
      <c r="B5824" s="664" t="s">
        <v>442</v>
      </c>
      <c r="C5824" s="71" t="s">
        <v>208</v>
      </c>
      <c r="D5824" s="71">
        <v>2</v>
      </c>
      <c r="E5824" s="102">
        <v>624000</v>
      </c>
      <c r="F5824" s="102">
        <f t="shared" si="2878"/>
        <v>1372800</v>
      </c>
      <c r="G5824" s="102">
        <f t="shared" si="2879"/>
        <v>1248000</v>
      </c>
      <c r="H5824" s="690" t="s">
        <v>2029</v>
      </c>
      <c r="I5824" s="71" t="s">
        <v>195</v>
      </c>
      <c r="J5824" s="53">
        <f t="shared" si="2880"/>
        <v>201820</v>
      </c>
      <c r="K5824" s="63">
        <f t="shared" si="2881"/>
        <v>0.16171474358974358</v>
      </c>
      <c r="L5824" s="1212" t="s">
        <v>3716</v>
      </c>
      <c r="M5824" s="468"/>
      <c r="N5824" s="1192">
        <f t="shared" si="2882"/>
        <v>45028</v>
      </c>
      <c r="O5824" s="71" t="s">
        <v>194</v>
      </c>
      <c r="P5824" s="103" t="str">
        <f t="shared" si="2883"/>
        <v>Agfa Film(32inch)</v>
      </c>
      <c r="Q5824" s="71">
        <f t="shared" si="2884"/>
        <v>2</v>
      </c>
      <c r="R5824" s="102">
        <v>523090</v>
      </c>
      <c r="S5824" s="102">
        <f t="shared" si="2885"/>
        <v>1150798</v>
      </c>
      <c r="T5824" s="102">
        <f t="shared" si="2886"/>
        <v>1046180</v>
      </c>
      <c r="U5824" s="71" t="str">
        <f t="shared" si="2887"/>
        <v>O</v>
      </c>
      <c r="V5824" s="71"/>
      <c r="W5824" s="474">
        <f>(G5824-T5824)</f>
        <v>201820</v>
      </c>
      <c r="X5824" s="71"/>
      <c r="Y5824" s="71"/>
    </row>
    <row r="5825" spans="1:25" ht="30" hidden="1" customHeight="1" x14ac:dyDescent="0.2">
      <c r="A5825" s="1145">
        <v>45028</v>
      </c>
      <c r="B5825" s="664" t="s">
        <v>442</v>
      </c>
      <c r="C5825" s="71" t="s">
        <v>648</v>
      </c>
      <c r="D5825" s="71">
        <v>1</v>
      </c>
      <c r="E5825" s="102">
        <v>93000</v>
      </c>
      <c r="F5825" s="102">
        <f t="shared" si="2878"/>
        <v>102300.00000000001</v>
      </c>
      <c r="G5825" s="102">
        <f t="shared" si="2879"/>
        <v>93000</v>
      </c>
      <c r="H5825" s="165" t="s">
        <v>172</v>
      </c>
      <c r="I5825" s="71" t="s">
        <v>195</v>
      </c>
      <c r="J5825" s="53">
        <f t="shared" si="2880"/>
        <v>27000</v>
      </c>
      <c r="K5825" s="63">
        <f t="shared" si="2881"/>
        <v>0.29032258064516125</v>
      </c>
      <c r="L5825" s="1212" t="s">
        <v>3716</v>
      </c>
      <c r="M5825" s="468"/>
      <c r="N5825" s="1192">
        <f t="shared" si="2882"/>
        <v>45028</v>
      </c>
      <c r="O5825" s="71" t="s">
        <v>194</v>
      </c>
      <c r="P5825" s="103" t="str">
        <f t="shared" si="2883"/>
        <v>Agfa 정착액 G333C(20L)</v>
      </c>
      <c r="Q5825" s="71">
        <f t="shared" si="2884"/>
        <v>1</v>
      </c>
      <c r="R5825" s="102">
        <v>66000</v>
      </c>
      <c r="S5825" s="102">
        <f t="shared" si="2885"/>
        <v>72600</v>
      </c>
      <c r="T5825" s="102">
        <f t="shared" si="2886"/>
        <v>66000</v>
      </c>
      <c r="U5825" s="71" t="str">
        <f t="shared" si="2887"/>
        <v>O</v>
      </c>
      <c r="V5825" s="71"/>
      <c r="W5825" s="474">
        <f>(G5825-T5825)</f>
        <v>27000</v>
      </c>
      <c r="X5825" s="71"/>
      <c r="Y5825" s="71"/>
    </row>
    <row r="5826" spans="1:25" ht="30" hidden="1" customHeight="1" x14ac:dyDescent="0.25">
      <c r="A5826" s="1145">
        <v>45024</v>
      </c>
      <c r="B5826" s="664" t="s">
        <v>2798</v>
      </c>
      <c r="C5826" s="71" t="s">
        <v>167</v>
      </c>
      <c r="D5826" s="71">
        <v>20</v>
      </c>
      <c r="E5826" s="102">
        <v>138000</v>
      </c>
      <c r="F5826" s="102">
        <f t="shared" si="2878"/>
        <v>3036000.0000000005</v>
      </c>
      <c r="G5826" s="102">
        <f t="shared" si="2879"/>
        <v>2760000</v>
      </c>
      <c r="H5826" s="690" t="s">
        <v>172</v>
      </c>
      <c r="I5826" s="71" t="s">
        <v>33</v>
      </c>
      <c r="J5826" s="53">
        <f t="shared" si="2880"/>
        <v>736000</v>
      </c>
      <c r="K5826" s="63">
        <f t="shared" si="2881"/>
        <v>0.26666666666666661</v>
      </c>
      <c r="L5826" s="1212" t="s">
        <v>3716</v>
      </c>
      <c r="M5826" s="468"/>
      <c r="N5826" s="1192">
        <f t="shared" si="2882"/>
        <v>45024</v>
      </c>
      <c r="O5826" s="71" t="s">
        <v>146</v>
      </c>
      <c r="P5826" s="103" t="str">
        <f t="shared" si="2883"/>
        <v>Blanket(1060*860)</v>
      </c>
      <c r="Q5826" s="71">
        <f t="shared" si="2884"/>
        <v>20</v>
      </c>
      <c r="R5826" s="102">
        <v>101200</v>
      </c>
      <c r="S5826" s="102">
        <f t="shared" si="2885"/>
        <v>2226400</v>
      </c>
      <c r="T5826" s="102">
        <f t="shared" si="2886"/>
        <v>2024000</v>
      </c>
      <c r="U5826" s="71" t="str">
        <f t="shared" si="2887"/>
        <v>X</v>
      </c>
      <c r="V5826" s="71"/>
      <c r="W5826" s="474"/>
      <c r="X5826" s="71"/>
      <c r="Y5826" s="71"/>
    </row>
    <row r="5827" spans="1:25" ht="30" hidden="1" customHeight="1" x14ac:dyDescent="0.25">
      <c r="A5827" s="1145">
        <v>45040</v>
      </c>
      <c r="B5827" s="664" t="s">
        <v>2798</v>
      </c>
      <c r="C5827" s="71" t="s">
        <v>3474</v>
      </c>
      <c r="D5827" s="71">
        <v>5</v>
      </c>
      <c r="E5827" s="102">
        <v>900000</v>
      </c>
      <c r="F5827" s="102">
        <f t="shared" ref="F5827:F5840" si="2888">(E5827*D5827)*1.1</f>
        <v>4950000</v>
      </c>
      <c r="G5827" s="102">
        <f t="shared" ref="G5827:G5840" si="2889">(E5827*D5827)</f>
        <v>4500000</v>
      </c>
      <c r="H5827" s="690" t="s">
        <v>172</v>
      </c>
      <c r="I5827" s="71" t="s">
        <v>33</v>
      </c>
      <c r="J5827" s="53">
        <f>G5827-T5827</f>
        <v>2314500</v>
      </c>
      <c r="K5827" s="63">
        <f>(J5827/(F5827/11*10))</f>
        <v>0.51433333333333331</v>
      </c>
      <c r="L5827" s="1212" t="s">
        <v>3716</v>
      </c>
      <c r="M5827" s="468"/>
      <c r="N5827" s="1192">
        <f t="shared" ref="N5827:N5840" si="2890">A5827</f>
        <v>45040</v>
      </c>
      <c r="O5827" s="71" t="s">
        <v>3490</v>
      </c>
      <c r="P5827" s="103" t="str">
        <f t="shared" ref="P5827:P5840" si="2891">(C5827)</f>
        <v>UV Lamp - KBA 전선타입</v>
      </c>
      <c r="Q5827" s="71">
        <f t="shared" ref="Q5827:Q5840" si="2892">D5827</f>
        <v>5</v>
      </c>
      <c r="R5827" s="102">
        <v>437100</v>
      </c>
      <c r="S5827" s="102">
        <f>R5827*Q5827*1.1</f>
        <v>2404050</v>
      </c>
      <c r="T5827" s="102">
        <f>R5827*Q5827</f>
        <v>2185500</v>
      </c>
      <c r="U5827" s="71" t="str">
        <f t="shared" si="2887"/>
        <v>X</v>
      </c>
      <c r="V5827" s="71"/>
      <c r="W5827" s="474"/>
      <c r="X5827" s="71"/>
      <c r="Y5827" s="71"/>
    </row>
    <row r="5828" spans="1:25" ht="30" hidden="1" customHeight="1" x14ac:dyDescent="0.25">
      <c r="A5828" s="1145">
        <v>45040</v>
      </c>
      <c r="B5828" s="664" t="s">
        <v>2798</v>
      </c>
      <c r="C5828" s="71" t="s">
        <v>3475</v>
      </c>
      <c r="D5828" s="71">
        <v>2</v>
      </c>
      <c r="E5828" s="102">
        <v>700000</v>
      </c>
      <c r="F5828" s="102">
        <f t="shared" si="2888"/>
        <v>1540000.0000000002</v>
      </c>
      <c r="G5828" s="102">
        <f t="shared" si="2889"/>
        <v>1400000</v>
      </c>
      <c r="H5828" s="690" t="s">
        <v>172</v>
      </c>
      <c r="I5828" s="71" t="s">
        <v>38</v>
      </c>
      <c r="J5828" s="53">
        <f>G5828-T5828</f>
        <v>671022</v>
      </c>
      <c r="K5828" s="63">
        <f>(J5828/(F5828/11*10))</f>
        <v>0.47930142857142849</v>
      </c>
      <c r="L5828" s="1212" t="s">
        <v>3716</v>
      </c>
      <c r="M5828" s="468"/>
      <c r="N5828" s="1192">
        <f t="shared" si="2890"/>
        <v>45040</v>
      </c>
      <c r="O5828" s="71" t="s">
        <v>3490</v>
      </c>
      <c r="P5828" s="103" t="str">
        <f t="shared" si="2891"/>
        <v>UV Lamp - KBA 똑딱이타입</v>
      </c>
      <c r="Q5828" s="71">
        <f t="shared" si="2892"/>
        <v>2</v>
      </c>
      <c r="R5828" s="102">
        <v>364489</v>
      </c>
      <c r="S5828" s="102">
        <f>R5828*Q5828*1.1</f>
        <v>801875.8</v>
      </c>
      <c r="T5828" s="102">
        <f>R5828*Q5828</f>
        <v>728978</v>
      </c>
      <c r="U5828" s="71" t="str">
        <f t="shared" si="2887"/>
        <v>O</v>
      </c>
      <c r="V5828" s="71" t="s">
        <v>3292</v>
      </c>
      <c r="W5828" s="474">
        <f>(G5828-T5828)</f>
        <v>671022</v>
      </c>
      <c r="X5828" s="71"/>
      <c r="Y5828" s="71"/>
    </row>
    <row r="5829" spans="1:25" ht="30" hidden="1" customHeight="1" x14ac:dyDescent="0.25">
      <c r="A5829" s="1145">
        <v>45044</v>
      </c>
      <c r="B5829" s="664" t="s">
        <v>2798</v>
      </c>
      <c r="C5829" s="71" t="s">
        <v>3290</v>
      </c>
      <c r="D5829" s="71">
        <v>1</v>
      </c>
      <c r="E5829" s="102">
        <v>780000</v>
      </c>
      <c r="F5829" s="102">
        <f t="shared" si="2888"/>
        <v>858000.00000000012</v>
      </c>
      <c r="G5829" s="102">
        <f t="shared" si="2889"/>
        <v>780000</v>
      </c>
      <c r="H5829" s="690" t="s">
        <v>172</v>
      </c>
      <c r="I5829" s="71" t="s">
        <v>38</v>
      </c>
      <c r="J5829" s="53">
        <f>G5829-T5829</f>
        <v>318000</v>
      </c>
      <c r="K5829" s="63">
        <f>(J5829/(F5829/11*10))</f>
        <v>0.40769230769230763</v>
      </c>
      <c r="L5829" s="1212" t="s">
        <v>3716</v>
      </c>
      <c r="M5829" s="468"/>
      <c r="N5829" s="1192">
        <f t="shared" si="2890"/>
        <v>45044</v>
      </c>
      <c r="O5829" s="71" t="s">
        <v>3291</v>
      </c>
      <c r="P5829" s="103" t="str">
        <f t="shared" si="2891"/>
        <v>점보롤 세정포</v>
      </c>
      <c r="Q5829" s="71">
        <f t="shared" si="2892"/>
        <v>1</v>
      </c>
      <c r="R5829" s="102">
        <v>462000</v>
      </c>
      <c r="S5829" s="102">
        <f>R5829*Q5829*1.1</f>
        <v>508200.00000000006</v>
      </c>
      <c r="T5829" s="102">
        <f>R5829*Q5829</f>
        <v>462000</v>
      </c>
      <c r="U5829" s="71" t="str">
        <f t="shared" si="2887"/>
        <v>O</v>
      </c>
      <c r="V5829" s="71" t="s">
        <v>3292</v>
      </c>
      <c r="W5829" s="474">
        <f>(G5829-T5829)</f>
        <v>318000</v>
      </c>
      <c r="X5829" s="71"/>
      <c r="Y5829" s="71"/>
    </row>
    <row r="5830" spans="1:25" s="209" customFormat="1" ht="30" hidden="1" customHeight="1" x14ac:dyDescent="0.2">
      <c r="A5830" s="1145">
        <v>45041</v>
      </c>
      <c r="B5830" s="664" t="s">
        <v>2155</v>
      </c>
      <c r="C5830" s="71" t="s">
        <v>236</v>
      </c>
      <c r="D5830" s="71">
        <v>2</v>
      </c>
      <c r="E5830" s="102">
        <v>105000</v>
      </c>
      <c r="F5830" s="163">
        <f t="shared" si="2888"/>
        <v>231000.00000000003</v>
      </c>
      <c r="G5830" s="102">
        <f t="shared" si="2889"/>
        <v>210000</v>
      </c>
      <c r="H5830" s="690" t="s">
        <v>173</v>
      </c>
      <c r="I5830" s="71" t="s">
        <v>2231</v>
      </c>
      <c r="J5830" s="53">
        <f>G5830-T5830</f>
        <v>110000</v>
      </c>
      <c r="K5830" s="63">
        <f>(J5830/(F5830/11*10))</f>
        <v>0.52380952380952372</v>
      </c>
      <c r="L5830" s="1212" t="s">
        <v>3716</v>
      </c>
      <c r="M5830" s="468"/>
      <c r="N5830" s="1192">
        <f t="shared" si="2890"/>
        <v>45041</v>
      </c>
      <c r="O5830" s="71" t="s">
        <v>153</v>
      </c>
      <c r="P5830" s="164" t="str">
        <f t="shared" si="2891"/>
        <v>아스테이지(국전)</v>
      </c>
      <c r="Q5830" s="71">
        <f t="shared" si="2892"/>
        <v>2</v>
      </c>
      <c r="R5830" s="102">
        <v>50000</v>
      </c>
      <c r="S5830" s="102">
        <f>R5830*Q5830*1.1</f>
        <v>110000.00000000001</v>
      </c>
      <c r="T5830" s="102">
        <f>R5830*Q5830</f>
        <v>100000</v>
      </c>
      <c r="U5830" s="71" t="str">
        <f t="shared" si="2887"/>
        <v>X</v>
      </c>
      <c r="V5830" s="71"/>
      <c r="W5830" s="474">
        <v>500000</v>
      </c>
      <c r="X5830" s="71"/>
      <c r="Y5830" s="71"/>
    </row>
    <row r="5831" spans="1:25" ht="30" hidden="1" customHeight="1" x14ac:dyDescent="0.25">
      <c r="A5831" s="1145">
        <v>45044</v>
      </c>
      <c r="B5831" s="664" t="s">
        <v>2103</v>
      </c>
      <c r="C5831" s="71" t="s">
        <v>3667</v>
      </c>
      <c r="D5831" s="71">
        <v>1748</v>
      </c>
      <c r="E5831" s="102">
        <v>1400</v>
      </c>
      <c r="F5831" s="102">
        <f t="shared" si="2888"/>
        <v>2691920</v>
      </c>
      <c r="G5831" s="102">
        <f t="shared" si="2889"/>
        <v>2447200</v>
      </c>
      <c r="H5831" s="690" t="s">
        <v>2029</v>
      </c>
      <c r="I5831" s="71" t="s">
        <v>2230</v>
      </c>
      <c r="J5831" s="53">
        <f>G5831-T5831</f>
        <v>2447200</v>
      </c>
      <c r="K5831" s="63">
        <f>(J5831/(F5831/11*10))</f>
        <v>1</v>
      </c>
      <c r="L5831" s="1212" t="s">
        <v>3716</v>
      </c>
      <c r="M5831" s="468"/>
      <c r="N5831" s="1192">
        <f t="shared" si="2890"/>
        <v>45044</v>
      </c>
      <c r="O5831" s="71"/>
      <c r="P5831" s="103" t="str">
        <f t="shared" si="2891"/>
        <v>폐판</v>
      </c>
      <c r="Q5831" s="71">
        <f t="shared" si="2892"/>
        <v>1748</v>
      </c>
      <c r="R5831" s="147"/>
      <c r="S5831" s="102"/>
      <c r="T5831" s="102"/>
      <c r="U5831" s="71"/>
      <c r="V5831" s="71"/>
      <c r="W5831" s="474"/>
      <c r="X5831" s="71"/>
      <c r="Y5831" s="71"/>
    </row>
    <row r="5832" spans="1:25" s="209" customFormat="1" ht="30" hidden="1" customHeight="1" x14ac:dyDescent="0.25">
      <c r="A5832" s="1145">
        <v>45028</v>
      </c>
      <c r="B5832" s="664" t="s">
        <v>411</v>
      </c>
      <c r="C5832" s="71" t="s">
        <v>3413</v>
      </c>
      <c r="D5832" s="71">
        <v>10</v>
      </c>
      <c r="E5832" s="102">
        <v>100000</v>
      </c>
      <c r="F5832" s="102">
        <f t="shared" si="2888"/>
        <v>1100000</v>
      </c>
      <c r="G5832" s="102">
        <f t="shared" si="2889"/>
        <v>1000000</v>
      </c>
      <c r="H5832" s="690" t="s">
        <v>2029</v>
      </c>
      <c r="I5832" s="71" t="s">
        <v>3385</v>
      </c>
      <c r="J5832" s="53">
        <f t="shared" ref="J5832:J5840" si="2893">G5832-T5832</f>
        <v>500000</v>
      </c>
      <c r="K5832" s="63">
        <f t="shared" ref="K5832:K5840" si="2894">(J5832/(F5832/11*10))</f>
        <v>0.5</v>
      </c>
      <c r="L5832" s="1212" t="s">
        <v>3716</v>
      </c>
      <c r="M5832" s="468"/>
      <c r="N5832" s="1192">
        <f t="shared" si="2890"/>
        <v>45028</v>
      </c>
      <c r="O5832" s="71" t="s">
        <v>190</v>
      </c>
      <c r="P5832" s="103" t="str">
        <f t="shared" si="2891"/>
        <v>아스테이지(국전)</v>
      </c>
      <c r="Q5832" s="71">
        <f t="shared" si="2892"/>
        <v>10</v>
      </c>
      <c r="R5832" s="102">
        <v>50000</v>
      </c>
      <c r="S5832" s="102">
        <f>R5832*Q5832*1.1</f>
        <v>550000</v>
      </c>
      <c r="T5832" s="102">
        <f>R5832*Q5832</f>
        <v>500000</v>
      </c>
      <c r="U5832" s="71" t="str">
        <f>IF(J5832=W5832,"O", "X")</f>
        <v>O</v>
      </c>
      <c r="V5832" s="71"/>
      <c r="W5832" s="474">
        <v>500000</v>
      </c>
      <c r="X5832" s="71"/>
      <c r="Y5832" s="71"/>
    </row>
    <row r="5833" spans="1:25" ht="30" hidden="1" customHeight="1" x14ac:dyDescent="0.25">
      <c r="A5833" s="1145">
        <v>45020</v>
      </c>
      <c r="B5833" s="664" t="s">
        <v>18</v>
      </c>
      <c r="C5833" s="71" t="s">
        <v>3305</v>
      </c>
      <c r="D5833" s="71">
        <v>20</v>
      </c>
      <c r="E5833" s="102">
        <v>86000</v>
      </c>
      <c r="F5833" s="102">
        <f t="shared" si="2888"/>
        <v>1892000.0000000002</v>
      </c>
      <c r="G5833" s="102">
        <f t="shared" si="2889"/>
        <v>1720000</v>
      </c>
      <c r="H5833" s="690" t="s">
        <v>172</v>
      </c>
      <c r="I5833" s="71" t="s">
        <v>3295</v>
      </c>
      <c r="J5833" s="53">
        <f t="shared" si="2893"/>
        <v>320000</v>
      </c>
      <c r="K5833" s="63">
        <f t="shared" si="2894"/>
        <v>0.18604651162790695</v>
      </c>
      <c r="L5833" s="1212" t="s">
        <v>3716</v>
      </c>
      <c r="M5833" s="468" t="s">
        <v>3306</v>
      </c>
      <c r="N5833" s="1192">
        <f t="shared" si="2890"/>
        <v>45020</v>
      </c>
      <c r="O5833" s="71" t="s">
        <v>146</v>
      </c>
      <c r="P5833" s="103" t="str">
        <f t="shared" si="2891"/>
        <v>파우더</v>
      </c>
      <c r="Q5833" s="71">
        <f t="shared" si="2892"/>
        <v>20</v>
      </c>
      <c r="R5833" s="102">
        <v>70000</v>
      </c>
      <c r="S5833" s="102">
        <f>R5833*Q5833*1.1</f>
        <v>1540000.0000000002</v>
      </c>
      <c r="T5833" s="102">
        <f>R5833*Q5833</f>
        <v>1400000</v>
      </c>
      <c r="U5833" s="71" t="str">
        <f>IF(J5833=W5833,"O", "X")</f>
        <v>X</v>
      </c>
      <c r="V5833" s="71"/>
      <c r="W5833" s="474"/>
      <c r="X5833" s="71"/>
      <c r="Y5833" s="71"/>
    </row>
    <row r="5834" spans="1:25" ht="30" hidden="1" customHeight="1" x14ac:dyDescent="0.25">
      <c r="A5834" s="1145">
        <v>45020</v>
      </c>
      <c r="B5834" s="664" t="s">
        <v>3296</v>
      </c>
      <c r="C5834" s="71" t="s">
        <v>3297</v>
      </c>
      <c r="D5834" s="71">
        <v>20</v>
      </c>
      <c r="E5834" s="102">
        <v>162500</v>
      </c>
      <c r="F5834" s="102">
        <f t="shared" si="2888"/>
        <v>3575000.0000000005</v>
      </c>
      <c r="G5834" s="102">
        <f t="shared" si="2889"/>
        <v>3250000</v>
      </c>
      <c r="H5834" s="690" t="s">
        <v>172</v>
      </c>
      <c r="I5834" s="71" t="s">
        <v>3295</v>
      </c>
      <c r="J5834" s="53">
        <f t="shared" si="2893"/>
        <v>850000</v>
      </c>
      <c r="K5834" s="63">
        <f t="shared" si="2894"/>
        <v>0.2615384615384615</v>
      </c>
      <c r="L5834" s="1212" t="s">
        <v>3716</v>
      </c>
      <c r="M5834" s="468"/>
      <c r="N5834" s="1192">
        <f t="shared" si="2890"/>
        <v>45020</v>
      </c>
      <c r="O5834" s="71" t="s">
        <v>662</v>
      </c>
      <c r="P5834" s="103" t="str">
        <f t="shared" si="2891"/>
        <v>실리콘 에멀전</v>
      </c>
      <c r="Q5834" s="71">
        <f t="shared" si="2892"/>
        <v>20</v>
      </c>
      <c r="R5834" s="102">
        <v>120000</v>
      </c>
      <c r="S5834" s="102">
        <f t="shared" ref="S5834:S5840" si="2895">R5834*Q5834*1.1</f>
        <v>2640000</v>
      </c>
      <c r="T5834" s="102">
        <f t="shared" ref="T5834:T5840" si="2896">R5834*Q5834</f>
        <v>2400000</v>
      </c>
      <c r="U5834" s="71" t="str">
        <f>IF(J5834=W5834,"O", "X")</f>
        <v>X</v>
      </c>
      <c r="V5834" s="71"/>
      <c r="W5834" s="474"/>
      <c r="X5834" s="71"/>
      <c r="Y5834" s="71"/>
    </row>
    <row r="5835" spans="1:25" ht="30" hidden="1" customHeight="1" x14ac:dyDescent="0.25">
      <c r="A5835" s="1145">
        <v>45019</v>
      </c>
      <c r="B5835" s="664" t="s">
        <v>2261</v>
      </c>
      <c r="C5835" s="760" t="s">
        <v>181</v>
      </c>
      <c r="D5835" s="71">
        <v>5</v>
      </c>
      <c r="E5835" s="102">
        <v>193000</v>
      </c>
      <c r="F5835" s="102">
        <f t="shared" si="2888"/>
        <v>1061500</v>
      </c>
      <c r="G5835" s="102">
        <f t="shared" si="2889"/>
        <v>965000</v>
      </c>
      <c r="H5835" s="690" t="s">
        <v>2029</v>
      </c>
      <c r="I5835" s="71" t="s">
        <v>182</v>
      </c>
      <c r="J5835" s="53">
        <f t="shared" si="2893"/>
        <v>345000</v>
      </c>
      <c r="K5835" s="63">
        <f t="shared" si="2894"/>
        <v>0.35751295336787564</v>
      </c>
      <c r="L5835" s="1212" t="s">
        <v>3716</v>
      </c>
      <c r="M5835" s="468"/>
      <c r="N5835" s="1192">
        <f t="shared" si="2890"/>
        <v>45019</v>
      </c>
      <c r="O5835" s="71" t="s">
        <v>2030</v>
      </c>
      <c r="P5835" s="103" t="str">
        <f t="shared" si="2891"/>
        <v>Fount Web 551AF</v>
      </c>
      <c r="Q5835" s="71">
        <f t="shared" si="2892"/>
        <v>5</v>
      </c>
      <c r="R5835" s="102">
        <v>124000</v>
      </c>
      <c r="S5835" s="102">
        <f t="shared" si="2895"/>
        <v>682000</v>
      </c>
      <c r="T5835" s="102">
        <f t="shared" si="2896"/>
        <v>620000</v>
      </c>
      <c r="U5835" s="71" t="str">
        <f>IF(J5835=W5835,"O", "X")</f>
        <v>X</v>
      </c>
      <c r="V5835" s="71"/>
      <c r="W5835" s="474">
        <v>640000</v>
      </c>
      <c r="X5835" s="71"/>
      <c r="Y5835" s="71"/>
    </row>
    <row r="5836" spans="1:25" ht="30" hidden="1" customHeight="1" x14ac:dyDescent="0.25">
      <c r="A5836" s="1145">
        <v>45019</v>
      </c>
      <c r="B5836" s="664" t="s">
        <v>2261</v>
      </c>
      <c r="C5836" s="71" t="s">
        <v>277</v>
      </c>
      <c r="D5836" s="71">
        <v>10</v>
      </c>
      <c r="E5836" s="102">
        <v>172000</v>
      </c>
      <c r="F5836" s="102">
        <f t="shared" si="2888"/>
        <v>1892000.0000000002</v>
      </c>
      <c r="G5836" s="102">
        <f t="shared" si="2889"/>
        <v>1720000</v>
      </c>
      <c r="H5836" s="690" t="s">
        <v>172</v>
      </c>
      <c r="I5836" s="71" t="s">
        <v>180</v>
      </c>
      <c r="J5836" s="53">
        <f t="shared" si="2893"/>
        <v>390000</v>
      </c>
      <c r="K5836" s="63">
        <f t="shared" si="2894"/>
        <v>0.22674418604651159</v>
      </c>
      <c r="L5836" s="1212" t="s">
        <v>3716</v>
      </c>
      <c r="M5836" s="468"/>
      <c r="N5836" s="1192">
        <f t="shared" si="2890"/>
        <v>45019</v>
      </c>
      <c r="O5836" s="71" t="s">
        <v>662</v>
      </c>
      <c r="P5836" s="103" t="str">
        <f t="shared" si="2891"/>
        <v>윤전용 세척제(Web 504)</v>
      </c>
      <c r="Q5836" s="71">
        <f t="shared" si="2892"/>
        <v>10</v>
      </c>
      <c r="R5836" s="102">
        <v>133000</v>
      </c>
      <c r="S5836" s="102">
        <f t="shared" si="2895"/>
        <v>1463000.0000000002</v>
      </c>
      <c r="T5836" s="102">
        <f t="shared" si="2896"/>
        <v>1330000</v>
      </c>
      <c r="U5836" s="71" t="str">
        <f>IF(J5836=W5836,"O", "X")</f>
        <v>X</v>
      </c>
      <c r="V5836" s="71"/>
      <c r="W5836" s="474"/>
      <c r="X5836" s="71"/>
      <c r="Y5836" s="71"/>
    </row>
    <row r="5837" spans="1:25" ht="30" hidden="1" customHeight="1" x14ac:dyDescent="0.25">
      <c r="A5837" s="1145">
        <v>45019</v>
      </c>
      <c r="B5837" s="664" t="s">
        <v>2261</v>
      </c>
      <c r="C5837" s="71" t="s">
        <v>3299</v>
      </c>
      <c r="D5837" s="71">
        <v>10</v>
      </c>
      <c r="E5837" s="102">
        <v>52000</v>
      </c>
      <c r="F5837" s="102">
        <f t="shared" si="2888"/>
        <v>572000</v>
      </c>
      <c r="G5837" s="102">
        <f t="shared" si="2889"/>
        <v>520000</v>
      </c>
      <c r="H5837" s="690" t="s">
        <v>172</v>
      </c>
      <c r="I5837" s="71" t="s">
        <v>108</v>
      </c>
      <c r="J5837" s="53">
        <f t="shared" si="2893"/>
        <v>45000</v>
      </c>
      <c r="K5837" s="63">
        <f t="shared" si="2894"/>
        <v>8.6538461538461536E-2</v>
      </c>
      <c r="L5837" s="1212" t="s">
        <v>3716</v>
      </c>
      <c r="M5837" s="468" t="s">
        <v>3684</v>
      </c>
      <c r="N5837" s="1192">
        <f t="shared" si="2890"/>
        <v>45019</v>
      </c>
      <c r="O5837" s="71" t="s">
        <v>175</v>
      </c>
      <c r="P5837" s="103" t="str">
        <f t="shared" si="2891"/>
        <v>매엽용 세척제(Wash k11)</v>
      </c>
      <c r="Q5837" s="71">
        <f t="shared" si="2892"/>
        <v>10</v>
      </c>
      <c r="R5837" s="102">
        <v>47500</v>
      </c>
      <c r="S5837" s="102">
        <f t="shared" si="2895"/>
        <v>522500.00000000006</v>
      </c>
      <c r="T5837" s="102">
        <f t="shared" si="2896"/>
        <v>475000</v>
      </c>
      <c r="U5837" s="71" t="s">
        <v>859</v>
      </c>
      <c r="V5837" s="71"/>
      <c r="W5837" s="474"/>
      <c r="X5837" s="71"/>
      <c r="Y5837" s="71"/>
    </row>
    <row r="5838" spans="1:25" ht="30" hidden="1" customHeight="1" x14ac:dyDescent="0.25">
      <c r="A5838" s="1145">
        <v>45019</v>
      </c>
      <c r="B5838" s="664" t="s">
        <v>3289</v>
      </c>
      <c r="C5838" s="71" t="s">
        <v>2070</v>
      </c>
      <c r="D5838" s="71">
        <v>10</v>
      </c>
      <c r="E5838" s="102">
        <v>110000</v>
      </c>
      <c r="F5838" s="102">
        <f t="shared" si="2888"/>
        <v>1210000</v>
      </c>
      <c r="G5838" s="102">
        <f t="shared" si="2889"/>
        <v>1100000</v>
      </c>
      <c r="H5838" s="690" t="s">
        <v>172</v>
      </c>
      <c r="I5838" s="71" t="s">
        <v>33</v>
      </c>
      <c r="J5838" s="53">
        <f t="shared" si="2893"/>
        <v>118000</v>
      </c>
      <c r="K5838" s="63">
        <f t="shared" si="2894"/>
        <v>0.10727272727272727</v>
      </c>
      <c r="L5838" s="1212" t="s">
        <v>3716</v>
      </c>
      <c r="M5838" s="468"/>
      <c r="N5838" s="1192">
        <f t="shared" si="2890"/>
        <v>45019</v>
      </c>
      <c r="O5838" s="71" t="s">
        <v>146</v>
      </c>
      <c r="P5838" s="103" t="str">
        <f t="shared" si="2891"/>
        <v>Blanket(1050*840)</v>
      </c>
      <c r="Q5838" s="71">
        <f t="shared" si="2892"/>
        <v>10</v>
      </c>
      <c r="R5838" s="102">
        <v>98200</v>
      </c>
      <c r="S5838" s="102">
        <f t="shared" si="2895"/>
        <v>1080200</v>
      </c>
      <c r="T5838" s="102">
        <f t="shared" si="2896"/>
        <v>982000</v>
      </c>
      <c r="U5838" s="71" t="str">
        <f>IF(J5838=W5838,"O", "X")</f>
        <v>X</v>
      </c>
      <c r="V5838" s="71"/>
      <c r="W5838" s="474">
        <v>275000</v>
      </c>
      <c r="X5838" s="71"/>
      <c r="Y5838" s="71"/>
    </row>
    <row r="5839" spans="1:25" s="209" customFormat="1" ht="31.5" hidden="1" customHeight="1" x14ac:dyDescent="0.2">
      <c r="A5839" s="1145">
        <v>45020</v>
      </c>
      <c r="B5839" s="664" t="s">
        <v>3289</v>
      </c>
      <c r="C5839" s="71" t="s">
        <v>3387</v>
      </c>
      <c r="D5839" s="71">
        <v>10</v>
      </c>
      <c r="E5839" s="102">
        <v>130000</v>
      </c>
      <c r="F5839" s="102">
        <f t="shared" si="2888"/>
        <v>1430000</v>
      </c>
      <c r="G5839" s="102">
        <f t="shared" si="2889"/>
        <v>1300000</v>
      </c>
      <c r="H5839" s="165" t="s">
        <v>172</v>
      </c>
      <c r="I5839" s="71" t="s">
        <v>184</v>
      </c>
      <c r="J5839" s="53">
        <f t="shared" si="2893"/>
        <v>180000</v>
      </c>
      <c r="K5839" s="63">
        <f t="shared" si="2894"/>
        <v>0.13846153846153847</v>
      </c>
      <c r="L5839" s="1212" t="s">
        <v>3716</v>
      </c>
      <c r="M5839" s="468" t="s">
        <v>3684</v>
      </c>
      <c r="N5839" s="1192">
        <f t="shared" si="2890"/>
        <v>45020</v>
      </c>
      <c r="O5839" s="71" t="s">
        <v>189</v>
      </c>
      <c r="P5839" s="103" t="str">
        <f t="shared" si="2891"/>
        <v>Blanket(990*725)</v>
      </c>
      <c r="Q5839" s="71">
        <f t="shared" si="2892"/>
        <v>10</v>
      </c>
      <c r="R5839" s="102">
        <v>112000</v>
      </c>
      <c r="S5839" s="102">
        <f t="shared" si="2895"/>
        <v>1232000</v>
      </c>
      <c r="T5839" s="102">
        <f t="shared" si="2896"/>
        <v>1120000</v>
      </c>
      <c r="U5839" s="71" t="str">
        <f>IF(J5839=W5839,"O", "X")</f>
        <v>X</v>
      </c>
      <c r="V5839" s="71"/>
      <c r="W5839" s="474">
        <v>80000</v>
      </c>
      <c r="X5839" s="71"/>
      <c r="Y5839" s="71"/>
    </row>
    <row r="5840" spans="1:25" ht="30" hidden="1" customHeight="1" x14ac:dyDescent="0.25">
      <c r="A5840" s="1145">
        <v>45033</v>
      </c>
      <c r="B5840" s="664" t="s">
        <v>2261</v>
      </c>
      <c r="C5840" s="71" t="s">
        <v>3299</v>
      </c>
      <c r="D5840" s="71">
        <v>10</v>
      </c>
      <c r="E5840" s="102">
        <v>52000</v>
      </c>
      <c r="F5840" s="102">
        <f t="shared" si="2888"/>
        <v>572000</v>
      </c>
      <c r="G5840" s="102">
        <f t="shared" si="2889"/>
        <v>520000</v>
      </c>
      <c r="H5840" s="690" t="s">
        <v>172</v>
      </c>
      <c r="I5840" s="71" t="s">
        <v>180</v>
      </c>
      <c r="J5840" s="53">
        <f t="shared" si="2893"/>
        <v>45000</v>
      </c>
      <c r="K5840" s="63">
        <f t="shared" si="2894"/>
        <v>8.6538461538461536E-2</v>
      </c>
      <c r="L5840" s="1212" t="s">
        <v>3716</v>
      </c>
      <c r="M5840" s="468" t="s">
        <v>3684</v>
      </c>
      <c r="N5840" s="1192">
        <f t="shared" si="2890"/>
        <v>45033</v>
      </c>
      <c r="O5840" s="71" t="s">
        <v>175</v>
      </c>
      <c r="P5840" s="103" t="str">
        <f t="shared" si="2891"/>
        <v>매엽용 세척제(Wash k11)</v>
      </c>
      <c r="Q5840" s="71">
        <f t="shared" si="2892"/>
        <v>10</v>
      </c>
      <c r="R5840" s="102">
        <v>47500</v>
      </c>
      <c r="S5840" s="102">
        <f t="shared" si="2895"/>
        <v>522500.00000000006</v>
      </c>
      <c r="T5840" s="102">
        <f t="shared" si="2896"/>
        <v>475000</v>
      </c>
      <c r="U5840" s="71" t="s">
        <v>859</v>
      </c>
      <c r="V5840" s="71"/>
      <c r="W5840" s="474"/>
      <c r="X5840" s="71"/>
      <c r="Y5840" s="71"/>
    </row>
    <row r="5841" spans="1:25" ht="30" hidden="1" customHeight="1" x14ac:dyDescent="0.25">
      <c r="A5841" s="1145">
        <v>45033</v>
      </c>
      <c r="B5841" s="664" t="s">
        <v>3289</v>
      </c>
      <c r="C5841" s="71" t="s">
        <v>2070</v>
      </c>
      <c r="D5841" s="71">
        <v>10</v>
      </c>
      <c r="E5841" s="102">
        <v>110000</v>
      </c>
      <c r="F5841" s="102">
        <f t="shared" ref="F5841:F5856" si="2897">(E5841*D5841)*1.1</f>
        <v>1210000</v>
      </c>
      <c r="G5841" s="102">
        <f t="shared" ref="G5841:G5856" si="2898">(E5841*D5841)</f>
        <v>1100000</v>
      </c>
      <c r="H5841" s="690" t="s">
        <v>172</v>
      </c>
      <c r="I5841" s="71" t="s">
        <v>33</v>
      </c>
      <c r="J5841" s="53">
        <f t="shared" ref="J5841:J5847" si="2899">G5841-T5841</f>
        <v>118000</v>
      </c>
      <c r="K5841" s="63">
        <f t="shared" ref="K5841:K5847" si="2900">(J5841/(F5841/11*10))</f>
        <v>0.10727272727272727</v>
      </c>
      <c r="L5841" s="1212" t="s">
        <v>3716</v>
      </c>
      <c r="M5841" s="468"/>
      <c r="N5841" s="1192">
        <f t="shared" ref="N5841:N5856" si="2901">A5841</f>
        <v>45033</v>
      </c>
      <c r="O5841" s="71" t="s">
        <v>146</v>
      </c>
      <c r="P5841" s="103" t="str">
        <f t="shared" ref="P5841:P5885" si="2902">(C5841)</f>
        <v>Blanket(1050*840)</v>
      </c>
      <c r="Q5841" s="71">
        <f t="shared" ref="Q5841:Q5856" si="2903">D5841</f>
        <v>10</v>
      </c>
      <c r="R5841" s="102">
        <v>98200</v>
      </c>
      <c r="S5841" s="102">
        <f t="shared" ref="S5841:S5847" si="2904">R5841*Q5841*1.1</f>
        <v>1080200</v>
      </c>
      <c r="T5841" s="102">
        <f t="shared" ref="T5841:T5847" si="2905">R5841*Q5841</f>
        <v>982000</v>
      </c>
      <c r="U5841" s="71" t="str">
        <f>IF(J5841=W5841,"O", "X")</f>
        <v>X</v>
      </c>
      <c r="V5841" s="71"/>
      <c r="W5841" s="474">
        <v>275000</v>
      </c>
      <c r="X5841" s="71"/>
      <c r="Y5841" s="71"/>
    </row>
    <row r="5842" spans="1:25" ht="30" hidden="1" customHeight="1" x14ac:dyDescent="0.25">
      <c r="A5842" s="1145">
        <v>45042</v>
      </c>
      <c r="B5842" s="664" t="s">
        <v>2261</v>
      </c>
      <c r="C5842" s="760" t="s">
        <v>181</v>
      </c>
      <c r="D5842" s="71">
        <v>5</v>
      </c>
      <c r="E5842" s="102">
        <v>193000</v>
      </c>
      <c r="F5842" s="102">
        <f t="shared" si="2897"/>
        <v>1061500</v>
      </c>
      <c r="G5842" s="102">
        <f t="shared" si="2898"/>
        <v>965000</v>
      </c>
      <c r="H5842" s="690" t="s">
        <v>2029</v>
      </c>
      <c r="I5842" s="71" t="s">
        <v>182</v>
      </c>
      <c r="J5842" s="53">
        <f t="shared" si="2899"/>
        <v>345000</v>
      </c>
      <c r="K5842" s="63">
        <f t="shared" si="2900"/>
        <v>0.35751295336787564</v>
      </c>
      <c r="L5842" s="1212" t="s">
        <v>3716</v>
      </c>
      <c r="M5842" s="468"/>
      <c r="N5842" s="1192">
        <f t="shared" si="2901"/>
        <v>45042</v>
      </c>
      <c r="O5842" s="71" t="s">
        <v>2030</v>
      </c>
      <c r="P5842" s="103" t="str">
        <f t="shared" si="2902"/>
        <v>Fount Web 551AF</v>
      </c>
      <c r="Q5842" s="71">
        <f t="shared" si="2903"/>
        <v>5</v>
      </c>
      <c r="R5842" s="102">
        <v>124000</v>
      </c>
      <c r="S5842" s="102">
        <f t="shared" si="2904"/>
        <v>682000</v>
      </c>
      <c r="T5842" s="102">
        <f t="shared" si="2905"/>
        <v>620000</v>
      </c>
      <c r="U5842" s="71" t="str">
        <f t="shared" ref="U5842:U5847" si="2906">IF(J5842=W5842,"O", "X")</f>
        <v>X</v>
      </c>
      <c r="V5842" s="71"/>
      <c r="W5842" s="474">
        <v>640000</v>
      </c>
      <c r="X5842" s="71"/>
      <c r="Y5842" s="71"/>
    </row>
    <row r="5843" spans="1:25" ht="30" hidden="1" customHeight="1" x14ac:dyDescent="0.25">
      <c r="A5843" s="1145">
        <v>45042</v>
      </c>
      <c r="B5843" s="664" t="s">
        <v>2261</v>
      </c>
      <c r="C5843" s="71" t="s">
        <v>277</v>
      </c>
      <c r="D5843" s="71">
        <v>5</v>
      </c>
      <c r="E5843" s="102">
        <v>172000</v>
      </c>
      <c r="F5843" s="102">
        <f t="shared" si="2897"/>
        <v>946000.00000000012</v>
      </c>
      <c r="G5843" s="102">
        <f t="shared" si="2898"/>
        <v>860000</v>
      </c>
      <c r="H5843" s="690" t="s">
        <v>172</v>
      </c>
      <c r="I5843" s="71" t="s">
        <v>180</v>
      </c>
      <c r="J5843" s="53">
        <f t="shared" si="2899"/>
        <v>195000</v>
      </c>
      <c r="K5843" s="63">
        <f t="shared" si="2900"/>
        <v>0.22674418604651159</v>
      </c>
      <c r="L5843" s="1212" t="s">
        <v>3716</v>
      </c>
      <c r="M5843" s="468"/>
      <c r="N5843" s="1192">
        <f t="shared" si="2901"/>
        <v>45042</v>
      </c>
      <c r="O5843" s="71" t="s">
        <v>662</v>
      </c>
      <c r="P5843" s="103" t="str">
        <f t="shared" si="2902"/>
        <v>윤전용 세척제(Web 504)</v>
      </c>
      <c r="Q5843" s="71">
        <f t="shared" si="2903"/>
        <v>5</v>
      </c>
      <c r="R5843" s="102">
        <v>133000</v>
      </c>
      <c r="S5843" s="102">
        <f t="shared" si="2904"/>
        <v>731500.00000000012</v>
      </c>
      <c r="T5843" s="102">
        <f t="shared" si="2905"/>
        <v>665000</v>
      </c>
      <c r="U5843" s="71" t="str">
        <f t="shared" si="2906"/>
        <v>X</v>
      </c>
      <c r="V5843" s="71"/>
      <c r="W5843" s="474"/>
      <c r="X5843" s="71"/>
      <c r="Y5843" s="71"/>
    </row>
    <row r="5844" spans="1:25" ht="30" hidden="1" customHeight="1" x14ac:dyDescent="0.25">
      <c r="A5844" s="1145">
        <v>45037</v>
      </c>
      <c r="B5844" s="664" t="s">
        <v>546</v>
      </c>
      <c r="C5844" s="71" t="s">
        <v>3719</v>
      </c>
      <c r="D5844" s="71">
        <v>9</v>
      </c>
      <c r="E5844" s="102">
        <v>82000</v>
      </c>
      <c r="F5844" s="102">
        <f t="shared" si="2897"/>
        <v>811800.00000000012</v>
      </c>
      <c r="G5844" s="102">
        <f t="shared" si="2898"/>
        <v>738000</v>
      </c>
      <c r="H5844" s="690" t="s">
        <v>1786</v>
      </c>
      <c r="I5844" s="71" t="s">
        <v>1786</v>
      </c>
      <c r="J5844" s="53">
        <f t="shared" si="2899"/>
        <v>543663</v>
      </c>
      <c r="K5844" s="63">
        <f t="shared" si="2900"/>
        <v>0.73667073170731701</v>
      </c>
      <c r="L5844" s="1212" t="s">
        <v>3716</v>
      </c>
      <c r="M5844" s="468"/>
      <c r="N5844" s="1192">
        <f t="shared" si="2901"/>
        <v>45037</v>
      </c>
      <c r="O5844" s="71" t="s">
        <v>1786</v>
      </c>
      <c r="P5844" s="103" t="str">
        <f t="shared" si="2902"/>
        <v>Cut off bar 15*15*60</v>
      </c>
      <c r="Q5844" s="71">
        <f t="shared" si="2903"/>
        <v>9</v>
      </c>
      <c r="R5844" s="102">
        <v>21593</v>
      </c>
      <c r="S5844" s="102">
        <f t="shared" si="2904"/>
        <v>213770.7</v>
      </c>
      <c r="T5844" s="102">
        <f t="shared" si="2905"/>
        <v>194337</v>
      </c>
      <c r="U5844" s="71" t="str">
        <f t="shared" si="2906"/>
        <v>X</v>
      </c>
      <c r="V5844" s="71"/>
      <c r="W5844" s="474"/>
      <c r="X5844" s="71"/>
      <c r="Y5844" s="71"/>
    </row>
    <row r="5845" spans="1:25" s="209" customFormat="1" ht="30" hidden="1" customHeight="1" x14ac:dyDescent="0.25">
      <c r="A5845" s="1145">
        <v>45037</v>
      </c>
      <c r="B5845" s="664" t="s">
        <v>546</v>
      </c>
      <c r="C5845" s="71" t="s">
        <v>3720</v>
      </c>
      <c r="D5845" s="71">
        <v>30</v>
      </c>
      <c r="E5845" s="102">
        <v>18000</v>
      </c>
      <c r="F5845" s="102">
        <f t="shared" si="2897"/>
        <v>594000</v>
      </c>
      <c r="G5845" s="102">
        <f t="shared" si="2898"/>
        <v>540000</v>
      </c>
      <c r="H5845" s="690" t="s">
        <v>1786</v>
      </c>
      <c r="I5845" s="71" t="s">
        <v>1786</v>
      </c>
      <c r="J5845" s="53">
        <f t="shared" si="2899"/>
        <v>253410</v>
      </c>
      <c r="K5845" s="63">
        <f t="shared" si="2900"/>
        <v>0.46927777777777779</v>
      </c>
      <c r="L5845" s="1212" t="s">
        <v>3716</v>
      </c>
      <c r="M5845" s="468"/>
      <c r="N5845" s="1192">
        <f t="shared" si="2901"/>
        <v>45037</v>
      </c>
      <c r="O5845" s="71" t="s">
        <v>1786</v>
      </c>
      <c r="P5845" s="164" t="str">
        <f t="shared" si="2902"/>
        <v>Vulkollan bar 300*16*8.7</v>
      </c>
      <c r="Q5845" s="71">
        <f t="shared" si="2903"/>
        <v>30</v>
      </c>
      <c r="R5845" s="102">
        <v>9553</v>
      </c>
      <c r="S5845" s="102">
        <f t="shared" si="2904"/>
        <v>315249</v>
      </c>
      <c r="T5845" s="102">
        <f t="shared" si="2905"/>
        <v>286590</v>
      </c>
      <c r="U5845" s="71" t="str">
        <f t="shared" si="2906"/>
        <v>X</v>
      </c>
      <c r="V5845" s="71"/>
      <c r="W5845" s="474"/>
      <c r="X5845" s="71"/>
      <c r="Y5845" s="71"/>
    </row>
    <row r="5846" spans="1:25" ht="30" hidden="1" customHeight="1" x14ac:dyDescent="0.25">
      <c r="A5846" s="1145">
        <v>45037</v>
      </c>
      <c r="B5846" s="664" t="s">
        <v>546</v>
      </c>
      <c r="C5846" s="71" t="s">
        <v>3721</v>
      </c>
      <c r="D5846" s="71">
        <v>500</v>
      </c>
      <c r="E5846" s="102">
        <v>2800</v>
      </c>
      <c r="F5846" s="102">
        <f t="shared" si="2897"/>
        <v>1540000.0000000002</v>
      </c>
      <c r="G5846" s="102">
        <f t="shared" si="2898"/>
        <v>1400000</v>
      </c>
      <c r="H5846" s="690" t="s">
        <v>1786</v>
      </c>
      <c r="I5846" s="71" t="s">
        <v>1786</v>
      </c>
      <c r="J5846" s="53">
        <f t="shared" si="2899"/>
        <v>656000</v>
      </c>
      <c r="K5846" s="63">
        <f t="shared" si="2900"/>
        <v>0.46857142857142847</v>
      </c>
      <c r="L5846" s="1212" t="s">
        <v>3716</v>
      </c>
      <c r="M5846" s="468"/>
      <c r="N5846" s="1192">
        <f t="shared" si="2901"/>
        <v>45037</v>
      </c>
      <c r="O5846" s="71" t="s">
        <v>1786</v>
      </c>
      <c r="P5846" s="103" t="str">
        <f t="shared" si="2902"/>
        <v>Pin screw L=24/31V smooth</v>
      </c>
      <c r="Q5846" s="71">
        <f t="shared" si="2903"/>
        <v>500</v>
      </c>
      <c r="R5846" s="102">
        <v>1488</v>
      </c>
      <c r="S5846" s="102">
        <f t="shared" si="2904"/>
        <v>818400.00000000012</v>
      </c>
      <c r="T5846" s="102">
        <f t="shared" si="2905"/>
        <v>744000</v>
      </c>
      <c r="U5846" s="71" t="str">
        <f t="shared" si="2906"/>
        <v>X</v>
      </c>
      <c r="V5846" s="71"/>
      <c r="W5846" s="474"/>
      <c r="X5846" s="71"/>
      <c r="Y5846" s="71"/>
    </row>
    <row r="5847" spans="1:25" s="209" customFormat="1" ht="30" hidden="1" customHeight="1" x14ac:dyDescent="0.25">
      <c r="A5847" s="1145">
        <v>45037</v>
      </c>
      <c r="B5847" s="664" t="s">
        <v>546</v>
      </c>
      <c r="C5847" s="71" t="s">
        <v>114</v>
      </c>
      <c r="D5847" s="71">
        <v>50</v>
      </c>
      <c r="E5847" s="102">
        <v>18000</v>
      </c>
      <c r="F5847" s="102">
        <f t="shared" si="2897"/>
        <v>990000.00000000012</v>
      </c>
      <c r="G5847" s="102">
        <f t="shared" si="2898"/>
        <v>900000</v>
      </c>
      <c r="H5847" s="690" t="s">
        <v>1786</v>
      </c>
      <c r="I5847" s="71" t="s">
        <v>1786</v>
      </c>
      <c r="J5847" s="53">
        <f t="shared" si="2899"/>
        <v>400000</v>
      </c>
      <c r="K5847" s="63">
        <f t="shared" si="2900"/>
        <v>0.44444444444444436</v>
      </c>
      <c r="L5847" s="1212" t="s">
        <v>3716</v>
      </c>
      <c r="M5847" s="468"/>
      <c r="N5847" s="1192">
        <f t="shared" si="2901"/>
        <v>45037</v>
      </c>
      <c r="O5847" s="71" t="s">
        <v>1786</v>
      </c>
      <c r="P5847" s="164" t="str">
        <f t="shared" si="2902"/>
        <v>스트리퍼</v>
      </c>
      <c r="Q5847" s="71">
        <f t="shared" si="2903"/>
        <v>50</v>
      </c>
      <c r="R5847" s="102">
        <v>10000</v>
      </c>
      <c r="S5847" s="102">
        <f t="shared" si="2904"/>
        <v>550000</v>
      </c>
      <c r="T5847" s="102">
        <f t="shared" si="2905"/>
        <v>500000</v>
      </c>
      <c r="U5847" s="71" t="str">
        <f t="shared" si="2906"/>
        <v>X</v>
      </c>
      <c r="V5847" s="71"/>
      <c r="W5847" s="474"/>
      <c r="X5847" s="71"/>
      <c r="Y5847" s="71"/>
    </row>
    <row r="5848" spans="1:25" ht="30" customHeight="1" x14ac:dyDescent="0.25">
      <c r="A5848" s="1145">
        <v>45041</v>
      </c>
      <c r="B5848" s="664" t="s">
        <v>565</v>
      </c>
      <c r="C5848" s="71" t="s">
        <v>3722</v>
      </c>
      <c r="D5848" s="71">
        <v>30</v>
      </c>
      <c r="E5848" s="102">
        <v>255300</v>
      </c>
      <c r="F5848" s="102">
        <f t="shared" si="2897"/>
        <v>8424900</v>
      </c>
      <c r="G5848" s="102">
        <f t="shared" si="2898"/>
        <v>7659000</v>
      </c>
      <c r="H5848" s="690" t="s">
        <v>142</v>
      </c>
      <c r="I5848" s="71" t="s">
        <v>142</v>
      </c>
      <c r="J5848" s="53">
        <f t="shared" ref="J5848:J5860" si="2907">G5848-T5848</f>
        <v>1923060</v>
      </c>
      <c r="K5848" s="63">
        <f t="shared" ref="K5848:K5860" si="2908">(J5848/(F5848/11*10))</f>
        <v>0.25108499804151979</v>
      </c>
      <c r="L5848" s="1212" t="s">
        <v>3716</v>
      </c>
      <c r="M5848" s="102"/>
      <c r="N5848" s="1192">
        <f t="shared" si="2901"/>
        <v>45041</v>
      </c>
      <c r="O5848" s="71" t="s">
        <v>1786</v>
      </c>
      <c r="P5848" s="103" t="str">
        <f t="shared" si="2902"/>
        <v>고무 롤러 유압 실린더</v>
      </c>
      <c r="Q5848" s="71">
        <f t="shared" si="2903"/>
        <v>30</v>
      </c>
      <c r="R5848" s="102">
        <v>191198</v>
      </c>
      <c r="S5848" s="102">
        <f t="shared" ref="S5848:S5860" si="2909">R5848*Q5848*1.1</f>
        <v>6309534.0000000009</v>
      </c>
      <c r="T5848" s="102">
        <f t="shared" ref="T5848:T5860" si="2910">R5848*Q5848</f>
        <v>5735940</v>
      </c>
      <c r="U5848" s="71"/>
      <c r="V5848" s="71"/>
      <c r="W5848" s="474"/>
      <c r="X5848" s="71"/>
      <c r="Y5848" s="71"/>
    </row>
    <row r="5849" spans="1:25" ht="30" customHeight="1" x14ac:dyDescent="0.25">
      <c r="A5849" s="1145">
        <v>45042</v>
      </c>
      <c r="B5849" s="664" t="s">
        <v>565</v>
      </c>
      <c r="C5849" s="71" t="s">
        <v>3723</v>
      </c>
      <c r="D5849" s="71">
        <v>1</v>
      </c>
      <c r="E5849" s="102">
        <v>110000</v>
      </c>
      <c r="F5849" s="102">
        <f t="shared" si="2897"/>
        <v>121000.00000000001</v>
      </c>
      <c r="G5849" s="102">
        <f t="shared" si="2898"/>
        <v>110000</v>
      </c>
      <c r="H5849" s="690" t="s">
        <v>142</v>
      </c>
      <c r="I5849" s="71" t="s">
        <v>142</v>
      </c>
      <c r="J5849" s="53">
        <f t="shared" si="2907"/>
        <v>22000</v>
      </c>
      <c r="K5849" s="63">
        <f t="shared" si="2908"/>
        <v>0.19999999999999998</v>
      </c>
      <c r="L5849" s="1212" t="s">
        <v>3716</v>
      </c>
      <c r="M5849" s="102"/>
      <c r="N5849" s="1192">
        <f t="shared" si="2901"/>
        <v>45042</v>
      </c>
      <c r="O5849" s="71" t="s">
        <v>194</v>
      </c>
      <c r="P5849" s="103" t="str">
        <f t="shared" si="2902"/>
        <v>현상기 물높이 센서</v>
      </c>
      <c r="Q5849" s="71">
        <f t="shared" si="2903"/>
        <v>1</v>
      </c>
      <c r="R5849" s="102">
        <v>88000</v>
      </c>
      <c r="S5849" s="102">
        <f t="shared" si="2909"/>
        <v>96800.000000000015</v>
      </c>
      <c r="T5849" s="102">
        <f t="shared" si="2910"/>
        <v>88000</v>
      </c>
      <c r="U5849" s="71"/>
      <c r="V5849" s="71"/>
      <c r="W5849" s="474"/>
      <c r="X5849" s="71"/>
      <c r="Y5849" s="71"/>
    </row>
    <row r="5850" spans="1:25" ht="30" customHeight="1" x14ac:dyDescent="0.25">
      <c r="A5850" s="1145">
        <v>45034</v>
      </c>
      <c r="B5850" s="664" t="s">
        <v>2352</v>
      </c>
      <c r="C5850" s="760" t="s">
        <v>218</v>
      </c>
      <c r="D5850" s="71">
        <v>4</v>
      </c>
      <c r="E5850" s="102">
        <v>286000</v>
      </c>
      <c r="F5850" s="102">
        <f t="shared" si="2897"/>
        <v>1258400</v>
      </c>
      <c r="G5850" s="102">
        <f t="shared" si="2898"/>
        <v>1144000</v>
      </c>
      <c r="H5850" s="690" t="s">
        <v>142</v>
      </c>
      <c r="I5850" s="71" t="s">
        <v>179</v>
      </c>
      <c r="J5850" s="53">
        <f t="shared" si="2907"/>
        <v>648000</v>
      </c>
      <c r="K5850" s="63">
        <f t="shared" si="2908"/>
        <v>0.56643356643356646</v>
      </c>
      <c r="L5850" s="1212" t="s">
        <v>3716</v>
      </c>
      <c r="M5850" s="468" t="s">
        <v>2053</v>
      </c>
      <c r="N5850" s="1192">
        <f t="shared" si="2901"/>
        <v>45034</v>
      </c>
      <c r="O5850" s="71" t="s">
        <v>150</v>
      </c>
      <c r="P5850" s="103" t="str">
        <f t="shared" si="2902"/>
        <v>Fount Web 551AF</v>
      </c>
      <c r="Q5850" s="71">
        <f t="shared" si="2903"/>
        <v>4</v>
      </c>
      <c r="R5850" s="102">
        <v>124000</v>
      </c>
      <c r="S5850" s="102">
        <f t="shared" si="2909"/>
        <v>545600</v>
      </c>
      <c r="T5850" s="102">
        <f t="shared" si="2910"/>
        <v>496000</v>
      </c>
      <c r="U5850" s="71" t="str">
        <f>IF(J5850=W5850,"O", "X")</f>
        <v>O</v>
      </c>
      <c r="V5850" s="71"/>
      <c r="W5850" s="474">
        <f>(G5850-T5850)</f>
        <v>648000</v>
      </c>
      <c r="X5850" s="71"/>
      <c r="Y5850" s="71"/>
    </row>
    <row r="5851" spans="1:25" ht="30" customHeight="1" x14ac:dyDescent="0.25">
      <c r="A5851" s="1145">
        <v>45042</v>
      </c>
      <c r="B5851" s="664" t="s">
        <v>2536</v>
      </c>
      <c r="C5851" s="71" t="s">
        <v>3724</v>
      </c>
      <c r="D5851" s="71">
        <v>20</v>
      </c>
      <c r="E5851" s="102">
        <v>22000</v>
      </c>
      <c r="F5851" s="102">
        <f t="shared" si="2897"/>
        <v>484000.00000000006</v>
      </c>
      <c r="G5851" s="102">
        <f t="shared" si="2898"/>
        <v>440000</v>
      </c>
      <c r="H5851" s="690" t="s">
        <v>142</v>
      </c>
      <c r="I5851" s="71" t="s">
        <v>142</v>
      </c>
      <c r="J5851" s="53">
        <f t="shared" si="2907"/>
        <v>12000</v>
      </c>
      <c r="K5851" s="63">
        <f t="shared" si="2908"/>
        <v>2.7272727272727268E-2</v>
      </c>
      <c r="L5851" s="1212" t="s">
        <v>3716</v>
      </c>
      <c r="M5851" s="468"/>
      <c r="N5851" s="1192">
        <f t="shared" si="2901"/>
        <v>45042</v>
      </c>
      <c r="O5851" s="71" t="s">
        <v>189</v>
      </c>
      <c r="P5851" s="103" t="str">
        <f t="shared" si="2902"/>
        <v>M600 브랑켓트 언더패킹지</v>
      </c>
      <c r="Q5851" s="71">
        <f t="shared" si="2903"/>
        <v>20</v>
      </c>
      <c r="R5851" s="147">
        <v>21400</v>
      </c>
      <c r="S5851" s="102">
        <f t="shared" si="2909"/>
        <v>470800.00000000006</v>
      </c>
      <c r="T5851" s="102">
        <f t="shared" si="2910"/>
        <v>428000</v>
      </c>
      <c r="U5851" s="71"/>
      <c r="V5851" s="71"/>
      <c r="W5851" s="474"/>
      <c r="X5851" s="71"/>
      <c r="Y5851" s="71"/>
    </row>
    <row r="5852" spans="1:25" ht="30" hidden="1" customHeight="1" x14ac:dyDescent="0.25">
      <c r="A5852" s="1145">
        <v>45035</v>
      </c>
      <c r="B5852" s="664" t="s">
        <v>2353</v>
      </c>
      <c r="C5852" s="71" t="s">
        <v>123</v>
      </c>
      <c r="D5852" s="71">
        <v>4</v>
      </c>
      <c r="E5852" s="102">
        <v>50000</v>
      </c>
      <c r="F5852" s="102">
        <f t="shared" si="2897"/>
        <v>220000.00000000003</v>
      </c>
      <c r="G5852" s="102">
        <f t="shared" si="2898"/>
        <v>200000</v>
      </c>
      <c r="H5852" s="690" t="s">
        <v>142</v>
      </c>
      <c r="I5852" s="71" t="s">
        <v>179</v>
      </c>
      <c r="J5852" s="53">
        <f t="shared" si="2907"/>
        <v>104000</v>
      </c>
      <c r="K5852" s="63">
        <f t="shared" si="2908"/>
        <v>0.51999999999999991</v>
      </c>
      <c r="L5852" s="1212" t="s">
        <v>3716</v>
      </c>
      <c r="M5852" s="102"/>
      <c r="N5852" s="1192">
        <f t="shared" si="2901"/>
        <v>45035</v>
      </c>
      <c r="O5852" s="71" t="s">
        <v>94</v>
      </c>
      <c r="P5852" s="103" t="str">
        <f t="shared" si="2902"/>
        <v>필터백</v>
      </c>
      <c r="Q5852" s="71">
        <f t="shared" si="2903"/>
        <v>4</v>
      </c>
      <c r="R5852" s="102">
        <v>24000</v>
      </c>
      <c r="S5852" s="102">
        <f t="shared" si="2909"/>
        <v>105600.00000000001</v>
      </c>
      <c r="T5852" s="102">
        <f t="shared" si="2910"/>
        <v>96000</v>
      </c>
      <c r="U5852" s="71"/>
      <c r="V5852" s="71"/>
      <c r="W5852" s="474"/>
      <c r="X5852" s="71"/>
      <c r="Y5852" s="71"/>
    </row>
    <row r="5853" spans="1:25" ht="30" hidden="1" customHeight="1" x14ac:dyDescent="0.25">
      <c r="A5853" s="1145">
        <v>45029</v>
      </c>
      <c r="B5853" s="664" t="s">
        <v>2579</v>
      </c>
      <c r="C5853" s="71" t="s">
        <v>3738</v>
      </c>
      <c r="D5853" s="71">
        <v>20</v>
      </c>
      <c r="E5853" s="102">
        <v>130000</v>
      </c>
      <c r="F5853" s="102">
        <f t="shared" si="2897"/>
        <v>2860000</v>
      </c>
      <c r="G5853" s="102">
        <f t="shared" si="2898"/>
        <v>2600000</v>
      </c>
      <c r="H5853" s="690" t="s">
        <v>142</v>
      </c>
      <c r="I5853" s="71" t="s">
        <v>142</v>
      </c>
      <c r="J5853" s="53">
        <f t="shared" si="2907"/>
        <v>486000</v>
      </c>
      <c r="K5853" s="63">
        <f t="shared" si="2908"/>
        <v>0.18692307692307691</v>
      </c>
      <c r="L5853" s="1212" t="s">
        <v>3716</v>
      </c>
      <c r="M5853" s="468"/>
      <c r="N5853" s="1192">
        <f t="shared" si="2901"/>
        <v>45029</v>
      </c>
      <c r="O5853" s="71" t="s">
        <v>147</v>
      </c>
      <c r="P5853" s="103" t="str">
        <f t="shared" si="2902"/>
        <v>블랑켓 - 고모리 용 (1040*920)</v>
      </c>
      <c r="Q5853" s="71">
        <f t="shared" si="2903"/>
        <v>20</v>
      </c>
      <c r="R5853" s="102">
        <v>105700</v>
      </c>
      <c r="S5853" s="102">
        <f t="shared" si="2909"/>
        <v>2325400</v>
      </c>
      <c r="T5853" s="102">
        <f t="shared" si="2910"/>
        <v>2114000</v>
      </c>
      <c r="U5853" s="71"/>
      <c r="V5853" s="71"/>
      <c r="W5853" s="474"/>
      <c r="X5853" s="71"/>
      <c r="Y5853" s="71"/>
    </row>
    <row r="5854" spans="1:25" ht="30" hidden="1" customHeight="1" x14ac:dyDescent="0.25">
      <c r="A5854" s="1145">
        <v>45029</v>
      </c>
      <c r="B5854" s="664" t="s">
        <v>2353</v>
      </c>
      <c r="C5854" s="71" t="s">
        <v>3725</v>
      </c>
      <c r="D5854" s="71">
        <v>40</v>
      </c>
      <c r="E5854" s="102">
        <v>45900</v>
      </c>
      <c r="F5854" s="102">
        <f t="shared" si="2897"/>
        <v>2019600.0000000002</v>
      </c>
      <c r="G5854" s="102">
        <f t="shared" si="2898"/>
        <v>1836000</v>
      </c>
      <c r="H5854" s="690" t="s">
        <v>142</v>
      </c>
      <c r="I5854" s="71" t="s">
        <v>142</v>
      </c>
      <c r="J5854" s="53">
        <f t="shared" si="2907"/>
        <v>756000</v>
      </c>
      <c r="K5854" s="63">
        <f t="shared" si="2908"/>
        <v>0.41176470588235287</v>
      </c>
      <c r="L5854" s="1212" t="s">
        <v>3716</v>
      </c>
      <c r="M5854" s="468"/>
      <c r="N5854" s="1192">
        <f t="shared" si="2901"/>
        <v>45029</v>
      </c>
      <c r="O5854" s="71" t="s">
        <v>149</v>
      </c>
      <c r="P5854" s="103" t="str">
        <f t="shared" si="2902"/>
        <v>고모리 수동 세척액</v>
      </c>
      <c r="Q5854" s="71">
        <f t="shared" si="2903"/>
        <v>40</v>
      </c>
      <c r="R5854" s="102">
        <v>27000</v>
      </c>
      <c r="S5854" s="102">
        <f t="shared" si="2909"/>
        <v>1188000</v>
      </c>
      <c r="T5854" s="102">
        <f t="shared" si="2910"/>
        <v>1080000</v>
      </c>
      <c r="U5854" s="71"/>
      <c r="V5854" s="71"/>
      <c r="W5854" s="474"/>
      <c r="X5854" s="71"/>
      <c r="Y5854" s="71"/>
    </row>
    <row r="5855" spans="1:25" s="209" customFormat="1" ht="30" hidden="1" customHeight="1" x14ac:dyDescent="0.25">
      <c r="A5855" s="1145">
        <v>45029</v>
      </c>
      <c r="B5855" s="664" t="s">
        <v>2353</v>
      </c>
      <c r="C5855" s="71" t="s">
        <v>3726</v>
      </c>
      <c r="D5855" s="71">
        <v>5</v>
      </c>
      <c r="E5855" s="102">
        <v>180000</v>
      </c>
      <c r="F5855" s="102">
        <f t="shared" si="2897"/>
        <v>990000.00000000012</v>
      </c>
      <c r="G5855" s="102">
        <f t="shared" si="2898"/>
        <v>900000</v>
      </c>
      <c r="H5855" s="690" t="s">
        <v>142</v>
      </c>
      <c r="I5855" s="71" t="s">
        <v>142</v>
      </c>
      <c r="J5855" s="53">
        <f t="shared" si="2907"/>
        <v>240000</v>
      </c>
      <c r="K5855" s="63">
        <f t="shared" si="2908"/>
        <v>0.26666666666666661</v>
      </c>
      <c r="L5855" s="1212" t="s">
        <v>3716</v>
      </c>
      <c r="M5855" s="468"/>
      <c r="N5855" s="1192">
        <f t="shared" si="2901"/>
        <v>45029</v>
      </c>
      <c r="O5855" s="71" t="s">
        <v>149</v>
      </c>
      <c r="P5855" s="164" t="str">
        <f t="shared" si="2902"/>
        <v>수이보 세척액(습수액 클리너)</v>
      </c>
      <c r="Q5855" s="71">
        <f t="shared" si="2903"/>
        <v>5</v>
      </c>
      <c r="R5855" s="102">
        <f>11000*12</f>
        <v>132000</v>
      </c>
      <c r="S5855" s="102">
        <f t="shared" si="2909"/>
        <v>726000.00000000012</v>
      </c>
      <c r="T5855" s="102">
        <f t="shared" si="2910"/>
        <v>660000</v>
      </c>
      <c r="U5855" s="71"/>
      <c r="V5855" s="71"/>
      <c r="W5855" s="474"/>
      <c r="X5855" s="71"/>
      <c r="Y5855" s="71"/>
    </row>
    <row r="5856" spans="1:25" ht="30" hidden="1" customHeight="1" x14ac:dyDescent="0.25">
      <c r="A5856" s="1145">
        <v>45029</v>
      </c>
      <c r="B5856" s="664" t="s">
        <v>2353</v>
      </c>
      <c r="C5856" s="71" t="s">
        <v>3727</v>
      </c>
      <c r="D5856" s="71">
        <v>5</v>
      </c>
      <c r="E5856" s="102">
        <v>225000</v>
      </c>
      <c r="F5856" s="102">
        <f t="shared" si="2897"/>
        <v>1237500</v>
      </c>
      <c r="G5856" s="102">
        <f t="shared" si="2898"/>
        <v>1125000</v>
      </c>
      <c r="H5856" s="690" t="s">
        <v>142</v>
      </c>
      <c r="I5856" s="71" t="s">
        <v>142</v>
      </c>
      <c r="J5856" s="53">
        <f t="shared" si="2907"/>
        <v>500000</v>
      </c>
      <c r="K5856" s="63">
        <f t="shared" si="2908"/>
        <v>0.44444444444444442</v>
      </c>
      <c r="L5856" s="1212" t="s">
        <v>3716</v>
      </c>
      <c r="M5856" s="468"/>
      <c r="N5856" s="1192">
        <f t="shared" si="2901"/>
        <v>45029</v>
      </c>
      <c r="O5856" s="71" t="s">
        <v>189</v>
      </c>
      <c r="P5856" s="103" t="str">
        <f t="shared" si="2902"/>
        <v>압통 코팅제 - 퀵 프린트</v>
      </c>
      <c r="Q5856" s="71">
        <f t="shared" si="2903"/>
        <v>5</v>
      </c>
      <c r="R5856" s="102">
        <f>25000*5</f>
        <v>125000</v>
      </c>
      <c r="S5856" s="102">
        <f t="shared" si="2909"/>
        <v>687500</v>
      </c>
      <c r="T5856" s="102">
        <f t="shared" si="2910"/>
        <v>625000</v>
      </c>
      <c r="U5856" s="71"/>
      <c r="V5856" s="71"/>
      <c r="W5856" s="474"/>
      <c r="X5856" s="71"/>
      <c r="Y5856" s="71"/>
    </row>
    <row r="5857" spans="1:25" s="209" customFormat="1" ht="30" hidden="1" customHeight="1" x14ac:dyDescent="0.25">
      <c r="A5857" s="1145">
        <v>45035</v>
      </c>
      <c r="B5857" s="664" t="s">
        <v>2353</v>
      </c>
      <c r="C5857" s="71" t="s">
        <v>130</v>
      </c>
      <c r="D5857" s="71">
        <v>10</v>
      </c>
      <c r="E5857" s="102">
        <v>148000</v>
      </c>
      <c r="F5857" s="102">
        <f t="shared" ref="F5857:F5872" si="2911">(E5857*D5857)*1.1</f>
        <v>1628000.0000000002</v>
      </c>
      <c r="G5857" s="102">
        <f t="shared" ref="G5857:G5872" si="2912">(E5857*D5857)</f>
        <v>1480000</v>
      </c>
      <c r="H5857" s="690" t="s">
        <v>142</v>
      </c>
      <c r="I5857" s="71" t="s">
        <v>179</v>
      </c>
      <c r="J5857" s="53">
        <f t="shared" si="2907"/>
        <v>360000</v>
      </c>
      <c r="K5857" s="63">
        <f t="shared" si="2908"/>
        <v>0.2432432432432432</v>
      </c>
      <c r="L5857" s="1212" t="s">
        <v>3716</v>
      </c>
      <c r="M5857" s="468" t="s">
        <v>2050</v>
      </c>
      <c r="N5857" s="1192">
        <f>A5857</f>
        <v>45035</v>
      </c>
      <c r="O5857" s="71" t="s">
        <v>3383</v>
      </c>
      <c r="P5857" s="103" t="str">
        <f t="shared" si="2902"/>
        <v>XL106 Blanket(1077*885)</v>
      </c>
      <c r="Q5857" s="71">
        <f t="shared" ref="Q5857:Q5885" si="2913">D5857</f>
        <v>10</v>
      </c>
      <c r="R5857" s="102">
        <v>112000</v>
      </c>
      <c r="S5857" s="102">
        <f t="shared" si="2909"/>
        <v>1232000</v>
      </c>
      <c r="T5857" s="102">
        <f t="shared" si="2910"/>
        <v>1120000</v>
      </c>
      <c r="U5857" s="71" t="s">
        <v>859</v>
      </c>
      <c r="V5857" s="71"/>
      <c r="W5857" s="474">
        <v>260000</v>
      </c>
      <c r="X5857" s="71"/>
      <c r="Y5857" s="71"/>
    </row>
    <row r="5858" spans="1:25" ht="30" hidden="1" customHeight="1" x14ac:dyDescent="0.25">
      <c r="A5858" s="1145">
        <v>45035</v>
      </c>
      <c r="B5858" s="664" t="s">
        <v>2353</v>
      </c>
      <c r="C5858" s="71" t="s">
        <v>129</v>
      </c>
      <c r="D5858" s="71">
        <v>7</v>
      </c>
      <c r="E5858" s="102">
        <v>325000</v>
      </c>
      <c r="F5858" s="102">
        <f t="shared" si="2911"/>
        <v>2502500</v>
      </c>
      <c r="G5858" s="102">
        <f t="shared" si="2912"/>
        <v>2275000</v>
      </c>
      <c r="H5858" s="690" t="s">
        <v>142</v>
      </c>
      <c r="I5858" s="71" t="s">
        <v>179</v>
      </c>
      <c r="J5858" s="53">
        <f t="shared" si="2907"/>
        <v>636440</v>
      </c>
      <c r="K5858" s="63">
        <f t="shared" si="2908"/>
        <v>0.27975384615384613</v>
      </c>
      <c r="L5858" s="1212" t="s">
        <v>3716</v>
      </c>
      <c r="M5858" s="468" t="s">
        <v>2050</v>
      </c>
      <c r="N5858" s="1192">
        <f>A5858</f>
        <v>45035</v>
      </c>
      <c r="O5858" s="71" t="s">
        <v>149</v>
      </c>
      <c r="P5858" s="103" t="str">
        <f t="shared" si="2902"/>
        <v>세정포-XL106</v>
      </c>
      <c r="Q5858" s="71">
        <f t="shared" si="2913"/>
        <v>7</v>
      </c>
      <c r="R5858" s="102">
        <v>234080</v>
      </c>
      <c r="S5858" s="102">
        <f t="shared" si="2909"/>
        <v>1802416.0000000002</v>
      </c>
      <c r="T5858" s="102">
        <f t="shared" si="2910"/>
        <v>1638560</v>
      </c>
      <c r="U5858" s="71" t="str">
        <f>IF(J5858=W5858,"O", "X")</f>
        <v>O</v>
      </c>
      <c r="V5858" s="71"/>
      <c r="W5858" s="474">
        <f>(G5858-T5858)</f>
        <v>636440</v>
      </c>
      <c r="X5858" s="71"/>
      <c r="Y5858" s="71"/>
    </row>
    <row r="5859" spans="1:25" s="209" customFormat="1" ht="30" hidden="1" customHeight="1" x14ac:dyDescent="0.25">
      <c r="A5859" s="1145">
        <v>45035</v>
      </c>
      <c r="B5859" s="664" t="s">
        <v>2353</v>
      </c>
      <c r="C5859" s="71" t="s">
        <v>3299</v>
      </c>
      <c r="D5859" s="71">
        <v>10</v>
      </c>
      <c r="E5859" s="102">
        <v>83000</v>
      </c>
      <c r="F5859" s="102">
        <f t="shared" si="2911"/>
        <v>913000.00000000012</v>
      </c>
      <c r="G5859" s="102">
        <f t="shared" si="2912"/>
        <v>830000</v>
      </c>
      <c r="H5859" s="690" t="s">
        <v>142</v>
      </c>
      <c r="I5859" s="71" t="s">
        <v>179</v>
      </c>
      <c r="J5859" s="53">
        <f t="shared" si="2907"/>
        <v>355000</v>
      </c>
      <c r="K5859" s="63">
        <f t="shared" si="2908"/>
        <v>0.42771084337349391</v>
      </c>
      <c r="L5859" s="1212" t="s">
        <v>3716</v>
      </c>
      <c r="M5859" s="468" t="s">
        <v>2214</v>
      </c>
      <c r="N5859" s="1192">
        <f>A5859</f>
        <v>45035</v>
      </c>
      <c r="O5859" s="71" t="s">
        <v>3383</v>
      </c>
      <c r="P5859" s="103" t="str">
        <f t="shared" si="2902"/>
        <v>매엽용 세척제(Wash k11)</v>
      </c>
      <c r="Q5859" s="71">
        <f t="shared" si="2913"/>
        <v>10</v>
      </c>
      <c r="R5859" s="102">
        <v>47500</v>
      </c>
      <c r="S5859" s="102">
        <f t="shared" si="2909"/>
        <v>522500.00000000006</v>
      </c>
      <c r="T5859" s="102">
        <f t="shared" si="2910"/>
        <v>475000</v>
      </c>
      <c r="U5859" s="71" t="s">
        <v>859</v>
      </c>
      <c r="V5859" s="71"/>
      <c r="W5859" s="474">
        <v>136000</v>
      </c>
      <c r="X5859" s="71"/>
      <c r="Y5859" s="71"/>
    </row>
    <row r="5860" spans="1:25" ht="30" hidden="1" customHeight="1" x14ac:dyDescent="0.25">
      <c r="A5860" s="1145">
        <v>45035</v>
      </c>
      <c r="B5860" s="664" t="s">
        <v>2353</v>
      </c>
      <c r="C5860" s="71" t="s">
        <v>3728</v>
      </c>
      <c r="D5860" s="71">
        <v>30</v>
      </c>
      <c r="E5860" s="102">
        <v>35000</v>
      </c>
      <c r="F5860" s="102">
        <f t="shared" si="2911"/>
        <v>1155000</v>
      </c>
      <c r="G5860" s="102">
        <f t="shared" si="2912"/>
        <v>1050000</v>
      </c>
      <c r="H5860" s="690" t="s">
        <v>142</v>
      </c>
      <c r="I5860" s="71" t="s">
        <v>142</v>
      </c>
      <c r="J5860" s="53">
        <f t="shared" si="2907"/>
        <v>240000</v>
      </c>
      <c r="K5860" s="63">
        <f t="shared" si="2908"/>
        <v>0.22857142857142856</v>
      </c>
      <c r="L5860" s="1212" t="s">
        <v>3716</v>
      </c>
      <c r="M5860" s="468"/>
      <c r="N5860" s="1192">
        <f>A5860</f>
        <v>45035</v>
      </c>
      <c r="O5860" s="71" t="s">
        <v>149</v>
      </c>
      <c r="P5860" s="164" t="str">
        <f t="shared" si="2902"/>
        <v>고모리 자동 세척액</v>
      </c>
      <c r="Q5860" s="71">
        <f t="shared" si="2913"/>
        <v>30</v>
      </c>
      <c r="R5860" s="102">
        <v>27000</v>
      </c>
      <c r="S5860" s="102">
        <f t="shared" si="2909"/>
        <v>891000.00000000012</v>
      </c>
      <c r="T5860" s="102">
        <f t="shared" si="2910"/>
        <v>810000</v>
      </c>
      <c r="U5860" s="71"/>
      <c r="V5860" s="71"/>
      <c r="W5860" s="474"/>
      <c r="X5860" s="71"/>
      <c r="Y5860" s="71"/>
    </row>
    <row r="5861" spans="1:25" ht="30" hidden="1" customHeight="1" x14ac:dyDescent="0.25">
      <c r="A5861" s="1145">
        <v>45041</v>
      </c>
      <c r="B5861" s="664" t="s">
        <v>1060</v>
      </c>
      <c r="C5861" s="71" t="s">
        <v>3655</v>
      </c>
      <c r="D5861" s="71">
        <v>1300</v>
      </c>
      <c r="E5861" s="102">
        <v>5660</v>
      </c>
      <c r="F5861" s="102">
        <f t="shared" si="2911"/>
        <v>8093800.0000000009</v>
      </c>
      <c r="G5861" s="102">
        <f t="shared" si="2912"/>
        <v>7358000</v>
      </c>
      <c r="H5861" s="690" t="s">
        <v>36</v>
      </c>
      <c r="I5861" s="71" t="s">
        <v>2529</v>
      </c>
      <c r="J5861" s="53">
        <f t="shared" ref="J5861:J5877" si="2914">G5861-T5861</f>
        <v>2269800</v>
      </c>
      <c r="K5861" s="63">
        <f t="shared" ref="K5861:K5877" si="2915">(J5861/(F5861/11*10))</f>
        <v>0.3084805653710247</v>
      </c>
      <c r="L5861" s="1212" t="s">
        <v>3716</v>
      </c>
      <c r="M5861" s="102" t="s">
        <v>3662</v>
      </c>
      <c r="N5861" s="1192">
        <f t="shared" ref="N5861:N5889" si="2916">A5861</f>
        <v>45041</v>
      </c>
      <c r="O5861" s="71" t="s">
        <v>150</v>
      </c>
      <c r="P5861" s="103" t="str">
        <f t="shared" si="2902"/>
        <v>Saphira CTP 판 1030 x 790</v>
      </c>
      <c r="Q5861" s="71">
        <f t="shared" si="2913"/>
        <v>1300</v>
      </c>
      <c r="R5861" s="102">
        <v>3914</v>
      </c>
      <c r="S5861" s="102">
        <f t="shared" ref="S5861:S5877" si="2917">R5861*Q5861*1.1</f>
        <v>5597020</v>
      </c>
      <c r="T5861" s="102">
        <f t="shared" ref="T5861:T5877" si="2918">R5861*Q5861</f>
        <v>5088200</v>
      </c>
      <c r="U5861" s="71" t="s">
        <v>859</v>
      </c>
      <c r="V5861" s="71"/>
      <c r="W5861" s="474">
        <v>942000</v>
      </c>
      <c r="X5861" s="71"/>
      <c r="Y5861" s="71"/>
    </row>
    <row r="5862" spans="1:25" ht="30" hidden="1" customHeight="1" x14ac:dyDescent="0.25">
      <c r="A5862" s="1145">
        <v>45041</v>
      </c>
      <c r="B5862" s="664" t="s">
        <v>2255</v>
      </c>
      <c r="C5862" s="71" t="s">
        <v>3656</v>
      </c>
      <c r="D5862" s="71">
        <v>2300</v>
      </c>
      <c r="E5862" s="102">
        <v>3580</v>
      </c>
      <c r="F5862" s="102">
        <f t="shared" si="2911"/>
        <v>9057400</v>
      </c>
      <c r="G5862" s="102">
        <f t="shared" si="2912"/>
        <v>8234000</v>
      </c>
      <c r="H5862" s="690" t="s">
        <v>36</v>
      </c>
      <c r="I5862" s="71" t="s">
        <v>2529</v>
      </c>
      <c r="J5862" s="53">
        <f t="shared" si="2914"/>
        <v>2548400</v>
      </c>
      <c r="K5862" s="63">
        <f t="shared" si="2915"/>
        <v>0.30949720670391062</v>
      </c>
      <c r="L5862" s="1212" t="s">
        <v>3716</v>
      </c>
      <c r="M5862" s="102" t="s">
        <v>3662</v>
      </c>
      <c r="N5862" s="1192">
        <f t="shared" si="2916"/>
        <v>45041</v>
      </c>
      <c r="O5862" s="71" t="s">
        <v>150</v>
      </c>
      <c r="P5862" s="103" t="str">
        <f t="shared" si="2902"/>
        <v>Saphira CTP 판 900 x 571</v>
      </c>
      <c r="Q5862" s="71">
        <f t="shared" si="2913"/>
        <v>2300</v>
      </c>
      <c r="R5862" s="102">
        <v>2472</v>
      </c>
      <c r="S5862" s="102">
        <f t="shared" si="2917"/>
        <v>6254160.0000000009</v>
      </c>
      <c r="T5862" s="102">
        <f t="shared" si="2918"/>
        <v>5685600</v>
      </c>
      <c r="U5862" s="71" t="s">
        <v>859</v>
      </c>
      <c r="V5862" s="71"/>
      <c r="W5862" s="474">
        <v>1274000</v>
      </c>
      <c r="X5862" s="71"/>
      <c r="Y5862" s="71"/>
    </row>
    <row r="5863" spans="1:25" ht="30" hidden="1" customHeight="1" x14ac:dyDescent="0.25">
      <c r="A5863" s="1145">
        <v>45041</v>
      </c>
      <c r="B5863" s="664" t="s">
        <v>2255</v>
      </c>
      <c r="C5863" s="71" t="s">
        <v>3657</v>
      </c>
      <c r="D5863" s="71">
        <v>2500</v>
      </c>
      <c r="E5863" s="102">
        <v>3380</v>
      </c>
      <c r="F5863" s="102">
        <f t="shared" si="2911"/>
        <v>9295000</v>
      </c>
      <c r="G5863" s="102">
        <f t="shared" si="2912"/>
        <v>8450000</v>
      </c>
      <c r="H5863" s="690" t="s">
        <v>36</v>
      </c>
      <c r="I5863" s="71" t="s">
        <v>2529</v>
      </c>
      <c r="J5863" s="53">
        <f t="shared" si="2914"/>
        <v>2580000</v>
      </c>
      <c r="K5863" s="63">
        <f t="shared" si="2915"/>
        <v>0.30532544378698223</v>
      </c>
      <c r="L5863" s="1212" t="s">
        <v>3716</v>
      </c>
      <c r="M5863" s="102" t="s">
        <v>3662</v>
      </c>
      <c r="N5863" s="1192">
        <f t="shared" si="2916"/>
        <v>45041</v>
      </c>
      <c r="O5863" s="71" t="s">
        <v>150</v>
      </c>
      <c r="P5863" s="103" t="str">
        <f t="shared" si="2902"/>
        <v>Saphira CTP 판 883 x 552</v>
      </c>
      <c r="Q5863" s="71">
        <f t="shared" si="2913"/>
        <v>2500</v>
      </c>
      <c r="R5863" s="102">
        <v>2348</v>
      </c>
      <c r="S5863" s="102">
        <f t="shared" si="2917"/>
        <v>6457000.0000000009</v>
      </c>
      <c r="T5863" s="102">
        <f t="shared" si="2918"/>
        <v>5870000</v>
      </c>
      <c r="U5863" s="71" t="s">
        <v>859</v>
      </c>
      <c r="V5863" s="71"/>
      <c r="W5863" s="474">
        <v>3325000</v>
      </c>
      <c r="X5863" s="71"/>
      <c r="Y5863" s="71"/>
    </row>
    <row r="5864" spans="1:25" ht="30" hidden="1" customHeight="1" x14ac:dyDescent="0.25">
      <c r="A5864" s="1145">
        <v>45041</v>
      </c>
      <c r="B5864" s="664" t="s">
        <v>2255</v>
      </c>
      <c r="C5864" s="71" t="s">
        <v>3658</v>
      </c>
      <c r="D5864" s="71">
        <v>2400</v>
      </c>
      <c r="E5864" s="102">
        <v>5740</v>
      </c>
      <c r="F5864" s="102">
        <f t="shared" si="2911"/>
        <v>15153600.000000002</v>
      </c>
      <c r="G5864" s="102">
        <f t="shared" si="2912"/>
        <v>13776000</v>
      </c>
      <c r="H5864" s="690" t="s">
        <v>36</v>
      </c>
      <c r="I5864" s="71" t="s">
        <v>2529</v>
      </c>
      <c r="J5864" s="53">
        <f t="shared" si="2914"/>
        <v>4257600</v>
      </c>
      <c r="K5864" s="63">
        <f t="shared" si="2915"/>
        <v>0.30905923344947733</v>
      </c>
      <c r="L5864" s="1212" t="s">
        <v>3716</v>
      </c>
      <c r="M5864" s="102" t="s">
        <v>3662</v>
      </c>
      <c r="N5864" s="1192">
        <f t="shared" si="2916"/>
        <v>45041</v>
      </c>
      <c r="O5864" s="71" t="s">
        <v>150</v>
      </c>
      <c r="P5864" s="103" t="str">
        <f t="shared" si="2902"/>
        <v>Saphira CTP 판 1030 x 800</v>
      </c>
      <c r="Q5864" s="71">
        <f t="shared" si="2913"/>
        <v>2400</v>
      </c>
      <c r="R5864" s="102">
        <v>3966</v>
      </c>
      <c r="S5864" s="102">
        <f t="shared" si="2917"/>
        <v>10470240</v>
      </c>
      <c r="T5864" s="102">
        <f t="shared" si="2918"/>
        <v>9518400</v>
      </c>
      <c r="U5864" s="71" t="s">
        <v>859</v>
      </c>
      <c r="V5864" s="71"/>
      <c r="W5864" s="474">
        <v>636000</v>
      </c>
      <c r="X5864" s="71"/>
      <c r="Y5864" s="71"/>
    </row>
    <row r="5865" spans="1:25" ht="30" hidden="1" customHeight="1" x14ac:dyDescent="0.25">
      <c r="A5865" s="1145">
        <v>45041</v>
      </c>
      <c r="B5865" s="664" t="s">
        <v>2255</v>
      </c>
      <c r="C5865" s="71" t="s">
        <v>3659</v>
      </c>
      <c r="D5865" s="71">
        <v>1000</v>
      </c>
      <c r="E5865" s="102">
        <v>5960</v>
      </c>
      <c r="F5865" s="102">
        <f t="shared" si="2911"/>
        <v>6556000.0000000009</v>
      </c>
      <c r="G5865" s="102">
        <f t="shared" si="2912"/>
        <v>5960000</v>
      </c>
      <c r="H5865" s="690" t="s">
        <v>36</v>
      </c>
      <c r="I5865" s="71" t="s">
        <v>2529</v>
      </c>
      <c r="J5865" s="53">
        <f t="shared" si="2914"/>
        <v>1840000</v>
      </c>
      <c r="K5865" s="63">
        <f t="shared" si="2915"/>
        <v>0.30872483221476504</v>
      </c>
      <c r="L5865" s="1212" t="s">
        <v>3716</v>
      </c>
      <c r="M5865" s="102" t="s">
        <v>3662</v>
      </c>
      <c r="N5865" s="1192">
        <f t="shared" si="2916"/>
        <v>45041</v>
      </c>
      <c r="O5865" s="71" t="s">
        <v>150</v>
      </c>
      <c r="P5865" s="103" t="str">
        <f t="shared" si="2902"/>
        <v>Saphira CTP 판 1055 x 811</v>
      </c>
      <c r="Q5865" s="71">
        <f t="shared" si="2913"/>
        <v>1000</v>
      </c>
      <c r="R5865" s="102">
        <v>4120</v>
      </c>
      <c r="S5865" s="102">
        <f t="shared" si="2917"/>
        <v>4532000</v>
      </c>
      <c r="T5865" s="102">
        <f t="shared" si="2918"/>
        <v>4120000</v>
      </c>
      <c r="U5865" s="71" t="s">
        <v>859</v>
      </c>
      <c r="V5865" s="71"/>
      <c r="W5865" s="474">
        <v>1476000</v>
      </c>
      <c r="X5865" s="71"/>
      <c r="Y5865" s="71"/>
    </row>
    <row r="5866" spans="1:25" ht="30" hidden="1" customHeight="1" x14ac:dyDescent="0.25">
      <c r="A5866" s="1145">
        <v>45041</v>
      </c>
      <c r="B5866" s="664" t="s">
        <v>2255</v>
      </c>
      <c r="C5866" s="71" t="s">
        <v>3660</v>
      </c>
      <c r="D5866" s="71">
        <v>0</v>
      </c>
      <c r="E5866" s="102">
        <v>4250</v>
      </c>
      <c r="F5866" s="102">
        <f t="shared" si="2911"/>
        <v>0</v>
      </c>
      <c r="G5866" s="102">
        <f t="shared" si="2912"/>
        <v>0</v>
      </c>
      <c r="H5866" s="690" t="s">
        <v>36</v>
      </c>
      <c r="I5866" s="71" t="s">
        <v>2529</v>
      </c>
      <c r="J5866" s="53">
        <f t="shared" si="2914"/>
        <v>0</v>
      </c>
      <c r="K5866" s="63" t="e">
        <f t="shared" si="2915"/>
        <v>#DIV/0!</v>
      </c>
      <c r="L5866" s="1212" t="s">
        <v>3716</v>
      </c>
      <c r="M5866" s="102" t="s">
        <v>3662</v>
      </c>
      <c r="N5866" s="1192">
        <f t="shared" si="2916"/>
        <v>45041</v>
      </c>
      <c r="O5866" s="71" t="s">
        <v>150</v>
      </c>
      <c r="P5866" s="103" t="str">
        <f t="shared" si="2902"/>
        <v>Saphira CTP 판 968 x 631</v>
      </c>
      <c r="Q5866" s="71">
        <f t="shared" si="2913"/>
        <v>0</v>
      </c>
      <c r="R5866" s="102">
        <v>2914</v>
      </c>
      <c r="S5866" s="102">
        <f t="shared" si="2917"/>
        <v>0</v>
      </c>
      <c r="T5866" s="102">
        <f t="shared" si="2918"/>
        <v>0</v>
      </c>
      <c r="U5866" s="71" t="s">
        <v>859</v>
      </c>
      <c r="V5866" s="71"/>
      <c r="W5866" s="474">
        <v>1416000</v>
      </c>
      <c r="X5866" s="71"/>
      <c r="Y5866" s="71"/>
    </row>
    <row r="5867" spans="1:25" ht="30" hidden="1" customHeight="1" x14ac:dyDescent="0.25">
      <c r="A5867" s="1145">
        <v>45041</v>
      </c>
      <c r="B5867" s="664" t="s">
        <v>2255</v>
      </c>
      <c r="C5867" s="71" t="s">
        <v>3661</v>
      </c>
      <c r="D5867" s="71">
        <v>45</v>
      </c>
      <c r="E5867" s="102">
        <v>51480</v>
      </c>
      <c r="F5867" s="102">
        <f t="shared" si="2911"/>
        <v>2548260</v>
      </c>
      <c r="G5867" s="102">
        <f t="shared" si="2912"/>
        <v>2316600</v>
      </c>
      <c r="H5867" s="690" t="s">
        <v>179</v>
      </c>
      <c r="I5867" s="71" t="s">
        <v>3405</v>
      </c>
      <c r="J5867" s="53">
        <f t="shared" si="2914"/>
        <v>531900</v>
      </c>
      <c r="K5867" s="63">
        <f t="shared" si="2915"/>
        <v>0.2296037296037296</v>
      </c>
      <c r="L5867" s="1212" t="s">
        <v>3716</v>
      </c>
      <c r="M5867" s="468"/>
      <c r="N5867" s="1192">
        <f t="shared" si="2916"/>
        <v>45041</v>
      </c>
      <c r="O5867" s="71" t="s">
        <v>2030</v>
      </c>
      <c r="P5867" s="103" t="str">
        <f t="shared" si="2902"/>
        <v>사피라 현상액</v>
      </c>
      <c r="Q5867" s="71">
        <f t="shared" si="2913"/>
        <v>45</v>
      </c>
      <c r="R5867" s="102">
        <v>39660</v>
      </c>
      <c r="S5867" s="102">
        <f t="shared" si="2917"/>
        <v>1963170.0000000002</v>
      </c>
      <c r="T5867" s="102">
        <f t="shared" si="2918"/>
        <v>1784700</v>
      </c>
      <c r="U5867" s="71" t="s">
        <v>859</v>
      </c>
      <c r="V5867" s="71"/>
      <c r="W5867" s="474">
        <v>978750</v>
      </c>
      <c r="X5867" s="71"/>
      <c r="Y5867" s="71"/>
    </row>
    <row r="5868" spans="1:25" ht="30" hidden="1" customHeight="1" x14ac:dyDescent="0.25">
      <c r="A5868" s="1145">
        <v>45041</v>
      </c>
      <c r="B5868" s="664" t="s">
        <v>2254</v>
      </c>
      <c r="C5868" s="71" t="s">
        <v>3319</v>
      </c>
      <c r="D5868" s="71">
        <v>200</v>
      </c>
      <c r="E5868" s="102">
        <v>6328</v>
      </c>
      <c r="F5868" s="102">
        <f t="shared" si="2911"/>
        <v>1392160</v>
      </c>
      <c r="G5868" s="102">
        <f t="shared" si="2912"/>
        <v>1265600</v>
      </c>
      <c r="H5868" s="690" t="s">
        <v>36</v>
      </c>
      <c r="I5868" s="71" t="s">
        <v>3320</v>
      </c>
      <c r="J5868" s="53">
        <f t="shared" si="2914"/>
        <v>95600</v>
      </c>
      <c r="K5868" s="63">
        <f t="shared" si="2915"/>
        <v>7.5537294563843241E-2</v>
      </c>
      <c r="L5868" s="1212" t="s">
        <v>3716</v>
      </c>
      <c r="M5868" s="468"/>
      <c r="N5868" s="1192">
        <f t="shared" si="2916"/>
        <v>45041</v>
      </c>
      <c r="O5868" s="71" t="s">
        <v>146</v>
      </c>
      <c r="P5868" s="103" t="str">
        <f t="shared" si="2902"/>
        <v>프리미어(먹)</v>
      </c>
      <c r="Q5868" s="71">
        <f t="shared" si="2913"/>
        <v>200</v>
      </c>
      <c r="R5868" s="102">
        <v>5850</v>
      </c>
      <c r="S5868" s="102">
        <f t="shared" si="2917"/>
        <v>1287000</v>
      </c>
      <c r="T5868" s="102">
        <f t="shared" si="2918"/>
        <v>1170000</v>
      </c>
      <c r="U5868" s="71" t="s">
        <v>859</v>
      </c>
      <c r="V5868" s="71"/>
      <c r="W5868" s="474">
        <v>411200</v>
      </c>
      <c r="X5868" s="71"/>
      <c r="Y5868" s="71"/>
    </row>
    <row r="5869" spans="1:25" ht="30" hidden="1" customHeight="1" x14ac:dyDescent="0.25">
      <c r="A5869" s="1145">
        <v>45041</v>
      </c>
      <c r="B5869" s="664" t="s">
        <v>2254</v>
      </c>
      <c r="C5869" s="71" t="s">
        <v>3321</v>
      </c>
      <c r="D5869" s="71">
        <v>200</v>
      </c>
      <c r="E5869" s="102">
        <v>6780</v>
      </c>
      <c r="F5869" s="102">
        <f t="shared" si="2911"/>
        <v>1491600.0000000002</v>
      </c>
      <c r="G5869" s="102">
        <f t="shared" si="2912"/>
        <v>1356000</v>
      </c>
      <c r="H5869" s="690" t="s">
        <v>36</v>
      </c>
      <c r="I5869" s="71" t="s">
        <v>3320</v>
      </c>
      <c r="J5869" s="53">
        <f t="shared" si="2914"/>
        <v>100000</v>
      </c>
      <c r="K5869" s="63">
        <f t="shared" si="2915"/>
        <v>7.3746312684365767E-2</v>
      </c>
      <c r="L5869" s="1212" t="s">
        <v>3716</v>
      </c>
      <c r="M5869" s="468"/>
      <c r="N5869" s="1192">
        <f t="shared" si="2916"/>
        <v>45041</v>
      </c>
      <c r="O5869" s="71" t="s">
        <v>146</v>
      </c>
      <c r="P5869" s="103" t="str">
        <f t="shared" si="2902"/>
        <v>프리미어(적)</v>
      </c>
      <c r="Q5869" s="71">
        <f t="shared" si="2913"/>
        <v>200</v>
      </c>
      <c r="R5869" s="102">
        <v>6280</v>
      </c>
      <c r="S5869" s="102">
        <f t="shared" si="2917"/>
        <v>1381600</v>
      </c>
      <c r="T5869" s="102">
        <f t="shared" si="2918"/>
        <v>1256000</v>
      </c>
      <c r="U5869" s="71" t="s">
        <v>859</v>
      </c>
      <c r="V5869" s="71"/>
      <c r="W5869" s="474">
        <v>292000</v>
      </c>
      <c r="X5869" s="71"/>
      <c r="Y5869" s="71"/>
    </row>
    <row r="5870" spans="1:25" ht="30" hidden="1" customHeight="1" x14ac:dyDescent="0.25">
      <c r="A5870" s="1145">
        <v>45041</v>
      </c>
      <c r="B5870" s="664" t="s">
        <v>2254</v>
      </c>
      <c r="C5870" s="71" t="s">
        <v>1289</v>
      </c>
      <c r="D5870" s="71">
        <v>400</v>
      </c>
      <c r="E5870" s="102">
        <v>6498</v>
      </c>
      <c r="F5870" s="102">
        <f t="shared" si="2911"/>
        <v>2859120</v>
      </c>
      <c r="G5870" s="102">
        <f t="shared" si="2912"/>
        <v>2599200</v>
      </c>
      <c r="H5870" s="690" t="s">
        <v>36</v>
      </c>
      <c r="I5870" s="71" t="s">
        <v>3320</v>
      </c>
      <c r="J5870" s="53">
        <f t="shared" si="2914"/>
        <v>191200</v>
      </c>
      <c r="K5870" s="63">
        <f t="shared" si="2915"/>
        <v>7.3561095721760547E-2</v>
      </c>
      <c r="L5870" s="1212" t="s">
        <v>3716</v>
      </c>
      <c r="M5870" s="468"/>
      <c r="N5870" s="1192">
        <f t="shared" si="2916"/>
        <v>45041</v>
      </c>
      <c r="O5870" s="71" t="s">
        <v>146</v>
      </c>
      <c r="P5870" s="103" t="str">
        <f t="shared" si="2902"/>
        <v>프리미어(황)</v>
      </c>
      <c r="Q5870" s="71">
        <f t="shared" si="2913"/>
        <v>400</v>
      </c>
      <c r="R5870" s="102">
        <v>6020</v>
      </c>
      <c r="S5870" s="102">
        <f t="shared" si="2917"/>
        <v>2648800</v>
      </c>
      <c r="T5870" s="102">
        <f t="shared" si="2918"/>
        <v>2408000</v>
      </c>
      <c r="U5870" s="71" t="s">
        <v>859</v>
      </c>
      <c r="V5870" s="71"/>
      <c r="W5870" s="474">
        <v>640800</v>
      </c>
      <c r="X5870" s="71"/>
      <c r="Y5870" s="71"/>
    </row>
    <row r="5871" spans="1:25" ht="30" hidden="1" customHeight="1" x14ac:dyDescent="0.25">
      <c r="A5871" s="1145">
        <v>45041</v>
      </c>
      <c r="B5871" s="664" t="s">
        <v>2254</v>
      </c>
      <c r="C5871" s="71" t="s">
        <v>1290</v>
      </c>
      <c r="D5871" s="71">
        <v>400</v>
      </c>
      <c r="E5871" s="102">
        <v>7910</v>
      </c>
      <c r="F5871" s="102">
        <f t="shared" si="2911"/>
        <v>3480400.0000000005</v>
      </c>
      <c r="G5871" s="102">
        <f t="shared" si="2912"/>
        <v>3164000</v>
      </c>
      <c r="H5871" s="690" t="s">
        <v>36</v>
      </c>
      <c r="I5871" s="71" t="s">
        <v>3320</v>
      </c>
      <c r="J5871" s="53">
        <f t="shared" si="2914"/>
        <v>240000</v>
      </c>
      <c r="K5871" s="63">
        <f t="shared" si="2915"/>
        <v>7.5853350189633365E-2</v>
      </c>
      <c r="L5871" s="1212" t="s">
        <v>3716</v>
      </c>
      <c r="M5871" s="468"/>
      <c r="N5871" s="1192">
        <f t="shared" si="2916"/>
        <v>45041</v>
      </c>
      <c r="O5871" s="71" t="s">
        <v>146</v>
      </c>
      <c r="P5871" s="103" t="str">
        <f t="shared" si="2902"/>
        <v>프리미어(청)</v>
      </c>
      <c r="Q5871" s="71">
        <f t="shared" si="2913"/>
        <v>400</v>
      </c>
      <c r="R5871" s="102">
        <v>7310</v>
      </c>
      <c r="S5871" s="102">
        <f t="shared" si="2917"/>
        <v>3216400.0000000005</v>
      </c>
      <c r="T5871" s="102">
        <f t="shared" si="2918"/>
        <v>2924000</v>
      </c>
      <c r="U5871" s="71" t="s">
        <v>859</v>
      </c>
      <c r="V5871" s="71"/>
      <c r="W5871" s="474">
        <v>846000</v>
      </c>
      <c r="X5871" s="71"/>
      <c r="Y5871" s="71"/>
    </row>
    <row r="5872" spans="1:25" ht="30" hidden="1" customHeight="1" x14ac:dyDescent="0.25">
      <c r="A5872" s="1145">
        <v>45041</v>
      </c>
      <c r="B5872" s="664" t="s">
        <v>2254</v>
      </c>
      <c r="C5872" s="71" t="s">
        <v>3322</v>
      </c>
      <c r="D5872" s="71">
        <v>100</v>
      </c>
      <c r="E5872" s="102">
        <v>7150</v>
      </c>
      <c r="F5872" s="102">
        <f t="shared" si="2911"/>
        <v>786500.00000000012</v>
      </c>
      <c r="G5872" s="102">
        <f t="shared" si="2912"/>
        <v>715000</v>
      </c>
      <c r="H5872" s="690" t="s">
        <v>36</v>
      </c>
      <c r="I5872" s="71" t="s">
        <v>3320</v>
      </c>
      <c r="J5872" s="53">
        <f t="shared" si="2914"/>
        <v>65000</v>
      </c>
      <c r="K5872" s="63">
        <f t="shared" si="2915"/>
        <v>9.0909090909090898E-2</v>
      </c>
      <c r="L5872" s="1212" t="s">
        <v>3716</v>
      </c>
      <c r="M5872" s="468"/>
      <c r="N5872" s="1192">
        <f t="shared" si="2916"/>
        <v>45041</v>
      </c>
      <c r="O5872" s="71" t="s">
        <v>3323</v>
      </c>
      <c r="P5872" s="103" t="str">
        <f t="shared" si="2902"/>
        <v>한특 잉크(적)</v>
      </c>
      <c r="Q5872" s="71">
        <f t="shared" si="2913"/>
        <v>100</v>
      </c>
      <c r="R5872" s="102">
        <v>6500</v>
      </c>
      <c r="S5872" s="102">
        <f t="shared" si="2917"/>
        <v>715000</v>
      </c>
      <c r="T5872" s="102">
        <f t="shared" si="2918"/>
        <v>650000</v>
      </c>
      <c r="U5872" s="71" t="s">
        <v>859</v>
      </c>
      <c r="V5872" s="71"/>
      <c r="W5872" s="474">
        <v>0</v>
      </c>
      <c r="X5872" s="71"/>
      <c r="Y5872" s="71"/>
    </row>
    <row r="5873" spans="1:25" ht="30" hidden="1" customHeight="1" x14ac:dyDescent="0.25">
      <c r="A5873" s="1145">
        <v>45041</v>
      </c>
      <c r="B5873" s="664" t="s">
        <v>2254</v>
      </c>
      <c r="C5873" s="71" t="s">
        <v>3324</v>
      </c>
      <c r="D5873" s="71">
        <v>150</v>
      </c>
      <c r="E5873" s="102">
        <v>6900</v>
      </c>
      <c r="F5873" s="102">
        <f>(E5873*D5873)*1.1</f>
        <v>1138500</v>
      </c>
      <c r="G5873" s="102">
        <f>(E5873*D5873)</f>
        <v>1035000</v>
      </c>
      <c r="H5873" s="690" t="s">
        <v>36</v>
      </c>
      <c r="I5873" s="71" t="s">
        <v>3320</v>
      </c>
      <c r="J5873" s="53">
        <f t="shared" si="2914"/>
        <v>105000</v>
      </c>
      <c r="K5873" s="63">
        <f t="shared" si="2915"/>
        <v>0.10144927536231885</v>
      </c>
      <c r="L5873" s="1212" t="s">
        <v>3716</v>
      </c>
      <c r="M5873" s="468"/>
      <c r="N5873" s="1192">
        <f t="shared" si="2916"/>
        <v>45041</v>
      </c>
      <c r="O5873" s="71" t="s">
        <v>3323</v>
      </c>
      <c r="P5873" s="103" t="str">
        <f t="shared" si="2902"/>
        <v>한특 잉크(황)</v>
      </c>
      <c r="Q5873" s="71">
        <f t="shared" si="2913"/>
        <v>150</v>
      </c>
      <c r="R5873" s="102">
        <v>6200</v>
      </c>
      <c r="S5873" s="102">
        <f t="shared" si="2917"/>
        <v>1023000.0000000001</v>
      </c>
      <c r="T5873" s="102">
        <f t="shared" si="2918"/>
        <v>930000</v>
      </c>
      <c r="U5873" s="71" t="s">
        <v>859</v>
      </c>
      <c r="V5873" s="71"/>
      <c r="W5873" s="474">
        <v>0</v>
      </c>
      <c r="X5873" s="71"/>
      <c r="Y5873" s="71"/>
    </row>
    <row r="5874" spans="1:25" ht="28.5" hidden="1" customHeight="1" x14ac:dyDescent="0.25">
      <c r="A5874" s="1145">
        <v>45041</v>
      </c>
      <c r="B5874" s="664" t="s">
        <v>2254</v>
      </c>
      <c r="C5874" s="71" t="s">
        <v>3325</v>
      </c>
      <c r="D5874" s="71">
        <v>100</v>
      </c>
      <c r="E5874" s="102">
        <v>7500</v>
      </c>
      <c r="F5874" s="102">
        <f>(E5874*D5874)*1.1</f>
        <v>825000.00000000012</v>
      </c>
      <c r="G5874" s="102">
        <f>(E5874*D5874)</f>
        <v>750000</v>
      </c>
      <c r="H5874" s="690" t="s">
        <v>36</v>
      </c>
      <c r="I5874" s="71" t="s">
        <v>3320</v>
      </c>
      <c r="J5874" s="53">
        <f t="shared" si="2914"/>
        <v>90000</v>
      </c>
      <c r="K5874" s="63">
        <f t="shared" si="2915"/>
        <v>0.11999999999999998</v>
      </c>
      <c r="L5874" s="1212" t="s">
        <v>3716</v>
      </c>
      <c r="M5874" s="468"/>
      <c r="N5874" s="1192">
        <f t="shared" si="2916"/>
        <v>45041</v>
      </c>
      <c r="O5874" s="71" t="s">
        <v>3323</v>
      </c>
      <c r="P5874" s="103" t="str">
        <f t="shared" si="2902"/>
        <v>한특 잉크(청)</v>
      </c>
      <c r="Q5874" s="71">
        <f t="shared" si="2913"/>
        <v>100</v>
      </c>
      <c r="R5874" s="102">
        <v>6600</v>
      </c>
      <c r="S5874" s="102">
        <f t="shared" si="2917"/>
        <v>726000.00000000012</v>
      </c>
      <c r="T5874" s="102">
        <f t="shared" si="2918"/>
        <v>660000</v>
      </c>
      <c r="U5874" s="71" t="s">
        <v>859</v>
      </c>
      <c r="V5874" s="71"/>
      <c r="W5874" s="474">
        <v>0</v>
      </c>
      <c r="X5874" s="71"/>
      <c r="Y5874" s="71"/>
    </row>
    <row r="5875" spans="1:25" ht="30" hidden="1" customHeight="1" x14ac:dyDescent="0.25">
      <c r="A5875" s="1145">
        <v>45041</v>
      </c>
      <c r="B5875" s="664" t="s">
        <v>2254</v>
      </c>
      <c r="C5875" s="71" t="s">
        <v>3326</v>
      </c>
      <c r="D5875" s="71">
        <v>100</v>
      </c>
      <c r="E5875" s="102">
        <v>6450</v>
      </c>
      <c r="F5875" s="102">
        <f>(E5875*D5875)*1.1</f>
        <v>709500</v>
      </c>
      <c r="G5875" s="102">
        <f>(E5875*D5875)</f>
        <v>645000</v>
      </c>
      <c r="H5875" s="690" t="s">
        <v>36</v>
      </c>
      <c r="I5875" s="71" t="s">
        <v>3320</v>
      </c>
      <c r="J5875" s="53">
        <f t="shared" si="2914"/>
        <v>75000</v>
      </c>
      <c r="K5875" s="63">
        <f t="shared" si="2915"/>
        <v>0.11627906976744186</v>
      </c>
      <c r="L5875" s="1212" t="s">
        <v>3716</v>
      </c>
      <c r="M5875" s="468"/>
      <c r="N5875" s="1192">
        <f t="shared" si="2916"/>
        <v>45041</v>
      </c>
      <c r="O5875" s="71" t="s">
        <v>3323</v>
      </c>
      <c r="P5875" s="103" t="str">
        <f t="shared" si="2902"/>
        <v>한특 잉크(먹)</v>
      </c>
      <c r="Q5875" s="71">
        <f t="shared" si="2913"/>
        <v>100</v>
      </c>
      <c r="R5875" s="102">
        <v>5700</v>
      </c>
      <c r="S5875" s="102">
        <f t="shared" si="2917"/>
        <v>627000</v>
      </c>
      <c r="T5875" s="102">
        <f t="shared" si="2918"/>
        <v>570000</v>
      </c>
      <c r="U5875" s="71" t="s">
        <v>859</v>
      </c>
      <c r="V5875" s="71"/>
      <c r="W5875" s="474">
        <v>0</v>
      </c>
      <c r="X5875" s="71"/>
      <c r="Y5875" s="71"/>
    </row>
    <row r="5876" spans="1:25" ht="30" hidden="1" customHeight="1" x14ac:dyDescent="0.25">
      <c r="A5876" s="1145">
        <v>45041</v>
      </c>
      <c r="B5876" s="664" t="s">
        <v>443</v>
      </c>
      <c r="C5876" s="71" t="s">
        <v>3392</v>
      </c>
      <c r="D5876" s="71">
        <v>0</v>
      </c>
      <c r="E5876" s="102">
        <v>218000</v>
      </c>
      <c r="F5876" s="102">
        <f>(E5876*D5876)*1.1</f>
        <v>0</v>
      </c>
      <c r="G5876" s="102">
        <f>(E5876*D5876)</f>
        <v>0</v>
      </c>
      <c r="H5876" s="690" t="s">
        <v>172</v>
      </c>
      <c r="I5876" s="71" t="s">
        <v>184</v>
      </c>
      <c r="J5876" s="53">
        <f t="shared" si="2914"/>
        <v>0</v>
      </c>
      <c r="K5876" s="63" t="e">
        <f t="shared" si="2915"/>
        <v>#DIV/0!</v>
      </c>
      <c r="L5876" s="1212" t="s">
        <v>3716</v>
      </c>
      <c r="M5876" s="468" t="s">
        <v>3393</v>
      </c>
      <c r="N5876" s="1192">
        <f t="shared" si="2916"/>
        <v>45041</v>
      </c>
      <c r="O5876" s="71" t="s">
        <v>2030</v>
      </c>
      <c r="P5876" s="103" t="str">
        <f t="shared" si="2902"/>
        <v>윤전 블랑켓</v>
      </c>
      <c r="Q5876" s="71">
        <f t="shared" si="2913"/>
        <v>0</v>
      </c>
      <c r="R5876" s="102">
        <v>166500</v>
      </c>
      <c r="S5876" s="102">
        <f t="shared" si="2917"/>
        <v>0</v>
      </c>
      <c r="T5876" s="102">
        <f t="shared" si="2918"/>
        <v>0</v>
      </c>
      <c r="U5876" s="71" t="s">
        <v>859</v>
      </c>
      <c r="V5876" s="71" t="s">
        <v>3394</v>
      </c>
      <c r="W5876" s="474">
        <v>464000</v>
      </c>
      <c r="X5876" s="71"/>
      <c r="Y5876" s="71"/>
    </row>
    <row r="5877" spans="1:25" ht="30" hidden="1" customHeight="1" x14ac:dyDescent="0.25">
      <c r="A5877" s="1145">
        <v>45041</v>
      </c>
      <c r="B5877" s="664" t="s">
        <v>443</v>
      </c>
      <c r="C5877" s="71" t="s">
        <v>3730</v>
      </c>
      <c r="D5877" s="71">
        <v>1</v>
      </c>
      <c r="E5877" s="102">
        <v>2350000</v>
      </c>
      <c r="F5877" s="102">
        <f>(E5877*D5877)*1.1</f>
        <v>2585000</v>
      </c>
      <c r="G5877" s="102">
        <f>(E5877*D5877)</f>
        <v>2350000</v>
      </c>
      <c r="H5877" s="690" t="s">
        <v>179</v>
      </c>
      <c r="I5877" s="690" t="s">
        <v>179</v>
      </c>
      <c r="J5877" s="53">
        <f t="shared" si="2914"/>
        <v>600000</v>
      </c>
      <c r="K5877" s="63">
        <f t="shared" si="2915"/>
        <v>0.25531914893617019</v>
      </c>
      <c r="L5877" s="1212" t="s">
        <v>3716</v>
      </c>
      <c r="M5877" s="468"/>
      <c r="N5877" s="1192">
        <f t="shared" si="2916"/>
        <v>45041</v>
      </c>
      <c r="O5877" s="71" t="s">
        <v>194</v>
      </c>
      <c r="P5877" s="103" t="str">
        <f t="shared" si="2902"/>
        <v>4월분 Apogee 사용료</v>
      </c>
      <c r="Q5877" s="71">
        <f t="shared" si="2913"/>
        <v>1</v>
      </c>
      <c r="R5877" s="147">
        <v>1750000</v>
      </c>
      <c r="S5877" s="102">
        <f t="shared" si="2917"/>
        <v>1925000.0000000002</v>
      </c>
      <c r="T5877" s="102">
        <f t="shared" si="2918"/>
        <v>1750000</v>
      </c>
      <c r="U5877" s="71"/>
      <c r="V5877" s="71"/>
      <c r="W5877" s="474"/>
      <c r="X5877" s="71"/>
      <c r="Y5877" s="71"/>
    </row>
    <row r="5878" spans="1:25" ht="30" hidden="1" customHeight="1" x14ac:dyDescent="0.25">
      <c r="A5878" s="1145">
        <v>45041</v>
      </c>
      <c r="B5878" s="664" t="s">
        <v>3620</v>
      </c>
      <c r="C5878" s="71" t="s">
        <v>3731</v>
      </c>
      <c r="D5878" s="71">
        <v>1</v>
      </c>
      <c r="E5878" s="102">
        <v>275000000</v>
      </c>
      <c r="F5878" s="102">
        <f t="shared" ref="F5878:F5885" si="2919">(E5878*D5878)*1.1</f>
        <v>302500000</v>
      </c>
      <c r="G5878" s="102">
        <f t="shared" ref="G5878:G5885" si="2920">(E5878*D5878)</f>
        <v>275000000</v>
      </c>
      <c r="H5878" s="690" t="s">
        <v>1786</v>
      </c>
      <c r="I5878" s="71" t="s">
        <v>1786</v>
      </c>
      <c r="J5878" s="53"/>
      <c r="K5878" s="63"/>
      <c r="L5878" s="1212" t="s">
        <v>3716</v>
      </c>
      <c r="M5878" s="102"/>
      <c r="N5878" s="1192">
        <f t="shared" si="2916"/>
        <v>45041</v>
      </c>
      <c r="O5878" s="71"/>
      <c r="P5878" s="103" t="str">
        <f t="shared" si="2902"/>
        <v>Rotoman 수리 작업 잔금</v>
      </c>
      <c r="Q5878" s="71">
        <f t="shared" si="2913"/>
        <v>1</v>
      </c>
      <c r="R5878" s="102"/>
      <c r="S5878" s="102"/>
      <c r="T5878" s="102"/>
      <c r="U5878" s="71"/>
      <c r="V5878" s="71"/>
      <c r="W5878" s="474"/>
      <c r="X5878" s="71"/>
      <c r="Y5878" s="71"/>
    </row>
    <row r="5879" spans="1:25" ht="30" hidden="1" customHeight="1" x14ac:dyDescent="0.25">
      <c r="A5879" s="1145">
        <v>45041</v>
      </c>
      <c r="B5879" s="664" t="s">
        <v>3620</v>
      </c>
      <c r="C5879" s="71" t="s">
        <v>3732</v>
      </c>
      <c r="D5879" s="71">
        <v>1</v>
      </c>
      <c r="E5879" s="102">
        <v>140000000</v>
      </c>
      <c r="F5879" s="102">
        <f t="shared" si="2919"/>
        <v>154000000</v>
      </c>
      <c r="G5879" s="102">
        <f t="shared" si="2920"/>
        <v>140000000</v>
      </c>
      <c r="H5879" s="690" t="s">
        <v>1786</v>
      </c>
      <c r="I5879" s="71" t="s">
        <v>1786</v>
      </c>
      <c r="J5879" s="53"/>
      <c r="K5879" s="63"/>
      <c r="L5879" s="1212" t="s">
        <v>3716</v>
      </c>
      <c r="M5879" s="102"/>
      <c r="N5879" s="1192">
        <f t="shared" si="2916"/>
        <v>45041</v>
      </c>
      <c r="O5879" s="71"/>
      <c r="P5879" s="103" t="str">
        <f t="shared" si="2902"/>
        <v>Rotoman 2차 수리 작업 계약금</v>
      </c>
      <c r="Q5879" s="71">
        <f t="shared" si="2913"/>
        <v>1</v>
      </c>
      <c r="R5879" s="102"/>
      <c r="S5879" s="102"/>
      <c r="T5879" s="102"/>
      <c r="U5879" s="71"/>
      <c r="V5879" s="71"/>
      <c r="W5879" s="474"/>
      <c r="X5879" s="71"/>
      <c r="Y5879" s="71"/>
    </row>
    <row r="5880" spans="1:25" ht="30" hidden="1" customHeight="1" x14ac:dyDescent="0.25">
      <c r="A5880" s="1145">
        <v>45020</v>
      </c>
      <c r="B5880" s="664" t="s">
        <v>591</v>
      </c>
      <c r="C5880" s="71" t="s">
        <v>3733</v>
      </c>
      <c r="D5880" s="71">
        <v>1</v>
      </c>
      <c r="E5880" s="102">
        <v>6644000</v>
      </c>
      <c r="F5880" s="102">
        <f t="shared" si="2919"/>
        <v>7308400.0000000009</v>
      </c>
      <c r="G5880" s="102">
        <f t="shared" si="2920"/>
        <v>6644000</v>
      </c>
      <c r="H5880" s="690" t="s">
        <v>2029</v>
      </c>
      <c r="I5880" s="690" t="s">
        <v>143</v>
      </c>
      <c r="J5880" s="53">
        <f>G5880-T5880</f>
        <v>2004000</v>
      </c>
      <c r="K5880" s="63">
        <f>(J5880/(F5880/11*10))</f>
        <v>0.30162552679108967</v>
      </c>
      <c r="L5880" s="1212" t="s">
        <v>3716</v>
      </c>
      <c r="M5880" s="468"/>
      <c r="N5880" s="1192">
        <f t="shared" si="2916"/>
        <v>45020</v>
      </c>
      <c r="O5880" s="71" t="s">
        <v>612</v>
      </c>
      <c r="P5880" s="164" t="str">
        <f t="shared" si="2902"/>
        <v>M600 윤전 롤러 세트</v>
      </c>
      <c r="Q5880" s="71">
        <f t="shared" si="2913"/>
        <v>1</v>
      </c>
      <c r="R5880" s="102">
        <v>4640000</v>
      </c>
      <c r="S5880" s="102">
        <f>R5880*Q5880*1.1</f>
        <v>5104000</v>
      </c>
      <c r="T5880" s="102">
        <f>R5880*Q5880</f>
        <v>4640000</v>
      </c>
      <c r="U5880" s="71"/>
      <c r="V5880" s="71"/>
      <c r="W5880" s="474"/>
      <c r="X5880" s="71"/>
      <c r="Y5880" s="71"/>
    </row>
    <row r="5881" spans="1:25" ht="30" hidden="1" customHeight="1" x14ac:dyDescent="0.25">
      <c r="A5881" s="1145">
        <v>45020</v>
      </c>
      <c r="B5881" s="664" t="s">
        <v>575</v>
      </c>
      <c r="C5881" s="71" t="s">
        <v>3648</v>
      </c>
      <c r="D5881" s="71">
        <v>1</v>
      </c>
      <c r="E5881" s="102">
        <v>1500000</v>
      </c>
      <c r="F5881" s="102">
        <f t="shared" si="2919"/>
        <v>1650000.0000000002</v>
      </c>
      <c r="G5881" s="102">
        <f t="shared" si="2920"/>
        <v>1500000</v>
      </c>
      <c r="H5881" s="690" t="s">
        <v>1786</v>
      </c>
      <c r="I5881" s="71" t="s">
        <v>1786</v>
      </c>
      <c r="J5881" s="53">
        <f>G5881-T5881</f>
        <v>300000</v>
      </c>
      <c r="K5881" s="63">
        <f>(J5881/(F5881/11*10))</f>
        <v>0.19999999999999996</v>
      </c>
      <c r="L5881" s="1212" t="s">
        <v>3716</v>
      </c>
      <c r="M5881" s="468"/>
      <c r="N5881" s="1192">
        <f t="shared" si="2916"/>
        <v>45020</v>
      </c>
      <c r="O5881" s="71" t="s">
        <v>94</v>
      </c>
      <c r="P5881" s="103" t="str">
        <f t="shared" si="2902"/>
        <v>잉크 레벨 센서</v>
      </c>
      <c r="Q5881" s="71">
        <f t="shared" si="2913"/>
        <v>1</v>
      </c>
      <c r="R5881" s="147">
        <v>1200000</v>
      </c>
      <c r="S5881" s="102">
        <f>R5881*Q5881*1.1</f>
        <v>1320000</v>
      </c>
      <c r="T5881" s="102">
        <f>R5881*Q5881</f>
        <v>1200000</v>
      </c>
      <c r="U5881" s="71"/>
      <c r="V5881" s="71"/>
      <c r="W5881" s="474"/>
      <c r="X5881" s="71"/>
      <c r="Y5881" s="71"/>
    </row>
    <row r="5882" spans="1:25" ht="30" hidden="1" customHeight="1" x14ac:dyDescent="0.25">
      <c r="A5882" s="1145">
        <v>45020</v>
      </c>
      <c r="B5882" s="664" t="s">
        <v>575</v>
      </c>
      <c r="C5882" s="71" t="s">
        <v>3734</v>
      </c>
      <c r="D5882" s="71">
        <v>1</v>
      </c>
      <c r="E5882" s="102">
        <v>300000</v>
      </c>
      <c r="F5882" s="102">
        <f t="shared" si="2919"/>
        <v>330000</v>
      </c>
      <c r="G5882" s="102">
        <f t="shared" si="2920"/>
        <v>300000</v>
      </c>
      <c r="H5882" s="690" t="s">
        <v>1786</v>
      </c>
      <c r="I5882" s="71" t="s">
        <v>1786</v>
      </c>
      <c r="J5882" s="53">
        <f>G5882-T5882</f>
        <v>0</v>
      </c>
      <c r="K5882" s="63">
        <f>(J5882/(F5882/11*10))</f>
        <v>0</v>
      </c>
      <c r="L5882" s="1212" t="s">
        <v>3716</v>
      </c>
      <c r="M5882" s="102"/>
      <c r="N5882" s="1192">
        <f t="shared" si="2916"/>
        <v>45020</v>
      </c>
      <c r="O5882" s="71"/>
      <c r="P5882" s="103" t="str">
        <f t="shared" si="2902"/>
        <v>전류 차단기</v>
      </c>
      <c r="Q5882" s="71">
        <f t="shared" si="2913"/>
        <v>1</v>
      </c>
      <c r="R5882" s="102">
        <v>300000</v>
      </c>
      <c r="S5882" s="102">
        <f>R5882*Q5882*1.1</f>
        <v>330000</v>
      </c>
      <c r="T5882" s="102">
        <f>R5882*Q5882</f>
        <v>300000</v>
      </c>
      <c r="U5882" s="71"/>
      <c r="V5882" s="71"/>
      <c r="W5882" s="474"/>
      <c r="X5882" s="71"/>
      <c r="Y5882" s="71"/>
    </row>
    <row r="5883" spans="1:25" ht="30" hidden="1" customHeight="1" x14ac:dyDescent="0.25">
      <c r="A5883" s="1145">
        <v>45040</v>
      </c>
      <c r="B5883" s="664" t="s">
        <v>1178</v>
      </c>
      <c r="C5883" s="71" t="s">
        <v>3735</v>
      </c>
      <c r="D5883" s="71">
        <v>1</v>
      </c>
      <c r="E5883" s="102">
        <v>3300000</v>
      </c>
      <c r="F5883" s="102">
        <f t="shared" si="2919"/>
        <v>3630000.0000000005</v>
      </c>
      <c r="G5883" s="102">
        <f t="shared" si="2920"/>
        <v>3300000</v>
      </c>
      <c r="H5883" s="690" t="s">
        <v>1786</v>
      </c>
      <c r="I5883" s="71" t="s">
        <v>1786</v>
      </c>
      <c r="J5883" s="53">
        <f>G5883-T5883</f>
        <v>1600000</v>
      </c>
      <c r="K5883" s="63">
        <f>(J5883/(F5883/11*10))</f>
        <v>0.48484848484848481</v>
      </c>
      <c r="L5883" s="1212" t="s">
        <v>3716</v>
      </c>
      <c r="M5883" s="468"/>
      <c r="N5883" s="1192">
        <f t="shared" si="2916"/>
        <v>45040</v>
      </c>
      <c r="O5883" s="71" t="s">
        <v>2093</v>
      </c>
      <c r="P5883" s="103" t="str">
        <f t="shared" si="2902"/>
        <v>스핀들 모터 엔코더</v>
      </c>
      <c r="Q5883" s="71">
        <f t="shared" si="2913"/>
        <v>1</v>
      </c>
      <c r="R5883" s="102">
        <v>1700000</v>
      </c>
      <c r="S5883" s="102">
        <f>R5883*Q5883*1.1</f>
        <v>1870000.0000000002</v>
      </c>
      <c r="T5883" s="102">
        <f>R5883*Q5883</f>
        <v>1700000</v>
      </c>
      <c r="U5883" s="71"/>
      <c r="V5883" s="71"/>
      <c r="W5883" s="474"/>
      <c r="X5883" s="71"/>
      <c r="Y5883" s="71"/>
    </row>
    <row r="5884" spans="1:25" ht="30" hidden="1" customHeight="1" x14ac:dyDescent="0.25">
      <c r="A5884" s="1145">
        <v>45040</v>
      </c>
      <c r="B5884" s="664" t="s">
        <v>1178</v>
      </c>
      <c r="C5884" s="71" t="s">
        <v>3736</v>
      </c>
      <c r="D5884" s="71">
        <v>1</v>
      </c>
      <c r="E5884" s="102">
        <v>2750000</v>
      </c>
      <c r="F5884" s="102">
        <f t="shared" si="2919"/>
        <v>3025000.0000000005</v>
      </c>
      <c r="G5884" s="102">
        <f t="shared" si="2920"/>
        <v>2750000</v>
      </c>
      <c r="H5884" s="690" t="s">
        <v>1786</v>
      </c>
      <c r="I5884" s="71" t="s">
        <v>1786</v>
      </c>
      <c r="J5884" s="53">
        <f>G5884-T5884</f>
        <v>1450000</v>
      </c>
      <c r="K5884" s="63">
        <f>(J5884/(F5884/11*10))</f>
        <v>0.52727272727272723</v>
      </c>
      <c r="L5884" s="1212" t="s">
        <v>3716</v>
      </c>
      <c r="M5884" s="468"/>
      <c r="N5884" s="1192">
        <f t="shared" si="2916"/>
        <v>45040</v>
      </c>
      <c r="O5884" s="71" t="s">
        <v>2093</v>
      </c>
      <c r="P5884" s="103" t="str">
        <f t="shared" si="2902"/>
        <v>스플라이서 모터 컨트롤 장치</v>
      </c>
      <c r="Q5884" s="71">
        <f t="shared" si="2913"/>
        <v>1</v>
      </c>
      <c r="R5884" s="102">
        <v>1300000</v>
      </c>
      <c r="S5884" s="102">
        <f>R5884*Q5884*1.1</f>
        <v>1430000</v>
      </c>
      <c r="T5884" s="102">
        <f>R5884*Q5884</f>
        <v>1300000</v>
      </c>
      <c r="U5884" s="71"/>
      <c r="V5884" s="71"/>
      <c r="W5884" s="474"/>
      <c r="X5884" s="71"/>
      <c r="Y5884" s="71"/>
    </row>
    <row r="5885" spans="1:25" s="209" customFormat="1" ht="30" hidden="1" customHeight="1" x14ac:dyDescent="0.25">
      <c r="A5885" s="1145">
        <v>45031</v>
      </c>
      <c r="B5885" s="664" t="s">
        <v>575</v>
      </c>
      <c r="C5885" s="71" t="s">
        <v>3737</v>
      </c>
      <c r="D5885" s="71">
        <v>1</v>
      </c>
      <c r="E5885" s="102">
        <v>2625000</v>
      </c>
      <c r="F5885" s="102">
        <f t="shared" si="2919"/>
        <v>2887500.0000000005</v>
      </c>
      <c r="G5885" s="102">
        <f t="shared" si="2920"/>
        <v>2625000</v>
      </c>
      <c r="H5885" s="690" t="s">
        <v>985</v>
      </c>
      <c r="I5885" s="71" t="s">
        <v>985</v>
      </c>
      <c r="J5885" s="53"/>
      <c r="K5885" s="63"/>
      <c r="L5885" s="1212" t="s">
        <v>3716</v>
      </c>
      <c r="M5885" s="468"/>
      <c r="N5885" s="1192">
        <f t="shared" si="2916"/>
        <v>45031</v>
      </c>
      <c r="O5885" s="71"/>
      <c r="P5885" s="164" t="str">
        <f t="shared" si="2902"/>
        <v>M-600 서비스 계약(1회차)</v>
      </c>
      <c r="Q5885" s="71">
        <f t="shared" si="2913"/>
        <v>1</v>
      </c>
      <c r="R5885" s="102"/>
      <c r="S5885" s="102"/>
      <c r="T5885" s="102"/>
      <c r="U5885" s="71"/>
      <c r="V5885" s="71"/>
      <c r="W5885" s="474"/>
      <c r="X5885" s="71"/>
      <c r="Y5885" s="71"/>
    </row>
    <row r="5886" spans="1:25" ht="30" hidden="1" customHeight="1" x14ac:dyDescent="0.25">
      <c r="A5886" s="1210" t="s">
        <v>3746</v>
      </c>
      <c r="B5886" s="1211" t="s">
        <v>544</v>
      </c>
      <c r="C5886" s="960"/>
      <c r="D5886" s="960"/>
      <c r="E5886" s="952"/>
      <c r="F5886" s="952"/>
      <c r="G5886" s="952"/>
      <c r="H5886" s="1206"/>
      <c r="I5886" s="960"/>
      <c r="J5886" s="952"/>
      <c r="K5886" s="953"/>
      <c r="L5886" s="1212" t="s">
        <v>3747</v>
      </c>
      <c r="M5886" s="1207"/>
      <c r="N5886" s="1208" t="str">
        <f t="shared" si="2916"/>
        <v>2023,5</v>
      </c>
      <c r="O5886" s="960"/>
      <c r="P5886" s="1209"/>
      <c r="Q5886" s="960"/>
      <c r="R5886" s="952"/>
      <c r="S5886" s="952"/>
      <c r="T5886" s="952"/>
      <c r="U5886" s="960"/>
      <c r="V5886" s="960"/>
      <c r="W5886" s="474">
        <f>(G5886-T5886)</f>
        <v>0</v>
      </c>
      <c r="X5886" s="71"/>
      <c r="Y5886" s="71"/>
    </row>
    <row r="5887" spans="1:25" s="209" customFormat="1" ht="30" hidden="1" customHeight="1" x14ac:dyDescent="0.25">
      <c r="A5887" s="1145">
        <v>45064</v>
      </c>
      <c r="B5887" s="664" t="s">
        <v>2353</v>
      </c>
      <c r="C5887" s="71" t="s">
        <v>130</v>
      </c>
      <c r="D5887" s="71">
        <v>10</v>
      </c>
      <c r="E5887" s="102">
        <v>148000</v>
      </c>
      <c r="F5887" s="102">
        <f t="shared" ref="F5887:F5894" si="2921">(E5887*D5887)*1.1</f>
        <v>1628000.0000000002</v>
      </c>
      <c r="G5887" s="102">
        <f t="shared" ref="G5887:G5894" si="2922">(E5887*D5887)</f>
        <v>1480000</v>
      </c>
      <c r="H5887" s="690" t="s">
        <v>142</v>
      </c>
      <c r="I5887" s="71" t="s">
        <v>179</v>
      </c>
      <c r="J5887" s="53">
        <f>G5887-T5887</f>
        <v>360000</v>
      </c>
      <c r="K5887" s="63">
        <f t="shared" ref="K5887:K5898" si="2923">(J5887/(F5887/11*10))</f>
        <v>0.2432432432432432</v>
      </c>
      <c r="L5887" s="1212" t="s">
        <v>3747</v>
      </c>
      <c r="M5887" s="468" t="s">
        <v>2050</v>
      </c>
      <c r="N5887" s="1192">
        <f t="shared" si="2916"/>
        <v>45064</v>
      </c>
      <c r="O5887" s="71" t="s">
        <v>3383</v>
      </c>
      <c r="P5887" s="103" t="str">
        <f>(C5887)</f>
        <v>XL106 Blanket(1077*885)</v>
      </c>
      <c r="Q5887" s="71">
        <f>D5887</f>
        <v>10</v>
      </c>
      <c r="R5887" s="102">
        <v>112000</v>
      </c>
      <c r="S5887" s="102">
        <f>R5887*Q5887*1.1</f>
        <v>1232000</v>
      </c>
      <c r="T5887" s="102">
        <f>R5887*Q5887</f>
        <v>1120000</v>
      </c>
      <c r="U5887" s="71" t="s">
        <v>859</v>
      </c>
      <c r="V5887" s="71"/>
      <c r="W5887" s="474">
        <v>260000</v>
      </c>
      <c r="X5887" s="71"/>
      <c r="Y5887" s="71"/>
    </row>
    <row r="5888" spans="1:25" ht="30" hidden="1" customHeight="1" x14ac:dyDescent="0.25">
      <c r="A5888" s="1145">
        <v>45064</v>
      </c>
      <c r="B5888" s="664" t="s">
        <v>2353</v>
      </c>
      <c r="C5888" s="71" t="s">
        <v>129</v>
      </c>
      <c r="D5888" s="71">
        <v>7</v>
      </c>
      <c r="E5888" s="102">
        <v>325000</v>
      </c>
      <c r="F5888" s="102">
        <f t="shared" si="2921"/>
        <v>2502500</v>
      </c>
      <c r="G5888" s="102">
        <f t="shared" si="2922"/>
        <v>2275000</v>
      </c>
      <c r="H5888" s="690" t="s">
        <v>142</v>
      </c>
      <c r="I5888" s="71" t="s">
        <v>179</v>
      </c>
      <c r="J5888" s="53">
        <f>G5888-T5888</f>
        <v>636440</v>
      </c>
      <c r="K5888" s="63">
        <f t="shared" si="2923"/>
        <v>0.27975384615384613</v>
      </c>
      <c r="L5888" s="1212" t="s">
        <v>3751</v>
      </c>
      <c r="M5888" s="468" t="s">
        <v>2050</v>
      </c>
      <c r="N5888" s="1192">
        <f t="shared" si="2916"/>
        <v>45064</v>
      </c>
      <c r="O5888" s="71" t="s">
        <v>149</v>
      </c>
      <c r="P5888" s="103" t="str">
        <f>(C5888)</f>
        <v>세정포-XL106</v>
      </c>
      <c r="Q5888" s="71">
        <f>D5888</f>
        <v>7</v>
      </c>
      <c r="R5888" s="102">
        <v>234080</v>
      </c>
      <c r="S5888" s="102">
        <f>R5888*Q5888*1.1</f>
        <v>1802416.0000000002</v>
      </c>
      <c r="T5888" s="102">
        <f>R5888*Q5888</f>
        <v>1638560</v>
      </c>
      <c r="U5888" s="71" t="str">
        <f>IF(J5888=W5888,"O", "X")</f>
        <v>O</v>
      </c>
      <c r="V5888" s="71"/>
      <c r="W5888" s="474">
        <f>(G5888-T5888)</f>
        <v>636440</v>
      </c>
      <c r="X5888" s="71"/>
      <c r="Y5888" s="71"/>
    </row>
    <row r="5889" spans="1:25" s="209" customFormat="1" ht="30" hidden="1" customHeight="1" x14ac:dyDescent="0.25">
      <c r="A5889" s="1145">
        <v>45064</v>
      </c>
      <c r="B5889" s="664" t="s">
        <v>2353</v>
      </c>
      <c r="C5889" s="71" t="s">
        <v>3299</v>
      </c>
      <c r="D5889" s="71">
        <v>10</v>
      </c>
      <c r="E5889" s="102">
        <v>83000</v>
      </c>
      <c r="F5889" s="102">
        <f t="shared" si="2921"/>
        <v>913000.00000000012</v>
      </c>
      <c r="G5889" s="102">
        <f t="shared" si="2922"/>
        <v>830000</v>
      </c>
      <c r="H5889" s="690" t="s">
        <v>142</v>
      </c>
      <c r="I5889" s="71" t="s">
        <v>179</v>
      </c>
      <c r="J5889" s="53">
        <f>G5889-T5889</f>
        <v>355000</v>
      </c>
      <c r="K5889" s="63">
        <f t="shared" si="2923"/>
        <v>0.42771084337349391</v>
      </c>
      <c r="L5889" s="1212" t="s">
        <v>3751</v>
      </c>
      <c r="M5889" s="468" t="s">
        <v>2214</v>
      </c>
      <c r="N5889" s="1192">
        <f t="shared" si="2916"/>
        <v>45064</v>
      </c>
      <c r="O5889" s="71" t="s">
        <v>3383</v>
      </c>
      <c r="P5889" s="103" t="str">
        <f>(C5889)</f>
        <v>매엽용 세척제(Wash k11)</v>
      </c>
      <c r="Q5889" s="71">
        <f>D5889</f>
        <v>10</v>
      </c>
      <c r="R5889" s="102">
        <v>47500</v>
      </c>
      <c r="S5889" s="102">
        <f>R5889*Q5889*1.1</f>
        <v>522500.00000000006</v>
      </c>
      <c r="T5889" s="102">
        <f>R5889*Q5889</f>
        <v>475000</v>
      </c>
      <c r="U5889" s="71" t="s">
        <v>859</v>
      </c>
      <c r="V5889" s="71"/>
      <c r="W5889" s="474">
        <v>136000</v>
      </c>
      <c r="X5889" s="71"/>
      <c r="Y5889" s="71"/>
    </row>
    <row r="5890" spans="1:25" s="209" customFormat="1" ht="30" hidden="1" customHeight="1" x14ac:dyDescent="0.25">
      <c r="A5890" s="1145">
        <v>45077</v>
      </c>
      <c r="B5890" s="664" t="s">
        <v>2353</v>
      </c>
      <c r="C5890" s="71" t="s">
        <v>130</v>
      </c>
      <c r="D5890" s="71">
        <v>10</v>
      </c>
      <c r="E5890" s="102">
        <v>148000</v>
      </c>
      <c r="F5890" s="102">
        <f t="shared" si="2921"/>
        <v>1628000.0000000002</v>
      </c>
      <c r="G5890" s="102">
        <f t="shared" si="2922"/>
        <v>1480000</v>
      </c>
      <c r="H5890" s="690" t="s">
        <v>142</v>
      </c>
      <c r="I5890" s="71" t="s">
        <v>179</v>
      </c>
      <c r="J5890" s="53">
        <f t="shared" ref="J5890:J5898" si="2924">G5890-T5890</f>
        <v>360000</v>
      </c>
      <c r="K5890" s="63">
        <f t="shared" si="2923"/>
        <v>0.2432432432432432</v>
      </c>
      <c r="L5890" s="1212" t="s">
        <v>3751</v>
      </c>
      <c r="M5890" s="468" t="s">
        <v>2050</v>
      </c>
      <c r="N5890" s="1192">
        <f>A5890</f>
        <v>45077</v>
      </c>
      <c r="O5890" s="71" t="s">
        <v>3383</v>
      </c>
      <c r="P5890" s="103" t="str">
        <f t="shared" ref="P5890:P5922" si="2925">(C5890)</f>
        <v>XL106 Blanket(1077*885)</v>
      </c>
      <c r="Q5890" s="71">
        <f t="shared" ref="Q5890:Q5922" si="2926">D5890</f>
        <v>10</v>
      </c>
      <c r="R5890" s="102">
        <v>112000</v>
      </c>
      <c r="S5890" s="102">
        <f t="shared" ref="S5890:S5898" si="2927">R5890*Q5890*1.1</f>
        <v>1232000</v>
      </c>
      <c r="T5890" s="102">
        <f t="shared" ref="T5890:T5898" si="2928">R5890*Q5890</f>
        <v>1120000</v>
      </c>
      <c r="U5890" s="71" t="s">
        <v>859</v>
      </c>
      <c r="V5890" s="71"/>
      <c r="W5890" s="474">
        <v>260000</v>
      </c>
      <c r="X5890" s="71"/>
      <c r="Y5890" s="71"/>
    </row>
    <row r="5891" spans="1:25" ht="30" hidden="1" customHeight="1" x14ac:dyDescent="0.25">
      <c r="A5891" s="1145">
        <v>45077</v>
      </c>
      <c r="B5891" s="664" t="s">
        <v>2353</v>
      </c>
      <c r="C5891" s="71" t="s">
        <v>129</v>
      </c>
      <c r="D5891" s="71">
        <v>7</v>
      </c>
      <c r="E5891" s="102">
        <v>325000</v>
      </c>
      <c r="F5891" s="102">
        <f t="shared" si="2921"/>
        <v>2502500</v>
      </c>
      <c r="G5891" s="102">
        <f t="shared" si="2922"/>
        <v>2275000</v>
      </c>
      <c r="H5891" s="690" t="s">
        <v>142</v>
      </c>
      <c r="I5891" s="71" t="s">
        <v>179</v>
      </c>
      <c r="J5891" s="53">
        <f t="shared" si="2924"/>
        <v>636440</v>
      </c>
      <c r="K5891" s="63">
        <f t="shared" si="2923"/>
        <v>0.27975384615384613</v>
      </c>
      <c r="L5891" s="1212" t="s">
        <v>3751</v>
      </c>
      <c r="M5891" s="468" t="s">
        <v>2050</v>
      </c>
      <c r="N5891" s="1192">
        <f>A5891</f>
        <v>45077</v>
      </c>
      <c r="O5891" s="71" t="s">
        <v>149</v>
      </c>
      <c r="P5891" s="103" t="str">
        <f t="shared" si="2925"/>
        <v>세정포-XL106</v>
      </c>
      <c r="Q5891" s="71">
        <f t="shared" si="2926"/>
        <v>7</v>
      </c>
      <c r="R5891" s="102">
        <v>234080</v>
      </c>
      <c r="S5891" s="102">
        <f t="shared" si="2927"/>
        <v>1802416.0000000002</v>
      </c>
      <c r="T5891" s="102">
        <f t="shared" si="2928"/>
        <v>1638560</v>
      </c>
      <c r="U5891" s="71" t="str">
        <f>IF(J5891=W5891,"O", "X")</f>
        <v>O</v>
      </c>
      <c r="V5891" s="71"/>
      <c r="W5891" s="474">
        <f>(G5891-T5891)</f>
        <v>636440</v>
      </c>
      <c r="X5891" s="71"/>
      <c r="Y5891" s="71"/>
    </row>
    <row r="5892" spans="1:25" ht="30" hidden="1" customHeight="1" x14ac:dyDescent="0.25">
      <c r="A5892" s="1145">
        <v>45077</v>
      </c>
      <c r="B5892" s="664" t="s">
        <v>2353</v>
      </c>
      <c r="C5892" s="71" t="s">
        <v>2137</v>
      </c>
      <c r="D5892" s="71">
        <v>5</v>
      </c>
      <c r="E5892" s="102">
        <v>125000</v>
      </c>
      <c r="F5892" s="102">
        <f t="shared" si="2921"/>
        <v>687500</v>
      </c>
      <c r="G5892" s="102">
        <f t="shared" si="2922"/>
        <v>625000</v>
      </c>
      <c r="H5892" s="690" t="s">
        <v>142</v>
      </c>
      <c r="I5892" s="71" t="s">
        <v>142</v>
      </c>
      <c r="J5892" s="53">
        <f t="shared" si="2924"/>
        <v>150000</v>
      </c>
      <c r="K5892" s="63">
        <f t="shared" si="2923"/>
        <v>0.24</v>
      </c>
      <c r="L5892" s="1212" t="s">
        <v>3751</v>
      </c>
      <c r="M5892" s="468"/>
      <c r="N5892" s="1192">
        <f>A5892</f>
        <v>45077</v>
      </c>
      <c r="O5892" s="71" t="s">
        <v>150</v>
      </c>
      <c r="P5892" s="103" t="str">
        <f t="shared" si="2925"/>
        <v>잉크집 아스테이지</v>
      </c>
      <c r="Q5892" s="71">
        <f t="shared" si="2926"/>
        <v>5</v>
      </c>
      <c r="R5892" s="102">
        <v>95000</v>
      </c>
      <c r="S5892" s="102">
        <f t="shared" si="2927"/>
        <v>522500.00000000006</v>
      </c>
      <c r="T5892" s="102">
        <f t="shared" si="2928"/>
        <v>475000</v>
      </c>
      <c r="U5892" s="71"/>
      <c r="V5892" s="71"/>
      <c r="W5892" s="474"/>
      <c r="X5892" s="71"/>
      <c r="Y5892" s="71"/>
    </row>
    <row r="5893" spans="1:25" ht="30" hidden="1" customHeight="1" x14ac:dyDescent="0.25">
      <c r="A5893" s="1145">
        <v>45064</v>
      </c>
      <c r="B5893" s="664" t="s">
        <v>2353</v>
      </c>
      <c r="C5893" s="71" t="s">
        <v>123</v>
      </c>
      <c r="D5893" s="71">
        <v>3</v>
      </c>
      <c r="E5893" s="102">
        <v>50000</v>
      </c>
      <c r="F5893" s="102">
        <f t="shared" si="2921"/>
        <v>165000</v>
      </c>
      <c r="G5893" s="102">
        <f t="shared" si="2922"/>
        <v>150000</v>
      </c>
      <c r="H5893" s="690" t="s">
        <v>142</v>
      </c>
      <c r="I5893" s="71" t="s">
        <v>179</v>
      </c>
      <c r="J5893" s="53">
        <f t="shared" si="2924"/>
        <v>78000</v>
      </c>
      <c r="K5893" s="63">
        <f t="shared" si="2923"/>
        <v>0.52</v>
      </c>
      <c r="L5893" s="1212" t="s">
        <v>3751</v>
      </c>
      <c r="M5893" s="102"/>
      <c r="N5893" s="1192">
        <f>A5893</f>
        <v>45064</v>
      </c>
      <c r="O5893" s="71" t="s">
        <v>94</v>
      </c>
      <c r="P5893" s="103" t="str">
        <f t="shared" si="2925"/>
        <v>필터백</v>
      </c>
      <c r="Q5893" s="71">
        <f t="shared" si="2926"/>
        <v>3</v>
      </c>
      <c r="R5893" s="102">
        <v>24000</v>
      </c>
      <c r="S5893" s="102">
        <f t="shared" si="2927"/>
        <v>79200</v>
      </c>
      <c r="T5893" s="102">
        <f t="shared" si="2928"/>
        <v>72000</v>
      </c>
      <c r="U5893" s="71"/>
      <c r="V5893" s="71"/>
      <c r="W5893" s="474"/>
      <c r="X5893" s="71"/>
      <c r="Y5893" s="71"/>
    </row>
    <row r="5894" spans="1:25" ht="30" hidden="1" customHeight="1" x14ac:dyDescent="0.25">
      <c r="A5894" s="1145">
        <v>45064</v>
      </c>
      <c r="B5894" s="664" t="s">
        <v>2353</v>
      </c>
      <c r="C5894" s="71" t="s">
        <v>584</v>
      </c>
      <c r="D5894" s="71">
        <v>4</v>
      </c>
      <c r="E5894" s="102">
        <v>270000</v>
      </c>
      <c r="F5894" s="102">
        <f t="shared" si="2921"/>
        <v>1188000</v>
      </c>
      <c r="G5894" s="102">
        <f t="shared" si="2922"/>
        <v>1080000</v>
      </c>
      <c r="H5894" s="690" t="s">
        <v>142</v>
      </c>
      <c r="I5894" s="71" t="s">
        <v>179</v>
      </c>
      <c r="J5894" s="53">
        <f t="shared" si="2924"/>
        <v>328000</v>
      </c>
      <c r="K5894" s="63">
        <f t="shared" si="2923"/>
        <v>0.3037037037037037</v>
      </c>
      <c r="L5894" s="1212" t="s">
        <v>3751</v>
      </c>
      <c r="M5894" s="468"/>
      <c r="N5894" s="1192">
        <f>A5894</f>
        <v>45064</v>
      </c>
      <c r="O5894" s="71" t="s">
        <v>150</v>
      </c>
      <c r="P5894" s="103" t="str">
        <f t="shared" si="2925"/>
        <v>데리바리 석션벨트</v>
      </c>
      <c r="Q5894" s="71">
        <f t="shared" si="2926"/>
        <v>4</v>
      </c>
      <c r="R5894" s="102">
        <v>188000</v>
      </c>
      <c r="S5894" s="102">
        <f t="shared" si="2927"/>
        <v>827200.00000000012</v>
      </c>
      <c r="T5894" s="102">
        <f t="shared" si="2928"/>
        <v>752000</v>
      </c>
      <c r="U5894" s="71" t="str">
        <f>IF(J5894=W5894,"O", "X")</f>
        <v>O</v>
      </c>
      <c r="V5894" s="71"/>
      <c r="W5894" s="474">
        <f>(G5894-T5894)</f>
        <v>328000</v>
      </c>
      <c r="X5894" s="71"/>
      <c r="Y5894" s="71"/>
    </row>
    <row r="5895" spans="1:25" ht="30" customHeight="1" x14ac:dyDescent="0.25">
      <c r="A5895" s="1145">
        <v>45049</v>
      </c>
      <c r="B5895" s="664" t="s">
        <v>2536</v>
      </c>
      <c r="C5895" s="71" t="s">
        <v>3478</v>
      </c>
      <c r="D5895" s="71">
        <v>64</v>
      </c>
      <c r="E5895" s="102">
        <v>18500</v>
      </c>
      <c r="F5895" s="102">
        <f t="shared" ref="F5895:F5922" si="2929">(E5895*D5895)*1.1</f>
        <v>1302400</v>
      </c>
      <c r="G5895" s="102">
        <f t="shared" ref="G5895:G5922" si="2930">(E5895*D5895)</f>
        <v>1184000</v>
      </c>
      <c r="H5895" s="690" t="s">
        <v>142</v>
      </c>
      <c r="I5895" s="71" t="s">
        <v>179</v>
      </c>
      <c r="J5895" s="53">
        <f t="shared" si="2924"/>
        <v>474624</v>
      </c>
      <c r="K5895" s="63">
        <f t="shared" si="2923"/>
        <v>0.40086486486486489</v>
      </c>
      <c r="L5895" s="1212" t="s">
        <v>3751</v>
      </c>
      <c r="M5895" s="468"/>
      <c r="N5895" s="1192">
        <f t="shared" ref="N5895:N5922" si="2931">A5895</f>
        <v>45049</v>
      </c>
      <c r="O5895" s="71"/>
      <c r="P5895" s="103" t="str">
        <f t="shared" si="2925"/>
        <v>고모리 윤전 블랑켓 건식 세정포 - 국전용</v>
      </c>
      <c r="Q5895" s="71">
        <f t="shared" si="2926"/>
        <v>64</v>
      </c>
      <c r="R5895" s="102">
        <v>11084</v>
      </c>
      <c r="S5895" s="102">
        <f t="shared" si="2927"/>
        <v>780313.60000000009</v>
      </c>
      <c r="T5895" s="102">
        <f t="shared" si="2928"/>
        <v>709376</v>
      </c>
      <c r="U5895" s="71"/>
      <c r="V5895" s="71"/>
      <c r="W5895" s="474"/>
      <c r="X5895" s="71"/>
      <c r="Y5895" s="71"/>
    </row>
    <row r="5896" spans="1:25" ht="30" customHeight="1" x14ac:dyDescent="0.25">
      <c r="A5896" s="1145">
        <v>45062</v>
      </c>
      <c r="B5896" s="664" t="s">
        <v>2352</v>
      </c>
      <c r="C5896" s="760" t="s">
        <v>218</v>
      </c>
      <c r="D5896" s="71">
        <v>2</v>
      </c>
      <c r="E5896" s="102">
        <v>286000</v>
      </c>
      <c r="F5896" s="102">
        <f t="shared" si="2929"/>
        <v>629200</v>
      </c>
      <c r="G5896" s="102">
        <f t="shared" si="2930"/>
        <v>572000</v>
      </c>
      <c r="H5896" s="690" t="s">
        <v>142</v>
      </c>
      <c r="I5896" s="71" t="s">
        <v>179</v>
      </c>
      <c r="J5896" s="53">
        <f t="shared" si="2924"/>
        <v>347000</v>
      </c>
      <c r="K5896" s="63">
        <f t="shared" si="2923"/>
        <v>0.60664335664335667</v>
      </c>
      <c r="L5896" s="1212" t="s">
        <v>3751</v>
      </c>
      <c r="M5896" s="468" t="s">
        <v>2053</v>
      </c>
      <c r="N5896" s="1192">
        <f t="shared" si="2931"/>
        <v>45062</v>
      </c>
      <c r="O5896" s="71" t="s">
        <v>150</v>
      </c>
      <c r="P5896" s="103" t="str">
        <f t="shared" si="2925"/>
        <v>Fount Web 551AF</v>
      </c>
      <c r="Q5896" s="71">
        <f t="shared" si="2926"/>
        <v>2</v>
      </c>
      <c r="R5896" s="102">
        <v>112500</v>
      </c>
      <c r="S5896" s="102">
        <f t="shared" si="2927"/>
        <v>247500.00000000003</v>
      </c>
      <c r="T5896" s="102">
        <f t="shared" si="2928"/>
        <v>225000</v>
      </c>
      <c r="U5896" s="71" t="str">
        <f>IF(J5896=W5896,"O", "X")</f>
        <v>O</v>
      </c>
      <c r="V5896" s="71"/>
      <c r="W5896" s="474">
        <f>(G5896-T5896)</f>
        <v>347000</v>
      </c>
      <c r="X5896" s="71"/>
      <c r="Y5896" s="71"/>
    </row>
    <row r="5897" spans="1:25" ht="30" customHeight="1" x14ac:dyDescent="0.25">
      <c r="A5897" s="1145">
        <v>45062</v>
      </c>
      <c r="B5897" s="664" t="s">
        <v>2352</v>
      </c>
      <c r="C5897" s="71" t="s">
        <v>692</v>
      </c>
      <c r="D5897" s="71">
        <v>8</v>
      </c>
      <c r="E5897" s="102">
        <v>264000</v>
      </c>
      <c r="F5897" s="102">
        <f t="shared" si="2929"/>
        <v>2323200</v>
      </c>
      <c r="G5897" s="102">
        <f t="shared" si="2930"/>
        <v>2112000</v>
      </c>
      <c r="H5897" s="690" t="s">
        <v>142</v>
      </c>
      <c r="I5897" s="71" t="s">
        <v>179</v>
      </c>
      <c r="J5897" s="53">
        <f t="shared" si="2924"/>
        <v>832000</v>
      </c>
      <c r="K5897" s="63">
        <f t="shared" si="2923"/>
        <v>0.39393939393939392</v>
      </c>
      <c r="L5897" s="1212" t="s">
        <v>3751</v>
      </c>
      <c r="M5897" s="468" t="s">
        <v>2052</v>
      </c>
      <c r="N5897" s="1192">
        <f t="shared" si="2931"/>
        <v>45062</v>
      </c>
      <c r="O5897" s="71" t="s">
        <v>150</v>
      </c>
      <c r="P5897" s="103" t="str">
        <f t="shared" si="2925"/>
        <v>윤전 블랑켓</v>
      </c>
      <c r="Q5897" s="71">
        <f t="shared" si="2926"/>
        <v>8</v>
      </c>
      <c r="R5897" s="102">
        <v>160000</v>
      </c>
      <c r="S5897" s="102">
        <f t="shared" si="2927"/>
        <v>1408000</v>
      </c>
      <c r="T5897" s="102">
        <f t="shared" si="2928"/>
        <v>1280000</v>
      </c>
      <c r="U5897" s="71" t="str">
        <f>IF(J5897=W5897,"O", "X")</f>
        <v>O</v>
      </c>
      <c r="V5897" s="71" t="s">
        <v>784</v>
      </c>
      <c r="W5897" s="474">
        <f>(G5897-T5897)</f>
        <v>832000</v>
      </c>
      <c r="X5897" s="71"/>
      <c r="Y5897" s="71"/>
    </row>
    <row r="5898" spans="1:25" s="209" customFormat="1" ht="30" customHeight="1" x14ac:dyDescent="0.25">
      <c r="A5898" s="1145">
        <v>45062</v>
      </c>
      <c r="B5898" s="664" t="s">
        <v>2352</v>
      </c>
      <c r="C5898" s="71" t="s">
        <v>583</v>
      </c>
      <c r="D5898" s="71">
        <v>16</v>
      </c>
      <c r="E5898" s="102">
        <v>98000</v>
      </c>
      <c r="F5898" s="102">
        <f t="shared" si="2929"/>
        <v>1724800.0000000002</v>
      </c>
      <c r="G5898" s="102">
        <f t="shared" si="2930"/>
        <v>1568000</v>
      </c>
      <c r="H5898" s="690" t="s">
        <v>142</v>
      </c>
      <c r="I5898" s="71" t="s">
        <v>142</v>
      </c>
      <c r="J5898" s="53">
        <f t="shared" si="2924"/>
        <v>864000</v>
      </c>
      <c r="K5898" s="63">
        <f t="shared" si="2923"/>
        <v>0.55102040816326525</v>
      </c>
      <c r="L5898" s="1212" t="s">
        <v>3751</v>
      </c>
      <c r="M5898" s="468" t="s">
        <v>2053</v>
      </c>
      <c r="N5898" s="1192">
        <f t="shared" si="2931"/>
        <v>45062</v>
      </c>
      <c r="O5898" s="71" t="s">
        <v>599</v>
      </c>
      <c r="P5898" s="103" t="str">
        <f t="shared" si="2925"/>
        <v>M600 윤전 세정포</v>
      </c>
      <c r="Q5898" s="71">
        <f t="shared" si="2926"/>
        <v>16</v>
      </c>
      <c r="R5898" s="102">
        <v>44000</v>
      </c>
      <c r="S5898" s="102">
        <f t="shared" si="2927"/>
        <v>774400.00000000012</v>
      </c>
      <c r="T5898" s="102">
        <f t="shared" si="2928"/>
        <v>704000</v>
      </c>
      <c r="U5898" s="71" t="str">
        <f>IF(J5898=W5898,"O", "X")</f>
        <v>O</v>
      </c>
      <c r="V5898" s="71"/>
      <c r="W5898" s="474">
        <f>(G5898-T5898)</f>
        <v>864000</v>
      </c>
      <c r="X5898" s="71"/>
      <c r="Y5898" s="71"/>
    </row>
    <row r="5899" spans="1:25" ht="30" customHeight="1" x14ac:dyDescent="0.25">
      <c r="A5899" s="1145">
        <v>45055</v>
      </c>
      <c r="B5899" s="664" t="s">
        <v>2536</v>
      </c>
      <c r="C5899" s="71" t="s">
        <v>2009</v>
      </c>
      <c r="D5899" s="71">
        <v>1</v>
      </c>
      <c r="E5899" s="102">
        <v>700000</v>
      </c>
      <c r="F5899" s="102">
        <f t="shared" si="2929"/>
        <v>770000.00000000012</v>
      </c>
      <c r="G5899" s="102">
        <f t="shared" si="2930"/>
        <v>700000</v>
      </c>
      <c r="H5899" s="690" t="s">
        <v>985</v>
      </c>
      <c r="I5899" s="71" t="s">
        <v>985</v>
      </c>
      <c r="J5899" s="53"/>
      <c r="K5899" s="63"/>
      <c r="L5899" s="1212" t="s">
        <v>3751</v>
      </c>
      <c r="M5899" s="102"/>
      <c r="N5899" s="1192">
        <f t="shared" si="2931"/>
        <v>45055</v>
      </c>
      <c r="O5899" s="71"/>
      <c r="P5899" s="103" t="str">
        <f t="shared" si="2925"/>
        <v>M600 서비스 비용</v>
      </c>
      <c r="Q5899" s="71">
        <f t="shared" si="2926"/>
        <v>1</v>
      </c>
      <c r="R5899" s="102"/>
      <c r="S5899" s="102"/>
      <c r="T5899" s="102"/>
      <c r="U5899" s="71"/>
      <c r="V5899" s="71"/>
      <c r="W5899" s="474"/>
      <c r="X5899" s="71"/>
      <c r="Y5899" s="71"/>
    </row>
    <row r="5900" spans="1:25" ht="30" customHeight="1" x14ac:dyDescent="0.25">
      <c r="A5900" s="1145">
        <v>45069</v>
      </c>
      <c r="B5900" s="664" t="s">
        <v>565</v>
      </c>
      <c r="C5900" s="71" t="s">
        <v>3748</v>
      </c>
      <c r="D5900" s="71">
        <v>10</v>
      </c>
      <c r="E5900" s="102">
        <v>90000</v>
      </c>
      <c r="F5900" s="102">
        <f t="shared" si="2929"/>
        <v>990000.00000000012</v>
      </c>
      <c r="G5900" s="102">
        <f t="shared" si="2930"/>
        <v>900000</v>
      </c>
      <c r="H5900" s="690" t="s">
        <v>142</v>
      </c>
      <c r="I5900" s="690" t="s">
        <v>142</v>
      </c>
      <c r="J5900" s="53">
        <f>G5900-T5900</f>
        <v>90000</v>
      </c>
      <c r="K5900" s="63">
        <f>(J5900/(F5900/11*10))</f>
        <v>9.9999999999999992E-2</v>
      </c>
      <c r="L5900" s="1212" t="s">
        <v>3751</v>
      </c>
      <c r="M5900" s="468"/>
      <c r="N5900" s="1192">
        <f t="shared" si="2931"/>
        <v>45069</v>
      </c>
      <c r="O5900" s="71" t="s">
        <v>194</v>
      </c>
      <c r="P5900" s="164" t="str">
        <f t="shared" si="2925"/>
        <v>제판실 베어링</v>
      </c>
      <c r="Q5900" s="71">
        <f t="shared" si="2926"/>
        <v>10</v>
      </c>
      <c r="R5900" s="102">
        <v>81000</v>
      </c>
      <c r="S5900" s="102">
        <f>R5900*Q5900*1.1</f>
        <v>891000.00000000012</v>
      </c>
      <c r="T5900" s="102">
        <f>R5900*Q5900</f>
        <v>810000</v>
      </c>
      <c r="U5900" s="71"/>
      <c r="V5900" s="71"/>
      <c r="W5900" s="474"/>
      <c r="X5900" s="71"/>
      <c r="Y5900" s="71"/>
    </row>
    <row r="5901" spans="1:25" ht="30" customHeight="1" x14ac:dyDescent="0.25">
      <c r="A5901" s="1145">
        <v>45076</v>
      </c>
      <c r="B5901" s="664" t="s">
        <v>641</v>
      </c>
      <c r="C5901" s="71" t="s">
        <v>3293</v>
      </c>
      <c r="D5901" s="71">
        <v>140</v>
      </c>
      <c r="E5901" s="102">
        <v>84000</v>
      </c>
      <c r="F5901" s="102">
        <f t="shared" si="2929"/>
        <v>12936000.000000002</v>
      </c>
      <c r="G5901" s="102">
        <f t="shared" si="2930"/>
        <v>11760000</v>
      </c>
      <c r="H5901" s="690" t="s">
        <v>172</v>
      </c>
      <c r="I5901" s="71" t="s">
        <v>38</v>
      </c>
      <c r="J5901" s="53">
        <f t="shared" ref="J5901:J5922" si="2932">G5901-T5901</f>
        <v>4620000</v>
      </c>
      <c r="K5901" s="63">
        <f t="shared" ref="K5901:K5922" si="2933">(J5901/(F5901/11*10))</f>
        <v>0.39285714285714279</v>
      </c>
      <c r="L5901" s="1212" t="s">
        <v>3751</v>
      </c>
      <c r="M5901" s="468"/>
      <c r="N5901" s="1192">
        <f t="shared" si="2931"/>
        <v>45076</v>
      </c>
      <c r="O5901" s="71" t="s">
        <v>3291</v>
      </c>
      <c r="P5901" s="103" t="str">
        <f t="shared" si="2925"/>
        <v>GOSS 신문윤전 습식세정포</v>
      </c>
      <c r="Q5901" s="71">
        <f t="shared" si="2926"/>
        <v>140</v>
      </c>
      <c r="R5901" s="102">
        <v>51000</v>
      </c>
      <c r="S5901" s="102">
        <f t="shared" ref="S5901:S5922" si="2934">R5901*Q5901*1.1</f>
        <v>7854000.0000000009</v>
      </c>
      <c r="T5901" s="102">
        <f t="shared" ref="T5901:T5922" si="2935">R5901*Q5901</f>
        <v>7140000</v>
      </c>
      <c r="U5901" s="71" t="str">
        <f>IF(J5901=W5901,"O", "X")</f>
        <v>X</v>
      </c>
      <c r="V5901" s="71"/>
      <c r="W5901" s="474"/>
      <c r="X5901" s="71"/>
      <c r="Y5901" s="71"/>
    </row>
    <row r="5902" spans="1:25" ht="30" hidden="1" customHeight="1" x14ac:dyDescent="0.25">
      <c r="A5902" s="1145">
        <v>45071</v>
      </c>
      <c r="B5902" s="664" t="s">
        <v>1060</v>
      </c>
      <c r="C5902" s="71" t="s">
        <v>3655</v>
      </c>
      <c r="D5902" s="71">
        <v>900</v>
      </c>
      <c r="E5902" s="102">
        <v>5710</v>
      </c>
      <c r="F5902" s="102">
        <f t="shared" si="2929"/>
        <v>5652900</v>
      </c>
      <c r="G5902" s="102">
        <f t="shared" si="2930"/>
        <v>5139000</v>
      </c>
      <c r="H5902" s="690" t="s">
        <v>36</v>
      </c>
      <c r="I5902" s="71" t="s">
        <v>2529</v>
      </c>
      <c r="J5902" s="53">
        <f t="shared" si="2932"/>
        <v>1588500</v>
      </c>
      <c r="K5902" s="63">
        <f t="shared" si="2933"/>
        <v>0.30910683012259194</v>
      </c>
      <c r="L5902" s="1212" t="s">
        <v>3749</v>
      </c>
      <c r="M5902" s="102" t="s">
        <v>3662</v>
      </c>
      <c r="N5902" s="1192">
        <f t="shared" si="2931"/>
        <v>45071</v>
      </c>
      <c r="O5902" s="71" t="s">
        <v>150</v>
      </c>
      <c r="P5902" s="103" t="str">
        <f t="shared" si="2925"/>
        <v>Saphira CTP 판 1030 x 790</v>
      </c>
      <c r="Q5902" s="71">
        <f t="shared" si="2926"/>
        <v>900</v>
      </c>
      <c r="R5902" s="102">
        <v>3945</v>
      </c>
      <c r="S5902" s="102">
        <f t="shared" si="2934"/>
        <v>3905550.0000000005</v>
      </c>
      <c r="T5902" s="102">
        <f t="shared" si="2935"/>
        <v>3550500</v>
      </c>
      <c r="U5902" s="71" t="s">
        <v>859</v>
      </c>
      <c r="V5902" s="71"/>
      <c r="W5902" s="474">
        <v>942000</v>
      </c>
      <c r="X5902" s="71"/>
      <c r="Y5902" s="71"/>
    </row>
    <row r="5903" spans="1:25" ht="30" hidden="1" customHeight="1" x14ac:dyDescent="0.25">
      <c r="A5903" s="1145">
        <v>45071</v>
      </c>
      <c r="B5903" s="664" t="s">
        <v>2255</v>
      </c>
      <c r="C5903" s="71" t="s">
        <v>3656</v>
      </c>
      <c r="D5903" s="71">
        <v>2200</v>
      </c>
      <c r="E5903" s="102">
        <v>3610</v>
      </c>
      <c r="F5903" s="102">
        <f t="shared" si="2929"/>
        <v>8736200</v>
      </c>
      <c r="G5903" s="102">
        <f t="shared" si="2930"/>
        <v>7942000</v>
      </c>
      <c r="H5903" s="690" t="s">
        <v>36</v>
      </c>
      <c r="I5903" s="71" t="s">
        <v>2529</v>
      </c>
      <c r="J5903" s="53">
        <f t="shared" si="2932"/>
        <v>2457400</v>
      </c>
      <c r="K5903" s="63">
        <f t="shared" si="2933"/>
        <v>0.30941828254847648</v>
      </c>
      <c r="L5903" s="1212" t="s">
        <v>3749</v>
      </c>
      <c r="M5903" s="102" t="s">
        <v>3662</v>
      </c>
      <c r="N5903" s="1192">
        <f t="shared" si="2931"/>
        <v>45071</v>
      </c>
      <c r="O5903" s="71" t="s">
        <v>150</v>
      </c>
      <c r="P5903" s="103" t="str">
        <f t="shared" si="2925"/>
        <v>Saphira CTP 판 900 x 571</v>
      </c>
      <c r="Q5903" s="71">
        <f t="shared" si="2926"/>
        <v>2200</v>
      </c>
      <c r="R5903" s="102">
        <v>2493</v>
      </c>
      <c r="S5903" s="102">
        <f t="shared" si="2934"/>
        <v>6033060.0000000009</v>
      </c>
      <c r="T5903" s="102">
        <f t="shared" si="2935"/>
        <v>5484600</v>
      </c>
      <c r="U5903" s="71" t="s">
        <v>859</v>
      </c>
      <c r="V5903" s="71"/>
      <c r="W5903" s="474">
        <v>1274000</v>
      </c>
      <c r="X5903" s="71"/>
      <c r="Y5903" s="71"/>
    </row>
    <row r="5904" spans="1:25" ht="30" hidden="1" customHeight="1" x14ac:dyDescent="0.25">
      <c r="A5904" s="1145">
        <v>45071</v>
      </c>
      <c r="B5904" s="664" t="s">
        <v>2255</v>
      </c>
      <c r="C5904" s="71" t="s">
        <v>3657</v>
      </c>
      <c r="D5904" s="71">
        <v>2000</v>
      </c>
      <c r="E5904" s="102">
        <v>3410</v>
      </c>
      <c r="F5904" s="102">
        <f t="shared" si="2929"/>
        <v>7502000.0000000009</v>
      </c>
      <c r="G5904" s="102">
        <f t="shared" si="2930"/>
        <v>6820000</v>
      </c>
      <c r="H5904" s="690" t="s">
        <v>36</v>
      </c>
      <c r="I5904" s="71" t="s">
        <v>2529</v>
      </c>
      <c r="J5904" s="53">
        <f t="shared" si="2932"/>
        <v>2082000</v>
      </c>
      <c r="K5904" s="63">
        <f t="shared" si="2933"/>
        <v>0.30527859237536653</v>
      </c>
      <c r="L5904" s="1212" t="s">
        <v>3749</v>
      </c>
      <c r="M5904" s="102" t="s">
        <v>3662</v>
      </c>
      <c r="N5904" s="1192">
        <f t="shared" si="2931"/>
        <v>45071</v>
      </c>
      <c r="O5904" s="71" t="s">
        <v>150</v>
      </c>
      <c r="P5904" s="103" t="str">
        <f t="shared" si="2925"/>
        <v>Saphira CTP 판 883 x 552</v>
      </c>
      <c r="Q5904" s="71">
        <f t="shared" si="2926"/>
        <v>2000</v>
      </c>
      <c r="R5904" s="102">
        <v>2369</v>
      </c>
      <c r="S5904" s="102">
        <f t="shared" si="2934"/>
        <v>5211800</v>
      </c>
      <c r="T5904" s="102">
        <f t="shared" si="2935"/>
        <v>4738000</v>
      </c>
      <c r="U5904" s="71" t="s">
        <v>859</v>
      </c>
      <c r="V5904" s="71"/>
      <c r="W5904" s="474">
        <v>3325000</v>
      </c>
      <c r="X5904" s="71"/>
      <c r="Y5904" s="71"/>
    </row>
    <row r="5905" spans="1:25" ht="30" hidden="1" customHeight="1" x14ac:dyDescent="0.25">
      <c r="A5905" s="1145">
        <v>45071</v>
      </c>
      <c r="B5905" s="664" t="s">
        <v>2255</v>
      </c>
      <c r="C5905" s="71" t="s">
        <v>3658</v>
      </c>
      <c r="D5905" s="71">
        <v>1800</v>
      </c>
      <c r="E5905" s="102">
        <v>5790</v>
      </c>
      <c r="F5905" s="102">
        <f t="shared" si="2929"/>
        <v>11464200</v>
      </c>
      <c r="G5905" s="102">
        <f t="shared" si="2930"/>
        <v>10422000</v>
      </c>
      <c r="H5905" s="690" t="s">
        <v>36</v>
      </c>
      <c r="I5905" s="71" t="s">
        <v>2529</v>
      </c>
      <c r="J5905" s="53">
        <f t="shared" si="2932"/>
        <v>3229200</v>
      </c>
      <c r="K5905" s="63">
        <f t="shared" si="2933"/>
        <v>0.30984455958549223</v>
      </c>
      <c r="L5905" s="1212" t="s">
        <v>3749</v>
      </c>
      <c r="M5905" s="102" t="s">
        <v>3662</v>
      </c>
      <c r="N5905" s="1192">
        <f t="shared" si="2931"/>
        <v>45071</v>
      </c>
      <c r="O5905" s="71" t="s">
        <v>150</v>
      </c>
      <c r="P5905" s="103" t="str">
        <f t="shared" si="2925"/>
        <v>Saphira CTP 판 1030 x 800</v>
      </c>
      <c r="Q5905" s="71">
        <f t="shared" si="2926"/>
        <v>1800</v>
      </c>
      <c r="R5905" s="102">
        <v>3996</v>
      </c>
      <c r="S5905" s="102">
        <f t="shared" si="2934"/>
        <v>7912080.0000000009</v>
      </c>
      <c r="T5905" s="102">
        <f t="shared" si="2935"/>
        <v>7192800</v>
      </c>
      <c r="U5905" s="71" t="s">
        <v>859</v>
      </c>
      <c r="V5905" s="71"/>
      <c r="W5905" s="474">
        <v>636000</v>
      </c>
      <c r="X5905" s="71"/>
      <c r="Y5905" s="71"/>
    </row>
    <row r="5906" spans="1:25" ht="30" hidden="1" customHeight="1" x14ac:dyDescent="0.25">
      <c r="A5906" s="1145">
        <v>45071</v>
      </c>
      <c r="B5906" s="664" t="s">
        <v>2255</v>
      </c>
      <c r="C5906" s="71" t="s">
        <v>3659</v>
      </c>
      <c r="D5906" s="71">
        <v>1900</v>
      </c>
      <c r="E5906" s="102">
        <v>6010</v>
      </c>
      <c r="F5906" s="102">
        <f t="shared" si="2929"/>
        <v>12560900.000000002</v>
      </c>
      <c r="G5906" s="102">
        <f t="shared" si="2930"/>
        <v>11419000</v>
      </c>
      <c r="H5906" s="690" t="s">
        <v>36</v>
      </c>
      <c r="I5906" s="71" t="s">
        <v>2529</v>
      </c>
      <c r="J5906" s="53">
        <f t="shared" si="2932"/>
        <v>3532100</v>
      </c>
      <c r="K5906" s="63">
        <f t="shared" si="2933"/>
        <v>0.30931780366056566</v>
      </c>
      <c r="L5906" s="1212" t="s">
        <v>3749</v>
      </c>
      <c r="M5906" s="102" t="s">
        <v>3662</v>
      </c>
      <c r="N5906" s="1192">
        <f t="shared" si="2931"/>
        <v>45071</v>
      </c>
      <c r="O5906" s="71" t="s">
        <v>150</v>
      </c>
      <c r="P5906" s="103" t="str">
        <f t="shared" si="2925"/>
        <v>Saphira CTP 판 1055 x 811</v>
      </c>
      <c r="Q5906" s="71">
        <f t="shared" si="2926"/>
        <v>1900</v>
      </c>
      <c r="R5906" s="102">
        <v>4151</v>
      </c>
      <c r="S5906" s="102">
        <f t="shared" si="2934"/>
        <v>8675590</v>
      </c>
      <c r="T5906" s="102">
        <f t="shared" si="2935"/>
        <v>7886900</v>
      </c>
      <c r="U5906" s="71" t="s">
        <v>859</v>
      </c>
      <c r="V5906" s="71"/>
      <c r="W5906" s="474">
        <v>1476000</v>
      </c>
      <c r="X5906" s="71"/>
      <c r="Y5906" s="71"/>
    </row>
    <row r="5907" spans="1:25" ht="30" hidden="1" customHeight="1" x14ac:dyDescent="0.25">
      <c r="A5907" s="1145">
        <v>45071</v>
      </c>
      <c r="B5907" s="664" t="s">
        <v>2255</v>
      </c>
      <c r="C5907" s="71" t="s">
        <v>3660</v>
      </c>
      <c r="D5907" s="71">
        <v>400</v>
      </c>
      <c r="E5907" s="102">
        <v>4280</v>
      </c>
      <c r="F5907" s="102">
        <f t="shared" si="2929"/>
        <v>1883200.0000000002</v>
      </c>
      <c r="G5907" s="102">
        <f t="shared" si="2930"/>
        <v>1712000</v>
      </c>
      <c r="H5907" s="690" t="s">
        <v>36</v>
      </c>
      <c r="I5907" s="71" t="s">
        <v>2529</v>
      </c>
      <c r="J5907" s="53">
        <f t="shared" si="2932"/>
        <v>525600</v>
      </c>
      <c r="K5907" s="63">
        <f t="shared" si="2933"/>
        <v>0.30700934579439249</v>
      </c>
      <c r="L5907" s="1212" t="s">
        <v>3749</v>
      </c>
      <c r="M5907" s="102" t="s">
        <v>3662</v>
      </c>
      <c r="N5907" s="1192">
        <f t="shared" si="2931"/>
        <v>45071</v>
      </c>
      <c r="O5907" s="71" t="s">
        <v>150</v>
      </c>
      <c r="P5907" s="103" t="str">
        <f t="shared" si="2925"/>
        <v>Saphira CTP 판 968 x 631</v>
      </c>
      <c r="Q5907" s="71">
        <f t="shared" si="2926"/>
        <v>400</v>
      </c>
      <c r="R5907" s="102">
        <v>2966</v>
      </c>
      <c r="S5907" s="102">
        <f t="shared" si="2934"/>
        <v>1305040</v>
      </c>
      <c r="T5907" s="102">
        <f t="shared" si="2935"/>
        <v>1186400</v>
      </c>
      <c r="U5907" s="71" t="s">
        <v>859</v>
      </c>
      <c r="V5907" s="71"/>
      <c r="W5907" s="474">
        <v>1416000</v>
      </c>
      <c r="X5907" s="71"/>
      <c r="Y5907" s="71"/>
    </row>
    <row r="5908" spans="1:25" ht="30" hidden="1" customHeight="1" x14ac:dyDescent="0.25">
      <c r="A5908" s="1145">
        <v>45071</v>
      </c>
      <c r="B5908" s="664" t="s">
        <v>2255</v>
      </c>
      <c r="C5908" s="71" t="s">
        <v>3661</v>
      </c>
      <c r="D5908" s="71">
        <v>30</v>
      </c>
      <c r="E5908" s="102">
        <v>51920</v>
      </c>
      <c r="F5908" s="102">
        <f t="shared" si="2929"/>
        <v>1713360.0000000002</v>
      </c>
      <c r="G5908" s="102">
        <f t="shared" si="2930"/>
        <v>1557600</v>
      </c>
      <c r="H5908" s="690" t="s">
        <v>179</v>
      </c>
      <c r="I5908" s="71" t="s">
        <v>3405</v>
      </c>
      <c r="J5908" s="53">
        <f t="shared" si="2932"/>
        <v>357600</v>
      </c>
      <c r="K5908" s="63">
        <f t="shared" si="2933"/>
        <v>0.22958397534668717</v>
      </c>
      <c r="L5908" s="1212" t="s">
        <v>3749</v>
      </c>
      <c r="M5908" s="468"/>
      <c r="N5908" s="1192">
        <f t="shared" si="2931"/>
        <v>45071</v>
      </c>
      <c r="O5908" s="71" t="s">
        <v>2030</v>
      </c>
      <c r="P5908" s="103" t="str">
        <f t="shared" si="2925"/>
        <v>사피라 현상액</v>
      </c>
      <c r="Q5908" s="71">
        <f t="shared" si="2926"/>
        <v>30</v>
      </c>
      <c r="R5908" s="102">
        <v>40000</v>
      </c>
      <c r="S5908" s="102">
        <f t="shared" si="2934"/>
        <v>1320000</v>
      </c>
      <c r="T5908" s="102">
        <f t="shared" si="2935"/>
        <v>1200000</v>
      </c>
      <c r="U5908" s="71" t="s">
        <v>859</v>
      </c>
      <c r="V5908" s="71"/>
      <c r="W5908" s="474">
        <v>978750</v>
      </c>
      <c r="X5908" s="71"/>
      <c r="Y5908" s="71"/>
    </row>
    <row r="5909" spans="1:25" ht="30" hidden="1" customHeight="1" x14ac:dyDescent="0.25">
      <c r="A5909" s="1145">
        <v>45071</v>
      </c>
      <c r="B5909" s="664" t="s">
        <v>2254</v>
      </c>
      <c r="C5909" s="71" t="s">
        <v>3319</v>
      </c>
      <c r="D5909" s="71">
        <v>200</v>
      </c>
      <c r="E5909" s="102">
        <v>6328</v>
      </c>
      <c r="F5909" s="102">
        <f t="shared" si="2929"/>
        <v>1392160</v>
      </c>
      <c r="G5909" s="102">
        <f t="shared" si="2930"/>
        <v>1265600</v>
      </c>
      <c r="H5909" s="690" t="s">
        <v>36</v>
      </c>
      <c r="I5909" s="71" t="s">
        <v>3320</v>
      </c>
      <c r="J5909" s="53">
        <f t="shared" si="2932"/>
        <v>95600</v>
      </c>
      <c r="K5909" s="63">
        <f t="shared" si="2933"/>
        <v>7.5537294563843241E-2</v>
      </c>
      <c r="L5909" s="1212" t="s">
        <v>3749</v>
      </c>
      <c r="M5909" s="468"/>
      <c r="N5909" s="1192">
        <f t="shared" si="2931"/>
        <v>45071</v>
      </c>
      <c r="O5909" s="71" t="s">
        <v>146</v>
      </c>
      <c r="P5909" s="103" t="str">
        <f t="shared" si="2925"/>
        <v>프리미어(먹)</v>
      </c>
      <c r="Q5909" s="71">
        <f t="shared" si="2926"/>
        <v>200</v>
      </c>
      <c r="R5909" s="102">
        <v>5850</v>
      </c>
      <c r="S5909" s="102">
        <f t="shared" si="2934"/>
        <v>1287000</v>
      </c>
      <c r="T5909" s="102">
        <f t="shared" si="2935"/>
        <v>1170000</v>
      </c>
      <c r="U5909" s="71" t="s">
        <v>859</v>
      </c>
      <c r="V5909" s="71"/>
      <c r="W5909" s="474">
        <v>411200</v>
      </c>
      <c r="X5909" s="71"/>
      <c r="Y5909" s="71"/>
    </row>
    <row r="5910" spans="1:25" ht="30" hidden="1" customHeight="1" x14ac:dyDescent="0.25">
      <c r="A5910" s="1145">
        <v>45071</v>
      </c>
      <c r="B5910" s="664" t="s">
        <v>2254</v>
      </c>
      <c r="C5910" s="71" t="s">
        <v>3321</v>
      </c>
      <c r="D5910" s="71">
        <v>400</v>
      </c>
      <c r="E5910" s="102">
        <v>6780</v>
      </c>
      <c r="F5910" s="102">
        <f t="shared" si="2929"/>
        <v>2983200.0000000005</v>
      </c>
      <c r="G5910" s="102">
        <f t="shared" si="2930"/>
        <v>2712000</v>
      </c>
      <c r="H5910" s="690" t="s">
        <v>36</v>
      </c>
      <c r="I5910" s="71" t="s">
        <v>3320</v>
      </c>
      <c r="J5910" s="53">
        <f t="shared" si="2932"/>
        <v>200000</v>
      </c>
      <c r="K5910" s="63">
        <f t="shared" si="2933"/>
        <v>7.3746312684365767E-2</v>
      </c>
      <c r="L5910" s="1212" t="s">
        <v>3749</v>
      </c>
      <c r="M5910" s="468"/>
      <c r="N5910" s="1192">
        <f t="shared" si="2931"/>
        <v>45071</v>
      </c>
      <c r="O5910" s="71" t="s">
        <v>146</v>
      </c>
      <c r="P5910" s="103" t="str">
        <f t="shared" si="2925"/>
        <v>프리미어(적)</v>
      </c>
      <c r="Q5910" s="71">
        <f t="shared" si="2926"/>
        <v>400</v>
      </c>
      <c r="R5910" s="102">
        <v>6280</v>
      </c>
      <c r="S5910" s="102">
        <f t="shared" si="2934"/>
        <v>2763200</v>
      </c>
      <c r="T5910" s="102">
        <f t="shared" si="2935"/>
        <v>2512000</v>
      </c>
      <c r="U5910" s="71" t="s">
        <v>859</v>
      </c>
      <c r="V5910" s="71"/>
      <c r="W5910" s="474">
        <v>292000</v>
      </c>
      <c r="X5910" s="71"/>
      <c r="Y5910" s="71"/>
    </row>
    <row r="5911" spans="1:25" ht="30" hidden="1" customHeight="1" x14ac:dyDescent="0.25">
      <c r="A5911" s="1145">
        <v>45071</v>
      </c>
      <c r="B5911" s="664" t="s">
        <v>2254</v>
      </c>
      <c r="C5911" s="71" t="s">
        <v>1289</v>
      </c>
      <c r="D5911" s="71">
        <v>600</v>
      </c>
      <c r="E5911" s="102">
        <v>6498</v>
      </c>
      <c r="F5911" s="102">
        <f t="shared" si="2929"/>
        <v>4288680</v>
      </c>
      <c r="G5911" s="102">
        <f t="shared" si="2930"/>
        <v>3898800</v>
      </c>
      <c r="H5911" s="690" t="s">
        <v>36</v>
      </c>
      <c r="I5911" s="71" t="s">
        <v>3320</v>
      </c>
      <c r="J5911" s="53">
        <f t="shared" si="2932"/>
        <v>286800</v>
      </c>
      <c r="K5911" s="63">
        <f t="shared" si="2933"/>
        <v>7.3561095721760547E-2</v>
      </c>
      <c r="L5911" s="1212" t="s">
        <v>3749</v>
      </c>
      <c r="M5911" s="468"/>
      <c r="N5911" s="1192">
        <f t="shared" si="2931"/>
        <v>45071</v>
      </c>
      <c r="O5911" s="71" t="s">
        <v>146</v>
      </c>
      <c r="P5911" s="103" t="str">
        <f t="shared" si="2925"/>
        <v>프리미어(황)</v>
      </c>
      <c r="Q5911" s="71">
        <f t="shared" si="2926"/>
        <v>600</v>
      </c>
      <c r="R5911" s="102">
        <v>6020</v>
      </c>
      <c r="S5911" s="102">
        <f t="shared" si="2934"/>
        <v>3973200.0000000005</v>
      </c>
      <c r="T5911" s="102">
        <f t="shared" si="2935"/>
        <v>3612000</v>
      </c>
      <c r="U5911" s="71" t="s">
        <v>859</v>
      </c>
      <c r="V5911" s="71"/>
      <c r="W5911" s="474">
        <v>640800</v>
      </c>
      <c r="X5911" s="71"/>
      <c r="Y5911" s="71"/>
    </row>
    <row r="5912" spans="1:25" ht="30" hidden="1" customHeight="1" x14ac:dyDescent="0.25">
      <c r="A5912" s="1145">
        <v>45071</v>
      </c>
      <c r="B5912" s="664" t="s">
        <v>2254</v>
      </c>
      <c r="C5912" s="71" t="s">
        <v>1290</v>
      </c>
      <c r="D5912" s="71">
        <v>400</v>
      </c>
      <c r="E5912" s="102">
        <v>7910</v>
      </c>
      <c r="F5912" s="102">
        <f t="shared" si="2929"/>
        <v>3480400.0000000005</v>
      </c>
      <c r="G5912" s="102">
        <f t="shared" si="2930"/>
        <v>3164000</v>
      </c>
      <c r="H5912" s="690" t="s">
        <v>36</v>
      </c>
      <c r="I5912" s="71" t="s">
        <v>3320</v>
      </c>
      <c r="J5912" s="53">
        <f t="shared" si="2932"/>
        <v>240000</v>
      </c>
      <c r="K5912" s="63">
        <f t="shared" si="2933"/>
        <v>7.5853350189633365E-2</v>
      </c>
      <c r="L5912" s="1212" t="s">
        <v>3749</v>
      </c>
      <c r="M5912" s="468"/>
      <c r="N5912" s="1192">
        <f t="shared" si="2931"/>
        <v>45071</v>
      </c>
      <c r="O5912" s="71" t="s">
        <v>146</v>
      </c>
      <c r="P5912" s="103" t="str">
        <f t="shared" si="2925"/>
        <v>프리미어(청)</v>
      </c>
      <c r="Q5912" s="71">
        <f t="shared" si="2926"/>
        <v>400</v>
      </c>
      <c r="R5912" s="102">
        <v>7310</v>
      </c>
      <c r="S5912" s="102">
        <f t="shared" si="2934"/>
        <v>3216400.0000000005</v>
      </c>
      <c r="T5912" s="102">
        <f t="shared" si="2935"/>
        <v>2924000</v>
      </c>
      <c r="U5912" s="71" t="s">
        <v>859</v>
      </c>
      <c r="V5912" s="71"/>
      <c r="W5912" s="474">
        <v>846000</v>
      </c>
      <c r="X5912" s="71"/>
      <c r="Y5912" s="71"/>
    </row>
    <row r="5913" spans="1:25" ht="30" hidden="1" customHeight="1" x14ac:dyDescent="0.25">
      <c r="A5913" s="1145">
        <v>45071</v>
      </c>
      <c r="B5913" s="664" t="s">
        <v>2254</v>
      </c>
      <c r="C5913" s="71" t="s">
        <v>3322</v>
      </c>
      <c r="D5913" s="71"/>
      <c r="E5913" s="102">
        <v>7150</v>
      </c>
      <c r="F5913" s="102">
        <f t="shared" si="2929"/>
        <v>0</v>
      </c>
      <c r="G5913" s="102">
        <f t="shared" si="2930"/>
        <v>0</v>
      </c>
      <c r="H5913" s="690" t="s">
        <v>36</v>
      </c>
      <c r="I5913" s="71" t="s">
        <v>3320</v>
      </c>
      <c r="J5913" s="53">
        <f t="shared" si="2932"/>
        <v>0</v>
      </c>
      <c r="K5913" s="63" t="e">
        <f t="shared" si="2933"/>
        <v>#DIV/0!</v>
      </c>
      <c r="L5913" s="1212" t="s">
        <v>3749</v>
      </c>
      <c r="M5913" s="468"/>
      <c r="N5913" s="1192">
        <f t="shared" si="2931"/>
        <v>45071</v>
      </c>
      <c r="O5913" s="71" t="s">
        <v>3323</v>
      </c>
      <c r="P5913" s="103" t="str">
        <f t="shared" si="2925"/>
        <v>한특 잉크(적)</v>
      </c>
      <c r="Q5913" s="71">
        <f t="shared" si="2926"/>
        <v>0</v>
      </c>
      <c r="R5913" s="102">
        <v>6500</v>
      </c>
      <c r="S5913" s="102">
        <f t="shared" si="2934"/>
        <v>0</v>
      </c>
      <c r="T5913" s="102">
        <f t="shared" si="2935"/>
        <v>0</v>
      </c>
      <c r="U5913" s="71" t="s">
        <v>859</v>
      </c>
      <c r="V5913" s="71"/>
      <c r="W5913" s="474">
        <v>0</v>
      </c>
      <c r="X5913" s="71"/>
      <c r="Y5913" s="71"/>
    </row>
    <row r="5914" spans="1:25" ht="30" hidden="1" customHeight="1" x14ac:dyDescent="0.25">
      <c r="A5914" s="1145">
        <v>45071</v>
      </c>
      <c r="B5914" s="664" t="s">
        <v>2254</v>
      </c>
      <c r="C5914" s="71" t="s">
        <v>3324</v>
      </c>
      <c r="D5914" s="71"/>
      <c r="E5914" s="102">
        <v>6900</v>
      </c>
      <c r="F5914" s="102">
        <f t="shared" si="2929"/>
        <v>0</v>
      </c>
      <c r="G5914" s="102">
        <f t="shared" si="2930"/>
        <v>0</v>
      </c>
      <c r="H5914" s="690" t="s">
        <v>36</v>
      </c>
      <c r="I5914" s="71" t="s">
        <v>3320</v>
      </c>
      <c r="J5914" s="53">
        <f t="shared" si="2932"/>
        <v>0</v>
      </c>
      <c r="K5914" s="63" t="e">
        <f t="shared" si="2933"/>
        <v>#DIV/0!</v>
      </c>
      <c r="L5914" s="1212" t="s">
        <v>3749</v>
      </c>
      <c r="M5914" s="468"/>
      <c r="N5914" s="1192">
        <f t="shared" si="2931"/>
        <v>45071</v>
      </c>
      <c r="O5914" s="71" t="s">
        <v>3323</v>
      </c>
      <c r="P5914" s="103" t="str">
        <f t="shared" si="2925"/>
        <v>한특 잉크(황)</v>
      </c>
      <c r="Q5914" s="71">
        <f t="shared" si="2926"/>
        <v>0</v>
      </c>
      <c r="R5914" s="102">
        <v>6200</v>
      </c>
      <c r="S5914" s="102">
        <f t="shared" si="2934"/>
        <v>0</v>
      </c>
      <c r="T5914" s="102">
        <f t="shared" si="2935"/>
        <v>0</v>
      </c>
      <c r="U5914" s="71" t="s">
        <v>859</v>
      </c>
      <c r="V5914" s="71"/>
      <c r="W5914" s="474">
        <v>0</v>
      </c>
      <c r="X5914" s="71"/>
      <c r="Y5914" s="71"/>
    </row>
    <row r="5915" spans="1:25" ht="28.5" hidden="1" customHeight="1" x14ac:dyDescent="0.25">
      <c r="A5915" s="1145">
        <v>45071</v>
      </c>
      <c r="B5915" s="664" t="s">
        <v>2254</v>
      </c>
      <c r="C5915" s="71" t="s">
        <v>3325</v>
      </c>
      <c r="D5915" s="71"/>
      <c r="E5915" s="102">
        <v>7500</v>
      </c>
      <c r="F5915" s="102">
        <f t="shared" si="2929"/>
        <v>0</v>
      </c>
      <c r="G5915" s="102">
        <f t="shared" si="2930"/>
        <v>0</v>
      </c>
      <c r="H5915" s="690" t="s">
        <v>36</v>
      </c>
      <c r="I5915" s="71" t="s">
        <v>3320</v>
      </c>
      <c r="J5915" s="53">
        <f t="shared" si="2932"/>
        <v>0</v>
      </c>
      <c r="K5915" s="63" t="e">
        <f t="shared" si="2933"/>
        <v>#DIV/0!</v>
      </c>
      <c r="L5915" s="1212" t="s">
        <v>3749</v>
      </c>
      <c r="M5915" s="468"/>
      <c r="N5915" s="1192">
        <f t="shared" si="2931"/>
        <v>45071</v>
      </c>
      <c r="O5915" s="71" t="s">
        <v>3323</v>
      </c>
      <c r="P5915" s="103" t="str">
        <f t="shared" si="2925"/>
        <v>한특 잉크(청)</v>
      </c>
      <c r="Q5915" s="71">
        <f t="shared" si="2926"/>
        <v>0</v>
      </c>
      <c r="R5915" s="102">
        <v>6600</v>
      </c>
      <c r="S5915" s="102">
        <f t="shared" si="2934"/>
        <v>0</v>
      </c>
      <c r="T5915" s="102">
        <f t="shared" si="2935"/>
        <v>0</v>
      </c>
      <c r="U5915" s="71" t="s">
        <v>859</v>
      </c>
      <c r="V5915" s="71"/>
      <c r="W5915" s="474">
        <v>0</v>
      </c>
      <c r="X5915" s="71"/>
      <c r="Y5915" s="71"/>
    </row>
    <row r="5916" spans="1:25" ht="30" hidden="1" customHeight="1" x14ac:dyDescent="0.25">
      <c r="A5916" s="1145">
        <v>45071</v>
      </c>
      <c r="B5916" s="664" t="s">
        <v>2254</v>
      </c>
      <c r="C5916" s="71" t="s">
        <v>3326</v>
      </c>
      <c r="D5916" s="71"/>
      <c r="E5916" s="102">
        <v>6450</v>
      </c>
      <c r="F5916" s="102">
        <f t="shared" si="2929"/>
        <v>0</v>
      </c>
      <c r="G5916" s="102">
        <f t="shared" si="2930"/>
        <v>0</v>
      </c>
      <c r="H5916" s="690" t="s">
        <v>36</v>
      </c>
      <c r="I5916" s="71" t="s">
        <v>3320</v>
      </c>
      <c r="J5916" s="53">
        <f t="shared" si="2932"/>
        <v>0</v>
      </c>
      <c r="K5916" s="63" t="e">
        <f t="shared" si="2933"/>
        <v>#DIV/0!</v>
      </c>
      <c r="L5916" s="1212" t="s">
        <v>3749</v>
      </c>
      <c r="M5916" s="468"/>
      <c r="N5916" s="1192">
        <f t="shared" si="2931"/>
        <v>45071</v>
      </c>
      <c r="O5916" s="71" t="s">
        <v>3323</v>
      </c>
      <c r="P5916" s="103" t="str">
        <f t="shared" si="2925"/>
        <v>한특 잉크(먹)</v>
      </c>
      <c r="Q5916" s="71">
        <f t="shared" si="2926"/>
        <v>0</v>
      </c>
      <c r="R5916" s="102">
        <v>5700</v>
      </c>
      <c r="S5916" s="102">
        <f t="shared" si="2934"/>
        <v>0</v>
      </c>
      <c r="T5916" s="102">
        <f t="shared" si="2935"/>
        <v>0</v>
      </c>
      <c r="U5916" s="71" t="s">
        <v>859</v>
      </c>
      <c r="V5916" s="71"/>
      <c r="W5916" s="474">
        <v>0</v>
      </c>
      <c r="X5916" s="71"/>
      <c r="Y5916" s="71"/>
    </row>
    <row r="5917" spans="1:25" ht="30" hidden="1" customHeight="1" x14ac:dyDescent="0.25">
      <c r="A5917" s="1145">
        <v>45071</v>
      </c>
      <c r="B5917" s="664" t="s">
        <v>443</v>
      </c>
      <c r="C5917" s="71" t="s">
        <v>3392</v>
      </c>
      <c r="D5917" s="71">
        <v>0</v>
      </c>
      <c r="E5917" s="102">
        <v>218000</v>
      </c>
      <c r="F5917" s="102">
        <f t="shared" si="2929"/>
        <v>0</v>
      </c>
      <c r="G5917" s="102">
        <f t="shared" si="2930"/>
        <v>0</v>
      </c>
      <c r="H5917" s="690" t="s">
        <v>172</v>
      </c>
      <c r="I5917" s="71" t="s">
        <v>184</v>
      </c>
      <c r="J5917" s="53">
        <f t="shared" si="2932"/>
        <v>0</v>
      </c>
      <c r="K5917" s="63" t="e">
        <f t="shared" si="2933"/>
        <v>#DIV/0!</v>
      </c>
      <c r="L5917" s="1212" t="s">
        <v>3751</v>
      </c>
      <c r="M5917" s="468" t="s">
        <v>3393</v>
      </c>
      <c r="N5917" s="1192">
        <f t="shared" si="2931"/>
        <v>45071</v>
      </c>
      <c r="O5917" s="71" t="s">
        <v>2030</v>
      </c>
      <c r="P5917" s="103" t="str">
        <f t="shared" si="2925"/>
        <v>윤전 블랑켓</v>
      </c>
      <c r="Q5917" s="71">
        <f t="shared" si="2926"/>
        <v>0</v>
      </c>
      <c r="R5917" s="102">
        <v>166500</v>
      </c>
      <c r="S5917" s="102">
        <f t="shared" si="2934"/>
        <v>0</v>
      </c>
      <c r="T5917" s="102">
        <f t="shared" si="2935"/>
        <v>0</v>
      </c>
      <c r="U5917" s="71" t="s">
        <v>859</v>
      </c>
      <c r="V5917" s="71" t="s">
        <v>3394</v>
      </c>
      <c r="W5917" s="474">
        <v>464000</v>
      </c>
      <c r="X5917" s="71"/>
      <c r="Y5917" s="71"/>
    </row>
    <row r="5918" spans="1:25" ht="30" hidden="1" customHeight="1" x14ac:dyDescent="0.25">
      <c r="A5918" s="1145">
        <v>45071</v>
      </c>
      <c r="B5918" s="664" t="s">
        <v>443</v>
      </c>
      <c r="C5918" s="71" t="s">
        <v>3750</v>
      </c>
      <c r="D5918" s="71">
        <v>1</v>
      </c>
      <c r="E5918" s="102">
        <v>2350000</v>
      </c>
      <c r="F5918" s="102">
        <f t="shared" si="2929"/>
        <v>2585000</v>
      </c>
      <c r="G5918" s="102">
        <f t="shared" si="2930"/>
        <v>2350000</v>
      </c>
      <c r="H5918" s="690" t="s">
        <v>179</v>
      </c>
      <c r="I5918" s="690" t="s">
        <v>179</v>
      </c>
      <c r="J5918" s="53">
        <f t="shared" si="2932"/>
        <v>600000</v>
      </c>
      <c r="K5918" s="63">
        <f t="shared" si="2933"/>
        <v>0.25531914893617019</v>
      </c>
      <c r="L5918" s="1212" t="s">
        <v>3751</v>
      </c>
      <c r="M5918" s="468"/>
      <c r="N5918" s="1192">
        <f t="shared" si="2931"/>
        <v>45071</v>
      </c>
      <c r="O5918" s="71" t="s">
        <v>194</v>
      </c>
      <c r="P5918" s="103" t="str">
        <f t="shared" si="2925"/>
        <v>5월분 Apogee 사용료</v>
      </c>
      <c r="Q5918" s="71">
        <f t="shared" si="2926"/>
        <v>1</v>
      </c>
      <c r="R5918" s="147">
        <v>1750000</v>
      </c>
      <c r="S5918" s="102">
        <f t="shared" si="2934"/>
        <v>1925000.0000000002</v>
      </c>
      <c r="T5918" s="102">
        <f t="shared" si="2935"/>
        <v>1750000</v>
      </c>
      <c r="U5918" s="71"/>
      <c r="V5918" s="71"/>
      <c r="W5918" s="474"/>
      <c r="X5918" s="71"/>
      <c r="Y5918" s="71"/>
    </row>
    <row r="5919" spans="1:25" ht="30" hidden="1" customHeight="1" x14ac:dyDescent="0.25">
      <c r="A5919" s="1145">
        <v>45049</v>
      </c>
      <c r="B5919" s="664" t="s">
        <v>2261</v>
      </c>
      <c r="C5919" s="760" t="s">
        <v>181</v>
      </c>
      <c r="D5919" s="71">
        <v>5</v>
      </c>
      <c r="E5919" s="102">
        <v>193000</v>
      </c>
      <c r="F5919" s="102">
        <f t="shared" si="2929"/>
        <v>1061500</v>
      </c>
      <c r="G5919" s="102">
        <f t="shared" si="2930"/>
        <v>965000</v>
      </c>
      <c r="H5919" s="690" t="s">
        <v>2029</v>
      </c>
      <c r="I5919" s="71" t="s">
        <v>182</v>
      </c>
      <c r="J5919" s="53">
        <f t="shared" si="2932"/>
        <v>345000</v>
      </c>
      <c r="K5919" s="63">
        <f t="shared" si="2933"/>
        <v>0.35751295336787564</v>
      </c>
      <c r="L5919" s="1212" t="s">
        <v>3751</v>
      </c>
      <c r="M5919" s="468"/>
      <c r="N5919" s="1192">
        <f t="shared" si="2931"/>
        <v>45049</v>
      </c>
      <c r="O5919" s="71" t="s">
        <v>2030</v>
      </c>
      <c r="P5919" s="103" t="str">
        <f t="shared" si="2925"/>
        <v>Fount Web 551AF</v>
      </c>
      <c r="Q5919" s="71">
        <f t="shared" si="2926"/>
        <v>5</v>
      </c>
      <c r="R5919" s="102">
        <v>124000</v>
      </c>
      <c r="S5919" s="102">
        <f t="shared" si="2934"/>
        <v>682000</v>
      </c>
      <c r="T5919" s="102">
        <f t="shared" si="2935"/>
        <v>620000</v>
      </c>
      <c r="U5919" s="71" t="str">
        <f>IF(J5919=W5919,"O", "X")</f>
        <v>X</v>
      </c>
      <c r="V5919" s="71"/>
      <c r="W5919" s="474">
        <v>640000</v>
      </c>
      <c r="X5919" s="71"/>
      <c r="Y5919" s="71"/>
    </row>
    <row r="5920" spans="1:25" ht="30" hidden="1" customHeight="1" x14ac:dyDescent="0.25">
      <c r="A5920" s="1145">
        <v>45049</v>
      </c>
      <c r="B5920" s="664" t="s">
        <v>2261</v>
      </c>
      <c r="C5920" s="71" t="s">
        <v>277</v>
      </c>
      <c r="D5920" s="71">
        <v>10</v>
      </c>
      <c r="E5920" s="102">
        <v>172000</v>
      </c>
      <c r="F5920" s="102">
        <f t="shared" si="2929"/>
        <v>1892000.0000000002</v>
      </c>
      <c r="G5920" s="102">
        <f t="shared" si="2930"/>
        <v>1720000</v>
      </c>
      <c r="H5920" s="690" t="s">
        <v>172</v>
      </c>
      <c r="I5920" s="71" t="s">
        <v>108</v>
      </c>
      <c r="J5920" s="53">
        <f t="shared" si="2932"/>
        <v>390000</v>
      </c>
      <c r="K5920" s="63">
        <f t="shared" si="2933"/>
        <v>0.22674418604651159</v>
      </c>
      <c r="L5920" s="1212" t="s">
        <v>3751</v>
      </c>
      <c r="M5920" s="468"/>
      <c r="N5920" s="1192">
        <f t="shared" si="2931"/>
        <v>45049</v>
      </c>
      <c r="O5920" s="71" t="s">
        <v>662</v>
      </c>
      <c r="P5920" s="103" t="str">
        <f t="shared" si="2925"/>
        <v>윤전용 세척제(Web 504)</v>
      </c>
      <c r="Q5920" s="71">
        <f t="shared" si="2926"/>
        <v>10</v>
      </c>
      <c r="R5920" s="102">
        <v>133000</v>
      </c>
      <c r="S5920" s="102">
        <f t="shared" si="2934"/>
        <v>1463000.0000000002</v>
      </c>
      <c r="T5920" s="102">
        <f t="shared" si="2935"/>
        <v>1330000</v>
      </c>
      <c r="U5920" s="71" t="str">
        <f>IF(J5920=W5920,"O", "X")</f>
        <v>X</v>
      </c>
      <c r="V5920" s="71"/>
      <c r="W5920" s="474"/>
      <c r="X5920" s="71"/>
      <c r="Y5920" s="71"/>
    </row>
    <row r="5921" spans="1:25" s="209" customFormat="1" ht="31.5" hidden="1" customHeight="1" x14ac:dyDescent="0.2">
      <c r="A5921" s="1145">
        <v>45049</v>
      </c>
      <c r="B5921" s="664" t="s">
        <v>3289</v>
      </c>
      <c r="C5921" s="71" t="s">
        <v>3387</v>
      </c>
      <c r="D5921" s="71">
        <v>10</v>
      </c>
      <c r="E5921" s="102">
        <v>130000</v>
      </c>
      <c r="F5921" s="102">
        <f t="shared" si="2929"/>
        <v>1430000</v>
      </c>
      <c r="G5921" s="102">
        <f t="shared" si="2930"/>
        <v>1300000</v>
      </c>
      <c r="H5921" s="165" t="s">
        <v>172</v>
      </c>
      <c r="I5921" s="71" t="s">
        <v>184</v>
      </c>
      <c r="J5921" s="53">
        <f t="shared" si="2932"/>
        <v>180000</v>
      </c>
      <c r="K5921" s="63">
        <f t="shared" si="2933"/>
        <v>0.13846153846153847</v>
      </c>
      <c r="L5921" s="1212" t="s">
        <v>3751</v>
      </c>
      <c r="M5921" s="468" t="s">
        <v>3684</v>
      </c>
      <c r="N5921" s="1192">
        <f t="shared" si="2931"/>
        <v>45049</v>
      </c>
      <c r="O5921" s="71" t="s">
        <v>189</v>
      </c>
      <c r="P5921" s="103" t="str">
        <f t="shared" si="2925"/>
        <v>Blanket(990*725)</v>
      </c>
      <c r="Q5921" s="71">
        <f t="shared" si="2926"/>
        <v>10</v>
      </c>
      <c r="R5921" s="102">
        <v>112000</v>
      </c>
      <c r="S5921" s="102">
        <f t="shared" si="2934"/>
        <v>1232000</v>
      </c>
      <c r="T5921" s="102">
        <f t="shared" si="2935"/>
        <v>1120000</v>
      </c>
      <c r="U5921" s="71" t="str">
        <f>IF(J5921=W5921,"O", "X")</f>
        <v>X</v>
      </c>
      <c r="V5921" s="71"/>
      <c r="W5921" s="474">
        <v>80000</v>
      </c>
      <c r="X5921" s="71"/>
      <c r="Y5921" s="71"/>
    </row>
    <row r="5922" spans="1:25" ht="30" hidden="1" customHeight="1" x14ac:dyDescent="0.25">
      <c r="A5922" s="1145">
        <v>45054</v>
      </c>
      <c r="B5922" s="664" t="s">
        <v>2261</v>
      </c>
      <c r="C5922" s="71" t="s">
        <v>3299</v>
      </c>
      <c r="D5922" s="71">
        <v>10</v>
      </c>
      <c r="E5922" s="102">
        <v>52000</v>
      </c>
      <c r="F5922" s="102">
        <f t="shared" si="2929"/>
        <v>572000</v>
      </c>
      <c r="G5922" s="102">
        <f t="shared" si="2930"/>
        <v>520000</v>
      </c>
      <c r="H5922" s="690" t="s">
        <v>172</v>
      </c>
      <c r="I5922" s="71" t="s">
        <v>180</v>
      </c>
      <c r="J5922" s="53">
        <f t="shared" si="2932"/>
        <v>45000</v>
      </c>
      <c r="K5922" s="63">
        <f t="shared" si="2933"/>
        <v>8.6538461538461536E-2</v>
      </c>
      <c r="L5922" s="1212" t="s">
        <v>3751</v>
      </c>
      <c r="M5922" s="468" t="s">
        <v>3684</v>
      </c>
      <c r="N5922" s="1192">
        <f t="shared" si="2931"/>
        <v>45054</v>
      </c>
      <c r="O5922" s="71" t="s">
        <v>175</v>
      </c>
      <c r="P5922" s="103" t="str">
        <f t="shared" si="2925"/>
        <v>매엽용 세척제(Wash k11)</v>
      </c>
      <c r="Q5922" s="71">
        <f t="shared" si="2926"/>
        <v>10</v>
      </c>
      <c r="R5922" s="102">
        <v>47500</v>
      </c>
      <c r="S5922" s="102">
        <f t="shared" si="2934"/>
        <v>522500.00000000006</v>
      </c>
      <c r="T5922" s="102">
        <f t="shared" si="2935"/>
        <v>475000</v>
      </c>
      <c r="U5922" s="71" t="s">
        <v>859</v>
      </c>
      <c r="V5922" s="71"/>
      <c r="W5922" s="474"/>
      <c r="X5922" s="71"/>
      <c r="Y5922" s="71"/>
    </row>
    <row r="5923" spans="1:25" s="209" customFormat="1" ht="31.5" hidden="1" customHeight="1" x14ac:dyDescent="0.2">
      <c r="A5923" s="1145">
        <v>45061</v>
      </c>
      <c r="B5923" s="664" t="s">
        <v>3289</v>
      </c>
      <c r="C5923" s="71" t="s">
        <v>3387</v>
      </c>
      <c r="D5923" s="71">
        <v>10</v>
      </c>
      <c r="E5923" s="102">
        <v>130000</v>
      </c>
      <c r="F5923" s="102">
        <f>(E5923*D5923)*1.1</f>
        <v>1430000</v>
      </c>
      <c r="G5923" s="102">
        <f>(E5923*D5923)</f>
        <v>1300000</v>
      </c>
      <c r="H5923" s="165" t="s">
        <v>172</v>
      </c>
      <c r="I5923" s="71" t="s">
        <v>184</v>
      </c>
      <c r="J5923" s="53">
        <f>G5923-T5923</f>
        <v>180000</v>
      </c>
      <c r="K5923" s="63">
        <f>(J5923/(F5923/11*10))</f>
        <v>0.13846153846153847</v>
      </c>
      <c r="L5923" s="1212" t="s">
        <v>3751</v>
      </c>
      <c r="M5923" s="468" t="s">
        <v>3684</v>
      </c>
      <c r="N5923" s="1192">
        <f>A5923</f>
        <v>45061</v>
      </c>
      <c r="O5923" s="71" t="s">
        <v>189</v>
      </c>
      <c r="P5923" s="103" t="str">
        <f>(C5923)</f>
        <v>Blanket(990*725)</v>
      </c>
      <c r="Q5923" s="71">
        <f>D5923</f>
        <v>10</v>
      </c>
      <c r="R5923" s="102">
        <v>112000</v>
      </c>
      <c r="S5923" s="102">
        <f>R5923*Q5923*1.1</f>
        <v>1232000</v>
      </c>
      <c r="T5923" s="102">
        <f>R5923*Q5923</f>
        <v>1120000</v>
      </c>
      <c r="U5923" s="71" t="str">
        <f>IF(J5923=W5923,"O", "X")</f>
        <v>X</v>
      </c>
      <c r="V5923" s="71"/>
      <c r="W5923" s="474">
        <v>80000</v>
      </c>
      <c r="X5923" s="71"/>
      <c r="Y5923" s="71"/>
    </row>
    <row r="5924" spans="1:25" ht="30" hidden="1" customHeight="1" x14ac:dyDescent="0.25">
      <c r="A5924" s="1145">
        <v>45061</v>
      </c>
      <c r="B5924" s="664" t="s">
        <v>3289</v>
      </c>
      <c r="C5924" s="71" t="s">
        <v>2070</v>
      </c>
      <c r="D5924" s="71">
        <v>10</v>
      </c>
      <c r="E5924" s="102">
        <v>110000</v>
      </c>
      <c r="F5924" s="102">
        <f>(E5924*D5924)*1.1</f>
        <v>1210000</v>
      </c>
      <c r="G5924" s="102">
        <f>(E5924*D5924)</f>
        <v>1100000</v>
      </c>
      <c r="H5924" s="690" t="s">
        <v>172</v>
      </c>
      <c r="I5924" s="71" t="s">
        <v>33</v>
      </c>
      <c r="J5924" s="53">
        <f>G5924-T5924</f>
        <v>118000</v>
      </c>
      <c r="K5924" s="63">
        <f>(J5924/(F5924/11*10))</f>
        <v>0.10727272727272727</v>
      </c>
      <c r="L5924" s="1212" t="s">
        <v>3751</v>
      </c>
      <c r="M5924" s="468"/>
      <c r="N5924" s="1192">
        <f>A5924</f>
        <v>45061</v>
      </c>
      <c r="O5924" s="71" t="s">
        <v>146</v>
      </c>
      <c r="P5924" s="103" t="str">
        <f>(C5924)</f>
        <v>Blanket(1050*840)</v>
      </c>
      <c r="Q5924" s="71">
        <f>D5924</f>
        <v>10</v>
      </c>
      <c r="R5924" s="102">
        <v>98200</v>
      </c>
      <c r="S5924" s="102">
        <f>R5924*Q5924*1.1</f>
        <v>1080200</v>
      </c>
      <c r="T5924" s="102">
        <f>R5924*Q5924</f>
        <v>982000</v>
      </c>
      <c r="U5924" s="71" t="str">
        <f>IF(J5924=W5924,"O", "X")</f>
        <v>X</v>
      </c>
      <c r="V5924" s="71"/>
      <c r="W5924" s="474">
        <v>275000</v>
      </c>
      <c r="X5924" s="71"/>
      <c r="Y5924" s="71"/>
    </row>
    <row r="5925" spans="1:25" ht="30" hidden="1" customHeight="1" x14ac:dyDescent="0.25">
      <c r="A5925" s="1145">
        <v>45063</v>
      </c>
      <c r="B5925" s="664" t="s">
        <v>2261</v>
      </c>
      <c r="C5925" s="760" t="s">
        <v>181</v>
      </c>
      <c r="D5925" s="71">
        <v>5</v>
      </c>
      <c r="E5925" s="102">
        <v>193000</v>
      </c>
      <c r="F5925" s="102">
        <f>(E5925*D5925)*1.1</f>
        <v>1061500</v>
      </c>
      <c r="G5925" s="102">
        <f>(E5925*D5925)</f>
        <v>965000</v>
      </c>
      <c r="H5925" s="690" t="s">
        <v>2029</v>
      </c>
      <c r="I5925" s="71" t="s">
        <v>182</v>
      </c>
      <c r="J5925" s="53">
        <f>G5925-T5925</f>
        <v>345000</v>
      </c>
      <c r="K5925" s="63">
        <f>(J5925/(F5925/11*10))</f>
        <v>0.35751295336787564</v>
      </c>
      <c r="L5925" s="1212" t="s">
        <v>3751</v>
      </c>
      <c r="M5925" s="468"/>
      <c r="N5925" s="1192">
        <f>A5925</f>
        <v>45063</v>
      </c>
      <c r="O5925" s="71" t="s">
        <v>2030</v>
      </c>
      <c r="P5925" s="103" t="str">
        <f>(C5925)</f>
        <v>Fount Web 551AF</v>
      </c>
      <c r="Q5925" s="71">
        <f>D5925</f>
        <v>5</v>
      </c>
      <c r="R5925" s="102">
        <v>124000</v>
      </c>
      <c r="S5925" s="102">
        <f>R5925*Q5925*1.1</f>
        <v>682000</v>
      </c>
      <c r="T5925" s="102">
        <f>R5925*Q5925</f>
        <v>620000</v>
      </c>
      <c r="U5925" s="71" t="str">
        <f>IF(J5925=W5925,"O", "X")</f>
        <v>X</v>
      </c>
      <c r="V5925" s="71"/>
      <c r="W5925" s="474">
        <v>640000</v>
      </c>
      <c r="X5925" s="71"/>
      <c r="Y5925" s="71"/>
    </row>
    <row r="5926" spans="1:25" ht="30" hidden="1" customHeight="1" x14ac:dyDescent="0.25">
      <c r="A5926" s="1145">
        <v>45063</v>
      </c>
      <c r="B5926" s="664" t="s">
        <v>2261</v>
      </c>
      <c r="C5926" s="71" t="s">
        <v>277</v>
      </c>
      <c r="D5926" s="71">
        <v>10</v>
      </c>
      <c r="E5926" s="102">
        <v>172000</v>
      </c>
      <c r="F5926" s="102">
        <f>(E5926*D5926)*1.1</f>
        <v>1892000.0000000002</v>
      </c>
      <c r="G5926" s="102">
        <f>(E5926*D5926)</f>
        <v>1720000</v>
      </c>
      <c r="H5926" s="690" t="s">
        <v>172</v>
      </c>
      <c r="I5926" s="71" t="s">
        <v>108</v>
      </c>
      <c r="J5926" s="53">
        <f>G5926-T5926</f>
        <v>390000</v>
      </c>
      <c r="K5926" s="63">
        <f>(J5926/(F5926/11*10))</f>
        <v>0.22674418604651159</v>
      </c>
      <c r="L5926" s="1212" t="s">
        <v>3751</v>
      </c>
      <c r="M5926" s="468"/>
      <c r="N5926" s="1192">
        <f>A5926</f>
        <v>45063</v>
      </c>
      <c r="O5926" s="71" t="s">
        <v>662</v>
      </c>
      <c r="P5926" s="103" t="str">
        <f>(C5926)</f>
        <v>윤전용 세척제(Web 504)</v>
      </c>
      <c r="Q5926" s="71">
        <f>D5926</f>
        <v>10</v>
      </c>
      <c r="R5926" s="102">
        <v>133000</v>
      </c>
      <c r="S5926" s="102">
        <f>R5926*Q5926*1.1</f>
        <v>1463000.0000000002</v>
      </c>
      <c r="T5926" s="102">
        <f>R5926*Q5926</f>
        <v>1330000</v>
      </c>
      <c r="U5926" s="71" t="str">
        <f>IF(J5926=W5926,"O", "X")</f>
        <v>X</v>
      </c>
      <c r="V5926" s="71"/>
      <c r="W5926" s="474"/>
      <c r="X5926" s="71"/>
      <c r="Y5926" s="71"/>
    </row>
    <row r="5927" spans="1:25" ht="30" hidden="1" customHeight="1" x14ac:dyDescent="0.25">
      <c r="A5927" s="1145">
        <v>45070</v>
      </c>
      <c r="B5927" s="664" t="s">
        <v>2261</v>
      </c>
      <c r="C5927" s="71" t="s">
        <v>3299</v>
      </c>
      <c r="D5927" s="71">
        <v>10</v>
      </c>
      <c r="E5927" s="102">
        <v>52000</v>
      </c>
      <c r="F5927" s="102">
        <f>(E5927*D5927)*1.1</f>
        <v>572000</v>
      </c>
      <c r="G5927" s="102">
        <f>(E5927*D5927)</f>
        <v>520000</v>
      </c>
      <c r="H5927" s="690" t="s">
        <v>172</v>
      </c>
      <c r="I5927" s="71" t="s">
        <v>180</v>
      </c>
      <c r="J5927" s="53">
        <f>G5927-T5927</f>
        <v>45000</v>
      </c>
      <c r="K5927" s="63">
        <f>(J5927/(F5927/11*10))</f>
        <v>8.6538461538461536E-2</v>
      </c>
      <c r="L5927" s="1212" t="s">
        <v>3751</v>
      </c>
      <c r="M5927" s="468" t="s">
        <v>3684</v>
      </c>
      <c r="N5927" s="1192">
        <f>A5927</f>
        <v>45070</v>
      </c>
      <c r="O5927" s="71" t="s">
        <v>175</v>
      </c>
      <c r="P5927" s="103" t="str">
        <f>(C5927)</f>
        <v>매엽용 세척제(Wash k11)</v>
      </c>
      <c r="Q5927" s="71">
        <f>D5927</f>
        <v>10</v>
      </c>
      <c r="R5927" s="102">
        <v>47500</v>
      </c>
      <c r="S5927" s="102">
        <f>R5927*Q5927*1.1</f>
        <v>522500.00000000006</v>
      </c>
      <c r="T5927" s="102">
        <f>R5927*Q5927</f>
        <v>475000</v>
      </c>
      <c r="U5927" s="71" t="s">
        <v>859</v>
      </c>
      <c r="V5927" s="71"/>
      <c r="W5927" s="474"/>
      <c r="X5927" s="71"/>
      <c r="Y5927" s="71"/>
    </row>
    <row r="5928" spans="1:25" ht="30" hidden="1" customHeight="1" x14ac:dyDescent="0.25">
      <c r="A5928" s="1145">
        <v>45072</v>
      </c>
      <c r="B5928" s="664" t="s">
        <v>2261</v>
      </c>
      <c r="C5928" s="760" t="s">
        <v>181</v>
      </c>
      <c r="D5928" s="71">
        <v>5</v>
      </c>
      <c r="E5928" s="102">
        <v>193000</v>
      </c>
      <c r="F5928" s="102">
        <f t="shared" ref="F5928:F5938" si="2936">(E5928*D5928)*1.1</f>
        <v>1061500</v>
      </c>
      <c r="G5928" s="102">
        <f t="shared" ref="G5928:G5938" si="2937">(E5928*D5928)</f>
        <v>965000</v>
      </c>
      <c r="H5928" s="690" t="s">
        <v>2029</v>
      </c>
      <c r="I5928" s="71" t="s">
        <v>182</v>
      </c>
      <c r="J5928" s="53">
        <f t="shared" ref="J5928:J5938" si="2938">G5928-T5928</f>
        <v>345000</v>
      </c>
      <c r="K5928" s="63">
        <f t="shared" ref="K5928:K5938" si="2939">(J5928/(F5928/11*10))</f>
        <v>0.35751295336787564</v>
      </c>
      <c r="L5928" s="1212" t="s">
        <v>3751</v>
      </c>
      <c r="M5928" s="468"/>
      <c r="N5928" s="1192">
        <f t="shared" ref="N5928:N5945" si="2940">A5928</f>
        <v>45072</v>
      </c>
      <c r="O5928" s="71" t="s">
        <v>2030</v>
      </c>
      <c r="P5928" s="103" t="str">
        <f t="shared" ref="P5928:P5938" si="2941">(C5928)</f>
        <v>Fount Web 551AF</v>
      </c>
      <c r="Q5928" s="71">
        <f t="shared" ref="Q5928:Q5938" si="2942">D5928</f>
        <v>5</v>
      </c>
      <c r="R5928" s="102">
        <v>124000</v>
      </c>
      <c r="S5928" s="102">
        <f t="shared" ref="S5928:S5938" si="2943">R5928*Q5928*1.1</f>
        <v>682000</v>
      </c>
      <c r="T5928" s="102">
        <f t="shared" ref="T5928:T5938" si="2944">R5928*Q5928</f>
        <v>620000</v>
      </c>
      <c r="U5928" s="71" t="str">
        <f>IF(J5928=W5928,"O", "X")</f>
        <v>X</v>
      </c>
      <c r="V5928" s="71"/>
      <c r="W5928" s="474">
        <v>640000</v>
      </c>
      <c r="X5928" s="71"/>
      <c r="Y5928" s="71"/>
    </row>
    <row r="5929" spans="1:25" ht="30" hidden="1" customHeight="1" x14ac:dyDescent="0.25">
      <c r="A5929" s="1145">
        <v>45072</v>
      </c>
      <c r="B5929" s="664" t="s">
        <v>2261</v>
      </c>
      <c r="C5929" s="71" t="s">
        <v>277</v>
      </c>
      <c r="D5929" s="71">
        <v>5</v>
      </c>
      <c r="E5929" s="102">
        <v>172000</v>
      </c>
      <c r="F5929" s="102">
        <f t="shared" si="2936"/>
        <v>946000.00000000012</v>
      </c>
      <c r="G5929" s="102">
        <f t="shared" si="2937"/>
        <v>860000</v>
      </c>
      <c r="H5929" s="690" t="s">
        <v>172</v>
      </c>
      <c r="I5929" s="71" t="s">
        <v>108</v>
      </c>
      <c r="J5929" s="53">
        <f t="shared" si="2938"/>
        <v>195000</v>
      </c>
      <c r="K5929" s="63">
        <f t="shared" si="2939"/>
        <v>0.22674418604651159</v>
      </c>
      <c r="L5929" s="1212" t="s">
        <v>3751</v>
      </c>
      <c r="M5929" s="468"/>
      <c r="N5929" s="1192">
        <f t="shared" si="2940"/>
        <v>45072</v>
      </c>
      <c r="O5929" s="71" t="s">
        <v>662</v>
      </c>
      <c r="P5929" s="103" t="str">
        <f t="shared" si="2941"/>
        <v>윤전용 세척제(Web 504)</v>
      </c>
      <c r="Q5929" s="71">
        <f t="shared" si="2942"/>
        <v>5</v>
      </c>
      <c r="R5929" s="102">
        <v>133000</v>
      </c>
      <c r="S5929" s="102">
        <f t="shared" si="2943"/>
        <v>731500.00000000012</v>
      </c>
      <c r="T5929" s="102">
        <f t="shared" si="2944"/>
        <v>665000</v>
      </c>
      <c r="U5929" s="71" t="str">
        <f>IF(J5929=W5929,"O", "X")</f>
        <v>X</v>
      </c>
      <c r="V5929" s="71"/>
      <c r="W5929" s="474"/>
      <c r="X5929" s="71"/>
      <c r="Y5929" s="71"/>
    </row>
    <row r="5930" spans="1:25" ht="30" hidden="1" customHeight="1" x14ac:dyDescent="0.25">
      <c r="A5930" s="1145">
        <v>45048</v>
      </c>
      <c r="B5930" s="664" t="s">
        <v>3296</v>
      </c>
      <c r="C5930" s="71" t="s">
        <v>3297</v>
      </c>
      <c r="D5930" s="71">
        <v>20</v>
      </c>
      <c r="E5930" s="102">
        <v>162500</v>
      </c>
      <c r="F5930" s="102">
        <f t="shared" si="2936"/>
        <v>3575000.0000000005</v>
      </c>
      <c r="G5930" s="102">
        <f t="shared" si="2937"/>
        <v>3250000</v>
      </c>
      <c r="H5930" s="690" t="s">
        <v>172</v>
      </c>
      <c r="I5930" s="71" t="s">
        <v>3295</v>
      </c>
      <c r="J5930" s="53">
        <f t="shared" si="2938"/>
        <v>850000</v>
      </c>
      <c r="K5930" s="63">
        <f t="shared" si="2939"/>
        <v>0.2615384615384615</v>
      </c>
      <c r="L5930" s="1212" t="s">
        <v>3751</v>
      </c>
      <c r="M5930" s="468"/>
      <c r="N5930" s="1192">
        <f t="shared" si="2940"/>
        <v>45048</v>
      </c>
      <c r="O5930" s="71" t="s">
        <v>662</v>
      </c>
      <c r="P5930" s="103" t="str">
        <f t="shared" si="2941"/>
        <v>실리콘 에멀전</v>
      </c>
      <c r="Q5930" s="71">
        <f t="shared" si="2942"/>
        <v>20</v>
      </c>
      <c r="R5930" s="102">
        <v>120000</v>
      </c>
      <c r="S5930" s="102">
        <f t="shared" si="2943"/>
        <v>2640000</v>
      </c>
      <c r="T5930" s="102">
        <f t="shared" si="2944"/>
        <v>2400000</v>
      </c>
      <c r="U5930" s="71" t="str">
        <f>IF(J5930=W5930,"O", "X")</f>
        <v>X</v>
      </c>
      <c r="V5930" s="71"/>
      <c r="W5930" s="474"/>
      <c r="X5930" s="71"/>
      <c r="Y5930" s="71"/>
    </row>
    <row r="5931" spans="1:25" ht="30" hidden="1" customHeight="1" x14ac:dyDescent="0.25">
      <c r="A5931" s="1145">
        <v>45068</v>
      </c>
      <c r="B5931" s="664" t="s">
        <v>3296</v>
      </c>
      <c r="C5931" s="71" t="s">
        <v>3297</v>
      </c>
      <c r="D5931" s="71">
        <v>20</v>
      </c>
      <c r="E5931" s="102">
        <v>162500</v>
      </c>
      <c r="F5931" s="102">
        <f t="shared" si="2936"/>
        <v>3575000.0000000005</v>
      </c>
      <c r="G5931" s="102">
        <f t="shared" si="2937"/>
        <v>3250000</v>
      </c>
      <c r="H5931" s="690" t="s">
        <v>172</v>
      </c>
      <c r="I5931" s="71" t="s">
        <v>3295</v>
      </c>
      <c r="J5931" s="53">
        <f t="shared" si="2938"/>
        <v>850000</v>
      </c>
      <c r="K5931" s="63">
        <f t="shared" si="2939"/>
        <v>0.2615384615384615</v>
      </c>
      <c r="L5931" s="1212" t="s">
        <v>3751</v>
      </c>
      <c r="M5931" s="468"/>
      <c r="N5931" s="1192">
        <f t="shared" si="2940"/>
        <v>45068</v>
      </c>
      <c r="O5931" s="71" t="s">
        <v>662</v>
      </c>
      <c r="P5931" s="103" t="str">
        <f t="shared" si="2941"/>
        <v>실리콘 에멀전</v>
      </c>
      <c r="Q5931" s="71">
        <f t="shared" si="2942"/>
        <v>20</v>
      </c>
      <c r="R5931" s="102">
        <v>120000</v>
      </c>
      <c r="S5931" s="102">
        <f t="shared" si="2943"/>
        <v>2640000</v>
      </c>
      <c r="T5931" s="102">
        <f t="shared" si="2944"/>
        <v>2400000</v>
      </c>
      <c r="U5931" s="71" t="str">
        <f>IF(J5931=W5931,"O", "X")</f>
        <v>X</v>
      </c>
      <c r="V5931" s="71"/>
      <c r="W5931" s="474"/>
      <c r="X5931" s="71"/>
      <c r="Y5931" s="71"/>
    </row>
    <row r="5932" spans="1:25" s="209" customFormat="1" ht="30" hidden="1" customHeight="1" x14ac:dyDescent="0.25">
      <c r="A5932" s="1145">
        <v>45064</v>
      </c>
      <c r="B5932" s="664" t="s">
        <v>411</v>
      </c>
      <c r="C5932" s="71" t="s">
        <v>3413</v>
      </c>
      <c r="D5932" s="71">
        <v>10</v>
      </c>
      <c r="E5932" s="102">
        <v>100000</v>
      </c>
      <c r="F5932" s="102">
        <f t="shared" si="2936"/>
        <v>1100000</v>
      </c>
      <c r="G5932" s="102">
        <f t="shared" si="2937"/>
        <v>1000000</v>
      </c>
      <c r="H5932" s="690" t="s">
        <v>2029</v>
      </c>
      <c r="I5932" s="71" t="s">
        <v>3385</v>
      </c>
      <c r="J5932" s="53">
        <f t="shared" si="2938"/>
        <v>500000</v>
      </c>
      <c r="K5932" s="63">
        <f t="shared" si="2939"/>
        <v>0.5</v>
      </c>
      <c r="L5932" s="1212" t="s">
        <v>3751</v>
      </c>
      <c r="M5932" s="468"/>
      <c r="N5932" s="1192">
        <f t="shared" si="2940"/>
        <v>45064</v>
      </c>
      <c r="O5932" s="71" t="s">
        <v>190</v>
      </c>
      <c r="P5932" s="103" t="str">
        <f t="shared" si="2941"/>
        <v>아스테이지(국전)</v>
      </c>
      <c r="Q5932" s="71">
        <f t="shared" si="2942"/>
        <v>10</v>
      </c>
      <c r="R5932" s="102">
        <v>50000</v>
      </c>
      <c r="S5932" s="102">
        <f t="shared" si="2943"/>
        <v>550000</v>
      </c>
      <c r="T5932" s="102">
        <f t="shared" si="2944"/>
        <v>500000</v>
      </c>
      <c r="U5932" s="71" t="str">
        <f>IF(J5932=W5932,"O", "X")</f>
        <v>O</v>
      </c>
      <c r="V5932" s="71"/>
      <c r="W5932" s="474">
        <v>500000</v>
      </c>
      <c r="X5932" s="71"/>
      <c r="Y5932" s="71"/>
    </row>
    <row r="5933" spans="1:25" ht="30" hidden="1" customHeight="1" x14ac:dyDescent="0.25">
      <c r="A5933" s="1145">
        <v>45065</v>
      </c>
      <c r="B5933" s="664" t="s">
        <v>444</v>
      </c>
      <c r="C5933" s="71" t="s">
        <v>3399</v>
      </c>
      <c r="D5933" s="71">
        <v>10</v>
      </c>
      <c r="E5933" s="102">
        <v>195000</v>
      </c>
      <c r="F5933" s="102">
        <f t="shared" si="2936"/>
        <v>2145000</v>
      </c>
      <c r="G5933" s="102">
        <f t="shared" si="2937"/>
        <v>1950000</v>
      </c>
      <c r="H5933" s="690" t="s">
        <v>2029</v>
      </c>
      <c r="I5933" s="71" t="s">
        <v>180</v>
      </c>
      <c r="J5933" s="53">
        <f t="shared" si="2938"/>
        <v>650000</v>
      </c>
      <c r="K5933" s="63">
        <f t="shared" si="2939"/>
        <v>0.33333333333333331</v>
      </c>
      <c r="L5933" s="1212" t="s">
        <v>3751</v>
      </c>
      <c r="M5933" s="468"/>
      <c r="N5933" s="1192">
        <f t="shared" si="2940"/>
        <v>45065</v>
      </c>
      <c r="O5933" s="71" t="s">
        <v>191</v>
      </c>
      <c r="P5933" s="103" t="str">
        <f t="shared" si="2941"/>
        <v>UV wash offset UV</v>
      </c>
      <c r="Q5933" s="71">
        <f t="shared" si="2942"/>
        <v>10</v>
      </c>
      <c r="R5933" s="102">
        <v>130000</v>
      </c>
      <c r="S5933" s="102">
        <f t="shared" si="2943"/>
        <v>1430000</v>
      </c>
      <c r="T5933" s="102">
        <f t="shared" si="2944"/>
        <v>1300000</v>
      </c>
      <c r="U5933" s="71"/>
      <c r="V5933" s="71"/>
      <c r="W5933" s="474"/>
      <c r="X5933" s="71"/>
      <c r="Y5933" s="71"/>
    </row>
    <row r="5934" spans="1:25" ht="30" hidden="1" customHeight="1" x14ac:dyDescent="0.25">
      <c r="A5934" s="1145">
        <v>45070</v>
      </c>
      <c r="B5934" s="664" t="s">
        <v>2798</v>
      </c>
      <c r="C5934" s="71" t="s">
        <v>167</v>
      </c>
      <c r="D5934" s="71">
        <v>10</v>
      </c>
      <c r="E5934" s="102">
        <v>138000</v>
      </c>
      <c r="F5934" s="102">
        <f t="shared" si="2936"/>
        <v>1518000.0000000002</v>
      </c>
      <c r="G5934" s="102">
        <f t="shared" si="2937"/>
        <v>1380000</v>
      </c>
      <c r="H5934" s="690" t="s">
        <v>172</v>
      </c>
      <c r="I5934" s="71" t="s">
        <v>33</v>
      </c>
      <c r="J5934" s="53">
        <f t="shared" si="2938"/>
        <v>368000</v>
      </c>
      <c r="K5934" s="63">
        <f t="shared" si="2939"/>
        <v>0.26666666666666661</v>
      </c>
      <c r="L5934" s="1212" t="s">
        <v>3751</v>
      </c>
      <c r="M5934" s="468"/>
      <c r="N5934" s="1192">
        <f t="shared" si="2940"/>
        <v>45070</v>
      </c>
      <c r="O5934" s="71" t="s">
        <v>146</v>
      </c>
      <c r="P5934" s="103" t="str">
        <f t="shared" si="2941"/>
        <v>Blanket(1060*860)</v>
      </c>
      <c r="Q5934" s="71">
        <f t="shared" si="2942"/>
        <v>10</v>
      </c>
      <c r="R5934" s="102">
        <v>101200</v>
      </c>
      <c r="S5934" s="102">
        <f t="shared" si="2943"/>
        <v>1113200</v>
      </c>
      <c r="T5934" s="102">
        <f t="shared" si="2944"/>
        <v>1012000</v>
      </c>
      <c r="U5934" s="71" t="str">
        <f>IF(J5934=W5934,"O", "X")</f>
        <v>X</v>
      </c>
      <c r="V5934" s="71"/>
      <c r="W5934" s="474"/>
      <c r="X5934" s="71"/>
      <c r="Y5934" s="71"/>
    </row>
    <row r="5935" spans="1:25" ht="30" hidden="1" customHeight="1" x14ac:dyDescent="0.25">
      <c r="A5935" s="1145">
        <v>45072</v>
      </c>
      <c r="B5935" s="664" t="s">
        <v>545</v>
      </c>
      <c r="C5935" s="71" t="s">
        <v>1441</v>
      </c>
      <c r="D5935" s="71">
        <v>4</v>
      </c>
      <c r="E5935" s="102">
        <v>255000</v>
      </c>
      <c r="F5935" s="102">
        <f t="shared" si="2936"/>
        <v>1122000</v>
      </c>
      <c r="G5935" s="102">
        <f t="shared" si="2937"/>
        <v>1020000</v>
      </c>
      <c r="H5935" s="690" t="s">
        <v>173</v>
      </c>
      <c r="I5935" s="71" t="s">
        <v>2231</v>
      </c>
      <c r="J5935" s="53">
        <f t="shared" si="2938"/>
        <v>340000</v>
      </c>
      <c r="K5935" s="63">
        <f t="shared" si="2939"/>
        <v>0.33333333333333331</v>
      </c>
      <c r="L5935" s="1212" t="s">
        <v>3751</v>
      </c>
      <c r="M5935" s="468" t="s">
        <v>3374</v>
      </c>
      <c r="N5935" s="1192">
        <f t="shared" si="2940"/>
        <v>45072</v>
      </c>
      <c r="O5935" s="71" t="s">
        <v>1555</v>
      </c>
      <c r="P5935" s="103" t="str">
        <f t="shared" si="2941"/>
        <v xml:space="preserve"> OKS340 체인구리스</v>
      </c>
      <c r="Q5935" s="71">
        <f t="shared" si="2942"/>
        <v>4</v>
      </c>
      <c r="R5935" s="102">
        <v>170000</v>
      </c>
      <c r="S5935" s="102">
        <f t="shared" si="2943"/>
        <v>748000.00000000012</v>
      </c>
      <c r="T5935" s="102">
        <f t="shared" si="2944"/>
        <v>680000</v>
      </c>
      <c r="U5935" s="71" t="str">
        <f>IF(J5935=W5935,"O", "X")</f>
        <v>X</v>
      </c>
      <c r="V5935" s="71"/>
      <c r="W5935" s="474"/>
      <c r="X5935" s="71"/>
      <c r="Y5935" s="71"/>
    </row>
    <row r="5936" spans="1:25" ht="31.5" hidden="1" customHeight="1" x14ac:dyDescent="0.25">
      <c r="A5936" s="1145">
        <v>45072</v>
      </c>
      <c r="B5936" s="664" t="s">
        <v>545</v>
      </c>
      <c r="C5936" s="71" t="s">
        <v>911</v>
      </c>
      <c r="D5936" s="71">
        <v>1</v>
      </c>
      <c r="E5936" s="102">
        <v>250000</v>
      </c>
      <c r="F5936" s="102">
        <f t="shared" si="2936"/>
        <v>275000</v>
      </c>
      <c r="G5936" s="102">
        <f t="shared" si="2937"/>
        <v>250000</v>
      </c>
      <c r="H5936" s="690" t="s">
        <v>173</v>
      </c>
      <c r="I5936" s="71" t="s">
        <v>2231</v>
      </c>
      <c r="J5936" s="53">
        <f t="shared" si="2938"/>
        <v>175000</v>
      </c>
      <c r="K5936" s="63">
        <f t="shared" si="2939"/>
        <v>0.7</v>
      </c>
      <c r="L5936" s="1212" t="s">
        <v>3751</v>
      </c>
      <c r="M5936" s="468"/>
      <c r="N5936" s="1192">
        <f t="shared" si="2940"/>
        <v>45072</v>
      </c>
      <c r="O5936" s="71" t="s">
        <v>994</v>
      </c>
      <c r="P5936" s="103" t="str">
        <f t="shared" si="2941"/>
        <v>콤푸레샤 에어필터</v>
      </c>
      <c r="Q5936" s="71">
        <f t="shared" si="2942"/>
        <v>1</v>
      </c>
      <c r="R5936" s="102">
        <v>75000</v>
      </c>
      <c r="S5936" s="102">
        <f t="shared" si="2943"/>
        <v>82500</v>
      </c>
      <c r="T5936" s="102">
        <f t="shared" si="2944"/>
        <v>75000</v>
      </c>
      <c r="U5936" s="71" t="str">
        <f>IF(J5936=W5936,"O", "X")</f>
        <v>O</v>
      </c>
      <c r="V5936" s="71"/>
      <c r="W5936" s="474">
        <f>(G5936-T5936)</f>
        <v>175000</v>
      </c>
      <c r="X5936" s="71"/>
      <c r="Y5936" s="71"/>
    </row>
    <row r="5937" spans="1:25" s="209" customFormat="1" ht="30" hidden="1" customHeight="1" x14ac:dyDescent="0.25">
      <c r="A5937" s="1145">
        <v>45048</v>
      </c>
      <c r="B5937" s="664" t="s">
        <v>567</v>
      </c>
      <c r="C5937" s="71" t="s">
        <v>123</v>
      </c>
      <c r="D5937" s="71">
        <v>10</v>
      </c>
      <c r="E5937" s="102">
        <v>50000</v>
      </c>
      <c r="F5937" s="102">
        <f t="shared" si="2936"/>
        <v>550000</v>
      </c>
      <c r="G5937" s="102">
        <f t="shared" si="2937"/>
        <v>500000</v>
      </c>
      <c r="H5937" s="690" t="s">
        <v>94</v>
      </c>
      <c r="I5937" s="71" t="s">
        <v>94</v>
      </c>
      <c r="J5937" s="53">
        <f t="shared" si="2938"/>
        <v>260000</v>
      </c>
      <c r="K5937" s="63">
        <f t="shared" si="2939"/>
        <v>0.52</v>
      </c>
      <c r="L5937" s="1212" t="s">
        <v>3751</v>
      </c>
      <c r="M5937" s="468"/>
      <c r="N5937" s="1192">
        <f t="shared" si="2940"/>
        <v>45048</v>
      </c>
      <c r="O5937" s="71" t="s">
        <v>94</v>
      </c>
      <c r="P5937" s="164" t="str">
        <f t="shared" si="2941"/>
        <v>필터백</v>
      </c>
      <c r="Q5937" s="71">
        <f t="shared" si="2942"/>
        <v>10</v>
      </c>
      <c r="R5937" s="102">
        <v>24000</v>
      </c>
      <c r="S5937" s="102">
        <f t="shared" si="2943"/>
        <v>264000</v>
      </c>
      <c r="T5937" s="102">
        <f t="shared" si="2944"/>
        <v>240000</v>
      </c>
      <c r="U5937" s="71"/>
      <c r="V5937" s="71"/>
      <c r="W5937" s="474"/>
      <c r="X5937" s="71"/>
      <c r="Y5937" s="71"/>
    </row>
    <row r="5938" spans="1:25" ht="30" hidden="1" customHeight="1" x14ac:dyDescent="0.25">
      <c r="A5938" s="1145">
        <v>45059</v>
      </c>
      <c r="B5938" s="664" t="s">
        <v>26</v>
      </c>
      <c r="C5938" s="71" t="s">
        <v>2087</v>
      </c>
      <c r="D5938" s="71">
        <v>5</v>
      </c>
      <c r="E5938" s="102">
        <v>65000</v>
      </c>
      <c r="F5938" s="102">
        <f t="shared" si="2936"/>
        <v>357500</v>
      </c>
      <c r="G5938" s="102">
        <f t="shared" si="2937"/>
        <v>325000</v>
      </c>
      <c r="H5938" s="690" t="s">
        <v>172</v>
      </c>
      <c r="I5938" s="71" t="s">
        <v>3295</v>
      </c>
      <c r="J5938" s="53">
        <f t="shared" si="2938"/>
        <v>75000</v>
      </c>
      <c r="K5938" s="63">
        <f t="shared" si="2939"/>
        <v>0.23076923076923078</v>
      </c>
      <c r="L5938" s="1212" t="s">
        <v>3751</v>
      </c>
      <c r="M5938" s="468"/>
      <c r="N5938" s="1192">
        <f t="shared" si="2940"/>
        <v>45059</v>
      </c>
      <c r="O5938" s="71" t="s">
        <v>152</v>
      </c>
      <c r="P5938" s="103" t="str">
        <f t="shared" si="2941"/>
        <v>아스테이지(국전)</v>
      </c>
      <c r="Q5938" s="71">
        <f t="shared" si="2942"/>
        <v>5</v>
      </c>
      <c r="R5938" s="102">
        <v>50000</v>
      </c>
      <c r="S5938" s="102">
        <f t="shared" si="2943"/>
        <v>275000</v>
      </c>
      <c r="T5938" s="102">
        <f t="shared" si="2944"/>
        <v>250000</v>
      </c>
      <c r="U5938" s="71" t="str">
        <f>IF(J5938=W5938,"O", "X")</f>
        <v>X</v>
      </c>
      <c r="V5938" s="71"/>
      <c r="W5938" s="474">
        <v>150000</v>
      </c>
      <c r="X5938" s="71"/>
      <c r="Y5938" s="71"/>
    </row>
    <row r="5939" spans="1:25" ht="30" hidden="1" customHeight="1" x14ac:dyDescent="0.25">
      <c r="A5939" s="1145">
        <v>45049</v>
      </c>
      <c r="B5939" s="664" t="s">
        <v>18</v>
      </c>
      <c r="C5939" s="71" t="s">
        <v>2070</v>
      </c>
      <c r="D5939" s="71">
        <v>15</v>
      </c>
      <c r="E5939" s="102">
        <v>115000</v>
      </c>
      <c r="F5939" s="102">
        <f>(E5939*D5939)*1.1</f>
        <v>1897500.0000000002</v>
      </c>
      <c r="G5939" s="102">
        <f>(E5939*D5939)</f>
        <v>1725000</v>
      </c>
      <c r="H5939" s="690" t="s">
        <v>172</v>
      </c>
      <c r="I5939" s="71" t="s">
        <v>33</v>
      </c>
      <c r="J5939" s="53">
        <f t="shared" ref="J5939:J5946" si="2945">G5939-T5939</f>
        <v>252000</v>
      </c>
      <c r="K5939" s="63">
        <v>0.10555555555555554</v>
      </c>
      <c r="L5939" s="1212" t="s">
        <v>3751</v>
      </c>
      <c r="M5939" s="468"/>
      <c r="N5939" s="1192">
        <f t="shared" si="2940"/>
        <v>45049</v>
      </c>
      <c r="O5939" s="71" t="s">
        <v>146</v>
      </c>
      <c r="P5939" s="103" t="str">
        <f>(C5939)</f>
        <v>Blanket(1050*840)</v>
      </c>
      <c r="Q5939" s="71">
        <f>D5939</f>
        <v>15</v>
      </c>
      <c r="R5939" s="102">
        <v>98200</v>
      </c>
      <c r="S5939" s="102">
        <f t="shared" ref="S5939:S5946" si="2946">R5939*Q5939*1.1</f>
        <v>1620300.0000000002</v>
      </c>
      <c r="T5939" s="102">
        <f t="shared" ref="T5939:T5946" si="2947">R5939*Q5939</f>
        <v>1473000</v>
      </c>
      <c r="U5939" s="71" t="s">
        <v>859</v>
      </c>
      <c r="V5939" s="71"/>
      <c r="W5939" s="474"/>
      <c r="X5939" s="71"/>
      <c r="Y5939" s="71"/>
    </row>
    <row r="5940" spans="1:25" ht="30" hidden="1" customHeight="1" x14ac:dyDescent="0.2">
      <c r="A5940" s="1145">
        <v>45049</v>
      </c>
      <c r="B5940" s="664" t="s">
        <v>548</v>
      </c>
      <c r="C5940" s="71" t="s">
        <v>236</v>
      </c>
      <c r="D5940" s="71">
        <v>3</v>
      </c>
      <c r="E5940" s="102">
        <v>100000</v>
      </c>
      <c r="F5940" s="163">
        <f>(E5940*D5940)*1.1</f>
        <v>330000</v>
      </c>
      <c r="G5940" s="102">
        <f>(E5940*D5940)</f>
        <v>300000</v>
      </c>
      <c r="H5940" s="690" t="s">
        <v>173</v>
      </c>
      <c r="I5940" s="71" t="s">
        <v>2231</v>
      </c>
      <c r="J5940" s="53">
        <f t="shared" si="2945"/>
        <v>120000</v>
      </c>
      <c r="K5940" s="63">
        <f t="shared" ref="K5940:K5946" si="2948">(J5940/(F5940/11*10))</f>
        <v>0.4</v>
      </c>
      <c r="L5940" s="1212" t="s">
        <v>3751</v>
      </c>
      <c r="M5940" s="468"/>
      <c r="N5940" s="1192">
        <f t="shared" si="2940"/>
        <v>45049</v>
      </c>
      <c r="O5940" s="71" t="s">
        <v>3021</v>
      </c>
      <c r="P5940" s="164" t="str">
        <f>(C5940)</f>
        <v>아스테이지(국전)</v>
      </c>
      <c r="Q5940" s="71">
        <f>D5940</f>
        <v>3</v>
      </c>
      <c r="R5940" s="102">
        <v>60000</v>
      </c>
      <c r="S5940" s="102">
        <f t="shared" si="2946"/>
        <v>198000.00000000003</v>
      </c>
      <c r="T5940" s="102">
        <f t="shared" si="2947"/>
        <v>180000</v>
      </c>
      <c r="U5940" s="71" t="str">
        <f>IF(J5940=W5940,"O", "X")</f>
        <v>X</v>
      </c>
      <c r="V5940" s="71"/>
      <c r="W5940" s="474"/>
      <c r="X5940" s="71"/>
      <c r="Y5940" s="71"/>
    </row>
    <row r="5941" spans="1:25" ht="30" hidden="1" customHeight="1" x14ac:dyDescent="0.25">
      <c r="A5941" s="1145">
        <v>45049</v>
      </c>
      <c r="B5941" s="664" t="s">
        <v>548</v>
      </c>
      <c r="C5941" s="71" t="s">
        <v>3384</v>
      </c>
      <c r="D5941" s="71">
        <v>400</v>
      </c>
      <c r="E5941" s="102">
        <v>450</v>
      </c>
      <c r="F5941" s="102">
        <f>(E5941*D5941)*1.1</f>
        <v>198000.00000000003</v>
      </c>
      <c r="G5941" s="102">
        <f>(E5941*D5941)</f>
        <v>180000</v>
      </c>
      <c r="H5941" s="690" t="s">
        <v>2029</v>
      </c>
      <c r="I5941" s="71" t="s">
        <v>3385</v>
      </c>
      <c r="J5941" s="53">
        <f t="shared" si="2945"/>
        <v>52000</v>
      </c>
      <c r="K5941" s="63">
        <f t="shared" si="2948"/>
        <v>0.28888888888888886</v>
      </c>
      <c r="L5941" s="1212" t="s">
        <v>3751</v>
      </c>
      <c r="M5941" s="468"/>
      <c r="N5941" s="1192">
        <f t="shared" si="2940"/>
        <v>45049</v>
      </c>
      <c r="O5941" s="71" t="s">
        <v>2030</v>
      </c>
      <c r="P5941" s="103" t="str">
        <f>(C5941)</f>
        <v>고무사카 빨간색</v>
      </c>
      <c r="Q5941" s="71">
        <f>D5941</f>
        <v>400</v>
      </c>
      <c r="R5941" s="102">
        <v>320</v>
      </c>
      <c r="S5941" s="102">
        <f t="shared" si="2946"/>
        <v>140800</v>
      </c>
      <c r="T5941" s="102">
        <f t="shared" si="2947"/>
        <v>128000</v>
      </c>
      <c r="U5941" s="71"/>
      <c r="V5941" s="71"/>
      <c r="W5941" s="474"/>
      <c r="X5941" s="71"/>
      <c r="Y5941" s="71"/>
    </row>
    <row r="5942" spans="1:25" ht="30" hidden="1" customHeight="1" x14ac:dyDescent="0.25">
      <c r="A5942" s="1145">
        <v>45049</v>
      </c>
      <c r="B5942" s="664" t="s">
        <v>18</v>
      </c>
      <c r="C5942" s="71" t="s">
        <v>3305</v>
      </c>
      <c r="D5942" s="71">
        <v>15</v>
      </c>
      <c r="E5942" s="102">
        <v>86000</v>
      </c>
      <c r="F5942" s="102">
        <f t="shared" ref="F5942:F5950" si="2949">(E5942*D5942)*1.1</f>
        <v>1419000</v>
      </c>
      <c r="G5942" s="102">
        <f t="shared" ref="G5942:G5950" si="2950">(E5942*D5942)</f>
        <v>1290000</v>
      </c>
      <c r="H5942" s="690" t="s">
        <v>172</v>
      </c>
      <c r="I5942" s="71" t="s">
        <v>3295</v>
      </c>
      <c r="J5942" s="53">
        <f t="shared" si="2945"/>
        <v>240000</v>
      </c>
      <c r="K5942" s="63">
        <f t="shared" si="2948"/>
        <v>0.18604651162790697</v>
      </c>
      <c r="L5942" s="1212" t="s">
        <v>3751</v>
      </c>
      <c r="M5942" s="468" t="s">
        <v>3306</v>
      </c>
      <c r="N5942" s="1192">
        <f t="shared" si="2940"/>
        <v>45049</v>
      </c>
      <c r="O5942" s="71" t="s">
        <v>146</v>
      </c>
      <c r="P5942" s="103" t="str">
        <f t="shared" ref="P5942:P5955" si="2951">(C5942)</f>
        <v>파우더</v>
      </c>
      <c r="Q5942" s="71">
        <f t="shared" ref="Q5942:Q5959" si="2952">D5942</f>
        <v>15</v>
      </c>
      <c r="R5942" s="102">
        <v>70000</v>
      </c>
      <c r="S5942" s="102">
        <f t="shared" si="2946"/>
        <v>1155000</v>
      </c>
      <c r="T5942" s="102">
        <f t="shared" si="2947"/>
        <v>1050000</v>
      </c>
      <c r="U5942" s="71" t="str">
        <f>IF(J5942=W5942,"O", "X")</f>
        <v>X</v>
      </c>
      <c r="V5942" s="71"/>
      <c r="W5942" s="474"/>
      <c r="X5942" s="71"/>
      <c r="Y5942" s="71"/>
    </row>
    <row r="5943" spans="1:25" ht="30" hidden="1" customHeight="1" x14ac:dyDescent="0.25">
      <c r="A5943" s="1145">
        <v>45069</v>
      </c>
      <c r="B5943" s="664" t="s">
        <v>3440</v>
      </c>
      <c r="C5943" s="71" t="s">
        <v>3752</v>
      </c>
      <c r="D5943" s="71">
        <v>1</v>
      </c>
      <c r="E5943" s="102">
        <v>23780000</v>
      </c>
      <c r="F5943" s="102">
        <f t="shared" si="2949"/>
        <v>26158000.000000004</v>
      </c>
      <c r="G5943" s="102">
        <f t="shared" si="2950"/>
        <v>23780000</v>
      </c>
      <c r="H5943" s="690" t="s">
        <v>2029</v>
      </c>
      <c r="I5943" s="71" t="s">
        <v>143</v>
      </c>
      <c r="J5943" s="53">
        <f t="shared" si="2945"/>
        <v>3720000</v>
      </c>
      <c r="K5943" s="63">
        <f t="shared" si="2948"/>
        <v>0.15643397813288476</v>
      </c>
      <c r="L5943" s="1212" t="s">
        <v>3751</v>
      </c>
      <c r="M5943" s="468"/>
      <c r="N5943" s="1192">
        <f t="shared" si="2940"/>
        <v>45069</v>
      </c>
      <c r="O5943" s="71" t="s">
        <v>612</v>
      </c>
      <c r="P5943" s="103" t="str">
        <f t="shared" si="2951"/>
        <v>Rotoman 롤러 세트</v>
      </c>
      <c r="Q5943" s="71">
        <f t="shared" si="2952"/>
        <v>1</v>
      </c>
      <c r="R5943" s="102">
        <v>20060000</v>
      </c>
      <c r="S5943" s="102">
        <f t="shared" si="2946"/>
        <v>22066000</v>
      </c>
      <c r="T5943" s="102">
        <f t="shared" si="2947"/>
        <v>20060000</v>
      </c>
      <c r="U5943" s="71"/>
      <c r="V5943" s="71"/>
      <c r="W5943" s="474"/>
      <c r="X5943" s="71"/>
      <c r="Y5943" s="71"/>
    </row>
    <row r="5944" spans="1:25" ht="30" hidden="1" customHeight="1" x14ac:dyDescent="0.25">
      <c r="A5944" s="1145">
        <v>45049</v>
      </c>
      <c r="B5944" s="664" t="s">
        <v>3664</v>
      </c>
      <c r="C5944" s="71" t="s">
        <v>3754</v>
      </c>
      <c r="D5944" s="71">
        <v>2</v>
      </c>
      <c r="E5944" s="102">
        <v>790000</v>
      </c>
      <c r="F5944" s="102">
        <f t="shared" si="2949"/>
        <v>1738000.0000000002</v>
      </c>
      <c r="G5944" s="102">
        <f t="shared" si="2950"/>
        <v>1580000</v>
      </c>
      <c r="H5944" s="690" t="s">
        <v>173</v>
      </c>
      <c r="I5944" s="71" t="s">
        <v>1022</v>
      </c>
      <c r="J5944" s="53">
        <f t="shared" si="2945"/>
        <v>803201.12</v>
      </c>
      <c r="K5944" s="63">
        <f t="shared" si="2948"/>
        <v>0.50835513924050624</v>
      </c>
      <c r="L5944" s="1212" t="s">
        <v>3751</v>
      </c>
      <c r="M5944" s="468"/>
      <c r="N5944" s="1192">
        <f t="shared" si="2940"/>
        <v>45049</v>
      </c>
      <c r="O5944" s="71" t="s">
        <v>2179</v>
      </c>
      <c r="P5944" s="103" t="str">
        <f t="shared" si="2951"/>
        <v>고모리 국전용 UV Lamp</v>
      </c>
      <c r="Q5944" s="71">
        <f t="shared" si="2952"/>
        <v>2</v>
      </c>
      <c r="R5944" s="102">
        <v>388399.44</v>
      </c>
      <c r="S5944" s="102">
        <f t="shared" si="2946"/>
        <v>854478.76800000004</v>
      </c>
      <c r="T5944" s="102">
        <f t="shared" si="2947"/>
        <v>776798.88</v>
      </c>
      <c r="U5944" s="71"/>
      <c r="V5944" s="71"/>
      <c r="W5944" s="474"/>
      <c r="X5944" s="71"/>
      <c r="Y5944" s="71"/>
    </row>
    <row r="5945" spans="1:25" s="209" customFormat="1" ht="30" hidden="1" customHeight="1" x14ac:dyDescent="0.25">
      <c r="A5945" s="1145">
        <v>45050</v>
      </c>
      <c r="B5945" s="664" t="s">
        <v>1155</v>
      </c>
      <c r="C5945" s="71" t="s">
        <v>3755</v>
      </c>
      <c r="D5945" s="71">
        <v>1</v>
      </c>
      <c r="E5945" s="102">
        <v>15000000</v>
      </c>
      <c r="F5945" s="102">
        <f t="shared" si="2949"/>
        <v>16500000.000000002</v>
      </c>
      <c r="G5945" s="102">
        <f t="shared" si="2950"/>
        <v>15000000</v>
      </c>
      <c r="H5945" s="690" t="s">
        <v>1786</v>
      </c>
      <c r="I5945" s="71" t="s">
        <v>1786</v>
      </c>
      <c r="J5945" s="53">
        <f t="shared" si="2945"/>
        <v>6325000</v>
      </c>
      <c r="K5945" s="63">
        <f t="shared" si="2948"/>
        <v>0.42166666666666663</v>
      </c>
      <c r="L5945" s="1212" t="s">
        <v>3751</v>
      </c>
      <c r="M5945" s="468"/>
      <c r="N5945" s="1192">
        <f t="shared" si="2940"/>
        <v>45050</v>
      </c>
      <c r="O5945" s="71" t="s">
        <v>1786</v>
      </c>
      <c r="P5945" s="164" t="str">
        <f t="shared" si="2951"/>
        <v>폴더 접지 방향 변경 작업 부품</v>
      </c>
      <c r="Q5945" s="71">
        <f t="shared" si="2952"/>
        <v>1</v>
      </c>
      <c r="R5945" s="102">
        <v>8675000</v>
      </c>
      <c r="S5945" s="102">
        <f t="shared" si="2946"/>
        <v>9542500</v>
      </c>
      <c r="T5945" s="102">
        <f t="shared" si="2947"/>
        <v>8675000</v>
      </c>
      <c r="U5945" s="71"/>
      <c r="V5945" s="71"/>
      <c r="W5945" s="474"/>
      <c r="X5945" s="71"/>
      <c r="Y5945" s="71"/>
    </row>
    <row r="5946" spans="1:25" ht="30" hidden="1" customHeight="1" x14ac:dyDescent="0.25">
      <c r="A5946" s="1145">
        <v>45050</v>
      </c>
      <c r="B5946" s="664" t="s">
        <v>1155</v>
      </c>
      <c r="C5946" s="71" t="s">
        <v>114</v>
      </c>
      <c r="D5946" s="71">
        <v>50</v>
      </c>
      <c r="E5946" s="102">
        <v>22000</v>
      </c>
      <c r="F5946" s="102">
        <f t="shared" si="2949"/>
        <v>1210000</v>
      </c>
      <c r="G5946" s="102">
        <f t="shared" si="2950"/>
        <v>1100000</v>
      </c>
      <c r="H5946" s="690" t="s">
        <v>1786</v>
      </c>
      <c r="I5946" s="71" t="s">
        <v>1786</v>
      </c>
      <c r="J5946" s="53">
        <f t="shared" si="2945"/>
        <v>595500</v>
      </c>
      <c r="K5946" s="63">
        <f t="shared" si="2948"/>
        <v>0.54136363636363638</v>
      </c>
      <c r="L5946" s="1212" t="s">
        <v>3751</v>
      </c>
      <c r="M5946" s="468"/>
      <c r="N5946" s="1192">
        <f t="shared" ref="N5946:N5953" si="2953">A5946</f>
        <v>45050</v>
      </c>
      <c r="O5946" s="71" t="s">
        <v>1786</v>
      </c>
      <c r="P5946" s="103" t="str">
        <f t="shared" si="2951"/>
        <v>스트리퍼</v>
      </c>
      <c r="Q5946" s="71">
        <f t="shared" si="2952"/>
        <v>50</v>
      </c>
      <c r="R5946" s="102">
        <v>10090</v>
      </c>
      <c r="S5946" s="102">
        <f t="shared" si="2946"/>
        <v>554950</v>
      </c>
      <c r="T5946" s="102">
        <f t="shared" si="2947"/>
        <v>504500</v>
      </c>
      <c r="U5946" s="71"/>
      <c r="V5946" s="71"/>
      <c r="W5946" s="474"/>
      <c r="X5946" s="71"/>
      <c r="Y5946" s="71"/>
    </row>
    <row r="5947" spans="1:25" s="209" customFormat="1" ht="30" hidden="1" customHeight="1" x14ac:dyDescent="0.25">
      <c r="A5947" s="1145">
        <v>45050</v>
      </c>
      <c r="B5947" s="664" t="s">
        <v>1155</v>
      </c>
      <c r="C5947" s="71" t="s">
        <v>3756</v>
      </c>
      <c r="D5947" s="71">
        <v>1</v>
      </c>
      <c r="E5947" s="102">
        <v>3880000</v>
      </c>
      <c r="F5947" s="102">
        <f t="shared" si="2949"/>
        <v>4268000</v>
      </c>
      <c r="G5947" s="102">
        <f t="shared" si="2950"/>
        <v>3880000</v>
      </c>
      <c r="H5947" s="690" t="s">
        <v>985</v>
      </c>
      <c r="I5947" s="71" t="s">
        <v>985</v>
      </c>
      <c r="J5947" s="53"/>
      <c r="K5947" s="63"/>
      <c r="L5947" s="1212" t="s">
        <v>3751</v>
      </c>
      <c r="M5947" s="468"/>
      <c r="N5947" s="1192">
        <f t="shared" si="2953"/>
        <v>45050</v>
      </c>
      <c r="O5947" s="71"/>
      <c r="P5947" s="164" t="str">
        <f t="shared" si="2951"/>
        <v>폴더 접지 방향 변경 개조작업 인건비</v>
      </c>
      <c r="Q5947" s="71">
        <f t="shared" si="2952"/>
        <v>1</v>
      </c>
      <c r="R5947" s="102"/>
      <c r="S5947" s="102"/>
      <c r="T5947" s="102"/>
      <c r="U5947" s="71"/>
      <c r="V5947" s="71"/>
      <c r="W5947" s="474"/>
      <c r="X5947" s="71"/>
      <c r="Y5947" s="71"/>
    </row>
    <row r="5948" spans="1:25" ht="30" hidden="1" customHeight="1" x14ac:dyDescent="0.25">
      <c r="A5948" s="1145">
        <v>45055</v>
      </c>
      <c r="B5948" s="664" t="s">
        <v>3410</v>
      </c>
      <c r="C5948" s="71" t="s">
        <v>2974</v>
      </c>
      <c r="D5948" s="71">
        <v>3</v>
      </c>
      <c r="E5948" s="102">
        <v>650000</v>
      </c>
      <c r="F5948" s="102">
        <f t="shared" si="2949"/>
        <v>2145000</v>
      </c>
      <c r="G5948" s="102">
        <f t="shared" si="2950"/>
        <v>1950000</v>
      </c>
      <c r="H5948" s="690" t="s">
        <v>142</v>
      </c>
      <c r="I5948" s="690" t="s">
        <v>142</v>
      </c>
      <c r="J5948" s="53">
        <f>G5948-T5948</f>
        <v>1279695</v>
      </c>
      <c r="K5948" s="63">
        <f>(J5948/(F5948/11*10))</f>
        <v>0.65625384615384619</v>
      </c>
      <c r="L5948" s="1212" t="s">
        <v>3751</v>
      </c>
      <c r="M5948" s="468"/>
      <c r="N5948" s="1192">
        <f t="shared" si="2953"/>
        <v>45055</v>
      </c>
      <c r="O5948" s="71" t="s">
        <v>3412</v>
      </c>
      <c r="P5948" s="103" t="str">
        <f t="shared" si="2951"/>
        <v>Baldwin UV 램프 국전</v>
      </c>
      <c r="Q5948" s="71">
        <f t="shared" si="2952"/>
        <v>3</v>
      </c>
      <c r="R5948" s="102">
        <v>223435</v>
      </c>
      <c r="S5948" s="102">
        <f>R5948*Q5948*1.1</f>
        <v>737335.50000000012</v>
      </c>
      <c r="T5948" s="102">
        <f>R5948*Q5948</f>
        <v>670305</v>
      </c>
      <c r="U5948" s="71"/>
      <c r="V5948" s="71"/>
      <c r="W5948" s="474"/>
      <c r="X5948" s="71"/>
      <c r="Y5948" s="71"/>
    </row>
    <row r="5949" spans="1:25" ht="30" hidden="1" customHeight="1" x14ac:dyDescent="0.25">
      <c r="A5949" s="1145">
        <v>45062</v>
      </c>
      <c r="B5949" s="664" t="s">
        <v>3757</v>
      </c>
      <c r="C5949" s="71" t="s">
        <v>3758</v>
      </c>
      <c r="D5949" s="71">
        <v>1</v>
      </c>
      <c r="E5949" s="102">
        <v>3850000</v>
      </c>
      <c r="F5949" s="102">
        <f t="shared" si="2949"/>
        <v>4235000</v>
      </c>
      <c r="G5949" s="102">
        <f t="shared" si="2950"/>
        <v>3850000</v>
      </c>
      <c r="H5949" s="690" t="s">
        <v>179</v>
      </c>
      <c r="I5949" s="71" t="s">
        <v>179</v>
      </c>
      <c r="J5949" s="53">
        <f>G5949-T5949</f>
        <v>1900819.2243055326</v>
      </c>
      <c r="K5949" s="63">
        <f>(J5949/(F5949/11*10))</f>
        <v>0.49371927904039808</v>
      </c>
      <c r="L5949" s="1212" t="s">
        <v>3751</v>
      </c>
      <c r="M5949" s="102"/>
      <c r="N5949" s="1192">
        <f t="shared" si="2953"/>
        <v>45062</v>
      </c>
      <c r="O5949" s="71" t="s">
        <v>1786</v>
      </c>
      <c r="P5949" s="103" t="str">
        <f t="shared" si="2951"/>
        <v>잉크키 CPU Board</v>
      </c>
      <c r="Q5949" s="71">
        <f t="shared" si="2952"/>
        <v>1</v>
      </c>
      <c r="R5949" s="102">
        <v>1949180.7756944674</v>
      </c>
      <c r="S5949" s="102">
        <f>R5949*Q5949*1.1</f>
        <v>2144098.8532639141</v>
      </c>
      <c r="T5949" s="102">
        <f>R5949*Q5949</f>
        <v>1949180.7756944674</v>
      </c>
      <c r="U5949" s="71"/>
      <c r="V5949" s="71"/>
      <c r="W5949" s="474"/>
      <c r="X5949" s="71"/>
      <c r="Y5949" s="71"/>
    </row>
    <row r="5950" spans="1:25" ht="30" hidden="1" customHeight="1" x14ac:dyDescent="0.25">
      <c r="A5950" s="1145">
        <v>45077</v>
      </c>
      <c r="B5950" s="664" t="s">
        <v>1178</v>
      </c>
      <c r="C5950" s="71" t="s">
        <v>3759</v>
      </c>
      <c r="D5950" s="71">
        <v>1</v>
      </c>
      <c r="E5950" s="102">
        <v>1200000</v>
      </c>
      <c r="F5950" s="102">
        <f t="shared" si="2949"/>
        <v>1320000</v>
      </c>
      <c r="G5950" s="102">
        <f t="shared" si="2950"/>
        <v>1200000</v>
      </c>
      <c r="H5950" s="690" t="s">
        <v>985</v>
      </c>
      <c r="I5950" s="690" t="s">
        <v>985</v>
      </c>
      <c r="J5950" s="53"/>
      <c r="K5950" s="63"/>
      <c r="L5950" s="1212" t="s">
        <v>3751</v>
      </c>
      <c r="M5950" s="468"/>
      <c r="N5950" s="1192">
        <f t="shared" si="2953"/>
        <v>45077</v>
      </c>
      <c r="O5950" s="71"/>
      <c r="P5950" s="164" t="str">
        <f t="shared" si="2951"/>
        <v>마틴 언와인더 아이솔레이션 모터 수리비</v>
      </c>
      <c r="Q5950" s="71">
        <f t="shared" si="2952"/>
        <v>1</v>
      </c>
      <c r="R5950" s="102"/>
      <c r="S5950" s="102"/>
      <c r="T5950" s="102"/>
      <c r="U5950" s="71"/>
      <c r="V5950" s="71"/>
      <c r="W5950" s="474"/>
      <c r="X5950" s="71"/>
      <c r="Y5950" s="71"/>
    </row>
    <row r="5951" spans="1:25" ht="30" hidden="1" customHeight="1" x14ac:dyDescent="0.25">
      <c r="A5951" s="1145">
        <v>45077</v>
      </c>
      <c r="B5951" s="664" t="s">
        <v>1178</v>
      </c>
      <c r="C5951" s="71" t="s">
        <v>3760</v>
      </c>
      <c r="D5951" s="71">
        <v>1</v>
      </c>
      <c r="E5951" s="102">
        <v>-550000</v>
      </c>
      <c r="F5951" s="102">
        <f t="shared" ref="F5951:F5959" si="2954">(E5951*D5951)*1.1</f>
        <v>-605000</v>
      </c>
      <c r="G5951" s="102">
        <f t="shared" ref="G5951:G5959" si="2955">(E5951*D5951)</f>
        <v>-550000</v>
      </c>
      <c r="H5951" s="690" t="s">
        <v>142</v>
      </c>
      <c r="I5951" s="71" t="s">
        <v>142</v>
      </c>
      <c r="J5951" s="53"/>
      <c r="K5951" s="63"/>
      <c r="L5951" s="1212" t="s">
        <v>3751</v>
      </c>
      <c r="M5951" s="468"/>
      <c r="N5951" s="1192">
        <f t="shared" si="2953"/>
        <v>45077</v>
      </c>
      <c r="O5951" s="71"/>
      <c r="P5951" s="103" t="str">
        <f t="shared" si="2951"/>
        <v>4월 계산서 발행건 수정</v>
      </c>
      <c r="Q5951" s="71">
        <f t="shared" si="2952"/>
        <v>1</v>
      </c>
      <c r="R5951" s="147"/>
      <c r="S5951" s="102"/>
      <c r="T5951" s="102"/>
      <c r="U5951" s="71"/>
      <c r="V5951" s="71"/>
      <c r="W5951" s="474"/>
      <c r="X5951" s="71"/>
      <c r="Y5951" s="71"/>
    </row>
    <row r="5952" spans="1:25" ht="30" hidden="1" customHeight="1" x14ac:dyDescent="0.25">
      <c r="A5952" s="1145">
        <v>45057</v>
      </c>
      <c r="B5952" s="664" t="s">
        <v>546</v>
      </c>
      <c r="C5952" s="71" t="s">
        <v>849</v>
      </c>
      <c r="D5952" s="71">
        <v>1</v>
      </c>
      <c r="E5952" s="102">
        <v>3800000</v>
      </c>
      <c r="F5952" s="102">
        <f t="shared" si="2954"/>
        <v>4180000.0000000005</v>
      </c>
      <c r="G5952" s="102">
        <f t="shared" si="2955"/>
        <v>3800000</v>
      </c>
      <c r="H5952" s="690" t="s">
        <v>1786</v>
      </c>
      <c r="I5952" s="71" t="s">
        <v>1786</v>
      </c>
      <c r="J5952" s="53">
        <f>G5952-T5952</f>
        <v>1270040</v>
      </c>
      <c r="K5952" s="63">
        <f>(J5952/(F5952/11*10))</f>
        <v>0.33422105263157892</v>
      </c>
      <c r="L5952" s="1212" t="s">
        <v>3751</v>
      </c>
      <c r="M5952" s="102"/>
      <c r="N5952" s="1192">
        <f t="shared" si="2953"/>
        <v>45057</v>
      </c>
      <c r="O5952" s="71" t="s">
        <v>1786</v>
      </c>
      <c r="P5952" s="103" t="str">
        <f t="shared" si="2951"/>
        <v>점화 플러그</v>
      </c>
      <c r="Q5952" s="71">
        <f t="shared" si="2952"/>
        <v>1</v>
      </c>
      <c r="R5952" s="102">
        <v>2529960</v>
      </c>
      <c r="S5952" s="102">
        <f>R5952*Q5952*1.1</f>
        <v>2782956</v>
      </c>
      <c r="T5952" s="102">
        <f>R5952*Q5952</f>
        <v>2529960</v>
      </c>
      <c r="U5952" s="71"/>
      <c r="V5952" s="71"/>
      <c r="W5952" s="474"/>
      <c r="X5952" s="71"/>
      <c r="Y5952" s="71"/>
    </row>
    <row r="5953" spans="1:25" ht="30" hidden="1" customHeight="1" x14ac:dyDescent="0.25">
      <c r="A5953" s="1145">
        <v>45057</v>
      </c>
      <c r="B5953" s="664" t="s">
        <v>546</v>
      </c>
      <c r="C5953" s="71" t="s">
        <v>114</v>
      </c>
      <c r="D5953" s="71">
        <v>50</v>
      </c>
      <c r="E5953" s="102">
        <v>18000</v>
      </c>
      <c r="F5953" s="102">
        <f t="shared" si="2954"/>
        <v>990000.00000000012</v>
      </c>
      <c r="G5953" s="102">
        <f t="shared" si="2955"/>
        <v>900000</v>
      </c>
      <c r="H5953" s="690" t="s">
        <v>1786</v>
      </c>
      <c r="I5953" s="71" t="s">
        <v>1786</v>
      </c>
      <c r="J5953" s="53">
        <f>G5953-T5953</f>
        <v>395500</v>
      </c>
      <c r="K5953" s="63">
        <f>(J5953/(F5953/11*10))</f>
        <v>0.43944444444444442</v>
      </c>
      <c r="L5953" s="1212" t="s">
        <v>3751</v>
      </c>
      <c r="M5953" s="468"/>
      <c r="N5953" s="1192">
        <f t="shared" si="2953"/>
        <v>45057</v>
      </c>
      <c r="O5953" s="71" t="s">
        <v>1786</v>
      </c>
      <c r="P5953" s="103" t="str">
        <f t="shared" si="2951"/>
        <v>스트리퍼</v>
      </c>
      <c r="Q5953" s="71">
        <f t="shared" si="2952"/>
        <v>50</v>
      </c>
      <c r="R5953" s="102">
        <v>10090</v>
      </c>
      <c r="S5953" s="102">
        <f>R5953*Q5953*1.1</f>
        <v>554950</v>
      </c>
      <c r="T5953" s="102">
        <f>R5953*Q5953</f>
        <v>504500</v>
      </c>
      <c r="U5953" s="71"/>
      <c r="V5953" s="71"/>
      <c r="W5953" s="474"/>
      <c r="X5953" s="71"/>
      <c r="Y5953" s="71"/>
    </row>
    <row r="5954" spans="1:25" s="209" customFormat="1" ht="30" hidden="1" customHeight="1" x14ac:dyDescent="0.25">
      <c r="A5954" s="1145">
        <v>45041</v>
      </c>
      <c r="B5954" s="664" t="s">
        <v>442</v>
      </c>
      <c r="C5954" s="71" t="s">
        <v>3685</v>
      </c>
      <c r="D5954" s="71">
        <v>1000</v>
      </c>
      <c r="E5954" s="102">
        <v>4250</v>
      </c>
      <c r="F5954" s="102">
        <f t="shared" si="2954"/>
        <v>4675000</v>
      </c>
      <c r="G5954" s="102">
        <f t="shared" si="2955"/>
        <v>4250000</v>
      </c>
      <c r="H5954" s="690" t="s">
        <v>173</v>
      </c>
      <c r="I5954" s="71" t="s">
        <v>2230</v>
      </c>
      <c r="J5954" s="53">
        <f t="shared" ref="J5954:J5959" si="2956">G5954-T5954</f>
        <v>305000</v>
      </c>
      <c r="K5954" s="63">
        <f t="shared" ref="K5954:K5959" si="2957">(J5954/(F5954/11*10))</f>
        <v>7.1764705882352939E-2</v>
      </c>
      <c r="L5954" s="1212" t="s">
        <v>3751</v>
      </c>
      <c r="M5954" s="468"/>
      <c r="N5954" s="1192">
        <f t="shared" ref="N5954:N5959" si="2958">A5954</f>
        <v>45041</v>
      </c>
      <c r="O5954" s="71" t="s">
        <v>150</v>
      </c>
      <c r="P5954" s="164" t="str">
        <f t="shared" si="2951"/>
        <v>CTP 판 1030*790</v>
      </c>
      <c r="Q5954" s="71">
        <f t="shared" si="2952"/>
        <v>1000</v>
      </c>
      <c r="R5954" s="102">
        <v>3945</v>
      </c>
      <c r="S5954" s="102">
        <f t="shared" ref="S5954:S5959" si="2959">R5954*Q5954*1.1</f>
        <v>4339500</v>
      </c>
      <c r="T5954" s="102">
        <f t="shared" ref="T5954:T5959" si="2960">R5954*Q5954</f>
        <v>3945000</v>
      </c>
      <c r="U5954" s="71"/>
      <c r="V5954" s="71"/>
      <c r="W5954" s="474"/>
      <c r="X5954" s="71"/>
      <c r="Y5954" s="71"/>
    </row>
    <row r="5955" spans="1:25" ht="30" hidden="1" customHeight="1" x14ac:dyDescent="0.25">
      <c r="A5955" s="1145">
        <v>45041</v>
      </c>
      <c r="B5955" s="664" t="s">
        <v>442</v>
      </c>
      <c r="C5955" s="71" t="s">
        <v>984</v>
      </c>
      <c r="D5955" s="71">
        <v>4</v>
      </c>
      <c r="E5955" s="102">
        <v>57000</v>
      </c>
      <c r="F5955" s="102">
        <f t="shared" si="2954"/>
        <v>250800.00000000003</v>
      </c>
      <c r="G5955" s="102">
        <f t="shared" si="2955"/>
        <v>228000</v>
      </c>
      <c r="H5955" s="690" t="s">
        <v>173</v>
      </c>
      <c r="I5955" s="71" t="s">
        <v>2230</v>
      </c>
      <c r="J5955" s="53">
        <f t="shared" si="2956"/>
        <v>68000</v>
      </c>
      <c r="K5955" s="63">
        <f t="shared" si="2957"/>
        <v>0.2982456140350877</v>
      </c>
      <c r="L5955" s="1212" t="s">
        <v>3751</v>
      </c>
      <c r="M5955" s="468"/>
      <c r="N5955" s="1192">
        <f t="shared" si="2958"/>
        <v>45041</v>
      </c>
      <c r="O5955" s="71" t="s">
        <v>150</v>
      </c>
      <c r="P5955" s="103" t="str">
        <f t="shared" si="2951"/>
        <v>CTP 현상액</v>
      </c>
      <c r="Q5955" s="71">
        <f t="shared" si="2952"/>
        <v>4</v>
      </c>
      <c r="R5955" s="102">
        <v>40000</v>
      </c>
      <c r="S5955" s="102">
        <f t="shared" si="2959"/>
        <v>176000</v>
      </c>
      <c r="T5955" s="102">
        <f t="shared" si="2960"/>
        <v>160000</v>
      </c>
      <c r="U5955" s="71"/>
      <c r="V5955" s="71"/>
      <c r="W5955" s="474"/>
      <c r="X5955" s="71"/>
      <c r="Y5955" s="71"/>
    </row>
    <row r="5956" spans="1:25" ht="30" hidden="1" customHeight="1" x14ac:dyDescent="0.25">
      <c r="A5956" s="1145">
        <v>45041</v>
      </c>
      <c r="B5956" s="664" t="s">
        <v>2</v>
      </c>
      <c r="C5956" s="71" t="s">
        <v>2075</v>
      </c>
      <c r="D5956" s="71">
        <v>1</v>
      </c>
      <c r="E5956" s="102">
        <v>98000</v>
      </c>
      <c r="F5956" s="102">
        <f t="shared" si="2954"/>
        <v>107800.00000000001</v>
      </c>
      <c r="G5956" s="102">
        <f t="shared" si="2955"/>
        <v>98000</v>
      </c>
      <c r="H5956" s="690" t="s">
        <v>173</v>
      </c>
      <c r="I5956" s="71" t="s">
        <v>2230</v>
      </c>
      <c r="J5956" s="53">
        <f t="shared" si="2956"/>
        <v>6000</v>
      </c>
      <c r="K5956" s="63">
        <f t="shared" si="2957"/>
        <v>6.1224489795918359E-2</v>
      </c>
      <c r="L5956" s="1212" t="s">
        <v>3751</v>
      </c>
      <c r="M5956" s="468"/>
      <c r="N5956" s="1192">
        <f t="shared" si="2958"/>
        <v>45041</v>
      </c>
      <c r="O5956" s="71" t="s">
        <v>150</v>
      </c>
      <c r="P5956" s="103" t="str">
        <f>C5956</f>
        <v>CTP 고무액</v>
      </c>
      <c r="Q5956" s="71">
        <f t="shared" si="2952"/>
        <v>1</v>
      </c>
      <c r="R5956" s="102">
        <v>92000</v>
      </c>
      <c r="S5956" s="102">
        <f t="shared" si="2959"/>
        <v>101200.00000000001</v>
      </c>
      <c r="T5956" s="102">
        <f t="shared" si="2960"/>
        <v>92000</v>
      </c>
      <c r="U5956" s="71" t="str">
        <f>IF(J5956=W5956,"O", "X")</f>
        <v>X</v>
      </c>
      <c r="V5956" s="71"/>
      <c r="W5956" s="474"/>
      <c r="X5956" s="71"/>
      <c r="Y5956" s="71"/>
    </row>
    <row r="5957" spans="1:25" ht="30" hidden="1" customHeight="1" x14ac:dyDescent="0.25">
      <c r="A5957" s="1145">
        <v>45041</v>
      </c>
      <c r="B5957" s="664" t="s">
        <v>442</v>
      </c>
      <c r="C5957" s="71" t="s">
        <v>3433</v>
      </c>
      <c r="D5957" s="71">
        <v>6</v>
      </c>
      <c r="E5957" s="102">
        <v>115000</v>
      </c>
      <c r="F5957" s="102">
        <f t="shared" si="2954"/>
        <v>759000.00000000012</v>
      </c>
      <c r="G5957" s="102">
        <f t="shared" si="2955"/>
        <v>690000</v>
      </c>
      <c r="H5957" s="690" t="s">
        <v>2029</v>
      </c>
      <c r="I5957" s="71" t="s">
        <v>3385</v>
      </c>
      <c r="J5957" s="53">
        <f t="shared" si="2956"/>
        <v>169200</v>
      </c>
      <c r="K5957" s="63">
        <f t="shared" si="2957"/>
        <v>0.24521739130434778</v>
      </c>
      <c r="L5957" s="1212" t="s">
        <v>3751</v>
      </c>
      <c r="M5957" s="468"/>
      <c r="N5957" s="1192">
        <f t="shared" si="2958"/>
        <v>45041</v>
      </c>
      <c r="O5957" s="71" t="s">
        <v>147</v>
      </c>
      <c r="P5957" s="164" t="str">
        <f t="shared" ref="P5957:P5962" si="2961">(C5957)</f>
        <v>블랑켓-하이델베르그 국전용</v>
      </c>
      <c r="Q5957" s="71">
        <f t="shared" si="2952"/>
        <v>6</v>
      </c>
      <c r="R5957" s="102">
        <v>86800</v>
      </c>
      <c r="S5957" s="102">
        <f t="shared" si="2959"/>
        <v>572880</v>
      </c>
      <c r="T5957" s="102">
        <f t="shared" si="2960"/>
        <v>520800</v>
      </c>
      <c r="U5957" s="71"/>
      <c r="V5957" s="71"/>
      <c r="W5957" s="474"/>
      <c r="X5957" s="71"/>
      <c r="Y5957" s="71"/>
    </row>
    <row r="5958" spans="1:25" ht="30" hidden="1" customHeight="1" x14ac:dyDescent="0.25">
      <c r="A5958" s="1145">
        <v>45041</v>
      </c>
      <c r="B5958" s="664" t="s">
        <v>442</v>
      </c>
      <c r="C5958" s="71" t="s">
        <v>3299</v>
      </c>
      <c r="D5958" s="71">
        <v>15</v>
      </c>
      <c r="E5958" s="102">
        <v>69000</v>
      </c>
      <c r="F5958" s="102">
        <f t="shared" si="2954"/>
        <v>1138500</v>
      </c>
      <c r="G5958" s="102">
        <f t="shared" si="2955"/>
        <v>1035000</v>
      </c>
      <c r="H5958" s="690" t="s">
        <v>172</v>
      </c>
      <c r="I5958" s="71" t="s">
        <v>108</v>
      </c>
      <c r="J5958" s="53">
        <f t="shared" si="2956"/>
        <v>322500</v>
      </c>
      <c r="K5958" s="63">
        <f t="shared" si="2957"/>
        <v>0.31159420289855072</v>
      </c>
      <c r="L5958" s="1212" t="s">
        <v>3751</v>
      </c>
      <c r="M5958" s="468" t="s">
        <v>3304</v>
      </c>
      <c r="N5958" s="1192">
        <f t="shared" si="2958"/>
        <v>45041</v>
      </c>
      <c r="O5958" s="71" t="s">
        <v>175</v>
      </c>
      <c r="P5958" s="164" t="str">
        <f t="shared" si="2961"/>
        <v>매엽용 세척제(Wash k11)</v>
      </c>
      <c r="Q5958" s="71">
        <f t="shared" si="2952"/>
        <v>15</v>
      </c>
      <c r="R5958" s="102">
        <v>47500</v>
      </c>
      <c r="S5958" s="102">
        <f t="shared" si="2959"/>
        <v>783750.00000000012</v>
      </c>
      <c r="T5958" s="102">
        <f t="shared" si="2960"/>
        <v>712500</v>
      </c>
      <c r="U5958" s="71" t="s">
        <v>859</v>
      </c>
      <c r="V5958" s="71"/>
      <c r="W5958" s="474"/>
      <c r="X5958" s="71"/>
      <c r="Y5958" s="71"/>
    </row>
    <row r="5959" spans="1:25" ht="30" hidden="1" customHeight="1" x14ac:dyDescent="0.25">
      <c r="A5959" s="1145">
        <v>45041</v>
      </c>
      <c r="B5959" s="664" t="s">
        <v>442</v>
      </c>
      <c r="C5959" s="71" t="s">
        <v>3431</v>
      </c>
      <c r="D5959" s="71">
        <v>2</v>
      </c>
      <c r="E5959" s="102">
        <v>142000</v>
      </c>
      <c r="F5959" s="102">
        <f t="shared" si="2954"/>
        <v>312400</v>
      </c>
      <c r="G5959" s="102">
        <f t="shared" si="2955"/>
        <v>284000</v>
      </c>
      <c r="H5959" s="690" t="s">
        <v>2029</v>
      </c>
      <c r="I5959" s="71" t="s">
        <v>195</v>
      </c>
      <c r="J5959" s="53">
        <f t="shared" si="2956"/>
        <v>94000</v>
      </c>
      <c r="K5959" s="63">
        <f t="shared" si="2957"/>
        <v>0.33098591549295775</v>
      </c>
      <c r="L5959" s="1212" t="s">
        <v>3751</v>
      </c>
      <c r="M5959" s="468"/>
      <c r="N5959" s="1192">
        <f t="shared" si="2958"/>
        <v>45041</v>
      </c>
      <c r="O5959" s="71" t="s">
        <v>150</v>
      </c>
      <c r="P5959" s="164" t="str">
        <f t="shared" si="2961"/>
        <v>닥터호일 아스테이지</v>
      </c>
      <c r="Q5959" s="71">
        <f t="shared" si="2952"/>
        <v>2</v>
      </c>
      <c r="R5959" s="102">
        <v>95000</v>
      </c>
      <c r="S5959" s="102">
        <f t="shared" si="2959"/>
        <v>209000.00000000003</v>
      </c>
      <c r="T5959" s="102">
        <f t="shared" si="2960"/>
        <v>190000</v>
      </c>
      <c r="U5959" s="71" t="str">
        <f>IF(J5959=W5959,"O", "X")</f>
        <v>O</v>
      </c>
      <c r="V5959" s="71"/>
      <c r="W5959" s="474">
        <f>(G5959-T5959)</f>
        <v>94000</v>
      </c>
      <c r="X5959" s="71"/>
      <c r="Y5959" s="71"/>
    </row>
    <row r="5960" spans="1:25" ht="30" hidden="1" customHeight="1" x14ac:dyDescent="0.25">
      <c r="A5960" s="1145">
        <v>45063</v>
      </c>
      <c r="B5960" s="664" t="s">
        <v>442</v>
      </c>
      <c r="C5960" s="71" t="s">
        <v>3299</v>
      </c>
      <c r="D5960" s="71">
        <v>20</v>
      </c>
      <c r="E5960" s="102">
        <v>69000</v>
      </c>
      <c r="F5960" s="102">
        <f>(E5960*D5960)*1.1</f>
        <v>1518000.0000000002</v>
      </c>
      <c r="G5960" s="102">
        <f>(E5960*D5960)</f>
        <v>1380000</v>
      </c>
      <c r="H5960" s="690" t="s">
        <v>172</v>
      </c>
      <c r="I5960" s="71" t="s">
        <v>108</v>
      </c>
      <c r="J5960" s="53">
        <f>G5960-T5960</f>
        <v>430000</v>
      </c>
      <c r="K5960" s="63">
        <f>(J5960/(F5960/11*10))</f>
        <v>0.31159420289855067</v>
      </c>
      <c r="L5960" s="1212" t="s">
        <v>3751</v>
      </c>
      <c r="M5960" s="468" t="s">
        <v>3304</v>
      </c>
      <c r="N5960" s="1192">
        <f t="shared" ref="N5960:N5968" si="2962">A5960</f>
        <v>45063</v>
      </c>
      <c r="O5960" s="71" t="s">
        <v>175</v>
      </c>
      <c r="P5960" s="164" t="str">
        <f t="shared" si="2961"/>
        <v>매엽용 세척제(Wash k11)</v>
      </c>
      <c r="Q5960" s="71">
        <f>D5960</f>
        <v>20</v>
      </c>
      <c r="R5960" s="102">
        <v>47500</v>
      </c>
      <c r="S5960" s="102">
        <f>R5960*Q5960*1.1</f>
        <v>1045000.0000000001</v>
      </c>
      <c r="T5960" s="102">
        <f>R5960*Q5960</f>
        <v>950000</v>
      </c>
      <c r="U5960" s="71" t="s">
        <v>859</v>
      </c>
      <c r="V5960" s="71"/>
      <c r="W5960" s="474"/>
      <c r="X5960" s="71"/>
      <c r="Y5960" s="71"/>
    </row>
    <row r="5961" spans="1:25" ht="30" hidden="1" customHeight="1" x14ac:dyDescent="0.25">
      <c r="A5961" s="1145">
        <v>45063</v>
      </c>
      <c r="B5961" s="664" t="s">
        <v>2</v>
      </c>
      <c r="C5961" s="71" t="s">
        <v>3359</v>
      </c>
      <c r="D5961" s="71">
        <v>5</v>
      </c>
      <c r="E5961" s="102">
        <v>172000</v>
      </c>
      <c r="F5961" s="102">
        <f>(E5961*D5961)*1.1</f>
        <v>946000.00000000012</v>
      </c>
      <c r="G5961" s="102">
        <f>(E5961*D5961)</f>
        <v>860000</v>
      </c>
      <c r="H5961" s="690" t="s">
        <v>172</v>
      </c>
      <c r="I5961" s="71" t="s">
        <v>38</v>
      </c>
      <c r="J5961" s="53">
        <f>G5961-T5961</f>
        <v>311475</v>
      </c>
      <c r="K5961" s="63">
        <f>(J5961/(F5961/11*10))</f>
        <v>0.36218023255813947</v>
      </c>
      <c r="L5961" s="1212" t="s">
        <v>3751</v>
      </c>
      <c r="M5961" s="468" t="s">
        <v>3769</v>
      </c>
      <c r="N5961" s="1192">
        <f t="shared" si="2962"/>
        <v>45063</v>
      </c>
      <c r="O5961" s="71" t="s">
        <v>150</v>
      </c>
      <c r="P5961" s="164" t="str">
        <f t="shared" si="2961"/>
        <v>매엽 습수약물</v>
      </c>
      <c r="Q5961" s="71">
        <f>D5961</f>
        <v>5</v>
      </c>
      <c r="R5961" s="102">
        <f>97000+12705</f>
        <v>109705</v>
      </c>
      <c r="S5961" s="102">
        <f>R5961*Q5961*1.1</f>
        <v>603377.5</v>
      </c>
      <c r="T5961" s="102">
        <f>R5961*Q5961</f>
        <v>548525</v>
      </c>
      <c r="U5961" s="71" t="str">
        <f>IF(J5961=W5961,"O", "X")</f>
        <v>X</v>
      </c>
      <c r="V5961" s="71"/>
      <c r="W5961" s="474"/>
      <c r="X5961" s="71"/>
      <c r="Y5961" s="71"/>
    </row>
    <row r="5962" spans="1:25" ht="30" hidden="1" customHeight="1" x14ac:dyDescent="0.25">
      <c r="A5962" s="1145">
        <v>45070</v>
      </c>
      <c r="B5962" s="664" t="s">
        <v>442</v>
      </c>
      <c r="C5962" s="71" t="s">
        <v>3761</v>
      </c>
      <c r="D5962" s="71">
        <v>2</v>
      </c>
      <c r="E5962" s="102">
        <v>60000</v>
      </c>
      <c r="F5962" s="102">
        <f>(E5962*D5962)*1.1</f>
        <v>132000</v>
      </c>
      <c r="G5962" s="102">
        <f>(E5962*D5962)</f>
        <v>120000</v>
      </c>
      <c r="H5962" s="690" t="s">
        <v>173</v>
      </c>
      <c r="I5962" s="71" t="s">
        <v>141</v>
      </c>
      <c r="J5962" s="53">
        <f>G5962-T5962</f>
        <v>50000</v>
      </c>
      <c r="K5962" s="63">
        <f>(J5962/(F5962/11*10))</f>
        <v>0.41666666666666669</v>
      </c>
      <c r="L5962" s="1212" t="s">
        <v>3751</v>
      </c>
      <c r="M5962" s="102"/>
      <c r="N5962" s="1192">
        <f t="shared" si="2962"/>
        <v>45070</v>
      </c>
      <c r="O5962" s="71" t="s">
        <v>242</v>
      </c>
      <c r="P5962" s="164" t="str">
        <f t="shared" si="2961"/>
        <v>필름 출력기 부품 - 기어</v>
      </c>
      <c r="Q5962" s="71">
        <f>D5962</f>
        <v>2</v>
      </c>
      <c r="R5962" s="102">
        <v>35000</v>
      </c>
      <c r="S5962" s="102">
        <f>R5962*Q5962*1.1</f>
        <v>77000</v>
      </c>
      <c r="T5962" s="102">
        <f>R5962*Q5962</f>
        <v>70000</v>
      </c>
      <c r="U5962" s="71"/>
      <c r="V5962" s="71"/>
      <c r="W5962" s="474"/>
      <c r="X5962" s="71"/>
      <c r="Y5962" s="71"/>
    </row>
    <row r="5963" spans="1:25" ht="30" hidden="1" customHeight="1" x14ac:dyDescent="0.25">
      <c r="A5963" s="1210" t="s">
        <v>3776</v>
      </c>
      <c r="B5963" s="1211" t="s">
        <v>544</v>
      </c>
      <c r="C5963" s="960"/>
      <c r="D5963" s="960"/>
      <c r="E5963" s="952"/>
      <c r="F5963" s="952"/>
      <c r="G5963" s="952"/>
      <c r="H5963" s="1206"/>
      <c r="I5963" s="960"/>
      <c r="J5963" s="952"/>
      <c r="K5963" s="953"/>
      <c r="L5963" s="1212" t="s">
        <v>3789</v>
      </c>
      <c r="M5963" s="1207"/>
      <c r="N5963" s="1208" t="str">
        <f t="shared" si="2962"/>
        <v>2023,6</v>
      </c>
      <c r="O5963" s="960"/>
      <c r="P5963" s="1209"/>
      <c r="Q5963" s="960"/>
      <c r="R5963" s="952"/>
      <c r="S5963" s="952"/>
      <c r="T5963" s="952"/>
      <c r="U5963" s="960"/>
      <c r="V5963" s="960"/>
      <c r="W5963" s="474">
        <f>(G5963-T5963)</f>
        <v>0</v>
      </c>
      <c r="X5963" s="71"/>
      <c r="Y5963" s="71"/>
    </row>
    <row r="5964" spans="1:25" ht="30" hidden="1" customHeight="1" x14ac:dyDescent="0.25">
      <c r="A5964" s="1145">
        <v>45085</v>
      </c>
      <c r="B5964" s="664" t="s">
        <v>2261</v>
      </c>
      <c r="C5964" s="760" t="s">
        <v>181</v>
      </c>
      <c r="D5964" s="71">
        <v>5</v>
      </c>
      <c r="E5964" s="102">
        <v>193000</v>
      </c>
      <c r="F5964" s="102">
        <f t="shared" ref="F5964:F5976" si="2963">(E5964*D5964)*1.1</f>
        <v>1061500</v>
      </c>
      <c r="G5964" s="102">
        <f t="shared" ref="G5964:G5976" si="2964">(E5964*D5964)</f>
        <v>965000</v>
      </c>
      <c r="H5964" s="690" t="s">
        <v>2029</v>
      </c>
      <c r="I5964" s="71" t="s">
        <v>182</v>
      </c>
      <c r="J5964" s="53">
        <f t="shared" ref="J5964:J5976" si="2965">G5964-T5964</f>
        <v>345000</v>
      </c>
      <c r="K5964" s="63">
        <f t="shared" ref="K5964:K5972" si="2966">(J5964/(F5964/11*10))</f>
        <v>0.35751295336787564</v>
      </c>
      <c r="L5964" s="1212" t="s">
        <v>3790</v>
      </c>
      <c r="M5964" s="468"/>
      <c r="N5964" s="1192">
        <f t="shared" si="2962"/>
        <v>45085</v>
      </c>
      <c r="O5964" s="71" t="s">
        <v>2030</v>
      </c>
      <c r="P5964" s="103" t="str">
        <f t="shared" ref="P5964:P5976" si="2967">(C5964)</f>
        <v>Fount Web 551AF</v>
      </c>
      <c r="Q5964" s="71">
        <f t="shared" ref="Q5964:Q5976" si="2968">D5964</f>
        <v>5</v>
      </c>
      <c r="R5964" s="102">
        <v>124000</v>
      </c>
      <c r="S5964" s="102">
        <f t="shared" ref="S5964:S5976" si="2969">R5964*Q5964*1.1</f>
        <v>682000</v>
      </c>
      <c r="T5964" s="102">
        <f t="shared" ref="T5964:T5976" si="2970">R5964*Q5964</f>
        <v>620000</v>
      </c>
      <c r="U5964" s="71" t="str">
        <f>IF(J5964=W5964,"O", "X")</f>
        <v>X</v>
      </c>
      <c r="V5964" s="71"/>
      <c r="W5964" s="474">
        <v>640000</v>
      </c>
      <c r="X5964" s="71"/>
      <c r="Y5964" s="71"/>
    </row>
    <row r="5965" spans="1:25" ht="30" hidden="1" customHeight="1" x14ac:dyDescent="0.25">
      <c r="A5965" s="1145">
        <v>45085</v>
      </c>
      <c r="B5965" s="664" t="s">
        <v>2261</v>
      </c>
      <c r="C5965" s="71" t="s">
        <v>277</v>
      </c>
      <c r="D5965" s="71">
        <v>10</v>
      </c>
      <c r="E5965" s="102">
        <v>172000</v>
      </c>
      <c r="F5965" s="102">
        <f t="shared" si="2963"/>
        <v>1892000.0000000002</v>
      </c>
      <c r="G5965" s="102">
        <f t="shared" si="2964"/>
        <v>1720000</v>
      </c>
      <c r="H5965" s="690" t="s">
        <v>172</v>
      </c>
      <c r="I5965" s="71" t="s">
        <v>108</v>
      </c>
      <c r="J5965" s="53">
        <f t="shared" si="2965"/>
        <v>390000</v>
      </c>
      <c r="K5965" s="63">
        <f t="shared" si="2966"/>
        <v>0.22674418604651159</v>
      </c>
      <c r="L5965" s="1212" t="s">
        <v>3788</v>
      </c>
      <c r="M5965" s="468"/>
      <c r="N5965" s="1192">
        <f t="shared" si="2962"/>
        <v>45085</v>
      </c>
      <c r="O5965" s="71" t="s">
        <v>662</v>
      </c>
      <c r="P5965" s="103" t="str">
        <f t="shared" si="2967"/>
        <v>윤전용 세척제(Web 504)</v>
      </c>
      <c r="Q5965" s="71">
        <f t="shared" si="2968"/>
        <v>10</v>
      </c>
      <c r="R5965" s="102">
        <v>133000</v>
      </c>
      <c r="S5965" s="102">
        <f t="shared" si="2969"/>
        <v>1463000.0000000002</v>
      </c>
      <c r="T5965" s="102">
        <f t="shared" si="2970"/>
        <v>1330000</v>
      </c>
      <c r="U5965" s="71" t="str">
        <f>IF(J5965=W5965,"O", "X")</f>
        <v>X</v>
      </c>
      <c r="V5965" s="71"/>
      <c r="W5965" s="474"/>
      <c r="X5965" s="71"/>
      <c r="Y5965" s="71"/>
    </row>
    <row r="5966" spans="1:25" ht="30" hidden="1" customHeight="1" x14ac:dyDescent="0.25">
      <c r="A5966" s="1145">
        <v>45085</v>
      </c>
      <c r="B5966" s="664" t="s">
        <v>2261</v>
      </c>
      <c r="C5966" s="71" t="s">
        <v>3299</v>
      </c>
      <c r="D5966" s="71">
        <v>10</v>
      </c>
      <c r="E5966" s="102">
        <v>52000</v>
      </c>
      <c r="F5966" s="102">
        <f t="shared" si="2963"/>
        <v>572000</v>
      </c>
      <c r="G5966" s="102">
        <f t="shared" si="2964"/>
        <v>520000</v>
      </c>
      <c r="H5966" s="690" t="s">
        <v>172</v>
      </c>
      <c r="I5966" s="71" t="s">
        <v>108</v>
      </c>
      <c r="J5966" s="53">
        <f t="shared" si="2965"/>
        <v>45000</v>
      </c>
      <c r="K5966" s="63">
        <f t="shared" si="2966"/>
        <v>8.6538461538461536E-2</v>
      </c>
      <c r="L5966" s="1212" t="s">
        <v>3788</v>
      </c>
      <c r="M5966" s="468" t="s">
        <v>3684</v>
      </c>
      <c r="N5966" s="1192">
        <f t="shared" si="2962"/>
        <v>45085</v>
      </c>
      <c r="O5966" s="71" t="s">
        <v>175</v>
      </c>
      <c r="P5966" s="103" t="str">
        <f t="shared" si="2967"/>
        <v>매엽용 세척제(Wash k11)</v>
      </c>
      <c r="Q5966" s="71">
        <f t="shared" si="2968"/>
        <v>10</v>
      </c>
      <c r="R5966" s="102">
        <v>47500</v>
      </c>
      <c r="S5966" s="102">
        <f t="shared" si="2969"/>
        <v>522500.00000000006</v>
      </c>
      <c r="T5966" s="102">
        <f t="shared" si="2970"/>
        <v>475000</v>
      </c>
      <c r="U5966" s="71" t="s">
        <v>859</v>
      </c>
      <c r="V5966" s="71"/>
      <c r="W5966" s="474"/>
      <c r="X5966" s="71"/>
      <c r="Y5966" s="71"/>
    </row>
    <row r="5967" spans="1:25" ht="30" hidden="1" customHeight="1" x14ac:dyDescent="0.25">
      <c r="A5967" s="1145">
        <v>45085</v>
      </c>
      <c r="B5967" s="664" t="s">
        <v>3289</v>
      </c>
      <c r="C5967" s="71" t="s">
        <v>2070</v>
      </c>
      <c r="D5967" s="71">
        <v>10</v>
      </c>
      <c r="E5967" s="102">
        <v>110000</v>
      </c>
      <c r="F5967" s="102">
        <f t="shared" si="2963"/>
        <v>1210000</v>
      </c>
      <c r="G5967" s="102">
        <f t="shared" si="2964"/>
        <v>1100000</v>
      </c>
      <c r="H5967" s="690" t="s">
        <v>172</v>
      </c>
      <c r="I5967" s="71" t="s">
        <v>33</v>
      </c>
      <c r="J5967" s="53">
        <f t="shared" si="2965"/>
        <v>118000</v>
      </c>
      <c r="K5967" s="63">
        <f t="shared" si="2966"/>
        <v>0.10727272727272727</v>
      </c>
      <c r="L5967" s="1212" t="s">
        <v>3788</v>
      </c>
      <c r="M5967" s="468"/>
      <c r="N5967" s="1192">
        <f t="shared" si="2962"/>
        <v>45085</v>
      </c>
      <c r="O5967" s="71" t="s">
        <v>146</v>
      </c>
      <c r="P5967" s="103" t="str">
        <f t="shared" si="2967"/>
        <v>Blanket(1050*840)</v>
      </c>
      <c r="Q5967" s="71">
        <f t="shared" si="2968"/>
        <v>10</v>
      </c>
      <c r="R5967" s="102">
        <v>98200</v>
      </c>
      <c r="S5967" s="102">
        <f t="shared" si="2969"/>
        <v>1080200</v>
      </c>
      <c r="T5967" s="102">
        <f t="shared" si="2970"/>
        <v>982000</v>
      </c>
      <c r="U5967" s="71" t="str">
        <f>IF(J5967=W5967,"O", "X")</f>
        <v>X</v>
      </c>
      <c r="V5967" s="71"/>
      <c r="W5967" s="474">
        <v>275000</v>
      </c>
      <c r="X5967" s="71"/>
      <c r="Y5967" s="71"/>
    </row>
    <row r="5968" spans="1:25" s="209" customFormat="1" ht="31.5" hidden="1" customHeight="1" x14ac:dyDescent="0.2">
      <c r="A5968" s="1145">
        <v>45093</v>
      </c>
      <c r="B5968" s="664" t="s">
        <v>3289</v>
      </c>
      <c r="C5968" s="71" t="s">
        <v>3387</v>
      </c>
      <c r="D5968" s="71">
        <v>10</v>
      </c>
      <c r="E5968" s="102">
        <v>130000</v>
      </c>
      <c r="F5968" s="102">
        <f t="shared" si="2963"/>
        <v>1430000</v>
      </c>
      <c r="G5968" s="102">
        <f t="shared" si="2964"/>
        <v>1300000</v>
      </c>
      <c r="H5968" s="165" t="s">
        <v>172</v>
      </c>
      <c r="I5968" s="71" t="s">
        <v>184</v>
      </c>
      <c r="J5968" s="53">
        <f t="shared" si="2965"/>
        <v>180000</v>
      </c>
      <c r="K5968" s="63">
        <f t="shared" si="2966"/>
        <v>0.13846153846153847</v>
      </c>
      <c r="L5968" s="1212" t="s">
        <v>3788</v>
      </c>
      <c r="M5968" s="468" t="s">
        <v>3684</v>
      </c>
      <c r="N5968" s="1192">
        <f t="shared" si="2962"/>
        <v>45093</v>
      </c>
      <c r="O5968" s="71" t="s">
        <v>189</v>
      </c>
      <c r="P5968" s="103" t="str">
        <f t="shared" si="2967"/>
        <v>Blanket(990*725)</v>
      </c>
      <c r="Q5968" s="71">
        <f t="shared" si="2968"/>
        <v>10</v>
      </c>
      <c r="R5968" s="102">
        <v>112000</v>
      </c>
      <c r="S5968" s="102">
        <f t="shared" si="2969"/>
        <v>1232000</v>
      </c>
      <c r="T5968" s="102">
        <f t="shared" si="2970"/>
        <v>1120000</v>
      </c>
      <c r="U5968" s="71" t="str">
        <f>IF(J5968=W5968,"O", "X")</f>
        <v>X</v>
      </c>
      <c r="V5968" s="71"/>
      <c r="W5968" s="474">
        <v>80000</v>
      </c>
      <c r="X5968" s="71"/>
      <c r="Y5968" s="71"/>
    </row>
    <row r="5969" spans="1:25" ht="30" hidden="1" customHeight="1" x14ac:dyDescent="0.25">
      <c r="A5969" s="1145">
        <v>45098</v>
      </c>
      <c r="B5969" s="664" t="s">
        <v>2261</v>
      </c>
      <c r="C5969" s="760" t="s">
        <v>181</v>
      </c>
      <c r="D5969" s="71">
        <v>5</v>
      </c>
      <c r="E5969" s="102">
        <v>193000</v>
      </c>
      <c r="F5969" s="102">
        <f t="shared" si="2963"/>
        <v>1061500</v>
      </c>
      <c r="G5969" s="102">
        <f t="shared" si="2964"/>
        <v>965000</v>
      </c>
      <c r="H5969" s="690" t="s">
        <v>2029</v>
      </c>
      <c r="I5969" s="71" t="s">
        <v>182</v>
      </c>
      <c r="J5969" s="53">
        <f t="shared" si="2965"/>
        <v>345000</v>
      </c>
      <c r="K5969" s="63">
        <f t="shared" si="2966"/>
        <v>0.35751295336787564</v>
      </c>
      <c r="L5969" s="1212" t="s">
        <v>3788</v>
      </c>
      <c r="M5969" s="468"/>
      <c r="N5969" s="1192">
        <f t="shared" ref="N5969:N5976" si="2971">A5969</f>
        <v>45098</v>
      </c>
      <c r="O5969" s="71" t="s">
        <v>2030</v>
      </c>
      <c r="P5969" s="103" t="str">
        <f t="shared" si="2967"/>
        <v>Fount Web 551AF</v>
      </c>
      <c r="Q5969" s="71">
        <f t="shared" si="2968"/>
        <v>5</v>
      </c>
      <c r="R5969" s="102">
        <v>124000</v>
      </c>
      <c r="S5969" s="102">
        <f t="shared" si="2969"/>
        <v>682000</v>
      </c>
      <c r="T5969" s="102">
        <f t="shared" si="2970"/>
        <v>620000</v>
      </c>
      <c r="U5969" s="71" t="str">
        <f>IF(J5969=W5969,"O", "X")</f>
        <v>X</v>
      </c>
      <c r="V5969" s="71"/>
      <c r="W5969" s="474">
        <v>640000</v>
      </c>
      <c r="X5969" s="71"/>
      <c r="Y5969" s="71"/>
    </row>
    <row r="5970" spans="1:25" ht="30" hidden="1" customHeight="1" x14ac:dyDescent="0.25">
      <c r="A5970" s="1145">
        <v>45098</v>
      </c>
      <c r="B5970" s="664" t="s">
        <v>2261</v>
      </c>
      <c r="C5970" s="71" t="s">
        <v>277</v>
      </c>
      <c r="D5970" s="71">
        <v>5</v>
      </c>
      <c r="E5970" s="102">
        <v>172000</v>
      </c>
      <c r="F5970" s="102">
        <f t="shared" si="2963"/>
        <v>946000.00000000012</v>
      </c>
      <c r="G5970" s="102">
        <f t="shared" si="2964"/>
        <v>860000</v>
      </c>
      <c r="H5970" s="690" t="s">
        <v>172</v>
      </c>
      <c r="I5970" s="71" t="s">
        <v>108</v>
      </c>
      <c r="J5970" s="53">
        <f t="shared" si="2965"/>
        <v>195000</v>
      </c>
      <c r="K5970" s="63">
        <f t="shared" si="2966"/>
        <v>0.22674418604651159</v>
      </c>
      <c r="L5970" s="1212" t="s">
        <v>3788</v>
      </c>
      <c r="M5970" s="468"/>
      <c r="N5970" s="1192">
        <f t="shared" si="2971"/>
        <v>45098</v>
      </c>
      <c r="O5970" s="71" t="s">
        <v>662</v>
      </c>
      <c r="P5970" s="103" t="str">
        <f t="shared" si="2967"/>
        <v>윤전용 세척제(Web 504)</v>
      </c>
      <c r="Q5970" s="71">
        <f t="shared" si="2968"/>
        <v>5</v>
      </c>
      <c r="R5970" s="102">
        <v>133000</v>
      </c>
      <c r="S5970" s="102">
        <f t="shared" si="2969"/>
        <v>731500.00000000012</v>
      </c>
      <c r="T5970" s="102">
        <f t="shared" si="2970"/>
        <v>665000</v>
      </c>
      <c r="U5970" s="71" t="str">
        <f>IF(J5970=W5970,"O", "X")</f>
        <v>X</v>
      </c>
      <c r="V5970" s="71"/>
      <c r="W5970" s="474"/>
      <c r="X5970" s="71"/>
      <c r="Y5970" s="71"/>
    </row>
    <row r="5971" spans="1:25" ht="30" hidden="1" customHeight="1" x14ac:dyDescent="0.25">
      <c r="A5971" s="1145">
        <v>45098</v>
      </c>
      <c r="B5971" s="664" t="s">
        <v>2261</v>
      </c>
      <c r="C5971" s="71" t="s">
        <v>3299</v>
      </c>
      <c r="D5971" s="71">
        <v>5</v>
      </c>
      <c r="E5971" s="102">
        <v>52000</v>
      </c>
      <c r="F5971" s="102">
        <f t="shared" si="2963"/>
        <v>286000</v>
      </c>
      <c r="G5971" s="102">
        <f t="shared" si="2964"/>
        <v>260000</v>
      </c>
      <c r="H5971" s="690" t="s">
        <v>172</v>
      </c>
      <c r="I5971" s="71" t="s">
        <v>180</v>
      </c>
      <c r="J5971" s="53">
        <f t="shared" si="2965"/>
        <v>22500</v>
      </c>
      <c r="K5971" s="63">
        <f t="shared" si="2966"/>
        <v>8.6538461538461536E-2</v>
      </c>
      <c r="L5971" s="1212" t="s">
        <v>3788</v>
      </c>
      <c r="M5971" s="468" t="s">
        <v>3684</v>
      </c>
      <c r="N5971" s="1192">
        <f t="shared" si="2971"/>
        <v>45098</v>
      </c>
      <c r="O5971" s="71" t="s">
        <v>175</v>
      </c>
      <c r="P5971" s="103" t="str">
        <f t="shared" si="2967"/>
        <v>매엽용 세척제(Wash k11)</v>
      </c>
      <c r="Q5971" s="71">
        <f t="shared" si="2968"/>
        <v>5</v>
      </c>
      <c r="R5971" s="102">
        <v>47500</v>
      </c>
      <c r="S5971" s="102">
        <f t="shared" si="2969"/>
        <v>261250.00000000003</v>
      </c>
      <c r="T5971" s="102">
        <f t="shared" si="2970"/>
        <v>237500</v>
      </c>
      <c r="U5971" s="71" t="s">
        <v>859</v>
      </c>
      <c r="V5971" s="71"/>
      <c r="W5971" s="474"/>
      <c r="X5971" s="71"/>
      <c r="Y5971" s="71"/>
    </row>
    <row r="5972" spans="1:25" ht="30" hidden="1" customHeight="1" x14ac:dyDescent="0.25">
      <c r="A5972" s="1145">
        <v>45090</v>
      </c>
      <c r="B5972" s="664" t="s">
        <v>3296</v>
      </c>
      <c r="C5972" s="71" t="s">
        <v>3297</v>
      </c>
      <c r="D5972" s="71">
        <v>20</v>
      </c>
      <c r="E5972" s="102">
        <v>162500</v>
      </c>
      <c r="F5972" s="102">
        <f t="shared" si="2963"/>
        <v>3575000.0000000005</v>
      </c>
      <c r="G5972" s="102">
        <f t="shared" si="2964"/>
        <v>3250000</v>
      </c>
      <c r="H5972" s="690" t="s">
        <v>172</v>
      </c>
      <c r="I5972" s="71" t="s">
        <v>3295</v>
      </c>
      <c r="J5972" s="53">
        <f t="shared" si="2965"/>
        <v>850000</v>
      </c>
      <c r="K5972" s="63">
        <f t="shared" si="2966"/>
        <v>0.2615384615384615</v>
      </c>
      <c r="L5972" s="1212" t="s">
        <v>3788</v>
      </c>
      <c r="M5972" s="468"/>
      <c r="N5972" s="1192">
        <f t="shared" si="2971"/>
        <v>45090</v>
      </c>
      <c r="O5972" s="71" t="s">
        <v>662</v>
      </c>
      <c r="P5972" s="103" t="str">
        <f t="shared" si="2967"/>
        <v>실리콘 에멀전</v>
      </c>
      <c r="Q5972" s="71">
        <f t="shared" si="2968"/>
        <v>20</v>
      </c>
      <c r="R5972" s="102">
        <v>120000</v>
      </c>
      <c r="S5972" s="102">
        <f t="shared" si="2969"/>
        <v>2640000</v>
      </c>
      <c r="T5972" s="102">
        <f t="shared" si="2970"/>
        <v>2400000</v>
      </c>
      <c r="U5972" s="71" t="str">
        <f>IF(J5972=W5972,"O", "X")</f>
        <v>X</v>
      </c>
      <c r="V5972" s="71"/>
      <c r="W5972" s="474"/>
      <c r="X5972" s="71"/>
      <c r="Y5972" s="71"/>
    </row>
    <row r="5973" spans="1:25" ht="30" hidden="1" customHeight="1" x14ac:dyDescent="0.25">
      <c r="A5973" s="1145">
        <v>45093</v>
      </c>
      <c r="B5973" s="664" t="s">
        <v>18</v>
      </c>
      <c r="C5973" s="71" t="s">
        <v>2070</v>
      </c>
      <c r="D5973" s="71">
        <v>10</v>
      </c>
      <c r="E5973" s="102">
        <v>115000</v>
      </c>
      <c r="F5973" s="102">
        <f t="shared" si="2963"/>
        <v>1265000</v>
      </c>
      <c r="G5973" s="102">
        <f t="shared" si="2964"/>
        <v>1150000</v>
      </c>
      <c r="H5973" s="690" t="s">
        <v>172</v>
      </c>
      <c r="I5973" s="71" t="s">
        <v>33</v>
      </c>
      <c r="J5973" s="53">
        <f t="shared" si="2965"/>
        <v>168000</v>
      </c>
      <c r="K5973" s="63">
        <v>0.10555555555555554</v>
      </c>
      <c r="L5973" s="1212" t="s">
        <v>3788</v>
      </c>
      <c r="M5973" s="468"/>
      <c r="N5973" s="1192">
        <f t="shared" si="2971"/>
        <v>45093</v>
      </c>
      <c r="O5973" s="71" t="s">
        <v>146</v>
      </c>
      <c r="P5973" s="103" t="str">
        <f t="shared" si="2967"/>
        <v>Blanket(1050*840)</v>
      </c>
      <c r="Q5973" s="71">
        <f t="shared" si="2968"/>
        <v>10</v>
      </c>
      <c r="R5973" s="102">
        <v>98200</v>
      </c>
      <c r="S5973" s="102">
        <f t="shared" si="2969"/>
        <v>1080200</v>
      </c>
      <c r="T5973" s="102">
        <f t="shared" si="2970"/>
        <v>982000</v>
      </c>
      <c r="U5973" s="71" t="s">
        <v>859</v>
      </c>
      <c r="V5973" s="71"/>
      <c r="W5973" s="474"/>
      <c r="X5973" s="71"/>
      <c r="Y5973" s="71"/>
    </row>
    <row r="5974" spans="1:25" ht="30" hidden="1" customHeight="1" x14ac:dyDescent="0.25">
      <c r="A5974" s="1145">
        <v>45093</v>
      </c>
      <c r="B5974" s="664" t="s">
        <v>18</v>
      </c>
      <c r="C5974" s="71" t="s">
        <v>3305</v>
      </c>
      <c r="D5974" s="71">
        <v>15</v>
      </c>
      <c r="E5974" s="102">
        <v>86000</v>
      </c>
      <c r="F5974" s="102">
        <f t="shared" si="2963"/>
        <v>1419000</v>
      </c>
      <c r="G5974" s="102">
        <f t="shared" si="2964"/>
        <v>1290000</v>
      </c>
      <c r="H5974" s="690" t="s">
        <v>172</v>
      </c>
      <c r="I5974" s="71" t="s">
        <v>3295</v>
      </c>
      <c r="J5974" s="53">
        <f t="shared" si="2965"/>
        <v>240000</v>
      </c>
      <c r="K5974" s="63">
        <f>(J5974/(F5974/11*10))</f>
        <v>0.18604651162790697</v>
      </c>
      <c r="L5974" s="1212" t="s">
        <v>3788</v>
      </c>
      <c r="M5974" s="468" t="s">
        <v>3306</v>
      </c>
      <c r="N5974" s="1192">
        <f t="shared" si="2971"/>
        <v>45093</v>
      </c>
      <c r="O5974" s="71" t="s">
        <v>146</v>
      </c>
      <c r="P5974" s="103" t="str">
        <f t="shared" si="2967"/>
        <v>파우더</v>
      </c>
      <c r="Q5974" s="71">
        <f t="shared" si="2968"/>
        <v>15</v>
      </c>
      <c r="R5974" s="102">
        <v>70000</v>
      </c>
      <c r="S5974" s="102">
        <f t="shared" si="2969"/>
        <v>1155000</v>
      </c>
      <c r="T5974" s="102">
        <f t="shared" si="2970"/>
        <v>1050000</v>
      </c>
      <c r="U5974" s="71" t="str">
        <f>IF(J5974=W5974,"O", "X")</f>
        <v>X</v>
      </c>
      <c r="V5974" s="71"/>
      <c r="W5974" s="474"/>
      <c r="X5974" s="71"/>
      <c r="Y5974" s="71"/>
    </row>
    <row r="5975" spans="1:25" ht="30" hidden="1" customHeight="1" x14ac:dyDescent="0.25">
      <c r="A5975" s="1145">
        <v>45093</v>
      </c>
      <c r="B5975" s="664" t="s">
        <v>548</v>
      </c>
      <c r="C5975" s="71" t="s">
        <v>3384</v>
      </c>
      <c r="D5975" s="71">
        <v>200</v>
      </c>
      <c r="E5975" s="102">
        <v>450</v>
      </c>
      <c r="F5975" s="102">
        <f t="shared" si="2963"/>
        <v>99000.000000000015</v>
      </c>
      <c r="G5975" s="102">
        <f t="shared" si="2964"/>
        <v>90000</v>
      </c>
      <c r="H5975" s="690" t="s">
        <v>2029</v>
      </c>
      <c r="I5975" s="71" t="s">
        <v>3385</v>
      </c>
      <c r="J5975" s="53">
        <f t="shared" si="2965"/>
        <v>26000</v>
      </c>
      <c r="K5975" s="63">
        <f>(J5975/(F5975/11*10))</f>
        <v>0.28888888888888886</v>
      </c>
      <c r="L5975" s="1212" t="s">
        <v>3788</v>
      </c>
      <c r="M5975" s="468"/>
      <c r="N5975" s="1192">
        <f t="shared" si="2971"/>
        <v>45093</v>
      </c>
      <c r="O5975" s="71" t="s">
        <v>2030</v>
      </c>
      <c r="P5975" s="103" t="str">
        <f t="shared" si="2967"/>
        <v>고무사카 빨간색</v>
      </c>
      <c r="Q5975" s="71">
        <f t="shared" si="2968"/>
        <v>200</v>
      </c>
      <c r="R5975" s="102">
        <v>320</v>
      </c>
      <c r="S5975" s="102">
        <f t="shared" si="2969"/>
        <v>70400</v>
      </c>
      <c r="T5975" s="102">
        <f t="shared" si="2970"/>
        <v>64000</v>
      </c>
      <c r="U5975" s="71"/>
      <c r="V5975" s="71"/>
      <c r="W5975" s="474"/>
      <c r="X5975" s="71"/>
      <c r="Y5975" s="71"/>
    </row>
    <row r="5976" spans="1:25" ht="30" hidden="1" customHeight="1" x14ac:dyDescent="0.25">
      <c r="A5976" s="1145">
        <v>45093</v>
      </c>
      <c r="B5976" s="664" t="s">
        <v>548</v>
      </c>
      <c r="C5976" s="71" t="s">
        <v>3382</v>
      </c>
      <c r="D5976" s="71">
        <v>1</v>
      </c>
      <c r="E5976" s="102">
        <v>168000</v>
      </c>
      <c r="F5976" s="102">
        <f t="shared" si="2963"/>
        <v>184800.00000000003</v>
      </c>
      <c r="G5976" s="102">
        <f t="shared" si="2964"/>
        <v>168000</v>
      </c>
      <c r="H5976" s="690" t="s">
        <v>2029</v>
      </c>
      <c r="I5976" s="71" t="s">
        <v>180</v>
      </c>
      <c r="J5976" s="53">
        <f t="shared" si="2965"/>
        <v>54000</v>
      </c>
      <c r="K5976" s="63">
        <f>(J5976/(F5976/11*10))</f>
        <v>0.3214285714285714</v>
      </c>
      <c r="L5976" s="1212" t="s">
        <v>3788</v>
      </c>
      <c r="M5976" s="468"/>
      <c r="N5976" s="1192">
        <f t="shared" si="2971"/>
        <v>45093</v>
      </c>
      <c r="O5976" s="71" t="s">
        <v>3383</v>
      </c>
      <c r="P5976" s="164" t="str">
        <f t="shared" si="2967"/>
        <v>판 클리너(12개)</v>
      </c>
      <c r="Q5976" s="71">
        <f t="shared" si="2968"/>
        <v>1</v>
      </c>
      <c r="R5976" s="102">
        <v>114000</v>
      </c>
      <c r="S5976" s="102">
        <f t="shared" si="2969"/>
        <v>125400.00000000001</v>
      </c>
      <c r="T5976" s="102">
        <f t="shared" si="2970"/>
        <v>114000</v>
      </c>
      <c r="U5976" s="71" t="str">
        <f>IF(J5976=W5976,"O", "X")</f>
        <v>X</v>
      </c>
      <c r="V5976" s="71"/>
      <c r="W5976" s="474"/>
      <c r="X5976" s="71"/>
      <c r="Y5976" s="71"/>
    </row>
    <row r="5977" spans="1:25" s="209" customFormat="1" ht="30" hidden="1" customHeight="1" x14ac:dyDescent="0.25">
      <c r="A5977" s="1145">
        <v>45077</v>
      </c>
      <c r="B5977" s="664" t="s">
        <v>442</v>
      </c>
      <c r="C5977" s="71" t="s">
        <v>3685</v>
      </c>
      <c r="D5977" s="71">
        <v>1000</v>
      </c>
      <c r="E5977" s="102">
        <v>4250</v>
      </c>
      <c r="F5977" s="102">
        <v>4675000</v>
      </c>
      <c r="G5977" s="102">
        <v>4250000</v>
      </c>
      <c r="H5977" s="690" t="s">
        <v>173</v>
      </c>
      <c r="I5977" s="71" t="s">
        <v>2230</v>
      </c>
      <c r="J5977" s="53">
        <v>367000</v>
      </c>
      <c r="K5977" s="63">
        <v>8.6352941176470591E-2</v>
      </c>
      <c r="L5977" s="1212" t="s">
        <v>3788</v>
      </c>
      <c r="M5977" s="468"/>
      <c r="N5977" s="1192">
        <v>45002</v>
      </c>
      <c r="O5977" s="71" t="s">
        <v>150</v>
      </c>
      <c r="P5977" s="164" t="s">
        <v>3777</v>
      </c>
      <c r="Q5977" s="71">
        <v>1000</v>
      </c>
      <c r="R5977" s="102">
        <v>3945</v>
      </c>
      <c r="S5977" s="102">
        <v>4271300</v>
      </c>
      <c r="T5977" s="102">
        <v>3883000</v>
      </c>
      <c r="U5977" s="71"/>
      <c r="V5977" s="71"/>
      <c r="W5977" s="474"/>
      <c r="X5977" s="71"/>
      <c r="Y5977" s="71"/>
    </row>
    <row r="5978" spans="1:25" ht="30" hidden="1" customHeight="1" x14ac:dyDescent="0.25">
      <c r="A5978" s="1145">
        <v>45077</v>
      </c>
      <c r="B5978" s="664" t="s">
        <v>442</v>
      </c>
      <c r="C5978" s="71" t="s">
        <v>984</v>
      </c>
      <c r="D5978" s="71">
        <v>10</v>
      </c>
      <c r="E5978" s="102">
        <v>57000</v>
      </c>
      <c r="F5978" s="102">
        <v>627000</v>
      </c>
      <c r="G5978" s="102">
        <v>570000</v>
      </c>
      <c r="H5978" s="690" t="s">
        <v>173</v>
      </c>
      <c r="I5978" s="71" t="s">
        <v>2230</v>
      </c>
      <c r="J5978" s="53">
        <v>173400</v>
      </c>
      <c r="K5978" s="63">
        <v>0.30421052631578949</v>
      </c>
      <c r="L5978" s="1212" t="s">
        <v>3788</v>
      </c>
      <c r="M5978" s="468"/>
      <c r="N5978" s="1192">
        <v>45002</v>
      </c>
      <c r="O5978" s="71" t="s">
        <v>150</v>
      </c>
      <c r="P5978" s="103" t="s">
        <v>1026</v>
      </c>
      <c r="Q5978" s="71">
        <v>10</v>
      </c>
      <c r="R5978" s="102">
        <v>39660</v>
      </c>
      <c r="S5978" s="102">
        <v>436260.00000000006</v>
      </c>
      <c r="T5978" s="102">
        <v>396600</v>
      </c>
      <c r="U5978" s="71"/>
      <c r="V5978" s="71"/>
      <c r="W5978" s="474"/>
      <c r="X5978" s="71"/>
      <c r="Y5978" s="71"/>
    </row>
    <row r="5979" spans="1:25" ht="30" hidden="1" customHeight="1" x14ac:dyDescent="0.25">
      <c r="A5979" s="1145">
        <v>45077</v>
      </c>
      <c r="B5979" s="664" t="s">
        <v>442</v>
      </c>
      <c r="C5979" s="71" t="s">
        <v>206</v>
      </c>
      <c r="D5979" s="71">
        <v>2</v>
      </c>
      <c r="E5979" s="102">
        <v>453000</v>
      </c>
      <c r="F5979" s="102">
        <v>996600.00000000012</v>
      </c>
      <c r="G5979" s="102">
        <v>906000</v>
      </c>
      <c r="H5979" s="690" t="s">
        <v>2029</v>
      </c>
      <c r="I5979" s="71" t="s">
        <v>195</v>
      </c>
      <c r="J5979" s="53">
        <v>144640</v>
      </c>
      <c r="K5979" s="63">
        <v>0.15964679911699778</v>
      </c>
      <c r="L5979" s="1212" t="s">
        <v>3788</v>
      </c>
      <c r="M5979" s="468"/>
      <c r="N5979" s="1192">
        <v>45028</v>
      </c>
      <c r="O5979" s="71" t="s">
        <v>194</v>
      </c>
      <c r="P5979" s="103" t="s">
        <v>3778</v>
      </c>
      <c r="Q5979" s="71">
        <v>2</v>
      </c>
      <c r="R5979" s="102">
        <v>380680</v>
      </c>
      <c r="S5979" s="102">
        <v>837496.00000000012</v>
      </c>
      <c r="T5979" s="102">
        <v>761360</v>
      </c>
      <c r="U5979" s="71" t="s">
        <v>859</v>
      </c>
      <c r="V5979" s="71"/>
      <c r="W5979" s="474">
        <v>144640</v>
      </c>
      <c r="X5979" s="71"/>
      <c r="Y5979" s="71"/>
    </row>
    <row r="5980" spans="1:25" ht="30" hidden="1" customHeight="1" x14ac:dyDescent="0.25">
      <c r="A5980" s="1145">
        <v>45077</v>
      </c>
      <c r="B5980" s="664" t="s">
        <v>442</v>
      </c>
      <c r="C5980" s="71" t="s">
        <v>207</v>
      </c>
      <c r="D5980" s="71">
        <v>2</v>
      </c>
      <c r="E5980" s="102">
        <v>558000</v>
      </c>
      <c r="F5980" s="102">
        <v>1227600</v>
      </c>
      <c r="G5980" s="102">
        <v>1116000</v>
      </c>
      <c r="H5980" s="690" t="s">
        <v>2029</v>
      </c>
      <c r="I5980" s="71" t="s">
        <v>195</v>
      </c>
      <c r="J5980" s="53">
        <v>228480</v>
      </c>
      <c r="K5980" s="63">
        <v>0.20473118279569893</v>
      </c>
      <c r="L5980" s="1212" t="s">
        <v>3788</v>
      </c>
      <c r="M5980" s="468"/>
      <c r="N5980" s="1192">
        <v>45028</v>
      </c>
      <c r="O5980" s="71" t="s">
        <v>194</v>
      </c>
      <c r="P5980" s="103" t="s">
        <v>3779</v>
      </c>
      <c r="Q5980" s="71">
        <v>2</v>
      </c>
      <c r="R5980" s="102">
        <v>443760</v>
      </c>
      <c r="S5980" s="102">
        <v>976272.00000000012</v>
      </c>
      <c r="T5980" s="102">
        <v>887520</v>
      </c>
      <c r="U5980" s="71" t="s">
        <v>859</v>
      </c>
      <c r="V5980" s="71"/>
      <c r="W5980" s="474">
        <v>228480</v>
      </c>
      <c r="X5980" s="71"/>
      <c r="Y5980" s="71"/>
    </row>
    <row r="5981" spans="1:25" ht="30" hidden="1" customHeight="1" x14ac:dyDescent="0.25">
      <c r="A5981" s="1145">
        <v>45077</v>
      </c>
      <c r="B5981" s="664" t="s">
        <v>442</v>
      </c>
      <c r="C5981" s="71" t="s">
        <v>208</v>
      </c>
      <c r="D5981" s="71">
        <v>2</v>
      </c>
      <c r="E5981" s="102">
        <v>624000</v>
      </c>
      <c r="F5981" s="102">
        <v>1372800</v>
      </c>
      <c r="G5981" s="102">
        <v>1248000</v>
      </c>
      <c r="H5981" s="690" t="s">
        <v>2029</v>
      </c>
      <c r="I5981" s="71" t="s">
        <v>195</v>
      </c>
      <c r="J5981" s="53">
        <v>201820</v>
      </c>
      <c r="K5981" s="63">
        <v>0.16171474358974358</v>
      </c>
      <c r="L5981" s="1212" t="s">
        <v>3788</v>
      </c>
      <c r="M5981" s="468"/>
      <c r="N5981" s="1192">
        <v>45028</v>
      </c>
      <c r="O5981" s="71" t="s">
        <v>194</v>
      </c>
      <c r="P5981" s="103" t="s">
        <v>3780</v>
      </c>
      <c r="Q5981" s="71">
        <v>2</v>
      </c>
      <c r="R5981" s="102">
        <v>523090</v>
      </c>
      <c r="S5981" s="102">
        <v>1150798</v>
      </c>
      <c r="T5981" s="102">
        <v>1046180</v>
      </c>
      <c r="U5981" s="71" t="s">
        <v>859</v>
      </c>
      <c r="V5981" s="71"/>
      <c r="W5981" s="474">
        <v>201820</v>
      </c>
      <c r="X5981" s="71"/>
      <c r="Y5981" s="71"/>
    </row>
    <row r="5982" spans="1:25" ht="30" hidden="1" customHeight="1" x14ac:dyDescent="0.2">
      <c r="A5982" s="1145">
        <v>45077</v>
      </c>
      <c r="B5982" s="664" t="s">
        <v>442</v>
      </c>
      <c r="C5982" s="71" t="s">
        <v>648</v>
      </c>
      <c r="D5982" s="71">
        <v>1</v>
      </c>
      <c r="E5982" s="102">
        <v>93000</v>
      </c>
      <c r="F5982" s="102">
        <v>102300.00000000001</v>
      </c>
      <c r="G5982" s="102">
        <v>93000</v>
      </c>
      <c r="H5982" s="165" t="s">
        <v>172</v>
      </c>
      <c r="I5982" s="71" t="s">
        <v>195</v>
      </c>
      <c r="J5982" s="53">
        <v>27000</v>
      </c>
      <c r="K5982" s="63">
        <v>0.29032258064516125</v>
      </c>
      <c r="L5982" s="1212" t="s">
        <v>3788</v>
      </c>
      <c r="M5982" s="468"/>
      <c r="N5982" s="1192">
        <v>45028</v>
      </c>
      <c r="O5982" s="71" t="s">
        <v>194</v>
      </c>
      <c r="P5982" s="103" t="s">
        <v>3781</v>
      </c>
      <c r="Q5982" s="71">
        <v>1</v>
      </c>
      <c r="R5982" s="102">
        <v>66000</v>
      </c>
      <c r="S5982" s="102">
        <v>72600</v>
      </c>
      <c r="T5982" s="102">
        <v>66000</v>
      </c>
      <c r="U5982" s="71" t="s">
        <v>859</v>
      </c>
      <c r="V5982" s="71"/>
      <c r="W5982" s="474">
        <v>27000</v>
      </c>
      <c r="X5982" s="71"/>
      <c r="Y5982" s="71"/>
    </row>
    <row r="5983" spans="1:25" ht="30" hidden="1" customHeight="1" x14ac:dyDescent="0.25">
      <c r="A5983" s="1145">
        <v>45085</v>
      </c>
      <c r="B5983" s="664" t="s">
        <v>442</v>
      </c>
      <c r="C5983" s="71" t="s">
        <v>651</v>
      </c>
      <c r="D5983" s="71">
        <v>12</v>
      </c>
      <c r="E5983" s="102">
        <v>46000</v>
      </c>
      <c r="F5983" s="102">
        <f t="shared" ref="F5983:F6005" si="2972">(E5983*D5983)*1.1</f>
        <v>607200</v>
      </c>
      <c r="G5983" s="102">
        <f t="shared" ref="G5983:G6005" si="2973">(E5983*D5983)</f>
        <v>552000</v>
      </c>
      <c r="H5983" s="690" t="s">
        <v>2029</v>
      </c>
      <c r="I5983" s="71" t="s">
        <v>195</v>
      </c>
      <c r="J5983" s="53">
        <f>G5983-T5983</f>
        <v>198840</v>
      </c>
      <c r="K5983" s="63">
        <f>(J5983/(F5983/11*10))</f>
        <v>0.36021739130434782</v>
      </c>
      <c r="L5983" s="1212" t="s">
        <v>3788</v>
      </c>
      <c r="M5983" s="468"/>
      <c r="N5983" s="1192">
        <f t="shared" ref="N5983:N5995" si="2974">A5983</f>
        <v>45085</v>
      </c>
      <c r="O5983" s="71" t="s">
        <v>194</v>
      </c>
      <c r="P5983" s="164" t="str">
        <f t="shared" ref="P5983:P6005" si="2975">(C5983)</f>
        <v>Agfa 현상액 G101C(10L)</v>
      </c>
      <c r="Q5983" s="71">
        <f t="shared" ref="Q5983:Q6005" si="2976">D5983</f>
        <v>12</v>
      </c>
      <c r="R5983" s="102">
        <v>29430</v>
      </c>
      <c r="S5983" s="102">
        <f t="shared" ref="S5983:S5997" si="2977">R5983*Q5983*1.1</f>
        <v>388476.00000000006</v>
      </c>
      <c r="T5983" s="102">
        <f t="shared" ref="T5983:T5997" si="2978">R5983*Q5983</f>
        <v>353160</v>
      </c>
      <c r="U5983" s="71" t="str">
        <f>IF(J5983=W5983,"O", "X")</f>
        <v>O</v>
      </c>
      <c r="V5983" s="71"/>
      <c r="W5983" s="474">
        <f>(G5983-T5983)</f>
        <v>198840</v>
      </c>
      <c r="X5983" s="71"/>
      <c r="Y5983" s="71"/>
    </row>
    <row r="5984" spans="1:25" ht="30" hidden="1" customHeight="1" x14ac:dyDescent="0.25">
      <c r="A5984" s="1145">
        <v>45085</v>
      </c>
      <c r="B5984" s="664" t="s">
        <v>442</v>
      </c>
      <c r="C5984" s="71" t="s">
        <v>3433</v>
      </c>
      <c r="D5984" s="71">
        <v>5</v>
      </c>
      <c r="E5984" s="102">
        <v>115000</v>
      </c>
      <c r="F5984" s="102">
        <f t="shared" si="2972"/>
        <v>632500</v>
      </c>
      <c r="G5984" s="102">
        <f t="shared" si="2973"/>
        <v>575000</v>
      </c>
      <c r="H5984" s="690" t="s">
        <v>2029</v>
      </c>
      <c r="I5984" s="71" t="s">
        <v>3385</v>
      </c>
      <c r="J5984" s="53">
        <f>G5984-T5984</f>
        <v>141000</v>
      </c>
      <c r="K5984" s="63">
        <f>(J5984/(F5984/11*10))</f>
        <v>0.24521739130434783</v>
      </c>
      <c r="L5984" s="1212" t="s">
        <v>3788</v>
      </c>
      <c r="M5984" s="468"/>
      <c r="N5984" s="1192">
        <f t="shared" si="2974"/>
        <v>45085</v>
      </c>
      <c r="O5984" s="71" t="s">
        <v>147</v>
      </c>
      <c r="P5984" s="164" t="str">
        <f t="shared" si="2975"/>
        <v>블랑켓-하이델베르그 국전용</v>
      </c>
      <c r="Q5984" s="71">
        <f t="shared" si="2976"/>
        <v>5</v>
      </c>
      <c r="R5984" s="102">
        <v>86800</v>
      </c>
      <c r="S5984" s="102">
        <f t="shared" si="2977"/>
        <v>477400.00000000006</v>
      </c>
      <c r="T5984" s="102">
        <f t="shared" si="2978"/>
        <v>434000</v>
      </c>
      <c r="U5984" s="71"/>
      <c r="V5984" s="71"/>
      <c r="W5984" s="474"/>
      <c r="X5984" s="71"/>
      <c r="Y5984" s="71"/>
    </row>
    <row r="5985" spans="1:25" ht="30" hidden="1" customHeight="1" x14ac:dyDescent="0.25">
      <c r="A5985" s="1145">
        <v>45090</v>
      </c>
      <c r="B5985" s="664" t="s">
        <v>442</v>
      </c>
      <c r="C5985" s="71" t="s">
        <v>3299</v>
      </c>
      <c r="D5985" s="71">
        <v>15</v>
      </c>
      <c r="E5985" s="102">
        <v>69000</v>
      </c>
      <c r="F5985" s="102">
        <f t="shared" si="2972"/>
        <v>1138500</v>
      </c>
      <c r="G5985" s="102">
        <f t="shared" si="2973"/>
        <v>1035000</v>
      </c>
      <c r="H5985" s="690" t="s">
        <v>172</v>
      </c>
      <c r="I5985" s="71" t="s">
        <v>108</v>
      </c>
      <c r="J5985" s="53">
        <f>G5985-T5985</f>
        <v>322500</v>
      </c>
      <c r="K5985" s="63">
        <f>(J5985/(F5985/11*10))</f>
        <v>0.31159420289855072</v>
      </c>
      <c r="L5985" s="1212" t="s">
        <v>3788</v>
      </c>
      <c r="M5985" s="468" t="s">
        <v>3304</v>
      </c>
      <c r="N5985" s="1192">
        <f t="shared" si="2974"/>
        <v>45090</v>
      </c>
      <c r="O5985" s="71" t="s">
        <v>175</v>
      </c>
      <c r="P5985" s="164" t="str">
        <f t="shared" si="2975"/>
        <v>매엽용 세척제(Wash k11)</v>
      </c>
      <c r="Q5985" s="71">
        <f t="shared" si="2976"/>
        <v>15</v>
      </c>
      <c r="R5985" s="102">
        <v>47500</v>
      </c>
      <c r="S5985" s="102">
        <f t="shared" si="2977"/>
        <v>783750.00000000012</v>
      </c>
      <c r="T5985" s="102">
        <f t="shared" si="2978"/>
        <v>712500</v>
      </c>
      <c r="U5985" s="71" t="s">
        <v>859</v>
      </c>
      <c r="V5985" s="71"/>
      <c r="W5985" s="474"/>
      <c r="X5985" s="71"/>
      <c r="Y5985" s="71"/>
    </row>
    <row r="5986" spans="1:25" s="209" customFormat="1" ht="30" hidden="1" customHeight="1" x14ac:dyDescent="0.25">
      <c r="A5986" s="1145">
        <v>45084</v>
      </c>
      <c r="B5986" s="664" t="s">
        <v>545</v>
      </c>
      <c r="C5986" s="71" t="s">
        <v>3782</v>
      </c>
      <c r="D5986" s="71">
        <v>2</v>
      </c>
      <c r="E5986" s="102">
        <v>700000</v>
      </c>
      <c r="F5986" s="102">
        <f t="shared" si="2972"/>
        <v>1540000.0000000002</v>
      </c>
      <c r="G5986" s="102">
        <f t="shared" si="2973"/>
        <v>1400000</v>
      </c>
      <c r="H5986" s="690" t="s">
        <v>173</v>
      </c>
      <c r="I5986" s="71" t="s">
        <v>2231</v>
      </c>
      <c r="J5986" s="53">
        <f>G5986-T5986</f>
        <v>200000</v>
      </c>
      <c r="K5986" s="63">
        <f>(J5986/(F5986/11*10))</f>
        <v>0.14285714285714282</v>
      </c>
      <c r="L5986" s="1212" t="s">
        <v>3788</v>
      </c>
      <c r="M5986" s="468"/>
      <c r="N5986" s="1192">
        <f t="shared" si="2974"/>
        <v>45084</v>
      </c>
      <c r="O5986" s="71" t="s">
        <v>2030</v>
      </c>
      <c r="P5986" s="164" t="str">
        <f t="shared" si="2975"/>
        <v>챔버 닥터블레이드 - XL106용</v>
      </c>
      <c r="Q5986" s="71">
        <f t="shared" si="2976"/>
        <v>2</v>
      </c>
      <c r="R5986" s="102">
        <v>600000</v>
      </c>
      <c r="S5986" s="102">
        <f t="shared" si="2977"/>
        <v>1320000</v>
      </c>
      <c r="T5986" s="102">
        <f t="shared" si="2978"/>
        <v>1200000</v>
      </c>
      <c r="U5986" s="71"/>
      <c r="V5986" s="71"/>
      <c r="W5986" s="474"/>
      <c r="X5986" s="71"/>
      <c r="Y5986" s="71"/>
    </row>
    <row r="5987" spans="1:25" ht="30" hidden="1" customHeight="1" x14ac:dyDescent="0.25">
      <c r="A5987" s="1145">
        <v>45097</v>
      </c>
      <c r="B5987" s="664" t="s">
        <v>2798</v>
      </c>
      <c r="C5987" s="71" t="s">
        <v>167</v>
      </c>
      <c r="D5987" s="71">
        <v>10</v>
      </c>
      <c r="E5987" s="102">
        <v>138000</v>
      </c>
      <c r="F5987" s="102">
        <f t="shared" si="2972"/>
        <v>1518000.0000000002</v>
      </c>
      <c r="G5987" s="102">
        <f t="shared" si="2973"/>
        <v>1380000</v>
      </c>
      <c r="H5987" s="690" t="s">
        <v>172</v>
      </c>
      <c r="I5987" s="71" t="s">
        <v>33</v>
      </c>
      <c r="J5987" s="53">
        <f t="shared" ref="J5987:J5997" si="2979">G5987-T5987</f>
        <v>368000</v>
      </c>
      <c r="K5987" s="63">
        <f t="shared" ref="K5987:K5997" si="2980">(J5987/(F5987/11*10))</f>
        <v>0.26666666666666661</v>
      </c>
      <c r="L5987" s="1212" t="s">
        <v>3788</v>
      </c>
      <c r="M5987" s="468"/>
      <c r="N5987" s="1192">
        <f t="shared" si="2974"/>
        <v>45097</v>
      </c>
      <c r="O5987" s="71" t="s">
        <v>146</v>
      </c>
      <c r="P5987" s="103" t="str">
        <f t="shared" si="2975"/>
        <v>Blanket(1060*860)</v>
      </c>
      <c r="Q5987" s="71">
        <f t="shared" si="2976"/>
        <v>10</v>
      </c>
      <c r="R5987" s="102">
        <v>101200</v>
      </c>
      <c r="S5987" s="102">
        <f t="shared" si="2977"/>
        <v>1113200</v>
      </c>
      <c r="T5987" s="102">
        <f t="shared" si="2978"/>
        <v>1012000</v>
      </c>
      <c r="U5987" s="71" t="str">
        <f>IF(J5987=W5987,"O", "X")</f>
        <v>X</v>
      </c>
      <c r="V5987" s="71"/>
      <c r="W5987" s="474"/>
      <c r="X5987" s="71"/>
      <c r="Y5987" s="71"/>
    </row>
    <row r="5988" spans="1:25" ht="30" hidden="1" customHeight="1" x14ac:dyDescent="0.25">
      <c r="A5988" s="1145">
        <v>45106</v>
      </c>
      <c r="B5988" s="664" t="s">
        <v>2798</v>
      </c>
      <c r="C5988" s="71" t="s">
        <v>167</v>
      </c>
      <c r="D5988" s="71">
        <v>10</v>
      </c>
      <c r="E5988" s="102">
        <v>138000</v>
      </c>
      <c r="F5988" s="102">
        <f t="shared" si="2972"/>
        <v>1518000.0000000002</v>
      </c>
      <c r="G5988" s="102">
        <f t="shared" si="2973"/>
        <v>1380000</v>
      </c>
      <c r="H5988" s="690" t="s">
        <v>172</v>
      </c>
      <c r="I5988" s="71" t="s">
        <v>33</v>
      </c>
      <c r="J5988" s="53">
        <f t="shared" si="2979"/>
        <v>368000</v>
      </c>
      <c r="K5988" s="63">
        <f t="shared" si="2980"/>
        <v>0.26666666666666661</v>
      </c>
      <c r="L5988" s="1212" t="s">
        <v>3788</v>
      </c>
      <c r="M5988" s="468"/>
      <c r="N5988" s="1192">
        <f t="shared" si="2974"/>
        <v>45106</v>
      </c>
      <c r="O5988" s="71" t="s">
        <v>146</v>
      </c>
      <c r="P5988" s="103" t="str">
        <f t="shared" si="2975"/>
        <v>Blanket(1060*860)</v>
      </c>
      <c r="Q5988" s="71">
        <f t="shared" si="2976"/>
        <v>10</v>
      </c>
      <c r="R5988" s="102">
        <v>101200</v>
      </c>
      <c r="S5988" s="102">
        <f t="shared" si="2977"/>
        <v>1113200</v>
      </c>
      <c r="T5988" s="102">
        <f t="shared" si="2978"/>
        <v>1012000</v>
      </c>
      <c r="U5988" s="71" t="str">
        <f>IF(J5988=W5988,"O", "X")</f>
        <v>X</v>
      </c>
      <c r="V5988" s="71"/>
      <c r="W5988" s="474"/>
      <c r="X5988" s="71"/>
      <c r="Y5988" s="71"/>
    </row>
    <row r="5989" spans="1:25" ht="30" hidden="1" customHeight="1" x14ac:dyDescent="0.25">
      <c r="A5989" s="1145">
        <v>45094</v>
      </c>
      <c r="B5989" s="664" t="s">
        <v>26</v>
      </c>
      <c r="C5989" s="71" t="s">
        <v>2087</v>
      </c>
      <c r="D5989" s="71">
        <v>10</v>
      </c>
      <c r="E5989" s="102">
        <v>65000</v>
      </c>
      <c r="F5989" s="102">
        <f t="shared" si="2972"/>
        <v>715000</v>
      </c>
      <c r="G5989" s="102">
        <f t="shared" si="2973"/>
        <v>650000</v>
      </c>
      <c r="H5989" s="690" t="s">
        <v>172</v>
      </c>
      <c r="I5989" s="71" t="s">
        <v>3295</v>
      </c>
      <c r="J5989" s="53">
        <f t="shared" si="2979"/>
        <v>150000</v>
      </c>
      <c r="K5989" s="63">
        <f t="shared" si="2980"/>
        <v>0.23076923076923078</v>
      </c>
      <c r="L5989" s="1212" t="s">
        <v>3788</v>
      </c>
      <c r="M5989" s="468"/>
      <c r="N5989" s="1192">
        <f t="shared" si="2974"/>
        <v>45094</v>
      </c>
      <c r="O5989" s="71" t="s">
        <v>152</v>
      </c>
      <c r="P5989" s="103" t="str">
        <f t="shared" si="2975"/>
        <v>아스테이지(국전)</v>
      </c>
      <c r="Q5989" s="71">
        <f t="shared" si="2976"/>
        <v>10</v>
      </c>
      <c r="R5989" s="102">
        <v>50000</v>
      </c>
      <c r="S5989" s="102">
        <f t="shared" si="2977"/>
        <v>550000</v>
      </c>
      <c r="T5989" s="102">
        <f t="shared" si="2978"/>
        <v>500000</v>
      </c>
      <c r="U5989" s="71" t="str">
        <f>IF(J5989=W5989,"O", "X")</f>
        <v>O</v>
      </c>
      <c r="V5989" s="71"/>
      <c r="W5989" s="474">
        <v>150000</v>
      </c>
      <c r="X5989" s="71"/>
      <c r="Y5989" s="71"/>
    </row>
    <row r="5990" spans="1:25" ht="30" hidden="1" customHeight="1" x14ac:dyDescent="0.25">
      <c r="A5990" s="1145">
        <v>45107</v>
      </c>
      <c r="B5990" s="664" t="s">
        <v>2103</v>
      </c>
      <c r="C5990" s="71" t="s">
        <v>3667</v>
      </c>
      <c r="D5990" s="71">
        <v>1626</v>
      </c>
      <c r="E5990" s="102">
        <v>1400</v>
      </c>
      <c r="F5990" s="102">
        <f t="shared" si="2972"/>
        <v>2504040</v>
      </c>
      <c r="G5990" s="102">
        <f t="shared" si="2973"/>
        <v>2276400</v>
      </c>
      <c r="H5990" s="690" t="s">
        <v>2029</v>
      </c>
      <c r="I5990" s="71" t="s">
        <v>2230</v>
      </c>
      <c r="J5990" s="53">
        <f t="shared" si="2979"/>
        <v>2276400</v>
      </c>
      <c r="K5990" s="63">
        <f t="shared" si="2980"/>
        <v>1</v>
      </c>
      <c r="L5990" s="1212" t="s">
        <v>3788</v>
      </c>
      <c r="M5990" s="468"/>
      <c r="N5990" s="1192">
        <f t="shared" si="2974"/>
        <v>45107</v>
      </c>
      <c r="O5990" s="71"/>
      <c r="P5990" s="103" t="str">
        <f t="shared" si="2975"/>
        <v>폐판</v>
      </c>
      <c r="Q5990" s="71">
        <f t="shared" si="2976"/>
        <v>1626</v>
      </c>
      <c r="R5990" s="147">
        <v>0</v>
      </c>
      <c r="S5990" s="102">
        <f t="shared" si="2977"/>
        <v>0</v>
      </c>
      <c r="T5990" s="102">
        <f t="shared" si="2978"/>
        <v>0</v>
      </c>
      <c r="U5990" s="71"/>
      <c r="V5990" s="71"/>
      <c r="W5990" s="474"/>
      <c r="X5990" s="71"/>
      <c r="Y5990" s="71"/>
    </row>
    <row r="5991" spans="1:25" ht="30" hidden="1" customHeight="1" x14ac:dyDescent="0.25">
      <c r="A5991" s="1145">
        <v>45097</v>
      </c>
      <c r="B5991" s="664" t="s">
        <v>2975</v>
      </c>
      <c r="C5991" s="71" t="s">
        <v>3783</v>
      </c>
      <c r="D5991" s="71">
        <v>3</v>
      </c>
      <c r="E5991" s="102">
        <v>950000</v>
      </c>
      <c r="F5991" s="102">
        <f t="shared" si="2972"/>
        <v>3135000.0000000005</v>
      </c>
      <c r="G5991" s="102">
        <f t="shared" si="2973"/>
        <v>2850000</v>
      </c>
      <c r="H5991" s="690" t="s">
        <v>94</v>
      </c>
      <c r="I5991" s="71" t="s">
        <v>94</v>
      </c>
      <c r="J5991" s="53">
        <f t="shared" si="2979"/>
        <v>2071230</v>
      </c>
      <c r="K5991" s="63">
        <f t="shared" si="2980"/>
        <v>0.72674736842105248</v>
      </c>
      <c r="L5991" s="1212" t="s">
        <v>3788</v>
      </c>
      <c r="M5991" s="102"/>
      <c r="N5991" s="1192">
        <f t="shared" si="2974"/>
        <v>45097</v>
      </c>
      <c r="O5991" s="71" t="s">
        <v>94</v>
      </c>
      <c r="P5991" s="103" t="str">
        <f t="shared" si="2975"/>
        <v>Technotrans beta.f 필터 세트</v>
      </c>
      <c r="Q5991" s="71">
        <f t="shared" si="2976"/>
        <v>3</v>
      </c>
      <c r="R5991" s="102">
        <v>259590</v>
      </c>
      <c r="S5991" s="102">
        <f t="shared" si="2977"/>
        <v>856647.00000000012</v>
      </c>
      <c r="T5991" s="102">
        <f t="shared" si="2978"/>
        <v>778770</v>
      </c>
      <c r="U5991" s="71"/>
      <c r="V5991" s="71"/>
      <c r="W5991" s="474"/>
      <c r="X5991" s="71"/>
      <c r="Y5991" s="71"/>
    </row>
    <row r="5992" spans="1:25" ht="30" hidden="1" customHeight="1" x14ac:dyDescent="0.25">
      <c r="A5992" s="1145">
        <v>45104</v>
      </c>
      <c r="B5992" s="664" t="s">
        <v>746</v>
      </c>
      <c r="C5992" s="71" t="s">
        <v>2648</v>
      </c>
      <c r="D5992" s="71">
        <v>10</v>
      </c>
      <c r="E5992" s="102">
        <v>38000</v>
      </c>
      <c r="F5992" s="102">
        <f t="shared" si="2972"/>
        <v>418000.00000000006</v>
      </c>
      <c r="G5992" s="102">
        <f t="shared" si="2973"/>
        <v>380000</v>
      </c>
      <c r="H5992" s="690" t="s">
        <v>94</v>
      </c>
      <c r="I5992" s="71" t="s">
        <v>94</v>
      </c>
      <c r="J5992" s="53">
        <f t="shared" si="2979"/>
        <v>139300</v>
      </c>
      <c r="K5992" s="63">
        <f t="shared" si="2980"/>
        <v>0.366578947368421</v>
      </c>
      <c r="L5992" s="1212" t="s">
        <v>3788</v>
      </c>
      <c r="M5992" s="468"/>
      <c r="N5992" s="1192">
        <f t="shared" si="2974"/>
        <v>45104</v>
      </c>
      <c r="O5992" s="71" t="s">
        <v>94</v>
      </c>
      <c r="P5992" s="103" t="str">
        <f t="shared" si="2975"/>
        <v>주머니 필터백</v>
      </c>
      <c r="Q5992" s="71">
        <f t="shared" si="2976"/>
        <v>10</v>
      </c>
      <c r="R5992" s="102">
        <v>24070</v>
      </c>
      <c r="S5992" s="102">
        <f t="shared" si="2977"/>
        <v>264770</v>
      </c>
      <c r="T5992" s="102">
        <f t="shared" si="2978"/>
        <v>240700</v>
      </c>
      <c r="U5992" s="71"/>
      <c r="V5992" s="71"/>
      <c r="W5992" s="474"/>
      <c r="X5992" s="71"/>
      <c r="Y5992" s="71"/>
    </row>
    <row r="5993" spans="1:25" ht="30" customHeight="1" x14ac:dyDescent="0.25">
      <c r="A5993" s="1145">
        <v>45103</v>
      </c>
      <c r="B5993" s="664" t="s">
        <v>641</v>
      </c>
      <c r="C5993" s="71" t="s">
        <v>3293</v>
      </c>
      <c r="D5993" s="71">
        <v>60</v>
      </c>
      <c r="E5993" s="102">
        <v>84000</v>
      </c>
      <c r="F5993" s="102">
        <f t="shared" si="2972"/>
        <v>5544000</v>
      </c>
      <c r="G5993" s="102">
        <f t="shared" si="2973"/>
        <v>5040000</v>
      </c>
      <c r="H5993" s="690" t="s">
        <v>172</v>
      </c>
      <c r="I5993" s="71" t="s">
        <v>38</v>
      </c>
      <c r="J5993" s="53">
        <f t="shared" si="2979"/>
        <v>1980000</v>
      </c>
      <c r="K5993" s="63">
        <f t="shared" si="2980"/>
        <v>0.39285714285714285</v>
      </c>
      <c r="L5993" s="1212" t="s">
        <v>3788</v>
      </c>
      <c r="M5993" s="468"/>
      <c r="N5993" s="1192">
        <f t="shared" si="2974"/>
        <v>45103</v>
      </c>
      <c r="O5993" s="71" t="s">
        <v>3291</v>
      </c>
      <c r="P5993" s="103" t="str">
        <f t="shared" si="2975"/>
        <v>GOSS 신문윤전 습식세정포</v>
      </c>
      <c r="Q5993" s="71">
        <f t="shared" si="2976"/>
        <v>60</v>
      </c>
      <c r="R5993" s="102">
        <v>51000</v>
      </c>
      <c r="S5993" s="102">
        <f t="shared" si="2977"/>
        <v>3366000.0000000005</v>
      </c>
      <c r="T5993" s="102">
        <f t="shared" si="2978"/>
        <v>3060000</v>
      </c>
      <c r="U5993" s="71" t="str">
        <f>IF(J5993=W5993,"O", "X")</f>
        <v>X</v>
      </c>
      <c r="V5993" s="71"/>
      <c r="W5993" s="474"/>
      <c r="X5993" s="71"/>
      <c r="Y5993" s="71"/>
    </row>
    <row r="5994" spans="1:25" s="209" customFormat="1" ht="30" hidden="1" customHeight="1" x14ac:dyDescent="0.25">
      <c r="A5994" s="1145">
        <v>45079</v>
      </c>
      <c r="B5994" s="664" t="s">
        <v>411</v>
      </c>
      <c r="C5994" s="71" t="s">
        <v>3784</v>
      </c>
      <c r="D5994" s="71">
        <v>10</v>
      </c>
      <c r="E5994" s="102">
        <v>30000</v>
      </c>
      <c r="F5994" s="102">
        <f t="shared" si="2972"/>
        <v>330000</v>
      </c>
      <c r="G5994" s="102">
        <f t="shared" si="2973"/>
        <v>300000</v>
      </c>
      <c r="H5994" s="690" t="s">
        <v>172</v>
      </c>
      <c r="I5994" s="71" t="s">
        <v>3295</v>
      </c>
      <c r="J5994" s="53">
        <f t="shared" si="2979"/>
        <v>300000</v>
      </c>
      <c r="K5994" s="63">
        <f t="shared" si="2980"/>
        <v>1</v>
      </c>
      <c r="L5994" s="1212" t="s">
        <v>3788</v>
      </c>
      <c r="M5994" s="468"/>
      <c r="N5994" s="1192">
        <f t="shared" si="2974"/>
        <v>45079</v>
      </c>
      <c r="O5994" s="71"/>
      <c r="P5994" s="164" t="str">
        <f t="shared" si="2975"/>
        <v>Connector for union unit</v>
      </c>
      <c r="Q5994" s="71">
        <f t="shared" si="2976"/>
        <v>10</v>
      </c>
      <c r="R5994" s="102">
        <v>0</v>
      </c>
      <c r="S5994" s="102">
        <f t="shared" si="2977"/>
        <v>0</v>
      </c>
      <c r="T5994" s="102">
        <f t="shared" si="2978"/>
        <v>0</v>
      </c>
      <c r="U5994" s="71" t="str">
        <f>IF(J5994=W5994,"O", "X")</f>
        <v>X</v>
      </c>
      <c r="V5994" s="71"/>
      <c r="W5994" s="474"/>
      <c r="X5994" s="71"/>
      <c r="Y5994" s="71"/>
    </row>
    <row r="5995" spans="1:25" ht="30" hidden="1" customHeight="1" x14ac:dyDescent="0.25">
      <c r="A5995" s="1145">
        <v>45103</v>
      </c>
      <c r="B5995" s="664" t="s">
        <v>939</v>
      </c>
      <c r="C5995" s="71" t="s">
        <v>121</v>
      </c>
      <c r="D5995" s="71">
        <v>5</v>
      </c>
      <c r="E5995" s="102">
        <v>160000</v>
      </c>
      <c r="F5995" s="102">
        <f t="shared" si="2972"/>
        <v>880000.00000000012</v>
      </c>
      <c r="G5995" s="102">
        <f t="shared" si="2973"/>
        <v>800000</v>
      </c>
      <c r="H5995" s="690" t="s">
        <v>172</v>
      </c>
      <c r="I5995" s="71" t="s">
        <v>3295</v>
      </c>
      <c r="J5995" s="53">
        <f t="shared" si="2979"/>
        <v>200000</v>
      </c>
      <c r="K5995" s="63">
        <f t="shared" si="2980"/>
        <v>0.24999999999999997</v>
      </c>
      <c r="L5995" s="1212" t="s">
        <v>3788</v>
      </c>
      <c r="M5995" s="468"/>
      <c r="N5995" s="1192">
        <f t="shared" si="2974"/>
        <v>45103</v>
      </c>
      <c r="O5995" s="71" t="s">
        <v>150</v>
      </c>
      <c r="P5995" s="103" t="str">
        <f t="shared" si="2975"/>
        <v>윤전용 실리콘</v>
      </c>
      <c r="Q5995" s="71">
        <f t="shared" si="2976"/>
        <v>5</v>
      </c>
      <c r="R5995" s="102">
        <v>120000</v>
      </c>
      <c r="S5995" s="102">
        <f t="shared" si="2977"/>
        <v>660000</v>
      </c>
      <c r="T5995" s="102">
        <f t="shared" si="2978"/>
        <v>600000</v>
      </c>
      <c r="U5995" s="71" t="str">
        <f>IF(J5995=W5995,"O", "X")</f>
        <v>X</v>
      </c>
      <c r="V5995" s="71"/>
      <c r="W5995" s="474"/>
      <c r="X5995" s="71"/>
      <c r="Y5995" s="71"/>
    </row>
    <row r="5996" spans="1:25" s="209" customFormat="1" ht="30" customHeight="1" x14ac:dyDescent="0.25">
      <c r="A5996" s="1145">
        <v>45086</v>
      </c>
      <c r="B5996" s="664" t="s">
        <v>565</v>
      </c>
      <c r="C5996" s="71" t="s">
        <v>3785</v>
      </c>
      <c r="D5996" s="71">
        <v>1</v>
      </c>
      <c r="E5996" s="102">
        <v>818000</v>
      </c>
      <c r="F5996" s="102">
        <f t="shared" si="2972"/>
        <v>899800.00000000012</v>
      </c>
      <c r="G5996" s="102">
        <f t="shared" si="2973"/>
        <v>818000</v>
      </c>
      <c r="H5996" s="690" t="s">
        <v>142</v>
      </c>
      <c r="I5996" s="71" t="s">
        <v>179</v>
      </c>
      <c r="J5996" s="53">
        <f t="shared" si="2979"/>
        <v>98000</v>
      </c>
      <c r="K5996" s="63">
        <f t="shared" si="2980"/>
        <v>0.11980440097799509</v>
      </c>
      <c r="L5996" s="1212" t="s">
        <v>3788</v>
      </c>
      <c r="M5996" s="468"/>
      <c r="N5996" s="1192">
        <f t="shared" ref="N5996:N6005" si="2981">A5996</f>
        <v>45086</v>
      </c>
      <c r="O5996" s="71" t="s">
        <v>194</v>
      </c>
      <c r="P5996" s="164" t="str">
        <f t="shared" si="2975"/>
        <v>제판 서비스 + 부품</v>
      </c>
      <c r="Q5996" s="71">
        <f t="shared" si="2976"/>
        <v>1</v>
      </c>
      <c r="R5996" s="102">
        <v>720000</v>
      </c>
      <c r="S5996" s="102">
        <f t="shared" si="2977"/>
        <v>792000.00000000012</v>
      </c>
      <c r="T5996" s="102">
        <f t="shared" si="2978"/>
        <v>720000</v>
      </c>
      <c r="U5996" s="71"/>
      <c r="V5996" s="71"/>
      <c r="W5996" s="474"/>
      <c r="X5996" s="71"/>
      <c r="Y5996" s="71"/>
    </row>
    <row r="5997" spans="1:25" ht="30" customHeight="1" x14ac:dyDescent="0.25">
      <c r="A5997" s="1145">
        <v>45093</v>
      </c>
      <c r="B5997" s="664" t="s">
        <v>565</v>
      </c>
      <c r="C5997" s="71" t="s">
        <v>3786</v>
      </c>
      <c r="D5997" s="71">
        <v>1</v>
      </c>
      <c r="E5997" s="102">
        <v>790000</v>
      </c>
      <c r="F5997" s="102">
        <f t="shared" si="2972"/>
        <v>869000.00000000012</v>
      </c>
      <c r="G5997" s="102">
        <f t="shared" si="2973"/>
        <v>790000</v>
      </c>
      <c r="H5997" s="690" t="s">
        <v>142</v>
      </c>
      <c r="I5997" s="71" t="s">
        <v>179</v>
      </c>
      <c r="J5997" s="53">
        <f t="shared" si="2979"/>
        <v>-40000</v>
      </c>
      <c r="K5997" s="63">
        <f t="shared" si="2980"/>
        <v>-5.0632911392405056E-2</v>
      </c>
      <c r="L5997" s="1212" t="s">
        <v>3788</v>
      </c>
      <c r="M5997" s="102"/>
      <c r="N5997" s="1192">
        <f t="shared" si="2981"/>
        <v>45093</v>
      </c>
      <c r="O5997" s="71" t="s">
        <v>194</v>
      </c>
      <c r="P5997" s="103" t="str">
        <f t="shared" si="2975"/>
        <v>DRIve motor 제판실 부품</v>
      </c>
      <c r="Q5997" s="71">
        <f t="shared" si="2976"/>
        <v>1</v>
      </c>
      <c r="R5997" s="102">
        <v>830000</v>
      </c>
      <c r="S5997" s="102">
        <f t="shared" si="2977"/>
        <v>913000.00000000012</v>
      </c>
      <c r="T5997" s="102">
        <f t="shared" si="2978"/>
        <v>830000</v>
      </c>
      <c r="U5997" s="71"/>
      <c r="V5997" s="71"/>
      <c r="W5997" s="474"/>
      <c r="X5997" s="71"/>
      <c r="Y5997" s="71"/>
    </row>
    <row r="5998" spans="1:25" ht="30" customHeight="1" x14ac:dyDescent="0.25">
      <c r="A5998" s="1145">
        <v>45090</v>
      </c>
      <c r="B5998" s="664" t="s">
        <v>2536</v>
      </c>
      <c r="C5998" s="71" t="s">
        <v>3478</v>
      </c>
      <c r="D5998" s="71">
        <v>64</v>
      </c>
      <c r="E5998" s="102">
        <v>18500</v>
      </c>
      <c r="F5998" s="102">
        <f t="shared" si="2972"/>
        <v>1302400</v>
      </c>
      <c r="G5998" s="102">
        <f t="shared" si="2973"/>
        <v>1184000</v>
      </c>
      <c r="H5998" s="690" t="s">
        <v>142</v>
      </c>
      <c r="I5998" s="71" t="s">
        <v>179</v>
      </c>
      <c r="J5998" s="53">
        <f t="shared" ref="J5998:J6005" si="2982">G5998-T5998</f>
        <v>474624</v>
      </c>
      <c r="K5998" s="63">
        <f t="shared" ref="K5998:K6005" si="2983">(J5998/(F5998/11*10))</f>
        <v>0.40086486486486489</v>
      </c>
      <c r="L5998" s="1212" t="s">
        <v>3788</v>
      </c>
      <c r="M5998" s="468"/>
      <c r="N5998" s="1192">
        <f t="shared" si="2981"/>
        <v>45090</v>
      </c>
      <c r="O5998" s="71"/>
      <c r="P5998" s="103" t="str">
        <f t="shared" si="2975"/>
        <v>고모리 윤전 블랑켓 건식 세정포 - 국전용</v>
      </c>
      <c r="Q5998" s="71">
        <f t="shared" si="2976"/>
        <v>64</v>
      </c>
      <c r="R5998" s="102">
        <v>11084</v>
      </c>
      <c r="S5998" s="102">
        <f t="shared" ref="S5998:S6005" si="2984">R5998*Q5998*1.1</f>
        <v>780313.60000000009</v>
      </c>
      <c r="T5998" s="102">
        <f t="shared" ref="T5998:T6005" si="2985">R5998*Q5998</f>
        <v>709376</v>
      </c>
      <c r="U5998" s="71"/>
      <c r="V5998" s="71"/>
      <c r="W5998" s="474"/>
      <c r="X5998" s="71"/>
      <c r="Y5998" s="71"/>
    </row>
    <row r="5999" spans="1:25" ht="30" customHeight="1" x14ac:dyDescent="0.25">
      <c r="A5999" s="1145">
        <v>45090</v>
      </c>
      <c r="B5999" s="664" t="s">
        <v>2536</v>
      </c>
      <c r="C5999" s="71" t="s">
        <v>3479</v>
      </c>
      <c r="D5999" s="71">
        <v>32</v>
      </c>
      <c r="E5999" s="102">
        <v>13500</v>
      </c>
      <c r="F5999" s="102">
        <f t="shared" si="2972"/>
        <v>475200.00000000006</v>
      </c>
      <c r="G5999" s="102">
        <f t="shared" si="2973"/>
        <v>432000</v>
      </c>
      <c r="H5999" s="690" t="s">
        <v>142</v>
      </c>
      <c r="I5999" s="71" t="s">
        <v>179</v>
      </c>
      <c r="J5999" s="53">
        <f t="shared" si="2982"/>
        <v>164320</v>
      </c>
      <c r="K5999" s="63">
        <f t="shared" si="2983"/>
        <v>0.3803703703703703</v>
      </c>
      <c r="L5999" s="1212" t="s">
        <v>3788</v>
      </c>
      <c r="M5999" s="468"/>
      <c r="N5999" s="1192">
        <f t="shared" si="2981"/>
        <v>45090</v>
      </c>
      <c r="O5999" s="71"/>
      <c r="P5999" s="103" t="str">
        <f t="shared" si="2975"/>
        <v>고모리 윤전 블랑켓 건식 세정포 - 4x6용</v>
      </c>
      <c r="Q5999" s="71">
        <f t="shared" si="2976"/>
        <v>32</v>
      </c>
      <c r="R5999" s="102">
        <v>8365</v>
      </c>
      <c r="S5999" s="102">
        <f t="shared" si="2984"/>
        <v>294448</v>
      </c>
      <c r="T5999" s="102">
        <f t="shared" si="2985"/>
        <v>267680</v>
      </c>
      <c r="U5999" s="71"/>
      <c r="V5999" s="71"/>
      <c r="W5999" s="474"/>
      <c r="X5999" s="71"/>
      <c r="Y5999" s="71"/>
    </row>
    <row r="6000" spans="1:25" ht="30" customHeight="1" x14ac:dyDescent="0.25">
      <c r="A6000" s="1145">
        <v>45099</v>
      </c>
      <c r="B6000" s="664" t="s">
        <v>2352</v>
      </c>
      <c r="C6000" s="760" t="s">
        <v>218</v>
      </c>
      <c r="D6000" s="71">
        <v>4</v>
      </c>
      <c r="E6000" s="102">
        <v>286000</v>
      </c>
      <c r="F6000" s="102">
        <f t="shared" si="2972"/>
        <v>1258400</v>
      </c>
      <c r="G6000" s="102">
        <f t="shared" si="2973"/>
        <v>1144000</v>
      </c>
      <c r="H6000" s="690" t="s">
        <v>142</v>
      </c>
      <c r="I6000" s="71" t="s">
        <v>179</v>
      </c>
      <c r="J6000" s="53">
        <f t="shared" si="2982"/>
        <v>694000</v>
      </c>
      <c r="K6000" s="63">
        <f t="shared" si="2983"/>
        <v>0.60664335664335667</v>
      </c>
      <c r="L6000" s="1212" t="s">
        <v>3788</v>
      </c>
      <c r="M6000" s="468" t="s">
        <v>2053</v>
      </c>
      <c r="N6000" s="1192">
        <f t="shared" si="2981"/>
        <v>45099</v>
      </c>
      <c r="O6000" s="71" t="s">
        <v>150</v>
      </c>
      <c r="P6000" s="103" t="str">
        <f t="shared" si="2975"/>
        <v>Fount Web 551AF</v>
      </c>
      <c r="Q6000" s="71">
        <f t="shared" si="2976"/>
        <v>4</v>
      </c>
      <c r="R6000" s="102">
        <v>112500</v>
      </c>
      <c r="S6000" s="102">
        <f t="shared" si="2984"/>
        <v>495000.00000000006</v>
      </c>
      <c r="T6000" s="102">
        <f t="shared" si="2985"/>
        <v>450000</v>
      </c>
      <c r="U6000" s="71" t="str">
        <f>IF(J6000=W6000,"O", "X")</f>
        <v>O</v>
      </c>
      <c r="V6000" s="71"/>
      <c r="W6000" s="474">
        <f>(G6000-T6000)</f>
        <v>694000</v>
      </c>
      <c r="X6000" s="71"/>
      <c r="Y6000" s="71"/>
    </row>
    <row r="6001" spans="1:25" s="209" customFormat="1" ht="30" hidden="1" customHeight="1" x14ac:dyDescent="0.25">
      <c r="A6001" s="1145">
        <v>45086</v>
      </c>
      <c r="B6001" s="664" t="s">
        <v>2353</v>
      </c>
      <c r="C6001" s="71" t="s">
        <v>130</v>
      </c>
      <c r="D6001" s="71">
        <v>10</v>
      </c>
      <c r="E6001" s="102">
        <v>148000</v>
      </c>
      <c r="F6001" s="102">
        <f t="shared" si="2972"/>
        <v>1628000.0000000002</v>
      </c>
      <c r="G6001" s="102">
        <f t="shared" si="2973"/>
        <v>1480000</v>
      </c>
      <c r="H6001" s="690" t="s">
        <v>142</v>
      </c>
      <c r="I6001" s="71" t="s">
        <v>179</v>
      </c>
      <c r="J6001" s="53">
        <f t="shared" si="2982"/>
        <v>360000</v>
      </c>
      <c r="K6001" s="63">
        <f t="shared" si="2983"/>
        <v>0.2432432432432432</v>
      </c>
      <c r="L6001" s="1212" t="s">
        <v>3788</v>
      </c>
      <c r="M6001" s="468" t="s">
        <v>2050</v>
      </c>
      <c r="N6001" s="1192">
        <f t="shared" si="2981"/>
        <v>45086</v>
      </c>
      <c r="O6001" s="71" t="s">
        <v>3383</v>
      </c>
      <c r="P6001" s="103" t="str">
        <f t="shared" si="2975"/>
        <v>XL106 Blanket(1077*885)</v>
      </c>
      <c r="Q6001" s="71">
        <f t="shared" si="2976"/>
        <v>10</v>
      </c>
      <c r="R6001" s="102">
        <v>112000</v>
      </c>
      <c r="S6001" s="102">
        <f t="shared" si="2984"/>
        <v>1232000</v>
      </c>
      <c r="T6001" s="102">
        <f t="shared" si="2985"/>
        <v>1120000</v>
      </c>
      <c r="U6001" s="71" t="s">
        <v>859</v>
      </c>
      <c r="V6001" s="71"/>
      <c r="W6001" s="474">
        <v>260000</v>
      </c>
      <c r="X6001" s="71"/>
      <c r="Y6001" s="71"/>
    </row>
    <row r="6002" spans="1:25" ht="30" hidden="1" customHeight="1" x14ac:dyDescent="0.25">
      <c r="A6002" s="1145">
        <v>45086</v>
      </c>
      <c r="B6002" s="664" t="s">
        <v>2353</v>
      </c>
      <c r="C6002" s="71" t="s">
        <v>129</v>
      </c>
      <c r="D6002" s="71">
        <v>7</v>
      </c>
      <c r="E6002" s="102">
        <v>325000</v>
      </c>
      <c r="F6002" s="102">
        <f t="shared" si="2972"/>
        <v>2502500</v>
      </c>
      <c r="G6002" s="102">
        <f t="shared" si="2973"/>
        <v>2275000</v>
      </c>
      <c r="H6002" s="690" t="s">
        <v>142</v>
      </c>
      <c r="I6002" s="71" t="s">
        <v>179</v>
      </c>
      <c r="J6002" s="53">
        <f t="shared" si="2982"/>
        <v>636440</v>
      </c>
      <c r="K6002" s="63">
        <f t="shared" si="2983"/>
        <v>0.27975384615384613</v>
      </c>
      <c r="L6002" s="1212" t="s">
        <v>3788</v>
      </c>
      <c r="M6002" s="468" t="s">
        <v>2050</v>
      </c>
      <c r="N6002" s="1192">
        <f t="shared" si="2981"/>
        <v>45086</v>
      </c>
      <c r="O6002" s="71" t="s">
        <v>149</v>
      </c>
      <c r="P6002" s="103" t="str">
        <f t="shared" si="2975"/>
        <v>세정포-XL106</v>
      </c>
      <c r="Q6002" s="71">
        <f t="shared" si="2976"/>
        <v>7</v>
      </c>
      <c r="R6002" s="102">
        <v>234080</v>
      </c>
      <c r="S6002" s="102">
        <f t="shared" si="2984"/>
        <v>1802416.0000000002</v>
      </c>
      <c r="T6002" s="102">
        <f t="shared" si="2985"/>
        <v>1638560</v>
      </c>
      <c r="U6002" s="71" t="str">
        <f>IF(J6002=W6002,"O", "X")</f>
        <v>O</v>
      </c>
      <c r="V6002" s="71"/>
      <c r="W6002" s="474">
        <f>(G6002-T6002)</f>
        <v>636440</v>
      </c>
      <c r="X6002" s="71"/>
      <c r="Y6002" s="71"/>
    </row>
    <row r="6003" spans="1:25" s="209" customFormat="1" ht="30" hidden="1" customHeight="1" x14ac:dyDescent="0.25">
      <c r="A6003" s="1145">
        <v>45086</v>
      </c>
      <c r="B6003" s="664" t="s">
        <v>2353</v>
      </c>
      <c r="C6003" s="71" t="s">
        <v>3299</v>
      </c>
      <c r="D6003" s="71">
        <v>10</v>
      </c>
      <c r="E6003" s="102">
        <v>83000</v>
      </c>
      <c r="F6003" s="102">
        <f t="shared" si="2972"/>
        <v>913000.00000000012</v>
      </c>
      <c r="G6003" s="102">
        <f t="shared" si="2973"/>
        <v>830000</v>
      </c>
      <c r="H6003" s="690" t="s">
        <v>142</v>
      </c>
      <c r="I6003" s="71" t="s">
        <v>179</v>
      </c>
      <c r="J6003" s="53">
        <f t="shared" si="2982"/>
        <v>355000</v>
      </c>
      <c r="K6003" s="63">
        <f t="shared" si="2983"/>
        <v>0.42771084337349391</v>
      </c>
      <c r="L6003" s="1212" t="s">
        <v>3788</v>
      </c>
      <c r="M6003" s="468" t="s">
        <v>2214</v>
      </c>
      <c r="N6003" s="1192">
        <f t="shared" si="2981"/>
        <v>45086</v>
      </c>
      <c r="O6003" s="71" t="s">
        <v>3383</v>
      </c>
      <c r="P6003" s="103" t="str">
        <f t="shared" si="2975"/>
        <v>매엽용 세척제(Wash k11)</v>
      </c>
      <c r="Q6003" s="71">
        <f t="shared" si="2976"/>
        <v>10</v>
      </c>
      <c r="R6003" s="102">
        <v>47500</v>
      </c>
      <c r="S6003" s="102">
        <f t="shared" si="2984"/>
        <v>522500.00000000006</v>
      </c>
      <c r="T6003" s="102">
        <f t="shared" si="2985"/>
        <v>475000</v>
      </c>
      <c r="U6003" s="71" t="s">
        <v>859</v>
      </c>
      <c r="V6003" s="71"/>
      <c r="W6003" s="474">
        <v>136000</v>
      </c>
      <c r="X6003" s="71"/>
      <c r="Y6003" s="71"/>
    </row>
    <row r="6004" spans="1:25" ht="30" hidden="1" customHeight="1" x14ac:dyDescent="0.25">
      <c r="A6004" s="1145">
        <v>45086</v>
      </c>
      <c r="B6004" s="664" t="s">
        <v>2579</v>
      </c>
      <c r="C6004" s="71" t="s">
        <v>3738</v>
      </c>
      <c r="D6004" s="71">
        <v>15</v>
      </c>
      <c r="E6004" s="102">
        <v>130000</v>
      </c>
      <c r="F6004" s="102">
        <f t="shared" si="2972"/>
        <v>2145000</v>
      </c>
      <c r="G6004" s="102">
        <f t="shared" si="2973"/>
        <v>1950000</v>
      </c>
      <c r="H6004" s="690" t="s">
        <v>142</v>
      </c>
      <c r="I6004" s="71" t="s">
        <v>142</v>
      </c>
      <c r="J6004" s="53">
        <f t="shared" si="2982"/>
        <v>364500</v>
      </c>
      <c r="K6004" s="63">
        <f t="shared" si="2983"/>
        <v>0.18692307692307691</v>
      </c>
      <c r="L6004" s="1212" t="s">
        <v>3788</v>
      </c>
      <c r="M6004" s="468"/>
      <c r="N6004" s="1192">
        <f t="shared" si="2981"/>
        <v>45086</v>
      </c>
      <c r="O6004" s="71" t="s">
        <v>147</v>
      </c>
      <c r="P6004" s="103" t="str">
        <f t="shared" si="2975"/>
        <v>블랑켓 - 고모리 용 (1040*920)</v>
      </c>
      <c r="Q6004" s="71">
        <f t="shared" si="2976"/>
        <v>15</v>
      </c>
      <c r="R6004" s="102">
        <v>105700</v>
      </c>
      <c r="S6004" s="102">
        <f t="shared" si="2984"/>
        <v>1744050.0000000002</v>
      </c>
      <c r="T6004" s="102">
        <f t="shared" si="2985"/>
        <v>1585500</v>
      </c>
      <c r="U6004" s="71"/>
      <c r="V6004" s="71"/>
      <c r="W6004" s="474"/>
      <c r="X6004" s="71"/>
      <c r="Y6004" s="71"/>
    </row>
    <row r="6005" spans="1:25" ht="30" hidden="1" customHeight="1" x14ac:dyDescent="0.25">
      <c r="A6005" s="1145">
        <v>45086</v>
      </c>
      <c r="B6005" s="664" t="s">
        <v>2353</v>
      </c>
      <c r="C6005" s="71" t="s">
        <v>3728</v>
      </c>
      <c r="D6005" s="71">
        <v>30</v>
      </c>
      <c r="E6005" s="102">
        <v>35000</v>
      </c>
      <c r="F6005" s="102">
        <f t="shared" si="2972"/>
        <v>1155000</v>
      </c>
      <c r="G6005" s="102">
        <f t="shared" si="2973"/>
        <v>1050000</v>
      </c>
      <c r="H6005" s="690" t="s">
        <v>142</v>
      </c>
      <c r="I6005" s="71" t="s">
        <v>142</v>
      </c>
      <c r="J6005" s="53">
        <f t="shared" si="2982"/>
        <v>240000</v>
      </c>
      <c r="K6005" s="63">
        <f t="shared" si="2983"/>
        <v>0.22857142857142856</v>
      </c>
      <c r="L6005" s="1212" t="s">
        <v>3788</v>
      </c>
      <c r="M6005" s="468"/>
      <c r="N6005" s="1192">
        <f t="shared" si="2981"/>
        <v>45086</v>
      </c>
      <c r="O6005" s="71" t="s">
        <v>149</v>
      </c>
      <c r="P6005" s="164" t="str">
        <f t="shared" si="2975"/>
        <v>고모리 자동 세척액</v>
      </c>
      <c r="Q6005" s="71">
        <f t="shared" si="2976"/>
        <v>30</v>
      </c>
      <c r="R6005" s="102">
        <v>27000</v>
      </c>
      <c r="S6005" s="102">
        <f t="shared" si="2984"/>
        <v>891000.00000000012</v>
      </c>
      <c r="T6005" s="102">
        <f t="shared" si="2985"/>
        <v>810000</v>
      </c>
      <c r="U6005" s="71"/>
      <c r="V6005" s="71"/>
      <c r="W6005" s="474"/>
      <c r="X6005" s="71"/>
      <c r="Y6005" s="71"/>
    </row>
    <row r="6006" spans="1:25" s="209" customFormat="1" ht="30" hidden="1" customHeight="1" x14ac:dyDescent="0.25">
      <c r="A6006" s="1145">
        <v>45086</v>
      </c>
      <c r="B6006" s="664" t="s">
        <v>2353</v>
      </c>
      <c r="C6006" s="71" t="s">
        <v>3726</v>
      </c>
      <c r="D6006" s="71">
        <v>5</v>
      </c>
      <c r="E6006" s="102">
        <v>180000</v>
      </c>
      <c r="F6006" s="102">
        <f t="shared" ref="F6006:F6041" si="2986">(E6006*D6006)*1.1</f>
        <v>990000.00000000012</v>
      </c>
      <c r="G6006" s="102">
        <f t="shared" ref="G6006:G6041" si="2987">(E6006*D6006)</f>
        <v>900000</v>
      </c>
      <c r="H6006" s="690" t="s">
        <v>142</v>
      </c>
      <c r="I6006" s="71" t="s">
        <v>142</v>
      </c>
      <c r="J6006" s="53">
        <f>G6006-T6006</f>
        <v>240000</v>
      </c>
      <c r="K6006" s="63">
        <f>(J6006/(F6006/11*10))</f>
        <v>0.26666666666666661</v>
      </c>
      <c r="L6006" s="1212" t="s">
        <v>3788</v>
      </c>
      <c r="M6006" s="468"/>
      <c r="N6006" s="1192">
        <f t="shared" ref="N6006:N6040" si="2988">A6006</f>
        <v>45086</v>
      </c>
      <c r="O6006" s="71" t="s">
        <v>149</v>
      </c>
      <c r="P6006" s="164" t="str">
        <f t="shared" ref="P6006:P6041" si="2989">(C6006)</f>
        <v>수이보 세척액(습수액 클리너)</v>
      </c>
      <c r="Q6006" s="71">
        <f t="shared" ref="Q6006:Q6028" si="2990">D6006</f>
        <v>5</v>
      </c>
      <c r="R6006" s="102">
        <f>11000*12</f>
        <v>132000</v>
      </c>
      <c r="S6006" s="102">
        <f>R6006*Q6006*1.1</f>
        <v>726000.00000000012</v>
      </c>
      <c r="T6006" s="102">
        <f>R6006*Q6006</f>
        <v>660000</v>
      </c>
      <c r="U6006" s="71"/>
      <c r="V6006" s="71"/>
      <c r="W6006" s="474"/>
      <c r="X6006" s="71"/>
      <c r="Y6006" s="71"/>
    </row>
    <row r="6007" spans="1:25" ht="30" hidden="1" customHeight="1" x14ac:dyDescent="0.25">
      <c r="A6007" s="1145">
        <v>45097</v>
      </c>
      <c r="B6007" s="664" t="s">
        <v>2353</v>
      </c>
      <c r="C6007" s="71" t="s">
        <v>129</v>
      </c>
      <c r="D6007" s="71">
        <v>7</v>
      </c>
      <c r="E6007" s="102">
        <v>325000</v>
      </c>
      <c r="F6007" s="102">
        <f t="shared" si="2986"/>
        <v>2502500</v>
      </c>
      <c r="G6007" s="102">
        <f t="shared" si="2987"/>
        <v>2275000</v>
      </c>
      <c r="H6007" s="690" t="s">
        <v>142</v>
      </c>
      <c r="I6007" s="71" t="s">
        <v>179</v>
      </c>
      <c r="J6007" s="53">
        <f>G6007-T6007</f>
        <v>636440</v>
      </c>
      <c r="K6007" s="63">
        <f>(J6007/(F6007/11*10))</f>
        <v>0.27975384615384613</v>
      </c>
      <c r="L6007" s="1212" t="s">
        <v>3788</v>
      </c>
      <c r="M6007" s="468" t="s">
        <v>2050</v>
      </c>
      <c r="N6007" s="1192">
        <f t="shared" si="2988"/>
        <v>45097</v>
      </c>
      <c r="O6007" s="71" t="s">
        <v>149</v>
      </c>
      <c r="P6007" s="103" t="str">
        <f t="shared" si="2989"/>
        <v>세정포-XL106</v>
      </c>
      <c r="Q6007" s="71">
        <f t="shared" si="2990"/>
        <v>7</v>
      </c>
      <c r="R6007" s="102">
        <v>234080</v>
      </c>
      <c r="S6007" s="102">
        <f>R6007*Q6007*1.1</f>
        <v>1802416.0000000002</v>
      </c>
      <c r="T6007" s="102">
        <f>R6007*Q6007</f>
        <v>1638560</v>
      </c>
      <c r="U6007" s="71" t="str">
        <f>IF(J6007=W6007,"O", "X")</f>
        <v>O</v>
      </c>
      <c r="V6007" s="71"/>
      <c r="W6007" s="474">
        <f>(G6007-T6007)</f>
        <v>636440</v>
      </c>
      <c r="X6007" s="71"/>
      <c r="Y6007" s="71"/>
    </row>
    <row r="6008" spans="1:25" s="209" customFormat="1" ht="30" hidden="1" customHeight="1" x14ac:dyDescent="0.25">
      <c r="A6008" s="1145">
        <v>45097</v>
      </c>
      <c r="B6008" s="664" t="s">
        <v>2353</v>
      </c>
      <c r="C6008" s="71" t="s">
        <v>130</v>
      </c>
      <c r="D6008" s="71">
        <v>10</v>
      </c>
      <c r="E6008" s="102">
        <v>148000</v>
      </c>
      <c r="F6008" s="102">
        <f t="shared" si="2986"/>
        <v>1628000.0000000002</v>
      </c>
      <c r="G6008" s="102">
        <f t="shared" si="2987"/>
        <v>1480000</v>
      </c>
      <c r="H6008" s="690" t="s">
        <v>142</v>
      </c>
      <c r="I6008" s="71" t="s">
        <v>179</v>
      </c>
      <c r="J6008" s="53">
        <f>G6008-T6008</f>
        <v>360000</v>
      </c>
      <c r="K6008" s="63">
        <f>(J6008/(F6008/11*10))</f>
        <v>0.2432432432432432</v>
      </c>
      <c r="L6008" s="1212" t="s">
        <v>3788</v>
      </c>
      <c r="M6008" s="468" t="s">
        <v>2050</v>
      </c>
      <c r="N6008" s="1192">
        <f t="shared" si="2988"/>
        <v>45097</v>
      </c>
      <c r="O6008" s="71" t="s">
        <v>3383</v>
      </c>
      <c r="P6008" s="103" t="str">
        <f t="shared" si="2989"/>
        <v>XL106 Blanket(1077*885)</v>
      </c>
      <c r="Q6008" s="71">
        <f t="shared" si="2990"/>
        <v>10</v>
      </c>
      <c r="R6008" s="102">
        <v>112000</v>
      </c>
      <c r="S6008" s="102">
        <f>R6008*Q6008*1.1</f>
        <v>1232000</v>
      </c>
      <c r="T6008" s="102">
        <f>R6008*Q6008</f>
        <v>1120000</v>
      </c>
      <c r="U6008" s="71" t="s">
        <v>859</v>
      </c>
      <c r="V6008" s="71"/>
      <c r="W6008" s="474">
        <v>260000</v>
      </c>
      <c r="X6008" s="71"/>
      <c r="Y6008" s="71"/>
    </row>
    <row r="6009" spans="1:25" ht="30" hidden="1" customHeight="1" x14ac:dyDescent="0.25">
      <c r="A6009" s="1145">
        <v>45086</v>
      </c>
      <c r="B6009" s="664" t="s">
        <v>2353</v>
      </c>
      <c r="C6009" s="71" t="s">
        <v>3787</v>
      </c>
      <c r="D6009" s="71">
        <v>300</v>
      </c>
      <c r="E6009" s="102">
        <v>400</v>
      </c>
      <c r="F6009" s="102">
        <f t="shared" si="2986"/>
        <v>132000</v>
      </c>
      <c r="G6009" s="102">
        <f t="shared" si="2987"/>
        <v>120000</v>
      </c>
      <c r="H6009" s="690" t="s">
        <v>142</v>
      </c>
      <c r="I6009" s="71" t="s">
        <v>179</v>
      </c>
      <c r="J6009" s="53">
        <f>G6009-T6009</f>
        <v>0</v>
      </c>
      <c r="K6009" s="63">
        <f>(J6009/(F6009/11*10))</f>
        <v>0</v>
      </c>
      <c r="L6009" s="1212" t="s">
        <v>3788</v>
      </c>
      <c r="M6009" s="468"/>
      <c r="N6009" s="1192">
        <f t="shared" si="2988"/>
        <v>45086</v>
      </c>
      <c r="O6009" s="71" t="s">
        <v>150</v>
      </c>
      <c r="P6009" s="164" t="str">
        <f t="shared" si="2989"/>
        <v>고무 사카</v>
      </c>
      <c r="Q6009" s="71">
        <f t="shared" si="2990"/>
        <v>300</v>
      </c>
      <c r="R6009" s="102">
        <v>400</v>
      </c>
      <c r="S6009" s="102">
        <f>R6009*Q6009*1.1</f>
        <v>132000</v>
      </c>
      <c r="T6009" s="102">
        <f>R6009*Q6009</f>
        <v>120000</v>
      </c>
      <c r="U6009" s="71"/>
      <c r="V6009" s="71"/>
      <c r="W6009" s="474"/>
      <c r="X6009" s="71"/>
      <c r="Y6009" s="71"/>
    </row>
    <row r="6010" spans="1:25" ht="30" hidden="1" customHeight="1" x14ac:dyDescent="0.25">
      <c r="A6010" s="1145">
        <v>45097</v>
      </c>
      <c r="B6010" s="664" t="s">
        <v>2353</v>
      </c>
      <c r="C6010" s="71" t="s">
        <v>123</v>
      </c>
      <c r="D6010" s="71">
        <v>4</v>
      </c>
      <c r="E6010" s="102">
        <v>50000</v>
      </c>
      <c r="F6010" s="102">
        <f t="shared" si="2986"/>
        <v>220000.00000000003</v>
      </c>
      <c r="G6010" s="102">
        <f t="shared" si="2987"/>
        <v>200000</v>
      </c>
      <c r="H6010" s="690" t="s">
        <v>142</v>
      </c>
      <c r="I6010" s="71" t="s">
        <v>179</v>
      </c>
      <c r="J6010" s="53">
        <f t="shared" ref="J6010:J6028" si="2991">G6010-T6010</f>
        <v>104000</v>
      </c>
      <c r="K6010" s="63">
        <f t="shared" ref="K6010:K6028" si="2992">(J6010/(F6010/11*10))</f>
        <v>0.51999999999999991</v>
      </c>
      <c r="L6010" s="1212" t="s">
        <v>3788</v>
      </c>
      <c r="M6010" s="102"/>
      <c r="N6010" s="1192">
        <f t="shared" si="2988"/>
        <v>45097</v>
      </c>
      <c r="O6010" s="71" t="s">
        <v>94</v>
      </c>
      <c r="P6010" s="103" t="str">
        <f t="shared" si="2989"/>
        <v>필터백</v>
      </c>
      <c r="Q6010" s="71">
        <f t="shared" si="2990"/>
        <v>4</v>
      </c>
      <c r="R6010" s="102">
        <v>24000</v>
      </c>
      <c r="S6010" s="102">
        <f t="shared" ref="S6010:S6028" si="2993">R6010*Q6010*1.1</f>
        <v>105600.00000000001</v>
      </c>
      <c r="T6010" s="102">
        <f t="shared" ref="T6010:T6028" si="2994">R6010*Q6010</f>
        <v>96000</v>
      </c>
      <c r="U6010" s="71"/>
      <c r="V6010" s="71"/>
      <c r="W6010" s="474"/>
      <c r="X6010" s="71"/>
      <c r="Y6010" s="71"/>
    </row>
    <row r="6011" spans="1:25" ht="30" hidden="1" customHeight="1" x14ac:dyDescent="0.25">
      <c r="A6011" s="1145">
        <v>45102</v>
      </c>
      <c r="B6011" s="664" t="s">
        <v>1060</v>
      </c>
      <c r="C6011" s="71" t="s">
        <v>3655</v>
      </c>
      <c r="D6011" s="71">
        <v>600</v>
      </c>
      <c r="E6011" s="102">
        <v>5710</v>
      </c>
      <c r="F6011" s="102">
        <f t="shared" si="2986"/>
        <v>3768600.0000000005</v>
      </c>
      <c r="G6011" s="102">
        <f t="shared" si="2987"/>
        <v>3426000</v>
      </c>
      <c r="H6011" s="690" t="s">
        <v>36</v>
      </c>
      <c r="I6011" s="71" t="s">
        <v>2529</v>
      </c>
      <c r="J6011" s="53">
        <f t="shared" si="2991"/>
        <v>1059000</v>
      </c>
      <c r="K6011" s="63">
        <f t="shared" si="2992"/>
        <v>0.30910683012259188</v>
      </c>
      <c r="L6011" s="1212" t="s">
        <v>3788</v>
      </c>
      <c r="M6011" s="102" t="s">
        <v>3662</v>
      </c>
      <c r="N6011" s="1192">
        <f t="shared" si="2988"/>
        <v>45102</v>
      </c>
      <c r="O6011" s="71" t="s">
        <v>150</v>
      </c>
      <c r="P6011" s="103" t="str">
        <f t="shared" si="2989"/>
        <v>Saphira CTP 판 1030 x 790</v>
      </c>
      <c r="Q6011" s="71">
        <f t="shared" si="2990"/>
        <v>600</v>
      </c>
      <c r="R6011" s="102">
        <v>3945</v>
      </c>
      <c r="S6011" s="102">
        <f t="shared" si="2993"/>
        <v>2603700</v>
      </c>
      <c r="T6011" s="102">
        <f t="shared" si="2994"/>
        <v>2367000</v>
      </c>
      <c r="U6011" s="71" t="s">
        <v>859</v>
      </c>
      <c r="V6011" s="71"/>
      <c r="W6011" s="474">
        <v>942000</v>
      </c>
      <c r="X6011" s="71"/>
      <c r="Y6011" s="71"/>
    </row>
    <row r="6012" spans="1:25" ht="30" hidden="1" customHeight="1" x14ac:dyDescent="0.25">
      <c r="A6012" s="1145">
        <v>45102</v>
      </c>
      <c r="B6012" s="664" t="s">
        <v>2255</v>
      </c>
      <c r="C6012" s="71" t="s">
        <v>3656</v>
      </c>
      <c r="D6012" s="71">
        <v>2300</v>
      </c>
      <c r="E6012" s="102">
        <v>3610</v>
      </c>
      <c r="F6012" s="102">
        <f t="shared" si="2986"/>
        <v>9133300</v>
      </c>
      <c r="G6012" s="102">
        <f t="shared" si="2987"/>
        <v>8303000</v>
      </c>
      <c r="H6012" s="690" t="s">
        <v>36</v>
      </c>
      <c r="I6012" s="71" t="s">
        <v>2529</v>
      </c>
      <c r="J6012" s="53">
        <f t="shared" si="2991"/>
        <v>2569100</v>
      </c>
      <c r="K6012" s="63">
        <f t="shared" si="2992"/>
        <v>0.30941828254847648</v>
      </c>
      <c r="L6012" s="1212" t="s">
        <v>3788</v>
      </c>
      <c r="M6012" s="102" t="s">
        <v>3662</v>
      </c>
      <c r="N6012" s="1192">
        <f t="shared" si="2988"/>
        <v>45102</v>
      </c>
      <c r="O6012" s="71" t="s">
        <v>150</v>
      </c>
      <c r="P6012" s="103" t="str">
        <f t="shared" si="2989"/>
        <v>Saphira CTP 판 900 x 571</v>
      </c>
      <c r="Q6012" s="71">
        <f t="shared" si="2990"/>
        <v>2300</v>
      </c>
      <c r="R6012" s="102">
        <v>2493</v>
      </c>
      <c r="S6012" s="102">
        <f t="shared" si="2993"/>
        <v>6307290.0000000009</v>
      </c>
      <c r="T6012" s="102">
        <f t="shared" si="2994"/>
        <v>5733900</v>
      </c>
      <c r="U6012" s="71" t="s">
        <v>859</v>
      </c>
      <c r="V6012" s="71"/>
      <c r="W6012" s="474">
        <v>1274000</v>
      </c>
      <c r="X6012" s="71"/>
      <c r="Y6012" s="71"/>
    </row>
    <row r="6013" spans="1:25" ht="30" hidden="1" customHeight="1" x14ac:dyDescent="0.25">
      <c r="A6013" s="1145">
        <v>45102</v>
      </c>
      <c r="B6013" s="664" t="s">
        <v>2255</v>
      </c>
      <c r="C6013" s="71" t="s">
        <v>3657</v>
      </c>
      <c r="D6013" s="71">
        <v>1000</v>
      </c>
      <c r="E6013" s="102">
        <v>3410</v>
      </c>
      <c r="F6013" s="102">
        <f t="shared" si="2986"/>
        <v>3751000.0000000005</v>
      </c>
      <c r="G6013" s="102">
        <f t="shared" si="2987"/>
        <v>3410000</v>
      </c>
      <c r="H6013" s="690" t="s">
        <v>36</v>
      </c>
      <c r="I6013" s="71" t="s">
        <v>2529</v>
      </c>
      <c r="J6013" s="53">
        <f t="shared" si="2991"/>
        <v>1041000</v>
      </c>
      <c r="K6013" s="63">
        <f t="shared" si="2992"/>
        <v>0.30527859237536653</v>
      </c>
      <c r="L6013" s="1212" t="s">
        <v>3788</v>
      </c>
      <c r="M6013" s="102" t="s">
        <v>3662</v>
      </c>
      <c r="N6013" s="1192">
        <f t="shared" si="2988"/>
        <v>45102</v>
      </c>
      <c r="O6013" s="71" t="s">
        <v>150</v>
      </c>
      <c r="P6013" s="103" t="str">
        <f t="shared" si="2989"/>
        <v>Saphira CTP 판 883 x 552</v>
      </c>
      <c r="Q6013" s="71">
        <f t="shared" si="2990"/>
        <v>1000</v>
      </c>
      <c r="R6013" s="102">
        <v>2369</v>
      </c>
      <c r="S6013" s="102">
        <f t="shared" si="2993"/>
        <v>2605900</v>
      </c>
      <c r="T6013" s="102">
        <f t="shared" si="2994"/>
        <v>2369000</v>
      </c>
      <c r="U6013" s="71" t="s">
        <v>859</v>
      </c>
      <c r="V6013" s="71"/>
      <c r="W6013" s="474">
        <v>3325000</v>
      </c>
      <c r="X6013" s="71"/>
      <c r="Y6013" s="71"/>
    </row>
    <row r="6014" spans="1:25" ht="30" hidden="1" customHeight="1" x14ac:dyDescent="0.25">
      <c r="A6014" s="1145">
        <v>45102</v>
      </c>
      <c r="B6014" s="664" t="s">
        <v>2255</v>
      </c>
      <c r="C6014" s="71" t="s">
        <v>3658</v>
      </c>
      <c r="D6014" s="71">
        <v>1300</v>
      </c>
      <c r="E6014" s="102">
        <v>5790</v>
      </c>
      <c r="F6014" s="102">
        <f t="shared" si="2986"/>
        <v>8279700.0000000009</v>
      </c>
      <c r="G6014" s="102">
        <f t="shared" si="2987"/>
        <v>7527000</v>
      </c>
      <c r="H6014" s="690" t="s">
        <v>36</v>
      </c>
      <c r="I6014" s="71" t="s">
        <v>2529</v>
      </c>
      <c r="J6014" s="53">
        <f t="shared" si="2991"/>
        <v>2332200</v>
      </c>
      <c r="K6014" s="63">
        <f t="shared" si="2992"/>
        <v>0.30984455958549217</v>
      </c>
      <c r="L6014" s="1212" t="s">
        <v>3788</v>
      </c>
      <c r="M6014" s="102" t="s">
        <v>3662</v>
      </c>
      <c r="N6014" s="1192">
        <f t="shared" si="2988"/>
        <v>45102</v>
      </c>
      <c r="O6014" s="71" t="s">
        <v>150</v>
      </c>
      <c r="P6014" s="103" t="str">
        <f t="shared" si="2989"/>
        <v>Saphira CTP 판 1030 x 800</v>
      </c>
      <c r="Q6014" s="71">
        <f t="shared" si="2990"/>
        <v>1300</v>
      </c>
      <c r="R6014" s="102">
        <v>3996</v>
      </c>
      <c r="S6014" s="102">
        <f t="shared" si="2993"/>
        <v>5714280</v>
      </c>
      <c r="T6014" s="102">
        <f t="shared" si="2994"/>
        <v>5194800</v>
      </c>
      <c r="U6014" s="71" t="s">
        <v>859</v>
      </c>
      <c r="V6014" s="71"/>
      <c r="W6014" s="474">
        <v>636000</v>
      </c>
      <c r="X6014" s="71"/>
      <c r="Y6014" s="71"/>
    </row>
    <row r="6015" spans="1:25" ht="30" hidden="1" customHeight="1" x14ac:dyDescent="0.25">
      <c r="A6015" s="1145">
        <v>45102</v>
      </c>
      <c r="B6015" s="664" t="s">
        <v>2255</v>
      </c>
      <c r="C6015" s="71" t="s">
        <v>3659</v>
      </c>
      <c r="D6015" s="71">
        <v>700</v>
      </c>
      <c r="E6015" s="102">
        <v>6010</v>
      </c>
      <c r="F6015" s="102">
        <f t="shared" si="2986"/>
        <v>4627700</v>
      </c>
      <c r="G6015" s="102">
        <f t="shared" si="2987"/>
        <v>4207000</v>
      </c>
      <c r="H6015" s="690" t="s">
        <v>36</v>
      </c>
      <c r="I6015" s="71" t="s">
        <v>2529</v>
      </c>
      <c r="J6015" s="53">
        <f t="shared" si="2991"/>
        <v>1301300</v>
      </c>
      <c r="K6015" s="63">
        <f t="shared" si="2992"/>
        <v>0.30931780366056572</v>
      </c>
      <c r="L6015" s="1212" t="s">
        <v>3788</v>
      </c>
      <c r="M6015" s="102" t="s">
        <v>3662</v>
      </c>
      <c r="N6015" s="1192">
        <f t="shared" si="2988"/>
        <v>45102</v>
      </c>
      <c r="O6015" s="71" t="s">
        <v>150</v>
      </c>
      <c r="P6015" s="103" t="str">
        <f t="shared" si="2989"/>
        <v>Saphira CTP 판 1055 x 811</v>
      </c>
      <c r="Q6015" s="71">
        <f t="shared" si="2990"/>
        <v>700</v>
      </c>
      <c r="R6015" s="102">
        <v>4151</v>
      </c>
      <c r="S6015" s="102">
        <f t="shared" si="2993"/>
        <v>3196270.0000000005</v>
      </c>
      <c r="T6015" s="102">
        <f t="shared" si="2994"/>
        <v>2905700</v>
      </c>
      <c r="U6015" s="71" t="s">
        <v>859</v>
      </c>
      <c r="V6015" s="71"/>
      <c r="W6015" s="474">
        <v>1476000</v>
      </c>
      <c r="X6015" s="71"/>
      <c r="Y6015" s="71"/>
    </row>
    <row r="6016" spans="1:25" ht="30" hidden="1" customHeight="1" x14ac:dyDescent="0.25">
      <c r="A6016" s="1145">
        <v>45102</v>
      </c>
      <c r="B6016" s="664" t="s">
        <v>2255</v>
      </c>
      <c r="C6016" s="71" t="s">
        <v>3660</v>
      </c>
      <c r="D6016" s="71">
        <v>0</v>
      </c>
      <c r="E6016" s="102">
        <v>4280</v>
      </c>
      <c r="F6016" s="102">
        <f t="shared" si="2986"/>
        <v>0</v>
      </c>
      <c r="G6016" s="102">
        <f t="shared" si="2987"/>
        <v>0</v>
      </c>
      <c r="H6016" s="690" t="s">
        <v>36</v>
      </c>
      <c r="I6016" s="71" t="s">
        <v>2529</v>
      </c>
      <c r="J6016" s="53">
        <f t="shared" si="2991"/>
        <v>0</v>
      </c>
      <c r="K6016" s="63" t="e">
        <f t="shared" si="2992"/>
        <v>#DIV/0!</v>
      </c>
      <c r="L6016" s="1212" t="s">
        <v>3788</v>
      </c>
      <c r="M6016" s="102" t="s">
        <v>3662</v>
      </c>
      <c r="N6016" s="1192">
        <f t="shared" si="2988"/>
        <v>45102</v>
      </c>
      <c r="O6016" s="71" t="s">
        <v>150</v>
      </c>
      <c r="P6016" s="103" t="str">
        <f t="shared" si="2989"/>
        <v>Saphira CTP 판 968 x 631</v>
      </c>
      <c r="Q6016" s="71">
        <f t="shared" si="2990"/>
        <v>0</v>
      </c>
      <c r="R6016" s="102">
        <v>2966</v>
      </c>
      <c r="S6016" s="102">
        <f t="shared" si="2993"/>
        <v>0</v>
      </c>
      <c r="T6016" s="102">
        <f t="shared" si="2994"/>
        <v>0</v>
      </c>
      <c r="U6016" s="71" t="s">
        <v>859</v>
      </c>
      <c r="V6016" s="71"/>
      <c r="W6016" s="474">
        <v>1416000</v>
      </c>
      <c r="X6016" s="71"/>
      <c r="Y6016" s="71"/>
    </row>
    <row r="6017" spans="1:25" ht="30" hidden="1" customHeight="1" x14ac:dyDescent="0.25">
      <c r="A6017" s="1145">
        <v>45102</v>
      </c>
      <c r="B6017" s="664" t="s">
        <v>2255</v>
      </c>
      <c r="C6017" s="71" t="s">
        <v>3661</v>
      </c>
      <c r="D6017" s="71">
        <v>30</v>
      </c>
      <c r="E6017" s="102">
        <v>51920</v>
      </c>
      <c r="F6017" s="102">
        <f t="shared" si="2986"/>
        <v>1713360.0000000002</v>
      </c>
      <c r="G6017" s="102">
        <f t="shared" si="2987"/>
        <v>1557600</v>
      </c>
      <c r="H6017" s="690" t="s">
        <v>179</v>
      </c>
      <c r="I6017" s="71" t="s">
        <v>3405</v>
      </c>
      <c r="J6017" s="53">
        <f t="shared" si="2991"/>
        <v>357600</v>
      </c>
      <c r="K6017" s="63">
        <f t="shared" si="2992"/>
        <v>0.22958397534668717</v>
      </c>
      <c r="L6017" s="1212" t="s">
        <v>3788</v>
      </c>
      <c r="M6017" s="468"/>
      <c r="N6017" s="1192">
        <f t="shared" si="2988"/>
        <v>45102</v>
      </c>
      <c r="O6017" s="71" t="s">
        <v>2030</v>
      </c>
      <c r="P6017" s="103" t="str">
        <f t="shared" si="2989"/>
        <v>사피라 현상액</v>
      </c>
      <c r="Q6017" s="71">
        <f t="shared" si="2990"/>
        <v>30</v>
      </c>
      <c r="R6017" s="102">
        <v>40000</v>
      </c>
      <c r="S6017" s="102">
        <f t="shared" si="2993"/>
        <v>1320000</v>
      </c>
      <c r="T6017" s="102">
        <f t="shared" si="2994"/>
        <v>1200000</v>
      </c>
      <c r="U6017" s="71" t="s">
        <v>859</v>
      </c>
      <c r="V6017" s="71"/>
      <c r="W6017" s="474">
        <v>978750</v>
      </c>
      <c r="X6017" s="71"/>
      <c r="Y6017" s="71"/>
    </row>
    <row r="6018" spans="1:25" ht="30" hidden="1" customHeight="1" x14ac:dyDescent="0.25">
      <c r="A6018" s="1145">
        <v>45102</v>
      </c>
      <c r="B6018" s="664" t="s">
        <v>2254</v>
      </c>
      <c r="C6018" s="71" t="s">
        <v>3319</v>
      </c>
      <c r="D6018" s="71">
        <v>400</v>
      </c>
      <c r="E6018" s="102">
        <v>6328</v>
      </c>
      <c r="F6018" s="102">
        <f t="shared" si="2986"/>
        <v>2784320</v>
      </c>
      <c r="G6018" s="102">
        <f t="shared" si="2987"/>
        <v>2531200</v>
      </c>
      <c r="H6018" s="690" t="s">
        <v>36</v>
      </c>
      <c r="I6018" s="71" t="s">
        <v>3320</v>
      </c>
      <c r="J6018" s="53">
        <f t="shared" si="2991"/>
        <v>191200</v>
      </c>
      <c r="K6018" s="63">
        <f t="shared" si="2992"/>
        <v>7.5537294563843241E-2</v>
      </c>
      <c r="L6018" s="1212" t="s">
        <v>3788</v>
      </c>
      <c r="M6018" s="468"/>
      <c r="N6018" s="1192">
        <f t="shared" si="2988"/>
        <v>45102</v>
      </c>
      <c r="O6018" s="71" t="s">
        <v>146</v>
      </c>
      <c r="P6018" s="103" t="str">
        <f t="shared" si="2989"/>
        <v>프리미어(먹)</v>
      </c>
      <c r="Q6018" s="71">
        <f t="shared" si="2990"/>
        <v>400</v>
      </c>
      <c r="R6018" s="102">
        <v>5850</v>
      </c>
      <c r="S6018" s="102">
        <f t="shared" si="2993"/>
        <v>2574000</v>
      </c>
      <c r="T6018" s="102">
        <f t="shared" si="2994"/>
        <v>2340000</v>
      </c>
      <c r="U6018" s="71" t="s">
        <v>859</v>
      </c>
      <c r="V6018" s="71"/>
      <c r="W6018" s="474">
        <v>411200</v>
      </c>
      <c r="X6018" s="71"/>
      <c r="Y6018" s="71"/>
    </row>
    <row r="6019" spans="1:25" ht="30" hidden="1" customHeight="1" x14ac:dyDescent="0.25">
      <c r="A6019" s="1145">
        <v>45102</v>
      </c>
      <c r="B6019" s="664" t="s">
        <v>2254</v>
      </c>
      <c r="C6019" s="71" t="s">
        <v>3321</v>
      </c>
      <c r="D6019" s="71">
        <v>400</v>
      </c>
      <c r="E6019" s="102">
        <v>6780</v>
      </c>
      <c r="F6019" s="102">
        <f t="shared" si="2986"/>
        <v>2983200.0000000005</v>
      </c>
      <c r="G6019" s="102">
        <f t="shared" si="2987"/>
        <v>2712000</v>
      </c>
      <c r="H6019" s="690" t="s">
        <v>36</v>
      </c>
      <c r="I6019" s="71" t="s">
        <v>3320</v>
      </c>
      <c r="J6019" s="53">
        <f t="shared" si="2991"/>
        <v>200000</v>
      </c>
      <c r="K6019" s="63">
        <f t="shared" si="2992"/>
        <v>7.3746312684365767E-2</v>
      </c>
      <c r="L6019" s="1212" t="s">
        <v>3788</v>
      </c>
      <c r="M6019" s="468"/>
      <c r="N6019" s="1192">
        <f t="shared" si="2988"/>
        <v>45102</v>
      </c>
      <c r="O6019" s="71" t="s">
        <v>146</v>
      </c>
      <c r="P6019" s="103" t="str">
        <f t="shared" si="2989"/>
        <v>프리미어(적)</v>
      </c>
      <c r="Q6019" s="71">
        <f t="shared" si="2990"/>
        <v>400</v>
      </c>
      <c r="R6019" s="102">
        <v>6280</v>
      </c>
      <c r="S6019" s="102">
        <f t="shared" si="2993"/>
        <v>2763200</v>
      </c>
      <c r="T6019" s="102">
        <f t="shared" si="2994"/>
        <v>2512000</v>
      </c>
      <c r="U6019" s="71" t="s">
        <v>859</v>
      </c>
      <c r="V6019" s="71"/>
      <c r="W6019" s="474">
        <v>292000</v>
      </c>
      <c r="X6019" s="71"/>
      <c r="Y6019" s="71"/>
    </row>
    <row r="6020" spans="1:25" ht="30" hidden="1" customHeight="1" x14ac:dyDescent="0.25">
      <c r="A6020" s="1145">
        <v>45102</v>
      </c>
      <c r="B6020" s="664" t="s">
        <v>2254</v>
      </c>
      <c r="C6020" s="71" t="s">
        <v>1289</v>
      </c>
      <c r="D6020" s="71">
        <v>600</v>
      </c>
      <c r="E6020" s="102">
        <v>6498</v>
      </c>
      <c r="F6020" s="102">
        <f t="shared" si="2986"/>
        <v>4288680</v>
      </c>
      <c r="G6020" s="102">
        <f t="shared" si="2987"/>
        <v>3898800</v>
      </c>
      <c r="H6020" s="690" t="s">
        <v>36</v>
      </c>
      <c r="I6020" s="71" t="s">
        <v>3320</v>
      </c>
      <c r="J6020" s="53">
        <f t="shared" si="2991"/>
        <v>286800</v>
      </c>
      <c r="K6020" s="63">
        <f t="shared" si="2992"/>
        <v>7.3561095721760547E-2</v>
      </c>
      <c r="L6020" s="1212" t="s">
        <v>3788</v>
      </c>
      <c r="M6020" s="468"/>
      <c r="N6020" s="1192">
        <f t="shared" si="2988"/>
        <v>45102</v>
      </c>
      <c r="O6020" s="71" t="s">
        <v>146</v>
      </c>
      <c r="P6020" s="103" t="str">
        <f t="shared" si="2989"/>
        <v>프리미어(황)</v>
      </c>
      <c r="Q6020" s="71">
        <f t="shared" si="2990"/>
        <v>600</v>
      </c>
      <c r="R6020" s="102">
        <v>6020</v>
      </c>
      <c r="S6020" s="102">
        <f t="shared" si="2993"/>
        <v>3973200.0000000005</v>
      </c>
      <c r="T6020" s="102">
        <f t="shared" si="2994"/>
        <v>3612000</v>
      </c>
      <c r="U6020" s="71" t="s">
        <v>859</v>
      </c>
      <c r="V6020" s="71"/>
      <c r="W6020" s="474">
        <v>640800</v>
      </c>
      <c r="X6020" s="71"/>
      <c r="Y6020" s="71"/>
    </row>
    <row r="6021" spans="1:25" ht="30" hidden="1" customHeight="1" x14ac:dyDescent="0.25">
      <c r="A6021" s="1145">
        <v>45102</v>
      </c>
      <c r="B6021" s="664" t="s">
        <v>2254</v>
      </c>
      <c r="C6021" s="71" t="s">
        <v>1290</v>
      </c>
      <c r="D6021" s="71">
        <v>400</v>
      </c>
      <c r="E6021" s="102">
        <v>7910</v>
      </c>
      <c r="F6021" s="102">
        <f t="shared" si="2986"/>
        <v>3480400.0000000005</v>
      </c>
      <c r="G6021" s="102">
        <f t="shared" si="2987"/>
        <v>3164000</v>
      </c>
      <c r="H6021" s="690" t="s">
        <v>36</v>
      </c>
      <c r="I6021" s="71" t="s">
        <v>3320</v>
      </c>
      <c r="J6021" s="53">
        <f t="shared" si="2991"/>
        <v>240000</v>
      </c>
      <c r="K6021" s="63">
        <f t="shared" si="2992"/>
        <v>7.5853350189633365E-2</v>
      </c>
      <c r="L6021" s="1212" t="s">
        <v>3788</v>
      </c>
      <c r="M6021" s="468"/>
      <c r="N6021" s="1192">
        <f t="shared" si="2988"/>
        <v>45102</v>
      </c>
      <c r="O6021" s="71" t="s">
        <v>146</v>
      </c>
      <c r="P6021" s="103" t="str">
        <f t="shared" si="2989"/>
        <v>프리미어(청)</v>
      </c>
      <c r="Q6021" s="71">
        <f t="shared" si="2990"/>
        <v>400</v>
      </c>
      <c r="R6021" s="102">
        <v>7310</v>
      </c>
      <c r="S6021" s="102">
        <f t="shared" si="2993"/>
        <v>3216400.0000000005</v>
      </c>
      <c r="T6021" s="102">
        <f t="shared" si="2994"/>
        <v>2924000</v>
      </c>
      <c r="U6021" s="71" t="s">
        <v>859</v>
      </c>
      <c r="V6021" s="71"/>
      <c r="W6021" s="474">
        <v>846000</v>
      </c>
      <c r="X6021" s="71"/>
      <c r="Y6021" s="71"/>
    </row>
    <row r="6022" spans="1:25" ht="30" hidden="1" customHeight="1" x14ac:dyDescent="0.25">
      <c r="A6022" s="1145">
        <v>45102</v>
      </c>
      <c r="B6022" s="664" t="s">
        <v>2254</v>
      </c>
      <c r="C6022" s="71" t="s">
        <v>3322</v>
      </c>
      <c r="D6022" s="71"/>
      <c r="E6022" s="102">
        <v>7150</v>
      </c>
      <c r="F6022" s="102">
        <f t="shared" si="2986"/>
        <v>0</v>
      </c>
      <c r="G6022" s="102">
        <f t="shared" si="2987"/>
        <v>0</v>
      </c>
      <c r="H6022" s="690" t="s">
        <v>36</v>
      </c>
      <c r="I6022" s="71" t="s">
        <v>3320</v>
      </c>
      <c r="J6022" s="53">
        <f t="shared" si="2991"/>
        <v>0</v>
      </c>
      <c r="K6022" s="63" t="e">
        <f t="shared" si="2992"/>
        <v>#DIV/0!</v>
      </c>
      <c r="L6022" s="1212" t="s">
        <v>3788</v>
      </c>
      <c r="M6022" s="468"/>
      <c r="N6022" s="1192">
        <f t="shared" si="2988"/>
        <v>45102</v>
      </c>
      <c r="O6022" s="71" t="s">
        <v>3323</v>
      </c>
      <c r="P6022" s="103" t="str">
        <f t="shared" si="2989"/>
        <v>한특 잉크(적)</v>
      </c>
      <c r="Q6022" s="71">
        <f t="shared" si="2990"/>
        <v>0</v>
      </c>
      <c r="R6022" s="102">
        <v>6500</v>
      </c>
      <c r="S6022" s="102">
        <f t="shared" si="2993"/>
        <v>0</v>
      </c>
      <c r="T6022" s="102">
        <f t="shared" si="2994"/>
        <v>0</v>
      </c>
      <c r="U6022" s="71" t="s">
        <v>859</v>
      </c>
      <c r="V6022" s="71"/>
      <c r="W6022" s="474">
        <v>0</v>
      </c>
      <c r="X6022" s="71"/>
      <c r="Y6022" s="71"/>
    </row>
    <row r="6023" spans="1:25" ht="30" hidden="1" customHeight="1" x14ac:dyDescent="0.25">
      <c r="A6023" s="1145">
        <v>45102</v>
      </c>
      <c r="B6023" s="664" t="s">
        <v>2254</v>
      </c>
      <c r="C6023" s="71" t="s">
        <v>3324</v>
      </c>
      <c r="D6023" s="71"/>
      <c r="E6023" s="102">
        <v>6900</v>
      </c>
      <c r="F6023" s="102">
        <f t="shared" si="2986"/>
        <v>0</v>
      </c>
      <c r="G6023" s="102">
        <f t="shared" si="2987"/>
        <v>0</v>
      </c>
      <c r="H6023" s="690" t="s">
        <v>36</v>
      </c>
      <c r="I6023" s="71" t="s">
        <v>3320</v>
      </c>
      <c r="J6023" s="53">
        <f t="shared" si="2991"/>
        <v>0</v>
      </c>
      <c r="K6023" s="63" t="e">
        <f t="shared" si="2992"/>
        <v>#DIV/0!</v>
      </c>
      <c r="L6023" s="1212" t="s">
        <v>3788</v>
      </c>
      <c r="M6023" s="468"/>
      <c r="N6023" s="1192">
        <f t="shared" si="2988"/>
        <v>45102</v>
      </c>
      <c r="O6023" s="71" t="s">
        <v>3323</v>
      </c>
      <c r="P6023" s="103" t="str">
        <f t="shared" si="2989"/>
        <v>한특 잉크(황)</v>
      </c>
      <c r="Q6023" s="71">
        <f t="shared" si="2990"/>
        <v>0</v>
      </c>
      <c r="R6023" s="102">
        <v>6200</v>
      </c>
      <c r="S6023" s="102">
        <f t="shared" si="2993"/>
        <v>0</v>
      </c>
      <c r="T6023" s="102">
        <f t="shared" si="2994"/>
        <v>0</v>
      </c>
      <c r="U6023" s="71" t="s">
        <v>859</v>
      </c>
      <c r="V6023" s="71"/>
      <c r="W6023" s="474">
        <v>0</v>
      </c>
      <c r="X6023" s="71"/>
      <c r="Y6023" s="71"/>
    </row>
    <row r="6024" spans="1:25" ht="28.5" hidden="1" customHeight="1" x14ac:dyDescent="0.25">
      <c r="A6024" s="1145">
        <v>45102</v>
      </c>
      <c r="B6024" s="664" t="s">
        <v>2254</v>
      </c>
      <c r="C6024" s="71" t="s">
        <v>3325</v>
      </c>
      <c r="D6024" s="71"/>
      <c r="E6024" s="102">
        <v>7500</v>
      </c>
      <c r="F6024" s="102">
        <f t="shared" si="2986"/>
        <v>0</v>
      </c>
      <c r="G6024" s="102">
        <f t="shared" si="2987"/>
        <v>0</v>
      </c>
      <c r="H6024" s="690" t="s">
        <v>36</v>
      </c>
      <c r="I6024" s="71" t="s">
        <v>3320</v>
      </c>
      <c r="J6024" s="53">
        <f t="shared" si="2991"/>
        <v>0</v>
      </c>
      <c r="K6024" s="63" t="e">
        <f t="shared" si="2992"/>
        <v>#DIV/0!</v>
      </c>
      <c r="L6024" s="1212" t="s">
        <v>3788</v>
      </c>
      <c r="M6024" s="468"/>
      <c r="N6024" s="1192">
        <f t="shared" si="2988"/>
        <v>45102</v>
      </c>
      <c r="O6024" s="71" t="s">
        <v>3323</v>
      </c>
      <c r="P6024" s="103" t="str">
        <f t="shared" si="2989"/>
        <v>한특 잉크(청)</v>
      </c>
      <c r="Q6024" s="71">
        <f t="shared" si="2990"/>
        <v>0</v>
      </c>
      <c r="R6024" s="102">
        <v>6600</v>
      </c>
      <c r="S6024" s="102">
        <f t="shared" si="2993"/>
        <v>0</v>
      </c>
      <c r="T6024" s="102">
        <f t="shared" si="2994"/>
        <v>0</v>
      </c>
      <c r="U6024" s="71" t="s">
        <v>859</v>
      </c>
      <c r="V6024" s="71"/>
      <c r="W6024" s="474">
        <v>0</v>
      </c>
      <c r="X6024" s="71"/>
      <c r="Y6024" s="71"/>
    </row>
    <row r="6025" spans="1:25" ht="30" hidden="1" customHeight="1" x14ac:dyDescent="0.25">
      <c r="A6025" s="1145">
        <v>45102</v>
      </c>
      <c r="B6025" s="664" t="s">
        <v>2254</v>
      </c>
      <c r="C6025" s="71" t="s">
        <v>3326</v>
      </c>
      <c r="D6025" s="71"/>
      <c r="E6025" s="102">
        <v>6450</v>
      </c>
      <c r="F6025" s="102">
        <f t="shared" si="2986"/>
        <v>0</v>
      </c>
      <c r="G6025" s="102">
        <f t="shared" si="2987"/>
        <v>0</v>
      </c>
      <c r="H6025" s="690" t="s">
        <v>36</v>
      </c>
      <c r="I6025" s="71" t="s">
        <v>3320</v>
      </c>
      <c r="J6025" s="53">
        <f t="shared" si="2991"/>
        <v>0</v>
      </c>
      <c r="K6025" s="63" t="e">
        <f t="shared" si="2992"/>
        <v>#DIV/0!</v>
      </c>
      <c r="L6025" s="1212" t="s">
        <v>3788</v>
      </c>
      <c r="M6025" s="468"/>
      <c r="N6025" s="1192">
        <f t="shared" si="2988"/>
        <v>45102</v>
      </c>
      <c r="O6025" s="71" t="s">
        <v>3323</v>
      </c>
      <c r="P6025" s="103" t="str">
        <f t="shared" si="2989"/>
        <v>한특 잉크(먹)</v>
      </c>
      <c r="Q6025" s="71">
        <f t="shared" si="2990"/>
        <v>0</v>
      </c>
      <c r="R6025" s="102">
        <v>5700</v>
      </c>
      <c r="S6025" s="102">
        <f t="shared" si="2993"/>
        <v>0</v>
      </c>
      <c r="T6025" s="102">
        <f t="shared" si="2994"/>
        <v>0</v>
      </c>
      <c r="U6025" s="71" t="s">
        <v>859</v>
      </c>
      <c r="V6025" s="71"/>
      <c r="W6025" s="474">
        <v>0</v>
      </c>
      <c r="X6025" s="71"/>
      <c r="Y6025" s="71"/>
    </row>
    <row r="6026" spans="1:25" ht="30" hidden="1" customHeight="1" x14ac:dyDescent="0.25">
      <c r="A6026" s="1145">
        <v>45102</v>
      </c>
      <c r="B6026" s="664" t="s">
        <v>443</v>
      </c>
      <c r="C6026" s="71" t="s">
        <v>3392</v>
      </c>
      <c r="D6026" s="71">
        <v>8</v>
      </c>
      <c r="E6026" s="102">
        <v>218000</v>
      </c>
      <c r="F6026" s="102">
        <f t="shared" si="2986"/>
        <v>1918400.0000000002</v>
      </c>
      <c r="G6026" s="102">
        <f t="shared" si="2987"/>
        <v>1744000</v>
      </c>
      <c r="H6026" s="690" t="s">
        <v>172</v>
      </c>
      <c r="I6026" s="71" t="s">
        <v>184</v>
      </c>
      <c r="J6026" s="53">
        <f t="shared" si="2991"/>
        <v>412000</v>
      </c>
      <c r="K6026" s="63">
        <f t="shared" si="2992"/>
        <v>0.23623853211009171</v>
      </c>
      <c r="L6026" s="1212" t="s">
        <v>3788</v>
      </c>
      <c r="M6026" s="468" t="s">
        <v>3393</v>
      </c>
      <c r="N6026" s="1192">
        <f t="shared" si="2988"/>
        <v>45102</v>
      </c>
      <c r="O6026" s="71" t="s">
        <v>2030</v>
      </c>
      <c r="P6026" s="103" t="str">
        <f t="shared" si="2989"/>
        <v>윤전 블랑켓</v>
      </c>
      <c r="Q6026" s="71">
        <f t="shared" si="2990"/>
        <v>8</v>
      </c>
      <c r="R6026" s="102">
        <v>166500</v>
      </c>
      <c r="S6026" s="102">
        <f t="shared" si="2993"/>
        <v>1465200.0000000002</v>
      </c>
      <c r="T6026" s="102">
        <f t="shared" si="2994"/>
        <v>1332000</v>
      </c>
      <c r="U6026" s="71" t="s">
        <v>859</v>
      </c>
      <c r="V6026" s="71" t="s">
        <v>3394</v>
      </c>
      <c r="W6026" s="474">
        <v>464000</v>
      </c>
      <c r="X6026" s="71"/>
      <c r="Y6026" s="71"/>
    </row>
    <row r="6027" spans="1:25" ht="30" hidden="1" customHeight="1" x14ac:dyDescent="0.25">
      <c r="A6027" s="1145">
        <v>45102</v>
      </c>
      <c r="B6027" s="664" t="s">
        <v>443</v>
      </c>
      <c r="C6027" s="71" t="s">
        <v>3750</v>
      </c>
      <c r="D6027" s="71">
        <v>1</v>
      </c>
      <c r="E6027" s="102">
        <v>2350000</v>
      </c>
      <c r="F6027" s="102">
        <f t="shared" si="2986"/>
        <v>2585000</v>
      </c>
      <c r="G6027" s="102">
        <f t="shared" si="2987"/>
        <v>2350000</v>
      </c>
      <c r="H6027" s="690" t="s">
        <v>179</v>
      </c>
      <c r="I6027" s="690" t="s">
        <v>179</v>
      </c>
      <c r="J6027" s="53">
        <f t="shared" si="2991"/>
        <v>600000</v>
      </c>
      <c r="K6027" s="63">
        <f t="shared" si="2992"/>
        <v>0.25531914893617019</v>
      </c>
      <c r="L6027" s="1212" t="s">
        <v>3788</v>
      </c>
      <c r="M6027" s="468"/>
      <c r="N6027" s="1192">
        <f t="shared" si="2988"/>
        <v>45102</v>
      </c>
      <c r="O6027" s="71" t="s">
        <v>194</v>
      </c>
      <c r="P6027" s="103" t="str">
        <f t="shared" si="2989"/>
        <v>5월분 Apogee 사용료</v>
      </c>
      <c r="Q6027" s="71">
        <f t="shared" si="2990"/>
        <v>1</v>
      </c>
      <c r="R6027" s="147">
        <v>1750000</v>
      </c>
      <c r="S6027" s="102">
        <f t="shared" si="2993"/>
        <v>1925000.0000000002</v>
      </c>
      <c r="T6027" s="102">
        <f t="shared" si="2994"/>
        <v>1750000</v>
      </c>
      <c r="U6027" s="71"/>
      <c r="V6027" s="71"/>
      <c r="W6027" s="474"/>
      <c r="X6027" s="71"/>
      <c r="Y6027" s="71"/>
    </row>
    <row r="6028" spans="1:25" ht="30" hidden="1" customHeight="1" x14ac:dyDescent="0.25">
      <c r="A6028" s="1145">
        <v>45102</v>
      </c>
      <c r="B6028" s="664" t="s">
        <v>575</v>
      </c>
      <c r="C6028" s="71" t="s">
        <v>3545</v>
      </c>
      <c r="D6028" s="71">
        <v>1</v>
      </c>
      <c r="E6028" s="102">
        <v>1300000</v>
      </c>
      <c r="F6028" s="102">
        <f t="shared" si="2986"/>
        <v>1430000</v>
      </c>
      <c r="G6028" s="102">
        <f t="shared" si="2987"/>
        <v>1300000</v>
      </c>
      <c r="H6028" s="690" t="s">
        <v>1786</v>
      </c>
      <c r="I6028" s="71" t="s">
        <v>1786</v>
      </c>
      <c r="J6028" s="53">
        <f t="shared" si="2991"/>
        <v>900000</v>
      </c>
      <c r="K6028" s="63">
        <f t="shared" si="2992"/>
        <v>0.69230769230769229</v>
      </c>
      <c r="L6028" s="1212" t="s">
        <v>3788</v>
      </c>
      <c r="M6028" s="102"/>
      <c r="N6028" s="1192">
        <f t="shared" si="2988"/>
        <v>45102</v>
      </c>
      <c r="O6028" s="71" t="s">
        <v>1786</v>
      </c>
      <c r="P6028" s="103" t="str">
        <f t="shared" si="2989"/>
        <v>드라이어 온도센서</v>
      </c>
      <c r="Q6028" s="71">
        <f t="shared" si="2990"/>
        <v>1</v>
      </c>
      <c r="R6028" s="102">
        <v>400000</v>
      </c>
      <c r="S6028" s="102">
        <f t="shared" si="2993"/>
        <v>440000.00000000006</v>
      </c>
      <c r="T6028" s="102">
        <f t="shared" si="2994"/>
        <v>400000</v>
      </c>
      <c r="U6028" s="71"/>
      <c r="V6028" s="71"/>
      <c r="W6028" s="474"/>
      <c r="X6028" s="71"/>
      <c r="Y6028" s="71"/>
    </row>
    <row r="6029" spans="1:25" s="209" customFormat="1" ht="30" hidden="1" customHeight="1" x14ac:dyDescent="0.25">
      <c r="A6029" s="1145">
        <v>45102</v>
      </c>
      <c r="B6029" s="664" t="s">
        <v>575</v>
      </c>
      <c r="C6029" s="71" t="s">
        <v>3791</v>
      </c>
      <c r="D6029" s="71">
        <v>1</v>
      </c>
      <c r="E6029" s="102">
        <v>2625000</v>
      </c>
      <c r="F6029" s="102">
        <f t="shared" si="2986"/>
        <v>2887500.0000000005</v>
      </c>
      <c r="G6029" s="102">
        <f t="shared" si="2987"/>
        <v>2625000</v>
      </c>
      <c r="H6029" s="690" t="s">
        <v>985</v>
      </c>
      <c r="I6029" s="71" t="s">
        <v>985</v>
      </c>
      <c r="J6029" s="53"/>
      <c r="K6029" s="63"/>
      <c r="L6029" s="1212" t="s">
        <v>3788</v>
      </c>
      <c r="M6029" s="468"/>
      <c r="N6029" s="1192">
        <f t="shared" si="2988"/>
        <v>45102</v>
      </c>
      <c r="O6029" s="71"/>
      <c r="P6029" s="164" t="str">
        <f t="shared" si="2989"/>
        <v>M-600 서비스 계약(2회차)</v>
      </c>
      <c r="Q6029" s="71">
        <f t="shared" ref="Q6029:Q6041" si="2995">D6029</f>
        <v>1</v>
      </c>
      <c r="R6029" s="102"/>
      <c r="S6029" s="102"/>
      <c r="T6029" s="102"/>
      <c r="U6029" s="71"/>
      <c r="V6029" s="71"/>
      <c r="W6029" s="474"/>
      <c r="X6029" s="71"/>
      <c r="Y6029" s="71"/>
    </row>
    <row r="6030" spans="1:25" ht="30" hidden="1" customHeight="1" x14ac:dyDescent="0.25">
      <c r="A6030" s="1145">
        <v>45107</v>
      </c>
      <c r="B6030" s="664" t="s">
        <v>3805</v>
      </c>
      <c r="C6030" s="71" t="s">
        <v>3792</v>
      </c>
      <c r="D6030" s="71">
        <v>1</v>
      </c>
      <c r="E6030" s="102">
        <v>38500000</v>
      </c>
      <c r="F6030" s="102">
        <f t="shared" si="2986"/>
        <v>42350000</v>
      </c>
      <c r="G6030" s="102">
        <f t="shared" si="2987"/>
        <v>38500000</v>
      </c>
      <c r="H6030" s="690" t="s">
        <v>1786</v>
      </c>
      <c r="I6030" s="71" t="s">
        <v>1786</v>
      </c>
      <c r="J6030" s="53"/>
      <c r="K6030" s="63"/>
      <c r="L6030" s="1212" t="s">
        <v>3788</v>
      </c>
      <c r="M6030" s="468"/>
      <c r="N6030" s="1192">
        <f t="shared" si="2988"/>
        <v>45107</v>
      </c>
      <c r="O6030" s="71"/>
      <c r="P6030" s="103" t="str">
        <f t="shared" si="2989"/>
        <v>사륙 윤전기 자동 판 교환 시스템 업그레이드</v>
      </c>
      <c r="Q6030" s="71">
        <f t="shared" si="2995"/>
        <v>1</v>
      </c>
      <c r="R6030" s="147"/>
      <c r="S6030" s="102"/>
      <c r="T6030" s="102"/>
      <c r="U6030" s="71"/>
      <c r="V6030" s="71"/>
      <c r="W6030" s="474"/>
      <c r="X6030" s="71"/>
      <c r="Y6030" s="71"/>
    </row>
    <row r="6031" spans="1:25" ht="30" hidden="1" customHeight="1" x14ac:dyDescent="0.25">
      <c r="A6031" s="1145">
        <v>45103</v>
      </c>
      <c r="B6031" s="664" t="s">
        <v>3571</v>
      </c>
      <c r="C6031" s="71" t="s">
        <v>3793</v>
      </c>
      <c r="D6031" s="71">
        <v>1</v>
      </c>
      <c r="E6031" s="102">
        <v>53795000</v>
      </c>
      <c r="F6031" s="102">
        <f t="shared" si="2986"/>
        <v>59174500.000000007</v>
      </c>
      <c r="G6031" s="102">
        <f t="shared" si="2987"/>
        <v>53795000</v>
      </c>
      <c r="H6031" s="690" t="s">
        <v>1786</v>
      </c>
      <c r="I6031" s="71" t="s">
        <v>1786</v>
      </c>
      <c r="J6031" s="53"/>
      <c r="K6031" s="63"/>
      <c r="L6031" s="1212" t="s">
        <v>3788</v>
      </c>
      <c r="M6031" s="102"/>
      <c r="N6031" s="1192">
        <f t="shared" si="2988"/>
        <v>45103</v>
      </c>
      <c r="O6031" s="71"/>
      <c r="P6031" s="103" t="str">
        <f t="shared" si="2989"/>
        <v>자동 판 교환 시스템 업그레이드 작업 잔금 50%</v>
      </c>
      <c r="Q6031" s="71">
        <f t="shared" si="2995"/>
        <v>1</v>
      </c>
      <c r="R6031" s="102"/>
      <c r="S6031" s="102"/>
      <c r="T6031" s="102"/>
      <c r="U6031" s="71"/>
      <c r="V6031" s="71"/>
      <c r="W6031" s="474"/>
      <c r="X6031" s="71"/>
      <c r="Y6031" s="71"/>
    </row>
    <row r="6032" spans="1:25" ht="30" hidden="1" customHeight="1" x14ac:dyDescent="0.25">
      <c r="A6032" s="1145">
        <v>45098</v>
      </c>
      <c r="B6032" s="664" t="s">
        <v>1178</v>
      </c>
      <c r="C6032" s="71" t="s">
        <v>3794</v>
      </c>
      <c r="D6032" s="71">
        <v>1</v>
      </c>
      <c r="E6032" s="102">
        <v>7800000</v>
      </c>
      <c r="F6032" s="102">
        <f t="shared" si="2986"/>
        <v>8580000</v>
      </c>
      <c r="G6032" s="102">
        <f t="shared" si="2987"/>
        <v>7800000</v>
      </c>
      <c r="H6032" s="690" t="s">
        <v>142</v>
      </c>
      <c r="I6032" s="690" t="s">
        <v>142</v>
      </c>
      <c r="J6032" s="53">
        <f t="shared" ref="J6032:J6040" si="2996">G6032-T6032</f>
        <v>3473200</v>
      </c>
      <c r="K6032" s="63">
        <f t="shared" ref="K6032:K6040" si="2997">(J6032/(F6032/11*10))</f>
        <v>0.44528205128205128</v>
      </c>
      <c r="L6032" s="1212" t="s">
        <v>3788</v>
      </c>
      <c r="M6032" s="468"/>
      <c r="N6032" s="1192">
        <f t="shared" si="2988"/>
        <v>45098</v>
      </c>
      <c r="O6032" s="71" t="s">
        <v>2470</v>
      </c>
      <c r="P6032" s="103" t="str">
        <f t="shared" si="2989"/>
        <v>Vpak ESI 필라멘트 부품</v>
      </c>
      <c r="Q6032" s="71">
        <f t="shared" si="2995"/>
        <v>1</v>
      </c>
      <c r="R6032" s="102">
        <f>3189*1200+500000</f>
        <v>4326800</v>
      </c>
      <c r="S6032" s="102">
        <f t="shared" ref="S6032:S6037" si="2998">R6032*Q6032*1.1</f>
        <v>4759480</v>
      </c>
      <c r="T6032" s="102">
        <f t="shared" ref="T6032:T6037" si="2999">R6032*Q6032</f>
        <v>4326800</v>
      </c>
      <c r="U6032" s="71"/>
      <c r="V6032" s="71"/>
      <c r="W6032" s="474"/>
      <c r="X6032" s="71"/>
      <c r="Y6032" s="71"/>
    </row>
    <row r="6033" spans="1:25" ht="30" hidden="1" customHeight="1" x14ac:dyDescent="0.25">
      <c r="A6033" s="1145">
        <v>45100</v>
      </c>
      <c r="B6033" s="664" t="s">
        <v>546</v>
      </c>
      <c r="C6033" s="71" t="s">
        <v>114</v>
      </c>
      <c r="D6033" s="71">
        <v>50</v>
      </c>
      <c r="E6033" s="102">
        <v>18000</v>
      </c>
      <c r="F6033" s="102">
        <f t="shared" si="2986"/>
        <v>990000.00000000012</v>
      </c>
      <c r="G6033" s="102">
        <f t="shared" si="2987"/>
        <v>900000</v>
      </c>
      <c r="H6033" s="690" t="s">
        <v>1786</v>
      </c>
      <c r="I6033" s="71" t="s">
        <v>1786</v>
      </c>
      <c r="J6033" s="53">
        <f t="shared" si="2996"/>
        <v>361200</v>
      </c>
      <c r="K6033" s="63">
        <f t="shared" si="2997"/>
        <v>0.40133333333333326</v>
      </c>
      <c r="L6033" s="1212" t="s">
        <v>3788</v>
      </c>
      <c r="M6033" s="468"/>
      <c r="N6033" s="1192">
        <f t="shared" si="2988"/>
        <v>45100</v>
      </c>
      <c r="O6033" s="71" t="s">
        <v>1786</v>
      </c>
      <c r="P6033" s="103" t="str">
        <f t="shared" si="2989"/>
        <v>스트리퍼</v>
      </c>
      <c r="Q6033" s="71">
        <f t="shared" si="2995"/>
        <v>50</v>
      </c>
      <c r="R6033" s="102">
        <v>10776</v>
      </c>
      <c r="S6033" s="102">
        <f t="shared" si="2998"/>
        <v>592680</v>
      </c>
      <c r="T6033" s="102">
        <f t="shared" si="2999"/>
        <v>538800</v>
      </c>
      <c r="U6033" s="71"/>
      <c r="V6033" s="71"/>
      <c r="W6033" s="474"/>
      <c r="X6033" s="71"/>
      <c r="Y6033" s="71"/>
    </row>
    <row r="6034" spans="1:25" s="209" customFormat="1" ht="30" hidden="1" customHeight="1" x14ac:dyDescent="0.25">
      <c r="A6034" s="1145">
        <v>45100</v>
      </c>
      <c r="B6034" s="664" t="s">
        <v>546</v>
      </c>
      <c r="C6034" s="71" t="s">
        <v>1918</v>
      </c>
      <c r="D6034" s="71">
        <v>30</v>
      </c>
      <c r="E6034" s="102">
        <v>27000</v>
      </c>
      <c r="F6034" s="102">
        <f t="shared" si="2986"/>
        <v>891000.00000000012</v>
      </c>
      <c r="G6034" s="102">
        <f t="shared" si="2987"/>
        <v>810000</v>
      </c>
      <c r="H6034" s="690" t="s">
        <v>1786</v>
      </c>
      <c r="I6034" s="71" t="s">
        <v>1786</v>
      </c>
      <c r="J6034" s="53">
        <f t="shared" si="2996"/>
        <v>325920</v>
      </c>
      <c r="K6034" s="63">
        <f t="shared" si="2997"/>
        <v>0.40237037037037032</v>
      </c>
      <c r="L6034" s="1212" t="s">
        <v>3788</v>
      </c>
      <c r="M6034" s="468"/>
      <c r="N6034" s="1192">
        <f t="shared" si="2988"/>
        <v>45100</v>
      </c>
      <c r="O6034" s="71" t="s">
        <v>1786</v>
      </c>
      <c r="P6034" s="164" t="str">
        <f t="shared" si="2989"/>
        <v>브러쉬</v>
      </c>
      <c r="Q6034" s="71">
        <f t="shared" si="2995"/>
        <v>30</v>
      </c>
      <c r="R6034" s="102">
        <v>16136</v>
      </c>
      <c r="S6034" s="102">
        <f t="shared" si="2998"/>
        <v>532488</v>
      </c>
      <c r="T6034" s="102">
        <f t="shared" si="2999"/>
        <v>484080</v>
      </c>
      <c r="U6034" s="71"/>
      <c r="V6034" s="71"/>
      <c r="W6034" s="474"/>
      <c r="X6034" s="71"/>
      <c r="Y6034" s="71"/>
    </row>
    <row r="6035" spans="1:25" ht="30" hidden="1" customHeight="1" x14ac:dyDescent="0.25">
      <c r="A6035" s="1145">
        <v>45078</v>
      </c>
      <c r="B6035" s="664" t="s">
        <v>546</v>
      </c>
      <c r="C6035" s="71" t="s">
        <v>3795</v>
      </c>
      <c r="D6035" s="71">
        <v>12</v>
      </c>
      <c r="E6035" s="102">
        <v>230000</v>
      </c>
      <c r="F6035" s="102">
        <f t="shared" si="2986"/>
        <v>3036000.0000000005</v>
      </c>
      <c r="G6035" s="102">
        <f t="shared" si="2987"/>
        <v>2760000</v>
      </c>
      <c r="H6035" s="690" t="s">
        <v>1786</v>
      </c>
      <c r="I6035" s="71" t="s">
        <v>1786</v>
      </c>
      <c r="J6035" s="53">
        <f t="shared" si="2996"/>
        <v>763944</v>
      </c>
      <c r="K6035" s="63">
        <f t="shared" si="2997"/>
        <v>0.27679130434782606</v>
      </c>
      <c r="L6035" s="1212" t="s">
        <v>3788</v>
      </c>
      <c r="M6035" s="468"/>
      <c r="N6035" s="1192">
        <f t="shared" si="2988"/>
        <v>45078</v>
      </c>
      <c r="O6035" s="71" t="s">
        <v>1786</v>
      </c>
      <c r="P6035" s="103" t="str">
        <f t="shared" si="2989"/>
        <v>DC Solenoid with plug</v>
      </c>
      <c r="Q6035" s="71">
        <f t="shared" si="2995"/>
        <v>12</v>
      </c>
      <c r="R6035" s="102">
        <v>166338</v>
      </c>
      <c r="S6035" s="102">
        <f t="shared" si="2998"/>
        <v>2195661.6</v>
      </c>
      <c r="T6035" s="102">
        <f t="shared" si="2999"/>
        <v>1996056</v>
      </c>
      <c r="U6035" s="71"/>
      <c r="V6035" s="71"/>
      <c r="W6035" s="474"/>
      <c r="X6035" s="71"/>
      <c r="Y6035" s="71"/>
    </row>
    <row r="6036" spans="1:25" s="209" customFormat="1" ht="30" hidden="1" customHeight="1" x14ac:dyDescent="0.25">
      <c r="A6036" s="1145">
        <v>45078</v>
      </c>
      <c r="B6036" s="664" t="s">
        <v>546</v>
      </c>
      <c r="C6036" s="71" t="s">
        <v>3796</v>
      </c>
      <c r="D6036" s="71">
        <v>4</v>
      </c>
      <c r="E6036" s="102">
        <v>95000</v>
      </c>
      <c r="F6036" s="102">
        <f t="shared" si="2986"/>
        <v>418000.00000000006</v>
      </c>
      <c r="G6036" s="102">
        <f t="shared" si="2987"/>
        <v>380000</v>
      </c>
      <c r="H6036" s="690" t="s">
        <v>1786</v>
      </c>
      <c r="I6036" s="71" t="s">
        <v>1786</v>
      </c>
      <c r="J6036" s="53">
        <f t="shared" si="2996"/>
        <v>146844</v>
      </c>
      <c r="K6036" s="63">
        <f t="shared" si="2997"/>
        <v>0.38643157894736835</v>
      </c>
      <c r="L6036" s="1212" t="s">
        <v>3788</v>
      </c>
      <c r="M6036" s="468"/>
      <c r="N6036" s="1192">
        <f t="shared" si="2988"/>
        <v>45078</v>
      </c>
      <c r="O6036" s="71" t="s">
        <v>1786</v>
      </c>
      <c r="P6036" s="164" t="str">
        <f t="shared" si="2989"/>
        <v>Sheet metal plate</v>
      </c>
      <c r="Q6036" s="71">
        <f t="shared" si="2995"/>
        <v>4</v>
      </c>
      <c r="R6036" s="102">
        <v>58289</v>
      </c>
      <c r="S6036" s="102">
        <f t="shared" si="2998"/>
        <v>256471.60000000003</v>
      </c>
      <c r="T6036" s="102">
        <f t="shared" si="2999"/>
        <v>233156</v>
      </c>
      <c r="U6036" s="71"/>
      <c r="V6036" s="71"/>
      <c r="W6036" s="474"/>
      <c r="X6036" s="71"/>
      <c r="Y6036" s="71"/>
    </row>
    <row r="6037" spans="1:25" ht="30" hidden="1" customHeight="1" x14ac:dyDescent="0.25">
      <c r="A6037" s="1145">
        <v>45078</v>
      </c>
      <c r="B6037" s="664" t="s">
        <v>546</v>
      </c>
      <c r="C6037" s="71" t="s">
        <v>3121</v>
      </c>
      <c r="D6037" s="71">
        <v>2</v>
      </c>
      <c r="E6037" s="102">
        <v>95000</v>
      </c>
      <c r="F6037" s="102">
        <f t="shared" si="2986"/>
        <v>209000.00000000003</v>
      </c>
      <c r="G6037" s="102">
        <f t="shared" si="2987"/>
        <v>190000</v>
      </c>
      <c r="H6037" s="690" t="s">
        <v>1786</v>
      </c>
      <c r="I6037" s="71" t="s">
        <v>1786</v>
      </c>
      <c r="J6037" s="53">
        <f t="shared" si="2996"/>
        <v>90244</v>
      </c>
      <c r="K6037" s="63">
        <f t="shared" si="2997"/>
        <v>0.47496842105263148</v>
      </c>
      <c r="L6037" s="1212" t="s">
        <v>3788</v>
      </c>
      <c r="M6037" s="102"/>
      <c r="N6037" s="1192">
        <f t="shared" si="2988"/>
        <v>45078</v>
      </c>
      <c r="O6037" s="71" t="s">
        <v>1786</v>
      </c>
      <c r="P6037" s="103" t="str">
        <f t="shared" si="2989"/>
        <v>Cutting knife</v>
      </c>
      <c r="Q6037" s="71">
        <f t="shared" si="2995"/>
        <v>2</v>
      </c>
      <c r="R6037" s="102">
        <v>49878</v>
      </c>
      <c r="S6037" s="102">
        <f t="shared" si="2998"/>
        <v>109731.6</v>
      </c>
      <c r="T6037" s="102">
        <f t="shared" si="2999"/>
        <v>99756</v>
      </c>
      <c r="U6037" s="71"/>
      <c r="V6037" s="71"/>
      <c r="W6037" s="474"/>
      <c r="X6037" s="71"/>
      <c r="Y6037" s="71"/>
    </row>
    <row r="6038" spans="1:25" ht="30" hidden="1" customHeight="1" x14ac:dyDescent="0.25">
      <c r="A6038" s="1145">
        <v>45088</v>
      </c>
      <c r="B6038" s="664" t="s">
        <v>546</v>
      </c>
      <c r="C6038" s="71" t="s">
        <v>2009</v>
      </c>
      <c r="D6038" s="71">
        <v>1</v>
      </c>
      <c r="E6038" s="102">
        <v>1200000</v>
      </c>
      <c r="F6038" s="102">
        <f t="shared" si="2986"/>
        <v>1320000</v>
      </c>
      <c r="G6038" s="102">
        <f t="shared" si="2987"/>
        <v>1200000</v>
      </c>
      <c r="H6038" s="690" t="s">
        <v>985</v>
      </c>
      <c r="I6038" s="71" t="s">
        <v>985</v>
      </c>
      <c r="J6038" s="53"/>
      <c r="K6038" s="63"/>
      <c r="L6038" s="1212" t="s">
        <v>3788</v>
      </c>
      <c r="M6038" s="102"/>
      <c r="N6038" s="1192">
        <f t="shared" si="2988"/>
        <v>45088</v>
      </c>
      <c r="O6038" s="71"/>
      <c r="P6038" s="103" t="str">
        <f t="shared" si="2989"/>
        <v>M600 서비스 비용</v>
      </c>
      <c r="Q6038" s="71">
        <f t="shared" si="2995"/>
        <v>1</v>
      </c>
      <c r="R6038" s="102"/>
      <c r="S6038" s="102"/>
      <c r="T6038" s="102"/>
      <c r="U6038" s="71"/>
      <c r="V6038" s="71"/>
      <c r="W6038" s="474"/>
      <c r="X6038" s="71"/>
      <c r="Y6038" s="71"/>
    </row>
    <row r="6039" spans="1:25" ht="30" hidden="1" customHeight="1" x14ac:dyDescent="0.25">
      <c r="A6039" s="1145">
        <v>45096</v>
      </c>
      <c r="B6039" s="664" t="s">
        <v>2155</v>
      </c>
      <c r="C6039" s="71" t="s">
        <v>2137</v>
      </c>
      <c r="D6039" s="71">
        <v>1</v>
      </c>
      <c r="E6039" s="102">
        <v>500000</v>
      </c>
      <c r="F6039" s="102">
        <f t="shared" si="2986"/>
        <v>550000</v>
      </c>
      <c r="G6039" s="102">
        <f t="shared" si="2987"/>
        <v>500000</v>
      </c>
      <c r="H6039" s="690" t="s">
        <v>1786</v>
      </c>
      <c r="I6039" s="71" t="s">
        <v>1786</v>
      </c>
      <c r="J6039" s="53">
        <f t="shared" si="2996"/>
        <v>250000</v>
      </c>
      <c r="K6039" s="63">
        <f t="shared" si="2997"/>
        <v>0.5</v>
      </c>
      <c r="L6039" s="1212" t="s">
        <v>3788</v>
      </c>
      <c r="M6039" s="468"/>
      <c r="N6039" s="1192">
        <f t="shared" si="2988"/>
        <v>45096</v>
      </c>
      <c r="O6039" s="71" t="s">
        <v>2030</v>
      </c>
      <c r="P6039" s="164" t="str">
        <f t="shared" si="2989"/>
        <v>잉크집 아스테이지</v>
      </c>
      <c r="Q6039" s="71">
        <f t="shared" si="2995"/>
        <v>1</v>
      </c>
      <c r="R6039" s="102">
        <v>250000</v>
      </c>
      <c r="S6039" s="102">
        <f>R6039*Q6039*1.1</f>
        <v>275000</v>
      </c>
      <c r="T6039" s="102">
        <f>R6039*Q6039</f>
        <v>250000</v>
      </c>
      <c r="U6039" s="71"/>
      <c r="V6039" s="71"/>
      <c r="W6039" s="474"/>
      <c r="X6039" s="71"/>
      <c r="Y6039" s="71"/>
    </row>
    <row r="6040" spans="1:25" ht="30" hidden="1" customHeight="1" x14ac:dyDescent="0.25">
      <c r="A6040" s="1145">
        <v>45090</v>
      </c>
      <c r="B6040" s="664" t="s">
        <v>2155</v>
      </c>
      <c r="C6040" s="71" t="s">
        <v>853</v>
      </c>
      <c r="D6040" s="71">
        <v>2</v>
      </c>
      <c r="E6040" s="102">
        <v>350000</v>
      </c>
      <c r="F6040" s="102">
        <f t="shared" si="2986"/>
        <v>770000.00000000012</v>
      </c>
      <c r="G6040" s="102">
        <f t="shared" si="2987"/>
        <v>700000</v>
      </c>
      <c r="H6040" s="690" t="s">
        <v>1786</v>
      </c>
      <c r="I6040" s="71" t="s">
        <v>1786</v>
      </c>
      <c r="J6040" s="53">
        <f t="shared" si="2996"/>
        <v>399886</v>
      </c>
      <c r="K6040" s="63">
        <f t="shared" si="2997"/>
        <v>0.57126571428571415</v>
      </c>
      <c r="L6040" s="1212" t="s">
        <v>3788</v>
      </c>
      <c r="M6040" s="468"/>
      <c r="N6040" s="1192">
        <f t="shared" si="2988"/>
        <v>45090</v>
      </c>
      <c r="O6040" s="71" t="s">
        <v>1786</v>
      </c>
      <c r="P6040" s="103" t="str">
        <f t="shared" si="2989"/>
        <v>잉크키 보호 필름</v>
      </c>
      <c r="Q6040" s="71">
        <f t="shared" si="2995"/>
        <v>2</v>
      </c>
      <c r="R6040" s="147">
        <v>150057</v>
      </c>
      <c r="S6040" s="102">
        <f>R6040*Q6040*1.1</f>
        <v>330125.40000000002</v>
      </c>
      <c r="T6040" s="102">
        <f>R6040*Q6040</f>
        <v>300114</v>
      </c>
      <c r="U6040" s="71"/>
      <c r="V6040" s="71"/>
      <c r="W6040" s="474"/>
      <c r="X6040" s="71"/>
      <c r="Y6040" s="71"/>
    </row>
    <row r="6041" spans="1:25" ht="30" hidden="1" customHeight="1" x14ac:dyDescent="0.25">
      <c r="A6041" s="1145">
        <v>45093</v>
      </c>
      <c r="B6041" s="664" t="s">
        <v>2155</v>
      </c>
      <c r="C6041" s="71" t="s">
        <v>2009</v>
      </c>
      <c r="D6041" s="71">
        <v>1</v>
      </c>
      <c r="E6041" s="102">
        <v>390000</v>
      </c>
      <c r="F6041" s="102">
        <f t="shared" si="2986"/>
        <v>429000.00000000006</v>
      </c>
      <c r="G6041" s="102">
        <f t="shared" si="2987"/>
        <v>390000</v>
      </c>
      <c r="H6041" s="690" t="s">
        <v>985</v>
      </c>
      <c r="I6041" s="71" t="s">
        <v>985</v>
      </c>
      <c r="J6041" s="53"/>
      <c r="K6041" s="63"/>
      <c r="L6041" s="1212" t="s">
        <v>3788</v>
      </c>
      <c r="M6041" s="102"/>
      <c r="N6041" s="1192"/>
      <c r="O6041" s="71"/>
      <c r="P6041" s="103" t="str">
        <f t="shared" si="2989"/>
        <v>M600 서비스 비용</v>
      </c>
      <c r="Q6041" s="71">
        <f t="shared" si="2995"/>
        <v>1</v>
      </c>
      <c r="R6041" s="102"/>
      <c r="S6041" s="102"/>
      <c r="T6041" s="102"/>
      <c r="U6041" s="71"/>
      <c r="V6041" s="71"/>
      <c r="W6041" s="474"/>
      <c r="X6041" s="71"/>
      <c r="Y6041" s="71"/>
    </row>
    <row r="6042" spans="1:25" ht="30" hidden="1" customHeight="1" x14ac:dyDescent="0.25">
      <c r="A6042" s="1210" t="s">
        <v>3809</v>
      </c>
      <c r="B6042" s="1211" t="s">
        <v>544</v>
      </c>
      <c r="C6042" s="960"/>
      <c r="D6042" s="960"/>
      <c r="E6042" s="952"/>
      <c r="F6042" s="952"/>
      <c r="G6042" s="952"/>
      <c r="H6042" s="1206"/>
      <c r="I6042" s="960"/>
      <c r="J6042" s="952"/>
      <c r="K6042" s="953"/>
      <c r="L6042" s="1212" t="s">
        <v>3811</v>
      </c>
      <c r="M6042" s="1207"/>
      <c r="N6042" s="1208" t="str">
        <f>A6042</f>
        <v>2023,7</v>
      </c>
      <c r="O6042" s="960"/>
      <c r="P6042" s="1209"/>
      <c r="Q6042" s="960"/>
      <c r="R6042" s="952"/>
      <c r="S6042" s="952"/>
      <c r="T6042" s="952"/>
      <c r="U6042" s="960"/>
      <c r="V6042" s="960"/>
      <c r="W6042" s="474">
        <f>(G6042-T6042)</f>
        <v>0</v>
      </c>
      <c r="X6042" s="71"/>
      <c r="Y6042" s="71"/>
    </row>
    <row r="6043" spans="1:25" ht="30" hidden="1" customHeight="1" x14ac:dyDescent="0.25">
      <c r="A6043" s="1145">
        <v>45118</v>
      </c>
      <c r="B6043" s="664" t="s">
        <v>1155</v>
      </c>
      <c r="C6043" s="760" t="s">
        <v>2648</v>
      </c>
      <c r="D6043" s="71">
        <v>10</v>
      </c>
      <c r="E6043" s="102">
        <v>37000</v>
      </c>
      <c r="F6043" s="102">
        <f>(E6043*D6043)*1.1</f>
        <v>407000.00000000006</v>
      </c>
      <c r="G6043" s="102">
        <f>(E6043*D6043)</f>
        <v>370000</v>
      </c>
      <c r="H6043" s="690" t="s">
        <v>94</v>
      </c>
      <c r="I6043" s="71" t="s">
        <v>94</v>
      </c>
      <c r="J6043" s="53">
        <f>G6043-T6043</f>
        <v>129300</v>
      </c>
      <c r="K6043" s="63">
        <f>(J6043/(F6043/11*10))</f>
        <v>0.34945945945945939</v>
      </c>
      <c r="L6043" s="1212" t="s">
        <v>3811</v>
      </c>
      <c r="M6043" s="468"/>
      <c r="N6043" s="1192">
        <f>A6043</f>
        <v>45118</v>
      </c>
      <c r="O6043" s="71" t="s">
        <v>94</v>
      </c>
      <c r="P6043" s="103" t="str">
        <f>(C6043)</f>
        <v>주머니 필터백</v>
      </c>
      <c r="Q6043" s="71">
        <f>D6043</f>
        <v>10</v>
      </c>
      <c r="R6043" s="102">
        <v>24070</v>
      </c>
      <c r="S6043" s="102">
        <f>R6043*Q6043*1.1</f>
        <v>264770</v>
      </c>
      <c r="T6043" s="102">
        <f>R6043*Q6043</f>
        <v>240700</v>
      </c>
      <c r="U6043" s="71"/>
      <c r="V6043" s="71"/>
      <c r="W6043" s="474"/>
      <c r="X6043" s="71"/>
      <c r="Y6043" s="71"/>
    </row>
    <row r="6044" spans="1:25" ht="30" hidden="1" customHeight="1" x14ac:dyDescent="0.25">
      <c r="A6044" s="1145">
        <v>45118</v>
      </c>
      <c r="B6044" s="664" t="s">
        <v>1155</v>
      </c>
      <c r="C6044" s="71" t="s">
        <v>3435</v>
      </c>
      <c r="D6044" s="71">
        <v>1</v>
      </c>
      <c r="E6044" s="102">
        <v>850000</v>
      </c>
      <c r="F6044" s="102">
        <f>(E6044*D6044)*1.1</f>
        <v>935000.00000000012</v>
      </c>
      <c r="G6044" s="102">
        <f>(E6044*D6044)</f>
        <v>850000</v>
      </c>
      <c r="H6044" s="690" t="s">
        <v>94</v>
      </c>
      <c r="I6044" s="71" t="s">
        <v>94</v>
      </c>
      <c r="J6044" s="53">
        <f>G6044-T6044</f>
        <v>590410</v>
      </c>
      <c r="K6044" s="63">
        <f>(J6044/(F6044/11*10))</f>
        <v>0.69459999999999988</v>
      </c>
      <c r="L6044" s="1212" t="s">
        <v>3810</v>
      </c>
      <c r="M6044" s="468"/>
      <c r="N6044" s="1192">
        <f>A6044</f>
        <v>45118</v>
      </c>
      <c r="O6044" s="71" t="s">
        <v>94</v>
      </c>
      <c r="P6044" s="103" t="str">
        <f>(C6044)</f>
        <v>습수정화장치 beta.f 필터 세트</v>
      </c>
      <c r="Q6044" s="71">
        <f>D6044</f>
        <v>1</v>
      </c>
      <c r="R6044" s="102">
        <v>259590</v>
      </c>
      <c r="S6044" s="102">
        <f>R6044*Q6044*1.1</f>
        <v>285549</v>
      </c>
      <c r="T6044" s="102">
        <f>R6044*Q6044</f>
        <v>259590</v>
      </c>
      <c r="U6044" s="71"/>
      <c r="V6044" s="71"/>
      <c r="W6044" s="474"/>
      <c r="X6044" s="71"/>
      <c r="Y6044" s="71"/>
    </row>
    <row r="6045" spans="1:25" ht="30" customHeight="1" x14ac:dyDescent="0.25">
      <c r="A6045" s="1145">
        <v>45134</v>
      </c>
      <c r="B6045" s="664" t="s">
        <v>641</v>
      </c>
      <c r="C6045" s="71" t="s">
        <v>3293</v>
      </c>
      <c r="D6045" s="71">
        <v>40</v>
      </c>
      <c r="E6045" s="102">
        <v>84000</v>
      </c>
      <c r="F6045" s="102">
        <f>(E6045*D6045)*1.1</f>
        <v>3696000.0000000005</v>
      </c>
      <c r="G6045" s="102">
        <f>(E6045*D6045)</f>
        <v>3360000</v>
      </c>
      <c r="H6045" s="690" t="s">
        <v>172</v>
      </c>
      <c r="I6045" s="71" t="s">
        <v>38</v>
      </c>
      <c r="J6045" s="53">
        <f>G6045-T6045</f>
        <v>1320000</v>
      </c>
      <c r="K6045" s="63">
        <f>(J6045/(F6045/11*10))</f>
        <v>0.39285714285714279</v>
      </c>
      <c r="L6045" s="1212" t="s">
        <v>3810</v>
      </c>
      <c r="M6045" s="468"/>
      <c r="N6045" s="1192">
        <f>A6045</f>
        <v>45134</v>
      </c>
      <c r="O6045" s="71" t="s">
        <v>3291</v>
      </c>
      <c r="P6045" s="103" t="str">
        <f>(C6045)</f>
        <v>GOSS 신문윤전 습식세정포</v>
      </c>
      <c r="Q6045" s="71">
        <f>D6045</f>
        <v>40</v>
      </c>
      <c r="R6045" s="102">
        <v>51000</v>
      </c>
      <c r="S6045" s="102">
        <f>R6045*Q6045*1.1</f>
        <v>2244000</v>
      </c>
      <c r="T6045" s="102">
        <f>R6045*Q6045</f>
        <v>2040000</v>
      </c>
      <c r="U6045" s="71" t="str">
        <f>IF(J6045=W6045,"O", "X")</f>
        <v>X</v>
      </c>
      <c r="V6045" s="71"/>
      <c r="W6045" s="474"/>
      <c r="X6045" s="71"/>
      <c r="Y6045" s="71"/>
    </row>
    <row r="6046" spans="1:25" ht="30" customHeight="1" x14ac:dyDescent="0.25">
      <c r="A6046" s="1145">
        <v>45127</v>
      </c>
      <c r="B6046" s="664" t="s">
        <v>565</v>
      </c>
      <c r="C6046" s="71" t="s">
        <v>3812</v>
      </c>
      <c r="D6046" s="71">
        <v>1</v>
      </c>
      <c r="E6046" s="102">
        <v>360000</v>
      </c>
      <c r="F6046" s="102">
        <f>(E6046*D6046)*1.1</f>
        <v>396000.00000000006</v>
      </c>
      <c r="G6046" s="102">
        <f>(E6046*D6046)</f>
        <v>360000</v>
      </c>
      <c r="H6046" s="690" t="s">
        <v>142</v>
      </c>
      <c r="I6046" s="71" t="s">
        <v>142</v>
      </c>
      <c r="J6046" s="53"/>
      <c r="K6046" s="63"/>
      <c r="L6046" s="1212" t="s">
        <v>3810</v>
      </c>
      <c r="M6046" s="468"/>
      <c r="N6046" s="1192"/>
      <c r="O6046" s="71"/>
      <c r="P6046" s="103"/>
      <c r="Q6046" s="71"/>
      <c r="R6046" s="102"/>
      <c r="S6046" s="102"/>
      <c r="T6046" s="102"/>
      <c r="U6046" s="71"/>
      <c r="V6046" s="71"/>
      <c r="W6046" s="474"/>
      <c r="X6046" s="71"/>
      <c r="Y6046" s="71"/>
    </row>
    <row r="6047" spans="1:25" s="209" customFormat="1" ht="31.5" customHeight="1" x14ac:dyDescent="0.2">
      <c r="A6047" s="1145">
        <v>45124</v>
      </c>
      <c r="B6047" s="664" t="s">
        <v>2536</v>
      </c>
      <c r="C6047" s="71" t="s">
        <v>2009</v>
      </c>
      <c r="D6047" s="71">
        <v>1</v>
      </c>
      <c r="E6047" s="102">
        <v>1280000</v>
      </c>
      <c r="F6047" s="102">
        <f>(E6047*D6047)*1.1</f>
        <v>1408000</v>
      </c>
      <c r="G6047" s="102">
        <f>(E6047*D6047)</f>
        <v>1280000</v>
      </c>
      <c r="H6047" s="165" t="s">
        <v>985</v>
      </c>
      <c r="I6047" s="71" t="s">
        <v>985</v>
      </c>
      <c r="J6047" s="53"/>
      <c r="K6047" s="63"/>
      <c r="L6047" s="1212" t="s">
        <v>3810</v>
      </c>
      <c r="M6047" s="468"/>
      <c r="N6047" s="1192"/>
      <c r="O6047" s="71"/>
      <c r="P6047" s="103"/>
      <c r="Q6047" s="71"/>
      <c r="R6047" s="102"/>
      <c r="S6047" s="102"/>
      <c r="T6047" s="102"/>
      <c r="U6047" s="71"/>
      <c r="V6047" s="71"/>
      <c r="W6047" s="474"/>
      <c r="X6047" s="71"/>
      <c r="Y6047" s="71"/>
    </row>
    <row r="6048" spans="1:25" ht="30" customHeight="1" x14ac:dyDescent="0.25">
      <c r="A6048" s="1145">
        <v>45126</v>
      </c>
      <c r="B6048" s="664" t="s">
        <v>2536</v>
      </c>
      <c r="C6048" s="71" t="s">
        <v>3590</v>
      </c>
      <c r="D6048" s="71">
        <v>100</v>
      </c>
      <c r="E6048" s="102">
        <v>24000</v>
      </c>
      <c r="F6048" s="102">
        <f t="shared" ref="F6048:F6060" si="3000">(E6048*D6048)*1.1</f>
        <v>2640000</v>
      </c>
      <c r="G6048" s="102">
        <f t="shared" ref="G6048:G6060" si="3001">(E6048*D6048)</f>
        <v>2400000</v>
      </c>
      <c r="H6048" s="690" t="s">
        <v>142</v>
      </c>
      <c r="I6048" s="71" t="s">
        <v>179</v>
      </c>
      <c r="J6048" s="53">
        <f t="shared" ref="J6048:J6056" si="3002">G6048-T6048</f>
        <v>760000</v>
      </c>
      <c r="K6048" s="63">
        <f t="shared" ref="K6048:K6056" si="3003">(J6048/(F6048/11*10))</f>
        <v>0.31666666666666665</v>
      </c>
      <c r="L6048" s="1212" t="s">
        <v>3810</v>
      </c>
      <c r="M6048" s="468"/>
      <c r="N6048" s="1192">
        <f t="shared" ref="N6048:N6060" si="3004">A6048</f>
        <v>45126</v>
      </c>
      <c r="O6048" s="71" t="s">
        <v>3709</v>
      </c>
      <c r="P6048" s="103" t="str">
        <f t="shared" ref="P6048:P6060" si="3005">(C6048)</f>
        <v>3M 양면 테이프</v>
      </c>
      <c r="Q6048" s="71">
        <f t="shared" ref="Q6048:Q6060" si="3006">D6048</f>
        <v>100</v>
      </c>
      <c r="R6048" s="102">
        <v>16400</v>
      </c>
      <c r="S6048" s="102">
        <f t="shared" ref="S6048:S6056" si="3007">R6048*Q6048*1.1</f>
        <v>1804000.0000000002</v>
      </c>
      <c r="T6048" s="102">
        <f t="shared" ref="T6048:T6056" si="3008">R6048*Q6048</f>
        <v>1640000</v>
      </c>
      <c r="U6048" s="71"/>
      <c r="V6048" s="71"/>
      <c r="W6048" s="474"/>
      <c r="X6048" s="71"/>
      <c r="Y6048" s="71"/>
    </row>
    <row r="6049" spans="1:25" ht="30" customHeight="1" x14ac:dyDescent="0.25">
      <c r="A6049" s="1145">
        <v>45126</v>
      </c>
      <c r="B6049" s="664" t="s">
        <v>2536</v>
      </c>
      <c r="C6049" s="71" t="s">
        <v>3479</v>
      </c>
      <c r="D6049" s="71">
        <v>48</v>
      </c>
      <c r="E6049" s="102">
        <v>13500</v>
      </c>
      <c r="F6049" s="102">
        <f t="shared" si="3000"/>
        <v>712800</v>
      </c>
      <c r="G6049" s="102">
        <f t="shared" si="3001"/>
        <v>648000</v>
      </c>
      <c r="H6049" s="690" t="s">
        <v>142</v>
      </c>
      <c r="I6049" s="71" t="s">
        <v>179</v>
      </c>
      <c r="J6049" s="53">
        <f t="shared" si="3002"/>
        <v>246480</v>
      </c>
      <c r="K6049" s="63">
        <f t="shared" si="3003"/>
        <v>0.38037037037037036</v>
      </c>
      <c r="L6049" s="1212" t="s">
        <v>3810</v>
      </c>
      <c r="M6049" s="468"/>
      <c r="N6049" s="1192">
        <f t="shared" si="3004"/>
        <v>45126</v>
      </c>
      <c r="O6049" s="71"/>
      <c r="P6049" s="103" t="str">
        <f t="shared" si="3005"/>
        <v>고모리 윤전 블랑켓 건식 세정포 - 4x6용</v>
      </c>
      <c r="Q6049" s="71">
        <f t="shared" si="3006"/>
        <v>48</v>
      </c>
      <c r="R6049" s="102">
        <v>8365</v>
      </c>
      <c r="S6049" s="102">
        <f t="shared" si="3007"/>
        <v>441672.00000000006</v>
      </c>
      <c r="T6049" s="102">
        <f t="shared" si="3008"/>
        <v>401520</v>
      </c>
      <c r="U6049" s="71"/>
      <c r="V6049" s="71"/>
      <c r="W6049" s="474"/>
      <c r="X6049" s="71"/>
      <c r="Y6049" s="71"/>
    </row>
    <row r="6050" spans="1:25" s="209" customFormat="1" ht="30" hidden="1" customHeight="1" x14ac:dyDescent="0.25">
      <c r="A6050" s="1145">
        <v>45112</v>
      </c>
      <c r="B6050" s="664" t="s">
        <v>2353</v>
      </c>
      <c r="C6050" s="71" t="s">
        <v>3299</v>
      </c>
      <c r="D6050" s="71">
        <v>20</v>
      </c>
      <c r="E6050" s="102">
        <v>83000</v>
      </c>
      <c r="F6050" s="102">
        <f t="shared" si="3000"/>
        <v>1826000.0000000002</v>
      </c>
      <c r="G6050" s="102">
        <f t="shared" si="3001"/>
        <v>1660000</v>
      </c>
      <c r="H6050" s="690" t="s">
        <v>142</v>
      </c>
      <c r="I6050" s="71" t="s">
        <v>179</v>
      </c>
      <c r="J6050" s="53">
        <f t="shared" si="3002"/>
        <v>710000</v>
      </c>
      <c r="K6050" s="63">
        <f t="shared" si="3003"/>
        <v>0.42771084337349391</v>
      </c>
      <c r="L6050" s="1212" t="s">
        <v>3810</v>
      </c>
      <c r="M6050" s="468" t="s">
        <v>2214</v>
      </c>
      <c r="N6050" s="1192">
        <f t="shared" si="3004"/>
        <v>45112</v>
      </c>
      <c r="O6050" s="71" t="s">
        <v>3383</v>
      </c>
      <c r="P6050" s="103" t="str">
        <f t="shared" si="3005"/>
        <v>매엽용 세척제(Wash k11)</v>
      </c>
      <c r="Q6050" s="71">
        <f t="shared" si="3006"/>
        <v>20</v>
      </c>
      <c r="R6050" s="102">
        <v>47500</v>
      </c>
      <c r="S6050" s="102">
        <f t="shared" si="3007"/>
        <v>1045000.0000000001</v>
      </c>
      <c r="T6050" s="102">
        <f t="shared" si="3008"/>
        <v>950000</v>
      </c>
      <c r="U6050" s="71" t="s">
        <v>859</v>
      </c>
      <c r="V6050" s="71"/>
      <c r="W6050" s="474">
        <v>136000</v>
      </c>
      <c r="X6050" s="71"/>
      <c r="Y6050" s="71"/>
    </row>
    <row r="6051" spans="1:25" s="209" customFormat="1" ht="30" hidden="1" customHeight="1" x14ac:dyDescent="0.25">
      <c r="A6051" s="1145">
        <v>45119</v>
      </c>
      <c r="B6051" s="664" t="s">
        <v>2353</v>
      </c>
      <c r="C6051" s="71" t="s">
        <v>130</v>
      </c>
      <c r="D6051" s="71">
        <v>10</v>
      </c>
      <c r="E6051" s="102">
        <v>148000</v>
      </c>
      <c r="F6051" s="102">
        <f t="shared" si="3000"/>
        <v>1628000.0000000002</v>
      </c>
      <c r="G6051" s="102">
        <f t="shared" si="3001"/>
        <v>1480000</v>
      </c>
      <c r="H6051" s="690" t="s">
        <v>142</v>
      </c>
      <c r="I6051" s="71" t="s">
        <v>179</v>
      </c>
      <c r="J6051" s="53">
        <f t="shared" si="3002"/>
        <v>360000</v>
      </c>
      <c r="K6051" s="63">
        <f t="shared" si="3003"/>
        <v>0.2432432432432432</v>
      </c>
      <c r="L6051" s="1212" t="s">
        <v>3810</v>
      </c>
      <c r="M6051" s="468" t="s">
        <v>2050</v>
      </c>
      <c r="N6051" s="1192">
        <f t="shared" si="3004"/>
        <v>45119</v>
      </c>
      <c r="O6051" s="71" t="s">
        <v>3383</v>
      </c>
      <c r="P6051" s="103" t="str">
        <f t="shared" si="3005"/>
        <v>XL106 Blanket(1077*885)</v>
      </c>
      <c r="Q6051" s="71">
        <f t="shared" si="3006"/>
        <v>10</v>
      </c>
      <c r="R6051" s="102">
        <v>112000</v>
      </c>
      <c r="S6051" s="102">
        <f t="shared" si="3007"/>
        <v>1232000</v>
      </c>
      <c r="T6051" s="102">
        <f t="shared" si="3008"/>
        <v>1120000</v>
      </c>
      <c r="U6051" s="71" t="s">
        <v>859</v>
      </c>
      <c r="V6051" s="71"/>
      <c r="W6051" s="474">
        <v>260000</v>
      </c>
      <c r="X6051" s="71"/>
      <c r="Y6051" s="71"/>
    </row>
    <row r="6052" spans="1:25" ht="30" hidden="1" customHeight="1" x14ac:dyDescent="0.25">
      <c r="A6052" s="1145">
        <v>45119</v>
      </c>
      <c r="B6052" s="664" t="s">
        <v>2353</v>
      </c>
      <c r="C6052" s="71" t="s">
        <v>129</v>
      </c>
      <c r="D6052" s="71">
        <v>7</v>
      </c>
      <c r="E6052" s="102">
        <v>325000</v>
      </c>
      <c r="F6052" s="102">
        <f t="shared" si="3000"/>
        <v>2502500</v>
      </c>
      <c r="G6052" s="102">
        <f t="shared" si="3001"/>
        <v>2275000</v>
      </c>
      <c r="H6052" s="690" t="s">
        <v>142</v>
      </c>
      <c r="I6052" s="71" t="s">
        <v>179</v>
      </c>
      <c r="J6052" s="53">
        <f t="shared" si="3002"/>
        <v>636440</v>
      </c>
      <c r="K6052" s="63">
        <f t="shared" si="3003"/>
        <v>0.27975384615384613</v>
      </c>
      <c r="L6052" s="1212" t="s">
        <v>3810</v>
      </c>
      <c r="M6052" s="468" t="s">
        <v>2050</v>
      </c>
      <c r="N6052" s="1192">
        <f t="shared" si="3004"/>
        <v>45119</v>
      </c>
      <c r="O6052" s="71" t="s">
        <v>149</v>
      </c>
      <c r="P6052" s="103" t="str">
        <f t="shared" si="3005"/>
        <v>세정포-XL106</v>
      </c>
      <c r="Q6052" s="71">
        <f t="shared" si="3006"/>
        <v>7</v>
      </c>
      <c r="R6052" s="102">
        <v>234080</v>
      </c>
      <c r="S6052" s="102">
        <f t="shared" si="3007"/>
        <v>1802416.0000000002</v>
      </c>
      <c r="T6052" s="102">
        <f t="shared" si="3008"/>
        <v>1638560</v>
      </c>
      <c r="U6052" s="71" t="str">
        <f>IF(J6052=W6052,"O", "X")</f>
        <v>O</v>
      </c>
      <c r="V6052" s="71"/>
      <c r="W6052" s="474">
        <f>(G6052-T6052)</f>
        <v>636440</v>
      </c>
      <c r="X6052" s="71"/>
      <c r="Y6052" s="71"/>
    </row>
    <row r="6053" spans="1:25" s="209" customFormat="1" ht="30" hidden="1" customHeight="1" x14ac:dyDescent="0.25">
      <c r="A6053" s="1145">
        <v>45119</v>
      </c>
      <c r="B6053" s="664" t="s">
        <v>2353</v>
      </c>
      <c r="C6053" s="71" t="s">
        <v>3299</v>
      </c>
      <c r="D6053" s="71">
        <v>10</v>
      </c>
      <c r="E6053" s="102">
        <v>83000</v>
      </c>
      <c r="F6053" s="102">
        <f t="shared" si="3000"/>
        <v>913000.00000000012</v>
      </c>
      <c r="G6053" s="102">
        <f t="shared" si="3001"/>
        <v>830000</v>
      </c>
      <c r="H6053" s="690" t="s">
        <v>142</v>
      </c>
      <c r="I6053" s="71" t="s">
        <v>179</v>
      </c>
      <c r="J6053" s="53">
        <f t="shared" si="3002"/>
        <v>355000</v>
      </c>
      <c r="K6053" s="63">
        <f t="shared" si="3003"/>
        <v>0.42771084337349391</v>
      </c>
      <c r="L6053" s="1212" t="s">
        <v>3810</v>
      </c>
      <c r="M6053" s="468" t="s">
        <v>2214</v>
      </c>
      <c r="N6053" s="1192">
        <f t="shared" si="3004"/>
        <v>45119</v>
      </c>
      <c r="O6053" s="71" t="s">
        <v>3383</v>
      </c>
      <c r="P6053" s="103" t="str">
        <f t="shared" si="3005"/>
        <v>매엽용 세척제(Wash k11)</v>
      </c>
      <c r="Q6053" s="71">
        <f t="shared" si="3006"/>
        <v>10</v>
      </c>
      <c r="R6053" s="102">
        <v>47500</v>
      </c>
      <c r="S6053" s="102">
        <f t="shared" si="3007"/>
        <v>522500.00000000006</v>
      </c>
      <c r="T6053" s="102">
        <f t="shared" si="3008"/>
        <v>475000</v>
      </c>
      <c r="U6053" s="71" t="s">
        <v>859</v>
      </c>
      <c r="V6053" s="71"/>
      <c r="W6053" s="474">
        <v>136000</v>
      </c>
      <c r="X6053" s="71"/>
      <c r="Y6053" s="71"/>
    </row>
    <row r="6054" spans="1:25" ht="30" hidden="1" customHeight="1" x14ac:dyDescent="0.25">
      <c r="A6054" s="1145">
        <v>45121</v>
      </c>
      <c r="B6054" s="664" t="s">
        <v>2579</v>
      </c>
      <c r="C6054" s="71" t="s">
        <v>3738</v>
      </c>
      <c r="D6054" s="71">
        <v>15</v>
      </c>
      <c r="E6054" s="102">
        <v>130000</v>
      </c>
      <c r="F6054" s="102">
        <f t="shared" si="3000"/>
        <v>2145000</v>
      </c>
      <c r="G6054" s="102">
        <f t="shared" si="3001"/>
        <v>1950000</v>
      </c>
      <c r="H6054" s="690" t="s">
        <v>142</v>
      </c>
      <c r="I6054" s="71" t="s">
        <v>142</v>
      </c>
      <c r="J6054" s="53">
        <f t="shared" si="3002"/>
        <v>364500</v>
      </c>
      <c r="K6054" s="63">
        <f t="shared" si="3003"/>
        <v>0.18692307692307691</v>
      </c>
      <c r="L6054" s="1212" t="s">
        <v>3810</v>
      </c>
      <c r="M6054" s="468"/>
      <c r="N6054" s="1192">
        <f t="shared" si="3004"/>
        <v>45121</v>
      </c>
      <c r="O6054" s="71" t="s">
        <v>147</v>
      </c>
      <c r="P6054" s="103" t="str">
        <f t="shared" si="3005"/>
        <v>블랑켓 - 고모리 용 (1040*920)</v>
      </c>
      <c r="Q6054" s="71">
        <f t="shared" si="3006"/>
        <v>15</v>
      </c>
      <c r="R6054" s="102">
        <v>105700</v>
      </c>
      <c r="S6054" s="102">
        <f t="shared" si="3007"/>
        <v>1744050.0000000002</v>
      </c>
      <c r="T6054" s="102">
        <f t="shared" si="3008"/>
        <v>1585500</v>
      </c>
      <c r="U6054" s="71"/>
      <c r="V6054" s="71"/>
      <c r="W6054" s="474"/>
      <c r="X6054" s="71"/>
      <c r="Y6054" s="71"/>
    </row>
    <row r="6055" spans="1:25" ht="30" hidden="1" customHeight="1" x14ac:dyDescent="0.25">
      <c r="A6055" s="1145">
        <v>45121</v>
      </c>
      <c r="B6055" s="664" t="s">
        <v>2353</v>
      </c>
      <c r="C6055" s="71" t="s">
        <v>3728</v>
      </c>
      <c r="D6055" s="71">
        <v>30</v>
      </c>
      <c r="E6055" s="102">
        <v>35000</v>
      </c>
      <c r="F6055" s="102">
        <f t="shared" si="3000"/>
        <v>1155000</v>
      </c>
      <c r="G6055" s="102">
        <f t="shared" si="3001"/>
        <v>1050000</v>
      </c>
      <c r="H6055" s="690" t="s">
        <v>142</v>
      </c>
      <c r="I6055" s="71" t="s">
        <v>142</v>
      </c>
      <c r="J6055" s="53">
        <f t="shared" si="3002"/>
        <v>240000</v>
      </c>
      <c r="K6055" s="63">
        <f t="shared" si="3003"/>
        <v>0.22857142857142856</v>
      </c>
      <c r="L6055" s="1212" t="s">
        <v>3810</v>
      </c>
      <c r="M6055" s="468"/>
      <c r="N6055" s="1192">
        <f t="shared" si="3004"/>
        <v>45121</v>
      </c>
      <c r="O6055" s="71" t="s">
        <v>149</v>
      </c>
      <c r="P6055" s="164" t="str">
        <f t="shared" si="3005"/>
        <v>고모리 자동 세척액</v>
      </c>
      <c r="Q6055" s="71">
        <f t="shared" si="3006"/>
        <v>30</v>
      </c>
      <c r="R6055" s="102">
        <v>27000</v>
      </c>
      <c r="S6055" s="102">
        <f t="shared" si="3007"/>
        <v>891000.00000000012</v>
      </c>
      <c r="T6055" s="102">
        <f t="shared" si="3008"/>
        <v>810000</v>
      </c>
      <c r="U6055" s="71"/>
      <c r="V6055" s="71"/>
      <c r="W6055" s="474"/>
      <c r="X6055" s="71"/>
      <c r="Y6055" s="71"/>
    </row>
    <row r="6056" spans="1:25" ht="30" hidden="1" customHeight="1" x14ac:dyDescent="0.25">
      <c r="A6056" s="1145">
        <v>45121</v>
      </c>
      <c r="B6056" s="664" t="s">
        <v>2353</v>
      </c>
      <c r="C6056" s="71" t="s">
        <v>3727</v>
      </c>
      <c r="D6056" s="71">
        <v>5</v>
      </c>
      <c r="E6056" s="102">
        <v>225000</v>
      </c>
      <c r="F6056" s="102">
        <f t="shared" si="3000"/>
        <v>1237500</v>
      </c>
      <c r="G6056" s="102">
        <f t="shared" si="3001"/>
        <v>1125000</v>
      </c>
      <c r="H6056" s="690" t="s">
        <v>142</v>
      </c>
      <c r="I6056" s="71" t="s">
        <v>142</v>
      </c>
      <c r="J6056" s="53">
        <f t="shared" si="3002"/>
        <v>500000</v>
      </c>
      <c r="K6056" s="63">
        <f t="shared" si="3003"/>
        <v>0.44444444444444442</v>
      </c>
      <c r="L6056" s="1212" t="s">
        <v>3810</v>
      </c>
      <c r="M6056" s="468"/>
      <c r="N6056" s="1192">
        <f t="shared" si="3004"/>
        <v>45121</v>
      </c>
      <c r="O6056" s="71" t="s">
        <v>189</v>
      </c>
      <c r="P6056" s="103" t="str">
        <f t="shared" si="3005"/>
        <v>압통 코팅제 - 퀵 프린트</v>
      </c>
      <c r="Q6056" s="71">
        <f t="shared" si="3006"/>
        <v>5</v>
      </c>
      <c r="R6056" s="102">
        <f>25000*5</f>
        <v>125000</v>
      </c>
      <c r="S6056" s="102">
        <f t="shared" si="3007"/>
        <v>687500</v>
      </c>
      <c r="T6056" s="102">
        <f t="shared" si="3008"/>
        <v>625000</v>
      </c>
      <c r="U6056" s="71"/>
      <c r="V6056" s="71"/>
      <c r="W6056" s="474"/>
      <c r="X6056" s="71"/>
      <c r="Y6056" s="71"/>
    </row>
    <row r="6057" spans="1:25" ht="30" hidden="1" customHeight="1" x14ac:dyDescent="0.25">
      <c r="A6057" s="1145">
        <v>45112</v>
      </c>
      <c r="B6057" s="664" t="s">
        <v>2353</v>
      </c>
      <c r="C6057" s="71" t="s">
        <v>3813</v>
      </c>
      <c r="D6057" s="71">
        <v>1</v>
      </c>
      <c r="E6057" s="102">
        <v>170000</v>
      </c>
      <c r="F6057" s="102">
        <f t="shared" si="3000"/>
        <v>187000.00000000003</v>
      </c>
      <c r="G6057" s="102">
        <f t="shared" si="3001"/>
        <v>170000</v>
      </c>
      <c r="H6057" s="690" t="s">
        <v>142</v>
      </c>
      <c r="I6057" s="71" t="s">
        <v>142</v>
      </c>
      <c r="J6057" s="53">
        <f>G6057-T6057</f>
        <v>30000</v>
      </c>
      <c r="K6057" s="63">
        <f>(J6057/(F6057/11*10))</f>
        <v>0.17647058823529407</v>
      </c>
      <c r="L6057" s="1212" t="s">
        <v>3810</v>
      </c>
      <c r="M6057" s="468"/>
      <c r="N6057" s="1192">
        <f t="shared" si="3004"/>
        <v>45112</v>
      </c>
      <c r="O6057" s="71" t="s">
        <v>150</v>
      </c>
      <c r="P6057" s="103" t="str">
        <f t="shared" si="3005"/>
        <v>약물 도저용 피스톤</v>
      </c>
      <c r="Q6057" s="71">
        <f t="shared" si="3006"/>
        <v>1</v>
      </c>
      <c r="R6057" s="102">
        <v>140000</v>
      </c>
      <c r="S6057" s="102">
        <f>R6057*Q6057*1.1</f>
        <v>154000</v>
      </c>
      <c r="T6057" s="102">
        <f>R6057*Q6057</f>
        <v>140000</v>
      </c>
      <c r="U6057" s="71"/>
      <c r="V6057" s="71"/>
      <c r="W6057" s="474"/>
      <c r="X6057" s="71"/>
      <c r="Y6057" s="71"/>
    </row>
    <row r="6058" spans="1:25" s="209" customFormat="1" ht="30" hidden="1" customHeight="1" x14ac:dyDescent="0.25">
      <c r="A6058" s="1145">
        <v>45113</v>
      </c>
      <c r="B6058" s="664" t="s">
        <v>411</v>
      </c>
      <c r="C6058" s="71" t="s">
        <v>3413</v>
      </c>
      <c r="D6058" s="71">
        <v>10</v>
      </c>
      <c r="E6058" s="102">
        <v>100000</v>
      </c>
      <c r="F6058" s="102">
        <f t="shared" si="3000"/>
        <v>1100000</v>
      </c>
      <c r="G6058" s="102">
        <f t="shared" si="3001"/>
        <v>1000000</v>
      </c>
      <c r="H6058" s="690" t="s">
        <v>2029</v>
      </c>
      <c r="I6058" s="71" t="s">
        <v>3385</v>
      </c>
      <c r="J6058" s="53">
        <f>G6058-T6058</f>
        <v>500000</v>
      </c>
      <c r="K6058" s="63">
        <f>(J6058/(F6058/11*10))</f>
        <v>0.5</v>
      </c>
      <c r="L6058" s="1212" t="s">
        <v>3810</v>
      </c>
      <c r="M6058" s="468"/>
      <c r="N6058" s="1192">
        <f t="shared" si="3004"/>
        <v>45113</v>
      </c>
      <c r="O6058" s="71" t="s">
        <v>190</v>
      </c>
      <c r="P6058" s="103" t="str">
        <f t="shared" si="3005"/>
        <v>아스테이지(국전)</v>
      </c>
      <c r="Q6058" s="71">
        <f t="shared" si="3006"/>
        <v>10</v>
      </c>
      <c r="R6058" s="102">
        <v>50000</v>
      </c>
      <c r="S6058" s="102">
        <f>R6058*Q6058*1.1</f>
        <v>550000</v>
      </c>
      <c r="T6058" s="102">
        <f>R6058*Q6058</f>
        <v>500000</v>
      </c>
      <c r="U6058" s="71" t="str">
        <f>IF(J6058=W6058,"O", "X")</f>
        <v>O</v>
      </c>
      <c r="V6058" s="71"/>
      <c r="W6058" s="474">
        <v>500000</v>
      </c>
      <c r="X6058" s="71"/>
      <c r="Y6058" s="71"/>
    </row>
    <row r="6059" spans="1:25" ht="30" hidden="1" customHeight="1" x14ac:dyDescent="0.25">
      <c r="A6059" s="1145">
        <v>45113</v>
      </c>
      <c r="B6059" s="664" t="s">
        <v>3296</v>
      </c>
      <c r="C6059" s="71" t="s">
        <v>3297</v>
      </c>
      <c r="D6059" s="71">
        <v>20</v>
      </c>
      <c r="E6059" s="102">
        <v>162500</v>
      </c>
      <c r="F6059" s="102">
        <f t="shared" si="3000"/>
        <v>3575000.0000000005</v>
      </c>
      <c r="G6059" s="102">
        <f t="shared" si="3001"/>
        <v>3250000</v>
      </c>
      <c r="H6059" s="690" t="s">
        <v>172</v>
      </c>
      <c r="I6059" s="71" t="s">
        <v>3295</v>
      </c>
      <c r="J6059" s="53">
        <f>G6059-T6059</f>
        <v>850000</v>
      </c>
      <c r="K6059" s="63">
        <f>(J6059/(F6059/11*10))</f>
        <v>0.2615384615384615</v>
      </c>
      <c r="L6059" s="1212" t="s">
        <v>3810</v>
      </c>
      <c r="M6059" s="468"/>
      <c r="N6059" s="1192">
        <f t="shared" si="3004"/>
        <v>45113</v>
      </c>
      <c r="O6059" s="71" t="s">
        <v>662</v>
      </c>
      <c r="P6059" s="103" t="str">
        <f t="shared" si="3005"/>
        <v>실리콘 에멀전</v>
      </c>
      <c r="Q6059" s="71">
        <f t="shared" si="3006"/>
        <v>20</v>
      </c>
      <c r="R6059" s="102">
        <v>120000</v>
      </c>
      <c r="S6059" s="102">
        <f>R6059*Q6059*1.1</f>
        <v>2640000</v>
      </c>
      <c r="T6059" s="102">
        <f>R6059*Q6059</f>
        <v>2400000</v>
      </c>
      <c r="U6059" s="71" t="str">
        <f>IF(J6059=W6059,"O", "X")</f>
        <v>X</v>
      </c>
      <c r="V6059" s="71"/>
      <c r="W6059" s="474"/>
      <c r="X6059" s="71"/>
      <c r="Y6059" s="71"/>
    </row>
    <row r="6060" spans="1:25" ht="30" hidden="1" customHeight="1" x14ac:dyDescent="0.25">
      <c r="A6060" s="1145">
        <v>45128</v>
      </c>
      <c r="B6060" s="664" t="s">
        <v>3296</v>
      </c>
      <c r="C6060" s="71" t="s">
        <v>3297</v>
      </c>
      <c r="D6060" s="71">
        <v>20</v>
      </c>
      <c r="E6060" s="102">
        <v>162500</v>
      </c>
      <c r="F6060" s="102">
        <f t="shared" si="3000"/>
        <v>3575000.0000000005</v>
      </c>
      <c r="G6060" s="102">
        <f t="shared" si="3001"/>
        <v>3250000</v>
      </c>
      <c r="H6060" s="690" t="s">
        <v>172</v>
      </c>
      <c r="I6060" s="71" t="s">
        <v>3295</v>
      </c>
      <c r="J6060" s="53">
        <f>G6060-T6060</f>
        <v>850000</v>
      </c>
      <c r="K6060" s="63">
        <f>(J6060/(F6060/11*10))</f>
        <v>0.2615384615384615</v>
      </c>
      <c r="L6060" s="1212" t="s">
        <v>3810</v>
      </c>
      <c r="M6060" s="468"/>
      <c r="N6060" s="1192">
        <f t="shared" si="3004"/>
        <v>45128</v>
      </c>
      <c r="O6060" s="71" t="s">
        <v>662</v>
      </c>
      <c r="P6060" s="103" t="str">
        <f t="shared" si="3005"/>
        <v>실리콘 에멀전</v>
      </c>
      <c r="Q6060" s="71">
        <f t="shared" si="3006"/>
        <v>20</v>
      </c>
      <c r="R6060" s="102">
        <v>120000</v>
      </c>
      <c r="S6060" s="102">
        <f>R6060*Q6060*1.1</f>
        <v>2640000</v>
      </c>
      <c r="T6060" s="102">
        <f>R6060*Q6060</f>
        <v>2400000</v>
      </c>
      <c r="U6060" s="71" t="str">
        <f>IF(J6060=W6060,"O", "X")</f>
        <v>X</v>
      </c>
      <c r="V6060" s="71"/>
      <c r="W6060" s="474"/>
      <c r="X6060" s="71"/>
      <c r="Y6060" s="71"/>
    </row>
    <row r="6061" spans="1:25" s="209" customFormat="1" ht="30" hidden="1" customHeight="1" x14ac:dyDescent="0.25">
      <c r="A6061" s="1145">
        <v>45114</v>
      </c>
      <c r="B6061" s="664" t="s">
        <v>442</v>
      </c>
      <c r="C6061" s="71" t="s">
        <v>3685</v>
      </c>
      <c r="D6061" s="71">
        <v>1000</v>
      </c>
      <c r="E6061" s="102">
        <v>4250</v>
      </c>
      <c r="F6061" s="102">
        <v>4675000</v>
      </c>
      <c r="G6061" s="102">
        <v>4250000</v>
      </c>
      <c r="H6061" s="690" t="s">
        <v>173</v>
      </c>
      <c r="I6061" s="71" t="s">
        <v>2230</v>
      </c>
      <c r="J6061" s="53">
        <v>367000</v>
      </c>
      <c r="K6061" s="63">
        <v>8.6352941176470591E-2</v>
      </c>
      <c r="L6061" s="1212" t="s">
        <v>3810</v>
      </c>
      <c r="M6061" s="468"/>
      <c r="N6061" s="1192">
        <v>45002</v>
      </c>
      <c r="O6061" s="71" t="s">
        <v>150</v>
      </c>
      <c r="P6061" s="164" t="s">
        <v>3777</v>
      </c>
      <c r="Q6061" s="71">
        <v>1000</v>
      </c>
      <c r="R6061" s="102">
        <v>3945</v>
      </c>
      <c r="S6061" s="102">
        <v>4271300</v>
      </c>
      <c r="T6061" s="102">
        <v>3883000</v>
      </c>
      <c r="U6061" s="71"/>
      <c r="V6061" s="71"/>
      <c r="W6061" s="474"/>
      <c r="X6061" s="71"/>
      <c r="Y6061" s="71"/>
    </row>
    <row r="6062" spans="1:25" ht="30" hidden="1" customHeight="1" x14ac:dyDescent="0.25">
      <c r="A6062" s="1145">
        <v>45114</v>
      </c>
      <c r="B6062" s="664" t="s">
        <v>442</v>
      </c>
      <c r="C6062" s="71" t="s">
        <v>984</v>
      </c>
      <c r="D6062" s="71">
        <v>10</v>
      </c>
      <c r="E6062" s="102">
        <v>57000</v>
      </c>
      <c r="F6062" s="102">
        <v>627000</v>
      </c>
      <c r="G6062" s="102">
        <v>570000</v>
      </c>
      <c r="H6062" s="690" t="s">
        <v>173</v>
      </c>
      <c r="I6062" s="71" t="s">
        <v>2230</v>
      </c>
      <c r="J6062" s="53">
        <v>173400</v>
      </c>
      <c r="K6062" s="63">
        <v>0.30421052631578949</v>
      </c>
      <c r="L6062" s="1212" t="s">
        <v>3810</v>
      </c>
      <c r="M6062" s="468"/>
      <c r="N6062" s="1192">
        <v>45002</v>
      </c>
      <c r="O6062" s="71" t="s">
        <v>150</v>
      </c>
      <c r="P6062" s="103" t="s">
        <v>1026</v>
      </c>
      <c r="Q6062" s="71">
        <v>10</v>
      </c>
      <c r="R6062" s="102">
        <v>39660</v>
      </c>
      <c r="S6062" s="102">
        <v>436260.00000000006</v>
      </c>
      <c r="T6062" s="102">
        <v>396600</v>
      </c>
      <c r="U6062" s="71"/>
      <c r="V6062" s="71"/>
      <c r="W6062" s="474"/>
      <c r="X6062" s="71"/>
      <c r="Y6062" s="71"/>
    </row>
    <row r="6063" spans="1:25" ht="30" hidden="1" customHeight="1" x14ac:dyDescent="0.25">
      <c r="A6063" s="1145">
        <v>45114</v>
      </c>
      <c r="B6063" s="664" t="s">
        <v>2</v>
      </c>
      <c r="C6063" s="71" t="s">
        <v>2075</v>
      </c>
      <c r="D6063" s="71">
        <v>1</v>
      </c>
      <c r="E6063" s="102">
        <v>98000</v>
      </c>
      <c r="F6063" s="102">
        <f>(E6063*D6063)*1.1</f>
        <v>107800.00000000001</v>
      </c>
      <c r="G6063" s="102">
        <f>(E6063*D6063)</f>
        <v>98000</v>
      </c>
      <c r="H6063" s="690" t="s">
        <v>173</v>
      </c>
      <c r="I6063" s="71" t="s">
        <v>2273</v>
      </c>
      <c r="J6063" s="53">
        <f>G6063-T6063</f>
        <v>6000</v>
      </c>
      <c r="K6063" s="63">
        <f>(J6063/(F6063/11*10))</f>
        <v>6.1224489795918359E-2</v>
      </c>
      <c r="L6063" s="1212" t="s">
        <v>3810</v>
      </c>
      <c r="M6063" s="468"/>
      <c r="N6063" s="1192">
        <f>A6063</f>
        <v>45114</v>
      </c>
      <c r="O6063" s="71" t="s">
        <v>150</v>
      </c>
      <c r="P6063" s="103" t="str">
        <f>C6063</f>
        <v>CTP 고무액</v>
      </c>
      <c r="Q6063" s="71">
        <f>D6063</f>
        <v>1</v>
      </c>
      <c r="R6063" s="102">
        <v>92000</v>
      </c>
      <c r="S6063" s="102">
        <f>R6063*Q6063*1.1</f>
        <v>101200.00000000001</v>
      </c>
      <c r="T6063" s="102">
        <f>R6063*Q6063</f>
        <v>92000</v>
      </c>
      <c r="U6063" s="71" t="str">
        <f>IF(J6063=W6063,"O", "X")</f>
        <v>X</v>
      </c>
      <c r="V6063" s="71"/>
      <c r="W6063" s="474"/>
      <c r="X6063" s="71"/>
      <c r="Y6063" s="71"/>
    </row>
    <row r="6064" spans="1:25" ht="30" hidden="1" customHeight="1" x14ac:dyDescent="0.25">
      <c r="A6064" s="1145">
        <v>45114</v>
      </c>
      <c r="B6064" s="664" t="s">
        <v>442</v>
      </c>
      <c r="C6064" s="71" t="s">
        <v>206</v>
      </c>
      <c r="D6064" s="71">
        <v>2</v>
      </c>
      <c r="E6064" s="102">
        <v>453000</v>
      </c>
      <c r="F6064" s="102">
        <v>996600.00000000012</v>
      </c>
      <c r="G6064" s="102">
        <v>906000</v>
      </c>
      <c r="H6064" s="690" t="s">
        <v>2029</v>
      </c>
      <c r="I6064" s="71" t="s">
        <v>195</v>
      </c>
      <c r="J6064" s="53">
        <v>144640</v>
      </c>
      <c r="K6064" s="63">
        <v>0.15964679911699778</v>
      </c>
      <c r="L6064" s="1212" t="s">
        <v>3810</v>
      </c>
      <c r="M6064" s="468"/>
      <c r="N6064" s="1192">
        <v>45028</v>
      </c>
      <c r="O6064" s="71" t="s">
        <v>194</v>
      </c>
      <c r="P6064" s="103" t="s">
        <v>3778</v>
      </c>
      <c r="Q6064" s="71">
        <v>2</v>
      </c>
      <c r="R6064" s="102">
        <v>380680</v>
      </c>
      <c r="S6064" s="102">
        <v>837496.00000000012</v>
      </c>
      <c r="T6064" s="102">
        <v>761360</v>
      </c>
      <c r="U6064" s="71" t="s">
        <v>859</v>
      </c>
      <c r="V6064" s="71"/>
      <c r="W6064" s="474">
        <v>144640</v>
      </c>
      <c r="X6064" s="71"/>
      <c r="Y6064" s="71"/>
    </row>
    <row r="6065" spans="1:25" ht="30" hidden="1" customHeight="1" x14ac:dyDescent="0.25">
      <c r="A6065" s="1145">
        <v>45114</v>
      </c>
      <c r="B6065" s="664" t="s">
        <v>442</v>
      </c>
      <c r="C6065" s="71" t="s">
        <v>207</v>
      </c>
      <c r="D6065" s="71">
        <v>2</v>
      </c>
      <c r="E6065" s="102">
        <v>558000</v>
      </c>
      <c r="F6065" s="102">
        <v>1227600</v>
      </c>
      <c r="G6065" s="102">
        <v>1116000</v>
      </c>
      <c r="H6065" s="690" t="s">
        <v>2029</v>
      </c>
      <c r="I6065" s="71" t="s">
        <v>195</v>
      </c>
      <c r="J6065" s="53">
        <v>228480</v>
      </c>
      <c r="K6065" s="63">
        <v>0.20473118279569893</v>
      </c>
      <c r="L6065" s="1212" t="s">
        <v>3810</v>
      </c>
      <c r="M6065" s="468"/>
      <c r="N6065" s="1192">
        <v>45028</v>
      </c>
      <c r="O6065" s="71" t="s">
        <v>194</v>
      </c>
      <c r="P6065" s="103" t="s">
        <v>3779</v>
      </c>
      <c r="Q6065" s="71">
        <v>2</v>
      </c>
      <c r="R6065" s="102">
        <v>443760</v>
      </c>
      <c r="S6065" s="102">
        <v>976272.00000000012</v>
      </c>
      <c r="T6065" s="102">
        <v>887520</v>
      </c>
      <c r="U6065" s="71" t="s">
        <v>859</v>
      </c>
      <c r="V6065" s="71"/>
      <c r="W6065" s="474">
        <v>228480</v>
      </c>
      <c r="X6065" s="71"/>
      <c r="Y6065" s="71"/>
    </row>
    <row r="6066" spans="1:25" ht="30" hidden="1" customHeight="1" x14ac:dyDescent="0.25">
      <c r="A6066" s="1145">
        <v>45114</v>
      </c>
      <c r="B6066" s="664" t="s">
        <v>442</v>
      </c>
      <c r="C6066" s="71" t="s">
        <v>208</v>
      </c>
      <c r="D6066" s="71">
        <v>2</v>
      </c>
      <c r="E6066" s="102">
        <v>624000</v>
      </c>
      <c r="F6066" s="102">
        <v>1372800</v>
      </c>
      <c r="G6066" s="102">
        <v>1248000</v>
      </c>
      <c r="H6066" s="690" t="s">
        <v>2029</v>
      </c>
      <c r="I6066" s="71" t="s">
        <v>195</v>
      </c>
      <c r="J6066" s="53">
        <v>201820</v>
      </c>
      <c r="K6066" s="63">
        <v>0.16171474358974358</v>
      </c>
      <c r="L6066" s="1212" t="s">
        <v>3810</v>
      </c>
      <c r="M6066" s="468"/>
      <c r="N6066" s="1192">
        <v>45028</v>
      </c>
      <c r="O6066" s="71" t="s">
        <v>194</v>
      </c>
      <c r="P6066" s="103" t="s">
        <v>3780</v>
      </c>
      <c r="Q6066" s="71">
        <v>2</v>
      </c>
      <c r="R6066" s="102">
        <v>523090</v>
      </c>
      <c r="S6066" s="102">
        <v>1150798</v>
      </c>
      <c r="T6066" s="102">
        <v>1046180</v>
      </c>
      <c r="U6066" s="71" t="s">
        <v>859</v>
      </c>
      <c r="V6066" s="71"/>
      <c r="W6066" s="474">
        <v>201820</v>
      </c>
      <c r="X6066" s="71"/>
      <c r="Y6066" s="71"/>
    </row>
    <row r="6067" spans="1:25" ht="30" hidden="1" customHeight="1" x14ac:dyDescent="0.2">
      <c r="A6067" s="1145">
        <v>45114</v>
      </c>
      <c r="B6067" s="664" t="s">
        <v>442</v>
      </c>
      <c r="C6067" s="71" t="s">
        <v>648</v>
      </c>
      <c r="D6067" s="71">
        <v>1</v>
      </c>
      <c r="E6067" s="102">
        <v>93000</v>
      </c>
      <c r="F6067" s="102">
        <v>102300.00000000001</v>
      </c>
      <c r="G6067" s="102">
        <v>93000</v>
      </c>
      <c r="H6067" s="165" t="s">
        <v>172</v>
      </c>
      <c r="I6067" s="71" t="s">
        <v>195</v>
      </c>
      <c r="J6067" s="53">
        <v>27000</v>
      </c>
      <c r="K6067" s="63">
        <v>0.29032258064516125</v>
      </c>
      <c r="L6067" s="1212" t="s">
        <v>3810</v>
      </c>
      <c r="M6067" s="468"/>
      <c r="N6067" s="1192">
        <v>45028</v>
      </c>
      <c r="O6067" s="71" t="s">
        <v>194</v>
      </c>
      <c r="P6067" s="103" t="s">
        <v>3781</v>
      </c>
      <c r="Q6067" s="71">
        <v>1</v>
      </c>
      <c r="R6067" s="102">
        <v>66000</v>
      </c>
      <c r="S6067" s="102">
        <v>72600</v>
      </c>
      <c r="T6067" s="102">
        <v>66000</v>
      </c>
      <c r="U6067" s="71" t="s">
        <v>859</v>
      </c>
      <c r="V6067" s="71"/>
      <c r="W6067" s="474">
        <v>27000</v>
      </c>
      <c r="X6067" s="71"/>
      <c r="Y6067" s="71"/>
    </row>
    <row r="6068" spans="1:25" ht="30" hidden="1" customHeight="1" x14ac:dyDescent="0.25">
      <c r="A6068" s="1145">
        <v>45117</v>
      </c>
      <c r="B6068" s="664" t="s">
        <v>442</v>
      </c>
      <c r="C6068" s="71" t="s">
        <v>3299</v>
      </c>
      <c r="D6068" s="71">
        <v>15</v>
      </c>
      <c r="E6068" s="102">
        <v>69000</v>
      </c>
      <c r="F6068" s="102">
        <f t="shared" ref="F6068:F6073" si="3009">(E6068*D6068)*1.1</f>
        <v>1138500</v>
      </c>
      <c r="G6068" s="102">
        <f t="shared" ref="G6068:G6073" si="3010">(E6068*D6068)</f>
        <v>1035000</v>
      </c>
      <c r="H6068" s="690" t="s">
        <v>172</v>
      </c>
      <c r="I6068" s="71" t="s">
        <v>180</v>
      </c>
      <c r="J6068" s="53">
        <f t="shared" ref="J6068:J6073" si="3011">G6068-T6068</f>
        <v>322500</v>
      </c>
      <c r="K6068" s="63">
        <f t="shared" ref="K6068:K6073" si="3012">(J6068/(F6068/11*10))</f>
        <v>0.31159420289855072</v>
      </c>
      <c r="L6068" s="1212" t="s">
        <v>3810</v>
      </c>
      <c r="M6068" s="468" t="s">
        <v>3304</v>
      </c>
      <c r="N6068" s="1192">
        <f t="shared" ref="N6068:N6073" si="3013">A6068</f>
        <v>45117</v>
      </c>
      <c r="O6068" s="71" t="s">
        <v>175</v>
      </c>
      <c r="P6068" s="164" t="str">
        <f t="shared" ref="P6068:P6073" si="3014">(C6068)</f>
        <v>매엽용 세척제(Wash k11)</v>
      </c>
      <c r="Q6068" s="71">
        <f t="shared" ref="Q6068:Q6073" si="3015">D6068</f>
        <v>15</v>
      </c>
      <c r="R6068" s="102">
        <v>47500</v>
      </c>
      <c r="S6068" s="102">
        <f t="shared" ref="S6068:S6073" si="3016">R6068*Q6068*1.1</f>
        <v>783750.00000000012</v>
      </c>
      <c r="T6068" s="102">
        <f t="shared" ref="T6068:T6073" si="3017">R6068*Q6068</f>
        <v>712500</v>
      </c>
      <c r="U6068" s="71" t="s">
        <v>859</v>
      </c>
      <c r="V6068" s="71"/>
      <c r="W6068" s="474"/>
      <c r="X6068" s="71"/>
      <c r="Y6068" s="71"/>
    </row>
    <row r="6069" spans="1:25" ht="30" hidden="1" customHeight="1" x14ac:dyDescent="0.25">
      <c r="A6069" s="1145">
        <v>45085</v>
      </c>
      <c r="B6069" s="664" t="s">
        <v>442</v>
      </c>
      <c r="C6069" s="71" t="s">
        <v>3433</v>
      </c>
      <c r="D6069" s="71">
        <v>6</v>
      </c>
      <c r="E6069" s="102">
        <v>115000</v>
      </c>
      <c r="F6069" s="102">
        <f t="shared" si="3009"/>
        <v>759000.00000000012</v>
      </c>
      <c r="G6069" s="102">
        <f t="shared" si="3010"/>
        <v>690000</v>
      </c>
      <c r="H6069" s="690" t="s">
        <v>2029</v>
      </c>
      <c r="I6069" s="71" t="s">
        <v>3385</v>
      </c>
      <c r="J6069" s="53">
        <f t="shared" si="3011"/>
        <v>169200</v>
      </c>
      <c r="K6069" s="63">
        <f t="shared" si="3012"/>
        <v>0.24521739130434778</v>
      </c>
      <c r="L6069" s="1212" t="s">
        <v>3810</v>
      </c>
      <c r="M6069" s="468"/>
      <c r="N6069" s="1192">
        <f t="shared" si="3013"/>
        <v>45085</v>
      </c>
      <c r="O6069" s="71" t="s">
        <v>147</v>
      </c>
      <c r="P6069" s="164" t="str">
        <f t="shared" si="3014"/>
        <v>블랑켓-하이델베르그 국전용</v>
      </c>
      <c r="Q6069" s="71">
        <f t="shared" si="3015"/>
        <v>6</v>
      </c>
      <c r="R6069" s="102">
        <v>86800</v>
      </c>
      <c r="S6069" s="102">
        <f t="shared" si="3016"/>
        <v>572880</v>
      </c>
      <c r="T6069" s="102">
        <f t="shared" si="3017"/>
        <v>520800</v>
      </c>
      <c r="U6069" s="71"/>
      <c r="V6069" s="71"/>
      <c r="W6069" s="474"/>
      <c r="X6069" s="71"/>
      <c r="Y6069" s="71"/>
    </row>
    <row r="6070" spans="1:25" ht="30" hidden="1" customHeight="1" x14ac:dyDescent="0.25">
      <c r="A6070" s="1145">
        <v>45085</v>
      </c>
      <c r="B6070" s="664" t="s">
        <v>442</v>
      </c>
      <c r="C6070" s="71" t="s">
        <v>3433</v>
      </c>
      <c r="D6070" s="71">
        <v>1</v>
      </c>
      <c r="E6070" s="102">
        <v>0</v>
      </c>
      <c r="F6070" s="102">
        <f t="shared" si="3009"/>
        <v>0</v>
      </c>
      <c r="G6070" s="102">
        <f t="shared" si="3010"/>
        <v>0</v>
      </c>
      <c r="H6070" s="690" t="s">
        <v>2029</v>
      </c>
      <c r="I6070" s="71" t="s">
        <v>3385</v>
      </c>
      <c r="J6070" s="53">
        <f t="shared" si="3011"/>
        <v>-86800</v>
      </c>
      <c r="K6070" s="63" t="e">
        <f t="shared" si="3012"/>
        <v>#DIV/0!</v>
      </c>
      <c r="L6070" s="1212" t="s">
        <v>3810</v>
      </c>
      <c r="M6070" s="468" t="s">
        <v>3814</v>
      </c>
      <c r="N6070" s="1192">
        <f t="shared" si="3013"/>
        <v>45085</v>
      </c>
      <c r="O6070" s="71" t="s">
        <v>147</v>
      </c>
      <c r="P6070" s="164" t="str">
        <f t="shared" si="3014"/>
        <v>블랑켓-하이델베르그 국전용</v>
      </c>
      <c r="Q6070" s="71">
        <f t="shared" si="3015"/>
        <v>1</v>
      </c>
      <c r="R6070" s="102">
        <v>86800</v>
      </c>
      <c r="S6070" s="102">
        <f t="shared" si="3016"/>
        <v>95480.000000000015</v>
      </c>
      <c r="T6070" s="102">
        <f t="shared" si="3017"/>
        <v>86800</v>
      </c>
      <c r="U6070" s="71"/>
      <c r="V6070" s="71"/>
      <c r="W6070" s="474"/>
      <c r="X6070" s="71"/>
      <c r="Y6070" s="71"/>
    </row>
    <row r="6071" spans="1:25" ht="30" hidden="1" customHeight="1" x14ac:dyDescent="0.25">
      <c r="A6071" s="1145">
        <v>45111</v>
      </c>
      <c r="B6071" s="664" t="s">
        <v>2261</v>
      </c>
      <c r="C6071" s="760" t="s">
        <v>181</v>
      </c>
      <c r="D6071" s="71">
        <v>5</v>
      </c>
      <c r="E6071" s="102">
        <v>193000</v>
      </c>
      <c r="F6071" s="102">
        <f t="shared" si="3009"/>
        <v>1061500</v>
      </c>
      <c r="G6071" s="102">
        <f t="shared" si="3010"/>
        <v>965000</v>
      </c>
      <c r="H6071" s="690" t="s">
        <v>2029</v>
      </c>
      <c r="I6071" s="71" t="s">
        <v>182</v>
      </c>
      <c r="J6071" s="53">
        <f t="shared" si="3011"/>
        <v>345000</v>
      </c>
      <c r="K6071" s="63">
        <f t="shared" si="3012"/>
        <v>0.35751295336787564</v>
      </c>
      <c r="L6071" s="1212" t="s">
        <v>3810</v>
      </c>
      <c r="M6071" s="468"/>
      <c r="N6071" s="1192">
        <f t="shared" si="3013"/>
        <v>45111</v>
      </c>
      <c r="O6071" s="71" t="s">
        <v>2030</v>
      </c>
      <c r="P6071" s="103" t="str">
        <f t="shared" si="3014"/>
        <v>Fount Web 551AF</v>
      </c>
      <c r="Q6071" s="71">
        <f t="shared" si="3015"/>
        <v>5</v>
      </c>
      <c r="R6071" s="102">
        <v>124000</v>
      </c>
      <c r="S6071" s="102">
        <f t="shared" si="3016"/>
        <v>682000</v>
      </c>
      <c r="T6071" s="102">
        <f t="shared" si="3017"/>
        <v>620000</v>
      </c>
      <c r="U6071" s="71" t="str">
        <f>IF(J6071=W6071,"O", "X")</f>
        <v>X</v>
      </c>
      <c r="V6071" s="71"/>
      <c r="W6071" s="474">
        <v>640000</v>
      </c>
      <c r="X6071" s="71"/>
      <c r="Y6071" s="71"/>
    </row>
    <row r="6072" spans="1:25" ht="30" hidden="1" customHeight="1" x14ac:dyDescent="0.25">
      <c r="A6072" s="1145">
        <v>45111</v>
      </c>
      <c r="B6072" s="664" t="s">
        <v>2261</v>
      </c>
      <c r="C6072" s="71" t="s">
        <v>277</v>
      </c>
      <c r="D6072" s="71">
        <v>10</v>
      </c>
      <c r="E6072" s="102">
        <v>172000</v>
      </c>
      <c r="F6072" s="102">
        <f t="shared" si="3009"/>
        <v>1892000.0000000002</v>
      </c>
      <c r="G6072" s="102">
        <f t="shared" si="3010"/>
        <v>1720000</v>
      </c>
      <c r="H6072" s="690" t="s">
        <v>172</v>
      </c>
      <c r="I6072" s="71" t="s">
        <v>108</v>
      </c>
      <c r="J6072" s="53">
        <f t="shared" si="3011"/>
        <v>390000</v>
      </c>
      <c r="K6072" s="63">
        <f t="shared" si="3012"/>
        <v>0.22674418604651159</v>
      </c>
      <c r="L6072" s="1212" t="s">
        <v>3810</v>
      </c>
      <c r="M6072" s="468"/>
      <c r="N6072" s="1192">
        <f t="shared" si="3013"/>
        <v>45111</v>
      </c>
      <c r="O6072" s="71" t="s">
        <v>662</v>
      </c>
      <c r="P6072" s="103" t="str">
        <f t="shared" si="3014"/>
        <v>윤전용 세척제(Web 504)</v>
      </c>
      <c r="Q6072" s="71">
        <f t="shared" si="3015"/>
        <v>10</v>
      </c>
      <c r="R6072" s="102">
        <v>133000</v>
      </c>
      <c r="S6072" s="102">
        <f t="shared" si="3016"/>
        <v>1463000.0000000002</v>
      </c>
      <c r="T6072" s="102">
        <f t="shared" si="3017"/>
        <v>1330000</v>
      </c>
      <c r="U6072" s="71" t="str">
        <f>IF(J6072=W6072,"O", "X")</f>
        <v>X</v>
      </c>
      <c r="V6072" s="71"/>
      <c r="W6072" s="474"/>
      <c r="X6072" s="71"/>
      <c r="Y6072" s="71"/>
    </row>
    <row r="6073" spans="1:25" ht="30" hidden="1" customHeight="1" x14ac:dyDescent="0.25">
      <c r="A6073" s="1145">
        <v>45111</v>
      </c>
      <c r="B6073" s="664" t="s">
        <v>2261</v>
      </c>
      <c r="C6073" s="71" t="s">
        <v>3299</v>
      </c>
      <c r="D6073" s="71">
        <v>10</v>
      </c>
      <c r="E6073" s="102">
        <v>52000</v>
      </c>
      <c r="F6073" s="102">
        <f t="shared" si="3009"/>
        <v>572000</v>
      </c>
      <c r="G6073" s="102">
        <f t="shared" si="3010"/>
        <v>520000</v>
      </c>
      <c r="H6073" s="690" t="s">
        <v>172</v>
      </c>
      <c r="I6073" s="71" t="s">
        <v>180</v>
      </c>
      <c r="J6073" s="53">
        <f t="shared" si="3011"/>
        <v>45000</v>
      </c>
      <c r="K6073" s="63">
        <f t="shared" si="3012"/>
        <v>8.6538461538461536E-2</v>
      </c>
      <c r="L6073" s="1212" t="s">
        <v>3810</v>
      </c>
      <c r="M6073" s="468" t="s">
        <v>3684</v>
      </c>
      <c r="N6073" s="1192">
        <f t="shared" si="3013"/>
        <v>45111</v>
      </c>
      <c r="O6073" s="71" t="s">
        <v>175</v>
      </c>
      <c r="P6073" s="103" t="str">
        <f t="shared" si="3014"/>
        <v>매엽용 세척제(Wash k11)</v>
      </c>
      <c r="Q6073" s="71">
        <f t="shared" si="3015"/>
        <v>10</v>
      </c>
      <c r="R6073" s="102">
        <v>47500</v>
      </c>
      <c r="S6073" s="102">
        <f t="shared" si="3016"/>
        <v>522500.00000000006</v>
      </c>
      <c r="T6073" s="102">
        <f t="shared" si="3017"/>
        <v>475000</v>
      </c>
      <c r="U6073" s="71" t="s">
        <v>859</v>
      </c>
      <c r="V6073" s="71"/>
      <c r="W6073" s="474"/>
      <c r="X6073" s="71"/>
      <c r="Y6073" s="71"/>
    </row>
    <row r="6074" spans="1:25" ht="30" hidden="1" customHeight="1" x14ac:dyDescent="0.25">
      <c r="A6074" s="1145">
        <v>45119</v>
      </c>
      <c r="B6074" s="664" t="s">
        <v>2261</v>
      </c>
      <c r="C6074" s="760" t="s">
        <v>181</v>
      </c>
      <c r="D6074" s="71">
        <v>10</v>
      </c>
      <c r="E6074" s="102">
        <v>193000</v>
      </c>
      <c r="F6074" s="102">
        <f t="shared" ref="F6074:F6083" si="3018">(E6074*D6074)*1.1</f>
        <v>2123000</v>
      </c>
      <c r="G6074" s="102">
        <f t="shared" ref="G6074:G6083" si="3019">(E6074*D6074)</f>
        <v>1930000</v>
      </c>
      <c r="H6074" s="690" t="s">
        <v>2029</v>
      </c>
      <c r="I6074" s="71" t="s">
        <v>182</v>
      </c>
      <c r="J6074" s="53">
        <f t="shared" ref="J6074:J6087" si="3020">G6074-T6074</f>
        <v>690000</v>
      </c>
      <c r="K6074" s="63">
        <f t="shared" ref="K6074:K6079" si="3021">(J6074/(F6074/11*10))</f>
        <v>0.35751295336787564</v>
      </c>
      <c r="L6074" s="1212" t="s">
        <v>3810</v>
      </c>
      <c r="M6074" s="468"/>
      <c r="N6074" s="1192">
        <f>A6074</f>
        <v>45119</v>
      </c>
      <c r="O6074" s="71" t="s">
        <v>2030</v>
      </c>
      <c r="P6074" s="103" t="str">
        <f t="shared" ref="P6074:P6083" si="3022">(C6074)</f>
        <v>Fount Web 551AF</v>
      </c>
      <c r="Q6074" s="71">
        <f t="shared" ref="Q6074:Q6083" si="3023">D6074</f>
        <v>10</v>
      </c>
      <c r="R6074" s="102">
        <v>124000</v>
      </c>
      <c r="S6074" s="102">
        <f t="shared" ref="S6074:S6087" si="3024">R6074*Q6074*1.1</f>
        <v>1364000</v>
      </c>
      <c r="T6074" s="102">
        <f t="shared" ref="T6074:T6087" si="3025">R6074*Q6074</f>
        <v>1240000</v>
      </c>
      <c r="U6074" s="71" t="str">
        <f>IF(J6074=W6074,"O", "X")</f>
        <v>X</v>
      </c>
      <c r="V6074" s="71"/>
      <c r="W6074" s="474">
        <v>640000</v>
      </c>
      <c r="X6074" s="71"/>
      <c r="Y6074" s="71"/>
    </row>
    <row r="6075" spans="1:25" ht="30" hidden="1" customHeight="1" x14ac:dyDescent="0.25">
      <c r="A6075" s="1145">
        <v>45119</v>
      </c>
      <c r="B6075" s="664" t="s">
        <v>2261</v>
      </c>
      <c r="C6075" s="71" t="s">
        <v>3299</v>
      </c>
      <c r="D6075" s="71">
        <v>5</v>
      </c>
      <c r="E6075" s="102">
        <v>52000</v>
      </c>
      <c r="F6075" s="102">
        <f t="shared" si="3018"/>
        <v>286000</v>
      </c>
      <c r="G6075" s="102">
        <f t="shared" si="3019"/>
        <v>260000</v>
      </c>
      <c r="H6075" s="690" t="s">
        <v>172</v>
      </c>
      <c r="I6075" s="71" t="s">
        <v>180</v>
      </c>
      <c r="J6075" s="53">
        <f t="shared" si="3020"/>
        <v>22500</v>
      </c>
      <c r="K6075" s="63">
        <f t="shared" si="3021"/>
        <v>8.6538461538461536E-2</v>
      </c>
      <c r="L6075" s="1212" t="s">
        <v>3810</v>
      </c>
      <c r="M6075" s="468" t="s">
        <v>3684</v>
      </c>
      <c r="N6075" s="1192">
        <f>A6075</f>
        <v>45119</v>
      </c>
      <c r="O6075" s="71" t="s">
        <v>175</v>
      </c>
      <c r="P6075" s="103" t="str">
        <f t="shared" si="3022"/>
        <v>매엽용 세척제(Wash k11)</v>
      </c>
      <c r="Q6075" s="71">
        <f t="shared" si="3023"/>
        <v>5</v>
      </c>
      <c r="R6075" s="102">
        <v>47500</v>
      </c>
      <c r="S6075" s="102">
        <f t="shared" si="3024"/>
        <v>261250.00000000003</v>
      </c>
      <c r="T6075" s="102">
        <f t="shared" si="3025"/>
        <v>237500</v>
      </c>
      <c r="U6075" s="71" t="s">
        <v>859</v>
      </c>
      <c r="V6075" s="71"/>
      <c r="W6075" s="474"/>
      <c r="X6075" s="71"/>
      <c r="Y6075" s="71"/>
    </row>
    <row r="6076" spans="1:25" ht="30" hidden="1" customHeight="1" x14ac:dyDescent="0.25">
      <c r="A6076" s="1145">
        <v>45119</v>
      </c>
      <c r="B6076" s="664" t="s">
        <v>3289</v>
      </c>
      <c r="C6076" s="71" t="s">
        <v>2070</v>
      </c>
      <c r="D6076" s="71">
        <v>10</v>
      </c>
      <c r="E6076" s="102">
        <v>110000</v>
      </c>
      <c r="F6076" s="102">
        <f t="shared" si="3018"/>
        <v>1210000</v>
      </c>
      <c r="G6076" s="102">
        <f t="shared" si="3019"/>
        <v>1100000</v>
      </c>
      <c r="H6076" s="690" t="s">
        <v>172</v>
      </c>
      <c r="I6076" s="71" t="s">
        <v>33</v>
      </c>
      <c r="J6076" s="53">
        <f t="shared" si="3020"/>
        <v>118000</v>
      </c>
      <c r="K6076" s="63">
        <f t="shared" si="3021"/>
        <v>0.10727272727272727</v>
      </c>
      <c r="L6076" s="1212" t="s">
        <v>3810</v>
      </c>
      <c r="M6076" s="468"/>
      <c r="N6076" s="1192">
        <f>A6076</f>
        <v>45119</v>
      </c>
      <c r="O6076" s="71" t="s">
        <v>146</v>
      </c>
      <c r="P6076" s="103" t="str">
        <f t="shared" si="3022"/>
        <v>Blanket(1050*840)</v>
      </c>
      <c r="Q6076" s="71">
        <f t="shared" si="3023"/>
        <v>10</v>
      </c>
      <c r="R6076" s="102">
        <v>98200</v>
      </c>
      <c r="S6076" s="102">
        <f t="shared" si="3024"/>
        <v>1080200</v>
      </c>
      <c r="T6076" s="102">
        <f t="shared" si="3025"/>
        <v>982000</v>
      </c>
      <c r="U6076" s="71" t="str">
        <f>IF(J6076=W6076,"O", "X")</f>
        <v>X</v>
      </c>
      <c r="V6076" s="71"/>
      <c r="W6076" s="474">
        <v>275000</v>
      </c>
      <c r="X6076" s="71"/>
      <c r="Y6076" s="71"/>
    </row>
    <row r="6077" spans="1:25" s="209" customFormat="1" ht="31.5" hidden="1" customHeight="1" x14ac:dyDescent="0.2">
      <c r="A6077" s="1145">
        <v>45124</v>
      </c>
      <c r="B6077" s="664" t="s">
        <v>3289</v>
      </c>
      <c r="C6077" s="71" t="s">
        <v>3387</v>
      </c>
      <c r="D6077" s="71">
        <v>10</v>
      </c>
      <c r="E6077" s="102">
        <v>130000</v>
      </c>
      <c r="F6077" s="102">
        <f t="shared" si="3018"/>
        <v>1430000</v>
      </c>
      <c r="G6077" s="102">
        <f t="shared" si="3019"/>
        <v>1300000</v>
      </c>
      <c r="H6077" s="165" t="s">
        <v>172</v>
      </c>
      <c r="I6077" s="71" t="s">
        <v>184</v>
      </c>
      <c r="J6077" s="53">
        <f t="shared" si="3020"/>
        <v>180000</v>
      </c>
      <c r="K6077" s="63">
        <f t="shared" si="3021"/>
        <v>0.13846153846153847</v>
      </c>
      <c r="L6077" s="1212" t="s">
        <v>3810</v>
      </c>
      <c r="M6077" s="468" t="s">
        <v>3684</v>
      </c>
      <c r="N6077" s="1192">
        <f>A6077</f>
        <v>45124</v>
      </c>
      <c r="O6077" s="71" t="s">
        <v>189</v>
      </c>
      <c r="P6077" s="103" t="str">
        <f t="shared" si="3022"/>
        <v>Blanket(990*725)</v>
      </c>
      <c r="Q6077" s="71">
        <f t="shared" si="3023"/>
        <v>10</v>
      </c>
      <c r="R6077" s="102">
        <v>112000</v>
      </c>
      <c r="S6077" s="102">
        <f t="shared" si="3024"/>
        <v>1232000</v>
      </c>
      <c r="T6077" s="102">
        <f t="shared" si="3025"/>
        <v>1120000</v>
      </c>
      <c r="U6077" s="71" t="str">
        <f>IF(J6077=W6077,"O", "X")</f>
        <v>X</v>
      </c>
      <c r="V6077" s="71"/>
      <c r="W6077" s="474">
        <v>80000</v>
      </c>
      <c r="X6077" s="71"/>
      <c r="Y6077" s="71"/>
    </row>
    <row r="6078" spans="1:25" ht="30" hidden="1" customHeight="1" x14ac:dyDescent="0.25">
      <c r="A6078" s="1145">
        <v>45128</v>
      </c>
      <c r="B6078" s="664" t="s">
        <v>2261</v>
      </c>
      <c r="C6078" s="71" t="s">
        <v>277</v>
      </c>
      <c r="D6078" s="71">
        <v>10</v>
      </c>
      <c r="E6078" s="102">
        <v>172000</v>
      </c>
      <c r="F6078" s="102">
        <f t="shared" si="3018"/>
        <v>1892000.0000000002</v>
      </c>
      <c r="G6078" s="102">
        <f t="shared" si="3019"/>
        <v>1720000</v>
      </c>
      <c r="H6078" s="690" t="s">
        <v>172</v>
      </c>
      <c r="I6078" s="71" t="s">
        <v>108</v>
      </c>
      <c r="J6078" s="53">
        <f t="shared" si="3020"/>
        <v>390000</v>
      </c>
      <c r="K6078" s="63">
        <f t="shared" si="3021"/>
        <v>0.22674418604651159</v>
      </c>
      <c r="L6078" s="1212" t="s">
        <v>3810</v>
      </c>
      <c r="M6078" s="468"/>
      <c r="N6078" s="1192">
        <f>A6078</f>
        <v>45128</v>
      </c>
      <c r="O6078" s="71" t="s">
        <v>662</v>
      </c>
      <c r="P6078" s="103" t="str">
        <f t="shared" si="3022"/>
        <v>윤전용 세척제(Web 504)</v>
      </c>
      <c r="Q6078" s="71">
        <f t="shared" si="3023"/>
        <v>10</v>
      </c>
      <c r="R6078" s="102">
        <v>133000</v>
      </c>
      <c r="S6078" s="102">
        <f t="shared" si="3024"/>
        <v>1463000.0000000002</v>
      </c>
      <c r="T6078" s="102">
        <f t="shared" si="3025"/>
        <v>1330000</v>
      </c>
      <c r="U6078" s="71" t="str">
        <f>IF(J6078=W6078,"O", "X")</f>
        <v>X</v>
      </c>
      <c r="V6078" s="71"/>
      <c r="W6078" s="474"/>
      <c r="X6078" s="71"/>
      <c r="Y6078" s="71"/>
    </row>
    <row r="6079" spans="1:25" s="209" customFormat="1" ht="31.5" hidden="1" customHeight="1" x14ac:dyDescent="0.2">
      <c r="A6079" s="1145">
        <v>45133</v>
      </c>
      <c r="B6079" s="664" t="s">
        <v>3289</v>
      </c>
      <c r="C6079" s="71" t="s">
        <v>3387</v>
      </c>
      <c r="D6079" s="71">
        <v>10</v>
      </c>
      <c r="E6079" s="102">
        <v>130000</v>
      </c>
      <c r="F6079" s="102">
        <f t="shared" si="3018"/>
        <v>1430000</v>
      </c>
      <c r="G6079" s="102">
        <f t="shared" si="3019"/>
        <v>1300000</v>
      </c>
      <c r="H6079" s="165" t="s">
        <v>172</v>
      </c>
      <c r="I6079" s="71" t="s">
        <v>184</v>
      </c>
      <c r="J6079" s="53">
        <f t="shared" si="3020"/>
        <v>180000</v>
      </c>
      <c r="K6079" s="63">
        <f t="shared" si="3021"/>
        <v>0.13846153846153847</v>
      </c>
      <c r="L6079" s="1212" t="s">
        <v>3810</v>
      </c>
      <c r="M6079" s="468" t="s">
        <v>3684</v>
      </c>
      <c r="N6079" s="1192">
        <f t="shared" ref="N6079:N6107" si="3026">A6079</f>
        <v>45133</v>
      </c>
      <c r="O6079" s="71" t="s">
        <v>189</v>
      </c>
      <c r="P6079" s="103" t="str">
        <f t="shared" si="3022"/>
        <v>Blanket(990*725)</v>
      </c>
      <c r="Q6079" s="71">
        <f t="shared" si="3023"/>
        <v>10</v>
      </c>
      <c r="R6079" s="102">
        <v>112000</v>
      </c>
      <c r="S6079" s="102">
        <f t="shared" si="3024"/>
        <v>1232000</v>
      </c>
      <c r="T6079" s="102">
        <f t="shared" si="3025"/>
        <v>1120000</v>
      </c>
      <c r="U6079" s="71" t="str">
        <f>IF(J6079=W6079,"O", "X")</f>
        <v>X</v>
      </c>
      <c r="V6079" s="71"/>
      <c r="W6079" s="474">
        <v>80000</v>
      </c>
      <c r="X6079" s="71"/>
      <c r="Y6079" s="71"/>
    </row>
    <row r="6080" spans="1:25" ht="30" hidden="1" customHeight="1" x14ac:dyDescent="0.25">
      <c r="A6080" s="1145">
        <v>45124</v>
      </c>
      <c r="B6080" s="664" t="s">
        <v>18</v>
      </c>
      <c r="C6080" s="71" t="s">
        <v>2070</v>
      </c>
      <c r="D6080" s="71">
        <v>10</v>
      </c>
      <c r="E6080" s="102">
        <v>115000</v>
      </c>
      <c r="F6080" s="102">
        <f t="shared" si="3018"/>
        <v>1265000</v>
      </c>
      <c r="G6080" s="102">
        <f t="shared" si="3019"/>
        <v>1150000</v>
      </c>
      <c r="H6080" s="690" t="s">
        <v>172</v>
      </c>
      <c r="I6080" s="71" t="s">
        <v>33</v>
      </c>
      <c r="J6080" s="53">
        <f t="shared" si="3020"/>
        <v>168000</v>
      </c>
      <c r="K6080" s="63">
        <v>0.10555555555555554</v>
      </c>
      <c r="L6080" s="1212" t="s">
        <v>3810</v>
      </c>
      <c r="M6080" s="468"/>
      <c r="N6080" s="1192">
        <f t="shared" si="3026"/>
        <v>45124</v>
      </c>
      <c r="O6080" s="71" t="s">
        <v>146</v>
      </c>
      <c r="P6080" s="103" t="str">
        <f t="shared" si="3022"/>
        <v>Blanket(1050*840)</v>
      </c>
      <c r="Q6080" s="71">
        <f t="shared" si="3023"/>
        <v>10</v>
      </c>
      <c r="R6080" s="102">
        <v>98200</v>
      </c>
      <c r="S6080" s="102">
        <f t="shared" si="3024"/>
        <v>1080200</v>
      </c>
      <c r="T6080" s="102">
        <f t="shared" si="3025"/>
        <v>982000</v>
      </c>
      <c r="U6080" s="71" t="s">
        <v>859</v>
      </c>
      <c r="V6080" s="71"/>
      <c r="W6080" s="474"/>
      <c r="X6080" s="71"/>
      <c r="Y6080" s="71"/>
    </row>
    <row r="6081" spans="1:25" ht="30" hidden="1" customHeight="1" x14ac:dyDescent="0.25">
      <c r="A6081" s="1145">
        <v>45124</v>
      </c>
      <c r="B6081" s="664" t="s">
        <v>18</v>
      </c>
      <c r="C6081" s="71" t="s">
        <v>3305</v>
      </c>
      <c r="D6081" s="71">
        <v>15</v>
      </c>
      <c r="E6081" s="102">
        <v>86000</v>
      </c>
      <c r="F6081" s="102">
        <f t="shared" si="3018"/>
        <v>1419000</v>
      </c>
      <c r="G6081" s="102">
        <f t="shared" si="3019"/>
        <v>1290000</v>
      </c>
      <c r="H6081" s="690" t="s">
        <v>172</v>
      </c>
      <c r="I6081" s="71" t="s">
        <v>3295</v>
      </c>
      <c r="J6081" s="53">
        <f t="shared" si="3020"/>
        <v>240000</v>
      </c>
      <c r="K6081" s="63">
        <f t="shared" ref="K6081:K6087" si="3027">(J6081/(F6081/11*10))</f>
        <v>0.18604651162790697</v>
      </c>
      <c r="L6081" s="1212" t="s">
        <v>3810</v>
      </c>
      <c r="M6081" s="468" t="s">
        <v>3306</v>
      </c>
      <c r="N6081" s="1192">
        <f t="shared" si="3026"/>
        <v>45124</v>
      </c>
      <c r="O6081" s="71" t="s">
        <v>146</v>
      </c>
      <c r="P6081" s="103" t="str">
        <f t="shared" si="3022"/>
        <v>파우더</v>
      </c>
      <c r="Q6081" s="71">
        <f t="shared" si="3023"/>
        <v>15</v>
      </c>
      <c r="R6081" s="102">
        <v>70000</v>
      </c>
      <c r="S6081" s="102">
        <f t="shared" si="3024"/>
        <v>1155000</v>
      </c>
      <c r="T6081" s="102">
        <f t="shared" si="3025"/>
        <v>1050000</v>
      </c>
      <c r="U6081" s="71" t="str">
        <f>IF(J6081=W6081,"O", "X")</f>
        <v>X</v>
      </c>
      <c r="V6081" s="71"/>
      <c r="W6081" s="474"/>
      <c r="X6081" s="71"/>
      <c r="Y6081" s="71"/>
    </row>
    <row r="6082" spans="1:25" ht="30" hidden="1" customHeight="1" x14ac:dyDescent="0.25">
      <c r="A6082" s="1145">
        <v>45124</v>
      </c>
      <c r="B6082" s="664" t="s">
        <v>548</v>
      </c>
      <c r="C6082" s="71" t="s">
        <v>3384</v>
      </c>
      <c r="D6082" s="71">
        <v>400</v>
      </c>
      <c r="E6082" s="102">
        <v>450</v>
      </c>
      <c r="F6082" s="102">
        <f t="shared" si="3018"/>
        <v>198000.00000000003</v>
      </c>
      <c r="G6082" s="102">
        <f t="shared" si="3019"/>
        <v>180000</v>
      </c>
      <c r="H6082" s="690" t="s">
        <v>2029</v>
      </c>
      <c r="I6082" s="71" t="s">
        <v>3385</v>
      </c>
      <c r="J6082" s="53">
        <f t="shared" si="3020"/>
        <v>52000</v>
      </c>
      <c r="K6082" s="63">
        <f t="shared" si="3027"/>
        <v>0.28888888888888886</v>
      </c>
      <c r="L6082" s="1212" t="s">
        <v>3810</v>
      </c>
      <c r="M6082" s="468"/>
      <c r="N6082" s="1192">
        <f t="shared" si="3026"/>
        <v>45124</v>
      </c>
      <c r="O6082" s="71" t="s">
        <v>2030</v>
      </c>
      <c r="P6082" s="103" t="str">
        <f t="shared" si="3022"/>
        <v>고무사카 빨간색</v>
      </c>
      <c r="Q6082" s="71">
        <f t="shared" si="3023"/>
        <v>400</v>
      </c>
      <c r="R6082" s="102">
        <v>320</v>
      </c>
      <c r="S6082" s="102">
        <f t="shared" si="3024"/>
        <v>140800</v>
      </c>
      <c r="T6082" s="102">
        <f t="shared" si="3025"/>
        <v>128000</v>
      </c>
      <c r="U6082" s="71"/>
      <c r="V6082" s="71"/>
      <c r="W6082" s="474"/>
      <c r="X6082" s="71"/>
      <c r="Y6082" s="71"/>
    </row>
    <row r="6083" spans="1:25" ht="30" hidden="1" customHeight="1" x14ac:dyDescent="0.25">
      <c r="A6083" s="1145">
        <v>45131</v>
      </c>
      <c r="B6083" s="664" t="s">
        <v>3815</v>
      </c>
      <c r="C6083" s="71" t="s">
        <v>3435</v>
      </c>
      <c r="D6083" s="71">
        <v>1</v>
      </c>
      <c r="E6083" s="102">
        <v>800000</v>
      </c>
      <c r="F6083" s="102">
        <f t="shared" si="3018"/>
        <v>880000.00000000012</v>
      </c>
      <c r="G6083" s="102">
        <f t="shared" si="3019"/>
        <v>800000</v>
      </c>
      <c r="H6083" s="690" t="s">
        <v>94</v>
      </c>
      <c r="I6083" s="71" t="s">
        <v>94</v>
      </c>
      <c r="J6083" s="53">
        <f t="shared" si="3020"/>
        <v>540410</v>
      </c>
      <c r="K6083" s="63">
        <f t="shared" si="3027"/>
        <v>0.67551249999999985</v>
      </c>
      <c r="L6083" s="1212" t="s">
        <v>3810</v>
      </c>
      <c r="M6083" s="468"/>
      <c r="N6083" s="1192">
        <f t="shared" si="3026"/>
        <v>45131</v>
      </c>
      <c r="O6083" s="71" t="s">
        <v>94</v>
      </c>
      <c r="P6083" s="103" t="str">
        <f t="shared" si="3022"/>
        <v>습수정화장치 beta.f 필터 세트</v>
      </c>
      <c r="Q6083" s="71">
        <f t="shared" si="3023"/>
        <v>1</v>
      </c>
      <c r="R6083" s="102">
        <v>259590</v>
      </c>
      <c r="S6083" s="102">
        <f t="shared" si="3024"/>
        <v>285549</v>
      </c>
      <c r="T6083" s="102">
        <f t="shared" si="3025"/>
        <v>259590</v>
      </c>
      <c r="U6083" s="71"/>
      <c r="V6083" s="71"/>
      <c r="W6083" s="474"/>
      <c r="X6083" s="71"/>
      <c r="Y6083" s="71"/>
    </row>
    <row r="6084" spans="1:25" ht="30" hidden="1" customHeight="1" x14ac:dyDescent="0.25">
      <c r="A6084" s="1145">
        <v>45120</v>
      </c>
      <c r="B6084" s="664" t="s">
        <v>2798</v>
      </c>
      <c r="C6084" s="71" t="s">
        <v>3290</v>
      </c>
      <c r="D6084" s="71">
        <v>1</v>
      </c>
      <c r="E6084" s="102">
        <v>780000</v>
      </c>
      <c r="F6084" s="102">
        <f t="shared" ref="F6084:F6109" si="3028">(E6084*D6084)*1.1</f>
        <v>858000.00000000012</v>
      </c>
      <c r="G6084" s="102">
        <f t="shared" ref="G6084:G6109" si="3029">(E6084*D6084)</f>
        <v>780000</v>
      </c>
      <c r="H6084" s="690" t="s">
        <v>172</v>
      </c>
      <c r="I6084" s="71" t="s">
        <v>38</v>
      </c>
      <c r="J6084" s="53">
        <f t="shared" si="3020"/>
        <v>318000</v>
      </c>
      <c r="K6084" s="63">
        <f t="shared" si="3027"/>
        <v>0.40769230769230763</v>
      </c>
      <c r="L6084" s="1212" t="s">
        <v>3810</v>
      </c>
      <c r="M6084" s="468"/>
      <c r="N6084" s="1192">
        <f t="shared" si="3026"/>
        <v>45120</v>
      </c>
      <c r="O6084" s="71" t="s">
        <v>3291</v>
      </c>
      <c r="P6084" s="103" t="str">
        <f t="shared" ref="P6084:P6109" si="3030">(C6084)</f>
        <v>점보롤 세정포</v>
      </c>
      <c r="Q6084" s="71">
        <f t="shared" ref="Q6084:Q6109" si="3031">D6084</f>
        <v>1</v>
      </c>
      <c r="R6084" s="102">
        <v>462000</v>
      </c>
      <c r="S6084" s="102">
        <f t="shared" si="3024"/>
        <v>508200.00000000006</v>
      </c>
      <c r="T6084" s="102">
        <f t="shared" si="3025"/>
        <v>462000</v>
      </c>
      <c r="U6084" s="71" t="str">
        <f>IF(J6084=W6084,"O", "X")</f>
        <v>O</v>
      </c>
      <c r="V6084" s="71" t="s">
        <v>3292</v>
      </c>
      <c r="W6084" s="474">
        <f>(G6084-T6084)</f>
        <v>318000</v>
      </c>
      <c r="X6084" s="71"/>
      <c r="Y6084" s="71"/>
    </row>
    <row r="6085" spans="1:25" ht="30" hidden="1" customHeight="1" x14ac:dyDescent="0.25">
      <c r="A6085" s="1145">
        <v>45127</v>
      </c>
      <c r="B6085" s="664" t="s">
        <v>2798</v>
      </c>
      <c r="C6085" s="71" t="s">
        <v>167</v>
      </c>
      <c r="D6085" s="71">
        <v>10</v>
      </c>
      <c r="E6085" s="102">
        <v>138000</v>
      </c>
      <c r="F6085" s="102">
        <f t="shared" si="3028"/>
        <v>1518000.0000000002</v>
      </c>
      <c r="G6085" s="102">
        <f t="shared" si="3029"/>
        <v>1380000</v>
      </c>
      <c r="H6085" s="690" t="s">
        <v>172</v>
      </c>
      <c r="I6085" s="71" t="s">
        <v>33</v>
      </c>
      <c r="J6085" s="53">
        <f t="shared" si="3020"/>
        <v>368000</v>
      </c>
      <c r="K6085" s="63">
        <f t="shared" si="3027"/>
        <v>0.26666666666666661</v>
      </c>
      <c r="L6085" s="1212" t="s">
        <v>3810</v>
      </c>
      <c r="M6085" s="468"/>
      <c r="N6085" s="1192">
        <f t="shared" si="3026"/>
        <v>45127</v>
      </c>
      <c r="O6085" s="71" t="s">
        <v>146</v>
      </c>
      <c r="P6085" s="103" t="str">
        <f t="shared" si="3030"/>
        <v>Blanket(1060*860)</v>
      </c>
      <c r="Q6085" s="71">
        <f t="shared" si="3031"/>
        <v>10</v>
      </c>
      <c r="R6085" s="102">
        <v>101200</v>
      </c>
      <c r="S6085" s="102">
        <f t="shared" si="3024"/>
        <v>1113200</v>
      </c>
      <c r="T6085" s="102">
        <f t="shared" si="3025"/>
        <v>1012000</v>
      </c>
      <c r="U6085" s="71" t="str">
        <f>IF(J6085=W6085,"O", "X")</f>
        <v>X</v>
      </c>
      <c r="V6085" s="71"/>
      <c r="W6085" s="474"/>
      <c r="X6085" s="71"/>
      <c r="Y6085" s="71"/>
    </row>
    <row r="6086" spans="1:25" ht="30" hidden="1" customHeight="1" x14ac:dyDescent="0.25">
      <c r="A6086" s="1145">
        <v>45127</v>
      </c>
      <c r="B6086" s="664" t="s">
        <v>444</v>
      </c>
      <c r="C6086" s="71" t="s">
        <v>3399</v>
      </c>
      <c r="D6086" s="71">
        <v>5</v>
      </c>
      <c r="E6086" s="102">
        <v>195000</v>
      </c>
      <c r="F6086" s="102">
        <f t="shared" si="3028"/>
        <v>1072500</v>
      </c>
      <c r="G6086" s="102">
        <f t="shared" si="3029"/>
        <v>975000</v>
      </c>
      <c r="H6086" s="690" t="s">
        <v>2029</v>
      </c>
      <c r="I6086" s="71" t="s">
        <v>180</v>
      </c>
      <c r="J6086" s="53">
        <f t="shared" si="3020"/>
        <v>325000</v>
      </c>
      <c r="K6086" s="63">
        <f t="shared" si="3027"/>
        <v>0.33333333333333331</v>
      </c>
      <c r="L6086" s="1212" t="s">
        <v>3810</v>
      </c>
      <c r="M6086" s="468"/>
      <c r="N6086" s="1192">
        <f t="shared" si="3026"/>
        <v>45127</v>
      </c>
      <c r="O6086" s="71" t="s">
        <v>191</v>
      </c>
      <c r="P6086" s="103" t="str">
        <f t="shared" si="3030"/>
        <v>UV wash offset UV</v>
      </c>
      <c r="Q6086" s="71">
        <f t="shared" si="3031"/>
        <v>5</v>
      </c>
      <c r="R6086" s="102">
        <v>130000</v>
      </c>
      <c r="S6086" s="102">
        <f t="shared" si="3024"/>
        <v>715000</v>
      </c>
      <c r="T6086" s="102">
        <f t="shared" si="3025"/>
        <v>650000</v>
      </c>
      <c r="U6086" s="71"/>
      <c r="V6086" s="71"/>
      <c r="W6086" s="474"/>
      <c r="X6086" s="71"/>
      <c r="Y6086" s="71"/>
    </row>
    <row r="6087" spans="1:25" s="209" customFormat="1" ht="30" hidden="1" customHeight="1" x14ac:dyDescent="0.25">
      <c r="A6087" s="1145">
        <v>45124</v>
      </c>
      <c r="B6087" s="664" t="s">
        <v>3816</v>
      </c>
      <c r="C6087" s="71" t="s">
        <v>3817</v>
      </c>
      <c r="D6087" s="71">
        <v>1</v>
      </c>
      <c r="E6087" s="102">
        <v>120000</v>
      </c>
      <c r="F6087" s="102">
        <f t="shared" si="3028"/>
        <v>132000</v>
      </c>
      <c r="G6087" s="102">
        <f t="shared" si="3029"/>
        <v>120000</v>
      </c>
      <c r="H6087" s="690" t="s">
        <v>173</v>
      </c>
      <c r="I6087" s="71" t="s">
        <v>109</v>
      </c>
      <c r="J6087" s="53">
        <f t="shared" si="3020"/>
        <v>21800</v>
      </c>
      <c r="K6087" s="63">
        <f t="shared" si="3027"/>
        <v>0.18166666666666667</v>
      </c>
      <c r="L6087" s="1212" t="s">
        <v>3810</v>
      </c>
      <c r="M6087" s="468"/>
      <c r="N6087" s="1192">
        <f t="shared" si="3026"/>
        <v>45124</v>
      </c>
      <c r="O6087" s="71" t="s">
        <v>146</v>
      </c>
      <c r="P6087" s="103" t="str">
        <f t="shared" si="3030"/>
        <v>블랑켓 - 하이델베르그 국전용 1050*840</v>
      </c>
      <c r="Q6087" s="71">
        <f t="shared" si="3031"/>
        <v>1</v>
      </c>
      <c r="R6087" s="102">
        <v>98200</v>
      </c>
      <c r="S6087" s="102">
        <f t="shared" si="3024"/>
        <v>108020.00000000001</v>
      </c>
      <c r="T6087" s="102">
        <f t="shared" si="3025"/>
        <v>98200</v>
      </c>
      <c r="U6087" s="71"/>
      <c r="V6087" s="71"/>
      <c r="W6087" s="474"/>
      <c r="X6087" s="71"/>
      <c r="Y6087" s="71"/>
    </row>
    <row r="6088" spans="1:25" ht="30" hidden="1" customHeight="1" x14ac:dyDescent="0.25">
      <c r="A6088" s="1145">
        <v>45132</v>
      </c>
      <c r="B6088" s="664" t="s">
        <v>1060</v>
      </c>
      <c r="C6088" s="71" t="s">
        <v>3655</v>
      </c>
      <c r="D6088" s="71">
        <v>1100</v>
      </c>
      <c r="E6088" s="102">
        <v>5610</v>
      </c>
      <c r="F6088" s="102">
        <f t="shared" si="3028"/>
        <v>6788100.0000000009</v>
      </c>
      <c r="G6088" s="102">
        <f t="shared" si="3029"/>
        <v>6171000</v>
      </c>
      <c r="H6088" s="690" t="s">
        <v>36</v>
      </c>
      <c r="I6088" s="71" t="s">
        <v>2529</v>
      </c>
      <c r="J6088" s="53">
        <f t="shared" ref="J6088:J6105" si="3032">G6088-T6088</f>
        <v>1831500</v>
      </c>
      <c r="K6088" s="63">
        <f t="shared" ref="K6088:K6105" si="3033">(J6088/(F6088/11*10))</f>
        <v>0.29679144385026734</v>
      </c>
      <c r="L6088" s="1212" t="s">
        <v>3818</v>
      </c>
      <c r="M6088" s="102" t="s">
        <v>3662</v>
      </c>
      <c r="N6088" s="1192">
        <f t="shared" si="3026"/>
        <v>45132</v>
      </c>
      <c r="O6088" s="71" t="s">
        <v>150</v>
      </c>
      <c r="P6088" s="103" t="str">
        <f t="shared" si="3030"/>
        <v>Saphira CTP 판 1030 x 790</v>
      </c>
      <c r="Q6088" s="71">
        <f t="shared" si="3031"/>
        <v>1100</v>
      </c>
      <c r="R6088" s="102">
        <v>3945</v>
      </c>
      <c r="S6088" s="102">
        <f t="shared" ref="S6088:S6105" si="3034">R6088*Q6088*1.1</f>
        <v>4773450</v>
      </c>
      <c r="T6088" s="102">
        <f t="shared" ref="T6088:T6105" si="3035">R6088*Q6088</f>
        <v>4339500</v>
      </c>
      <c r="U6088" s="71" t="s">
        <v>859</v>
      </c>
      <c r="V6088" s="71"/>
      <c r="W6088" s="474">
        <v>942000</v>
      </c>
      <c r="X6088" s="71"/>
      <c r="Y6088" s="71"/>
    </row>
    <row r="6089" spans="1:25" ht="30" hidden="1" customHeight="1" x14ac:dyDescent="0.25">
      <c r="A6089" s="1145">
        <v>45132</v>
      </c>
      <c r="B6089" s="664" t="s">
        <v>2255</v>
      </c>
      <c r="C6089" s="71" t="s">
        <v>3656</v>
      </c>
      <c r="D6089" s="71">
        <v>2200</v>
      </c>
      <c r="E6089" s="102">
        <v>3550</v>
      </c>
      <c r="F6089" s="102">
        <f t="shared" si="3028"/>
        <v>8591000</v>
      </c>
      <c r="G6089" s="102">
        <f t="shared" si="3029"/>
        <v>7810000</v>
      </c>
      <c r="H6089" s="690" t="s">
        <v>36</v>
      </c>
      <c r="I6089" s="71" t="s">
        <v>2529</v>
      </c>
      <c r="J6089" s="53">
        <f t="shared" si="3032"/>
        <v>2325400</v>
      </c>
      <c r="K6089" s="63">
        <f t="shared" si="3033"/>
        <v>0.29774647887323946</v>
      </c>
      <c r="L6089" s="1212" t="s">
        <v>3818</v>
      </c>
      <c r="M6089" s="102" t="s">
        <v>3662</v>
      </c>
      <c r="N6089" s="1192">
        <f t="shared" si="3026"/>
        <v>45132</v>
      </c>
      <c r="O6089" s="71" t="s">
        <v>150</v>
      </c>
      <c r="P6089" s="103" t="str">
        <f t="shared" si="3030"/>
        <v>Saphira CTP 판 900 x 571</v>
      </c>
      <c r="Q6089" s="71">
        <f t="shared" si="3031"/>
        <v>2200</v>
      </c>
      <c r="R6089" s="102">
        <v>2493</v>
      </c>
      <c r="S6089" s="102">
        <f t="shared" si="3034"/>
        <v>6033060.0000000009</v>
      </c>
      <c r="T6089" s="102">
        <f t="shared" si="3035"/>
        <v>5484600</v>
      </c>
      <c r="U6089" s="71" t="s">
        <v>859</v>
      </c>
      <c r="V6089" s="71"/>
      <c r="W6089" s="474">
        <v>1274000</v>
      </c>
      <c r="X6089" s="71"/>
      <c r="Y6089" s="71"/>
    </row>
    <row r="6090" spans="1:25" ht="30" hidden="1" customHeight="1" x14ac:dyDescent="0.25">
      <c r="A6090" s="1145">
        <v>45132</v>
      </c>
      <c r="B6090" s="664" t="s">
        <v>2255</v>
      </c>
      <c r="C6090" s="71" t="s">
        <v>3657</v>
      </c>
      <c r="D6090" s="71">
        <v>1400</v>
      </c>
      <c r="E6090" s="102">
        <v>3350</v>
      </c>
      <c r="F6090" s="102">
        <f t="shared" si="3028"/>
        <v>5159000</v>
      </c>
      <c r="G6090" s="102">
        <f t="shared" si="3029"/>
        <v>4690000</v>
      </c>
      <c r="H6090" s="690" t="s">
        <v>36</v>
      </c>
      <c r="I6090" s="71" t="s">
        <v>2529</v>
      </c>
      <c r="J6090" s="53">
        <f t="shared" si="3032"/>
        <v>1373400</v>
      </c>
      <c r="K6090" s="63">
        <f t="shared" si="3033"/>
        <v>0.2928358208955224</v>
      </c>
      <c r="L6090" s="1212" t="s">
        <v>3818</v>
      </c>
      <c r="M6090" s="102" t="s">
        <v>3662</v>
      </c>
      <c r="N6090" s="1192">
        <f t="shared" si="3026"/>
        <v>45132</v>
      </c>
      <c r="O6090" s="71" t="s">
        <v>150</v>
      </c>
      <c r="P6090" s="103" t="str">
        <f t="shared" si="3030"/>
        <v>Saphira CTP 판 883 x 552</v>
      </c>
      <c r="Q6090" s="71">
        <f t="shared" si="3031"/>
        <v>1400</v>
      </c>
      <c r="R6090" s="102">
        <v>2369</v>
      </c>
      <c r="S6090" s="102">
        <f t="shared" si="3034"/>
        <v>3648260.0000000005</v>
      </c>
      <c r="T6090" s="102">
        <f t="shared" si="3035"/>
        <v>3316600</v>
      </c>
      <c r="U6090" s="71" t="s">
        <v>859</v>
      </c>
      <c r="V6090" s="71"/>
      <c r="W6090" s="474">
        <v>3325000</v>
      </c>
      <c r="X6090" s="71"/>
      <c r="Y6090" s="71"/>
    </row>
    <row r="6091" spans="1:25" ht="30" hidden="1" customHeight="1" x14ac:dyDescent="0.25">
      <c r="A6091" s="1145">
        <v>45132</v>
      </c>
      <c r="B6091" s="664" t="s">
        <v>2255</v>
      </c>
      <c r="C6091" s="71" t="s">
        <v>3658</v>
      </c>
      <c r="D6091" s="71">
        <v>1700</v>
      </c>
      <c r="E6091" s="102">
        <v>5700</v>
      </c>
      <c r="F6091" s="102">
        <f t="shared" si="3028"/>
        <v>10659000</v>
      </c>
      <c r="G6091" s="102">
        <f t="shared" si="3029"/>
        <v>9690000</v>
      </c>
      <c r="H6091" s="690" t="s">
        <v>36</v>
      </c>
      <c r="I6091" s="71" t="s">
        <v>2529</v>
      </c>
      <c r="J6091" s="53">
        <f t="shared" si="3032"/>
        <v>2896800</v>
      </c>
      <c r="K6091" s="63">
        <f t="shared" si="3033"/>
        <v>0.29894736842105263</v>
      </c>
      <c r="L6091" s="1212" t="s">
        <v>3818</v>
      </c>
      <c r="M6091" s="102" t="s">
        <v>3662</v>
      </c>
      <c r="N6091" s="1192">
        <f t="shared" si="3026"/>
        <v>45132</v>
      </c>
      <c r="O6091" s="71" t="s">
        <v>150</v>
      </c>
      <c r="P6091" s="103" t="str">
        <f t="shared" si="3030"/>
        <v>Saphira CTP 판 1030 x 800</v>
      </c>
      <c r="Q6091" s="71">
        <f t="shared" si="3031"/>
        <v>1700</v>
      </c>
      <c r="R6091" s="102">
        <v>3996</v>
      </c>
      <c r="S6091" s="102">
        <f t="shared" si="3034"/>
        <v>7472520.0000000009</v>
      </c>
      <c r="T6091" s="102">
        <f t="shared" si="3035"/>
        <v>6793200</v>
      </c>
      <c r="U6091" s="71" t="s">
        <v>859</v>
      </c>
      <c r="V6091" s="71"/>
      <c r="W6091" s="474">
        <v>636000</v>
      </c>
      <c r="X6091" s="71"/>
      <c r="Y6091" s="71"/>
    </row>
    <row r="6092" spans="1:25" ht="30" hidden="1" customHeight="1" x14ac:dyDescent="0.25">
      <c r="A6092" s="1145">
        <v>45132</v>
      </c>
      <c r="B6092" s="664" t="s">
        <v>2255</v>
      </c>
      <c r="C6092" s="71" t="s">
        <v>3659</v>
      </c>
      <c r="D6092" s="71">
        <v>1100</v>
      </c>
      <c r="E6092" s="102">
        <v>5900</v>
      </c>
      <c r="F6092" s="102">
        <f t="shared" si="3028"/>
        <v>7139000.0000000009</v>
      </c>
      <c r="G6092" s="102">
        <f t="shared" si="3029"/>
        <v>6490000</v>
      </c>
      <c r="H6092" s="690" t="s">
        <v>36</v>
      </c>
      <c r="I6092" s="71" t="s">
        <v>2529</v>
      </c>
      <c r="J6092" s="53">
        <f t="shared" si="3032"/>
        <v>1923900</v>
      </c>
      <c r="K6092" s="63">
        <f t="shared" si="3033"/>
        <v>0.29644067796610163</v>
      </c>
      <c r="L6092" s="1212" t="s">
        <v>3818</v>
      </c>
      <c r="M6092" s="102" t="s">
        <v>3662</v>
      </c>
      <c r="N6092" s="1192">
        <f t="shared" si="3026"/>
        <v>45132</v>
      </c>
      <c r="O6092" s="71" t="s">
        <v>150</v>
      </c>
      <c r="P6092" s="103" t="str">
        <f t="shared" si="3030"/>
        <v>Saphira CTP 판 1055 x 811</v>
      </c>
      <c r="Q6092" s="71">
        <f t="shared" si="3031"/>
        <v>1100</v>
      </c>
      <c r="R6092" s="102">
        <v>4151</v>
      </c>
      <c r="S6092" s="102">
        <f t="shared" si="3034"/>
        <v>5022710</v>
      </c>
      <c r="T6092" s="102">
        <f t="shared" si="3035"/>
        <v>4566100</v>
      </c>
      <c r="U6092" s="71" t="s">
        <v>859</v>
      </c>
      <c r="V6092" s="71"/>
      <c r="W6092" s="474">
        <v>1476000</v>
      </c>
      <c r="X6092" s="71"/>
      <c r="Y6092" s="71"/>
    </row>
    <row r="6093" spans="1:25" ht="30" hidden="1" customHeight="1" x14ac:dyDescent="0.25">
      <c r="A6093" s="1145">
        <v>45132</v>
      </c>
      <c r="B6093" s="664" t="s">
        <v>2255</v>
      </c>
      <c r="C6093" s="71" t="s">
        <v>3660</v>
      </c>
      <c r="D6093" s="71">
        <v>0</v>
      </c>
      <c r="E6093" s="102">
        <v>4210</v>
      </c>
      <c r="F6093" s="102">
        <f t="shared" si="3028"/>
        <v>0</v>
      </c>
      <c r="G6093" s="102">
        <f t="shared" si="3029"/>
        <v>0</v>
      </c>
      <c r="H6093" s="690" t="s">
        <v>36</v>
      </c>
      <c r="I6093" s="71" t="s">
        <v>2529</v>
      </c>
      <c r="J6093" s="53">
        <f t="shared" si="3032"/>
        <v>0</v>
      </c>
      <c r="K6093" s="63" t="e">
        <f t="shared" si="3033"/>
        <v>#DIV/0!</v>
      </c>
      <c r="L6093" s="1212" t="s">
        <v>3818</v>
      </c>
      <c r="M6093" s="102" t="s">
        <v>3662</v>
      </c>
      <c r="N6093" s="1192">
        <f t="shared" si="3026"/>
        <v>45132</v>
      </c>
      <c r="O6093" s="71" t="s">
        <v>150</v>
      </c>
      <c r="P6093" s="103" t="str">
        <f t="shared" si="3030"/>
        <v>Saphira CTP 판 968 x 631</v>
      </c>
      <c r="Q6093" s="71">
        <f t="shared" si="3031"/>
        <v>0</v>
      </c>
      <c r="R6093" s="102">
        <v>2966</v>
      </c>
      <c r="S6093" s="102">
        <f t="shared" si="3034"/>
        <v>0</v>
      </c>
      <c r="T6093" s="102">
        <f t="shared" si="3035"/>
        <v>0</v>
      </c>
      <c r="U6093" s="71" t="s">
        <v>859</v>
      </c>
      <c r="V6093" s="71"/>
      <c r="W6093" s="474">
        <v>1416000</v>
      </c>
      <c r="X6093" s="71"/>
      <c r="Y6093" s="71"/>
    </row>
    <row r="6094" spans="1:25" ht="30" hidden="1" customHeight="1" x14ac:dyDescent="0.25">
      <c r="A6094" s="1145">
        <v>45132</v>
      </c>
      <c r="B6094" s="664" t="s">
        <v>2255</v>
      </c>
      <c r="C6094" s="71" t="s">
        <v>3661</v>
      </c>
      <c r="D6094" s="71">
        <v>35</v>
      </c>
      <c r="E6094" s="102">
        <v>51040</v>
      </c>
      <c r="F6094" s="102">
        <f t="shared" si="3028"/>
        <v>1965040.0000000002</v>
      </c>
      <c r="G6094" s="102">
        <f t="shared" si="3029"/>
        <v>1786400</v>
      </c>
      <c r="H6094" s="690" t="s">
        <v>179</v>
      </c>
      <c r="I6094" s="71" t="s">
        <v>3405</v>
      </c>
      <c r="J6094" s="53">
        <f t="shared" si="3032"/>
        <v>386400</v>
      </c>
      <c r="K6094" s="63">
        <f t="shared" si="3033"/>
        <v>0.21630094043887144</v>
      </c>
      <c r="L6094" s="1212" t="s">
        <v>3818</v>
      </c>
      <c r="M6094" s="468"/>
      <c r="N6094" s="1192">
        <f t="shared" si="3026"/>
        <v>45132</v>
      </c>
      <c r="O6094" s="71" t="s">
        <v>2030</v>
      </c>
      <c r="P6094" s="103" t="str">
        <f t="shared" si="3030"/>
        <v>사피라 현상액</v>
      </c>
      <c r="Q6094" s="71">
        <f t="shared" si="3031"/>
        <v>35</v>
      </c>
      <c r="R6094" s="102">
        <v>40000</v>
      </c>
      <c r="S6094" s="102">
        <f t="shared" si="3034"/>
        <v>1540000.0000000002</v>
      </c>
      <c r="T6094" s="102">
        <f t="shared" si="3035"/>
        <v>1400000</v>
      </c>
      <c r="U6094" s="71" t="s">
        <v>859</v>
      </c>
      <c r="V6094" s="71"/>
      <c r="W6094" s="474">
        <v>978750</v>
      </c>
      <c r="X6094" s="71"/>
      <c r="Y6094" s="71"/>
    </row>
    <row r="6095" spans="1:25" ht="30" hidden="1" customHeight="1" x14ac:dyDescent="0.25">
      <c r="A6095" s="1145">
        <v>45132</v>
      </c>
      <c r="B6095" s="664" t="s">
        <v>2254</v>
      </c>
      <c r="C6095" s="71" t="s">
        <v>3319</v>
      </c>
      <c r="D6095" s="71">
        <v>200</v>
      </c>
      <c r="E6095" s="102">
        <v>6328</v>
      </c>
      <c r="F6095" s="102">
        <f t="shared" si="3028"/>
        <v>1392160</v>
      </c>
      <c r="G6095" s="102">
        <f t="shared" si="3029"/>
        <v>1265600</v>
      </c>
      <c r="H6095" s="690" t="s">
        <v>36</v>
      </c>
      <c r="I6095" s="71" t="s">
        <v>3320</v>
      </c>
      <c r="J6095" s="53">
        <f t="shared" si="3032"/>
        <v>95600</v>
      </c>
      <c r="K6095" s="63">
        <f t="shared" si="3033"/>
        <v>7.5537294563843241E-2</v>
      </c>
      <c r="L6095" s="1212" t="s">
        <v>3818</v>
      </c>
      <c r="M6095" s="468"/>
      <c r="N6095" s="1192">
        <f t="shared" si="3026"/>
        <v>45132</v>
      </c>
      <c r="O6095" s="71" t="s">
        <v>146</v>
      </c>
      <c r="P6095" s="103" t="str">
        <f t="shared" si="3030"/>
        <v>프리미어(먹)</v>
      </c>
      <c r="Q6095" s="71">
        <f t="shared" si="3031"/>
        <v>200</v>
      </c>
      <c r="R6095" s="102">
        <v>5850</v>
      </c>
      <c r="S6095" s="102">
        <f t="shared" si="3034"/>
        <v>1287000</v>
      </c>
      <c r="T6095" s="102">
        <f t="shared" si="3035"/>
        <v>1170000</v>
      </c>
      <c r="U6095" s="71" t="s">
        <v>859</v>
      </c>
      <c r="V6095" s="71"/>
      <c r="W6095" s="474">
        <v>411200</v>
      </c>
      <c r="X6095" s="71"/>
      <c r="Y6095" s="71"/>
    </row>
    <row r="6096" spans="1:25" ht="30" hidden="1" customHeight="1" x14ac:dyDescent="0.25">
      <c r="A6096" s="1145">
        <v>45132</v>
      </c>
      <c r="B6096" s="664" t="s">
        <v>2254</v>
      </c>
      <c r="C6096" s="71" t="s">
        <v>3321</v>
      </c>
      <c r="D6096" s="71">
        <v>200</v>
      </c>
      <c r="E6096" s="102">
        <v>6780</v>
      </c>
      <c r="F6096" s="102">
        <f t="shared" si="3028"/>
        <v>1491600.0000000002</v>
      </c>
      <c r="G6096" s="102">
        <f t="shared" si="3029"/>
        <v>1356000</v>
      </c>
      <c r="H6096" s="690" t="s">
        <v>36</v>
      </c>
      <c r="I6096" s="71" t="s">
        <v>3320</v>
      </c>
      <c r="J6096" s="53">
        <f t="shared" si="3032"/>
        <v>100000</v>
      </c>
      <c r="K6096" s="63">
        <f t="shared" si="3033"/>
        <v>7.3746312684365767E-2</v>
      </c>
      <c r="L6096" s="1212" t="s">
        <v>3818</v>
      </c>
      <c r="M6096" s="468"/>
      <c r="N6096" s="1192">
        <f t="shared" si="3026"/>
        <v>45132</v>
      </c>
      <c r="O6096" s="71" t="s">
        <v>146</v>
      </c>
      <c r="P6096" s="103" t="str">
        <f t="shared" si="3030"/>
        <v>프리미어(적)</v>
      </c>
      <c r="Q6096" s="71">
        <f t="shared" si="3031"/>
        <v>200</v>
      </c>
      <c r="R6096" s="102">
        <v>6280</v>
      </c>
      <c r="S6096" s="102">
        <f t="shared" si="3034"/>
        <v>1381600</v>
      </c>
      <c r="T6096" s="102">
        <f t="shared" si="3035"/>
        <v>1256000</v>
      </c>
      <c r="U6096" s="71" t="s">
        <v>859</v>
      </c>
      <c r="V6096" s="71"/>
      <c r="W6096" s="474">
        <v>292000</v>
      </c>
      <c r="X6096" s="71"/>
      <c r="Y6096" s="71"/>
    </row>
    <row r="6097" spans="1:25" ht="30" hidden="1" customHeight="1" x14ac:dyDescent="0.25">
      <c r="A6097" s="1145">
        <v>45132</v>
      </c>
      <c r="B6097" s="664" t="s">
        <v>2254</v>
      </c>
      <c r="C6097" s="71" t="s">
        <v>1289</v>
      </c>
      <c r="D6097" s="71">
        <v>200</v>
      </c>
      <c r="E6097" s="102">
        <v>6498</v>
      </c>
      <c r="F6097" s="102">
        <f t="shared" si="3028"/>
        <v>1429560</v>
      </c>
      <c r="G6097" s="102">
        <f t="shared" si="3029"/>
        <v>1299600</v>
      </c>
      <c r="H6097" s="690" t="s">
        <v>36</v>
      </c>
      <c r="I6097" s="71" t="s">
        <v>3320</v>
      </c>
      <c r="J6097" s="53">
        <f t="shared" si="3032"/>
        <v>95600</v>
      </c>
      <c r="K6097" s="63">
        <f t="shared" si="3033"/>
        <v>7.3561095721760547E-2</v>
      </c>
      <c r="L6097" s="1212" t="s">
        <v>3818</v>
      </c>
      <c r="M6097" s="468"/>
      <c r="N6097" s="1192">
        <f t="shared" si="3026"/>
        <v>45132</v>
      </c>
      <c r="O6097" s="71" t="s">
        <v>146</v>
      </c>
      <c r="P6097" s="103" t="str">
        <f t="shared" si="3030"/>
        <v>프리미어(황)</v>
      </c>
      <c r="Q6097" s="71">
        <f t="shared" si="3031"/>
        <v>200</v>
      </c>
      <c r="R6097" s="102">
        <v>6020</v>
      </c>
      <c r="S6097" s="102">
        <f t="shared" si="3034"/>
        <v>1324400</v>
      </c>
      <c r="T6097" s="102">
        <f t="shared" si="3035"/>
        <v>1204000</v>
      </c>
      <c r="U6097" s="71" t="s">
        <v>859</v>
      </c>
      <c r="V6097" s="71"/>
      <c r="W6097" s="474">
        <v>640800</v>
      </c>
      <c r="X6097" s="71"/>
      <c r="Y6097" s="71"/>
    </row>
    <row r="6098" spans="1:25" ht="30" hidden="1" customHeight="1" x14ac:dyDescent="0.25">
      <c r="A6098" s="1145">
        <v>45132</v>
      </c>
      <c r="B6098" s="664" t="s">
        <v>2254</v>
      </c>
      <c r="C6098" s="71" t="s">
        <v>1290</v>
      </c>
      <c r="D6098" s="71">
        <v>200</v>
      </c>
      <c r="E6098" s="102">
        <v>7910</v>
      </c>
      <c r="F6098" s="102">
        <f t="shared" si="3028"/>
        <v>1740200.0000000002</v>
      </c>
      <c r="G6098" s="102">
        <f t="shared" si="3029"/>
        <v>1582000</v>
      </c>
      <c r="H6098" s="690" t="s">
        <v>36</v>
      </c>
      <c r="I6098" s="71" t="s">
        <v>3320</v>
      </c>
      <c r="J6098" s="53">
        <f t="shared" si="3032"/>
        <v>120000</v>
      </c>
      <c r="K6098" s="63">
        <f t="shared" si="3033"/>
        <v>7.5853350189633365E-2</v>
      </c>
      <c r="L6098" s="1212" t="s">
        <v>3818</v>
      </c>
      <c r="M6098" s="468"/>
      <c r="N6098" s="1192">
        <f t="shared" si="3026"/>
        <v>45132</v>
      </c>
      <c r="O6098" s="71" t="s">
        <v>146</v>
      </c>
      <c r="P6098" s="103" t="str">
        <f t="shared" si="3030"/>
        <v>프리미어(청)</v>
      </c>
      <c r="Q6098" s="71">
        <f t="shared" si="3031"/>
        <v>200</v>
      </c>
      <c r="R6098" s="102">
        <v>7310</v>
      </c>
      <c r="S6098" s="102">
        <f t="shared" si="3034"/>
        <v>1608200.0000000002</v>
      </c>
      <c r="T6098" s="102">
        <f t="shared" si="3035"/>
        <v>1462000</v>
      </c>
      <c r="U6098" s="71" t="s">
        <v>859</v>
      </c>
      <c r="V6098" s="71"/>
      <c r="W6098" s="474">
        <v>846000</v>
      </c>
      <c r="X6098" s="71"/>
      <c r="Y6098" s="71"/>
    </row>
    <row r="6099" spans="1:25" ht="30" hidden="1" customHeight="1" x14ac:dyDescent="0.25">
      <c r="A6099" s="1145">
        <v>45132</v>
      </c>
      <c r="B6099" s="664" t="s">
        <v>2254</v>
      </c>
      <c r="C6099" s="71" t="s">
        <v>3322</v>
      </c>
      <c r="D6099" s="71"/>
      <c r="E6099" s="102">
        <v>7150</v>
      </c>
      <c r="F6099" s="102">
        <f t="shared" si="3028"/>
        <v>0</v>
      </c>
      <c r="G6099" s="102">
        <f t="shared" si="3029"/>
        <v>0</v>
      </c>
      <c r="H6099" s="690" t="s">
        <v>36</v>
      </c>
      <c r="I6099" s="71" t="s">
        <v>3320</v>
      </c>
      <c r="J6099" s="53">
        <f t="shared" si="3032"/>
        <v>0</v>
      </c>
      <c r="K6099" s="63" t="e">
        <f t="shared" si="3033"/>
        <v>#DIV/0!</v>
      </c>
      <c r="L6099" s="1212" t="s">
        <v>3818</v>
      </c>
      <c r="M6099" s="468"/>
      <c r="N6099" s="1192">
        <f t="shared" si="3026"/>
        <v>45132</v>
      </c>
      <c r="O6099" s="71" t="s">
        <v>3323</v>
      </c>
      <c r="P6099" s="103" t="str">
        <f t="shared" si="3030"/>
        <v>한특 잉크(적)</v>
      </c>
      <c r="Q6099" s="71">
        <f t="shared" si="3031"/>
        <v>0</v>
      </c>
      <c r="R6099" s="102">
        <v>6500</v>
      </c>
      <c r="S6099" s="102">
        <f t="shared" si="3034"/>
        <v>0</v>
      </c>
      <c r="T6099" s="102">
        <f t="shared" si="3035"/>
        <v>0</v>
      </c>
      <c r="U6099" s="71" t="s">
        <v>859</v>
      </c>
      <c r="V6099" s="71"/>
      <c r="W6099" s="474">
        <v>0</v>
      </c>
      <c r="X6099" s="71"/>
      <c r="Y6099" s="71"/>
    </row>
    <row r="6100" spans="1:25" ht="30" hidden="1" customHeight="1" x14ac:dyDescent="0.25">
      <c r="A6100" s="1145">
        <v>45132</v>
      </c>
      <c r="B6100" s="664" t="s">
        <v>2254</v>
      </c>
      <c r="C6100" s="71" t="s">
        <v>3324</v>
      </c>
      <c r="D6100" s="71"/>
      <c r="E6100" s="102">
        <v>6900</v>
      </c>
      <c r="F6100" s="102">
        <f t="shared" si="3028"/>
        <v>0</v>
      </c>
      <c r="G6100" s="102">
        <f t="shared" si="3029"/>
        <v>0</v>
      </c>
      <c r="H6100" s="690" t="s">
        <v>36</v>
      </c>
      <c r="I6100" s="71" t="s">
        <v>3320</v>
      </c>
      <c r="J6100" s="53">
        <f t="shared" si="3032"/>
        <v>0</v>
      </c>
      <c r="K6100" s="63" t="e">
        <f t="shared" si="3033"/>
        <v>#DIV/0!</v>
      </c>
      <c r="L6100" s="1212" t="s">
        <v>3818</v>
      </c>
      <c r="M6100" s="468"/>
      <c r="N6100" s="1192">
        <f t="shared" si="3026"/>
        <v>45132</v>
      </c>
      <c r="O6100" s="71" t="s">
        <v>3323</v>
      </c>
      <c r="P6100" s="103" t="str">
        <f t="shared" si="3030"/>
        <v>한특 잉크(황)</v>
      </c>
      <c r="Q6100" s="71">
        <f t="shared" si="3031"/>
        <v>0</v>
      </c>
      <c r="R6100" s="102">
        <v>6200</v>
      </c>
      <c r="S6100" s="102">
        <f t="shared" si="3034"/>
        <v>0</v>
      </c>
      <c r="T6100" s="102">
        <f t="shared" si="3035"/>
        <v>0</v>
      </c>
      <c r="U6100" s="71" t="s">
        <v>859</v>
      </c>
      <c r="V6100" s="71"/>
      <c r="W6100" s="474">
        <v>0</v>
      </c>
      <c r="X6100" s="71"/>
      <c r="Y6100" s="71"/>
    </row>
    <row r="6101" spans="1:25" ht="28.5" hidden="1" customHeight="1" x14ac:dyDescent="0.25">
      <c r="A6101" s="1145">
        <v>45132</v>
      </c>
      <c r="B6101" s="664" t="s">
        <v>2254</v>
      </c>
      <c r="C6101" s="71" t="s">
        <v>3325</v>
      </c>
      <c r="D6101" s="71"/>
      <c r="E6101" s="102">
        <v>7500</v>
      </c>
      <c r="F6101" s="102">
        <f t="shared" si="3028"/>
        <v>0</v>
      </c>
      <c r="G6101" s="102">
        <f t="shared" si="3029"/>
        <v>0</v>
      </c>
      <c r="H6101" s="690" t="s">
        <v>36</v>
      </c>
      <c r="I6101" s="71" t="s">
        <v>3320</v>
      </c>
      <c r="J6101" s="53">
        <f t="shared" si="3032"/>
        <v>0</v>
      </c>
      <c r="K6101" s="63" t="e">
        <f t="shared" si="3033"/>
        <v>#DIV/0!</v>
      </c>
      <c r="L6101" s="1212" t="s">
        <v>3818</v>
      </c>
      <c r="M6101" s="468"/>
      <c r="N6101" s="1192">
        <f t="shared" si="3026"/>
        <v>45132</v>
      </c>
      <c r="O6101" s="71" t="s">
        <v>3323</v>
      </c>
      <c r="P6101" s="103" t="str">
        <f t="shared" si="3030"/>
        <v>한특 잉크(청)</v>
      </c>
      <c r="Q6101" s="71">
        <f t="shared" si="3031"/>
        <v>0</v>
      </c>
      <c r="R6101" s="102">
        <v>6600</v>
      </c>
      <c r="S6101" s="102">
        <f t="shared" si="3034"/>
        <v>0</v>
      </c>
      <c r="T6101" s="102">
        <f t="shared" si="3035"/>
        <v>0</v>
      </c>
      <c r="U6101" s="71" t="s">
        <v>859</v>
      </c>
      <c r="V6101" s="71"/>
      <c r="W6101" s="474">
        <v>0</v>
      </c>
      <c r="X6101" s="71"/>
      <c r="Y6101" s="71"/>
    </row>
    <row r="6102" spans="1:25" ht="30" hidden="1" customHeight="1" x14ac:dyDescent="0.25">
      <c r="A6102" s="1145">
        <v>45132</v>
      </c>
      <c r="B6102" s="664" t="s">
        <v>2254</v>
      </c>
      <c r="C6102" s="71" t="s">
        <v>3326</v>
      </c>
      <c r="D6102" s="71"/>
      <c r="E6102" s="102">
        <v>6450</v>
      </c>
      <c r="F6102" s="102">
        <f t="shared" si="3028"/>
        <v>0</v>
      </c>
      <c r="G6102" s="102">
        <f t="shared" si="3029"/>
        <v>0</v>
      </c>
      <c r="H6102" s="690" t="s">
        <v>36</v>
      </c>
      <c r="I6102" s="71" t="s">
        <v>3320</v>
      </c>
      <c r="J6102" s="53">
        <f t="shared" si="3032"/>
        <v>0</v>
      </c>
      <c r="K6102" s="63" t="e">
        <f t="shared" si="3033"/>
        <v>#DIV/0!</v>
      </c>
      <c r="L6102" s="1212" t="s">
        <v>3818</v>
      </c>
      <c r="M6102" s="468"/>
      <c r="N6102" s="1192">
        <f t="shared" si="3026"/>
        <v>45132</v>
      </c>
      <c r="O6102" s="71" t="s">
        <v>3323</v>
      </c>
      <c r="P6102" s="103" t="str">
        <f t="shared" si="3030"/>
        <v>한특 잉크(먹)</v>
      </c>
      <c r="Q6102" s="71">
        <f t="shared" si="3031"/>
        <v>0</v>
      </c>
      <c r="R6102" s="102">
        <v>5700</v>
      </c>
      <c r="S6102" s="102">
        <f t="shared" si="3034"/>
        <v>0</v>
      </c>
      <c r="T6102" s="102">
        <f t="shared" si="3035"/>
        <v>0</v>
      </c>
      <c r="U6102" s="71" t="s">
        <v>859</v>
      </c>
      <c r="V6102" s="71"/>
      <c r="W6102" s="474">
        <v>0</v>
      </c>
      <c r="X6102" s="71"/>
      <c r="Y6102" s="71"/>
    </row>
    <row r="6103" spans="1:25" ht="30" hidden="1" customHeight="1" x14ac:dyDescent="0.25">
      <c r="A6103" s="1145">
        <v>45132</v>
      </c>
      <c r="B6103" s="664" t="s">
        <v>2254</v>
      </c>
      <c r="C6103" s="71" t="s">
        <v>3819</v>
      </c>
      <c r="D6103" s="71">
        <v>80</v>
      </c>
      <c r="E6103" s="102">
        <v>9500</v>
      </c>
      <c r="F6103" s="102">
        <f>(E6103*D6103)*1.1</f>
        <v>836000.00000000012</v>
      </c>
      <c r="G6103" s="102">
        <f>(E6103*D6103)</f>
        <v>760000</v>
      </c>
      <c r="H6103" s="690" t="s">
        <v>36</v>
      </c>
      <c r="I6103" s="71" t="s">
        <v>3320</v>
      </c>
      <c r="J6103" s="53">
        <f t="shared" si="3032"/>
        <v>40000</v>
      </c>
      <c r="K6103" s="63">
        <f t="shared" si="3033"/>
        <v>5.2631578947368411E-2</v>
      </c>
      <c r="L6103" s="1212" t="s">
        <v>3818</v>
      </c>
      <c r="M6103" s="468"/>
      <c r="N6103" s="1192">
        <f t="shared" si="3026"/>
        <v>45132</v>
      </c>
      <c r="O6103" s="71" t="s">
        <v>2459</v>
      </c>
      <c r="P6103" s="103" t="str">
        <f t="shared" si="3030"/>
        <v>별색 - P 801 C(한특)</v>
      </c>
      <c r="Q6103" s="71">
        <f t="shared" si="3031"/>
        <v>80</v>
      </c>
      <c r="R6103" s="102">
        <v>9000</v>
      </c>
      <c r="S6103" s="102">
        <f t="shared" si="3034"/>
        <v>792000.00000000012</v>
      </c>
      <c r="T6103" s="102">
        <f t="shared" si="3035"/>
        <v>720000</v>
      </c>
      <c r="U6103" s="71"/>
      <c r="V6103" s="71"/>
      <c r="W6103" s="474"/>
      <c r="X6103" s="71"/>
      <c r="Y6103" s="71"/>
    </row>
    <row r="6104" spans="1:25" ht="30" hidden="1" customHeight="1" x14ac:dyDescent="0.25">
      <c r="A6104" s="1145">
        <v>45132</v>
      </c>
      <c r="B6104" s="664" t="s">
        <v>443</v>
      </c>
      <c r="C6104" s="71" t="s">
        <v>3392</v>
      </c>
      <c r="D6104" s="71">
        <v>8</v>
      </c>
      <c r="E6104" s="102">
        <v>218000</v>
      </c>
      <c r="F6104" s="102">
        <f t="shared" si="3028"/>
        <v>1918400.0000000002</v>
      </c>
      <c r="G6104" s="102">
        <f t="shared" si="3029"/>
        <v>1744000</v>
      </c>
      <c r="H6104" s="690" t="s">
        <v>172</v>
      </c>
      <c r="I6104" s="71" t="s">
        <v>184</v>
      </c>
      <c r="J6104" s="53">
        <f t="shared" si="3032"/>
        <v>412000</v>
      </c>
      <c r="K6104" s="63">
        <f t="shared" si="3033"/>
        <v>0.23623853211009171</v>
      </c>
      <c r="L6104" s="1212" t="s">
        <v>3818</v>
      </c>
      <c r="M6104" s="468" t="s">
        <v>3393</v>
      </c>
      <c r="N6104" s="1192">
        <f t="shared" si="3026"/>
        <v>45132</v>
      </c>
      <c r="O6104" s="71" t="s">
        <v>2030</v>
      </c>
      <c r="P6104" s="103" t="str">
        <f t="shared" si="3030"/>
        <v>윤전 블랑켓</v>
      </c>
      <c r="Q6104" s="71">
        <f t="shared" si="3031"/>
        <v>8</v>
      </c>
      <c r="R6104" s="102">
        <v>166500</v>
      </c>
      <c r="S6104" s="102">
        <f t="shared" si="3034"/>
        <v>1465200.0000000002</v>
      </c>
      <c r="T6104" s="102">
        <f t="shared" si="3035"/>
        <v>1332000</v>
      </c>
      <c r="U6104" s="71" t="s">
        <v>859</v>
      </c>
      <c r="V6104" s="71" t="s">
        <v>3394</v>
      </c>
      <c r="W6104" s="474">
        <v>464000</v>
      </c>
      <c r="X6104" s="71"/>
      <c r="Y6104" s="71"/>
    </row>
    <row r="6105" spans="1:25" ht="30" hidden="1" customHeight="1" x14ac:dyDescent="0.25">
      <c r="A6105" s="1145">
        <v>45132</v>
      </c>
      <c r="B6105" s="664" t="s">
        <v>443</v>
      </c>
      <c r="C6105" s="71" t="s">
        <v>3820</v>
      </c>
      <c r="D6105" s="71">
        <v>1</v>
      </c>
      <c r="E6105" s="102">
        <v>2350000</v>
      </c>
      <c r="F6105" s="102">
        <f t="shared" si="3028"/>
        <v>2585000</v>
      </c>
      <c r="G6105" s="102">
        <f t="shared" si="3029"/>
        <v>2350000</v>
      </c>
      <c r="H6105" s="690" t="s">
        <v>179</v>
      </c>
      <c r="I6105" s="690" t="s">
        <v>179</v>
      </c>
      <c r="J6105" s="53">
        <f t="shared" si="3032"/>
        <v>600000</v>
      </c>
      <c r="K6105" s="63">
        <f t="shared" si="3033"/>
        <v>0.25531914893617019</v>
      </c>
      <c r="L6105" s="1212" t="s">
        <v>3818</v>
      </c>
      <c r="M6105" s="468"/>
      <c r="N6105" s="1192">
        <f t="shared" si="3026"/>
        <v>45132</v>
      </c>
      <c r="O6105" s="71" t="s">
        <v>194</v>
      </c>
      <c r="P6105" s="103" t="str">
        <f t="shared" si="3030"/>
        <v>7월분 Apogee 사용료</v>
      </c>
      <c r="Q6105" s="71">
        <f t="shared" si="3031"/>
        <v>1</v>
      </c>
      <c r="R6105" s="147">
        <v>1750000</v>
      </c>
      <c r="S6105" s="102">
        <f t="shared" si="3034"/>
        <v>1925000.0000000002</v>
      </c>
      <c r="T6105" s="102">
        <f t="shared" si="3035"/>
        <v>1750000</v>
      </c>
      <c r="U6105" s="71"/>
      <c r="V6105" s="71"/>
      <c r="W6105" s="474"/>
      <c r="X6105" s="71"/>
      <c r="Y6105" s="71"/>
    </row>
    <row r="6106" spans="1:25" s="209" customFormat="1" ht="30" hidden="1" customHeight="1" x14ac:dyDescent="0.25">
      <c r="A6106" s="1145">
        <v>45117</v>
      </c>
      <c r="B6106" s="664" t="s">
        <v>3571</v>
      </c>
      <c r="C6106" s="71" t="s">
        <v>3821</v>
      </c>
      <c r="D6106" s="71">
        <v>1</v>
      </c>
      <c r="E6106" s="102">
        <v>53795000</v>
      </c>
      <c r="F6106" s="102">
        <f t="shared" si="3028"/>
        <v>59174500.000000007</v>
      </c>
      <c r="G6106" s="102">
        <f t="shared" si="3029"/>
        <v>53795000</v>
      </c>
      <c r="H6106" s="690" t="s">
        <v>1786</v>
      </c>
      <c r="I6106" s="71" t="s">
        <v>1786</v>
      </c>
      <c r="J6106" s="53"/>
      <c r="K6106" s="63"/>
      <c r="L6106" s="1212" t="s">
        <v>3818</v>
      </c>
      <c r="M6106" s="468"/>
      <c r="N6106" s="1192">
        <f t="shared" si="3026"/>
        <v>45117</v>
      </c>
      <c r="O6106" s="71"/>
      <c r="P6106" s="164" t="str">
        <f t="shared" si="3030"/>
        <v>M600 자동 판걸이 업그레이드 잔금 50%</v>
      </c>
      <c r="Q6106" s="71">
        <f t="shared" si="3031"/>
        <v>1</v>
      </c>
      <c r="R6106" s="102"/>
      <c r="S6106" s="102"/>
      <c r="T6106" s="102"/>
      <c r="U6106" s="71"/>
      <c r="V6106" s="71"/>
      <c r="W6106" s="474"/>
      <c r="X6106" s="71"/>
      <c r="Y6106" s="71"/>
    </row>
    <row r="6107" spans="1:25" ht="30" hidden="1" customHeight="1" x14ac:dyDescent="0.25">
      <c r="A6107" s="1145">
        <v>45132</v>
      </c>
      <c r="B6107" s="664" t="s">
        <v>2155</v>
      </c>
      <c r="C6107" s="71" t="s">
        <v>114</v>
      </c>
      <c r="D6107" s="71">
        <v>12</v>
      </c>
      <c r="E6107" s="102">
        <v>18000</v>
      </c>
      <c r="F6107" s="102">
        <f t="shared" si="3028"/>
        <v>237600.00000000003</v>
      </c>
      <c r="G6107" s="102">
        <f t="shared" si="3029"/>
        <v>216000</v>
      </c>
      <c r="H6107" s="690" t="s">
        <v>1786</v>
      </c>
      <c r="I6107" s="71" t="s">
        <v>1786</v>
      </c>
      <c r="J6107" s="53">
        <f>G6107-T6107</f>
        <v>94920</v>
      </c>
      <c r="K6107" s="63">
        <f>(J6107/(F6107/11*10))</f>
        <v>0.43944444444444436</v>
      </c>
      <c r="L6107" s="1212" t="s">
        <v>3818</v>
      </c>
      <c r="M6107" s="468"/>
      <c r="N6107" s="1192">
        <f t="shared" si="3026"/>
        <v>45132</v>
      </c>
      <c r="O6107" s="71" t="s">
        <v>1786</v>
      </c>
      <c r="P6107" s="103" t="str">
        <f t="shared" si="3030"/>
        <v>스트리퍼</v>
      </c>
      <c r="Q6107" s="71">
        <f t="shared" si="3031"/>
        <v>12</v>
      </c>
      <c r="R6107" s="102">
        <v>10090</v>
      </c>
      <c r="S6107" s="102">
        <f>R6107*Q6107*1.1</f>
        <v>133188</v>
      </c>
      <c r="T6107" s="102">
        <f>R6107*Q6107</f>
        <v>121080</v>
      </c>
      <c r="U6107" s="71"/>
      <c r="V6107" s="71"/>
      <c r="W6107" s="474"/>
      <c r="X6107" s="71"/>
      <c r="Y6107" s="71"/>
    </row>
    <row r="6108" spans="1:25" ht="30" hidden="1" customHeight="1" x14ac:dyDescent="0.25">
      <c r="A6108" s="1145">
        <v>45132</v>
      </c>
      <c r="B6108" s="664" t="s">
        <v>3824</v>
      </c>
      <c r="C6108" s="71" t="s">
        <v>2009</v>
      </c>
      <c r="D6108" s="71">
        <v>1</v>
      </c>
      <c r="E6108" s="102">
        <v>280000</v>
      </c>
      <c r="F6108" s="102">
        <f t="shared" si="3028"/>
        <v>308000</v>
      </c>
      <c r="G6108" s="102">
        <f t="shared" si="3029"/>
        <v>280000</v>
      </c>
      <c r="H6108" s="690" t="s">
        <v>985</v>
      </c>
      <c r="I6108" s="71" t="s">
        <v>985</v>
      </c>
      <c r="J6108" s="53"/>
      <c r="K6108" s="63"/>
      <c r="L6108" s="1212" t="s">
        <v>3818</v>
      </c>
      <c r="M6108" s="102"/>
      <c r="N6108" s="1192"/>
      <c r="O6108" s="71"/>
      <c r="P6108" s="103" t="str">
        <f t="shared" si="3030"/>
        <v>M600 서비스 비용</v>
      </c>
      <c r="Q6108" s="71">
        <f t="shared" si="3031"/>
        <v>1</v>
      </c>
      <c r="R6108" s="102"/>
      <c r="S6108" s="102"/>
      <c r="T6108" s="102"/>
      <c r="U6108" s="71"/>
      <c r="V6108" s="71"/>
      <c r="W6108" s="474"/>
      <c r="X6108" s="71"/>
      <c r="Y6108" s="71"/>
    </row>
    <row r="6109" spans="1:25" ht="30" hidden="1" customHeight="1" x14ac:dyDescent="0.25">
      <c r="A6109" s="1145">
        <v>45132</v>
      </c>
      <c r="B6109" s="664" t="s">
        <v>3824</v>
      </c>
      <c r="C6109" s="71" t="s">
        <v>3825</v>
      </c>
      <c r="D6109" s="71">
        <v>1</v>
      </c>
      <c r="E6109" s="102">
        <v>15200000</v>
      </c>
      <c r="F6109" s="102">
        <f t="shared" si="3028"/>
        <v>16720000.000000002</v>
      </c>
      <c r="G6109" s="102">
        <f t="shared" si="3029"/>
        <v>15200000</v>
      </c>
      <c r="H6109" s="690" t="s">
        <v>985</v>
      </c>
      <c r="I6109" s="690" t="s">
        <v>985</v>
      </c>
      <c r="J6109" s="53"/>
      <c r="K6109" s="63"/>
      <c r="L6109" s="1212" t="s">
        <v>3818</v>
      </c>
      <c r="M6109" s="468"/>
      <c r="N6109" s="1192"/>
      <c r="O6109" s="71"/>
      <c r="P6109" s="103" t="str">
        <f t="shared" si="3030"/>
        <v>M600 자동판걸이 서비스비용</v>
      </c>
      <c r="Q6109" s="71">
        <f t="shared" si="3031"/>
        <v>1</v>
      </c>
      <c r="R6109" s="102"/>
      <c r="S6109" s="102"/>
      <c r="T6109" s="102"/>
      <c r="U6109" s="71"/>
      <c r="V6109" s="71"/>
      <c r="W6109" s="474"/>
      <c r="X6109" s="71"/>
      <c r="Y6109" s="71"/>
    </row>
    <row r="6110" spans="1:25" ht="30" hidden="1" customHeight="1" x14ac:dyDescent="0.25">
      <c r="A6110" s="1210" t="s">
        <v>3828</v>
      </c>
      <c r="B6110" s="1211" t="s">
        <v>544</v>
      </c>
      <c r="C6110" s="960"/>
      <c r="D6110" s="960"/>
      <c r="E6110" s="952"/>
      <c r="F6110" s="952"/>
      <c r="G6110" s="952"/>
      <c r="H6110" s="1206"/>
      <c r="I6110" s="960"/>
      <c r="J6110" s="952"/>
      <c r="K6110" s="953"/>
      <c r="L6110" s="1212" t="s">
        <v>3829</v>
      </c>
      <c r="M6110" s="1207"/>
      <c r="N6110" s="1208" t="str">
        <f t="shared" ref="N6110:N6119" si="3036">A6110</f>
        <v>2023,8</v>
      </c>
      <c r="O6110" s="960"/>
      <c r="P6110" s="1209"/>
      <c r="Q6110" s="960"/>
      <c r="R6110" s="952"/>
      <c r="S6110" s="952"/>
      <c r="T6110" s="952"/>
      <c r="U6110" s="960"/>
      <c r="V6110" s="960"/>
      <c r="W6110" s="474">
        <f>(G6110-T6110)</f>
        <v>0</v>
      </c>
      <c r="X6110" s="71"/>
      <c r="Y6110" s="71"/>
    </row>
    <row r="6111" spans="1:25" ht="30" hidden="1" customHeight="1" x14ac:dyDescent="0.25">
      <c r="A6111" s="1145">
        <v>45155</v>
      </c>
      <c r="B6111" s="664" t="s">
        <v>2798</v>
      </c>
      <c r="C6111" s="71" t="s">
        <v>167</v>
      </c>
      <c r="D6111" s="71">
        <v>20</v>
      </c>
      <c r="E6111" s="102">
        <v>138000</v>
      </c>
      <c r="F6111" s="102">
        <f t="shared" ref="F6111:F6125" si="3037">(E6111*D6111)*1.1</f>
        <v>3036000.0000000005</v>
      </c>
      <c r="G6111" s="102">
        <f t="shared" ref="G6111:G6119" si="3038">(E6111*D6111)</f>
        <v>2760000</v>
      </c>
      <c r="H6111" s="690" t="s">
        <v>172</v>
      </c>
      <c r="I6111" s="71" t="s">
        <v>33</v>
      </c>
      <c r="J6111" s="53">
        <f t="shared" ref="J6111:J6125" si="3039">G6111-T6111</f>
        <v>736000</v>
      </c>
      <c r="K6111" s="63">
        <f t="shared" ref="K6111:K6119" si="3040">(J6111/(F6111/11*10))</f>
        <v>0.26666666666666661</v>
      </c>
      <c r="L6111" s="1212" t="s">
        <v>3829</v>
      </c>
      <c r="M6111" s="468"/>
      <c r="N6111" s="1192">
        <f t="shared" si="3036"/>
        <v>45155</v>
      </c>
      <c r="O6111" s="71" t="s">
        <v>146</v>
      </c>
      <c r="P6111" s="103" t="str">
        <f t="shared" ref="P6111:P6118" si="3041">(C6111)</f>
        <v>Blanket(1060*860)</v>
      </c>
      <c r="Q6111" s="71">
        <f t="shared" ref="Q6111:Q6119" si="3042">D6111</f>
        <v>20</v>
      </c>
      <c r="R6111" s="102">
        <v>101200</v>
      </c>
      <c r="S6111" s="102">
        <f t="shared" ref="S6111:S6126" si="3043">R6111*Q6111*1.1</f>
        <v>2226400</v>
      </c>
      <c r="T6111" s="102">
        <f t="shared" ref="T6111:T6126" si="3044">R6111*Q6111</f>
        <v>2024000</v>
      </c>
      <c r="U6111" s="71" t="str">
        <f>IF(J6111=W6111,"O", "X")</f>
        <v>X</v>
      </c>
      <c r="V6111" s="71"/>
      <c r="W6111" s="474"/>
      <c r="X6111" s="71"/>
      <c r="Y6111" s="71"/>
    </row>
    <row r="6112" spans="1:25" ht="30" hidden="1" customHeight="1" x14ac:dyDescent="0.25">
      <c r="A6112" s="1145">
        <v>45164</v>
      </c>
      <c r="B6112" s="664" t="s">
        <v>2798</v>
      </c>
      <c r="C6112" s="71" t="s">
        <v>167</v>
      </c>
      <c r="D6112" s="71">
        <v>10</v>
      </c>
      <c r="E6112" s="102">
        <v>138000</v>
      </c>
      <c r="F6112" s="102">
        <f t="shared" si="3037"/>
        <v>1518000.0000000002</v>
      </c>
      <c r="G6112" s="102">
        <f t="shared" si="3038"/>
        <v>1380000</v>
      </c>
      <c r="H6112" s="690" t="s">
        <v>172</v>
      </c>
      <c r="I6112" s="71" t="s">
        <v>33</v>
      </c>
      <c r="J6112" s="53">
        <f t="shared" si="3039"/>
        <v>368000</v>
      </c>
      <c r="K6112" s="63">
        <f t="shared" si="3040"/>
        <v>0.26666666666666661</v>
      </c>
      <c r="L6112" s="1212" t="s">
        <v>3829</v>
      </c>
      <c r="M6112" s="468"/>
      <c r="N6112" s="1192">
        <f t="shared" si="3036"/>
        <v>45164</v>
      </c>
      <c r="O6112" s="71" t="s">
        <v>146</v>
      </c>
      <c r="P6112" s="103" t="str">
        <f t="shared" si="3041"/>
        <v>Blanket(1060*860)</v>
      </c>
      <c r="Q6112" s="71">
        <f t="shared" si="3042"/>
        <v>10</v>
      </c>
      <c r="R6112" s="102">
        <v>101200</v>
      </c>
      <c r="S6112" s="102">
        <f t="shared" si="3043"/>
        <v>1113200</v>
      </c>
      <c r="T6112" s="102">
        <f t="shared" si="3044"/>
        <v>1012000</v>
      </c>
      <c r="U6112" s="71" t="str">
        <f>IF(J6112=W6112,"O", "X")</f>
        <v>X</v>
      </c>
      <c r="V6112" s="71"/>
      <c r="W6112" s="474"/>
      <c r="X6112" s="71"/>
      <c r="Y6112" s="71"/>
    </row>
    <row r="6113" spans="1:25" ht="30" hidden="1" customHeight="1" x14ac:dyDescent="0.25">
      <c r="A6113" s="1145">
        <v>45168</v>
      </c>
      <c r="B6113" s="664" t="s">
        <v>3830</v>
      </c>
      <c r="C6113" s="71" t="s">
        <v>3831</v>
      </c>
      <c r="D6113" s="71">
        <v>1678</v>
      </c>
      <c r="E6113" s="102">
        <v>1400</v>
      </c>
      <c r="F6113" s="102">
        <f t="shared" si="3037"/>
        <v>2584120</v>
      </c>
      <c r="G6113" s="102">
        <f t="shared" si="3038"/>
        <v>2349200</v>
      </c>
      <c r="H6113" s="690" t="s">
        <v>2029</v>
      </c>
      <c r="I6113" s="71" t="s">
        <v>2230</v>
      </c>
      <c r="J6113" s="53">
        <f t="shared" si="3039"/>
        <v>2349200</v>
      </c>
      <c r="K6113" s="63">
        <f t="shared" si="3040"/>
        <v>1</v>
      </c>
      <c r="L6113" s="1212" t="s">
        <v>3832</v>
      </c>
      <c r="M6113" s="468"/>
      <c r="N6113" s="1192">
        <f t="shared" si="3036"/>
        <v>45168</v>
      </c>
      <c r="O6113" s="71"/>
      <c r="P6113" s="103" t="str">
        <f t="shared" si="3041"/>
        <v>폐판</v>
      </c>
      <c r="Q6113" s="71">
        <f t="shared" si="3042"/>
        <v>1678</v>
      </c>
      <c r="R6113" s="147">
        <v>0</v>
      </c>
      <c r="S6113" s="102">
        <f t="shared" si="3043"/>
        <v>0</v>
      </c>
      <c r="T6113" s="102">
        <f t="shared" si="3044"/>
        <v>0</v>
      </c>
      <c r="U6113" s="71"/>
      <c r="V6113" s="71"/>
      <c r="W6113" s="474"/>
      <c r="X6113" s="71"/>
      <c r="Y6113" s="71"/>
    </row>
    <row r="6114" spans="1:25" ht="30" hidden="1" customHeight="1" x14ac:dyDescent="0.25">
      <c r="A6114" s="1145">
        <v>45154</v>
      </c>
      <c r="B6114" s="664" t="s">
        <v>3618</v>
      </c>
      <c r="C6114" s="71" t="s">
        <v>2031</v>
      </c>
      <c r="D6114" s="71">
        <v>5</v>
      </c>
      <c r="E6114" s="102">
        <v>50000</v>
      </c>
      <c r="F6114" s="102">
        <f t="shared" si="3037"/>
        <v>275000</v>
      </c>
      <c r="G6114" s="102">
        <f t="shared" si="3038"/>
        <v>250000</v>
      </c>
      <c r="H6114" s="690" t="s">
        <v>94</v>
      </c>
      <c r="I6114" s="71" t="s">
        <v>94</v>
      </c>
      <c r="J6114" s="53">
        <f t="shared" si="3039"/>
        <v>130000</v>
      </c>
      <c r="K6114" s="63">
        <f t="shared" si="3040"/>
        <v>0.52</v>
      </c>
      <c r="L6114" s="1212" t="s">
        <v>3832</v>
      </c>
      <c r="M6114" s="468"/>
      <c r="N6114" s="1192">
        <f t="shared" si="3036"/>
        <v>45154</v>
      </c>
      <c r="O6114" s="71" t="s">
        <v>94</v>
      </c>
      <c r="P6114" s="103" t="str">
        <f t="shared" si="3041"/>
        <v>필터백</v>
      </c>
      <c r="Q6114" s="71">
        <f t="shared" si="3042"/>
        <v>5</v>
      </c>
      <c r="R6114" s="102">
        <v>24000</v>
      </c>
      <c r="S6114" s="102">
        <f t="shared" si="3043"/>
        <v>132000</v>
      </c>
      <c r="T6114" s="102">
        <f t="shared" si="3044"/>
        <v>120000</v>
      </c>
      <c r="U6114" s="71"/>
      <c r="V6114" s="71"/>
      <c r="W6114" s="474"/>
      <c r="X6114" s="71"/>
      <c r="Y6114" s="71"/>
    </row>
    <row r="6115" spans="1:25" ht="30" hidden="1" customHeight="1" x14ac:dyDescent="0.25">
      <c r="A6115" s="1145">
        <v>45166</v>
      </c>
      <c r="B6115" s="664" t="s">
        <v>26</v>
      </c>
      <c r="C6115" s="71" t="s">
        <v>2087</v>
      </c>
      <c r="D6115" s="71">
        <v>5</v>
      </c>
      <c r="E6115" s="102">
        <v>65000</v>
      </c>
      <c r="F6115" s="102">
        <f t="shared" si="3037"/>
        <v>357500</v>
      </c>
      <c r="G6115" s="102">
        <f t="shared" si="3038"/>
        <v>325000</v>
      </c>
      <c r="H6115" s="690" t="s">
        <v>172</v>
      </c>
      <c r="I6115" s="71" t="s">
        <v>3295</v>
      </c>
      <c r="J6115" s="53">
        <f t="shared" si="3039"/>
        <v>75000</v>
      </c>
      <c r="K6115" s="63">
        <f t="shared" si="3040"/>
        <v>0.23076923076923078</v>
      </c>
      <c r="L6115" s="1212" t="s">
        <v>3832</v>
      </c>
      <c r="M6115" s="468"/>
      <c r="N6115" s="1192">
        <f t="shared" si="3036"/>
        <v>45166</v>
      </c>
      <c r="O6115" s="71" t="s">
        <v>152</v>
      </c>
      <c r="P6115" s="103" t="str">
        <f t="shared" si="3041"/>
        <v>아스테이지(국전)</v>
      </c>
      <c r="Q6115" s="71">
        <f t="shared" si="3042"/>
        <v>5</v>
      </c>
      <c r="R6115" s="102">
        <v>50000</v>
      </c>
      <c r="S6115" s="102">
        <f t="shared" si="3043"/>
        <v>275000</v>
      </c>
      <c r="T6115" s="102">
        <f t="shared" si="3044"/>
        <v>250000</v>
      </c>
      <c r="U6115" s="71" t="str">
        <f>IF(J6115=W6115,"O", "X")</f>
        <v>X</v>
      </c>
      <c r="V6115" s="71"/>
      <c r="W6115" s="474">
        <v>150000</v>
      </c>
      <c r="X6115" s="71"/>
      <c r="Y6115" s="71"/>
    </row>
    <row r="6116" spans="1:25" s="209" customFormat="1" ht="30" hidden="1" customHeight="1" x14ac:dyDescent="0.2">
      <c r="A6116" s="1145">
        <v>45148</v>
      </c>
      <c r="B6116" s="664" t="s">
        <v>2261</v>
      </c>
      <c r="C6116" s="71" t="s">
        <v>3413</v>
      </c>
      <c r="D6116" s="71">
        <v>2</v>
      </c>
      <c r="E6116" s="102">
        <v>105000</v>
      </c>
      <c r="F6116" s="163">
        <f t="shared" si="3037"/>
        <v>231000.00000000003</v>
      </c>
      <c r="G6116" s="102">
        <f t="shared" si="3038"/>
        <v>210000</v>
      </c>
      <c r="H6116" s="690" t="s">
        <v>2029</v>
      </c>
      <c r="I6116" s="71" t="s">
        <v>3385</v>
      </c>
      <c r="J6116" s="53">
        <f t="shared" si="3039"/>
        <v>110000</v>
      </c>
      <c r="K6116" s="63">
        <f t="shared" si="3040"/>
        <v>0.52380952380952372</v>
      </c>
      <c r="L6116" s="1212" t="s">
        <v>3829</v>
      </c>
      <c r="M6116" s="468"/>
      <c r="N6116" s="1192">
        <f t="shared" si="3036"/>
        <v>45148</v>
      </c>
      <c r="O6116" s="71" t="s">
        <v>190</v>
      </c>
      <c r="P6116" s="164" t="str">
        <f t="shared" si="3041"/>
        <v>아스테이지(국전)</v>
      </c>
      <c r="Q6116" s="71">
        <f t="shared" si="3042"/>
        <v>2</v>
      </c>
      <c r="R6116" s="102">
        <v>50000</v>
      </c>
      <c r="S6116" s="102">
        <f t="shared" si="3043"/>
        <v>110000.00000000001</v>
      </c>
      <c r="T6116" s="102">
        <f t="shared" si="3044"/>
        <v>100000</v>
      </c>
      <c r="U6116" s="71" t="str">
        <f>IF(J6116=W6116,"O", "X")</f>
        <v>X</v>
      </c>
      <c r="V6116" s="71"/>
      <c r="W6116" s="474">
        <v>500000</v>
      </c>
      <c r="X6116" s="71"/>
      <c r="Y6116" s="71"/>
    </row>
    <row r="6117" spans="1:25" ht="30" hidden="1" customHeight="1" x14ac:dyDescent="0.25">
      <c r="A6117" s="1145">
        <v>45140</v>
      </c>
      <c r="B6117" s="664" t="s">
        <v>442</v>
      </c>
      <c r="C6117" s="71" t="s">
        <v>2031</v>
      </c>
      <c r="D6117" s="71">
        <v>10</v>
      </c>
      <c r="E6117" s="102">
        <v>50000</v>
      </c>
      <c r="F6117" s="102">
        <f t="shared" si="3037"/>
        <v>550000</v>
      </c>
      <c r="G6117" s="102">
        <f t="shared" si="3038"/>
        <v>500000</v>
      </c>
      <c r="H6117" s="690" t="s">
        <v>94</v>
      </c>
      <c r="I6117" s="71" t="s">
        <v>94</v>
      </c>
      <c r="J6117" s="53">
        <f t="shared" si="3039"/>
        <v>260000</v>
      </c>
      <c r="K6117" s="63">
        <f t="shared" si="3040"/>
        <v>0.52</v>
      </c>
      <c r="L6117" s="1212" t="s">
        <v>3832</v>
      </c>
      <c r="M6117" s="102"/>
      <c r="N6117" s="1192">
        <f t="shared" si="3036"/>
        <v>45140</v>
      </c>
      <c r="O6117" s="71" t="s">
        <v>94</v>
      </c>
      <c r="P6117" s="103" t="str">
        <f t="shared" si="3041"/>
        <v>필터백</v>
      </c>
      <c r="Q6117" s="71">
        <f t="shared" si="3042"/>
        <v>10</v>
      </c>
      <c r="R6117" s="102">
        <v>24000</v>
      </c>
      <c r="S6117" s="102">
        <f t="shared" si="3043"/>
        <v>264000</v>
      </c>
      <c r="T6117" s="102">
        <f t="shared" si="3044"/>
        <v>240000</v>
      </c>
      <c r="U6117" s="71"/>
      <c r="V6117" s="71"/>
      <c r="W6117" s="474"/>
      <c r="X6117" s="71"/>
      <c r="Y6117" s="71"/>
    </row>
    <row r="6118" spans="1:25" ht="30" hidden="1" customHeight="1" x14ac:dyDescent="0.25">
      <c r="A6118" s="1145">
        <v>45147</v>
      </c>
      <c r="B6118" s="664" t="s">
        <v>442</v>
      </c>
      <c r="C6118" s="71" t="s">
        <v>3299</v>
      </c>
      <c r="D6118" s="71">
        <v>15</v>
      </c>
      <c r="E6118" s="102">
        <v>69000</v>
      </c>
      <c r="F6118" s="102">
        <f t="shared" si="3037"/>
        <v>1138500</v>
      </c>
      <c r="G6118" s="102">
        <f t="shared" si="3038"/>
        <v>1035000</v>
      </c>
      <c r="H6118" s="690" t="s">
        <v>172</v>
      </c>
      <c r="I6118" s="71" t="s">
        <v>180</v>
      </c>
      <c r="J6118" s="53">
        <f t="shared" si="3039"/>
        <v>322500</v>
      </c>
      <c r="K6118" s="63">
        <f t="shared" si="3040"/>
        <v>0.31159420289855072</v>
      </c>
      <c r="L6118" s="1212" t="s">
        <v>3832</v>
      </c>
      <c r="M6118" s="468" t="s">
        <v>3304</v>
      </c>
      <c r="N6118" s="1192">
        <f t="shared" si="3036"/>
        <v>45147</v>
      </c>
      <c r="O6118" s="71" t="s">
        <v>175</v>
      </c>
      <c r="P6118" s="164" t="str">
        <f t="shared" si="3041"/>
        <v>매엽용 세척제(Wash k11)</v>
      </c>
      <c r="Q6118" s="71">
        <f t="shared" si="3042"/>
        <v>15</v>
      </c>
      <c r="R6118" s="102">
        <v>47500</v>
      </c>
      <c r="S6118" s="102">
        <f t="shared" si="3043"/>
        <v>783750.00000000012</v>
      </c>
      <c r="T6118" s="102">
        <f t="shared" si="3044"/>
        <v>712500</v>
      </c>
      <c r="U6118" s="71" t="s">
        <v>859</v>
      </c>
      <c r="V6118" s="71"/>
      <c r="W6118" s="474"/>
      <c r="X6118" s="71"/>
      <c r="Y6118" s="71"/>
    </row>
    <row r="6119" spans="1:25" ht="30" hidden="1" customHeight="1" x14ac:dyDescent="0.25">
      <c r="A6119" s="1145">
        <v>45147</v>
      </c>
      <c r="B6119" s="664" t="s">
        <v>442</v>
      </c>
      <c r="C6119" s="71" t="s">
        <v>3431</v>
      </c>
      <c r="D6119" s="71">
        <v>2</v>
      </c>
      <c r="E6119" s="102">
        <v>142000</v>
      </c>
      <c r="F6119" s="102">
        <f t="shared" si="3037"/>
        <v>312400</v>
      </c>
      <c r="G6119" s="102">
        <f t="shared" si="3038"/>
        <v>284000</v>
      </c>
      <c r="H6119" s="690" t="s">
        <v>2029</v>
      </c>
      <c r="I6119" s="71" t="s">
        <v>195</v>
      </c>
      <c r="J6119" s="53">
        <f t="shared" si="3039"/>
        <v>94000</v>
      </c>
      <c r="K6119" s="63">
        <f t="shared" si="3040"/>
        <v>0.33098591549295775</v>
      </c>
      <c r="L6119" s="1212" t="s">
        <v>3832</v>
      </c>
      <c r="M6119" s="468"/>
      <c r="N6119" s="1192">
        <f t="shared" si="3036"/>
        <v>45147</v>
      </c>
      <c r="O6119" s="71" t="s">
        <v>2030</v>
      </c>
      <c r="P6119" s="164" t="str">
        <f>(C6119)</f>
        <v>닥터호일 아스테이지</v>
      </c>
      <c r="Q6119" s="71">
        <f t="shared" si="3042"/>
        <v>2</v>
      </c>
      <c r="R6119" s="102">
        <v>95000</v>
      </c>
      <c r="S6119" s="102">
        <f t="shared" si="3043"/>
        <v>209000.00000000003</v>
      </c>
      <c r="T6119" s="102">
        <f t="shared" si="3044"/>
        <v>190000</v>
      </c>
      <c r="U6119" s="71" t="str">
        <f>IF(J6119=W6119,"O", "X")</f>
        <v>O</v>
      </c>
      <c r="V6119" s="71"/>
      <c r="W6119" s="474">
        <f>(G6119-T6119)</f>
        <v>94000</v>
      </c>
      <c r="X6119" s="71"/>
      <c r="Y6119" s="71"/>
    </row>
    <row r="6120" spans="1:25" s="209" customFormat="1" ht="30" hidden="1" customHeight="1" x14ac:dyDescent="0.25">
      <c r="A6120" s="1145">
        <v>45152</v>
      </c>
      <c r="B6120" s="664" t="s">
        <v>442</v>
      </c>
      <c r="C6120" s="71" t="s">
        <v>3833</v>
      </c>
      <c r="D6120" s="71">
        <v>1000</v>
      </c>
      <c r="E6120" s="102">
        <v>4250</v>
      </c>
      <c r="F6120" s="102">
        <f t="shared" si="3037"/>
        <v>4675000</v>
      </c>
      <c r="G6120" s="102">
        <f t="shared" ref="G6120:G6140" si="3045">(E6120*D6120)</f>
        <v>4250000</v>
      </c>
      <c r="H6120" s="690" t="s">
        <v>2029</v>
      </c>
      <c r="I6120" s="71" t="s">
        <v>2230</v>
      </c>
      <c r="J6120" s="53">
        <f t="shared" si="3039"/>
        <v>305000</v>
      </c>
      <c r="K6120" s="63">
        <v>8.6352941176470591E-2</v>
      </c>
      <c r="L6120" s="1212" t="s">
        <v>3832</v>
      </c>
      <c r="M6120" s="468"/>
      <c r="N6120" s="1192">
        <v>45002</v>
      </c>
      <c r="O6120" s="71" t="s">
        <v>2030</v>
      </c>
      <c r="P6120" s="164" t="s">
        <v>3777</v>
      </c>
      <c r="Q6120" s="71">
        <v>1000</v>
      </c>
      <c r="R6120" s="102">
        <v>3945</v>
      </c>
      <c r="S6120" s="102">
        <f t="shared" si="3043"/>
        <v>4339500</v>
      </c>
      <c r="T6120" s="102">
        <f t="shared" si="3044"/>
        <v>3945000</v>
      </c>
      <c r="U6120" s="71"/>
      <c r="V6120" s="71"/>
      <c r="W6120" s="474"/>
      <c r="X6120" s="71"/>
      <c r="Y6120" s="71"/>
    </row>
    <row r="6121" spans="1:25" ht="30" hidden="1" customHeight="1" x14ac:dyDescent="0.25">
      <c r="A6121" s="1145">
        <v>45152</v>
      </c>
      <c r="B6121" s="664" t="s">
        <v>442</v>
      </c>
      <c r="C6121" s="71" t="s">
        <v>3834</v>
      </c>
      <c r="D6121" s="71">
        <v>10</v>
      </c>
      <c r="E6121" s="102">
        <v>57000</v>
      </c>
      <c r="F6121" s="102">
        <f t="shared" si="3037"/>
        <v>627000</v>
      </c>
      <c r="G6121" s="102">
        <f t="shared" si="3045"/>
        <v>570000</v>
      </c>
      <c r="H6121" s="690" t="s">
        <v>2029</v>
      </c>
      <c r="I6121" s="71" t="s">
        <v>2230</v>
      </c>
      <c r="J6121" s="53">
        <f t="shared" si="3039"/>
        <v>173400</v>
      </c>
      <c r="K6121" s="63">
        <v>0.30421052631578949</v>
      </c>
      <c r="L6121" s="1212" t="s">
        <v>3832</v>
      </c>
      <c r="M6121" s="468"/>
      <c r="N6121" s="1192">
        <v>45002</v>
      </c>
      <c r="O6121" s="71" t="s">
        <v>2030</v>
      </c>
      <c r="P6121" s="103" t="s">
        <v>1026</v>
      </c>
      <c r="Q6121" s="71">
        <v>10</v>
      </c>
      <c r="R6121" s="102">
        <v>39660</v>
      </c>
      <c r="S6121" s="102">
        <f t="shared" si="3043"/>
        <v>436260.00000000006</v>
      </c>
      <c r="T6121" s="102">
        <f t="shared" si="3044"/>
        <v>396600</v>
      </c>
      <c r="U6121" s="71"/>
      <c r="V6121" s="71"/>
      <c r="W6121" s="474"/>
      <c r="X6121" s="71"/>
      <c r="Y6121" s="71"/>
    </row>
    <row r="6122" spans="1:25" ht="30" hidden="1" customHeight="1" x14ac:dyDescent="0.25">
      <c r="A6122" s="1145">
        <v>45159</v>
      </c>
      <c r="B6122" s="664" t="s">
        <v>442</v>
      </c>
      <c r="C6122" s="71" t="s">
        <v>206</v>
      </c>
      <c r="D6122" s="71">
        <v>2</v>
      </c>
      <c r="E6122" s="102">
        <v>453000</v>
      </c>
      <c r="F6122" s="102">
        <f t="shared" si="3037"/>
        <v>996600.00000000012</v>
      </c>
      <c r="G6122" s="102">
        <f t="shared" si="3045"/>
        <v>906000</v>
      </c>
      <c r="H6122" s="690" t="s">
        <v>2029</v>
      </c>
      <c r="I6122" s="71" t="s">
        <v>195</v>
      </c>
      <c r="J6122" s="53">
        <f t="shared" si="3039"/>
        <v>144640</v>
      </c>
      <c r="K6122" s="63">
        <v>0.15964679911699778</v>
      </c>
      <c r="L6122" s="1212" t="s">
        <v>3832</v>
      </c>
      <c r="M6122" s="468"/>
      <c r="N6122" s="1192">
        <v>45028</v>
      </c>
      <c r="O6122" s="71" t="s">
        <v>194</v>
      </c>
      <c r="P6122" s="103" t="s">
        <v>3778</v>
      </c>
      <c r="Q6122" s="71">
        <v>2</v>
      </c>
      <c r="R6122" s="102">
        <v>380680</v>
      </c>
      <c r="S6122" s="102">
        <f t="shared" si="3043"/>
        <v>837496.00000000012</v>
      </c>
      <c r="T6122" s="102">
        <f t="shared" si="3044"/>
        <v>761360</v>
      </c>
      <c r="U6122" s="71" t="s">
        <v>859</v>
      </c>
      <c r="V6122" s="71"/>
      <c r="W6122" s="474">
        <v>144640</v>
      </c>
      <c r="X6122" s="71"/>
      <c r="Y6122" s="71"/>
    </row>
    <row r="6123" spans="1:25" ht="30" hidden="1" customHeight="1" x14ac:dyDescent="0.25">
      <c r="A6123" s="1145">
        <v>45159</v>
      </c>
      <c r="B6123" s="664" t="s">
        <v>442</v>
      </c>
      <c r="C6123" s="71" t="s">
        <v>207</v>
      </c>
      <c r="D6123" s="71">
        <v>2</v>
      </c>
      <c r="E6123" s="102">
        <v>558000</v>
      </c>
      <c r="F6123" s="102">
        <f t="shared" si="3037"/>
        <v>1227600</v>
      </c>
      <c r="G6123" s="102">
        <f t="shared" si="3045"/>
        <v>1116000</v>
      </c>
      <c r="H6123" s="690" t="s">
        <v>2029</v>
      </c>
      <c r="I6123" s="71" t="s">
        <v>195</v>
      </c>
      <c r="J6123" s="53">
        <f t="shared" si="3039"/>
        <v>228480</v>
      </c>
      <c r="K6123" s="63">
        <v>0.20473118279569893</v>
      </c>
      <c r="L6123" s="1212" t="s">
        <v>3832</v>
      </c>
      <c r="M6123" s="468"/>
      <c r="N6123" s="1192">
        <v>45028</v>
      </c>
      <c r="O6123" s="71" t="s">
        <v>194</v>
      </c>
      <c r="P6123" s="103" t="s">
        <v>3779</v>
      </c>
      <c r="Q6123" s="71">
        <v>2</v>
      </c>
      <c r="R6123" s="102">
        <v>443760</v>
      </c>
      <c r="S6123" s="102">
        <f t="shared" si="3043"/>
        <v>976272.00000000012</v>
      </c>
      <c r="T6123" s="102">
        <f t="shared" si="3044"/>
        <v>887520</v>
      </c>
      <c r="U6123" s="71" t="s">
        <v>859</v>
      </c>
      <c r="V6123" s="71"/>
      <c r="W6123" s="474">
        <v>228480</v>
      </c>
      <c r="X6123" s="71"/>
      <c r="Y6123" s="71"/>
    </row>
    <row r="6124" spans="1:25" ht="30" hidden="1" customHeight="1" x14ac:dyDescent="0.25">
      <c r="A6124" s="1145">
        <v>45159</v>
      </c>
      <c r="B6124" s="664" t="s">
        <v>442</v>
      </c>
      <c r="C6124" s="71" t="s">
        <v>208</v>
      </c>
      <c r="D6124" s="71">
        <v>2</v>
      </c>
      <c r="E6124" s="102">
        <v>624000</v>
      </c>
      <c r="F6124" s="102">
        <f t="shared" si="3037"/>
        <v>1372800</v>
      </c>
      <c r="G6124" s="102">
        <f t="shared" si="3045"/>
        <v>1248000</v>
      </c>
      <c r="H6124" s="690" t="s">
        <v>2029</v>
      </c>
      <c r="I6124" s="71" t="s">
        <v>195</v>
      </c>
      <c r="J6124" s="53">
        <f t="shared" si="3039"/>
        <v>201820</v>
      </c>
      <c r="K6124" s="63">
        <v>0.16171474358974358</v>
      </c>
      <c r="L6124" s="1212" t="s">
        <v>3832</v>
      </c>
      <c r="M6124" s="468"/>
      <c r="N6124" s="1192">
        <v>45028</v>
      </c>
      <c r="O6124" s="71" t="s">
        <v>194</v>
      </c>
      <c r="P6124" s="103" t="s">
        <v>3780</v>
      </c>
      <c r="Q6124" s="71">
        <v>2</v>
      </c>
      <c r="R6124" s="102">
        <v>523090</v>
      </c>
      <c r="S6124" s="102">
        <f t="shared" si="3043"/>
        <v>1150798</v>
      </c>
      <c r="T6124" s="102">
        <f t="shared" si="3044"/>
        <v>1046180</v>
      </c>
      <c r="U6124" s="71" t="s">
        <v>859</v>
      </c>
      <c r="V6124" s="71"/>
      <c r="W6124" s="474">
        <v>201820</v>
      </c>
      <c r="X6124" s="71"/>
      <c r="Y6124" s="71"/>
    </row>
    <row r="6125" spans="1:25" ht="30" hidden="1" customHeight="1" x14ac:dyDescent="0.2">
      <c r="A6125" s="1145">
        <v>45159</v>
      </c>
      <c r="B6125" s="664" t="s">
        <v>442</v>
      </c>
      <c r="C6125" s="71" t="s">
        <v>648</v>
      </c>
      <c r="D6125" s="71">
        <v>1</v>
      </c>
      <c r="E6125" s="102">
        <v>93000</v>
      </c>
      <c r="F6125" s="102">
        <f t="shared" si="3037"/>
        <v>102300.00000000001</v>
      </c>
      <c r="G6125" s="102">
        <f t="shared" si="3045"/>
        <v>93000</v>
      </c>
      <c r="H6125" s="165" t="s">
        <v>172</v>
      </c>
      <c r="I6125" s="71" t="s">
        <v>195</v>
      </c>
      <c r="J6125" s="53">
        <f t="shared" si="3039"/>
        <v>27000</v>
      </c>
      <c r="K6125" s="63">
        <v>0.29032258064516125</v>
      </c>
      <c r="L6125" s="1212" t="s">
        <v>3832</v>
      </c>
      <c r="M6125" s="468"/>
      <c r="N6125" s="1192">
        <v>45028</v>
      </c>
      <c r="O6125" s="71" t="s">
        <v>194</v>
      </c>
      <c r="P6125" s="103" t="s">
        <v>3781</v>
      </c>
      <c r="Q6125" s="71">
        <v>1</v>
      </c>
      <c r="R6125" s="102">
        <v>66000</v>
      </c>
      <c r="S6125" s="102">
        <f t="shared" si="3043"/>
        <v>72600</v>
      </c>
      <c r="T6125" s="102">
        <f t="shared" si="3044"/>
        <v>66000</v>
      </c>
      <c r="U6125" s="71" t="s">
        <v>859</v>
      </c>
      <c r="V6125" s="71"/>
      <c r="W6125" s="474">
        <v>27000</v>
      </c>
      <c r="X6125" s="71"/>
      <c r="Y6125" s="71"/>
    </row>
    <row r="6126" spans="1:25" ht="30" hidden="1" customHeight="1" x14ac:dyDescent="0.25">
      <c r="A6126" s="1145">
        <v>45163</v>
      </c>
      <c r="B6126" s="664" t="s">
        <v>442</v>
      </c>
      <c r="C6126" s="71" t="s">
        <v>3299</v>
      </c>
      <c r="D6126" s="71">
        <v>15</v>
      </c>
      <c r="E6126" s="102">
        <v>69000</v>
      </c>
      <c r="F6126" s="102">
        <f t="shared" ref="F6126:F6140" si="3046">(E6126*D6126)*1.1</f>
        <v>1138500</v>
      </c>
      <c r="G6126" s="102">
        <f t="shared" si="3045"/>
        <v>1035000</v>
      </c>
      <c r="H6126" s="690" t="s">
        <v>172</v>
      </c>
      <c r="I6126" s="71" t="s">
        <v>108</v>
      </c>
      <c r="J6126" s="53">
        <f t="shared" ref="J6126:J6140" si="3047">G6126-T6126</f>
        <v>322500</v>
      </c>
      <c r="K6126" s="63">
        <f t="shared" ref="K6126:K6141" si="3048">(J6126/(F6126/11*10))</f>
        <v>0.31159420289855072</v>
      </c>
      <c r="L6126" s="1212" t="s">
        <v>3832</v>
      </c>
      <c r="M6126" s="468" t="s">
        <v>3304</v>
      </c>
      <c r="N6126" s="1192">
        <f t="shared" ref="N6126:N6175" si="3049">A6126</f>
        <v>45163</v>
      </c>
      <c r="O6126" s="71" t="s">
        <v>175</v>
      </c>
      <c r="P6126" s="164" t="str">
        <f t="shared" ref="P6126:P6140" si="3050">(C6126)</f>
        <v>매엽용 세척제(Wash k11)</v>
      </c>
      <c r="Q6126" s="71">
        <f t="shared" ref="Q6126:Q6140" si="3051">D6126</f>
        <v>15</v>
      </c>
      <c r="R6126" s="102">
        <v>47500</v>
      </c>
      <c r="S6126" s="102">
        <f t="shared" si="3043"/>
        <v>783750.00000000012</v>
      </c>
      <c r="T6126" s="102">
        <f t="shared" si="3044"/>
        <v>712500</v>
      </c>
      <c r="U6126" s="71" t="s">
        <v>859</v>
      </c>
      <c r="V6126" s="71"/>
      <c r="W6126" s="474"/>
      <c r="X6126" s="71"/>
      <c r="Y6126" s="71"/>
    </row>
    <row r="6127" spans="1:25" ht="30" hidden="1" customHeight="1" x14ac:dyDescent="0.25">
      <c r="A6127" s="1145">
        <v>45134</v>
      </c>
      <c r="B6127" s="664" t="s">
        <v>2261</v>
      </c>
      <c r="C6127" s="760" t="s">
        <v>181</v>
      </c>
      <c r="D6127" s="71">
        <v>5</v>
      </c>
      <c r="E6127" s="102">
        <v>193000</v>
      </c>
      <c r="F6127" s="102">
        <f t="shared" si="3046"/>
        <v>1061500</v>
      </c>
      <c r="G6127" s="102">
        <f t="shared" si="3045"/>
        <v>965000</v>
      </c>
      <c r="H6127" s="690" t="s">
        <v>2029</v>
      </c>
      <c r="I6127" s="71" t="s">
        <v>182</v>
      </c>
      <c r="J6127" s="53">
        <f t="shared" si="3047"/>
        <v>345000</v>
      </c>
      <c r="K6127" s="63">
        <f t="shared" si="3048"/>
        <v>0.35751295336787564</v>
      </c>
      <c r="L6127" s="1212" t="s">
        <v>3832</v>
      </c>
      <c r="M6127" s="468"/>
      <c r="N6127" s="1192">
        <f t="shared" si="3049"/>
        <v>45134</v>
      </c>
      <c r="O6127" s="71" t="s">
        <v>2030</v>
      </c>
      <c r="P6127" s="103" t="str">
        <f t="shared" si="3050"/>
        <v>Fount Web 551AF</v>
      </c>
      <c r="Q6127" s="71">
        <f t="shared" si="3051"/>
        <v>5</v>
      </c>
      <c r="R6127" s="102">
        <v>124000</v>
      </c>
      <c r="S6127" s="102">
        <f t="shared" ref="S6127:S6139" si="3052">R6127*Q6127*1.1</f>
        <v>682000</v>
      </c>
      <c r="T6127" s="102">
        <f t="shared" ref="T6127:T6139" si="3053">R6127*Q6127</f>
        <v>620000</v>
      </c>
      <c r="U6127" s="71" t="str">
        <f>IF(J6127=W6127,"O", "X")</f>
        <v>X</v>
      </c>
      <c r="V6127" s="71"/>
      <c r="W6127" s="474">
        <v>640000</v>
      </c>
      <c r="X6127" s="71"/>
      <c r="Y6127" s="71"/>
    </row>
    <row r="6128" spans="1:25" ht="30" hidden="1" customHeight="1" x14ac:dyDescent="0.25">
      <c r="A6128" s="1145">
        <v>45134</v>
      </c>
      <c r="B6128" s="664" t="s">
        <v>2261</v>
      </c>
      <c r="C6128" s="71" t="s">
        <v>277</v>
      </c>
      <c r="D6128" s="71">
        <v>5</v>
      </c>
      <c r="E6128" s="102">
        <v>172000</v>
      </c>
      <c r="F6128" s="102">
        <f t="shared" si="3046"/>
        <v>946000.00000000012</v>
      </c>
      <c r="G6128" s="102">
        <f t="shared" si="3045"/>
        <v>860000</v>
      </c>
      <c r="H6128" s="690" t="s">
        <v>172</v>
      </c>
      <c r="I6128" s="71" t="s">
        <v>108</v>
      </c>
      <c r="J6128" s="53">
        <f t="shared" si="3047"/>
        <v>195000</v>
      </c>
      <c r="K6128" s="63">
        <f t="shared" si="3048"/>
        <v>0.22674418604651159</v>
      </c>
      <c r="L6128" s="1212" t="s">
        <v>3832</v>
      </c>
      <c r="M6128" s="468"/>
      <c r="N6128" s="1192">
        <f t="shared" si="3049"/>
        <v>45134</v>
      </c>
      <c r="O6128" s="71" t="s">
        <v>662</v>
      </c>
      <c r="P6128" s="103" t="str">
        <f t="shared" si="3050"/>
        <v>윤전용 세척제(Web 504)</v>
      </c>
      <c r="Q6128" s="71">
        <f t="shared" si="3051"/>
        <v>5</v>
      </c>
      <c r="R6128" s="102">
        <v>133000</v>
      </c>
      <c r="S6128" s="102">
        <f t="shared" si="3052"/>
        <v>731500.00000000012</v>
      </c>
      <c r="T6128" s="102">
        <f t="shared" si="3053"/>
        <v>665000</v>
      </c>
      <c r="U6128" s="71" t="str">
        <f>IF(J6128=W6128,"O", "X")</f>
        <v>X</v>
      </c>
      <c r="V6128" s="71"/>
      <c r="W6128" s="474"/>
      <c r="X6128" s="71"/>
      <c r="Y6128" s="71"/>
    </row>
    <row r="6129" spans="1:25" ht="30" hidden="1" customHeight="1" x14ac:dyDescent="0.25">
      <c r="A6129" s="1145">
        <v>45134</v>
      </c>
      <c r="B6129" s="664" t="s">
        <v>2261</v>
      </c>
      <c r="C6129" s="71" t="s">
        <v>3299</v>
      </c>
      <c r="D6129" s="71">
        <v>5</v>
      </c>
      <c r="E6129" s="102">
        <v>52000</v>
      </c>
      <c r="F6129" s="102">
        <f t="shared" si="3046"/>
        <v>286000</v>
      </c>
      <c r="G6129" s="102">
        <f t="shared" si="3045"/>
        <v>260000</v>
      </c>
      <c r="H6129" s="690" t="s">
        <v>172</v>
      </c>
      <c r="I6129" s="71" t="s">
        <v>180</v>
      </c>
      <c r="J6129" s="53">
        <f t="shared" si="3047"/>
        <v>22500</v>
      </c>
      <c r="K6129" s="63">
        <f t="shared" si="3048"/>
        <v>8.6538461538461536E-2</v>
      </c>
      <c r="L6129" s="1212" t="s">
        <v>3832</v>
      </c>
      <c r="M6129" s="468" t="s">
        <v>3835</v>
      </c>
      <c r="N6129" s="1192">
        <f t="shared" si="3049"/>
        <v>45134</v>
      </c>
      <c r="O6129" s="71" t="s">
        <v>175</v>
      </c>
      <c r="P6129" s="103" t="str">
        <f t="shared" si="3050"/>
        <v>매엽용 세척제(Wash k11)</v>
      </c>
      <c r="Q6129" s="71">
        <f t="shared" si="3051"/>
        <v>5</v>
      </c>
      <c r="R6129" s="102">
        <v>47500</v>
      </c>
      <c r="S6129" s="102">
        <f t="shared" si="3052"/>
        <v>261250.00000000003</v>
      </c>
      <c r="T6129" s="102">
        <f t="shared" si="3053"/>
        <v>237500</v>
      </c>
      <c r="U6129" s="71" t="s">
        <v>859</v>
      </c>
      <c r="V6129" s="71"/>
      <c r="W6129" s="474"/>
      <c r="X6129" s="71"/>
      <c r="Y6129" s="71"/>
    </row>
    <row r="6130" spans="1:25" ht="30" hidden="1" customHeight="1" x14ac:dyDescent="0.25">
      <c r="A6130" s="1145">
        <v>45154</v>
      </c>
      <c r="B6130" s="664" t="s">
        <v>2261</v>
      </c>
      <c r="C6130" s="760" t="s">
        <v>181</v>
      </c>
      <c r="D6130" s="71">
        <v>5</v>
      </c>
      <c r="E6130" s="102">
        <v>193000</v>
      </c>
      <c r="F6130" s="102">
        <f t="shared" si="3046"/>
        <v>1061500</v>
      </c>
      <c r="G6130" s="102">
        <f t="shared" si="3045"/>
        <v>965000</v>
      </c>
      <c r="H6130" s="690" t="s">
        <v>2029</v>
      </c>
      <c r="I6130" s="71" t="s">
        <v>182</v>
      </c>
      <c r="J6130" s="53">
        <f t="shared" si="3047"/>
        <v>345000</v>
      </c>
      <c r="K6130" s="63">
        <f t="shared" si="3048"/>
        <v>0.35751295336787564</v>
      </c>
      <c r="L6130" s="1212" t="s">
        <v>3832</v>
      </c>
      <c r="M6130" s="468"/>
      <c r="N6130" s="1192">
        <f t="shared" si="3049"/>
        <v>45154</v>
      </c>
      <c r="O6130" s="71" t="s">
        <v>2030</v>
      </c>
      <c r="P6130" s="103" t="str">
        <f t="shared" si="3050"/>
        <v>Fount Web 551AF</v>
      </c>
      <c r="Q6130" s="71">
        <f t="shared" si="3051"/>
        <v>5</v>
      </c>
      <c r="R6130" s="102">
        <v>124000</v>
      </c>
      <c r="S6130" s="102">
        <f t="shared" si="3052"/>
        <v>682000</v>
      </c>
      <c r="T6130" s="102">
        <f t="shared" si="3053"/>
        <v>620000</v>
      </c>
      <c r="U6130" s="71" t="str">
        <f>IF(J6130=W6130,"O", "X")</f>
        <v>X</v>
      </c>
      <c r="V6130" s="71"/>
      <c r="W6130" s="474">
        <v>640000</v>
      </c>
      <c r="X6130" s="71"/>
      <c r="Y6130" s="71"/>
    </row>
    <row r="6131" spans="1:25" ht="30" hidden="1" customHeight="1" x14ac:dyDescent="0.25">
      <c r="A6131" s="1145">
        <v>45154</v>
      </c>
      <c r="B6131" s="664" t="s">
        <v>2261</v>
      </c>
      <c r="C6131" s="71" t="s">
        <v>277</v>
      </c>
      <c r="D6131" s="71">
        <v>10</v>
      </c>
      <c r="E6131" s="102">
        <v>172000</v>
      </c>
      <c r="F6131" s="102">
        <f t="shared" si="3046"/>
        <v>1892000.0000000002</v>
      </c>
      <c r="G6131" s="102">
        <f t="shared" si="3045"/>
        <v>1720000</v>
      </c>
      <c r="H6131" s="690" t="s">
        <v>172</v>
      </c>
      <c r="I6131" s="71" t="s">
        <v>108</v>
      </c>
      <c r="J6131" s="53">
        <f t="shared" si="3047"/>
        <v>390000</v>
      </c>
      <c r="K6131" s="63">
        <f t="shared" si="3048"/>
        <v>0.22674418604651159</v>
      </c>
      <c r="L6131" s="1212" t="s">
        <v>3832</v>
      </c>
      <c r="M6131" s="468"/>
      <c r="N6131" s="1192">
        <f t="shared" si="3049"/>
        <v>45154</v>
      </c>
      <c r="O6131" s="71" t="s">
        <v>662</v>
      </c>
      <c r="P6131" s="103" t="str">
        <f t="shared" si="3050"/>
        <v>윤전용 세척제(Web 504)</v>
      </c>
      <c r="Q6131" s="71">
        <f t="shared" si="3051"/>
        <v>10</v>
      </c>
      <c r="R6131" s="102">
        <v>133000</v>
      </c>
      <c r="S6131" s="102">
        <f t="shared" si="3052"/>
        <v>1463000.0000000002</v>
      </c>
      <c r="T6131" s="102">
        <f t="shared" si="3053"/>
        <v>1330000</v>
      </c>
      <c r="U6131" s="71" t="str">
        <f>IF(J6131=W6131,"O", "X")</f>
        <v>X</v>
      </c>
      <c r="V6131" s="71"/>
      <c r="W6131" s="474"/>
      <c r="X6131" s="71"/>
      <c r="Y6131" s="71"/>
    </row>
    <row r="6132" spans="1:25" ht="30" hidden="1" customHeight="1" x14ac:dyDescent="0.25">
      <c r="A6132" s="1145">
        <v>45154</v>
      </c>
      <c r="B6132" s="664" t="s">
        <v>2261</v>
      </c>
      <c r="C6132" s="71" t="s">
        <v>3299</v>
      </c>
      <c r="D6132" s="71">
        <v>10</v>
      </c>
      <c r="E6132" s="102">
        <v>52000</v>
      </c>
      <c r="F6132" s="102">
        <f t="shared" si="3046"/>
        <v>572000</v>
      </c>
      <c r="G6132" s="102">
        <f t="shared" si="3045"/>
        <v>520000</v>
      </c>
      <c r="H6132" s="690" t="s">
        <v>172</v>
      </c>
      <c r="I6132" s="71" t="s">
        <v>180</v>
      </c>
      <c r="J6132" s="53">
        <f t="shared" si="3047"/>
        <v>45000</v>
      </c>
      <c r="K6132" s="63">
        <f t="shared" si="3048"/>
        <v>8.6538461538461536E-2</v>
      </c>
      <c r="L6132" s="1212" t="s">
        <v>3832</v>
      </c>
      <c r="M6132" s="468" t="s">
        <v>3835</v>
      </c>
      <c r="N6132" s="1192">
        <f t="shared" si="3049"/>
        <v>45154</v>
      </c>
      <c r="O6132" s="71" t="s">
        <v>175</v>
      </c>
      <c r="P6132" s="103" t="str">
        <f t="shared" si="3050"/>
        <v>매엽용 세척제(Wash k11)</v>
      </c>
      <c r="Q6132" s="71">
        <f t="shared" si="3051"/>
        <v>10</v>
      </c>
      <c r="R6132" s="102">
        <v>47500</v>
      </c>
      <c r="S6132" s="102">
        <f t="shared" si="3052"/>
        <v>522500.00000000006</v>
      </c>
      <c r="T6132" s="102">
        <f t="shared" si="3053"/>
        <v>475000</v>
      </c>
      <c r="U6132" s="71" t="s">
        <v>859</v>
      </c>
      <c r="V6132" s="71"/>
      <c r="W6132" s="474"/>
      <c r="X6132" s="71"/>
      <c r="Y6132" s="71"/>
    </row>
    <row r="6133" spans="1:25" s="209" customFormat="1" ht="31.5" hidden="1" customHeight="1" x14ac:dyDescent="0.2">
      <c r="A6133" s="1145">
        <v>45154</v>
      </c>
      <c r="B6133" s="664" t="s">
        <v>3289</v>
      </c>
      <c r="C6133" s="71" t="s">
        <v>3387</v>
      </c>
      <c r="D6133" s="71">
        <v>10</v>
      </c>
      <c r="E6133" s="102">
        <v>130000</v>
      </c>
      <c r="F6133" s="102">
        <f t="shared" si="3046"/>
        <v>1430000</v>
      </c>
      <c r="G6133" s="102">
        <f t="shared" si="3045"/>
        <v>1300000</v>
      </c>
      <c r="H6133" s="165" t="s">
        <v>172</v>
      </c>
      <c r="I6133" s="71" t="s">
        <v>184</v>
      </c>
      <c r="J6133" s="53">
        <f t="shared" si="3047"/>
        <v>180000</v>
      </c>
      <c r="K6133" s="63">
        <f t="shared" si="3048"/>
        <v>0.13846153846153847</v>
      </c>
      <c r="L6133" s="1212" t="s">
        <v>3832</v>
      </c>
      <c r="M6133" s="468" t="s">
        <v>3835</v>
      </c>
      <c r="N6133" s="1192">
        <f t="shared" si="3049"/>
        <v>45154</v>
      </c>
      <c r="O6133" s="71" t="s">
        <v>189</v>
      </c>
      <c r="P6133" s="103" t="str">
        <f t="shared" si="3050"/>
        <v>Blanket(990*725)</v>
      </c>
      <c r="Q6133" s="71">
        <f t="shared" si="3051"/>
        <v>10</v>
      </c>
      <c r="R6133" s="102">
        <v>112000</v>
      </c>
      <c r="S6133" s="102">
        <f t="shared" si="3052"/>
        <v>1232000</v>
      </c>
      <c r="T6133" s="102">
        <f t="shared" si="3053"/>
        <v>1120000</v>
      </c>
      <c r="U6133" s="71" t="str">
        <f>IF(J6133=W6133,"O", "X")</f>
        <v>X</v>
      </c>
      <c r="V6133" s="71"/>
      <c r="W6133" s="474">
        <v>80000</v>
      </c>
      <c r="X6133" s="71"/>
      <c r="Y6133" s="71"/>
    </row>
    <row r="6134" spans="1:25" ht="30" hidden="1" customHeight="1" x14ac:dyDescent="0.25">
      <c r="A6134" s="1145">
        <v>45163</v>
      </c>
      <c r="B6134" s="664" t="s">
        <v>2261</v>
      </c>
      <c r="C6134" s="71" t="s">
        <v>3299</v>
      </c>
      <c r="D6134" s="71">
        <v>10</v>
      </c>
      <c r="E6134" s="102">
        <v>52000</v>
      </c>
      <c r="F6134" s="102">
        <f t="shared" si="3046"/>
        <v>572000</v>
      </c>
      <c r="G6134" s="102">
        <f t="shared" si="3045"/>
        <v>520000</v>
      </c>
      <c r="H6134" s="690" t="s">
        <v>172</v>
      </c>
      <c r="I6134" s="71" t="s">
        <v>180</v>
      </c>
      <c r="J6134" s="53">
        <f t="shared" si="3047"/>
        <v>45000</v>
      </c>
      <c r="K6134" s="63">
        <f t="shared" si="3048"/>
        <v>8.6538461538461536E-2</v>
      </c>
      <c r="L6134" s="1212" t="s">
        <v>3832</v>
      </c>
      <c r="M6134" s="468" t="s">
        <v>3835</v>
      </c>
      <c r="N6134" s="1192">
        <f t="shared" si="3049"/>
        <v>45163</v>
      </c>
      <c r="O6134" s="71" t="s">
        <v>175</v>
      </c>
      <c r="P6134" s="103" t="str">
        <f t="shared" si="3050"/>
        <v>매엽용 세척제(Wash k11)</v>
      </c>
      <c r="Q6134" s="71">
        <f t="shared" si="3051"/>
        <v>10</v>
      </c>
      <c r="R6134" s="102">
        <v>47500</v>
      </c>
      <c r="S6134" s="102">
        <f t="shared" si="3052"/>
        <v>522500.00000000006</v>
      </c>
      <c r="T6134" s="102">
        <f t="shared" si="3053"/>
        <v>475000</v>
      </c>
      <c r="U6134" s="71" t="s">
        <v>859</v>
      </c>
      <c r="V6134" s="71"/>
      <c r="W6134" s="474"/>
      <c r="X6134" s="71"/>
      <c r="Y6134" s="71"/>
    </row>
    <row r="6135" spans="1:25" s="209" customFormat="1" ht="31.5" hidden="1" customHeight="1" x14ac:dyDescent="0.2">
      <c r="A6135" s="1145">
        <v>45163</v>
      </c>
      <c r="B6135" s="664" t="s">
        <v>3289</v>
      </c>
      <c r="C6135" s="71" t="s">
        <v>3387</v>
      </c>
      <c r="D6135" s="71">
        <v>10</v>
      </c>
      <c r="E6135" s="102">
        <v>130000</v>
      </c>
      <c r="F6135" s="102">
        <f t="shared" si="3046"/>
        <v>1430000</v>
      </c>
      <c r="G6135" s="102">
        <f t="shared" si="3045"/>
        <v>1300000</v>
      </c>
      <c r="H6135" s="165" t="s">
        <v>172</v>
      </c>
      <c r="I6135" s="71" t="s">
        <v>184</v>
      </c>
      <c r="J6135" s="53">
        <f t="shared" si="3047"/>
        <v>180000</v>
      </c>
      <c r="K6135" s="63">
        <f t="shared" si="3048"/>
        <v>0.13846153846153847</v>
      </c>
      <c r="L6135" s="1212" t="s">
        <v>3832</v>
      </c>
      <c r="M6135" s="468" t="s">
        <v>3835</v>
      </c>
      <c r="N6135" s="1192">
        <f t="shared" si="3049"/>
        <v>45163</v>
      </c>
      <c r="O6135" s="71" t="s">
        <v>189</v>
      </c>
      <c r="P6135" s="103" t="str">
        <f t="shared" si="3050"/>
        <v>Blanket(990*725)</v>
      </c>
      <c r="Q6135" s="71">
        <f t="shared" si="3051"/>
        <v>10</v>
      </c>
      <c r="R6135" s="102">
        <v>112000</v>
      </c>
      <c r="S6135" s="102">
        <f t="shared" si="3052"/>
        <v>1232000</v>
      </c>
      <c r="T6135" s="102">
        <f t="shared" si="3053"/>
        <v>1120000</v>
      </c>
      <c r="U6135" s="71" t="str">
        <f t="shared" ref="U6135:U6140" si="3054">IF(J6135=W6135,"O", "X")</f>
        <v>X</v>
      </c>
      <c r="V6135" s="71"/>
      <c r="W6135" s="474">
        <v>80000</v>
      </c>
      <c r="X6135" s="71"/>
      <c r="Y6135" s="71"/>
    </row>
    <row r="6136" spans="1:25" ht="30" hidden="1" customHeight="1" x14ac:dyDescent="0.25">
      <c r="A6136" s="1145">
        <v>45167</v>
      </c>
      <c r="B6136" s="664" t="s">
        <v>2261</v>
      </c>
      <c r="C6136" s="760" t="s">
        <v>181</v>
      </c>
      <c r="D6136" s="71">
        <v>5</v>
      </c>
      <c r="E6136" s="102">
        <v>193000</v>
      </c>
      <c r="F6136" s="102">
        <f t="shared" si="3046"/>
        <v>1061500</v>
      </c>
      <c r="G6136" s="102">
        <f t="shared" si="3045"/>
        <v>965000</v>
      </c>
      <c r="H6136" s="690" t="s">
        <v>2029</v>
      </c>
      <c r="I6136" s="71" t="s">
        <v>182</v>
      </c>
      <c r="J6136" s="53">
        <f t="shared" si="3047"/>
        <v>345000</v>
      </c>
      <c r="K6136" s="63">
        <f t="shared" si="3048"/>
        <v>0.35751295336787564</v>
      </c>
      <c r="L6136" s="1212" t="s">
        <v>3832</v>
      </c>
      <c r="M6136" s="468"/>
      <c r="N6136" s="1192">
        <f t="shared" si="3049"/>
        <v>45167</v>
      </c>
      <c r="O6136" s="71" t="s">
        <v>2030</v>
      </c>
      <c r="P6136" s="103" t="str">
        <f t="shared" si="3050"/>
        <v>Fount Web 551AF</v>
      </c>
      <c r="Q6136" s="71">
        <f t="shared" si="3051"/>
        <v>5</v>
      </c>
      <c r="R6136" s="102">
        <v>124000</v>
      </c>
      <c r="S6136" s="102">
        <f t="shared" si="3052"/>
        <v>682000</v>
      </c>
      <c r="T6136" s="102">
        <f t="shared" si="3053"/>
        <v>620000</v>
      </c>
      <c r="U6136" s="71" t="str">
        <f t="shared" si="3054"/>
        <v>X</v>
      </c>
      <c r="V6136" s="71"/>
      <c r="W6136" s="474">
        <v>640000</v>
      </c>
      <c r="X6136" s="71"/>
      <c r="Y6136" s="71"/>
    </row>
    <row r="6137" spans="1:25" ht="30" hidden="1" customHeight="1" x14ac:dyDescent="0.25">
      <c r="A6137" s="1145">
        <v>45167</v>
      </c>
      <c r="B6137" s="664" t="s">
        <v>2261</v>
      </c>
      <c r="C6137" s="71" t="s">
        <v>277</v>
      </c>
      <c r="D6137" s="71">
        <v>10</v>
      </c>
      <c r="E6137" s="102">
        <v>172000</v>
      </c>
      <c r="F6137" s="102">
        <f t="shared" si="3046"/>
        <v>1892000.0000000002</v>
      </c>
      <c r="G6137" s="102">
        <f t="shared" si="3045"/>
        <v>1720000</v>
      </c>
      <c r="H6137" s="690" t="s">
        <v>172</v>
      </c>
      <c r="I6137" s="71" t="s">
        <v>180</v>
      </c>
      <c r="J6137" s="53">
        <f t="shared" si="3047"/>
        <v>390000</v>
      </c>
      <c r="K6137" s="63">
        <f t="shared" si="3048"/>
        <v>0.22674418604651159</v>
      </c>
      <c r="L6137" s="1212" t="s">
        <v>3832</v>
      </c>
      <c r="M6137" s="468"/>
      <c r="N6137" s="1192">
        <f t="shared" si="3049"/>
        <v>45167</v>
      </c>
      <c r="O6137" s="71" t="s">
        <v>662</v>
      </c>
      <c r="P6137" s="103" t="str">
        <f t="shared" si="3050"/>
        <v>윤전용 세척제(Web 504)</v>
      </c>
      <c r="Q6137" s="71">
        <f t="shared" si="3051"/>
        <v>10</v>
      </c>
      <c r="R6137" s="102">
        <v>133000</v>
      </c>
      <c r="S6137" s="102">
        <f t="shared" si="3052"/>
        <v>1463000.0000000002</v>
      </c>
      <c r="T6137" s="102">
        <f t="shared" si="3053"/>
        <v>1330000</v>
      </c>
      <c r="U6137" s="71" t="str">
        <f t="shared" si="3054"/>
        <v>X</v>
      </c>
      <c r="V6137" s="71"/>
      <c r="W6137" s="474"/>
      <c r="X6137" s="71"/>
      <c r="Y6137" s="71"/>
    </row>
    <row r="6138" spans="1:25" ht="30" hidden="1" customHeight="1" x14ac:dyDescent="0.25">
      <c r="A6138" s="1145">
        <v>45139</v>
      </c>
      <c r="B6138" s="664" t="s">
        <v>3296</v>
      </c>
      <c r="C6138" s="71" t="s">
        <v>3297</v>
      </c>
      <c r="D6138" s="71">
        <v>20</v>
      </c>
      <c r="E6138" s="102">
        <v>162500</v>
      </c>
      <c r="F6138" s="102">
        <f t="shared" si="3046"/>
        <v>3575000.0000000005</v>
      </c>
      <c r="G6138" s="102">
        <f t="shared" si="3045"/>
        <v>3250000</v>
      </c>
      <c r="H6138" s="690" t="s">
        <v>172</v>
      </c>
      <c r="I6138" s="71" t="s">
        <v>3295</v>
      </c>
      <c r="J6138" s="53">
        <f t="shared" si="3047"/>
        <v>850000</v>
      </c>
      <c r="K6138" s="63">
        <f t="shared" si="3048"/>
        <v>0.2615384615384615</v>
      </c>
      <c r="L6138" s="1212" t="s">
        <v>3832</v>
      </c>
      <c r="M6138" s="468"/>
      <c r="N6138" s="1192">
        <f t="shared" si="3049"/>
        <v>45139</v>
      </c>
      <c r="O6138" s="71" t="s">
        <v>662</v>
      </c>
      <c r="P6138" s="103" t="str">
        <f t="shared" si="3050"/>
        <v>실리콘 에멀전</v>
      </c>
      <c r="Q6138" s="71">
        <f t="shared" si="3051"/>
        <v>20</v>
      </c>
      <c r="R6138" s="102">
        <v>120000</v>
      </c>
      <c r="S6138" s="102">
        <f t="shared" si="3052"/>
        <v>2640000</v>
      </c>
      <c r="T6138" s="102">
        <f t="shared" si="3053"/>
        <v>2400000</v>
      </c>
      <c r="U6138" s="71" t="str">
        <f t="shared" si="3054"/>
        <v>X</v>
      </c>
      <c r="V6138" s="71"/>
      <c r="W6138" s="474"/>
      <c r="X6138" s="71"/>
      <c r="Y6138" s="71"/>
    </row>
    <row r="6139" spans="1:25" ht="30" hidden="1" customHeight="1" x14ac:dyDescent="0.25">
      <c r="A6139" s="1145">
        <v>45159</v>
      </c>
      <c r="B6139" s="664" t="s">
        <v>3296</v>
      </c>
      <c r="C6139" s="71" t="s">
        <v>3297</v>
      </c>
      <c r="D6139" s="71">
        <v>20</v>
      </c>
      <c r="E6139" s="102">
        <v>162500</v>
      </c>
      <c r="F6139" s="102">
        <f t="shared" si="3046"/>
        <v>3575000.0000000005</v>
      </c>
      <c r="G6139" s="102">
        <f t="shared" si="3045"/>
        <v>3250000</v>
      </c>
      <c r="H6139" s="690" t="s">
        <v>172</v>
      </c>
      <c r="I6139" s="71" t="s">
        <v>3295</v>
      </c>
      <c r="J6139" s="53">
        <f t="shared" si="3047"/>
        <v>850000</v>
      </c>
      <c r="K6139" s="63">
        <f t="shared" si="3048"/>
        <v>0.2615384615384615</v>
      </c>
      <c r="L6139" s="1212" t="s">
        <v>3832</v>
      </c>
      <c r="M6139" s="468"/>
      <c r="N6139" s="1192">
        <f t="shared" si="3049"/>
        <v>45159</v>
      </c>
      <c r="O6139" s="71" t="s">
        <v>662</v>
      </c>
      <c r="P6139" s="103" t="str">
        <f t="shared" si="3050"/>
        <v>실리콘 에멀전</v>
      </c>
      <c r="Q6139" s="71">
        <f t="shared" si="3051"/>
        <v>20</v>
      </c>
      <c r="R6139" s="102">
        <v>120000</v>
      </c>
      <c r="S6139" s="102">
        <f t="shared" si="3052"/>
        <v>2640000</v>
      </c>
      <c r="T6139" s="102">
        <f t="shared" si="3053"/>
        <v>2400000</v>
      </c>
      <c r="U6139" s="71" t="str">
        <f t="shared" si="3054"/>
        <v>X</v>
      </c>
      <c r="V6139" s="71"/>
      <c r="W6139" s="474"/>
      <c r="X6139" s="71"/>
      <c r="Y6139" s="71"/>
    </row>
    <row r="6140" spans="1:25" ht="30" hidden="1" customHeight="1" x14ac:dyDescent="0.25">
      <c r="A6140" s="1145">
        <v>45148</v>
      </c>
      <c r="B6140" s="664" t="s">
        <v>18</v>
      </c>
      <c r="C6140" s="71" t="s">
        <v>3305</v>
      </c>
      <c r="D6140" s="71">
        <v>10</v>
      </c>
      <c r="E6140" s="102">
        <v>86000</v>
      </c>
      <c r="F6140" s="102">
        <f t="shared" si="3046"/>
        <v>946000.00000000012</v>
      </c>
      <c r="G6140" s="102">
        <f t="shared" si="3045"/>
        <v>860000</v>
      </c>
      <c r="H6140" s="690" t="s">
        <v>172</v>
      </c>
      <c r="I6140" s="71" t="s">
        <v>3295</v>
      </c>
      <c r="J6140" s="53">
        <f t="shared" si="3047"/>
        <v>160000</v>
      </c>
      <c r="K6140" s="63">
        <f t="shared" si="3048"/>
        <v>0.18604651162790695</v>
      </c>
      <c r="L6140" s="1212" t="s">
        <v>3832</v>
      </c>
      <c r="M6140" s="468" t="s">
        <v>3306</v>
      </c>
      <c r="N6140" s="1192">
        <f t="shared" si="3049"/>
        <v>45148</v>
      </c>
      <c r="O6140" s="71" t="s">
        <v>146</v>
      </c>
      <c r="P6140" s="103" t="str">
        <f t="shared" si="3050"/>
        <v>파우더</v>
      </c>
      <c r="Q6140" s="71">
        <f t="shared" si="3051"/>
        <v>10</v>
      </c>
      <c r="R6140" s="102">
        <v>70000</v>
      </c>
      <c r="S6140" s="102">
        <f>R6140*Q6140*1.1</f>
        <v>770000.00000000012</v>
      </c>
      <c r="T6140" s="102">
        <f>R6140*Q6140</f>
        <v>700000</v>
      </c>
      <c r="U6140" s="71" t="str">
        <f t="shared" si="3054"/>
        <v>X</v>
      </c>
      <c r="V6140" s="71"/>
      <c r="W6140" s="474"/>
      <c r="X6140" s="71"/>
      <c r="Y6140" s="71"/>
    </row>
    <row r="6141" spans="1:25" ht="30" hidden="1" customHeight="1" x14ac:dyDescent="0.25">
      <c r="A6141" s="1145">
        <v>45148</v>
      </c>
      <c r="B6141" s="664" t="s">
        <v>548</v>
      </c>
      <c r="C6141" s="71" t="s">
        <v>3384</v>
      </c>
      <c r="D6141" s="71">
        <v>400</v>
      </c>
      <c r="E6141" s="102">
        <v>450</v>
      </c>
      <c r="F6141" s="102">
        <f>(E6141*D6141)*1.1</f>
        <v>198000.00000000003</v>
      </c>
      <c r="G6141" s="102">
        <f>(E6141*D6141)</f>
        <v>180000</v>
      </c>
      <c r="H6141" s="690" t="s">
        <v>2029</v>
      </c>
      <c r="I6141" s="71" t="s">
        <v>3385</v>
      </c>
      <c r="J6141" s="53">
        <f>G6141-T6141</f>
        <v>52000</v>
      </c>
      <c r="K6141" s="63">
        <f t="shared" si="3048"/>
        <v>0.28888888888888886</v>
      </c>
      <c r="L6141" s="1212" t="s">
        <v>3832</v>
      </c>
      <c r="M6141" s="468"/>
      <c r="N6141" s="1192">
        <f t="shared" si="3049"/>
        <v>45148</v>
      </c>
      <c r="O6141" s="71" t="s">
        <v>2030</v>
      </c>
      <c r="P6141" s="103" t="str">
        <f>(C6141)</f>
        <v>고무사카 빨간색</v>
      </c>
      <c r="Q6141" s="71">
        <f>D6141</f>
        <v>400</v>
      </c>
      <c r="R6141" s="102">
        <v>320</v>
      </c>
      <c r="S6141" s="102">
        <f>R6141*Q6141*1.1</f>
        <v>140800</v>
      </c>
      <c r="T6141" s="102">
        <f>R6141*Q6141</f>
        <v>128000</v>
      </c>
      <c r="U6141" s="71"/>
      <c r="V6141" s="71"/>
      <c r="W6141" s="474"/>
      <c r="X6141" s="71"/>
      <c r="Y6141" s="71"/>
    </row>
    <row r="6142" spans="1:25" ht="30" hidden="1" customHeight="1" x14ac:dyDescent="0.25">
      <c r="A6142" s="1145">
        <v>45148</v>
      </c>
      <c r="B6142" s="664" t="s">
        <v>548</v>
      </c>
      <c r="C6142" s="71" t="s">
        <v>3382</v>
      </c>
      <c r="D6142" s="71">
        <v>1</v>
      </c>
      <c r="E6142" s="102">
        <v>168000</v>
      </c>
      <c r="F6142" s="102">
        <f t="shared" ref="F6142:F6174" si="3055">(E6142*D6142)*1.1</f>
        <v>184800.00000000003</v>
      </c>
      <c r="G6142" s="102">
        <f t="shared" ref="G6142:G6174" si="3056">(E6142*D6142)</f>
        <v>168000</v>
      </c>
      <c r="H6142" s="690" t="s">
        <v>2029</v>
      </c>
      <c r="I6142" s="71" t="s">
        <v>180</v>
      </c>
      <c r="J6142" s="53">
        <f t="shared" ref="J6142:J6173" si="3057">G6142-T6142</f>
        <v>54000</v>
      </c>
      <c r="K6142" s="63">
        <f>(J6142/(F6142/11*10))</f>
        <v>0.3214285714285714</v>
      </c>
      <c r="L6142" s="1212" t="s">
        <v>3832</v>
      </c>
      <c r="M6142" s="468"/>
      <c r="N6142" s="1192">
        <f t="shared" si="3049"/>
        <v>45148</v>
      </c>
      <c r="O6142" s="71" t="s">
        <v>3383</v>
      </c>
      <c r="P6142" s="164" t="str">
        <f t="shared" ref="P6142:P6174" si="3058">(C6142)</f>
        <v>판 클리너(12개)</v>
      </c>
      <c r="Q6142" s="71">
        <f t="shared" ref="Q6142:Q6174" si="3059">D6142</f>
        <v>1</v>
      </c>
      <c r="R6142" s="102">
        <v>114000</v>
      </c>
      <c r="S6142" s="102">
        <f t="shared" ref="S6142:S6173" si="3060">R6142*Q6142*1.1</f>
        <v>125400.00000000001</v>
      </c>
      <c r="T6142" s="102">
        <f t="shared" ref="T6142:T6173" si="3061">R6142*Q6142</f>
        <v>114000</v>
      </c>
      <c r="U6142" s="71" t="str">
        <f>IF(J6142=W6142,"O", "X")</f>
        <v>X</v>
      </c>
      <c r="V6142" s="71"/>
      <c r="W6142" s="474"/>
      <c r="X6142" s="71"/>
      <c r="Y6142" s="71"/>
    </row>
    <row r="6143" spans="1:25" ht="30" customHeight="1" x14ac:dyDescent="0.25">
      <c r="A6143" s="1145">
        <v>45155</v>
      </c>
      <c r="B6143" s="664" t="s">
        <v>2352</v>
      </c>
      <c r="C6143" s="71" t="s">
        <v>3836</v>
      </c>
      <c r="D6143" s="71">
        <v>48</v>
      </c>
      <c r="E6143" s="102">
        <v>18500</v>
      </c>
      <c r="F6143" s="102">
        <f t="shared" si="3055"/>
        <v>976800.00000000012</v>
      </c>
      <c r="G6143" s="102">
        <f t="shared" si="3056"/>
        <v>888000</v>
      </c>
      <c r="H6143" s="690" t="s">
        <v>179</v>
      </c>
      <c r="I6143" s="71" t="s">
        <v>179</v>
      </c>
      <c r="J6143" s="53">
        <f t="shared" si="3057"/>
        <v>355968</v>
      </c>
      <c r="K6143" s="63">
        <f t="shared" ref="K6143:K6173" si="3062">(J6143/(F6143/11*10))</f>
        <v>0.40086486486486483</v>
      </c>
      <c r="L6143" s="1212" t="s">
        <v>3832</v>
      </c>
      <c r="M6143" s="468"/>
      <c r="N6143" s="1192">
        <f t="shared" si="3049"/>
        <v>45155</v>
      </c>
      <c r="O6143" s="71"/>
      <c r="P6143" s="103" t="str">
        <f t="shared" si="3058"/>
        <v>고모리 윤전 블랑켓 건식 세정포 - 국전용</v>
      </c>
      <c r="Q6143" s="71">
        <f t="shared" si="3059"/>
        <v>48</v>
      </c>
      <c r="R6143" s="102">
        <v>11084</v>
      </c>
      <c r="S6143" s="102">
        <f t="shared" si="3060"/>
        <v>585235.20000000007</v>
      </c>
      <c r="T6143" s="102">
        <f t="shared" si="3061"/>
        <v>532032</v>
      </c>
      <c r="U6143" s="71"/>
      <c r="V6143" s="71"/>
      <c r="W6143" s="474"/>
      <c r="X6143" s="71"/>
      <c r="Y6143" s="71"/>
    </row>
    <row r="6144" spans="1:25" ht="30" customHeight="1" x14ac:dyDescent="0.25">
      <c r="A6144" s="1145">
        <v>45155</v>
      </c>
      <c r="B6144" s="664" t="s">
        <v>2352</v>
      </c>
      <c r="C6144" s="71" t="s">
        <v>3837</v>
      </c>
      <c r="D6144" s="71">
        <v>48</v>
      </c>
      <c r="E6144" s="102">
        <v>13500</v>
      </c>
      <c r="F6144" s="102">
        <f t="shared" si="3055"/>
        <v>712800</v>
      </c>
      <c r="G6144" s="102">
        <f t="shared" si="3056"/>
        <v>648000</v>
      </c>
      <c r="H6144" s="690" t="s">
        <v>179</v>
      </c>
      <c r="I6144" s="71" t="s">
        <v>179</v>
      </c>
      <c r="J6144" s="53">
        <f t="shared" si="3057"/>
        <v>246480</v>
      </c>
      <c r="K6144" s="63">
        <f t="shared" si="3062"/>
        <v>0.38037037037037036</v>
      </c>
      <c r="L6144" s="1212" t="s">
        <v>3832</v>
      </c>
      <c r="M6144" s="468"/>
      <c r="N6144" s="1192">
        <f t="shared" si="3049"/>
        <v>45155</v>
      </c>
      <c r="O6144" s="71"/>
      <c r="P6144" s="103" t="str">
        <f t="shared" si="3058"/>
        <v>고모리 윤전 블랑켓 건식 세정포 - 4x6용</v>
      </c>
      <c r="Q6144" s="71">
        <f t="shared" si="3059"/>
        <v>48</v>
      </c>
      <c r="R6144" s="102">
        <v>8365</v>
      </c>
      <c r="S6144" s="102">
        <f t="shared" si="3060"/>
        <v>441672.00000000006</v>
      </c>
      <c r="T6144" s="102">
        <f t="shared" si="3061"/>
        <v>401520</v>
      </c>
      <c r="U6144" s="71"/>
      <c r="V6144" s="71"/>
      <c r="W6144" s="474"/>
      <c r="X6144" s="71"/>
      <c r="Y6144" s="71"/>
    </row>
    <row r="6145" spans="1:25" ht="30" customHeight="1" x14ac:dyDescent="0.25">
      <c r="A6145" s="1145">
        <v>45161</v>
      </c>
      <c r="B6145" s="664" t="s">
        <v>2352</v>
      </c>
      <c r="C6145" s="71" t="s">
        <v>3838</v>
      </c>
      <c r="D6145" s="71">
        <v>40</v>
      </c>
      <c r="E6145" s="102">
        <v>20000</v>
      </c>
      <c r="F6145" s="102">
        <f t="shared" si="3055"/>
        <v>880000.00000000012</v>
      </c>
      <c r="G6145" s="102">
        <f t="shared" si="3056"/>
        <v>800000</v>
      </c>
      <c r="H6145" s="690" t="s">
        <v>179</v>
      </c>
      <c r="I6145" s="71" t="s">
        <v>179</v>
      </c>
      <c r="J6145" s="53">
        <f t="shared" si="3057"/>
        <v>740000</v>
      </c>
      <c r="K6145" s="63">
        <f t="shared" si="3062"/>
        <v>0.92499999999999982</v>
      </c>
      <c r="L6145" s="1212" t="s">
        <v>3832</v>
      </c>
      <c r="M6145" s="468"/>
      <c r="N6145" s="1192">
        <f t="shared" si="3049"/>
        <v>45161</v>
      </c>
      <c r="O6145" s="71" t="s">
        <v>3839</v>
      </c>
      <c r="P6145" s="103" t="str">
        <f t="shared" si="3058"/>
        <v>센서 테이프 - 흑색</v>
      </c>
      <c r="Q6145" s="71">
        <f t="shared" si="3059"/>
        <v>40</v>
      </c>
      <c r="R6145" s="102">
        <v>1500</v>
      </c>
      <c r="S6145" s="102">
        <f t="shared" si="3060"/>
        <v>66000</v>
      </c>
      <c r="T6145" s="102">
        <f t="shared" si="3061"/>
        <v>60000</v>
      </c>
      <c r="U6145" s="71"/>
      <c r="V6145" s="71"/>
      <c r="W6145" s="474"/>
      <c r="X6145" s="71"/>
      <c r="Y6145" s="71"/>
    </row>
    <row r="6146" spans="1:25" s="209" customFormat="1" ht="30" hidden="1" customHeight="1" x14ac:dyDescent="0.25">
      <c r="A6146" s="1145">
        <v>45147</v>
      </c>
      <c r="B6146" s="664" t="s">
        <v>2353</v>
      </c>
      <c r="C6146" s="71" t="s">
        <v>3840</v>
      </c>
      <c r="D6146" s="71">
        <v>10</v>
      </c>
      <c r="E6146" s="102">
        <v>148000</v>
      </c>
      <c r="F6146" s="102">
        <f t="shared" si="3055"/>
        <v>1628000.0000000002</v>
      </c>
      <c r="G6146" s="102">
        <f t="shared" si="3056"/>
        <v>1480000</v>
      </c>
      <c r="H6146" s="690" t="s">
        <v>179</v>
      </c>
      <c r="I6146" s="71" t="s">
        <v>179</v>
      </c>
      <c r="J6146" s="53">
        <f t="shared" si="3057"/>
        <v>360000</v>
      </c>
      <c r="K6146" s="63">
        <f t="shared" si="3062"/>
        <v>0.2432432432432432</v>
      </c>
      <c r="L6146" s="1212" t="s">
        <v>3832</v>
      </c>
      <c r="M6146" s="468" t="s">
        <v>3841</v>
      </c>
      <c r="N6146" s="1192">
        <f t="shared" si="3049"/>
        <v>45147</v>
      </c>
      <c r="O6146" s="71" t="s">
        <v>3383</v>
      </c>
      <c r="P6146" s="103" t="str">
        <f t="shared" si="3058"/>
        <v>XL106 Blanket(1077*885)</v>
      </c>
      <c r="Q6146" s="71">
        <f t="shared" si="3059"/>
        <v>10</v>
      </c>
      <c r="R6146" s="102">
        <v>112000</v>
      </c>
      <c r="S6146" s="102">
        <f t="shared" si="3060"/>
        <v>1232000</v>
      </c>
      <c r="T6146" s="102">
        <f t="shared" si="3061"/>
        <v>1120000</v>
      </c>
      <c r="U6146" s="71" t="s">
        <v>859</v>
      </c>
      <c r="V6146" s="71"/>
      <c r="W6146" s="474">
        <v>260000</v>
      </c>
      <c r="X6146" s="71"/>
      <c r="Y6146" s="71"/>
    </row>
    <row r="6147" spans="1:25" ht="30" hidden="1" customHeight="1" x14ac:dyDescent="0.25">
      <c r="A6147" s="1145">
        <v>45147</v>
      </c>
      <c r="B6147" s="664" t="s">
        <v>2353</v>
      </c>
      <c r="C6147" s="71" t="s">
        <v>3842</v>
      </c>
      <c r="D6147" s="71">
        <v>7</v>
      </c>
      <c r="E6147" s="102">
        <v>325000</v>
      </c>
      <c r="F6147" s="102">
        <f t="shared" si="3055"/>
        <v>2502500</v>
      </c>
      <c r="G6147" s="102">
        <f t="shared" si="3056"/>
        <v>2275000</v>
      </c>
      <c r="H6147" s="690" t="s">
        <v>179</v>
      </c>
      <c r="I6147" s="71" t="s">
        <v>179</v>
      </c>
      <c r="J6147" s="53">
        <f t="shared" si="3057"/>
        <v>636440</v>
      </c>
      <c r="K6147" s="63">
        <f t="shared" si="3062"/>
        <v>0.27975384615384613</v>
      </c>
      <c r="L6147" s="1212" t="s">
        <v>3832</v>
      </c>
      <c r="M6147" s="468" t="s">
        <v>3841</v>
      </c>
      <c r="N6147" s="1192">
        <f t="shared" si="3049"/>
        <v>45147</v>
      </c>
      <c r="O6147" s="71" t="s">
        <v>3383</v>
      </c>
      <c r="P6147" s="103" t="str">
        <f t="shared" si="3058"/>
        <v>세정포-XL106</v>
      </c>
      <c r="Q6147" s="71">
        <f t="shared" si="3059"/>
        <v>7</v>
      </c>
      <c r="R6147" s="102">
        <v>234080</v>
      </c>
      <c r="S6147" s="102">
        <f t="shared" si="3060"/>
        <v>1802416.0000000002</v>
      </c>
      <c r="T6147" s="102">
        <f t="shared" si="3061"/>
        <v>1638560</v>
      </c>
      <c r="U6147" s="71" t="str">
        <f>IF(J6147=W6147,"O", "X")</f>
        <v>O</v>
      </c>
      <c r="V6147" s="71"/>
      <c r="W6147" s="474">
        <f>(G6147-T6147)</f>
        <v>636440</v>
      </c>
      <c r="X6147" s="71"/>
      <c r="Y6147" s="71"/>
    </row>
    <row r="6148" spans="1:25" s="209" customFormat="1" ht="30" hidden="1" customHeight="1" x14ac:dyDescent="0.25">
      <c r="A6148" s="1145">
        <v>45147</v>
      </c>
      <c r="B6148" s="664" t="s">
        <v>2353</v>
      </c>
      <c r="C6148" s="71" t="s">
        <v>3843</v>
      </c>
      <c r="D6148" s="71">
        <v>7</v>
      </c>
      <c r="E6148" s="102">
        <v>180000</v>
      </c>
      <c r="F6148" s="102">
        <f t="shared" si="3055"/>
        <v>1386000</v>
      </c>
      <c r="G6148" s="102">
        <f t="shared" si="3056"/>
        <v>1260000</v>
      </c>
      <c r="H6148" s="690" t="s">
        <v>179</v>
      </c>
      <c r="I6148" s="71" t="s">
        <v>179</v>
      </c>
      <c r="J6148" s="53">
        <f t="shared" si="3057"/>
        <v>336000</v>
      </c>
      <c r="K6148" s="63">
        <f t="shared" si="3062"/>
        <v>0.26666666666666666</v>
      </c>
      <c r="L6148" s="1212" t="s">
        <v>3832</v>
      </c>
      <c r="M6148" s="468"/>
      <c r="N6148" s="1192">
        <f t="shared" si="3049"/>
        <v>45147</v>
      </c>
      <c r="O6148" s="71" t="s">
        <v>3383</v>
      </c>
      <c r="P6148" s="164" t="str">
        <f t="shared" si="3058"/>
        <v>수이보 세척액(습수액 클리너)</v>
      </c>
      <c r="Q6148" s="71">
        <f t="shared" si="3059"/>
        <v>7</v>
      </c>
      <c r="R6148" s="102">
        <f>11000*12</f>
        <v>132000</v>
      </c>
      <c r="S6148" s="102">
        <f t="shared" si="3060"/>
        <v>1016400.0000000001</v>
      </c>
      <c r="T6148" s="102">
        <f t="shared" si="3061"/>
        <v>924000</v>
      </c>
      <c r="U6148" s="71"/>
      <c r="V6148" s="71"/>
      <c r="W6148" s="474"/>
      <c r="X6148" s="71"/>
      <c r="Y6148" s="71"/>
    </row>
    <row r="6149" spans="1:25" ht="30" hidden="1" customHeight="1" x14ac:dyDescent="0.25">
      <c r="A6149" s="1145">
        <v>45147</v>
      </c>
      <c r="B6149" s="664" t="s">
        <v>2353</v>
      </c>
      <c r="C6149" s="71" t="s">
        <v>3844</v>
      </c>
      <c r="D6149" s="71">
        <v>40</v>
      </c>
      <c r="E6149" s="102">
        <v>45900</v>
      </c>
      <c r="F6149" s="102">
        <f t="shared" si="3055"/>
        <v>2019600.0000000002</v>
      </c>
      <c r="G6149" s="102">
        <f t="shared" si="3056"/>
        <v>1836000</v>
      </c>
      <c r="H6149" s="690" t="s">
        <v>179</v>
      </c>
      <c r="I6149" s="71" t="s">
        <v>179</v>
      </c>
      <c r="J6149" s="53">
        <f t="shared" si="3057"/>
        <v>756000</v>
      </c>
      <c r="K6149" s="63">
        <f t="shared" si="3062"/>
        <v>0.41176470588235287</v>
      </c>
      <c r="L6149" s="1212" t="s">
        <v>3832</v>
      </c>
      <c r="M6149" s="468"/>
      <c r="N6149" s="1192">
        <f t="shared" si="3049"/>
        <v>45147</v>
      </c>
      <c r="O6149" s="71" t="s">
        <v>3383</v>
      </c>
      <c r="P6149" s="103" t="str">
        <f t="shared" si="3058"/>
        <v>고모리 수동 세척액</v>
      </c>
      <c r="Q6149" s="71">
        <f t="shared" si="3059"/>
        <v>40</v>
      </c>
      <c r="R6149" s="102">
        <v>27000</v>
      </c>
      <c r="S6149" s="102">
        <f t="shared" si="3060"/>
        <v>1188000</v>
      </c>
      <c r="T6149" s="102">
        <f t="shared" si="3061"/>
        <v>1080000</v>
      </c>
      <c r="U6149" s="71"/>
      <c r="V6149" s="71"/>
      <c r="W6149" s="474"/>
      <c r="X6149" s="71"/>
      <c r="Y6149" s="71"/>
    </row>
    <row r="6150" spans="1:25" ht="30" hidden="1" customHeight="1" x14ac:dyDescent="0.25">
      <c r="A6150" s="1145">
        <v>45161</v>
      </c>
      <c r="B6150" s="664" t="s">
        <v>2353</v>
      </c>
      <c r="C6150" s="71" t="s">
        <v>3842</v>
      </c>
      <c r="D6150" s="71">
        <v>7</v>
      </c>
      <c r="E6150" s="102">
        <v>325000</v>
      </c>
      <c r="F6150" s="102">
        <f t="shared" si="3055"/>
        <v>2502500</v>
      </c>
      <c r="G6150" s="102">
        <f t="shared" si="3056"/>
        <v>2275000</v>
      </c>
      <c r="H6150" s="690" t="s">
        <v>179</v>
      </c>
      <c r="I6150" s="71" t="s">
        <v>179</v>
      </c>
      <c r="J6150" s="53">
        <f t="shared" si="3057"/>
        <v>636440</v>
      </c>
      <c r="K6150" s="63">
        <f t="shared" si="3062"/>
        <v>0.27975384615384613</v>
      </c>
      <c r="L6150" s="1212" t="s">
        <v>3832</v>
      </c>
      <c r="M6150" s="468" t="s">
        <v>3841</v>
      </c>
      <c r="N6150" s="1192">
        <f t="shared" si="3049"/>
        <v>45161</v>
      </c>
      <c r="O6150" s="71" t="s">
        <v>3383</v>
      </c>
      <c r="P6150" s="103" t="str">
        <f t="shared" si="3058"/>
        <v>세정포-XL106</v>
      </c>
      <c r="Q6150" s="71">
        <f t="shared" si="3059"/>
        <v>7</v>
      </c>
      <c r="R6150" s="102">
        <v>234080</v>
      </c>
      <c r="S6150" s="102">
        <f t="shared" si="3060"/>
        <v>1802416.0000000002</v>
      </c>
      <c r="T6150" s="102">
        <f t="shared" si="3061"/>
        <v>1638560</v>
      </c>
      <c r="U6150" s="71" t="str">
        <f>IF(J6150=W6150,"O", "X")</f>
        <v>O</v>
      </c>
      <c r="V6150" s="71"/>
      <c r="W6150" s="474">
        <f>(G6150-T6150)</f>
        <v>636440</v>
      </c>
      <c r="X6150" s="71"/>
      <c r="Y6150" s="71"/>
    </row>
    <row r="6151" spans="1:25" s="209" customFormat="1" ht="30" hidden="1" customHeight="1" x14ac:dyDescent="0.25">
      <c r="A6151" s="1145">
        <v>45161</v>
      </c>
      <c r="B6151" s="664" t="s">
        <v>2353</v>
      </c>
      <c r="C6151" s="71" t="s">
        <v>3845</v>
      </c>
      <c r="D6151" s="71">
        <v>12</v>
      </c>
      <c r="E6151" s="102">
        <v>32000</v>
      </c>
      <c r="F6151" s="102">
        <f t="shared" si="3055"/>
        <v>422400.00000000006</v>
      </c>
      <c r="G6151" s="102">
        <f t="shared" si="3056"/>
        <v>384000</v>
      </c>
      <c r="H6151" s="690" t="s">
        <v>179</v>
      </c>
      <c r="I6151" s="71" t="s">
        <v>179</v>
      </c>
      <c r="J6151" s="53">
        <f t="shared" si="3057"/>
        <v>48000</v>
      </c>
      <c r="K6151" s="63">
        <f t="shared" si="3062"/>
        <v>0.12499999999999999</v>
      </c>
      <c r="L6151" s="1212" t="s">
        <v>3832</v>
      </c>
      <c r="M6151" s="468"/>
      <c r="N6151" s="1192">
        <f t="shared" si="3049"/>
        <v>45161</v>
      </c>
      <c r="O6151" s="71" t="s">
        <v>2030</v>
      </c>
      <c r="P6151" s="164" t="str">
        <f t="shared" si="3058"/>
        <v>흡입 싸카통</v>
      </c>
      <c r="Q6151" s="71">
        <f t="shared" si="3059"/>
        <v>12</v>
      </c>
      <c r="R6151" s="102">
        <v>28000</v>
      </c>
      <c r="S6151" s="102">
        <f t="shared" si="3060"/>
        <v>369600.00000000006</v>
      </c>
      <c r="T6151" s="102">
        <f t="shared" si="3061"/>
        <v>336000</v>
      </c>
      <c r="U6151" s="71"/>
      <c r="V6151" s="71"/>
      <c r="W6151" s="474"/>
      <c r="X6151" s="71"/>
      <c r="Y6151" s="71"/>
    </row>
    <row r="6152" spans="1:25" ht="30" hidden="1" customHeight="1" x14ac:dyDescent="0.25">
      <c r="A6152" s="1145">
        <v>45161</v>
      </c>
      <c r="B6152" s="664" t="s">
        <v>2353</v>
      </c>
      <c r="C6152" s="71" t="s">
        <v>2031</v>
      </c>
      <c r="D6152" s="71">
        <v>4</v>
      </c>
      <c r="E6152" s="102">
        <v>50000</v>
      </c>
      <c r="F6152" s="102">
        <f t="shared" si="3055"/>
        <v>220000.00000000003</v>
      </c>
      <c r="G6152" s="102">
        <f t="shared" si="3056"/>
        <v>200000</v>
      </c>
      <c r="H6152" s="690" t="s">
        <v>179</v>
      </c>
      <c r="I6152" s="71" t="s">
        <v>179</v>
      </c>
      <c r="J6152" s="53">
        <f t="shared" si="3057"/>
        <v>104000</v>
      </c>
      <c r="K6152" s="63">
        <f t="shared" si="3062"/>
        <v>0.51999999999999991</v>
      </c>
      <c r="L6152" s="1212" t="s">
        <v>3832</v>
      </c>
      <c r="M6152" s="102"/>
      <c r="N6152" s="1192">
        <f t="shared" si="3049"/>
        <v>45161</v>
      </c>
      <c r="O6152" s="71" t="s">
        <v>94</v>
      </c>
      <c r="P6152" s="103" t="str">
        <f t="shared" si="3058"/>
        <v>필터백</v>
      </c>
      <c r="Q6152" s="71">
        <f t="shared" si="3059"/>
        <v>4</v>
      </c>
      <c r="R6152" s="102">
        <v>24000</v>
      </c>
      <c r="S6152" s="102">
        <f t="shared" si="3060"/>
        <v>105600.00000000001</v>
      </c>
      <c r="T6152" s="102">
        <f t="shared" si="3061"/>
        <v>96000</v>
      </c>
      <c r="U6152" s="71"/>
      <c r="V6152" s="71"/>
      <c r="W6152" s="474"/>
      <c r="X6152" s="71"/>
      <c r="Y6152" s="71"/>
    </row>
    <row r="6153" spans="1:25" s="209" customFormat="1" ht="30" hidden="1" customHeight="1" x14ac:dyDescent="0.25">
      <c r="A6153" s="1145">
        <v>45161</v>
      </c>
      <c r="B6153" s="664" t="s">
        <v>2353</v>
      </c>
      <c r="C6153" s="71" t="s">
        <v>3846</v>
      </c>
      <c r="D6153" s="71">
        <v>2</v>
      </c>
      <c r="E6153" s="102">
        <v>1300000</v>
      </c>
      <c r="F6153" s="102">
        <f t="shared" si="3055"/>
        <v>2860000</v>
      </c>
      <c r="G6153" s="102">
        <f t="shared" si="3056"/>
        <v>2600000</v>
      </c>
      <c r="H6153" s="690" t="s">
        <v>179</v>
      </c>
      <c r="I6153" s="71" t="s">
        <v>179</v>
      </c>
      <c r="J6153" s="53">
        <f t="shared" si="3057"/>
        <v>200000</v>
      </c>
      <c r="K6153" s="63">
        <f t="shared" si="3062"/>
        <v>7.6923076923076927E-2</v>
      </c>
      <c r="L6153" s="1212" t="s">
        <v>3832</v>
      </c>
      <c r="M6153" s="468"/>
      <c r="N6153" s="1192">
        <f t="shared" si="3049"/>
        <v>45161</v>
      </c>
      <c r="O6153" s="71" t="s">
        <v>2030</v>
      </c>
      <c r="P6153" s="164" t="str">
        <f t="shared" si="3058"/>
        <v>XL 집진기 필터</v>
      </c>
      <c r="Q6153" s="71">
        <f t="shared" si="3059"/>
        <v>2</v>
      </c>
      <c r="R6153" s="102">
        <v>1200000</v>
      </c>
      <c r="S6153" s="102">
        <f t="shared" si="3060"/>
        <v>2640000</v>
      </c>
      <c r="T6153" s="102">
        <f t="shared" si="3061"/>
        <v>2400000</v>
      </c>
      <c r="U6153" s="71"/>
      <c r="V6153" s="71"/>
      <c r="W6153" s="474"/>
      <c r="X6153" s="71"/>
      <c r="Y6153" s="71"/>
    </row>
    <row r="6154" spans="1:25" ht="30" customHeight="1" x14ac:dyDescent="0.25">
      <c r="A6154" s="1145">
        <v>45166</v>
      </c>
      <c r="B6154" s="664" t="s">
        <v>641</v>
      </c>
      <c r="C6154" s="71" t="s">
        <v>3293</v>
      </c>
      <c r="D6154" s="71">
        <v>40</v>
      </c>
      <c r="E6154" s="102">
        <v>84000</v>
      </c>
      <c r="F6154" s="102">
        <f t="shared" si="3055"/>
        <v>3696000.0000000005</v>
      </c>
      <c r="G6154" s="102">
        <f t="shared" si="3056"/>
        <v>3360000</v>
      </c>
      <c r="H6154" s="690" t="s">
        <v>172</v>
      </c>
      <c r="I6154" s="71" t="s">
        <v>38</v>
      </c>
      <c r="J6154" s="53">
        <f t="shared" si="3057"/>
        <v>1320000</v>
      </c>
      <c r="K6154" s="63">
        <f t="shared" si="3062"/>
        <v>0.39285714285714279</v>
      </c>
      <c r="L6154" s="1212" t="s">
        <v>3832</v>
      </c>
      <c r="M6154" s="468"/>
      <c r="N6154" s="1192">
        <f t="shared" si="3049"/>
        <v>45166</v>
      </c>
      <c r="O6154" s="71" t="s">
        <v>3291</v>
      </c>
      <c r="P6154" s="103" t="str">
        <f t="shared" si="3058"/>
        <v>GOSS 신문윤전 습식세정포</v>
      </c>
      <c r="Q6154" s="71">
        <f t="shared" si="3059"/>
        <v>40</v>
      </c>
      <c r="R6154" s="102">
        <v>51000</v>
      </c>
      <c r="S6154" s="102">
        <f t="shared" si="3060"/>
        <v>2244000</v>
      </c>
      <c r="T6154" s="102">
        <f t="shared" si="3061"/>
        <v>2040000</v>
      </c>
      <c r="U6154" s="71" t="str">
        <f>IF(J6154=W6154,"O", "X")</f>
        <v>X</v>
      </c>
      <c r="V6154" s="71"/>
      <c r="W6154" s="474"/>
      <c r="X6154" s="71"/>
      <c r="Y6154" s="71"/>
    </row>
    <row r="6155" spans="1:25" ht="30" hidden="1" customHeight="1" x14ac:dyDescent="0.25">
      <c r="A6155" s="1145">
        <v>45163</v>
      </c>
      <c r="B6155" s="664" t="s">
        <v>1060</v>
      </c>
      <c r="C6155" s="71" t="s">
        <v>3847</v>
      </c>
      <c r="D6155" s="71">
        <v>900</v>
      </c>
      <c r="E6155" s="102">
        <v>5570</v>
      </c>
      <c r="F6155" s="102">
        <f t="shared" si="3055"/>
        <v>5514300</v>
      </c>
      <c r="G6155" s="102">
        <f t="shared" si="3056"/>
        <v>5013000</v>
      </c>
      <c r="H6155" s="690" t="s">
        <v>36</v>
      </c>
      <c r="I6155" s="71" t="s">
        <v>2529</v>
      </c>
      <c r="J6155" s="53">
        <f t="shared" si="3057"/>
        <v>1462500</v>
      </c>
      <c r="K6155" s="63">
        <f t="shared" si="3062"/>
        <v>0.29174147217235191</v>
      </c>
      <c r="L6155" s="1212" t="s">
        <v>3829</v>
      </c>
      <c r="M6155" s="102" t="s">
        <v>3848</v>
      </c>
      <c r="N6155" s="1192">
        <f t="shared" si="3049"/>
        <v>45163</v>
      </c>
      <c r="O6155" s="71" t="s">
        <v>2030</v>
      </c>
      <c r="P6155" s="103" t="str">
        <f t="shared" si="3058"/>
        <v>Saphira CTP 판 1030 x 790</v>
      </c>
      <c r="Q6155" s="71">
        <f t="shared" si="3059"/>
        <v>900</v>
      </c>
      <c r="R6155" s="102">
        <v>3945</v>
      </c>
      <c r="S6155" s="102">
        <f t="shared" si="3060"/>
        <v>3905550.0000000005</v>
      </c>
      <c r="T6155" s="102">
        <f t="shared" si="3061"/>
        <v>3550500</v>
      </c>
      <c r="U6155" s="71" t="s">
        <v>859</v>
      </c>
      <c r="V6155" s="71"/>
      <c r="W6155" s="474">
        <v>942000</v>
      </c>
      <c r="X6155" s="71"/>
      <c r="Y6155" s="71"/>
    </row>
    <row r="6156" spans="1:25" ht="30" hidden="1" customHeight="1" x14ac:dyDescent="0.25">
      <c r="A6156" s="1145">
        <v>45163</v>
      </c>
      <c r="B6156" s="664" t="s">
        <v>2255</v>
      </c>
      <c r="C6156" s="71" t="s">
        <v>3656</v>
      </c>
      <c r="D6156" s="71">
        <v>2750</v>
      </c>
      <c r="E6156" s="102">
        <v>3520</v>
      </c>
      <c r="F6156" s="102">
        <f t="shared" si="3055"/>
        <v>10648000</v>
      </c>
      <c r="G6156" s="102">
        <f t="shared" si="3056"/>
        <v>9680000</v>
      </c>
      <c r="H6156" s="690" t="s">
        <v>36</v>
      </c>
      <c r="I6156" s="71" t="s">
        <v>2529</v>
      </c>
      <c r="J6156" s="53">
        <f t="shared" si="3057"/>
        <v>2824250</v>
      </c>
      <c r="K6156" s="63">
        <f t="shared" si="3062"/>
        <v>0.29176136363636362</v>
      </c>
      <c r="L6156" s="1212" t="s">
        <v>3829</v>
      </c>
      <c r="M6156" s="102" t="s">
        <v>3848</v>
      </c>
      <c r="N6156" s="1192">
        <f t="shared" si="3049"/>
        <v>45163</v>
      </c>
      <c r="O6156" s="71" t="s">
        <v>2030</v>
      </c>
      <c r="P6156" s="103" t="str">
        <f t="shared" si="3058"/>
        <v>Saphira CTP 판 900 x 571</v>
      </c>
      <c r="Q6156" s="71">
        <f t="shared" si="3059"/>
        <v>2750</v>
      </c>
      <c r="R6156" s="102">
        <v>2493</v>
      </c>
      <c r="S6156" s="102">
        <f t="shared" si="3060"/>
        <v>7541325.0000000009</v>
      </c>
      <c r="T6156" s="102">
        <f t="shared" si="3061"/>
        <v>6855750</v>
      </c>
      <c r="U6156" s="71" t="s">
        <v>859</v>
      </c>
      <c r="V6156" s="71"/>
      <c r="W6156" s="474">
        <v>1274000</v>
      </c>
      <c r="X6156" s="71"/>
      <c r="Y6156" s="71"/>
    </row>
    <row r="6157" spans="1:25" ht="30" hidden="1" customHeight="1" x14ac:dyDescent="0.25">
      <c r="A6157" s="1145">
        <v>45163</v>
      </c>
      <c r="B6157" s="664" t="s">
        <v>2255</v>
      </c>
      <c r="C6157" s="71" t="s">
        <v>3657</v>
      </c>
      <c r="D6157" s="71">
        <v>1400</v>
      </c>
      <c r="E6157" s="102">
        <v>3320</v>
      </c>
      <c r="F6157" s="102">
        <f t="shared" si="3055"/>
        <v>5112800</v>
      </c>
      <c r="G6157" s="102">
        <f t="shared" si="3056"/>
        <v>4648000</v>
      </c>
      <c r="H6157" s="690" t="s">
        <v>36</v>
      </c>
      <c r="I6157" s="71" t="s">
        <v>2529</v>
      </c>
      <c r="J6157" s="53">
        <f t="shared" si="3057"/>
        <v>1331400</v>
      </c>
      <c r="K6157" s="63">
        <f t="shared" si="3062"/>
        <v>0.28644578313253011</v>
      </c>
      <c r="L6157" s="1212" t="s">
        <v>3829</v>
      </c>
      <c r="M6157" s="102" t="s">
        <v>3848</v>
      </c>
      <c r="N6157" s="1192">
        <f t="shared" si="3049"/>
        <v>45163</v>
      </c>
      <c r="O6157" s="71" t="s">
        <v>2030</v>
      </c>
      <c r="P6157" s="103" t="str">
        <f t="shared" si="3058"/>
        <v>Saphira CTP 판 883 x 552</v>
      </c>
      <c r="Q6157" s="71">
        <f t="shared" si="3059"/>
        <v>1400</v>
      </c>
      <c r="R6157" s="102">
        <v>2369</v>
      </c>
      <c r="S6157" s="102">
        <f t="shared" si="3060"/>
        <v>3648260.0000000005</v>
      </c>
      <c r="T6157" s="102">
        <f t="shared" si="3061"/>
        <v>3316600</v>
      </c>
      <c r="U6157" s="71" t="s">
        <v>859</v>
      </c>
      <c r="V6157" s="71"/>
      <c r="W6157" s="474">
        <v>3325000</v>
      </c>
      <c r="X6157" s="71"/>
      <c r="Y6157" s="71"/>
    </row>
    <row r="6158" spans="1:25" ht="30" hidden="1" customHeight="1" x14ac:dyDescent="0.25">
      <c r="A6158" s="1145">
        <v>45163</v>
      </c>
      <c r="B6158" s="664" t="s">
        <v>2255</v>
      </c>
      <c r="C6158" s="71" t="s">
        <v>3849</v>
      </c>
      <c r="D6158" s="71">
        <v>1400</v>
      </c>
      <c r="E6158" s="102">
        <v>5650</v>
      </c>
      <c r="F6158" s="102">
        <f t="shared" si="3055"/>
        <v>8701000</v>
      </c>
      <c r="G6158" s="102">
        <f t="shared" si="3056"/>
        <v>7910000</v>
      </c>
      <c r="H6158" s="690" t="s">
        <v>36</v>
      </c>
      <c r="I6158" s="71" t="s">
        <v>2529</v>
      </c>
      <c r="J6158" s="53">
        <f t="shared" si="3057"/>
        <v>2315600</v>
      </c>
      <c r="K6158" s="63">
        <f t="shared" si="3062"/>
        <v>0.29274336283185842</v>
      </c>
      <c r="L6158" s="1212" t="s">
        <v>3829</v>
      </c>
      <c r="M6158" s="102" t="s">
        <v>3848</v>
      </c>
      <c r="N6158" s="1192">
        <f t="shared" si="3049"/>
        <v>45163</v>
      </c>
      <c r="O6158" s="71" t="s">
        <v>2030</v>
      </c>
      <c r="P6158" s="103" t="str">
        <f t="shared" si="3058"/>
        <v>Saphira CTP 판 1030 x 800</v>
      </c>
      <c r="Q6158" s="71">
        <f t="shared" si="3059"/>
        <v>1400</v>
      </c>
      <c r="R6158" s="102">
        <v>3996</v>
      </c>
      <c r="S6158" s="102">
        <f t="shared" si="3060"/>
        <v>6153840.0000000009</v>
      </c>
      <c r="T6158" s="102">
        <f t="shared" si="3061"/>
        <v>5594400</v>
      </c>
      <c r="U6158" s="71" t="s">
        <v>859</v>
      </c>
      <c r="V6158" s="71"/>
      <c r="W6158" s="474">
        <v>636000</v>
      </c>
      <c r="X6158" s="71"/>
      <c r="Y6158" s="71"/>
    </row>
    <row r="6159" spans="1:25" ht="30" hidden="1" customHeight="1" x14ac:dyDescent="0.25">
      <c r="A6159" s="1145">
        <v>45163</v>
      </c>
      <c r="B6159" s="664" t="s">
        <v>2255</v>
      </c>
      <c r="C6159" s="71" t="s">
        <v>3850</v>
      </c>
      <c r="D6159" s="71">
        <v>1700</v>
      </c>
      <c r="E6159" s="102">
        <v>5850</v>
      </c>
      <c r="F6159" s="102">
        <f t="shared" si="3055"/>
        <v>10939500</v>
      </c>
      <c r="G6159" s="102">
        <f t="shared" si="3056"/>
        <v>9945000</v>
      </c>
      <c r="H6159" s="690" t="s">
        <v>36</v>
      </c>
      <c r="I6159" s="71" t="s">
        <v>2529</v>
      </c>
      <c r="J6159" s="53">
        <f t="shared" si="3057"/>
        <v>2888300</v>
      </c>
      <c r="K6159" s="63">
        <f t="shared" si="3062"/>
        <v>0.29042735042735041</v>
      </c>
      <c r="L6159" s="1212" t="s">
        <v>3829</v>
      </c>
      <c r="M6159" s="102" t="s">
        <v>3848</v>
      </c>
      <c r="N6159" s="1192">
        <f t="shared" si="3049"/>
        <v>45163</v>
      </c>
      <c r="O6159" s="71" t="s">
        <v>2030</v>
      </c>
      <c r="P6159" s="103" t="str">
        <f t="shared" si="3058"/>
        <v>Saphira CTP 판 1055 x 811</v>
      </c>
      <c r="Q6159" s="71">
        <f t="shared" si="3059"/>
        <v>1700</v>
      </c>
      <c r="R6159" s="102">
        <v>4151</v>
      </c>
      <c r="S6159" s="102">
        <f t="shared" si="3060"/>
        <v>7762370.0000000009</v>
      </c>
      <c r="T6159" s="102">
        <f t="shared" si="3061"/>
        <v>7056700</v>
      </c>
      <c r="U6159" s="71" t="s">
        <v>859</v>
      </c>
      <c r="V6159" s="71"/>
      <c r="W6159" s="474">
        <v>1476000</v>
      </c>
      <c r="X6159" s="71"/>
      <c r="Y6159" s="71"/>
    </row>
    <row r="6160" spans="1:25" ht="30" hidden="1" customHeight="1" x14ac:dyDescent="0.25">
      <c r="A6160" s="1145">
        <v>45163</v>
      </c>
      <c r="B6160" s="664" t="s">
        <v>2255</v>
      </c>
      <c r="C6160" s="71" t="s">
        <v>3851</v>
      </c>
      <c r="D6160" s="71">
        <v>300</v>
      </c>
      <c r="E6160" s="102">
        <v>4170</v>
      </c>
      <c r="F6160" s="102">
        <f t="shared" si="3055"/>
        <v>1376100</v>
      </c>
      <c r="G6160" s="102">
        <f t="shared" si="3056"/>
        <v>1251000</v>
      </c>
      <c r="H6160" s="690" t="s">
        <v>36</v>
      </c>
      <c r="I6160" s="71" t="s">
        <v>2529</v>
      </c>
      <c r="J6160" s="53">
        <f t="shared" si="3057"/>
        <v>361200</v>
      </c>
      <c r="K6160" s="63">
        <f t="shared" si="3062"/>
        <v>0.28872901678657076</v>
      </c>
      <c r="L6160" s="1212" t="s">
        <v>3829</v>
      </c>
      <c r="M6160" s="102" t="s">
        <v>3848</v>
      </c>
      <c r="N6160" s="1192">
        <f t="shared" si="3049"/>
        <v>45163</v>
      </c>
      <c r="O6160" s="71" t="s">
        <v>2030</v>
      </c>
      <c r="P6160" s="103" t="str">
        <f t="shared" si="3058"/>
        <v>Saphira CTP 판 968 x 631</v>
      </c>
      <c r="Q6160" s="71">
        <f t="shared" si="3059"/>
        <v>300</v>
      </c>
      <c r="R6160" s="102">
        <v>2966</v>
      </c>
      <c r="S6160" s="102">
        <f t="shared" si="3060"/>
        <v>978780.00000000012</v>
      </c>
      <c r="T6160" s="102">
        <f t="shared" si="3061"/>
        <v>889800</v>
      </c>
      <c r="U6160" s="71" t="s">
        <v>859</v>
      </c>
      <c r="V6160" s="71"/>
      <c r="W6160" s="474">
        <v>1416000</v>
      </c>
      <c r="X6160" s="71"/>
      <c r="Y6160" s="71"/>
    </row>
    <row r="6161" spans="1:25" ht="30" hidden="1" customHeight="1" x14ac:dyDescent="0.25">
      <c r="A6161" s="1145">
        <v>45163</v>
      </c>
      <c r="B6161" s="664" t="s">
        <v>2255</v>
      </c>
      <c r="C6161" s="71" t="s">
        <v>3661</v>
      </c>
      <c r="D6161" s="71">
        <v>30</v>
      </c>
      <c r="E6161" s="102">
        <v>50600</v>
      </c>
      <c r="F6161" s="102">
        <f t="shared" si="3055"/>
        <v>1669800.0000000002</v>
      </c>
      <c r="G6161" s="102">
        <f t="shared" si="3056"/>
        <v>1518000</v>
      </c>
      <c r="H6161" s="690" t="s">
        <v>179</v>
      </c>
      <c r="I6161" s="71" t="s">
        <v>3405</v>
      </c>
      <c r="J6161" s="53">
        <f t="shared" si="3057"/>
        <v>318000</v>
      </c>
      <c r="K6161" s="63">
        <f t="shared" si="3062"/>
        <v>0.20948616600790509</v>
      </c>
      <c r="L6161" s="1212" t="s">
        <v>3829</v>
      </c>
      <c r="M6161" s="468"/>
      <c r="N6161" s="1192">
        <f t="shared" si="3049"/>
        <v>45163</v>
      </c>
      <c r="O6161" s="71" t="s">
        <v>2030</v>
      </c>
      <c r="P6161" s="103" t="str">
        <f t="shared" si="3058"/>
        <v>사피라 현상액</v>
      </c>
      <c r="Q6161" s="71">
        <f t="shared" si="3059"/>
        <v>30</v>
      </c>
      <c r="R6161" s="102">
        <v>40000</v>
      </c>
      <c r="S6161" s="102">
        <f t="shared" si="3060"/>
        <v>1320000</v>
      </c>
      <c r="T6161" s="102">
        <f t="shared" si="3061"/>
        <v>1200000</v>
      </c>
      <c r="U6161" s="71" t="s">
        <v>859</v>
      </c>
      <c r="V6161" s="71"/>
      <c r="W6161" s="474">
        <v>978750</v>
      </c>
      <c r="X6161" s="71"/>
      <c r="Y6161" s="71"/>
    </row>
    <row r="6162" spans="1:25" ht="30" hidden="1" customHeight="1" x14ac:dyDescent="0.25">
      <c r="A6162" s="1145">
        <v>45163</v>
      </c>
      <c r="B6162" s="664" t="s">
        <v>2254</v>
      </c>
      <c r="C6162" s="71" t="s">
        <v>3319</v>
      </c>
      <c r="D6162" s="71">
        <v>200</v>
      </c>
      <c r="E6162" s="102">
        <v>6328</v>
      </c>
      <c r="F6162" s="102">
        <f t="shared" si="3055"/>
        <v>1392160</v>
      </c>
      <c r="G6162" s="102">
        <f t="shared" si="3056"/>
        <v>1265600</v>
      </c>
      <c r="H6162" s="690" t="s">
        <v>36</v>
      </c>
      <c r="I6162" s="71" t="s">
        <v>3320</v>
      </c>
      <c r="J6162" s="53">
        <f t="shared" si="3057"/>
        <v>95600</v>
      </c>
      <c r="K6162" s="63">
        <f t="shared" si="3062"/>
        <v>7.5537294563843241E-2</v>
      </c>
      <c r="L6162" s="1212" t="s">
        <v>3829</v>
      </c>
      <c r="M6162" s="468"/>
      <c r="N6162" s="1192">
        <f t="shared" si="3049"/>
        <v>45163</v>
      </c>
      <c r="O6162" s="71" t="s">
        <v>146</v>
      </c>
      <c r="P6162" s="103" t="str">
        <f t="shared" si="3058"/>
        <v>프리미어(먹)</v>
      </c>
      <c r="Q6162" s="71">
        <f t="shared" si="3059"/>
        <v>200</v>
      </c>
      <c r="R6162" s="102">
        <v>5850</v>
      </c>
      <c r="S6162" s="102">
        <f t="shared" si="3060"/>
        <v>1287000</v>
      </c>
      <c r="T6162" s="102">
        <f t="shared" si="3061"/>
        <v>1170000</v>
      </c>
      <c r="U6162" s="71" t="s">
        <v>859</v>
      </c>
      <c r="V6162" s="71"/>
      <c r="W6162" s="474">
        <v>411200</v>
      </c>
      <c r="X6162" s="71"/>
      <c r="Y6162" s="71"/>
    </row>
    <row r="6163" spans="1:25" ht="30" hidden="1" customHeight="1" x14ac:dyDescent="0.25">
      <c r="A6163" s="1145">
        <v>45163</v>
      </c>
      <c r="B6163" s="664" t="s">
        <v>2254</v>
      </c>
      <c r="C6163" s="71" t="s">
        <v>3321</v>
      </c>
      <c r="D6163" s="71">
        <v>200</v>
      </c>
      <c r="E6163" s="102">
        <v>6780</v>
      </c>
      <c r="F6163" s="102">
        <f t="shared" si="3055"/>
        <v>1491600.0000000002</v>
      </c>
      <c r="G6163" s="102">
        <f t="shared" si="3056"/>
        <v>1356000</v>
      </c>
      <c r="H6163" s="690" t="s">
        <v>36</v>
      </c>
      <c r="I6163" s="71" t="s">
        <v>3320</v>
      </c>
      <c r="J6163" s="53">
        <f t="shared" si="3057"/>
        <v>100000</v>
      </c>
      <c r="K6163" s="63">
        <f t="shared" si="3062"/>
        <v>7.3746312684365767E-2</v>
      </c>
      <c r="L6163" s="1212" t="s">
        <v>3829</v>
      </c>
      <c r="M6163" s="468"/>
      <c r="N6163" s="1192">
        <f t="shared" si="3049"/>
        <v>45163</v>
      </c>
      <c r="O6163" s="71" t="s">
        <v>146</v>
      </c>
      <c r="P6163" s="103" t="str">
        <f t="shared" si="3058"/>
        <v>프리미어(적)</v>
      </c>
      <c r="Q6163" s="71">
        <f t="shared" si="3059"/>
        <v>200</v>
      </c>
      <c r="R6163" s="102">
        <v>6280</v>
      </c>
      <c r="S6163" s="102">
        <f t="shared" si="3060"/>
        <v>1381600</v>
      </c>
      <c r="T6163" s="102">
        <f t="shared" si="3061"/>
        <v>1256000</v>
      </c>
      <c r="U6163" s="71" t="s">
        <v>859</v>
      </c>
      <c r="V6163" s="71"/>
      <c r="W6163" s="474">
        <v>292000</v>
      </c>
      <c r="X6163" s="71"/>
      <c r="Y6163" s="71"/>
    </row>
    <row r="6164" spans="1:25" ht="30" hidden="1" customHeight="1" x14ac:dyDescent="0.25">
      <c r="A6164" s="1145">
        <v>45163</v>
      </c>
      <c r="B6164" s="664" t="s">
        <v>2254</v>
      </c>
      <c r="C6164" s="71" t="s">
        <v>1289</v>
      </c>
      <c r="D6164" s="71">
        <v>600</v>
      </c>
      <c r="E6164" s="102">
        <v>6498</v>
      </c>
      <c r="F6164" s="102">
        <f t="shared" si="3055"/>
        <v>4288680</v>
      </c>
      <c r="G6164" s="102">
        <f t="shared" si="3056"/>
        <v>3898800</v>
      </c>
      <c r="H6164" s="690" t="s">
        <v>36</v>
      </c>
      <c r="I6164" s="71" t="s">
        <v>3320</v>
      </c>
      <c r="J6164" s="53">
        <f t="shared" si="3057"/>
        <v>286800</v>
      </c>
      <c r="K6164" s="63">
        <f t="shared" si="3062"/>
        <v>7.3561095721760547E-2</v>
      </c>
      <c r="L6164" s="1212" t="s">
        <v>3829</v>
      </c>
      <c r="M6164" s="468"/>
      <c r="N6164" s="1192">
        <f t="shared" si="3049"/>
        <v>45163</v>
      </c>
      <c r="O6164" s="71" t="s">
        <v>146</v>
      </c>
      <c r="P6164" s="103" t="str">
        <f t="shared" si="3058"/>
        <v>프리미어(황)</v>
      </c>
      <c r="Q6164" s="71">
        <f t="shared" si="3059"/>
        <v>600</v>
      </c>
      <c r="R6164" s="102">
        <v>6020</v>
      </c>
      <c r="S6164" s="102">
        <f t="shared" si="3060"/>
        <v>3973200.0000000005</v>
      </c>
      <c r="T6164" s="102">
        <f t="shared" si="3061"/>
        <v>3612000</v>
      </c>
      <c r="U6164" s="71" t="s">
        <v>859</v>
      </c>
      <c r="V6164" s="71"/>
      <c r="W6164" s="474">
        <v>640800</v>
      </c>
      <c r="X6164" s="71"/>
      <c r="Y6164" s="71"/>
    </row>
    <row r="6165" spans="1:25" ht="30" hidden="1" customHeight="1" x14ac:dyDescent="0.25">
      <c r="A6165" s="1145">
        <v>45163</v>
      </c>
      <c r="B6165" s="664" t="s">
        <v>2254</v>
      </c>
      <c r="C6165" s="71" t="s">
        <v>1290</v>
      </c>
      <c r="D6165" s="71">
        <v>400</v>
      </c>
      <c r="E6165" s="102">
        <v>7910</v>
      </c>
      <c r="F6165" s="102">
        <f t="shared" si="3055"/>
        <v>3480400.0000000005</v>
      </c>
      <c r="G6165" s="102">
        <f t="shared" si="3056"/>
        <v>3164000</v>
      </c>
      <c r="H6165" s="690" t="s">
        <v>36</v>
      </c>
      <c r="I6165" s="71" t="s">
        <v>3320</v>
      </c>
      <c r="J6165" s="53">
        <f t="shared" si="3057"/>
        <v>240000</v>
      </c>
      <c r="K6165" s="63">
        <f t="shared" si="3062"/>
        <v>7.5853350189633365E-2</v>
      </c>
      <c r="L6165" s="1212" t="s">
        <v>3829</v>
      </c>
      <c r="M6165" s="468"/>
      <c r="N6165" s="1192">
        <f t="shared" si="3049"/>
        <v>45163</v>
      </c>
      <c r="O6165" s="71" t="s">
        <v>146</v>
      </c>
      <c r="P6165" s="103" t="str">
        <f t="shared" si="3058"/>
        <v>프리미어(청)</v>
      </c>
      <c r="Q6165" s="71">
        <f t="shared" si="3059"/>
        <v>400</v>
      </c>
      <c r="R6165" s="102">
        <v>7310</v>
      </c>
      <c r="S6165" s="102">
        <f t="shared" si="3060"/>
        <v>3216400.0000000005</v>
      </c>
      <c r="T6165" s="102">
        <f t="shared" si="3061"/>
        <v>2924000</v>
      </c>
      <c r="U6165" s="71" t="s">
        <v>859</v>
      </c>
      <c r="V6165" s="71"/>
      <c r="W6165" s="474">
        <v>846000</v>
      </c>
      <c r="X6165" s="71"/>
      <c r="Y6165" s="71"/>
    </row>
    <row r="6166" spans="1:25" ht="30" hidden="1" customHeight="1" x14ac:dyDescent="0.25">
      <c r="A6166" s="1145">
        <v>45163</v>
      </c>
      <c r="B6166" s="664" t="s">
        <v>2254</v>
      </c>
      <c r="C6166" s="71" t="s">
        <v>3322</v>
      </c>
      <c r="D6166" s="71"/>
      <c r="E6166" s="102">
        <v>7150</v>
      </c>
      <c r="F6166" s="102">
        <f t="shared" si="3055"/>
        <v>0</v>
      </c>
      <c r="G6166" s="102">
        <f t="shared" si="3056"/>
        <v>0</v>
      </c>
      <c r="H6166" s="690" t="s">
        <v>36</v>
      </c>
      <c r="I6166" s="71" t="s">
        <v>3320</v>
      </c>
      <c r="J6166" s="53">
        <f t="shared" si="3057"/>
        <v>0</v>
      </c>
      <c r="K6166" s="63" t="e">
        <f t="shared" si="3062"/>
        <v>#DIV/0!</v>
      </c>
      <c r="L6166" s="1212" t="s">
        <v>3829</v>
      </c>
      <c r="M6166" s="468"/>
      <c r="N6166" s="1192">
        <f t="shared" si="3049"/>
        <v>45163</v>
      </c>
      <c r="O6166" s="71" t="s">
        <v>3323</v>
      </c>
      <c r="P6166" s="103" t="str">
        <f t="shared" si="3058"/>
        <v>한특 잉크(적)</v>
      </c>
      <c r="Q6166" s="71">
        <f t="shared" si="3059"/>
        <v>0</v>
      </c>
      <c r="R6166" s="102">
        <v>6500</v>
      </c>
      <c r="S6166" s="102">
        <f t="shared" si="3060"/>
        <v>0</v>
      </c>
      <c r="T6166" s="102">
        <f t="shared" si="3061"/>
        <v>0</v>
      </c>
      <c r="U6166" s="71" t="s">
        <v>859</v>
      </c>
      <c r="V6166" s="71"/>
      <c r="W6166" s="474">
        <v>0</v>
      </c>
      <c r="X6166" s="71"/>
      <c r="Y6166" s="71"/>
    </row>
    <row r="6167" spans="1:25" ht="30" hidden="1" customHeight="1" x14ac:dyDescent="0.25">
      <c r="A6167" s="1145">
        <v>45163</v>
      </c>
      <c r="B6167" s="664" t="s">
        <v>2254</v>
      </c>
      <c r="C6167" s="71" t="s">
        <v>3324</v>
      </c>
      <c r="D6167" s="71"/>
      <c r="E6167" s="102">
        <v>6900</v>
      </c>
      <c r="F6167" s="102">
        <f t="shared" si="3055"/>
        <v>0</v>
      </c>
      <c r="G6167" s="102">
        <f t="shared" si="3056"/>
        <v>0</v>
      </c>
      <c r="H6167" s="690" t="s">
        <v>36</v>
      </c>
      <c r="I6167" s="71" t="s">
        <v>3320</v>
      </c>
      <c r="J6167" s="53">
        <f t="shared" si="3057"/>
        <v>0</v>
      </c>
      <c r="K6167" s="63" t="e">
        <f t="shared" si="3062"/>
        <v>#DIV/0!</v>
      </c>
      <c r="L6167" s="1212" t="s">
        <v>3829</v>
      </c>
      <c r="M6167" s="468"/>
      <c r="N6167" s="1192">
        <f t="shared" si="3049"/>
        <v>45163</v>
      </c>
      <c r="O6167" s="71" t="s">
        <v>3323</v>
      </c>
      <c r="P6167" s="103" t="str">
        <f t="shared" si="3058"/>
        <v>한특 잉크(황)</v>
      </c>
      <c r="Q6167" s="71">
        <f t="shared" si="3059"/>
        <v>0</v>
      </c>
      <c r="R6167" s="102">
        <v>6200</v>
      </c>
      <c r="S6167" s="102">
        <f t="shared" si="3060"/>
        <v>0</v>
      </c>
      <c r="T6167" s="102">
        <f t="shared" si="3061"/>
        <v>0</v>
      </c>
      <c r="U6167" s="71" t="s">
        <v>859</v>
      </c>
      <c r="V6167" s="71"/>
      <c r="W6167" s="474">
        <v>0</v>
      </c>
      <c r="X6167" s="71"/>
      <c r="Y6167" s="71"/>
    </row>
    <row r="6168" spans="1:25" ht="28.5" hidden="1" customHeight="1" x14ac:dyDescent="0.25">
      <c r="A6168" s="1145">
        <v>45163</v>
      </c>
      <c r="B6168" s="664" t="s">
        <v>2254</v>
      </c>
      <c r="C6168" s="71" t="s">
        <v>3325</v>
      </c>
      <c r="D6168" s="71"/>
      <c r="E6168" s="102">
        <v>7500</v>
      </c>
      <c r="F6168" s="102">
        <f t="shared" si="3055"/>
        <v>0</v>
      </c>
      <c r="G6168" s="102">
        <f t="shared" si="3056"/>
        <v>0</v>
      </c>
      <c r="H6168" s="690" t="s">
        <v>36</v>
      </c>
      <c r="I6168" s="71" t="s">
        <v>3320</v>
      </c>
      <c r="J6168" s="53">
        <f t="shared" si="3057"/>
        <v>0</v>
      </c>
      <c r="K6168" s="63" t="e">
        <f t="shared" si="3062"/>
        <v>#DIV/0!</v>
      </c>
      <c r="L6168" s="1212" t="s">
        <v>3829</v>
      </c>
      <c r="M6168" s="468"/>
      <c r="N6168" s="1192">
        <f t="shared" si="3049"/>
        <v>45163</v>
      </c>
      <c r="O6168" s="71" t="s">
        <v>3323</v>
      </c>
      <c r="P6168" s="103" t="str">
        <f t="shared" si="3058"/>
        <v>한특 잉크(청)</v>
      </c>
      <c r="Q6168" s="71">
        <f t="shared" si="3059"/>
        <v>0</v>
      </c>
      <c r="R6168" s="102">
        <v>6600</v>
      </c>
      <c r="S6168" s="102">
        <f t="shared" si="3060"/>
        <v>0</v>
      </c>
      <c r="T6168" s="102">
        <f t="shared" si="3061"/>
        <v>0</v>
      </c>
      <c r="U6168" s="71" t="s">
        <v>859</v>
      </c>
      <c r="V6168" s="71"/>
      <c r="W6168" s="474">
        <v>0</v>
      </c>
      <c r="X6168" s="71"/>
      <c r="Y6168" s="71"/>
    </row>
    <row r="6169" spans="1:25" ht="30" hidden="1" customHeight="1" x14ac:dyDescent="0.25">
      <c r="A6169" s="1145">
        <v>45163</v>
      </c>
      <c r="B6169" s="664" t="s">
        <v>2254</v>
      </c>
      <c r="C6169" s="71" t="s">
        <v>3326</v>
      </c>
      <c r="D6169" s="71"/>
      <c r="E6169" s="102">
        <v>6450</v>
      </c>
      <c r="F6169" s="102">
        <f t="shared" si="3055"/>
        <v>0</v>
      </c>
      <c r="G6169" s="102">
        <f t="shared" si="3056"/>
        <v>0</v>
      </c>
      <c r="H6169" s="690" t="s">
        <v>36</v>
      </c>
      <c r="I6169" s="71" t="s">
        <v>3320</v>
      </c>
      <c r="J6169" s="53">
        <f t="shared" si="3057"/>
        <v>0</v>
      </c>
      <c r="K6169" s="63" t="e">
        <f t="shared" si="3062"/>
        <v>#DIV/0!</v>
      </c>
      <c r="L6169" s="1212" t="s">
        <v>3829</v>
      </c>
      <c r="M6169" s="468"/>
      <c r="N6169" s="1192">
        <f t="shared" si="3049"/>
        <v>45163</v>
      </c>
      <c r="O6169" s="71" t="s">
        <v>3323</v>
      </c>
      <c r="P6169" s="103" t="str">
        <f t="shared" si="3058"/>
        <v>한특 잉크(먹)</v>
      </c>
      <c r="Q6169" s="71">
        <f t="shared" si="3059"/>
        <v>0</v>
      </c>
      <c r="R6169" s="102">
        <v>5700</v>
      </c>
      <c r="S6169" s="102">
        <f t="shared" si="3060"/>
        <v>0</v>
      </c>
      <c r="T6169" s="102">
        <f t="shared" si="3061"/>
        <v>0</v>
      </c>
      <c r="U6169" s="71" t="s">
        <v>859</v>
      </c>
      <c r="V6169" s="71"/>
      <c r="W6169" s="474">
        <v>0</v>
      </c>
      <c r="X6169" s="71"/>
      <c r="Y6169" s="71"/>
    </row>
    <row r="6170" spans="1:25" ht="30" hidden="1" customHeight="1" x14ac:dyDescent="0.25">
      <c r="A6170" s="1145">
        <v>45163</v>
      </c>
      <c r="B6170" s="664" t="s">
        <v>2254</v>
      </c>
      <c r="C6170" s="71" t="s">
        <v>3852</v>
      </c>
      <c r="D6170" s="71">
        <v>66</v>
      </c>
      <c r="E6170" s="102">
        <v>22400</v>
      </c>
      <c r="F6170" s="102">
        <f t="shared" si="3055"/>
        <v>1626240.0000000002</v>
      </c>
      <c r="G6170" s="102">
        <f t="shared" si="3056"/>
        <v>1478400</v>
      </c>
      <c r="H6170" s="690" t="s">
        <v>36</v>
      </c>
      <c r="I6170" s="71" t="s">
        <v>3320</v>
      </c>
      <c r="J6170" s="53">
        <f t="shared" si="3057"/>
        <v>0</v>
      </c>
      <c r="K6170" s="63">
        <f t="shared" si="3062"/>
        <v>0</v>
      </c>
      <c r="L6170" s="1212" t="s">
        <v>3829</v>
      </c>
      <c r="M6170" s="468"/>
      <c r="N6170" s="1192">
        <f t="shared" si="3049"/>
        <v>45163</v>
      </c>
      <c r="O6170" s="71" t="s">
        <v>185</v>
      </c>
      <c r="P6170" s="103" t="str">
        <f t="shared" si="3058"/>
        <v>별색 - PT 810C 형광등</v>
      </c>
      <c r="Q6170" s="71">
        <f t="shared" si="3059"/>
        <v>66</v>
      </c>
      <c r="R6170" s="102">
        <v>22400</v>
      </c>
      <c r="S6170" s="102">
        <f t="shared" si="3060"/>
        <v>1626240.0000000002</v>
      </c>
      <c r="T6170" s="102">
        <f t="shared" si="3061"/>
        <v>1478400</v>
      </c>
      <c r="U6170" s="71"/>
      <c r="V6170" s="71"/>
      <c r="W6170" s="474"/>
      <c r="X6170" s="71"/>
      <c r="Y6170" s="71"/>
    </row>
    <row r="6171" spans="1:25" ht="30" hidden="1" customHeight="1" x14ac:dyDescent="0.25">
      <c r="A6171" s="1145">
        <v>45163</v>
      </c>
      <c r="B6171" s="664" t="s">
        <v>443</v>
      </c>
      <c r="C6171" s="71" t="s">
        <v>3392</v>
      </c>
      <c r="D6171" s="71">
        <v>8</v>
      </c>
      <c r="E6171" s="102">
        <v>218000</v>
      </c>
      <c r="F6171" s="102">
        <f t="shared" si="3055"/>
        <v>1918400.0000000002</v>
      </c>
      <c r="G6171" s="102">
        <f t="shared" si="3056"/>
        <v>1744000</v>
      </c>
      <c r="H6171" s="690" t="s">
        <v>172</v>
      </c>
      <c r="I6171" s="71" t="s">
        <v>184</v>
      </c>
      <c r="J6171" s="53">
        <f t="shared" si="3057"/>
        <v>412000</v>
      </c>
      <c r="K6171" s="63">
        <f t="shared" si="3062"/>
        <v>0.23623853211009171</v>
      </c>
      <c r="L6171" s="1212" t="s">
        <v>3829</v>
      </c>
      <c r="M6171" s="468" t="s">
        <v>3393</v>
      </c>
      <c r="N6171" s="1192">
        <f t="shared" si="3049"/>
        <v>45163</v>
      </c>
      <c r="O6171" s="71" t="s">
        <v>2030</v>
      </c>
      <c r="P6171" s="103" t="str">
        <f t="shared" si="3058"/>
        <v>윤전 블랑켓</v>
      </c>
      <c r="Q6171" s="71">
        <f t="shared" si="3059"/>
        <v>8</v>
      </c>
      <c r="R6171" s="102">
        <v>166500</v>
      </c>
      <c r="S6171" s="102">
        <f t="shared" si="3060"/>
        <v>1465200.0000000002</v>
      </c>
      <c r="T6171" s="102">
        <f t="shared" si="3061"/>
        <v>1332000</v>
      </c>
      <c r="U6171" s="71" t="s">
        <v>859</v>
      </c>
      <c r="V6171" s="71" t="s">
        <v>3394</v>
      </c>
      <c r="W6171" s="474">
        <v>464000</v>
      </c>
      <c r="X6171" s="71"/>
      <c r="Y6171" s="71"/>
    </row>
    <row r="6172" spans="1:25" ht="30" hidden="1" customHeight="1" x14ac:dyDescent="0.25">
      <c r="A6172" s="1145">
        <v>45163</v>
      </c>
      <c r="B6172" s="664" t="s">
        <v>443</v>
      </c>
      <c r="C6172" s="71" t="s">
        <v>3820</v>
      </c>
      <c r="D6172" s="71">
        <v>1</v>
      </c>
      <c r="E6172" s="102">
        <v>2350000</v>
      </c>
      <c r="F6172" s="102">
        <f t="shared" si="3055"/>
        <v>2585000</v>
      </c>
      <c r="G6172" s="102">
        <f t="shared" si="3056"/>
        <v>2350000</v>
      </c>
      <c r="H6172" s="690" t="s">
        <v>179</v>
      </c>
      <c r="I6172" s="690" t="s">
        <v>179</v>
      </c>
      <c r="J6172" s="53">
        <f t="shared" si="3057"/>
        <v>600000</v>
      </c>
      <c r="K6172" s="63">
        <f t="shared" si="3062"/>
        <v>0.25531914893617019</v>
      </c>
      <c r="L6172" s="1212" t="s">
        <v>3829</v>
      </c>
      <c r="M6172" s="468"/>
      <c r="N6172" s="1192">
        <f t="shared" si="3049"/>
        <v>45163</v>
      </c>
      <c r="O6172" s="71" t="s">
        <v>194</v>
      </c>
      <c r="P6172" s="103" t="str">
        <f t="shared" si="3058"/>
        <v>7월분 Apogee 사용료</v>
      </c>
      <c r="Q6172" s="71">
        <f t="shared" si="3059"/>
        <v>1</v>
      </c>
      <c r="R6172" s="147">
        <v>1750000</v>
      </c>
      <c r="S6172" s="102">
        <f t="shared" si="3060"/>
        <v>1925000.0000000002</v>
      </c>
      <c r="T6172" s="102">
        <f t="shared" si="3061"/>
        <v>1750000</v>
      </c>
      <c r="U6172" s="71"/>
      <c r="V6172" s="71"/>
      <c r="W6172" s="474"/>
      <c r="X6172" s="71"/>
      <c r="Y6172" s="71"/>
    </row>
    <row r="6173" spans="1:25" s="209" customFormat="1" ht="30" hidden="1" customHeight="1" x14ac:dyDescent="0.25">
      <c r="A6173" s="1145">
        <v>45139</v>
      </c>
      <c r="B6173" s="664" t="s">
        <v>3041</v>
      </c>
      <c r="C6173" s="71" t="s">
        <v>3834</v>
      </c>
      <c r="D6173" s="71">
        <v>15</v>
      </c>
      <c r="E6173" s="102">
        <v>58000</v>
      </c>
      <c r="F6173" s="102">
        <f t="shared" si="3055"/>
        <v>957000.00000000012</v>
      </c>
      <c r="G6173" s="102">
        <f t="shared" si="3056"/>
        <v>870000</v>
      </c>
      <c r="H6173" s="690" t="s">
        <v>179</v>
      </c>
      <c r="I6173" s="71" t="s">
        <v>179</v>
      </c>
      <c r="J6173" s="53">
        <f t="shared" si="3057"/>
        <v>266250</v>
      </c>
      <c r="K6173" s="63">
        <f t="shared" si="3062"/>
        <v>0.30603448275862066</v>
      </c>
      <c r="L6173" s="1212" t="s">
        <v>3829</v>
      </c>
      <c r="M6173" s="468"/>
      <c r="N6173" s="1192">
        <f t="shared" si="3049"/>
        <v>45139</v>
      </c>
      <c r="O6173" s="71" t="s">
        <v>194</v>
      </c>
      <c r="P6173" s="164" t="str">
        <f t="shared" si="3058"/>
        <v>CTP 현상액</v>
      </c>
      <c r="Q6173" s="71">
        <f t="shared" si="3059"/>
        <v>15</v>
      </c>
      <c r="R6173" s="102">
        <v>40250</v>
      </c>
      <c r="S6173" s="102">
        <f t="shared" si="3060"/>
        <v>664125</v>
      </c>
      <c r="T6173" s="102">
        <f t="shared" si="3061"/>
        <v>603750</v>
      </c>
      <c r="U6173" s="71"/>
      <c r="V6173" s="71"/>
      <c r="W6173" s="474"/>
      <c r="X6173" s="71"/>
      <c r="Y6173" s="71"/>
    </row>
    <row r="6174" spans="1:25" s="209" customFormat="1" ht="30" hidden="1" customHeight="1" x14ac:dyDescent="0.25">
      <c r="A6174" s="1145">
        <v>45163</v>
      </c>
      <c r="B6174" s="664" t="s">
        <v>443</v>
      </c>
      <c r="C6174" s="71" t="s">
        <v>3853</v>
      </c>
      <c r="D6174" s="71">
        <v>1</v>
      </c>
      <c r="E6174" s="102">
        <v>2625000</v>
      </c>
      <c r="F6174" s="102">
        <f t="shared" si="3055"/>
        <v>2887500.0000000005</v>
      </c>
      <c r="G6174" s="102">
        <f t="shared" si="3056"/>
        <v>2625000</v>
      </c>
      <c r="H6174" s="690" t="s">
        <v>281</v>
      </c>
      <c r="I6174" s="71" t="s">
        <v>281</v>
      </c>
      <c r="J6174" s="53"/>
      <c r="K6174" s="63"/>
      <c r="L6174" s="1212" t="s">
        <v>3829</v>
      </c>
      <c r="M6174" s="468"/>
      <c r="N6174" s="1192">
        <f t="shared" si="3049"/>
        <v>45163</v>
      </c>
      <c r="O6174" s="71"/>
      <c r="P6174" s="164" t="str">
        <f t="shared" si="3058"/>
        <v>M-600 서비스 계약(3회차)</v>
      </c>
      <c r="Q6174" s="71">
        <f t="shared" si="3059"/>
        <v>1</v>
      </c>
      <c r="R6174" s="102"/>
      <c r="S6174" s="102"/>
      <c r="T6174" s="102"/>
      <c r="U6174" s="71"/>
      <c r="V6174" s="71"/>
      <c r="W6174" s="474"/>
      <c r="X6174" s="71"/>
      <c r="Y6174" s="71"/>
    </row>
    <row r="6175" spans="1:25" ht="30" hidden="1" customHeight="1" x14ac:dyDescent="0.25">
      <c r="A6175" s="1210" t="s">
        <v>3855</v>
      </c>
      <c r="B6175" s="1211" t="s">
        <v>544</v>
      </c>
      <c r="C6175" s="960"/>
      <c r="D6175" s="960"/>
      <c r="E6175" s="952"/>
      <c r="F6175" s="952"/>
      <c r="G6175" s="952"/>
      <c r="H6175" s="1206"/>
      <c r="I6175" s="960"/>
      <c r="J6175" s="952"/>
      <c r="K6175" s="953"/>
      <c r="L6175" s="1212" t="s">
        <v>3857</v>
      </c>
      <c r="M6175" s="1207"/>
      <c r="N6175" s="1208" t="str">
        <f t="shared" si="3049"/>
        <v>2023,9</v>
      </c>
      <c r="O6175" s="960"/>
      <c r="P6175" s="1209"/>
      <c r="Q6175" s="960"/>
      <c r="R6175" s="952"/>
      <c r="S6175" s="952"/>
      <c r="T6175" s="952"/>
      <c r="U6175" s="960"/>
      <c r="V6175" s="960"/>
      <c r="W6175" s="474">
        <f>(G6175-T6175)</f>
        <v>0</v>
      </c>
      <c r="X6175" s="71"/>
      <c r="Y6175" s="71"/>
    </row>
    <row r="6176" spans="1:25" ht="30" customHeight="1" x14ac:dyDescent="0.25">
      <c r="A6176" s="1145">
        <v>45175</v>
      </c>
      <c r="B6176" s="664" t="s">
        <v>2352</v>
      </c>
      <c r="C6176" s="71" t="s">
        <v>3836</v>
      </c>
      <c r="D6176" s="71">
        <v>64</v>
      </c>
      <c r="E6176" s="102">
        <v>18500</v>
      </c>
      <c r="F6176" s="102">
        <f t="shared" ref="F6176:F6189" si="3063">(E6176*D6176)*1.1</f>
        <v>1302400</v>
      </c>
      <c r="G6176" s="102">
        <f t="shared" ref="G6176:G6189" si="3064">(E6176*D6176)</f>
        <v>1184000</v>
      </c>
      <c r="H6176" s="690" t="s">
        <v>179</v>
      </c>
      <c r="I6176" s="71" t="s">
        <v>179</v>
      </c>
      <c r="J6176" s="53">
        <f>G6176-T6176</f>
        <v>474624</v>
      </c>
      <c r="K6176" s="63">
        <f>(J6176/(F6176/11*10))</f>
        <v>0.40086486486486489</v>
      </c>
      <c r="L6176" s="1212" t="s">
        <v>3857</v>
      </c>
      <c r="M6176" s="468"/>
      <c r="N6176" s="1192">
        <f>A6176</f>
        <v>45175</v>
      </c>
      <c r="O6176" s="71"/>
      <c r="P6176" s="103" t="str">
        <f t="shared" ref="P6176:P6239" si="3065">(C6176)</f>
        <v>고모리 윤전 블랑켓 건식 세정포 - 국전용</v>
      </c>
      <c r="Q6176" s="71">
        <f t="shared" ref="Q6176:Q6239" si="3066">D6176</f>
        <v>64</v>
      </c>
      <c r="R6176" s="102">
        <v>11084</v>
      </c>
      <c r="S6176" s="102">
        <f>R6176*Q6176*1.1</f>
        <v>780313.60000000009</v>
      </c>
      <c r="T6176" s="102">
        <f>R6176*Q6176</f>
        <v>709376</v>
      </c>
      <c r="U6176" s="71"/>
      <c r="V6176" s="71"/>
      <c r="W6176" s="474"/>
      <c r="X6176" s="71"/>
      <c r="Y6176" s="71"/>
    </row>
    <row r="6177" spans="1:25" ht="30" customHeight="1" x14ac:dyDescent="0.25">
      <c r="A6177" s="1145">
        <v>45175</v>
      </c>
      <c r="B6177" s="664" t="s">
        <v>2352</v>
      </c>
      <c r="C6177" s="71" t="s">
        <v>3837</v>
      </c>
      <c r="D6177" s="71">
        <v>32</v>
      </c>
      <c r="E6177" s="102">
        <v>13500</v>
      </c>
      <c r="F6177" s="102">
        <f t="shared" si="3063"/>
        <v>475200.00000000006</v>
      </c>
      <c r="G6177" s="102">
        <f t="shared" si="3064"/>
        <v>432000</v>
      </c>
      <c r="H6177" s="690" t="s">
        <v>179</v>
      </c>
      <c r="I6177" s="71" t="s">
        <v>179</v>
      </c>
      <c r="J6177" s="53">
        <f t="shared" ref="J6177:J6240" si="3067">G6177-T6177</f>
        <v>164320</v>
      </c>
      <c r="K6177" s="63">
        <f t="shared" ref="K6177:K6240" si="3068">(J6177/(F6177/11*10))</f>
        <v>0.3803703703703703</v>
      </c>
      <c r="L6177" s="1212" t="s">
        <v>3857</v>
      </c>
      <c r="M6177" s="468"/>
      <c r="N6177" s="1192">
        <f>A6177</f>
        <v>45175</v>
      </c>
      <c r="O6177" s="71"/>
      <c r="P6177" s="103" t="str">
        <f t="shared" si="3065"/>
        <v>고모리 윤전 블랑켓 건식 세정포 - 4x6용</v>
      </c>
      <c r="Q6177" s="71">
        <f t="shared" si="3066"/>
        <v>32</v>
      </c>
      <c r="R6177" s="102">
        <v>8365</v>
      </c>
      <c r="S6177" s="102">
        <f t="shared" ref="S6177:S6240" si="3069">R6177*Q6177*1.1</f>
        <v>294448</v>
      </c>
      <c r="T6177" s="102">
        <f t="shared" ref="T6177:T6240" si="3070">R6177*Q6177</f>
        <v>267680</v>
      </c>
      <c r="U6177" s="71"/>
      <c r="V6177" s="71"/>
      <c r="W6177" s="474"/>
      <c r="X6177" s="71"/>
      <c r="Y6177" s="71"/>
    </row>
    <row r="6178" spans="1:25" ht="30" customHeight="1" x14ac:dyDescent="0.25">
      <c r="A6178" s="1145">
        <v>45194</v>
      </c>
      <c r="B6178" s="664" t="s">
        <v>641</v>
      </c>
      <c r="C6178" s="71" t="s">
        <v>3293</v>
      </c>
      <c r="D6178" s="71">
        <v>52</v>
      </c>
      <c r="E6178" s="102">
        <v>84000</v>
      </c>
      <c r="F6178" s="102">
        <f t="shared" si="3063"/>
        <v>4804800</v>
      </c>
      <c r="G6178" s="102">
        <f t="shared" si="3064"/>
        <v>4368000</v>
      </c>
      <c r="H6178" s="690" t="s">
        <v>172</v>
      </c>
      <c r="I6178" s="71" t="s">
        <v>38</v>
      </c>
      <c r="J6178" s="53">
        <f t="shared" si="3067"/>
        <v>1716000</v>
      </c>
      <c r="K6178" s="63">
        <f t="shared" si="3068"/>
        <v>0.39285714285714285</v>
      </c>
      <c r="L6178" s="1212" t="s">
        <v>3856</v>
      </c>
      <c r="M6178" s="468"/>
      <c r="N6178" s="1192">
        <f>A6178</f>
        <v>45194</v>
      </c>
      <c r="O6178" s="71" t="s">
        <v>3291</v>
      </c>
      <c r="P6178" s="103" t="str">
        <f t="shared" si="3065"/>
        <v>GOSS 신문윤전 습식세정포</v>
      </c>
      <c r="Q6178" s="71">
        <f t="shared" si="3066"/>
        <v>52</v>
      </c>
      <c r="R6178" s="102">
        <v>51000</v>
      </c>
      <c r="S6178" s="102">
        <f t="shared" si="3069"/>
        <v>2917200.0000000005</v>
      </c>
      <c r="T6178" s="102">
        <f t="shared" si="3070"/>
        <v>2652000</v>
      </c>
      <c r="U6178" s="71" t="str">
        <f>IF(J6178=W6178,"O", "X")</f>
        <v>X</v>
      </c>
      <c r="V6178" s="71"/>
      <c r="W6178" s="474"/>
      <c r="X6178" s="71"/>
      <c r="Y6178" s="71"/>
    </row>
    <row r="6179" spans="1:25" ht="28.5" hidden="1" customHeight="1" x14ac:dyDescent="0.25">
      <c r="A6179" s="1145">
        <v>45183</v>
      </c>
      <c r="B6179" s="664" t="s">
        <v>2353</v>
      </c>
      <c r="C6179" s="71" t="s">
        <v>2648</v>
      </c>
      <c r="D6179" s="71">
        <v>4</v>
      </c>
      <c r="E6179" s="102">
        <v>50000</v>
      </c>
      <c r="F6179" s="102">
        <f t="shared" si="3063"/>
        <v>220000.00000000003</v>
      </c>
      <c r="G6179" s="102">
        <f t="shared" si="3064"/>
        <v>200000</v>
      </c>
      <c r="H6179" s="690" t="s">
        <v>179</v>
      </c>
      <c r="I6179" s="690" t="s">
        <v>179</v>
      </c>
      <c r="J6179" s="53">
        <f t="shared" si="3067"/>
        <v>104000</v>
      </c>
      <c r="K6179" s="63">
        <f t="shared" si="3068"/>
        <v>0.51999999999999991</v>
      </c>
      <c r="L6179" s="1212" t="s">
        <v>3856</v>
      </c>
      <c r="M6179" s="468"/>
      <c r="N6179" s="1192">
        <f>A6179</f>
        <v>45183</v>
      </c>
      <c r="O6179" s="71" t="s">
        <v>94</v>
      </c>
      <c r="P6179" s="103" t="str">
        <f t="shared" si="3065"/>
        <v>주머니 필터백</v>
      </c>
      <c r="Q6179" s="71">
        <f t="shared" si="3066"/>
        <v>4</v>
      </c>
      <c r="R6179" s="102">
        <v>24000</v>
      </c>
      <c r="S6179" s="102">
        <f t="shared" si="3069"/>
        <v>105600.00000000001</v>
      </c>
      <c r="T6179" s="102">
        <f t="shared" si="3070"/>
        <v>96000</v>
      </c>
      <c r="U6179" s="71"/>
      <c r="V6179" s="71"/>
      <c r="W6179" s="474"/>
      <c r="X6179" s="71"/>
      <c r="Y6179" s="71"/>
    </row>
    <row r="6180" spans="1:25" ht="30" hidden="1" customHeight="1" x14ac:dyDescent="0.25">
      <c r="A6180" s="1145">
        <v>45190</v>
      </c>
      <c r="B6180" s="664" t="s">
        <v>2353</v>
      </c>
      <c r="C6180" s="71" t="s">
        <v>3858</v>
      </c>
      <c r="D6180" s="71">
        <v>2</v>
      </c>
      <c r="E6180" s="102">
        <v>410000</v>
      </c>
      <c r="F6180" s="102">
        <f t="shared" si="3063"/>
        <v>902000.00000000012</v>
      </c>
      <c r="G6180" s="102">
        <f t="shared" si="3064"/>
        <v>820000</v>
      </c>
      <c r="H6180" s="690" t="s">
        <v>179</v>
      </c>
      <c r="I6180" s="690" t="s">
        <v>179</v>
      </c>
      <c r="J6180" s="53">
        <f t="shared" si="3067"/>
        <v>50000</v>
      </c>
      <c r="K6180" s="63">
        <f t="shared" si="3068"/>
        <v>6.0975609756097553E-2</v>
      </c>
      <c r="L6180" s="1212" t="s">
        <v>3856</v>
      </c>
      <c r="M6180" s="468"/>
      <c r="N6180" s="1192">
        <f t="shared" ref="N6180:N6243" si="3071">A6180</f>
        <v>45190</v>
      </c>
      <c r="O6180" s="71" t="s">
        <v>2030</v>
      </c>
      <c r="P6180" s="103" t="str">
        <f t="shared" si="3065"/>
        <v>전기 판넬 필터 세트</v>
      </c>
      <c r="Q6180" s="71">
        <f t="shared" si="3066"/>
        <v>2</v>
      </c>
      <c r="R6180" s="102">
        <v>385000</v>
      </c>
      <c r="S6180" s="102">
        <f t="shared" si="3069"/>
        <v>847000.00000000012</v>
      </c>
      <c r="T6180" s="102">
        <f t="shared" si="3070"/>
        <v>770000</v>
      </c>
      <c r="U6180" s="71"/>
      <c r="V6180" s="71"/>
      <c r="W6180" s="474"/>
      <c r="X6180" s="71"/>
      <c r="Y6180" s="71"/>
    </row>
    <row r="6181" spans="1:25" ht="30" hidden="1" customHeight="1" x14ac:dyDescent="0.25">
      <c r="A6181" s="1145">
        <v>45190</v>
      </c>
      <c r="B6181" s="664" t="s">
        <v>2353</v>
      </c>
      <c r="C6181" s="71" t="s">
        <v>3859</v>
      </c>
      <c r="D6181" s="71">
        <v>1</v>
      </c>
      <c r="E6181" s="102">
        <v>250000</v>
      </c>
      <c r="F6181" s="102">
        <f t="shared" si="3063"/>
        <v>275000</v>
      </c>
      <c r="G6181" s="102">
        <f t="shared" si="3064"/>
        <v>250000</v>
      </c>
      <c r="H6181" s="690" t="s">
        <v>179</v>
      </c>
      <c r="I6181" s="690" t="s">
        <v>179</v>
      </c>
      <c r="J6181" s="53">
        <f t="shared" si="3067"/>
        <v>60000</v>
      </c>
      <c r="K6181" s="63">
        <f t="shared" si="3068"/>
        <v>0.24</v>
      </c>
      <c r="L6181" s="1212" t="s">
        <v>3856</v>
      </c>
      <c r="M6181" s="468"/>
      <c r="N6181" s="1192">
        <f t="shared" si="3071"/>
        <v>45190</v>
      </c>
      <c r="O6181" s="71" t="s">
        <v>2030</v>
      </c>
      <c r="P6181" s="103" t="str">
        <f t="shared" si="3065"/>
        <v>급지부 섹션 호스 10M</v>
      </c>
      <c r="Q6181" s="71">
        <f t="shared" si="3066"/>
        <v>1</v>
      </c>
      <c r="R6181" s="102">
        <v>190000</v>
      </c>
      <c r="S6181" s="102">
        <f t="shared" si="3069"/>
        <v>209000.00000000003</v>
      </c>
      <c r="T6181" s="102">
        <f t="shared" si="3070"/>
        <v>190000</v>
      </c>
      <c r="U6181" s="71"/>
      <c r="V6181" s="71"/>
      <c r="W6181" s="474"/>
      <c r="X6181" s="71"/>
      <c r="Y6181" s="71"/>
    </row>
    <row r="6182" spans="1:25" ht="30" hidden="1" customHeight="1" x14ac:dyDescent="0.25">
      <c r="A6182" s="1145">
        <v>45190</v>
      </c>
      <c r="B6182" s="664" t="s">
        <v>2353</v>
      </c>
      <c r="C6182" s="71" t="s">
        <v>3860</v>
      </c>
      <c r="D6182" s="71">
        <v>2</v>
      </c>
      <c r="E6182" s="102">
        <v>450000</v>
      </c>
      <c r="F6182" s="102">
        <f t="shared" si="3063"/>
        <v>990000.00000000012</v>
      </c>
      <c r="G6182" s="102">
        <f t="shared" si="3064"/>
        <v>900000</v>
      </c>
      <c r="H6182" s="690" t="s">
        <v>179</v>
      </c>
      <c r="I6182" s="690" t="s">
        <v>179</v>
      </c>
      <c r="J6182" s="53">
        <f t="shared" si="3067"/>
        <v>100000</v>
      </c>
      <c r="K6182" s="63">
        <f t="shared" si="3068"/>
        <v>0.11111111111111109</v>
      </c>
      <c r="L6182" s="1212" t="s">
        <v>3856</v>
      </c>
      <c r="M6182" s="468"/>
      <c r="N6182" s="1192">
        <f t="shared" si="3071"/>
        <v>45190</v>
      </c>
      <c r="O6182" s="71" t="s">
        <v>2030</v>
      </c>
      <c r="P6182" s="103" t="str">
        <f t="shared" si="3065"/>
        <v>전진 서커 속대(긴것)</v>
      </c>
      <c r="Q6182" s="71">
        <f t="shared" si="3066"/>
        <v>2</v>
      </c>
      <c r="R6182" s="147">
        <v>400000</v>
      </c>
      <c r="S6182" s="102">
        <f t="shared" si="3069"/>
        <v>880000.00000000012</v>
      </c>
      <c r="T6182" s="102">
        <f t="shared" si="3070"/>
        <v>800000</v>
      </c>
      <c r="U6182" s="71"/>
      <c r="V6182" s="71"/>
      <c r="W6182" s="474"/>
      <c r="X6182" s="71"/>
      <c r="Y6182" s="71"/>
    </row>
    <row r="6183" spans="1:25" ht="30" hidden="1" customHeight="1" x14ac:dyDescent="0.25">
      <c r="A6183" s="1145">
        <v>45190</v>
      </c>
      <c r="B6183" s="664" t="s">
        <v>2353</v>
      </c>
      <c r="C6183" s="71" t="s">
        <v>3861</v>
      </c>
      <c r="D6183" s="71">
        <v>3</v>
      </c>
      <c r="E6183" s="102">
        <v>360000</v>
      </c>
      <c r="F6183" s="102">
        <f t="shared" si="3063"/>
        <v>1188000</v>
      </c>
      <c r="G6183" s="102">
        <f t="shared" si="3064"/>
        <v>1080000</v>
      </c>
      <c r="H6183" s="690" t="s">
        <v>179</v>
      </c>
      <c r="I6183" s="690" t="s">
        <v>179</v>
      </c>
      <c r="J6183" s="53">
        <f t="shared" si="3067"/>
        <v>150000</v>
      </c>
      <c r="K6183" s="63">
        <f t="shared" si="3068"/>
        <v>0.1388888888888889</v>
      </c>
      <c r="L6183" s="1212" t="s">
        <v>3856</v>
      </c>
      <c r="M6183" s="102"/>
      <c r="N6183" s="1192">
        <f t="shared" si="3071"/>
        <v>45190</v>
      </c>
      <c r="O6183" s="71" t="s">
        <v>2030</v>
      </c>
      <c r="P6183" s="103" t="str">
        <f t="shared" si="3065"/>
        <v>중간 서커 속대(짧은 것)</v>
      </c>
      <c r="Q6183" s="71">
        <f t="shared" si="3066"/>
        <v>3</v>
      </c>
      <c r="R6183" s="102">
        <v>310000</v>
      </c>
      <c r="S6183" s="102">
        <f t="shared" si="3069"/>
        <v>1023000.0000000001</v>
      </c>
      <c r="T6183" s="102">
        <f t="shared" si="3070"/>
        <v>930000</v>
      </c>
      <c r="U6183" s="71"/>
      <c r="V6183" s="71"/>
      <c r="W6183" s="474"/>
      <c r="X6183" s="71"/>
      <c r="Y6183" s="71"/>
    </row>
    <row r="6184" spans="1:25" s="209" customFormat="1" ht="30" hidden="1" customHeight="1" x14ac:dyDescent="0.25">
      <c r="A6184" s="1145">
        <v>45174</v>
      </c>
      <c r="B6184" s="664" t="s">
        <v>2353</v>
      </c>
      <c r="C6184" s="71" t="s">
        <v>130</v>
      </c>
      <c r="D6184" s="71">
        <v>15</v>
      </c>
      <c r="E6184" s="102">
        <v>148000</v>
      </c>
      <c r="F6184" s="102">
        <f t="shared" si="3063"/>
        <v>2442000</v>
      </c>
      <c r="G6184" s="102">
        <f t="shared" si="3064"/>
        <v>2220000</v>
      </c>
      <c r="H6184" s="690" t="s">
        <v>142</v>
      </c>
      <c r="I6184" s="71" t="s">
        <v>179</v>
      </c>
      <c r="J6184" s="53">
        <f t="shared" si="3067"/>
        <v>540000</v>
      </c>
      <c r="K6184" s="63">
        <f t="shared" si="3068"/>
        <v>0.24324324324324326</v>
      </c>
      <c r="L6184" s="1212" t="s">
        <v>3856</v>
      </c>
      <c r="M6184" s="468" t="s">
        <v>2050</v>
      </c>
      <c r="N6184" s="1192">
        <f t="shared" si="3071"/>
        <v>45174</v>
      </c>
      <c r="O6184" s="71" t="s">
        <v>3383</v>
      </c>
      <c r="P6184" s="103" t="str">
        <f t="shared" si="3065"/>
        <v>XL106 Blanket(1077*885)</v>
      </c>
      <c r="Q6184" s="71">
        <f t="shared" si="3066"/>
        <v>15</v>
      </c>
      <c r="R6184" s="102">
        <v>112000</v>
      </c>
      <c r="S6184" s="102">
        <f t="shared" si="3069"/>
        <v>1848000.0000000002</v>
      </c>
      <c r="T6184" s="102">
        <f t="shared" si="3070"/>
        <v>1680000</v>
      </c>
      <c r="U6184" s="71" t="s">
        <v>859</v>
      </c>
      <c r="V6184" s="71"/>
      <c r="W6184" s="474">
        <v>260000</v>
      </c>
      <c r="X6184" s="71"/>
      <c r="Y6184" s="71"/>
    </row>
    <row r="6185" spans="1:25" ht="30" hidden="1" customHeight="1" x14ac:dyDescent="0.25">
      <c r="A6185" s="1145">
        <v>45174</v>
      </c>
      <c r="B6185" s="664" t="s">
        <v>2353</v>
      </c>
      <c r="C6185" s="71" t="s">
        <v>129</v>
      </c>
      <c r="D6185" s="71">
        <v>7</v>
      </c>
      <c r="E6185" s="102">
        <v>325000</v>
      </c>
      <c r="F6185" s="102">
        <f t="shared" si="3063"/>
        <v>2502500</v>
      </c>
      <c r="G6185" s="102">
        <f t="shared" si="3064"/>
        <v>2275000</v>
      </c>
      <c r="H6185" s="690" t="s">
        <v>142</v>
      </c>
      <c r="I6185" s="71" t="s">
        <v>179</v>
      </c>
      <c r="J6185" s="53">
        <f t="shared" si="3067"/>
        <v>636440</v>
      </c>
      <c r="K6185" s="63">
        <f t="shared" si="3068"/>
        <v>0.27975384615384613</v>
      </c>
      <c r="L6185" s="1212" t="s">
        <v>3856</v>
      </c>
      <c r="M6185" s="468" t="s">
        <v>2050</v>
      </c>
      <c r="N6185" s="1192">
        <f t="shared" si="3071"/>
        <v>45174</v>
      </c>
      <c r="O6185" s="71" t="s">
        <v>149</v>
      </c>
      <c r="P6185" s="103" t="str">
        <f t="shared" si="3065"/>
        <v>세정포-XL106</v>
      </c>
      <c r="Q6185" s="71">
        <f t="shared" si="3066"/>
        <v>7</v>
      </c>
      <c r="R6185" s="102">
        <v>234080</v>
      </c>
      <c r="S6185" s="102">
        <f t="shared" si="3069"/>
        <v>1802416.0000000002</v>
      </c>
      <c r="T6185" s="102">
        <f t="shared" si="3070"/>
        <v>1638560</v>
      </c>
      <c r="U6185" s="71" t="str">
        <f>IF(J6185=W6185,"O", "X")</f>
        <v>O</v>
      </c>
      <c r="V6185" s="71"/>
      <c r="W6185" s="474">
        <f>(G6185-T6185)</f>
        <v>636440</v>
      </c>
      <c r="X6185" s="71"/>
      <c r="Y6185" s="71"/>
    </row>
    <row r="6186" spans="1:25" s="209" customFormat="1" ht="30" hidden="1" customHeight="1" x14ac:dyDescent="0.25">
      <c r="A6186" s="1145">
        <v>45174</v>
      </c>
      <c r="B6186" s="664" t="s">
        <v>2353</v>
      </c>
      <c r="C6186" s="71" t="s">
        <v>3299</v>
      </c>
      <c r="D6186" s="71">
        <v>10</v>
      </c>
      <c r="E6186" s="102">
        <v>83000</v>
      </c>
      <c r="F6186" s="102">
        <f t="shared" si="3063"/>
        <v>913000.00000000012</v>
      </c>
      <c r="G6186" s="102">
        <f t="shared" si="3064"/>
        <v>830000</v>
      </c>
      <c r="H6186" s="690" t="s">
        <v>142</v>
      </c>
      <c r="I6186" s="71" t="s">
        <v>179</v>
      </c>
      <c r="J6186" s="53">
        <f t="shared" si="3067"/>
        <v>355000</v>
      </c>
      <c r="K6186" s="63">
        <f t="shared" si="3068"/>
        <v>0.42771084337349391</v>
      </c>
      <c r="L6186" s="1212" t="s">
        <v>3856</v>
      </c>
      <c r="M6186" s="468" t="s">
        <v>2214</v>
      </c>
      <c r="N6186" s="1192">
        <f t="shared" si="3071"/>
        <v>45174</v>
      </c>
      <c r="O6186" s="71" t="s">
        <v>3383</v>
      </c>
      <c r="P6186" s="103" t="str">
        <f t="shared" si="3065"/>
        <v>매엽용 세척제(Wash k11)</v>
      </c>
      <c r="Q6186" s="71">
        <f t="shared" si="3066"/>
        <v>10</v>
      </c>
      <c r="R6186" s="102">
        <v>47500</v>
      </c>
      <c r="S6186" s="102">
        <f t="shared" si="3069"/>
        <v>522500.00000000006</v>
      </c>
      <c r="T6186" s="102">
        <f t="shared" si="3070"/>
        <v>475000</v>
      </c>
      <c r="U6186" s="71" t="s">
        <v>859</v>
      </c>
      <c r="V6186" s="71"/>
      <c r="W6186" s="474">
        <v>136000</v>
      </c>
      <c r="X6186" s="71"/>
      <c r="Y6186" s="71"/>
    </row>
    <row r="6187" spans="1:25" ht="30" hidden="1" customHeight="1" x14ac:dyDescent="0.25">
      <c r="A6187" s="1145">
        <v>45174</v>
      </c>
      <c r="B6187" s="664" t="s">
        <v>2579</v>
      </c>
      <c r="C6187" s="71" t="s">
        <v>3738</v>
      </c>
      <c r="D6187" s="71">
        <v>15</v>
      </c>
      <c r="E6187" s="102">
        <v>130000</v>
      </c>
      <c r="F6187" s="102">
        <f t="shared" si="3063"/>
        <v>2145000</v>
      </c>
      <c r="G6187" s="102">
        <f t="shared" si="3064"/>
        <v>1950000</v>
      </c>
      <c r="H6187" s="690" t="s">
        <v>142</v>
      </c>
      <c r="I6187" s="71" t="s">
        <v>142</v>
      </c>
      <c r="J6187" s="53">
        <f t="shared" si="3067"/>
        <v>364500</v>
      </c>
      <c r="K6187" s="63">
        <f t="shared" si="3068"/>
        <v>0.18692307692307691</v>
      </c>
      <c r="L6187" s="1212" t="s">
        <v>3856</v>
      </c>
      <c r="M6187" s="468"/>
      <c r="N6187" s="1192">
        <f t="shared" si="3071"/>
        <v>45174</v>
      </c>
      <c r="O6187" s="71" t="s">
        <v>147</v>
      </c>
      <c r="P6187" s="103" t="str">
        <f t="shared" si="3065"/>
        <v>블랑켓 - 고모리 용 (1040*920)</v>
      </c>
      <c r="Q6187" s="71">
        <f t="shared" si="3066"/>
        <v>15</v>
      </c>
      <c r="R6187" s="102">
        <v>105700</v>
      </c>
      <c r="S6187" s="102">
        <f t="shared" si="3069"/>
        <v>1744050.0000000002</v>
      </c>
      <c r="T6187" s="102">
        <f t="shared" si="3070"/>
        <v>1585500</v>
      </c>
      <c r="U6187" s="71"/>
      <c r="V6187" s="71"/>
      <c r="W6187" s="474"/>
      <c r="X6187" s="71"/>
      <c r="Y6187" s="71"/>
    </row>
    <row r="6188" spans="1:25" ht="30" hidden="1" customHeight="1" x14ac:dyDescent="0.25">
      <c r="A6188" s="1145">
        <v>45190</v>
      </c>
      <c r="B6188" s="664" t="s">
        <v>2579</v>
      </c>
      <c r="C6188" s="71" t="s">
        <v>3382</v>
      </c>
      <c r="D6188" s="71">
        <v>7</v>
      </c>
      <c r="E6188" s="102">
        <v>180000</v>
      </c>
      <c r="F6188" s="102">
        <f t="shared" si="3063"/>
        <v>1386000</v>
      </c>
      <c r="G6188" s="102">
        <f t="shared" si="3064"/>
        <v>1260000</v>
      </c>
      <c r="H6188" s="690" t="s">
        <v>179</v>
      </c>
      <c r="I6188" s="690" t="s">
        <v>179</v>
      </c>
      <c r="J6188" s="53">
        <f t="shared" si="3067"/>
        <v>420000</v>
      </c>
      <c r="K6188" s="63">
        <f t="shared" si="3068"/>
        <v>0.33333333333333331</v>
      </c>
      <c r="L6188" s="1212" t="s">
        <v>3856</v>
      </c>
      <c r="M6188" s="468"/>
      <c r="N6188" s="1192">
        <f t="shared" si="3071"/>
        <v>45190</v>
      </c>
      <c r="O6188" s="71" t="s">
        <v>3383</v>
      </c>
      <c r="P6188" s="103" t="str">
        <f t="shared" si="3065"/>
        <v>판 클리너(12개)</v>
      </c>
      <c r="Q6188" s="71">
        <f t="shared" si="3066"/>
        <v>7</v>
      </c>
      <c r="R6188" s="102">
        <v>120000</v>
      </c>
      <c r="S6188" s="102">
        <f t="shared" si="3069"/>
        <v>924000.00000000012</v>
      </c>
      <c r="T6188" s="102">
        <f t="shared" si="3070"/>
        <v>840000</v>
      </c>
      <c r="U6188" s="71"/>
      <c r="V6188" s="71"/>
      <c r="W6188" s="474"/>
      <c r="X6188" s="71"/>
      <c r="Y6188" s="71"/>
    </row>
    <row r="6189" spans="1:25" s="209" customFormat="1" ht="30" hidden="1" customHeight="1" x14ac:dyDescent="0.25">
      <c r="A6189" s="1145">
        <v>45190</v>
      </c>
      <c r="B6189" s="664" t="s">
        <v>2579</v>
      </c>
      <c r="C6189" s="71" t="s">
        <v>3862</v>
      </c>
      <c r="D6189" s="71">
        <v>100</v>
      </c>
      <c r="E6189" s="102">
        <v>4000</v>
      </c>
      <c r="F6189" s="102">
        <f t="shared" si="3063"/>
        <v>440000.00000000006</v>
      </c>
      <c r="G6189" s="102">
        <f t="shared" si="3064"/>
        <v>400000</v>
      </c>
      <c r="H6189" s="690" t="s">
        <v>179</v>
      </c>
      <c r="I6189" s="690" t="s">
        <v>179</v>
      </c>
      <c r="J6189" s="53">
        <f t="shared" si="3067"/>
        <v>111500</v>
      </c>
      <c r="K6189" s="63">
        <f t="shared" si="3068"/>
        <v>0.27874999999999994</v>
      </c>
      <c r="L6189" s="1212" t="s">
        <v>3856</v>
      </c>
      <c r="M6189" s="468"/>
      <c r="N6189" s="1192">
        <f t="shared" si="3071"/>
        <v>45190</v>
      </c>
      <c r="O6189" s="71" t="s">
        <v>3896</v>
      </c>
      <c r="P6189" s="103" t="str">
        <f t="shared" si="3065"/>
        <v>고무장갑</v>
      </c>
      <c r="Q6189" s="71">
        <f t="shared" si="3066"/>
        <v>100</v>
      </c>
      <c r="R6189" s="102">
        <v>2885</v>
      </c>
      <c r="S6189" s="102">
        <f t="shared" si="3069"/>
        <v>317350</v>
      </c>
      <c r="T6189" s="102">
        <f t="shared" si="3070"/>
        <v>288500</v>
      </c>
      <c r="U6189" s="71"/>
      <c r="V6189" s="71"/>
      <c r="W6189" s="474"/>
      <c r="X6189" s="71"/>
      <c r="Y6189" s="71"/>
    </row>
    <row r="6190" spans="1:25" s="209" customFormat="1" ht="30" hidden="1" customHeight="1" x14ac:dyDescent="0.25">
      <c r="A6190" s="1145">
        <v>45196</v>
      </c>
      <c r="B6190" s="664" t="s">
        <v>2353</v>
      </c>
      <c r="C6190" s="71" t="s">
        <v>130</v>
      </c>
      <c r="D6190" s="71">
        <v>15</v>
      </c>
      <c r="E6190" s="102">
        <v>148000</v>
      </c>
      <c r="F6190" s="102">
        <f>(E6190*D6190)*1.1</f>
        <v>2442000</v>
      </c>
      <c r="G6190" s="102">
        <f>(E6190*D6190)</f>
        <v>2220000</v>
      </c>
      <c r="H6190" s="690" t="s">
        <v>142</v>
      </c>
      <c r="I6190" s="71" t="s">
        <v>179</v>
      </c>
      <c r="J6190" s="53">
        <f t="shared" si="3067"/>
        <v>540000</v>
      </c>
      <c r="K6190" s="63">
        <f t="shared" si="3068"/>
        <v>0.24324324324324326</v>
      </c>
      <c r="L6190" s="1212" t="s">
        <v>3856</v>
      </c>
      <c r="M6190" s="468" t="s">
        <v>2050</v>
      </c>
      <c r="N6190" s="1192">
        <f t="shared" si="3071"/>
        <v>45196</v>
      </c>
      <c r="O6190" s="71" t="s">
        <v>3383</v>
      </c>
      <c r="P6190" s="103" t="str">
        <f t="shared" si="3065"/>
        <v>XL106 Blanket(1077*885)</v>
      </c>
      <c r="Q6190" s="71">
        <f t="shared" si="3066"/>
        <v>15</v>
      </c>
      <c r="R6190" s="102">
        <v>112000</v>
      </c>
      <c r="S6190" s="102">
        <f t="shared" si="3069"/>
        <v>1848000.0000000002</v>
      </c>
      <c r="T6190" s="102">
        <f t="shared" si="3070"/>
        <v>1680000</v>
      </c>
      <c r="U6190" s="71" t="s">
        <v>859</v>
      </c>
      <c r="V6190" s="71"/>
      <c r="W6190" s="474">
        <v>260000</v>
      </c>
      <c r="X6190" s="71"/>
      <c r="Y6190" s="71"/>
    </row>
    <row r="6191" spans="1:25" ht="30" hidden="1" customHeight="1" x14ac:dyDescent="0.25">
      <c r="A6191" s="1145">
        <v>45196</v>
      </c>
      <c r="B6191" s="664" t="s">
        <v>2353</v>
      </c>
      <c r="C6191" s="71" t="s">
        <v>129</v>
      </c>
      <c r="D6191" s="71">
        <v>7</v>
      </c>
      <c r="E6191" s="102">
        <v>325000</v>
      </c>
      <c r="F6191" s="102">
        <f>(E6191*D6191)*1.1</f>
        <v>2502500</v>
      </c>
      <c r="G6191" s="102">
        <f>(E6191*D6191)</f>
        <v>2275000</v>
      </c>
      <c r="H6191" s="690" t="s">
        <v>142</v>
      </c>
      <c r="I6191" s="71" t="s">
        <v>179</v>
      </c>
      <c r="J6191" s="53">
        <f t="shared" si="3067"/>
        <v>636440</v>
      </c>
      <c r="K6191" s="63">
        <f t="shared" si="3068"/>
        <v>0.27975384615384613</v>
      </c>
      <c r="L6191" s="1212" t="s">
        <v>3856</v>
      </c>
      <c r="M6191" s="468" t="s">
        <v>2050</v>
      </c>
      <c r="N6191" s="1192">
        <f t="shared" si="3071"/>
        <v>45196</v>
      </c>
      <c r="O6191" s="71" t="s">
        <v>149</v>
      </c>
      <c r="P6191" s="103" t="str">
        <f t="shared" si="3065"/>
        <v>세정포-XL106</v>
      </c>
      <c r="Q6191" s="71">
        <f t="shared" si="3066"/>
        <v>7</v>
      </c>
      <c r="R6191" s="102">
        <v>234080</v>
      </c>
      <c r="S6191" s="102">
        <f t="shared" si="3069"/>
        <v>1802416.0000000002</v>
      </c>
      <c r="T6191" s="102">
        <f t="shared" si="3070"/>
        <v>1638560</v>
      </c>
      <c r="U6191" s="71" t="str">
        <f>IF(J6191=W6191,"O", "X")</f>
        <v>O</v>
      </c>
      <c r="V6191" s="71"/>
      <c r="W6191" s="474">
        <f>(G6191-T6191)</f>
        <v>636440</v>
      </c>
      <c r="X6191" s="71"/>
      <c r="Y6191" s="71"/>
    </row>
    <row r="6192" spans="1:25" ht="30" hidden="1" customHeight="1" x14ac:dyDescent="0.25">
      <c r="A6192" s="1145">
        <v>45196</v>
      </c>
      <c r="B6192" s="664" t="s">
        <v>2579</v>
      </c>
      <c r="C6192" s="71" t="s">
        <v>3738</v>
      </c>
      <c r="D6192" s="71">
        <v>15</v>
      </c>
      <c r="E6192" s="102">
        <v>130000</v>
      </c>
      <c r="F6192" s="102">
        <f>(E6192*D6192)*1.1</f>
        <v>2145000</v>
      </c>
      <c r="G6192" s="102">
        <f>(E6192*D6192)</f>
        <v>1950000</v>
      </c>
      <c r="H6192" s="690" t="s">
        <v>142</v>
      </c>
      <c r="I6192" s="71" t="s">
        <v>142</v>
      </c>
      <c r="J6192" s="53">
        <f t="shared" si="3067"/>
        <v>364500</v>
      </c>
      <c r="K6192" s="63">
        <f t="shared" si="3068"/>
        <v>0.18692307692307691</v>
      </c>
      <c r="L6192" s="1212" t="s">
        <v>3856</v>
      </c>
      <c r="M6192" s="468"/>
      <c r="N6192" s="1192">
        <f t="shared" si="3071"/>
        <v>45196</v>
      </c>
      <c r="O6192" s="71" t="s">
        <v>147</v>
      </c>
      <c r="P6192" s="103" t="str">
        <f t="shared" si="3065"/>
        <v>블랑켓 - 고모리 용 (1040*920)</v>
      </c>
      <c r="Q6192" s="71">
        <f t="shared" si="3066"/>
        <v>15</v>
      </c>
      <c r="R6192" s="102">
        <v>105700</v>
      </c>
      <c r="S6192" s="102">
        <f t="shared" si="3069"/>
        <v>1744050.0000000002</v>
      </c>
      <c r="T6192" s="102">
        <f t="shared" si="3070"/>
        <v>1585500</v>
      </c>
      <c r="U6192" s="71"/>
      <c r="V6192" s="71"/>
      <c r="W6192" s="474"/>
      <c r="X6192" s="71"/>
      <c r="Y6192" s="71"/>
    </row>
    <row r="6193" spans="1:25" ht="30" hidden="1" customHeight="1" x14ac:dyDescent="0.25">
      <c r="A6193" s="1145">
        <v>45196</v>
      </c>
      <c r="B6193" s="664" t="s">
        <v>2353</v>
      </c>
      <c r="C6193" s="71" t="s">
        <v>3727</v>
      </c>
      <c r="D6193" s="71">
        <v>5</v>
      </c>
      <c r="E6193" s="102">
        <v>225000</v>
      </c>
      <c r="F6193" s="102">
        <f>(E6193*D6193)*1.1</f>
        <v>1237500</v>
      </c>
      <c r="G6193" s="102">
        <f>(E6193*D6193)</f>
        <v>1125000</v>
      </c>
      <c r="H6193" s="690" t="s">
        <v>142</v>
      </c>
      <c r="I6193" s="71" t="s">
        <v>142</v>
      </c>
      <c r="J6193" s="53">
        <f t="shared" si="3067"/>
        <v>500000</v>
      </c>
      <c r="K6193" s="63">
        <f t="shared" si="3068"/>
        <v>0.44444444444444442</v>
      </c>
      <c r="L6193" s="1212" t="s">
        <v>3856</v>
      </c>
      <c r="M6193" s="468"/>
      <c r="N6193" s="1192">
        <f t="shared" si="3071"/>
        <v>45196</v>
      </c>
      <c r="O6193" s="71" t="s">
        <v>189</v>
      </c>
      <c r="P6193" s="103" t="str">
        <f t="shared" si="3065"/>
        <v>압통 코팅제 - 퀵 프린트</v>
      </c>
      <c r="Q6193" s="71">
        <f t="shared" si="3066"/>
        <v>5</v>
      </c>
      <c r="R6193" s="102">
        <f>25000*5</f>
        <v>125000</v>
      </c>
      <c r="S6193" s="102">
        <f t="shared" si="3069"/>
        <v>687500</v>
      </c>
      <c r="T6193" s="102">
        <f t="shared" si="3070"/>
        <v>625000</v>
      </c>
      <c r="U6193" s="71"/>
      <c r="V6193" s="71"/>
      <c r="W6193" s="474"/>
      <c r="X6193" s="71"/>
      <c r="Y6193" s="71"/>
    </row>
    <row r="6194" spans="1:25" ht="30" customHeight="1" x14ac:dyDescent="0.25">
      <c r="A6194" s="1145">
        <v>45174</v>
      </c>
      <c r="B6194" s="664" t="s">
        <v>2536</v>
      </c>
      <c r="C6194" s="71" t="s">
        <v>3863</v>
      </c>
      <c r="D6194" s="71">
        <v>1</v>
      </c>
      <c r="E6194" s="102">
        <v>5500000</v>
      </c>
      <c r="F6194" s="102">
        <f>(E6194*D6194)*1.1</f>
        <v>6050000.0000000009</v>
      </c>
      <c r="G6194" s="102">
        <f>(E6194*D6194)</f>
        <v>5500000</v>
      </c>
      <c r="H6194" s="690" t="s">
        <v>1431</v>
      </c>
      <c r="I6194" s="71" t="s">
        <v>1431</v>
      </c>
      <c r="J6194" s="53">
        <f t="shared" si="3067"/>
        <v>2360050</v>
      </c>
      <c r="K6194" s="63">
        <f t="shared" si="3068"/>
        <v>0.42909999999999993</v>
      </c>
      <c r="L6194" s="1212" t="s">
        <v>3856</v>
      </c>
      <c r="M6194" s="468"/>
      <c r="N6194" s="1192">
        <f t="shared" si="3071"/>
        <v>45174</v>
      </c>
      <c r="O6194" s="71" t="s">
        <v>1431</v>
      </c>
      <c r="P6194" s="103" t="str">
        <f t="shared" si="3065"/>
        <v>방화벽 장치</v>
      </c>
      <c r="Q6194" s="71">
        <f t="shared" si="3066"/>
        <v>1</v>
      </c>
      <c r="R6194" s="102">
        <v>3139950</v>
      </c>
      <c r="S6194" s="102">
        <f t="shared" si="3069"/>
        <v>3453945.0000000005</v>
      </c>
      <c r="T6194" s="102">
        <f t="shared" si="3070"/>
        <v>3139950</v>
      </c>
      <c r="U6194" s="71"/>
      <c r="V6194" s="71"/>
      <c r="W6194" s="474"/>
      <c r="X6194" s="71"/>
      <c r="Y6194" s="71"/>
    </row>
    <row r="6195" spans="1:25" ht="30" hidden="1" customHeight="1" x14ac:dyDescent="0.25">
      <c r="A6195" s="1145">
        <v>45194</v>
      </c>
      <c r="B6195" s="664" t="s">
        <v>1060</v>
      </c>
      <c r="C6195" s="71" t="s">
        <v>3847</v>
      </c>
      <c r="D6195" s="71">
        <v>1200</v>
      </c>
      <c r="E6195" s="102">
        <v>5710</v>
      </c>
      <c r="F6195" s="102">
        <f t="shared" ref="F6195:F6205" si="3072">(E6195*D6195)*1.1</f>
        <v>7537200.0000000009</v>
      </c>
      <c r="G6195" s="102">
        <f t="shared" ref="G6195:G6205" si="3073">(E6195*D6195)</f>
        <v>6852000</v>
      </c>
      <c r="H6195" s="690" t="s">
        <v>36</v>
      </c>
      <c r="I6195" s="71" t="s">
        <v>2529</v>
      </c>
      <c r="J6195" s="53">
        <f t="shared" si="3067"/>
        <v>2118000</v>
      </c>
      <c r="K6195" s="63">
        <f t="shared" si="3068"/>
        <v>0.30910683012259188</v>
      </c>
      <c r="L6195" s="1212" t="s">
        <v>3856</v>
      </c>
      <c r="M6195" s="102" t="s">
        <v>3848</v>
      </c>
      <c r="N6195" s="1192">
        <f t="shared" si="3071"/>
        <v>45194</v>
      </c>
      <c r="O6195" s="71" t="s">
        <v>2030</v>
      </c>
      <c r="P6195" s="103" t="str">
        <f t="shared" si="3065"/>
        <v>Saphira CTP 판 1030 x 790</v>
      </c>
      <c r="Q6195" s="71">
        <f t="shared" si="3066"/>
        <v>1200</v>
      </c>
      <c r="R6195" s="102">
        <v>3945</v>
      </c>
      <c r="S6195" s="102">
        <f t="shared" si="3069"/>
        <v>5207400</v>
      </c>
      <c r="T6195" s="102">
        <f t="shared" si="3070"/>
        <v>4734000</v>
      </c>
      <c r="U6195" s="71" t="s">
        <v>859</v>
      </c>
      <c r="V6195" s="71"/>
      <c r="W6195" s="474">
        <v>942000</v>
      </c>
      <c r="X6195" s="71"/>
      <c r="Y6195" s="71"/>
    </row>
    <row r="6196" spans="1:25" ht="30" hidden="1" customHeight="1" x14ac:dyDescent="0.25">
      <c r="A6196" s="1145">
        <v>45194</v>
      </c>
      <c r="B6196" s="664" t="s">
        <v>2255</v>
      </c>
      <c r="C6196" s="71" t="s">
        <v>3656</v>
      </c>
      <c r="D6196" s="71">
        <v>2800</v>
      </c>
      <c r="E6196" s="102">
        <v>3610</v>
      </c>
      <c r="F6196" s="102">
        <f t="shared" si="3072"/>
        <v>11118800</v>
      </c>
      <c r="G6196" s="102">
        <f t="shared" si="3073"/>
        <v>10108000</v>
      </c>
      <c r="H6196" s="690" t="s">
        <v>36</v>
      </c>
      <c r="I6196" s="71" t="s">
        <v>2529</v>
      </c>
      <c r="J6196" s="53">
        <f t="shared" si="3067"/>
        <v>3127600</v>
      </c>
      <c r="K6196" s="63">
        <f t="shared" si="3068"/>
        <v>0.30941828254847648</v>
      </c>
      <c r="L6196" s="1212" t="s">
        <v>3856</v>
      </c>
      <c r="M6196" s="102" t="s">
        <v>3848</v>
      </c>
      <c r="N6196" s="1192">
        <f t="shared" si="3071"/>
        <v>45194</v>
      </c>
      <c r="O6196" s="71" t="s">
        <v>2030</v>
      </c>
      <c r="P6196" s="103" t="str">
        <f t="shared" si="3065"/>
        <v>Saphira CTP 판 900 x 571</v>
      </c>
      <c r="Q6196" s="71">
        <f t="shared" si="3066"/>
        <v>2800</v>
      </c>
      <c r="R6196" s="102">
        <v>2493</v>
      </c>
      <c r="S6196" s="102">
        <f t="shared" si="3069"/>
        <v>7678440.0000000009</v>
      </c>
      <c r="T6196" s="102">
        <f t="shared" si="3070"/>
        <v>6980400</v>
      </c>
      <c r="U6196" s="71" t="s">
        <v>859</v>
      </c>
      <c r="V6196" s="71"/>
      <c r="W6196" s="474">
        <v>1274000</v>
      </c>
      <c r="X6196" s="71"/>
      <c r="Y6196" s="71"/>
    </row>
    <row r="6197" spans="1:25" ht="30" hidden="1" customHeight="1" x14ac:dyDescent="0.25">
      <c r="A6197" s="1145">
        <v>45194</v>
      </c>
      <c r="B6197" s="664" t="s">
        <v>2255</v>
      </c>
      <c r="C6197" s="71" t="s">
        <v>3657</v>
      </c>
      <c r="D6197" s="71">
        <v>1600</v>
      </c>
      <c r="E6197" s="102">
        <v>3410</v>
      </c>
      <c r="F6197" s="102">
        <f t="shared" si="3072"/>
        <v>6001600.0000000009</v>
      </c>
      <c r="G6197" s="102">
        <f t="shared" si="3073"/>
        <v>5456000</v>
      </c>
      <c r="H6197" s="690" t="s">
        <v>36</v>
      </c>
      <c r="I6197" s="71" t="s">
        <v>2529</v>
      </c>
      <c r="J6197" s="53">
        <f t="shared" si="3067"/>
        <v>1665600</v>
      </c>
      <c r="K6197" s="63">
        <f t="shared" si="3068"/>
        <v>0.30527859237536653</v>
      </c>
      <c r="L6197" s="1212" t="s">
        <v>3856</v>
      </c>
      <c r="M6197" s="102" t="s">
        <v>3848</v>
      </c>
      <c r="N6197" s="1192">
        <f t="shared" si="3071"/>
        <v>45194</v>
      </c>
      <c r="O6197" s="71" t="s">
        <v>2030</v>
      </c>
      <c r="P6197" s="103" t="str">
        <f t="shared" si="3065"/>
        <v>Saphira CTP 판 883 x 552</v>
      </c>
      <c r="Q6197" s="71">
        <f t="shared" si="3066"/>
        <v>1600</v>
      </c>
      <c r="R6197" s="102">
        <v>2369</v>
      </c>
      <c r="S6197" s="102">
        <f t="shared" si="3069"/>
        <v>4169440.0000000005</v>
      </c>
      <c r="T6197" s="102">
        <f t="shared" si="3070"/>
        <v>3790400</v>
      </c>
      <c r="U6197" s="71" t="s">
        <v>859</v>
      </c>
      <c r="V6197" s="71"/>
      <c r="W6197" s="474">
        <v>3325000</v>
      </c>
      <c r="X6197" s="71"/>
      <c r="Y6197" s="71"/>
    </row>
    <row r="6198" spans="1:25" ht="30" hidden="1" customHeight="1" x14ac:dyDescent="0.25">
      <c r="A6198" s="1145">
        <v>45194</v>
      </c>
      <c r="B6198" s="664" t="s">
        <v>2255</v>
      </c>
      <c r="C6198" s="71" t="s">
        <v>3849</v>
      </c>
      <c r="D6198" s="71">
        <v>1400</v>
      </c>
      <c r="E6198" s="102">
        <v>5790</v>
      </c>
      <c r="F6198" s="102">
        <f t="shared" si="3072"/>
        <v>8916600</v>
      </c>
      <c r="G6198" s="102">
        <f t="shared" si="3073"/>
        <v>8106000</v>
      </c>
      <c r="H6198" s="690" t="s">
        <v>36</v>
      </c>
      <c r="I6198" s="71" t="s">
        <v>2529</v>
      </c>
      <c r="J6198" s="53">
        <f t="shared" si="3067"/>
        <v>2511600</v>
      </c>
      <c r="K6198" s="63">
        <f t="shared" si="3068"/>
        <v>0.30984455958549223</v>
      </c>
      <c r="L6198" s="1212" t="s">
        <v>3856</v>
      </c>
      <c r="M6198" s="102" t="s">
        <v>3848</v>
      </c>
      <c r="N6198" s="1192">
        <f t="shared" si="3071"/>
        <v>45194</v>
      </c>
      <c r="O6198" s="71" t="s">
        <v>2030</v>
      </c>
      <c r="P6198" s="103" t="str">
        <f t="shared" si="3065"/>
        <v>Saphira CTP 판 1030 x 800</v>
      </c>
      <c r="Q6198" s="71">
        <f t="shared" si="3066"/>
        <v>1400</v>
      </c>
      <c r="R6198" s="102">
        <v>3996</v>
      </c>
      <c r="S6198" s="102">
        <f t="shared" si="3069"/>
        <v>6153840.0000000009</v>
      </c>
      <c r="T6198" s="102">
        <f t="shared" si="3070"/>
        <v>5594400</v>
      </c>
      <c r="U6198" s="71" t="s">
        <v>859</v>
      </c>
      <c r="V6198" s="71"/>
      <c r="W6198" s="474">
        <v>636000</v>
      </c>
      <c r="X6198" s="71"/>
      <c r="Y6198" s="71"/>
    </row>
    <row r="6199" spans="1:25" ht="30" hidden="1" customHeight="1" x14ac:dyDescent="0.25">
      <c r="A6199" s="1145">
        <v>45194</v>
      </c>
      <c r="B6199" s="664" t="s">
        <v>2255</v>
      </c>
      <c r="C6199" s="71" t="s">
        <v>3850</v>
      </c>
      <c r="D6199" s="71">
        <v>1200</v>
      </c>
      <c r="E6199" s="102">
        <v>6010</v>
      </c>
      <c r="F6199" s="102">
        <f t="shared" si="3072"/>
        <v>7933200.0000000009</v>
      </c>
      <c r="G6199" s="102">
        <f t="shared" si="3073"/>
        <v>7212000</v>
      </c>
      <c r="H6199" s="690" t="s">
        <v>36</v>
      </c>
      <c r="I6199" s="71" t="s">
        <v>2529</v>
      </c>
      <c r="J6199" s="53">
        <f t="shared" si="3067"/>
        <v>2230800</v>
      </c>
      <c r="K6199" s="63">
        <f t="shared" si="3068"/>
        <v>0.30931780366056566</v>
      </c>
      <c r="L6199" s="1212" t="s">
        <v>3856</v>
      </c>
      <c r="M6199" s="102" t="s">
        <v>3848</v>
      </c>
      <c r="N6199" s="1192">
        <f t="shared" si="3071"/>
        <v>45194</v>
      </c>
      <c r="O6199" s="71" t="s">
        <v>2030</v>
      </c>
      <c r="P6199" s="103" t="str">
        <f t="shared" si="3065"/>
        <v>Saphira CTP 판 1055 x 811</v>
      </c>
      <c r="Q6199" s="71">
        <f t="shared" si="3066"/>
        <v>1200</v>
      </c>
      <c r="R6199" s="102">
        <v>4151</v>
      </c>
      <c r="S6199" s="102">
        <f t="shared" si="3069"/>
        <v>5479320</v>
      </c>
      <c r="T6199" s="102">
        <f t="shared" si="3070"/>
        <v>4981200</v>
      </c>
      <c r="U6199" s="71" t="s">
        <v>859</v>
      </c>
      <c r="V6199" s="71"/>
      <c r="W6199" s="474">
        <v>1476000</v>
      </c>
      <c r="X6199" s="71"/>
      <c r="Y6199" s="71"/>
    </row>
    <row r="6200" spans="1:25" ht="30" hidden="1" customHeight="1" x14ac:dyDescent="0.25">
      <c r="A6200" s="1145">
        <v>45194</v>
      </c>
      <c r="B6200" s="664" t="s">
        <v>2255</v>
      </c>
      <c r="C6200" s="71" t="s">
        <v>3851</v>
      </c>
      <c r="D6200" s="71">
        <v>600</v>
      </c>
      <c r="E6200" s="102">
        <v>4280</v>
      </c>
      <c r="F6200" s="102">
        <f t="shared" si="3072"/>
        <v>2824800</v>
      </c>
      <c r="G6200" s="102">
        <f t="shared" si="3073"/>
        <v>2568000</v>
      </c>
      <c r="H6200" s="690" t="s">
        <v>36</v>
      </c>
      <c r="I6200" s="71" t="s">
        <v>2529</v>
      </c>
      <c r="J6200" s="53">
        <f t="shared" si="3067"/>
        <v>788400</v>
      </c>
      <c r="K6200" s="63">
        <f t="shared" si="3068"/>
        <v>0.30700934579439254</v>
      </c>
      <c r="L6200" s="1212" t="s">
        <v>3856</v>
      </c>
      <c r="M6200" s="102" t="s">
        <v>3848</v>
      </c>
      <c r="N6200" s="1192">
        <f t="shared" si="3071"/>
        <v>45194</v>
      </c>
      <c r="O6200" s="71" t="s">
        <v>2030</v>
      </c>
      <c r="P6200" s="103" t="str">
        <f t="shared" si="3065"/>
        <v>Saphira CTP 판 968 x 631</v>
      </c>
      <c r="Q6200" s="71">
        <f t="shared" si="3066"/>
        <v>600</v>
      </c>
      <c r="R6200" s="102">
        <v>2966</v>
      </c>
      <c r="S6200" s="102">
        <f t="shared" si="3069"/>
        <v>1957560.0000000002</v>
      </c>
      <c r="T6200" s="102">
        <f t="shared" si="3070"/>
        <v>1779600</v>
      </c>
      <c r="U6200" s="71" t="s">
        <v>859</v>
      </c>
      <c r="V6200" s="71"/>
      <c r="W6200" s="474">
        <v>1416000</v>
      </c>
      <c r="X6200" s="71"/>
      <c r="Y6200" s="71"/>
    </row>
    <row r="6201" spans="1:25" ht="30" hidden="1" customHeight="1" x14ac:dyDescent="0.25">
      <c r="A6201" s="1145">
        <v>45194</v>
      </c>
      <c r="B6201" s="664" t="s">
        <v>2255</v>
      </c>
      <c r="C6201" s="71" t="s">
        <v>3661</v>
      </c>
      <c r="D6201" s="71">
        <v>45</v>
      </c>
      <c r="E6201" s="102">
        <v>51920</v>
      </c>
      <c r="F6201" s="102">
        <f t="shared" si="3072"/>
        <v>2570040</v>
      </c>
      <c r="G6201" s="102">
        <f t="shared" si="3073"/>
        <v>2336400</v>
      </c>
      <c r="H6201" s="690" t="s">
        <v>179</v>
      </c>
      <c r="I6201" s="71" t="s">
        <v>3405</v>
      </c>
      <c r="J6201" s="53">
        <f t="shared" si="3067"/>
        <v>536400</v>
      </c>
      <c r="K6201" s="63">
        <f t="shared" si="3068"/>
        <v>0.2295839753466872</v>
      </c>
      <c r="L6201" s="1212" t="s">
        <v>3856</v>
      </c>
      <c r="M6201" s="468"/>
      <c r="N6201" s="1192">
        <f t="shared" si="3071"/>
        <v>45194</v>
      </c>
      <c r="O6201" s="71" t="s">
        <v>2030</v>
      </c>
      <c r="P6201" s="103" t="str">
        <f t="shared" si="3065"/>
        <v>사피라 현상액</v>
      </c>
      <c r="Q6201" s="71">
        <f t="shared" si="3066"/>
        <v>45</v>
      </c>
      <c r="R6201" s="102">
        <v>40000</v>
      </c>
      <c r="S6201" s="102">
        <f t="shared" si="3069"/>
        <v>1980000.0000000002</v>
      </c>
      <c r="T6201" s="102">
        <f t="shared" si="3070"/>
        <v>1800000</v>
      </c>
      <c r="U6201" s="71" t="s">
        <v>859</v>
      </c>
      <c r="V6201" s="71"/>
      <c r="W6201" s="474">
        <v>978750</v>
      </c>
      <c r="X6201" s="71"/>
      <c r="Y6201" s="71"/>
    </row>
    <row r="6202" spans="1:25" ht="30" hidden="1" customHeight="1" x14ac:dyDescent="0.25">
      <c r="A6202" s="1145">
        <v>45194</v>
      </c>
      <c r="B6202" s="664" t="s">
        <v>2254</v>
      </c>
      <c r="C6202" s="71" t="s">
        <v>3319</v>
      </c>
      <c r="D6202" s="71">
        <v>200</v>
      </c>
      <c r="E6202" s="102">
        <v>6328</v>
      </c>
      <c r="F6202" s="102">
        <f t="shared" si="3072"/>
        <v>1392160</v>
      </c>
      <c r="G6202" s="102">
        <f t="shared" si="3073"/>
        <v>1265600</v>
      </c>
      <c r="H6202" s="690" t="s">
        <v>36</v>
      </c>
      <c r="I6202" s="71" t="s">
        <v>3320</v>
      </c>
      <c r="J6202" s="53">
        <f t="shared" si="3067"/>
        <v>95600</v>
      </c>
      <c r="K6202" s="63">
        <f t="shared" si="3068"/>
        <v>7.5537294563843241E-2</v>
      </c>
      <c r="L6202" s="1212" t="s">
        <v>3856</v>
      </c>
      <c r="M6202" s="468"/>
      <c r="N6202" s="1192">
        <f t="shared" si="3071"/>
        <v>45194</v>
      </c>
      <c r="O6202" s="71" t="s">
        <v>146</v>
      </c>
      <c r="P6202" s="103" t="str">
        <f t="shared" si="3065"/>
        <v>프리미어(먹)</v>
      </c>
      <c r="Q6202" s="71">
        <f t="shared" si="3066"/>
        <v>200</v>
      </c>
      <c r="R6202" s="102">
        <v>5850</v>
      </c>
      <c r="S6202" s="102">
        <f t="shared" si="3069"/>
        <v>1287000</v>
      </c>
      <c r="T6202" s="102">
        <f t="shared" si="3070"/>
        <v>1170000</v>
      </c>
      <c r="U6202" s="71" t="s">
        <v>859</v>
      </c>
      <c r="V6202" s="71"/>
      <c r="W6202" s="474">
        <v>411200</v>
      </c>
      <c r="X6202" s="71"/>
      <c r="Y6202" s="71"/>
    </row>
    <row r="6203" spans="1:25" ht="30" hidden="1" customHeight="1" x14ac:dyDescent="0.25">
      <c r="A6203" s="1145">
        <v>45194</v>
      </c>
      <c r="B6203" s="664" t="s">
        <v>2254</v>
      </c>
      <c r="C6203" s="71" t="s">
        <v>3321</v>
      </c>
      <c r="D6203" s="71">
        <v>200</v>
      </c>
      <c r="E6203" s="102">
        <v>6780</v>
      </c>
      <c r="F6203" s="102">
        <f t="shared" si="3072"/>
        <v>1491600.0000000002</v>
      </c>
      <c r="G6203" s="102">
        <f t="shared" si="3073"/>
        <v>1356000</v>
      </c>
      <c r="H6203" s="690" t="s">
        <v>36</v>
      </c>
      <c r="I6203" s="71" t="s">
        <v>3320</v>
      </c>
      <c r="J6203" s="53">
        <f t="shared" si="3067"/>
        <v>100000</v>
      </c>
      <c r="K6203" s="63">
        <f t="shared" si="3068"/>
        <v>7.3746312684365767E-2</v>
      </c>
      <c r="L6203" s="1212" t="s">
        <v>3856</v>
      </c>
      <c r="M6203" s="468"/>
      <c r="N6203" s="1192">
        <f t="shared" si="3071"/>
        <v>45194</v>
      </c>
      <c r="O6203" s="71" t="s">
        <v>146</v>
      </c>
      <c r="P6203" s="103" t="str">
        <f t="shared" si="3065"/>
        <v>프리미어(적)</v>
      </c>
      <c r="Q6203" s="71">
        <f t="shared" si="3066"/>
        <v>200</v>
      </c>
      <c r="R6203" s="102">
        <v>6280</v>
      </c>
      <c r="S6203" s="102">
        <f t="shared" si="3069"/>
        <v>1381600</v>
      </c>
      <c r="T6203" s="102">
        <f t="shared" si="3070"/>
        <v>1256000</v>
      </c>
      <c r="U6203" s="71" t="s">
        <v>859</v>
      </c>
      <c r="V6203" s="71"/>
      <c r="W6203" s="474">
        <v>292000</v>
      </c>
      <c r="X6203" s="71"/>
      <c r="Y6203" s="71"/>
    </row>
    <row r="6204" spans="1:25" ht="30" hidden="1" customHeight="1" x14ac:dyDescent="0.25">
      <c r="A6204" s="1145">
        <v>45194</v>
      </c>
      <c r="B6204" s="664" t="s">
        <v>2254</v>
      </c>
      <c r="C6204" s="71" t="s">
        <v>1289</v>
      </c>
      <c r="D6204" s="71">
        <v>400</v>
      </c>
      <c r="E6204" s="102">
        <v>6498</v>
      </c>
      <c r="F6204" s="102">
        <f t="shared" si="3072"/>
        <v>2859120</v>
      </c>
      <c r="G6204" s="102">
        <f t="shared" si="3073"/>
        <v>2599200</v>
      </c>
      <c r="H6204" s="690" t="s">
        <v>36</v>
      </c>
      <c r="I6204" s="71" t="s">
        <v>3320</v>
      </c>
      <c r="J6204" s="53">
        <f t="shared" si="3067"/>
        <v>191200</v>
      </c>
      <c r="K6204" s="63">
        <f t="shared" si="3068"/>
        <v>7.3561095721760547E-2</v>
      </c>
      <c r="L6204" s="1212" t="s">
        <v>3856</v>
      </c>
      <c r="M6204" s="468"/>
      <c r="N6204" s="1192">
        <f t="shared" si="3071"/>
        <v>45194</v>
      </c>
      <c r="O6204" s="71" t="s">
        <v>146</v>
      </c>
      <c r="P6204" s="103" t="str">
        <f t="shared" si="3065"/>
        <v>프리미어(황)</v>
      </c>
      <c r="Q6204" s="71">
        <f t="shared" si="3066"/>
        <v>400</v>
      </c>
      <c r="R6204" s="102">
        <v>6020</v>
      </c>
      <c r="S6204" s="102">
        <f t="shared" si="3069"/>
        <v>2648800</v>
      </c>
      <c r="T6204" s="102">
        <f t="shared" si="3070"/>
        <v>2408000</v>
      </c>
      <c r="U6204" s="71" t="s">
        <v>859</v>
      </c>
      <c r="V6204" s="71"/>
      <c r="W6204" s="474">
        <v>640800</v>
      </c>
      <c r="X6204" s="71"/>
      <c r="Y6204" s="71"/>
    </row>
    <row r="6205" spans="1:25" ht="30" hidden="1" customHeight="1" x14ac:dyDescent="0.25">
      <c r="A6205" s="1145">
        <v>45194</v>
      </c>
      <c r="B6205" s="664" t="s">
        <v>2254</v>
      </c>
      <c r="C6205" s="71" t="s">
        <v>1290</v>
      </c>
      <c r="D6205" s="71">
        <v>400</v>
      </c>
      <c r="E6205" s="102">
        <v>7910</v>
      </c>
      <c r="F6205" s="102">
        <f t="shared" si="3072"/>
        <v>3480400.0000000005</v>
      </c>
      <c r="G6205" s="102">
        <f t="shared" si="3073"/>
        <v>3164000</v>
      </c>
      <c r="H6205" s="690" t="s">
        <v>36</v>
      </c>
      <c r="I6205" s="71" t="s">
        <v>3320</v>
      </c>
      <c r="J6205" s="53">
        <f t="shared" si="3067"/>
        <v>240000</v>
      </c>
      <c r="K6205" s="63">
        <f t="shared" si="3068"/>
        <v>7.5853350189633365E-2</v>
      </c>
      <c r="L6205" s="1212" t="s">
        <v>3856</v>
      </c>
      <c r="M6205" s="468"/>
      <c r="N6205" s="1192">
        <f t="shared" si="3071"/>
        <v>45194</v>
      </c>
      <c r="O6205" s="71" t="s">
        <v>146</v>
      </c>
      <c r="P6205" s="103" t="str">
        <f t="shared" si="3065"/>
        <v>프리미어(청)</v>
      </c>
      <c r="Q6205" s="71">
        <f t="shared" si="3066"/>
        <v>400</v>
      </c>
      <c r="R6205" s="102">
        <v>7310</v>
      </c>
      <c r="S6205" s="102">
        <f t="shared" si="3069"/>
        <v>3216400.0000000005</v>
      </c>
      <c r="T6205" s="102">
        <f t="shared" si="3070"/>
        <v>2924000</v>
      </c>
      <c r="U6205" s="71" t="s">
        <v>859</v>
      </c>
      <c r="V6205" s="71"/>
      <c r="W6205" s="474">
        <v>846000</v>
      </c>
      <c r="X6205" s="71"/>
      <c r="Y6205" s="71"/>
    </row>
    <row r="6206" spans="1:25" ht="30" hidden="1" customHeight="1" x14ac:dyDescent="0.25">
      <c r="A6206" s="1145">
        <v>45194</v>
      </c>
      <c r="B6206" s="664" t="s">
        <v>2254</v>
      </c>
      <c r="C6206" s="71" t="s">
        <v>3322</v>
      </c>
      <c r="D6206" s="71"/>
      <c r="E6206" s="102">
        <v>7150</v>
      </c>
      <c r="F6206" s="102">
        <f t="shared" ref="F6206" si="3074">(E6206*D6206)*1.1</f>
        <v>0</v>
      </c>
      <c r="G6206" s="102">
        <f t="shared" ref="G6206" si="3075">(E6206*D6206)</f>
        <v>0</v>
      </c>
      <c r="H6206" s="690" t="s">
        <v>36</v>
      </c>
      <c r="I6206" s="71" t="s">
        <v>3320</v>
      </c>
      <c r="J6206" s="53">
        <f t="shared" si="3067"/>
        <v>0</v>
      </c>
      <c r="K6206" s="63" t="e">
        <f t="shared" si="3068"/>
        <v>#DIV/0!</v>
      </c>
      <c r="L6206" s="1212" t="s">
        <v>3856</v>
      </c>
      <c r="M6206" s="468"/>
      <c r="N6206" s="1192">
        <f t="shared" si="3071"/>
        <v>45194</v>
      </c>
      <c r="O6206" s="71" t="s">
        <v>3323</v>
      </c>
      <c r="P6206" s="103" t="str">
        <f t="shared" si="3065"/>
        <v>한특 잉크(적)</v>
      </c>
      <c r="Q6206" s="71">
        <f t="shared" si="3066"/>
        <v>0</v>
      </c>
      <c r="R6206" s="102">
        <v>6500</v>
      </c>
      <c r="S6206" s="102">
        <f t="shared" si="3069"/>
        <v>0</v>
      </c>
      <c r="T6206" s="102">
        <f t="shared" si="3070"/>
        <v>0</v>
      </c>
      <c r="U6206" s="71" t="s">
        <v>859</v>
      </c>
      <c r="V6206" s="71"/>
      <c r="W6206" s="474">
        <v>0</v>
      </c>
      <c r="X6206" s="71"/>
      <c r="Y6206" s="71"/>
    </row>
    <row r="6207" spans="1:25" ht="30" hidden="1" customHeight="1" x14ac:dyDescent="0.25">
      <c r="A6207" s="1145">
        <v>45194</v>
      </c>
      <c r="B6207" s="664" t="s">
        <v>2254</v>
      </c>
      <c r="C6207" s="71" t="s">
        <v>3324</v>
      </c>
      <c r="D6207" s="71"/>
      <c r="E6207" s="102">
        <v>6900</v>
      </c>
      <c r="F6207" s="102">
        <f t="shared" ref="F6207" si="3076">(E6207*D6207)*1.1</f>
        <v>0</v>
      </c>
      <c r="G6207" s="102">
        <f t="shared" ref="G6207" si="3077">(E6207*D6207)</f>
        <v>0</v>
      </c>
      <c r="H6207" s="690" t="s">
        <v>36</v>
      </c>
      <c r="I6207" s="71" t="s">
        <v>3320</v>
      </c>
      <c r="J6207" s="53">
        <f t="shared" si="3067"/>
        <v>0</v>
      </c>
      <c r="K6207" s="63" t="e">
        <f t="shared" si="3068"/>
        <v>#DIV/0!</v>
      </c>
      <c r="L6207" s="1212" t="s">
        <v>3856</v>
      </c>
      <c r="M6207" s="468"/>
      <c r="N6207" s="1192">
        <f t="shared" si="3071"/>
        <v>45194</v>
      </c>
      <c r="O6207" s="71" t="s">
        <v>3323</v>
      </c>
      <c r="P6207" s="103" t="str">
        <f t="shared" si="3065"/>
        <v>한특 잉크(황)</v>
      </c>
      <c r="Q6207" s="71">
        <f t="shared" si="3066"/>
        <v>0</v>
      </c>
      <c r="R6207" s="102">
        <v>6200</v>
      </c>
      <c r="S6207" s="102">
        <f t="shared" si="3069"/>
        <v>0</v>
      </c>
      <c r="T6207" s="102">
        <f t="shared" si="3070"/>
        <v>0</v>
      </c>
      <c r="U6207" s="71" t="s">
        <v>859</v>
      </c>
      <c r="V6207" s="71"/>
      <c r="W6207" s="474">
        <v>0</v>
      </c>
      <c r="X6207" s="71"/>
      <c r="Y6207" s="71"/>
    </row>
    <row r="6208" spans="1:25" ht="28.5" hidden="1" customHeight="1" x14ac:dyDescent="0.25">
      <c r="A6208" s="1145">
        <v>45194</v>
      </c>
      <c r="B6208" s="664" t="s">
        <v>2254</v>
      </c>
      <c r="C6208" s="71" t="s">
        <v>3325</v>
      </c>
      <c r="D6208" s="71"/>
      <c r="E6208" s="102">
        <v>7500</v>
      </c>
      <c r="F6208" s="102">
        <f t="shared" ref="F6208" si="3078">(E6208*D6208)*1.1</f>
        <v>0</v>
      </c>
      <c r="G6208" s="102">
        <f t="shared" ref="G6208" si="3079">(E6208*D6208)</f>
        <v>0</v>
      </c>
      <c r="H6208" s="690" t="s">
        <v>36</v>
      </c>
      <c r="I6208" s="71" t="s">
        <v>3320</v>
      </c>
      <c r="J6208" s="53">
        <f t="shared" si="3067"/>
        <v>0</v>
      </c>
      <c r="K6208" s="63" t="e">
        <f t="shared" si="3068"/>
        <v>#DIV/0!</v>
      </c>
      <c r="L6208" s="1212" t="s">
        <v>3856</v>
      </c>
      <c r="M6208" s="468"/>
      <c r="N6208" s="1192">
        <f t="shared" si="3071"/>
        <v>45194</v>
      </c>
      <c r="O6208" s="71" t="s">
        <v>3323</v>
      </c>
      <c r="P6208" s="103" t="str">
        <f t="shared" si="3065"/>
        <v>한특 잉크(청)</v>
      </c>
      <c r="Q6208" s="71">
        <f t="shared" si="3066"/>
        <v>0</v>
      </c>
      <c r="R6208" s="102">
        <v>6600</v>
      </c>
      <c r="S6208" s="102">
        <f t="shared" si="3069"/>
        <v>0</v>
      </c>
      <c r="T6208" s="102">
        <f t="shared" si="3070"/>
        <v>0</v>
      </c>
      <c r="U6208" s="71" t="s">
        <v>859</v>
      </c>
      <c r="V6208" s="71"/>
      <c r="W6208" s="474">
        <v>0</v>
      </c>
      <c r="X6208" s="71"/>
      <c r="Y6208" s="71"/>
    </row>
    <row r="6209" spans="1:25" ht="30" hidden="1" customHeight="1" x14ac:dyDescent="0.25">
      <c r="A6209" s="1145">
        <v>45194</v>
      </c>
      <c r="B6209" s="664" t="s">
        <v>2254</v>
      </c>
      <c r="C6209" s="71" t="s">
        <v>3326</v>
      </c>
      <c r="D6209" s="71"/>
      <c r="E6209" s="102">
        <v>6450</v>
      </c>
      <c r="F6209" s="102">
        <f t="shared" ref="F6209" si="3080">(E6209*D6209)*1.1</f>
        <v>0</v>
      </c>
      <c r="G6209" s="102">
        <f t="shared" ref="G6209" si="3081">(E6209*D6209)</f>
        <v>0</v>
      </c>
      <c r="H6209" s="690" t="s">
        <v>36</v>
      </c>
      <c r="I6209" s="71" t="s">
        <v>3320</v>
      </c>
      <c r="J6209" s="53">
        <f t="shared" si="3067"/>
        <v>0</v>
      </c>
      <c r="K6209" s="63" t="e">
        <f t="shared" si="3068"/>
        <v>#DIV/0!</v>
      </c>
      <c r="L6209" s="1212" t="s">
        <v>3856</v>
      </c>
      <c r="M6209" s="468"/>
      <c r="N6209" s="1192">
        <f t="shared" si="3071"/>
        <v>45194</v>
      </c>
      <c r="O6209" s="71" t="s">
        <v>3323</v>
      </c>
      <c r="P6209" s="103" t="str">
        <f t="shared" si="3065"/>
        <v>한특 잉크(먹)</v>
      </c>
      <c r="Q6209" s="71">
        <f t="shared" si="3066"/>
        <v>0</v>
      </c>
      <c r="R6209" s="102">
        <v>5700</v>
      </c>
      <c r="S6209" s="102">
        <f t="shared" si="3069"/>
        <v>0</v>
      </c>
      <c r="T6209" s="102">
        <f t="shared" si="3070"/>
        <v>0</v>
      </c>
      <c r="U6209" s="71" t="s">
        <v>859</v>
      </c>
      <c r="V6209" s="71"/>
      <c r="W6209" s="474">
        <v>0</v>
      </c>
      <c r="X6209" s="71"/>
      <c r="Y6209" s="71"/>
    </row>
    <row r="6210" spans="1:25" ht="30" hidden="1" customHeight="1" x14ac:dyDescent="0.25">
      <c r="A6210" s="1145">
        <v>45194</v>
      </c>
      <c r="B6210" s="664" t="s">
        <v>2254</v>
      </c>
      <c r="C6210" s="71" t="s">
        <v>3871</v>
      </c>
      <c r="D6210" s="71">
        <v>60</v>
      </c>
      <c r="E6210" s="102">
        <v>9500</v>
      </c>
      <c r="F6210" s="102">
        <f t="shared" ref="F6210" si="3082">(E6210*D6210)*1.1</f>
        <v>627000</v>
      </c>
      <c r="G6210" s="102">
        <f t="shared" ref="G6210" si="3083">(E6210*D6210)</f>
        <v>570000</v>
      </c>
      <c r="H6210" s="690" t="s">
        <v>36</v>
      </c>
      <c r="I6210" s="71" t="s">
        <v>3320</v>
      </c>
      <c r="J6210" s="53">
        <f t="shared" si="3067"/>
        <v>30000</v>
      </c>
      <c r="K6210" s="63">
        <f t="shared" si="3068"/>
        <v>5.2631578947368418E-2</v>
      </c>
      <c r="L6210" s="1212" t="s">
        <v>3856</v>
      </c>
      <c r="M6210" s="468"/>
      <c r="N6210" s="1192">
        <f t="shared" si="3071"/>
        <v>45194</v>
      </c>
      <c r="O6210" s="71" t="s">
        <v>3900</v>
      </c>
      <c r="P6210" s="103" t="str">
        <f t="shared" si="3065"/>
        <v>별색 - PT 801C</v>
      </c>
      <c r="Q6210" s="71">
        <f t="shared" si="3066"/>
        <v>60</v>
      </c>
      <c r="R6210" s="102">
        <v>9000</v>
      </c>
      <c r="S6210" s="102">
        <f t="shared" si="3069"/>
        <v>594000</v>
      </c>
      <c r="T6210" s="102">
        <f t="shared" si="3070"/>
        <v>540000</v>
      </c>
      <c r="U6210" s="71"/>
      <c r="V6210" s="71"/>
      <c r="W6210" s="474"/>
      <c r="X6210" s="71"/>
      <c r="Y6210" s="71"/>
    </row>
    <row r="6211" spans="1:25" ht="30" hidden="1" customHeight="1" x14ac:dyDescent="0.25">
      <c r="A6211" s="1145">
        <v>45194</v>
      </c>
      <c r="B6211" s="664" t="s">
        <v>443</v>
      </c>
      <c r="C6211" s="71" t="s">
        <v>3392</v>
      </c>
      <c r="D6211" s="71">
        <v>8</v>
      </c>
      <c r="E6211" s="102">
        <v>218000</v>
      </c>
      <c r="F6211" s="102">
        <f t="shared" ref="F6211" si="3084">(E6211*D6211)*1.1</f>
        <v>1918400.0000000002</v>
      </c>
      <c r="G6211" s="102">
        <f t="shared" ref="G6211" si="3085">(E6211*D6211)</f>
        <v>1744000</v>
      </c>
      <c r="H6211" s="690" t="s">
        <v>172</v>
      </c>
      <c r="I6211" s="71" t="s">
        <v>184</v>
      </c>
      <c r="J6211" s="53">
        <f t="shared" si="3067"/>
        <v>412000</v>
      </c>
      <c r="K6211" s="63">
        <f t="shared" si="3068"/>
        <v>0.23623853211009171</v>
      </c>
      <c r="L6211" s="1212" t="s">
        <v>3856</v>
      </c>
      <c r="M6211" s="468" t="s">
        <v>3393</v>
      </c>
      <c r="N6211" s="1192">
        <f t="shared" si="3071"/>
        <v>45194</v>
      </c>
      <c r="O6211" s="71" t="s">
        <v>2030</v>
      </c>
      <c r="P6211" s="103" t="str">
        <f t="shared" si="3065"/>
        <v>윤전 블랑켓</v>
      </c>
      <c r="Q6211" s="71">
        <f t="shared" si="3066"/>
        <v>8</v>
      </c>
      <c r="R6211" s="102">
        <v>166500</v>
      </c>
      <c r="S6211" s="102">
        <f t="shared" si="3069"/>
        <v>1465200.0000000002</v>
      </c>
      <c r="T6211" s="102">
        <f t="shared" si="3070"/>
        <v>1332000</v>
      </c>
      <c r="U6211" s="71" t="s">
        <v>859</v>
      </c>
      <c r="V6211" s="71" t="s">
        <v>3394</v>
      </c>
      <c r="W6211" s="474">
        <v>464000</v>
      </c>
      <c r="X6211" s="71"/>
      <c r="Y6211" s="71"/>
    </row>
    <row r="6212" spans="1:25" ht="30" hidden="1" customHeight="1" x14ac:dyDescent="0.25">
      <c r="A6212" s="1145">
        <v>45194</v>
      </c>
      <c r="B6212" s="664" t="s">
        <v>443</v>
      </c>
      <c r="C6212" s="71" t="s">
        <v>3864</v>
      </c>
      <c r="D6212" s="71">
        <v>1</v>
      </c>
      <c r="E6212" s="102">
        <v>2350000</v>
      </c>
      <c r="F6212" s="102">
        <f t="shared" ref="F6212" si="3086">(E6212*D6212)*1.1</f>
        <v>2585000</v>
      </c>
      <c r="G6212" s="102">
        <f t="shared" ref="G6212" si="3087">(E6212*D6212)</f>
        <v>2350000</v>
      </c>
      <c r="H6212" s="690" t="s">
        <v>179</v>
      </c>
      <c r="I6212" s="690" t="s">
        <v>179</v>
      </c>
      <c r="J6212" s="53">
        <f t="shared" si="3067"/>
        <v>600000</v>
      </c>
      <c r="K6212" s="63">
        <f t="shared" si="3068"/>
        <v>0.25531914893617019</v>
      </c>
      <c r="L6212" s="1212" t="s">
        <v>3856</v>
      </c>
      <c r="M6212" s="468"/>
      <c r="N6212" s="1192">
        <f t="shared" si="3071"/>
        <v>45194</v>
      </c>
      <c r="O6212" s="71" t="s">
        <v>194</v>
      </c>
      <c r="P6212" s="103" t="str">
        <f t="shared" si="3065"/>
        <v>9월분 Apogee 사용료</v>
      </c>
      <c r="Q6212" s="71">
        <f t="shared" si="3066"/>
        <v>1</v>
      </c>
      <c r="R6212" s="147">
        <v>1750000</v>
      </c>
      <c r="S6212" s="102">
        <f t="shared" si="3069"/>
        <v>1925000.0000000002</v>
      </c>
      <c r="T6212" s="102">
        <f t="shared" si="3070"/>
        <v>1750000</v>
      </c>
      <c r="U6212" s="71"/>
      <c r="V6212" s="71"/>
      <c r="W6212" s="474"/>
      <c r="X6212" s="71"/>
      <c r="Y6212" s="71"/>
    </row>
    <row r="6213" spans="1:25" ht="30" hidden="1" customHeight="1" x14ac:dyDescent="0.25">
      <c r="A6213" s="1145">
        <v>45176</v>
      </c>
      <c r="B6213" s="664" t="s">
        <v>2261</v>
      </c>
      <c r="C6213" s="760" t="s">
        <v>181</v>
      </c>
      <c r="D6213" s="71">
        <v>5</v>
      </c>
      <c r="E6213" s="102">
        <v>193000</v>
      </c>
      <c r="F6213" s="102">
        <f t="shared" ref="F6213:F6220" si="3088">(E6213*D6213)*1.1</f>
        <v>1061500</v>
      </c>
      <c r="G6213" s="102">
        <f t="shared" ref="G6213:G6220" si="3089">(E6213*D6213)</f>
        <v>965000</v>
      </c>
      <c r="H6213" s="690" t="s">
        <v>2029</v>
      </c>
      <c r="I6213" s="71" t="s">
        <v>182</v>
      </c>
      <c r="J6213" s="53">
        <f t="shared" si="3067"/>
        <v>345000</v>
      </c>
      <c r="K6213" s="63">
        <f t="shared" si="3068"/>
        <v>0.35751295336787564</v>
      </c>
      <c r="L6213" s="1212" t="s">
        <v>3856</v>
      </c>
      <c r="M6213" s="468"/>
      <c r="N6213" s="1192">
        <f t="shared" si="3071"/>
        <v>45176</v>
      </c>
      <c r="O6213" s="71" t="s">
        <v>2030</v>
      </c>
      <c r="P6213" s="103" t="str">
        <f t="shared" si="3065"/>
        <v>Fount Web 551AF</v>
      </c>
      <c r="Q6213" s="71">
        <f t="shared" si="3066"/>
        <v>5</v>
      </c>
      <c r="R6213" s="102">
        <v>124000</v>
      </c>
      <c r="S6213" s="102">
        <f t="shared" si="3069"/>
        <v>682000</v>
      </c>
      <c r="T6213" s="102">
        <f t="shared" si="3070"/>
        <v>620000</v>
      </c>
      <c r="U6213" s="71" t="str">
        <f>IF(J6213=W6213,"O", "X")</f>
        <v>X</v>
      </c>
      <c r="V6213" s="71"/>
      <c r="W6213" s="474">
        <v>640000</v>
      </c>
      <c r="X6213" s="71"/>
      <c r="Y6213" s="71"/>
    </row>
    <row r="6214" spans="1:25" ht="30" hidden="1" customHeight="1" x14ac:dyDescent="0.25">
      <c r="A6214" s="1145">
        <v>45176</v>
      </c>
      <c r="B6214" s="664" t="s">
        <v>2261</v>
      </c>
      <c r="C6214" s="71" t="s">
        <v>277</v>
      </c>
      <c r="D6214" s="71">
        <v>10</v>
      </c>
      <c r="E6214" s="102">
        <v>172000</v>
      </c>
      <c r="F6214" s="102">
        <f t="shared" si="3088"/>
        <v>1892000.0000000002</v>
      </c>
      <c r="G6214" s="102">
        <f t="shared" si="3089"/>
        <v>1720000</v>
      </c>
      <c r="H6214" s="690" t="s">
        <v>172</v>
      </c>
      <c r="I6214" s="71" t="s">
        <v>108</v>
      </c>
      <c r="J6214" s="53">
        <f t="shared" si="3067"/>
        <v>390000</v>
      </c>
      <c r="K6214" s="63">
        <f t="shared" si="3068"/>
        <v>0.22674418604651159</v>
      </c>
      <c r="L6214" s="1212" t="s">
        <v>3856</v>
      </c>
      <c r="M6214" s="468"/>
      <c r="N6214" s="1192">
        <f t="shared" si="3071"/>
        <v>45176</v>
      </c>
      <c r="O6214" s="71" t="s">
        <v>662</v>
      </c>
      <c r="P6214" s="103" t="str">
        <f t="shared" si="3065"/>
        <v>윤전용 세척제(Web 504)</v>
      </c>
      <c r="Q6214" s="71">
        <f t="shared" si="3066"/>
        <v>10</v>
      </c>
      <c r="R6214" s="102">
        <v>133000</v>
      </c>
      <c r="S6214" s="102">
        <f t="shared" si="3069"/>
        <v>1463000.0000000002</v>
      </c>
      <c r="T6214" s="102">
        <f t="shared" si="3070"/>
        <v>1330000</v>
      </c>
      <c r="U6214" s="71" t="str">
        <f>IF(J6214=W6214,"O", "X")</f>
        <v>X</v>
      </c>
      <c r="V6214" s="71"/>
      <c r="W6214" s="474"/>
      <c r="X6214" s="71"/>
      <c r="Y6214" s="71"/>
    </row>
    <row r="6215" spans="1:25" ht="30" hidden="1" customHeight="1" x14ac:dyDescent="0.25">
      <c r="A6215" s="1145">
        <v>45176</v>
      </c>
      <c r="B6215" s="664" t="s">
        <v>2261</v>
      </c>
      <c r="C6215" s="71" t="s">
        <v>3299</v>
      </c>
      <c r="D6215" s="71">
        <v>5</v>
      </c>
      <c r="E6215" s="102">
        <v>52000</v>
      </c>
      <c r="F6215" s="102">
        <f t="shared" si="3088"/>
        <v>286000</v>
      </c>
      <c r="G6215" s="102">
        <f t="shared" si="3089"/>
        <v>260000</v>
      </c>
      <c r="H6215" s="690" t="s">
        <v>172</v>
      </c>
      <c r="I6215" s="71" t="s">
        <v>180</v>
      </c>
      <c r="J6215" s="53">
        <f t="shared" si="3067"/>
        <v>22500</v>
      </c>
      <c r="K6215" s="63">
        <f t="shared" si="3068"/>
        <v>8.6538461538461536E-2</v>
      </c>
      <c r="L6215" s="1212" t="s">
        <v>3856</v>
      </c>
      <c r="M6215" s="468" t="s">
        <v>3835</v>
      </c>
      <c r="N6215" s="1192">
        <f t="shared" si="3071"/>
        <v>45176</v>
      </c>
      <c r="O6215" s="71" t="s">
        <v>175</v>
      </c>
      <c r="P6215" s="103" t="str">
        <f t="shared" si="3065"/>
        <v>매엽용 세척제(Wash k11)</v>
      </c>
      <c r="Q6215" s="71">
        <f t="shared" si="3066"/>
        <v>5</v>
      </c>
      <c r="R6215" s="102">
        <v>47500</v>
      </c>
      <c r="S6215" s="102">
        <f t="shared" si="3069"/>
        <v>261250.00000000003</v>
      </c>
      <c r="T6215" s="102">
        <f t="shared" si="3070"/>
        <v>237500</v>
      </c>
      <c r="U6215" s="71" t="s">
        <v>859</v>
      </c>
      <c r="V6215" s="71"/>
      <c r="W6215" s="474"/>
      <c r="X6215" s="71"/>
      <c r="Y6215" s="71"/>
    </row>
    <row r="6216" spans="1:25" ht="30" hidden="1" customHeight="1" x14ac:dyDescent="0.25">
      <c r="A6216" s="1145">
        <v>45184</v>
      </c>
      <c r="B6216" s="664" t="s">
        <v>2261</v>
      </c>
      <c r="C6216" s="760" t="s">
        <v>181</v>
      </c>
      <c r="D6216" s="71">
        <v>5</v>
      </c>
      <c r="E6216" s="102">
        <v>193000</v>
      </c>
      <c r="F6216" s="102">
        <f t="shared" si="3088"/>
        <v>1061500</v>
      </c>
      <c r="G6216" s="102">
        <f t="shared" si="3089"/>
        <v>965000</v>
      </c>
      <c r="H6216" s="690" t="s">
        <v>2029</v>
      </c>
      <c r="I6216" s="71" t="s">
        <v>182</v>
      </c>
      <c r="J6216" s="53">
        <f t="shared" si="3067"/>
        <v>345000</v>
      </c>
      <c r="K6216" s="63">
        <f t="shared" si="3068"/>
        <v>0.35751295336787564</v>
      </c>
      <c r="L6216" s="1212" t="s">
        <v>3856</v>
      </c>
      <c r="M6216" s="468"/>
      <c r="N6216" s="1192">
        <f t="shared" si="3071"/>
        <v>45184</v>
      </c>
      <c r="O6216" s="71" t="s">
        <v>2030</v>
      </c>
      <c r="P6216" s="103" t="str">
        <f t="shared" si="3065"/>
        <v>Fount Web 551AF</v>
      </c>
      <c r="Q6216" s="71">
        <f t="shared" si="3066"/>
        <v>5</v>
      </c>
      <c r="R6216" s="102">
        <v>124000</v>
      </c>
      <c r="S6216" s="102">
        <f t="shared" si="3069"/>
        <v>682000</v>
      </c>
      <c r="T6216" s="102">
        <f t="shared" si="3070"/>
        <v>620000</v>
      </c>
      <c r="U6216" s="71" t="str">
        <f>IF(J6216=W6216,"O", "X")</f>
        <v>X</v>
      </c>
      <c r="V6216" s="71"/>
      <c r="W6216" s="474">
        <v>640000</v>
      </c>
      <c r="X6216" s="71"/>
      <c r="Y6216" s="71"/>
    </row>
    <row r="6217" spans="1:25" ht="30" hidden="1" customHeight="1" x14ac:dyDescent="0.25">
      <c r="A6217" s="1145">
        <v>45184</v>
      </c>
      <c r="B6217" s="664" t="s">
        <v>2261</v>
      </c>
      <c r="C6217" s="71" t="s">
        <v>277</v>
      </c>
      <c r="D6217" s="71">
        <v>10</v>
      </c>
      <c r="E6217" s="102">
        <v>172000</v>
      </c>
      <c r="F6217" s="102">
        <f t="shared" si="3088"/>
        <v>1892000.0000000002</v>
      </c>
      <c r="G6217" s="102">
        <f t="shared" si="3089"/>
        <v>1720000</v>
      </c>
      <c r="H6217" s="690" t="s">
        <v>172</v>
      </c>
      <c r="I6217" s="71" t="s">
        <v>108</v>
      </c>
      <c r="J6217" s="53">
        <f t="shared" si="3067"/>
        <v>390000</v>
      </c>
      <c r="K6217" s="63">
        <f t="shared" si="3068"/>
        <v>0.22674418604651159</v>
      </c>
      <c r="L6217" s="1212" t="s">
        <v>3856</v>
      </c>
      <c r="M6217" s="468"/>
      <c r="N6217" s="1192">
        <f t="shared" si="3071"/>
        <v>45184</v>
      </c>
      <c r="O6217" s="71" t="s">
        <v>662</v>
      </c>
      <c r="P6217" s="103" t="str">
        <f t="shared" si="3065"/>
        <v>윤전용 세척제(Web 504)</v>
      </c>
      <c r="Q6217" s="71">
        <f t="shared" si="3066"/>
        <v>10</v>
      </c>
      <c r="R6217" s="102">
        <v>133000</v>
      </c>
      <c r="S6217" s="102">
        <f t="shared" si="3069"/>
        <v>1463000.0000000002</v>
      </c>
      <c r="T6217" s="102">
        <f t="shared" si="3070"/>
        <v>1330000</v>
      </c>
      <c r="U6217" s="71" t="str">
        <f>IF(J6217=W6217,"O", "X")</f>
        <v>X</v>
      </c>
      <c r="V6217" s="71"/>
      <c r="W6217" s="474"/>
      <c r="X6217" s="71"/>
      <c r="Y6217" s="71"/>
    </row>
    <row r="6218" spans="1:25" ht="30" hidden="1" customHeight="1" x14ac:dyDescent="0.25">
      <c r="A6218" s="1145">
        <v>45184</v>
      </c>
      <c r="B6218" s="664" t="s">
        <v>2261</v>
      </c>
      <c r="C6218" s="71" t="s">
        <v>3299</v>
      </c>
      <c r="D6218" s="71">
        <v>10</v>
      </c>
      <c r="E6218" s="102">
        <v>52000</v>
      </c>
      <c r="F6218" s="102">
        <f t="shared" si="3088"/>
        <v>572000</v>
      </c>
      <c r="G6218" s="102">
        <f t="shared" si="3089"/>
        <v>520000</v>
      </c>
      <c r="H6218" s="690" t="s">
        <v>172</v>
      </c>
      <c r="I6218" s="71" t="s">
        <v>180</v>
      </c>
      <c r="J6218" s="53">
        <f t="shared" si="3067"/>
        <v>45000</v>
      </c>
      <c r="K6218" s="63">
        <f t="shared" si="3068"/>
        <v>8.6538461538461536E-2</v>
      </c>
      <c r="L6218" s="1212" t="s">
        <v>3856</v>
      </c>
      <c r="M6218" s="468" t="s">
        <v>3835</v>
      </c>
      <c r="N6218" s="1192">
        <f t="shared" si="3071"/>
        <v>45184</v>
      </c>
      <c r="O6218" s="71" t="s">
        <v>175</v>
      </c>
      <c r="P6218" s="103" t="str">
        <f t="shared" si="3065"/>
        <v>매엽용 세척제(Wash k11)</v>
      </c>
      <c r="Q6218" s="71">
        <f t="shared" si="3066"/>
        <v>10</v>
      </c>
      <c r="R6218" s="102">
        <v>47500</v>
      </c>
      <c r="S6218" s="102">
        <f t="shared" si="3069"/>
        <v>522500.00000000006</v>
      </c>
      <c r="T6218" s="102">
        <f t="shared" si="3070"/>
        <v>475000</v>
      </c>
      <c r="U6218" s="71" t="s">
        <v>859</v>
      </c>
      <c r="V6218" s="71"/>
      <c r="W6218" s="474"/>
      <c r="X6218" s="71"/>
      <c r="Y6218" s="71"/>
    </row>
    <row r="6219" spans="1:25" s="209" customFormat="1" ht="31.5" hidden="1" customHeight="1" x14ac:dyDescent="0.2">
      <c r="A6219" s="1145">
        <v>45184</v>
      </c>
      <c r="B6219" s="664" t="s">
        <v>3289</v>
      </c>
      <c r="C6219" s="71" t="s">
        <v>3387</v>
      </c>
      <c r="D6219" s="71">
        <v>10</v>
      </c>
      <c r="E6219" s="102">
        <v>130000</v>
      </c>
      <c r="F6219" s="102">
        <f t="shared" si="3088"/>
        <v>1430000</v>
      </c>
      <c r="G6219" s="102">
        <f t="shared" si="3089"/>
        <v>1300000</v>
      </c>
      <c r="H6219" s="165" t="s">
        <v>172</v>
      </c>
      <c r="I6219" s="71" t="s">
        <v>184</v>
      </c>
      <c r="J6219" s="53">
        <f t="shared" si="3067"/>
        <v>180000</v>
      </c>
      <c r="K6219" s="63">
        <f t="shared" si="3068"/>
        <v>0.13846153846153847</v>
      </c>
      <c r="L6219" s="1212" t="s">
        <v>3856</v>
      </c>
      <c r="M6219" s="468" t="s">
        <v>3835</v>
      </c>
      <c r="N6219" s="1192">
        <f t="shared" si="3071"/>
        <v>45184</v>
      </c>
      <c r="O6219" s="71" t="s">
        <v>189</v>
      </c>
      <c r="P6219" s="103" t="str">
        <f t="shared" si="3065"/>
        <v>Blanket(990*725)</v>
      </c>
      <c r="Q6219" s="71">
        <f t="shared" si="3066"/>
        <v>10</v>
      </c>
      <c r="R6219" s="102">
        <v>112000</v>
      </c>
      <c r="S6219" s="102">
        <f t="shared" si="3069"/>
        <v>1232000</v>
      </c>
      <c r="T6219" s="102">
        <f t="shared" si="3070"/>
        <v>1120000</v>
      </c>
      <c r="U6219" s="71" t="str">
        <f>IF(J6219=W6219,"O", "X")</f>
        <v>X</v>
      </c>
      <c r="V6219" s="71"/>
      <c r="W6219" s="474">
        <v>80000</v>
      </c>
      <c r="X6219" s="71"/>
      <c r="Y6219" s="71"/>
    </row>
    <row r="6220" spans="1:25" ht="30" hidden="1" customHeight="1" x14ac:dyDescent="0.25">
      <c r="A6220" s="1145">
        <v>45184</v>
      </c>
      <c r="B6220" s="664" t="s">
        <v>3289</v>
      </c>
      <c r="C6220" s="71" t="s">
        <v>2070</v>
      </c>
      <c r="D6220" s="71">
        <v>10</v>
      </c>
      <c r="E6220" s="102">
        <v>110000</v>
      </c>
      <c r="F6220" s="102">
        <f t="shared" si="3088"/>
        <v>1210000</v>
      </c>
      <c r="G6220" s="102">
        <f t="shared" si="3089"/>
        <v>1100000</v>
      </c>
      <c r="H6220" s="690" t="s">
        <v>172</v>
      </c>
      <c r="I6220" s="71" t="s">
        <v>33</v>
      </c>
      <c r="J6220" s="53">
        <f t="shared" si="3067"/>
        <v>118000</v>
      </c>
      <c r="K6220" s="63">
        <f t="shared" si="3068"/>
        <v>0.10727272727272727</v>
      </c>
      <c r="L6220" s="1212" t="s">
        <v>3856</v>
      </c>
      <c r="M6220" s="468"/>
      <c r="N6220" s="1192">
        <f t="shared" si="3071"/>
        <v>45184</v>
      </c>
      <c r="O6220" s="71" t="s">
        <v>146</v>
      </c>
      <c r="P6220" s="103" t="str">
        <f t="shared" si="3065"/>
        <v>Blanket(1050*840)</v>
      </c>
      <c r="Q6220" s="71">
        <f t="shared" si="3066"/>
        <v>10</v>
      </c>
      <c r="R6220" s="102">
        <v>98200</v>
      </c>
      <c r="S6220" s="102">
        <f t="shared" si="3069"/>
        <v>1080200</v>
      </c>
      <c r="T6220" s="102">
        <f t="shared" si="3070"/>
        <v>982000</v>
      </c>
      <c r="U6220" s="71" t="str">
        <f>IF(J6220=W6220,"O", "X")</f>
        <v>X</v>
      </c>
      <c r="V6220" s="71"/>
      <c r="W6220" s="474">
        <v>275000</v>
      </c>
      <c r="X6220" s="71"/>
      <c r="Y6220" s="71"/>
    </row>
    <row r="6221" spans="1:25" ht="30" hidden="1" customHeight="1" x14ac:dyDescent="0.25">
      <c r="A6221" s="1145">
        <v>45191</v>
      </c>
      <c r="B6221" s="664" t="s">
        <v>3289</v>
      </c>
      <c r="C6221" s="71" t="s">
        <v>2070</v>
      </c>
      <c r="D6221" s="71">
        <v>10</v>
      </c>
      <c r="E6221" s="102">
        <v>110000</v>
      </c>
      <c r="F6221" s="102">
        <f t="shared" ref="F6221:F6247" si="3090">(E6221*D6221)*1.1</f>
        <v>1210000</v>
      </c>
      <c r="G6221" s="102">
        <f t="shared" ref="G6221:G6247" si="3091">(E6221*D6221)</f>
        <v>1100000</v>
      </c>
      <c r="H6221" s="690" t="s">
        <v>172</v>
      </c>
      <c r="I6221" s="71" t="s">
        <v>33</v>
      </c>
      <c r="J6221" s="53">
        <f t="shared" si="3067"/>
        <v>118000</v>
      </c>
      <c r="K6221" s="63">
        <f t="shared" si="3068"/>
        <v>0.10727272727272727</v>
      </c>
      <c r="L6221" s="1212" t="s">
        <v>3856</v>
      </c>
      <c r="M6221" s="468"/>
      <c r="N6221" s="1192">
        <f t="shared" si="3071"/>
        <v>45191</v>
      </c>
      <c r="O6221" s="71" t="s">
        <v>146</v>
      </c>
      <c r="P6221" s="103" t="str">
        <f t="shared" si="3065"/>
        <v>Blanket(1050*840)</v>
      </c>
      <c r="Q6221" s="71">
        <f t="shared" si="3066"/>
        <v>10</v>
      </c>
      <c r="R6221" s="102">
        <v>98200</v>
      </c>
      <c r="S6221" s="102">
        <f t="shared" si="3069"/>
        <v>1080200</v>
      </c>
      <c r="T6221" s="102">
        <f t="shared" si="3070"/>
        <v>982000</v>
      </c>
      <c r="U6221" s="71" t="str">
        <f>IF(J6221=W6221,"O", "X")</f>
        <v>X</v>
      </c>
      <c r="V6221" s="71"/>
      <c r="W6221" s="474">
        <v>275000</v>
      </c>
      <c r="X6221" s="71"/>
      <c r="Y6221" s="71"/>
    </row>
    <row r="6222" spans="1:25" ht="30" hidden="1" customHeight="1" x14ac:dyDescent="0.25">
      <c r="A6222" s="1145">
        <v>45169</v>
      </c>
      <c r="B6222" s="664" t="s">
        <v>442</v>
      </c>
      <c r="C6222" s="71" t="s">
        <v>773</v>
      </c>
      <c r="D6222" s="71">
        <v>6</v>
      </c>
      <c r="E6222" s="102">
        <v>215000</v>
      </c>
      <c r="F6222" s="102">
        <f t="shared" si="3090"/>
        <v>1419000</v>
      </c>
      <c r="G6222" s="102">
        <f t="shared" si="3091"/>
        <v>1290000</v>
      </c>
      <c r="H6222" s="690" t="s">
        <v>173</v>
      </c>
      <c r="I6222" s="71" t="s">
        <v>109</v>
      </c>
      <c r="J6222" s="53">
        <f t="shared" si="3067"/>
        <v>222000</v>
      </c>
      <c r="K6222" s="63">
        <f t="shared" si="3068"/>
        <v>0.17209302325581396</v>
      </c>
      <c r="L6222" s="1212" t="s">
        <v>3856</v>
      </c>
      <c r="M6222" s="468"/>
      <c r="N6222" s="1192">
        <f t="shared" si="3071"/>
        <v>45169</v>
      </c>
      <c r="O6222" s="71" t="s">
        <v>151</v>
      </c>
      <c r="P6222" s="103" t="str">
        <f t="shared" si="3065"/>
        <v>로랜드 전지 블랑켓(1460*1165)bar</v>
      </c>
      <c r="Q6222" s="71">
        <f t="shared" si="3066"/>
        <v>6</v>
      </c>
      <c r="R6222" s="102">
        <v>178000</v>
      </c>
      <c r="S6222" s="102">
        <f t="shared" si="3069"/>
        <v>1174800</v>
      </c>
      <c r="T6222" s="102">
        <f t="shared" si="3070"/>
        <v>1068000</v>
      </c>
      <c r="U6222" s="71" t="s">
        <v>859</v>
      </c>
      <c r="V6222" s="71"/>
      <c r="W6222" s="474">
        <v>120000</v>
      </c>
      <c r="X6222" s="71"/>
      <c r="Y6222" s="71"/>
    </row>
    <row r="6223" spans="1:25" ht="30" hidden="1" customHeight="1" x14ac:dyDescent="0.25">
      <c r="A6223" s="1145">
        <v>45163</v>
      </c>
      <c r="B6223" s="664" t="s">
        <v>442</v>
      </c>
      <c r="C6223" s="71" t="s">
        <v>3865</v>
      </c>
      <c r="D6223" s="71">
        <v>1</v>
      </c>
      <c r="E6223" s="102">
        <v>330000</v>
      </c>
      <c r="F6223" s="102">
        <f t="shared" si="3090"/>
        <v>363000.00000000006</v>
      </c>
      <c r="G6223" s="102">
        <f t="shared" si="3091"/>
        <v>330000</v>
      </c>
      <c r="H6223" s="690" t="s">
        <v>173</v>
      </c>
      <c r="I6223" s="71" t="s">
        <v>195</v>
      </c>
      <c r="J6223" s="53">
        <f t="shared" si="3067"/>
        <v>-370000</v>
      </c>
      <c r="K6223" s="63">
        <f t="shared" si="3068"/>
        <v>-1.1212121212121211</v>
      </c>
      <c r="L6223" s="1212" t="s">
        <v>3856</v>
      </c>
      <c r="M6223" s="468"/>
      <c r="N6223" s="1192">
        <f t="shared" si="3071"/>
        <v>45163</v>
      </c>
      <c r="O6223" s="71" t="s">
        <v>242</v>
      </c>
      <c r="P6223" s="103" t="str">
        <f t="shared" si="3065"/>
        <v>서비스 비용(필름출력기)</v>
      </c>
      <c r="Q6223" s="71">
        <f t="shared" si="3066"/>
        <v>1</v>
      </c>
      <c r="R6223" s="147">
        <v>700000</v>
      </c>
      <c r="S6223" s="102">
        <f t="shared" si="3069"/>
        <v>770000.00000000012</v>
      </c>
      <c r="T6223" s="102">
        <f t="shared" si="3070"/>
        <v>700000</v>
      </c>
      <c r="U6223" s="71"/>
      <c r="V6223" s="71"/>
      <c r="W6223" s="474"/>
      <c r="X6223" s="71"/>
      <c r="Y6223" s="71"/>
    </row>
    <row r="6224" spans="1:25" s="209" customFormat="1" ht="30" hidden="1" customHeight="1" x14ac:dyDescent="0.25">
      <c r="A6224" s="1145">
        <v>45187</v>
      </c>
      <c r="B6224" s="664" t="s">
        <v>442</v>
      </c>
      <c r="C6224" s="71" t="s">
        <v>3833</v>
      </c>
      <c r="D6224" s="71">
        <v>1000</v>
      </c>
      <c r="E6224" s="102">
        <v>4250</v>
      </c>
      <c r="F6224" s="102">
        <f t="shared" si="3090"/>
        <v>4675000</v>
      </c>
      <c r="G6224" s="102">
        <f t="shared" si="3091"/>
        <v>4250000</v>
      </c>
      <c r="H6224" s="690" t="s">
        <v>2029</v>
      </c>
      <c r="I6224" s="71" t="s">
        <v>2230</v>
      </c>
      <c r="J6224" s="53">
        <f t="shared" si="3067"/>
        <v>305000</v>
      </c>
      <c r="K6224" s="63">
        <f t="shared" si="3068"/>
        <v>7.1764705882352939E-2</v>
      </c>
      <c r="L6224" s="1212" t="s">
        <v>3856</v>
      </c>
      <c r="M6224" s="468"/>
      <c r="N6224" s="1192">
        <f t="shared" si="3071"/>
        <v>45187</v>
      </c>
      <c r="O6224" s="71" t="s">
        <v>2030</v>
      </c>
      <c r="P6224" s="103" t="str">
        <f t="shared" si="3065"/>
        <v>CTP 판 1030*790</v>
      </c>
      <c r="Q6224" s="71">
        <f t="shared" si="3066"/>
        <v>1000</v>
      </c>
      <c r="R6224" s="102">
        <v>3945</v>
      </c>
      <c r="S6224" s="102">
        <f t="shared" si="3069"/>
        <v>4339500</v>
      </c>
      <c r="T6224" s="102">
        <f t="shared" si="3070"/>
        <v>3945000</v>
      </c>
      <c r="U6224" s="71"/>
      <c r="V6224" s="71"/>
      <c r="W6224" s="474"/>
      <c r="X6224" s="71"/>
      <c r="Y6224" s="71"/>
    </row>
    <row r="6225" spans="1:25" ht="30" hidden="1" customHeight="1" x14ac:dyDescent="0.25">
      <c r="A6225" s="1145">
        <v>45187</v>
      </c>
      <c r="B6225" s="664" t="s">
        <v>442</v>
      </c>
      <c r="C6225" s="71" t="s">
        <v>3834</v>
      </c>
      <c r="D6225" s="71">
        <v>10</v>
      </c>
      <c r="E6225" s="102">
        <v>57000</v>
      </c>
      <c r="F6225" s="102">
        <f t="shared" si="3090"/>
        <v>627000</v>
      </c>
      <c r="G6225" s="102">
        <f t="shared" si="3091"/>
        <v>570000</v>
      </c>
      <c r="H6225" s="690" t="s">
        <v>2029</v>
      </c>
      <c r="I6225" s="71" t="s">
        <v>2230</v>
      </c>
      <c r="J6225" s="53">
        <f t="shared" si="3067"/>
        <v>173400</v>
      </c>
      <c r="K6225" s="63">
        <f t="shared" si="3068"/>
        <v>0.30421052631578949</v>
      </c>
      <c r="L6225" s="1212" t="s">
        <v>3856</v>
      </c>
      <c r="M6225" s="468"/>
      <c r="N6225" s="1192">
        <f t="shared" si="3071"/>
        <v>45187</v>
      </c>
      <c r="O6225" s="71" t="s">
        <v>2030</v>
      </c>
      <c r="P6225" s="103" t="str">
        <f t="shared" si="3065"/>
        <v>CTP 현상액</v>
      </c>
      <c r="Q6225" s="71">
        <f t="shared" si="3066"/>
        <v>10</v>
      </c>
      <c r="R6225" s="102">
        <v>39660</v>
      </c>
      <c r="S6225" s="102">
        <f t="shared" si="3069"/>
        <v>436260.00000000006</v>
      </c>
      <c r="T6225" s="102">
        <f t="shared" si="3070"/>
        <v>396600</v>
      </c>
      <c r="U6225" s="71"/>
      <c r="V6225" s="71"/>
      <c r="W6225" s="474"/>
      <c r="X6225" s="71"/>
      <c r="Y6225" s="71"/>
    </row>
    <row r="6226" spans="1:25" ht="30" hidden="1" customHeight="1" x14ac:dyDescent="0.25">
      <c r="A6226" s="1145">
        <v>45187</v>
      </c>
      <c r="B6226" s="664" t="s">
        <v>442</v>
      </c>
      <c r="C6226" s="71" t="s">
        <v>206</v>
      </c>
      <c r="D6226" s="71">
        <v>2</v>
      </c>
      <c r="E6226" s="102">
        <v>453000</v>
      </c>
      <c r="F6226" s="102">
        <f t="shared" si="3090"/>
        <v>996600.00000000012</v>
      </c>
      <c r="G6226" s="102">
        <f t="shared" si="3091"/>
        <v>906000</v>
      </c>
      <c r="H6226" s="690" t="s">
        <v>2029</v>
      </c>
      <c r="I6226" s="71" t="s">
        <v>195</v>
      </c>
      <c r="J6226" s="53">
        <f t="shared" si="3067"/>
        <v>144640</v>
      </c>
      <c r="K6226" s="63">
        <f t="shared" si="3068"/>
        <v>0.15964679911699778</v>
      </c>
      <c r="L6226" s="1212" t="s">
        <v>3856</v>
      </c>
      <c r="M6226" s="468"/>
      <c r="N6226" s="1192">
        <f t="shared" si="3071"/>
        <v>45187</v>
      </c>
      <c r="O6226" s="71" t="s">
        <v>194</v>
      </c>
      <c r="P6226" s="103" t="str">
        <f t="shared" si="3065"/>
        <v>Agfa Film(24inch)</v>
      </c>
      <c r="Q6226" s="71">
        <f t="shared" si="3066"/>
        <v>2</v>
      </c>
      <c r="R6226" s="102">
        <v>380680</v>
      </c>
      <c r="S6226" s="102">
        <f t="shared" si="3069"/>
        <v>837496.00000000012</v>
      </c>
      <c r="T6226" s="102">
        <f t="shared" si="3070"/>
        <v>761360</v>
      </c>
      <c r="U6226" s="71" t="s">
        <v>859</v>
      </c>
      <c r="V6226" s="71"/>
      <c r="W6226" s="474">
        <v>144640</v>
      </c>
      <c r="X6226" s="71"/>
      <c r="Y6226" s="71"/>
    </row>
    <row r="6227" spans="1:25" ht="30" hidden="1" customHeight="1" x14ac:dyDescent="0.25">
      <c r="A6227" s="1145">
        <v>45187</v>
      </c>
      <c r="B6227" s="664" t="s">
        <v>442</v>
      </c>
      <c r="C6227" s="71" t="s">
        <v>207</v>
      </c>
      <c r="D6227" s="71">
        <v>2</v>
      </c>
      <c r="E6227" s="102">
        <v>558000</v>
      </c>
      <c r="F6227" s="102">
        <f t="shared" si="3090"/>
        <v>1227600</v>
      </c>
      <c r="G6227" s="102">
        <f t="shared" si="3091"/>
        <v>1116000</v>
      </c>
      <c r="H6227" s="690" t="s">
        <v>2029</v>
      </c>
      <c r="I6227" s="71" t="s">
        <v>195</v>
      </c>
      <c r="J6227" s="53">
        <f t="shared" si="3067"/>
        <v>228480</v>
      </c>
      <c r="K6227" s="63">
        <f t="shared" si="3068"/>
        <v>0.20473118279569893</v>
      </c>
      <c r="L6227" s="1212" t="s">
        <v>3856</v>
      </c>
      <c r="M6227" s="468"/>
      <c r="N6227" s="1192">
        <f t="shared" si="3071"/>
        <v>45187</v>
      </c>
      <c r="O6227" s="71" t="s">
        <v>194</v>
      </c>
      <c r="P6227" s="103" t="str">
        <f t="shared" si="3065"/>
        <v>Agfa Film(28inch)</v>
      </c>
      <c r="Q6227" s="71">
        <f t="shared" si="3066"/>
        <v>2</v>
      </c>
      <c r="R6227" s="102">
        <v>443760</v>
      </c>
      <c r="S6227" s="102">
        <f t="shared" si="3069"/>
        <v>976272.00000000012</v>
      </c>
      <c r="T6227" s="102">
        <f t="shared" si="3070"/>
        <v>887520</v>
      </c>
      <c r="U6227" s="71" t="s">
        <v>859</v>
      </c>
      <c r="V6227" s="71"/>
      <c r="W6227" s="474">
        <v>228480</v>
      </c>
      <c r="X6227" s="71"/>
      <c r="Y6227" s="71"/>
    </row>
    <row r="6228" spans="1:25" ht="30" hidden="1" customHeight="1" x14ac:dyDescent="0.25">
      <c r="A6228" s="1145">
        <v>45187</v>
      </c>
      <c r="B6228" s="664" t="s">
        <v>442</v>
      </c>
      <c r="C6228" s="71" t="s">
        <v>208</v>
      </c>
      <c r="D6228" s="71">
        <v>2</v>
      </c>
      <c r="E6228" s="102">
        <v>624000</v>
      </c>
      <c r="F6228" s="102">
        <f t="shared" si="3090"/>
        <v>1372800</v>
      </c>
      <c r="G6228" s="102">
        <f t="shared" si="3091"/>
        <v>1248000</v>
      </c>
      <c r="H6228" s="690" t="s">
        <v>2029</v>
      </c>
      <c r="I6228" s="71" t="s">
        <v>195</v>
      </c>
      <c r="J6228" s="53">
        <f t="shared" si="3067"/>
        <v>201820</v>
      </c>
      <c r="K6228" s="63">
        <f t="shared" si="3068"/>
        <v>0.16171474358974358</v>
      </c>
      <c r="L6228" s="1212" t="s">
        <v>3856</v>
      </c>
      <c r="M6228" s="468"/>
      <c r="N6228" s="1192">
        <f t="shared" si="3071"/>
        <v>45187</v>
      </c>
      <c r="O6228" s="71" t="s">
        <v>194</v>
      </c>
      <c r="P6228" s="103" t="str">
        <f t="shared" si="3065"/>
        <v>Agfa Film(32inch)</v>
      </c>
      <c r="Q6228" s="71">
        <f t="shared" si="3066"/>
        <v>2</v>
      </c>
      <c r="R6228" s="102">
        <v>523090</v>
      </c>
      <c r="S6228" s="102">
        <f t="shared" si="3069"/>
        <v>1150798</v>
      </c>
      <c r="T6228" s="102">
        <f t="shared" si="3070"/>
        <v>1046180</v>
      </c>
      <c r="U6228" s="71" t="s">
        <v>859</v>
      </c>
      <c r="V6228" s="71"/>
      <c r="W6228" s="474">
        <v>201820</v>
      </c>
      <c r="X6228" s="71"/>
      <c r="Y6228" s="71"/>
    </row>
    <row r="6229" spans="1:25" ht="30" hidden="1" customHeight="1" x14ac:dyDescent="0.2">
      <c r="A6229" s="1145">
        <v>45187</v>
      </c>
      <c r="B6229" s="664" t="s">
        <v>442</v>
      </c>
      <c r="C6229" s="71" t="s">
        <v>648</v>
      </c>
      <c r="D6229" s="71">
        <v>1</v>
      </c>
      <c r="E6229" s="102">
        <v>93000</v>
      </c>
      <c r="F6229" s="102">
        <f t="shared" si="3090"/>
        <v>102300.00000000001</v>
      </c>
      <c r="G6229" s="102">
        <f t="shared" si="3091"/>
        <v>93000</v>
      </c>
      <c r="H6229" s="165" t="s">
        <v>172</v>
      </c>
      <c r="I6229" s="71" t="s">
        <v>195</v>
      </c>
      <c r="J6229" s="53">
        <f t="shared" si="3067"/>
        <v>27000</v>
      </c>
      <c r="K6229" s="63">
        <f t="shared" si="3068"/>
        <v>0.29032258064516125</v>
      </c>
      <c r="L6229" s="1212" t="s">
        <v>3856</v>
      </c>
      <c r="M6229" s="468"/>
      <c r="N6229" s="1192">
        <f t="shared" si="3071"/>
        <v>45187</v>
      </c>
      <c r="O6229" s="71" t="s">
        <v>194</v>
      </c>
      <c r="P6229" s="103" t="str">
        <f t="shared" si="3065"/>
        <v>Agfa 정착액 G333C(20L)</v>
      </c>
      <c r="Q6229" s="71">
        <f t="shared" si="3066"/>
        <v>1</v>
      </c>
      <c r="R6229" s="102">
        <v>66000</v>
      </c>
      <c r="S6229" s="102">
        <f t="shared" si="3069"/>
        <v>72600</v>
      </c>
      <c r="T6229" s="102">
        <f t="shared" si="3070"/>
        <v>66000</v>
      </c>
      <c r="U6229" s="71" t="s">
        <v>859</v>
      </c>
      <c r="V6229" s="71"/>
      <c r="W6229" s="474">
        <v>27000</v>
      </c>
      <c r="X6229" s="71"/>
      <c r="Y6229" s="71"/>
    </row>
    <row r="6230" spans="1:25" ht="30" hidden="1" customHeight="1" x14ac:dyDescent="0.25">
      <c r="A6230" s="1145">
        <v>45187</v>
      </c>
      <c r="B6230" s="664" t="s">
        <v>442</v>
      </c>
      <c r="C6230" s="71" t="s">
        <v>3299</v>
      </c>
      <c r="D6230" s="71">
        <v>25</v>
      </c>
      <c r="E6230" s="102">
        <v>69000</v>
      </c>
      <c r="F6230" s="102">
        <f t="shared" si="3090"/>
        <v>1897500.0000000002</v>
      </c>
      <c r="G6230" s="102">
        <f t="shared" si="3091"/>
        <v>1725000</v>
      </c>
      <c r="H6230" s="690" t="s">
        <v>172</v>
      </c>
      <c r="I6230" s="71" t="s">
        <v>180</v>
      </c>
      <c r="J6230" s="53">
        <f t="shared" si="3067"/>
        <v>537500</v>
      </c>
      <c r="K6230" s="63">
        <f t="shared" si="3068"/>
        <v>0.31159420289855067</v>
      </c>
      <c r="L6230" s="1212" t="s">
        <v>3856</v>
      </c>
      <c r="M6230" s="468" t="s">
        <v>3304</v>
      </c>
      <c r="N6230" s="1192">
        <f t="shared" si="3071"/>
        <v>45187</v>
      </c>
      <c r="O6230" s="71" t="s">
        <v>175</v>
      </c>
      <c r="P6230" s="103" t="str">
        <f t="shared" si="3065"/>
        <v>매엽용 세척제(Wash k11)</v>
      </c>
      <c r="Q6230" s="71">
        <f t="shared" si="3066"/>
        <v>25</v>
      </c>
      <c r="R6230" s="102">
        <v>47500</v>
      </c>
      <c r="S6230" s="102">
        <f t="shared" si="3069"/>
        <v>1306250</v>
      </c>
      <c r="T6230" s="102">
        <f t="shared" si="3070"/>
        <v>1187500</v>
      </c>
      <c r="U6230" s="71" t="s">
        <v>859</v>
      </c>
      <c r="V6230" s="71"/>
      <c r="W6230" s="474"/>
      <c r="X6230" s="71"/>
      <c r="Y6230" s="71"/>
    </row>
    <row r="6231" spans="1:25" ht="30" hidden="1" customHeight="1" x14ac:dyDescent="0.25">
      <c r="A6231" s="1145">
        <v>45181</v>
      </c>
      <c r="B6231" s="664" t="s">
        <v>3296</v>
      </c>
      <c r="C6231" s="71" t="s">
        <v>3297</v>
      </c>
      <c r="D6231" s="71">
        <v>20</v>
      </c>
      <c r="E6231" s="102">
        <v>162500</v>
      </c>
      <c r="F6231" s="102">
        <f t="shared" si="3090"/>
        <v>3575000.0000000005</v>
      </c>
      <c r="G6231" s="102">
        <f t="shared" si="3091"/>
        <v>3250000</v>
      </c>
      <c r="H6231" s="690" t="s">
        <v>172</v>
      </c>
      <c r="I6231" s="71" t="s">
        <v>3295</v>
      </c>
      <c r="J6231" s="53">
        <f t="shared" si="3067"/>
        <v>850000</v>
      </c>
      <c r="K6231" s="63">
        <f t="shared" si="3068"/>
        <v>0.2615384615384615</v>
      </c>
      <c r="L6231" s="1212" t="s">
        <v>3856</v>
      </c>
      <c r="M6231" s="468"/>
      <c r="N6231" s="1192">
        <f t="shared" si="3071"/>
        <v>45181</v>
      </c>
      <c r="O6231" s="71" t="s">
        <v>662</v>
      </c>
      <c r="P6231" s="103" t="str">
        <f t="shared" si="3065"/>
        <v>실리콘 에멀전</v>
      </c>
      <c r="Q6231" s="71">
        <f t="shared" si="3066"/>
        <v>20</v>
      </c>
      <c r="R6231" s="102">
        <v>120000</v>
      </c>
      <c r="S6231" s="102">
        <f t="shared" si="3069"/>
        <v>2640000</v>
      </c>
      <c r="T6231" s="102">
        <f t="shared" si="3070"/>
        <v>2400000</v>
      </c>
      <c r="U6231" s="71" t="str">
        <f>IF(J6231=W6231,"O", "X")</f>
        <v>X</v>
      </c>
      <c r="V6231" s="71"/>
      <c r="W6231" s="474"/>
      <c r="X6231" s="71"/>
      <c r="Y6231" s="71"/>
    </row>
    <row r="6232" spans="1:25" ht="30" hidden="1" customHeight="1" x14ac:dyDescent="0.25">
      <c r="A6232" s="1145">
        <v>45171</v>
      </c>
      <c r="B6232" s="664" t="s">
        <v>444</v>
      </c>
      <c r="C6232" s="71" t="s">
        <v>3399</v>
      </c>
      <c r="D6232" s="71">
        <v>10</v>
      </c>
      <c r="E6232" s="102">
        <v>195000</v>
      </c>
      <c r="F6232" s="102">
        <f t="shared" si="3090"/>
        <v>2145000</v>
      </c>
      <c r="G6232" s="102">
        <f t="shared" si="3091"/>
        <v>1950000</v>
      </c>
      <c r="H6232" s="690" t="s">
        <v>2029</v>
      </c>
      <c r="I6232" s="71" t="s">
        <v>180</v>
      </c>
      <c r="J6232" s="53">
        <f t="shared" si="3067"/>
        <v>450000</v>
      </c>
      <c r="K6232" s="63">
        <f t="shared" si="3068"/>
        <v>0.23076923076923078</v>
      </c>
      <c r="L6232" s="1212" t="s">
        <v>3856</v>
      </c>
      <c r="M6232" s="468"/>
      <c r="N6232" s="1192">
        <f t="shared" si="3071"/>
        <v>45171</v>
      </c>
      <c r="O6232" s="71" t="s">
        <v>191</v>
      </c>
      <c r="P6232" s="103" t="str">
        <f t="shared" si="3065"/>
        <v>UV wash offset UV</v>
      </c>
      <c r="Q6232" s="71">
        <f t="shared" si="3066"/>
        <v>10</v>
      </c>
      <c r="R6232" s="102">
        <v>150000</v>
      </c>
      <c r="S6232" s="102">
        <f t="shared" si="3069"/>
        <v>1650000.0000000002</v>
      </c>
      <c r="T6232" s="102">
        <f t="shared" si="3070"/>
        <v>1500000</v>
      </c>
      <c r="U6232" s="71"/>
      <c r="V6232" s="71"/>
      <c r="W6232" s="474"/>
      <c r="X6232" s="71"/>
      <c r="Y6232" s="71"/>
    </row>
    <row r="6233" spans="1:25" ht="31.5" hidden="1" customHeight="1" x14ac:dyDescent="0.25">
      <c r="A6233" s="1145">
        <v>45171</v>
      </c>
      <c r="B6233" s="664" t="s">
        <v>545</v>
      </c>
      <c r="C6233" s="71" t="s">
        <v>911</v>
      </c>
      <c r="D6233" s="71">
        <v>1</v>
      </c>
      <c r="E6233" s="102">
        <v>250000</v>
      </c>
      <c r="F6233" s="102">
        <f t="shared" si="3090"/>
        <v>275000</v>
      </c>
      <c r="G6233" s="102">
        <f t="shared" si="3091"/>
        <v>250000</v>
      </c>
      <c r="H6233" s="690" t="s">
        <v>173</v>
      </c>
      <c r="I6233" s="71" t="s">
        <v>2231</v>
      </c>
      <c r="J6233" s="53">
        <f t="shared" si="3067"/>
        <v>175000</v>
      </c>
      <c r="K6233" s="63">
        <f t="shared" si="3068"/>
        <v>0.7</v>
      </c>
      <c r="L6233" s="1212" t="s">
        <v>3856</v>
      </c>
      <c r="M6233" s="468"/>
      <c r="N6233" s="1192">
        <f t="shared" si="3071"/>
        <v>45171</v>
      </c>
      <c r="O6233" s="71" t="s">
        <v>994</v>
      </c>
      <c r="P6233" s="103" t="str">
        <f t="shared" si="3065"/>
        <v>콤푸레샤 에어필터</v>
      </c>
      <c r="Q6233" s="71">
        <f t="shared" si="3066"/>
        <v>1</v>
      </c>
      <c r="R6233" s="102">
        <v>75000</v>
      </c>
      <c r="S6233" s="102">
        <f t="shared" si="3069"/>
        <v>82500</v>
      </c>
      <c r="T6233" s="102">
        <f t="shared" si="3070"/>
        <v>75000</v>
      </c>
      <c r="U6233" s="71" t="str">
        <f>IF(J6233=W6233,"O", "X")</f>
        <v>O</v>
      </c>
      <c r="V6233" s="71"/>
      <c r="W6233" s="474">
        <f>(G6233-T6233)</f>
        <v>175000</v>
      </c>
      <c r="X6233" s="71"/>
      <c r="Y6233" s="71"/>
    </row>
    <row r="6234" spans="1:25" s="209" customFormat="1" ht="30" hidden="1" customHeight="1" x14ac:dyDescent="0.25">
      <c r="A6234" s="1145">
        <v>45182</v>
      </c>
      <c r="B6234" s="664" t="s">
        <v>2798</v>
      </c>
      <c r="C6234" s="71" t="s">
        <v>123</v>
      </c>
      <c r="D6234" s="71">
        <v>20</v>
      </c>
      <c r="E6234" s="102">
        <v>42000</v>
      </c>
      <c r="F6234" s="102">
        <f t="shared" si="3090"/>
        <v>924000.00000000012</v>
      </c>
      <c r="G6234" s="102">
        <f t="shared" si="3091"/>
        <v>840000</v>
      </c>
      <c r="H6234" s="690" t="s">
        <v>94</v>
      </c>
      <c r="I6234" s="71" t="s">
        <v>94</v>
      </c>
      <c r="J6234" s="53">
        <f t="shared" si="3067"/>
        <v>360000</v>
      </c>
      <c r="K6234" s="63">
        <f t="shared" si="3068"/>
        <v>0.42857142857142849</v>
      </c>
      <c r="L6234" s="1212" t="s">
        <v>3856</v>
      </c>
      <c r="M6234" s="468"/>
      <c r="N6234" s="1192">
        <f t="shared" si="3071"/>
        <v>45182</v>
      </c>
      <c r="O6234" s="71" t="s">
        <v>94</v>
      </c>
      <c r="P6234" s="103" t="str">
        <f t="shared" si="3065"/>
        <v>필터백</v>
      </c>
      <c r="Q6234" s="71">
        <f t="shared" si="3066"/>
        <v>20</v>
      </c>
      <c r="R6234" s="102">
        <v>24000</v>
      </c>
      <c r="S6234" s="102">
        <f t="shared" si="3069"/>
        <v>528000</v>
      </c>
      <c r="T6234" s="102">
        <f t="shared" si="3070"/>
        <v>480000</v>
      </c>
      <c r="U6234" s="71"/>
      <c r="V6234" s="71"/>
      <c r="W6234" s="474"/>
      <c r="X6234" s="71"/>
      <c r="Y6234" s="71"/>
    </row>
    <row r="6235" spans="1:25" ht="30" hidden="1" customHeight="1" x14ac:dyDescent="0.25">
      <c r="A6235" s="1145">
        <v>45191</v>
      </c>
      <c r="B6235" s="664" t="s">
        <v>2798</v>
      </c>
      <c r="C6235" s="71" t="s">
        <v>167</v>
      </c>
      <c r="D6235" s="71">
        <v>10</v>
      </c>
      <c r="E6235" s="102">
        <v>138000</v>
      </c>
      <c r="F6235" s="102">
        <f t="shared" si="3090"/>
        <v>1518000.0000000002</v>
      </c>
      <c r="G6235" s="102">
        <f t="shared" si="3091"/>
        <v>1380000</v>
      </c>
      <c r="H6235" s="690" t="s">
        <v>172</v>
      </c>
      <c r="I6235" s="71" t="s">
        <v>33</v>
      </c>
      <c r="J6235" s="53">
        <f t="shared" si="3067"/>
        <v>368000</v>
      </c>
      <c r="K6235" s="63">
        <f t="shared" si="3068"/>
        <v>0.26666666666666661</v>
      </c>
      <c r="L6235" s="1212" t="s">
        <v>3856</v>
      </c>
      <c r="M6235" s="468"/>
      <c r="N6235" s="1192">
        <f t="shared" si="3071"/>
        <v>45191</v>
      </c>
      <c r="O6235" s="71" t="s">
        <v>146</v>
      </c>
      <c r="P6235" s="103" t="str">
        <f t="shared" si="3065"/>
        <v>Blanket(1060*860)</v>
      </c>
      <c r="Q6235" s="71">
        <f t="shared" si="3066"/>
        <v>10</v>
      </c>
      <c r="R6235" s="102">
        <v>101200</v>
      </c>
      <c r="S6235" s="102">
        <f t="shared" si="3069"/>
        <v>1113200</v>
      </c>
      <c r="T6235" s="102">
        <f t="shared" si="3070"/>
        <v>1012000</v>
      </c>
      <c r="U6235" s="71" t="str">
        <f>IF(J6235=W6235,"O", "X")</f>
        <v>X</v>
      </c>
      <c r="V6235" s="71"/>
      <c r="W6235" s="474"/>
      <c r="X6235" s="71"/>
      <c r="Y6235" s="71"/>
    </row>
    <row r="6236" spans="1:25" ht="30" hidden="1" customHeight="1" x14ac:dyDescent="0.25">
      <c r="A6236" s="1145">
        <v>45191</v>
      </c>
      <c r="B6236" s="664" t="s">
        <v>545</v>
      </c>
      <c r="C6236" s="71" t="s">
        <v>1441</v>
      </c>
      <c r="D6236" s="71">
        <v>4</v>
      </c>
      <c r="E6236" s="102">
        <v>255000</v>
      </c>
      <c r="F6236" s="102">
        <f t="shared" si="3090"/>
        <v>1122000</v>
      </c>
      <c r="G6236" s="102">
        <f t="shared" si="3091"/>
        <v>1020000</v>
      </c>
      <c r="H6236" s="690" t="s">
        <v>173</v>
      </c>
      <c r="I6236" s="71" t="s">
        <v>2231</v>
      </c>
      <c r="J6236" s="53">
        <f t="shared" si="3067"/>
        <v>340000</v>
      </c>
      <c r="K6236" s="63">
        <f t="shared" si="3068"/>
        <v>0.33333333333333331</v>
      </c>
      <c r="L6236" s="1212" t="s">
        <v>3856</v>
      </c>
      <c r="M6236" s="468" t="s">
        <v>3374</v>
      </c>
      <c r="N6236" s="1192">
        <f t="shared" si="3071"/>
        <v>45191</v>
      </c>
      <c r="O6236" s="71" t="s">
        <v>1555</v>
      </c>
      <c r="P6236" s="103" t="str">
        <f t="shared" si="3065"/>
        <v xml:space="preserve"> OKS340 체인구리스</v>
      </c>
      <c r="Q6236" s="71">
        <f t="shared" si="3066"/>
        <v>4</v>
      </c>
      <c r="R6236" s="102">
        <v>170000</v>
      </c>
      <c r="S6236" s="102">
        <f t="shared" si="3069"/>
        <v>748000.00000000012</v>
      </c>
      <c r="T6236" s="102">
        <f t="shared" si="3070"/>
        <v>680000</v>
      </c>
      <c r="U6236" s="71" t="str">
        <f>IF(J6236=W6236,"O", "X")</f>
        <v>X</v>
      </c>
      <c r="V6236" s="71"/>
      <c r="W6236" s="474"/>
      <c r="X6236" s="71"/>
      <c r="Y6236" s="71"/>
    </row>
    <row r="6237" spans="1:25" s="209" customFormat="1" ht="30" hidden="1" customHeight="1" x14ac:dyDescent="0.25">
      <c r="A6237" s="1145">
        <v>45194</v>
      </c>
      <c r="B6237" s="664" t="s">
        <v>411</v>
      </c>
      <c r="C6237" s="71" t="s">
        <v>3413</v>
      </c>
      <c r="D6237" s="71">
        <v>10</v>
      </c>
      <c r="E6237" s="102">
        <v>100000</v>
      </c>
      <c r="F6237" s="102">
        <f t="shared" si="3090"/>
        <v>1100000</v>
      </c>
      <c r="G6237" s="102">
        <f t="shared" si="3091"/>
        <v>1000000</v>
      </c>
      <c r="H6237" s="690" t="s">
        <v>2029</v>
      </c>
      <c r="I6237" s="71" t="s">
        <v>3385</v>
      </c>
      <c r="J6237" s="53">
        <f t="shared" si="3067"/>
        <v>500000</v>
      </c>
      <c r="K6237" s="63">
        <f t="shared" si="3068"/>
        <v>0.5</v>
      </c>
      <c r="L6237" s="1212" t="s">
        <v>3856</v>
      </c>
      <c r="M6237" s="468"/>
      <c r="N6237" s="1192">
        <f t="shared" si="3071"/>
        <v>45194</v>
      </c>
      <c r="O6237" s="71" t="s">
        <v>190</v>
      </c>
      <c r="P6237" s="103" t="str">
        <f t="shared" si="3065"/>
        <v>아스테이지(국전)</v>
      </c>
      <c r="Q6237" s="71">
        <f t="shared" si="3066"/>
        <v>10</v>
      </c>
      <c r="R6237" s="102">
        <v>50000</v>
      </c>
      <c r="S6237" s="102">
        <f t="shared" si="3069"/>
        <v>550000</v>
      </c>
      <c r="T6237" s="102">
        <f t="shared" si="3070"/>
        <v>500000</v>
      </c>
      <c r="U6237" s="71" t="str">
        <f>IF(J6237=W6237,"O", "X")</f>
        <v>O</v>
      </c>
      <c r="V6237" s="71"/>
      <c r="W6237" s="474">
        <v>500000</v>
      </c>
      <c r="X6237" s="71"/>
      <c r="Y6237" s="71"/>
    </row>
    <row r="6238" spans="1:25" ht="30" hidden="1" customHeight="1" x14ac:dyDescent="0.25">
      <c r="A6238" s="1145">
        <v>45194</v>
      </c>
      <c r="B6238" s="664" t="s">
        <v>3410</v>
      </c>
      <c r="C6238" s="71" t="s">
        <v>3866</v>
      </c>
      <c r="D6238" s="71">
        <v>3</v>
      </c>
      <c r="E6238" s="102">
        <v>650000</v>
      </c>
      <c r="F6238" s="102">
        <f t="shared" si="3090"/>
        <v>2145000</v>
      </c>
      <c r="G6238" s="102">
        <f t="shared" si="3091"/>
        <v>1950000</v>
      </c>
      <c r="H6238" s="690" t="s">
        <v>142</v>
      </c>
      <c r="I6238" s="690" t="s">
        <v>142</v>
      </c>
      <c r="J6238" s="53">
        <f t="shared" si="3067"/>
        <v>1279695</v>
      </c>
      <c r="K6238" s="63">
        <f t="shared" si="3068"/>
        <v>0.65625384615384619</v>
      </c>
      <c r="L6238" s="1212" t="s">
        <v>3856</v>
      </c>
      <c r="M6238" s="468"/>
      <c r="N6238" s="1192">
        <f t="shared" si="3071"/>
        <v>45194</v>
      </c>
      <c r="O6238" s="71" t="s">
        <v>2179</v>
      </c>
      <c r="P6238" s="103" t="str">
        <f t="shared" si="3065"/>
        <v>UV 램프 국전</v>
      </c>
      <c r="Q6238" s="71">
        <f t="shared" si="3066"/>
        <v>3</v>
      </c>
      <c r="R6238" s="102">
        <v>223435</v>
      </c>
      <c r="S6238" s="102">
        <f t="shared" si="3069"/>
        <v>737335.50000000012</v>
      </c>
      <c r="T6238" s="102">
        <f t="shared" si="3070"/>
        <v>670305</v>
      </c>
      <c r="U6238" s="71"/>
      <c r="V6238" s="71"/>
      <c r="W6238" s="474"/>
      <c r="X6238" s="71"/>
      <c r="Y6238" s="71"/>
    </row>
    <row r="6239" spans="1:25" s="209" customFormat="1" ht="30" hidden="1" customHeight="1" x14ac:dyDescent="0.25">
      <c r="A6239" s="1145">
        <v>45194</v>
      </c>
      <c r="B6239" s="664" t="s">
        <v>546</v>
      </c>
      <c r="C6239" s="71" t="s">
        <v>3867</v>
      </c>
      <c r="D6239" s="71">
        <v>5</v>
      </c>
      <c r="E6239" s="102">
        <v>230000</v>
      </c>
      <c r="F6239" s="102">
        <f t="shared" si="3090"/>
        <v>1265000</v>
      </c>
      <c r="G6239" s="102">
        <f t="shared" si="3091"/>
        <v>1150000</v>
      </c>
      <c r="H6239" s="690" t="s">
        <v>1431</v>
      </c>
      <c r="I6239" s="71" t="s">
        <v>1431</v>
      </c>
      <c r="J6239" s="53">
        <f t="shared" si="3067"/>
        <v>384180</v>
      </c>
      <c r="K6239" s="63">
        <f t="shared" si="3068"/>
        <v>0.33406956521739128</v>
      </c>
      <c r="L6239" s="1212" t="s">
        <v>3856</v>
      </c>
      <c r="M6239" s="468"/>
      <c r="N6239" s="1192">
        <f t="shared" si="3071"/>
        <v>45194</v>
      </c>
      <c r="O6239" s="71" t="s">
        <v>1431</v>
      </c>
      <c r="P6239" s="103" t="str">
        <f t="shared" si="3065"/>
        <v>Spring Blade</v>
      </c>
      <c r="Q6239" s="71">
        <f t="shared" si="3066"/>
        <v>5</v>
      </c>
      <c r="R6239" s="102">
        <v>153164</v>
      </c>
      <c r="S6239" s="102">
        <f t="shared" si="3069"/>
        <v>842402.00000000012</v>
      </c>
      <c r="T6239" s="102">
        <f t="shared" si="3070"/>
        <v>765820</v>
      </c>
      <c r="U6239" s="71"/>
      <c r="V6239" s="71"/>
      <c r="W6239" s="474"/>
      <c r="X6239" s="71"/>
      <c r="Y6239" s="71"/>
    </row>
    <row r="6240" spans="1:25" ht="30" hidden="1" customHeight="1" x14ac:dyDescent="0.25">
      <c r="A6240" s="1145">
        <v>45194</v>
      </c>
      <c r="B6240" s="664" t="s">
        <v>546</v>
      </c>
      <c r="C6240" s="71" t="s">
        <v>3868</v>
      </c>
      <c r="D6240" s="71">
        <v>6</v>
      </c>
      <c r="E6240" s="102">
        <v>60000</v>
      </c>
      <c r="F6240" s="102">
        <f t="shared" si="3090"/>
        <v>396000.00000000006</v>
      </c>
      <c r="G6240" s="102">
        <f t="shared" si="3091"/>
        <v>360000</v>
      </c>
      <c r="H6240" s="690" t="s">
        <v>1431</v>
      </c>
      <c r="I6240" s="71" t="s">
        <v>1431</v>
      </c>
      <c r="J6240" s="53">
        <f t="shared" si="3067"/>
        <v>190908</v>
      </c>
      <c r="K6240" s="63">
        <f t="shared" si="3068"/>
        <v>0.53029999999999988</v>
      </c>
      <c r="L6240" s="1212" t="s">
        <v>3856</v>
      </c>
      <c r="M6240" s="468"/>
      <c r="N6240" s="1192">
        <f t="shared" si="3071"/>
        <v>45194</v>
      </c>
      <c r="O6240" s="71" t="s">
        <v>1431</v>
      </c>
      <c r="P6240" s="103" t="str">
        <f t="shared" ref="P6240:P6250" si="3092">(C6240)</f>
        <v>Tucker blade</v>
      </c>
      <c r="Q6240" s="71">
        <f t="shared" ref="Q6240:Q6250" si="3093">D6240</f>
        <v>6</v>
      </c>
      <c r="R6240" s="102">
        <v>28182</v>
      </c>
      <c r="S6240" s="102">
        <f t="shared" si="3069"/>
        <v>186001.2</v>
      </c>
      <c r="T6240" s="102">
        <f t="shared" si="3070"/>
        <v>169092</v>
      </c>
      <c r="U6240" s="71"/>
      <c r="V6240" s="71"/>
      <c r="W6240" s="474"/>
      <c r="X6240" s="71"/>
      <c r="Y6240" s="71"/>
    </row>
    <row r="6241" spans="1:25" s="209" customFormat="1" ht="30" hidden="1" customHeight="1" x14ac:dyDescent="0.25">
      <c r="A6241" s="1145">
        <v>45194</v>
      </c>
      <c r="B6241" s="664" t="s">
        <v>546</v>
      </c>
      <c r="C6241" s="71" t="s">
        <v>3120</v>
      </c>
      <c r="D6241" s="71">
        <v>6</v>
      </c>
      <c r="E6241" s="102">
        <v>80000</v>
      </c>
      <c r="F6241" s="102">
        <f t="shared" si="3090"/>
        <v>528000</v>
      </c>
      <c r="G6241" s="102">
        <f t="shared" si="3091"/>
        <v>480000</v>
      </c>
      <c r="H6241" s="690" t="s">
        <v>1431</v>
      </c>
      <c r="I6241" s="71" t="s">
        <v>1431</v>
      </c>
      <c r="J6241" s="53">
        <f t="shared" ref="J6241:J6250" si="3094">G6241-T6241</f>
        <v>222684</v>
      </c>
      <c r="K6241" s="63">
        <f t="shared" ref="K6241:K6250" si="3095">(J6241/(F6241/11*10))</f>
        <v>0.46392499999999998</v>
      </c>
      <c r="L6241" s="1212" t="s">
        <v>3856</v>
      </c>
      <c r="M6241" s="468"/>
      <c r="N6241" s="1192">
        <f t="shared" si="3071"/>
        <v>45194</v>
      </c>
      <c r="O6241" s="71" t="s">
        <v>1431</v>
      </c>
      <c r="P6241" s="103" t="str">
        <f t="shared" si="3092"/>
        <v>Perforating knife</v>
      </c>
      <c r="Q6241" s="71">
        <f t="shared" si="3093"/>
        <v>6</v>
      </c>
      <c r="R6241" s="102">
        <v>42886</v>
      </c>
      <c r="S6241" s="102">
        <f t="shared" ref="S6241:S6250" si="3096">R6241*Q6241*1.1</f>
        <v>283047.60000000003</v>
      </c>
      <c r="T6241" s="102">
        <f t="shared" ref="T6241:T6250" si="3097">R6241*Q6241</f>
        <v>257316</v>
      </c>
      <c r="U6241" s="71"/>
      <c r="V6241" s="71"/>
      <c r="W6241" s="474"/>
      <c r="X6241" s="71"/>
      <c r="Y6241" s="71"/>
    </row>
    <row r="6242" spans="1:25" ht="30" hidden="1" customHeight="1" x14ac:dyDescent="0.25">
      <c r="A6242" s="1145">
        <v>45194</v>
      </c>
      <c r="B6242" s="664" t="s">
        <v>546</v>
      </c>
      <c r="C6242" s="71" t="s">
        <v>3869</v>
      </c>
      <c r="D6242" s="71">
        <v>30</v>
      </c>
      <c r="E6242" s="102">
        <v>18000</v>
      </c>
      <c r="F6242" s="102">
        <f t="shared" si="3090"/>
        <v>594000</v>
      </c>
      <c r="G6242" s="102">
        <f t="shared" si="3091"/>
        <v>540000</v>
      </c>
      <c r="H6242" s="690" t="s">
        <v>1431</v>
      </c>
      <c r="I6242" s="71" t="s">
        <v>1431</v>
      </c>
      <c r="J6242" s="53">
        <f t="shared" si="3094"/>
        <v>209520</v>
      </c>
      <c r="K6242" s="63">
        <f t="shared" si="3095"/>
        <v>0.38800000000000001</v>
      </c>
      <c r="L6242" s="1212" t="s">
        <v>3856</v>
      </c>
      <c r="M6242" s="468"/>
      <c r="N6242" s="1192">
        <f t="shared" si="3071"/>
        <v>45194</v>
      </c>
      <c r="O6242" s="71" t="s">
        <v>1431</v>
      </c>
      <c r="P6242" s="103" t="str">
        <f t="shared" si="3092"/>
        <v>Vulkollan bar</v>
      </c>
      <c r="Q6242" s="71">
        <f t="shared" si="3093"/>
        <v>30</v>
      </c>
      <c r="R6242" s="102">
        <v>11016</v>
      </c>
      <c r="S6242" s="102">
        <f t="shared" si="3096"/>
        <v>363528.00000000006</v>
      </c>
      <c r="T6242" s="102">
        <f t="shared" si="3097"/>
        <v>330480</v>
      </c>
      <c r="U6242" s="71"/>
      <c r="V6242" s="71"/>
      <c r="W6242" s="474"/>
      <c r="X6242" s="71"/>
      <c r="Y6242" s="71"/>
    </row>
    <row r="6243" spans="1:25" ht="30" hidden="1" customHeight="1" x14ac:dyDescent="0.25">
      <c r="A6243" s="1145">
        <v>45194</v>
      </c>
      <c r="B6243" s="664" t="s">
        <v>2155</v>
      </c>
      <c r="C6243" s="71" t="s">
        <v>1121</v>
      </c>
      <c r="D6243" s="71">
        <v>6</v>
      </c>
      <c r="E6243" s="102">
        <v>80000</v>
      </c>
      <c r="F6243" s="102">
        <f t="shared" si="3090"/>
        <v>528000</v>
      </c>
      <c r="G6243" s="102">
        <f t="shared" si="3091"/>
        <v>480000</v>
      </c>
      <c r="H6243" s="690" t="s">
        <v>1431</v>
      </c>
      <c r="I6243" s="71" t="s">
        <v>1431</v>
      </c>
      <c r="J6243" s="53">
        <f t="shared" si="3094"/>
        <v>240000</v>
      </c>
      <c r="K6243" s="63">
        <f t="shared" si="3095"/>
        <v>0.5</v>
      </c>
      <c r="L6243" s="1212" t="s">
        <v>3856</v>
      </c>
      <c r="M6243" s="102"/>
      <c r="N6243" s="1192">
        <f t="shared" si="3071"/>
        <v>45194</v>
      </c>
      <c r="O6243" s="71" t="s">
        <v>1431</v>
      </c>
      <c r="P6243" s="103" t="str">
        <f t="shared" si="3092"/>
        <v>포텐시오미터</v>
      </c>
      <c r="Q6243" s="71">
        <f t="shared" si="3093"/>
        <v>6</v>
      </c>
      <c r="R6243" s="102">
        <v>40000</v>
      </c>
      <c r="S6243" s="102">
        <f t="shared" si="3096"/>
        <v>264000</v>
      </c>
      <c r="T6243" s="102">
        <f t="shared" si="3097"/>
        <v>240000</v>
      </c>
      <c r="U6243" s="71"/>
      <c r="V6243" s="71"/>
      <c r="W6243" s="474"/>
      <c r="X6243" s="71"/>
      <c r="Y6243" s="71"/>
    </row>
    <row r="6244" spans="1:25" ht="30" hidden="1" customHeight="1" x14ac:dyDescent="0.25">
      <c r="A6244" s="1145">
        <v>45194</v>
      </c>
      <c r="B6244" s="664" t="s">
        <v>2155</v>
      </c>
      <c r="C6244" s="71" t="s">
        <v>114</v>
      </c>
      <c r="D6244" s="71">
        <v>50</v>
      </c>
      <c r="E6244" s="102">
        <v>18000</v>
      </c>
      <c r="F6244" s="102">
        <f t="shared" si="3090"/>
        <v>990000.00000000012</v>
      </c>
      <c r="G6244" s="102">
        <f t="shared" si="3091"/>
        <v>900000</v>
      </c>
      <c r="H6244" s="690" t="s">
        <v>1431</v>
      </c>
      <c r="I6244" s="71" t="s">
        <v>1431</v>
      </c>
      <c r="J6244" s="53">
        <f t="shared" si="3094"/>
        <v>400000</v>
      </c>
      <c r="K6244" s="63">
        <f t="shared" si="3095"/>
        <v>0.44444444444444436</v>
      </c>
      <c r="L6244" s="1212" t="s">
        <v>3856</v>
      </c>
      <c r="M6244" s="102"/>
      <c r="N6244" s="1192">
        <f t="shared" ref="N6244:N6251" si="3098">A6244</f>
        <v>45194</v>
      </c>
      <c r="O6244" s="71" t="s">
        <v>1431</v>
      </c>
      <c r="P6244" s="103" t="str">
        <f t="shared" si="3092"/>
        <v>스트리퍼</v>
      </c>
      <c r="Q6244" s="71">
        <f t="shared" si="3093"/>
        <v>50</v>
      </c>
      <c r="R6244" s="102">
        <v>10000</v>
      </c>
      <c r="S6244" s="102">
        <f t="shared" si="3096"/>
        <v>550000</v>
      </c>
      <c r="T6244" s="102">
        <f t="shared" si="3097"/>
        <v>500000</v>
      </c>
      <c r="U6244" s="71"/>
      <c r="V6244" s="71"/>
      <c r="W6244" s="474"/>
      <c r="X6244" s="71"/>
      <c r="Y6244" s="71"/>
    </row>
    <row r="6245" spans="1:25" ht="30" hidden="1" customHeight="1" x14ac:dyDescent="0.25">
      <c r="A6245" s="1145">
        <v>45170</v>
      </c>
      <c r="B6245" s="664" t="s">
        <v>26</v>
      </c>
      <c r="C6245" s="71" t="s">
        <v>2087</v>
      </c>
      <c r="D6245" s="71">
        <v>5</v>
      </c>
      <c r="E6245" s="102">
        <v>65000</v>
      </c>
      <c r="F6245" s="102">
        <f t="shared" si="3090"/>
        <v>357500</v>
      </c>
      <c r="G6245" s="102">
        <f t="shared" si="3091"/>
        <v>325000</v>
      </c>
      <c r="H6245" s="690" t="s">
        <v>172</v>
      </c>
      <c r="I6245" s="71" t="s">
        <v>3295</v>
      </c>
      <c r="J6245" s="53">
        <f t="shared" si="3094"/>
        <v>75000</v>
      </c>
      <c r="K6245" s="63">
        <f t="shared" si="3095"/>
        <v>0.23076923076923078</v>
      </c>
      <c r="L6245" s="1212" t="s">
        <v>3856</v>
      </c>
      <c r="M6245" s="468"/>
      <c r="N6245" s="1192">
        <f t="shared" si="3098"/>
        <v>45170</v>
      </c>
      <c r="O6245" s="71" t="s">
        <v>152</v>
      </c>
      <c r="P6245" s="103" t="str">
        <f t="shared" si="3092"/>
        <v>아스테이지(국전)</v>
      </c>
      <c r="Q6245" s="71">
        <f t="shared" si="3093"/>
        <v>5</v>
      </c>
      <c r="R6245" s="102">
        <v>50000</v>
      </c>
      <c r="S6245" s="102">
        <f t="shared" si="3096"/>
        <v>275000</v>
      </c>
      <c r="T6245" s="102">
        <f t="shared" si="3097"/>
        <v>250000</v>
      </c>
      <c r="U6245" s="71" t="str">
        <f>IF(J6245=W6245,"O", "X")</f>
        <v>X</v>
      </c>
      <c r="V6245" s="71"/>
      <c r="W6245" s="474">
        <v>150000</v>
      </c>
      <c r="X6245" s="71"/>
      <c r="Y6245" s="71"/>
    </row>
    <row r="6246" spans="1:25" ht="30" hidden="1" customHeight="1" x14ac:dyDescent="0.25">
      <c r="A6246" s="1145">
        <v>45175</v>
      </c>
      <c r="B6246" s="664" t="s">
        <v>26</v>
      </c>
      <c r="C6246" s="71" t="s">
        <v>2087</v>
      </c>
      <c r="D6246" s="71">
        <v>5</v>
      </c>
      <c r="E6246" s="102">
        <v>65000</v>
      </c>
      <c r="F6246" s="102">
        <f t="shared" si="3090"/>
        <v>357500</v>
      </c>
      <c r="G6246" s="102">
        <f t="shared" si="3091"/>
        <v>325000</v>
      </c>
      <c r="H6246" s="690" t="s">
        <v>172</v>
      </c>
      <c r="I6246" s="71" t="s">
        <v>3295</v>
      </c>
      <c r="J6246" s="53">
        <f t="shared" si="3094"/>
        <v>75000</v>
      </c>
      <c r="K6246" s="63">
        <f t="shared" si="3095"/>
        <v>0.23076923076923078</v>
      </c>
      <c r="L6246" s="1212" t="s">
        <v>3856</v>
      </c>
      <c r="M6246" s="468"/>
      <c r="N6246" s="1192">
        <f t="shared" si="3098"/>
        <v>45175</v>
      </c>
      <c r="O6246" s="71" t="s">
        <v>152</v>
      </c>
      <c r="P6246" s="103" t="str">
        <f t="shared" si="3092"/>
        <v>아스테이지(국전)</v>
      </c>
      <c r="Q6246" s="71">
        <f t="shared" si="3093"/>
        <v>5</v>
      </c>
      <c r="R6246" s="102">
        <v>50000</v>
      </c>
      <c r="S6246" s="102">
        <f t="shared" si="3096"/>
        <v>275000</v>
      </c>
      <c r="T6246" s="102">
        <f t="shared" si="3097"/>
        <v>250000</v>
      </c>
      <c r="U6246" s="71" t="str">
        <f>IF(J6246=W6246,"O", "X")</f>
        <v>X</v>
      </c>
      <c r="V6246" s="71"/>
      <c r="W6246" s="474">
        <v>150000</v>
      </c>
      <c r="X6246" s="71"/>
      <c r="Y6246" s="71"/>
    </row>
    <row r="6247" spans="1:25" ht="30" hidden="1" customHeight="1" x14ac:dyDescent="0.25">
      <c r="A6247" s="1145">
        <v>45173</v>
      </c>
      <c r="B6247" s="664" t="s">
        <v>18</v>
      </c>
      <c r="C6247" s="71" t="s">
        <v>3305</v>
      </c>
      <c r="D6247" s="71">
        <v>20</v>
      </c>
      <c r="E6247" s="102">
        <v>86000</v>
      </c>
      <c r="F6247" s="102">
        <f t="shared" si="3090"/>
        <v>1892000.0000000002</v>
      </c>
      <c r="G6247" s="102">
        <f t="shared" si="3091"/>
        <v>1720000</v>
      </c>
      <c r="H6247" s="690" t="s">
        <v>172</v>
      </c>
      <c r="I6247" s="71" t="s">
        <v>3295</v>
      </c>
      <c r="J6247" s="53">
        <f t="shared" si="3094"/>
        <v>320000</v>
      </c>
      <c r="K6247" s="63">
        <f t="shared" si="3095"/>
        <v>0.18604651162790695</v>
      </c>
      <c r="L6247" s="1212" t="s">
        <v>3856</v>
      </c>
      <c r="M6247" s="468" t="s">
        <v>3306</v>
      </c>
      <c r="N6247" s="1192">
        <f t="shared" si="3098"/>
        <v>45173</v>
      </c>
      <c r="O6247" s="71" t="s">
        <v>146</v>
      </c>
      <c r="P6247" s="103" t="str">
        <f t="shared" si="3092"/>
        <v>파우더</v>
      </c>
      <c r="Q6247" s="71">
        <f t="shared" si="3093"/>
        <v>20</v>
      </c>
      <c r="R6247" s="102">
        <v>70000</v>
      </c>
      <c r="S6247" s="102">
        <f t="shared" si="3096"/>
        <v>1540000.0000000002</v>
      </c>
      <c r="T6247" s="102">
        <f t="shared" si="3097"/>
        <v>1400000</v>
      </c>
      <c r="U6247" s="71" t="str">
        <f t="shared" ref="U6247" si="3099">IF(J6247=W6247,"O", "X")</f>
        <v>X</v>
      </c>
      <c r="V6247" s="71"/>
      <c r="W6247" s="474"/>
      <c r="X6247" s="71"/>
      <c r="Y6247" s="71"/>
    </row>
    <row r="6248" spans="1:25" ht="30" hidden="1" customHeight="1" x14ac:dyDescent="0.25">
      <c r="A6248" s="1145">
        <v>45173</v>
      </c>
      <c r="B6248" s="664" t="s">
        <v>548</v>
      </c>
      <c r="C6248" s="71" t="s">
        <v>3384</v>
      </c>
      <c r="D6248" s="71">
        <v>300</v>
      </c>
      <c r="E6248" s="102">
        <v>450</v>
      </c>
      <c r="F6248" s="102">
        <f>(E6248*D6248)*1.1</f>
        <v>148500</v>
      </c>
      <c r="G6248" s="102">
        <f>(E6248*D6248)</f>
        <v>135000</v>
      </c>
      <c r="H6248" s="690" t="s">
        <v>2029</v>
      </c>
      <c r="I6248" s="71" t="s">
        <v>3385</v>
      </c>
      <c r="J6248" s="53">
        <f t="shared" si="3094"/>
        <v>39000</v>
      </c>
      <c r="K6248" s="63">
        <f t="shared" si="3095"/>
        <v>0.28888888888888886</v>
      </c>
      <c r="L6248" s="1212" t="s">
        <v>3856</v>
      </c>
      <c r="M6248" s="468"/>
      <c r="N6248" s="1192">
        <f t="shared" si="3098"/>
        <v>45173</v>
      </c>
      <c r="O6248" s="71" t="s">
        <v>2030</v>
      </c>
      <c r="P6248" s="103" t="str">
        <f t="shared" si="3092"/>
        <v>고무사카 빨간색</v>
      </c>
      <c r="Q6248" s="71">
        <f t="shared" si="3093"/>
        <v>300</v>
      </c>
      <c r="R6248" s="102">
        <v>320</v>
      </c>
      <c r="S6248" s="102">
        <f t="shared" si="3096"/>
        <v>105600.00000000001</v>
      </c>
      <c r="T6248" s="102">
        <f t="shared" si="3097"/>
        <v>96000</v>
      </c>
      <c r="U6248" s="71"/>
      <c r="V6248" s="71"/>
      <c r="W6248" s="474"/>
      <c r="X6248" s="71"/>
      <c r="Y6248" s="71"/>
    </row>
    <row r="6249" spans="1:25" ht="30" hidden="1" customHeight="1" x14ac:dyDescent="0.25">
      <c r="A6249" s="1145">
        <v>45173</v>
      </c>
      <c r="B6249" s="664" t="s">
        <v>548</v>
      </c>
      <c r="C6249" s="71" t="s">
        <v>3382</v>
      </c>
      <c r="D6249" s="71">
        <v>1</v>
      </c>
      <c r="E6249" s="102">
        <v>168000</v>
      </c>
      <c r="F6249" s="102">
        <f t="shared" ref="F6249:F6250" si="3100">(E6249*D6249)*1.1</f>
        <v>184800.00000000003</v>
      </c>
      <c r="G6249" s="102">
        <f t="shared" ref="G6249:G6250" si="3101">(E6249*D6249)</f>
        <v>168000</v>
      </c>
      <c r="H6249" s="690" t="s">
        <v>2029</v>
      </c>
      <c r="I6249" s="71" t="s">
        <v>180</v>
      </c>
      <c r="J6249" s="53">
        <f t="shared" si="3094"/>
        <v>48000</v>
      </c>
      <c r="K6249" s="63">
        <f t="shared" si="3095"/>
        <v>0.28571428571428564</v>
      </c>
      <c r="L6249" s="1212" t="s">
        <v>3856</v>
      </c>
      <c r="M6249" s="468"/>
      <c r="N6249" s="1192">
        <f t="shared" si="3098"/>
        <v>45173</v>
      </c>
      <c r="O6249" s="71" t="s">
        <v>3383</v>
      </c>
      <c r="P6249" s="103" t="str">
        <f t="shared" si="3092"/>
        <v>판 클리너(12개)</v>
      </c>
      <c r="Q6249" s="71">
        <f t="shared" si="3093"/>
        <v>1</v>
      </c>
      <c r="R6249" s="102">
        <v>120000</v>
      </c>
      <c r="S6249" s="102">
        <f t="shared" si="3096"/>
        <v>132000</v>
      </c>
      <c r="T6249" s="102">
        <f t="shared" si="3097"/>
        <v>120000</v>
      </c>
      <c r="U6249" s="71" t="str">
        <f>IF(J6249=W6249,"O", "X")</f>
        <v>X</v>
      </c>
      <c r="V6249" s="71"/>
      <c r="W6249" s="474"/>
      <c r="X6249" s="71"/>
      <c r="Y6249" s="71"/>
    </row>
    <row r="6250" spans="1:25" ht="30" hidden="1" customHeight="1" x14ac:dyDescent="0.25">
      <c r="A6250" s="1145">
        <v>45194</v>
      </c>
      <c r="B6250" s="664" t="s">
        <v>575</v>
      </c>
      <c r="C6250" s="71" t="s">
        <v>3870</v>
      </c>
      <c r="D6250" s="71">
        <v>1</v>
      </c>
      <c r="E6250" s="102">
        <v>8558000</v>
      </c>
      <c r="F6250" s="102">
        <f t="shared" si="3100"/>
        <v>9413800</v>
      </c>
      <c r="G6250" s="102">
        <f t="shared" si="3101"/>
        <v>8558000</v>
      </c>
      <c r="H6250" s="690" t="s">
        <v>173</v>
      </c>
      <c r="I6250" s="71" t="s">
        <v>143</v>
      </c>
      <c r="J6250" s="53">
        <f t="shared" si="3094"/>
        <v>1823000</v>
      </c>
      <c r="K6250" s="63">
        <f t="shared" si="3095"/>
        <v>0.21301706006076185</v>
      </c>
      <c r="L6250" s="1212" t="s">
        <v>3856</v>
      </c>
      <c r="M6250" s="468"/>
      <c r="N6250" s="1192">
        <f t="shared" si="3098"/>
        <v>45194</v>
      </c>
      <c r="O6250" s="71" t="s">
        <v>612</v>
      </c>
      <c r="P6250" s="103" t="str">
        <f t="shared" si="3092"/>
        <v>매엽 윤전 Roller set</v>
      </c>
      <c r="Q6250" s="71">
        <f t="shared" si="3093"/>
        <v>1</v>
      </c>
      <c r="R6250" s="102">
        <f>3840000+2895000</f>
        <v>6735000</v>
      </c>
      <c r="S6250" s="102">
        <f t="shared" si="3096"/>
        <v>7408500.0000000009</v>
      </c>
      <c r="T6250" s="102">
        <f t="shared" si="3097"/>
        <v>6735000</v>
      </c>
      <c r="U6250" s="71"/>
      <c r="V6250" s="71"/>
      <c r="W6250" s="474"/>
      <c r="X6250" s="71"/>
      <c r="Y6250" s="71"/>
    </row>
    <row r="6251" spans="1:25" ht="30" hidden="1" customHeight="1" x14ac:dyDescent="0.25">
      <c r="A6251" s="1210" t="s">
        <v>3901</v>
      </c>
      <c r="B6251" s="1211" t="s">
        <v>544</v>
      </c>
      <c r="C6251" s="960"/>
      <c r="D6251" s="960"/>
      <c r="E6251" s="952"/>
      <c r="F6251" s="952"/>
      <c r="G6251" s="952"/>
      <c r="H6251" s="1206"/>
      <c r="I6251" s="960"/>
      <c r="J6251" s="952"/>
      <c r="K6251" s="953"/>
      <c r="L6251" s="1212" t="s">
        <v>3903</v>
      </c>
      <c r="M6251" s="1207"/>
      <c r="N6251" s="1208" t="str">
        <f t="shared" si="3098"/>
        <v>2023,10</v>
      </c>
      <c r="O6251" s="960"/>
      <c r="P6251" s="1209"/>
      <c r="Q6251" s="960"/>
      <c r="R6251" s="952"/>
      <c r="S6251" s="952"/>
      <c r="T6251" s="952"/>
      <c r="U6251" s="960"/>
      <c r="V6251" s="960"/>
      <c r="W6251" s="474">
        <f>(G6251-T6251)</f>
        <v>0</v>
      </c>
      <c r="X6251" s="71"/>
      <c r="Y6251" s="71"/>
    </row>
    <row r="6252" spans="1:25" ht="30" customHeight="1" x14ac:dyDescent="0.25">
      <c r="A6252" s="1145">
        <v>45224</v>
      </c>
      <c r="B6252" s="664" t="s">
        <v>641</v>
      </c>
      <c r="C6252" s="71" t="s">
        <v>3293</v>
      </c>
      <c r="D6252" s="71">
        <v>80</v>
      </c>
      <c r="E6252" s="102">
        <v>84000</v>
      </c>
      <c r="F6252" s="102">
        <f t="shared" ref="F6252:F6259" si="3102">(E6252*D6252)*1.1</f>
        <v>7392000.0000000009</v>
      </c>
      <c r="G6252" s="102">
        <f t="shared" ref="G6252:G6259" si="3103">(E6252*D6252)</f>
        <v>6720000</v>
      </c>
      <c r="H6252" s="690" t="s">
        <v>172</v>
      </c>
      <c r="I6252" s="71" t="s">
        <v>38</v>
      </c>
      <c r="J6252" s="53">
        <f t="shared" ref="J6252" si="3104">G6252-T6252</f>
        <v>2640000</v>
      </c>
      <c r="K6252" s="63">
        <f t="shared" ref="K6252" si="3105">(J6252/(F6252/11*10))</f>
        <v>0.39285714285714279</v>
      </c>
      <c r="L6252" s="1212" t="s">
        <v>3904</v>
      </c>
      <c r="M6252" s="468"/>
      <c r="N6252" s="1192">
        <f>A6252</f>
        <v>45224</v>
      </c>
      <c r="O6252" s="71" t="s">
        <v>3291</v>
      </c>
      <c r="P6252" s="103" t="str">
        <f t="shared" ref="P6252:P6267" si="3106">(C6252)</f>
        <v>GOSS 신문윤전 습식세정포</v>
      </c>
      <c r="Q6252" s="71">
        <f t="shared" ref="Q6252:Q6315" si="3107">D6252</f>
        <v>80</v>
      </c>
      <c r="R6252" s="102">
        <v>51000</v>
      </c>
      <c r="S6252" s="102">
        <f t="shared" ref="S6252" si="3108">R6252*Q6252*1.1</f>
        <v>4488000</v>
      </c>
      <c r="T6252" s="102">
        <f t="shared" ref="T6252" si="3109">R6252*Q6252</f>
        <v>4080000</v>
      </c>
      <c r="U6252" s="71" t="str">
        <f>IF(J6252=W6252,"O", "X")</f>
        <v>X</v>
      </c>
      <c r="V6252" s="71"/>
      <c r="W6252" s="474"/>
      <c r="X6252" s="71"/>
      <c r="Y6252" s="71"/>
    </row>
    <row r="6253" spans="1:25" ht="30" customHeight="1" x14ac:dyDescent="0.25">
      <c r="A6253" s="1145">
        <v>45204</v>
      </c>
      <c r="B6253" s="664" t="s">
        <v>2352</v>
      </c>
      <c r="C6253" s="71" t="s">
        <v>3836</v>
      </c>
      <c r="D6253" s="71">
        <v>32</v>
      </c>
      <c r="E6253" s="102">
        <v>18500</v>
      </c>
      <c r="F6253" s="102">
        <f t="shared" si="3102"/>
        <v>651200</v>
      </c>
      <c r="G6253" s="102">
        <f t="shared" si="3103"/>
        <v>592000</v>
      </c>
      <c r="H6253" s="690" t="s">
        <v>179</v>
      </c>
      <c r="I6253" s="71" t="s">
        <v>179</v>
      </c>
      <c r="J6253" s="53">
        <f>G6253-T6253</f>
        <v>237312</v>
      </c>
      <c r="K6253" s="63">
        <f>(J6253/(F6253/11*10))</f>
        <v>0.40086486486486489</v>
      </c>
      <c r="L6253" s="1212" t="s">
        <v>3902</v>
      </c>
      <c r="M6253" s="468"/>
      <c r="N6253" s="1192">
        <f>A6253</f>
        <v>45204</v>
      </c>
      <c r="O6253" s="71"/>
      <c r="P6253" s="103" t="str">
        <f t="shared" si="3106"/>
        <v>고모리 윤전 블랑켓 건식 세정포 - 국전용</v>
      </c>
      <c r="Q6253" s="71">
        <f t="shared" si="3107"/>
        <v>32</v>
      </c>
      <c r="R6253" s="102">
        <v>11084</v>
      </c>
      <c r="S6253" s="102">
        <f t="shared" ref="S6253:S6316" si="3110">R6253*Q6253*1.1</f>
        <v>390156.80000000005</v>
      </c>
      <c r="T6253" s="102">
        <f t="shared" ref="T6253:T6316" si="3111">R6253*Q6253</f>
        <v>354688</v>
      </c>
      <c r="U6253" s="71"/>
      <c r="V6253" s="71"/>
      <c r="W6253" s="474"/>
      <c r="X6253" s="71"/>
      <c r="Y6253" s="71"/>
    </row>
    <row r="6254" spans="1:25" ht="30" customHeight="1" x14ac:dyDescent="0.25">
      <c r="A6254" s="1145">
        <v>45204</v>
      </c>
      <c r="B6254" s="664" t="s">
        <v>2352</v>
      </c>
      <c r="C6254" s="71" t="s">
        <v>3837</v>
      </c>
      <c r="D6254" s="71">
        <v>64</v>
      </c>
      <c r="E6254" s="102">
        <v>13500</v>
      </c>
      <c r="F6254" s="102">
        <f t="shared" si="3102"/>
        <v>950400.00000000012</v>
      </c>
      <c r="G6254" s="102">
        <f t="shared" si="3103"/>
        <v>864000</v>
      </c>
      <c r="H6254" s="690" t="s">
        <v>179</v>
      </c>
      <c r="I6254" s="71" t="s">
        <v>179</v>
      </c>
      <c r="J6254" s="53">
        <f t="shared" ref="J6254" si="3112">G6254-T6254</f>
        <v>328640</v>
      </c>
      <c r="K6254" s="63">
        <f t="shared" ref="K6254" si="3113">(J6254/(F6254/11*10))</f>
        <v>0.3803703703703703</v>
      </c>
      <c r="L6254" s="1212" t="s">
        <v>3902</v>
      </c>
      <c r="M6254" s="468"/>
      <c r="N6254" s="1192">
        <f>A6254</f>
        <v>45204</v>
      </c>
      <c r="O6254" s="71"/>
      <c r="P6254" s="103" t="str">
        <f t="shared" si="3106"/>
        <v>고모리 윤전 블랑켓 건식 세정포 - 4x6용</v>
      </c>
      <c r="Q6254" s="71">
        <f t="shared" si="3107"/>
        <v>64</v>
      </c>
      <c r="R6254" s="102">
        <v>8365</v>
      </c>
      <c r="S6254" s="102">
        <f t="shared" si="3110"/>
        <v>588896</v>
      </c>
      <c r="T6254" s="102">
        <f t="shared" si="3111"/>
        <v>535360</v>
      </c>
      <c r="U6254" s="71"/>
      <c r="V6254" s="71"/>
      <c r="W6254" s="474"/>
      <c r="X6254" s="71"/>
      <c r="Y6254" s="71"/>
    </row>
    <row r="6255" spans="1:25" ht="30" customHeight="1" x14ac:dyDescent="0.25">
      <c r="A6255" s="1145">
        <v>45204</v>
      </c>
      <c r="B6255" s="664" t="s">
        <v>2536</v>
      </c>
      <c r="C6255" s="71" t="s">
        <v>3382</v>
      </c>
      <c r="D6255" s="71">
        <v>4</v>
      </c>
      <c r="E6255" s="102">
        <v>180000</v>
      </c>
      <c r="F6255" s="102">
        <f t="shared" si="3102"/>
        <v>792000.00000000012</v>
      </c>
      <c r="G6255" s="102">
        <f t="shared" si="3103"/>
        <v>720000</v>
      </c>
      <c r="H6255" s="690" t="s">
        <v>179</v>
      </c>
      <c r="I6255" s="71" t="s">
        <v>142</v>
      </c>
      <c r="J6255" s="53">
        <f>G6255-T6255</f>
        <v>240000</v>
      </c>
      <c r="K6255" s="63">
        <f>(J6255/(F6255/11*10))</f>
        <v>0.33333333333333326</v>
      </c>
      <c r="L6255" s="1212" t="s">
        <v>3902</v>
      </c>
      <c r="M6255" s="468"/>
      <c r="N6255" s="1192">
        <f>A6255</f>
        <v>45204</v>
      </c>
      <c r="O6255" s="71" t="s">
        <v>149</v>
      </c>
      <c r="P6255" s="103" t="str">
        <f t="shared" si="3106"/>
        <v>판 클리너(12개)</v>
      </c>
      <c r="Q6255" s="71">
        <f t="shared" si="3107"/>
        <v>4</v>
      </c>
      <c r="R6255" s="102">
        <v>120000</v>
      </c>
      <c r="S6255" s="102">
        <f t="shared" si="3110"/>
        <v>528000</v>
      </c>
      <c r="T6255" s="102">
        <f t="shared" si="3111"/>
        <v>480000</v>
      </c>
      <c r="U6255" s="71"/>
      <c r="V6255" s="71"/>
      <c r="W6255" s="474"/>
      <c r="X6255" s="71"/>
      <c r="Y6255" s="71"/>
    </row>
    <row r="6256" spans="1:25" ht="30" customHeight="1" x14ac:dyDescent="0.25">
      <c r="A6256" s="1145">
        <v>45204</v>
      </c>
      <c r="B6256" s="664" t="s">
        <v>2536</v>
      </c>
      <c r="C6256" s="71" t="s">
        <v>3589</v>
      </c>
      <c r="D6256" s="71">
        <v>10</v>
      </c>
      <c r="E6256" s="102">
        <v>24000</v>
      </c>
      <c r="F6256" s="102">
        <f t="shared" si="3102"/>
        <v>264000</v>
      </c>
      <c r="G6256" s="102">
        <f t="shared" si="3103"/>
        <v>240000</v>
      </c>
      <c r="H6256" s="690" t="s">
        <v>179</v>
      </c>
      <c r="I6256" s="71" t="s">
        <v>179</v>
      </c>
      <c r="J6256" s="53">
        <f t="shared" ref="J6256:J6263" si="3114">G6256-T6256</f>
        <v>62000</v>
      </c>
      <c r="K6256" s="63">
        <f t="shared" ref="K6256:K6263" si="3115">(J6256/(F6256/11*10))</f>
        <v>0.25833333333333336</v>
      </c>
      <c r="L6256" s="1212" t="s">
        <v>3902</v>
      </c>
      <c r="M6256" s="468"/>
      <c r="N6256" s="1192">
        <f t="shared" ref="N6256:N6266" si="3116">A6256</f>
        <v>45204</v>
      </c>
      <c r="O6256" s="71" t="s">
        <v>151</v>
      </c>
      <c r="P6256" s="103" t="str">
        <f t="shared" si="3106"/>
        <v>블랑켓 접착 패킹지</v>
      </c>
      <c r="Q6256" s="71">
        <f t="shared" si="3107"/>
        <v>10</v>
      </c>
      <c r="R6256" s="102">
        <v>17800</v>
      </c>
      <c r="S6256" s="102">
        <f t="shared" si="3110"/>
        <v>195800.00000000003</v>
      </c>
      <c r="T6256" s="102">
        <f t="shared" si="3111"/>
        <v>178000</v>
      </c>
      <c r="U6256" s="71"/>
      <c r="V6256" s="71"/>
      <c r="W6256" s="474"/>
      <c r="X6256" s="71"/>
      <c r="Y6256" s="71"/>
    </row>
    <row r="6257" spans="1:25" ht="30" customHeight="1" x14ac:dyDescent="0.25">
      <c r="A6257" s="1145">
        <v>45216</v>
      </c>
      <c r="B6257" s="664" t="s">
        <v>2352</v>
      </c>
      <c r="C6257" s="71" t="s">
        <v>692</v>
      </c>
      <c r="D6257" s="71">
        <v>6</v>
      </c>
      <c r="E6257" s="102">
        <v>264000</v>
      </c>
      <c r="F6257" s="102">
        <f t="shared" si="3102"/>
        <v>1742400.0000000002</v>
      </c>
      <c r="G6257" s="102">
        <f t="shared" si="3103"/>
        <v>1584000</v>
      </c>
      <c r="H6257" s="690" t="s">
        <v>142</v>
      </c>
      <c r="I6257" s="71" t="s">
        <v>179</v>
      </c>
      <c r="J6257" s="53">
        <f t="shared" si="3114"/>
        <v>585000</v>
      </c>
      <c r="K6257" s="63">
        <f t="shared" si="3115"/>
        <v>0.36931818181818177</v>
      </c>
      <c r="L6257" s="1212" t="s">
        <v>3902</v>
      </c>
      <c r="M6257" s="468" t="s">
        <v>2052</v>
      </c>
      <c r="N6257" s="1192">
        <f t="shared" si="3116"/>
        <v>45216</v>
      </c>
      <c r="O6257" s="71" t="s">
        <v>150</v>
      </c>
      <c r="P6257" s="103" t="str">
        <f t="shared" si="3106"/>
        <v>윤전 블랑켓</v>
      </c>
      <c r="Q6257" s="71">
        <f t="shared" si="3107"/>
        <v>6</v>
      </c>
      <c r="R6257" s="102">
        <v>166500</v>
      </c>
      <c r="S6257" s="102">
        <f t="shared" si="3110"/>
        <v>1098900</v>
      </c>
      <c r="T6257" s="102">
        <f t="shared" si="3111"/>
        <v>999000</v>
      </c>
      <c r="U6257" s="71" t="str">
        <f>IF(J6257=W6257,"O", "X")</f>
        <v>O</v>
      </c>
      <c r="V6257" s="71" t="s">
        <v>784</v>
      </c>
      <c r="W6257" s="474">
        <f>(G6257-T6257)</f>
        <v>585000</v>
      </c>
      <c r="X6257" s="71"/>
      <c r="Y6257" s="71"/>
    </row>
    <row r="6258" spans="1:25" s="209" customFormat="1" ht="30" customHeight="1" x14ac:dyDescent="0.25">
      <c r="A6258" s="1145">
        <v>45216</v>
      </c>
      <c r="B6258" s="664" t="s">
        <v>2352</v>
      </c>
      <c r="C6258" s="71" t="s">
        <v>583</v>
      </c>
      <c r="D6258" s="71">
        <v>16</v>
      </c>
      <c r="E6258" s="102">
        <v>98000</v>
      </c>
      <c r="F6258" s="102">
        <f t="shared" si="3102"/>
        <v>1724800.0000000002</v>
      </c>
      <c r="G6258" s="102">
        <f t="shared" si="3103"/>
        <v>1568000</v>
      </c>
      <c r="H6258" s="690" t="s">
        <v>142</v>
      </c>
      <c r="I6258" s="71" t="s">
        <v>142</v>
      </c>
      <c r="J6258" s="53">
        <f t="shared" si="3114"/>
        <v>816000</v>
      </c>
      <c r="K6258" s="63">
        <f t="shared" si="3115"/>
        <v>0.52040816326530603</v>
      </c>
      <c r="L6258" s="1212" t="s">
        <v>3902</v>
      </c>
      <c r="M6258" s="468" t="s">
        <v>2053</v>
      </c>
      <c r="N6258" s="1192">
        <f t="shared" si="3116"/>
        <v>45216</v>
      </c>
      <c r="O6258" s="71" t="s">
        <v>599</v>
      </c>
      <c r="P6258" s="103" t="str">
        <f t="shared" si="3106"/>
        <v>M600 윤전 세정포</v>
      </c>
      <c r="Q6258" s="71">
        <f t="shared" si="3107"/>
        <v>16</v>
      </c>
      <c r="R6258" s="102">
        <v>47000</v>
      </c>
      <c r="S6258" s="102">
        <f t="shared" si="3110"/>
        <v>827200.00000000012</v>
      </c>
      <c r="T6258" s="102">
        <f t="shared" si="3111"/>
        <v>752000</v>
      </c>
      <c r="U6258" s="71" t="str">
        <f>IF(J6258=W6258,"O", "X")</f>
        <v>O</v>
      </c>
      <c r="V6258" s="71"/>
      <c r="W6258" s="474">
        <f>(G6258-T6258)</f>
        <v>816000</v>
      </c>
      <c r="X6258" s="71"/>
      <c r="Y6258" s="71"/>
    </row>
    <row r="6259" spans="1:25" ht="30" customHeight="1" x14ac:dyDescent="0.25">
      <c r="A6259" s="1145">
        <v>45216</v>
      </c>
      <c r="B6259" s="664" t="s">
        <v>2352</v>
      </c>
      <c r="C6259" s="760" t="s">
        <v>218</v>
      </c>
      <c r="D6259" s="71">
        <v>5</v>
      </c>
      <c r="E6259" s="102">
        <v>286000</v>
      </c>
      <c r="F6259" s="102">
        <f t="shared" si="3102"/>
        <v>1573000.0000000002</v>
      </c>
      <c r="G6259" s="102">
        <f t="shared" si="3103"/>
        <v>1430000</v>
      </c>
      <c r="H6259" s="690" t="s">
        <v>142</v>
      </c>
      <c r="I6259" s="71" t="s">
        <v>179</v>
      </c>
      <c r="J6259" s="53">
        <f t="shared" si="3114"/>
        <v>810000</v>
      </c>
      <c r="K6259" s="63">
        <f t="shared" si="3115"/>
        <v>0.56643356643356635</v>
      </c>
      <c r="L6259" s="1212" t="s">
        <v>3902</v>
      </c>
      <c r="M6259" s="468" t="s">
        <v>2053</v>
      </c>
      <c r="N6259" s="1192">
        <f t="shared" si="3116"/>
        <v>45216</v>
      </c>
      <c r="O6259" s="71" t="s">
        <v>150</v>
      </c>
      <c r="P6259" s="103" t="str">
        <f t="shared" si="3106"/>
        <v>Fount Web 551AF</v>
      </c>
      <c r="Q6259" s="71">
        <f t="shared" si="3107"/>
        <v>5</v>
      </c>
      <c r="R6259" s="102">
        <v>124000</v>
      </c>
      <c r="S6259" s="102">
        <f t="shared" si="3110"/>
        <v>682000</v>
      </c>
      <c r="T6259" s="102">
        <f t="shared" si="3111"/>
        <v>620000</v>
      </c>
      <c r="U6259" s="71" t="str">
        <f>IF(J6259=W6259,"O", "X")</f>
        <v>O</v>
      </c>
      <c r="V6259" s="71"/>
      <c r="W6259" s="474">
        <f>(G6259-T6259)</f>
        <v>810000</v>
      </c>
      <c r="X6259" s="71"/>
      <c r="Y6259" s="71"/>
    </row>
    <row r="6260" spans="1:25" s="209" customFormat="1" ht="30" hidden="1" customHeight="1" x14ac:dyDescent="0.25">
      <c r="A6260" s="1145">
        <v>45215</v>
      </c>
      <c r="B6260" s="664" t="s">
        <v>2353</v>
      </c>
      <c r="C6260" s="71" t="s">
        <v>130</v>
      </c>
      <c r="D6260" s="71">
        <v>20</v>
      </c>
      <c r="E6260" s="102">
        <v>148000</v>
      </c>
      <c r="F6260" s="102">
        <f>(E6260*D6260)*1.1</f>
        <v>3256000.0000000005</v>
      </c>
      <c r="G6260" s="102">
        <f>(E6260*D6260)</f>
        <v>2960000</v>
      </c>
      <c r="H6260" s="690" t="s">
        <v>142</v>
      </c>
      <c r="I6260" s="71" t="s">
        <v>179</v>
      </c>
      <c r="J6260" s="53">
        <f t="shared" si="3114"/>
        <v>720000</v>
      </c>
      <c r="K6260" s="63">
        <f t="shared" si="3115"/>
        <v>0.2432432432432432</v>
      </c>
      <c r="L6260" s="1212" t="s">
        <v>3902</v>
      </c>
      <c r="M6260" s="468" t="s">
        <v>3906</v>
      </c>
      <c r="N6260" s="1192">
        <f t="shared" si="3116"/>
        <v>45215</v>
      </c>
      <c r="O6260" s="71" t="s">
        <v>3383</v>
      </c>
      <c r="P6260" s="103" t="str">
        <f t="shared" si="3106"/>
        <v>XL106 Blanket(1077*885)</v>
      </c>
      <c r="Q6260" s="71">
        <f t="shared" si="3107"/>
        <v>20</v>
      </c>
      <c r="R6260" s="102">
        <v>112000</v>
      </c>
      <c r="S6260" s="102">
        <f t="shared" si="3110"/>
        <v>2464000</v>
      </c>
      <c r="T6260" s="102">
        <f t="shared" si="3111"/>
        <v>2240000</v>
      </c>
      <c r="U6260" s="71" t="s">
        <v>859</v>
      </c>
      <c r="V6260" s="71"/>
      <c r="W6260" s="474">
        <v>260000</v>
      </c>
      <c r="X6260" s="71"/>
      <c r="Y6260" s="71"/>
    </row>
    <row r="6261" spans="1:25" ht="30" hidden="1" customHeight="1" x14ac:dyDescent="0.25">
      <c r="A6261" s="1145">
        <v>45215</v>
      </c>
      <c r="B6261" s="664" t="s">
        <v>2353</v>
      </c>
      <c r="C6261" s="71" t="s">
        <v>129</v>
      </c>
      <c r="D6261" s="71">
        <v>7</v>
      </c>
      <c r="E6261" s="102">
        <v>325000</v>
      </c>
      <c r="F6261" s="102">
        <f>(E6261*D6261)*1.1</f>
        <v>2502500</v>
      </c>
      <c r="G6261" s="102">
        <f>(E6261*D6261)</f>
        <v>2275000</v>
      </c>
      <c r="H6261" s="690" t="s">
        <v>142</v>
      </c>
      <c r="I6261" s="71" t="s">
        <v>179</v>
      </c>
      <c r="J6261" s="53">
        <f t="shared" si="3114"/>
        <v>636440</v>
      </c>
      <c r="K6261" s="63">
        <f t="shared" si="3115"/>
        <v>0.27975384615384613</v>
      </c>
      <c r="L6261" s="1212" t="s">
        <v>3902</v>
      </c>
      <c r="M6261" s="468" t="s">
        <v>2050</v>
      </c>
      <c r="N6261" s="1192">
        <f t="shared" si="3116"/>
        <v>45215</v>
      </c>
      <c r="O6261" s="71" t="s">
        <v>149</v>
      </c>
      <c r="P6261" s="103" t="str">
        <f t="shared" si="3106"/>
        <v>세정포-XL106</v>
      </c>
      <c r="Q6261" s="71">
        <f t="shared" si="3107"/>
        <v>7</v>
      </c>
      <c r="R6261" s="102">
        <v>234080</v>
      </c>
      <c r="S6261" s="102">
        <f t="shared" si="3110"/>
        <v>1802416.0000000002</v>
      </c>
      <c r="T6261" s="102">
        <f t="shared" si="3111"/>
        <v>1638560</v>
      </c>
      <c r="U6261" s="71" t="str">
        <f>IF(J6261=W6261,"O", "X")</f>
        <v>O</v>
      </c>
      <c r="V6261" s="71"/>
      <c r="W6261" s="474">
        <f>(G6261-T6261)</f>
        <v>636440</v>
      </c>
      <c r="X6261" s="71"/>
      <c r="Y6261" s="71"/>
    </row>
    <row r="6262" spans="1:25" s="209" customFormat="1" ht="30" hidden="1" customHeight="1" x14ac:dyDescent="0.25">
      <c r="A6262" s="1145">
        <v>45215</v>
      </c>
      <c r="B6262" s="664" t="s">
        <v>2353</v>
      </c>
      <c r="C6262" s="71" t="s">
        <v>3299</v>
      </c>
      <c r="D6262" s="71">
        <v>15</v>
      </c>
      <c r="E6262" s="102">
        <v>83000</v>
      </c>
      <c r="F6262" s="102">
        <f t="shared" ref="F6262:F6264" si="3117">(E6262*D6262)*1.1</f>
        <v>1369500</v>
      </c>
      <c r="G6262" s="102">
        <f t="shared" ref="G6262:G6264" si="3118">(E6262*D6262)</f>
        <v>1245000</v>
      </c>
      <c r="H6262" s="690" t="s">
        <v>142</v>
      </c>
      <c r="I6262" s="71" t="s">
        <v>179</v>
      </c>
      <c r="J6262" s="53">
        <f t="shared" si="3114"/>
        <v>532500</v>
      </c>
      <c r="K6262" s="63">
        <f t="shared" si="3115"/>
        <v>0.42771084337349397</v>
      </c>
      <c r="L6262" s="1212" t="s">
        <v>3902</v>
      </c>
      <c r="M6262" s="468" t="s">
        <v>2214</v>
      </c>
      <c r="N6262" s="1192">
        <f t="shared" si="3116"/>
        <v>45215</v>
      </c>
      <c r="O6262" s="71" t="s">
        <v>3383</v>
      </c>
      <c r="P6262" s="103" t="str">
        <f t="shared" si="3106"/>
        <v>매엽용 세척제(Wash k11)</v>
      </c>
      <c r="Q6262" s="71">
        <f t="shared" si="3107"/>
        <v>15</v>
      </c>
      <c r="R6262" s="102">
        <v>47500</v>
      </c>
      <c r="S6262" s="102">
        <f t="shared" si="3110"/>
        <v>783750.00000000012</v>
      </c>
      <c r="T6262" s="102">
        <f t="shared" si="3111"/>
        <v>712500</v>
      </c>
      <c r="U6262" s="71" t="s">
        <v>859</v>
      </c>
      <c r="V6262" s="71"/>
      <c r="W6262" s="474">
        <v>136000</v>
      </c>
      <c r="X6262" s="71"/>
      <c r="Y6262" s="71"/>
    </row>
    <row r="6263" spans="1:25" ht="30" hidden="1" customHeight="1" x14ac:dyDescent="0.25">
      <c r="A6263" s="1145">
        <v>45215</v>
      </c>
      <c r="B6263" s="664" t="s">
        <v>2353</v>
      </c>
      <c r="C6263" s="71" t="s">
        <v>3905</v>
      </c>
      <c r="D6263" s="71">
        <v>10</v>
      </c>
      <c r="E6263" s="102">
        <v>18000</v>
      </c>
      <c r="F6263" s="102">
        <f t="shared" si="3117"/>
        <v>198000.00000000003</v>
      </c>
      <c r="G6263" s="102">
        <f t="shared" si="3118"/>
        <v>180000</v>
      </c>
      <c r="H6263" s="690" t="s">
        <v>142</v>
      </c>
      <c r="I6263" s="71" t="s">
        <v>179</v>
      </c>
      <c r="J6263" s="53">
        <f t="shared" si="3114"/>
        <v>80000</v>
      </c>
      <c r="K6263" s="63">
        <f t="shared" si="3115"/>
        <v>0.44444444444444436</v>
      </c>
      <c r="L6263" s="1212" t="s">
        <v>3902</v>
      </c>
      <c r="M6263" s="468"/>
      <c r="N6263" s="1192">
        <f t="shared" si="3116"/>
        <v>45215</v>
      </c>
      <c r="O6263" s="71" t="s">
        <v>3383</v>
      </c>
      <c r="P6263" s="103" t="str">
        <f t="shared" si="3106"/>
        <v>롤러 지분 칼슘 제거제</v>
      </c>
      <c r="Q6263" s="71">
        <f t="shared" si="3107"/>
        <v>10</v>
      </c>
      <c r="R6263" s="147">
        <v>10000</v>
      </c>
      <c r="S6263" s="102">
        <f t="shared" si="3110"/>
        <v>110000.00000000001</v>
      </c>
      <c r="T6263" s="102">
        <f t="shared" si="3111"/>
        <v>100000</v>
      </c>
      <c r="U6263" s="71"/>
      <c r="V6263" s="71"/>
      <c r="W6263" s="474"/>
      <c r="X6263" s="71"/>
      <c r="Y6263" s="71"/>
    </row>
    <row r="6264" spans="1:25" ht="30" hidden="1" customHeight="1" x14ac:dyDescent="0.25">
      <c r="A6264" s="1145">
        <v>45225</v>
      </c>
      <c r="B6264" s="664" t="s">
        <v>2353</v>
      </c>
      <c r="C6264" s="71" t="s">
        <v>3728</v>
      </c>
      <c r="D6264" s="71">
        <v>20</v>
      </c>
      <c r="E6264" s="102">
        <v>35000</v>
      </c>
      <c r="F6264" s="102">
        <f t="shared" si="3117"/>
        <v>770000.00000000012</v>
      </c>
      <c r="G6264" s="102">
        <f t="shared" si="3118"/>
        <v>700000</v>
      </c>
      <c r="H6264" s="690" t="s">
        <v>142</v>
      </c>
      <c r="I6264" s="71" t="s">
        <v>142</v>
      </c>
      <c r="J6264" s="53">
        <f t="shared" ref="J6264:J6265" si="3119">G6264-T6264</f>
        <v>160000</v>
      </c>
      <c r="K6264" s="63">
        <f t="shared" ref="K6264:K6265" si="3120">(J6264/(F6264/11*10))</f>
        <v>0.22857142857142854</v>
      </c>
      <c r="L6264" s="1212" t="s">
        <v>3902</v>
      </c>
      <c r="M6264" s="468" t="s">
        <v>3907</v>
      </c>
      <c r="N6264" s="1192">
        <f t="shared" si="3116"/>
        <v>45225</v>
      </c>
      <c r="O6264" s="71" t="s">
        <v>149</v>
      </c>
      <c r="P6264" s="164" t="str">
        <f t="shared" si="3106"/>
        <v>고모리 자동 세척액</v>
      </c>
      <c r="Q6264" s="71">
        <f t="shared" si="3107"/>
        <v>20</v>
      </c>
      <c r="R6264" s="102">
        <v>27000</v>
      </c>
      <c r="S6264" s="102">
        <f t="shared" si="3110"/>
        <v>594000</v>
      </c>
      <c r="T6264" s="102">
        <f t="shared" si="3111"/>
        <v>540000</v>
      </c>
      <c r="U6264" s="71"/>
      <c r="V6264" s="71"/>
      <c r="W6264" s="474"/>
      <c r="X6264" s="71"/>
      <c r="Y6264" s="71"/>
    </row>
    <row r="6265" spans="1:25" ht="30" hidden="1" customHeight="1" x14ac:dyDescent="0.25">
      <c r="A6265" s="1145">
        <v>45225</v>
      </c>
      <c r="B6265" s="664" t="s">
        <v>2579</v>
      </c>
      <c r="C6265" s="71" t="s">
        <v>3738</v>
      </c>
      <c r="D6265" s="71">
        <v>10</v>
      </c>
      <c r="E6265" s="102">
        <v>130000</v>
      </c>
      <c r="F6265" s="102">
        <f>(E6265*D6265)*1.1</f>
        <v>1430000</v>
      </c>
      <c r="G6265" s="102">
        <f>(E6265*D6265)</f>
        <v>1300000</v>
      </c>
      <c r="H6265" s="690" t="s">
        <v>142</v>
      </c>
      <c r="I6265" s="71" t="s">
        <v>142</v>
      </c>
      <c r="J6265" s="53">
        <f t="shared" si="3119"/>
        <v>243000</v>
      </c>
      <c r="K6265" s="63">
        <f t="shared" si="3120"/>
        <v>0.18692307692307691</v>
      </c>
      <c r="L6265" s="1212" t="s">
        <v>3902</v>
      </c>
      <c r="M6265" s="468"/>
      <c r="N6265" s="1192">
        <f t="shared" si="3116"/>
        <v>45225</v>
      </c>
      <c r="O6265" s="71" t="s">
        <v>147</v>
      </c>
      <c r="P6265" s="103" t="str">
        <f t="shared" si="3106"/>
        <v>블랑켓 - 고모리 용 (1040*920)</v>
      </c>
      <c r="Q6265" s="71">
        <f t="shared" si="3107"/>
        <v>10</v>
      </c>
      <c r="R6265" s="102">
        <v>105700</v>
      </c>
      <c r="S6265" s="102">
        <f t="shared" si="3110"/>
        <v>1162700</v>
      </c>
      <c r="T6265" s="102">
        <f t="shared" si="3111"/>
        <v>1057000</v>
      </c>
      <c r="U6265" s="71"/>
      <c r="V6265" s="71"/>
      <c r="W6265" s="474"/>
      <c r="X6265" s="71"/>
      <c r="Y6265" s="71"/>
    </row>
    <row r="6266" spans="1:25" s="209" customFormat="1" ht="30" hidden="1" customHeight="1" x14ac:dyDescent="0.25">
      <c r="A6266" s="1145">
        <v>45225</v>
      </c>
      <c r="B6266" s="664" t="s">
        <v>2353</v>
      </c>
      <c r="C6266" s="71" t="s">
        <v>3843</v>
      </c>
      <c r="D6266" s="71">
        <v>7</v>
      </c>
      <c r="E6266" s="102">
        <v>180000</v>
      </c>
      <c r="F6266" s="102">
        <f t="shared" ref="F6266:F6301" si="3121">(E6266*D6266)*1.1</f>
        <v>1386000</v>
      </c>
      <c r="G6266" s="102">
        <f t="shared" ref="G6266:G6301" si="3122">(E6266*D6266)</f>
        <v>1260000</v>
      </c>
      <c r="H6266" s="690" t="s">
        <v>179</v>
      </c>
      <c r="I6266" s="71" t="s">
        <v>179</v>
      </c>
      <c r="J6266" s="53">
        <f t="shared" ref="J6266:J6277" si="3123">G6266-T6266</f>
        <v>336000</v>
      </c>
      <c r="K6266" s="63">
        <f t="shared" ref="K6266:K6285" si="3124">(J6266/(F6266/11*10))</f>
        <v>0.26666666666666666</v>
      </c>
      <c r="L6266" s="1212" t="s">
        <v>3902</v>
      </c>
      <c r="M6266" s="468"/>
      <c r="N6266" s="1192">
        <f t="shared" si="3116"/>
        <v>45225</v>
      </c>
      <c r="O6266" s="71" t="s">
        <v>3383</v>
      </c>
      <c r="P6266" s="164" t="str">
        <f t="shared" si="3106"/>
        <v>수이보 세척액(습수액 클리너)</v>
      </c>
      <c r="Q6266" s="71">
        <f t="shared" si="3107"/>
        <v>7</v>
      </c>
      <c r="R6266" s="102">
        <f>11000*12</f>
        <v>132000</v>
      </c>
      <c r="S6266" s="102">
        <f t="shared" si="3110"/>
        <v>1016400.0000000001</v>
      </c>
      <c r="T6266" s="102">
        <f t="shared" si="3111"/>
        <v>924000</v>
      </c>
      <c r="U6266" s="71"/>
      <c r="V6266" s="71"/>
      <c r="W6266" s="474"/>
      <c r="X6266" s="71"/>
      <c r="Y6266" s="71"/>
    </row>
    <row r="6267" spans="1:25" ht="28.5" hidden="1" customHeight="1" x14ac:dyDescent="0.25">
      <c r="A6267" s="1145">
        <v>45215</v>
      </c>
      <c r="B6267" s="664" t="s">
        <v>2353</v>
      </c>
      <c r="C6267" s="71" t="s">
        <v>2648</v>
      </c>
      <c r="D6267" s="71">
        <v>2</v>
      </c>
      <c r="E6267" s="102">
        <v>50000</v>
      </c>
      <c r="F6267" s="102">
        <f t="shared" si="3121"/>
        <v>110000.00000000001</v>
      </c>
      <c r="G6267" s="102">
        <f t="shared" si="3122"/>
        <v>100000</v>
      </c>
      <c r="H6267" s="690" t="s">
        <v>179</v>
      </c>
      <c r="I6267" s="690" t="s">
        <v>179</v>
      </c>
      <c r="J6267" s="53">
        <f t="shared" si="3123"/>
        <v>52000</v>
      </c>
      <c r="K6267" s="63">
        <f t="shared" si="3124"/>
        <v>0.51999999999999991</v>
      </c>
      <c r="L6267" s="1212" t="s">
        <v>3902</v>
      </c>
      <c r="M6267" s="468"/>
      <c r="N6267" s="1192">
        <f>A6267</f>
        <v>45215</v>
      </c>
      <c r="O6267" s="71" t="s">
        <v>94</v>
      </c>
      <c r="P6267" s="103" t="str">
        <f t="shared" si="3106"/>
        <v>주머니 필터백</v>
      </c>
      <c r="Q6267" s="71">
        <f t="shared" si="3107"/>
        <v>2</v>
      </c>
      <c r="R6267" s="102">
        <v>24000</v>
      </c>
      <c r="S6267" s="102">
        <f t="shared" si="3110"/>
        <v>52800.000000000007</v>
      </c>
      <c r="T6267" s="102">
        <f t="shared" si="3111"/>
        <v>48000</v>
      </c>
      <c r="U6267" s="71"/>
      <c r="V6267" s="71"/>
      <c r="W6267" s="474"/>
      <c r="X6267" s="71"/>
      <c r="Y6267" s="71"/>
    </row>
    <row r="6268" spans="1:25" ht="30" hidden="1" customHeight="1" x14ac:dyDescent="0.25">
      <c r="A6268" s="1145">
        <v>45224</v>
      </c>
      <c r="B6268" s="664" t="s">
        <v>1060</v>
      </c>
      <c r="C6268" s="71" t="s">
        <v>3847</v>
      </c>
      <c r="D6268" s="71">
        <v>300</v>
      </c>
      <c r="E6268" s="102">
        <v>5710</v>
      </c>
      <c r="F6268" s="102">
        <f t="shared" si="3121"/>
        <v>1884300.0000000002</v>
      </c>
      <c r="G6268" s="102">
        <f t="shared" si="3122"/>
        <v>1713000</v>
      </c>
      <c r="H6268" s="690" t="s">
        <v>36</v>
      </c>
      <c r="I6268" s="71" t="s">
        <v>2529</v>
      </c>
      <c r="J6268" s="53">
        <f t="shared" si="3123"/>
        <v>529500</v>
      </c>
      <c r="K6268" s="63">
        <f t="shared" si="3124"/>
        <v>0.30910683012259188</v>
      </c>
      <c r="L6268" s="1212" t="s">
        <v>3902</v>
      </c>
      <c r="M6268" s="102" t="s">
        <v>3848</v>
      </c>
      <c r="N6268" s="1192">
        <v>45194</v>
      </c>
      <c r="O6268" s="71" t="s">
        <v>2030</v>
      </c>
      <c r="P6268" s="103" t="s">
        <v>3908</v>
      </c>
      <c r="Q6268" s="71">
        <f t="shared" si="3107"/>
        <v>300</v>
      </c>
      <c r="R6268" s="102">
        <v>3945</v>
      </c>
      <c r="S6268" s="102">
        <f t="shared" si="3110"/>
        <v>1301850</v>
      </c>
      <c r="T6268" s="102">
        <f t="shared" si="3111"/>
        <v>1183500</v>
      </c>
      <c r="U6268" s="71" t="s">
        <v>859</v>
      </c>
      <c r="V6268" s="71"/>
      <c r="W6268" s="474">
        <v>942000</v>
      </c>
      <c r="X6268" s="71"/>
      <c r="Y6268" s="71"/>
    </row>
    <row r="6269" spans="1:25" ht="30" hidden="1" customHeight="1" x14ac:dyDescent="0.25">
      <c r="A6269" s="1145">
        <v>45224</v>
      </c>
      <c r="B6269" s="664" t="s">
        <v>2255</v>
      </c>
      <c r="C6269" s="71" t="s">
        <v>3656</v>
      </c>
      <c r="D6269" s="71">
        <v>500</v>
      </c>
      <c r="E6269" s="102">
        <v>3610</v>
      </c>
      <c r="F6269" s="102">
        <f t="shared" si="3121"/>
        <v>1985500.0000000002</v>
      </c>
      <c r="G6269" s="102">
        <f t="shared" si="3122"/>
        <v>1805000</v>
      </c>
      <c r="H6269" s="690" t="s">
        <v>36</v>
      </c>
      <c r="I6269" s="71" t="s">
        <v>2529</v>
      </c>
      <c r="J6269" s="53">
        <f t="shared" si="3123"/>
        <v>558500</v>
      </c>
      <c r="K6269" s="63">
        <f t="shared" si="3124"/>
        <v>0.30941828254847642</v>
      </c>
      <c r="L6269" s="1212" t="s">
        <v>3902</v>
      </c>
      <c r="M6269" s="102" t="s">
        <v>3848</v>
      </c>
      <c r="N6269" s="1192">
        <v>45194</v>
      </c>
      <c r="O6269" s="71" t="s">
        <v>2030</v>
      </c>
      <c r="P6269" s="103" t="s">
        <v>3909</v>
      </c>
      <c r="Q6269" s="71">
        <f t="shared" si="3107"/>
        <v>500</v>
      </c>
      <c r="R6269" s="102">
        <v>2493</v>
      </c>
      <c r="S6269" s="102">
        <f t="shared" si="3110"/>
        <v>1371150</v>
      </c>
      <c r="T6269" s="102">
        <f t="shared" si="3111"/>
        <v>1246500</v>
      </c>
      <c r="U6269" s="71" t="s">
        <v>859</v>
      </c>
      <c r="V6269" s="71"/>
      <c r="W6269" s="474">
        <v>1274000</v>
      </c>
      <c r="X6269" s="71"/>
      <c r="Y6269" s="71"/>
    </row>
    <row r="6270" spans="1:25" ht="30" hidden="1" customHeight="1" x14ac:dyDescent="0.25">
      <c r="A6270" s="1145">
        <v>45224</v>
      </c>
      <c r="B6270" s="664" t="s">
        <v>2255</v>
      </c>
      <c r="C6270" s="71" t="s">
        <v>3657</v>
      </c>
      <c r="D6270" s="71">
        <v>3400</v>
      </c>
      <c r="E6270" s="102">
        <v>3410</v>
      </c>
      <c r="F6270" s="102">
        <f t="shared" si="3121"/>
        <v>12753400.000000002</v>
      </c>
      <c r="G6270" s="102">
        <f t="shared" si="3122"/>
        <v>11594000</v>
      </c>
      <c r="H6270" s="690" t="s">
        <v>36</v>
      </c>
      <c r="I6270" s="71" t="s">
        <v>2529</v>
      </c>
      <c r="J6270" s="53">
        <f t="shared" si="3123"/>
        <v>3539400</v>
      </c>
      <c r="K6270" s="63">
        <f t="shared" si="3124"/>
        <v>0.30527859237536653</v>
      </c>
      <c r="L6270" s="1212" t="s">
        <v>3902</v>
      </c>
      <c r="M6270" s="102" t="s">
        <v>3848</v>
      </c>
      <c r="N6270" s="1192">
        <v>45194</v>
      </c>
      <c r="O6270" s="71" t="s">
        <v>2030</v>
      </c>
      <c r="P6270" s="103" t="s">
        <v>3910</v>
      </c>
      <c r="Q6270" s="71">
        <f t="shared" si="3107"/>
        <v>3400</v>
      </c>
      <c r="R6270" s="102">
        <v>2369</v>
      </c>
      <c r="S6270" s="102">
        <f t="shared" si="3110"/>
        <v>8860060</v>
      </c>
      <c r="T6270" s="102">
        <f t="shared" si="3111"/>
        <v>8054600</v>
      </c>
      <c r="U6270" s="71" t="s">
        <v>859</v>
      </c>
      <c r="V6270" s="71"/>
      <c r="W6270" s="474">
        <v>3325000</v>
      </c>
      <c r="X6270" s="71"/>
      <c r="Y6270" s="71"/>
    </row>
    <row r="6271" spans="1:25" ht="30" hidden="1" customHeight="1" x14ac:dyDescent="0.25">
      <c r="A6271" s="1145">
        <v>45224</v>
      </c>
      <c r="B6271" s="664" t="s">
        <v>2255</v>
      </c>
      <c r="C6271" s="71" t="s">
        <v>3849</v>
      </c>
      <c r="D6271" s="71">
        <v>3100</v>
      </c>
      <c r="E6271" s="102">
        <v>5790</v>
      </c>
      <c r="F6271" s="102">
        <f t="shared" si="3121"/>
        <v>19743900</v>
      </c>
      <c r="G6271" s="102">
        <f t="shared" si="3122"/>
        <v>17949000</v>
      </c>
      <c r="H6271" s="690" t="s">
        <v>36</v>
      </c>
      <c r="I6271" s="71" t="s">
        <v>2529</v>
      </c>
      <c r="J6271" s="53">
        <f t="shared" si="3123"/>
        <v>5561400</v>
      </c>
      <c r="K6271" s="63">
        <f t="shared" si="3124"/>
        <v>0.30984455958549223</v>
      </c>
      <c r="L6271" s="1212" t="s">
        <v>3902</v>
      </c>
      <c r="M6271" s="102" t="s">
        <v>3848</v>
      </c>
      <c r="N6271" s="1192">
        <v>45194</v>
      </c>
      <c r="O6271" s="71" t="s">
        <v>2030</v>
      </c>
      <c r="P6271" s="103" t="s">
        <v>3911</v>
      </c>
      <c r="Q6271" s="71">
        <f t="shared" si="3107"/>
        <v>3100</v>
      </c>
      <c r="R6271" s="102">
        <v>3996</v>
      </c>
      <c r="S6271" s="102">
        <f t="shared" si="3110"/>
        <v>13626360.000000002</v>
      </c>
      <c r="T6271" s="102">
        <f t="shared" si="3111"/>
        <v>12387600</v>
      </c>
      <c r="U6271" s="71" t="s">
        <v>859</v>
      </c>
      <c r="V6271" s="71"/>
      <c r="W6271" s="474">
        <v>636000</v>
      </c>
      <c r="X6271" s="71"/>
      <c r="Y6271" s="71"/>
    </row>
    <row r="6272" spans="1:25" ht="30" hidden="1" customHeight="1" x14ac:dyDescent="0.25">
      <c r="A6272" s="1145">
        <v>45224</v>
      </c>
      <c r="B6272" s="664" t="s">
        <v>2255</v>
      </c>
      <c r="C6272" s="71" t="s">
        <v>3850</v>
      </c>
      <c r="D6272" s="71">
        <v>300</v>
      </c>
      <c r="E6272" s="102">
        <v>6010</v>
      </c>
      <c r="F6272" s="102">
        <f t="shared" si="3121"/>
        <v>1983300.0000000002</v>
      </c>
      <c r="G6272" s="102">
        <f t="shared" si="3122"/>
        <v>1803000</v>
      </c>
      <c r="H6272" s="690" t="s">
        <v>36</v>
      </c>
      <c r="I6272" s="71" t="s">
        <v>2529</v>
      </c>
      <c r="J6272" s="53">
        <f t="shared" si="3123"/>
        <v>557700</v>
      </c>
      <c r="K6272" s="63">
        <f t="shared" si="3124"/>
        <v>0.30931780366056566</v>
      </c>
      <c r="L6272" s="1212" t="s">
        <v>3902</v>
      </c>
      <c r="M6272" s="102" t="s">
        <v>3848</v>
      </c>
      <c r="N6272" s="1192">
        <v>45194</v>
      </c>
      <c r="O6272" s="71" t="s">
        <v>2030</v>
      </c>
      <c r="P6272" s="103" t="s">
        <v>3912</v>
      </c>
      <c r="Q6272" s="71">
        <f t="shared" si="3107"/>
        <v>300</v>
      </c>
      <c r="R6272" s="102">
        <v>4151</v>
      </c>
      <c r="S6272" s="102">
        <f t="shared" si="3110"/>
        <v>1369830</v>
      </c>
      <c r="T6272" s="102">
        <f t="shared" si="3111"/>
        <v>1245300</v>
      </c>
      <c r="U6272" s="71" t="s">
        <v>859</v>
      </c>
      <c r="V6272" s="71"/>
      <c r="W6272" s="474">
        <v>1476000</v>
      </c>
      <c r="X6272" s="71"/>
      <c r="Y6272" s="71"/>
    </row>
    <row r="6273" spans="1:25" ht="30" hidden="1" customHeight="1" x14ac:dyDescent="0.25">
      <c r="A6273" s="1145">
        <v>45224</v>
      </c>
      <c r="B6273" s="664" t="s">
        <v>2255</v>
      </c>
      <c r="C6273" s="71" t="s">
        <v>3851</v>
      </c>
      <c r="D6273" s="71">
        <v>1000</v>
      </c>
      <c r="E6273" s="102">
        <v>4280</v>
      </c>
      <c r="F6273" s="102">
        <f t="shared" si="3121"/>
        <v>4708000</v>
      </c>
      <c r="G6273" s="102">
        <f t="shared" si="3122"/>
        <v>4280000</v>
      </c>
      <c r="H6273" s="690" t="s">
        <v>36</v>
      </c>
      <c r="I6273" s="71" t="s">
        <v>2529</v>
      </c>
      <c r="J6273" s="53">
        <f t="shared" si="3123"/>
        <v>1314000</v>
      </c>
      <c r="K6273" s="63">
        <f t="shared" si="3124"/>
        <v>0.30700934579439254</v>
      </c>
      <c r="L6273" s="1212" t="s">
        <v>3902</v>
      </c>
      <c r="M6273" s="102" t="s">
        <v>3848</v>
      </c>
      <c r="N6273" s="1192">
        <v>45194</v>
      </c>
      <c r="O6273" s="71" t="s">
        <v>2030</v>
      </c>
      <c r="P6273" s="103" t="s">
        <v>3913</v>
      </c>
      <c r="Q6273" s="71">
        <f t="shared" si="3107"/>
        <v>1000</v>
      </c>
      <c r="R6273" s="102">
        <v>2966</v>
      </c>
      <c r="S6273" s="102">
        <f t="shared" si="3110"/>
        <v>3262600.0000000005</v>
      </c>
      <c r="T6273" s="102">
        <f t="shared" si="3111"/>
        <v>2966000</v>
      </c>
      <c r="U6273" s="71" t="s">
        <v>859</v>
      </c>
      <c r="V6273" s="71"/>
      <c r="W6273" s="474">
        <v>1416000</v>
      </c>
      <c r="X6273" s="71"/>
      <c r="Y6273" s="71"/>
    </row>
    <row r="6274" spans="1:25" ht="30" hidden="1" customHeight="1" x14ac:dyDescent="0.25">
      <c r="A6274" s="1145">
        <v>45224</v>
      </c>
      <c r="B6274" s="664" t="s">
        <v>2255</v>
      </c>
      <c r="C6274" s="71" t="s">
        <v>3661</v>
      </c>
      <c r="D6274" s="71">
        <v>25</v>
      </c>
      <c r="E6274" s="102">
        <v>51920</v>
      </c>
      <c r="F6274" s="102">
        <f t="shared" si="3121"/>
        <v>1427800</v>
      </c>
      <c r="G6274" s="102">
        <f t="shared" si="3122"/>
        <v>1298000</v>
      </c>
      <c r="H6274" s="690" t="s">
        <v>179</v>
      </c>
      <c r="I6274" s="71" t="s">
        <v>3405</v>
      </c>
      <c r="J6274" s="53">
        <f t="shared" si="3123"/>
        <v>298000</v>
      </c>
      <c r="K6274" s="63">
        <f t="shared" si="3124"/>
        <v>0.2295839753466872</v>
      </c>
      <c r="L6274" s="1212" t="s">
        <v>3902</v>
      </c>
      <c r="M6274" s="468"/>
      <c r="N6274" s="1192">
        <v>45194</v>
      </c>
      <c r="O6274" s="71" t="s">
        <v>2030</v>
      </c>
      <c r="P6274" s="103" t="s">
        <v>3914</v>
      </c>
      <c r="Q6274" s="71">
        <f t="shared" si="3107"/>
        <v>25</v>
      </c>
      <c r="R6274" s="102">
        <v>40000</v>
      </c>
      <c r="S6274" s="102">
        <f t="shared" si="3110"/>
        <v>1100000</v>
      </c>
      <c r="T6274" s="102">
        <f t="shared" si="3111"/>
        <v>1000000</v>
      </c>
      <c r="U6274" s="71" t="s">
        <v>859</v>
      </c>
      <c r="V6274" s="71"/>
      <c r="W6274" s="474">
        <v>978750</v>
      </c>
      <c r="X6274" s="71"/>
      <c r="Y6274" s="71"/>
    </row>
    <row r="6275" spans="1:25" ht="30" hidden="1" customHeight="1" x14ac:dyDescent="0.25">
      <c r="A6275" s="1145">
        <v>45224</v>
      </c>
      <c r="B6275" s="664" t="s">
        <v>2254</v>
      </c>
      <c r="C6275" s="71" t="s">
        <v>3319</v>
      </c>
      <c r="D6275" s="71">
        <v>200</v>
      </c>
      <c r="E6275" s="102">
        <v>6328</v>
      </c>
      <c r="F6275" s="102">
        <f t="shared" si="3121"/>
        <v>1392160</v>
      </c>
      <c r="G6275" s="102">
        <f t="shared" si="3122"/>
        <v>1265600</v>
      </c>
      <c r="H6275" s="690" t="s">
        <v>36</v>
      </c>
      <c r="I6275" s="71" t="s">
        <v>3320</v>
      </c>
      <c r="J6275" s="53">
        <f t="shared" si="3123"/>
        <v>95600</v>
      </c>
      <c r="K6275" s="63">
        <f t="shared" si="3124"/>
        <v>7.5537294563843241E-2</v>
      </c>
      <c r="L6275" s="1212" t="s">
        <v>3902</v>
      </c>
      <c r="M6275" s="468"/>
      <c r="N6275" s="1192">
        <v>45194</v>
      </c>
      <c r="O6275" s="71" t="s">
        <v>146</v>
      </c>
      <c r="P6275" s="103" t="s">
        <v>3319</v>
      </c>
      <c r="Q6275" s="71">
        <f t="shared" si="3107"/>
        <v>200</v>
      </c>
      <c r="R6275" s="102">
        <v>5850</v>
      </c>
      <c r="S6275" s="102">
        <f t="shared" si="3110"/>
        <v>1287000</v>
      </c>
      <c r="T6275" s="102">
        <f t="shared" si="3111"/>
        <v>1170000</v>
      </c>
      <c r="U6275" s="71" t="s">
        <v>859</v>
      </c>
      <c r="V6275" s="71"/>
      <c r="W6275" s="474">
        <v>411200</v>
      </c>
      <c r="X6275" s="71"/>
      <c r="Y6275" s="71"/>
    </row>
    <row r="6276" spans="1:25" ht="30" hidden="1" customHeight="1" x14ac:dyDescent="0.25">
      <c r="A6276" s="1145">
        <v>45224</v>
      </c>
      <c r="B6276" s="664" t="s">
        <v>2254</v>
      </c>
      <c r="C6276" s="71" t="s">
        <v>3321</v>
      </c>
      <c r="D6276" s="71">
        <v>400</v>
      </c>
      <c r="E6276" s="102">
        <v>6780</v>
      </c>
      <c r="F6276" s="102">
        <f t="shared" si="3121"/>
        <v>2983200.0000000005</v>
      </c>
      <c r="G6276" s="102">
        <f t="shared" si="3122"/>
        <v>2712000</v>
      </c>
      <c r="H6276" s="690" t="s">
        <v>36</v>
      </c>
      <c r="I6276" s="71" t="s">
        <v>3320</v>
      </c>
      <c r="J6276" s="53">
        <f t="shared" si="3123"/>
        <v>200000</v>
      </c>
      <c r="K6276" s="63">
        <f t="shared" si="3124"/>
        <v>7.3746312684365767E-2</v>
      </c>
      <c r="L6276" s="1212" t="s">
        <v>3902</v>
      </c>
      <c r="M6276" s="468"/>
      <c r="N6276" s="1192">
        <v>45194</v>
      </c>
      <c r="O6276" s="71" t="s">
        <v>146</v>
      </c>
      <c r="P6276" s="103" t="s">
        <v>3321</v>
      </c>
      <c r="Q6276" s="71">
        <f t="shared" si="3107"/>
        <v>400</v>
      </c>
      <c r="R6276" s="102">
        <v>6280</v>
      </c>
      <c r="S6276" s="102">
        <f t="shared" si="3110"/>
        <v>2763200</v>
      </c>
      <c r="T6276" s="102">
        <f t="shared" si="3111"/>
        <v>2512000</v>
      </c>
      <c r="U6276" s="71" t="s">
        <v>859</v>
      </c>
      <c r="V6276" s="71"/>
      <c r="W6276" s="474">
        <v>292000</v>
      </c>
      <c r="X6276" s="71"/>
      <c r="Y6276" s="71"/>
    </row>
    <row r="6277" spans="1:25" ht="30" hidden="1" customHeight="1" x14ac:dyDescent="0.25">
      <c r="A6277" s="1145">
        <v>45224</v>
      </c>
      <c r="B6277" s="664" t="s">
        <v>2254</v>
      </c>
      <c r="C6277" s="71" t="s">
        <v>1289</v>
      </c>
      <c r="D6277" s="71">
        <v>600</v>
      </c>
      <c r="E6277" s="102">
        <v>6498</v>
      </c>
      <c r="F6277" s="102">
        <f t="shared" si="3121"/>
        <v>4288680</v>
      </c>
      <c r="G6277" s="102">
        <f t="shared" si="3122"/>
        <v>3898800</v>
      </c>
      <c r="H6277" s="690" t="s">
        <v>36</v>
      </c>
      <c r="I6277" s="71" t="s">
        <v>3320</v>
      </c>
      <c r="J6277" s="53">
        <f t="shared" si="3123"/>
        <v>286800</v>
      </c>
      <c r="K6277" s="63">
        <f t="shared" si="3124"/>
        <v>7.3561095721760547E-2</v>
      </c>
      <c r="L6277" s="1212" t="s">
        <v>3902</v>
      </c>
      <c r="M6277" s="468"/>
      <c r="N6277" s="1192">
        <v>45194</v>
      </c>
      <c r="O6277" s="71" t="s">
        <v>146</v>
      </c>
      <c r="P6277" s="103" t="s">
        <v>1289</v>
      </c>
      <c r="Q6277" s="71">
        <f t="shared" si="3107"/>
        <v>600</v>
      </c>
      <c r="R6277" s="102">
        <v>6020</v>
      </c>
      <c r="S6277" s="102">
        <f t="shared" si="3110"/>
        <v>3973200.0000000005</v>
      </c>
      <c r="T6277" s="102">
        <f t="shared" si="3111"/>
        <v>3612000</v>
      </c>
      <c r="U6277" s="71" t="s">
        <v>859</v>
      </c>
      <c r="V6277" s="71"/>
      <c r="W6277" s="474">
        <v>640800</v>
      </c>
      <c r="X6277" s="71"/>
      <c r="Y6277" s="71"/>
    </row>
    <row r="6278" spans="1:25" ht="30" hidden="1" customHeight="1" x14ac:dyDescent="0.25">
      <c r="A6278" s="1145">
        <v>45224</v>
      </c>
      <c r="B6278" s="664" t="s">
        <v>2254</v>
      </c>
      <c r="C6278" s="71" t="s">
        <v>1290</v>
      </c>
      <c r="D6278" s="71">
        <v>400</v>
      </c>
      <c r="E6278" s="102">
        <v>7910</v>
      </c>
      <c r="F6278" s="102">
        <f t="shared" si="3121"/>
        <v>3480400.0000000005</v>
      </c>
      <c r="G6278" s="102">
        <f t="shared" si="3122"/>
        <v>3164000</v>
      </c>
      <c r="H6278" s="690" t="s">
        <v>36</v>
      </c>
      <c r="I6278" s="71" t="s">
        <v>3320</v>
      </c>
      <c r="J6278" s="53">
        <f t="shared" ref="J6278:J6285" si="3125">G6278-T6278</f>
        <v>240000</v>
      </c>
      <c r="K6278" s="63">
        <f t="shared" si="3124"/>
        <v>7.5853350189633365E-2</v>
      </c>
      <c r="L6278" s="1212" t="s">
        <v>3902</v>
      </c>
      <c r="M6278" s="468"/>
      <c r="N6278" s="1192">
        <v>45194</v>
      </c>
      <c r="O6278" s="71" t="s">
        <v>146</v>
      </c>
      <c r="P6278" s="103" t="s">
        <v>1290</v>
      </c>
      <c r="Q6278" s="71">
        <f t="shared" si="3107"/>
        <v>400</v>
      </c>
      <c r="R6278" s="102">
        <v>7310</v>
      </c>
      <c r="S6278" s="102">
        <f t="shared" si="3110"/>
        <v>3216400.0000000005</v>
      </c>
      <c r="T6278" s="102">
        <f t="shared" si="3111"/>
        <v>2924000</v>
      </c>
      <c r="U6278" s="71" t="s">
        <v>859</v>
      </c>
      <c r="V6278" s="71"/>
      <c r="W6278" s="474">
        <v>846000</v>
      </c>
      <c r="X6278" s="71"/>
      <c r="Y6278" s="71"/>
    </row>
    <row r="6279" spans="1:25" ht="30" hidden="1" customHeight="1" x14ac:dyDescent="0.25">
      <c r="A6279" s="1145">
        <v>45224</v>
      </c>
      <c r="B6279" s="664" t="s">
        <v>2254</v>
      </c>
      <c r="C6279" s="71" t="s">
        <v>3322</v>
      </c>
      <c r="D6279" s="71"/>
      <c r="E6279" s="102">
        <v>7150</v>
      </c>
      <c r="F6279" s="102">
        <f t="shared" si="3121"/>
        <v>0</v>
      </c>
      <c r="G6279" s="102">
        <f t="shared" si="3122"/>
        <v>0</v>
      </c>
      <c r="H6279" s="690" t="s">
        <v>36</v>
      </c>
      <c r="I6279" s="71" t="s">
        <v>3320</v>
      </c>
      <c r="J6279" s="53">
        <f t="shared" si="3125"/>
        <v>0</v>
      </c>
      <c r="K6279" s="63" t="e">
        <f t="shared" si="3124"/>
        <v>#DIV/0!</v>
      </c>
      <c r="L6279" s="1212" t="s">
        <v>3902</v>
      </c>
      <c r="M6279" s="468"/>
      <c r="N6279" s="1192">
        <v>45194</v>
      </c>
      <c r="O6279" s="71" t="s">
        <v>3323</v>
      </c>
      <c r="P6279" s="103" t="s">
        <v>3322</v>
      </c>
      <c r="Q6279" s="71">
        <f t="shared" si="3107"/>
        <v>0</v>
      </c>
      <c r="R6279" s="102">
        <v>6500</v>
      </c>
      <c r="S6279" s="102">
        <f t="shared" si="3110"/>
        <v>0</v>
      </c>
      <c r="T6279" s="102">
        <f t="shared" si="3111"/>
        <v>0</v>
      </c>
      <c r="U6279" s="71" t="s">
        <v>859</v>
      </c>
      <c r="V6279" s="71"/>
      <c r="W6279" s="474">
        <v>0</v>
      </c>
      <c r="X6279" s="71"/>
      <c r="Y6279" s="71"/>
    </row>
    <row r="6280" spans="1:25" ht="30" hidden="1" customHeight="1" x14ac:dyDescent="0.25">
      <c r="A6280" s="1145">
        <v>45224</v>
      </c>
      <c r="B6280" s="664" t="s">
        <v>2254</v>
      </c>
      <c r="C6280" s="71" t="s">
        <v>3324</v>
      </c>
      <c r="D6280" s="71"/>
      <c r="E6280" s="102">
        <v>6900</v>
      </c>
      <c r="F6280" s="102">
        <f t="shared" si="3121"/>
        <v>0</v>
      </c>
      <c r="G6280" s="102">
        <f t="shared" si="3122"/>
        <v>0</v>
      </c>
      <c r="H6280" s="690" t="s">
        <v>36</v>
      </c>
      <c r="I6280" s="71" t="s">
        <v>3320</v>
      </c>
      <c r="J6280" s="53">
        <f t="shared" si="3125"/>
        <v>0</v>
      </c>
      <c r="K6280" s="63" t="e">
        <f t="shared" si="3124"/>
        <v>#DIV/0!</v>
      </c>
      <c r="L6280" s="1212" t="s">
        <v>3902</v>
      </c>
      <c r="M6280" s="468"/>
      <c r="N6280" s="1192">
        <v>45194</v>
      </c>
      <c r="O6280" s="71" t="s">
        <v>3323</v>
      </c>
      <c r="P6280" s="103" t="s">
        <v>3324</v>
      </c>
      <c r="Q6280" s="71">
        <f t="shared" si="3107"/>
        <v>0</v>
      </c>
      <c r="R6280" s="102">
        <v>6200</v>
      </c>
      <c r="S6280" s="102">
        <f t="shared" si="3110"/>
        <v>0</v>
      </c>
      <c r="T6280" s="102">
        <f t="shared" si="3111"/>
        <v>0</v>
      </c>
      <c r="U6280" s="71" t="s">
        <v>859</v>
      </c>
      <c r="V6280" s="71"/>
      <c r="W6280" s="474">
        <v>0</v>
      </c>
      <c r="X6280" s="71"/>
      <c r="Y6280" s="71"/>
    </row>
    <row r="6281" spans="1:25" ht="28.5" hidden="1" customHeight="1" x14ac:dyDescent="0.25">
      <c r="A6281" s="1145">
        <v>45224</v>
      </c>
      <c r="B6281" s="664" t="s">
        <v>2254</v>
      </c>
      <c r="C6281" s="71" t="s">
        <v>3325</v>
      </c>
      <c r="D6281" s="71"/>
      <c r="E6281" s="102">
        <v>7500</v>
      </c>
      <c r="F6281" s="102">
        <f t="shared" si="3121"/>
        <v>0</v>
      </c>
      <c r="G6281" s="102">
        <f t="shared" si="3122"/>
        <v>0</v>
      </c>
      <c r="H6281" s="690" t="s">
        <v>36</v>
      </c>
      <c r="I6281" s="71" t="s">
        <v>3320</v>
      </c>
      <c r="J6281" s="53">
        <f t="shared" si="3125"/>
        <v>0</v>
      </c>
      <c r="K6281" s="63" t="e">
        <f t="shared" si="3124"/>
        <v>#DIV/0!</v>
      </c>
      <c r="L6281" s="1212" t="s">
        <v>3902</v>
      </c>
      <c r="M6281" s="468"/>
      <c r="N6281" s="1192">
        <v>45194</v>
      </c>
      <c r="O6281" s="71" t="s">
        <v>3323</v>
      </c>
      <c r="P6281" s="103" t="s">
        <v>3325</v>
      </c>
      <c r="Q6281" s="71">
        <f t="shared" si="3107"/>
        <v>0</v>
      </c>
      <c r="R6281" s="102">
        <v>6600</v>
      </c>
      <c r="S6281" s="102">
        <f t="shared" si="3110"/>
        <v>0</v>
      </c>
      <c r="T6281" s="102">
        <f t="shared" si="3111"/>
        <v>0</v>
      </c>
      <c r="U6281" s="71" t="s">
        <v>859</v>
      </c>
      <c r="V6281" s="71"/>
      <c r="W6281" s="474">
        <v>0</v>
      </c>
      <c r="X6281" s="71"/>
      <c r="Y6281" s="71"/>
    </row>
    <row r="6282" spans="1:25" ht="30" hidden="1" customHeight="1" x14ac:dyDescent="0.25">
      <c r="A6282" s="1145">
        <v>45224</v>
      </c>
      <c r="B6282" s="664" t="s">
        <v>2254</v>
      </c>
      <c r="C6282" s="71" t="s">
        <v>3326</v>
      </c>
      <c r="D6282" s="71"/>
      <c r="E6282" s="102">
        <v>6450</v>
      </c>
      <c r="F6282" s="102">
        <f t="shared" si="3121"/>
        <v>0</v>
      </c>
      <c r="G6282" s="102">
        <f t="shared" si="3122"/>
        <v>0</v>
      </c>
      <c r="H6282" s="690" t="s">
        <v>36</v>
      </c>
      <c r="I6282" s="71" t="s">
        <v>3320</v>
      </c>
      <c r="J6282" s="53">
        <f t="shared" si="3125"/>
        <v>0</v>
      </c>
      <c r="K6282" s="63" t="e">
        <f t="shared" si="3124"/>
        <v>#DIV/0!</v>
      </c>
      <c r="L6282" s="1212" t="s">
        <v>3902</v>
      </c>
      <c r="M6282" s="468"/>
      <c r="N6282" s="1192">
        <v>45194</v>
      </c>
      <c r="O6282" s="71" t="s">
        <v>3323</v>
      </c>
      <c r="P6282" s="103" t="s">
        <v>3326</v>
      </c>
      <c r="Q6282" s="71">
        <f t="shared" si="3107"/>
        <v>0</v>
      </c>
      <c r="R6282" s="102">
        <v>5700</v>
      </c>
      <c r="S6282" s="102">
        <f t="shared" si="3110"/>
        <v>0</v>
      </c>
      <c r="T6282" s="102">
        <f t="shared" si="3111"/>
        <v>0</v>
      </c>
      <c r="U6282" s="71" t="s">
        <v>859</v>
      </c>
      <c r="V6282" s="71"/>
      <c r="W6282" s="474">
        <v>0</v>
      </c>
      <c r="X6282" s="71"/>
      <c r="Y6282" s="71"/>
    </row>
    <row r="6283" spans="1:25" ht="30" hidden="1" customHeight="1" x14ac:dyDescent="0.25">
      <c r="A6283" s="1145">
        <v>45224</v>
      </c>
      <c r="B6283" s="664" t="s">
        <v>2254</v>
      </c>
      <c r="C6283" s="71" t="s">
        <v>3871</v>
      </c>
      <c r="D6283" s="71">
        <v>0</v>
      </c>
      <c r="E6283" s="102">
        <v>9500</v>
      </c>
      <c r="F6283" s="102">
        <f t="shared" si="3121"/>
        <v>0</v>
      </c>
      <c r="G6283" s="102">
        <f t="shared" si="3122"/>
        <v>0</v>
      </c>
      <c r="H6283" s="690" t="s">
        <v>36</v>
      </c>
      <c r="I6283" s="71" t="s">
        <v>3320</v>
      </c>
      <c r="J6283" s="53">
        <f t="shared" si="3125"/>
        <v>0</v>
      </c>
      <c r="K6283" s="63" t="e">
        <f t="shared" si="3124"/>
        <v>#DIV/0!</v>
      </c>
      <c r="L6283" s="1212" t="s">
        <v>3902</v>
      </c>
      <c r="M6283" s="468"/>
      <c r="N6283" s="1192">
        <v>45194</v>
      </c>
      <c r="O6283" s="71" t="s">
        <v>3900</v>
      </c>
      <c r="P6283" s="103" t="s">
        <v>3915</v>
      </c>
      <c r="Q6283" s="71">
        <f t="shared" si="3107"/>
        <v>0</v>
      </c>
      <c r="R6283" s="102">
        <v>9000</v>
      </c>
      <c r="S6283" s="102">
        <f t="shared" si="3110"/>
        <v>0</v>
      </c>
      <c r="T6283" s="102">
        <f t="shared" si="3111"/>
        <v>0</v>
      </c>
      <c r="U6283" s="71"/>
      <c r="V6283" s="71"/>
      <c r="W6283" s="474"/>
      <c r="X6283" s="71"/>
      <c r="Y6283" s="71"/>
    </row>
    <row r="6284" spans="1:25" ht="30" hidden="1" customHeight="1" x14ac:dyDescent="0.25">
      <c r="A6284" s="1145">
        <v>45224</v>
      </c>
      <c r="B6284" s="664" t="s">
        <v>443</v>
      </c>
      <c r="C6284" s="71" t="s">
        <v>3392</v>
      </c>
      <c r="D6284" s="71">
        <v>0</v>
      </c>
      <c r="E6284" s="102">
        <v>218000</v>
      </c>
      <c r="F6284" s="102">
        <f t="shared" si="3121"/>
        <v>0</v>
      </c>
      <c r="G6284" s="102">
        <f t="shared" si="3122"/>
        <v>0</v>
      </c>
      <c r="H6284" s="690" t="s">
        <v>172</v>
      </c>
      <c r="I6284" s="71" t="s">
        <v>184</v>
      </c>
      <c r="J6284" s="53">
        <f t="shared" ref="J6284" si="3126">G6284-T6284</f>
        <v>0</v>
      </c>
      <c r="K6284" s="63" t="e">
        <f t="shared" ref="K6284" si="3127">(J6284/(F6284/11*10))</f>
        <v>#DIV/0!</v>
      </c>
      <c r="L6284" s="1212" t="s">
        <v>3902</v>
      </c>
      <c r="M6284" s="468" t="s">
        <v>3393</v>
      </c>
      <c r="N6284" s="1192">
        <v>45194</v>
      </c>
      <c r="O6284" s="71" t="s">
        <v>2030</v>
      </c>
      <c r="P6284" s="103" t="s">
        <v>3916</v>
      </c>
      <c r="Q6284" s="71">
        <f t="shared" si="3107"/>
        <v>0</v>
      </c>
      <c r="R6284" s="102">
        <v>166500</v>
      </c>
      <c r="S6284" s="102">
        <f t="shared" si="3110"/>
        <v>0</v>
      </c>
      <c r="T6284" s="102">
        <f t="shared" si="3111"/>
        <v>0</v>
      </c>
      <c r="U6284" s="71" t="s">
        <v>859</v>
      </c>
      <c r="V6284" s="71" t="s">
        <v>3394</v>
      </c>
      <c r="W6284" s="474">
        <v>464000</v>
      </c>
      <c r="X6284" s="71"/>
      <c r="Y6284" s="71"/>
    </row>
    <row r="6285" spans="1:25" ht="30" hidden="1" customHeight="1" x14ac:dyDescent="0.25">
      <c r="A6285" s="1145">
        <v>45224</v>
      </c>
      <c r="B6285" s="664" t="s">
        <v>443</v>
      </c>
      <c r="C6285" s="71" t="s">
        <v>3918</v>
      </c>
      <c r="D6285" s="71">
        <v>1</v>
      </c>
      <c r="E6285" s="102">
        <v>2350000</v>
      </c>
      <c r="F6285" s="102">
        <f t="shared" si="3121"/>
        <v>2585000</v>
      </c>
      <c r="G6285" s="102">
        <f t="shared" si="3122"/>
        <v>2350000</v>
      </c>
      <c r="H6285" s="690" t="s">
        <v>179</v>
      </c>
      <c r="I6285" s="690" t="s">
        <v>179</v>
      </c>
      <c r="J6285" s="53">
        <f t="shared" si="3125"/>
        <v>600000</v>
      </c>
      <c r="K6285" s="63">
        <f t="shared" si="3124"/>
        <v>0.25531914893617019</v>
      </c>
      <c r="L6285" s="1212" t="s">
        <v>3902</v>
      </c>
      <c r="M6285" s="468"/>
      <c r="N6285" s="1192">
        <v>45194</v>
      </c>
      <c r="O6285" s="71" t="s">
        <v>194</v>
      </c>
      <c r="P6285" s="103" t="s">
        <v>3917</v>
      </c>
      <c r="Q6285" s="71">
        <f t="shared" si="3107"/>
        <v>1</v>
      </c>
      <c r="R6285" s="147">
        <v>1750000</v>
      </c>
      <c r="S6285" s="102">
        <f t="shared" si="3110"/>
        <v>1925000.0000000002</v>
      </c>
      <c r="T6285" s="102">
        <f t="shared" si="3111"/>
        <v>1750000</v>
      </c>
      <c r="U6285" s="71"/>
      <c r="V6285" s="71"/>
      <c r="W6285" s="474"/>
      <c r="X6285" s="71"/>
      <c r="Y6285" s="71"/>
    </row>
    <row r="6286" spans="1:25" s="209" customFormat="1" ht="30" hidden="1" customHeight="1" x14ac:dyDescent="0.25">
      <c r="A6286" s="1145">
        <v>45214</v>
      </c>
      <c r="B6286" s="664" t="s">
        <v>443</v>
      </c>
      <c r="C6286" s="71" t="s">
        <v>3919</v>
      </c>
      <c r="D6286" s="71">
        <v>1</v>
      </c>
      <c r="E6286" s="102">
        <v>2625000</v>
      </c>
      <c r="F6286" s="102">
        <f t="shared" si="3121"/>
        <v>2887500.0000000005</v>
      </c>
      <c r="G6286" s="102">
        <f t="shared" si="3122"/>
        <v>2625000</v>
      </c>
      <c r="H6286" s="690" t="s">
        <v>281</v>
      </c>
      <c r="I6286" s="71" t="s">
        <v>281</v>
      </c>
      <c r="J6286" s="53"/>
      <c r="K6286" s="63"/>
      <c r="L6286" s="1212" t="s">
        <v>3902</v>
      </c>
      <c r="M6286" s="468"/>
      <c r="N6286" s="1192">
        <f t="shared" ref="N6286:N6287" si="3128">A6286</f>
        <v>45214</v>
      </c>
      <c r="O6286" s="71"/>
      <c r="P6286" s="164" t="str">
        <f t="shared" ref="P6286:P6287" si="3129">(C6286)</f>
        <v>M-600 서비스 계약(4회차)</v>
      </c>
      <c r="Q6286" s="71">
        <f t="shared" si="3107"/>
        <v>1</v>
      </c>
      <c r="R6286" s="102"/>
      <c r="S6286" s="102">
        <f t="shared" si="3110"/>
        <v>0</v>
      </c>
      <c r="T6286" s="102">
        <f t="shared" si="3111"/>
        <v>0</v>
      </c>
      <c r="U6286" s="71"/>
      <c r="V6286" s="71"/>
      <c r="W6286" s="474"/>
      <c r="X6286" s="71"/>
      <c r="Y6286" s="71"/>
    </row>
    <row r="6287" spans="1:25" s="209" customFormat="1" ht="30" hidden="1" customHeight="1" x14ac:dyDescent="0.25">
      <c r="A6287" s="1145">
        <v>45217</v>
      </c>
      <c r="B6287" s="664" t="s">
        <v>575</v>
      </c>
      <c r="C6287" s="71" t="s">
        <v>3920</v>
      </c>
      <c r="D6287" s="71">
        <v>1</v>
      </c>
      <c r="E6287" s="102">
        <v>8450000</v>
      </c>
      <c r="F6287" s="102">
        <f t="shared" si="3121"/>
        <v>9295000</v>
      </c>
      <c r="G6287" s="102">
        <f t="shared" si="3122"/>
        <v>8450000</v>
      </c>
      <c r="H6287" s="690" t="s">
        <v>1431</v>
      </c>
      <c r="I6287" s="71" t="s">
        <v>1431</v>
      </c>
      <c r="J6287" s="53">
        <f t="shared" ref="J6287" si="3130">G6287-T6287</f>
        <v>450000</v>
      </c>
      <c r="K6287" s="63">
        <f t="shared" ref="K6287" si="3131">(J6287/(F6287/11*10))</f>
        <v>5.3254437869822487E-2</v>
      </c>
      <c r="L6287" s="1212" t="s">
        <v>3902</v>
      </c>
      <c r="M6287" s="468"/>
      <c r="N6287" s="1192">
        <f t="shared" si="3128"/>
        <v>45217</v>
      </c>
      <c r="O6287" s="71" t="s">
        <v>1130</v>
      </c>
      <c r="P6287" s="164" t="str">
        <f t="shared" si="3129"/>
        <v>M600 드라이어 열풍 팬 제작 및 조립</v>
      </c>
      <c r="Q6287" s="71">
        <f t="shared" si="3107"/>
        <v>1</v>
      </c>
      <c r="R6287" s="102">
        <v>8000000</v>
      </c>
      <c r="S6287" s="102">
        <f t="shared" si="3110"/>
        <v>8800000</v>
      </c>
      <c r="T6287" s="102">
        <f t="shared" si="3111"/>
        <v>8000000</v>
      </c>
      <c r="U6287" s="71"/>
      <c r="V6287" s="71"/>
      <c r="W6287" s="474"/>
      <c r="X6287" s="71"/>
      <c r="Y6287" s="71"/>
    </row>
    <row r="6288" spans="1:25" ht="30" hidden="1" customHeight="1" x14ac:dyDescent="0.25">
      <c r="A6288" s="1145">
        <v>45205</v>
      </c>
      <c r="B6288" s="664" t="s">
        <v>2798</v>
      </c>
      <c r="C6288" s="71" t="s">
        <v>167</v>
      </c>
      <c r="D6288" s="71">
        <v>10</v>
      </c>
      <c r="E6288" s="102">
        <v>138000</v>
      </c>
      <c r="F6288" s="102">
        <f t="shared" si="3121"/>
        <v>1518000.0000000002</v>
      </c>
      <c r="G6288" s="102">
        <f t="shared" si="3122"/>
        <v>1380000</v>
      </c>
      <c r="H6288" s="690" t="s">
        <v>172</v>
      </c>
      <c r="I6288" s="71" t="s">
        <v>33</v>
      </c>
      <c r="J6288" s="53">
        <f t="shared" ref="J6288:J6301" si="3132">G6288-T6288</f>
        <v>368000</v>
      </c>
      <c r="K6288" s="63">
        <f t="shared" ref="K6288:K6299" si="3133">(J6288/(F6288/11*10))</f>
        <v>0.26666666666666661</v>
      </c>
      <c r="L6288" s="1212" t="s">
        <v>3902</v>
      </c>
      <c r="M6288" s="468"/>
      <c r="N6288" s="1192">
        <f t="shared" ref="N6288:N6299" si="3134">A6288</f>
        <v>45205</v>
      </c>
      <c r="O6288" s="71" t="s">
        <v>146</v>
      </c>
      <c r="P6288" s="103" t="str">
        <f t="shared" ref="P6288:P6299" si="3135">(C6288)</f>
        <v>Blanket(1060*860)</v>
      </c>
      <c r="Q6288" s="71">
        <f t="shared" si="3107"/>
        <v>10</v>
      </c>
      <c r="R6288" s="102">
        <v>101200</v>
      </c>
      <c r="S6288" s="102">
        <f t="shared" si="3110"/>
        <v>1113200</v>
      </c>
      <c r="T6288" s="102">
        <f t="shared" si="3111"/>
        <v>1012000</v>
      </c>
      <c r="U6288" s="71" t="str">
        <f>IF(J6288=W6288,"O", "X")</f>
        <v>X</v>
      </c>
      <c r="V6288" s="71"/>
      <c r="W6288" s="474"/>
      <c r="X6288" s="71"/>
      <c r="Y6288" s="71"/>
    </row>
    <row r="6289" spans="1:25" ht="30" hidden="1" customHeight="1" x14ac:dyDescent="0.25">
      <c r="A6289" s="1145">
        <v>45219</v>
      </c>
      <c r="B6289" s="664" t="s">
        <v>2798</v>
      </c>
      <c r="C6289" s="71" t="s">
        <v>167</v>
      </c>
      <c r="D6289" s="71">
        <v>10</v>
      </c>
      <c r="E6289" s="102">
        <v>138000</v>
      </c>
      <c r="F6289" s="102">
        <f t="shared" si="3121"/>
        <v>1518000.0000000002</v>
      </c>
      <c r="G6289" s="102">
        <f t="shared" si="3122"/>
        <v>1380000</v>
      </c>
      <c r="H6289" s="690" t="s">
        <v>172</v>
      </c>
      <c r="I6289" s="71" t="s">
        <v>33</v>
      </c>
      <c r="J6289" s="53">
        <f t="shared" si="3132"/>
        <v>368000</v>
      </c>
      <c r="K6289" s="63">
        <f t="shared" si="3133"/>
        <v>0.26666666666666661</v>
      </c>
      <c r="L6289" s="1212" t="s">
        <v>3902</v>
      </c>
      <c r="M6289" s="468"/>
      <c r="N6289" s="1192">
        <f t="shared" si="3134"/>
        <v>45219</v>
      </c>
      <c r="O6289" s="71" t="s">
        <v>146</v>
      </c>
      <c r="P6289" s="103" t="str">
        <f t="shared" si="3135"/>
        <v>Blanket(1060*860)</v>
      </c>
      <c r="Q6289" s="71">
        <f t="shared" si="3107"/>
        <v>10</v>
      </c>
      <c r="R6289" s="102">
        <v>101200</v>
      </c>
      <c r="S6289" s="102">
        <f t="shared" si="3110"/>
        <v>1113200</v>
      </c>
      <c r="T6289" s="102">
        <f t="shared" si="3111"/>
        <v>1012000</v>
      </c>
      <c r="U6289" s="71" t="str">
        <f>IF(J6289=W6289,"O", "X")</f>
        <v>X</v>
      </c>
      <c r="V6289" s="71"/>
      <c r="W6289" s="474"/>
      <c r="X6289" s="71"/>
      <c r="Y6289" s="71"/>
    </row>
    <row r="6290" spans="1:25" ht="30" hidden="1" customHeight="1" x14ac:dyDescent="0.25">
      <c r="A6290" s="1145">
        <v>45226</v>
      </c>
      <c r="B6290" s="664" t="s">
        <v>2798</v>
      </c>
      <c r="C6290" s="71" t="s">
        <v>167</v>
      </c>
      <c r="D6290" s="71">
        <v>10</v>
      </c>
      <c r="E6290" s="102">
        <v>138000</v>
      </c>
      <c r="F6290" s="102">
        <f t="shared" si="3121"/>
        <v>1518000.0000000002</v>
      </c>
      <c r="G6290" s="102">
        <f t="shared" si="3122"/>
        <v>1380000</v>
      </c>
      <c r="H6290" s="690" t="s">
        <v>172</v>
      </c>
      <c r="I6290" s="71" t="s">
        <v>33</v>
      </c>
      <c r="J6290" s="53">
        <f t="shared" si="3132"/>
        <v>368000</v>
      </c>
      <c r="K6290" s="63">
        <f t="shared" si="3133"/>
        <v>0.26666666666666661</v>
      </c>
      <c r="L6290" s="1212" t="s">
        <v>3902</v>
      </c>
      <c r="M6290" s="468"/>
      <c r="N6290" s="1192">
        <f t="shared" si="3134"/>
        <v>45226</v>
      </c>
      <c r="O6290" s="71" t="s">
        <v>146</v>
      </c>
      <c r="P6290" s="103" t="str">
        <f t="shared" si="3135"/>
        <v>Blanket(1060*860)</v>
      </c>
      <c r="Q6290" s="71">
        <f t="shared" si="3107"/>
        <v>10</v>
      </c>
      <c r="R6290" s="102">
        <v>101200</v>
      </c>
      <c r="S6290" s="102">
        <f t="shared" si="3110"/>
        <v>1113200</v>
      </c>
      <c r="T6290" s="102">
        <f t="shared" si="3111"/>
        <v>1012000</v>
      </c>
      <c r="U6290" s="71" t="str">
        <f>IF(J6290=W6290,"O", "X")</f>
        <v>X</v>
      </c>
      <c r="V6290" s="71"/>
      <c r="W6290" s="474"/>
      <c r="X6290" s="71"/>
      <c r="Y6290" s="71"/>
    </row>
    <row r="6291" spans="1:25" ht="30" hidden="1" customHeight="1" x14ac:dyDescent="0.25">
      <c r="A6291" s="1145">
        <v>45226</v>
      </c>
      <c r="B6291" s="664" t="s">
        <v>444</v>
      </c>
      <c r="C6291" s="71" t="s">
        <v>3399</v>
      </c>
      <c r="D6291" s="71">
        <v>10</v>
      </c>
      <c r="E6291" s="102">
        <v>195000</v>
      </c>
      <c r="F6291" s="102">
        <f t="shared" si="3121"/>
        <v>2145000</v>
      </c>
      <c r="G6291" s="102">
        <f t="shared" si="3122"/>
        <v>1950000</v>
      </c>
      <c r="H6291" s="690" t="s">
        <v>2029</v>
      </c>
      <c r="I6291" s="71" t="s">
        <v>180</v>
      </c>
      <c r="J6291" s="53">
        <f t="shared" si="3132"/>
        <v>450000</v>
      </c>
      <c r="K6291" s="63">
        <f t="shared" si="3133"/>
        <v>0.23076923076923078</v>
      </c>
      <c r="L6291" s="1212" t="s">
        <v>3902</v>
      </c>
      <c r="M6291" s="468"/>
      <c r="N6291" s="1192">
        <f t="shared" si="3134"/>
        <v>45226</v>
      </c>
      <c r="O6291" s="71" t="s">
        <v>191</v>
      </c>
      <c r="P6291" s="103" t="str">
        <f t="shared" si="3135"/>
        <v>UV wash offset UV</v>
      </c>
      <c r="Q6291" s="71">
        <f t="shared" si="3107"/>
        <v>10</v>
      </c>
      <c r="R6291" s="102">
        <v>150000</v>
      </c>
      <c r="S6291" s="102">
        <f t="shared" si="3110"/>
        <v>1650000.0000000002</v>
      </c>
      <c r="T6291" s="102">
        <f t="shared" si="3111"/>
        <v>1500000</v>
      </c>
      <c r="U6291" s="71"/>
      <c r="V6291" s="71"/>
      <c r="W6291" s="474"/>
      <c r="X6291" s="71"/>
      <c r="Y6291" s="71"/>
    </row>
    <row r="6292" spans="1:25" ht="30" hidden="1" customHeight="1" x14ac:dyDescent="0.25">
      <c r="A6292" s="1145">
        <v>45229</v>
      </c>
      <c r="B6292" s="664" t="s">
        <v>3830</v>
      </c>
      <c r="C6292" s="71" t="s">
        <v>3831</v>
      </c>
      <c r="D6292" s="71">
        <v>1503</v>
      </c>
      <c r="E6292" s="102">
        <v>1350</v>
      </c>
      <c r="F6292" s="102">
        <f t="shared" si="3121"/>
        <v>2231955</v>
      </c>
      <c r="G6292" s="102">
        <f t="shared" si="3122"/>
        <v>2029050</v>
      </c>
      <c r="H6292" s="690" t="s">
        <v>2029</v>
      </c>
      <c r="I6292" s="71" t="s">
        <v>2230</v>
      </c>
      <c r="J6292" s="53">
        <f t="shared" si="3132"/>
        <v>2029050</v>
      </c>
      <c r="K6292" s="63">
        <f t="shared" si="3133"/>
        <v>1</v>
      </c>
      <c r="L6292" s="1212" t="s">
        <v>3902</v>
      </c>
      <c r="M6292" s="468"/>
      <c r="N6292" s="1192">
        <f t="shared" si="3134"/>
        <v>45229</v>
      </c>
      <c r="O6292" s="71"/>
      <c r="P6292" s="103" t="str">
        <f t="shared" si="3135"/>
        <v>폐판</v>
      </c>
      <c r="Q6292" s="71">
        <f t="shared" si="3107"/>
        <v>1503</v>
      </c>
      <c r="R6292" s="147">
        <v>0</v>
      </c>
      <c r="S6292" s="102">
        <f t="shared" si="3110"/>
        <v>0</v>
      </c>
      <c r="T6292" s="102">
        <f t="shared" si="3111"/>
        <v>0</v>
      </c>
      <c r="U6292" s="71"/>
      <c r="V6292" s="71"/>
      <c r="W6292" s="474"/>
      <c r="X6292" s="71"/>
      <c r="Y6292" s="71"/>
    </row>
    <row r="6293" spans="1:25" ht="30" hidden="1" customHeight="1" x14ac:dyDescent="0.25">
      <c r="A6293" s="1145">
        <v>45212</v>
      </c>
      <c r="B6293" s="664" t="s">
        <v>26</v>
      </c>
      <c r="C6293" s="71" t="s">
        <v>2087</v>
      </c>
      <c r="D6293" s="71">
        <v>5</v>
      </c>
      <c r="E6293" s="102">
        <v>65000</v>
      </c>
      <c r="F6293" s="102">
        <f t="shared" si="3121"/>
        <v>357500</v>
      </c>
      <c r="G6293" s="102">
        <f t="shared" si="3122"/>
        <v>325000</v>
      </c>
      <c r="H6293" s="690" t="s">
        <v>172</v>
      </c>
      <c r="I6293" s="71" t="s">
        <v>3295</v>
      </c>
      <c r="J6293" s="53">
        <f t="shared" si="3132"/>
        <v>75000</v>
      </c>
      <c r="K6293" s="63">
        <f t="shared" si="3133"/>
        <v>0.23076923076923078</v>
      </c>
      <c r="L6293" s="1212" t="s">
        <v>3902</v>
      </c>
      <c r="M6293" s="468"/>
      <c r="N6293" s="1192">
        <f t="shared" si="3134"/>
        <v>45212</v>
      </c>
      <c r="O6293" s="71" t="s">
        <v>152</v>
      </c>
      <c r="P6293" s="103" t="str">
        <f t="shared" si="3135"/>
        <v>아스테이지(국전)</v>
      </c>
      <c r="Q6293" s="71">
        <f t="shared" si="3107"/>
        <v>5</v>
      </c>
      <c r="R6293" s="102">
        <v>50000</v>
      </c>
      <c r="S6293" s="102">
        <f t="shared" si="3110"/>
        <v>275000</v>
      </c>
      <c r="T6293" s="102">
        <f t="shared" si="3111"/>
        <v>250000</v>
      </c>
      <c r="U6293" s="71" t="str">
        <f>IF(J6293=W6293,"O", "X")</f>
        <v>X</v>
      </c>
      <c r="V6293" s="71"/>
      <c r="W6293" s="474">
        <v>150000</v>
      </c>
      <c r="X6293" s="71"/>
      <c r="Y6293" s="71"/>
    </row>
    <row r="6294" spans="1:25" s="209" customFormat="1" ht="30" hidden="1" customHeight="1" x14ac:dyDescent="0.25">
      <c r="A6294" s="1145">
        <v>45203</v>
      </c>
      <c r="B6294" s="664" t="s">
        <v>411</v>
      </c>
      <c r="C6294" s="71" t="s">
        <v>3413</v>
      </c>
      <c r="D6294" s="71">
        <v>10</v>
      </c>
      <c r="E6294" s="102">
        <v>100000</v>
      </c>
      <c r="F6294" s="102">
        <f t="shared" si="3121"/>
        <v>1100000</v>
      </c>
      <c r="G6294" s="102">
        <f t="shared" si="3122"/>
        <v>1000000</v>
      </c>
      <c r="H6294" s="690" t="s">
        <v>2029</v>
      </c>
      <c r="I6294" s="71" t="s">
        <v>3385</v>
      </c>
      <c r="J6294" s="53">
        <f t="shared" si="3132"/>
        <v>500000</v>
      </c>
      <c r="K6294" s="63">
        <f t="shared" si="3133"/>
        <v>0.5</v>
      </c>
      <c r="L6294" s="1212" t="s">
        <v>3902</v>
      </c>
      <c r="M6294" s="468"/>
      <c r="N6294" s="1192">
        <f t="shared" si="3134"/>
        <v>45203</v>
      </c>
      <c r="O6294" s="71" t="s">
        <v>190</v>
      </c>
      <c r="P6294" s="103" t="str">
        <f t="shared" si="3135"/>
        <v>아스테이지(국전)</v>
      </c>
      <c r="Q6294" s="71">
        <f t="shared" si="3107"/>
        <v>10</v>
      </c>
      <c r="R6294" s="102">
        <v>50000</v>
      </c>
      <c r="S6294" s="102">
        <f t="shared" si="3110"/>
        <v>550000</v>
      </c>
      <c r="T6294" s="102">
        <f t="shared" si="3111"/>
        <v>500000</v>
      </c>
      <c r="U6294" s="71" t="str">
        <f>IF(J6294=W6294,"O", "X")</f>
        <v>O</v>
      </c>
      <c r="V6294" s="71"/>
      <c r="W6294" s="474">
        <v>500000</v>
      </c>
      <c r="X6294" s="71"/>
      <c r="Y6294" s="71"/>
    </row>
    <row r="6295" spans="1:25" ht="30" hidden="1" customHeight="1" x14ac:dyDescent="0.25">
      <c r="A6295" s="1145">
        <v>45224</v>
      </c>
      <c r="B6295" s="664" t="s">
        <v>442</v>
      </c>
      <c r="C6295" s="71" t="s">
        <v>651</v>
      </c>
      <c r="D6295" s="71">
        <v>15</v>
      </c>
      <c r="E6295" s="102">
        <v>50000</v>
      </c>
      <c r="F6295" s="102">
        <f t="shared" si="3121"/>
        <v>825000.00000000012</v>
      </c>
      <c r="G6295" s="102">
        <f t="shared" si="3122"/>
        <v>750000</v>
      </c>
      <c r="H6295" s="690" t="s">
        <v>2029</v>
      </c>
      <c r="I6295" s="71" t="s">
        <v>195</v>
      </c>
      <c r="J6295" s="53">
        <f t="shared" si="3132"/>
        <v>308550</v>
      </c>
      <c r="K6295" s="63">
        <f t="shared" si="3133"/>
        <v>0.41139999999999993</v>
      </c>
      <c r="L6295" s="1212" t="s">
        <v>3902</v>
      </c>
      <c r="M6295" s="468"/>
      <c r="N6295" s="1192">
        <f t="shared" si="3134"/>
        <v>45224</v>
      </c>
      <c r="O6295" s="71" t="s">
        <v>194</v>
      </c>
      <c r="P6295" s="164" t="str">
        <f>(C6295)</f>
        <v>Agfa 현상액 G101C(10L)</v>
      </c>
      <c r="Q6295" s="71">
        <f t="shared" si="3107"/>
        <v>15</v>
      </c>
      <c r="R6295" s="102">
        <v>29430</v>
      </c>
      <c r="S6295" s="102">
        <f t="shared" si="3110"/>
        <v>485595.00000000006</v>
      </c>
      <c r="T6295" s="102">
        <f t="shared" si="3111"/>
        <v>441450</v>
      </c>
      <c r="U6295" s="71" t="str">
        <f>IF(J6295=W6295,"O", "X")</f>
        <v>O</v>
      </c>
      <c r="V6295" s="71"/>
      <c r="W6295" s="474">
        <f>(G6295-T6295)</f>
        <v>308550</v>
      </c>
      <c r="X6295" s="71"/>
      <c r="Y6295" s="71"/>
    </row>
    <row r="6296" spans="1:25" ht="30" hidden="1" customHeight="1" x14ac:dyDescent="0.25">
      <c r="A6296" s="1145">
        <v>45224</v>
      </c>
      <c r="B6296" s="664" t="s">
        <v>442</v>
      </c>
      <c r="C6296" s="71" t="s">
        <v>206</v>
      </c>
      <c r="D6296" s="71">
        <v>2</v>
      </c>
      <c r="E6296" s="102">
        <v>453000</v>
      </c>
      <c r="F6296" s="102">
        <f t="shared" si="3121"/>
        <v>996600.00000000012</v>
      </c>
      <c r="G6296" s="102">
        <f t="shared" si="3122"/>
        <v>906000</v>
      </c>
      <c r="H6296" s="690" t="s">
        <v>2029</v>
      </c>
      <c r="I6296" s="71" t="s">
        <v>195</v>
      </c>
      <c r="J6296" s="53">
        <f t="shared" si="3132"/>
        <v>144640</v>
      </c>
      <c r="K6296" s="63">
        <f t="shared" si="3133"/>
        <v>0.15964679911699778</v>
      </c>
      <c r="L6296" s="1212" t="s">
        <v>3902</v>
      </c>
      <c r="M6296" s="468"/>
      <c r="N6296" s="1192">
        <f t="shared" si="3134"/>
        <v>45224</v>
      </c>
      <c r="O6296" s="71" t="s">
        <v>194</v>
      </c>
      <c r="P6296" s="103" t="str">
        <f t="shared" si="3135"/>
        <v>Agfa Film(24inch)</v>
      </c>
      <c r="Q6296" s="71">
        <f t="shared" si="3107"/>
        <v>2</v>
      </c>
      <c r="R6296" s="102">
        <v>380680</v>
      </c>
      <c r="S6296" s="102">
        <f t="shared" si="3110"/>
        <v>837496.00000000012</v>
      </c>
      <c r="T6296" s="102">
        <f t="shared" si="3111"/>
        <v>761360</v>
      </c>
      <c r="U6296" s="71" t="s">
        <v>859</v>
      </c>
      <c r="V6296" s="71"/>
      <c r="W6296" s="474">
        <v>144640</v>
      </c>
      <c r="X6296" s="71"/>
      <c r="Y6296" s="71"/>
    </row>
    <row r="6297" spans="1:25" ht="30" hidden="1" customHeight="1" x14ac:dyDescent="0.25">
      <c r="A6297" s="1145">
        <v>45224</v>
      </c>
      <c r="B6297" s="664" t="s">
        <v>442</v>
      </c>
      <c r="C6297" s="71" t="s">
        <v>207</v>
      </c>
      <c r="D6297" s="71">
        <v>2</v>
      </c>
      <c r="E6297" s="102">
        <v>558000</v>
      </c>
      <c r="F6297" s="102">
        <f t="shared" si="3121"/>
        <v>1227600</v>
      </c>
      <c r="G6297" s="102">
        <f t="shared" si="3122"/>
        <v>1116000</v>
      </c>
      <c r="H6297" s="690" t="s">
        <v>2029</v>
      </c>
      <c r="I6297" s="71" t="s">
        <v>195</v>
      </c>
      <c r="J6297" s="53">
        <f t="shared" si="3132"/>
        <v>228480</v>
      </c>
      <c r="K6297" s="63">
        <f t="shared" si="3133"/>
        <v>0.20473118279569893</v>
      </c>
      <c r="L6297" s="1212" t="s">
        <v>3902</v>
      </c>
      <c r="M6297" s="468"/>
      <c r="N6297" s="1192">
        <f t="shared" si="3134"/>
        <v>45224</v>
      </c>
      <c r="O6297" s="71" t="s">
        <v>194</v>
      </c>
      <c r="P6297" s="103" t="str">
        <f t="shared" si="3135"/>
        <v>Agfa Film(28inch)</v>
      </c>
      <c r="Q6297" s="71">
        <f t="shared" si="3107"/>
        <v>2</v>
      </c>
      <c r="R6297" s="102">
        <v>443760</v>
      </c>
      <c r="S6297" s="102">
        <f t="shared" si="3110"/>
        <v>976272.00000000012</v>
      </c>
      <c r="T6297" s="102">
        <f t="shared" si="3111"/>
        <v>887520</v>
      </c>
      <c r="U6297" s="71" t="s">
        <v>859</v>
      </c>
      <c r="V6297" s="71"/>
      <c r="W6297" s="474">
        <v>228480</v>
      </c>
      <c r="X6297" s="71"/>
      <c r="Y6297" s="71"/>
    </row>
    <row r="6298" spans="1:25" ht="30" hidden="1" customHeight="1" x14ac:dyDescent="0.25">
      <c r="A6298" s="1145">
        <v>45224</v>
      </c>
      <c r="B6298" s="664" t="s">
        <v>442</v>
      </c>
      <c r="C6298" s="71" t="s">
        <v>208</v>
      </c>
      <c r="D6298" s="71">
        <v>2</v>
      </c>
      <c r="E6298" s="102">
        <v>624000</v>
      </c>
      <c r="F6298" s="102">
        <f t="shared" si="3121"/>
        <v>1372800</v>
      </c>
      <c r="G6298" s="102">
        <f t="shared" si="3122"/>
        <v>1248000</v>
      </c>
      <c r="H6298" s="690" t="s">
        <v>2029</v>
      </c>
      <c r="I6298" s="71" t="s">
        <v>195</v>
      </c>
      <c r="J6298" s="53">
        <f t="shared" si="3132"/>
        <v>374910</v>
      </c>
      <c r="K6298" s="63">
        <f t="shared" si="3133"/>
        <v>0.30040865384615384</v>
      </c>
      <c r="L6298" s="1212" t="s">
        <v>3902</v>
      </c>
      <c r="M6298" s="468" t="s">
        <v>3925</v>
      </c>
      <c r="N6298" s="1192">
        <f t="shared" si="3134"/>
        <v>45224</v>
      </c>
      <c r="O6298" s="71" t="s">
        <v>194</v>
      </c>
      <c r="P6298" s="103" t="str">
        <f t="shared" si="3135"/>
        <v>Agfa Film(32inch)</v>
      </c>
      <c r="Q6298" s="71">
        <v>1</v>
      </c>
      <c r="R6298" s="102">
        <f>523090+350000</f>
        <v>873090</v>
      </c>
      <c r="S6298" s="102">
        <f t="shared" si="3110"/>
        <v>960399.00000000012</v>
      </c>
      <c r="T6298" s="102">
        <f t="shared" si="3111"/>
        <v>873090</v>
      </c>
      <c r="U6298" s="71" t="s">
        <v>859</v>
      </c>
      <c r="V6298" s="71"/>
      <c r="W6298" s="474">
        <v>201820</v>
      </c>
      <c r="X6298" s="71"/>
      <c r="Y6298" s="71"/>
    </row>
    <row r="6299" spans="1:25" ht="30" hidden="1" customHeight="1" x14ac:dyDescent="0.2">
      <c r="A6299" s="1145">
        <v>45224</v>
      </c>
      <c r="B6299" s="664" t="s">
        <v>442</v>
      </c>
      <c r="C6299" s="71" t="s">
        <v>648</v>
      </c>
      <c r="D6299" s="71">
        <v>1</v>
      </c>
      <c r="E6299" s="102">
        <v>93000</v>
      </c>
      <c r="F6299" s="102">
        <f t="shared" si="3121"/>
        <v>102300.00000000001</v>
      </c>
      <c r="G6299" s="102">
        <f t="shared" si="3122"/>
        <v>93000</v>
      </c>
      <c r="H6299" s="165" t="s">
        <v>172</v>
      </c>
      <c r="I6299" s="71" t="s">
        <v>195</v>
      </c>
      <c r="J6299" s="53">
        <f t="shared" si="3132"/>
        <v>27000</v>
      </c>
      <c r="K6299" s="63">
        <f t="shared" si="3133"/>
        <v>0.29032258064516125</v>
      </c>
      <c r="L6299" s="1212" t="s">
        <v>3902</v>
      </c>
      <c r="M6299" s="468"/>
      <c r="N6299" s="1192">
        <f t="shared" si="3134"/>
        <v>45224</v>
      </c>
      <c r="O6299" s="71" t="s">
        <v>194</v>
      </c>
      <c r="P6299" s="103" t="str">
        <f t="shared" si="3135"/>
        <v>Agfa 정착액 G333C(20L)</v>
      </c>
      <c r="Q6299" s="71">
        <f t="shared" si="3107"/>
        <v>1</v>
      </c>
      <c r="R6299" s="102">
        <v>66000</v>
      </c>
      <c r="S6299" s="102">
        <f t="shared" si="3110"/>
        <v>72600</v>
      </c>
      <c r="T6299" s="102">
        <f t="shared" si="3111"/>
        <v>66000</v>
      </c>
      <c r="U6299" s="71" t="s">
        <v>859</v>
      </c>
      <c r="V6299" s="71"/>
      <c r="W6299" s="474">
        <v>27000</v>
      </c>
      <c r="X6299" s="71"/>
      <c r="Y6299" s="71"/>
    </row>
    <row r="6300" spans="1:25" s="209" customFormat="1" ht="30" hidden="1" customHeight="1" x14ac:dyDescent="0.25">
      <c r="A6300" s="1145">
        <v>45224</v>
      </c>
      <c r="B6300" s="664" t="s">
        <v>442</v>
      </c>
      <c r="C6300" s="71" t="s">
        <v>3833</v>
      </c>
      <c r="D6300" s="71">
        <v>1000</v>
      </c>
      <c r="E6300" s="102">
        <v>4250</v>
      </c>
      <c r="F6300" s="102">
        <f t="shared" si="3121"/>
        <v>4675000</v>
      </c>
      <c r="G6300" s="102">
        <f t="shared" si="3122"/>
        <v>4250000</v>
      </c>
      <c r="H6300" s="690" t="s">
        <v>2029</v>
      </c>
      <c r="I6300" s="71" t="s">
        <v>2230</v>
      </c>
      <c r="J6300" s="53">
        <f t="shared" si="3132"/>
        <v>305000</v>
      </c>
      <c r="K6300" s="63">
        <v>8.6352941176470591E-2</v>
      </c>
      <c r="L6300" s="1212" t="s">
        <v>3902</v>
      </c>
      <c r="M6300" s="468"/>
      <c r="N6300" s="1192">
        <v>45002</v>
      </c>
      <c r="O6300" s="71" t="s">
        <v>2030</v>
      </c>
      <c r="P6300" s="164" t="s">
        <v>3777</v>
      </c>
      <c r="Q6300" s="71">
        <f t="shared" si="3107"/>
        <v>1000</v>
      </c>
      <c r="R6300" s="102">
        <v>3945</v>
      </c>
      <c r="S6300" s="102">
        <f t="shared" si="3110"/>
        <v>4339500</v>
      </c>
      <c r="T6300" s="102">
        <f t="shared" si="3111"/>
        <v>3945000</v>
      </c>
      <c r="U6300" s="71"/>
      <c r="V6300" s="71"/>
      <c r="W6300" s="474"/>
      <c r="X6300" s="71"/>
      <c r="Y6300" s="71"/>
    </row>
    <row r="6301" spans="1:25" ht="30" hidden="1" customHeight="1" x14ac:dyDescent="0.25">
      <c r="A6301" s="1145">
        <v>45224</v>
      </c>
      <c r="B6301" s="664" t="s">
        <v>442</v>
      </c>
      <c r="C6301" s="71" t="s">
        <v>3834</v>
      </c>
      <c r="D6301" s="71">
        <v>6</v>
      </c>
      <c r="E6301" s="102">
        <v>57000</v>
      </c>
      <c r="F6301" s="102">
        <f t="shared" si="3121"/>
        <v>376200.00000000006</v>
      </c>
      <c r="G6301" s="102">
        <f t="shared" si="3122"/>
        <v>342000</v>
      </c>
      <c r="H6301" s="690" t="s">
        <v>2029</v>
      </c>
      <c r="I6301" s="71" t="s">
        <v>2230</v>
      </c>
      <c r="J6301" s="53">
        <f t="shared" si="3132"/>
        <v>104040</v>
      </c>
      <c r="K6301" s="63">
        <v>0.30421052631578949</v>
      </c>
      <c r="L6301" s="1212" t="s">
        <v>3902</v>
      </c>
      <c r="M6301" s="468"/>
      <c r="N6301" s="1192">
        <v>45002</v>
      </c>
      <c r="O6301" s="71" t="s">
        <v>2030</v>
      </c>
      <c r="P6301" s="103" t="s">
        <v>1026</v>
      </c>
      <c r="Q6301" s="71">
        <f t="shared" si="3107"/>
        <v>6</v>
      </c>
      <c r="R6301" s="102">
        <v>39660</v>
      </c>
      <c r="S6301" s="102">
        <f t="shared" si="3110"/>
        <v>261756.00000000003</v>
      </c>
      <c r="T6301" s="102">
        <f t="shared" si="3111"/>
        <v>237960</v>
      </c>
      <c r="U6301" s="71"/>
      <c r="V6301" s="71"/>
      <c r="W6301" s="474"/>
      <c r="X6301" s="71"/>
      <c r="Y6301" s="71"/>
    </row>
    <row r="6302" spans="1:25" ht="30" hidden="1" customHeight="1" x14ac:dyDescent="0.25">
      <c r="A6302" s="1145">
        <v>45224</v>
      </c>
      <c r="B6302" s="664" t="s">
        <v>2</v>
      </c>
      <c r="C6302" s="71" t="s">
        <v>2075</v>
      </c>
      <c r="D6302" s="71">
        <v>1</v>
      </c>
      <c r="E6302" s="102">
        <v>98000</v>
      </c>
      <c r="F6302" s="102">
        <f>(E6302*D6302)*1.1</f>
        <v>107800.00000000001</v>
      </c>
      <c r="G6302" s="102">
        <f>(E6302*D6302)</f>
        <v>98000</v>
      </c>
      <c r="H6302" s="690" t="s">
        <v>173</v>
      </c>
      <c r="I6302" s="71" t="s">
        <v>2273</v>
      </c>
      <c r="J6302" s="53">
        <f>G6302-T6302</f>
        <v>6000</v>
      </c>
      <c r="K6302" s="63">
        <f>(J6302/(F6302/11*10))</f>
        <v>6.1224489795918359E-2</v>
      </c>
      <c r="L6302" s="1212" t="s">
        <v>3902</v>
      </c>
      <c r="M6302" s="468"/>
      <c r="N6302" s="1192">
        <f>A6302</f>
        <v>45224</v>
      </c>
      <c r="O6302" s="71" t="s">
        <v>150</v>
      </c>
      <c r="P6302" s="103" t="str">
        <f>C6302</f>
        <v>CTP 고무액</v>
      </c>
      <c r="Q6302" s="71">
        <f t="shared" si="3107"/>
        <v>1</v>
      </c>
      <c r="R6302" s="102">
        <v>92000</v>
      </c>
      <c r="S6302" s="102">
        <f t="shared" si="3110"/>
        <v>101200.00000000001</v>
      </c>
      <c r="T6302" s="102">
        <f t="shared" si="3111"/>
        <v>92000</v>
      </c>
      <c r="U6302" s="71" t="str">
        <f>IF(J6302=W6302,"O", "X")</f>
        <v>X</v>
      </c>
      <c r="V6302" s="71"/>
      <c r="W6302" s="474"/>
      <c r="X6302" s="71"/>
      <c r="Y6302" s="71"/>
    </row>
    <row r="6303" spans="1:25" ht="30" hidden="1" customHeight="1" x14ac:dyDescent="0.25">
      <c r="A6303" s="1145">
        <v>45203</v>
      </c>
      <c r="B6303" s="664" t="s">
        <v>3296</v>
      </c>
      <c r="C6303" s="71" t="s">
        <v>3297</v>
      </c>
      <c r="D6303" s="71">
        <v>20</v>
      </c>
      <c r="E6303" s="102">
        <v>162500</v>
      </c>
      <c r="F6303" s="102">
        <f t="shared" ref="F6303:F6305" si="3136">(E6303*D6303)*1.1</f>
        <v>3575000.0000000005</v>
      </c>
      <c r="G6303" s="102">
        <f t="shared" ref="G6303:G6305" si="3137">(E6303*D6303)</f>
        <v>3250000</v>
      </c>
      <c r="H6303" s="690" t="s">
        <v>172</v>
      </c>
      <c r="I6303" s="71" t="s">
        <v>3295</v>
      </c>
      <c r="J6303" s="53">
        <f t="shared" ref="J6303:J6309" si="3138">G6303-T6303</f>
        <v>850000</v>
      </c>
      <c r="K6303" s="63">
        <f t="shared" ref="K6303:K6309" si="3139">(J6303/(F6303/11*10))</f>
        <v>0.2615384615384615</v>
      </c>
      <c r="L6303" s="1212" t="s">
        <v>3902</v>
      </c>
      <c r="M6303" s="468"/>
      <c r="N6303" s="1192">
        <f t="shared" ref="N6303:N6309" si="3140">A6303</f>
        <v>45203</v>
      </c>
      <c r="O6303" s="71" t="s">
        <v>662</v>
      </c>
      <c r="P6303" s="103" t="str">
        <f t="shared" ref="P6303:P6309" si="3141">(C6303)</f>
        <v>실리콘 에멀전</v>
      </c>
      <c r="Q6303" s="71">
        <f t="shared" si="3107"/>
        <v>20</v>
      </c>
      <c r="R6303" s="102">
        <v>120000</v>
      </c>
      <c r="S6303" s="102">
        <f t="shared" si="3110"/>
        <v>2640000</v>
      </c>
      <c r="T6303" s="102">
        <f t="shared" si="3111"/>
        <v>2400000</v>
      </c>
      <c r="U6303" s="71" t="str">
        <f>IF(J6303=W6303,"O", "X")</f>
        <v>X</v>
      </c>
      <c r="V6303" s="71"/>
      <c r="W6303" s="474"/>
      <c r="X6303" s="71"/>
      <c r="Y6303" s="71"/>
    </row>
    <row r="6304" spans="1:25" ht="30" hidden="1" customHeight="1" x14ac:dyDescent="0.25">
      <c r="A6304" s="1145">
        <v>45215</v>
      </c>
      <c r="B6304" s="664" t="s">
        <v>3296</v>
      </c>
      <c r="C6304" s="71" t="s">
        <v>3297</v>
      </c>
      <c r="D6304" s="71">
        <v>20</v>
      </c>
      <c r="E6304" s="102">
        <v>162500</v>
      </c>
      <c r="F6304" s="102">
        <f t="shared" si="3136"/>
        <v>3575000.0000000005</v>
      </c>
      <c r="G6304" s="102">
        <f t="shared" si="3137"/>
        <v>3250000</v>
      </c>
      <c r="H6304" s="690" t="s">
        <v>172</v>
      </c>
      <c r="I6304" s="71" t="s">
        <v>3295</v>
      </c>
      <c r="J6304" s="53">
        <f t="shared" si="3138"/>
        <v>850000</v>
      </c>
      <c r="K6304" s="63">
        <f t="shared" si="3139"/>
        <v>0.2615384615384615</v>
      </c>
      <c r="L6304" s="1212" t="s">
        <v>3902</v>
      </c>
      <c r="M6304" s="468"/>
      <c r="N6304" s="1192">
        <f t="shared" si="3140"/>
        <v>45215</v>
      </c>
      <c r="O6304" s="71" t="s">
        <v>662</v>
      </c>
      <c r="P6304" s="103" t="str">
        <f t="shared" si="3141"/>
        <v>실리콘 에멀전</v>
      </c>
      <c r="Q6304" s="71">
        <f t="shared" si="3107"/>
        <v>20</v>
      </c>
      <c r="R6304" s="102">
        <v>120000</v>
      </c>
      <c r="S6304" s="102">
        <f t="shared" si="3110"/>
        <v>2640000</v>
      </c>
      <c r="T6304" s="102">
        <f t="shared" si="3111"/>
        <v>2400000</v>
      </c>
      <c r="U6304" s="71" t="str">
        <f>IF(J6304=W6304,"O", "X")</f>
        <v>X</v>
      </c>
      <c r="V6304" s="71"/>
      <c r="W6304" s="474"/>
      <c r="X6304" s="71"/>
      <c r="Y6304" s="71"/>
    </row>
    <row r="6305" spans="1:25" ht="30" hidden="1" customHeight="1" x14ac:dyDescent="0.25">
      <c r="A6305" s="1145">
        <v>45203</v>
      </c>
      <c r="B6305" s="664" t="s">
        <v>18</v>
      </c>
      <c r="C6305" s="71" t="s">
        <v>3305</v>
      </c>
      <c r="D6305" s="71">
        <v>20</v>
      </c>
      <c r="E6305" s="102">
        <v>86000</v>
      </c>
      <c r="F6305" s="102">
        <f t="shared" si="3136"/>
        <v>1892000.0000000002</v>
      </c>
      <c r="G6305" s="102">
        <f t="shared" si="3137"/>
        <v>1720000</v>
      </c>
      <c r="H6305" s="690" t="s">
        <v>172</v>
      </c>
      <c r="I6305" s="71" t="s">
        <v>3295</v>
      </c>
      <c r="J6305" s="53">
        <f t="shared" si="3138"/>
        <v>320000</v>
      </c>
      <c r="K6305" s="63">
        <f t="shared" si="3139"/>
        <v>0.18604651162790695</v>
      </c>
      <c r="L6305" s="1212" t="s">
        <v>3902</v>
      </c>
      <c r="M6305" s="468" t="s">
        <v>3306</v>
      </c>
      <c r="N6305" s="1192">
        <f t="shared" si="3140"/>
        <v>45203</v>
      </c>
      <c r="O6305" s="71" t="s">
        <v>146</v>
      </c>
      <c r="P6305" s="103" t="str">
        <f t="shared" si="3141"/>
        <v>파우더</v>
      </c>
      <c r="Q6305" s="71">
        <f t="shared" si="3107"/>
        <v>20</v>
      </c>
      <c r="R6305" s="102">
        <v>70000</v>
      </c>
      <c r="S6305" s="102">
        <f t="shared" si="3110"/>
        <v>1540000.0000000002</v>
      </c>
      <c r="T6305" s="102">
        <f t="shared" si="3111"/>
        <v>1400000</v>
      </c>
      <c r="U6305" s="71" t="str">
        <f t="shared" ref="U6305" si="3142">IF(J6305=W6305,"O", "X")</f>
        <v>X</v>
      </c>
      <c r="V6305" s="71"/>
      <c r="W6305" s="474"/>
      <c r="X6305" s="71"/>
      <c r="Y6305" s="71"/>
    </row>
    <row r="6306" spans="1:25" ht="30" hidden="1" customHeight="1" x14ac:dyDescent="0.25">
      <c r="A6306" s="1145">
        <v>45203</v>
      </c>
      <c r="B6306" s="664" t="s">
        <v>548</v>
      </c>
      <c r="C6306" s="71" t="s">
        <v>3384</v>
      </c>
      <c r="D6306" s="71">
        <v>400</v>
      </c>
      <c r="E6306" s="102">
        <v>450</v>
      </c>
      <c r="F6306" s="102">
        <f>(E6306*D6306)*1.1</f>
        <v>198000.00000000003</v>
      </c>
      <c r="G6306" s="102">
        <f>(E6306*D6306)</f>
        <v>180000</v>
      </c>
      <c r="H6306" s="690" t="s">
        <v>2029</v>
      </c>
      <c r="I6306" s="71" t="s">
        <v>3385</v>
      </c>
      <c r="J6306" s="53">
        <f t="shared" si="3138"/>
        <v>52000</v>
      </c>
      <c r="K6306" s="63">
        <f t="shared" si="3139"/>
        <v>0.28888888888888886</v>
      </c>
      <c r="L6306" s="1212" t="s">
        <v>3902</v>
      </c>
      <c r="M6306" s="468"/>
      <c r="N6306" s="1192">
        <f t="shared" si="3140"/>
        <v>45203</v>
      </c>
      <c r="O6306" s="71" t="s">
        <v>2030</v>
      </c>
      <c r="P6306" s="103" t="str">
        <f t="shared" si="3141"/>
        <v>고무사카 빨간색</v>
      </c>
      <c r="Q6306" s="71">
        <f t="shared" si="3107"/>
        <v>400</v>
      </c>
      <c r="R6306" s="102">
        <v>320</v>
      </c>
      <c r="S6306" s="102">
        <f t="shared" si="3110"/>
        <v>140800</v>
      </c>
      <c r="T6306" s="102">
        <f t="shared" si="3111"/>
        <v>128000</v>
      </c>
      <c r="U6306" s="71"/>
      <c r="V6306" s="71"/>
      <c r="W6306" s="474"/>
      <c r="X6306" s="71"/>
      <c r="Y6306" s="71"/>
    </row>
    <row r="6307" spans="1:25" ht="30" hidden="1" customHeight="1" x14ac:dyDescent="0.25">
      <c r="A6307" s="1145">
        <v>45195</v>
      </c>
      <c r="B6307" s="664" t="s">
        <v>2261</v>
      </c>
      <c r="C6307" s="760" t="s">
        <v>181</v>
      </c>
      <c r="D6307" s="71">
        <v>10</v>
      </c>
      <c r="E6307" s="102">
        <v>193000</v>
      </c>
      <c r="F6307" s="102">
        <f t="shared" ref="F6307:F6309" si="3143">(E6307*D6307)*1.1</f>
        <v>2123000</v>
      </c>
      <c r="G6307" s="102">
        <f t="shared" ref="G6307:G6309" si="3144">(E6307*D6307)</f>
        <v>1930000</v>
      </c>
      <c r="H6307" s="690" t="s">
        <v>2029</v>
      </c>
      <c r="I6307" s="71" t="s">
        <v>182</v>
      </c>
      <c r="J6307" s="53">
        <f t="shared" si="3138"/>
        <v>690000</v>
      </c>
      <c r="K6307" s="63">
        <f t="shared" si="3139"/>
        <v>0.35751295336787564</v>
      </c>
      <c r="L6307" s="1212" t="s">
        <v>3902</v>
      </c>
      <c r="M6307" s="468"/>
      <c r="N6307" s="1192">
        <f t="shared" si="3140"/>
        <v>45195</v>
      </c>
      <c r="O6307" s="71" t="s">
        <v>2030</v>
      </c>
      <c r="P6307" s="103" t="str">
        <f t="shared" si="3141"/>
        <v>Fount Web 551AF</v>
      </c>
      <c r="Q6307" s="71">
        <f t="shared" si="3107"/>
        <v>10</v>
      </c>
      <c r="R6307" s="102">
        <v>124000</v>
      </c>
      <c r="S6307" s="102">
        <f t="shared" si="3110"/>
        <v>1364000</v>
      </c>
      <c r="T6307" s="102">
        <f t="shared" si="3111"/>
        <v>1240000</v>
      </c>
      <c r="U6307" s="71" t="str">
        <f>IF(J6307=W6307,"O", "X")</f>
        <v>X</v>
      </c>
      <c r="V6307" s="71"/>
      <c r="W6307" s="474">
        <v>640000</v>
      </c>
      <c r="X6307" s="71"/>
      <c r="Y6307" s="71"/>
    </row>
    <row r="6308" spans="1:25" ht="30" hidden="1" customHeight="1" x14ac:dyDescent="0.25">
      <c r="A6308" s="1145">
        <v>45195</v>
      </c>
      <c r="B6308" s="664" t="s">
        <v>2261</v>
      </c>
      <c r="C6308" s="71" t="s">
        <v>277</v>
      </c>
      <c r="D6308" s="71">
        <v>10</v>
      </c>
      <c r="E6308" s="102">
        <v>172000</v>
      </c>
      <c r="F6308" s="102">
        <f t="shared" si="3143"/>
        <v>1892000.0000000002</v>
      </c>
      <c r="G6308" s="102">
        <f t="shared" si="3144"/>
        <v>1720000</v>
      </c>
      <c r="H6308" s="690" t="s">
        <v>172</v>
      </c>
      <c r="I6308" s="71" t="s">
        <v>108</v>
      </c>
      <c r="J6308" s="53">
        <f t="shared" si="3138"/>
        <v>390000</v>
      </c>
      <c r="K6308" s="63">
        <f t="shared" si="3139"/>
        <v>0.22674418604651159</v>
      </c>
      <c r="L6308" s="1212" t="s">
        <v>3902</v>
      </c>
      <c r="M6308" s="468"/>
      <c r="N6308" s="1192">
        <f t="shared" si="3140"/>
        <v>45195</v>
      </c>
      <c r="O6308" s="71" t="s">
        <v>662</v>
      </c>
      <c r="P6308" s="103" t="str">
        <f t="shared" si="3141"/>
        <v>윤전용 세척제(Web 504)</v>
      </c>
      <c r="Q6308" s="71">
        <f t="shared" si="3107"/>
        <v>10</v>
      </c>
      <c r="R6308" s="102">
        <v>133000</v>
      </c>
      <c r="S6308" s="102">
        <f t="shared" si="3110"/>
        <v>1463000.0000000002</v>
      </c>
      <c r="T6308" s="102">
        <f t="shared" si="3111"/>
        <v>1330000</v>
      </c>
      <c r="U6308" s="71" t="str">
        <f>IF(J6308=W6308,"O", "X")</f>
        <v>X</v>
      </c>
      <c r="V6308" s="71"/>
      <c r="W6308" s="474"/>
      <c r="X6308" s="71"/>
      <c r="Y6308" s="71"/>
    </row>
    <row r="6309" spans="1:25" ht="30" hidden="1" customHeight="1" x14ac:dyDescent="0.25">
      <c r="A6309" s="1145">
        <v>45195</v>
      </c>
      <c r="B6309" s="664" t="s">
        <v>2261</v>
      </c>
      <c r="C6309" s="71" t="s">
        <v>3299</v>
      </c>
      <c r="D6309" s="71">
        <v>10</v>
      </c>
      <c r="E6309" s="102">
        <v>52000</v>
      </c>
      <c r="F6309" s="102">
        <f t="shared" si="3143"/>
        <v>572000</v>
      </c>
      <c r="G6309" s="102">
        <f t="shared" si="3144"/>
        <v>520000</v>
      </c>
      <c r="H6309" s="690" t="s">
        <v>172</v>
      </c>
      <c r="I6309" s="71" t="s">
        <v>180</v>
      </c>
      <c r="J6309" s="53">
        <f t="shared" si="3138"/>
        <v>45000</v>
      </c>
      <c r="K6309" s="63">
        <f t="shared" si="3139"/>
        <v>8.6538461538461536E-2</v>
      </c>
      <c r="L6309" s="1212" t="s">
        <v>3902</v>
      </c>
      <c r="M6309" s="468" t="s">
        <v>3835</v>
      </c>
      <c r="N6309" s="1192">
        <f t="shared" si="3140"/>
        <v>45195</v>
      </c>
      <c r="O6309" s="71" t="s">
        <v>175</v>
      </c>
      <c r="P6309" s="103" t="str">
        <f t="shared" si="3141"/>
        <v>매엽용 세척제(Wash k11)</v>
      </c>
      <c r="Q6309" s="71">
        <f t="shared" si="3107"/>
        <v>10</v>
      </c>
      <c r="R6309" s="102">
        <v>47500</v>
      </c>
      <c r="S6309" s="102">
        <f t="shared" si="3110"/>
        <v>522500.00000000006</v>
      </c>
      <c r="T6309" s="102">
        <f t="shared" si="3111"/>
        <v>475000</v>
      </c>
      <c r="U6309" s="71" t="s">
        <v>859</v>
      </c>
      <c r="V6309" s="71"/>
      <c r="W6309" s="474"/>
      <c r="X6309" s="71"/>
      <c r="Y6309" s="71"/>
    </row>
    <row r="6310" spans="1:25" ht="30" hidden="1" customHeight="1" x14ac:dyDescent="0.25">
      <c r="A6310" s="1145">
        <v>45209</v>
      </c>
      <c r="B6310" s="664" t="s">
        <v>2261</v>
      </c>
      <c r="C6310" s="760" t="s">
        <v>181</v>
      </c>
      <c r="D6310" s="71">
        <v>10</v>
      </c>
      <c r="E6310" s="102">
        <v>193000</v>
      </c>
      <c r="F6310" s="102">
        <f t="shared" ref="F6310:F6313" si="3145">(E6310*D6310)*1.1</f>
        <v>2123000</v>
      </c>
      <c r="G6310" s="102">
        <f t="shared" ref="G6310:G6313" si="3146">(E6310*D6310)</f>
        <v>1930000</v>
      </c>
      <c r="H6310" s="690" t="s">
        <v>2029</v>
      </c>
      <c r="I6310" s="71" t="s">
        <v>182</v>
      </c>
      <c r="J6310" s="53">
        <f t="shared" ref="J6310:J6313" si="3147">G6310-T6310</f>
        <v>690000</v>
      </c>
      <c r="K6310" s="63">
        <f t="shared" ref="K6310:K6313" si="3148">(J6310/(F6310/11*10))</f>
        <v>0.35751295336787564</v>
      </c>
      <c r="L6310" s="1212" t="s">
        <v>3902</v>
      </c>
      <c r="M6310" s="468"/>
      <c r="N6310" s="1192">
        <f t="shared" ref="N6310:N6313" si="3149">A6310</f>
        <v>45209</v>
      </c>
      <c r="O6310" s="71" t="s">
        <v>2030</v>
      </c>
      <c r="P6310" s="103" t="str">
        <f t="shared" ref="P6310:P6313" si="3150">(C6310)</f>
        <v>Fount Web 551AF</v>
      </c>
      <c r="Q6310" s="71">
        <f t="shared" si="3107"/>
        <v>10</v>
      </c>
      <c r="R6310" s="102">
        <v>124000</v>
      </c>
      <c r="S6310" s="102">
        <f t="shared" si="3110"/>
        <v>1364000</v>
      </c>
      <c r="T6310" s="102">
        <f t="shared" si="3111"/>
        <v>1240000</v>
      </c>
      <c r="U6310" s="71" t="str">
        <f>IF(J6310=W6310,"O", "X")</f>
        <v>X</v>
      </c>
      <c r="V6310" s="71"/>
      <c r="W6310" s="474">
        <v>640000</v>
      </c>
      <c r="X6310" s="71"/>
      <c r="Y6310" s="71"/>
    </row>
    <row r="6311" spans="1:25" ht="30" hidden="1" customHeight="1" x14ac:dyDescent="0.25">
      <c r="A6311" s="1145">
        <v>45209</v>
      </c>
      <c r="B6311" s="664" t="s">
        <v>2261</v>
      </c>
      <c r="C6311" s="71" t="s">
        <v>277</v>
      </c>
      <c r="D6311" s="71">
        <v>10</v>
      </c>
      <c r="E6311" s="102">
        <v>172000</v>
      </c>
      <c r="F6311" s="102">
        <f t="shared" si="3145"/>
        <v>1892000.0000000002</v>
      </c>
      <c r="G6311" s="102">
        <f t="shared" si="3146"/>
        <v>1720000</v>
      </c>
      <c r="H6311" s="690" t="s">
        <v>172</v>
      </c>
      <c r="I6311" s="71" t="s">
        <v>108</v>
      </c>
      <c r="J6311" s="53">
        <f t="shared" si="3147"/>
        <v>390000</v>
      </c>
      <c r="K6311" s="63">
        <f t="shared" si="3148"/>
        <v>0.22674418604651159</v>
      </c>
      <c r="L6311" s="1212" t="s">
        <v>3902</v>
      </c>
      <c r="M6311" s="468"/>
      <c r="N6311" s="1192">
        <f t="shared" si="3149"/>
        <v>45209</v>
      </c>
      <c r="O6311" s="71" t="s">
        <v>662</v>
      </c>
      <c r="P6311" s="103" t="str">
        <f t="shared" si="3150"/>
        <v>윤전용 세척제(Web 504)</v>
      </c>
      <c r="Q6311" s="71">
        <f t="shared" si="3107"/>
        <v>10</v>
      </c>
      <c r="R6311" s="102">
        <v>133000</v>
      </c>
      <c r="S6311" s="102">
        <f t="shared" si="3110"/>
        <v>1463000.0000000002</v>
      </c>
      <c r="T6311" s="102">
        <f t="shared" si="3111"/>
        <v>1330000</v>
      </c>
      <c r="U6311" s="71" t="str">
        <f>IF(J6311=W6311,"O", "X")</f>
        <v>X</v>
      </c>
      <c r="V6311" s="71"/>
      <c r="W6311" s="474"/>
      <c r="X6311" s="71"/>
      <c r="Y6311" s="71"/>
    </row>
    <row r="6312" spans="1:25" ht="30" hidden="1" customHeight="1" x14ac:dyDescent="0.25">
      <c r="A6312" s="1145">
        <v>45209</v>
      </c>
      <c r="B6312" s="664" t="s">
        <v>2261</v>
      </c>
      <c r="C6312" s="71" t="s">
        <v>3299</v>
      </c>
      <c r="D6312" s="71">
        <v>10</v>
      </c>
      <c r="E6312" s="102">
        <v>52000</v>
      </c>
      <c r="F6312" s="102">
        <f t="shared" si="3145"/>
        <v>572000</v>
      </c>
      <c r="G6312" s="102">
        <f t="shared" si="3146"/>
        <v>520000</v>
      </c>
      <c r="H6312" s="690" t="s">
        <v>172</v>
      </c>
      <c r="I6312" s="71" t="s">
        <v>180</v>
      </c>
      <c r="J6312" s="53">
        <f t="shared" si="3147"/>
        <v>45000</v>
      </c>
      <c r="K6312" s="63">
        <f t="shared" si="3148"/>
        <v>8.6538461538461536E-2</v>
      </c>
      <c r="L6312" s="1212" t="s">
        <v>3902</v>
      </c>
      <c r="M6312" s="468" t="s">
        <v>3835</v>
      </c>
      <c r="N6312" s="1192">
        <f t="shared" si="3149"/>
        <v>45209</v>
      </c>
      <c r="O6312" s="71" t="s">
        <v>175</v>
      </c>
      <c r="P6312" s="103" t="str">
        <f t="shared" si="3150"/>
        <v>매엽용 세척제(Wash k11)</v>
      </c>
      <c r="Q6312" s="71">
        <f t="shared" si="3107"/>
        <v>10</v>
      </c>
      <c r="R6312" s="102">
        <v>47500</v>
      </c>
      <c r="S6312" s="102">
        <f t="shared" si="3110"/>
        <v>522500.00000000006</v>
      </c>
      <c r="T6312" s="102">
        <f t="shared" si="3111"/>
        <v>475000</v>
      </c>
      <c r="U6312" s="71" t="s">
        <v>859</v>
      </c>
      <c r="V6312" s="71"/>
      <c r="W6312" s="474"/>
      <c r="X6312" s="71"/>
      <c r="Y6312" s="71"/>
    </row>
    <row r="6313" spans="1:25" s="209" customFormat="1" ht="31.5" hidden="1" customHeight="1" x14ac:dyDescent="0.2">
      <c r="A6313" s="1145">
        <v>45211</v>
      </c>
      <c r="B6313" s="664" t="s">
        <v>3289</v>
      </c>
      <c r="C6313" s="71" t="s">
        <v>3387</v>
      </c>
      <c r="D6313" s="71">
        <v>10</v>
      </c>
      <c r="E6313" s="102">
        <v>130000</v>
      </c>
      <c r="F6313" s="102">
        <f t="shared" si="3145"/>
        <v>1430000</v>
      </c>
      <c r="G6313" s="102">
        <f t="shared" si="3146"/>
        <v>1300000</v>
      </c>
      <c r="H6313" s="165" t="s">
        <v>172</v>
      </c>
      <c r="I6313" s="71" t="s">
        <v>184</v>
      </c>
      <c r="J6313" s="53">
        <f t="shared" si="3147"/>
        <v>180000</v>
      </c>
      <c r="K6313" s="63">
        <f t="shared" si="3148"/>
        <v>0.13846153846153847</v>
      </c>
      <c r="L6313" s="1212" t="s">
        <v>3902</v>
      </c>
      <c r="M6313" s="468" t="s">
        <v>3835</v>
      </c>
      <c r="N6313" s="1192">
        <f t="shared" si="3149"/>
        <v>45211</v>
      </c>
      <c r="O6313" s="71" t="s">
        <v>189</v>
      </c>
      <c r="P6313" s="103" t="str">
        <f t="shared" si="3150"/>
        <v>Blanket(990*725)</v>
      </c>
      <c r="Q6313" s="71">
        <f t="shared" si="3107"/>
        <v>10</v>
      </c>
      <c r="R6313" s="102">
        <v>112000</v>
      </c>
      <c r="S6313" s="102">
        <f t="shared" si="3110"/>
        <v>1232000</v>
      </c>
      <c r="T6313" s="102">
        <f t="shared" si="3111"/>
        <v>1120000</v>
      </c>
      <c r="U6313" s="71" t="str">
        <f>IF(J6313=W6313,"O", "X")</f>
        <v>X</v>
      </c>
      <c r="V6313" s="71"/>
      <c r="W6313" s="474">
        <v>80000</v>
      </c>
      <c r="X6313" s="71"/>
      <c r="Y6313" s="71"/>
    </row>
    <row r="6314" spans="1:25" ht="30" hidden="1" customHeight="1" x14ac:dyDescent="0.25">
      <c r="A6314" s="1145">
        <v>45222</v>
      </c>
      <c r="B6314" s="664" t="s">
        <v>2261</v>
      </c>
      <c r="C6314" s="760" t="s">
        <v>181</v>
      </c>
      <c r="D6314" s="71">
        <v>10</v>
      </c>
      <c r="E6314" s="102">
        <v>193000</v>
      </c>
      <c r="F6314" s="102">
        <f t="shared" ref="F6314:F6319" si="3151">(E6314*D6314)*1.1</f>
        <v>2123000</v>
      </c>
      <c r="G6314" s="102">
        <f t="shared" ref="G6314:G6319" si="3152">(E6314*D6314)</f>
        <v>1930000</v>
      </c>
      <c r="H6314" s="690" t="s">
        <v>2029</v>
      </c>
      <c r="I6314" s="71" t="s">
        <v>182</v>
      </c>
      <c r="J6314" s="53">
        <f t="shared" ref="J6314:J6318" si="3153">G6314-T6314</f>
        <v>690000</v>
      </c>
      <c r="K6314" s="63">
        <f t="shared" ref="K6314:K6318" si="3154">(J6314/(F6314/11*10))</f>
        <v>0.35751295336787564</v>
      </c>
      <c r="L6314" s="1212" t="s">
        <v>3902</v>
      </c>
      <c r="M6314" s="468"/>
      <c r="N6314" s="1192">
        <f t="shared" ref="N6314:N6323" si="3155">A6314</f>
        <v>45222</v>
      </c>
      <c r="O6314" s="71" t="s">
        <v>2030</v>
      </c>
      <c r="P6314" s="103" t="str">
        <f t="shared" ref="P6314:P6319" si="3156">(C6314)</f>
        <v>Fount Web 551AF</v>
      </c>
      <c r="Q6314" s="71">
        <f t="shared" si="3107"/>
        <v>10</v>
      </c>
      <c r="R6314" s="102">
        <v>124000</v>
      </c>
      <c r="S6314" s="102">
        <f t="shared" si="3110"/>
        <v>1364000</v>
      </c>
      <c r="T6314" s="102">
        <f t="shared" si="3111"/>
        <v>1240000</v>
      </c>
      <c r="U6314" s="71" t="str">
        <f>IF(J6314=W6314,"O", "X")</f>
        <v>X</v>
      </c>
      <c r="V6314" s="71"/>
      <c r="W6314" s="474">
        <v>640000</v>
      </c>
      <c r="X6314" s="71"/>
      <c r="Y6314" s="71"/>
    </row>
    <row r="6315" spans="1:25" ht="30" hidden="1" customHeight="1" x14ac:dyDescent="0.25">
      <c r="A6315" s="1145">
        <v>45222</v>
      </c>
      <c r="B6315" s="664" t="s">
        <v>2261</v>
      </c>
      <c r="C6315" s="71" t="s">
        <v>277</v>
      </c>
      <c r="D6315" s="71">
        <v>10</v>
      </c>
      <c r="E6315" s="102">
        <v>172000</v>
      </c>
      <c r="F6315" s="102">
        <f t="shared" si="3151"/>
        <v>1892000.0000000002</v>
      </c>
      <c r="G6315" s="102">
        <f t="shared" si="3152"/>
        <v>1720000</v>
      </c>
      <c r="H6315" s="690" t="s">
        <v>172</v>
      </c>
      <c r="I6315" s="71" t="s">
        <v>108</v>
      </c>
      <c r="J6315" s="53">
        <f t="shared" si="3153"/>
        <v>390000</v>
      </c>
      <c r="K6315" s="63">
        <f t="shared" si="3154"/>
        <v>0.22674418604651159</v>
      </c>
      <c r="L6315" s="1212" t="s">
        <v>3902</v>
      </c>
      <c r="M6315" s="468"/>
      <c r="N6315" s="1192">
        <f t="shared" si="3155"/>
        <v>45222</v>
      </c>
      <c r="O6315" s="71" t="s">
        <v>662</v>
      </c>
      <c r="P6315" s="103" t="str">
        <f t="shared" si="3156"/>
        <v>윤전용 세척제(Web 504)</v>
      </c>
      <c r="Q6315" s="71">
        <f t="shared" si="3107"/>
        <v>10</v>
      </c>
      <c r="R6315" s="102">
        <v>133000</v>
      </c>
      <c r="S6315" s="102">
        <f t="shared" si="3110"/>
        <v>1463000.0000000002</v>
      </c>
      <c r="T6315" s="102">
        <f t="shared" si="3111"/>
        <v>1330000</v>
      </c>
      <c r="U6315" s="71" t="str">
        <f>IF(J6315=W6315,"O", "X")</f>
        <v>X</v>
      </c>
      <c r="V6315" s="71"/>
      <c r="W6315" s="474"/>
      <c r="X6315" s="71"/>
      <c r="Y6315" s="71"/>
    </row>
    <row r="6316" spans="1:25" s="209" customFormat="1" ht="30" hidden="1" customHeight="1" x14ac:dyDescent="0.25">
      <c r="A6316" s="1145">
        <v>45201</v>
      </c>
      <c r="B6316" s="664" t="s">
        <v>1178</v>
      </c>
      <c r="C6316" s="71" t="s">
        <v>3921</v>
      </c>
      <c r="D6316" s="71">
        <v>1200</v>
      </c>
      <c r="E6316" s="102">
        <v>4436.3639999999996</v>
      </c>
      <c r="F6316" s="102">
        <f t="shared" si="3151"/>
        <v>5856000.4800000004</v>
      </c>
      <c r="G6316" s="102">
        <f t="shared" si="3152"/>
        <v>5323636.8</v>
      </c>
      <c r="H6316" s="690" t="s">
        <v>142</v>
      </c>
      <c r="I6316" s="690" t="s">
        <v>142</v>
      </c>
      <c r="J6316" s="53">
        <f t="shared" si="3153"/>
        <v>930436.79999999981</v>
      </c>
      <c r="K6316" s="63">
        <f t="shared" si="3154"/>
        <v>0.17477465780535587</v>
      </c>
      <c r="L6316" s="1212" t="s">
        <v>3902</v>
      </c>
      <c r="M6316" s="468"/>
      <c r="N6316" s="1192">
        <f t="shared" si="3155"/>
        <v>45201</v>
      </c>
      <c r="O6316" s="71" t="s">
        <v>194</v>
      </c>
      <c r="P6316" s="164" t="str">
        <f t="shared" si="3156"/>
        <v>850*680 CTP판</v>
      </c>
      <c r="Q6316" s="71">
        <f t="shared" ref="Q6316:Q6319" si="3157">D6316</f>
        <v>1200</v>
      </c>
      <c r="R6316" s="102">
        <v>3661</v>
      </c>
      <c r="S6316" s="102">
        <f t="shared" si="3110"/>
        <v>4832520</v>
      </c>
      <c r="T6316" s="102">
        <f t="shared" si="3111"/>
        <v>4393200</v>
      </c>
      <c r="U6316" s="71"/>
      <c r="V6316" s="71"/>
      <c r="W6316" s="474"/>
      <c r="X6316" s="71"/>
      <c r="Y6316" s="71"/>
    </row>
    <row r="6317" spans="1:25" ht="30" hidden="1" customHeight="1" x14ac:dyDescent="0.25">
      <c r="A6317" s="1145">
        <v>45230</v>
      </c>
      <c r="B6317" s="664" t="s">
        <v>546</v>
      </c>
      <c r="C6317" s="71" t="s">
        <v>114</v>
      </c>
      <c r="D6317" s="71">
        <v>50</v>
      </c>
      <c r="E6317" s="102">
        <v>18000</v>
      </c>
      <c r="F6317" s="102">
        <f t="shared" si="3151"/>
        <v>990000.00000000012</v>
      </c>
      <c r="G6317" s="102">
        <f t="shared" si="3152"/>
        <v>900000</v>
      </c>
      <c r="H6317" s="690" t="s">
        <v>1431</v>
      </c>
      <c r="I6317" s="71" t="s">
        <v>1431</v>
      </c>
      <c r="J6317" s="53">
        <f t="shared" si="3153"/>
        <v>375000</v>
      </c>
      <c r="K6317" s="63">
        <f t="shared" si="3154"/>
        <v>0.41666666666666663</v>
      </c>
      <c r="L6317" s="1212" t="s">
        <v>3902</v>
      </c>
      <c r="M6317" s="468"/>
      <c r="N6317" s="1192">
        <f t="shared" si="3155"/>
        <v>45230</v>
      </c>
      <c r="O6317" s="71" t="s">
        <v>1431</v>
      </c>
      <c r="P6317" s="103" t="str">
        <f t="shared" si="3156"/>
        <v>스트리퍼</v>
      </c>
      <c r="Q6317" s="71">
        <f t="shared" si="3157"/>
        <v>50</v>
      </c>
      <c r="R6317" s="102">
        <v>10500</v>
      </c>
      <c r="S6317" s="102">
        <f t="shared" ref="S6317:S6319" si="3158">R6317*Q6317*1.1</f>
        <v>577500</v>
      </c>
      <c r="T6317" s="102">
        <f t="shared" ref="T6317:T6319" si="3159">R6317*Q6317</f>
        <v>525000</v>
      </c>
      <c r="U6317" s="71"/>
      <c r="V6317" s="71"/>
      <c r="W6317" s="474"/>
      <c r="X6317" s="71"/>
      <c r="Y6317" s="71"/>
    </row>
    <row r="6318" spans="1:25" s="209" customFormat="1" ht="30" hidden="1" customHeight="1" x14ac:dyDescent="0.25">
      <c r="A6318" s="1145">
        <v>45230</v>
      </c>
      <c r="B6318" s="664" t="s">
        <v>546</v>
      </c>
      <c r="C6318" s="71" t="s">
        <v>2435</v>
      </c>
      <c r="D6318" s="71">
        <v>30</v>
      </c>
      <c r="E6318" s="102">
        <v>20000</v>
      </c>
      <c r="F6318" s="102">
        <f t="shared" si="3151"/>
        <v>660000</v>
      </c>
      <c r="G6318" s="102">
        <f t="shared" si="3152"/>
        <v>600000</v>
      </c>
      <c r="H6318" s="690" t="s">
        <v>1431</v>
      </c>
      <c r="I6318" s="71" t="s">
        <v>1431</v>
      </c>
      <c r="J6318" s="53">
        <f t="shared" si="3153"/>
        <v>127200</v>
      </c>
      <c r="K6318" s="63">
        <f t="shared" si="3154"/>
        <v>0.21199999999999999</v>
      </c>
      <c r="L6318" s="1212" t="s">
        <v>3902</v>
      </c>
      <c r="M6318" s="468"/>
      <c r="N6318" s="1192">
        <f t="shared" si="3155"/>
        <v>45230</v>
      </c>
      <c r="O6318" s="71" t="s">
        <v>1431</v>
      </c>
      <c r="P6318" s="103" t="str">
        <f t="shared" si="3156"/>
        <v>잉크 파운틴 호일</v>
      </c>
      <c r="Q6318" s="71">
        <f t="shared" si="3157"/>
        <v>30</v>
      </c>
      <c r="R6318" s="102">
        <v>15760</v>
      </c>
      <c r="S6318" s="102">
        <f t="shared" si="3158"/>
        <v>520080.00000000006</v>
      </c>
      <c r="T6318" s="102">
        <f t="shared" si="3159"/>
        <v>472800</v>
      </c>
      <c r="U6318" s="71"/>
      <c r="V6318" s="71"/>
      <c r="W6318" s="474"/>
      <c r="X6318" s="71"/>
      <c r="Y6318" s="71"/>
    </row>
    <row r="6319" spans="1:25" ht="30" hidden="1" customHeight="1" x14ac:dyDescent="0.25">
      <c r="A6319" s="1145">
        <v>45230</v>
      </c>
      <c r="B6319" s="664" t="s">
        <v>546</v>
      </c>
      <c r="C6319" s="71" t="s">
        <v>3922</v>
      </c>
      <c r="D6319" s="71">
        <v>1</v>
      </c>
      <c r="E6319" s="102">
        <v>3800000</v>
      </c>
      <c r="F6319" s="102">
        <f t="shared" si="3151"/>
        <v>4180000.0000000005</v>
      </c>
      <c r="G6319" s="102">
        <f t="shared" si="3152"/>
        <v>3800000</v>
      </c>
      <c r="H6319" s="690" t="s">
        <v>281</v>
      </c>
      <c r="I6319" s="71" t="s">
        <v>281</v>
      </c>
      <c r="J6319" s="53"/>
      <c r="K6319" s="63"/>
      <c r="L6319" s="1212" t="s">
        <v>3902</v>
      </c>
      <c r="M6319" s="468"/>
      <c r="N6319" s="1192">
        <f t="shared" si="3155"/>
        <v>45230</v>
      </c>
      <c r="O6319" s="71"/>
      <c r="P6319" s="164" t="str">
        <f t="shared" si="3156"/>
        <v>판걸이 튜브 교체 인건비</v>
      </c>
      <c r="Q6319" s="71">
        <f t="shared" si="3157"/>
        <v>1</v>
      </c>
      <c r="R6319" s="102"/>
      <c r="S6319" s="102">
        <f t="shared" si="3158"/>
        <v>0</v>
      </c>
      <c r="T6319" s="102">
        <f t="shared" si="3159"/>
        <v>0</v>
      </c>
      <c r="U6319" s="71"/>
      <c r="V6319" s="71"/>
      <c r="W6319" s="474"/>
      <c r="X6319" s="71"/>
      <c r="Y6319" s="71"/>
    </row>
    <row r="6320" spans="1:25" ht="30" hidden="1" customHeight="1" x14ac:dyDescent="0.25">
      <c r="A6320" s="1210" t="s">
        <v>3926</v>
      </c>
      <c r="B6320" s="1211" t="s">
        <v>544</v>
      </c>
      <c r="C6320" s="960"/>
      <c r="D6320" s="960"/>
      <c r="E6320" s="952"/>
      <c r="F6320" s="952"/>
      <c r="G6320" s="952"/>
      <c r="H6320" s="1206"/>
      <c r="I6320" s="960"/>
      <c r="J6320" s="952"/>
      <c r="K6320" s="953"/>
      <c r="L6320" s="1212" t="s">
        <v>3928</v>
      </c>
      <c r="M6320" s="1207"/>
      <c r="N6320" s="1208" t="str">
        <f t="shared" si="3155"/>
        <v>2023,11</v>
      </c>
      <c r="O6320" s="960"/>
      <c r="P6320" s="1209"/>
      <c r="Q6320" s="960"/>
      <c r="R6320" s="952"/>
      <c r="S6320" s="952"/>
      <c r="T6320" s="952"/>
      <c r="U6320" s="960"/>
      <c r="V6320" s="960"/>
      <c r="W6320" s="474">
        <f>(G6320-T6320)</f>
        <v>0</v>
      </c>
      <c r="X6320" s="71"/>
      <c r="Y6320" s="71"/>
    </row>
    <row r="6321" spans="1:25" ht="30" customHeight="1" x14ac:dyDescent="0.25">
      <c r="A6321" s="1145">
        <v>45231</v>
      </c>
      <c r="B6321" s="664" t="s">
        <v>2352</v>
      </c>
      <c r="C6321" s="71" t="s">
        <v>692</v>
      </c>
      <c r="D6321" s="71">
        <v>3</v>
      </c>
      <c r="E6321" s="102">
        <v>264000</v>
      </c>
      <c r="F6321" s="102">
        <f t="shared" ref="F6321:F6325" si="3160">(E6321*D6321)*1.1</f>
        <v>871200.00000000012</v>
      </c>
      <c r="G6321" s="102">
        <f t="shared" ref="G6321:G6325" si="3161">(E6321*D6321)</f>
        <v>792000</v>
      </c>
      <c r="H6321" s="690" t="s">
        <v>142</v>
      </c>
      <c r="I6321" s="71" t="s">
        <v>179</v>
      </c>
      <c r="J6321" s="53">
        <f t="shared" ref="J6321:J6323" si="3162">G6321-T6321</f>
        <v>292500</v>
      </c>
      <c r="K6321" s="63">
        <f t="shared" ref="K6321:K6323" si="3163">(J6321/(F6321/11*10))</f>
        <v>0.36931818181818177</v>
      </c>
      <c r="L6321" s="1212" t="s">
        <v>3928</v>
      </c>
      <c r="M6321" s="468" t="s">
        <v>2052</v>
      </c>
      <c r="N6321" s="1192">
        <f t="shared" si="3155"/>
        <v>45231</v>
      </c>
      <c r="O6321" s="71" t="s">
        <v>150</v>
      </c>
      <c r="P6321" s="103" t="str">
        <f t="shared" ref="P6321:P6325" si="3164">(C6321)</f>
        <v>윤전 블랑켓</v>
      </c>
      <c r="Q6321" s="71">
        <f t="shared" ref="Q6321:Q6325" si="3165">D6321</f>
        <v>3</v>
      </c>
      <c r="R6321" s="102">
        <v>166500</v>
      </c>
      <c r="S6321" s="102">
        <f t="shared" ref="S6321:S6325" si="3166">R6321*Q6321*1.1</f>
        <v>549450</v>
      </c>
      <c r="T6321" s="102">
        <f t="shared" ref="T6321:T6325" si="3167">R6321*Q6321</f>
        <v>499500</v>
      </c>
      <c r="U6321" s="71" t="str">
        <f>IF(J6321=W6321,"O", "X")</f>
        <v>O</v>
      </c>
      <c r="V6321" s="71" t="s">
        <v>784</v>
      </c>
      <c r="W6321" s="474">
        <f>(G6321-T6321)</f>
        <v>292500</v>
      </c>
      <c r="X6321" s="71"/>
      <c r="Y6321" s="71"/>
    </row>
    <row r="6322" spans="1:25" s="209" customFormat="1" ht="30" customHeight="1" x14ac:dyDescent="0.25">
      <c r="A6322" s="1145">
        <v>45231</v>
      </c>
      <c r="B6322" s="664" t="s">
        <v>2352</v>
      </c>
      <c r="C6322" s="71" t="s">
        <v>583</v>
      </c>
      <c r="D6322" s="71">
        <v>8</v>
      </c>
      <c r="E6322" s="102">
        <v>98000</v>
      </c>
      <c r="F6322" s="102">
        <f t="shared" si="3160"/>
        <v>862400.00000000012</v>
      </c>
      <c r="G6322" s="102">
        <f t="shared" si="3161"/>
        <v>784000</v>
      </c>
      <c r="H6322" s="690" t="s">
        <v>142</v>
      </c>
      <c r="I6322" s="71" t="s">
        <v>142</v>
      </c>
      <c r="J6322" s="53">
        <f t="shared" si="3162"/>
        <v>408000</v>
      </c>
      <c r="K6322" s="63">
        <f t="shared" si="3163"/>
        <v>0.52040816326530603</v>
      </c>
      <c r="L6322" s="1212" t="s">
        <v>3927</v>
      </c>
      <c r="M6322" s="468" t="s">
        <v>2053</v>
      </c>
      <c r="N6322" s="1192">
        <f t="shared" si="3155"/>
        <v>45231</v>
      </c>
      <c r="O6322" s="71" t="s">
        <v>599</v>
      </c>
      <c r="P6322" s="103" t="str">
        <f t="shared" si="3164"/>
        <v>M600 윤전 세정포</v>
      </c>
      <c r="Q6322" s="71">
        <f t="shared" si="3165"/>
        <v>8</v>
      </c>
      <c r="R6322" s="102">
        <v>47000</v>
      </c>
      <c r="S6322" s="102">
        <f t="shared" si="3166"/>
        <v>413600.00000000006</v>
      </c>
      <c r="T6322" s="102">
        <f t="shared" si="3167"/>
        <v>376000</v>
      </c>
      <c r="U6322" s="71" t="str">
        <f>IF(J6322=W6322,"O", "X")</f>
        <v>O</v>
      </c>
      <c r="V6322" s="71"/>
      <c r="W6322" s="474">
        <f>(G6322-T6322)</f>
        <v>408000</v>
      </c>
      <c r="X6322" s="71"/>
      <c r="Y6322" s="71"/>
    </row>
    <row r="6323" spans="1:25" ht="30" customHeight="1" x14ac:dyDescent="0.25">
      <c r="A6323" s="1145">
        <v>45231</v>
      </c>
      <c r="B6323" s="664" t="s">
        <v>2352</v>
      </c>
      <c r="C6323" s="760" t="s">
        <v>218</v>
      </c>
      <c r="D6323" s="71">
        <v>5</v>
      </c>
      <c r="E6323" s="102">
        <v>286000</v>
      </c>
      <c r="F6323" s="102">
        <f t="shared" si="3160"/>
        <v>1573000.0000000002</v>
      </c>
      <c r="G6323" s="102">
        <f t="shared" si="3161"/>
        <v>1430000</v>
      </c>
      <c r="H6323" s="690" t="s">
        <v>142</v>
      </c>
      <c r="I6323" s="71" t="s">
        <v>179</v>
      </c>
      <c r="J6323" s="53">
        <f t="shared" si="3162"/>
        <v>810000</v>
      </c>
      <c r="K6323" s="63">
        <f t="shared" si="3163"/>
        <v>0.56643356643356635</v>
      </c>
      <c r="L6323" s="1212" t="s">
        <v>3927</v>
      </c>
      <c r="M6323" s="468" t="s">
        <v>2053</v>
      </c>
      <c r="N6323" s="1192">
        <f t="shared" si="3155"/>
        <v>45231</v>
      </c>
      <c r="O6323" s="71" t="s">
        <v>150</v>
      </c>
      <c r="P6323" s="103" t="str">
        <f t="shared" si="3164"/>
        <v>Fount Web 551AF</v>
      </c>
      <c r="Q6323" s="71">
        <f t="shared" si="3165"/>
        <v>5</v>
      </c>
      <c r="R6323" s="102">
        <v>124000</v>
      </c>
      <c r="S6323" s="102">
        <f t="shared" si="3166"/>
        <v>682000</v>
      </c>
      <c r="T6323" s="102">
        <f t="shared" si="3167"/>
        <v>620000</v>
      </c>
      <c r="U6323" s="71" t="str">
        <f>IF(J6323=W6323,"O", "X")</f>
        <v>O</v>
      </c>
      <c r="V6323" s="71"/>
      <c r="W6323" s="474">
        <f>(G6323-T6323)</f>
        <v>810000</v>
      </c>
      <c r="X6323" s="71"/>
      <c r="Y6323" s="71"/>
    </row>
    <row r="6324" spans="1:25" ht="30" customHeight="1" x14ac:dyDescent="0.25">
      <c r="A6324" s="1145">
        <v>45231</v>
      </c>
      <c r="B6324" s="664" t="s">
        <v>2352</v>
      </c>
      <c r="C6324" s="71" t="s">
        <v>3836</v>
      </c>
      <c r="D6324" s="71">
        <v>80</v>
      </c>
      <c r="E6324" s="102">
        <v>18500</v>
      </c>
      <c r="F6324" s="102">
        <f t="shared" si="3160"/>
        <v>1628000.0000000002</v>
      </c>
      <c r="G6324" s="102">
        <f t="shared" si="3161"/>
        <v>1480000</v>
      </c>
      <c r="H6324" s="690" t="s">
        <v>179</v>
      </c>
      <c r="I6324" s="71" t="s">
        <v>179</v>
      </c>
      <c r="J6324" s="53">
        <f>G6324-T6324</f>
        <v>593280</v>
      </c>
      <c r="K6324" s="63">
        <f>(J6324/(F6324/11*10))</f>
        <v>0.40086486486486478</v>
      </c>
      <c r="L6324" s="1212" t="s">
        <v>3927</v>
      </c>
      <c r="M6324" s="468"/>
      <c r="N6324" s="1192">
        <f>A6324</f>
        <v>45231</v>
      </c>
      <c r="O6324" s="71"/>
      <c r="P6324" s="103" t="str">
        <f t="shared" si="3164"/>
        <v>고모리 윤전 블랑켓 건식 세정포 - 국전용</v>
      </c>
      <c r="Q6324" s="71">
        <f t="shared" si="3165"/>
        <v>80</v>
      </c>
      <c r="R6324" s="102">
        <v>11084</v>
      </c>
      <c r="S6324" s="102">
        <f t="shared" si="3166"/>
        <v>975392.00000000012</v>
      </c>
      <c r="T6324" s="102">
        <f t="shared" si="3167"/>
        <v>886720</v>
      </c>
      <c r="U6324" s="71"/>
      <c r="V6324" s="71"/>
      <c r="W6324" s="474"/>
      <c r="X6324" s="71"/>
      <c r="Y6324" s="71"/>
    </row>
    <row r="6325" spans="1:25" ht="30" customHeight="1" x14ac:dyDescent="0.25">
      <c r="A6325" s="1145">
        <v>45232</v>
      </c>
      <c r="B6325" s="664" t="s">
        <v>2536</v>
      </c>
      <c r="C6325" s="71" t="s">
        <v>3590</v>
      </c>
      <c r="D6325" s="71">
        <v>150</v>
      </c>
      <c r="E6325" s="102">
        <v>24000</v>
      </c>
      <c r="F6325" s="102">
        <f t="shared" si="3160"/>
        <v>3960000.0000000005</v>
      </c>
      <c r="G6325" s="102">
        <f t="shared" si="3161"/>
        <v>3600000</v>
      </c>
      <c r="H6325" s="690" t="s">
        <v>142</v>
      </c>
      <c r="I6325" s="71" t="s">
        <v>179</v>
      </c>
      <c r="J6325" s="53">
        <f t="shared" ref="J6325:J6329" si="3168">G6325-T6325</f>
        <v>1140000</v>
      </c>
      <c r="K6325" s="63">
        <f t="shared" ref="K6325:K6329" si="3169">(J6325/(F6325/11*10))</f>
        <v>0.31666666666666665</v>
      </c>
      <c r="L6325" s="1212" t="s">
        <v>3927</v>
      </c>
      <c r="M6325" s="468"/>
      <c r="N6325" s="1192">
        <f t="shared" ref="N6325:N6329" si="3170">A6325</f>
        <v>45232</v>
      </c>
      <c r="O6325" s="71" t="s">
        <v>3709</v>
      </c>
      <c r="P6325" s="103" t="str">
        <f t="shared" si="3164"/>
        <v>3M 양면 테이프</v>
      </c>
      <c r="Q6325" s="71">
        <f t="shared" si="3165"/>
        <v>150</v>
      </c>
      <c r="R6325" s="102">
        <v>16400</v>
      </c>
      <c r="S6325" s="102">
        <f t="shared" si="3166"/>
        <v>2706000</v>
      </c>
      <c r="T6325" s="102">
        <f t="shared" si="3167"/>
        <v>2460000</v>
      </c>
      <c r="U6325" s="71"/>
      <c r="V6325" s="71"/>
      <c r="W6325" s="474"/>
      <c r="X6325" s="71"/>
      <c r="Y6325" s="71"/>
    </row>
    <row r="6326" spans="1:25" ht="30" customHeight="1" x14ac:dyDescent="0.25">
      <c r="A6326" s="1145">
        <v>45238</v>
      </c>
      <c r="B6326" s="664" t="s">
        <v>2352</v>
      </c>
      <c r="C6326" s="760" t="s">
        <v>218</v>
      </c>
      <c r="D6326" s="71">
        <v>6</v>
      </c>
      <c r="E6326" s="102">
        <v>286000</v>
      </c>
      <c r="F6326" s="102">
        <f t="shared" ref="F6326:F6332" si="3171">(E6326*D6326)*1.1</f>
        <v>1887600.0000000002</v>
      </c>
      <c r="G6326" s="102">
        <f t="shared" ref="G6326:G6332" si="3172">(E6326*D6326)</f>
        <v>1716000</v>
      </c>
      <c r="H6326" s="690" t="s">
        <v>142</v>
      </c>
      <c r="I6326" s="71" t="s">
        <v>179</v>
      </c>
      <c r="J6326" s="53">
        <f t="shared" si="3168"/>
        <v>972000</v>
      </c>
      <c r="K6326" s="63">
        <f t="shared" si="3169"/>
        <v>0.56643356643356635</v>
      </c>
      <c r="L6326" s="1212" t="s">
        <v>3927</v>
      </c>
      <c r="M6326" s="468" t="s">
        <v>2053</v>
      </c>
      <c r="N6326" s="1192">
        <f t="shared" si="3170"/>
        <v>45238</v>
      </c>
      <c r="O6326" s="71" t="s">
        <v>150</v>
      </c>
      <c r="P6326" s="103" t="str">
        <f t="shared" ref="P6326:P6334" si="3173">(C6326)</f>
        <v>Fount Web 551AF</v>
      </c>
      <c r="Q6326" s="71">
        <f t="shared" ref="Q6326:Q6334" si="3174">D6326</f>
        <v>6</v>
      </c>
      <c r="R6326" s="102">
        <v>124000</v>
      </c>
      <c r="S6326" s="102">
        <f t="shared" ref="S6326:S6334" si="3175">R6326*Q6326*1.1</f>
        <v>818400.00000000012</v>
      </c>
      <c r="T6326" s="102">
        <f t="shared" ref="T6326:T6334" si="3176">R6326*Q6326</f>
        <v>744000</v>
      </c>
      <c r="U6326" s="71" t="str">
        <f>IF(J6326=W6326,"O", "X")</f>
        <v>O</v>
      </c>
      <c r="V6326" s="71"/>
      <c r="W6326" s="474">
        <f>(G6326-T6326)</f>
        <v>972000</v>
      </c>
      <c r="X6326" s="71"/>
      <c r="Y6326" s="71"/>
    </row>
    <row r="6327" spans="1:25" ht="30" customHeight="1" x14ac:dyDescent="0.25">
      <c r="A6327" s="1145">
        <v>45245</v>
      </c>
      <c r="B6327" s="664" t="s">
        <v>2352</v>
      </c>
      <c r="C6327" s="71" t="s">
        <v>692</v>
      </c>
      <c r="D6327" s="71">
        <v>4</v>
      </c>
      <c r="E6327" s="102">
        <v>264000</v>
      </c>
      <c r="F6327" s="102">
        <f t="shared" si="3171"/>
        <v>1161600</v>
      </c>
      <c r="G6327" s="102">
        <f t="shared" si="3172"/>
        <v>1056000</v>
      </c>
      <c r="H6327" s="690" t="s">
        <v>142</v>
      </c>
      <c r="I6327" s="71" t="s">
        <v>179</v>
      </c>
      <c r="J6327" s="53">
        <f t="shared" si="3168"/>
        <v>390000</v>
      </c>
      <c r="K6327" s="63">
        <f t="shared" si="3169"/>
        <v>0.36931818181818182</v>
      </c>
      <c r="L6327" s="1212" t="s">
        <v>3927</v>
      </c>
      <c r="M6327" s="468" t="s">
        <v>2052</v>
      </c>
      <c r="N6327" s="1192">
        <f t="shared" si="3170"/>
        <v>45245</v>
      </c>
      <c r="O6327" s="71" t="s">
        <v>150</v>
      </c>
      <c r="P6327" s="103" t="str">
        <f t="shared" si="3173"/>
        <v>윤전 블랑켓</v>
      </c>
      <c r="Q6327" s="71">
        <f t="shared" si="3174"/>
        <v>4</v>
      </c>
      <c r="R6327" s="102">
        <v>166500</v>
      </c>
      <c r="S6327" s="102">
        <f t="shared" si="3175"/>
        <v>732600.00000000012</v>
      </c>
      <c r="T6327" s="102">
        <f t="shared" si="3176"/>
        <v>666000</v>
      </c>
      <c r="U6327" s="71" t="str">
        <f>IF(J6327=W6327,"O", "X")</f>
        <v>O</v>
      </c>
      <c r="V6327" s="71" t="s">
        <v>784</v>
      </c>
      <c r="W6327" s="474">
        <f>(G6327-T6327)</f>
        <v>390000</v>
      </c>
      <c r="X6327" s="71"/>
      <c r="Y6327" s="71"/>
    </row>
    <row r="6328" spans="1:25" s="209" customFormat="1" ht="30" customHeight="1" x14ac:dyDescent="0.25">
      <c r="A6328" s="1145">
        <v>45245</v>
      </c>
      <c r="B6328" s="664" t="s">
        <v>2352</v>
      </c>
      <c r="C6328" s="71" t="s">
        <v>583</v>
      </c>
      <c r="D6328" s="71">
        <v>24</v>
      </c>
      <c r="E6328" s="102">
        <v>98000</v>
      </c>
      <c r="F6328" s="102">
        <f t="shared" si="3171"/>
        <v>2587200</v>
      </c>
      <c r="G6328" s="102">
        <f t="shared" si="3172"/>
        <v>2352000</v>
      </c>
      <c r="H6328" s="690" t="s">
        <v>142</v>
      </c>
      <c r="I6328" s="71" t="s">
        <v>142</v>
      </c>
      <c r="J6328" s="53">
        <f t="shared" si="3168"/>
        <v>1224000</v>
      </c>
      <c r="K6328" s="63">
        <f t="shared" si="3169"/>
        <v>0.52040816326530615</v>
      </c>
      <c r="L6328" s="1212" t="s">
        <v>3927</v>
      </c>
      <c r="M6328" s="468" t="s">
        <v>2053</v>
      </c>
      <c r="N6328" s="1192">
        <f t="shared" si="3170"/>
        <v>45245</v>
      </c>
      <c r="O6328" s="71" t="s">
        <v>599</v>
      </c>
      <c r="P6328" s="103" t="str">
        <f t="shared" si="3173"/>
        <v>M600 윤전 세정포</v>
      </c>
      <c r="Q6328" s="71">
        <f t="shared" si="3174"/>
        <v>24</v>
      </c>
      <c r="R6328" s="102">
        <v>47000</v>
      </c>
      <c r="S6328" s="102">
        <f t="shared" si="3175"/>
        <v>1240800</v>
      </c>
      <c r="T6328" s="102">
        <f t="shared" si="3176"/>
        <v>1128000</v>
      </c>
      <c r="U6328" s="71" t="str">
        <f>IF(J6328=W6328,"O", "X")</f>
        <v>O</v>
      </c>
      <c r="V6328" s="71"/>
      <c r="W6328" s="474">
        <f>(G6328-T6328)</f>
        <v>1224000</v>
      </c>
      <c r="X6328" s="71"/>
      <c r="Y6328" s="71"/>
    </row>
    <row r="6329" spans="1:25" ht="30" customHeight="1" x14ac:dyDescent="0.25">
      <c r="A6329" s="1145">
        <v>45245</v>
      </c>
      <c r="B6329" s="664" t="s">
        <v>2352</v>
      </c>
      <c r="C6329" s="760" t="s">
        <v>218</v>
      </c>
      <c r="D6329" s="71">
        <v>3</v>
      </c>
      <c r="E6329" s="102">
        <v>286000</v>
      </c>
      <c r="F6329" s="102">
        <f t="shared" si="3171"/>
        <v>943800.00000000012</v>
      </c>
      <c r="G6329" s="102">
        <f t="shared" si="3172"/>
        <v>858000</v>
      </c>
      <c r="H6329" s="690" t="s">
        <v>142</v>
      </c>
      <c r="I6329" s="71" t="s">
        <v>179</v>
      </c>
      <c r="J6329" s="53">
        <f t="shared" si="3168"/>
        <v>486000</v>
      </c>
      <c r="K6329" s="63">
        <f t="shared" si="3169"/>
        <v>0.56643356643356635</v>
      </c>
      <c r="L6329" s="1212" t="s">
        <v>3927</v>
      </c>
      <c r="M6329" s="468" t="s">
        <v>2053</v>
      </c>
      <c r="N6329" s="1192">
        <f t="shared" si="3170"/>
        <v>45245</v>
      </c>
      <c r="O6329" s="71" t="s">
        <v>150</v>
      </c>
      <c r="P6329" s="103" t="str">
        <f t="shared" si="3173"/>
        <v>Fount Web 551AF</v>
      </c>
      <c r="Q6329" s="71">
        <f t="shared" si="3174"/>
        <v>3</v>
      </c>
      <c r="R6329" s="102">
        <v>124000</v>
      </c>
      <c r="S6329" s="102">
        <f t="shared" si="3175"/>
        <v>409200.00000000006</v>
      </c>
      <c r="T6329" s="102">
        <f t="shared" si="3176"/>
        <v>372000</v>
      </c>
      <c r="U6329" s="71" t="str">
        <f>IF(J6329=W6329,"O", "X")</f>
        <v>O</v>
      </c>
      <c r="V6329" s="71"/>
      <c r="W6329" s="474">
        <f>(G6329-T6329)</f>
        <v>486000</v>
      </c>
      <c r="X6329" s="71"/>
      <c r="Y6329" s="71"/>
    </row>
    <row r="6330" spans="1:25" ht="30" customHeight="1" x14ac:dyDescent="0.25">
      <c r="A6330" s="1145">
        <v>45245</v>
      </c>
      <c r="B6330" s="664" t="s">
        <v>2352</v>
      </c>
      <c r="C6330" s="71" t="s">
        <v>3836</v>
      </c>
      <c r="D6330" s="71">
        <v>80</v>
      </c>
      <c r="E6330" s="102">
        <v>18500</v>
      </c>
      <c r="F6330" s="102">
        <f t="shared" si="3171"/>
        <v>1628000.0000000002</v>
      </c>
      <c r="G6330" s="102">
        <f t="shared" si="3172"/>
        <v>1480000</v>
      </c>
      <c r="H6330" s="690" t="s">
        <v>179</v>
      </c>
      <c r="I6330" s="71" t="s">
        <v>179</v>
      </c>
      <c r="J6330" s="53">
        <f>G6330-T6330</f>
        <v>593280</v>
      </c>
      <c r="K6330" s="63">
        <f>(J6330/(F6330/11*10))</f>
        <v>0.40086486486486478</v>
      </c>
      <c r="L6330" s="1212" t="s">
        <v>3927</v>
      </c>
      <c r="M6330" s="468"/>
      <c r="N6330" s="1192">
        <f>A6330</f>
        <v>45245</v>
      </c>
      <c r="O6330" s="71"/>
      <c r="P6330" s="103" t="str">
        <f t="shared" si="3173"/>
        <v>고모리 윤전 블랑켓 건식 세정포 - 국전용</v>
      </c>
      <c r="Q6330" s="71">
        <f t="shared" si="3174"/>
        <v>80</v>
      </c>
      <c r="R6330" s="102">
        <v>11084</v>
      </c>
      <c r="S6330" s="102">
        <f t="shared" si="3175"/>
        <v>975392.00000000012</v>
      </c>
      <c r="T6330" s="102">
        <f t="shared" si="3176"/>
        <v>886720</v>
      </c>
      <c r="U6330" s="71"/>
      <c r="V6330" s="71"/>
      <c r="W6330" s="474"/>
      <c r="X6330" s="71"/>
      <c r="Y6330" s="71"/>
    </row>
    <row r="6331" spans="1:25" ht="30" customHeight="1" x14ac:dyDescent="0.25">
      <c r="A6331" s="1145">
        <v>45245</v>
      </c>
      <c r="B6331" s="664" t="s">
        <v>2352</v>
      </c>
      <c r="C6331" s="71" t="s">
        <v>3837</v>
      </c>
      <c r="D6331" s="71">
        <v>32</v>
      </c>
      <c r="E6331" s="102">
        <v>13500</v>
      </c>
      <c r="F6331" s="102">
        <f t="shared" si="3171"/>
        <v>475200.00000000006</v>
      </c>
      <c r="G6331" s="102">
        <f t="shared" si="3172"/>
        <v>432000</v>
      </c>
      <c r="H6331" s="690" t="s">
        <v>179</v>
      </c>
      <c r="I6331" s="71" t="s">
        <v>179</v>
      </c>
      <c r="J6331" s="53">
        <f t="shared" ref="J6331:J6334" si="3177">G6331-T6331</f>
        <v>164320</v>
      </c>
      <c r="K6331" s="63">
        <f t="shared" ref="K6331:K6334" si="3178">(J6331/(F6331/11*10))</f>
        <v>0.3803703703703703</v>
      </c>
      <c r="L6331" s="1212" t="s">
        <v>3927</v>
      </c>
      <c r="M6331" s="468"/>
      <c r="N6331" s="1192">
        <f>A6331</f>
        <v>45245</v>
      </c>
      <c r="O6331" s="71"/>
      <c r="P6331" s="103" t="str">
        <f t="shared" si="3173"/>
        <v>고모리 윤전 블랑켓 건식 세정포 - 4x6용</v>
      </c>
      <c r="Q6331" s="71">
        <f t="shared" si="3174"/>
        <v>32</v>
      </c>
      <c r="R6331" s="102">
        <v>8365</v>
      </c>
      <c r="S6331" s="102">
        <f t="shared" si="3175"/>
        <v>294448</v>
      </c>
      <c r="T6331" s="102">
        <f t="shared" si="3176"/>
        <v>267680</v>
      </c>
      <c r="U6331" s="71"/>
      <c r="V6331" s="71"/>
      <c r="W6331" s="474"/>
      <c r="X6331" s="71"/>
      <c r="Y6331" s="71"/>
    </row>
    <row r="6332" spans="1:25" ht="30" hidden="1" customHeight="1" x14ac:dyDescent="0.25">
      <c r="A6332" s="1145">
        <v>45237</v>
      </c>
      <c r="B6332" s="664" t="s">
        <v>2579</v>
      </c>
      <c r="C6332" s="71" t="s">
        <v>3382</v>
      </c>
      <c r="D6332" s="71">
        <v>4</v>
      </c>
      <c r="E6332" s="102">
        <v>180000</v>
      </c>
      <c r="F6332" s="102">
        <f t="shared" si="3171"/>
        <v>792000.00000000012</v>
      </c>
      <c r="G6332" s="102">
        <f t="shared" si="3172"/>
        <v>720000</v>
      </c>
      <c r="H6332" s="690" t="s">
        <v>179</v>
      </c>
      <c r="I6332" s="690" t="s">
        <v>179</v>
      </c>
      <c r="J6332" s="53">
        <f t="shared" si="3177"/>
        <v>240000</v>
      </c>
      <c r="K6332" s="63">
        <f t="shared" si="3178"/>
        <v>0.33333333333333326</v>
      </c>
      <c r="L6332" s="1212" t="s">
        <v>3927</v>
      </c>
      <c r="M6332" s="468"/>
      <c r="N6332" s="1192">
        <f t="shared" ref="N6332:N6334" si="3179">A6332</f>
        <v>45237</v>
      </c>
      <c r="O6332" s="71" t="s">
        <v>3383</v>
      </c>
      <c r="P6332" s="103" t="str">
        <f t="shared" si="3173"/>
        <v>판 클리너(12개)</v>
      </c>
      <c r="Q6332" s="71">
        <f t="shared" si="3174"/>
        <v>4</v>
      </c>
      <c r="R6332" s="102">
        <v>120000</v>
      </c>
      <c r="S6332" s="102">
        <f t="shared" si="3175"/>
        <v>528000</v>
      </c>
      <c r="T6332" s="102">
        <f t="shared" si="3176"/>
        <v>480000</v>
      </c>
      <c r="U6332" s="71"/>
      <c r="V6332" s="71"/>
      <c r="W6332" s="474"/>
      <c r="X6332" s="71"/>
      <c r="Y6332" s="71"/>
    </row>
    <row r="6333" spans="1:25" ht="30" hidden="1" customHeight="1" x14ac:dyDescent="0.25">
      <c r="A6333" s="1145">
        <v>45237</v>
      </c>
      <c r="B6333" s="664" t="s">
        <v>2353</v>
      </c>
      <c r="C6333" s="71" t="s">
        <v>129</v>
      </c>
      <c r="D6333" s="71">
        <v>7</v>
      </c>
      <c r="E6333" s="102">
        <v>325000</v>
      </c>
      <c r="F6333" s="102">
        <f>(E6333*D6333)*1.1</f>
        <v>2502500</v>
      </c>
      <c r="G6333" s="102">
        <f>(E6333*D6333)</f>
        <v>2275000</v>
      </c>
      <c r="H6333" s="690" t="s">
        <v>142</v>
      </c>
      <c r="I6333" s="71" t="s">
        <v>179</v>
      </c>
      <c r="J6333" s="53">
        <f t="shared" si="3177"/>
        <v>636440</v>
      </c>
      <c r="K6333" s="63">
        <f t="shared" si="3178"/>
        <v>0.27975384615384613</v>
      </c>
      <c r="L6333" s="1212" t="s">
        <v>3927</v>
      </c>
      <c r="M6333" s="468" t="s">
        <v>2050</v>
      </c>
      <c r="N6333" s="1192">
        <f t="shared" si="3179"/>
        <v>45237</v>
      </c>
      <c r="O6333" s="71" t="s">
        <v>149</v>
      </c>
      <c r="P6333" s="103" t="str">
        <f t="shared" si="3173"/>
        <v>세정포-XL106</v>
      </c>
      <c r="Q6333" s="71">
        <f t="shared" si="3174"/>
        <v>7</v>
      </c>
      <c r="R6333" s="102">
        <v>234080</v>
      </c>
      <c r="S6333" s="102">
        <f t="shared" si="3175"/>
        <v>1802416.0000000002</v>
      </c>
      <c r="T6333" s="102">
        <f t="shared" si="3176"/>
        <v>1638560</v>
      </c>
      <c r="U6333" s="71" t="str">
        <f>IF(J6333=W6333,"O", "X")</f>
        <v>O</v>
      </c>
      <c r="V6333" s="71"/>
      <c r="W6333" s="474">
        <f>(G6333-T6333)</f>
        <v>636440</v>
      </c>
      <c r="X6333" s="71"/>
      <c r="Y6333" s="71"/>
    </row>
    <row r="6334" spans="1:25" s="209" customFormat="1" ht="30" hidden="1" customHeight="1" x14ac:dyDescent="0.25">
      <c r="A6334" s="1145">
        <v>45237</v>
      </c>
      <c r="B6334" s="664" t="s">
        <v>2353</v>
      </c>
      <c r="C6334" s="71" t="s">
        <v>3299</v>
      </c>
      <c r="D6334" s="71">
        <v>10</v>
      </c>
      <c r="E6334" s="102">
        <v>83000</v>
      </c>
      <c r="F6334" s="102">
        <f t="shared" ref="F6334" si="3180">(E6334*D6334)*1.1</f>
        <v>913000.00000000012</v>
      </c>
      <c r="G6334" s="102">
        <f t="shared" ref="G6334" si="3181">(E6334*D6334)</f>
        <v>830000</v>
      </c>
      <c r="H6334" s="690" t="s">
        <v>142</v>
      </c>
      <c r="I6334" s="71" t="s">
        <v>179</v>
      </c>
      <c r="J6334" s="53">
        <f t="shared" si="3177"/>
        <v>355000</v>
      </c>
      <c r="K6334" s="63">
        <f t="shared" si="3178"/>
        <v>0.42771084337349391</v>
      </c>
      <c r="L6334" s="1212" t="s">
        <v>3927</v>
      </c>
      <c r="M6334" s="468" t="s">
        <v>2214</v>
      </c>
      <c r="N6334" s="1192">
        <f t="shared" si="3179"/>
        <v>45237</v>
      </c>
      <c r="O6334" s="71" t="s">
        <v>3383</v>
      </c>
      <c r="P6334" s="103" t="str">
        <f t="shared" si="3173"/>
        <v>매엽용 세척제(Wash k11)</v>
      </c>
      <c r="Q6334" s="71">
        <f t="shared" si="3174"/>
        <v>10</v>
      </c>
      <c r="R6334" s="102">
        <v>47500</v>
      </c>
      <c r="S6334" s="102">
        <f t="shared" si="3175"/>
        <v>522500.00000000006</v>
      </c>
      <c r="T6334" s="102">
        <f t="shared" si="3176"/>
        <v>475000</v>
      </c>
      <c r="U6334" s="71" t="s">
        <v>859</v>
      </c>
      <c r="V6334" s="71"/>
      <c r="W6334" s="474">
        <v>136000</v>
      </c>
      <c r="X6334" s="71"/>
      <c r="Y6334" s="71"/>
    </row>
    <row r="6335" spans="1:25" ht="30" hidden="1" customHeight="1" x14ac:dyDescent="0.25">
      <c r="A6335" s="1145">
        <v>45259</v>
      </c>
      <c r="B6335" s="664" t="s">
        <v>2353</v>
      </c>
      <c r="C6335" s="71" t="s">
        <v>129</v>
      </c>
      <c r="D6335" s="71">
        <v>7</v>
      </c>
      <c r="E6335" s="102">
        <v>325000</v>
      </c>
      <c r="F6335" s="102">
        <f>(E6335*D6335)*1.1</f>
        <v>2502500</v>
      </c>
      <c r="G6335" s="102">
        <f>(E6335*D6335)</f>
        <v>2275000</v>
      </c>
      <c r="H6335" s="690" t="s">
        <v>142</v>
      </c>
      <c r="I6335" s="71" t="s">
        <v>179</v>
      </c>
      <c r="J6335" s="53">
        <f t="shared" ref="J6335:J6338" si="3182">G6335-T6335</f>
        <v>636440</v>
      </c>
      <c r="K6335" s="63">
        <f t="shared" ref="K6335:K6338" si="3183">(J6335/(F6335/11*10))</f>
        <v>0.27975384615384613</v>
      </c>
      <c r="L6335" s="1212" t="s">
        <v>3927</v>
      </c>
      <c r="M6335" s="468" t="s">
        <v>2050</v>
      </c>
      <c r="N6335" s="1192">
        <f t="shared" ref="N6335:N6336" si="3184">A6335</f>
        <v>45259</v>
      </c>
      <c r="O6335" s="71" t="s">
        <v>149</v>
      </c>
      <c r="P6335" s="103" t="str">
        <f t="shared" ref="P6335:P6338" si="3185">(C6335)</f>
        <v>세정포-XL106</v>
      </c>
      <c r="Q6335" s="71">
        <f t="shared" ref="Q6335:Q6338" si="3186">D6335</f>
        <v>7</v>
      </c>
      <c r="R6335" s="102">
        <v>234080</v>
      </c>
      <c r="S6335" s="102">
        <f t="shared" ref="S6335:S6338" si="3187">R6335*Q6335*1.1</f>
        <v>1802416.0000000002</v>
      </c>
      <c r="T6335" s="102">
        <f t="shared" ref="T6335:T6338" si="3188">R6335*Q6335</f>
        <v>1638560</v>
      </c>
      <c r="U6335" s="71" t="str">
        <f>IF(J6335=W6335,"O", "X")</f>
        <v>O</v>
      </c>
      <c r="V6335" s="71"/>
      <c r="W6335" s="474">
        <f>(G6335-T6335)</f>
        <v>636440</v>
      </c>
      <c r="X6335" s="71"/>
      <c r="Y6335" s="71"/>
    </row>
    <row r="6336" spans="1:25" s="209" customFormat="1" ht="30" hidden="1" customHeight="1" x14ac:dyDescent="0.25">
      <c r="A6336" s="1145">
        <v>45259</v>
      </c>
      <c r="B6336" s="664" t="s">
        <v>2353</v>
      </c>
      <c r="C6336" s="71" t="s">
        <v>3299</v>
      </c>
      <c r="D6336" s="71">
        <v>10</v>
      </c>
      <c r="E6336" s="102">
        <v>83000</v>
      </c>
      <c r="F6336" s="102">
        <f t="shared" ref="F6336:F6338" si="3189">(E6336*D6336)*1.1</f>
        <v>913000.00000000012</v>
      </c>
      <c r="G6336" s="102">
        <f t="shared" ref="G6336:G6338" si="3190">(E6336*D6336)</f>
        <v>830000</v>
      </c>
      <c r="H6336" s="690" t="s">
        <v>142</v>
      </c>
      <c r="I6336" s="71" t="s">
        <v>179</v>
      </c>
      <c r="J6336" s="53">
        <f t="shared" si="3182"/>
        <v>355000</v>
      </c>
      <c r="K6336" s="63">
        <f t="shared" si="3183"/>
        <v>0.42771084337349391</v>
      </c>
      <c r="L6336" s="1212" t="s">
        <v>3927</v>
      </c>
      <c r="M6336" s="468" t="s">
        <v>2214</v>
      </c>
      <c r="N6336" s="1192">
        <f t="shared" si="3184"/>
        <v>45259</v>
      </c>
      <c r="O6336" s="71" t="s">
        <v>3383</v>
      </c>
      <c r="P6336" s="103" t="str">
        <f t="shared" si="3185"/>
        <v>매엽용 세척제(Wash k11)</v>
      </c>
      <c r="Q6336" s="71">
        <f t="shared" si="3186"/>
        <v>10</v>
      </c>
      <c r="R6336" s="102">
        <v>47500</v>
      </c>
      <c r="S6336" s="102">
        <f t="shared" si="3187"/>
        <v>522500.00000000006</v>
      </c>
      <c r="T6336" s="102">
        <f t="shared" si="3188"/>
        <v>475000</v>
      </c>
      <c r="U6336" s="71" t="s">
        <v>859</v>
      </c>
      <c r="V6336" s="71"/>
      <c r="W6336" s="474">
        <v>136000</v>
      </c>
      <c r="X6336" s="71"/>
      <c r="Y6336" s="71"/>
    </row>
    <row r="6337" spans="1:25" ht="28.5" hidden="1" customHeight="1" x14ac:dyDescent="0.25">
      <c r="A6337" s="1145">
        <v>45237</v>
      </c>
      <c r="B6337" s="664" t="s">
        <v>2353</v>
      </c>
      <c r="C6337" s="71" t="s">
        <v>2648</v>
      </c>
      <c r="D6337" s="71">
        <v>6</v>
      </c>
      <c r="E6337" s="102">
        <v>50000</v>
      </c>
      <c r="F6337" s="102">
        <f t="shared" si="3189"/>
        <v>330000</v>
      </c>
      <c r="G6337" s="102">
        <f t="shared" si="3190"/>
        <v>300000</v>
      </c>
      <c r="H6337" s="690" t="s">
        <v>179</v>
      </c>
      <c r="I6337" s="690" t="s">
        <v>179</v>
      </c>
      <c r="J6337" s="53">
        <f t="shared" si="3182"/>
        <v>156000</v>
      </c>
      <c r="K6337" s="63">
        <f t="shared" si="3183"/>
        <v>0.52</v>
      </c>
      <c r="L6337" s="1212" t="s">
        <v>3927</v>
      </c>
      <c r="M6337" s="468"/>
      <c r="N6337" s="1192">
        <f t="shared" ref="N6337:N6343" si="3191">A6337</f>
        <v>45237</v>
      </c>
      <c r="O6337" s="71" t="s">
        <v>94</v>
      </c>
      <c r="P6337" s="103" t="str">
        <f t="shared" si="3185"/>
        <v>주머니 필터백</v>
      </c>
      <c r="Q6337" s="71">
        <f t="shared" si="3186"/>
        <v>6</v>
      </c>
      <c r="R6337" s="102">
        <v>24000</v>
      </c>
      <c r="S6337" s="102">
        <f t="shared" si="3187"/>
        <v>158400</v>
      </c>
      <c r="T6337" s="102">
        <f t="shared" si="3188"/>
        <v>144000</v>
      </c>
      <c r="U6337" s="71"/>
      <c r="V6337" s="71"/>
      <c r="W6337" s="474"/>
      <c r="X6337" s="71"/>
      <c r="Y6337" s="71"/>
    </row>
    <row r="6338" spans="1:25" ht="30" hidden="1" customHeight="1" x14ac:dyDescent="0.25">
      <c r="A6338" s="1145">
        <v>45237</v>
      </c>
      <c r="B6338" s="664" t="s">
        <v>2353</v>
      </c>
      <c r="C6338" s="71" t="s">
        <v>584</v>
      </c>
      <c r="D6338" s="71">
        <v>4</v>
      </c>
      <c r="E6338" s="102">
        <v>270000</v>
      </c>
      <c r="F6338" s="102">
        <f t="shared" si="3189"/>
        <v>1188000</v>
      </c>
      <c r="G6338" s="102">
        <f t="shared" si="3190"/>
        <v>1080000</v>
      </c>
      <c r="H6338" s="690" t="s">
        <v>142</v>
      </c>
      <c r="I6338" s="71" t="s">
        <v>179</v>
      </c>
      <c r="J6338" s="53">
        <f t="shared" si="3182"/>
        <v>328000</v>
      </c>
      <c r="K6338" s="63">
        <f t="shared" si="3183"/>
        <v>0.3037037037037037</v>
      </c>
      <c r="L6338" s="1212" t="s">
        <v>3927</v>
      </c>
      <c r="M6338" s="468"/>
      <c r="N6338" s="1192">
        <f t="shared" si="3191"/>
        <v>45237</v>
      </c>
      <c r="O6338" s="71" t="s">
        <v>150</v>
      </c>
      <c r="P6338" s="103" t="str">
        <f t="shared" si="3185"/>
        <v>데리바리 석션벨트</v>
      </c>
      <c r="Q6338" s="71">
        <f t="shared" si="3186"/>
        <v>4</v>
      </c>
      <c r="R6338" s="102">
        <v>188000</v>
      </c>
      <c r="S6338" s="102">
        <f t="shared" si="3187"/>
        <v>827200.00000000012</v>
      </c>
      <c r="T6338" s="102">
        <f t="shared" si="3188"/>
        <v>752000</v>
      </c>
      <c r="U6338" s="71" t="str">
        <f>IF(J6338=W6338,"O", "X")</f>
        <v>O</v>
      </c>
      <c r="V6338" s="71"/>
      <c r="W6338" s="474">
        <f>(G6338-T6338)</f>
        <v>328000</v>
      </c>
      <c r="X6338" s="71"/>
      <c r="Y6338" s="71"/>
    </row>
    <row r="6339" spans="1:25" ht="28.5" hidden="1" customHeight="1" x14ac:dyDescent="0.25">
      <c r="A6339" s="1145">
        <v>45259</v>
      </c>
      <c r="B6339" s="664" t="s">
        <v>2353</v>
      </c>
      <c r="C6339" s="71" t="s">
        <v>2648</v>
      </c>
      <c r="D6339" s="71">
        <v>4</v>
      </c>
      <c r="E6339" s="102">
        <v>50000</v>
      </c>
      <c r="F6339" s="102">
        <f t="shared" ref="F6339:F6368" si="3192">(E6339*D6339)*1.1</f>
        <v>220000.00000000003</v>
      </c>
      <c r="G6339" s="102">
        <f t="shared" ref="G6339:G6368" si="3193">(E6339*D6339)</f>
        <v>200000</v>
      </c>
      <c r="H6339" s="690" t="s">
        <v>179</v>
      </c>
      <c r="I6339" s="690" t="s">
        <v>179</v>
      </c>
      <c r="J6339" s="53">
        <f t="shared" ref="J6339:J6342" si="3194">G6339-T6339</f>
        <v>104000</v>
      </c>
      <c r="K6339" s="63">
        <f t="shared" ref="K6339:K6342" si="3195">(J6339/(F6339/11*10))</f>
        <v>0.51999999999999991</v>
      </c>
      <c r="L6339" s="1212" t="s">
        <v>3927</v>
      </c>
      <c r="M6339" s="468"/>
      <c r="N6339" s="1192">
        <f t="shared" si="3191"/>
        <v>45259</v>
      </c>
      <c r="O6339" s="71" t="s">
        <v>94</v>
      </c>
      <c r="P6339" s="103" t="str">
        <f t="shared" ref="P6339:P6342" si="3196">(C6339)</f>
        <v>주머니 필터백</v>
      </c>
      <c r="Q6339" s="71">
        <f t="shared" ref="Q6339:Q6368" si="3197">D6339</f>
        <v>4</v>
      </c>
      <c r="R6339" s="102">
        <v>24000</v>
      </c>
      <c r="S6339" s="102">
        <f t="shared" ref="S6339:S6340" si="3198">R6339*Q6339*1.1</f>
        <v>105600.00000000001</v>
      </c>
      <c r="T6339" s="102">
        <f t="shared" ref="T6339:T6340" si="3199">R6339*Q6339</f>
        <v>96000</v>
      </c>
      <c r="U6339" s="71"/>
      <c r="V6339" s="71"/>
      <c r="W6339" s="474"/>
      <c r="X6339" s="71"/>
      <c r="Y6339" s="71"/>
    </row>
    <row r="6340" spans="1:25" ht="30" hidden="1" customHeight="1" x14ac:dyDescent="0.25">
      <c r="A6340" s="1145">
        <v>45259</v>
      </c>
      <c r="B6340" s="664" t="s">
        <v>2353</v>
      </c>
      <c r="C6340" s="71" t="s">
        <v>3929</v>
      </c>
      <c r="D6340" s="71">
        <v>1</v>
      </c>
      <c r="E6340" s="102">
        <v>650000</v>
      </c>
      <c r="F6340" s="102">
        <f t="shared" si="3192"/>
        <v>715000</v>
      </c>
      <c r="G6340" s="102">
        <f t="shared" si="3193"/>
        <v>650000</v>
      </c>
      <c r="H6340" s="690" t="s">
        <v>179</v>
      </c>
      <c r="I6340" s="690" t="s">
        <v>179</v>
      </c>
      <c r="J6340" s="53">
        <f t="shared" si="3194"/>
        <v>70000</v>
      </c>
      <c r="K6340" s="63">
        <f t="shared" si="3195"/>
        <v>0.1076923076923077</v>
      </c>
      <c r="L6340" s="1212" t="s">
        <v>3927</v>
      </c>
      <c r="M6340" s="468"/>
      <c r="N6340" s="1192">
        <f t="shared" si="3191"/>
        <v>45259</v>
      </c>
      <c r="O6340" s="71" t="s">
        <v>2030</v>
      </c>
      <c r="P6340" s="103" t="str">
        <f t="shared" si="3196"/>
        <v>아대 모터</v>
      </c>
      <c r="Q6340" s="71">
        <f t="shared" si="3197"/>
        <v>1</v>
      </c>
      <c r="R6340" s="147">
        <v>580000</v>
      </c>
      <c r="S6340" s="102">
        <f t="shared" si="3198"/>
        <v>638000</v>
      </c>
      <c r="T6340" s="102">
        <f t="shared" si="3199"/>
        <v>580000</v>
      </c>
      <c r="U6340" s="71"/>
      <c r="V6340" s="71"/>
      <c r="W6340" s="474"/>
      <c r="X6340" s="71"/>
      <c r="Y6340" s="71"/>
    </row>
    <row r="6341" spans="1:25" ht="30" customHeight="1" x14ac:dyDescent="0.25">
      <c r="A6341" s="1145">
        <v>45237</v>
      </c>
      <c r="B6341" s="664" t="s">
        <v>565</v>
      </c>
      <c r="C6341" s="71" t="s">
        <v>3930</v>
      </c>
      <c r="D6341" s="71">
        <v>1</v>
      </c>
      <c r="E6341" s="102">
        <v>8730000</v>
      </c>
      <c r="F6341" s="102">
        <f t="shared" si="3192"/>
        <v>9603000</v>
      </c>
      <c r="G6341" s="102">
        <f t="shared" si="3193"/>
        <v>8730000</v>
      </c>
      <c r="H6341" s="690" t="s">
        <v>179</v>
      </c>
      <c r="I6341" s="690" t="s">
        <v>179</v>
      </c>
      <c r="J6341" s="53">
        <f t="shared" si="3194"/>
        <v>4230000</v>
      </c>
      <c r="K6341" s="63">
        <f t="shared" si="3195"/>
        <v>0.4845360824742268</v>
      </c>
      <c r="L6341" s="1212" t="s">
        <v>3927</v>
      </c>
      <c r="M6341" s="102"/>
      <c r="N6341" s="1192">
        <f t="shared" si="3191"/>
        <v>45237</v>
      </c>
      <c r="O6341" s="71" t="s">
        <v>3948</v>
      </c>
      <c r="P6341" s="103" t="str">
        <f t="shared" si="3196"/>
        <v>GOSS 신문윤전기 습수 크롬로라 스트로크 실린더</v>
      </c>
      <c r="Q6341" s="71">
        <f t="shared" si="3197"/>
        <v>1</v>
      </c>
      <c r="R6341" s="102">
        <v>4500000</v>
      </c>
      <c r="S6341" s="102">
        <f t="shared" ref="S6341:S6342" si="3200">R6341*Q6341*1.1</f>
        <v>4950000</v>
      </c>
      <c r="T6341" s="102">
        <f t="shared" ref="T6341:T6342" si="3201">R6341*Q6341</f>
        <v>4500000</v>
      </c>
      <c r="U6341" s="71"/>
      <c r="V6341" s="71"/>
      <c r="W6341" s="474"/>
      <c r="X6341" s="71"/>
      <c r="Y6341" s="71"/>
    </row>
    <row r="6342" spans="1:25" ht="30" customHeight="1" x14ac:dyDescent="0.25">
      <c r="A6342" s="1145">
        <v>45260</v>
      </c>
      <c r="B6342" s="664" t="s">
        <v>565</v>
      </c>
      <c r="C6342" s="71" t="s">
        <v>3930</v>
      </c>
      <c r="D6342" s="71">
        <v>1</v>
      </c>
      <c r="E6342" s="102">
        <v>8730000</v>
      </c>
      <c r="F6342" s="102">
        <f t="shared" si="3192"/>
        <v>9603000</v>
      </c>
      <c r="G6342" s="102">
        <f t="shared" si="3193"/>
        <v>8730000</v>
      </c>
      <c r="H6342" s="690" t="s">
        <v>179</v>
      </c>
      <c r="I6342" s="690" t="s">
        <v>179</v>
      </c>
      <c r="J6342" s="53">
        <f t="shared" si="3194"/>
        <v>4230000</v>
      </c>
      <c r="K6342" s="63">
        <f t="shared" si="3195"/>
        <v>0.4845360824742268</v>
      </c>
      <c r="L6342" s="1212" t="s">
        <v>3927</v>
      </c>
      <c r="M6342" s="468"/>
      <c r="N6342" s="1192">
        <f t="shared" si="3191"/>
        <v>45260</v>
      </c>
      <c r="O6342" s="71" t="s">
        <v>3948</v>
      </c>
      <c r="P6342" s="103" t="str">
        <f t="shared" si="3196"/>
        <v>GOSS 신문윤전기 습수 크롬로라 스트로크 실린더</v>
      </c>
      <c r="Q6342" s="71">
        <f t="shared" si="3197"/>
        <v>1</v>
      </c>
      <c r="R6342" s="102">
        <v>4500000</v>
      </c>
      <c r="S6342" s="102">
        <f t="shared" si="3200"/>
        <v>4950000</v>
      </c>
      <c r="T6342" s="102">
        <f t="shared" si="3201"/>
        <v>4500000</v>
      </c>
      <c r="U6342" s="71"/>
      <c r="V6342" s="71"/>
      <c r="W6342" s="474"/>
      <c r="X6342" s="71"/>
      <c r="Y6342" s="71"/>
    </row>
    <row r="6343" spans="1:25" ht="30" customHeight="1" x14ac:dyDescent="0.25">
      <c r="A6343" s="1145">
        <v>45257</v>
      </c>
      <c r="B6343" s="664" t="s">
        <v>641</v>
      </c>
      <c r="C6343" s="71" t="s">
        <v>3293</v>
      </c>
      <c r="D6343" s="71">
        <v>80</v>
      </c>
      <c r="E6343" s="102">
        <v>84000</v>
      </c>
      <c r="F6343" s="102">
        <f t="shared" si="3192"/>
        <v>7392000.0000000009</v>
      </c>
      <c r="G6343" s="102">
        <f t="shared" si="3193"/>
        <v>6720000</v>
      </c>
      <c r="H6343" s="690" t="s">
        <v>172</v>
      </c>
      <c r="I6343" s="71" t="s">
        <v>38</v>
      </c>
      <c r="J6343" s="53">
        <f t="shared" ref="J6343:J6368" si="3202">G6343-T6343</f>
        <v>2640000</v>
      </c>
      <c r="K6343" s="63">
        <f t="shared" ref="K6343:K6368" si="3203">(J6343/(F6343/11*10))</f>
        <v>0.39285714285714279</v>
      </c>
      <c r="L6343" s="1212" t="s">
        <v>3927</v>
      </c>
      <c r="M6343" s="468"/>
      <c r="N6343" s="1192">
        <f t="shared" si="3191"/>
        <v>45257</v>
      </c>
      <c r="O6343" s="71" t="s">
        <v>3291</v>
      </c>
      <c r="P6343" s="103" t="str">
        <f t="shared" ref="P6343" si="3204">(C6343)</f>
        <v>GOSS 신문윤전 습식세정포</v>
      </c>
      <c r="Q6343" s="71">
        <f t="shared" si="3197"/>
        <v>80</v>
      </c>
      <c r="R6343" s="102">
        <v>51000</v>
      </c>
      <c r="S6343" s="102">
        <f t="shared" ref="S6343:S6368" si="3205">R6343*Q6343*1.1</f>
        <v>4488000</v>
      </c>
      <c r="T6343" s="102">
        <f t="shared" ref="T6343:T6368" si="3206">R6343*Q6343</f>
        <v>4080000</v>
      </c>
      <c r="U6343" s="71" t="str">
        <f>IF(J6343=W6343,"O", "X")</f>
        <v>X</v>
      </c>
      <c r="V6343" s="71"/>
      <c r="W6343" s="474"/>
      <c r="X6343" s="71"/>
      <c r="Y6343" s="71"/>
    </row>
    <row r="6344" spans="1:25" ht="30" hidden="1" customHeight="1" x14ac:dyDescent="0.25">
      <c r="A6344" s="1145">
        <v>45256</v>
      </c>
      <c r="B6344" s="664" t="s">
        <v>1060</v>
      </c>
      <c r="C6344" s="71" t="s">
        <v>3847</v>
      </c>
      <c r="D6344" s="71">
        <v>900</v>
      </c>
      <c r="E6344" s="102">
        <v>5760</v>
      </c>
      <c r="F6344" s="102">
        <f t="shared" si="3192"/>
        <v>5702400</v>
      </c>
      <c r="G6344" s="102">
        <f t="shared" si="3193"/>
        <v>5184000</v>
      </c>
      <c r="H6344" s="690" t="s">
        <v>36</v>
      </c>
      <c r="I6344" s="71" t="s">
        <v>2529</v>
      </c>
      <c r="J6344" s="53">
        <f t="shared" si="3202"/>
        <v>1633500</v>
      </c>
      <c r="K6344" s="63">
        <f t="shared" si="3203"/>
        <v>0.31510416666666669</v>
      </c>
      <c r="L6344" s="1212" t="s">
        <v>3927</v>
      </c>
      <c r="M6344" s="102" t="s">
        <v>3848</v>
      </c>
      <c r="N6344" s="1192">
        <v>45194</v>
      </c>
      <c r="O6344" s="71" t="s">
        <v>2030</v>
      </c>
      <c r="P6344" s="103" t="s">
        <v>3908</v>
      </c>
      <c r="Q6344" s="71">
        <f t="shared" si="3197"/>
        <v>900</v>
      </c>
      <c r="R6344" s="102">
        <v>3945</v>
      </c>
      <c r="S6344" s="102">
        <f t="shared" si="3205"/>
        <v>3905550.0000000005</v>
      </c>
      <c r="T6344" s="102">
        <f t="shared" si="3206"/>
        <v>3550500</v>
      </c>
      <c r="U6344" s="71" t="s">
        <v>859</v>
      </c>
      <c r="V6344" s="71"/>
      <c r="W6344" s="474">
        <v>942000</v>
      </c>
      <c r="X6344" s="71"/>
      <c r="Y6344" s="71"/>
    </row>
    <row r="6345" spans="1:25" ht="30" hidden="1" customHeight="1" x14ac:dyDescent="0.25">
      <c r="A6345" s="1145">
        <v>45256</v>
      </c>
      <c r="B6345" s="664" t="s">
        <v>2255</v>
      </c>
      <c r="C6345" s="71" t="s">
        <v>3656</v>
      </c>
      <c r="D6345" s="71">
        <v>2900</v>
      </c>
      <c r="E6345" s="102">
        <v>3640</v>
      </c>
      <c r="F6345" s="102">
        <f t="shared" si="3192"/>
        <v>11611600.000000002</v>
      </c>
      <c r="G6345" s="102">
        <f t="shared" si="3193"/>
        <v>10556000</v>
      </c>
      <c r="H6345" s="690" t="s">
        <v>36</v>
      </c>
      <c r="I6345" s="71" t="s">
        <v>2529</v>
      </c>
      <c r="J6345" s="53">
        <f t="shared" si="3202"/>
        <v>3326300</v>
      </c>
      <c r="K6345" s="63">
        <f t="shared" si="3203"/>
        <v>0.31510989010989005</v>
      </c>
      <c r="L6345" s="1212" t="s">
        <v>3927</v>
      </c>
      <c r="M6345" s="102" t="s">
        <v>3848</v>
      </c>
      <c r="N6345" s="1192">
        <v>45194</v>
      </c>
      <c r="O6345" s="71" t="s">
        <v>2030</v>
      </c>
      <c r="P6345" s="103" t="s">
        <v>3909</v>
      </c>
      <c r="Q6345" s="71">
        <f t="shared" si="3197"/>
        <v>2900</v>
      </c>
      <c r="R6345" s="102">
        <v>2493</v>
      </c>
      <c r="S6345" s="102">
        <f t="shared" si="3205"/>
        <v>7952670.0000000009</v>
      </c>
      <c r="T6345" s="102">
        <f t="shared" si="3206"/>
        <v>7229700</v>
      </c>
      <c r="U6345" s="71" t="s">
        <v>859</v>
      </c>
      <c r="V6345" s="71"/>
      <c r="W6345" s="474">
        <v>1274000</v>
      </c>
      <c r="X6345" s="71"/>
      <c r="Y6345" s="71"/>
    </row>
    <row r="6346" spans="1:25" ht="30" hidden="1" customHeight="1" x14ac:dyDescent="0.25">
      <c r="A6346" s="1145">
        <v>45256</v>
      </c>
      <c r="B6346" s="664" t="s">
        <v>2255</v>
      </c>
      <c r="C6346" s="71" t="s">
        <v>3657</v>
      </c>
      <c r="D6346" s="71">
        <v>2100</v>
      </c>
      <c r="E6346" s="102">
        <v>3440</v>
      </c>
      <c r="F6346" s="102">
        <f t="shared" si="3192"/>
        <v>7946400.0000000009</v>
      </c>
      <c r="G6346" s="102">
        <f t="shared" si="3193"/>
        <v>7224000</v>
      </c>
      <c r="H6346" s="690" t="s">
        <v>36</v>
      </c>
      <c r="I6346" s="71" t="s">
        <v>2529</v>
      </c>
      <c r="J6346" s="53">
        <f t="shared" si="3202"/>
        <v>2249100</v>
      </c>
      <c r="K6346" s="63">
        <f t="shared" si="3203"/>
        <v>0.31133720930232556</v>
      </c>
      <c r="L6346" s="1212" t="s">
        <v>3927</v>
      </c>
      <c r="M6346" s="102" t="s">
        <v>3848</v>
      </c>
      <c r="N6346" s="1192">
        <v>45194</v>
      </c>
      <c r="O6346" s="71" t="s">
        <v>2030</v>
      </c>
      <c r="P6346" s="103" t="s">
        <v>3910</v>
      </c>
      <c r="Q6346" s="71">
        <f t="shared" si="3197"/>
        <v>2100</v>
      </c>
      <c r="R6346" s="102">
        <v>2369</v>
      </c>
      <c r="S6346" s="102">
        <f t="shared" si="3205"/>
        <v>5472390</v>
      </c>
      <c r="T6346" s="102">
        <f t="shared" si="3206"/>
        <v>4974900</v>
      </c>
      <c r="U6346" s="71" t="s">
        <v>859</v>
      </c>
      <c r="V6346" s="71"/>
      <c r="W6346" s="474">
        <v>3325000</v>
      </c>
      <c r="X6346" s="71"/>
      <c r="Y6346" s="71"/>
    </row>
    <row r="6347" spans="1:25" ht="30" hidden="1" customHeight="1" x14ac:dyDescent="0.25">
      <c r="A6347" s="1145">
        <v>45256</v>
      </c>
      <c r="B6347" s="664" t="s">
        <v>2255</v>
      </c>
      <c r="C6347" s="71" t="s">
        <v>3849</v>
      </c>
      <c r="D6347" s="71">
        <v>400</v>
      </c>
      <c r="E6347" s="102">
        <v>5840</v>
      </c>
      <c r="F6347" s="102">
        <f t="shared" si="3192"/>
        <v>2569600</v>
      </c>
      <c r="G6347" s="102">
        <f t="shared" si="3193"/>
        <v>2336000</v>
      </c>
      <c r="H6347" s="690" t="s">
        <v>36</v>
      </c>
      <c r="I6347" s="71" t="s">
        <v>2529</v>
      </c>
      <c r="J6347" s="53">
        <f t="shared" si="3202"/>
        <v>737600</v>
      </c>
      <c r="K6347" s="63">
        <f t="shared" si="3203"/>
        <v>0.31575342465753425</v>
      </c>
      <c r="L6347" s="1212" t="s">
        <v>3927</v>
      </c>
      <c r="M6347" s="102" t="s">
        <v>3848</v>
      </c>
      <c r="N6347" s="1192">
        <v>45194</v>
      </c>
      <c r="O6347" s="71" t="s">
        <v>2030</v>
      </c>
      <c r="P6347" s="103" t="s">
        <v>3911</v>
      </c>
      <c r="Q6347" s="71">
        <f t="shared" si="3197"/>
        <v>400</v>
      </c>
      <c r="R6347" s="102">
        <v>3996</v>
      </c>
      <c r="S6347" s="102">
        <f t="shared" si="3205"/>
        <v>1758240.0000000002</v>
      </c>
      <c r="T6347" s="102">
        <f t="shared" si="3206"/>
        <v>1598400</v>
      </c>
      <c r="U6347" s="71" t="s">
        <v>859</v>
      </c>
      <c r="V6347" s="71"/>
      <c r="W6347" s="474">
        <v>636000</v>
      </c>
      <c r="X6347" s="71"/>
      <c r="Y6347" s="71"/>
    </row>
    <row r="6348" spans="1:25" ht="30" hidden="1" customHeight="1" x14ac:dyDescent="0.25">
      <c r="A6348" s="1145">
        <v>45256</v>
      </c>
      <c r="B6348" s="664" t="s">
        <v>2255</v>
      </c>
      <c r="C6348" s="71" t="s">
        <v>3850</v>
      </c>
      <c r="D6348" s="71">
        <v>800</v>
      </c>
      <c r="E6348" s="102">
        <v>6060</v>
      </c>
      <c r="F6348" s="102">
        <f t="shared" si="3192"/>
        <v>5332800</v>
      </c>
      <c r="G6348" s="102">
        <f t="shared" si="3193"/>
        <v>4848000</v>
      </c>
      <c r="H6348" s="690" t="s">
        <v>36</v>
      </c>
      <c r="I6348" s="71" t="s">
        <v>2529</v>
      </c>
      <c r="J6348" s="53">
        <f t="shared" si="3202"/>
        <v>1527200</v>
      </c>
      <c r="K6348" s="63">
        <f t="shared" si="3203"/>
        <v>0.31501650165016504</v>
      </c>
      <c r="L6348" s="1212" t="s">
        <v>3927</v>
      </c>
      <c r="M6348" s="102" t="s">
        <v>3848</v>
      </c>
      <c r="N6348" s="1192">
        <v>45194</v>
      </c>
      <c r="O6348" s="71" t="s">
        <v>2030</v>
      </c>
      <c r="P6348" s="103" t="s">
        <v>3912</v>
      </c>
      <c r="Q6348" s="71">
        <f t="shared" si="3197"/>
        <v>800</v>
      </c>
      <c r="R6348" s="102">
        <v>4151</v>
      </c>
      <c r="S6348" s="102">
        <f t="shared" si="3205"/>
        <v>3652880.0000000005</v>
      </c>
      <c r="T6348" s="102">
        <f t="shared" si="3206"/>
        <v>3320800</v>
      </c>
      <c r="U6348" s="71" t="s">
        <v>859</v>
      </c>
      <c r="V6348" s="71"/>
      <c r="W6348" s="474">
        <v>1476000</v>
      </c>
      <c r="X6348" s="71"/>
      <c r="Y6348" s="71"/>
    </row>
    <row r="6349" spans="1:25" ht="30" hidden="1" customHeight="1" x14ac:dyDescent="0.25">
      <c r="A6349" s="1145">
        <v>45256</v>
      </c>
      <c r="B6349" s="664" t="s">
        <v>2255</v>
      </c>
      <c r="C6349" s="71" t="s">
        <v>3851</v>
      </c>
      <c r="D6349" s="71">
        <v>600</v>
      </c>
      <c r="E6349" s="102">
        <v>4320</v>
      </c>
      <c r="F6349" s="102">
        <f t="shared" si="3192"/>
        <v>2851200</v>
      </c>
      <c r="G6349" s="102">
        <f t="shared" si="3193"/>
        <v>2592000</v>
      </c>
      <c r="H6349" s="690" t="s">
        <v>36</v>
      </c>
      <c r="I6349" s="71" t="s">
        <v>2529</v>
      </c>
      <c r="J6349" s="53">
        <f t="shared" si="3202"/>
        <v>812400</v>
      </c>
      <c r="K6349" s="63">
        <f t="shared" si="3203"/>
        <v>0.31342592592592594</v>
      </c>
      <c r="L6349" s="1212" t="s">
        <v>3927</v>
      </c>
      <c r="M6349" s="102" t="s">
        <v>3848</v>
      </c>
      <c r="N6349" s="1192">
        <v>45194</v>
      </c>
      <c r="O6349" s="71" t="s">
        <v>2030</v>
      </c>
      <c r="P6349" s="103" t="s">
        <v>3913</v>
      </c>
      <c r="Q6349" s="71">
        <f t="shared" si="3197"/>
        <v>600</v>
      </c>
      <c r="R6349" s="102">
        <v>2966</v>
      </c>
      <c r="S6349" s="102">
        <f t="shared" si="3205"/>
        <v>1957560.0000000002</v>
      </c>
      <c r="T6349" s="102">
        <f t="shared" si="3206"/>
        <v>1779600</v>
      </c>
      <c r="U6349" s="71" t="s">
        <v>859</v>
      </c>
      <c r="V6349" s="71"/>
      <c r="W6349" s="474">
        <v>1416000</v>
      </c>
      <c r="X6349" s="71"/>
      <c r="Y6349" s="71"/>
    </row>
    <row r="6350" spans="1:25" ht="30" hidden="1" customHeight="1" x14ac:dyDescent="0.25">
      <c r="A6350" s="1145">
        <v>45256</v>
      </c>
      <c r="B6350" s="664" t="s">
        <v>2255</v>
      </c>
      <c r="C6350" s="71" t="s">
        <v>3661</v>
      </c>
      <c r="D6350" s="71">
        <v>35</v>
      </c>
      <c r="E6350" s="102">
        <v>52360</v>
      </c>
      <c r="F6350" s="102">
        <f t="shared" si="3192"/>
        <v>2015860.0000000002</v>
      </c>
      <c r="G6350" s="102">
        <f t="shared" si="3193"/>
        <v>1832600</v>
      </c>
      <c r="H6350" s="690" t="s">
        <v>179</v>
      </c>
      <c r="I6350" s="71" t="s">
        <v>3405</v>
      </c>
      <c r="J6350" s="53">
        <f t="shared" si="3202"/>
        <v>432600</v>
      </c>
      <c r="K6350" s="63">
        <f t="shared" si="3203"/>
        <v>0.23605805958747131</v>
      </c>
      <c r="L6350" s="1212" t="s">
        <v>3927</v>
      </c>
      <c r="M6350" s="468"/>
      <c r="N6350" s="1192">
        <v>45194</v>
      </c>
      <c r="O6350" s="71" t="s">
        <v>2030</v>
      </c>
      <c r="P6350" s="103" t="s">
        <v>3914</v>
      </c>
      <c r="Q6350" s="71">
        <f t="shared" si="3197"/>
        <v>35</v>
      </c>
      <c r="R6350" s="102">
        <v>40000</v>
      </c>
      <c r="S6350" s="102">
        <f t="shared" si="3205"/>
        <v>1540000.0000000002</v>
      </c>
      <c r="T6350" s="102">
        <f t="shared" si="3206"/>
        <v>1400000</v>
      </c>
      <c r="U6350" s="71" t="s">
        <v>859</v>
      </c>
      <c r="V6350" s="71"/>
      <c r="W6350" s="474">
        <v>978750</v>
      </c>
      <c r="X6350" s="71"/>
      <c r="Y6350" s="71"/>
    </row>
    <row r="6351" spans="1:25" ht="30" hidden="1" customHeight="1" x14ac:dyDescent="0.25">
      <c r="A6351" s="1145">
        <v>45256</v>
      </c>
      <c r="B6351" s="664" t="s">
        <v>2254</v>
      </c>
      <c r="C6351" s="71" t="s">
        <v>3319</v>
      </c>
      <c r="D6351" s="71">
        <v>400</v>
      </c>
      <c r="E6351" s="102">
        <v>6328</v>
      </c>
      <c r="F6351" s="102">
        <f t="shared" si="3192"/>
        <v>2784320</v>
      </c>
      <c r="G6351" s="102">
        <f t="shared" si="3193"/>
        <v>2531200</v>
      </c>
      <c r="H6351" s="690" t="s">
        <v>36</v>
      </c>
      <c r="I6351" s="71" t="s">
        <v>3320</v>
      </c>
      <c r="J6351" s="53">
        <f t="shared" si="3202"/>
        <v>191200</v>
      </c>
      <c r="K6351" s="63">
        <f t="shared" si="3203"/>
        <v>7.5537294563843241E-2</v>
      </c>
      <c r="L6351" s="1212" t="s">
        <v>3927</v>
      </c>
      <c r="M6351" s="468"/>
      <c r="N6351" s="1192">
        <v>45194</v>
      </c>
      <c r="O6351" s="71" t="s">
        <v>146</v>
      </c>
      <c r="P6351" s="103" t="s">
        <v>3319</v>
      </c>
      <c r="Q6351" s="71">
        <f t="shared" si="3197"/>
        <v>400</v>
      </c>
      <c r="R6351" s="102">
        <v>5850</v>
      </c>
      <c r="S6351" s="102">
        <f t="shared" si="3205"/>
        <v>2574000</v>
      </c>
      <c r="T6351" s="102">
        <f t="shared" si="3206"/>
        <v>2340000</v>
      </c>
      <c r="U6351" s="71" t="s">
        <v>859</v>
      </c>
      <c r="V6351" s="71"/>
      <c r="W6351" s="474">
        <v>411200</v>
      </c>
      <c r="X6351" s="71"/>
      <c r="Y6351" s="71"/>
    </row>
    <row r="6352" spans="1:25" ht="30" hidden="1" customHeight="1" x14ac:dyDescent="0.25">
      <c r="A6352" s="1145">
        <v>45256</v>
      </c>
      <c r="B6352" s="664" t="s">
        <v>2254</v>
      </c>
      <c r="C6352" s="71" t="s">
        <v>3321</v>
      </c>
      <c r="D6352" s="71">
        <v>400</v>
      </c>
      <c r="E6352" s="102">
        <v>6780</v>
      </c>
      <c r="F6352" s="102">
        <f t="shared" si="3192"/>
        <v>2983200.0000000005</v>
      </c>
      <c r="G6352" s="102">
        <f t="shared" si="3193"/>
        <v>2712000</v>
      </c>
      <c r="H6352" s="690" t="s">
        <v>36</v>
      </c>
      <c r="I6352" s="71" t="s">
        <v>3320</v>
      </c>
      <c r="J6352" s="53">
        <f t="shared" si="3202"/>
        <v>200000</v>
      </c>
      <c r="K6352" s="63">
        <f t="shared" si="3203"/>
        <v>7.3746312684365767E-2</v>
      </c>
      <c r="L6352" s="1212" t="s">
        <v>3927</v>
      </c>
      <c r="M6352" s="468"/>
      <c r="N6352" s="1192">
        <v>45194</v>
      </c>
      <c r="O6352" s="71" t="s">
        <v>146</v>
      </c>
      <c r="P6352" s="103" t="s">
        <v>3321</v>
      </c>
      <c r="Q6352" s="71">
        <f t="shared" si="3197"/>
        <v>400</v>
      </c>
      <c r="R6352" s="102">
        <v>6280</v>
      </c>
      <c r="S6352" s="102">
        <f t="shared" si="3205"/>
        <v>2763200</v>
      </c>
      <c r="T6352" s="102">
        <f t="shared" si="3206"/>
        <v>2512000</v>
      </c>
      <c r="U6352" s="71" t="s">
        <v>859</v>
      </c>
      <c r="V6352" s="71"/>
      <c r="W6352" s="474">
        <v>292000</v>
      </c>
      <c r="X6352" s="71"/>
      <c r="Y6352" s="71"/>
    </row>
    <row r="6353" spans="1:25" ht="30" hidden="1" customHeight="1" x14ac:dyDescent="0.25">
      <c r="A6353" s="1145">
        <v>45256</v>
      </c>
      <c r="B6353" s="664" t="s">
        <v>2254</v>
      </c>
      <c r="C6353" s="71" t="s">
        <v>1289</v>
      </c>
      <c r="D6353" s="71">
        <v>600</v>
      </c>
      <c r="E6353" s="102">
        <v>6498</v>
      </c>
      <c r="F6353" s="102">
        <f t="shared" si="3192"/>
        <v>4288680</v>
      </c>
      <c r="G6353" s="102">
        <f t="shared" si="3193"/>
        <v>3898800</v>
      </c>
      <c r="H6353" s="690" t="s">
        <v>36</v>
      </c>
      <c r="I6353" s="71" t="s">
        <v>3320</v>
      </c>
      <c r="J6353" s="53">
        <f t="shared" si="3202"/>
        <v>286800</v>
      </c>
      <c r="K6353" s="63">
        <f t="shared" si="3203"/>
        <v>7.3561095721760547E-2</v>
      </c>
      <c r="L6353" s="1212" t="s">
        <v>3927</v>
      </c>
      <c r="M6353" s="468"/>
      <c r="N6353" s="1192">
        <v>45194</v>
      </c>
      <c r="O6353" s="71" t="s">
        <v>146</v>
      </c>
      <c r="P6353" s="103" t="s">
        <v>1289</v>
      </c>
      <c r="Q6353" s="71">
        <f t="shared" si="3197"/>
        <v>600</v>
      </c>
      <c r="R6353" s="102">
        <v>6020</v>
      </c>
      <c r="S6353" s="102">
        <f t="shared" si="3205"/>
        <v>3973200.0000000005</v>
      </c>
      <c r="T6353" s="102">
        <f t="shared" si="3206"/>
        <v>3612000</v>
      </c>
      <c r="U6353" s="71" t="s">
        <v>859</v>
      </c>
      <c r="V6353" s="71"/>
      <c r="W6353" s="474">
        <v>640800</v>
      </c>
      <c r="X6353" s="71"/>
      <c r="Y6353" s="71"/>
    </row>
    <row r="6354" spans="1:25" ht="30" hidden="1" customHeight="1" x14ac:dyDescent="0.25">
      <c r="A6354" s="1145">
        <v>45256</v>
      </c>
      <c r="B6354" s="664" t="s">
        <v>2254</v>
      </c>
      <c r="C6354" s="71" t="s">
        <v>1290</v>
      </c>
      <c r="D6354" s="71">
        <v>400</v>
      </c>
      <c r="E6354" s="102">
        <v>7910</v>
      </c>
      <c r="F6354" s="102">
        <f t="shared" si="3192"/>
        <v>3480400.0000000005</v>
      </c>
      <c r="G6354" s="102">
        <f t="shared" si="3193"/>
        <v>3164000</v>
      </c>
      <c r="H6354" s="690" t="s">
        <v>36</v>
      </c>
      <c r="I6354" s="71" t="s">
        <v>3320</v>
      </c>
      <c r="J6354" s="53">
        <f t="shared" si="3202"/>
        <v>240000</v>
      </c>
      <c r="K6354" s="63">
        <f t="shared" si="3203"/>
        <v>7.5853350189633365E-2</v>
      </c>
      <c r="L6354" s="1212" t="s">
        <v>3927</v>
      </c>
      <c r="M6354" s="468"/>
      <c r="N6354" s="1192">
        <v>45194</v>
      </c>
      <c r="O6354" s="71" t="s">
        <v>146</v>
      </c>
      <c r="P6354" s="103" t="s">
        <v>1290</v>
      </c>
      <c r="Q6354" s="71">
        <f t="shared" si="3197"/>
        <v>400</v>
      </c>
      <c r="R6354" s="102">
        <v>7310</v>
      </c>
      <c r="S6354" s="102">
        <f t="shared" si="3205"/>
        <v>3216400.0000000005</v>
      </c>
      <c r="T6354" s="102">
        <f t="shared" si="3206"/>
        <v>2924000</v>
      </c>
      <c r="U6354" s="71" t="s">
        <v>859</v>
      </c>
      <c r="V6354" s="71"/>
      <c r="W6354" s="474">
        <v>846000</v>
      </c>
      <c r="X6354" s="71"/>
      <c r="Y6354" s="71"/>
    </row>
    <row r="6355" spans="1:25" ht="30" hidden="1" customHeight="1" x14ac:dyDescent="0.25">
      <c r="A6355" s="1145">
        <v>45256</v>
      </c>
      <c r="B6355" s="664" t="s">
        <v>2254</v>
      </c>
      <c r="C6355" s="71" t="s">
        <v>3322</v>
      </c>
      <c r="D6355" s="71"/>
      <c r="E6355" s="102">
        <v>7150</v>
      </c>
      <c r="F6355" s="102">
        <f t="shared" si="3192"/>
        <v>0</v>
      </c>
      <c r="G6355" s="102">
        <f t="shared" si="3193"/>
        <v>0</v>
      </c>
      <c r="H6355" s="690" t="s">
        <v>36</v>
      </c>
      <c r="I6355" s="71" t="s">
        <v>3320</v>
      </c>
      <c r="J6355" s="53">
        <f t="shared" si="3202"/>
        <v>0</v>
      </c>
      <c r="K6355" s="63" t="e">
        <f t="shared" si="3203"/>
        <v>#DIV/0!</v>
      </c>
      <c r="L6355" s="1212" t="s">
        <v>3927</v>
      </c>
      <c r="M6355" s="468"/>
      <c r="N6355" s="1192">
        <v>45194</v>
      </c>
      <c r="O6355" s="71" t="s">
        <v>3323</v>
      </c>
      <c r="P6355" s="103" t="str">
        <f t="shared" ref="P6355:P6359" si="3207">(C6355)</f>
        <v>한특 잉크(적)</v>
      </c>
      <c r="Q6355" s="71">
        <f t="shared" si="3197"/>
        <v>0</v>
      </c>
      <c r="R6355" s="102">
        <v>6500</v>
      </c>
      <c r="S6355" s="102">
        <f t="shared" si="3205"/>
        <v>0</v>
      </c>
      <c r="T6355" s="102">
        <f t="shared" si="3206"/>
        <v>0</v>
      </c>
      <c r="U6355" s="71" t="s">
        <v>859</v>
      </c>
      <c r="V6355" s="71"/>
      <c r="W6355" s="474">
        <v>0</v>
      </c>
      <c r="X6355" s="71"/>
      <c r="Y6355" s="71"/>
    </row>
    <row r="6356" spans="1:25" ht="30" hidden="1" customHeight="1" x14ac:dyDescent="0.25">
      <c r="A6356" s="1145">
        <v>45256</v>
      </c>
      <c r="B6356" s="664" t="s">
        <v>2254</v>
      </c>
      <c r="C6356" s="71" t="s">
        <v>3324</v>
      </c>
      <c r="D6356" s="71"/>
      <c r="E6356" s="102">
        <v>6900</v>
      </c>
      <c r="F6356" s="102">
        <f t="shared" si="3192"/>
        <v>0</v>
      </c>
      <c r="G6356" s="102">
        <f t="shared" si="3193"/>
        <v>0</v>
      </c>
      <c r="H6356" s="690" t="s">
        <v>36</v>
      </c>
      <c r="I6356" s="71" t="s">
        <v>3320</v>
      </c>
      <c r="J6356" s="53">
        <f t="shared" si="3202"/>
        <v>0</v>
      </c>
      <c r="K6356" s="63" t="e">
        <f t="shared" si="3203"/>
        <v>#DIV/0!</v>
      </c>
      <c r="L6356" s="1212" t="s">
        <v>3927</v>
      </c>
      <c r="M6356" s="468"/>
      <c r="N6356" s="1192">
        <v>45194</v>
      </c>
      <c r="O6356" s="71" t="s">
        <v>3323</v>
      </c>
      <c r="P6356" s="103" t="str">
        <f t="shared" si="3207"/>
        <v>한특 잉크(황)</v>
      </c>
      <c r="Q6356" s="71">
        <f t="shared" si="3197"/>
        <v>0</v>
      </c>
      <c r="R6356" s="102">
        <v>6200</v>
      </c>
      <c r="S6356" s="102">
        <f t="shared" si="3205"/>
        <v>0</v>
      </c>
      <c r="T6356" s="102">
        <f t="shared" si="3206"/>
        <v>0</v>
      </c>
      <c r="U6356" s="71" t="s">
        <v>859</v>
      </c>
      <c r="V6356" s="71"/>
      <c r="W6356" s="474">
        <v>0</v>
      </c>
      <c r="X6356" s="71"/>
      <c r="Y6356" s="71"/>
    </row>
    <row r="6357" spans="1:25" ht="28.5" hidden="1" customHeight="1" x14ac:dyDescent="0.25">
      <c r="A6357" s="1145">
        <v>45256</v>
      </c>
      <c r="B6357" s="664" t="s">
        <v>2254</v>
      </c>
      <c r="C6357" s="71" t="s">
        <v>3325</v>
      </c>
      <c r="D6357" s="71"/>
      <c r="E6357" s="102">
        <v>7500</v>
      </c>
      <c r="F6357" s="102">
        <f t="shared" si="3192"/>
        <v>0</v>
      </c>
      <c r="G6357" s="102">
        <f t="shared" si="3193"/>
        <v>0</v>
      </c>
      <c r="H6357" s="690" t="s">
        <v>36</v>
      </c>
      <c r="I6357" s="71" t="s">
        <v>3320</v>
      </c>
      <c r="J6357" s="53">
        <f t="shared" si="3202"/>
        <v>0</v>
      </c>
      <c r="K6357" s="63" t="e">
        <f t="shared" si="3203"/>
        <v>#DIV/0!</v>
      </c>
      <c r="L6357" s="1212" t="s">
        <v>3927</v>
      </c>
      <c r="M6357" s="468"/>
      <c r="N6357" s="1192">
        <v>45194</v>
      </c>
      <c r="O6357" s="71" t="s">
        <v>3323</v>
      </c>
      <c r="P6357" s="103" t="str">
        <f t="shared" si="3207"/>
        <v>한특 잉크(청)</v>
      </c>
      <c r="Q6357" s="71">
        <f t="shared" si="3197"/>
        <v>0</v>
      </c>
      <c r="R6357" s="102">
        <v>6600</v>
      </c>
      <c r="S6357" s="102">
        <f t="shared" si="3205"/>
        <v>0</v>
      </c>
      <c r="T6357" s="102">
        <f t="shared" si="3206"/>
        <v>0</v>
      </c>
      <c r="U6357" s="71" t="s">
        <v>859</v>
      </c>
      <c r="V6357" s="71"/>
      <c r="W6357" s="474">
        <v>0</v>
      </c>
      <c r="X6357" s="71"/>
      <c r="Y6357" s="71"/>
    </row>
    <row r="6358" spans="1:25" ht="30" hidden="1" customHeight="1" x14ac:dyDescent="0.25">
      <c r="A6358" s="1145">
        <v>45256</v>
      </c>
      <c r="B6358" s="664" t="s">
        <v>2254</v>
      </c>
      <c r="C6358" s="71" t="s">
        <v>3326</v>
      </c>
      <c r="D6358" s="71"/>
      <c r="E6358" s="102">
        <v>6450</v>
      </c>
      <c r="F6358" s="102">
        <f t="shared" si="3192"/>
        <v>0</v>
      </c>
      <c r="G6358" s="102">
        <f t="shared" si="3193"/>
        <v>0</v>
      </c>
      <c r="H6358" s="690" t="s">
        <v>36</v>
      </c>
      <c r="I6358" s="71" t="s">
        <v>3320</v>
      </c>
      <c r="J6358" s="53">
        <f t="shared" si="3202"/>
        <v>0</v>
      </c>
      <c r="K6358" s="63" t="e">
        <f t="shared" si="3203"/>
        <v>#DIV/0!</v>
      </c>
      <c r="L6358" s="1212" t="s">
        <v>3927</v>
      </c>
      <c r="M6358" s="468"/>
      <c r="N6358" s="1192">
        <v>45194</v>
      </c>
      <c r="O6358" s="71" t="s">
        <v>3323</v>
      </c>
      <c r="P6358" s="103" t="str">
        <f t="shared" si="3207"/>
        <v>한특 잉크(먹)</v>
      </c>
      <c r="Q6358" s="71">
        <f t="shared" si="3197"/>
        <v>0</v>
      </c>
      <c r="R6358" s="102">
        <v>5700</v>
      </c>
      <c r="S6358" s="102">
        <f t="shared" si="3205"/>
        <v>0</v>
      </c>
      <c r="T6358" s="102">
        <f t="shared" si="3206"/>
        <v>0</v>
      </c>
      <c r="U6358" s="71" t="s">
        <v>859</v>
      </c>
      <c r="V6358" s="71"/>
      <c r="W6358" s="474">
        <v>0</v>
      </c>
      <c r="X6358" s="71"/>
      <c r="Y6358" s="71"/>
    </row>
    <row r="6359" spans="1:25" ht="30" hidden="1" customHeight="1" x14ac:dyDescent="0.25">
      <c r="A6359" s="1145">
        <v>45256</v>
      </c>
      <c r="B6359" s="664" t="s">
        <v>2254</v>
      </c>
      <c r="C6359" s="71" t="s">
        <v>3852</v>
      </c>
      <c r="D6359" s="71">
        <v>80</v>
      </c>
      <c r="E6359" s="102">
        <v>22400</v>
      </c>
      <c r="F6359" s="102">
        <f t="shared" si="3192"/>
        <v>1971200.0000000002</v>
      </c>
      <c r="G6359" s="102">
        <f t="shared" si="3193"/>
        <v>1792000</v>
      </c>
      <c r="H6359" s="690" t="s">
        <v>36</v>
      </c>
      <c r="I6359" s="71" t="s">
        <v>3320</v>
      </c>
      <c r="J6359" s="53">
        <f t="shared" si="3202"/>
        <v>0</v>
      </c>
      <c r="K6359" s="63">
        <f t="shared" si="3203"/>
        <v>0</v>
      </c>
      <c r="L6359" s="1212" t="s">
        <v>3927</v>
      </c>
      <c r="M6359" s="468"/>
      <c r="N6359" s="1192">
        <f t="shared" ref="N6359" si="3208">A6359</f>
        <v>45256</v>
      </c>
      <c r="O6359" s="71" t="s">
        <v>185</v>
      </c>
      <c r="P6359" s="103" t="str">
        <f t="shared" si="3207"/>
        <v>별색 - PT 810C 형광등</v>
      </c>
      <c r="Q6359" s="71">
        <f t="shared" si="3197"/>
        <v>80</v>
      </c>
      <c r="R6359" s="102">
        <v>22400</v>
      </c>
      <c r="S6359" s="102">
        <f t="shared" si="3205"/>
        <v>1971200.0000000002</v>
      </c>
      <c r="T6359" s="102">
        <f t="shared" si="3206"/>
        <v>1792000</v>
      </c>
      <c r="U6359" s="71"/>
      <c r="V6359" s="71"/>
      <c r="W6359" s="474"/>
      <c r="X6359" s="71"/>
      <c r="Y6359" s="71"/>
    </row>
    <row r="6360" spans="1:25" ht="30" hidden="1" customHeight="1" x14ac:dyDescent="0.25">
      <c r="A6360" s="1145">
        <v>45256</v>
      </c>
      <c r="B6360" s="664" t="s">
        <v>2254</v>
      </c>
      <c r="C6360" s="71" t="s">
        <v>3871</v>
      </c>
      <c r="D6360" s="71">
        <v>185</v>
      </c>
      <c r="E6360" s="102">
        <v>9500</v>
      </c>
      <c r="F6360" s="102">
        <f t="shared" si="3192"/>
        <v>1933250.0000000002</v>
      </c>
      <c r="G6360" s="102">
        <f t="shared" si="3193"/>
        <v>1757500</v>
      </c>
      <c r="H6360" s="690" t="s">
        <v>36</v>
      </c>
      <c r="I6360" s="71" t="s">
        <v>3320</v>
      </c>
      <c r="J6360" s="53">
        <f t="shared" si="3202"/>
        <v>92500</v>
      </c>
      <c r="K6360" s="63">
        <f t="shared" si="3203"/>
        <v>5.2631578947368411E-2</v>
      </c>
      <c r="L6360" s="1212" t="s">
        <v>3927</v>
      </c>
      <c r="M6360" s="468"/>
      <c r="N6360" s="1192">
        <v>45194</v>
      </c>
      <c r="O6360" s="71" t="s">
        <v>3900</v>
      </c>
      <c r="P6360" s="103" t="s">
        <v>3915</v>
      </c>
      <c r="Q6360" s="71">
        <f t="shared" si="3197"/>
        <v>185</v>
      </c>
      <c r="R6360" s="102">
        <v>9000</v>
      </c>
      <c r="S6360" s="102">
        <f t="shared" si="3205"/>
        <v>1831500.0000000002</v>
      </c>
      <c r="T6360" s="102">
        <f t="shared" si="3206"/>
        <v>1665000</v>
      </c>
      <c r="U6360" s="71"/>
      <c r="V6360" s="71"/>
      <c r="W6360" s="474"/>
      <c r="X6360" s="71"/>
      <c r="Y6360" s="71"/>
    </row>
    <row r="6361" spans="1:25" ht="30" hidden="1" customHeight="1" x14ac:dyDescent="0.25">
      <c r="A6361" s="1145">
        <v>45256</v>
      </c>
      <c r="B6361" s="664" t="s">
        <v>443</v>
      </c>
      <c r="C6361" s="71" t="s">
        <v>3392</v>
      </c>
      <c r="D6361" s="71">
        <v>16</v>
      </c>
      <c r="E6361" s="102">
        <v>218000</v>
      </c>
      <c r="F6361" s="102">
        <f t="shared" si="3192"/>
        <v>3836800.0000000005</v>
      </c>
      <c r="G6361" s="102">
        <f t="shared" si="3193"/>
        <v>3488000</v>
      </c>
      <c r="H6361" s="690" t="s">
        <v>172</v>
      </c>
      <c r="I6361" s="71" t="s">
        <v>184</v>
      </c>
      <c r="J6361" s="53">
        <f t="shared" si="3202"/>
        <v>824000</v>
      </c>
      <c r="K6361" s="63">
        <f t="shared" si="3203"/>
        <v>0.23623853211009171</v>
      </c>
      <c r="L6361" s="1212" t="s">
        <v>3927</v>
      </c>
      <c r="M6361" s="468" t="s">
        <v>3393</v>
      </c>
      <c r="N6361" s="1192">
        <v>45194</v>
      </c>
      <c r="O6361" s="71" t="s">
        <v>2030</v>
      </c>
      <c r="P6361" s="103" t="s">
        <v>3916</v>
      </c>
      <c r="Q6361" s="71">
        <f t="shared" si="3197"/>
        <v>16</v>
      </c>
      <c r="R6361" s="102">
        <v>166500</v>
      </c>
      <c r="S6361" s="102">
        <f t="shared" si="3205"/>
        <v>2930400.0000000005</v>
      </c>
      <c r="T6361" s="102">
        <f t="shared" si="3206"/>
        <v>2664000</v>
      </c>
      <c r="U6361" s="71" t="s">
        <v>859</v>
      </c>
      <c r="V6361" s="71" t="s">
        <v>3394</v>
      </c>
      <c r="W6361" s="474">
        <v>464000</v>
      </c>
      <c r="X6361" s="71"/>
      <c r="Y6361" s="71"/>
    </row>
    <row r="6362" spans="1:25" ht="30" hidden="1" customHeight="1" x14ac:dyDescent="0.25">
      <c r="A6362" s="1145">
        <v>45256</v>
      </c>
      <c r="B6362" s="664" t="s">
        <v>443</v>
      </c>
      <c r="C6362" s="71" t="s">
        <v>3611</v>
      </c>
      <c r="D6362" s="71">
        <v>1</v>
      </c>
      <c r="E6362" s="102">
        <v>2350000</v>
      </c>
      <c r="F6362" s="102">
        <f t="shared" si="3192"/>
        <v>2585000</v>
      </c>
      <c r="G6362" s="102">
        <f t="shared" si="3193"/>
        <v>2350000</v>
      </c>
      <c r="H6362" s="690" t="s">
        <v>179</v>
      </c>
      <c r="I6362" s="690" t="s">
        <v>179</v>
      </c>
      <c r="J6362" s="53">
        <f t="shared" si="3202"/>
        <v>600000</v>
      </c>
      <c r="K6362" s="63">
        <f t="shared" si="3203"/>
        <v>0.25531914893617019</v>
      </c>
      <c r="L6362" s="1212" t="s">
        <v>3927</v>
      </c>
      <c r="M6362" s="468"/>
      <c r="N6362" s="1192">
        <v>45194</v>
      </c>
      <c r="O6362" s="71" t="s">
        <v>194</v>
      </c>
      <c r="P6362" s="103" t="s">
        <v>3917</v>
      </c>
      <c r="Q6362" s="71">
        <f t="shared" si="3197"/>
        <v>1</v>
      </c>
      <c r="R6362" s="147">
        <v>1750000</v>
      </c>
      <c r="S6362" s="102">
        <f t="shared" si="3205"/>
        <v>1925000.0000000002</v>
      </c>
      <c r="T6362" s="102">
        <f t="shared" si="3206"/>
        <v>1750000</v>
      </c>
      <c r="U6362" s="71"/>
      <c r="V6362" s="71"/>
      <c r="W6362" s="474"/>
      <c r="X6362" s="71"/>
      <c r="Y6362" s="71"/>
    </row>
    <row r="6363" spans="1:25" ht="30" hidden="1" customHeight="1" x14ac:dyDescent="0.25">
      <c r="A6363" s="1145">
        <v>45229</v>
      </c>
      <c r="B6363" s="664" t="s">
        <v>2261</v>
      </c>
      <c r="C6363" s="71" t="s">
        <v>3299</v>
      </c>
      <c r="D6363" s="71">
        <v>10</v>
      </c>
      <c r="E6363" s="102">
        <v>52000</v>
      </c>
      <c r="F6363" s="102">
        <f t="shared" si="3192"/>
        <v>572000</v>
      </c>
      <c r="G6363" s="102">
        <f t="shared" si="3193"/>
        <v>520000</v>
      </c>
      <c r="H6363" s="690" t="s">
        <v>172</v>
      </c>
      <c r="I6363" s="71" t="s">
        <v>180</v>
      </c>
      <c r="J6363" s="53">
        <f t="shared" si="3202"/>
        <v>45000</v>
      </c>
      <c r="K6363" s="63">
        <f t="shared" si="3203"/>
        <v>8.6538461538461536E-2</v>
      </c>
      <c r="L6363" s="1212" t="s">
        <v>3927</v>
      </c>
      <c r="M6363" s="468" t="s">
        <v>3835</v>
      </c>
      <c r="N6363" s="1192">
        <f t="shared" ref="N6363:N6368" si="3209">A6363</f>
        <v>45229</v>
      </c>
      <c r="O6363" s="71" t="s">
        <v>175</v>
      </c>
      <c r="P6363" s="103" t="str">
        <f t="shared" ref="P6363:P6368" si="3210">(C6363)</f>
        <v>매엽용 세척제(Wash k11)</v>
      </c>
      <c r="Q6363" s="71">
        <f t="shared" si="3197"/>
        <v>10</v>
      </c>
      <c r="R6363" s="102">
        <v>47500</v>
      </c>
      <c r="S6363" s="102">
        <f t="shared" si="3205"/>
        <v>522500.00000000006</v>
      </c>
      <c r="T6363" s="102">
        <f t="shared" si="3206"/>
        <v>475000</v>
      </c>
      <c r="U6363" s="71" t="s">
        <v>859</v>
      </c>
      <c r="V6363" s="71"/>
      <c r="W6363" s="474"/>
      <c r="X6363" s="71"/>
      <c r="Y6363" s="71"/>
    </row>
    <row r="6364" spans="1:25" ht="30" hidden="1" customHeight="1" x14ac:dyDescent="0.25">
      <c r="A6364" s="1145">
        <v>45237</v>
      </c>
      <c r="B6364" s="664" t="s">
        <v>3289</v>
      </c>
      <c r="C6364" s="71" t="s">
        <v>2070</v>
      </c>
      <c r="D6364" s="71">
        <v>10</v>
      </c>
      <c r="E6364" s="102">
        <v>110000</v>
      </c>
      <c r="F6364" s="102">
        <f t="shared" si="3192"/>
        <v>1210000</v>
      </c>
      <c r="G6364" s="102">
        <f t="shared" si="3193"/>
        <v>1100000</v>
      </c>
      <c r="H6364" s="690" t="s">
        <v>172</v>
      </c>
      <c r="I6364" s="71" t="s">
        <v>33</v>
      </c>
      <c r="J6364" s="53">
        <f t="shared" si="3202"/>
        <v>118000</v>
      </c>
      <c r="K6364" s="63">
        <f t="shared" si="3203"/>
        <v>0.10727272727272727</v>
      </c>
      <c r="L6364" s="1212" t="s">
        <v>3927</v>
      </c>
      <c r="M6364" s="468"/>
      <c r="N6364" s="1192">
        <f t="shared" si="3209"/>
        <v>45237</v>
      </c>
      <c r="O6364" s="71" t="s">
        <v>146</v>
      </c>
      <c r="P6364" s="103" t="str">
        <f t="shared" si="3210"/>
        <v>Blanket(1050*840)</v>
      </c>
      <c r="Q6364" s="71">
        <f t="shared" si="3197"/>
        <v>10</v>
      </c>
      <c r="R6364" s="102">
        <v>98200</v>
      </c>
      <c r="S6364" s="102">
        <f t="shared" si="3205"/>
        <v>1080200</v>
      </c>
      <c r="T6364" s="102">
        <f t="shared" si="3206"/>
        <v>982000</v>
      </c>
      <c r="U6364" s="71" t="str">
        <f>IF(J6364=W6364,"O", "X")</f>
        <v>X</v>
      </c>
      <c r="V6364" s="71"/>
      <c r="W6364" s="474">
        <v>275000</v>
      </c>
      <c r="X6364" s="71"/>
      <c r="Y6364" s="71"/>
    </row>
    <row r="6365" spans="1:25" s="209" customFormat="1" ht="31.5" hidden="1" customHeight="1" x14ac:dyDescent="0.2">
      <c r="A6365" s="1145">
        <v>45237</v>
      </c>
      <c r="B6365" s="664" t="s">
        <v>3289</v>
      </c>
      <c r="C6365" s="71" t="s">
        <v>3387</v>
      </c>
      <c r="D6365" s="71">
        <v>10</v>
      </c>
      <c r="E6365" s="102">
        <v>130000</v>
      </c>
      <c r="F6365" s="102">
        <f t="shared" si="3192"/>
        <v>1430000</v>
      </c>
      <c r="G6365" s="102">
        <f t="shared" si="3193"/>
        <v>1300000</v>
      </c>
      <c r="H6365" s="165" t="s">
        <v>172</v>
      </c>
      <c r="I6365" s="71" t="s">
        <v>184</v>
      </c>
      <c r="J6365" s="53">
        <f t="shared" si="3202"/>
        <v>180000</v>
      </c>
      <c r="K6365" s="63">
        <f t="shared" si="3203"/>
        <v>0.13846153846153847</v>
      </c>
      <c r="L6365" s="1212" t="s">
        <v>3927</v>
      </c>
      <c r="M6365" s="468" t="s">
        <v>3835</v>
      </c>
      <c r="N6365" s="1192">
        <f t="shared" si="3209"/>
        <v>45237</v>
      </c>
      <c r="O6365" s="71" t="s">
        <v>189</v>
      </c>
      <c r="P6365" s="103" t="str">
        <f t="shared" si="3210"/>
        <v>Blanket(990*725)</v>
      </c>
      <c r="Q6365" s="71">
        <f t="shared" si="3197"/>
        <v>10</v>
      </c>
      <c r="R6365" s="102">
        <v>112000</v>
      </c>
      <c r="S6365" s="102">
        <f t="shared" si="3205"/>
        <v>1232000</v>
      </c>
      <c r="T6365" s="102">
        <f t="shared" si="3206"/>
        <v>1120000</v>
      </c>
      <c r="U6365" s="71" t="str">
        <f>IF(J6365=W6365,"O", "X")</f>
        <v>X</v>
      </c>
      <c r="V6365" s="71"/>
      <c r="W6365" s="474">
        <v>80000</v>
      </c>
      <c r="X6365" s="71"/>
      <c r="Y6365" s="71"/>
    </row>
    <row r="6366" spans="1:25" ht="30" hidden="1" customHeight="1" x14ac:dyDescent="0.25">
      <c r="A6366" s="1145">
        <v>45244</v>
      </c>
      <c r="B6366" s="664" t="s">
        <v>2261</v>
      </c>
      <c r="C6366" s="760" t="s">
        <v>181</v>
      </c>
      <c r="D6366" s="71">
        <v>5</v>
      </c>
      <c r="E6366" s="102">
        <v>193000</v>
      </c>
      <c r="F6366" s="102">
        <f t="shared" si="3192"/>
        <v>1061500</v>
      </c>
      <c r="G6366" s="102">
        <f t="shared" si="3193"/>
        <v>965000</v>
      </c>
      <c r="H6366" s="690" t="s">
        <v>2029</v>
      </c>
      <c r="I6366" s="71" t="s">
        <v>182</v>
      </c>
      <c r="J6366" s="53">
        <f t="shared" si="3202"/>
        <v>345000</v>
      </c>
      <c r="K6366" s="63">
        <f t="shared" si="3203"/>
        <v>0.35751295336787564</v>
      </c>
      <c r="L6366" s="1212" t="s">
        <v>3927</v>
      </c>
      <c r="M6366" s="468"/>
      <c r="N6366" s="1192">
        <f t="shared" si="3209"/>
        <v>45244</v>
      </c>
      <c r="O6366" s="71" t="s">
        <v>2030</v>
      </c>
      <c r="P6366" s="103" t="str">
        <f t="shared" si="3210"/>
        <v>Fount Web 551AF</v>
      </c>
      <c r="Q6366" s="71">
        <f t="shared" si="3197"/>
        <v>5</v>
      </c>
      <c r="R6366" s="102">
        <v>124000</v>
      </c>
      <c r="S6366" s="102">
        <f t="shared" si="3205"/>
        <v>682000</v>
      </c>
      <c r="T6366" s="102">
        <f t="shared" si="3206"/>
        <v>620000</v>
      </c>
      <c r="U6366" s="71" t="str">
        <f>IF(J6366=W6366,"O", "X")</f>
        <v>X</v>
      </c>
      <c r="V6366" s="71"/>
      <c r="W6366" s="474">
        <v>640000</v>
      </c>
      <c r="X6366" s="71"/>
      <c r="Y6366" s="71"/>
    </row>
    <row r="6367" spans="1:25" ht="30" hidden="1" customHeight="1" x14ac:dyDescent="0.25">
      <c r="A6367" s="1145">
        <v>45244</v>
      </c>
      <c r="B6367" s="664" t="s">
        <v>2261</v>
      </c>
      <c r="C6367" s="71" t="s">
        <v>277</v>
      </c>
      <c r="D6367" s="71">
        <v>10</v>
      </c>
      <c r="E6367" s="102">
        <v>172000</v>
      </c>
      <c r="F6367" s="102">
        <f t="shared" si="3192"/>
        <v>1892000.0000000002</v>
      </c>
      <c r="G6367" s="102">
        <f t="shared" si="3193"/>
        <v>1720000</v>
      </c>
      <c r="H6367" s="690" t="s">
        <v>172</v>
      </c>
      <c r="I6367" s="71" t="s">
        <v>108</v>
      </c>
      <c r="J6367" s="53">
        <f t="shared" si="3202"/>
        <v>390000</v>
      </c>
      <c r="K6367" s="63">
        <f t="shared" si="3203"/>
        <v>0.22674418604651159</v>
      </c>
      <c r="L6367" s="1212" t="s">
        <v>3927</v>
      </c>
      <c r="M6367" s="468"/>
      <c r="N6367" s="1192">
        <f t="shared" si="3209"/>
        <v>45244</v>
      </c>
      <c r="O6367" s="71" t="s">
        <v>662</v>
      </c>
      <c r="P6367" s="103" t="str">
        <f t="shared" si="3210"/>
        <v>윤전용 세척제(Web 504)</v>
      </c>
      <c r="Q6367" s="71">
        <f t="shared" si="3197"/>
        <v>10</v>
      </c>
      <c r="R6367" s="102">
        <v>133000</v>
      </c>
      <c r="S6367" s="102">
        <f t="shared" si="3205"/>
        <v>1463000.0000000002</v>
      </c>
      <c r="T6367" s="102">
        <f t="shared" si="3206"/>
        <v>1330000</v>
      </c>
      <c r="U6367" s="71" t="str">
        <f>IF(J6367=W6367,"O", "X")</f>
        <v>X</v>
      </c>
      <c r="V6367" s="71"/>
      <c r="W6367" s="474"/>
      <c r="X6367" s="71"/>
      <c r="Y6367" s="71"/>
    </row>
    <row r="6368" spans="1:25" ht="30" hidden="1" customHeight="1" x14ac:dyDescent="0.25">
      <c r="A6368" s="1145">
        <v>45244</v>
      </c>
      <c r="B6368" s="664" t="s">
        <v>2261</v>
      </c>
      <c r="C6368" s="71" t="s">
        <v>3299</v>
      </c>
      <c r="D6368" s="71">
        <v>10</v>
      </c>
      <c r="E6368" s="102">
        <v>52000</v>
      </c>
      <c r="F6368" s="102">
        <f t="shared" si="3192"/>
        <v>572000</v>
      </c>
      <c r="G6368" s="102">
        <f t="shared" si="3193"/>
        <v>520000</v>
      </c>
      <c r="H6368" s="690" t="s">
        <v>172</v>
      </c>
      <c r="I6368" s="71" t="s">
        <v>180</v>
      </c>
      <c r="J6368" s="53">
        <f t="shared" si="3202"/>
        <v>45000</v>
      </c>
      <c r="K6368" s="63">
        <f t="shared" si="3203"/>
        <v>8.6538461538461536E-2</v>
      </c>
      <c r="L6368" s="1212" t="s">
        <v>3927</v>
      </c>
      <c r="M6368" s="468" t="s">
        <v>3835</v>
      </c>
      <c r="N6368" s="1192">
        <f t="shared" si="3209"/>
        <v>45244</v>
      </c>
      <c r="O6368" s="71" t="s">
        <v>175</v>
      </c>
      <c r="P6368" s="103" t="str">
        <f t="shared" si="3210"/>
        <v>매엽용 세척제(Wash k11)</v>
      </c>
      <c r="Q6368" s="71">
        <f t="shared" si="3197"/>
        <v>10</v>
      </c>
      <c r="R6368" s="102">
        <v>47500</v>
      </c>
      <c r="S6368" s="102">
        <f t="shared" si="3205"/>
        <v>522500.00000000006</v>
      </c>
      <c r="T6368" s="102">
        <f t="shared" si="3206"/>
        <v>475000</v>
      </c>
      <c r="U6368" s="71" t="s">
        <v>859</v>
      </c>
      <c r="V6368" s="71"/>
      <c r="W6368" s="474"/>
      <c r="X6368" s="71"/>
      <c r="Y6368" s="71"/>
    </row>
    <row r="6369" spans="1:25" ht="30" hidden="1" customHeight="1" x14ac:dyDescent="0.25">
      <c r="A6369" s="1145">
        <v>45244</v>
      </c>
      <c r="B6369" s="664" t="s">
        <v>3289</v>
      </c>
      <c r="C6369" s="71" t="s">
        <v>2070</v>
      </c>
      <c r="D6369" s="71">
        <v>10</v>
      </c>
      <c r="E6369" s="102">
        <v>110000</v>
      </c>
      <c r="F6369" s="102">
        <f t="shared" ref="F6369:F6373" si="3211">(E6369*D6369)*1.1</f>
        <v>1210000</v>
      </c>
      <c r="G6369" s="102">
        <f t="shared" ref="G6369:G6373" si="3212">(E6369*D6369)</f>
        <v>1100000</v>
      </c>
      <c r="H6369" s="690" t="s">
        <v>172</v>
      </c>
      <c r="I6369" s="71" t="s">
        <v>33</v>
      </c>
      <c r="J6369" s="53">
        <f t="shared" ref="J6369:J6373" si="3213">G6369-T6369</f>
        <v>118000</v>
      </c>
      <c r="K6369" s="63">
        <f t="shared" ref="K6369:K6373" si="3214">(J6369/(F6369/11*10))</f>
        <v>0.10727272727272727</v>
      </c>
      <c r="L6369" s="1212" t="s">
        <v>3927</v>
      </c>
      <c r="M6369" s="468"/>
      <c r="N6369" s="1192">
        <f t="shared" ref="N6369:N6373" si="3215">A6369</f>
        <v>45244</v>
      </c>
      <c r="O6369" s="71" t="s">
        <v>146</v>
      </c>
      <c r="P6369" s="103" t="str">
        <f t="shared" ref="P6369:P6373" si="3216">(C6369)</f>
        <v>Blanket(1050*840)</v>
      </c>
      <c r="Q6369" s="71">
        <f t="shared" ref="Q6369:Q6373" si="3217">D6369</f>
        <v>10</v>
      </c>
      <c r="R6369" s="102">
        <v>98200</v>
      </c>
      <c r="S6369" s="102">
        <f t="shared" ref="S6369:S6373" si="3218">R6369*Q6369*1.1</f>
        <v>1080200</v>
      </c>
      <c r="T6369" s="102">
        <f t="shared" ref="T6369:T6373" si="3219">R6369*Q6369</f>
        <v>982000</v>
      </c>
      <c r="U6369" s="71" t="str">
        <f>IF(J6369=W6369,"O", "X")</f>
        <v>X</v>
      </c>
      <c r="V6369" s="71"/>
      <c r="W6369" s="474">
        <v>275000</v>
      </c>
      <c r="X6369" s="71"/>
      <c r="Y6369" s="71"/>
    </row>
    <row r="6370" spans="1:25" s="209" customFormat="1" ht="31.5" hidden="1" customHeight="1" x14ac:dyDescent="0.2">
      <c r="A6370" s="1145">
        <v>45247</v>
      </c>
      <c r="B6370" s="664" t="s">
        <v>3289</v>
      </c>
      <c r="C6370" s="71" t="s">
        <v>3387</v>
      </c>
      <c r="D6370" s="71">
        <v>10</v>
      </c>
      <c r="E6370" s="102">
        <v>130000</v>
      </c>
      <c r="F6370" s="102">
        <f t="shared" si="3211"/>
        <v>1430000</v>
      </c>
      <c r="G6370" s="102">
        <f t="shared" si="3212"/>
        <v>1300000</v>
      </c>
      <c r="H6370" s="165" t="s">
        <v>172</v>
      </c>
      <c r="I6370" s="71" t="s">
        <v>184</v>
      </c>
      <c r="J6370" s="53">
        <f t="shared" si="3213"/>
        <v>180000</v>
      </c>
      <c r="K6370" s="63">
        <f t="shared" si="3214"/>
        <v>0.13846153846153847</v>
      </c>
      <c r="L6370" s="1212" t="s">
        <v>3927</v>
      </c>
      <c r="M6370" s="468" t="s">
        <v>3835</v>
      </c>
      <c r="N6370" s="1192">
        <f t="shared" si="3215"/>
        <v>45247</v>
      </c>
      <c r="O6370" s="71" t="s">
        <v>189</v>
      </c>
      <c r="P6370" s="103" t="str">
        <f t="shared" si="3216"/>
        <v>Blanket(990*725)</v>
      </c>
      <c r="Q6370" s="71">
        <f t="shared" si="3217"/>
        <v>10</v>
      </c>
      <c r="R6370" s="102">
        <v>112000</v>
      </c>
      <c r="S6370" s="102">
        <f t="shared" si="3218"/>
        <v>1232000</v>
      </c>
      <c r="T6370" s="102">
        <f t="shared" si="3219"/>
        <v>1120000</v>
      </c>
      <c r="U6370" s="71" t="str">
        <f>IF(J6370=W6370,"O", "X")</f>
        <v>X</v>
      </c>
      <c r="V6370" s="71"/>
      <c r="W6370" s="474">
        <v>80000</v>
      </c>
      <c r="X6370" s="71"/>
      <c r="Y6370" s="71"/>
    </row>
    <row r="6371" spans="1:25" ht="30" hidden="1" customHeight="1" x14ac:dyDescent="0.25">
      <c r="A6371" s="1145">
        <v>45251</v>
      </c>
      <c r="B6371" s="664" t="s">
        <v>2261</v>
      </c>
      <c r="C6371" s="760" t="s">
        <v>181</v>
      </c>
      <c r="D6371" s="71">
        <v>10</v>
      </c>
      <c r="E6371" s="102">
        <v>193000</v>
      </c>
      <c r="F6371" s="102">
        <f t="shared" si="3211"/>
        <v>2123000</v>
      </c>
      <c r="G6371" s="102">
        <f t="shared" si="3212"/>
        <v>1930000</v>
      </c>
      <c r="H6371" s="690" t="s">
        <v>2029</v>
      </c>
      <c r="I6371" s="71" t="s">
        <v>182</v>
      </c>
      <c r="J6371" s="53">
        <f t="shared" si="3213"/>
        <v>690000</v>
      </c>
      <c r="K6371" s="63">
        <f t="shared" si="3214"/>
        <v>0.35751295336787564</v>
      </c>
      <c r="L6371" s="1212" t="s">
        <v>3927</v>
      </c>
      <c r="M6371" s="468"/>
      <c r="N6371" s="1192">
        <f t="shared" si="3215"/>
        <v>45251</v>
      </c>
      <c r="O6371" s="71" t="s">
        <v>2030</v>
      </c>
      <c r="P6371" s="103" t="str">
        <f t="shared" si="3216"/>
        <v>Fount Web 551AF</v>
      </c>
      <c r="Q6371" s="71">
        <f t="shared" si="3217"/>
        <v>10</v>
      </c>
      <c r="R6371" s="102">
        <v>124000</v>
      </c>
      <c r="S6371" s="102">
        <f t="shared" si="3218"/>
        <v>1364000</v>
      </c>
      <c r="T6371" s="102">
        <f t="shared" si="3219"/>
        <v>1240000</v>
      </c>
      <c r="U6371" s="71" t="str">
        <f>IF(J6371=W6371,"O", "X")</f>
        <v>X</v>
      </c>
      <c r="V6371" s="71"/>
      <c r="W6371" s="474">
        <v>640000</v>
      </c>
      <c r="X6371" s="71"/>
      <c r="Y6371" s="71"/>
    </row>
    <row r="6372" spans="1:25" ht="30" hidden="1" customHeight="1" x14ac:dyDescent="0.25">
      <c r="A6372" s="1145">
        <v>45251</v>
      </c>
      <c r="B6372" s="664" t="s">
        <v>2261</v>
      </c>
      <c r="C6372" s="71" t="s">
        <v>277</v>
      </c>
      <c r="D6372" s="71">
        <v>10</v>
      </c>
      <c r="E6372" s="102">
        <v>172000</v>
      </c>
      <c r="F6372" s="102">
        <f t="shared" si="3211"/>
        <v>1892000.0000000002</v>
      </c>
      <c r="G6372" s="102">
        <f t="shared" si="3212"/>
        <v>1720000</v>
      </c>
      <c r="H6372" s="690" t="s">
        <v>172</v>
      </c>
      <c r="I6372" s="71" t="s">
        <v>108</v>
      </c>
      <c r="J6372" s="53">
        <f t="shared" si="3213"/>
        <v>390000</v>
      </c>
      <c r="K6372" s="63">
        <f t="shared" si="3214"/>
        <v>0.22674418604651159</v>
      </c>
      <c r="L6372" s="1212" t="s">
        <v>3927</v>
      </c>
      <c r="M6372" s="468"/>
      <c r="N6372" s="1192">
        <f t="shared" si="3215"/>
        <v>45251</v>
      </c>
      <c r="O6372" s="71" t="s">
        <v>662</v>
      </c>
      <c r="P6372" s="103" t="str">
        <f t="shared" si="3216"/>
        <v>윤전용 세척제(Web 504)</v>
      </c>
      <c r="Q6372" s="71">
        <f t="shared" si="3217"/>
        <v>10</v>
      </c>
      <c r="R6372" s="102">
        <v>133000</v>
      </c>
      <c r="S6372" s="102">
        <f t="shared" si="3218"/>
        <v>1463000.0000000002</v>
      </c>
      <c r="T6372" s="102">
        <f t="shared" si="3219"/>
        <v>1330000</v>
      </c>
      <c r="U6372" s="71" t="str">
        <f>IF(J6372=W6372,"O", "X")</f>
        <v>X</v>
      </c>
      <c r="V6372" s="71"/>
      <c r="W6372" s="474"/>
      <c r="X6372" s="71"/>
      <c r="Y6372" s="71"/>
    </row>
    <row r="6373" spans="1:25" ht="30" hidden="1" customHeight="1" x14ac:dyDescent="0.25">
      <c r="A6373" s="1145">
        <v>45251</v>
      </c>
      <c r="B6373" s="664" t="s">
        <v>2261</v>
      </c>
      <c r="C6373" s="71" t="s">
        <v>3299</v>
      </c>
      <c r="D6373" s="71">
        <v>10</v>
      </c>
      <c r="E6373" s="102">
        <v>52000</v>
      </c>
      <c r="F6373" s="102">
        <f t="shared" si="3211"/>
        <v>572000</v>
      </c>
      <c r="G6373" s="102">
        <f t="shared" si="3212"/>
        <v>520000</v>
      </c>
      <c r="H6373" s="690" t="s">
        <v>172</v>
      </c>
      <c r="I6373" s="71" t="s">
        <v>180</v>
      </c>
      <c r="J6373" s="53">
        <f t="shared" si="3213"/>
        <v>45000</v>
      </c>
      <c r="K6373" s="63">
        <f t="shared" si="3214"/>
        <v>8.6538461538461536E-2</v>
      </c>
      <c r="L6373" s="1212" t="s">
        <v>3927</v>
      </c>
      <c r="M6373" s="468" t="s">
        <v>3835</v>
      </c>
      <c r="N6373" s="1192">
        <f t="shared" si="3215"/>
        <v>45251</v>
      </c>
      <c r="O6373" s="71" t="s">
        <v>175</v>
      </c>
      <c r="P6373" s="103" t="str">
        <f t="shared" si="3216"/>
        <v>매엽용 세척제(Wash k11)</v>
      </c>
      <c r="Q6373" s="71">
        <f t="shared" si="3217"/>
        <v>10</v>
      </c>
      <c r="R6373" s="102">
        <v>47500</v>
      </c>
      <c r="S6373" s="102">
        <f t="shared" si="3218"/>
        <v>522500.00000000006</v>
      </c>
      <c r="T6373" s="102">
        <f t="shared" si="3219"/>
        <v>475000</v>
      </c>
      <c r="U6373" s="71" t="s">
        <v>859</v>
      </c>
      <c r="V6373" s="71"/>
      <c r="W6373" s="474"/>
      <c r="X6373" s="71"/>
      <c r="Y6373" s="71"/>
    </row>
    <row r="6374" spans="1:25" s="209" customFormat="1" ht="31.5" hidden="1" customHeight="1" x14ac:dyDescent="0.2">
      <c r="A6374" s="1145">
        <v>45258</v>
      </c>
      <c r="B6374" s="664" t="s">
        <v>3289</v>
      </c>
      <c r="C6374" s="71" t="s">
        <v>3387</v>
      </c>
      <c r="D6374" s="71">
        <v>10</v>
      </c>
      <c r="E6374" s="102">
        <v>130000</v>
      </c>
      <c r="F6374" s="102">
        <f t="shared" ref="F6374:F6379" si="3220">(E6374*D6374)*1.1</f>
        <v>1430000</v>
      </c>
      <c r="G6374" s="102">
        <f t="shared" ref="G6374:G6379" si="3221">(E6374*D6374)</f>
        <v>1300000</v>
      </c>
      <c r="H6374" s="165" t="s">
        <v>172</v>
      </c>
      <c r="I6374" s="71" t="s">
        <v>184</v>
      </c>
      <c r="J6374" s="53">
        <f t="shared" ref="J6374:J6383" si="3222">G6374-T6374</f>
        <v>180000</v>
      </c>
      <c r="K6374" s="63">
        <f t="shared" ref="K6374:K6380" si="3223">(J6374/(F6374/11*10))</f>
        <v>0.13846153846153847</v>
      </c>
      <c r="L6374" s="1212" t="s">
        <v>3927</v>
      </c>
      <c r="M6374" s="468" t="s">
        <v>3835</v>
      </c>
      <c r="N6374" s="1192">
        <f t="shared" ref="N6374:N6403" si="3224">A6374</f>
        <v>45258</v>
      </c>
      <c r="O6374" s="71" t="s">
        <v>189</v>
      </c>
      <c r="P6374" s="103" t="str">
        <f t="shared" ref="P6374:P6400" si="3225">(C6374)</f>
        <v>Blanket(990*725)</v>
      </c>
      <c r="Q6374" s="71">
        <f t="shared" ref="Q6374:Q6391" si="3226">D6374</f>
        <v>10</v>
      </c>
      <c r="R6374" s="102">
        <v>112000</v>
      </c>
      <c r="S6374" s="102">
        <f t="shared" ref="S6374:S6383" si="3227">R6374*Q6374*1.1</f>
        <v>1232000</v>
      </c>
      <c r="T6374" s="102">
        <f t="shared" ref="T6374:T6383" si="3228">R6374*Q6374</f>
        <v>1120000</v>
      </c>
      <c r="U6374" s="71" t="str">
        <f>IF(J6374=W6374,"O", "X")</f>
        <v>X</v>
      </c>
      <c r="V6374" s="71"/>
      <c r="W6374" s="474">
        <v>80000</v>
      </c>
      <c r="X6374" s="71"/>
      <c r="Y6374" s="71"/>
    </row>
    <row r="6375" spans="1:25" ht="30" hidden="1" customHeight="1" x14ac:dyDescent="0.25">
      <c r="A6375" s="1145">
        <v>45258</v>
      </c>
      <c r="B6375" s="664" t="s">
        <v>2261</v>
      </c>
      <c r="C6375" s="760" t="s">
        <v>181</v>
      </c>
      <c r="D6375" s="71">
        <v>5</v>
      </c>
      <c r="E6375" s="102">
        <v>193000</v>
      </c>
      <c r="F6375" s="102">
        <f t="shared" si="3220"/>
        <v>1061500</v>
      </c>
      <c r="G6375" s="102">
        <f t="shared" si="3221"/>
        <v>965000</v>
      </c>
      <c r="H6375" s="690" t="s">
        <v>2029</v>
      </c>
      <c r="I6375" s="71" t="s">
        <v>182</v>
      </c>
      <c r="J6375" s="53">
        <f t="shared" si="3222"/>
        <v>345000</v>
      </c>
      <c r="K6375" s="63">
        <f t="shared" si="3223"/>
        <v>0.35751295336787564</v>
      </c>
      <c r="L6375" s="1212" t="s">
        <v>3927</v>
      </c>
      <c r="M6375" s="468"/>
      <c r="N6375" s="1192">
        <f t="shared" si="3224"/>
        <v>45258</v>
      </c>
      <c r="O6375" s="71" t="s">
        <v>2030</v>
      </c>
      <c r="P6375" s="103" t="str">
        <f t="shared" si="3225"/>
        <v>Fount Web 551AF</v>
      </c>
      <c r="Q6375" s="71">
        <f t="shared" si="3226"/>
        <v>5</v>
      </c>
      <c r="R6375" s="102">
        <v>124000</v>
      </c>
      <c r="S6375" s="102">
        <f t="shared" si="3227"/>
        <v>682000</v>
      </c>
      <c r="T6375" s="102">
        <f t="shared" si="3228"/>
        <v>620000</v>
      </c>
      <c r="U6375" s="71" t="str">
        <f>IF(J6375=W6375,"O", "X")</f>
        <v>X</v>
      </c>
      <c r="V6375" s="71"/>
      <c r="W6375" s="474">
        <v>640000</v>
      </c>
      <c r="X6375" s="71"/>
      <c r="Y6375" s="71"/>
    </row>
    <row r="6376" spans="1:25" ht="30" hidden="1" customHeight="1" x14ac:dyDescent="0.25">
      <c r="A6376" s="1145">
        <v>45229</v>
      </c>
      <c r="B6376" s="664" t="s">
        <v>3296</v>
      </c>
      <c r="C6376" s="71" t="s">
        <v>3297</v>
      </c>
      <c r="D6376" s="71">
        <v>20</v>
      </c>
      <c r="E6376" s="102">
        <v>162500</v>
      </c>
      <c r="F6376" s="102">
        <f t="shared" si="3220"/>
        <v>3575000.0000000005</v>
      </c>
      <c r="G6376" s="102">
        <f t="shared" si="3221"/>
        <v>3250000</v>
      </c>
      <c r="H6376" s="690" t="s">
        <v>172</v>
      </c>
      <c r="I6376" s="71" t="s">
        <v>3295</v>
      </c>
      <c r="J6376" s="53">
        <f t="shared" si="3222"/>
        <v>850000</v>
      </c>
      <c r="K6376" s="63">
        <f t="shared" si="3223"/>
        <v>0.2615384615384615</v>
      </c>
      <c r="L6376" s="1212" t="s">
        <v>3927</v>
      </c>
      <c r="M6376" s="468"/>
      <c r="N6376" s="1192">
        <f t="shared" si="3224"/>
        <v>45229</v>
      </c>
      <c r="O6376" s="71" t="s">
        <v>662</v>
      </c>
      <c r="P6376" s="103" t="str">
        <f t="shared" si="3225"/>
        <v>실리콘 에멀전</v>
      </c>
      <c r="Q6376" s="71">
        <f t="shared" si="3226"/>
        <v>20</v>
      </c>
      <c r="R6376" s="102">
        <v>120000</v>
      </c>
      <c r="S6376" s="102">
        <f t="shared" si="3227"/>
        <v>2640000</v>
      </c>
      <c r="T6376" s="102">
        <f t="shared" si="3228"/>
        <v>2400000</v>
      </c>
      <c r="U6376" s="71" t="str">
        <f>IF(J6376=W6376,"O", "X")</f>
        <v>X</v>
      </c>
      <c r="V6376" s="71"/>
      <c r="W6376" s="474"/>
      <c r="X6376" s="71"/>
      <c r="Y6376" s="71"/>
    </row>
    <row r="6377" spans="1:25" ht="30" hidden="1" customHeight="1" x14ac:dyDescent="0.25">
      <c r="A6377" s="1145">
        <v>45239</v>
      </c>
      <c r="B6377" s="664" t="s">
        <v>3296</v>
      </c>
      <c r="C6377" s="71" t="s">
        <v>3297</v>
      </c>
      <c r="D6377" s="71">
        <v>20</v>
      </c>
      <c r="E6377" s="102">
        <v>162500</v>
      </c>
      <c r="F6377" s="102">
        <f t="shared" si="3220"/>
        <v>3575000.0000000005</v>
      </c>
      <c r="G6377" s="102">
        <f t="shared" si="3221"/>
        <v>3250000</v>
      </c>
      <c r="H6377" s="690" t="s">
        <v>172</v>
      </c>
      <c r="I6377" s="71" t="s">
        <v>3295</v>
      </c>
      <c r="J6377" s="53">
        <f t="shared" si="3222"/>
        <v>850000</v>
      </c>
      <c r="K6377" s="63">
        <f t="shared" si="3223"/>
        <v>0.2615384615384615</v>
      </c>
      <c r="L6377" s="1212" t="s">
        <v>3927</v>
      </c>
      <c r="M6377" s="468"/>
      <c r="N6377" s="1192">
        <f t="shared" si="3224"/>
        <v>45239</v>
      </c>
      <c r="O6377" s="71" t="s">
        <v>662</v>
      </c>
      <c r="P6377" s="103" t="str">
        <f t="shared" si="3225"/>
        <v>실리콘 에멀전</v>
      </c>
      <c r="Q6377" s="71">
        <f t="shared" si="3226"/>
        <v>20</v>
      </c>
      <c r="R6377" s="102">
        <v>120000</v>
      </c>
      <c r="S6377" s="102">
        <f t="shared" si="3227"/>
        <v>2640000</v>
      </c>
      <c r="T6377" s="102">
        <f t="shared" si="3228"/>
        <v>2400000</v>
      </c>
      <c r="U6377" s="71" t="str">
        <f>IF(J6377=W6377,"O", "X")</f>
        <v>X</v>
      </c>
      <c r="V6377" s="71"/>
      <c r="W6377" s="474"/>
      <c r="X6377" s="71"/>
      <c r="Y6377" s="71"/>
    </row>
    <row r="6378" spans="1:25" ht="30" hidden="1" customHeight="1" x14ac:dyDescent="0.25">
      <c r="A6378" s="1145">
        <v>45254</v>
      </c>
      <c r="B6378" s="664" t="s">
        <v>3296</v>
      </c>
      <c r="C6378" s="71" t="s">
        <v>3297</v>
      </c>
      <c r="D6378" s="71">
        <v>20</v>
      </c>
      <c r="E6378" s="102">
        <v>162500</v>
      </c>
      <c r="F6378" s="102">
        <f t="shared" si="3220"/>
        <v>3575000.0000000005</v>
      </c>
      <c r="G6378" s="102">
        <f t="shared" si="3221"/>
        <v>3250000</v>
      </c>
      <c r="H6378" s="690" t="s">
        <v>172</v>
      </c>
      <c r="I6378" s="71" t="s">
        <v>3295</v>
      </c>
      <c r="J6378" s="53">
        <f t="shared" si="3222"/>
        <v>850000</v>
      </c>
      <c r="K6378" s="63">
        <f t="shared" si="3223"/>
        <v>0.2615384615384615</v>
      </c>
      <c r="L6378" s="1212" t="s">
        <v>3927</v>
      </c>
      <c r="M6378" s="468"/>
      <c r="N6378" s="1192">
        <f t="shared" si="3224"/>
        <v>45254</v>
      </c>
      <c r="O6378" s="71" t="s">
        <v>662</v>
      </c>
      <c r="P6378" s="103" t="str">
        <f t="shared" si="3225"/>
        <v>실리콘 에멀전</v>
      </c>
      <c r="Q6378" s="71">
        <f t="shared" si="3226"/>
        <v>20</v>
      </c>
      <c r="R6378" s="102">
        <v>120000</v>
      </c>
      <c r="S6378" s="102">
        <f t="shared" si="3227"/>
        <v>2640000</v>
      </c>
      <c r="T6378" s="102">
        <f t="shared" si="3228"/>
        <v>2400000</v>
      </c>
      <c r="U6378" s="71" t="str">
        <f>IF(J6378=W6378,"O", "X")</f>
        <v>X</v>
      </c>
      <c r="V6378" s="71"/>
      <c r="W6378" s="474"/>
      <c r="X6378" s="71"/>
      <c r="Y6378" s="71"/>
    </row>
    <row r="6379" spans="1:25" ht="30" hidden="1" customHeight="1" x14ac:dyDescent="0.25">
      <c r="A6379" s="1145">
        <v>45231</v>
      </c>
      <c r="B6379" s="664" t="s">
        <v>18</v>
      </c>
      <c r="C6379" s="71" t="s">
        <v>3305</v>
      </c>
      <c r="D6379" s="71">
        <v>10</v>
      </c>
      <c r="E6379" s="102">
        <v>86000</v>
      </c>
      <c r="F6379" s="102">
        <f t="shared" si="3220"/>
        <v>946000.00000000012</v>
      </c>
      <c r="G6379" s="102">
        <f t="shared" si="3221"/>
        <v>860000</v>
      </c>
      <c r="H6379" s="690" t="s">
        <v>172</v>
      </c>
      <c r="I6379" s="71" t="s">
        <v>3295</v>
      </c>
      <c r="J6379" s="53">
        <f t="shared" si="3222"/>
        <v>160000</v>
      </c>
      <c r="K6379" s="63">
        <f t="shared" si="3223"/>
        <v>0.18604651162790695</v>
      </c>
      <c r="L6379" s="1212" t="s">
        <v>3927</v>
      </c>
      <c r="M6379" s="468" t="s">
        <v>3306</v>
      </c>
      <c r="N6379" s="1192">
        <f t="shared" si="3224"/>
        <v>45231</v>
      </c>
      <c r="O6379" s="71" t="s">
        <v>146</v>
      </c>
      <c r="P6379" s="103" t="str">
        <f t="shared" si="3225"/>
        <v>파우더</v>
      </c>
      <c r="Q6379" s="71">
        <f t="shared" si="3226"/>
        <v>10</v>
      </c>
      <c r="R6379" s="102">
        <v>70000</v>
      </c>
      <c r="S6379" s="102">
        <f t="shared" si="3227"/>
        <v>770000.00000000012</v>
      </c>
      <c r="T6379" s="102">
        <f t="shared" si="3228"/>
        <v>700000</v>
      </c>
      <c r="U6379" s="71" t="str">
        <f t="shared" ref="U6379" si="3229">IF(J6379=W6379,"O", "X")</f>
        <v>X</v>
      </c>
      <c r="V6379" s="71"/>
      <c r="W6379" s="474"/>
      <c r="X6379" s="71"/>
      <c r="Y6379" s="71"/>
    </row>
    <row r="6380" spans="1:25" ht="30" hidden="1" customHeight="1" x14ac:dyDescent="0.25">
      <c r="A6380" s="1145">
        <v>45231</v>
      </c>
      <c r="B6380" s="664" t="s">
        <v>548</v>
      </c>
      <c r="C6380" s="71" t="s">
        <v>3384</v>
      </c>
      <c r="D6380" s="71">
        <v>500</v>
      </c>
      <c r="E6380" s="102">
        <v>450</v>
      </c>
      <c r="F6380" s="102">
        <f>(E6380*D6380)*1.1</f>
        <v>247500.00000000003</v>
      </c>
      <c r="G6380" s="102">
        <f>(E6380*D6380)</f>
        <v>225000</v>
      </c>
      <c r="H6380" s="690" t="s">
        <v>2029</v>
      </c>
      <c r="I6380" s="71" t="s">
        <v>3385</v>
      </c>
      <c r="J6380" s="53">
        <f t="shared" si="3222"/>
        <v>65000</v>
      </c>
      <c r="K6380" s="63">
        <f t="shared" si="3223"/>
        <v>0.28888888888888886</v>
      </c>
      <c r="L6380" s="1212" t="s">
        <v>3927</v>
      </c>
      <c r="M6380" s="468"/>
      <c r="N6380" s="1192">
        <f t="shared" si="3224"/>
        <v>45231</v>
      </c>
      <c r="O6380" s="71" t="s">
        <v>2030</v>
      </c>
      <c r="P6380" s="103" t="str">
        <f t="shared" si="3225"/>
        <v>고무사카 빨간색</v>
      </c>
      <c r="Q6380" s="71">
        <f t="shared" si="3226"/>
        <v>500</v>
      </c>
      <c r="R6380" s="102">
        <v>320</v>
      </c>
      <c r="S6380" s="102">
        <f t="shared" si="3227"/>
        <v>176000</v>
      </c>
      <c r="T6380" s="102">
        <f t="shared" si="3228"/>
        <v>160000</v>
      </c>
      <c r="U6380" s="71"/>
      <c r="V6380" s="71"/>
      <c r="W6380" s="474"/>
      <c r="X6380" s="71"/>
      <c r="Y6380" s="71"/>
    </row>
    <row r="6381" spans="1:25" ht="30" hidden="1" customHeight="1" x14ac:dyDescent="0.25">
      <c r="A6381" s="1145">
        <v>45231</v>
      </c>
      <c r="B6381" s="664" t="s">
        <v>18</v>
      </c>
      <c r="C6381" s="71" t="s">
        <v>2070</v>
      </c>
      <c r="D6381" s="71">
        <v>10</v>
      </c>
      <c r="E6381" s="102">
        <v>115000</v>
      </c>
      <c r="F6381" s="102">
        <f t="shared" ref="F6381:F6391" si="3230">(E6381*D6381)*1.1</f>
        <v>1265000</v>
      </c>
      <c r="G6381" s="102">
        <f t="shared" ref="G6381:G6391" si="3231">(E6381*D6381)</f>
        <v>1150000</v>
      </c>
      <c r="H6381" s="690" t="s">
        <v>172</v>
      </c>
      <c r="I6381" s="71" t="s">
        <v>33</v>
      </c>
      <c r="J6381" s="53">
        <f t="shared" si="3222"/>
        <v>168000</v>
      </c>
      <c r="K6381" s="63">
        <v>0.10555555555555554</v>
      </c>
      <c r="L6381" s="1212" t="s">
        <v>3927</v>
      </c>
      <c r="M6381" s="468"/>
      <c r="N6381" s="1192">
        <f t="shared" si="3224"/>
        <v>45231</v>
      </c>
      <c r="O6381" s="71" t="s">
        <v>146</v>
      </c>
      <c r="P6381" s="103" t="str">
        <f t="shared" si="3225"/>
        <v>Blanket(1050*840)</v>
      </c>
      <c r="Q6381" s="71">
        <f t="shared" si="3226"/>
        <v>10</v>
      </c>
      <c r="R6381" s="102">
        <v>98200</v>
      </c>
      <c r="S6381" s="102">
        <f t="shared" si="3227"/>
        <v>1080200</v>
      </c>
      <c r="T6381" s="102">
        <f t="shared" si="3228"/>
        <v>982000</v>
      </c>
      <c r="U6381" s="71" t="s">
        <v>859</v>
      </c>
      <c r="V6381" s="71"/>
      <c r="W6381" s="474"/>
      <c r="X6381" s="71"/>
      <c r="Y6381" s="71"/>
    </row>
    <row r="6382" spans="1:25" s="209" customFormat="1" ht="30" hidden="1" customHeight="1" x14ac:dyDescent="0.25">
      <c r="A6382" s="1145">
        <v>45244</v>
      </c>
      <c r="B6382" s="664" t="s">
        <v>411</v>
      </c>
      <c r="C6382" s="71" t="s">
        <v>3413</v>
      </c>
      <c r="D6382" s="71">
        <v>10</v>
      </c>
      <c r="E6382" s="102">
        <v>100000</v>
      </c>
      <c r="F6382" s="102">
        <f t="shared" si="3230"/>
        <v>1100000</v>
      </c>
      <c r="G6382" s="102">
        <f t="shared" si="3231"/>
        <v>1000000</v>
      </c>
      <c r="H6382" s="690" t="s">
        <v>2029</v>
      </c>
      <c r="I6382" s="71" t="s">
        <v>3385</v>
      </c>
      <c r="J6382" s="53">
        <f t="shared" si="3222"/>
        <v>500000</v>
      </c>
      <c r="K6382" s="63">
        <f t="shared" ref="K6382:K6383" si="3232">(J6382/(F6382/11*10))</f>
        <v>0.5</v>
      </c>
      <c r="L6382" s="1212" t="s">
        <v>3927</v>
      </c>
      <c r="M6382" s="468"/>
      <c r="N6382" s="1192">
        <f t="shared" si="3224"/>
        <v>45244</v>
      </c>
      <c r="O6382" s="71" t="s">
        <v>190</v>
      </c>
      <c r="P6382" s="103" t="str">
        <f t="shared" si="3225"/>
        <v>아스테이지(국전)</v>
      </c>
      <c r="Q6382" s="71">
        <f t="shared" si="3226"/>
        <v>10</v>
      </c>
      <c r="R6382" s="102">
        <v>50000</v>
      </c>
      <c r="S6382" s="102">
        <f t="shared" si="3227"/>
        <v>550000</v>
      </c>
      <c r="T6382" s="102">
        <f t="shared" si="3228"/>
        <v>500000</v>
      </c>
      <c r="U6382" s="71" t="str">
        <f>IF(J6382=W6382,"O", "X")</f>
        <v>O</v>
      </c>
      <c r="V6382" s="71"/>
      <c r="W6382" s="474">
        <v>500000</v>
      </c>
      <c r="X6382" s="71"/>
      <c r="Y6382" s="71"/>
    </row>
    <row r="6383" spans="1:25" ht="30" hidden="1" customHeight="1" x14ac:dyDescent="0.25">
      <c r="A6383" s="1145">
        <v>45237</v>
      </c>
      <c r="B6383" s="664" t="s">
        <v>567</v>
      </c>
      <c r="C6383" s="71" t="s">
        <v>3435</v>
      </c>
      <c r="D6383" s="71">
        <v>1</v>
      </c>
      <c r="E6383" s="102">
        <v>985000</v>
      </c>
      <c r="F6383" s="102">
        <f t="shared" si="3230"/>
        <v>1083500</v>
      </c>
      <c r="G6383" s="102">
        <f t="shared" si="3231"/>
        <v>985000</v>
      </c>
      <c r="H6383" s="690" t="s">
        <v>94</v>
      </c>
      <c r="I6383" s="71" t="s">
        <v>94</v>
      </c>
      <c r="J6383" s="53">
        <f t="shared" si="3222"/>
        <v>725410</v>
      </c>
      <c r="K6383" s="63">
        <f t="shared" si="3232"/>
        <v>0.73645685279187822</v>
      </c>
      <c r="L6383" s="1212" t="s">
        <v>3927</v>
      </c>
      <c r="M6383" s="468"/>
      <c r="N6383" s="1192">
        <f t="shared" si="3224"/>
        <v>45237</v>
      </c>
      <c r="O6383" s="71" t="s">
        <v>94</v>
      </c>
      <c r="P6383" s="103" t="str">
        <f t="shared" si="3225"/>
        <v>습수정화장치 beta.f 필터 세트</v>
      </c>
      <c r="Q6383" s="71">
        <f t="shared" si="3226"/>
        <v>1</v>
      </c>
      <c r="R6383" s="102">
        <v>259590</v>
      </c>
      <c r="S6383" s="102">
        <f t="shared" si="3227"/>
        <v>285549</v>
      </c>
      <c r="T6383" s="102">
        <f t="shared" si="3228"/>
        <v>259590</v>
      </c>
      <c r="U6383" s="71"/>
      <c r="V6383" s="71"/>
      <c r="W6383" s="474"/>
      <c r="X6383" s="71"/>
      <c r="Y6383" s="71"/>
    </row>
    <row r="6384" spans="1:25" ht="30" hidden="1" customHeight="1" x14ac:dyDescent="0.25">
      <c r="A6384" s="1145">
        <v>45238</v>
      </c>
      <c r="B6384" s="664" t="s">
        <v>26</v>
      </c>
      <c r="C6384" s="71" t="s">
        <v>2087</v>
      </c>
      <c r="D6384" s="71">
        <v>5</v>
      </c>
      <c r="E6384" s="102">
        <v>65000</v>
      </c>
      <c r="F6384" s="102">
        <f t="shared" si="3230"/>
        <v>357500</v>
      </c>
      <c r="G6384" s="102">
        <f t="shared" si="3231"/>
        <v>325000</v>
      </c>
      <c r="H6384" s="690" t="s">
        <v>172</v>
      </c>
      <c r="I6384" s="71" t="s">
        <v>3295</v>
      </c>
      <c r="J6384" s="53">
        <f t="shared" ref="J6384:J6388" si="3233">G6384-T6384</f>
        <v>75000</v>
      </c>
      <c r="K6384" s="63">
        <f t="shared" ref="K6384:K6388" si="3234">(J6384/(F6384/11*10))</f>
        <v>0.23076923076923078</v>
      </c>
      <c r="L6384" s="1212" t="s">
        <v>3927</v>
      </c>
      <c r="M6384" s="468"/>
      <c r="N6384" s="1192">
        <f t="shared" si="3224"/>
        <v>45238</v>
      </c>
      <c r="O6384" s="71" t="s">
        <v>152</v>
      </c>
      <c r="P6384" s="103" t="str">
        <f t="shared" si="3225"/>
        <v>아스테이지(국전)</v>
      </c>
      <c r="Q6384" s="71">
        <f t="shared" si="3226"/>
        <v>5</v>
      </c>
      <c r="R6384" s="102">
        <v>50000</v>
      </c>
      <c r="S6384" s="102">
        <f t="shared" ref="S6384:S6387" si="3235">R6384*Q6384*1.1</f>
        <v>275000</v>
      </c>
      <c r="T6384" s="102">
        <f t="shared" ref="T6384:T6387" si="3236">R6384*Q6384</f>
        <v>250000</v>
      </c>
      <c r="U6384" s="71" t="str">
        <f>IF(J6384=W6384,"O", "X")</f>
        <v>X</v>
      </c>
      <c r="V6384" s="71"/>
      <c r="W6384" s="474">
        <v>150000</v>
      </c>
      <c r="X6384" s="71"/>
      <c r="Y6384" s="71"/>
    </row>
    <row r="6385" spans="1:25" ht="30" hidden="1" customHeight="1" x14ac:dyDescent="0.25">
      <c r="A6385" s="1145">
        <v>45240</v>
      </c>
      <c r="B6385" s="664" t="s">
        <v>26</v>
      </c>
      <c r="C6385" s="71" t="s">
        <v>2087</v>
      </c>
      <c r="D6385" s="71">
        <v>5</v>
      </c>
      <c r="E6385" s="102">
        <v>65000</v>
      </c>
      <c r="F6385" s="102">
        <f t="shared" si="3230"/>
        <v>357500</v>
      </c>
      <c r="G6385" s="102">
        <f t="shared" si="3231"/>
        <v>325000</v>
      </c>
      <c r="H6385" s="690" t="s">
        <v>172</v>
      </c>
      <c r="I6385" s="71" t="s">
        <v>3295</v>
      </c>
      <c r="J6385" s="53">
        <f t="shared" si="3233"/>
        <v>75000</v>
      </c>
      <c r="K6385" s="63">
        <f t="shared" si="3234"/>
        <v>0.23076923076923078</v>
      </c>
      <c r="L6385" s="1212" t="s">
        <v>3927</v>
      </c>
      <c r="M6385" s="468"/>
      <c r="N6385" s="1192">
        <f t="shared" si="3224"/>
        <v>45240</v>
      </c>
      <c r="O6385" s="71" t="s">
        <v>152</v>
      </c>
      <c r="P6385" s="103" t="str">
        <f t="shared" si="3225"/>
        <v>아스테이지(국전)</v>
      </c>
      <c r="Q6385" s="71">
        <f t="shared" si="3226"/>
        <v>5</v>
      </c>
      <c r="R6385" s="102">
        <v>50000</v>
      </c>
      <c r="S6385" s="102">
        <f t="shared" si="3235"/>
        <v>275000</v>
      </c>
      <c r="T6385" s="102">
        <f t="shared" si="3236"/>
        <v>250000</v>
      </c>
      <c r="U6385" s="71" t="str">
        <f>IF(J6385=W6385,"O", "X")</f>
        <v>X</v>
      </c>
      <c r="V6385" s="71"/>
      <c r="W6385" s="474">
        <v>150000</v>
      </c>
      <c r="X6385" s="71"/>
      <c r="Y6385" s="71"/>
    </row>
    <row r="6386" spans="1:25" ht="30" hidden="1" customHeight="1" x14ac:dyDescent="0.25">
      <c r="A6386" s="1145">
        <v>45250</v>
      </c>
      <c r="B6386" s="664" t="s">
        <v>26</v>
      </c>
      <c r="C6386" s="71" t="s">
        <v>2087</v>
      </c>
      <c r="D6386" s="71">
        <v>5</v>
      </c>
      <c r="E6386" s="102">
        <v>65000</v>
      </c>
      <c r="F6386" s="102">
        <f t="shared" si="3230"/>
        <v>357500</v>
      </c>
      <c r="G6386" s="102">
        <f t="shared" si="3231"/>
        <v>325000</v>
      </c>
      <c r="H6386" s="690" t="s">
        <v>172</v>
      </c>
      <c r="I6386" s="71" t="s">
        <v>3295</v>
      </c>
      <c r="J6386" s="53">
        <f t="shared" si="3233"/>
        <v>75000</v>
      </c>
      <c r="K6386" s="63">
        <f t="shared" si="3234"/>
        <v>0.23076923076923078</v>
      </c>
      <c r="L6386" s="1212" t="s">
        <v>3927</v>
      </c>
      <c r="M6386" s="468"/>
      <c r="N6386" s="1192">
        <f t="shared" si="3224"/>
        <v>45250</v>
      </c>
      <c r="O6386" s="71" t="s">
        <v>152</v>
      </c>
      <c r="P6386" s="103" t="str">
        <f t="shared" si="3225"/>
        <v>아스테이지(국전)</v>
      </c>
      <c r="Q6386" s="71">
        <f t="shared" si="3226"/>
        <v>5</v>
      </c>
      <c r="R6386" s="102">
        <v>50000</v>
      </c>
      <c r="S6386" s="102">
        <f t="shared" si="3235"/>
        <v>275000</v>
      </c>
      <c r="T6386" s="102">
        <f t="shared" si="3236"/>
        <v>250000</v>
      </c>
      <c r="U6386" s="71" t="str">
        <f>IF(J6386=W6386,"O", "X")</f>
        <v>X</v>
      </c>
      <c r="V6386" s="71"/>
      <c r="W6386" s="474">
        <v>150000</v>
      </c>
      <c r="X6386" s="71"/>
      <c r="Y6386" s="71"/>
    </row>
    <row r="6387" spans="1:25" s="209" customFormat="1" ht="30" hidden="1" customHeight="1" x14ac:dyDescent="0.25">
      <c r="A6387" s="1145">
        <v>45258</v>
      </c>
      <c r="B6387" s="664" t="s">
        <v>746</v>
      </c>
      <c r="C6387" s="71" t="s">
        <v>2648</v>
      </c>
      <c r="D6387" s="71">
        <v>10</v>
      </c>
      <c r="E6387" s="102">
        <v>38000</v>
      </c>
      <c r="F6387" s="102">
        <f t="shared" si="3230"/>
        <v>418000.00000000006</v>
      </c>
      <c r="G6387" s="102">
        <f t="shared" si="3231"/>
        <v>380000</v>
      </c>
      <c r="H6387" s="690" t="s">
        <v>94</v>
      </c>
      <c r="I6387" s="71" t="s">
        <v>94</v>
      </c>
      <c r="J6387" s="53">
        <f t="shared" si="3233"/>
        <v>160000</v>
      </c>
      <c r="K6387" s="63">
        <f t="shared" si="3234"/>
        <v>0.42105263157894729</v>
      </c>
      <c r="L6387" s="1212" t="s">
        <v>3927</v>
      </c>
      <c r="M6387" s="468"/>
      <c r="N6387" s="1192">
        <f t="shared" si="3224"/>
        <v>45258</v>
      </c>
      <c r="O6387" s="71" t="s">
        <v>94</v>
      </c>
      <c r="P6387" s="103" t="str">
        <f t="shared" si="3225"/>
        <v>주머니 필터백</v>
      </c>
      <c r="Q6387" s="71">
        <f t="shared" si="3226"/>
        <v>10</v>
      </c>
      <c r="R6387" s="102">
        <v>22000</v>
      </c>
      <c r="S6387" s="102">
        <f t="shared" si="3235"/>
        <v>242000.00000000003</v>
      </c>
      <c r="T6387" s="102">
        <f t="shared" si="3236"/>
        <v>220000</v>
      </c>
      <c r="U6387" s="71"/>
      <c r="V6387" s="71"/>
      <c r="W6387" s="474"/>
      <c r="X6387" s="71"/>
      <c r="Y6387" s="71"/>
    </row>
    <row r="6388" spans="1:25" ht="30" hidden="1" customHeight="1" x14ac:dyDescent="0.25">
      <c r="A6388" s="1145">
        <v>45252</v>
      </c>
      <c r="B6388" s="664" t="s">
        <v>1513</v>
      </c>
      <c r="C6388" s="71" t="s">
        <v>3931</v>
      </c>
      <c r="D6388" s="71">
        <v>2</v>
      </c>
      <c r="E6388" s="102">
        <v>180000</v>
      </c>
      <c r="F6388" s="102">
        <f t="shared" si="3230"/>
        <v>396000.00000000006</v>
      </c>
      <c r="G6388" s="102">
        <f t="shared" si="3231"/>
        <v>360000</v>
      </c>
      <c r="H6388" s="690" t="s">
        <v>173</v>
      </c>
      <c r="I6388" s="71" t="s">
        <v>2231</v>
      </c>
      <c r="J6388" s="53">
        <f t="shared" si="3233"/>
        <v>40000</v>
      </c>
      <c r="K6388" s="63">
        <f t="shared" si="3234"/>
        <v>0.11111111111111109</v>
      </c>
      <c r="L6388" s="1212" t="s">
        <v>3927</v>
      </c>
      <c r="M6388" s="102"/>
      <c r="N6388" s="1192">
        <f t="shared" si="3224"/>
        <v>45252</v>
      </c>
      <c r="O6388" s="71" t="s">
        <v>150</v>
      </c>
      <c r="P6388" s="103" t="str">
        <f t="shared" si="3225"/>
        <v>metering piston 도져 부품</v>
      </c>
      <c r="Q6388" s="71">
        <f t="shared" si="3226"/>
        <v>2</v>
      </c>
      <c r="R6388" s="102">
        <v>160000</v>
      </c>
      <c r="S6388" s="102">
        <f t="shared" ref="S6388" si="3237">R6388*Q6388*1.1</f>
        <v>352000</v>
      </c>
      <c r="T6388" s="102">
        <f t="shared" ref="T6388" si="3238">R6388*Q6388</f>
        <v>320000</v>
      </c>
      <c r="U6388" s="71"/>
      <c r="V6388" s="71"/>
      <c r="W6388" s="474"/>
      <c r="X6388" s="71"/>
      <c r="Y6388" s="71"/>
    </row>
    <row r="6389" spans="1:25" s="209" customFormat="1" ht="30" hidden="1" customHeight="1" x14ac:dyDescent="0.2">
      <c r="A6389" s="1145">
        <v>45239</v>
      </c>
      <c r="B6389" s="664" t="s">
        <v>2261</v>
      </c>
      <c r="C6389" s="71" t="s">
        <v>3413</v>
      </c>
      <c r="D6389" s="71">
        <v>2</v>
      </c>
      <c r="E6389" s="102">
        <v>105000</v>
      </c>
      <c r="F6389" s="163">
        <f t="shared" si="3230"/>
        <v>231000.00000000003</v>
      </c>
      <c r="G6389" s="102">
        <f t="shared" si="3231"/>
        <v>210000</v>
      </c>
      <c r="H6389" s="690" t="s">
        <v>2029</v>
      </c>
      <c r="I6389" s="71" t="s">
        <v>3385</v>
      </c>
      <c r="J6389" s="53">
        <f t="shared" ref="J6389:J6391" si="3239">G6389-T6389</f>
        <v>110000</v>
      </c>
      <c r="K6389" s="63">
        <f t="shared" ref="K6389:K6391" si="3240">(J6389/(F6389/11*10))</f>
        <v>0.52380952380952372</v>
      </c>
      <c r="L6389" s="1212" t="s">
        <v>3927</v>
      </c>
      <c r="M6389" s="468"/>
      <c r="N6389" s="1192">
        <f t="shared" si="3224"/>
        <v>45239</v>
      </c>
      <c r="O6389" s="71" t="s">
        <v>190</v>
      </c>
      <c r="P6389" s="164" t="str">
        <f t="shared" si="3225"/>
        <v>아스테이지(국전)</v>
      </c>
      <c r="Q6389" s="71">
        <f t="shared" si="3226"/>
        <v>2</v>
      </c>
      <c r="R6389" s="102">
        <v>50000</v>
      </c>
      <c r="S6389" s="102">
        <f t="shared" ref="S6389:S6391" si="3241">R6389*Q6389*1.1</f>
        <v>110000.00000000001</v>
      </c>
      <c r="T6389" s="102">
        <f t="shared" ref="T6389:T6391" si="3242">R6389*Q6389</f>
        <v>100000</v>
      </c>
      <c r="U6389" s="71" t="str">
        <f>IF(J6389=W6389,"O", "X")</f>
        <v>X</v>
      </c>
      <c r="V6389" s="71"/>
      <c r="W6389" s="474">
        <v>500000</v>
      </c>
      <c r="X6389" s="71"/>
      <c r="Y6389" s="71"/>
    </row>
    <row r="6390" spans="1:25" ht="30" hidden="1" customHeight="1" x14ac:dyDescent="0.25">
      <c r="A6390" s="1145">
        <v>45230</v>
      </c>
      <c r="B6390" s="664" t="s">
        <v>442</v>
      </c>
      <c r="C6390" s="71" t="s">
        <v>773</v>
      </c>
      <c r="D6390" s="71">
        <v>6</v>
      </c>
      <c r="E6390" s="102">
        <v>215000</v>
      </c>
      <c r="F6390" s="102">
        <f t="shared" si="3230"/>
        <v>1419000</v>
      </c>
      <c r="G6390" s="102">
        <f t="shared" si="3231"/>
        <v>1290000</v>
      </c>
      <c r="H6390" s="690" t="s">
        <v>173</v>
      </c>
      <c r="I6390" s="71" t="s">
        <v>109</v>
      </c>
      <c r="J6390" s="53">
        <f t="shared" si="3239"/>
        <v>222000</v>
      </c>
      <c r="K6390" s="63">
        <f t="shared" si="3240"/>
        <v>0.17209302325581396</v>
      </c>
      <c r="L6390" s="1212" t="s">
        <v>3927</v>
      </c>
      <c r="M6390" s="468"/>
      <c r="N6390" s="1192">
        <f t="shared" si="3224"/>
        <v>45230</v>
      </c>
      <c r="O6390" s="71" t="s">
        <v>151</v>
      </c>
      <c r="P6390" s="103" t="str">
        <f t="shared" si="3225"/>
        <v>로랜드 전지 블랑켓(1460*1165)bar</v>
      </c>
      <c r="Q6390" s="71">
        <f t="shared" si="3226"/>
        <v>6</v>
      </c>
      <c r="R6390" s="102">
        <v>178000</v>
      </c>
      <c r="S6390" s="102">
        <f t="shared" si="3241"/>
        <v>1174800</v>
      </c>
      <c r="T6390" s="102">
        <f t="shared" si="3242"/>
        <v>1068000</v>
      </c>
      <c r="U6390" s="71" t="s">
        <v>859</v>
      </c>
      <c r="V6390" s="71"/>
      <c r="W6390" s="474">
        <v>120000</v>
      </c>
      <c r="X6390" s="71"/>
      <c r="Y6390" s="71"/>
    </row>
    <row r="6391" spans="1:25" ht="30" hidden="1" customHeight="1" x14ac:dyDescent="0.25">
      <c r="A6391" s="1145">
        <v>45232</v>
      </c>
      <c r="B6391" s="664" t="s">
        <v>442</v>
      </c>
      <c r="C6391" s="71" t="s">
        <v>3299</v>
      </c>
      <c r="D6391" s="71">
        <v>15</v>
      </c>
      <c r="E6391" s="102">
        <v>69000</v>
      </c>
      <c r="F6391" s="102">
        <f t="shared" si="3230"/>
        <v>1138500</v>
      </c>
      <c r="G6391" s="102">
        <f t="shared" si="3231"/>
        <v>1035000</v>
      </c>
      <c r="H6391" s="690" t="s">
        <v>172</v>
      </c>
      <c r="I6391" s="71" t="s">
        <v>180</v>
      </c>
      <c r="J6391" s="53">
        <f t="shared" si="3239"/>
        <v>322500</v>
      </c>
      <c r="K6391" s="63">
        <f t="shared" si="3240"/>
        <v>0.31159420289855072</v>
      </c>
      <c r="L6391" s="1212" t="s">
        <v>3927</v>
      </c>
      <c r="M6391" s="468" t="s">
        <v>3304</v>
      </c>
      <c r="N6391" s="1192">
        <f t="shared" si="3224"/>
        <v>45232</v>
      </c>
      <c r="O6391" s="71" t="s">
        <v>175</v>
      </c>
      <c r="P6391" s="164" t="str">
        <f t="shared" si="3225"/>
        <v>매엽용 세척제(Wash k11)</v>
      </c>
      <c r="Q6391" s="71">
        <f t="shared" si="3226"/>
        <v>15</v>
      </c>
      <c r="R6391" s="102">
        <v>47500</v>
      </c>
      <c r="S6391" s="102">
        <f t="shared" si="3241"/>
        <v>783750.00000000012</v>
      </c>
      <c r="T6391" s="102">
        <f t="shared" si="3242"/>
        <v>712500</v>
      </c>
      <c r="U6391" s="71" t="s">
        <v>859</v>
      </c>
      <c r="V6391" s="71"/>
      <c r="W6391" s="474"/>
      <c r="X6391" s="71"/>
      <c r="Y6391" s="71"/>
    </row>
    <row r="6392" spans="1:25" ht="30" hidden="1" customHeight="1" x14ac:dyDescent="0.25">
      <c r="A6392" s="1145">
        <v>45232</v>
      </c>
      <c r="B6392" s="664" t="s">
        <v>2</v>
      </c>
      <c r="C6392" s="71" t="s">
        <v>3359</v>
      </c>
      <c r="D6392" s="71">
        <v>3</v>
      </c>
      <c r="E6392" s="102">
        <v>172000</v>
      </c>
      <c r="F6392" s="102">
        <f>(E6392*D6392)*1.1</f>
        <v>567600</v>
      </c>
      <c r="G6392" s="102">
        <f>(E6392*D6392)</f>
        <v>516000</v>
      </c>
      <c r="H6392" s="690" t="s">
        <v>172</v>
      </c>
      <c r="I6392" s="71" t="s">
        <v>38</v>
      </c>
      <c r="J6392" s="53">
        <f>G6392-T6392</f>
        <v>186885</v>
      </c>
      <c r="K6392" s="63">
        <f>(J6392/(F6392/11*10))</f>
        <v>0.36218023255813953</v>
      </c>
      <c r="L6392" s="1212" t="s">
        <v>3927</v>
      </c>
      <c r="M6392" s="468" t="s">
        <v>3769</v>
      </c>
      <c r="N6392" s="1192">
        <f t="shared" si="3224"/>
        <v>45232</v>
      </c>
      <c r="O6392" s="71" t="s">
        <v>150</v>
      </c>
      <c r="P6392" s="164" t="str">
        <f t="shared" si="3225"/>
        <v>매엽 습수약물</v>
      </c>
      <c r="Q6392" s="71">
        <f>D6392</f>
        <v>3</v>
      </c>
      <c r="R6392" s="102">
        <f>97000+12705</f>
        <v>109705</v>
      </c>
      <c r="S6392" s="102">
        <f>R6392*Q6392*1.1</f>
        <v>362026.50000000006</v>
      </c>
      <c r="T6392" s="102">
        <f>R6392*Q6392</f>
        <v>329115</v>
      </c>
      <c r="U6392" s="71" t="str">
        <f>IF(J6392=W6392,"O", "X")</f>
        <v>X</v>
      </c>
      <c r="V6392" s="71"/>
      <c r="W6392" s="474"/>
      <c r="X6392" s="71"/>
      <c r="Y6392" s="71"/>
    </row>
    <row r="6393" spans="1:25" ht="30" hidden="1" customHeight="1" x14ac:dyDescent="0.25">
      <c r="A6393" s="1145">
        <v>45233</v>
      </c>
      <c r="B6393" s="664" t="s">
        <v>442</v>
      </c>
      <c r="C6393" s="71" t="s">
        <v>206</v>
      </c>
      <c r="D6393" s="71">
        <v>2</v>
      </c>
      <c r="E6393" s="102">
        <v>453000</v>
      </c>
      <c r="F6393" s="102">
        <f t="shared" ref="F6393:F6421" si="3243">(E6393*D6393)*1.1</f>
        <v>996600.00000000012</v>
      </c>
      <c r="G6393" s="102">
        <f t="shared" ref="G6393:G6421" si="3244">(E6393*D6393)</f>
        <v>906000</v>
      </c>
      <c r="H6393" s="690" t="s">
        <v>2029</v>
      </c>
      <c r="I6393" s="71" t="s">
        <v>195</v>
      </c>
      <c r="J6393" s="53">
        <f t="shared" ref="J6393:J6400" si="3245">G6393-T6393</f>
        <v>144640</v>
      </c>
      <c r="K6393" s="63">
        <f t="shared" ref="K6393:K6400" si="3246">(J6393/(F6393/11*10))</f>
        <v>0.15964679911699778</v>
      </c>
      <c r="L6393" s="1212" t="s">
        <v>3927</v>
      </c>
      <c r="M6393" s="468"/>
      <c r="N6393" s="1192">
        <f t="shared" si="3224"/>
        <v>45233</v>
      </c>
      <c r="O6393" s="71" t="s">
        <v>194</v>
      </c>
      <c r="P6393" s="103" t="str">
        <f t="shared" si="3225"/>
        <v>Agfa Film(24inch)</v>
      </c>
      <c r="Q6393" s="71">
        <f t="shared" ref="Q6393:Q6394" si="3247">D6393</f>
        <v>2</v>
      </c>
      <c r="R6393" s="102">
        <v>380680</v>
      </c>
      <c r="S6393" s="102">
        <f t="shared" ref="S6393:S6400" si="3248">R6393*Q6393*1.1</f>
        <v>837496.00000000012</v>
      </c>
      <c r="T6393" s="102">
        <f t="shared" ref="T6393:T6400" si="3249">R6393*Q6393</f>
        <v>761360</v>
      </c>
      <c r="U6393" s="71" t="s">
        <v>859</v>
      </c>
      <c r="V6393" s="71"/>
      <c r="W6393" s="474">
        <v>144640</v>
      </c>
      <c r="X6393" s="71"/>
      <c r="Y6393" s="71"/>
    </row>
    <row r="6394" spans="1:25" ht="30" hidden="1" customHeight="1" x14ac:dyDescent="0.25">
      <c r="A6394" s="1145">
        <v>45233</v>
      </c>
      <c r="B6394" s="664" t="s">
        <v>442</v>
      </c>
      <c r="C6394" s="71" t="s">
        <v>207</v>
      </c>
      <c r="D6394" s="71">
        <v>2</v>
      </c>
      <c r="E6394" s="102">
        <v>558000</v>
      </c>
      <c r="F6394" s="102">
        <f t="shared" si="3243"/>
        <v>1227600</v>
      </c>
      <c r="G6394" s="102">
        <f t="shared" si="3244"/>
        <v>1116000</v>
      </c>
      <c r="H6394" s="690" t="s">
        <v>2029</v>
      </c>
      <c r="I6394" s="71" t="s">
        <v>195</v>
      </c>
      <c r="J6394" s="53">
        <f t="shared" si="3245"/>
        <v>228480</v>
      </c>
      <c r="K6394" s="63">
        <f t="shared" si="3246"/>
        <v>0.20473118279569893</v>
      </c>
      <c r="L6394" s="1212" t="s">
        <v>3927</v>
      </c>
      <c r="M6394" s="468"/>
      <c r="N6394" s="1192">
        <f t="shared" si="3224"/>
        <v>45233</v>
      </c>
      <c r="O6394" s="71" t="s">
        <v>194</v>
      </c>
      <c r="P6394" s="103" t="str">
        <f t="shared" si="3225"/>
        <v>Agfa Film(28inch)</v>
      </c>
      <c r="Q6394" s="71">
        <f t="shared" si="3247"/>
        <v>2</v>
      </c>
      <c r="R6394" s="102">
        <v>443760</v>
      </c>
      <c r="S6394" s="102">
        <f t="shared" si="3248"/>
        <v>976272.00000000012</v>
      </c>
      <c r="T6394" s="102">
        <f t="shared" si="3249"/>
        <v>887520</v>
      </c>
      <c r="U6394" s="71" t="s">
        <v>859</v>
      </c>
      <c r="V6394" s="71"/>
      <c r="W6394" s="474">
        <v>228480</v>
      </c>
      <c r="X6394" s="71"/>
      <c r="Y6394" s="71"/>
    </row>
    <row r="6395" spans="1:25" ht="30" hidden="1" customHeight="1" x14ac:dyDescent="0.25">
      <c r="A6395" s="1145">
        <v>45233</v>
      </c>
      <c r="B6395" s="664" t="s">
        <v>442</v>
      </c>
      <c r="C6395" s="71" t="s">
        <v>208</v>
      </c>
      <c r="D6395" s="71">
        <v>2</v>
      </c>
      <c r="E6395" s="102">
        <v>624000</v>
      </c>
      <c r="F6395" s="102">
        <f t="shared" si="3243"/>
        <v>1372800</v>
      </c>
      <c r="G6395" s="102">
        <f t="shared" si="3244"/>
        <v>1248000</v>
      </c>
      <c r="H6395" s="690" t="s">
        <v>2029</v>
      </c>
      <c r="I6395" s="71" t="s">
        <v>195</v>
      </c>
      <c r="J6395" s="53">
        <f t="shared" si="3245"/>
        <v>724910</v>
      </c>
      <c r="K6395" s="63">
        <f t="shared" si="3246"/>
        <v>0.58085737179487185</v>
      </c>
      <c r="L6395" s="1212" t="s">
        <v>3927</v>
      </c>
      <c r="M6395" s="468" t="s">
        <v>3951</v>
      </c>
      <c r="N6395" s="1192">
        <f t="shared" si="3224"/>
        <v>45233</v>
      </c>
      <c r="O6395" s="71" t="s">
        <v>194</v>
      </c>
      <c r="P6395" s="103" t="str">
        <f t="shared" si="3225"/>
        <v>Agfa Film(32inch)</v>
      </c>
      <c r="Q6395" s="71">
        <v>1</v>
      </c>
      <c r="R6395" s="102">
        <f>523090</f>
        <v>523090</v>
      </c>
      <c r="S6395" s="102">
        <f t="shared" si="3248"/>
        <v>575399</v>
      </c>
      <c r="T6395" s="102">
        <f t="shared" si="3249"/>
        <v>523090</v>
      </c>
      <c r="U6395" s="71" t="s">
        <v>859</v>
      </c>
      <c r="V6395" s="71"/>
      <c r="W6395" s="474">
        <v>201820</v>
      </c>
      <c r="X6395" s="71"/>
      <c r="Y6395" s="71"/>
    </row>
    <row r="6396" spans="1:25" ht="30" hidden="1" customHeight="1" x14ac:dyDescent="0.25">
      <c r="A6396" s="1145">
        <v>45247</v>
      </c>
      <c r="B6396" s="664" t="s">
        <v>442</v>
      </c>
      <c r="C6396" s="71" t="s">
        <v>206</v>
      </c>
      <c r="D6396" s="71">
        <v>2</v>
      </c>
      <c r="E6396" s="102">
        <v>453000</v>
      </c>
      <c r="F6396" s="102">
        <f t="shared" si="3243"/>
        <v>996600.00000000012</v>
      </c>
      <c r="G6396" s="102">
        <f t="shared" si="3244"/>
        <v>906000</v>
      </c>
      <c r="H6396" s="690" t="s">
        <v>2029</v>
      </c>
      <c r="I6396" s="71" t="s">
        <v>195</v>
      </c>
      <c r="J6396" s="53">
        <f t="shared" si="3245"/>
        <v>144640</v>
      </c>
      <c r="K6396" s="63">
        <f t="shared" si="3246"/>
        <v>0.15964679911699778</v>
      </c>
      <c r="L6396" s="1212" t="s">
        <v>3927</v>
      </c>
      <c r="M6396" s="468"/>
      <c r="N6396" s="1192">
        <f t="shared" si="3224"/>
        <v>45247</v>
      </c>
      <c r="O6396" s="71" t="s">
        <v>194</v>
      </c>
      <c r="P6396" s="103" t="str">
        <f t="shared" si="3225"/>
        <v>Agfa Film(24inch)</v>
      </c>
      <c r="Q6396" s="71">
        <f t="shared" ref="Q6396:Q6397" si="3250">D6396</f>
        <v>2</v>
      </c>
      <c r="R6396" s="102">
        <v>380680</v>
      </c>
      <c r="S6396" s="102">
        <f t="shared" si="3248"/>
        <v>837496.00000000012</v>
      </c>
      <c r="T6396" s="102">
        <f t="shared" si="3249"/>
        <v>761360</v>
      </c>
      <c r="U6396" s="71" t="s">
        <v>859</v>
      </c>
      <c r="V6396" s="71"/>
      <c r="W6396" s="474">
        <v>144640</v>
      </c>
      <c r="X6396" s="71"/>
      <c r="Y6396" s="71"/>
    </row>
    <row r="6397" spans="1:25" ht="30" hidden="1" customHeight="1" x14ac:dyDescent="0.25">
      <c r="A6397" s="1145">
        <v>45247</v>
      </c>
      <c r="B6397" s="664" t="s">
        <v>442</v>
      </c>
      <c r="C6397" s="71" t="s">
        <v>207</v>
      </c>
      <c r="D6397" s="71">
        <v>2</v>
      </c>
      <c r="E6397" s="102">
        <v>558000</v>
      </c>
      <c r="F6397" s="102">
        <f t="shared" si="3243"/>
        <v>1227600</v>
      </c>
      <c r="G6397" s="102">
        <f t="shared" si="3244"/>
        <v>1116000</v>
      </c>
      <c r="H6397" s="690" t="s">
        <v>2029</v>
      </c>
      <c r="I6397" s="71" t="s">
        <v>195</v>
      </c>
      <c r="J6397" s="53">
        <f t="shared" si="3245"/>
        <v>228480</v>
      </c>
      <c r="K6397" s="63">
        <f t="shared" si="3246"/>
        <v>0.20473118279569893</v>
      </c>
      <c r="L6397" s="1212" t="s">
        <v>3927</v>
      </c>
      <c r="M6397" s="468"/>
      <c r="N6397" s="1192">
        <f t="shared" si="3224"/>
        <v>45247</v>
      </c>
      <c r="O6397" s="71" t="s">
        <v>194</v>
      </c>
      <c r="P6397" s="103" t="str">
        <f t="shared" si="3225"/>
        <v>Agfa Film(28inch)</v>
      </c>
      <c r="Q6397" s="71">
        <f t="shared" si="3250"/>
        <v>2</v>
      </c>
      <c r="R6397" s="102">
        <v>443760</v>
      </c>
      <c r="S6397" s="102">
        <f t="shared" si="3248"/>
        <v>976272.00000000012</v>
      </c>
      <c r="T6397" s="102">
        <f t="shared" si="3249"/>
        <v>887520</v>
      </c>
      <c r="U6397" s="71" t="s">
        <v>859</v>
      </c>
      <c r="V6397" s="71"/>
      <c r="W6397" s="474">
        <v>228480</v>
      </c>
      <c r="X6397" s="71"/>
      <c r="Y6397" s="71"/>
    </row>
    <row r="6398" spans="1:25" ht="30" hidden="1" customHeight="1" x14ac:dyDescent="0.25">
      <c r="A6398" s="1145">
        <v>45247</v>
      </c>
      <c r="B6398" s="664" t="s">
        <v>442</v>
      </c>
      <c r="C6398" s="71" t="s">
        <v>208</v>
      </c>
      <c r="D6398" s="71">
        <v>2</v>
      </c>
      <c r="E6398" s="102">
        <v>624000</v>
      </c>
      <c r="F6398" s="102">
        <f t="shared" si="3243"/>
        <v>1372800</v>
      </c>
      <c r="G6398" s="102">
        <f t="shared" si="3244"/>
        <v>1248000</v>
      </c>
      <c r="H6398" s="690" t="s">
        <v>2029</v>
      </c>
      <c r="I6398" s="71" t="s">
        <v>195</v>
      </c>
      <c r="J6398" s="53">
        <f t="shared" si="3245"/>
        <v>724910</v>
      </c>
      <c r="K6398" s="63">
        <f t="shared" si="3246"/>
        <v>0.58085737179487185</v>
      </c>
      <c r="L6398" s="1212" t="s">
        <v>3927</v>
      </c>
      <c r="M6398" s="468" t="s">
        <v>3951</v>
      </c>
      <c r="N6398" s="1192">
        <f t="shared" si="3224"/>
        <v>45247</v>
      </c>
      <c r="O6398" s="71" t="s">
        <v>194</v>
      </c>
      <c r="P6398" s="103" t="str">
        <f t="shared" si="3225"/>
        <v>Agfa Film(32inch)</v>
      </c>
      <c r="Q6398" s="71">
        <v>1</v>
      </c>
      <c r="R6398" s="102">
        <f>523090</f>
        <v>523090</v>
      </c>
      <c r="S6398" s="102">
        <f t="shared" si="3248"/>
        <v>575399</v>
      </c>
      <c r="T6398" s="102">
        <f t="shared" si="3249"/>
        <v>523090</v>
      </c>
      <c r="U6398" s="71" t="s">
        <v>859</v>
      </c>
      <c r="V6398" s="71"/>
      <c r="W6398" s="474">
        <v>201820</v>
      </c>
      <c r="X6398" s="71"/>
      <c r="Y6398" s="71"/>
    </row>
    <row r="6399" spans="1:25" ht="30" hidden="1" customHeight="1" x14ac:dyDescent="0.2">
      <c r="A6399" s="1145">
        <v>45247</v>
      </c>
      <c r="B6399" s="664" t="s">
        <v>442</v>
      </c>
      <c r="C6399" s="71" t="s">
        <v>648</v>
      </c>
      <c r="D6399" s="71">
        <v>1</v>
      </c>
      <c r="E6399" s="102">
        <v>93000</v>
      </c>
      <c r="F6399" s="102">
        <f t="shared" si="3243"/>
        <v>102300.00000000001</v>
      </c>
      <c r="G6399" s="102">
        <f t="shared" si="3244"/>
        <v>93000</v>
      </c>
      <c r="H6399" s="165" t="s">
        <v>172</v>
      </c>
      <c r="I6399" s="71" t="s">
        <v>195</v>
      </c>
      <c r="J6399" s="53">
        <f t="shared" si="3245"/>
        <v>27000</v>
      </c>
      <c r="K6399" s="63">
        <f t="shared" si="3246"/>
        <v>0.29032258064516125</v>
      </c>
      <c r="L6399" s="1212" t="s">
        <v>3927</v>
      </c>
      <c r="M6399" s="468"/>
      <c r="N6399" s="1192">
        <f t="shared" si="3224"/>
        <v>45247</v>
      </c>
      <c r="O6399" s="71" t="s">
        <v>194</v>
      </c>
      <c r="P6399" s="103" t="str">
        <f t="shared" si="3225"/>
        <v>Agfa 정착액 G333C(20L)</v>
      </c>
      <c r="Q6399" s="71">
        <f t="shared" ref="Q6399:Q6400" si="3251">D6399</f>
        <v>1</v>
      </c>
      <c r="R6399" s="102">
        <v>66000</v>
      </c>
      <c r="S6399" s="102">
        <f t="shared" si="3248"/>
        <v>72600</v>
      </c>
      <c r="T6399" s="102">
        <f t="shared" si="3249"/>
        <v>66000</v>
      </c>
      <c r="U6399" s="71" t="s">
        <v>859</v>
      </c>
      <c r="V6399" s="71"/>
      <c r="W6399" s="474">
        <v>27000</v>
      </c>
      <c r="X6399" s="71"/>
      <c r="Y6399" s="71"/>
    </row>
    <row r="6400" spans="1:25" ht="30" hidden="1" customHeight="1" x14ac:dyDescent="0.25">
      <c r="A6400" s="1145">
        <v>45247</v>
      </c>
      <c r="B6400" s="664" t="s">
        <v>442</v>
      </c>
      <c r="C6400" s="71" t="s">
        <v>3932</v>
      </c>
      <c r="D6400" s="71">
        <v>10</v>
      </c>
      <c r="E6400" s="102">
        <v>71000</v>
      </c>
      <c r="F6400" s="102">
        <f t="shared" si="3243"/>
        <v>781000.00000000012</v>
      </c>
      <c r="G6400" s="102">
        <f t="shared" si="3244"/>
        <v>710000</v>
      </c>
      <c r="H6400" s="690" t="s">
        <v>173</v>
      </c>
      <c r="I6400" s="71" t="s">
        <v>2231</v>
      </c>
      <c r="J6400" s="53">
        <f t="shared" si="3245"/>
        <v>188000</v>
      </c>
      <c r="K6400" s="63">
        <f t="shared" si="3246"/>
        <v>0.26478873239436618</v>
      </c>
      <c r="L6400" s="1212" t="s">
        <v>3927</v>
      </c>
      <c r="M6400" s="102"/>
      <c r="N6400" s="1192">
        <f t="shared" si="3224"/>
        <v>45247</v>
      </c>
      <c r="O6400" s="71" t="s">
        <v>151</v>
      </c>
      <c r="P6400" s="103" t="str">
        <f t="shared" si="3225"/>
        <v>접착 아스테이지 - 로랜드 전지용</v>
      </c>
      <c r="Q6400" s="71">
        <f t="shared" si="3251"/>
        <v>10</v>
      </c>
      <c r="R6400" s="102">
        <v>52200</v>
      </c>
      <c r="S6400" s="102">
        <f t="shared" si="3248"/>
        <v>574200</v>
      </c>
      <c r="T6400" s="102">
        <f t="shared" si="3249"/>
        <v>522000</v>
      </c>
      <c r="U6400" s="71"/>
      <c r="V6400" s="71"/>
      <c r="W6400" s="474"/>
      <c r="X6400" s="71"/>
      <c r="Y6400" s="71"/>
    </row>
    <row r="6401" spans="1:25" s="209" customFormat="1" ht="30" hidden="1" customHeight="1" x14ac:dyDescent="0.25">
      <c r="A6401" s="1145">
        <v>45252</v>
      </c>
      <c r="B6401" s="664" t="s">
        <v>442</v>
      </c>
      <c r="C6401" s="71" t="s">
        <v>3833</v>
      </c>
      <c r="D6401" s="71">
        <v>1000</v>
      </c>
      <c r="E6401" s="102">
        <v>4250</v>
      </c>
      <c r="F6401" s="102">
        <f t="shared" si="3243"/>
        <v>4675000</v>
      </c>
      <c r="G6401" s="102">
        <f t="shared" si="3244"/>
        <v>4250000</v>
      </c>
      <c r="H6401" s="690" t="s">
        <v>2029</v>
      </c>
      <c r="I6401" s="71" t="s">
        <v>2230</v>
      </c>
      <c r="J6401" s="53">
        <f t="shared" ref="J6401:J6403" si="3252">G6401-T6401</f>
        <v>264000</v>
      </c>
      <c r="K6401" s="63">
        <v>8.6352941176470591E-2</v>
      </c>
      <c r="L6401" s="1212" t="s">
        <v>3927</v>
      </c>
      <c r="M6401" s="468"/>
      <c r="N6401" s="1192">
        <f t="shared" si="3224"/>
        <v>45252</v>
      </c>
      <c r="O6401" s="71" t="s">
        <v>2030</v>
      </c>
      <c r="P6401" s="164" t="s">
        <v>3777</v>
      </c>
      <c r="Q6401" s="71">
        <f t="shared" ref="Q6401:Q6402" si="3253">D6401</f>
        <v>1000</v>
      </c>
      <c r="R6401" s="102">
        <v>3986</v>
      </c>
      <c r="S6401" s="102">
        <f t="shared" ref="S6401:S6403" si="3254">R6401*Q6401*1.1</f>
        <v>4384600</v>
      </c>
      <c r="T6401" s="102">
        <f t="shared" ref="T6401:T6403" si="3255">R6401*Q6401</f>
        <v>3986000</v>
      </c>
      <c r="U6401" s="71"/>
      <c r="V6401" s="71"/>
      <c r="W6401" s="474"/>
      <c r="X6401" s="71"/>
      <c r="Y6401" s="71"/>
    </row>
    <row r="6402" spans="1:25" ht="30" hidden="1" customHeight="1" x14ac:dyDescent="0.25">
      <c r="A6402" s="1145">
        <v>45252</v>
      </c>
      <c r="B6402" s="664" t="s">
        <v>442</v>
      </c>
      <c r="C6402" s="71" t="s">
        <v>3834</v>
      </c>
      <c r="D6402" s="71">
        <v>6</v>
      </c>
      <c r="E6402" s="102">
        <v>57000</v>
      </c>
      <c r="F6402" s="102">
        <f t="shared" si="3243"/>
        <v>376200.00000000006</v>
      </c>
      <c r="G6402" s="102">
        <f t="shared" si="3244"/>
        <v>342000</v>
      </c>
      <c r="H6402" s="690" t="s">
        <v>2029</v>
      </c>
      <c r="I6402" s="71" t="s">
        <v>2230</v>
      </c>
      <c r="J6402" s="53">
        <f t="shared" si="3252"/>
        <v>104040</v>
      </c>
      <c r="K6402" s="63">
        <v>0.30421052631578949</v>
      </c>
      <c r="L6402" s="1212" t="s">
        <v>3927</v>
      </c>
      <c r="M6402" s="468"/>
      <c r="N6402" s="1192">
        <f t="shared" si="3224"/>
        <v>45252</v>
      </c>
      <c r="O6402" s="71" t="s">
        <v>2030</v>
      </c>
      <c r="P6402" s="103" t="s">
        <v>1026</v>
      </c>
      <c r="Q6402" s="71">
        <f t="shared" si="3253"/>
        <v>6</v>
      </c>
      <c r="R6402" s="102">
        <v>39660</v>
      </c>
      <c r="S6402" s="102">
        <f t="shared" si="3254"/>
        <v>261756.00000000003</v>
      </c>
      <c r="T6402" s="102">
        <f t="shared" si="3255"/>
        <v>237960</v>
      </c>
      <c r="U6402" s="71"/>
      <c r="V6402" s="71"/>
      <c r="W6402" s="474"/>
      <c r="X6402" s="71"/>
      <c r="Y6402" s="71"/>
    </row>
    <row r="6403" spans="1:25" s="209" customFormat="1" ht="30" hidden="1" customHeight="1" x14ac:dyDescent="0.25">
      <c r="A6403" s="1145">
        <v>45246</v>
      </c>
      <c r="B6403" s="664" t="s">
        <v>690</v>
      </c>
      <c r="C6403" s="71" t="s">
        <v>3933</v>
      </c>
      <c r="D6403" s="71">
        <v>1</v>
      </c>
      <c r="E6403" s="102">
        <v>2594000</v>
      </c>
      <c r="F6403" s="102">
        <f t="shared" si="3243"/>
        <v>2853400</v>
      </c>
      <c r="G6403" s="102">
        <f t="shared" si="3244"/>
        <v>2594000</v>
      </c>
      <c r="H6403" s="690" t="s">
        <v>173</v>
      </c>
      <c r="I6403" s="71" t="s">
        <v>2231</v>
      </c>
      <c r="J6403" s="53">
        <f t="shared" si="3252"/>
        <v>-331000</v>
      </c>
      <c r="K6403" s="63">
        <f t="shared" ref="K6403" si="3256">(J6403/(F6403/11*10))</f>
        <v>-0.12760215882806478</v>
      </c>
      <c r="L6403" s="1212" t="s">
        <v>3927</v>
      </c>
      <c r="M6403" s="468"/>
      <c r="N6403" s="1192">
        <f t="shared" si="3224"/>
        <v>45246</v>
      </c>
      <c r="O6403" s="71" t="s">
        <v>242</v>
      </c>
      <c r="P6403" s="103" t="str">
        <f t="shared" ref="P6403" si="3257">(C6403)</f>
        <v>필름출력기 서비스, 부품</v>
      </c>
      <c r="Q6403" s="71">
        <f t="shared" ref="Q6403:Q6421" si="3258">D6403</f>
        <v>1</v>
      </c>
      <c r="R6403" s="102">
        <v>2925000</v>
      </c>
      <c r="S6403" s="102">
        <f t="shared" si="3254"/>
        <v>3217500.0000000005</v>
      </c>
      <c r="T6403" s="102">
        <f t="shared" si="3255"/>
        <v>2925000</v>
      </c>
      <c r="U6403" s="71"/>
      <c r="V6403" s="71"/>
      <c r="W6403" s="474"/>
      <c r="X6403" s="71"/>
      <c r="Y6403" s="71"/>
    </row>
    <row r="6404" spans="1:25" ht="30" hidden="1" customHeight="1" x14ac:dyDescent="0.25">
      <c r="A6404" s="1145">
        <v>45238</v>
      </c>
      <c r="B6404" s="664" t="s">
        <v>2798</v>
      </c>
      <c r="C6404" s="71" t="s">
        <v>167</v>
      </c>
      <c r="D6404" s="71">
        <v>10</v>
      </c>
      <c r="E6404" s="102">
        <v>138000</v>
      </c>
      <c r="F6404" s="102">
        <f t="shared" si="3243"/>
        <v>1518000.0000000002</v>
      </c>
      <c r="G6404" s="102">
        <f t="shared" si="3244"/>
        <v>1380000</v>
      </c>
      <c r="H6404" s="690" t="s">
        <v>172</v>
      </c>
      <c r="I6404" s="71" t="s">
        <v>33</v>
      </c>
      <c r="J6404" s="53">
        <f t="shared" ref="J6404:J6405" si="3259">G6404-T6404</f>
        <v>368000</v>
      </c>
      <c r="K6404" s="63">
        <f t="shared" ref="K6404:K6405" si="3260">(J6404/(F6404/11*10))</f>
        <v>0.26666666666666661</v>
      </c>
      <c r="L6404" s="1212" t="s">
        <v>3927</v>
      </c>
      <c r="M6404" s="468"/>
      <c r="N6404" s="1192">
        <f t="shared" ref="N6404:N6406" si="3261">A6404</f>
        <v>45238</v>
      </c>
      <c r="O6404" s="71" t="s">
        <v>146</v>
      </c>
      <c r="P6404" s="103" t="str">
        <f t="shared" ref="P6404:P6414" si="3262">(C6404)</f>
        <v>Blanket(1060*860)</v>
      </c>
      <c r="Q6404" s="71">
        <f t="shared" si="3258"/>
        <v>10</v>
      </c>
      <c r="R6404" s="102">
        <v>101200</v>
      </c>
      <c r="S6404" s="102">
        <f t="shared" ref="S6404:S6407" si="3263">R6404*Q6404*1.1</f>
        <v>1113200</v>
      </c>
      <c r="T6404" s="102">
        <f t="shared" ref="T6404:T6407" si="3264">R6404*Q6404</f>
        <v>1012000</v>
      </c>
      <c r="U6404" s="71" t="str">
        <f>IF(J6404=W6404,"O", "X")</f>
        <v>X</v>
      </c>
      <c r="V6404" s="71"/>
      <c r="W6404" s="474"/>
      <c r="X6404" s="71"/>
      <c r="Y6404" s="71"/>
    </row>
    <row r="6405" spans="1:25" ht="30" hidden="1" customHeight="1" x14ac:dyDescent="0.25">
      <c r="A6405" s="1145">
        <v>45238</v>
      </c>
      <c r="B6405" s="664" t="s">
        <v>2798</v>
      </c>
      <c r="C6405" s="71" t="s">
        <v>3290</v>
      </c>
      <c r="D6405" s="71">
        <v>1</v>
      </c>
      <c r="E6405" s="102">
        <v>780000</v>
      </c>
      <c r="F6405" s="102">
        <f t="shared" si="3243"/>
        <v>858000.00000000012</v>
      </c>
      <c r="G6405" s="102">
        <f t="shared" si="3244"/>
        <v>780000</v>
      </c>
      <c r="H6405" s="690" t="s">
        <v>172</v>
      </c>
      <c r="I6405" s="71" t="s">
        <v>38</v>
      </c>
      <c r="J6405" s="53">
        <f t="shared" si="3259"/>
        <v>318000</v>
      </c>
      <c r="K6405" s="63">
        <f t="shared" si="3260"/>
        <v>0.40769230769230763</v>
      </c>
      <c r="L6405" s="1212" t="s">
        <v>3927</v>
      </c>
      <c r="M6405" s="468"/>
      <c r="N6405" s="1192">
        <f t="shared" si="3261"/>
        <v>45238</v>
      </c>
      <c r="O6405" s="71" t="s">
        <v>3291</v>
      </c>
      <c r="P6405" s="103" t="str">
        <f t="shared" si="3262"/>
        <v>점보롤 세정포</v>
      </c>
      <c r="Q6405" s="71">
        <f t="shared" si="3258"/>
        <v>1</v>
      </c>
      <c r="R6405" s="102">
        <v>462000</v>
      </c>
      <c r="S6405" s="102">
        <f t="shared" si="3263"/>
        <v>508200.00000000006</v>
      </c>
      <c r="T6405" s="102">
        <f t="shared" si="3264"/>
        <v>462000</v>
      </c>
      <c r="U6405" s="71" t="str">
        <f>IF(J6405=W6405,"O", "X")</f>
        <v>O</v>
      </c>
      <c r="V6405" s="71" t="s">
        <v>3292</v>
      </c>
      <c r="W6405" s="474">
        <f>(G6405-T6405)</f>
        <v>318000</v>
      </c>
      <c r="X6405" s="71"/>
      <c r="Y6405" s="71"/>
    </row>
    <row r="6406" spans="1:25" s="209" customFormat="1" ht="30" hidden="1" customHeight="1" x14ac:dyDescent="0.25">
      <c r="A6406" s="1145">
        <v>45253</v>
      </c>
      <c r="B6406" s="664" t="s">
        <v>545</v>
      </c>
      <c r="C6406" s="71" t="s">
        <v>3782</v>
      </c>
      <c r="D6406" s="71">
        <v>2</v>
      </c>
      <c r="E6406" s="102">
        <v>700000</v>
      </c>
      <c r="F6406" s="102">
        <f t="shared" si="3243"/>
        <v>1540000.0000000002</v>
      </c>
      <c r="G6406" s="102">
        <f t="shared" si="3244"/>
        <v>1400000</v>
      </c>
      <c r="H6406" s="690" t="s">
        <v>173</v>
      </c>
      <c r="I6406" s="71" t="s">
        <v>2231</v>
      </c>
      <c r="J6406" s="53">
        <f>G6406-T6406</f>
        <v>200000</v>
      </c>
      <c r="K6406" s="63">
        <f>(J6406/(F6406/11*10))</f>
        <v>0.14285714285714282</v>
      </c>
      <c r="L6406" s="1212" t="s">
        <v>3927</v>
      </c>
      <c r="M6406" s="468"/>
      <c r="N6406" s="1192">
        <f t="shared" si="3261"/>
        <v>45253</v>
      </c>
      <c r="O6406" s="71" t="s">
        <v>2030</v>
      </c>
      <c r="P6406" s="164" t="str">
        <f t="shared" si="3262"/>
        <v>챔버 닥터블레이드 - XL106용</v>
      </c>
      <c r="Q6406" s="71">
        <f t="shared" si="3258"/>
        <v>2</v>
      </c>
      <c r="R6406" s="102">
        <v>600000</v>
      </c>
      <c r="S6406" s="102">
        <f t="shared" si="3263"/>
        <v>1320000</v>
      </c>
      <c r="T6406" s="102">
        <f t="shared" si="3264"/>
        <v>1200000</v>
      </c>
      <c r="U6406" s="71"/>
      <c r="V6406" s="71"/>
      <c r="W6406" s="474"/>
      <c r="X6406" s="71"/>
      <c r="Y6406" s="71"/>
    </row>
    <row r="6407" spans="1:25" ht="30" hidden="1" customHeight="1" x14ac:dyDescent="0.25">
      <c r="A6407" s="1145">
        <v>45251</v>
      </c>
      <c r="B6407" s="664" t="s">
        <v>627</v>
      </c>
      <c r="C6407" s="71" t="s">
        <v>3934</v>
      </c>
      <c r="D6407" s="71">
        <v>1</v>
      </c>
      <c r="E6407" s="102">
        <v>33818182</v>
      </c>
      <c r="F6407" s="102">
        <f t="shared" si="3243"/>
        <v>37200000.200000003</v>
      </c>
      <c r="G6407" s="102">
        <f t="shared" si="3244"/>
        <v>33818182</v>
      </c>
      <c r="H6407" s="690" t="s">
        <v>1431</v>
      </c>
      <c r="I6407" s="71" t="s">
        <v>1431</v>
      </c>
      <c r="J6407" s="53">
        <f t="shared" ref="J6407:J6412" si="3265">G6407-T6407</f>
        <v>18418182</v>
      </c>
      <c r="K6407" s="63">
        <f t="shared" ref="K6407:K6412" si="3266">(J6407/(F6407/11*10))</f>
        <v>0.54462365836223836</v>
      </c>
      <c r="L6407" s="1212" t="s">
        <v>3927</v>
      </c>
      <c r="M6407" s="468"/>
      <c r="N6407" s="1192"/>
      <c r="O6407" s="71" t="s">
        <v>1431</v>
      </c>
      <c r="P6407" s="103" t="str">
        <f t="shared" si="3262"/>
        <v xml:space="preserve">	M600 판걸이 튜브 하부1개, 상부2개</v>
      </c>
      <c r="Q6407" s="71">
        <f t="shared" si="3258"/>
        <v>1</v>
      </c>
      <c r="R6407" s="147">
        <v>15400000</v>
      </c>
      <c r="S6407" s="102">
        <f t="shared" si="3263"/>
        <v>16940000</v>
      </c>
      <c r="T6407" s="102">
        <f t="shared" si="3264"/>
        <v>15400000</v>
      </c>
      <c r="U6407" s="71"/>
      <c r="V6407" s="71"/>
      <c r="W6407" s="474"/>
      <c r="X6407" s="71"/>
      <c r="Y6407" s="71"/>
    </row>
    <row r="6408" spans="1:25" ht="30" hidden="1" customHeight="1" x14ac:dyDescent="0.25">
      <c r="A6408" s="1145">
        <v>45251</v>
      </c>
      <c r="B6408" s="664" t="s">
        <v>627</v>
      </c>
      <c r="C6408" s="71" t="s">
        <v>3935</v>
      </c>
      <c r="D6408" s="71">
        <v>1</v>
      </c>
      <c r="E6408" s="102">
        <v>1818182</v>
      </c>
      <c r="F6408" s="102">
        <f t="shared" si="3243"/>
        <v>2000000.2000000002</v>
      </c>
      <c r="G6408" s="102">
        <f t="shared" si="3244"/>
        <v>1818182</v>
      </c>
      <c r="H6408" s="690" t="s">
        <v>1431</v>
      </c>
      <c r="I6408" s="71" t="s">
        <v>1431</v>
      </c>
      <c r="J6408" s="53">
        <f t="shared" si="3265"/>
        <v>558182</v>
      </c>
      <c r="K6408" s="63">
        <f t="shared" si="3266"/>
        <v>0.30700006929999307</v>
      </c>
      <c r="L6408" s="1212" t="s">
        <v>3927</v>
      </c>
      <c r="M6408" s="102"/>
      <c r="N6408" s="1192"/>
      <c r="O6408" s="71" t="s">
        <v>1431</v>
      </c>
      <c r="P6408" s="103" t="str">
        <f t="shared" si="3262"/>
        <v>FLAMEROD(M600용)2개</v>
      </c>
      <c r="Q6408" s="71">
        <f t="shared" si="3258"/>
        <v>1</v>
      </c>
      <c r="R6408" s="102">
        <f>630000*2</f>
        <v>1260000</v>
      </c>
      <c r="S6408" s="102">
        <f t="shared" ref="S6408" si="3267">R6408*Q6408*1.1</f>
        <v>1386000</v>
      </c>
      <c r="T6408" s="102">
        <f t="shared" ref="T6408" si="3268">R6408*Q6408</f>
        <v>1260000</v>
      </c>
      <c r="U6408" s="71"/>
      <c r="V6408" s="71"/>
      <c r="W6408" s="474"/>
      <c r="X6408" s="71"/>
      <c r="Y6408" s="71"/>
    </row>
    <row r="6409" spans="1:25" s="209" customFormat="1" ht="30" hidden="1" customHeight="1" x14ac:dyDescent="0.25">
      <c r="A6409" s="1145">
        <v>45251</v>
      </c>
      <c r="B6409" s="664" t="s">
        <v>627</v>
      </c>
      <c r="C6409" s="71" t="s">
        <v>3936</v>
      </c>
      <c r="D6409" s="71">
        <v>1</v>
      </c>
      <c r="E6409" s="102">
        <v>4000000</v>
      </c>
      <c r="F6409" s="102">
        <f t="shared" si="3243"/>
        <v>4400000</v>
      </c>
      <c r="G6409" s="102">
        <f t="shared" si="3244"/>
        <v>4000000</v>
      </c>
      <c r="H6409" s="690" t="s">
        <v>1431</v>
      </c>
      <c r="I6409" s="71" t="s">
        <v>1431</v>
      </c>
      <c r="J6409" s="53">
        <f t="shared" si="3265"/>
        <v>1400000</v>
      </c>
      <c r="K6409" s="63">
        <f t="shared" si="3266"/>
        <v>0.35</v>
      </c>
      <c r="L6409" s="1212" t="s">
        <v>3927</v>
      </c>
      <c r="M6409" s="468"/>
      <c r="N6409" s="1192"/>
      <c r="O6409" s="71" t="s">
        <v>1431</v>
      </c>
      <c r="P6409" s="103" t="str">
        <f t="shared" si="3262"/>
        <v>파워서플라이(M600용)</v>
      </c>
      <c r="Q6409" s="71">
        <f t="shared" si="3258"/>
        <v>1</v>
      </c>
      <c r="R6409" s="102">
        <v>2600000</v>
      </c>
      <c r="S6409" s="102">
        <f t="shared" ref="S6409" si="3269">R6409*Q6409*1.1</f>
        <v>2860000</v>
      </c>
      <c r="T6409" s="102">
        <f t="shared" ref="T6409" si="3270">R6409*Q6409</f>
        <v>2600000</v>
      </c>
      <c r="U6409" s="71"/>
      <c r="V6409" s="71"/>
      <c r="W6409" s="474"/>
      <c r="X6409" s="71"/>
      <c r="Y6409" s="71"/>
    </row>
    <row r="6410" spans="1:25" ht="30" hidden="1" customHeight="1" x14ac:dyDescent="0.25">
      <c r="A6410" s="1145">
        <v>45251</v>
      </c>
      <c r="B6410" s="664" t="s">
        <v>546</v>
      </c>
      <c r="C6410" s="71" t="s">
        <v>3937</v>
      </c>
      <c r="D6410" s="71">
        <v>1</v>
      </c>
      <c r="E6410" s="102">
        <v>400000</v>
      </c>
      <c r="F6410" s="102">
        <f t="shared" si="3243"/>
        <v>440000.00000000006</v>
      </c>
      <c r="G6410" s="102">
        <f t="shared" si="3244"/>
        <v>400000</v>
      </c>
      <c r="H6410" s="690" t="s">
        <v>1431</v>
      </c>
      <c r="I6410" s="71" t="s">
        <v>1431</v>
      </c>
      <c r="J6410" s="53">
        <f t="shared" si="3265"/>
        <v>358000</v>
      </c>
      <c r="K6410" s="63">
        <f t="shared" si="3266"/>
        <v>0.89499999999999991</v>
      </c>
      <c r="L6410" s="1212" t="s">
        <v>3927</v>
      </c>
      <c r="M6410" s="468"/>
      <c r="N6410" s="1192"/>
      <c r="O6410" s="71" t="s">
        <v>1431</v>
      </c>
      <c r="P6410" s="103" t="str">
        <f t="shared" si="3262"/>
        <v>Inductive sensor</v>
      </c>
      <c r="Q6410" s="71">
        <f t="shared" si="3258"/>
        <v>1</v>
      </c>
      <c r="R6410" s="102">
        <v>42000</v>
      </c>
      <c r="S6410" s="102">
        <f t="shared" ref="S6410" si="3271">R6410*Q6410*1.1</f>
        <v>46200.000000000007</v>
      </c>
      <c r="T6410" s="102">
        <f t="shared" ref="T6410" si="3272">R6410*Q6410</f>
        <v>42000</v>
      </c>
      <c r="U6410" s="71"/>
      <c r="V6410" s="71"/>
      <c r="W6410" s="474"/>
      <c r="X6410" s="71"/>
      <c r="Y6410" s="71"/>
    </row>
    <row r="6411" spans="1:25" s="209" customFormat="1" ht="30" hidden="1" customHeight="1" x14ac:dyDescent="0.25">
      <c r="A6411" s="1145">
        <v>45251</v>
      </c>
      <c r="B6411" s="664" t="s">
        <v>546</v>
      </c>
      <c r="C6411" s="71" t="s">
        <v>3938</v>
      </c>
      <c r="D6411" s="71">
        <v>10</v>
      </c>
      <c r="E6411" s="102">
        <v>250000</v>
      </c>
      <c r="F6411" s="102">
        <f t="shared" si="3243"/>
        <v>2750000</v>
      </c>
      <c r="G6411" s="102">
        <f t="shared" si="3244"/>
        <v>2500000</v>
      </c>
      <c r="H6411" s="690" t="s">
        <v>1431</v>
      </c>
      <c r="I6411" s="71" t="s">
        <v>1431</v>
      </c>
      <c r="J6411" s="53">
        <f t="shared" si="3265"/>
        <v>1060000</v>
      </c>
      <c r="K6411" s="63">
        <f t="shared" si="3266"/>
        <v>0.42399999999999999</v>
      </c>
      <c r="L6411" s="1212" t="s">
        <v>3927</v>
      </c>
      <c r="M6411" s="468"/>
      <c r="N6411" s="1192"/>
      <c r="O6411" s="71" t="s">
        <v>1431</v>
      </c>
      <c r="P6411" s="103" t="str">
        <f t="shared" si="3262"/>
        <v>Flake adhesive tape</v>
      </c>
      <c r="Q6411" s="71">
        <f t="shared" si="3258"/>
        <v>10</v>
      </c>
      <c r="R6411" s="102">
        <v>144000</v>
      </c>
      <c r="S6411" s="102">
        <f t="shared" ref="S6411" si="3273">R6411*Q6411*1.1</f>
        <v>1584000.0000000002</v>
      </c>
      <c r="T6411" s="102">
        <f t="shared" ref="T6411" si="3274">R6411*Q6411</f>
        <v>1440000</v>
      </c>
      <c r="U6411" s="71"/>
      <c r="V6411" s="71"/>
      <c r="W6411" s="474"/>
      <c r="X6411" s="71"/>
      <c r="Y6411" s="71"/>
    </row>
    <row r="6412" spans="1:25" ht="30" hidden="1" customHeight="1" x14ac:dyDescent="0.25">
      <c r="A6412" s="1145">
        <v>45251</v>
      </c>
      <c r="B6412" s="664" t="s">
        <v>546</v>
      </c>
      <c r="C6412" s="71" t="s">
        <v>3939</v>
      </c>
      <c r="D6412" s="71">
        <v>1</v>
      </c>
      <c r="E6412" s="102">
        <v>2700000</v>
      </c>
      <c r="F6412" s="102">
        <f t="shared" si="3243"/>
        <v>2970000.0000000005</v>
      </c>
      <c r="G6412" s="102">
        <f t="shared" si="3244"/>
        <v>2700000</v>
      </c>
      <c r="H6412" s="690" t="s">
        <v>1431</v>
      </c>
      <c r="I6412" s="71" t="s">
        <v>1431</v>
      </c>
      <c r="J6412" s="53">
        <f t="shared" si="3265"/>
        <v>700000</v>
      </c>
      <c r="K6412" s="63">
        <f t="shared" si="3266"/>
        <v>0.25925925925925919</v>
      </c>
      <c r="L6412" s="1212" t="s">
        <v>3927</v>
      </c>
      <c r="M6412" s="102"/>
      <c r="N6412" s="1192"/>
      <c r="O6412" s="71" t="s">
        <v>1431</v>
      </c>
      <c r="P6412" s="103" t="str">
        <f t="shared" si="3262"/>
        <v>Embedded controler</v>
      </c>
      <c r="Q6412" s="71">
        <f t="shared" si="3258"/>
        <v>1</v>
      </c>
      <c r="R6412" s="102">
        <v>2000000</v>
      </c>
      <c r="S6412" s="102">
        <f t="shared" ref="S6412" si="3275">R6412*Q6412*1.1</f>
        <v>2200000</v>
      </c>
      <c r="T6412" s="102">
        <f t="shared" ref="T6412" si="3276">R6412*Q6412</f>
        <v>2000000</v>
      </c>
      <c r="U6412" s="71"/>
      <c r="V6412" s="71"/>
      <c r="W6412" s="474"/>
      <c r="X6412" s="71"/>
      <c r="Y6412" s="71"/>
    </row>
    <row r="6413" spans="1:25" ht="30" hidden="1" customHeight="1" x14ac:dyDescent="0.25">
      <c r="A6413" s="1145">
        <v>45251</v>
      </c>
      <c r="B6413" s="664" t="s">
        <v>3571</v>
      </c>
      <c r="C6413" s="71" t="s">
        <v>3940</v>
      </c>
      <c r="D6413" s="71">
        <v>1</v>
      </c>
      <c r="E6413" s="102">
        <v>23100000</v>
      </c>
      <c r="F6413" s="102">
        <f t="shared" si="3243"/>
        <v>25410000.000000004</v>
      </c>
      <c r="G6413" s="102">
        <f t="shared" si="3244"/>
        <v>23100000</v>
      </c>
      <c r="H6413" s="690" t="s">
        <v>1431</v>
      </c>
      <c r="I6413" s="71" t="s">
        <v>1431</v>
      </c>
      <c r="J6413" s="53"/>
      <c r="K6413" s="63"/>
      <c r="L6413" s="1212" t="s">
        <v>3927</v>
      </c>
      <c r="M6413" s="102"/>
      <c r="N6413" s="1192"/>
      <c r="O6413" s="71" t="s">
        <v>1431</v>
      </c>
      <c r="P6413" s="103" t="str">
        <f t="shared" si="3262"/>
        <v>M-600B 잉크 키 모터 업그레이드 계약금 30%</v>
      </c>
      <c r="Q6413" s="71">
        <f t="shared" si="3258"/>
        <v>1</v>
      </c>
      <c r="R6413" s="102"/>
      <c r="S6413" s="102"/>
      <c r="T6413" s="102"/>
      <c r="U6413" s="71"/>
      <c r="V6413" s="71"/>
      <c r="W6413" s="474"/>
      <c r="X6413" s="71"/>
      <c r="Y6413" s="71"/>
    </row>
    <row r="6414" spans="1:25" ht="30" hidden="1" customHeight="1" x14ac:dyDescent="0.25">
      <c r="A6414" s="1145">
        <v>45251</v>
      </c>
      <c r="B6414" s="664" t="s">
        <v>3571</v>
      </c>
      <c r="C6414" s="71" t="s">
        <v>3941</v>
      </c>
      <c r="D6414" s="71">
        <v>1</v>
      </c>
      <c r="E6414" s="102">
        <v>34200000</v>
      </c>
      <c r="F6414" s="102">
        <f t="shared" si="3243"/>
        <v>37620000</v>
      </c>
      <c r="G6414" s="102">
        <f t="shared" si="3244"/>
        <v>34200000</v>
      </c>
      <c r="H6414" s="690" t="s">
        <v>1431</v>
      </c>
      <c r="I6414" s="71" t="s">
        <v>1431</v>
      </c>
      <c r="J6414" s="53"/>
      <c r="K6414" s="63"/>
      <c r="L6414" s="1212" t="s">
        <v>3927</v>
      </c>
      <c r="M6414" s="468"/>
      <c r="N6414" s="1192"/>
      <c r="O6414" s="71" t="s">
        <v>1431</v>
      </c>
      <c r="P6414" s="103" t="str">
        <f t="shared" si="3262"/>
        <v>자동 판 교환 시스템 업그레이드 부품 구매 계약금 30%</v>
      </c>
      <c r="Q6414" s="71">
        <f t="shared" si="3258"/>
        <v>1</v>
      </c>
      <c r="R6414" s="102"/>
      <c r="S6414" s="102"/>
      <c r="T6414" s="102"/>
      <c r="U6414" s="71"/>
      <c r="V6414" s="71"/>
      <c r="W6414" s="474"/>
      <c r="X6414" s="71"/>
      <c r="Y6414" s="71"/>
    </row>
    <row r="6415" spans="1:25" ht="30" hidden="1" customHeight="1" x14ac:dyDescent="0.25">
      <c r="A6415" s="1145">
        <v>45250</v>
      </c>
      <c r="B6415" s="664" t="s">
        <v>3410</v>
      </c>
      <c r="C6415" s="71" t="s">
        <v>2974</v>
      </c>
      <c r="D6415" s="71">
        <v>4</v>
      </c>
      <c r="E6415" s="102">
        <v>650000</v>
      </c>
      <c r="F6415" s="102">
        <f t="shared" si="3243"/>
        <v>2860000</v>
      </c>
      <c r="G6415" s="102">
        <f t="shared" si="3244"/>
        <v>2600000</v>
      </c>
      <c r="H6415" s="690" t="s">
        <v>142</v>
      </c>
      <c r="I6415" s="690" t="s">
        <v>142</v>
      </c>
      <c r="J6415" s="53">
        <f>G6415-T6415</f>
        <v>1706260</v>
      </c>
      <c r="K6415" s="63">
        <f>(J6415/(F6415/11*10))</f>
        <v>0.65625384615384619</v>
      </c>
      <c r="L6415" s="1212" t="s">
        <v>3927</v>
      </c>
      <c r="M6415" s="468"/>
      <c r="N6415" s="1192">
        <f t="shared" ref="N6415" si="3277">A6415</f>
        <v>45250</v>
      </c>
      <c r="O6415" s="71" t="s">
        <v>3412</v>
      </c>
      <c r="P6415" s="103" t="str">
        <f t="shared" ref="P6415:P6421" si="3278">(C6415)</f>
        <v>Baldwin UV 램프 국전</v>
      </c>
      <c r="Q6415" s="71">
        <f t="shared" si="3258"/>
        <v>4</v>
      </c>
      <c r="R6415" s="102">
        <v>223435</v>
      </c>
      <c r="S6415" s="102">
        <f>R6415*Q6415*1.1</f>
        <v>983114.00000000012</v>
      </c>
      <c r="T6415" s="102">
        <f>R6415*Q6415</f>
        <v>893740</v>
      </c>
      <c r="U6415" s="71"/>
      <c r="V6415" s="71"/>
      <c r="W6415" s="474"/>
      <c r="X6415" s="71"/>
      <c r="Y6415" s="71"/>
    </row>
    <row r="6416" spans="1:25" ht="30" hidden="1" customHeight="1" x14ac:dyDescent="0.25">
      <c r="A6416" s="1145">
        <v>45247</v>
      </c>
      <c r="B6416" s="664" t="s">
        <v>575</v>
      </c>
      <c r="C6416" s="71" t="s">
        <v>3942</v>
      </c>
      <c r="D6416" s="71">
        <v>1</v>
      </c>
      <c r="E6416" s="102">
        <v>4000000</v>
      </c>
      <c r="F6416" s="102">
        <f t="shared" si="3243"/>
        <v>4400000</v>
      </c>
      <c r="G6416" s="102">
        <f t="shared" si="3244"/>
        <v>4000000</v>
      </c>
      <c r="H6416" s="690" t="s">
        <v>1431</v>
      </c>
      <c r="I6416" s="71" t="s">
        <v>1431</v>
      </c>
      <c r="J6416" s="53">
        <f t="shared" ref="J6416:J6421" si="3279">G6416-T6416</f>
        <v>883000</v>
      </c>
      <c r="K6416" s="63">
        <f t="shared" ref="K6416:K6421" si="3280">(J6416/(F6416/11*10))</f>
        <v>0.22075</v>
      </c>
      <c r="L6416" s="1212" t="s">
        <v>3927</v>
      </c>
      <c r="M6416" s="102"/>
      <c r="N6416" s="1192"/>
      <c r="O6416" s="71" t="s">
        <v>1130</v>
      </c>
      <c r="P6416" s="103" t="str">
        <f t="shared" si="3278"/>
        <v>드라이어 팬 제작(스페어)</v>
      </c>
      <c r="Q6416" s="71">
        <f t="shared" si="3258"/>
        <v>1</v>
      </c>
      <c r="R6416" s="102">
        <v>3117000</v>
      </c>
      <c r="S6416" s="102">
        <f t="shared" ref="S6416" si="3281">R6416*Q6416*1.1</f>
        <v>3428700.0000000005</v>
      </c>
      <c r="T6416" s="102">
        <f t="shared" ref="T6416" si="3282">R6416*Q6416</f>
        <v>3117000</v>
      </c>
      <c r="U6416" s="71"/>
      <c r="V6416" s="71"/>
      <c r="W6416" s="474"/>
      <c r="X6416" s="71"/>
      <c r="Y6416" s="71"/>
    </row>
    <row r="6417" spans="1:25" s="209" customFormat="1" ht="30" hidden="1" customHeight="1" x14ac:dyDescent="0.25">
      <c r="A6417" s="1145">
        <v>45236</v>
      </c>
      <c r="B6417" s="664" t="s">
        <v>1178</v>
      </c>
      <c r="C6417" s="71" t="s">
        <v>3943</v>
      </c>
      <c r="D6417" s="71">
        <v>1</v>
      </c>
      <c r="E6417" s="102">
        <v>13580000</v>
      </c>
      <c r="F6417" s="102">
        <f t="shared" si="3243"/>
        <v>14938000.000000002</v>
      </c>
      <c r="G6417" s="102">
        <f t="shared" si="3244"/>
        <v>13580000</v>
      </c>
      <c r="H6417" s="690" t="s">
        <v>142</v>
      </c>
      <c r="I6417" s="690" t="s">
        <v>142</v>
      </c>
      <c r="J6417" s="53">
        <f t="shared" si="3279"/>
        <v>5880000</v>
      </c>
      <c r="K6417" s="63">
        <f t="shared" si="3280"/>
        <v>0.43298969072164945</v>
      </c>
      <c r="L6417" s="1212" t="s">
        <v>3927</v>
      </c>
      <c r="M6417" s="468"/>
      <c r="N6417" s="1192"/>
      <c r="O6417" s="71" t="s">
        <v>2470</v>
      </c>
      <c r="P6417" s="103" t="str">
        <f t="shared" si="3278"/>
        <v>리프 스프링, 필라멘트 외</v>
      </c>
      <c r="Q6417" s="71">
        <f t="shared" si="3258"/>
        <v>1</v>
      </c>
      <c r="R6417" s="102">
        <v>7700000</v>
      </c>
      <c r="S6417" s="102">
        <f t="shared" ref="S6417" si="3283">R6417*Q6417*1.1</f>
        <v>8470000</v>
      </c>
      <c r="T6417" s="102">
        <f t="shared" ref="T6417" si="3284">R6417*Q6417</f>
        <v>7700000</v>
      </c>
      <c r="U6417" s="71"/>
      <c r="V6417" s="71"/>
      <c r="W6417" s="474"/>
      <c r="X6417" s="71"/>
      <c r="Y6417" s="71"/>
    </row>
    <row r="6418" spans="1:25" ht="30" hidden="1" customHeight="1" x14ac:dyDescent="0.25">
      <c r="A6418" s="1145">
        <v>45236</v>
      </c>
      <c r="B6418" s="664" t="s">
        <v>1178</v>
      </c>
      <c r="C6418" s="71" t="s">
        <v>3944</v>
      </c>
      <c r="D6418" s="71">
        <v>1</v>
      </c>
      <c r="E6418" s="102">
        <v>9000000</v>
      </c>
      <c r="F6418" s="102">
        <f t="shared" si="3243"/>
        <v>9900000</v>
      </c>
      <c r="G6418" s="102">
        <f t="shared" si="3244"/>
        <v>9000000</v>
      </c>
      <c r="H6418" s="690" t="s">
        <v>142</v>
      </c>
      <c r="I6418" s="690" t="s">
        <v>142</v>
      </c>
      <c r="J6418" s="53">
        <f t="shared" si="3279"/>
        <v>3500000</v>
      </c>
      <c r="K6418" s="63">
        <f t="shared" si="3280"/>
        <v>0.3888888888888889</v>
      </c>
      <c r="L6418" s="1212" t="s">
        <v>3927</v>
      </c>
      <c r="M6418" s="468"/>
      <c r="N6418" s="1192"/>
      <c r="O6418" s="71" t="s">
        <v>2470</v>
      </c>
      <c r="P6418" s="103" t="str">
        <f t="shared" si="3278"/>
        <v>호일 36“ PRD</v>
      </c>
      <c r="Q6418" s="71">
        <f t="shared" si="3258"/>
        <v>1</v>
      </c>
      <c r="R6418" s="102">
        <v>5500000</v>
      </c>
      <c r="S6418" s="102">
        <f t="shared" ref="S6418" si="3285">R6418*Q6418*1.1</f>
        <v>6050000.0000000009</v>
      </c>
      <c r="T6418" s="102">
        <f t="shared" ref="T6418" si="3286">R6418*Q6418</f>
        <v>5500000</v>
      </c>
      <c r="U6418" s="71"/>
      <c r="V6418" s="71"/>
      <c r="W6418" s="474"/>
      <c r="X6418" s="71"/>
      <c r="Y6418" s="71"/>
    </row>
    <row r="6419" spans="1:25" s="209" customFormat="1" ht="30" hidden="1" customHeight="1" x14ac:dyDescent="0.25">
      <c r="A6419" s="1145">
        <v>45236</v>
      </c>
      <c r="B6419" s="664" t="s">
        <v>1178</v>
      </c>
      <c r="C6419" s="71" t="s">
        <v>3945</v>
      </c>
      <c r="D6419" s="71">
        <v>4</v>
      </c>
      <c r="E6419" s="102">
        <v>318182</v>
      </c>
      <c r="F6419" s="102">
        <f>(E6419*D6419)*1.1-1</f>
        <v>1399999.8</v>
      </c>
      <c r="G6419" s="102">
        <f t="shared" si="3244"/>
        <v>1272728</v>
      </c>
      <c r="H6419" s="690" t="s">
        <v>142</v>
      </c>
      <c r="I6419" s="690" t="s">
        <v>142</v>
      </c>
      <c r="J6419" s="53">
        <f t="shared" si="3279"/>
        <v>592728</v>
      </c>
      <c r="K6419" s="63">
        <f t="shared" si="3280"/>
        <v>0.46571492367356054</v>
      </c>
      <c r="L6419" s="1212" t="s">
        <v>3927</v>
      </c>
      <c r="M6419" s="468"/>
      <c r="N6419" s="1192"/>
      <c r="O6419" s="71" t="s">
        <v>2470</v>
      </c>
      <c r="P6419" s="103" t="str">
        <f t="shared" si="3278"/>
        <v>O-ring (v) 139x28.5 ID</v>
      </c>
      <c r="Q6419" s="71">
        <f t="shared" si="3258"/>
        <v>4</v>
      </c>
      <c r="R6419" s="102">
        <v>170000</v>
      </c>
      <c r="S6419" s="102">
        <f t="shared" ref="S6419" si="3287">R6419*Q6419*1.1</f>
        <v>748000.00000000012</v>
      </c>
      <c r="T6419" s="102">
        <f t="shared" ref="T6419" si="3288">R6419*Q6419</f>
        <v>680000</v>
      </c>
      <c r="U6419" s="71"/>
      <c r="V6419" s="71"/>
      <c r="W6419" s="474"/>
      <c r="X6419" s="71"/>
      <c r="Y6419" s="71"/>
    </row>
    <row r="6420" spans="1:25" ht="30" hidden="1" customHeight="1" x14ac:dyDescent="0.25">
      <c r="A6420" s="1145">
        <v>45258</v>
      </c>
      <c r="B6420" s="664" t="s">
        <v>1593</v>
      </c>
      <c r="C6420" s="71" t="s">
        <v>3946</v>
      </c>
      <c r="D6420" s="71">
        <v>1</v>
      </c>
      <c r="E6420" s="102">
        <v>400000</v>
      </c>
      <c r="F6420" s="102">
        <f t="shared" si="3243"/>
        <v>440000.00000000006</v>
      </c>
      <c r="G6420" s="102">
        <f t="shared" si="3244"/>
        <v>400000</v>
      </c>
      <c r="H6420" s="690" t="s">
        <v>142</v>
      </c>
      <c r="I6420" s="690" t="s">
        <v>142</v>
      </c>
      <c r="J6420" s="53">
        <f t="shared" si="3279"/>
        <v>173760</v>
      </c>
      <c r="K6420" s="63">
        <f t="shared" si="3280"/>
        <v>0.43439999999999995</v>
      </c>
      <c r="L6420" s="1212" t="s">
        <v>3927</v>
      </c>
      <c r="M6420" s="102"/>
      <c r="N6420" s="1192"/>
      <c r="O6420" s="71" t="s">
        <v>94</v>
      </c>
      <c r="P6420" s="103" t="str">
        <f t="shared" si="3278"/>
        <v>Spraybar sleeve assy</v>
      </c>
      <c r="Q6420" s="71">
        <f t="shared" si="3258"/>
        <v>1</v>
      </c>
      <c r="R6420" s="102">
        <v>226240</v>
      </c>
      <c r="S6420" s="102">
        <f t="shared" ref="S6420:S6421" si="3289">R6420*Q6420*1.1</f>
        <v>248864.00000000003</v>
      </c>
      <c r="T6420" s="102">
        <f t="shared" ref="T6420:T6421" si="3290">R6420*Q6420</f>
        <v>226240</v>
      </c>
      <c r="U6420" s="71"/>
      <c r="V6420" s="71"/>
      <c r="W6420" s="474"/>
      <c r="X6420" s="71"/>
      <c r="Y6420" s="71"/>
    </row>
    <row r="6421" spans="1:25" ht="30" hidden="1" customHeight="1" x14ac:dyDescent="0.25">
      <c r="A6421" s="1145">
        <v>45258</v>
      </c>
      <c r="B6421" s="664" t="s">
        <v>1593</v>
      </c>
      <c r="C6421" s="71" t="s">
        <v>3947</v>
      </c>
      <c r="D6421" s="71">
        <v>20</v>
      </c>
      <c r="E6421" s="102">
        <v>4200</v>
      </c>
      <c r="F6421" s="102">
        <f t="shared" si="3243"/>
        <v>92400.000000000015</v>
      </c>
      <c r="G6421" s="102">
        <f t="shared" si="3244"/>
        <v>84000</v>
      </c>
      <c r="H6421" s="690" t="s">
        <v>142</v>
      </c>
      <c r="I6421" s="690" t="s">
        <v>142</v>
      </c>
      <c r="J6421" s="53">
        <f t="shared" si="3279"/>
        <v>56000</v>
      </c>
      <c r="K6421" s="63">
        <f t="shared" si="3280"/>
        <v>0.66666666666666652</v>
      </c>
      <c r="L6421" s="1212" t="s">
        <v>3927</v>
      </c>
      <c r="M6421" s="102"/>
      <c r="N6421" s="1192"/>
      <c r="O6421" s="71" t="s">
        <v>94</v>
      </c>
      <c r="P6421" s="103" t="str">
        <f t="shared" si="3278"/>
        <v>Spray Hex Jam Nut</v>
      </c>
      <c r="Q6421" s="71">
        <f t="shared" si="3258"/>
        <v>20</v>
      </c>
      <c r="R6421" s="102">
        <v>1400</v>
      </c>
      <c r="S6421" s="102">
        <f t="shared" si="3289"/>
        <v>30800.000000000004</v>
      </c>
      <c r="T6421" s="102">
        <f t="shared" si="3290"/>
        <v>28000</v>
      </c>
      <c r="U6421" s="71"/>
      <c r="V6421" s="71"/>
      <c r="W6421" s="474"/>
      <c r="X6421" s="71"/>
      <c r="Y6421" s="71"/>
    </row>
    <row r="6422" spans="1:25" ht="30" hidden="1" customHeight="1" x14ac:dyDescent="0.25">
      <c r="A6422" s="1210" t="s">
        <v>3970</v>
      </c>
      <c r="B6422" s="1211" t="s">
        <v>544</v>
      </c>
      <c r="C6422" s="960"/>
      <c r="D6422" s="960"/>
      <c r="E6422" s="952"/>
      <c r="F6422" s="952"/>
      <c r="G6422" s="952"/>
      <c r="H6422" s="1206"/>
      <c r="I6422" s="960"/>
      <c r="J6422" s="952"/>
      <c r="K6422" s="953"/>
      <c r="L6422" s="1212" t="s">
        <v>3968</v>
      </c>
      <c r="M6422" s="1207"/>
      <c r="N6422" s="1208" t="str">
        <f t="shared" ref="N6422:N6424" si="3291">A6422</f>
        <v>2023,12</v>
      </c>
      <c r="O6422" s="960"/>
      <c r="P6422" s="1209"/>
      <c r="Q6422" s="960"/>
      <c r="R6422" s="952"/>
      <c r="S6422" s="952"/>
      <c r="T6422" s="952"/>
      <c r="U6422" s="960"/>
      <c r="V6422" s="960"/>
      <c r="W6422" s="474">
        <f>(G6422-T6422)</f>
        <v>0</v>
      </c>
      <c r="X6422" s="71"/>
      <c r="Y6422" s="71"/>
    </row>
    <row r="6423" spans="1:25" ht="30" customHeight="1" x14ac:dyDescent="0.25">
      <c r="A6423" s="1145">
        <v>45282</v>
      </c>
      <c r="B6423" s="664" t="s">
        <v>565</v>
      </c>
      <c r="C6423" s="71" t="s">
        <v>3748</v>
      </c>
      <c r="D6423" s="71">
        <v>2</v>
      </c>
      <c r="E6423" s="102">
        <v>90000</v>
      </c>
      <c r="F6423" s="102">
        <f t="shared" ref="F6423" si="3292">(E6423*D6423)*1.1</f>
        <v>198000.00000000003</v>
      </c>
      <c r="G6423" s="102">
        <f t="shared" ref="G6423" si="3293">(E6423*D6423)</f>
        <v>180000</v>
      </c>
      <c r="H6423" s="690" t="s">
        <v>142</v>
      </c>
      <c r="I6423" s="71" t="s">
        <v>179</v>
      </c>
      <c r="J6423" s="53">
        <f t="shared" ref="J6423" si="3294">G6423-T6423</f>
        <v>16000</v>
      </c>
      <c r="K6423" s="63">
        <f t="shared" ref="K6423" si="3295">(J6423/(F6423/11*10))</f>
        <v>8.8888888888888878E-2</v>
      </c>
      <c r="L6423" s="1212" t="s">
        <v>3969</v>
      </c>
      <c r="M6423" s="468"/>
      <c r="N6423" s="1192">
        <f t="shared" si="3291"/>
        <v>45282</v>
      </c>
      <c r="O6423" s="71" t="s">
        <v>194</v>
      </c>
      <c r="P6423" s="103" t="str">
        <f t="shared" ref="P6423:P6435" si="3296">(C6423)</f>
        <v>제판실 베어링</v>
      </c>
      <c r="Q6423" s="71">
        <f t="shared" ref="Q6423:Q6435" si="3297">D6423</f>
        <v>2</v>
      </c>
      <c r="R6423" s="147">
        <v>82000</v>
      </c>
      <c r="S6423" s="102">
        <f t="shared" ref="S6423" si="3298">R6423*Q6423*1.1</f>
        <v>180400.00000000003</v>
      </c>
      <c r="T6423" s="102">
        <f t="shared" ref="T6423" si="3299">R6423*Q6423</f>
        <v>164000</v>
      </c>
      <c r="U6423" s="71"/>
      <c r="V6423" s="71"/>
      <c r="W6423" s="474"/>
      <c r="X6423" s="71"/>
      <c r="Y6423" s="71"/>
    </row>
    <row r="6424" spans="1:25" ht="30" customHeight="1" x14ac:dyDescent="0.25">
      <c r="A6424" s="1145">
        <v>45265</v>
      </c>
      <c r="B6424" s="664" t="s">
        <v>2352</v>
      </c>
      <c r="C6424" s="71" t="s">
        <v>692</v>
      </c>
      <c r="D6424" s="71">
        <v>2</v>
      </c>
      <c r="E6424" s="102">
        <v>264000</v>
      </c>
      <c r="F6424" s="102">
        <f t="shared" ref="F6424:F6431" si="3300">(E6424*D6424)*1.1</f>
        <v>580800</v>
      </c>
      <c r="G6424" s="102">
        <f t="shared" ref="G6424:G6431" si="3301">(E6424*D6424)</f>
        <v>528000</v>
      </c>
      <c r="H6424" s="690" t="s">
        <v>142</v>
      </c>
      <c r="I6424" s="71" t="s">
        <v>179</v>
      </c>
      <c r="J6424" s="53">
        <f t="shared" ref="J6424:J6425" si="3302">G6424-T6424</f>
        <v>195000</v>
      </c>
      <c r="K6424" s="63">
        <f t="shared" ref="K6424:K6425" si="3303">(J6424/(F6424/11*10))</f>
        <v>0.36931818181818182</v>
      </c>
      <c r="L6424" s="1212" t="s">
        <v>3967</v>
      </c>
      <c r="M6424" s="468" t="s">
        <v>2052</v>
      </c>
      <c r="N6424" s="1192">
        <f t="shared" si="3291"/>
        <v>45265</v>
      </c>
      <c r="O6424" s="71" t="s">
        <v>150</v>
      </c>
      <c r="P6424" s="103" t="str">
        <f t="shared" si="3296"/>
        <v>윤전 블랑켓</v>
      </c>
      <c r="Q6424" s="71">
        <f t="shared" si="3297"/>
        <v>2</v>
      </c>
      <c r="R6424" s="102">
        <v>166500</v>
      </c>
      <c r="S6424" s="102">
        <f t="shared" ref="S6424:S6431" si="3304">R6424*Q6424*1.1</f>
        <v>366300.00000000006</v>
      </c>
      <c r="T6424" s="102">
        <f t="shared" ref="T6424:T6431" si="3305">R6424*Q6424</f>
        <v>333000</v>
      </c>
      <c r="U6424" s="71" t="str">
        <f>IF(J6424=W6424,"O", "X")</f>
        <v>O</v>
      </c>
      <c r="V6424" s="71" t="s">
        <v>784</v>
      </c>
      <c r="W6424" s="474">
        <f>(G6424-T6424)</f>
        <v>195000</v>
      </c>
      <c r="X6424" s="71"/>
      <c r="Y6424" s="71"/>
    </row>
    <row r="6425" spans="1:25" ht="30" customHeight="1" x14ac:dyDescent="0.25">
      <c r="A6425" s="1145">
        <v>45265</v>
      </c>
      <c r="B6425" s="664" t="s">
        <v>2352</v>
      </c>
      <c r="C6425" s="760" t="s">
        <v>218</v>
      </c>
      <c r="D6425" s="71">
        <v>3</v>
      </c>
      <c r="E6425" s="102">
        <v>286000</v>
      </c>
      <c r="F6425" s="102">
        <f t="shared" si="3300"/>
        <v>943800.00000000012</v>
      </c>
      <c r="G6425" s="102">
        <f t="shared" si="3301"/>
        <v>858000</v>
      </c>
      <c r="H6425" s="690" t="s">
        <v>142</v>
      </c>
      <c r="I6425" s="71" t="s">
        <v>179</v>
      </c>
      <c r="J6425" s="53">
        <f t="shared" si="3302"/>
        <v>486000</v>
      </c>
      <c r="K6425" s="63">
        <f t="shared" si="3303"/>
        <v>0.56643356643356635</v>
      </c>
      <c r="L6425" s="1212" t="s">
        <v>3967</v>
      </c>
      <c r="M6425" s="468" t="s">
        <v>2053</v>
      </c>
      <c r="N6425" s="1192">
        <f t="shared" ref="N6425" si="3306">A6425</f>
        <v>45265</v>
      </c>
      <c r="O6425" s="71" t="s">
        <v>150</v>
      </c>
      <c r="P6425" s="103" t="str">
        <f t="shared" si="3296"/>
        <v>Fount Web 551AF</v>
      </c>
      <c r="Q6425" s="71">
        <f t="shared" si="3297"/>
        <v>3</v>
      </c>
      <c r="R6425" s="102">
        <v>124000</v>
      </c>
      <c r="S6425" s="102">
        <f t="shared" si="3304"/>
        <v>409200.00000000006</v>
      </c>
      <c r="T6425" s="102">
        <f t="shared" si="3305"/>
        <v>372000</v>
      </c>
      <c r="U6425" s="71" t="str">
        <f>IF(J6425=W6425,"O", "X")</f>
        <v>O</v>
      </c>
      <c r="V6425" s="71"/>
      <c r="W6425" s="474">
        <f>(G6425-T6425)</f>
        <v>486000</v>
      </c>
      <c r="X6425" s="71"/>
      <c r="Y6425" s="71"/>
    </row>
    <row r="6426" spans="1:25" ht="30" customHeight="1" x14ac:dyDescent="0.25">
      <c r="A6426" s="1145">
        <v>45265</v>
      </c>
      <c r="B6426" s="664" t="s">
        <v>2352</v>
      </c>
      <c r="C6426" s="71" t="s">
        <v>3836</v>
      </c>
      <c r="D6426" s="71">
        <v>64</v>
      </c>
      <c r="E6426" s="102">
        <v>18500</v>
      </c>
      <c r="F6426" s="102">
        <f t="shared" si="3300"/>
        <v>1302400</v>
      </c>
      <c r="G6426" s="102">
        <f t="shared" si="3301"/>
        <v>1184000</v>
      </c>
      <c r="H6426" s="690" t="s">
        <v>179</v>
      </c>
      <c r="I6426" s="71" t="s">
        <v>179</v>
      </c>
      <c r="J6426" s="53">
        <f>G6426-T6426</f>
        <v>474624</v>
      </c>
      <c r="K6426" s="63">
        <f>(J6426/(F6426/11*10))</f>
        <v>0.40086486486486489</v>
      </c>
      <c r="L6426" s="1212" t="s">
        <v>3967</v>
      </c>
      <c r="M6426" s="468"/>
      <c r="N6426" s="1192">
        <f>A6426</f>
        <v>45265</v>
      </c>
      <c r="O6426" s="71"/>
      <c r="P6426" s="103" t="str">
        <f t="shared" si="3296"/>
        <v>고모리 윤전 블랑켓 건식 세정포 - 국전용</v>
      </c>
      <c r="Q6426" s="71">
        <f t="shared" si="3297"/>
        <v>64</v>
      </c>
      <c r="R6426" s="102">
        <v>11084</v>
      </c>
      <c r="S6426" s="102">
        <f t="shared" si="3304"/>
        <v>780313.60000000009</v>
      </c>
      <c r="T6426" s="102">
        <f t="shared" si="3305"/>
        <v>709376</v>
      </c>
      <c r="U6426" s="71"/>
      <c r="V6426" s="71"/>
      <c r="W6426" s="474"/>
      <c r="X6426" s="71"/>
      <c r="Y6426" s="71"/>
    </row>
    <row r="6427" spans="1:25" ht="30" customHeight="1" x14ac:dyDescent="0.25">
      <c r="A6427" s="1145">
        <v>45281</v>
      </c>
      <c r="B6427" s="664" t="s">
        <v>2352</v>
      </c>
      <c r="C6427" s="71" t="s">
        <v>3836</v>
      </c>
      <c r="D6427" s="71">
        <v>48</v>
      </c>
      <c r="E6427" s="102">
        <v>18500</v>
      </c>
      <c r="F6427" s="102">
        <f t="shared" si="3300"/>
        <v>976800.00000000012</v>
      </c>
      <c r="G6427" s="102">
        <f t="shared" si="3301"/>
        <v>888000</v>
      </c>
      <c r="H6427" s="690" t="s">
        <v>179</v>
      </c>
      <c r="I6427" s="71" t="s">
        <v>179</v>
      </c>
      <c r="J6427" s="53">
        <f>G6427-T6427</f>
        <v>355968</v>
      </c>
      <c r="K6427" s="63">
        <f>(J6427/(F6427/11*10))</f>
        <v>0.40086486486486483</v>
      </c>
      <c r="L6427" s="1212" t="s">
        <v>3967</v>
      </c>
      <c r="M6427" s="468"/>
      <c r="N6427" s="1192">
        <f>A6427</f>
        <v>45281</v>
      </c>
      <c r="O6427" s="71"/>
      <c r="P6427" s="103" t="str">
        <f t="shared" si="3296"/>
        <v>고모리 윤전 블랑켓 건식 세정포 - 국전용</v>
      </c>
      <c r="Q6427" s="71">
        <f t="shared" si="3297"/>
        <v>48</v>
      </c>
      <c r="R6427" s="102">
        <v>11084</v>
      </c>
      <c r="S6427" s="102">
        <f t="shared" si="3304"/>
        <v>585235.20000000007</v>
      </c>
      <c r="T6427" s="102">
        <f t="shared" si="3305"/>
        <v>532032</v>
      </c>
      <c r="U6427" s="71"/>
      <c r="V6427" s="71"/>
      <c r="W6427" s="474"/>
      <c r="X6427" s="71"/>
      <c r="Y6427" s="71"/>
    </row>
    <row r="6428" spans="1:25" ht="30" customHeight="1" x14ac:dyDescent="0.25">
      <c r="A6428" s="1145">
        <v>45281</v>
      </c>
      <c r="B6428" s="664" t="s">
        <v>2352</v>
      </c>
      <c r="C6428" s="71" t="s">
        <v>3837</v>
      </c>
      <c r="D6428" s="71">
        <v>48</v>
      </c>
      <c r="E6428" s="102">
        <v>13500</v>
      </c>
      <c r="F6428" s="102">
        <f t="shared" si="3300"/>
        <v>712800</v>
      </c>
      <c r="G6428" s="102">
        <f t="shared" si="3301"/>
        <v>648000</v>
      </c>
      <c r="H6428" s="690" t="s">
        <v>179</v>
      </c>
      <c r="I6428" s="71" t="s">
        <v>179</v>
      </c>
      <c r="J6428" s="53">
        <f t="shared" ref="J6428:J6431" si="3307">G6428-T6428</f>
        <v>246480</v>
      </c>
      <c r="K6428" s="63">
        <f t="shared" ref="K6428:K6431" si="3308">(J6428/(F6428/11*10))</f>
        <v>0.38037037037037036</v>
      </c>
      <c r="L6428" s="1212" t="s">
        <v>3967</v>
      </c>
      <c r="M6428" s="468"/>
      <c r="N6428" s="1192">
        <f>A6428</f>
        <v>45281</v>
      </c>
      <c r="O6428" s="71"/>
      <c r="P6428" s="103" t="str">
        <f t="shared" si="3296"/>
        <v>고모리 윤전 블랑켓 건식 세정포 - 4x6용</v>
      </c>
      <c r="Q6428" s="71">
        <f t="shared" si="3297"/>
        <v>48</v>
      </c>
      <c r="R6428" s="102">
        <v>8365</v>
      </c>
      <c r="S6428" s="102">
        <f t="shared" si="3304"/>
        <v>441672.00000000006</v>
      </c>
      <c r="T6428" s="102">
        <f t="shared" si="3305"/>
        <v>401520</v>
      </c>
      <c r="U6428" s="71"/>
      <c r="V6428" s="71"/>
      <c r="W6428" s="474"/>
      <c r="X6428" s="71"/>
      <c r="Y6428" s="71"/>
    </row>
    <row r="6429" spans="1:25" ht="30" customHeight="1" x14ac:dyDescent="0.25">
      <c r="A6429" s="1145">
        <v>45281</v>
      </c>
      <c r="B6429" s="664" t="s">
        <v>2352</v>
      </c>
      <c r="C6429" s="71" t="s">
        <v>3954</v>
      </c>
      <c r="D6429" s="71">
        <v>10</v>
      </c>
      <c r="E6429" s="102">
        <v>25000</v>
      </c>
      <c r="F6429" s="102">
        <f t="shared" si="3300"/>
        <v>275000</v>
      </c>
      <c r="G6429" s="102">
        <f t="shared" si="3301"/>
        <v>250000</v>
      </c>
      <c r="H6429" s="690" t="s">
        <v>142</v>
      </c>
      <c r="I6429" s="71" t="s">
        <v>179</v>
      </c>
      <c r="J6429" s="53">
        <f t="shared" si="3307"/>
        <v>0</v>
      </c>
      <c r="K6429" s="63">
        <f t="shared" si="3308"/>
        <v>0</v>
      </c>
      <c r="L6429" s="1212" t="s">
        <v>3967</v>
      </c>
      <c r="M6429" s="102"/>
      <c r="N6429" s="1192">
        <f t="shared" ref="N6429:N6431" si="3309">A6429</f>
        <v>45281</v>
      </c>
      <c r="O6429" s="71" t="s">
        <v>939</v>
      </c>
      <c r="P6429" s="103" t="str">
        <f t="shared" si="3296"/>
        <v>국전 블랑켓 패킹지 0.22</v>
      </c>
      <c r="Q6429" s="71">
        <f t="shared" si="3297"/>
        <v>10</v>
      </c>
      <c r="R6429" s="102">
        <v>25000</v>
      </c>
      <c r="S6429" s="102">
        <f t="shared" si="3304"/>
        <v>275000</v>
      </c>
      <c r="T6429" s="102">
        <f t="shared" si="3305"/>
        <v>250000</v>
      </c>
      <c r="U6429" s="71"/>
      <c r="V6429" s="71"/>
      <c r="W6429" s="474"/>
      <c r="X6429" s="71"/>
      <c r="Y6429" s="71"/>
    </row>
    <row r="6430" spans="1:25" ht="30" customHeight="1" x14ac:dyDescent="0.25">
      <c r="A6430" s="1145">
        <v>45281</v>
      </c>
      <c r="B6430" s="664" t="s">
        <v>2352</v>
      </c>
      <c r="C6430" s="71" t="s">
        <v>3955</v>
      </c>
      <c r="D6430" s="71">
        <v>10</v>
      </c>
      <c r="E6430" s="102">
        <v>20000</v>
      </c>
      <c r="F6430" s="102">
        <f t="shared" si="3300"/>
        <v>220000.00000000003</v>
      </c>
      <c r="G6430" s="102">
        <f t="shared" si="3301"/>
        <v>200000</v>
      </c>
      <c r="H6430" s="690" t="s">
        <v>142</v>
      </c>
      <c r="I6430" s="71" t="s">
        <v>179</v>
      </c>
      <c r="J6430" s="53">
        <f t="shared" si="3307"/>
        <v>22000</v>
      </c>
      <c r="K6430" s="63">
        <f t="shared" si="3308"/>
        <v>0.10999999999999999</v>
      </c>
      <c r="L6430" s="1212" t="s">
        <v>3967</v>
      </c>
      <c r="M6430" s="468"/>
      <c r="N6430" s="1192">
        <f t="shared" si="3309"/>
        <v>45281</v>
      </c>
      <c r="O6430" s="71" t="s">
        <v>151</v>
      </c>
      <c r="P6430" s="164" t="str">
        <f t="shared" si="3296"/>
        <v>국전 블랑켓 패킹지 0.20</v>
      </c>
      <c r="Q6430" s="71">
        <f t="shared" si="3297"/>
        <v>10</v>
      </c>
      <c r="R6430" s="102">
        <v>17800</v>
      </c>
      <c r="S6430" s="102">
        <f t="shared" si="3304"/>
        <v>195800.00000000003</v>
      </c>
      <c r="T6430" s="102">
        <f t="shared" si="3305"/>
        <v>178000</v>
      </c>
      <c r="U6430" s="71"/>
      <c r="V6430" s="71"/>
      <c r="W6430" s="474"/>
      <c r="X6430" s="71"/>
      <c r="Y6430" s="71"/>
    </row>
    <row r="6431" spans="1:25" ht="30" customHeight="1" x14ac:dyDescent="0.25">
      <c r="A6431" s="1145">
        <v>45280</v>
      </c>
      <c r="B6431" s="664" t="s">
        <v>2536</v>
      </c>
      <c r="C6431" s="71" t="s">
        <v>3956</v>
      </c>
      <c r="D6431" s="71">
        <v>2</v>
      </c>
      <c r="E6431" s="102">
        <v>480000</v>
      </c>
      <c r="F6431" s="102">
        <f t="shared" si="3300"/>
        <v>1056000</v>
      </c>
      <c r="G6431" s="102">
        <f t="shared" si="3301"/>
        <v>960000</v>
      </c>
      <c r="H6431" s="690" t="s">
        <v>1431</v>
      </c>
      <c r="I6431" s="71" t="s">
        <v>1431</v>
      </c>
      <c r="J6431" s="53">
        <f t="shared" si="3307"/>
        <v>446512</v>
      </c>
      <c r="K6431" s="63">
        <f t="shared" si="3308"/>
        <v>0.46511666666666668</v>
      </c>
      <c r="L6431" s="1212" t="s">
        <v>3967</v>
      </c>
      <c r="M6431" s="468"/>
      <c r="N6431" s="1192">
        <f t="shared" si="3309"/>
        <v>45280</v>
      </c>
      <c r="O6431" s="71" t="s">
        <v>1431</v>
      </c>
      <c r="P6431" s="103" t="str">
        <f t="shared" si="3296"/>
        <v>물 수위 센서</v>
      </c>
      <c r="Q6431" s="71">
        <f t="shared" si="3297"/>
        <v>2</v>
      </c>
      <c r="R6431" s="147">
        <v>256744</v>
      </c>
      <c r="S6431" s="102">
        <f t="shared" si="3304"/>
        <v>564836.80000000005</v>
      </c>
      <c r="T6431" s="102">
        <f t="shared" si="3305"/>
        <v>513488</v>
      </c>
      <c r="U6431" s="71"/>
      <c r="V6431" s="71"/>
      <c r="W6431" s="474"/>
      <c r="X6431" s="71"/>
      <c r="Y6431" s="71"/>
    </row>
    <row r="6432" spans="1:25" ht="30" hidden="1" customHeight="1" x14ac:dyDescent="0.25">
      <c r="A6432" s="1145">
        <v>45271</v>
      </c>
      <c r="B6432" s="664" t="s">
        <v>2353</v>
      </c>
      <c r="C6432" s="71" t="s">
        <v>129</v>
      </c>
      <c r="D6432" s="71">
        <v>7</v>
      </c>
      <c r="E6432" s="102">
        <v>325000</v>
      </c>
      <c r="F6432" s="102">
        <f>(E6432*D6432)*1.1</f>
        <v>2502500</v>
      </c>
      <c r="G6432" s="102">
        <f>(E6432*D6432)</f>
        <v>2275000</v>
      </c>
      <c r="H6432" s="690" t="s">
        <v>142</v>
      </c>
      <c r="I6432" s="71" t="s">
        <v>179</v>
      </c>
      <c r="J6432" s="53">
        <f t="shared" ref="J6432:J6435" si="3310">G6432-T6432</f>
        <v>636440</v>
      </c>
      <c r="K6432" s="63">
        <f t="shared" ref="K6432:K6435" si="3311">(J6432/(F6432/11*10))</f>
        <v>0.27975384615384613</v>
      </c>
      <c r="L6432" s="1212" t="s">
        <v>3967</v>
      </c>
      <c r="M6432" s="468" t="s">
        <v>2050</v>
      </c>
      <c r="N6432" s="1192">
        <f t="shared" ref="N6432:N6435" si="3312">A6432</f>
        <v>45271</v>
      </c>
      <c r="O6432" s="71" t="s">
        <v>149</v>
      </c>
      <c r="P6432" s="103" t="str">
        <f t="shared" si="3296"/>
        <v>세정포-XL106</v>
      </c>
      <c r="Q6432" s="71">
        <f t="shared" si="3297"/>
        <v>7</v>
      </c>
      <c r="R6432" s="102">
        <v>234080</v>
      </c>
      <c r="S6432" s="102">
        <f t="shared" ref="S6432:S6435" si="3313">R6432*Q6432*1.1</f>
        <v>1802416.0000000002</v>
      </c>
      <c r="T6432" s="102">
        <f t="shared" ref="T6432:T6435" si="3314">R6432*Q6432</f>
        <v>1638560</v>
      </c>
      <c r="U6432" s="71" t="str">
        <f>IF(J6432=W6432,"O", "X")</f>
        <v>O</v>
      </c>
      <c r="V6432" s="71"/>
      <c r="W6432" s="474">
        <f>(G6432-T6432)</f>
        <v>636440</v>
      </c>
      <c r="X6432" s="71"/>
      <c r="Y6432" s="71"/>
    </row>
    <row r="6433" spans="1:25" s="209" customFormat="1" ht="30" hidden="1" customHeight="1" x14ac:dyDescent="0.25">
      <c r="A6433" s="1145">
        <v>45271</v>
      </c>
      <c r="B6433" s="664" t="s">
        <v>2353</v>
      </c>
      <c r="C6433" s="71" t="s">
        <v>3299</v>
      </c>
      <c r="D6433" s="71">
        <v>10</v>
      </c>
      <c r="E6433" s="102">
        <v>83000</v>
      </c>
      <c r="F6433" s="102">
        <f t="shared" ref="F6433" si="3315">(E6433*D6433)*1.1</f>
        <v>913000.00000000012</v>
      </c>
      <c r="G6433" s="102">
        <f t="shared" ref="G6433" si="3316">(E6433*D6433)</f>
        <v>830000</v>
      </c>
      <c r="H6433" s="690" t="s">
        <v>142</v>
      </c>
      <c r="I6433" s="71" t="s">
        <v>179</v>
      </c>
      <c r="J6433" s="53">
        <f t="shared" si="3310"/>
        <v>355000</v>
      </c>
      <c r="K6433" s="63">
        <f t="shared" si="3311"/>
        <v>0.42771084337349391</v>
      </c>
      <c r="L6433" s="1212" t="s">
        <v>3967</v>
      </c>
      <c r="M6433" s="468" t="s">
        <v>2214</v>
      </c>
      <c r="N6433" s="1192">
        <f t="shared" si="3312"/>
        <v>45271</v>
      </c>
      <c r="O6433" s="71" t="s">
        <v>3383</v>
      </c>
      <c r="P6433" s="103" t="str">
        <f t="shared" si="3296"/>
        <v>매엽용 세척제(Wash k11)</v>
      </c>
      <c r="Q6433" s="71">
        <f t="shared" si="3297"/>
        <v>10</v>
      </c>
      <c r="R6433" s="102">
        <v>47500</v>
      </c>
      <c r="S6433" s="102">
        <f t="shared" si="3313"/>
        <v>522500.00000000006</v>
      </c>
      <c r="T6433" s="102">
        <f t="shared" si="3314"/>
        <v>475000</v>
      </c>
      <c r="U6433" s="71" t="s">
        <v>859</v>
      </c>
      <c r="V6433" s="71"/>
      <c r="W6433" s="474">
        <v>136000</v>
      </c>
      <c r="X6433" s="71"/>
      <c r="Y6433" s="71"/>
    </row>
    <row r="6434" spans="1:25" s="209" customFormat="1" ht="30" hidden="1" customHeight="1" x14ac:dyDescent="0.25">
      <c r="A6434" s="1145">
        <v>45271</v>
      </c>
      <c r="B6434" s="664" t="s">
        <v>2353</v>
      </c>
      <c r="C6434" s="71" t="s">
        <v>130</v>
      </c>
      <c r="D6434" s="71">
        <v>10</v>
      </c>
      <c r="E6434" s="102">
        <v>148000</v>
      </c>
      <c r="F6434" s="102">
        <f>(E6434*D6434)*1.1</f>
        <v>1628000.0000000002</v>
      </c>
      <c r="G6434" s="102">
        <f>(E6434*D6434)</f>
        <v>1480000</v>
      </c>
      <c r="H6434" s="690" t="s">
        <v>142</v>
      </c>
      <c r="I6434" s="71" t="s">
        <v>179</v>
      </c>
      <c r="J6434" s="53">
        <f t="shared" si="3310"/>
        <v>360000</v>
      </c>
      <c r="K6434" s="63">
        <f t="shared" si="3311"/>
        <v>0.2432432432432432</v>
      </c>
      <c r="L6434" s="1212" t="s">
        <v>3967</v>
      </c>
      <c r="M6434" s="468" t="s">
        <v>2050</v>
      </c>
      <c r="N6434" s="1192">
        <f t="shared" si="3312"/>
        <v>45271</v>
      </c>
      <c r="O6434" s="71" t="s">
        <v>3383</v>
      </c>
      <c r="P6434" s="103" t="str">
        <f t="shared" si="3296"/>
        <v>XL106 Blanket(1077*885)</v>
      </c>
      <c r="Q6434" s="71">
        <f t="shared" si="3297"/>
        <v>10</v>
      </c>
      <c r="R6434" s="102">
        <v>112000</v>
      </c>
      <c r="S6434" s="102">
        <f t="shared" si="3313"/>
        <v>1232000</v>
      </c>
      <c r="T6434" s="102">
        <f t="shared" si="3314"/>
        <v>1120000</v>
      </c>
      <c r="U6434" s="71" t="s">
        <v>859</v>
      </c>
      <c r="V6434" s="71"/>
      <c r="W6434" s="474">
        <v>260000</v>
      </c>
      <c r="X6434" s="71"/>
      <c r="Y6434" s="71"/>
    </row>
    <row r="6435" spans="1:25" ht="30" hidden="1" customHeight="1" x14ac:dyDescent="0.25">
      <c r="A6435" s="1145">
        <v>45271</v>
      </c>
      <c r="B6435" s="664" t="s">
        <v>2579</v>
      </c>
      <c r="C6435" s="71" t="s">
        <v>3738</v>
      </c>
      <c r="D6435" s="71">
        <v>20</v>
      </c>
      <c r="E6435" s="102">
        <v>130000</v>
      </c>
      <c r="F6435" s="102">
        <f>(E6435*D6435)*1.1</f>
        <v>2860000</v>
      </c>
      <c r="G6435" s="102">
        <f>(E6435*D6435)</f>
        <v>2600000</v>
      </c>
      <c r="H6435" s="690" t="s">
        <v>142</v>
      </c>
      <c r="I6435" s="71" t="s">
        <v>142</v>
      </c>
      <c r="J6435" s="53">
        <f t="shared" si="3310"/>
        <v>486000</v>
      </c>
      <c r="K6435" s="63">
        <f t="shared" si="3311"/>
        <v>0.18692307692307691</v>
      </c>
      <c r="L6435" s="1212" t="s">
        <v>3967</v>
      </c>
      <c r="M6435" s="468"/>
      <c r="N6435" s="1192">
        <f t="shared" si="3312"/>
        <v>45271</v>
      </c>
      <c r="O6435" s="71" t="s">
        <v>147</v>
      </c>
      <c r="P6435" s="103" t="str">
        <f t="shared" si="3296"/>
        <v>블랑켓 - 고모리 용 (1040*920)</v>
      </c>
      <c r="Q6435" s="71">
        <f t="shared" si="3297"/>
        <v>20</v>
      </c>
      <c r="R6435" s="102">
        <v>105700</v>
      </c>
      <c r="S6435" s="102">
        <f t="shared" si="3313"/>
        <v>2325400</v>
      </c>
      <c r="T6435" s="102">
        <f t="shared" si="3314"/>
        <v>2114000</v>
      </c>
      <c r="U6435" s="71"/>
      <c r="V6435" s="71"/>
      <c r="W6435" s="474"/>
      <c r="X6435" s="71"/>
      <c r="Y6435" s="71"/>
    </row>
    <row r="6436" spans="1:25" ht="30" hidden="1" customHeight="1" x14ac:dyDescent="0.25">
      <c r="A6436" s="1145">
        <v>45280</v>
      </c>
      <c r="B6436" s="664" t="s">
        <v>2353</v>
      </c>
      <c r="C6436" s="71" t="s">
        <v>129</v>
      </c>
      <c r="D6436" s="71">
        <v>7</v>
      </c>
      <c r="E6436" s="102">
        <v>325000</v>
      </c>
      <c r="F6436" s="102">
        <f>(E6436*D6436)*1.1</f>
        <v>2502500</v>
      </c>
      <c r="G6436" s="102">
        <f>(E6436*D6436)</f>
        <v>2275000</v>
      </c>
      <c r="H6436" s="690" t="s">
        <v>142</v>
      </c>
      <c r="I6436" s="71" t="s">
        <v>179</v>
      </c>
      <c r="J6436" s="53">
        <f t="shared" ref="J6436:J6444" si="3317">G6436-T6436</f>
        <v>636440</v>
      </c>
      <c r="K6436" s="63">
        <f t="shared" ref="K6436:K6444" si="3318">(J6436/(F6436/11*10))</f>
        <v>0.27975384615384613</v>
      </c>
      <c r="L6436" s="1212" t="s">
        <v>3967</v>
      </c>
      <c r="M6436" s="468" t="s">
        <v>2050</v>
      </c>
      <c r="N6436" s="1192">
        <f t="shared" ref="N6436:N6444" si="3319">A6436</f>
        <v>45280</v>
      </c>
      <c r="O6436" s="71" t="s">
        <v>149</v>
      </c>
      <c r="P6436" s="103" t="str">
        <f t="shared" ref="P6436:P6445" si="3320">(C6436)</f>
        <v>세정포-XL106</v>
      </c>
      <c r="Q6436" s="71">
        <f t="shared" ref="Q6436:Q6444" si="3321">D6436</f>
        <v>7</v>
      </c>
      <c r="R6436" s="102">
        <v>234080</v>
      </c>
      <c r="S6436" s="102">
        <f t="shared" ref="S6436:S6444" si="3322">R6436*Q6436*1.1</f>
        <v>1802416.0000000002</v>
      </c>
      <c r="T6436" s="102">
        <f t="shared" ref="T6436:T6444" si="3323">R6436*Q6436</f>
        <v>1638560</v>
      </c>
      <c r="U6436" s="71" t="str">
        <f>IF(J6436=W6436,"O", "X")</f>
        <v>O</v>
      </c>
      <c r="V6436" s="71"/>
      <c r="W6436" s="474">
        <f>(G6436-T6436)</f>
        <v>636440</v>
      </c>
      <c r="X6436" s="71"/>
      <c r="Y6436" s="71"/>
    </row>
    <row r="6437" spans="1:25" s="209" customFormat="1" ht="30" hidden="1" customHeight="1" x14ac:dyDescent="0.25">
      <c r="A6437" s="1145">
        <v>45280</v>
      </c>
      <c r="B6437" s="664" t="s">
        <v>2353</v>
      </c>
      <c r="C6437" s="71" t="s">
        <v>3299</v>
      </c>
      <c r="D6437" s="71">
        <v>10</v>
      </c>
      <c r="E6437" s="102">
        <v>83000</v>
      </c>
      <c r="F6437" s="102">
        <f t="shared" ref="F6437" si="3324">(E6437*D6437)*1.1</f>
        <v>913000.00000000012</v>
      </c>
      <c r="G6437" s="102">
        <f t="shared" ref="G6437" si="3325">(E6437*D6437)</f>
        <v>830000</v>
      </c>
      <c r="H6437" s="690" t="s">
        <v>142</v>
      </c>
      <c r="I6437" s="71" t="s">
        <v>179</v>
      </c>
      <c r="J6437" s="53">
        <f t="shared" si="3317"/>
        <v>355000</v>
      </c>
      <c r="K6437" s="63">
        <f t="shared" si="3318"/>
        <v>0.42771084337349391</v>
      </c>
      <c r="L6437" s="1212" t="s">
        <v>3967</v>
      </c>
      <c r="M6437" s="468" t="s">
        <v>2214</v>
      </c>
      <c r="N6437" s="1192">
        <f t="shared" si="3319"/>
        <v>45280</v>
      </c>
      <c r="O6437" s="71" t="s">
        <v>3383</v>
      </c>
      <c r="P6437" s="103" t="str">
        <f t="shared" si="3320"/>
        <v>매엽용 세척제(Wash k11)</v>
      </c>
      <c r="Q6437" s="71">
        <f t="shared" si="3321"/>
        <v>10</v>
      </c>
      <c r="R6437" s="102">
        <v>47500</v>
      </c>
      <c r="S6437" s="102">
        <f t="shared" si="3322"/>
        <v>522500.00000000006</v>
      </c>
      <c r="T6437" s="102">
        <f t="shared" si="3323"/>
        <v>475000</v>
      </c>
      <c r="U6437" s="71" t="s">
        <v>859</v>
      </c>
      <c r="V6437" s="71"/>
      <c r="W6437" s="474">
        <v>136000</v>
      </c>
      <c r="X6437" s="71"/>
      <c r="Y6437" s="71"/>
    </row>
    <row r="6438" spans="1:25" s="209" customFormat="1" ht="30" hidden="1" customHeight="1" x14ac:dyDescent="0.25">
      <c r="A6438" s="1145">
        <v>45280</v>
      </c>
      <c r="B6438" s="664" t="s">
        <v>2353</v>
      </c>
      <c r="C6438" s="71" t="s">
        <v>130</v>
      </c>
      <c r="D6438" s="71">
        <v>10</v>
      </c>
      <c r="E6438" s="102">
        <v>148000</v>
      </c>
      <c r="F6438" s="102">
        <f t="shared" ref="F6438:F6444" si="3326">(E6438*D6438)*1.1</f>
        <v>1628000.0000000002</v>
      </c>
      <c r="G6438" s="102">
        <f t="shared" ref="G6438:G6444" si="3327">(E6438*D6438)</f>
        <v>1480000</v>
      </c>
      <c r="H6438" s="690" t="s">
        <v>142</v>
      </c>
      <c r="I6438" s="71" t="s">
        <v>179</v>
      </c>
      <c r="J6438" s="53">
        <f t="shared" si="3317"/>
        <v>360000</v>
      </c>
      <c r="K6438" s="63">
        <f t="shared" si="3318"/>
        <v>0.2432432432432432</v>
      </c>
      <c r="L6438" s="1212" t="s">
        <v>3967</v>
      </c>
      <c r="M6438" s="468" t="s">
        <v>2050</v>
      </c>
      <c r="N6438" s="1192">
        <f t="shared" si="3319"/>
        <v>45280</v>
      </c>
      <c r="O6438" s="71" t="s">
        <v>3383</v>
      </c>
      <c r="P6438" s="103" t="str">
        <f t="shared" si="3320"/>
        <v>XL106 Blanket(1077*885)</v>
      </c>
      <c r="Q6438" s="71">
        <f t="shared" si="3321"/>
        <v>10</v>
      </c>
      <c r="R6438" s="102">
        <v>112000</v>
      </c>
      <c r="S6438" s="102">
        <f t="shared" si="3322"/>
        <v>1232000</v>
      </c>
      <c r="T6438" s="102">
        <f t="shared" si="3323"/>
        <v>1120000</v>
      </c>
      <c r="U6438" s="71" t="s">
        <v>859</v>
      </c>
      <c r="V6438" s="71"/>
      <c r="W6438" s="474">
        <v>260000</v>
      </c>
      <c r="X6438" s="71"/>
      <c r="Y6438" s="71"/>
    </row>
    <row r="6439" spans="1:25" ht="30" hidden="1" customHeight="1" x14ac:dyDescent="0.25">
      <c r="A6439" s="1145">
        <v>45271</v>
      </c>
      <c r="B6439" s="664" t="s">
        <v>2353</v>
      </c>
      <c r="C6439" s="71" t="s">
        <v>3957</v>
      </c>
      <c r="D6439" s="71">
        <v>3</v>
      </c>
      <c r="E6439" s="102">
        <v>260000</v>
      </c>
      <c r="F6439" s="102">
        <f t="shared" si="3326"/>
        <v>858000.00000000012</v>
      </c>
      <c r="G6439" s="102">
        <f t="shared" si="3327"/>
        <v>780000</v>
      </c>
      <c r="H6439" s="690" t="s">
        <v>142</v>
      </c>
      <c r="I6439" s="71" t="s">
        <v>179</v>
      </c>
      <c r="J6439" s="53">
        <f t="shared" si="3317"/>
        <v>90000</v>
      </c>
      <c r="K6439" s="63">
        <f t="shared" si="3318"/>
        <v>0.11538461538461536</v>
      </c>
      <c r="L6439" s="1212" t="s">
        <v>3967</v>
      </c>
      <c r="M6439" s="468"/>
      <c r="N6439" s="1192">
        <f t="shared" si="3319"/>
        <v>45271</v>
      </c>
      <c r="O6439" s="71" t="s">
        <v>150</v>
      </c>
      <c r="P6439" s="103" t="str">
        <f t="shared" si="3320"/>
        <v>하이델 로라세척용 칼집</v>
      </c>
      <c r="Q6439" s="71">
        <f t="shared" si="3321"/>
        <v>3</v>
      </c>
      <c r="R6439" s="147">
        <v>230000</v>
      </c>
      <c r="S6439" s="102">
        <f t="shared" si="3322"/>
        <v>759000.00000000012</v>
      </c>
      <c r="T6439" s="102">
        <f t="shared" si="3323"/>
        <v>690000</v>
      </c>
      <c r="U6439" s="71"/>
      <c r="V6439" s="71"/>
      <c r="W6439" s="474"/>
      <c r="X6439" s="71"/>
      <c r="Y6439" s="71"/>
    </row>
    <row r="6440" spans="1:25" ht="30" hidden="1" customHeight="1" x14ac:dyDescent="0.25">
      <c r="A6440" s="1145">
        <v>45273</v>
      </c>
      <c r="B6440" s="664" t="s">
        <v>2353</v>
      </c>
      <c r="C6440" s="71" t="s">
        <v>3958</v>
      </c>
      <c r="D6440" s="71">
        <v>1</v>
      </c>
      <c r="E6440" s="102">
        <v>820000</v>
      </c>
      <c r="F6440" s="102">
        <f t="shared" si="3326"/>
        <v>902000.00000000012</v>
      </c>
      <c r="G6440" s="102">
        <f t="shared" si="3327"/>
        <v>820000</v>
      </c>
      <c r="H6440" s="690" t="s">
        <v>142</v>
      </c>
      <c r="I6440" s="71" t="s">
        <v>179</v>
      </c>
      <c r="J6440" s="53">
        <f t="shared" si="3317"/>
        <v>130000</v>
      </c>
      <c r="K6440" s="63">
        <f t="shared" si="3318"/>
        <v>0.15853658536585363</v>
      </c>
      <c r="L6440" s="1212" t="s">
        <v>3967</v>
      </c>
      <c r="M6440" s="102"/>
      <c r="N6440" s="1192">
        <f t="shared" si="3319"/>
        <v>45273</v>
      </c>
      <c r="O6440" s="71" t="s">
        <v>150</v>
      </c>
      <c r="P6440" s="103" t="str">
        <f t="shared" si="3320"/>
        <v>스위버링 레버 DS</v>
      </c>
      <c r="Q6440" s="71">
        <f t="shared" si="3321"/>
        <v>1</v>
      </c>
      <c r="R6440" s="102">
        <v>690000</v>
      </c>
      <c r="S6440" s="102">
        <f t="shared" si="3322"/>
        <v>759000.00000000012</v>
      </c>
      <c r="T6440" s="102">
        <f t="shared" si="3323"/>
        <v>690000</v>
      </c>
      <c r="U6440" s="71"/>
      <c r="V6440" s="71"/>
      <c r="W6440" s="474"/>
      <c r="X6440" s="71"/>
      <c r="Y6440" s="71"/>
    </row>
    <row r="6441" spans="1:25" s="209" customFormat="1" ht="30" hidden="1" customHeight="1" x14ac:dyDescent="0.25">
      <c r="A6441" s="1145">
        <v>45273</v>
      </c>
      <c r="B6441" s="664" t="s">
        <v>2353</v>
      </c>
      <c r="C6441" s="71" t="s">
        <v>3959</v>
      </c>
      <c r="D6441" s="71">
        <v>1</v>
      </c>
      <c r="E6441" s="102">
        <v>820000</v>
      </c>
      <c r="F6441" s="102">
        <f t="shared" si="3326"/>
        <v>902000.00000000012</v>
      </c>
      <c r="G6441" s="102">
        <f t="shared" si="3327"/>
        <v>820000</v>
      </c>
      <c r="H6441" s="690" t="s">
        <v>142</v>
      </c>
      <c r="I6441" s="71" t="s">
        <v>179</v>
      </c>
      <c r="J6441" s="53">
        <f t="shared" si="3317"/>
        <v>130000</v>
      </c>
      <c r="K6441" s="63">
        <f t="shared" si="3318"/>
        <v>0.15853658536585363</v>
      </c>
      <c r="L6441" s="1212" t="s">
        <v>3967</v>
      </c>
      <c r="M6441" s="468"/>
      <c r="N6441" s="1192">
        <f t="shared" si="3319"/>
        <v>45273</v>
      </c>
      <c r="O6441" s="71" t="s">
        <v>150</v>
      </c>
      <c r="P6441" s="164" t="str">
        <f t="shared" si="3320"/>
        <v>스위버링 레버 OS</v>
      </c>
      <c r="Q6441" s="71">
        <f t="shared" si="3321"/>
        <v>1</v>
      </c>
      <c r="R6441" s="102">
        <v>690000</v>
      </c>
      <c r="S6441" s="102">
        <f t="shared" si="3322"/>
        <v>759000.00000000012</v>
      </c>
      <c r="T6441" s="102">
        <f t="shared" si="3323"/>
        <v>690000</v>
      </c>
      <c r="U6441" s="71"/>
      <c r="V6441" s="71"/>
      <c r="W6441" s="474"/>
      <c r="X6441" s="71"/>
      <c r="Y6441" s="71"/>
    </row>
    <row r="6442" spans="1:25" ht="30" hidden="1" customHeight="1" x14ac:dyDescent="0.25">
      <c r="A6442" s="1145">
        <v>45273</v>
      </c>
      <c r="B6442" s="664" t="s">
        <v>2353</v>
      </c>
      <c r="C6442" s="71" t="s">
        <v>3960</v>
      </c>
      <c r="D6442" s="71">
        <v>2</v>
      </c>
      <c r="E6442" s="102">
        <v>20000</v>
      </c>
      <c r="F6442" s="102">
        <f t="shared" si="3326"/>
        <v>44000</v>
      </c>
      <c r="G6442" s="102">
        <f t="shared" si="3327"/>
        <v>40000</v>
      </c>
      <c r="H6442" s="690" t="s">
        <v>142</v>
      </c>
      <c r="I6442" s="71" t="s">
        <v>179</v>
      </c>
      <c r="J6442" s="53">
        <f t="shared" si="3317"/>
        <v>0</v>
      </c>
      <c r="K6442" s="63">
        <f t="shared" si="3318"/>
        <v>0</v>
      </c>
      <c r="L6442" s="1212" t="s">
        <v>3967</v>
      </c>
      <c r="M6442" s="468"/>
      <c r="N6442" s="1192">
        <f t="shared" si="3319"/>
        <v>45273</v>
      </c>
      <c r="O6442" s="71" t="s">
        <v>150</v>
      </c>
      <c r="P6442" s="103" t="str">
        <f t="shared" si="3320"/>
        <v>슬라이딩 블록</v>
      </c>
      <c r="Q6442" s="71">
        <f t="shared" si="3321"/>
        <v>2</v>
      </c>
      <c r="R6442" s="102">
        <v>20000</v>
      </c>
      <c r="S6442" s="102">
        <f t="shared" si="3322"/>
        <v>44000</v>
      </c>
      <c r="T6442" s="102">
        <f t="shared" si="3323"/>
        <v>40000</v>
      </c>
      <c r="U6442" s="71"/>
      <c r="V6442" s="71"/>
      <c r="W6442" s="474"/>
      <c r="X6442" s="71"/>
      <c r="Y6442" s="71"/>
    </row>
    <row r="6443" spans="1:25" s="209" customFormat="1" ht="30" hidden="1" customHeight="1" x14ac:dyDescent="0.25">
      <c r="A6443" s="1145">
        <v>45273</v>
      </c>
      <c r="B6443" s="664" t="s">
        <v>2353</v>
      </c>
      <c r="C6443" s="71" t="s">
        <v>3961</v>
      </c>
      <c r="D6443" s="71">
        <v>2</v>
      </c>
      <c r="E6443" s="102">
        <v>280000</v>
      </c>
      <c r="F6443" s="102">
        <f t="shared" si="3326"/>
        <v>616000</v>
      </c>
      <c r="G6443" s="102">
        <f t="shared" si="3327"/>
        <v>560000</v>
      </c>
      <c r="H6443" s="690" t="s">
        <v>142</v>
      </c>
      <c r="I6443" s="71" t="s">
        <v>179</v>
      </c>
      <c r="J6443" s="53">
        <f t="shared" si="3317"/>
        <v>0</v>
      </c>
      <c r="K6443" s="63">
        <f t="shared" si="3318"/>
        <v>0</v>
      </c>
      <c r="L6443" s="1212" t="s">
        <v>3967</v>
      </c>
      <c r="M6443" s="468"/>
      <c r="N6443" s="1192">
        <f t="shared" si="3319"/>
        <v>45273</v>
      </c>
      <c r="O6443" s="71" t="s">
        <v>150</v>
      </c>
      <c r="P6443" s="164" t="str">
        <f t="shared" si="3320"/>
        <v>베어링 쉘</v>
      </c>
      <c r="Q6443" s="71">
        <f t="shared" si="3321"/>
        <v>2</v>
      </c>
      <c r="R6443" s="102">
        <v>280000</v>
      </c>
      <c r="S6443" s="102">
        <f t="shared" si="3322"/>
        <v>616000</v>
      </c>
      <c r="T6443" s="102">
        <f t="shared" si="3323"/>
        <v>560000</v>
      </c>
      <c r="U6443" s="71"/>
      <c r="V6443" s="71"/>
      <c r="W6443" s="474"/>
      <c r="X6443" s="71"/>
      <c r="Y6443" s="71"/>
    </row>
    <row r="6444" spans="1:25" ht="30" hidden="1" customHeight="1" x14ac:dyDescent="0.25">
      <c r="A6444" s="1145">
        <v>45273</v>
      </c>
      <c r="B6444" s="664" t="s">
        <v>2353</v>
      </c>
      <c r="C6444" s="71" t="s">
        <v>3962</v>
      </c>
      <c r="D6444" s="71">
        <v>2</v>
      </c>
      <c r="E6444" s="102">
        <v>410000</v>
      </c>
      <c r="F6444" s="102">
        <f t="shared" si="3326"/>
        <v>902000.00000000012</v>
      </c>
      <c r="G6444" s="102">
        <f t="shared" si="3327"/>
        <v>820000</v>
      </c>
      <c r="H6444" s="690" t="s">
        <v>142</v>
      </c>
      <c r="I6444" s="71" t="s">
        <v>179</v>
      </c>
      <c r="J6444" s="53">
        <f t="shared" si="3317"/>
        <v>0</v>
      </c>
      <c r="K6444" s="63">
        <f t="shared" si="3318"/>
        <v>0</v>
      </c>
      <c r="L6444" s="1212" t="s">
        <v>3967</v>
      </c>
      <c r="M6444" s="102"/>
      <c r="N6444" s="1192">
        <f t="shared" si="3319"/>
        <v>45273</v>
      </c>
      <c r="O6444" s="71" t="s">
        <v>150</v>
      </c>
      <c r="P6444" s="103" t="str">
        <f t="shared" si="3320"/>
        <v>스위버 집</v>
      </c>
      <c r="Q6444" s="71">
        <f t="shared" si="3321"/>
        <v>2</v>
      </c>
      <c r="R6444" s="102">
        <v>410000</v>
      </c>
      <c r="S6444" s="102">
        <f t="shared" si="3322"/>
        <v>902000.00000000012</v>
      </c>
      <c r="T6444" s="102">
        <f t="shared" si="3323"/>
        <v>820000</v>
      </c>
      <c r="U6444" s="71"/>
      <c r="V6444" s="71"/>
      <c r="W6444" s="474"/>
      <c r="X6444" s="71"/>
      <c r="Y6444" s="71"/>
    </row>
    <row r="6445" spans="1:25" ht="28.5" hidden="1" customHeight="1" x14ac:dyDescent="0.25">
      <c r="A6445" s="1145">
        <v>45280</v>
      </c>
      <c r="B6445" s="664" t="s">
        <v>2353</v>
      </c>
      <c r="C6445" s="71" t="s">
        <v>2648</v>
      </c>
      <c r="D6445" s="71">
        <v>4</v>
      </c>
      <c r="E6445" s="102">
        <v>50000</v>
      </c>
      <c r="F6445" s="102">
        <f t="shared" ref="F6445" si="3328">(E6445*D6445)*1.1</f>
        <v>220000.00000000003</v>
      </c>
      <c r="G6445" s="102">
        <f t="shared" ref="G6445" si="3329">(E6445*D6445)</f>
        <v>200000</v>
      </c>
      <c r="H6445" s="690" t="s">
        <v>179</v>
      </c>
      <c r="I6445" s="690" t="s">
        <v>179</v>
      </c>
      <c r="J6445" s="53">
        <f t="shared" ref="J6445" si="3330">G6445-T6445</f>
        <v>104000</v>
      </c>
      <c r="K6445" s="63">
        <f t="shared" ref="K6445" si="3331">(J6445/(F6445/11*10))</f>
        <v>0.51999999999999991</v>
      </c>
      <c r="L6445" s="1212" t="s">
        <v>3967</v>
      </c>
      <c r="M6445" s="468"/>
      <c r="N6445" s="1192">
        <f>A6445</f>
        <v>45280</v>
      </c>
      <c r="O6445" s="71" t="s">
        <v>94</v>
      </c>
      <c r="P6445" s="103" t="str">
        <f t="shared" si="3320"/>
        <v>주머니 필터백</v>
      </c>
      <c r="Q6445" s="71">
        <f t="shared" ref="Q6445" si="3332">D6445</f>
        <v>4</v>
      </c>
      <c r="R6445" s="102">
        <v>24000</v>
      </c>
      <c r="S6445" s="102">
        <f t="shared" ref="S6445" si="3333">R6445*Q6445*1.1</f>
        <v>105600.00000000001</v>
      </c>
      <c r="T6445" s="102">
        <f t="shared" ref="T6445" si="3334">R6445*Q6445</f>
        <v>96000</v>
      </c>
      <c r="U6445" s="71"/>
      <c r="V6445" s="71"/>
      <c r="W6445" s="474"/>
      <c r="X6445" s="71"/>
      <c r="Y6445" s="71"/>
    </row>
    <row r="6446" spans="1:25" ht="30" customHeight="1" x14ac:dyDescent="0.25">
      <c r="A6446" s="1145">
        <v>45286</v>
      </c>
      <c r="B6446" s="664" t="s">
        <v>641</v>
      </c>
      <c r="C6446" s="71" t="s">
        <v>3293</v>
      </c>
      <c r="D6446" s="71">
        <v>120</v>
      </c>
      <c r="E6446" s="102">
        <v>84000</v>
      </c>
      <c r="F6446" s="102">
        <f t="shared" ref="F6446:F6474" si="3335">(E6446*D6446)*1.1</f>
        <v>11088000</v>
      </c>
      <c r="G6446" s="102">
        <f t="shared" ref="G6446:G6474" si="3336">(E6446*D6446)</f>
        <v>10080000</v>
      </c>
      <c r="H6446" s="690" t="s">
        <v>172</v>
      </c>
      <c r="I6446" s="71" t="s">
        <v>38</v>
      </c>
      <c r="J6446" s="53">
        <f t="shared" ref="J6446:J6466" si="3337">G6446-T6446</f>
        <v>3960000</v>
      </c>
      <c r="K6446" s="63">
        <f t="shared" ref="K6446:K6466" si="3338">(J6446/(F6446/11*10))</f>
        <v>0.39285714285714285</v>
      </c>
      <c r="L6446" s="1212" t="s">
        <v>3967</v>
      </c>
      <c r="M6446" s="468"/>
      <c r="N6446" s="1192">
        <f t="shared" ref="N6446" si="3339">A6446</f>
        <v>45286</v>
      </c>
      <c r="O6446" s="71" t="s">
        <v>3291</v>
      </c>
      <c r="P6446" s="103" t="str">
        <f t="shared" ref="P6446" si="3340">(C6446)</f>
        <v>GOSS 신문윤전 습식세정포</v>
      </c>
      <c r="Q6446" s="71">
        <f t="shared" ref="Q6446:Q6474" si="3341">D6446</f>
        <v>120</v>
      </c>
      <c r="R6446" s="102">
        <v>51000</v>
      </c>
      <c r="S6446" s="102">
        <f t="shared" ref="S6446:S6481" si="3342">R6446*Q6446*1.1</f>
        <v>6732000.0000000009</v>
      </c>
      <c r="T6446" s="102">
        <f t="shared" ref="T6446:T6481" si="3343">R6446*Q6446</f>
        <v>6120000</v>
      </c>
      <c r="U6446" s="71" t="str">
        <f>IF(J6446=W6446,"O", "X")</f>
        <v>X</v>
      </c>
      <c r="V6446" s="71"/>
      <c r="W6446" s="474"/>
      <c r="X6446" s="71"/>
      <c r="Y6446" s="71"/>
    </row>
    <row r="6447" spans="1:25" ht="30" hidden="1" customHeight="1" x14ac:dyDescent="0.25">
      <c r="A6447" s="1145">
        <v>45286</v>
      </c>
      <c r="B6447" s="664" t="s">
        <v>1060</v>
      </c>
      <c r="C6447" s="71" t="s">
        <v>3908</v>
      </c>
      <c r="D6447" s="71">
        <v>900</v>
      </c>
      <c r="E6447" s="102">
        <v>5660</v>
      </c>
      <c r="F6447" s="102">
        <f t="shared" si="3335"/>
        <v>5603400</v>
      </c>
      <c r="G6447" s="102">
        <f t="shared" si="3336"/>
        <v>5094000</v>
      </c>
      <c r="H6447" s="690" t="s">
        <v>36</v>
      </c>
      <c r="I6447" s="71" t="s">
        <v>2529</v>
      </c>
      <c r="J6447" s="53">
        <f t="shared" si="3337"/>
        <v>1543500</v>
      </c>
      <c r="K6447" s="63">
        <f t="shared" si="3338"/>
        <v>0.30300353356890458</v>
      </c>
      <c r="L6447" s="1212" t="s">
        <v>3967</v>
      </c>
      <c r="M6447" s="102" t="s">
        <v>3964</v>
      </c>
      <c r="N6447" s="1192">
        <v>45194</v>
      </c>
      <c r="O6447" s="71" t="s">
        <v>662</v>
      </c>
      <c r="P6447" s="103" t="s">
        <v>3908</v>
      </c>
      <c r="Q6447" s="71">
        <f t="shared" si="3341"/>
        <v>900</v>
      </c>
      <c r="R6447" s="102">
        <v>3945</v>
      </c>
      <c r="S6447" s="102">
        <f t="shared" si="3342"/>
        <v>3905550.0000000005</v>
      </c>
      <c r="T6447" s="102">
        <f t="shared" si="3343"/>
        <v>3550500</v>
      </c>
      <c r="U6447" s="71" t="s">
        <v>859</v>
      </c>
      <c r="V6447" s="71"/>
      <c r="W6447" s="474">
        <v>942000</v>
      </c>
      <c r="X6447" s="71"/>
      <c r="Y6447" s="71"/>
    </row>
    <row r="6448" spans="1:25" ht="30" hidden="1" customHeight="1" x14ac:dyDescent="0.25">
      <c r="A6448" s="1145">
        <v>45286</v>
      </c>
      <c r="B6448" s="664" t="s">
        <v>1060</v>
      </c>
      <c r="C6448" s="71" t="s">
        <v>3909</v>
      </c>
      <c r="D6448" s="71">
        <v>3400</v>
      </c>
      <c r="E6448" s="102">
        <v>3580</v>
      </c>
      <c r="F6448" s="102">
        <f t="shared" si="3335"/>
        <v>13389200.000000002</v>
      </c>
      <c r="G6448" s="102">
        <f t="shared" si="3336"/>
        <v>12172000</v>
      </c>
      <c r="H6448" s="690" t="s">
        <v>36</v>
      </c>
      <c r="I6448" s="71" t="s">
        <v>2529</v>
      </c>
      <c r="J6448" s="53">
        <f t="shared" si="3337"/>
        <v>3695800</v>
      </c>
      <c r="K6448" s="63">
        <f t="shared" si="3338"/>
        <v>0.30363128491620106</v>
      </c>
      <c r="L6448" s="1212" t="s">
        <v>3967</v>
      </c>
      <c r="M6448" s="102" t="s">
        <v>3964</v>
      </c>
      <c r="N6448" s="1192">
        <v>45194</v>
      </c>
      <c r="O6448" s="71" t="s">
        <v>662</v>
      </c>
      <c r="P6448" s="103" t="s">
        <v>3909</v>
      </c>
      <c r="Q6448" s="71">
        <f t="shared" si="3341"/>
        <v>3400</v>
      </c>
      <c r="R6448" s="102">
        <v>2493</v>
      </c>
      <c r="S6448" s="102">
        <f t="shared" si="3342"/>
        <v>9323820</v>
      </c>
      <c r="T6448" s="102">
        <f t="shared" si="3343"/>
        <v>8476200</v>
      </c>
      <c r="U6448" s="71" t="s">
        <v>859</v>
      </c>
      <c r="V6448" s="71"/>
      <c r="W6448" s="474">
        <v>1274000</v>
      </c>
      <c r="X6448" s="71"/>
      <c r="Y6448" s="71"/>
    </row>
    <row r="6449" spans="1:25" ht="30" hidden="1" customHeight="1" x14ac:dyDescent="0.25">
      <c r="A6449" s="1145">
        <v>45286</v>
      </c>
      <c r="B6449" s="664" t="s">
        <v>1060</v>
      </c>
      <c r="C6449" s="71" t="s">
        <v>3910</v>
      </c>
      <c r="D6449" s="71">
        <v>2100</v>
      </c>
      <c r="E6449" s="102">
        <v>3380</v>
      </c>
      <c r="F6449" s="102">
        <f t="shared" si="3335"/>
        <v>7807800.0000000009</v>
      </c>
      <c r="G6449" s="102">
        <f t="shared" si="3336"/>
        <v>7098000</v>
      </c>
      <c r="H6449" s="690" t="s">
        <v>36</v>
      </c>
      <c r="I6449" s="71" t="s">
        <v>2529</v>
      </c>
      <c r="J6449" s="53">
        <f t="shared" si="3337"/>
        <v>2123100</v>
      </c>
      <c r="K6449" s="63">
        <f t="shared" si="3338"/>
        <v>0.29911242603550292</v>
      </c>
      <c r="L6449" s="1212" t="s">
        <v>3967</v>
      </c>
      <c r="M6449" s="102" t="s">
        <v>3964</v>
      </c>
      <c r="N6449" s="1192">
        <v>45194</v>
      </c>
      <c r="O6449" s="71" t="s">
        <v>662</v>
      </c>
      <c r="P6449" s="103" t="s">
        <v>3910</v>
      </c>
      <c r="Q6449" s="71">
        <f t="shared" si="3341"/>
        <v>2100</v>
      </c>
      <c r="R6449" s="102">
        <v>2369</v>
      </c>
      <c r="S6449" s="102">
        <f t="shared" si="3342"/>
        <v>5472390</v>
      </c>
      <c r="T6449" s="102">
        <f t="shared" si="3343"/>
        <v>4974900</v>
      </c>
      <c r="U6449" s="71" t="s">
        <v>859</v>
      </c>
      <c r="V6449" s="71"/>
      <c r="W6449" s="474">
        <v>3325000</v>
      </c>
      <c r="X6449" s="71"/>
      <c r="Y6449" s="71"/>
    </row>
    <row r="6450" spans="1:25" ht="30" hidden="1" customHeight="1" x14ac:dyDescent="0.25">
      <c r="A6450" s="1145">
        <v>45286</v>
      </c>
      <c r="B6450" s="664" t="s">
        <v>1060</v>
      </c>
      <c r="C6450" s="71" t="s">
        <v>3911</v>
      </c>
      <c r="D6450" s="71">
        <v>1100</v>
      </c>
      <c r="E6450" s="102">
        <v>5740</v>
      </c>
      <c r="F6450" s="102">
        <f t="shared" si="3335"/>
        <v>6945400.0000000009</v>
      </c>
      <c r="G6450" s="102">
        <f t="shared" si="3336"/>
        <v>6314000</v>
      </c>
      <c r="H6450" s="690" t="s">
        <v>36</v>
      </c>
      <c r="I6450" s="71" t="s">
        <v>2529</v>
      </c>
      <c r="J6450" s="53">
        <f t="shared" si="3337"/>
        <v>1918400</v>
      </c>
      <c r="K6450" s="63">
        <f t="shared" si="3338"/>
        <v>0.30383275261324039</v>
      </c>
      <c r="L6450" s="1212" t="s">
        <v>3967</v>
      </c>
      <c r="M6450" s="102" t="s">
        <v>3964</v>
      </c>
      <c r="N6450" s="1192">
        <v>45194</v>
      </c>
      <c r="O6450" s="71" t="s">
        <v>662</v>
      </c>
      <c r="P6450" s="103" t="s">
        <v>3911</v>
      </c>
      <c r="Q6450" s="71">
        <f t="shared" si="3341"/>
        <v>1100</v>
      </c>
      <c r="R6450" s="102">
        <v>3996</v>
      </c>
      <c r="S6450" s="102">
        <f t="shared" si="3342"/>
        <v>4835160</v>
      </c>
      <c r="T6450" s="102">
        <f t="shared" si="3343"/>
        <v>4395600</v>
      </c>
      <c r="U6450" s="71" t="s">
        <v>859</v>
      </c>
      <c r="V6450" s="71"/>
      <c r="W6450" s="474">
        <v>636000</v>
      </c>
      <c r="X6450" s="71"/>
      <c r="Y6450" s="71"/>
    </row>
    <row r="6451" spans="1:25" ht="30" hidden="1" customHeight="1" x14ac:dyDescent="0.25">
      <c r="A6451" s="1145">
        <v>45286</v>
      </c>
      <c r="B6451" s="664" t="s">
        <v>1060</v>
      </c>
      <c r="C6451" s="71" t="s">
        <v>3912</v>
      </c>
      <c r="D6451" s="71">
        <v>1000</v>
      </c>
      <c r="E6451" s="102">
        <v>5960</v>
      </c>
      <c r="F6451" s="102">
        <f t="shared" si="3335"/>
        <v>6556000.0000000009</v>
      </c>
      <c r="G6451" s="102">
        <f t="shared" si="3336"/>
        <v>5960000</v>
      </c>
      <c r="H6451" s="690" t="s">
        <v>36</v>
      </c>
      <c r="I6451" s="71" t="s">
        <v>2529</v>
      </c>
      <c r="J6451" s="53">
        <f t="shared" si="3337"/>
        <v>1809000</v>
      </c>
      <c r="K6451" s="63">
        <f t="shared" si="3338"/>
        <v>0.30352348993288586</v>
      </c>
      <c r="L6451" s="1212" t="s">
        <v>3967</v>
      </c>
      <c r="M6451" s="102" t="s">
        <v>3964</v>
      </c>
      <c r="N6451" s="1192">
        <v>45194</v>
      </c>
      <c r="O6451" s="71" t="s">
        <v>662</v>
      </c>
      <c r="P6451" s="103" t="s">
        <v>3912</v>
      </c>
      <c r="Q6451" s="71">
        <f t="shared" si="3341"/>
        <v>1000</v>
      </c>
      <c r="R6451" s="102">
        <v>4151</v>
      </c>
      <c r="S6451" s="102">
        <f t="shared" si="3342"/>
        <v>4566100</v>
      </c>
      <c r="T6451" s="102">
        <f t="shared" si="3343"/>
        <v>4151000</v>
      </c>
      <c r="U6451" s="71" t="s">
        <v>859</v>
      </c>
      <c r="V6451" s="71"/>
      <c r="W6451" s="474">
        <v>1476000</v>
      </c>
      <c r="X6451" s="71"/>
      <c r="Y6451" s="71"/>
    </row>
    <row r="6452" spans="1:25" ht="30" hidden="1" customHeight="1" x14ac:dyDescent="0.25">
      <c r="A6452" s="1145">
        <v>45286</v>
      </c>
      <c r="B6452" s="664" t="s">
        <v>1060</v>
      </c>
      <c r="C6452" s="71" t="s">
        <v>3913</v>
      </c>
      <c r="D6452" s="71">
        <v>200</v>
      </c>
      <c r="E6452" s="102">
        <v>4250</v>
      </c>
      <c r="F6452" s="102">
        <f t="shared" si="3335"/>
        <v>935000.00000000012</v>
      </c>
      <c r="G6452" s="102">
        <f t="shared" si="3336"/>
        <v>850000</v>
      </c>
      <c r="H6452" s="690" t="s">
        <v>36</v>
      </c>
      <c r="I6452" s="71" t="s">
        <v>2529</v>
      </c>
      <c r="J6452" s="53">
        <f t="shared" si="3337"/>
        <v>256800</v>
      </c>
      <c r="K6452" s="63">
        <f t="shared" si="3338"/>
        <v>0.30211764705882349</v>
      </c>
      <c r="L6452" s="1212" t="s">
        <v>3967</v>
      </c>
      <c r="M6452" s="102" t="s">
        <v>3964</v>
      </c>
      <c r="N6452" s="1192">
        <v>45194</v>
      </c>
      <c r="O6452" s="71" t="s">
        <v>662</v>
      </c>
      <c r="P6452" s="103" t="s">
        <v>3913</v>
      </c>
      <c r="Q6452" s="71">
        <f t="shared" si="3341"/>
        <v>200</v>
      </c>
      <c r="R6452" s="102">
        <v>2966</v>
      </c>
      <c r="S6452" s="102">
        <f t="shared" si="3342"/>
        <v>652520</v>
      </c>
      <c r="T6452" s="102">
        <f t="shared" si="3343"/>
        <v>593200</v>
      </c>
      <c r="U6452" s="71" t="s">
        <v>859</v>
      </c>
      <c r="V6452" s="71"/>
      <c r="W6452" s="474">
        <v>1416000</v>
      </c>
      <c r="X6452" s="71"/>
      <c r="Y6452" s="71"/>
    </row>
    <row r="6453" spans="1:25" ht="30" hidden="1" customHeight="1" x14ac:dyDescent="0.25">
      <c r="A6453" s="1145">
        <v>45286</v>
      </c>
      <c r="B6453" s="664" t="s">
        <v>1060</v>
      </c>
      <c r="C6453" s="71" t="s">
        <v>3914</v>
      </c>
      <c r="D6453" s="71">
        <v>40</v>
      </c>
      <c r="E6453" s="102">
        <v>51480</v>
      </c>
      <c r="F6453" s="102">
        <f t="shared" si="3335"/>
        <v>2265120</v>
      </c>
      <c r="G6453" s="102">
        <f t="shared" si="3336"/>
        <v>2059200</v>
      </c>
      <c r="H6453" s="690" t="s">
        <v>36</v>
      </c>
      <c r="I6453" s="71" t="s">
        <v>2529</v>
      </c>
      <c r="J6453" s="53">
        <f t="shared" si="3337"/>
        <v>459200</v>
      </c>
      <c r="K6453" s="63">
        <f t="shared" si="3338"/>
        <v>0.22299922299922301</v>
      </c>
      <c r="L6453" s="1212" t="s">
        <v>3967</v>
      </c>
      <c r="M6453" s="468"/>
      <c r="N6453" s="1192">
        <v>45194</v>
      </c>
      <c r="O6453" s="71" t="s">
        <v>662</v>
      </c>
      <c r="P6453" s="103" t="s">
        <v>3914</v>
      </c>
      <c r="Q6453" s="71">
        <f t="shared" si="3341"/>
        <v>40</v>
      </c>
      <c r="R6453" s="102">
        <v>40000</v>
      </c>
      <c r="S6453" s="102">
        <f t="shared" si="3342"/>
        <v>1760000.0000000002</v>
      </c>
      <c r="T6453" s="102">
        <f t="shared" si="3343"/>
        <v>1600000</v>
      </c>
      <c r="U6453" s="71" t="s">
        <v>859</v>
      </c>
      <c r="V6453" s="71"/>
      <c r="W6453" s="474">
        <v>978750</v>
      </c>
      <c r="X6453" s="71"/>
      <c r="Y6453" s="71"/>
    </row>
    <row r="6454" spans="1:25" ht="30" hidden="1" customHeight="1" x14ac:dyDescent="0.25">
      <c r="A6454" s="1145">
        <v>45286</v>
      </c>
      <c r="B6454" s="664" t="s">
        <v>1061</v>
      </c>
      <c r="C6454" s="71" t="s">
        <v>3319</v>
      </c>
      <c r="D6454" s="71">
        <v>200</v>
      </c>
      <c r="E6454" s="102">
        <v>6328</v>
      </c>
      <c r="F6454" s="102">
        <f t="shared" si="3335"/>
        <v>1392160</v>
      </c>
      <c r="G6454" s="102">
        <f t="shared" si="3336"/>
        <v>1265600</v>
      </c>
      <c r="H6454" s="690" t="s">
        <v>36</v>
      </c>
      <c r="I6454" s="71" t="s">
        <v>3320</v>
      </c>
      <c r="J6454" s="53">
        <f t="shared" si="3337"/>
        <v>95600</v>
      </c>
      <c r="K6454" s="63">
        <f t="shared" si="3338"/>
        <v>7.5537294563843241E-2</v>
      </c>
      <c r="L6454" s="1212" t="s">
        <v>3967</v>
      </c>
      <c r="M6454" s="468"/>
      <c r="N6454" s="1192">
        <v>45194</v>
      </c>
      <c r="O6454" s="71" t="s">
        <v>146</v>
      </c>
      <c r="P6454" s="103" t="s">
        <v>3319</v>
      </c>
      <c r="Q6454" s="71">
        <f t="shared" si="3341"/>
        <v>200</v>
      </c>
      <c r="R6454" s="102">
        <v>5850</v>
      </c>
      <c r="S6454" s="102">
        <f t="shared" si="3342"/>
        <v>1287000</v>
      </c>
      <c r="T6454" s="102">
        <f t="shared" si="3343"/>
        <v>1170000</v>
      </c>
      <c r="U6454" s="71" t="s">
        <v>859</v>
      </c>
      <c r="V6454" s="71"/>
      <c r="W6454" s="474">
        <v>411200</v>
      </c>
      <c r="X6454" s="71"/>
      <c r="Y6454" s="71"/>
    </row>
    <row r="6455" spans="1:25" ht="30" hidden="1" customHeight="1" x14ac:dyDescent="0.25">
      <c r="A6455" s="1145">
        <v>45286</v>
      </c>
      <c r="B6455" s="664" t="s">
        <v>1061</v>
      </c>
      <c r="C6455" s="71" t="s">
        <v>3321</v>
      </c>
      <c r="D6455" s="71">
        <v>200</v>
      </c>
      <c r="E6455" s="102">
        <v>6780</v>
      </c>
      <c r="F6455" s="102">
        <f t="shared" si="3335"/>
        <v>1491600.0000000002</v>
      </c>
      <c r="G6455" s="102">
        <f t="shared" si="3336"/>
        <v>1356000</v>
      </c>
      <c r="H6455" s="690" t="s">
        <v>36</v>
      </c>
      <c r="I6455" s="71" t="s">
        <v>3320</v>
      </c>
      <c r="J6455" s="53">
        <f t="shared" si="3337"/>
        <v>100000</v>
      </c>
      <c r="K6455" s="63">
        <f t="shared" si="3338"/>
        <v>7.3746312684365767E-2</v>
      </c>
      <c r="L6455" s="1212" t="s">
        <v>3967</v>
      </c>
      <c r="M6455" s="468"/>
      <c r="N6455" s="1192">
        <v>45194</v>
      </c>
      <c r="O6455" s="71" t="s">
        <v>146</v>
      </c>
      <c r="P6455" s="103" t="s">
        <v>3321</v>
      </c>
      <c r="Q6455" s="71">
        <f t="shared" si="3341"/>
        <v>200</v>
      </c>
      <c r="R6455" s="102">
        <v>6280</v>
      </c>
      <c r="S6455" s="102">
        <f t="shared" si="3342"/>
        <v>1381600</v>
      </c>
      <c r="T6455" s="102">
        <f t="shared" si="3343"/>
        <v>1256000</v>
      </c>
      <c r="U6455" s="71" t="s">
        <v>859</v>
      </c>
      <c r="V6455" s="71"/>
      <c r="W6455" s="474">
        <v>292000</v>
      </c>
      <c r="X6455" s="71"/>
      <c r="Y6455" s="71"/>
    </row>
    <row r="6456" spans="1:25" ht="30" hidden="1" customHeight="1" x14ac:dyDescent="0.25">
      <c r="A6456" s="1145">
        <v>45286</v>
      </c>
      <c r="B6456" s="664" t="s">
        <v>1061</v>
      </c>
      <c r="C6456" s="71" t="s">
        <v>1289</v>
      </c>
      <c r="D6456" s="71">
        <v>400</v>
      </c>
      <c r="E6456" s="102">
        <v>6498</v>
      </c>
      <c r="F6456" s="102">
        <f t="shared" si="3335"/>
        <v>2859120</v>
      </c>
      <c r="G6456" s="102">
        <f t="shared" si="3336"/>
        <v>2599200</v>
      </c>
      <c r="H6456" s="690" t="s">
        <v>36</v>
      </c>
      <c r="I6456" s="71" t="s">
        <v>3320</v>
      </c>
      <c r="J6456" s="53">
        <f t="shared" si="3337"/>
        <v>191200</v>
      </c>
      <c r="K6456" s="63">
        <f t="shared" si="3338"/>
        <v>7.3561095721760547E-2</v>
      </c>
      <c r="L6456" s="1212" t="s">
        <v>3967</v>
      </c>
      <c r="M6456" s="468"/>
      <c r="N6456" s="1192">
        <v>45194</v>
      </c>
      <c r="O6456" s="71" t="s">
        <v>146</v>
      </c>
      <c r="P6456" s="103" t="s">
        <v>1289</v>
      </c>
      <c r="Q6456" s="71">
        <f t="shared" si="3341"/>
        <v>400</v>
      </c>
      <c r="R6456" s="102">
        <v>6020</v>
      </c>
      <c r="S6456" s="102">
        <f t="shared" si="3342"/>
        <v>2648800</v>
      </c>
      <c r="T6456" s="102">
        <f t="shared" si="3343"/>
        <v>2408000</v>
      </c>
      <c r="U6456" s="71" t="s">
        <v>859</v>
      </c>
      <c r="V6456" s="71"/>
      <c r="W6456" s="474">
        <v>640800</v>
      </c>
      <c r="X6456" s="71"/>
      <c r="Y6456" s="71"/>
    </row>
    <row r="6457" spans="1:25" ht="30" hidden="1" customHeight="1" x14ac:dyDescent="0.25">
      <c r="A6457" s="1145">
        <v>45286</v>
      </c>
      <c r="B6457" s="664" t="s">
        <v>1061</v>
      </c>
      <c r="C6457" s="71" t="s">
        <v>1290</v>
      </c>
      <c r="D6457" s="71">
        <v>400</v>
      </c>
      <c r="E6457" s="102">
        <v>7910</v>
      </c>
      <c r="F6457" s="102">
        <f t="shared" si="3335"/>
        <v>3480400.0000000005</v>
      </c>
      <c r="G6457" s="102">
        <f t="shared" si="3336"/>
        <v>3164000</v>
      </c>
      <c r="H6457" s="690" t="s">
        <v>36</v>
      </c>
      <c r="I6457" s="71" t="s">
        <v>3320</v>
      </c>
      <c r="J6457" s="53">
        <f t="shared" si="3337"/>
        <v>240000</v>
      </c>
      <c r="K6457" s="63">
        <f t="shared" si="3338"/>
        <v>7.5853350189633365E-2</v>
      </c>
      <c r="L6457" s="1212" t="s">
        <v>3967</v>
      </c>
      <c r="M6457" s="468"/>
      <c r="N6457" s="1192">
        <v>45194</v>
      </c>
      <c r="O6457" s="71" t="s">
        <v>146</v>
      </c>
      <c r="P6457" s="103" t="s">
        <v>1290</v>
      </c>
      <c r="Q6457" s="71">
        <f t="shared" si="3341"/>
        <v>400</v>
      </c>
      <c r="R6457" s="102">
        <v>7310</v>
      </c>
      <c r="S6457" s="102">
        <f t="shared" si="3342"/>
        <v>3216400.0000000005</v>
      </c>
      <c r="T6457" s="102">
        <f t="shared" si="3343"/>
        <v>2924000</v>
      </c>
      <c r="U6457" s="71" t="s">
        <v>859</v>
      </c>
      <c r="V6457" s="71"/>
      <c r="W6457" s="474">
        <v>846000</v>
      </c>
      <c r="X6457" s="71"/>
      <c r="Y6457" s="71"/>
    </row>
    <row r="6458" spans="1:25" ht="30" hidden="1" customHeight="1" x14ac:dyDescent="0.25">
      <c r="A6458" s="1145">
        <v>45286</v>
      </c>
      <c r="B6458" s="664" t="s">
        <v>1061</v>
      </c>
      <c r="C6458" s="71" t="s">
        <v>3322</v>
      </c>
      <c r="D6458" s="71"/>
      <c r="E6458" s="102">
        <v>7150</v>
      </c>
      <c r="F6458" s="102">
        <f t="shared" si="3335"/>
        <v>0</v>
      </c>
      <c r="G6458" s="102">
        <f t="shared" si="3336"/>
        <v>0</v>
      </c>
      <c r="H6458" s="690" t="s">
        <v>36</v>
      </c>
      <c r="I6458" s="71" t="s">
        <v>3320</v>
      </c>
      <c r="J6458" s="53">
        <f t="shared" si="3337"/>
        <v>0</v>
      </c>
      <c r="K6458" s="63" t="e">
        <f t="shared" si="3338"/>
        <v>#DIV/0!</v>
      </c>
      <c r="L6458" s="1212" t="s">
        <v>3967</v>
      </c>
      <c r="M6458" s="468"/>
      <c r="N6458" s="1192">
        <v>45194</v>
      </c>
      <c r="O6458" s="71" t="s">
        <v>3323</v>
      </c>
      <c r="P6458" s="103" t="str">
        <f t="shared" ref="P6458:P6462" si="3344">(C6458)</f>
        <v>한특 잉크(적)</v>
      </c>
      <c r="Q6458" s="71">
        <f t="shared" si="3341"/>
        <v>0</v>
      </c>
      <c r="R6458" s="102">
        <v>6500</v>
      </c>
      <c r="S6458" s="102">
        <f t="shared" si="3342"/>
        <v>0</v>
      </c>
      <c r="T6458" s="102">
        <f t="shared" si="3343"/>
        <v>0</v>
      </c>
      <c r="U6458" s="71" t="s">
        <v>859</v>
      </c>
      <c r="V6458" s="71"/>
      <c r="W6458" s="474">
        <v>0</v>
      </c>
      <c r="X6458" s="71"/>
      <c r="Y6458" s="71"/>
    </row>
    <row r="6459" spans="1:25" ht="30" hidden="1" customHeight="1" x14ac:dyDescent="0.25">
      <c r="A6459" s="1145">
        <v>45286</v>
      </c>
      <c r="B6459" s="664" t="s">
        <v>1061</v>
      </c>
      <c r="C6459" s="71" t="s">
        <v>3324</v>
      </c>
      <c r="D6459" s="71"/>
      <c r="E6459" s="102">
        <v>6900</v>
      </c>
      <c r="F6459" s="102">
        <f t="shared" si="3335"/>
        <v>0</v>
      </c>
      <c r="G6459" s="102">
        <f t="shared" si="3336"/>
        <v>0</v>
      </c>
      <c r="H6459" s="690" t="s">
        <v>36</v>
      </c>
      <c r="I6459" s="71" t="s">
        <v>3320</v>
      </c>
      <c r="J6459" s="53">
        <f t="shared" si="3337"/>
        <v>0</v>
      </c>
      <c r="K6459" s="63" t="e">
        <f t="shared" si="3338"/>
        <v>#DIV/0!</v>
      </c>
      <c r="L6459" s="1212" t="s">
        <v>3967</v>
      </c>
      <c r="M6459" s="468"/>
      <c r="N6459" s="1192">
        <v>45194</v>
      </c>
      <c r="O6459" s="71" t="s">
        <v>3323</v>
      </c>
      <c r="P6459" s="103" t="str">
        <f t="shared" si="3344"/>
        <v>한특 잉크(황)</v>
      </c>
      <c r="Q6459" s="71">
        <f t="shared" si="3341"/>
        <v>0</v>
      </c>
      <c r="R6459" s="102">
        <v>6200</v>
      </c>
      <c r="S6459" s="102">
        <f t="shared" si="3342"/>
        <v>0</v>
      </c>
      <c r="T6459" s="102">
        <f t="shared" si="3343"/>
        <v>0</v>
      </c>
      <c r="U6459" s="71" t="s">
        <v>859</v>
      </c>
      <c r="V6459" s="71"/>
      <c r="W6459" s="474">
        <v>0</v>
      </c>
      <c r="X6459" s="71"/>
      <c r="Y6459" s="71"/>
    </row>
    <row r="6460" spans="1:25" ht="28.5" hidden="1" customHeight="1" x14ac:dyDescent="0.25">
      <c r="A6460" s="1145">
        <v>45286</v>
      </c>
      <c r="B6460" s="664" t="s">
        <v>1061</v>
      </c>
      <c r="C6460" s="71" t="s">
        <v>3325</v>
      </c>
      <c r="D6460" s="71"/>
      <c r="E6460" s="102">
        <v>7500</v>
      </c>
      <c r="F6460" s="102">
        <f t="shared" si="3335"/>
        <v>0</v>
      </c>
      <c r="G6460" s="102">
        <f t="shared" si="3336"/>
        <v>0</v>
      </c>
      <c r="H6460" s="690" t="s">
        <v>36</v>
      </c>
      <c r="I6460" s="71" t="s">
        <v>3320</v>
      </c>
      <c r="J6460" s="53">
        <f t="shared" si="3337"/>
        <v>0</v>
      </c>
      <c r="K6460" s="63" t="e">
        <f t="shared" si="3338"/>
        <v>#DIV/0!</v>
      </c>
      <c r="L6460" s="1212" t="s">
        <v>3967</v>
      </c>
      <c r="M6460" s="468"/>
      <c r="N6460" s="1192">
        <v>45194</v>
      </c>
      <c r="O6460" s="71" t="s">
        <v>3323</v>
      </c>
      <c r="P6460" s="103" t="str">
        <f t="shared" si="3344"/>
        <v>한특 잉크(청)</v>
      </c>
      <c r="Q6460" s="71">
        <f t="shared" si="3341"/>
        <v>0</v>
      </c>
      <c r="R6460" s="102">
        <v>6600</v>
      </c>
      <c r="S6460" s="102">
        <f t="shared" si="3342"/>
        <v>0</v>
      </c>
      <c r="T6460" s="102">
        <f t="shared" si="3343"/>
        <v>0</v>
      </c>
      <c r="U6460" s="71" t="s">
        <v>859</v>
      </c>
      <c r="V6460" s="71"/>
      <c r="W6460" s="474">
        <v>0</v>
      </c>
      <c r="X6460" s="71"/>
      <c r="Y6460" s="71"/>
    </row>
    <row r="6461" spans="1:25" ht="30" hidden="1" customHeight="1" x14ac:dyDescent="0.25">
      <c r="A6461" s="1145">
        <v>45286</v>
      </c>
      <c r="B6461" s="664" t="s">
        <v>1061</v>
      </c>
      <c r="C6461" s="71" t="s">
        <v>3326</v>
      </c>
      <c r="D6461" s="71"/>
      <c r="E6461" s="102">
        <v>6450</v>
      </c>
      <c r="F6461" s="102">
        <f t="shared" si="3335"/>
        <v>0</v>
      </c>
      <c r="G6461" s="102">
        <f t="shared" si="3336"/>
        <v>0</v>
      </c>
      <c r="H6461" s="690" t="s">
        <v>36</v>
      </c>
      <c r="I6461" s="71" t="s">
        <v>3320</v>
      </c>
      <c r="J6461" s="53">
        <f t="shared" si="3337"/>
        <v>0</v>
      </c>
      <c r="K6461" s="63" t="e">
        <f t="shared" si="3338"/>
        <v>#DIV/0!</v>
      </c>
      <c r="L6461" s="1212" t="s">
        <v>3967</v>
      </c>
      <c r="M6461" s="468"/>
      <c r="N6461" s="1192">
        <v>45194</v>
      </c>
      <c r="O6461" s="71" t="s">
        <v>3323</v>
      </c>
      <c r="P6461" s="103" t="str">
        <f t="shared" si="3344"/>
        <v>한특 잉크(먹)</v>
      </c>
      <c r="Q6461" s="71">
        <f t="shared" si="3341"/>
        <v>0</v>
      </c>
      <c r="R6461" s="102">
        <v>5700</v>
      </c>
      <c r="S6461" s="102">
        <f t="shared" si="3342"/>
        <v>0</v>
      </c>
      <c r="T6461" s="102">
        <f t="shared" si="3343"/>
        <v>0</v>
      </c>
      <c r="U6461" s="71" t="s">
        <v>859</v>
      </c>
      <c r="V6461" s="71"/>
      <c r="W6461" s="474">
        <v>0</v>
      </c>
      <c r="X6461" s="71"/>
      <c r="Y6461" s="71"/>
    </row>
    <row r="6462" spans="1:25" ht="30" hidden="1" customHeight="1" x14ac:dyDescent="0.25">
      <c r="A6462" s="1145">
        <v>45286</v>
      </c>
      <c r="B6462" s="664" t="s">
        <v>1061</v>
      </c>
      <c r="C6462" s="71" t="s">
        <v>3963</v>
      </c>
      <c r="D6462" s="71"/>
      <c r="E6462" s="102">
        <v>22400</v>
      </c>
      <c r="F6462" s="102">
        <f t="shared" si="3335"/>
        <v>0</v>
      </c>
      <c r="G6462" s="102">
        <f t="shared" si="3336"/>
        <v>0</v>
      </c>
      <c r="H6462" s="690" t="s">
        <v>36</v>
      </c>
      <c r="I6462" s="71" t="s">
        <v>3320</v>
      </c>
      <c r="J6462" s="53">
        <f t="shared" si="3337"/>
        <v>0</v>
      </c>
      <c r="K6462" s="63" t="e">
        <f t="shared" si="3338"/>
        <v>#DIV/0!</v>
      </c>
      <c r="L6462" s="1212" t="s">
        <v>3967</v>
      </c>
      <c r="M6462" s="468"/>
      <c r="N6462" s="1192">
        <f t="shared" ref="N6462" si="3345">A6462</f>
        <v>45286</v>
      </c>
      <c r="O6462" s="71" t="s">
        <v>146</v>
      </c>
      <c r="P6462" s="103" t="str">
        <f t="shared" si="3344"/>
        <v>별색 - PT 810C 형광등</v>
      </c>
      <c r="Q6462" s="71">
        <f t="shared" si="3341"/>
        <v>0</v>
      </c>
      <c r="R6462" s="102">
        <v>22400</v>
      </c>
      <c r="S6462" s="102">
        <f t="shared" si="3342"/>
        <v>0</v>
      </c>
      <c r="T6462" s="102">
        <f t="shared" si="3343"/>
        <v>0</v>
      </c>
      <c r="U6462" s="71"/>
      <c r="V6462" s="71"/>
      <c r="W6462" s="474"/>
      <c r="X6462" s="71"/>
      <c r="Y6462" s="71"/>
    </row>
    <row r="6463" spans="1:25" ht="30" hidden="1" customHeight="1" x14ac:dyDescent="0.25">
      <c r="A6463" s="1145">
        <v>45286</v>
      </c>
      <c r="B6463" s="664" t="s">
        <v>1061</v>
      </c>
      <c r="C6463" s="71" t="s">
        <v>3915</v>
      </c>
      <c r="D6463" s="71"/>
      <c r="E6463" s="102">
        <v>9500</v>
      </c>
      <c r="F6463" s="102">
        <f t="shared" si="3335"/>
        <v>0</v>
      </c>
      <c r="G6463" s="102">
        <f t="shared" si="3336"/>
        <v>0</v>
      </c>
      <c r="H6463" s="690" t="s">
        <v>36</v>
      </c>
      <c r="I6463" s="71" t="s">
        <v>3320</v>
      </c>
      <c r="J6463" s="53">
        <f t="shared" si="3337"/>
        <v>0</v>
      </c>
      <c r="K6463" s="63" t="e">
        <f t="shared" si="3338"/>
        <v>#DIV/0!</v>
      </c>
      <c r="L6463" s="1212" t="s">
        <v>3967</v>
      </c>
      <c r="M6463" s="468"/>
      <c r="N6463" s="1192">
        <v>45194</v>
      </c>
      <c r="O6463" s="71" t="s">
        <v>3323</v>
      </c>
      <c r="P6463" s="103" t="s">
        <v>3915</v>
      </c>
      <c r="Q6463" s="71">
        <f t="shared" si="3341"/>
        <v>0</v>
      </c>
      <c r="R6463" s="102">
        <v>9000</v>
      </c>
      <c r="S6463" s="102">
        <f t="shared" si="3342"/>
        <v>0</v>
      </c>
      <c r="T6463" s="102">
        <f t="shared" si="3343"/>
        <v>0</v>
      </c>
      <c r="U6463" s="71"/>
      <c r="V6463" s="71"/>
      <c r="W6463" s="474"/>
      <c r="X6463" s="71"/>
      <c r="Y6463" s="71"/>
    </row>
    <row r="6464" spans="1:25" ht="30" hidden="1" customHeight="1" x14ac:dyDescent="0.25">
      <c r="A6464" s="1145">
        <v>45286</v>
      </c>
      <c r="B6464" s="664" t="s">
        <v>3307</v>
      </c>
      <c r="C6464" s="71" t="s">
        <v>3916</v>
      </c>
      <c r="D6464" s="71">
        <v>16</v>
      </c>
      <c r="E6464" s="102">
        <v>218000</v>
      </c>
      <c r="F6464" s="102">
        <f t="shared" si="3335"/>
        <v>3836800.0000000005</v>
      </c>
      <c r="G6464" s="102">
        <f t="shared" si="3336"/>
        <v>3488000</v>
      </c>
      <c r="H6464" s="690" t="s">
        <v>172</v>
      </c>
      <c r="I6464" s="71" t="s">
        <v>33</v>
      </c>
      <c r="J6464" s="53">
        <f t="shared" si="3337"/>
        <v>824000</v>
      </c>
      <c r="K6464" s="63">
        <f t="shared" si="3338"/>
        <v>0.23623853211009171</v>
      </c>
      <c r="L6464" s="1212" t="s">
        <v>3967</v>
      </c>
      <c r="M6464" s="468" t="s">
        <v>3965</v>
      </c>
      <c r="N6464" s="1192">
        <v>45194</v>
      </c>
      <c r="O6464" s="71" t="s">
        <v>662</v>
      </c>
      <c r="P6464" s="103" t="s">
        <v>3916</v>
      </c>
      <c r="Q6464" s="71">
        <f t="shared" si="3341"/>
        <v>16</v>
      </c>
      <c r="R6464" s="102">
        <v>166500</v>
      </c>
      <c r="S6464" s="102">
        <f t="shared" si="3342"/>
        <v>2930400.0000000005</v>
      </c>
      <c r="T6464" s="102">
        <f t="shared" si="3343"/>
        <v>2664000</v>
      </c>
      <c r="U6464" s="71" t="s">
        <v>859</v>
      </c>
      <c r="V6464" s="71" t="s">
        <v>728</v>
      </c>
      <c r="W6464" s="474">
        <v>464000</v>
      </c>
      <c r="X6464" s="71"/>
      <c r="Y6464" s="71"/>
    </row>
    <row r="6465" spans="1:25" ht="30" hidden="1" customHeight="1" x14ac:dyDescent="0.25">
      <c r="A6465" s="1145">
        <v>45286</v>
      </c>
      <c r="B6465" s="664" t="s">
        <v>3307</v>
      </c>
      <c r="C6465" s="71" t="s">
        <v>3966</v>
      </c>
      <c r="D6465" s="71">
        <v>1</v>
      </c>
      <c r="E6465" s="102">
        <v>2350000</v>
      </c>
      <c r="F6465" s="102">
        <f t="shared" si="3335"/>
        <v>2585000</v>
      </c>
      <c r="G6465" s="102">
        <f t="shared" si="3336"/>
        <v>2350000</v>
      </c>
      <c r="H6465" s="690" t="s">
        <v>36</v>
      </c>
      <c r="I6465" s="690" t="s">
        <v>36</v>
      </c>
      <c r="J6465" s="53">
        <f t="shared" si="3337"/>
        <v>600000</v>
      </c>
      <c r="K6465" s="63">
        <f t="shared" si="3338"/>
        <v>0.25531914893617019</v>
      </c>
      <c r="L6465" s="1212" t="s">
        <v>3967</v>
      </c>
      <c r="M6465" s="468"/>
      <c r="N6465" s="1192">
        <v>45194</v>
      </c>
      <c r="O6465" s="71" t="s">
        <v>3298</v>
      </c>
      <c r="P6465" s="103" t="s">
        <v>3917</v>
      </c>
      <c r="Q6465" s="71">
        <f t="shared" si="3341"/>
        <v>1</v>
      </c>
      <c r="R6465" s="147">
        <v>1750000</v>
      </c>
      <c r="S6465" s="102">
        <f t="shared" si="3342"/>
        <v>1925000.0000000002</v>
      </c>
      <c r="T6465" s="102">
        <f t="shared" si="3343"/>
        <v>1750000</v>
      </c>
      <c r="U6465" s="71"/>
      <c r="V6465" s="71"/>
      <c r="W6465" s="474"/>
      <c r="X6465" s="71"/>
      <c r="Y6465" s="71"/>
    </row>
    <row r="6466" spans="1:25" ht="30" hidden="1" customHeight="1" x14ac:dyDescent="0.25">
      <c r="A6466" s="1145">
        <v>45273</v>
      </c>
      <c r="B6466" s="664" t="s">
        <v>856</v>
      </c>
      <c r="C6466" s="1020" t="s">
        <v>3606</v>
      </c>
      <c r="D6466" s="71">
        <v>5</v>
      </c>
      <c r="E6466" s="102">
        <v>930000</v>
      </c>
      <c r="F6466" s="102">
        <f t="shared" si="3335"/>
        <v>5115000</v>
      </c>
      <c r="G6466" s="102">
        <f t="shared" si="3336"/>
        <v>4650000</v>
      </c>
      <c r="H6466" s="690" t="s">
        <v>2029</v>
      </c>
      <c r="I6466" s="71" t="s">
        <v>2226</v>
      </c>
      <c r="J6466" s="53">
        <f t="shared" si="3337"/>
        <v>2722500</v>
      </c>
      <c r="K6466" s="63">
        <f t="shared" si="3338"/>
        <v>0.5854838709677419</v>
      </c>
      <c r="L6466" s="1212" t="s">
        <v>3967</v>
      </c>
      <c r="M6466" s="102"/>
      <c r="N6466" s="1192">
        <f t="shared" ref="N6466" si="3346">A6466</f>
        <v>45273</v>
      </c>
      <c r="O6466" s="71" t="s">
        <v>3984</v>
      </c>
      <c r="P6466" s="1219" t="str">
        <f t="shared" ref="P6466:P6474" si="3347">(C6466)</f>
        <v xml:space="preserve"> UV Lamp, 2130259, (honle 정품)
 F_930HOZ 200W/mm D22,5
 Lg1005,5mm U1500HFC</v>
      </c>
      <c r="Q6466" s="71">
        <f t="shared" si="3341"/>
        <v>5</v>
      </c>
      <c r="R6466" s="102">
        <v>385500</v>
      </c>
      <c r="S6466" s="102">
        <f t="shared" si="3342"/>
        <v>2120250</v>
      </c>
      <c r="T6466" s="102">
        <f t="shared" si="3343"/>
        <v>1927500</v>
      </c>
      <c r="U6466" s="71"/>
      <c r="V6466" s="71"/>
      <c r="W6466" s="474"/>
      <c r="X6466" s="71"/>
      <c r="Y6466" s="71"/>
    </row>
    <row r="6467" spans="1:25" ht="30" hidden="1" customHeight="1" x14ac:dyDescent="0.25">
      <c r="A6467" s="1145">
        <v>45281</v>
      </c>
      <c r="B6467" s="664" t="s">
        <v>2798</v>
      </c>
      <c r="C6467" s="71" t="s">
        <v>167</v>
      </c>
      <c r="D6467" s="71">
        <v>10</v>
      </c>
      <c r="E6467" s="102">
        <v>138000</v>
      </c>
      <c r="F6467" s="102">
        <f t="shared" si="3335"/>
        <v>1518000.0000000002</v>
      </c>
      <c r="G6467" s="102">
        <f t="shared" si="3336"/>
        <v>1380000</v>
      </c>
      <c r="H6467" s="690" t="s">
        <v>172</v>
      </c>
      <c r="I6467" s="71" t="s">
        <v>33</v>
      </c>
      <c r="J6467" s="53">
        <f t="shared" ref="J6467:J6481" si="3348">G6467-T6467</f>
        <v>368000</v>
      </c>
      <c r="K6467" s="63">
        <f t="shared" ref="K6467:K6481" si="3349">(J6467/(F6467/11*10))</f>
        <v>0.26666666666666661</v>
      </c>
      <c r="L6467" s="1212" t="s">
        <v>3967</v>
      </c>
      <c r="M6467" s="468"/>
      <c r="N6467" s="1192">
        <f t="shared" ref="N6467:N6481" si="3350">A6467</f>
        <v>45281</v>
      </c>
      <c r="O6467" s="71" t="s">
        <v>146</v>
      </c>
      <c r="P6467" s="103" t="str">
        <f t="shared" si="3347"/>
        <v>Blanket(1060*860)</v>
      </c>
      <c r="Q6467" s="71">
        <f t="shared" si="3341"/>
        <v>10</v>
      </c>
      <c r="R6467" s="102">
        <v>101200</v>
      </c>
      <c r="S6467" s="102">
        <f t="shared" si="3342"/>
        <v>1113200</v>
      </c>
      <c r="T6467" s="102">
        <f t="shared" si="3343"/>
        <v>1012000</v>
      </c>
      <c r="U6467" s="71" t="str">
        <f>IF(J6467=W6467,"O", "X")</f>
        <v>X</v>
      </c>
      <c r="V6467" s="71"/>
      <c r="W6467" s="474"/>
      <c r="X6467" s="71"/>
      <c r="Y6467" s="71"/>
    </row>
    <row r="6468" spans="1:25" ht="30" hidden="1" customHeight="1" x14ac:dyDescent="0.25">
      <c r="A6468" s="1145">
        <v>45281</v>
      </c>
      <c r="B6468" s="664" t="s">
        <v>444</v>
      </c>
      <c r="C6468" s="71" t="s">
        <v>3399</v>
      </c>
      <c r="D6468" s="71">
        <v>10</v>
      </c>
      <c r="E6468" s="102">
        <v>195000</v>
      </c>
      <c r="F6468" s="102">
        <f t="shared" si="3335"/>
        <v>2145000</v>
      </c>
      <c r="G6468" s="102">
        <f t="shared" si="3336"/>
        <v>1950000</v>
      </c>
      <c r="H6468" s="690" t="s">
        <v>2029</v>
      </c>
      <c r="I6468" s="71" t="s">
        <v>180</v>
      </c>
      <c r="J6468" s="53">
        <f t="shared" si="3348"/>
        <v>450000</v>
      </c>
      <c r="K6468" s="63">
        <f t="shared" si="3349"/>
        <v>0.23076923076923078</v>
      </c>
      <c r="L6468" s="1212" t="s">
        <v>3967</v>
      </c>
      <c r="M6468" s="468"/>
      <c r="N6468" s="1192">
        <f t="shared" si="3350"/>
        <v>45281</v>
      </c>
      <c r="O6468" s="71" t="s">
        <v>191</v>
      </c>
      <c r="P6468" s="103" t="str">
        <f t="shared" si="3347"/>
        <v>UV wash offset UV</v>
      </c>
      <c r="Q6468" s="71">
        <f t="shared" si="3341"/>
        <v>10</v>
      </c>
      <c r="R6468" s="102">
        <v>150000</v>
      </c>
      <c r="S6468" s="102">
        <f t="shared" si="3342"/>
        <v>1650000.0000000002</v>
      </c>
      <c r="T6468" s="102">
        <f t="shared" si="3343"/>
        <v>1500000</v>
      </c>
      <c r="U6468" s="71"/>
      <c r="V6468" s="71"/>
      <c r="W6468" s="474"/>
      <c r="X6468" s="71"/>
      <c r="Y6468" s="71"/>
    </row>
    <row r="6469" spans="1:25" s="209" customFormat="1" ht="30" hidden="1" customHeight="1" x14ac:dyDescent="0.25">
      <c r="A6469" s="1145">
        <v>45271</v>
      </c>
      <c r="B6469" s="664" t="s">
        <v>411</v>
      </c>
      <c r="C6469" s="71" t="s">
        <v>3413</v>
      </c>
      <c r="D6469" s="71">
        <v>10</v>
      </c>
      <c r="E6469" s="102">
        <v>100000</v>
      </c>
      <c r="F6469" s="102">
        <f t="shared" si="3335"/>
        <v>1100000</v>
      </c>
      <c r="G6469" s="102">
        <f t="shared" si="3336"/>
        <v>1000000</v>
      </c>
      <c r="H6469" s="690" t="s">
        <v>2029</v>
      </c>
      <c r="I6469" s="71" t="s">
        <v>3385</v>
      </c>
      <c r="J6469" s="53">
        <f t="shared" si="3348"/>
        <v>500000</v>
      </c>
      <c r="K6469" s="63">
        <f t="shared" si="3349"/>
        <v>0.5</v>
      </c>
      <c r="L6469" s="1212" t="s">
        <v>3967</v>
      </c>
      <c r="M6469" s="468"/>
      <c r="N6469" s="1192">
        <f t="shared" si="3350"/>
        <v>45271</v>
      </c>
      <c r="O6469" s="71" t="s">
        <v>190</v>
      </c>
      <c r="P6469" s="103" t="str">
        <f t="shared" si="3347"/>
        <v>아스테이지(국전)</v>
      </c>
      <c r="Q6469" s="71">
        <f t="shared" si="3341"/>
        <v>10</v>
      </c>
      <c r="R6469" s="102">
        <v>50000</v>
      </c>
      <c r="S6469" s="102">
        <f t="shared" si="3342"/>
        <v>550000</v>
      </c>
      <c r="T6469" s="102">
        <f t="shared" si="3343"/>
        <v>500000</v>
      </c>
      <c r="U6469" s="71" t="str">
        <f>IF(J6469=W6469,"O", "X")</f>
        <v>O</v>
      </c>
      <c r="V6469" s="71"/>
      <c r="W6469" s="474">
        <v>500000</v>
      </c>
      <c r="X6469" s="71"/>
      <c r="Y6469" s="71"/>
    </row>
    <row r="6470" spans="1:25" s="209" customFormat="1" ht="30" hidden="1" customHeight="1" x14ac:dyDescent="0.25">
      <c r="A6470" s="1145">
        <v>45275</v>
      </c>
      <c r="B6470" s="664" t="s">
        <v>567</v>
      </c>
      <c r="C6470" s="71" t="s">
        <v>123</v>
      </c>
      <c r="D6470" s="71">
        <v>10</v>
      </c>
      <c r="E6470" s="102">
        <v>50000</v>
      </c>
      <c r="F6470" s="102">
        <f t="shared" si="3335"/>
        <v>550000</v>
      </c>
      <c r="G6470" s="102">
        <f t="shared" si="3336"/>
        <v>500000</v>
      </c>
      <c r="H6470" s="690" t="s">
        <v>94</v>
      </c>
      <c r="I6470" s="71" t="s">
        <v>94</v>
      </c>
      <c r="J6470" s="53">
        <f t="shared" si="3348"/>
        <v>260000</v>
      </c>
      <c r="K6470" s="63">
        <f t="shared" si="3349"/>
        <v>0.52</v>
      </c>
      <c r="L6470" s="1212" t="s">
        <v>3967</v>
      </c>
      <c r="M6470" s="468"/>
      <c r="N6470" s="1192">
        <f t="shared" si="3350"/>
        <v>45275</v>
      </c>
      <c r="O6470" s="71" t="s">
        <v>94</v>
      </c>
      <c r="P6470" s="164" t="str">
        <f t="shared" si="3347"/>
        <v>필터백</v>
      </c>
      <c r="Q6470" s="71">
        <f t="shared" si="3341"/>
        <v>10</v>
      </c>
      <c r="R6470" s="102">
        <v>24000</v>
      </c>
      <c r="S6470" s="102">
        <f t="shared" si="3342"/>
        <v>264000</v>
      </c>
      <c r="T6470" s="102">
        <f t="shared" si="3343"/>
        <v>240000</v>
      </c>
      <c r="U6470" s="71"/>
      <c r="V6470" s="71"/>
      <c r="W6470" s="474"/>
      <c r="X6470" s="71"/>
      <c r="Y6470" s="71"/>
    </row>
    <row r="6471" spans="1:25" ht="30" hidden="1" customHeight="1" x14ac:dyDescent="0.25">
      <c r="A6471" s="1145">
        <v>45280</v>
      </c>
      <c r="B6471" s="664" t="s">
        <v>26</v>
      </c>
      <c r="C6471" s="71" t="s">
        <v>2087</v>
      </c>
      <c r="D6471" s="71">
        <v>10</v>
      </c>
      <c r="E6471" s="102">
        <v>65000</v>
      </c>
      <c r="F6471" s="102">
        <f t="shared" si="3335"/>
        <v>715000</v>
      </c>
      <c r="G6471" s="102">
        <f t="shared" si="3336"/>
        <v>650000</v>
      </c>
      <c r="H6471" s="690" t="s">
        <v>172</v>
      </c>
      <c r="I6471" s="71" t="s">
        <v>3295</v>
      </c>
      <c r="J6471" s="53">
        <f t="shared" si="3348"/>
        <v>150000</v>
      </c>
      <c r="K6471" s="63">
        <f t="shared" si="3349"/>
        <v>0.23076923076923078</v>
      </c>
      <c r="L6471" s="1212" t="s">
        <v>3967</v>
      </c>
      <c r="M6471" s="468"/>
      <c r="N6471" s="1192">
        <f t="shared" si="3350"/>
        <v>45280</v>
      </c>
      <c r="O6471" s="71" t="s">
        <v>152</v>
      </c>
      <c r="P6471" s="103" t="str">
        <f t="shared" si="3347"/>
        <v>아스테이지(국전)</v>
      </c>
      <c r="Q6471" s="71">
        <f t="shared" si="3341"/>
        <v>10</v>
      </c>
      <c r="R6471" s="102">
        <v>50000</v>
      </c>
      <c r="S6471" s="102">
        <f t="shared" si="3342"/>
        <v>550000</v>
      </c>
      <c r="T6471" s="102">
        <f t="shared" si="3343"/>
        <v>500000</v>
      </c>
      <c r="U6471" s="71" t="str">
        <f>IF(J6471=W6471,"O", "X")</f>
        <v>O</v>
      </c>
      <c r="V6471" s="71"/>
      <c r="W6471" s="474">
        <v>150000</v>
      </c>
      <c r="X6471" s="71"/>
      <c r="Y6471" s="71"/>
    </row>
    <row r="6472" spans="1:25" ht="30" hidden="1" customHeight="1" x14ac:dyDescent="0.25">
      <c r="A6472" s="1145">
        <v>45267</v>
      </c>
      <c r="B6472" s="664" t="s">
        <v>3296</v>
      </c>
      <c r="C6472" s="71" t="s">
        <v>3297</v>
      </c>
      <c r="D6472" s="71">
        <v>20</v>
      </c>
      <c r="E6472" s="102">
        <v>162500</v>
      </c>
      <c r="F6472" s="102">
        <f t="shared" si="3335"/>
        <v>3575000.0000000005</v>
      </c>
      <c r="G6472" s="102">
        <f t="shared" si="3336"/>
        <v>3250000</v>
      </c>
      <c r="H6472" s="690" t="s">
        <v>172</v>
      </c>
      <c r="I6472" s="71" t="s">
        <v>3295</v>
      </c>
      <c r="J6472" s="53">
        <f t="shared" si="3348"/>
        <v>850000</v>
      </c>
      <c r="K6472" s="63">
        <f t="shared" si="3349"/>
        <v>0.2615384615384615</v>
      </c>
      <c r="L6472" s="1212" t="s">
        <v>3967</v>
      </c>
      <c r="M6472" s="468"/>
      <c r="N6472" s="1192">
        <f t="shared" si="3350"/>
        <v>45267</v>
      </c>
      <c r="O6472" s="71" t="s">
        <v>662</v>
      </c>
      <c r="P6472" s="103" t="str">
        <f t="shared" si="3347"/>
        <v>실리콘 에멀전</v>
      </c>
      <c r="Q6472" s="71">
        <f t="shared" si="3341"/>
        <v>20</v>
      </c>
      <c r="R6472" s="102">
        <v>120000</v>
      </c>
      <c r="S6472" s="102">
        <f t="shared" si="3342"/>
        <v>2640000</v>
      </c>
      <c r="T6472" s="102">
        <f t="shared" si="3343"/>
        <v>2400000</v>
      </c>
      <c r="U6472" s="71" t="str">
        <f>IF(J6472=W6472,"O", "X")</f>
        <v>X</v>
      </c>
      <c r="V6472" s="71"/>
      <c r="W6472" s="474"/>
      <c r="X6472" s="71"/>
      <c r="Y6472" s="71"/>
    </row>
    <row r="6473" spans="1:25" ht="30" hidden="1" customHeight="1" x14ac:dyDescent="0.25">
      <c r="A6473" s="1145">
        <v>45282</v>
      </c>
      <c r="B6473" s="664" t="s">
        <v>3296</v>
      </c>
      <c r="C6473" s="71" t="s">
        <v>3297</v>
      </c>
      <c r="D6473" s="71">
        <v>20</v>
      </c>
      <c r="E6473" s="102">
        <v>162500</v>
      </c>
      <c r="F6473" s="102">
        <f t="shared" si="3335"/>
        <v>3575000.0000000005</v>
      </c>
      <c r="G6473" s="102">
        <f t="shared" si="3336"/>
        <v>3250000</v>
      </c>
      <c r="H6473" s="690" t="s">
        <v>172</v>
      </c>
      <c r="I6473" s="71" t="s">
        <v>3295</v>
      </c>
      <c r="J6473" s="53">
        <f t="shared" si="3348"/>
        <v>850000</v>
      </c>
      <c r="K6473" s="63">
        <f t="shared" si="3349"/>
        <v>0.2615384615384615</v>
      </c>
      <c r="L6473" s="1212" t="s">
        <v>3967</v>
      </c>
      <c r="M6473" s="468"/>
      <c r="N6473" s="1192">
        <f t="shared" si="3350"/>
        <v>45282</v>
      </c>
      <c r="O6473" s="71" t="s">
        <v>662</v>
      </c>
      <c r="P6473" s="103" t="str">
        <f t="shared" si="3347"/>
        <v>실리콘 에멀전</v>
      </c>
      <c r="Q6473" s="71">
        <f t="shared" si="3341"/>
        <v>20</v>
      </c>
      <c r="R6473" s="102">
        <v>120000</v>
      </c>
      <c r="S6473" s="102">
        <f t="shared" si="3342"/>
        <v>2640000</v>
      </c>
      <c r="T6473" s="102">
        <f t="shared" si="3343"/>
        <v>2400000</v>
      </c>
      <c r="U6473" s="71" t="str">
        <f>IF(J6473=W6473,"O", "X")</f>
        <v>X</v>
      </c>
      <c r="V6473" s="71"/>
      <c r="W6473" s="474"/>
      <c r="X6473" s="71"/>
      <c r="Y6473" s="71"/>
    </row>
    <row r="6474" spans="1:25" ht="30" hidden="1" customHeight="1" x14ac:dyDescent="0.25">
      <c r="A6474" s="1145">
        <v>45265</v>
      </c>
      <c r="B6474" s="664" t="s">
        <v>18</v>
      </c>
      <c r="C6474" s="71" t="s">
        <v>3305</v>
      </c>
      <c r="D6474" s="71">
        <v>15</v>
      </c>
      <c r="E6474" s="102">
        <v>86000</v>
      </c>
      <c r="F6474" s="102">
        <f t="shared" si="3335"/>
        <v>1419000</v>
      </c>
      <c r="G6474" s="102">
        <f t="shared" si="3336"/>
        <v>1290000</v>
      </c>
      <c r="H6474" s="690" t="s">
        <v>172</v>
      </c>
      <c r="I6474" s="71" t="s">
        <v>3295</v>
      </c>
      <c r="J6474" s="53">
        <f t="shared" si="3348"/>
        <v>240000</v>
      </c>
      <c r="K6474" s="63">
        <f t="shared" si="3349"/>
        <v>0.18604651162790697</v>
      </c>
      <c r="L6474" s="1212" t="s">
        <v>3967</v>
      </c>
      <c r="M6474" s="468" t="s">
        <v>3306</v>
      </c>
      <c r="N6474" s="1192">
        <f t="shared" si="3350"/>
        <v>45265</v>
      </c>
      <c r="O6474" s="71" t="s">
        <v>146</v>
      </c>
      <c r="P6474" s="103" t="str">
        <f t="shared" si="3347"/>
        <v>파우더</v>
      </c>
      <c r="Q6474" s="71">
        <f t="shared" si="3341"/>
        <v>15</v>
      </c>
      <c r="R6474" s="102">
        <v>70000</v>
      </c>
      <c r="S6474" s="102">
        <f t="shared" si="3342"/>
        <v>1155000</v>
      </c>
      <c r="T6474" s="102">
        <f t="shared" si="3343"/>
        <v>1050000</v>
      </c>
      <c r="U6474" s="71" t="str">
        <f t="shared" ref="U6474" si="3351">IF(J6474=W6474,"O", "X")</f>
        <v>X</v>
      </c>
      <c r="V6474" s="71"/>
      <c r="W6474" s="474"/>
      <c r="X6474" s="71"/>
      <c r="Y6474" s="71"/>
    </row>
    <row r="6475" spans="1:25" ht="30" hidden="1" customHeight="1" x14ac:dyDescent="0.2">
      <c r="A6475" s="1145">
        <v>45265</v>
      </c>
      <c r="B6475" s="664" t="s">
        <v>548</v>
      </c>
      <c r="C6475" s="71" t="s">
        <v>236</v>
      </c>
      <c r="D6475" s="71">
        <v>3</v>
      </c>
      <c r="E6475" s="102">
        <v>100000</v>
      </c>
      <c r="F6475" s="163">
        <f>(E6475*D6475)*1.1</f>
        <v>330000</v>
      </c>
      <c r="G6475" s="102">
        <f>(E6475*D6475)</f>
        <v>300000</v>
      </c>
      <c r="H6475" s="690" t="s">
        <v>173</v>
      </c>
      <c r="I6475" s="71" t="s">
        <v>2231</v>
      </c>
      <c r="J6475" s="53">
        <f t="shared" si="3348"/>
        <v>120000</v>
      </c>
      <c r="K6475" s="63">
        <f t="shared" si="3349"/>
        <v>0.4</v>
      </c>
      <c r="L6475" s="1212" t="s">
        <v>3967</v>
      </c>
      <c r="M6475" s="468"/>
      <c r="N6475" s="1192">
        <f t="shared" si="3350"/>
        <v>45265</v>
      </c>
      <c r="O6475" s="71" t="s">
        <v>3021</v>
      </c>
      <c r="P6475" s="164" t="str">
        <f>(C6475)</f>
        <v>아스테이지(국전)</v>
      </c>
      <c r="Q6475" s="71">
        <f>D6475</f>
        <v>3</v>
      </c>
      <c r="R6475" s="102">
        <v>60000</v>
      </c>
      <c r="S6475" s="102">
        <f t="shared" si="3342"/>
        <v>198000.00000000003</v>
      </c>
      <c r="T6475" s="102">
        <f t="shared" si="3343"/>
        <v>180000</v>
      </c>
      <c r="U6475" s="71" t="str">
        <f>IF(J6475=W6475,"O", "X")</f>
        <v>X</v>
      </c>
      <c r="V6475" s="71"/>
      <c r="W6475" s="474"/>
      <c r="X6475" s="71"/>
      <c r="Y6475" s="71"/>
    </row>
    <row r="6476" spans="1:25" ht="30" hidden="1" customHeight="1" x14ac:dyDescent="0.25">
      <c r="A6476" s="1145">
        <v>45265</v>
      </c>
      <c r="B6476" s="664" t="s">
        <v>548</v>
      </c>
      <c r="C6476" s="71" t="s">
        <v>3382</v>
      </c>
      <c r="D6476" s="71">
        <v>1</v>
      </c>
      <c r="E6476" s="102">
        <v>168000</v>
      </c>
      <c r="F6476" s="102">
        <f t="shared" ref="F6476:F6481" si="3352">(E6476*D6476)*1.1</f>
        <v>184800.00000000003</v>
      </c>
      <c r="G6476" s="102">
        <f t="shared" ref="G6476:G6481" si="3353">(E6476*D6476)</f>
        <v>168000</v>
      </c>
      <c r="H6476" s="690" t="s">
        <v>2029</v>
      </c>
      <c r="I6476" s="71" t="s">
        <v>180</v>
      </c>
      <c r="J6476" s="53">
        <f t="shared" si="3348"/>
        <v>48000</v>
      </c>
      <c r="K6476" s="63">
        <f t="shared" si="3349"/>
        <v>0.28571428571428564</v>
      </c>
      <c r="L6476" s="1212" t="s">
        <v>3967</v>
      </c>
      <c r="M6476" s="468"/>
      <c r="N6476" s="1192">
        <f t="shared" si="3350"/>
        <v>45265</v>
      </c>
      <c r="O6476" s="71" t="s">
        <v>3383</v>
      </c>
      <c r="P6476" s="103" t="str">
        <f t="shared" ref="P6476:P6480" si="3354">(C6476)</f>
        <v>판 클리너(12개)</v>
      </c>
      <c r="Q6476" s="71">
        <f t="shared" ref="Q6476:Q6480" si="3355">D6476</f>
        <v>1</v>
      </c>
      <c r="R6476" s="102">
        <v>120000</v>
      </c>
      <c r="S6476" s="102">
        <f t="shared" si="3342"/>
        <v>132000</v>
      </c>
      <c r="T6476" s="102">
        <f t="shared" si="3343"/>
        <v>120000</v>
      </c>
      <c r="U6476" s="71" t="str">
        <f>IF(J6476=W6476,"O", "X")</f>
        <v>X</v>
      </c>
      <c r="V6476" s="71"/>
      <c r="W6476" s="474"/>
      <c r="X6476" s="71"/>
      <c r="Y6476" s="71"/>
    </row>
    <row r="6477" spans="1:25" ht="30" hidden="1" customHeight="1" x14ac:dyDescent="0.25">
      <c r="A6477" s="1145">
        <v>45258</v>
      </c>
      <c r="B6477" s="664" t="s">
        <v>442</v>
      </c>
      <c r="C6477" s="71" t="s">
        <v>3299</v>
      </c>
      <c r="D6477" s="71">
        <v>15</v>
      </c>
      <c r="E6477" s="102">
        <v>69000</v>
      </c>
      <c r="F6477" s="102">
        <f t="shared" si="3352"/>
        <v>1138500</v>
      </c>
      <c r="G6477" s="102">
        <f t="shared" si="3353"/>
        <v>1035000</v>
      </c>
      <c r="H6477" s="690" t="s">
        <v>172</v>
      </c>
      <c r="I6477" s="71" t="s">
        <v>180</v>
      </c>
      <c r="J6477" s="53">
        <f t="shared" si="3348"/>
        <v>322500</v>
      </c>
      <c r="K6477" s="63">
        <f t="shared" si="3349"/>
        <v>0.31159420289855072</v>
      </c>
      <c r="L6477" s="1212" t="s">
        <v>3967</v>
      </c>
      <c r="M6477" s="468" t="s">
        <v>3304</v>
      </c>
      <c r="N6477" s="1192">
        <f t="shared" si="3350"/>
        <v>45258</v>
      </c>
      <c r="O6477" s="71" t="s">
        <v>175</v>
      </c>
      <c r="P6477" s="164" t="str">
        <f t="shared" si="3354"/>
        <v>매엽용 세척제(Wash k11)</v>
      </c>
      <c r="Q6477" s="71">
        <f t="shared" si="3355"/>
        <v>15</v>
      </c>
      <c r="R6477" s="102">
        <v>47500</v>
      </c>
      <c r="S6477" s="102">
        <f t="shared" si="3342"/>
        <v>783750.00000000012</v>
      </c>
      <c r="T6477" s="102">
        <f t="shared" si="3343"/>
        <v>712500</v>
      </c>
      <c r="U6477" s="71" t="s">
        <v>859</v>
      </c>
      <c r="V6477" s="71"/>
      <c r="W6477" s="474"/>
      <c r="X6477" s="71"/>
      <c r="Y6477" s="71"/>
    </row>
    <row r="6478" spans="1:25" ht="30" hidden="1" customHeight="1" x14ac:dyDescent="0.25">
      <c r="A6478" s="1145">
        <v>45271</v>
      </c>
      <c r="B6478" s="664" t="s">
        <v>442</v>
      </c>
      <c r="C6478" s="71" t="s">
        <v>206</v>
      </c>
      <c r="D6478" s="71">
        <v>2</v>
      </c>
      <c r="E6478" s="102">
        <v>453000</v>
      </c>
      <c r="F6478" s="102">
        <f t="shared" si="3352"/>
        <v>996600.00000000012</v>
      </c>
      <c r="G6478" s="102">
        <f t="shared" si="3353"/>
        <v>906000</v>
      </c>
      <c r="H6478" s="690" t="s">
        <v>2029</v>
      </c>
      <c r="I6478" s="71" t="s">
        <v>195</v>
      </c>
      <c r="J6478" s="53">
        <f t="shared" si="3348"/>
        <v>144640</v>
      </c>
      <c r="K6478" s="63">
        <f t="shared" si="3349"/>
        <v>0.15964679911699778</v>
      </c>
      <c r="L6478" s="1212" t="s">
        <v>3967</v>
      </c>
      <c r="M6478" s="468"/>
      <c r="N6478" s="1192">
        <f t="shared" si="3350"/>
        <v>45271</v>
      </c>
      <c r="O6478" s="71" t="s">
        <v>194</v>
      </c>
      <c r="P6478" s="103" t="str">
        <f t="shared" si="3354"/>
        <v>Agfa Film(24inch)</v>
      </c>
      <c r="Q6478" s="71">
        <f t="shared" si="3355"/>
        <v>2</v>
      </c>
      <c r="R6478" s="102">
        <v>380680</v>
      </c>
      <c r="S6478" s="102">
        <f t="shared" si="3342"/>
        <v>837496.00000000012</v>
      </c>
      <c r="T6478" s="102">
        <f t="shared" si="3343"/>
        <v>761360</v>
      </c>
      <c r="U6478" s="71" t="s">
        <v>859</v>
      </c>
      <c r="V6478" s="71"/>
      <c r="W6478" s="474">
        <v>144640</v>
      </c>
      <c r="X6478" s="71"/>
      <c r="Y6478" s="71"/>
    </row>
    <row r="6479" spans="1:25" ht="30" hidden="1" customHeight="1" x14ac:dyDescent="0.25">
      <c r="A6479" s="1145">
        <v>45271</v>
      </c>
      <c r="B6479" s="664" t="s">
        <v>442</v>
      </c>
      <c r="C6479" s="71" t="s">
        <v>207</v>
      </c>
      <c r="D6479" s="71">
        <v>2</v>
      </c>
      <c r="E6479" s="102">
        <v>558000</v>
      </c>
      <c r="F6479" s="102">
        <f t="shared" si="3352"/>
        <v>1227600</v>
      </c>
      <c r="G6479" s="102">
        <f t="shared" si="3353"/>
        <v>1116000</v>
      </c>
      <c r="H6479" s="690" t="s">
        <v>2029</v>
      </c>
      <c r="I6479" s="71" t="s">
        <v>195</v>
      </c>
      <c r="J6479" s="53">
        <f t="shared" si="3348"/>
        <v>228480</v>
      </c>
      <c r="K6479" s="63">
        <f t="shared" si="3349"/>
        <v>0.20473118279569893</v>
      </c>
      <c r="L6479" s="1212" t="s">
        <v>3967</v>
      </c>
      <c r="M6479" s="468"/>
      <c r="N6479" s="1192">
        <f t="shared" si="3350"/>
        <v>45271</v>
      </c>
      <c r="O6479" s="71" t="s">
        <v>194</v>
      </c>
      <c r="P6479" s="103" t="str">
        <f t="shared" si="3354"/>
        <v>Agfa Film(28inch)</v>
      </c>
      <c r="Q6479" s="71">
        <f t="shared" si="3355"/>
        <v>2</v>
      </c>
      <c r="R6479" s="102">
        <v>443760</v>
      </c>
      <c r="S6479" s="102">
        <f t="shared" si="3342"/>
        <v>976272.00000000012</v>
      </c>
      <c r="T6479" s="102">
        <f t="shared" si="3343"/>
        <v>887520</v>
      </c>
      <c r="U6479" s="71" t="s">
        <v>859</v>
      </c>
      <c r="V6479" s="71"/>
      <c r="W6479" s="474">
        <v>228480</v>
      </c>
      <c r="X6479" s="71"/>
      <c r="Y6479" s="71"/>
    </row>
    <row r="6480" spans="1:25" ht="30" hidden="1" customHeight="1" x14ac:dyDescent="0.25">
      <c r="A6480" s="1145">
        <v>45271</v>
      </c>
      <c r="B6480" s="664" t="s">
        <v>442</v>
      </c>
      <c r="C6480" s="71" t="s">
        <v>208</v>
      </c>
      <c r="D6480" s="71">
        <v>2</v>
      </c>
      <c r="E6480" s="102">
        <v>624000</v>
      </c>
      <c r="F6480" s="102">
        <f t="shared" si="3352"/>
        <v>1372800</v>
      </c>
      <c r="G6480" s="102">
        <f t="shared" si="3353"/>
        <v>1248000</v>
      </c>
      <c r="H6480" s="690" t="s">
        <v>2029</v>
      </c>
      <c r="I6480" s="71" t="s">
        <v>195</v>
      </c>
      <c r="J6480" s="53">
        <f t="shared" si="3348"/>
        <v>201820</v>
      </c>
      <c r="K6480" s="63">
        <f t="shared" si="3349"/>
        <v>0.16171474358974358</v>
      </c>
      <c r="L6480" s="1212" t="s">
        <v>3967</v>
      </c>
      <c r="M6480" s="468"/>
      <c r="N6480" s="1192">
        <f t="shared" si="3350"/>
        <v>45271</v>
      </c>
      <c r="O6480" s="71" t="s">
        <v>194</v>
      </c>
      <c r="P6480" s="103" t="str">
        <f t="shared" si="3354"/>
        <v>Agfa Film(32inch)</v>
      </c>
      <c r="Q6480" s="71">
        <f t="shared" si="3355"/>
        <v>2</v>
      </c>
      <c r="R6480" s="102">
        <f>523090</f>
        <v>523090</v>
      </c>
      <c r="S6480" s="102">
        <f t="shared" si="3342"/>
        <v>1150798</v>
      </c>
      <c r="T6480" s="102">
        <f t="shared" si="3343"/>
        <v>1046180</v>
      </c>
      <c r="U6480" s="71" t="s">
        <v>859</v>
      </c>
      <c r="V6480" s="71"/>
      <c r="W6480" s="474">
        <v>201820</v>
      </c>
      <c r="X6480" s="71"/>
      <c r="Y6480" s="71"/>
    </row>
    <row r="6481" spans="1:25" ht="30" hidden="1" customHeight="1" x14ac:dyDescent="0.25">
      <c r="A6481" s="1145">
        <v>45273</v>
      </c>
      <c r="B6481" s="664" t="s">
        <v>442</v>
      </c>
      <c r="C6481" s="71" t="s">
        <v>3431</v>
      </c>
      <c r="D6481" s="71">
        <v>2</v>
      </c>
      <c r="E6481" s="102">
        <v>142000</v>
      </c>
      <c r="F6481" s="102">
        <f t="shared" si="3352"/>
        <v>312400</v>
      </c>
      <c r="G6481" s="102">
        <f t="shared" si="3353"/>
        <v>284000</v>
      </c>
      <c r="H6481" s="690" t="s">
        <v>2029</v>
      </c>
      <c r="I6481" s="71" t="s">
        <v>195</v>
      </c>
      <c r="J6481" s="53">
        <f t="shared" si="3348"/>
        <v>94000</v>
      </c>
      <c r="K6481" s="63">
        <f t="shared" si="3349"/>
        <v>0.33098591549295775</v>
      </c>
      <c r="L6481" s="1212" t="s">
        <v>3967</v>
      </c>
      <c r="M6481" s="468"/>
      <c r="N6481" s="1192">
        <f t="shared" si="3350"/>
        <v>45273</v>
      </c>
      <c r="O6481" s="71" t="s">
        <v>2030</v>
      </c>
      <c r="P6481" s="164" t="str">
        <f>(C6481)</f>
        <v>닥터호일 아스테이지</v>
      </c>
      <c r="Q6481" s="71">
        <f t="shared" ref="Q6481:Q6487" si="3356">D6481</f>
        <v>2</v>
      </c>
      <c r="R6481" s="102">
        <v>95000</v>
      </c>
      <c r="S6481" s="102">
        <f t="shared" si="3342"/>
        <v>209000.00000000003</v>
      </c>
      <c r="T6481" s="102">
        <f t="shared" si="3343"/>
        <v>190000</v>
      </c>
      <c r="U6481" s="71" t="str">
        <f>IF(J6481=W6481,"O", "X")</f>
        <v>O</v>
      </c>
      <c r="V6481" s="71"/>
      <c r="W6481" s="474">
        <f>(G6481-T6481)</f>
        <v>94000</v>
      </c>
      <c r="X6481" s="71"/>
      <c r="Y6481" s="71"/>
    </row>
    <row r="6482" spans="1:25" ht="30" hidden="1" customHeight="1" x14ac:dyDescent="0.25">
      <c r="A6482" s="1145">
        <v>45274</v>
      </c>
      <c r="B6482" s="664" t="s">
        <v>442</v>
      </c>
      <c r="C6482" s="71" t="s">
        <v>3299</v>
      </c>
      <c r="D6482" s="71">
        <v>10</v>
      </c>
      <c r="E6482" s="102">
        <v>69000</v>
      </c>
      <c r="F6482" s="102">
        <f t="shared" ref="F6482:F6487" si="3357">(E6482*D6482)*1.1</f>
        <v>759000.00000000012</v>
      </c>
      <c r="G6482" s="102">
        <f t="shared" ref="G6482:G6487" si="3358">(E6482*D6482)</f>
        <v>690000</v>
      </c>
      <c r="H6482" s="690" t="s">
        <v>172</v>
      </c>
      <c r="I6482" s="71" t="s">
        <v>180</v>
      </c>
      <c r="J6482" s="53">
        <f t="shared" ref="J6482:J6487" si="3359">G6482-T6482</f>
        <v>215000</v>
      </c>
      <c r="K6482" s="63">
        <f t="shared" ref="K6482:K6487" si="3360">(J6482/(F6482/11*10))</f>
        <v>0.31159420289855067</v>
      </c>
      <c r="L6482" s="1212" t="s">
        <v>3967</v>
      </c>
      <c r="M6482" s="468" t="s">
        <v>3304</v>
      </c>
      <c r="N6482" s="1192">
        <f t="shared" ref="N6482:N6487" si="3361">A6482</f>
        <v>45274</v>
      </c>
      <c r="O6482" s="71" t="s">
        <v>175</v>
      </c>
      <c r="P6482" s="164" t="str">
        <f t="shared" ref="P6482:P6487" si="3362">(C6482)</f>
        <v>매엽용 세척제(Wash k11)</v>
      </c>
      <c r="Q6482" s="71">
        <f t="shared" si="3356"/>
        <v>10</v>
      </c>
      <c r="R6482" s="102">
        <v>47500</v>
      </c>
      <c r="S6482" s="102">
        <f t="shared" ref="S6482:S6487" si="3363">R6482*Q6482*1.1</f>
        <v>522500.00000000006</v>
      </c>
      <c r="T6482" s="102">
        <f t="shared" ref="T6482:T6487" si="3364">R6482*Q6482</f>
        <v>475000</v>
      </c>
      <c r="U6482" s="71" t="s">
        <v>859</v>
      </c>
      <c r="V6482" s="71"/>
      <c r="W6482" s="474"/>
      <c r="X6482" s="71"/>
      <c r="Y6482" s="71"/>
    </row>
    <row r="6483" spans="1:25" ht="30" hidden="1" customHeight="1" x14ac:dyDescent="0.25">
      <c r="A6483" s="1145">
        <v>45280</v>
      </c>
      <c r="B6483" s="664" t="s">
        <v>442</v>
      </c>
      <c r="C6483" s="71" t="s">
        <v>2031</v>
      </c>
      <c r="D6483" s="71">
        <v>10</v>
      </c>
      <c r="E6483" s="102">
        <v>50000</v>
      </c>
      <c r="F6483" s="102">
        <f t="shared" si="3357"/>
        <v>550000</v>
      </c>
      <c r="G6483" s="102">
        <f t="shared" si="3358"/>
        <v>500000</v>
      </c>
      <c r="H6483" s="690" t="s">
        <v>94</v>
      </c>
      <c r="I6483" s="71" t="s">
        <v>94</v>
      </c>
      <c r="J6483" s="53">
        <f t="shared" si="3359"/>
        <v>260000</v>
      </c>
      <c r="K6483" s="63">
        <f t="shared" si="3360"/>
        <v>0.52</v>
      </c>
      <c r="L6483" s="1212" t="s">
        <v>3967</v>
      </c>
      <c r="M6483" s="102"/>
      <c r="N6483" s="1192">
        <f t="shared" si="3361"/>
        <v>45280</v>
      </c>
      <c r="O6483" s="71" t="s">
        <v>94</v>
      </c>
      <c r="P6483" s="103" t="str">
        <f t="shared" si="3362"/>
        <v>필터백</v>
      </c>
      <c r="Q6483" s="71">
        <f t="shared" si="3356"/>
        <v>10</v>
      </c>
      <c r="R6483" s="102">
        <v>24000</v>
      </c>
      <c r="S6483" s="102">
        <f t="shared" si="3363"/>
        <v>264000</v>
      </c>
      <c r="T6483" s="102">
        <f t="shared" si="3364"/>
        <v>240000</v>
      </c>
      <c r="U6483" s="71"/>
      <c r="V6483" s="71"/>
      <c r="W6483" s="474"/>
      <c r="X6483" s="71"/>
      <c r="Y6483" s="71"/>
    </row>
    <row r="6484" spans="1:25" ht="30" hidden="1" customHeight="1" x14ac:dyDescent="0.25">
      <c r="A6484" s="1145">
        <v>45280</v>
      </c>
      <c r="B6484" s="664" t="s">
        <v>442</v>
      </c>
      <c r="C6484" s="71" t="s">
        <v>2031</v>
      </c>
      <c r="D6484" s="71">
        <v>10</v>
      </c>
      <c r="E6484" s="102">
        <v>50000</v>
      </c>
      <c r="F6484" s="102">
        <f t="shared" si="3357"/>
        <v>550000</v>
      </c>
      <c r="G6484" s="102">
        <f t="shared" si="3358"/>
        <v>500000</v>
      </c>
      <c r="H6484" s="690" t="s">
        <v>94</v>
      </c>
      <c r="I6484" s="71" t="s">
        <v>94</v>
      </c>
      <c r="J6484" s="53">
        <f t="shared" si="3359"/>
        <v>260000</v>
      </c>
      <c r="K6484" s="63">
        <f t="shared" si="3360"/>
        <v>0.52</v>
      </c>
      <c r="L6484" s="1212" t="s">
        <v>3967</v>
      </c>
      <c r="M6484" s="102"/>
      <c r="N6484" s="1192">
        <f t="shared" si="3361"/>
        <v>45280</v>
      </c>
      <c r="O6484" s="71" t="s">
        <v>94</v>
      </c>
      <c r="P6484" s="103" t="str">
        <f t="shared" si="3362"/>
        <v>필터백</v>
      </c>
      <c r="Q6484" s="71">
        <f t="shared" si="3356"/>
        <v>10</v>
      </c>
      <c r="R6484" s="102">
        <v>24000</v>
      </c>
      <c r="S6484" s="102">
        <f t="shared" si="3363"/>
        <v>264000</v>
      </c>
      <c r="T6484" s="102">
        <f t="shared" si="3364"/>
        <v>240000</v>
      </c>
      <c r="U6484" s="71"/>
      <c r="V6484" s="71"/>
      <c r="W6484" s="474"/>
      <c r="X6484" s="71"/>
      <c r="Y6484" s="71"/>
    </row>
    <row r="6485" spans="1:25" ht="30" hidden="1" customHeight="1" x14ac:dyDescent="0.25">
      <c r="A6485" s="1145">
        <v>45264</v>
      </c>
      <c r="B6485" s="664" t="s">
        <v>2261</v>
      </c>
      <c r="C6485" s="760" t="s">
        <v>181</v>
      </c>
      <c r="D6485" s="71">
        <v>10</v>
      </c>
      <c r="E6485" s="102">
        <v>193000</v>
      </c>
      <c r="F6485" s="102">
        <f t="shared" si="3357"/>
        <v>2123000</v>
      </c>
      <c r="G6485" s="102">
        <f t="shared" si="3358"/>
        <v>1930000</v>
      </c>
      <c r="H6485" s="690" t="s">
        <v>2029</v>
      </c>
      <c r="I6485" s="71" t="s">
        <v>182</v>
      </c>
      <c r="J6485" s="53">
        <f t="shared" si="3359"/>
        <v>690000</v>
      </c>
      <c r="K6485" s="63">
        <f t="shared" si="3360"/>
        <v>0.35751295336787564</v>
      </c>
      <c r="L6485" s="1212" t="s">
        <v>3967</v>
      </c>
      <c r="M6485" s="468"/>
      <c r="N6485" s="1192">
        <f t="shared" si="3361"/>
        <v>45264</v>
      </c>
      <c r="O6485" s="71" t="s">
        <v>2030</v>
      </c>
      <c r="P6485" s="103" t="str">
        <f t="shared" si="3362"/>
        <v>Fount Web 551AF</v>
      </c>
      <c r="Q6485" s="71">
        <f t="shared" si="3356"/>
        <v>10</v>
      </c>
      <c r="R6485" s="102">
        <v>124000</v>
      </c>
      <c r="S6485" s="102">
        <f t="shared" si="3363"/>
        <v>1364000</v>
      </c>
      <c r="T6485" s="102">
        <f t="shared" si="3364"/>
        <v>1240000</v>
      </c>
      <c r="U6485" s="71" t="str">
        <f>IF(J6485=W6485,"O", "X")</f>
        <v>X</v>
      </c>
      <c r="V6485" s="71"/>
      <c r="W6485" s="474">
        <v>640000</v>
      </c>
      <c r="X6485" s="71"/>
      <c r="Y6485" s="71"/>
    </row>
    <row r="6486" spans="1:25" ht="30" hidden="1" customHeight="1" x14ac:dyDescent="0.25">
      <c r="A6486" s="1145">
        <v>45267</v>
      </c>
      <c r="B6486" s="664" t="s">
        <v>2261</v>
      </c>
      <c r="C6486" s="71" t="s">
        <v>277</v>
      </c>
      <c r="D6486" s="71">
        <v>10</v>
      </c>
      <c r="E6486" s="102">
        <v>172000</v>
      </c>
      <c r="F6486" s="102">
        <f t="shared" si="3357"/>
        <v>1892000.0000000002</v>
      </c>
      <c r="G6486" s="102">
        <f t="shared" si="3358"/>
        <v>1720000</v>
      </c>
      <c r="H6486" s="690" t="s">
        <v>172</v>
      </c>
      <c r="I6486" s="71" t="s">
        <v>108</v>
      </c>
      <c r="J6486" s="53">
        <f t="shared" si="3359"/>
        <v>390000</v>
      </c>
      <c r="K6486" s="63">
        <f t="shared" si="3360"/>
        <v>0.22674418604651159</v>
      </c>
      <c r="L6486" s="1212" t="s">
        <v>3967</v>
      </c>
      <c r="M6486" s="468"/>
      <c r="N6486" s="1192">
        <f t="shared" si="3361"/>
        <v>45267</v>
      </c>
      <c r="O6486" s="71" t="s">
        <v>662</v>
      </c>
      <c r="P6486" s="103" t="str">
        <f t="shared" si="3362"/>
        <v>윤전용 세척제(Web 504)</v>
      </c>
      <c r="Q6486" s="71">
        <f t="shared" si="3356"/>
        <v>10</v>
      </c>
      <c r="R6486" s="102">
        <v>133000</v>
      </c>
      <c r="S6486" s="102">
        <f t="shared" si="3363"/>
        <v>1463000.0000000002</v>
      </c>
      <c r="T6486" s="102">
        <f t="shared" si="3364"/>
        <v>1330000</v>
      </c>
      <c r="U6486" s="71" t="str">
        <f>IF(J6486=W6486,"O", "X")</f>
        <v>X</v>
      </c>
      <c r="V6486" s="71"/>
      <c r="W6486" s="474"/>
      <c r="X6486" s="71"/>
      <c r="Y6486" s="71"/>
    </row>
    <row r="6487" spans="1:25" ht="30" hidden="1" customHeight="1" x14ac:dyDescent="0.25">
      <c r="A6487" s="1145">
        <v>45267</v>
      </c>
      <c r="B6487" s="664" t="s">
        <v>2261</v>
      </c>
      <c r="C6487" s="71" t="s">
        <v>3299</v>
      </c>
      <c r="D6487" s="71">
        <v>10</v>
      </c>
      <c r="E6487" s="102">
        <v>52000</v>
      </c>
      <c r="F6487" s="102">
        <f t="shared" si="3357"/>
        <v>572000</v>
      </c>
      <c r="G6487" s="102">
        <f t="shared" si="3358"/>
        <v>520000</v>
      </c>
      <c r="H6487" s="690" t="s">
        <v>172</v>
      </c>
      <c r="I6487" s="71" t="s">
        <v>180</v>
      </c>
      <c r="J6487" s="53">
        <f t="shared" si="3359"/>
        <v>45000</v>
      </c>
      <c r="K6487" s="63">
        <f t="shared" si="3360"/>
        <v>8.6538461538461536E-2</v>
      </c>
      <c r="L6487" s="1212" t="s">
        <v>3967</v>
      </c>
      <c r="M6487" s="468" t="s">
        <v>3835</v>
      </c>
      <c r="N6487" s="1192">
        <f t="shared" si="3361"/>
        <v>45267</v>
      </c>
      <c r="O6487" s="71" t="s">
        <v>175</v>
      </c>
      <c r="P6487" s="103" t="str">
        <f t="shared" si="3362"/>
        <v>매엽용 세척제(Wash k11)</v>
      </c>
      <c r="Q6487" s="71">
        <f t="shared" si="3356"/>
        <v>10</v>
      </c>
      <c r="R6487" s="102">
        <v>47500</v>
      </c>
      <c r="S6487" s="102">
        <f t="shared" si="3363"/>
        <v>522500.00000000006</v>
      </c>
      <c r="T6487" s="102">
        <f t="shared" si="3364"/>
        <v>475000</v>
      </c>
      <c r="U6487" s="71" t="s">
        <v>859</v>
      </c>
      <c r="V6487" s="71"/>
      <c r="W6487" s="474"/>
      <c r="X6487" s="71"/>
      <c r="Y6487" s="71"/>
    </row>
    <row r="6488" spans="1:25" ht="30" hidden="1" customHeight="1" x14ac:dyDescent="0.25">
      <c r="A6488" s="1145">
        <v>45274</v>
      </c>
      <c r="B6488" s="664" t="s">
        <v>2261</v>
      </c>
      <c r="C6488" s="760" t="s">
        <v>181</v>
      </c>
      <c r="D6488" s="71">
        <v>10</v>
      </c>
      <c r="E6488" s="102">
        <v>193000</v>
      </c>
      <c r="F6488" s="102">
        <f t="shared" ref="F6488:F6492" si="3365">(E6488*D6488)*1.1</f>
        <v>2123000</v>
      </c>
      <c r="G6488" s="102">
        <f t="shared" ref="G6488:G6492" si="3366">(E6488*D6488)</f>
        <v>1930000</v>
      </c>
      <c r="H6488" s="690" t="s">
        <v>2029</v>
      </c>
      <c r="I6488" s="71" t="s">
        <v>182</v>
      </c>
      <c r="J6488" s="53">
        <f t="shared" ref="J6488:J6492" si="3367">G6488-T6488</f>
        <v>690000</v>
      </c>
      <c r="K6488" s="63">
        <f t="shared" ref="K6488:K6492" si="3368">(J6488/(F6488/11*10))</f>
        <v>0.35751295336787564</v>
      </c>
      <c r="L6488" s="1212" t="s">
        <v>3967</v>
      </c>
      <c r="M6488" s="468"/>
      <c r="N6488" s="1192">
        <f t="shared" ref="N6488:N6492" si="3369">A6488</f>
        <v>45274</v>
      </c>
      <c r="O6488" s="71" t="s">
        <v>2030</v>
      </c>
      <c r="P6488" s="103" t="str">
        <f t="shared" ref="P6488:P6492" si="3370">(C6488)</f>
        <v>Fount Web 551AF</v>
      </c>
      <c r="Q6488" s="71">
        <f t="shared" ref="Q6488:Q6492" si="3371">D6488</f>
        <v>10</v>
      </c>
      <c r="R6488" s="102">
        <v>124000</v>
      </c>
      <c r="S6488" s="102">
        <f t="shared" ref="S6488:S6492" si="3372">R6488*Q6488*1.1</f>
        <v>1364000</v>
      </c>
      <c r="T6488" s="102">
        <f t="shared" ref="T6488:T6492" si="3373">R6488*Q6488</f>
        <v>1240000</v>
      </c>
      <c r="U6488" s="71" t="str">
        <f>IF(J6488=W6488,"O", "X")</f>
        <v>X</v>
      </c>
      <c r="V6488" s="71"/>
      <c r="W6488" s="474">
        <v>640000</v>
      </c>
      <c r="X6488" s="71"/>
      <c r="Y6488" s="71"/>
    </row>
    <row r="6489" spans="1:25" ht="30" hidden="1" customHeight="1" x14ac:dyDescent="0.25">
      <c r="A6489" s="1145">
        <v>45278</v>
      </c>
      <c r="B6489" s="664" t="s">
        <v>2261</v>
      </c>
      <c r="C6489" s="71" t="s">
        <v>277</v>
      </c>
      <c r="D6489" s="71">
        <v>10</v>
      </c>
      <c r="E6489" s="102">
        <v>172000</v>
      </c>
      <c r="F6489" s="102">
        <f t="shared" si="3365"/>
        <v>1892000.0000000002</v>
      </c>
      <c r="G6489" s="102">
        <f t="shared" si="3366"/>
        <v>1720000</v>
      </c>
      <c r="H6489" s="690" t="s">
        <v>172</v>
      </c>
      <c r="I6489" s="71" t="s">
        <v>108</v>
      </c>
      <c r="J6489" s="53">
        <f t="shared" si="3367"/>
        <v>390000</v>
      </c>
      <c r="K6489" s="63">
        <f t="shared" si="3368"/>
        <v>0.22674418604651159</v>
      </c>
      <c r="L6489" s="1212" t="s">
        <v>3967</v>
      </c>
      <c r="M6489" s="468"/>
      <c r="N6489" s="1192">
        <f t="shared" si="3369"/>
        <v>45278</v>
      </c>
      <c r="O6489" s="71" t="s">
        <v>662</v>
      </c>
      <c r="P6489" s="103" t="str">
        <f t="shared" si="3370"/>
        <v>윤전용 세척제(Web 504)</v>
      </c>
      <c r="Q6489" s="71">
        <f t="shared" si="3371"/>
        <v>10</v>
      </c>
      <c r="R6489" s="102">
        <v>133000</v>
      </c>
      <c r="S6489" s="102">
        <f t="shared" si="3372"/>
        <v>1463000.0000000002</v>
      </c>
      <c r="T6489" s="102">
        <f t="shared" si="3373"/>
        <v>1330000</v>
      </c>
      <c r="U6489" s="71" t="str">
        <f>IF(J6489=W6489,"O", "X")</f>
        <v>X</v>
      </c>
      <c r="V6489" s="71"/>
      <c r="W6489" s="474"/>
      <c r="X6489" s="71"/>
      <c r="Y6489" s="71"/>
    </row>
    <row r="6490" spans="1:25" ht="30" hidden="1" customHeight="1" x14ac:dyDescent="0.25">
      <c r="A6490" s="1145">
        <v>45278</v>
      </c>
      <c r="B6490" s="664" t="s">
        <v>2261</v>
      </c>
      <c r="C6490" s="71" t="s">
        <v>3299</v>
      </c>
      <c r="D6490" s="71">
        <v>10</v>
      </c>
      <c r="E6490" s="102">
        <v>52000</v>
      </c>
      <c r="F6490" s="102">
        <f t="shared" si="3365"/>
        <v>572000</v>
      </c>
      <c r="G6490" s="102">
        <f t="shared" si="3366"/>
        <v>520000</v>
      </c>
      <c r="H6490" s="690" t="s">
        <v>172</v>
      </c>
      <c r="I6490" s="71" t="s">
        <v>180</v>
      </c>
      <c r="J6490" s="53">
        <f t="shared" si="3367"/>
        <v>45000</v>
      </c>
      <c r="K6490" s="63">
        <f t="shared" si="3368"/>
        <v>8.6538461538461536E-2</v>
      </c>
      <c r="L6490" s="1212" t="s">
        <v>3967</v>
      </c>
      <c r="M6490" s="468" t="s">
        <v>3835</v>
      </c>
      <c r="N6490" s="1192">
        <f t="shared" si="3369"/>
        <v>45278</v>
      </c>
      <c r="O6490" s="71" t="s">
        <v>175</v>
      </c>
      <c r="P6490" s="103" t="str">
        <f t="shared" si="3370"/>
        <v>매엽용 세척제(Wash k11)</v>
      </c>
      <c r="Q6490" s="71">
        <f t="shared" si="3371"/>
        <v>10</v>
      </c>
      <c r="R6490" s="102">
        <v>47500</v>
      </c>
      <c r="S6490" s="102">
        <f t="shared" si="3372"/>
        <v>522500.00000000006</v>
      </c>
      <c r="T6490" s="102">
        <f t="shared" si="3373"/>
        <v>475000</v>
      </c>
      <c r="U6490" s="71" t="s">
        <v>859</v>
      </c>
      <c r="V6490" s="71"/>
      <c r="W6490" s="474"/>
      <c r="X6490" s="71"/>
      <c r="Y6490" s="71"/>
    </row>
    <row r="6491" spans="1:25" ht="30" hidden="1" customHeight="1" x14ac:dyDescent="0.25">
      <c r="A6491" s="1145">
        <v>45279</v>
      </c>
      <c r="B6491" s="664" t="s">
        <v>3289</v>
      </c>
      <c r="C6491" s="71" t="s">
        <v>2070</v>
      </c>
      <c r="D6491" s="71">
        <v>10</v>
      </c>
      <c r="E6491" s="102">
        <v>110000</v>
      </c>
      <c r="F6491" s="102">
        <f t="shared" si="3365"/>
        <v>1210000</v>
      </c>
      <c r="G6491" s="102">
        <f t="shared" si="3366"/>
        <v>1100000</v>
      </c>
      <c r="H6491" s="690" t="s">
        <v>172</v>
      </c>
      <c r="I6491" s="71" t="s">
        <v>33</v>
      </c>
      <c r="J6491" s="53">
        <f t="shared" si="3367"/>
        <v>118000</v>
      </c>
      <c r="K6491" s="63">
        <f t="shared" si="3368"/>
        <v>0.10727272727272727</v>
      </c>
      <c r="L6491" s="1212" t="s">
        <v>3967</v>
      </c>
      <c r="M6491" s="468"/>
      <c r="N6491" s="1192">
        <f t="shared" si="3369"/>
        <v>45279</v>
      </c>
      <c r="O6491" s="71" t="s">
        <v>146</v>
      </c>
      <c r="P6491" s="103" t="str">
        <f t="shared" si="3370"/>
        <v>Blanket(1050*840)</v>
      </c>
      <c r="Q6491" s="71">
        <f t="shared" si="3371"/>
        <v>10</v>
      </c>
      <c r="R6491" s="102">
        <v>98200</v>
      </c>
      <c r="S6491" s="102">
        <f t="shared" si="3372"/>
        <v>1080200</v>
      </c>
      <c r="T6491" s="102">
        <f t="shared" si="3373"/>
        <v>982000</v>
      </c>
      <c r="U6491" s="71" t="str">
        <f>IF(J6491=W6491,"O", "X")</f>
        <v>X</v>
      </c>
      <c r="V6491" s="71"/>
      <c r="W6491" s="474">
        <v>275000</v>
      </c>
      <c r="X6491" s="71"/>
      <c r="Y6491" s="71"/>
    </row>
    <row r="6492" spans="1:25" s="209" customFormat="1" ht="31.5" hidden="1" customHeight="1" x14ac:dyDescent="0.2">
      <c r="A6492" s="1145">
        <v>45279</v>
      </c>
      <c r="B6492" s="664" t="s">
        <v>3289</v>
      </c>
      <c r="C6492" s="71" t="s">
        <v>3387</v>
      </c>
      <c r="D6492" s="71">
        <v>10</v>
      </c>
      <c r="E6492" s="102">
        <v>130000</v>
      </c>
      <c r="F6492" s="102">
        <f t="shared" si="3365"/>
        <v>1430000</v>
      </c>
      <c r="G6492" s="102">
        <f t="shared" si="3366"/>
        <v>1300000</v>
      </c>
      <c r="H6492" s="165" t="s">
        <v>172</v>
      </c>
      <c r="I6492" s="71" t="s">
        <v>184</v>
      </c>
      <c r="J6492" s="53">
        <f t="shared" si="3367"/>
        <v>180000</v>
      </c>
      <c r="K6492" s="63">
        <f t="shared" si="3368"/>
        <v>0.13846153846153847</v>
      </c>
      <c r="L6492" s="1212" t="s">
        <v>3967</v>
      </c>
      <c r="M6492" s="468" t="s">
        <v>3835</v>
      </c>
      <c r="N6492" s="1192">
        <f t="shared" si="3369"/>
        <v>45279</v>
      </c>
      <c r="O6492" s="71" t="s">
        <v>189</v>
      </c>
      <c r="P6492" s="103" t="str">
        <f t="shared" si="3370"/>
        <v>Blanket(990*725)</v>
      </c>
      <c r="Q6492" s="71">
        <f t="shared" si="3371"/>
        <v>10</v>
      </c>
      <c r="R6492" s="102">
        <v>112000</v>
      </c>
      <c r="S6492" s="102">
        <f t="shared" si="3372"/>
        <v>1232000</v>
      </c>
      <c r="T6492" s="102">
        <f t="shared" si="3373"/>
        <v>1120000</v>
      </c>
      <c r="U6492" s="71" t="str">
        <f>IF(J6492=W6492,"O", "X")</f>
        <v>X</v>
      </c>
      <c r="V6492" s="71"/>
      <c r="W6492" s="474">
        <v>80000</v>
      </c>
      <c r="X6492" s="71"/>
      <c r="Y6492" s="71"/>
    </row>
    <row r="6493" spans="1:25" ht="30" hidden="1" customHeight="1" x14ac:dyDescent="0.25">
      <c r="A6493" s="1145">
        <v>45287</v>
      </c>
      <c r="B6493" s="664" t="s">
        <v>2261</v>
      </c>
      <c r="C6493" s="760" t="s">
        <v>181</v>
      </c>
      <c r="D6493" s="71">
        <v>5</v>
      </c>
      <c r="E6493" s="102">
        <v>193000</v>
      </c>
      <c r="F6493" s="102">
        <f t="shared" ref="F6493:F6499" si="3374">(E6493*D6493)*1.1</f>
        <v>1061500</v>
      </c>
      <c r="G6493" s="102">
        <f t="shared" ref="G6493:G6499" si="3375">(E6493*D6493)</f>
        <v>965000</v>
      </c>
      <c r="H6493" s="690" t="s">
        <v>2029</v>
      </c>
      <c r="I6493" s="71" t="s">
        <v>182</v>
      </c>
      <c r="J6493" s="53">
        <f t="shared" ref="J6493:J6498" si="3376">G6493-T6493</f>
        <v>345000</v>
      </c>
      <c r="K6493" s="63">
        <f t="shared" ref="K6493:K6498" si="3377">(J6493/(F6493/11*10))</f>
        <v>0.35751295336787564</v>
      </c>
      <c r="L6493" s="1212" t="s">
        <v>3967</v>
      </c>
      <c r="M6493" s="468"/>
      <c r="N6493" s="1192">
        <f t="shared" ref="N6493:N6513" si="3378">A6493</f>
        <v>45287</v>
      </c>
      <c r="O6493" s="71" t="s">
        <v>2030</v>
      </c>
      <c r="P6493" s="103" t="str">
        <f t="shared" ref="P6493:P6509" si="3379">(C6493)</f>
        <v>Fount Web 551AF</v>
      </c>
      <c r="Q6493" s="71">
        <f t="shared" ref="Q6493:Q6509" si="3380">D6493</f>
        <v>5</v>
      </c>
      <c r="R6493" s="102">
        <v>124000</v>
      </c>
      <c r="S6493" s="102">
        <f t="shared" ref="S6493:S6508" si="3381">R6493*Q6493*1.1</f>
        <v>682000</v>
      </c>
      <c r="T6493" s="102">
        <f t="shared" ref="T6493:T6508" si="3382">R6493*Q6493</f>
        <v>620000</v>
      </c>
      <c r="U6493" s="71" t="str">
        <f>IF(J6493=W6493,"O", "X")</f>
        <v>X</v>
      </c>
      <c r="V6493" s="71"/>
      <c r="W6493" s="474">
        <v>640000</v>
      </c>
      <c r="X6493" s="71"/>
      <c r="Y6493" s="71"/>
    </row>
    <row r="6494" spans="1:25" ht="30" hidden="1" customHeight="1" x14ac:dyDescent="0.25">
      <c r="A6494" s="1145">
        <v>45287</v>
      </c>
      <c r="B6494" s="664" t="s">
        <v>2261</v>
      </c>
      <c r="C6494" s="71" t="s">
        <v>277</v>
      </c>
      <c r="D6494" s="71">
        <v>5</v>
      </c>
      <c r="E6494" s="102">
        <v>172000</v>
      </c>
      <c r="F6494" s="102">
        <f t="shared" si="3374"/>
        <v>946000.00000000012</v>
      </c>
      <c r="G6494" s="102">
        <f t="shared" si="3375"/>
        <v>860000</v>
      </c>
      <c r="H6494" s="690" t="s">
        <v>172</v>
      </c>
      <c r="I6494" s="71" t="s">
        <v>108</v>
      </c>
      <c r="J6494" s="53">
        <f t="shared" si="3376"/>
        <v>195000</v>
      </c>
      <c r="K6494" s="63">
        <f t="shared" si="3377"/>
        <v>0.22674418604651159</v>
      </c>
      <c r="L6494" s="1212" t="s">
        <v>3967</v>
      </c>
      <c r="M6494" s="468"/>
      <c r="N6494" s="1192">
        <f t="shared" si="3378"/>
        <v>45287</v>
      </c>
      <c r="O6494" s="71" t="s">
        <v>662</v>
      </c>
      <c r="P6494" s="103" t="str">
        <f t="shared" si="3379"/>
        <v>윤전용 세척제(Web 504)</v>
      </c>
      <c r="Q6494" s="71">
        <f t="shared" si="3380"/>
        <v>5</v>
      </c>
      <c r="R6494" s="102">
        <v>133000</v>
      </c>
      <c r="S6494" s="102">
        <f t="shared" si="3381"/>
        <v>731500.00000000012</v>
      </c>
      <c r="T6494" s="102">
        <f t="shared" si="3382"/>
        <v>665000</v>
      </c>
      <c r="U6494" s="71" t="str">
        <f>IF(J6494=W6494,"O", "X")</f>
        <v>X</v>
      </c>
      <c r="V6494" s="71"/>
      <c r="W6494" s="474"/>
      <c r="X6494" s="71"/>
      <c r="Y6494" s="71"/>
    </row>
    <row r="6495" spans="1:25" ht="30" hidden="1" customHeight="1" x14ac:dyDescent="0.25">
      <c r="A6495" s="1145">
        <v>45287</v>
      </c>
      <c r="B6495" s="664" t="s">
        <v>2261</v>
      </c>
      <c r="C6495" s="71" t="s">
        <v>3299</v>
      </c>
      <c r="D6495" s="71">
        <v>5</v>
      </c>
      <c r="E6495" s="102">
        <v>52000</v>
      </c>
      <c r="F6495" s="102">
        <f t="shared" si="3374"/>
        <v>286000</v>
      </c>
      <c r="G6495" s="102">
        <f t="shared" si="3375"/>
        <v>260000</v>
      </c>
      <c r="H6495" s="690" t="s">
        <v>172</v>
      </c>
      <c r="I6495" s="71" t="s">
        <v>180</v>
      </c>
      <c r="J6495" s="53">
        <f t="shared" si="3376"/>
        <v>22500</v>
      </c>
      <c r="K6495" s="63">
        <f t="shared" si="3377"/>
        <v>8.6538461538461536E-2</v>
      </c>
      <c r="L6495" s="1212" t="s">
        <v>3967</v>
      </c>
      <c r="M6495" s="468" t="s">
        <v>3835</v>
      </c>
      <c r="N6495" s="1192">
        <f t="shared" si="3378"/>
        <v>45287</v>
      </c>
      <c r="O6495" s="71" t="s">
        <v>175</v>
      </c>
      <c r="P6495" s="103" t="str">
        <f t="shared" si="3379"/>
        <v>매엽용 세척제(Wash k11)</v>
      </c>
      <c r="Q6495" s="71">
        <f t="shared" si="3380"/>
        <v>5</v>
      </c>
      <c r="R6495" s="102">
        <v>47500</v>
      </c>
      <c r="S6495" s="102">
        <f t="shared" si="3381"/>
        <v>261250.00000000003</v>
      </c>
      <c r="T6495" s="102">
        <f t="shared" si="3382"/>
        <v>237500</v>
      </c>
      <c r="U6495" s="71" t="s">
        <v>859</v>
      </c>
      <c r="V6495" s="71"/>
      <c r="W6495" s="474"/>
      <c r="X6495" s="71"/>
      <c r="Y6495" s="71"/>
    </row>
    <row r="6496" spans="1:25" ht="30" hidden="1" customHeight="1" x14ac:dyDescent="0.25">
      <c r="A6496" s="1145">
        <v>45289</v>
      </c>
      <c r="B6496" s="664" t="s">
        <v>3830</v>
      </c>
      <c r="C6496" s="71" t="s">
        <v>2577</v>
      </c>
      <c r="D6496" s="71">
        <v>1800</v>
      </c>
      <c r="E6496" s="102">
        <v>1350</v>
      </c>
      <c r="F6496" s="102">
        <f t="shared" si="3374"/>
        <v>2673000</v>
      </c>
      <c r="G6496" s="102">
        <f t="shared" si="3375"/>
        <v>2430000</v>
      </c>
      <c r="H6496" s="690" t="s">
        <v>173</v>
      </c>
      <c r="I6496" s="71" t="s">
        <v>3385</v>
      </c>
      <c r="J6496" s="53">
        <f t="shared" si="3376"/>
        <v>2430000</v>
      </c>
      <c r="K6496" s="63">
        <f t="shared" si="3377"/>
        <v>1</v>
      </c>
      <c r="L6496" s="1212" t="s">
        <v>3967</v>
      </c>
      <c r="M6496" s="468"/>
      <c r="N6496" s="1192">
        <f t="shared" si="3378"/>
        <v>45289</v>
      </c>
      <c r="O6496" s="71"/>
      <c r="P6496" s="103" t="str">
        <f t="shared" si="3379"/>
        <v>CTP 폐판</v>
      </c>
      <c r="Q6496" s="71">
        <f t="shared" si="3380"/>
        <v>1800</v>
      </c>
      <c r="R6496" s="102">
        <v>0</v>
      </c>
      <c r="S6496" s="102">
        <f t="shared" si="3381"/>
        <v>0</v>
      </c>
      <c r="T6496" s="102">
        <f t="shared" si="3382"/>
        <v>0</v>
      </c>
      <c r="U6496" s="71"/>
      <c r="V6496" s="71"/>
      <c r="W6496" s="474"/>
      <c r="X6496" s="71"/>
      <c r="Y6496" s="71"/>
    </row>
    <row r="6497" spans="1:25" s="209" customFormat="1" ht="30" hidden="1" customHeight="1" x14ac:dyDescent="0.25">
      <c r="A6497" s="1145">
        <v>45288</v>
      </c>
      <c r="B6497" s="664" t="s">
        <v>3971</v>
      </c>
      <c r="C6497" s="71" t="s">
        <v>3972</v>
      </c>
      <c r="D6497" s="71">
        <v>6</v>
      </c>
      <c r="E6497" s="102">
        <v>420000</v>
      </c>
      <c r="F6497" s="102">
        <f t="shared" si="3374"/>
        <v>2772000</v>
      </c>
      <c r="G6497" s="102">
        <f t="shared" si="3375"/>
        <v>2520000</v>
      </c>
      <c r="H6497" s="690" t="s">
        <v>142</v>
      </c>
      <c r="I6497" s="71" t="s">
        <v>142</v>
      </c>
      <c r="J6497" s="53">
        <f t="shared" si="3376"/>
        <v>1020000</v>
      </c>
      <c r="K6497" s="63">
        <f t="shared" si="3377"/>
        <v>0.40476190476190477</v>
      </c>
      <c r="L6497" s="1212" t="s">
        <v>3967</v>
      </c>
      <c r="M6497" s="468"/>
      <c r="N6497" s="1192">
        <f t="shared" si="3378"/>
        <v>45288</v>
      </c>
      <c r="O6497" s="71" t="s">
        <v>1431</v>
      </c>
      <c r="P6497" s="164" t="str">
        <f t="shared" si="3379"/>
        <v>synchronous motor RSM 36/8 F cable+plug</v>
      </c>
      <c r="Q6497" s="71">
        <f t="shared" si="3380"/>
        <v>6</v>
      </c>
      <c r="R6497" s="102">
        <v>250000</v>
      </c>
      <c r="S6497" s="102">
        <f t="shared" si="3381"/>
        <v>1650000.0000000002</v>
      </c>
      <c r="T6497" s="102">
        <f t="shared" si="3382"/>
        <v>1500000</v>
      </c>
      <c r="U6497" s="71"/>
      <c r="V6497" s="71"/>
      <c r="W6497" s="474"/>
      <c r="X6497" s="71"/>
      <c r="Y6497" s="71"/>
    </row>
    <row r="6498" spans="1:25" ht="30" hidden="1" customHeight="1" x14ac:dyDescent="0.25">
      <c r="A6498" s="1145">
        <v>45288</v>
      </c>
      <c r="B6498" s="664" t="s">
        <v>3971</v>
      </c>
      <c r="C6498" s="71" t="s">
        <v>3973</v>
      </c>
      <c r="D6498" s="71">
        <v>1</v>
      </c>
      <c r="E6498" s="102">
        <v>200000</v>
      </c>
      <c r="F6498" s="102">
        <f t="shared" si="3374"/>
        <v>220000.00000000003</v>
      </c>
      <c r="G6498" s="102">
        <f t="shared" si="3375"/>
        <v>200000</v>
      </c>
      <c r="H6498" s="690" t="s">
        <v>142</v>
      </c>
      <c r="I6498" s="71" t="s">
        <v>142</v>
      </c>
      <c r="J6498" s="53">
        <f t="shared" si="3376"/>
        <v>200000</v>
      </c>
      <c r="K6498" s="63">
        <f t="shared" si="3377"/>
        <v>0.99999999999999989</v>
      </c>
      <c r="L6498" s="1212" t="s">
        <v>3967</v>
      </c>
      <c r="M6498" s="102"/>
      <c r="N6498" s="1192">
        <f t="shared" si="3378"/>
        <v>45288</v>
      </c>
      <c r="O6498" s="71"/>
      <c r="P6498" s="103" t="str">
        <f t="shared" si="3379"/>
        <v>항공운송비</v>
      </c>
      <c r="Q6498" s="71">
        <f t="shared" si="3380"/>
        <v>1</v>
      </c>
      <c r="R6498" s="102">
        <v>0</v>
      </c>
      <c r="S6498" s="102">
        <f t="shared" si="3381"/>
        <v>0</v>
      </c>
      <c r="T6498" s="102">
        <f t="shared" si="3382"/>
        <v>0</v>
      </c>
      <c r="U6498" s="71"/>
      <c r="V6498" s="71"/>
      <c r="W6498" s="474"/>
      <c r="X6498" s="71"/>
      <c r="Y6498" s="71"/>
    </row>
    <row r="6499" spans="1:25" ht="30" hidden="1" customHeight="1" x14ac:dyDescent="0.25">
      <c r="A6499" s="1145">
        <v>45288</v>
      </c>
      <c r="B6499" s="664" t="s">
        <v>1178</v>
      </c>
      <c r="C6499" s="71" t="s">
        <v>3974</v>
      </c>
      <c r="D6499" s="71">
        <v>1</v>
      </c>
      <c r="E6499" s="102">
        <v>700000</v>
      </c>
      <c r="F6499" s="102">
        <f t="shared" si="3374"/>
        <v>770000.00000000012</v>
      </c>
      <c r="G6499" s="102">
        <f t="shared" si="3375"/>
        <v>700000</v>
      </c>
      <c r="H6499" s="690" t="s">
        <v>281</v>
      </c>
      <c r="I6499" s="71" t="s">
        <v>281</v>
      </c>
      <c r="J6499" s="53"/>
      <c r="K6499" s="63"/>
      <c r="L6499" s="1212" t="s">
        <v>3967</v>
      </c>
      <c r="M6499" s="102"/>
      <c r="N6499" s="1192">
        <f t="shared" si="3378"/>
        <v>45288</v>
      </c>
      <c r="O6499" s="71" t="s">
        <v>2470</v>
      </c>
      <c r="P6499" s="103" t="str">
        <f t="shared" si="3379"/>
        <v>ESI 진공문제 점검(10/30-31)</v>
      </c>
      <c r="Q6499" s="71">
        <f t="shared" si="3380"/>
        <v>1</v>
      </c>
      <c r="R6499" s="102"/>
      <c r="S6499" s="102">
        <f t="shared" si="3381"/>
        <v>0</v>
      </c>
      <c r="T6499" s="102">
        <f t="shared" si="3382"/>
        <v>0</v>
      </c>
      <c r="U6499" s="71"/>
      <c r="V6499" s="71"/>
      <c r="W6499" s="474"/>
      <c r="X6499" s="71"/>
      <c r="Y6499" s="71"/>
    </row>
    <row r="6500" spans="1:25" ht="30" hidden="1" customHeight="1" x14ac:dyDescent="0.25">
      <c r="A6500" s="1145">
        <v>45288</v>
      </c>
      <c r="B6500" s="664" t="s">
        <v>1178</v>
      </c>
      <c r="C6500" s="71" t="s">
        <v>3975</v>
      </c>
      <c r="D6500" s="71">
        <v>1</v>
      </c>
      <c r="E6500" s="102">
        <v>13725454.5</v>
      </c>
      <c r="F6500" s="102">
        <f t="shared" ref="F6500:F6509" si="3383">(E6500*D6500)*1.1</f>
        <v>15097999.950000001</v>
      </c>
      <c r="G6500" s="102">
        <f t="shared" ref="G6500:G6509" si="3384">(E6500*D6500)</f>
        <v>13725454.5</v>
      </c>
      <c r="H6500" s="690" t="s">
        <v>142</v>
      </c>
      <c r="I6500" s="71" t="s">
        <v>142</v>
      </c>
      <c r="J6500" s="53">
        <f t="shared" ref="J6500" si="3385">G6500-T6500</f>
        <v>5725454.5</v>
      </c>
      <c r="K6500" s="63">
        <f t="shared" ref="K6500" si="3386">(J6500/(F6500/11*10))</f>
        <v>0.41714134129401681</v>
      </c>
      <c r="L6500" s="1212" t="s">
        <v>3967</v>
      </c>
      <c r="M6500" s="468"/>
      <c r="N6500" s="1192">
        <f t="shared" si="3378"/>
        <v>45288</v>
      </c>
      <c r="O6500" s="71" t="s">
        <v>2470</v>
      </c>
      <c r="P6500" s="164" t="str">
        <f t="shared" si="3379"/>
        <v>ESI 엔지니어 방문시 부품 DOSIKIT 외 7종</v>
      </c>
      <c r="Q6500" s="71">
        <f t="shared" si="3380"/>
        <v>1</v>
      </c>
      <c r="R6500" s="102">
        <v>8000000</v>
      </c>
      <c r="S6500" s="102">
        <f t="shared" si="3381"/>
        <v>8800000</v>
      </c>
      <c r="T6500" s="102">
        <f t="shared" si="3382"/>
        <v>8000000</v>
      </c>
      <c r="U6500" s="71"/>
      <c r="V6500" s="71"/>
      <c r="W6500" s="474"/>
      <c r="X6500" s="71"/>
      <c r="Y6500" s="71"/>
    </row>
    <row r="6501" spans="1:25" ht="30" hidden="1" customHeight="1" x14ac:dyDescent="0.25">
      <c r="A6501" s="1145">
        <v>45288</v>
      </c>
      <c r="B6501" s="664" t="s">
        <v>1178</v>
      </c>
      <c r="C6501" s="71" t="s">
        <v>3976</v>
      </c>
      <c r="D6501" s="71">
        <v>1</v>
      </c>
      <c r="E6501" s="102">
        <v>35730000</v>
      </c>
      <c r="F6501" s="102">
        <f t="shared" si="3383"/>
        <v>39303000</v>
      </c>
      <c r="G6501" s="102">
        <f t="shared" si="3384"/>
        <v>35730000</v>
      </c>
      <c r="H6501" s="690" t="s">
        <v>142</v>
      </c>
      <c r="I6501" s="71" t="s">
        <v>142</v>
      </c>
      <c r="J6501" s="53">
        <f t="shared" ref="J6501" si="3387">G6501-T6501</f>
        <v>-3884300</v>
      </c>
      <c r="K6501" s="63">
        <f t="shared" ref="K6501" si="3388">(J6501/(F6501/11*10))</f>
        <v>-0.10871256647075286</v>
      </c>
      <c r="L6501" s="1212" t="s">
        <v>3967</v>
      </c>
      <c r="M6501" s="468"/>
      <c r="N6501" s="1192">
        <f t="shared" si="3378"/>
        <v>45288</v>
      </c>
      <c r="O6501" s="71" t="s">
        <v>2470</v>
      </c>
      <c r="P6501" s="103" t="str">
        <f t="shared" si="3379"/>
        <v>ESI 엔지니어 방문 수리 비용</v>
      </c>
      <c r="Q6501" s="71">
        <f t="shared" si="3380"/>
        <v>1</v>
      </c>
      <c r="R6501" s="147">
        <v>39614300</v>
      </c>
      <c r="S6501" s="102">
        <f t="shared" si="3381"/>
        <v>43575730</v>
      </c>
      <c r="T6501" s="102">
        <f t="shared" si="3382"/>
        <v>39614300</v>
      </c>
      <c r="U6501" s="71"/>
      <c r="V6501" s="71"/>
      <c r="W6501" s="474"/>
      <c r="X6501" s="71"/>
      <c r="Y6501" s="71"/>
    </row>
    <row r="6502" spans="1:25" ht="30" hidden="1" customHeight="1" x14ac:dyDescent="0.25">
      <c r="A6502" s="1145">
        <v>45288</v>
      </c>
      <c r="B6502" s="664" t="s">
        <v>627</v>
      </c>
      <c r="C6502" s="71" t="s">
        <v>114</v>
      </c>
      <c r="D6502" s="71">
        <v>20</v>
      </c>
      <c r="E6502" s="102">
        <v>22000</v>
      </c>
      <c r="F6502" s="102">
        <f t="shared" si="3383"/>
        <v>484000.00000000006</v>
      </c>
      <c r="G6502" s="102">
        <f t="shared" si="3384"/>
        <v>440000</v>
      </c>
      <c r="H6502" s="690" t="s">
        <v>1431</v>
      </c>
      <c r="I6502" s="71" t="s">
        <v>1431</v>
      </c>
      <c r="J6502" s="53">
        <f t="shared" ref="J6502:J6509" si="3389">G6502-T6502</f>
        <v>226000</v>
      </c>
      <c r="K6502" s="63">
        <f t="shared" ref="K6502:K6509" si="3390">(J6502/(F6502/11*10))</f>
        <v>0.51363636363636356</v>
      </c>
      <c r="L6502" s="1212" t="s">
        <v>3967</v>
      </c>
      <c r="M6502" s="102"/>
      <c r="N6502" s="1192">
        <f t="shared" si="3378"/>
        <v>45288</v>
      </c>
      <c r="O6502" s="71" t="s">
        <v>1431</v>
      </c>
      <c r="P6502" s="103" t="str">
        <f t="shared" si="3379"/>
        <v>스트리퍼</v>
      </c>
      <c r="Q6502" s="71">
        <f t="shared" si="3380"/>
        <v>20</v>
      </c>
      <c r="R6502" s="102">
        <v>10700</v>
      </c>
      <c r="S6502" s="102">
        <f t="shared" si="3381"/>
        <v>235400.00000000003</v>
      </c>
      <c r="T6502" s="102">
        <f t="shared" si="3382"/>
        <v>214000</v>
      </c>
      <c r="U6502" s="71"/>
      <c r="V6502" s="71"/>
      <c r="W6502" s="474"/>
      <c r="X6502" s="71"/>
      <c r="Y6502" s="71"/>
    </row>
    <row r="6503" spans="1:25" s="209" customFormat="1" ht="30" hidden="1" customHeight="1" x14ac:dyDescent="0.25">
      <c r="A6503" s="1145">
        <v>45288</v>
      </c>
      <c r="B6503" s="664" t="s">
        <v>546</v>
      </c>
      <c r="C6503" s="71" t="s">
        <v>114</v>
      </c>
      <c r="D6503" s="71">
        <v>50</v>
      </c>
      <c r="E6503" s="102">
        <v>18000</v>
      </c>
      <c r="F6503" s="102">
        <f t="shared" si="3383"/>
        <v>990000.00000000012</v>
      </c>
      <c r="G6503" s="102">
        <f t="shared" si="3384"/>
        <v>900000</v>
      </c>
      <c r="H6503" s="690" t="s">
        <v>1431</v>
      </c>
      <c r="I6503" s="71" t="s">
        <v>1431</v>
      </c>
      <c r="J6503" s="53">
        <f t="shared" si="3389"/>
        <v>365000</v>
      </c>
      <c r="K6503" s="63">
        <f t="shared" si="3390"/>
        <v>0.4055555555555555</v>
      </c>
      <c r="L6503" s="1212" t="s">
        <v>3967</v>
      </c>
      <c r="M6503" s="468"/>
      <c r="N6503" s="1192">
        <f t="shared" si="3378"/>
        <v>45288</v>
      </c>
      <c r="O6503" s="71" t="s">
        <v>1431</v>
      </c>
      <c r="P6503" s="164" t="str">
        <f t="shared" si="3379"/>
        <v>스트리퍼</v>
      </c>
      <c r="Q6503" s="71">
        <f t="shared" si="3380"/>
        <v>50</v>
      </c>
      <c r="R6503" s="102">
        <v>10700</v>
      </c>
      <c r="S6503" s="102">
        <f t="shared" si="3381"/>
        <v>588500</v>
      </c>
      <c r="T6503" s="102">
        <f t="shared" si="3382"/>
        <v>535000</v>
      </c>
      <c r="U6503" s="71"/>
      <c r="V6503" s="71"/>
      <c r="W6503" s="474"/>
      <c r="X6503" s="71"/>
      <c r="Y6503" s="71"/>
    </row>
    <row r="6504" spans="1:25" ht="30" hidden="1" customHeight="1" x14ac:dyDescent="0.25">
      <c r="A6504" s="1145">
        <v>45288</v>
      </c>
      <c r="B6504" s="664" t="s">
        <v>546</v>
      </c>
      <c r="C6504" s="71" t="s">
        <v>3977</v>
      </c>
      <c r="D6504" s="71">
        <v>30</v>
      </c>
      <c r="E6504" s="102">
        <v>27000</v>
      </c>
      <c r="F6504" s="102">
        <f t="shared" si="3383"/>
        <v>891000.00000000012</v>
      </c>
      <c r="G6504" s="102">
        <f t="shared" si="3384"/>
        <v>810000</v>
      </c>
      <c r="H6504" s="690" t="s">
        <v>1431</v>
      </c>
      <c r="I6504" s="71" t="s">
        <v>1431</v>
      </c>
      <c r="J6504" s="53">
        <f t="shared" si="3389"/>
        <v>325920</v>
      </c>
      <c r="K6504" s="63">
        <f t="shared" si="3390"/>
        <v>0.40237037037037032</v>
      </c>
      <c r="L6504" s="1212" t="s">
        <v>3967</v>
      </c>
      <c r="M6504" s="468"/>
      <c r="N6504" s="1192">
        <f t="shared" si="3378"/>
        <v>45288</v>
      </c>
      <c r="O6504" s="71" t="s">
        <v>1431</v>
      </c>
      <c r="P6504" s="103" t="str">
        <f t="shared" si="3379"/>
        <v>브러쉬, 하드 스톱</v>
      </c>
      <c r="Q6504" s="71">
        <f t="shared" si="3380"/>
        <v>30</v>
      </c>
      <c r="R6504" s="102">
        <v>16136</v>
      </c>
      <c r="S6504" s="102">
        <f t="shared" si="3381"/>
        <v>532488</v>
      </c>
      <c r="T6504" s="102">
        <f t="shared" si="3382"/>
        <v>484080</v>
      </c>
      <c r="U6504" s="71"/>
      <c r="V6504" s="71"/>
      <c r="W6504" s="474"/>
      <c r="X6504" s="71"/>
      <c r="Y6504" s="71"/>
    </row>
    <row r="6505" spans="1:25" s="209" customFormat="1" ht="30" hidden="1" customHeight="1" x14ac:dyDescent="0.25">
      <c r="A6505" s="1145">
        <v>45288</v>
      </c>
      <c r="B6505" s="664" t="s">
        <v>575</v>
      </c>
      <c r="C6505" s="71" t="s">
        <v>3979</v>
      </c>
      <c r="D6505" s="71">
        <v>1</v>
      </c>
      <c r="E6505" s="102">
        <v>1700000</v>
      </c>
      <c r="F6505" s="102">
        <f t="shared" si="3383"/>
        <v>1870000.0000000002</v>
      </c>
      <c r="G6505" s="102">
        <f t="shared" si="3384"/>
        <v>1700000</v>
      </c>
      <c r="H6505" s="690" t="s">
        <v>1431</v>
      </c>
      <c r="I6505" s="71" t="s">
        <v>1431</v>
      </c>
      <c r="J6505" s="53">
        <f t="shared" si="3389"/>
        <v>551621.46680370462</v>
      </c>
      <c r="K6505" s="63">
        <f t="shared" si="3390"/>
        <v>0.32448321576688505</v>
      </c>
      <c r="L6505" s="1212" t="s">
        <v>3967</v>
      </c>
      <c r="M6505" s="468"/>
      <c r="N6505" s="1192">
        <f t="shared" si="3378"/>
        <v>45288</v>
      </c>
      <c r="O6505" s="71" t="s">
        <v>1431</v>
      </c>
      <c r="P6505" s="164" t="str">
        <f t="shared" si="3379"/>
        <v>드라이어 온도 센서 (WH.942725)</v>
      </c>
      <c r="Q6505" s="71">
        <f t="shared" si="3380"/>
        <v>1</v>
      </c>
      <c r="R6505" s="102">
        <v>1148378.5331962954</v>
      </c>
      <c r="S6505" s="102">
        <f t="shared" si="3381"/>
        <v>1263216.3865159249</v>
      </c>
      <c r="T6505" s="102">
        <f t="shared" si="3382"/>
        <v>1148378.5331962954</v>
      </c>
      <c r="U6505" s="71"/>
      <c r="V6505" s="71"/>
      <c r="W6505" s="474"/>
      <c r="X6505" s="71"/>
      <c r="Y6505" s="71"/>
    </row>
    <row r="6506" spans="1:25" ht="30" hidden="1" customHeight="1" x14ac:dyDescent="0.25">
      <c r="A6506" s="1145">
        <v>45288</v>
      </c>
      <c r="B6506" s="664" t="s">
        <v>575</v>
      </c>
      <c r="C6506" s="71" t="s">
        <v>3981</v>
      </c>
      <c r="D6506" s="71">
        <v>1</v>
      </c>
      <c r="E6506" s="102">
        <v>1500000</v>
      </c>
      <c r="F6506" s="102">
        <f t="shared" si="3383"/>
        <v>1650000.0000000002</v>
      </c>
      <c r="G6506" s="102">
        <f t="shared" si="3384"/>
        <v>1500000</v>
      </c>
      <c r="H6506" s="690" t="s">
        <v>1431</v>
      </c>
      <c r="I6506" s="71" t="s">
        <v>1431</v>
      </c>
      <c r="J6506" s="53">
        <f t="shared" si="3389"/>
        <v>650333.76209369488</v>
      </c>
      <c r="K6506" s="63">
        <f t="shared" si="3390"/>
        <v>0.4335558413957965</v>
      </c>
      <c r="L6506" s="1212" t="s">
        <v>3967</v>
      </c>
      <c r="M6506" s="102"/>
      <c r="N6506" s="1192">
        <f t="shared" si="3378"/>
        <v>45288</v>
      </c>
      <c r="O6506" s="71" t="s">
        <v>1431</v>
      </c>
      <c r="P6506" s="103" t="str">
        <f t="shared" si="3379"/>
        <v>드라이어 온도 센서 (WH.942786)</v>
      </c>
      <c r="Q6506" s="71">
        <f t="shared" si="3380"/>
        <v>1</v>
      </c>
      <c r="R6506" s="102">
        <v>849666.23790630512</v>
      </c>
      <c r="S6506" s="102">
        <f t="shared" si="3381"/>
        <v>934632.86169693572</v>
      </c>
      <c r="T6506" s="102">
        <f t="shared" si="3382"/>
        <v>849666.23790630512</v>
      </c>
      <c r="U6506" s="71"/>
      <c r="V6506" s="71"/>
      <c r="W6506" s="474"/>
      <c r="X6506" s="71"/>
      <c r="Y6506" s="71"/>
    </row>
    <row r="6507" spans="1:25" ht="30" hidden="1" customHeight="1" x14ac:dyDescent="0.25">
      <c r="A6507" s="1145">
        <v>45288</v>
      </c>
      <c r="B6507" s="664" t="s">
        <v>575</v>
      </c>
      <c r="C6507" s="71" t="s">
        <v>3983</v>
      </c>
      <c r="D6507" s="71">
        <v>1</v>
      </c>
      <c r="E6507" s="102">
        <v>1050000</v>
      </c>
      <c r="F6507" s="102">
        <f t="shared" si="3383"/>
        <v>1155000</v>
      </c>
      <c r="G6507" s="102">
        <f t="shared" si="3384"/>
        <v>1050000</v>
      </c>
      <c r="H6507" s="690" t="s">
        <v>1431</v>
      </c>
      <c r="I6507" s="71" t="s">
        <v>1431</v>
      </c>
      <c r="J6507" s="53">
        <f t="shared" si="3389"/>
        <v>437256.83017437882</v>
      </c>
      <c r="K6507" s="63">
        <f t="shared" si="3390"/>
        <v>0.41643507635655125</v>
      </c>
      <c r="L6507" s="1212" t="s">
        <v>3967</v>
      </c>
      <c r="M6507" s="102"/>
      <c r="N6507" s="1192">
        <f t="shared" si="3378"/>
        <v>45288</v>
      </c>
      <c r="O6507" s="71" t="s">
        <v>1431</v>
      </c>
      <c r="P6507" s="103" t="str">
        <f t="shared" si="3379"/>
        <v>드라이어 온도 센서 (WH.916671)</v>
      </c>
      <c r="Q6507" s="71">
        <f t="shared" si="3380"/>
        <v>1</v>
      </c>
      <c r="R6507" s="102">
        <v>612743.16982562118</v>
      </c>
      <c r="S6507" s="102">
        <f t="shared" si="3381"/>
        <v>674017.48680818337</v>
      </c>
      <c r="T6507" s="102">
        <f t="shared" si="3382"/>
        <v>612743.16982562118</v>
      </c>
      <c r="U6507" s="71"/>
      <c r="V6507" s="71"/>
      <c r="W6507" s="474"/>
      <c r="X6507" s="71"/>
      <c r="Y6507" s="71"/>
    </row>
    <row r="6508" spans="1:25" ht="30" hidden="1" customHeight="1" x14ac:dyDescent="0.25">
      <c r="A6508" s="1145">
        <v>45288</v>
      </c>
      <c r="B6508" s="664" t="s">
        <v>575</v>
      </c>
      <c r="C6508" s="71" t="s">
        <v>114</v>
      </c>
      <c r="D6508" s="71">
        <v>100</v>
      </c>
      <c r="E6508" s="102">
        <v>18000</v>
      </c>
      <c r="F6508" s="102">
        <f t="shared" si="3383"/>
        <v>1980000.0000000002</v>
      </c>
      <c r="G6508" s="102">
        <f t="shared" si="3384"/>
        <v>1800000</v>
      </c>
      <c r="H6508" s="690" t="s">
        <v>1431</v>
      </c>
      <c r="I6508" s="71" t="s">
        <v>1431</v>
      </c>
      <c r="J6508" s="53">
        <f t="shared" si="3389"/>
        <v>730000</v>
      </c>
      <c r="K6508" s="63">
        <f t="shared" si="3390"/>
        <v>0.4055555555555555</v>
      </c>
      <c r="L6508" s="1212" t="s">
        <v>3967</v>
      </c>
      <c r="M6508" s="468"/>
      <c r="N6508" s="1192">
        <f t="shared" si="3378"/>
        <v>45288</v>
      </c>
      <c r="O6508" s="71" t="s">
        <v>1431</v>
      </c>
      <c r="P6508" s="164" t="str">
        <f t="shared" si="3379"/>
        <v>스트리퍼</v>
      </c>
      <c r="Q6508" s="71">
        <f t="shared" si="3380"/>
        <v>100</v>
      </c>
      <c r="R6508" s="102">
        <v>10700</v>
      </c>
      <c r="S6508" s="102">
        <f t="shared" si="3381"/>
        <v>1177000</v>
      </c>
      <c r="T6508" s="102">
        <f t="shared" si="3382"/>
        <v>1070000</v>
      </c>
      <c r="U6508" s="71"/>
      <c r="V6508" s="71"/>
      <c r="W6508" s="474"/>
      <c r="X6508" s="71"/>
      <c r="Y6508" s="71"/>
    </row>
    <row r="6509" spans="1:25" ht="30" hidden="1" customHeight="1" x14ac:dyDescent="0.25">
      <c r="A6509" s="1145">
        <v>45288</v>
      </c>
      <c r="B6509" s="664" t="s">
        <v>575</v>
      </c>
      <c r="C6509" s="71" t="s">
        <v>2144</v>
      </c>
      <c r="D6509" s="71">
        <v>5</v>
      </c>
      <c r="E6509" s="102">
        <v>230000</v>
      </c>
      <c r="F6509" s="102">
        <f t="shared" si="3383"/>
        <v>1265000</v>
      </c>
      <c r="G6509" s="102">
        <f t="shared" si="3384"/>
        <v>1150000</v>
      </c>
      <c r="H6509" s="690" t="s">
        <v>1431</v>
      </c>
      <c r="I6509" s="71" t="s">
        <v>1431</v>
      </c>
      <c r="J6509" s="53">
        <f t="shared" si="3389"/>
        <v>301415</v>
      </c>
      <c r="K6509" s="63">
        <f t="shared" si="3390"/>
        <v>0.2621</v>
      </c>
      <c r="L6509" s="1212" t="s">
        <v>3967</v>
      </c>
      <c r="M6509" s="468"/>
      <c r="N6509" s="1192">
        <f t="shared" si="3378"/>
        <v>45288</v>
      </c>
      <c r="O6509" s="71" t="s">
        <v>1431</v>
      </c>
      <c r="P6509" s="103" t="str">
        <f t="shared" si="3379"/>
        <v>에어실린더</v>
      </c>
      <c r="Q6509" s="71">
        <f t="shared" si="3380"/>
        <v>5</v>
      </c>
      <c r="R6509" s="147">
        <v>169717</v>
      </c>
      <c r="S6509" s="102">
        <f t="shared" ref="S6509" si="3391">R6509*Q6509*1.1</f>
        <v>933443.50000000012</v>
      </c>
      <c r="T6509" s="102">
        <f t="shared" ref="T6509" si="3392">R6509*Q6509</f>
        <v>848585</v>
      </c>
      <c r="U6509" s="71"/>
      <c r="V6509" s="71"/>
      <c r="W6509" s="474"/>
      <c r="X6509" s="71"/>
      <c r="Y6509" s="71"/>
    </row>
    <row r="6510" spans="1:25" ht="30" hidden="1" customHeight="1" x14ac:dyDescent="0.25">
      <c r="A6510" s="1210" t="s">
        <v>3998</v>
      </c>
      <c r="B6510" s="1211" t="s">
        <v>544</v>
      </c>
      <c r="C6510" s="960"/>
      <c r="D6510" s="960"/>
      <c r="E6510" s="952"/>
      <c r="F6510" s="952"/>
      <c r="G6510" s="952"/>
      <c r="H6510" s="1206"/>
      <c r="I6510" s="960"/>
      <c r="J6510" s="952"/>
      <c r="K6510" s="953"/>
      <c r="L6510" s="1212" t="s">
        <v>4000</v>
      </c>
      <c r="M6510" s="1207"/>
      <c r="N6510" s="1208" t="str">
        <f t="shared" si="3378"/>
        <v>2024,1</v>
      </c>
      <c r="O6510" s="960"/>
      <c r="P6510" s="1209"/>
      <c r="Q6510" s="960"/>
      <c r="R6510" s="952"/>
      <c r="S6510" s="952"/>
      <c r="T6510" s="952"/>
      <c r="U6510" s="960"/>
      <c r="V6510" s="960"/>
      <c r="W6510" s="474">
        <f>(G6510-T6510)</f>
        <v>0</v>
      </c>
      <c r="X6510" s="71"/>
      <c r="Y6510" s="71"/>
    </row>
    <row r="6511" spans="1:25" ht="30" customHeight="1" x14ac:dyDescent="0.25">
      <c r="A6511" s="1145">
        <v>45314</v>
      </c>
      <c r="B6511" s="664" t="s">
        <v>641</v>
      </c>
      <c r="C6511" s="71" t="s">
        <v>3293</v>
      </c>
      <c r="D6511" s="71">
        <v>60</v>
      </c>
      <c r="E6511" s="102">
        <v>84000</v>
      </c>
      <c r="F6511" s="102">
        <f t="shared" ref="F6511" si="3393">(E6511*D6511)*1.1</f>
        <v>5544000</v>
      </c>
      <c r="G6511" s="102">
        <f t="shared" ref="G6511" si="3394">(E6511*D6511)</f>
        <v>5040000</v>
      </c>
      <c r="H6511" s="690" t="s">
        <v>172</v>
      </c>
      <c r="I6511" s="71" t="s">
        <v>38</v>
      </c>
      <c r="J6511" s="53">
        <f t="shared" ref="J6511" si="3395">G6511-T6511</f>
        <v>1980000</v>
      </c>
      <c r="K6511" s="63">
        <f t="shared" ref="K6511" si="3396">(J6511/(F6511/11*10))</f>
        <v>0.39285714285714285</v>
      </c>
      <c r="L6511" s="1212" t="s">
        <v>4000</v>
      </c>
      <c r="M6511" s="468"/>
      <c r="N6511" s="1192">
        <f t="shared" si="3378"/>
        <v>45314</v>
      </c>
      <c r="O6511" s="71" t="s">
        <v>3291</v>
      </c>
      <c r="P6511" s="103" t="str">
        <f t="shared" ref="P6511:P6522" si="3397">(C6511)</f>
        <v>GOSS 신문윤전 습식세정포</v>
      </c>
      <c r="Q6511" s="71">
        <f t="shared" ref="Q6511:Q6513" si="3398">D6511</f>
        <v>60</v>
      </c>
      <c r="R6511" s="102">
        <v>51000</v>
      </c>
      <c r="S6511" s="102">
        <f t="shared" ref="S6511" si="3399">R6511*Q6511*1.1</f>
        <v>3366000.0000000005</v>
      </c>
      <c r="T6511" s="102">
        <f t="shared" ref="T6511" si="3400">R6511*Q6511</f>
        <v>3060000</v>
      </c>
      <c r="U6511" s="71" t="str">
        <f>IF(J6511=W6511,"O", "X")</f>
        <v>X</v>
      </c>
      <c r="V6511" s="71"/>
      <c r="W6511" s="474"/>
      <c r="X6511" s="71"/>
      <c r="Y6511" s="71"/>
    </row>
    <row r="6512" spans="1:25" ht="30" customHeight="1" x14ac:dyDescent="0.25">
      <c r="A6512" s="1145">
        <v>45303</v>
      </c>
      <c r="B6512" s="664" t="s">
        <v>2536</v>
      </c>
      <c r="C6512" s="71" t="s">
        <v>2009</v>
      </c>
      <c r="D6512" s="71">
        <v>1</v>
      </c>
      <c r="E6512" s="102">
        <v>280000</v>
      </c>
      <c r="F6512" s="102">
        <f t="shared" ref="F6512:F6575" si="3401">(E6512*D6512)*1.1</f>
        <v>308000</v>
      </c>
      <c r="G6512" s="102">
        <f t="shared" ref="G6512:G6575" si="3402">(E6512*D6512)</f>
        <v>280000</v>
      </c>
      <c r="H6512" s="690" t="s">
        <v>281</v>
      </c>
      <c r="I6512" s="71" t="s">
        <v>281</v>
      </c>
      <c r="J6512" s="53"/>
      <c r="K6512" s="63"/>
      <c r="L6512" s="1212" t="s">
        <v>3999</v>
      </c>
      <c r="M6512" s="468"/>
      <c r="N6512" s="1192">
        <f t="shared" si="3378"/>
        <v>45303</v>
      </c>
      <c r="O6512" s="71"/>
      <c r="P6512" s="103" t="str">
        <f t="shared" si="3397"/>
        <v>M600 서비스 비용</v>
      </c>
      <c r="Q6512" s="71">
        <f t="shared" si="3398"/>
        <v>1</v>
      </c>
      <c r="R6512" s="102"/>
      <c r="S6512" s="102">
        <f t="shared" ref="S6512:S6575" si="3403">R6512*Q6512*1.1</f>
        <v>0</v>
      </c>
      <c r="T6512" s="102">
        <f t="shared" ref="T6512:T6575" si="3404">R6512*Q6512</f>
        <v>0</v>
      </c>
      <c r="U6512" s="71"/>
      <c r="V6512" s="71"/>
      <c r="W6512" s="474"/>
      <c r="X6512" s="71"/>
      <c r="Y6512" s="71"/>
    </row>
    <row r="6513" spans="1:25" s="209" customFormat="1" ht="30" customHeight="1" x14ac:dyDescent="0.25">
      <c r="A6513" s="1145">
        <v>45295</v>
      </c>
      <c r="B6513" s="664" t="s">
        <v>2536</v>
      </c>
      <c r="C6513" s="71" t="s">
        <v>4001</v>
      </c>
      <c r="D6513" s="71">
        <v>1</v>
      </c>
      <c r="E6513" s="102">
        <v>6700000</v>
      </c>
      <c r="F6513" s="102">
        <f t="shared" si="3401"/>
        <v>7370000.0000000009</v>
      </c>
      <c r="G6513" s="102">
        <f t="shared" si="3402"/>
        <v>6700000</v>
      </c>
      <c r="H6513" s="690" t="s">
        <v>1431</v>
      </c>
      <c r="I6513" s="71" t="s">
        <v>1431</v>
      </c>
      <c r="J6513" s="53">
        <f t="shared" ref="J6513" si="3405">G6513-T6513</f>
        <v>2778811</v>
      </c>
      <c r="K6513" s="63">
        <f t="shared" ref="K6513" si="3406">(J6513/(F6513/11*10))</f>
        <v>0.41474791044776116</v>
      </c>
      <c r="L6513" s="1212" t="s">
        <v>3999</v>
      </c>
      <c r="M6513" s="468"/>
      <c r="N6513" s="1192">
        <f t="shared" si="3378"/>
        <v>45295</v>
      </c>
      <c r="O6513" s="71" t="s">
        <v>1431</v>
      </c>
      <c r="P6513" s="164" t="str">
        <f t="shared" si="3397"/>
        <v>가스 밸브 모터</v>
      </c>
      <c r="Q6513" s="71">
        <f t="shared" si="3398"/>
        <v>1</v>
      </c>
      <c r="R6513" s="102">
        <v>3921189</v>
      </c>
      <c r="S6513" s="102">
        <f t="shared" si="3403"/>
        <v>4313307.9000000004</v>
      </c>
      <c r="T6513" s="102">
        <f t="shared" si="3404"/>
        <v>3921189</v>
      </c>
      <c r="U6513" s="71"/>
      <c r="V6513" s="71"/>
      <c r="W6513" s="474"/>
      <c r="X6513" s="71"/>
      <c r="Y6513" s="71"/>
    </row>
    <row r="6514" spans="1:25" ht="30" customHeight="1" x14ac:dyDescent="0.25">
      <c r="A6514" s="1145">
        <v>45308</v>
      </c>
      <c r="B6514" s="664" t="s">
        <v>2352</v>
      </c>
      <c r="C6514" s="71" t="s">
        <v>692</v>
      </c>
      <c r="D6514" s="71">
        <v>2</v>
      </c>
      <c r="E6514" s="102">
        <v>264000</v>
      </c>
      <c r="F6514" s="102">
        <f t="shared" si="3401"/>
        <v>580800</v>
      </c>
      <c r="G6514" s="102">
        <f t="shared" si="3402"/>
        <v>528000</v>
      </c>
      <c r="H6514" s="690" t="s">
        <v>142</v>
      </c>
      <c r="I6514" s="71" t="s">
        <v>179</v>
      </c>
      <c r="J6514" s="53">
        <f t="shared" ref="J6514:J6522" si="3407">G6514-T6514</f>
        <v>195000</v>
      </c>
      <c r="K6514" s="63">
        <f t="shared" ref="K6514:K6522" si="3408">(J6514/(F6514/11*10))</f>
        <v>0.36931818181818182</v>
      </c>
      <c r="L6514" s="1212" t="s">
        <v>3999</v>
      </c>
      <c r="M6514" s="468" t="s">
        <v>2052</v>
      </c>
      <c r="N6514" s="1192">
        <f t="shared" ref="N6514" si="3409">A6514</f>
        <v>45308</v>
      </c>
      <c r="O6514" s="71" t="s">
        <v>150</v>
      </c>
      <c r="P6514" s="103" t="str">
        <f t="shared" si="3397"/>
        <v>윤전 블랑켓</v>
      </c>
      <c r="Q6514" s="71">
        <f t="shared" ref="Q6514:Q6522" si="3410">D6514</f>
        <v>2</v>
      </c>
      <c r="R6514" s="102">
        <v>166500</v>
      </c>
      <c r="S6514" s="102">
        <f t="shared" si="3403"/>
        <v>366300.00000000006</v>
      </c>
      <c r="T6514" s="102">
        <f t="shared" si="3404"/>
        <v>333000</v>
      </c>
      <c r="U6514" s="71" t="str">
        <f>IF(J6514=W6514,"O", "X")</f>
        <v>O</v>
      </c>
      <c r="V6514" s="71" t="s">
        <v>784</v>
      </c>
      <c r="W6514" s="474">
        <f>(G6514-T6514)</f>
        <v>195000</v>
      </c>
      <c r="X6514" s="71"/>
      <c r="Y6514" s="71"/>
    </row>
    <row r="6515" spans="1:25" ht="30" customHeight="1" x14ac:dyDescent="0.25">
      <c r="A6515" s="1145">
        <v>45308</v>
      </c>
      <c r="B6515" s="664" t="s">
        <v>2352</v>
      </c>
      <c r="C6515" s="71" t="s">
        <v>3837</v>
      </c>
      <c r="D6515" s="71">
        <v>48</v>
      </c>
      <c r="E6515" s="102">
        <v>13500</v>
      </c>
      <c r="F6515" s="102">
        <f t="shared" si="3401"/>
        <v>712800</v>
      </c>
      <c r="G6515" s="102">
        <f t="shared" si="3402"/>
        <v>648000</v>
      </c>
      <c r="H6515" s="690" t="s">
        <v>179</v>
      </c>
      <c r="I6515" s="71" t="s">
        <v>179</v>
      </c>
      <c r="J6515" s="53">
        <f t="shared" si="3407"/>
        <v>246480</v>
      </c>
      <c r="K6515" s="63">
        <f t="shared" si="3408"/>
        <v>0.38037037037037036</v>
      </c>
      <c r="L6515" s="1212" t="s">
        <v>3999</v>
      </c>
      <c r="M6515" s="468"/>
      <c r="N6515" s="1192">
        <f>A6515</f>
        <v>45308</v>
      </c>
      <c r="O6515" s="71"/>
      <c r="P6515" s="103" t="str">
        <f t="shared" si="3397"/>
        <v>고모리 윤전 블랑켓 건식 세정포 - 4x6용</v>
      </c>
      <c r="Q6515" s="71">
        <f t="shared" si="3410"/>
        <v>48</v>
      </c>
      <c r="R6515" s="102">
        <v>8365</v>
      </c>
      <c r="S6515" s="102">
        <f t="shared" si="3403"/>
        <v>441672.00000000006</v>
      </c>
      <c r="T6515" s="102">
        <f t="shared" si="3404"/>
        <v>401520</v>
      </c>
      <c r="U6515" s="71"/>
      <c r="V6515" s="71"/>
      <c r="W6515" s="474"/>
      <c r="X6515" s="71"/>
      <c r="Y6515" s="71"/>
    </row>
    <row r="6516" spans="1:25" ht="30" hidden="1" customHeight="1" x14ac:dyDescent="0.25">
      <c r="A6516" s="1145">
        <v>45301</v>
      </c>
      <c r="B6516" s="664" t="s">
        <v>2353</v>
      </c>
      <c r="C6516" s="71" t="s">
        <v>129</v>
      </c>
      <c r="D6516" s="71">
        <v>7</v>
      </c>
      <c r="E6516" s="102">
        <v>325000</v>
      </c>
      <c r="F6516" s="102">
        <f t="shared" si="3401"/>
        <v>2502500</v>
      </c>
      <c r="G6516" s="102">
        <f t="shared" si="3402"/>
        <v>2275000</v>
      </c>
      <c r="H6516" s="690" t="s">
        <v>142</v>
      </c>
      <c r="I6516" s="71" t="s">
        <v>179</v>
      </c>
      <c r="J6516" s="53">
        <f t="shared" si="3407"/>
        <v>636440</v>
      </c>
      <c r="K6516" s="63">
        <f t="shared" si="3408"/>
        <v>0.27975384615384613</v>
      </c>
      <c r="L6516" s="1212" t="s">
        <v>3999</v>
      </c>
      <c r="M6516" s="468" t="s">
        <v>2050</v>
      </c>
      <c r="N6516" s="1192">
        <f t="shared" ref="N6516:N6522" si="3411">A6516</f>
        <v>45301</v>
      </c>
      <c r="O6516" s="71" t="s">
        <v>149</v>
      </c>
      <c r="P6516" s="103" t="str">
        <f t="shared" si="3397"/>
        <v>세정포-XL106</v>
      </c>
      <c r="Q6516" s="71">
        <f t="shared" si="3410"/>
        <v>7</v>
      </c>
      <c r="R6516" s="102">
        <v>234080</v>
      </c>
      <c r="S6516" s="102">
        <f t="shared" si="3403"/>
        <v>1802416.0000000002</v>
      </c>
      <c r="T6516" s="102">
        <f t="shared" si="3404"/>
        <v>1638560</v>
      </c>
      <c r="U6516" s="71" t="str">
        <f>IF(J6516=W6516,"O", "X")</f>
        <v>O</v>
      </c>
      <c r="V6516" s="71"/>
      <c r="W6516" s="474">
        <f>(G6516-T6516)</f>
        <v>636440</v>
      </c>
      <c r="X6516" s="71"/>
      <c r="Y6516" s="71"/>
    </row>
    <row r="6517" spans="1:25" s="209" customFormat="1" ht="30" hidden="1" customHeight="1" x14ac:dyDescent="0.25">
      <c r="A6517" s="1145">
        <v>45301</v>
      </c>
      <c r="B6517" s="664" t="s">
        <v>2353</v>
      </c>
      <c r="C6517" s="71" t="s">
        <v>3299</v>
      </c>
      <c r="D6517" s="71">
        <v>10</v>
      </c>
      <c r="E6517" s="102">
        <v>83000</v>
      </c>
      <c r="F6517" s="102">
        <f t="shared" si="3401"/>
        <v>913000.00000000012</v>
      </c>
      <c r="G6517" s="102">
        <f t="shared" si="3402"/>
        <v>830000</v>
      </c>
      <c r="H6517" s="690" t="s">
        <v>142</v>
      </c>
      <c r="I6517" s="71" t="s">
        <v>179</v>
      </c>
      <c r="J6517" s="53">
        <f t="shared" si="3407"/>
        <v>355000</v>
      </c>
      <c r="K6517" s="63">
        <f t="shared" si="3408"/>
        <v>0.42771084337349391</v>
      </c>
      <c r="L6517" s="1212" t="s">
        <v>3999</v>
      </c>
      <c r="M6517" s="468" t="s">
        <v>2214</v>
      </c>
      <c r="N6517" s="1192">
        <f t="shared" si="3411"/>
        <v>45301</v>
      </c>
      <c r="O6517" s="71" t="s">
        <v>3383</v>
      </c>
      <c r="P6517" s="103" t="str">
        <f t="shared" si="3397"/>
        <v>매엽용 세척제(Wash k11)</v>
      </c>
      <c r="Q6517" s="71">
        <f t="shared" si="3410"/>
        <v>10</v>
      </c>
      <c r="R6517" s="102">
        <v>47500</v>
      </c>
      <c r="S6517" s="102">
        <f t="shared" si="3403"/>
        <v>522500.00000000006</v>
      </c>
      <c r="T6517" s="102">
        <f t="shared" si="3404"/>
        <v>475000</v>
      </c>
      <c r="U6517" s="71" t="s">
        <v>859</v>
      </c>
      <c r="V6517" s="71"/>
      <c r="W6517" s="474">
        <v>136000</v>
      </c>
      <c r="X6517" s="71"/>
      <c r="Y6517" s="71"/>
    </row>
    <row r="6518" spans="1:25" s="209" customFormat="1" ht="30" hidden="1" customHeight="1" x14ac:dyDescent="0.25">
      <c r="A6518" s="1145">
        <v>45301</v>
      </c>
      <c r="B6518" s="664" t="s">
        <v>2353</v>
      </c>
      <c r="C6518" s="71" t="s">
        <v>130</v>
      </c>
      <c r="D6518" s="71">
        <v>15</v>
      </c>
      <c r="E6518" s="102">
        <v>148000</v>
      </c>
      <c r="F6518" s="102">
        <f t="shared" si="3401"/>
        <v>2442000</v>
      </c>
      <c r="G6518" s="102">
        <f t="shared" si="3402"/>
        <v>2220000</v>
      </c>
      <c r="H6518" s="690" t="s">
        <v>142</v>
      </c>
      <c r="I6518" s="71" t="s">
        <v>179</v>
      </c>
      <c r="J6518" s="53">
        <f t="shared" si="3407"/>
        <v>540000</v>
      </c>
      <c r="K6518" s="63">
        <f t="shared" si="3408"/>
        <v>0.24324324324324326</v>
      </c>
      <c r="L6518" s="1212" t="s">
        <v>3999</v>
      </c>
      <c r="M6518" s="468" t="s">
        <v>2050</v>
      </c>
      <c r="N6518" s="1192">
        <f t="shared" si="3411"/>
        <v>45301</v>
      </c>
      <c r="O6518" s="71" t="s">
        <v>3383</v>
      </c>
      <c r="P6518" s="103" t="str">
        <f t="shared" si="3397"/>
        <v>XL106 Blanket(1077*885)</v>
      </c>
      <c r="Q6518" s="71">
        <f t="shared" si="3410"/>
        <v>15</v>
      </c>
      <c r="R6518" s="102">
        <v>112000</v>
      </c>
      <c r="S6518" s="102">
        <f t="shared" si="3403"/>
        <v>1848000.0000000002</v>
      </c>
      <c r="T6518" s="102">
        <f t="shared" si="3404"/>
        <v>1680000</v>
      </c>
      <c r="U6518" s="71" t="s">
        <v>859</v>
      </c>
      <c r="V6518" s="71"/>
      <c r="W6518" s="474">
        <v>260000</v>
      </c>
      <c r="X6518" s="71"/>
      <c r="Y6518" s="71"/>
    </row>
    <row r="6519" spans="1:25" ht="30" hidden="1" customHeight="1" x14ac:dyDescent="0.25">
      <c r="A6519" s="1145">
        <v>45303</v>
      </c>
      <c r="B6519" s="664" t="s">
        <v>2579</v>
      </c>
      <c r="C6519" s="71" t="s">
        <v>3738</v>
      </c>
      <c r="D6519" s="71">
        <v>15</v>
      </c>
      <c r="E6519" s="102">
        <v>130000</v>
      </c>
      <c r="F6519" s="102">
        <f t="shared" si="3401"/>
        <v>2145000</v>
      </c>
      <c r="G6519" s="102">
        <f t="shared" si="3402"/>
        <v>1950000</v>
      </c>
      <c r="H6519" s="690" t="s">
        <v>142</v>
      </c>
      <c r="I6519" s="71" t="s">
        <v>142</v>
      </c>
      <c r="J6519" s="53">
        <f t="shared" si="3407"/>
        <v>364500</v>
      </c>
      <c r="K6519" s="63">
        <f t="shared" si="3408"/>
        <v>0.18692307692307691</v>
      </c>
      <c r="L6519" s="1212" t="s">
        <v>3999</v>
      </c>
      <c r="M6519" s="468"/>
      <c r="N6519" s="1192">
        <f t="shared" si="3411"/>
        <v>45303</v>
      </c>
      <c r="O6519" s="71" t="s">
        <v>147</v>
      </c>
      <c r="P6519" s="103" t="str">
        <f t="shared" si="3397"/>
        <v>블랑켓 - 고모리 용 (1040*920)</v>
      </c>
      <c r="Q6519" s="71">
        <f t="shared" si="3410"/>
        <v>15</v>
      </c>
      <c r="R6519" s="102">
        <v>105700</v>
      </c>
      <c r="S6519" s="102">
        <f t="shared" si="3403"/>
        <v>1744050.0000000002</v>
      </c>
      <c r="T6519" s="102">
        <f t="shared" si="3404"/>
        <v>1585500</v>
      </c>
      <c r="U6519" s="71"/>
      <c r="V6519" s="71"/>
      <c r="W6519" s="474"/>
      <c r="X6519" s="71"/>
      <c r="Y6519" s="71"/>
    </row>
    <row r="6520" spans="1:25" ht="30" hidden="1" customHeight="1" x14ac:dyDescent="0.25">
      <c r="A6520" s="1145">
        <v>45303</v>
      </c>
      <c r="B6520" s="664" t="s">
        <v>2353</v>
      </c>
      <c r="C6520" s="71" t="s">
        <v>3728</v>
      </c>
      <c r="D6520" s="71">
        <v>10</v>
      </c>
      <c r="E6520" s="102">
        <v>35000</v>
      </c>
      <c r="F6520" s="102">
        <f t="shared" si="3401"/>
        <v>385000.00000000006</v>
      </c>
      <c r="G6520" s="102">
        <f t="shared" si="3402"/>
        <v>350000</v>
      </c>
      <c r="H6520" s="690" t="s">
        <v>142</v>
      </c>
      <c r="I6520" s="71" t="s">
        <v>142</v>
      </c>
      <c r="J6520" s="53">
        <f t="shared" si="3407"/>
        <v>65000</v>
      </c>
      <c r="K6520" s="63">
        <f t="shared" si="3408"/>
        <v>0.18571428571428569</v>
      </c>
      <c r="L6520" s="1212" t="s">
        <v>3999</v>
      </c>
      <c r="M6520" s="468" t="s">
        <v>3907</v>
      </c>
      <c r="N6520" s="1192">
        <f t="shared" si="3411"/>
        <v>45303</v>
      </c>
      <c r="O6520" s="71" t="s">
        <v>149</v>
      </c>
      <c r="P6520" s="103" t="str">
        <f t="shared" si="3397"/>
        <v>고모리 자동 세척액</v>
      </c>
      <c r="Q6520" s="71">
        <v>6</v>
      </c>
      <c r="R6520" s="102">
        <v>47500</v>
      </c>
      <c r="S6520" s="102">
        <f t="shared" si="3403"/>
        <v>313500</v>
      </c>
      <c r="T6520" s="102">
        <f t="shared" si="3404"/>
        <v>285000</v>
      </c>
      <c r="U6520" s="71"/>
      <c r="V6520" s="71"/>
      <c r="W6520" s="474"/>
      <c r="X6520" s="71"/>
      <c r="Y6520" s="71"/>
    </row>
    <row r="6521" spans="1:25" ht="30" hidden="1" customHeight="1" x14ac:dyDescent="0.25">
      <c r="A6521" s="1145">
        <v>45303</v>
      </c>
      <c r="B6521" s="664" t="s">
        <v>2353</v>
      </c>
      <c r="C6521" s="71" t="s">
        <v>3727</v>
      </c>
      <c r="D6521" s="71">
        <v>5</v>
      </c>
      <c r="E6521" s="102">
        <v>225000</v>
      </c>
      <c r="F6521" s="102">
        <f t="shared" si="3401"/>
        <v>1237500</v>
      </c>
      <c r="G6521" s="102">
        <f t="shared" si="3402"/>
        <v>1125000</v>
      </c>
      <c r="H6521" s="690" t="s">
        <v>142</v>
      </c>
      <c r="I6521" s="71" t="s">
        <v>142</v>
      </c>
      <c r="J6521" s="53">
        <f t="shared" si="3407"/>
        <v>500000</v>
      </c>
      <c r="K6521" s="63">
        <f t="shared" si="3408"/>
        <v>0.44444444444444442</v>
      </c>
      <c r="L6521" s="1212" t="s">
        <v>3999</v>
      </c>
      <c r="M6521" s="468"/>
      <c r="N6521" s="1192">
        <f t="shared" si="3411"/>
        <v>45303</v>
      </c>
      <c r="O6521" s="71" t="s">
        <v>189</v>
      </c>
      <c r="P6521" s="103" t="str">
        <f t="shared" si="3397"/>
        <v>압통 코팅제 - 퀵 프린트</v>
      </c>
      <c r="Q6521" s="71">
        <f t="shared" si="3410"/>
        <v>5</v>
      </c>
      <c r="R6521" s="102">
        <f>25000*5</f>
        <v>125000</v>
      </c>
      <c r="S6521" s="102">
        <f t="shared" si="3403"/>
        <v>687500</v>
      </c>
      <c r="T6521" s="102">
        <f t="shared" si="3404"/>
        <v>625000</v>
      </c>
      <c r="U6521" s="71"/>
      <c r="V6521" s="71"/>
      <c r="W6521" s="474"/>
      <c r="X6521" s="71"/>
      <c r="Y6521" s="71"/>
    </row>
    <row r="6522" spans="1:25" s="209" customFormat="1" ht="30" hidden="1" customHeight="1" x14ac:dyDescent="0.25">
      <c r="A6522" s="1145">
        <v>45303</v>
      </c>
      <c r="B6522" s="664" t="s">
        <v>2353</v>
      </c>
      <c r="C6522" s="71" t="s">
        <v>3843</v>
      </c>
      <c r="D6522" s="71">
        <v>5</v>
      </c>
      <c r="E6522" s="102">
        <v>180000</v>
      </c>
      <c r="F6522" s="102">
        <f t="shared" si="3401"/>
        <v>990000.00000000012</v>
      </c>
      <c r="G6522" s="102">
        <f t="shared" si="3402"/>
        <v>900000</v>
      </c>
      <c r="H6522" s="690" t="s">
        <v>179</v>
      </c>
      <c r="I6522" s="71" t="s">
        <v>179</v>
      </c>
      <c r="J6522" s="53">
        <f t="shared" si="3407"/>
        <v>240000</v>
      </c>
      <c r="K6522" s="63">
        <f t="shared" si="3408"/>
        <v>0.26666666666666661</v>
      </c>
      <c r="L6522" s="1212" t="s">
        <v>3999</v>
      </c>
      <c r="M6522" s="468"/>
      <c r="N6522" s="1192">
        <f t="shared" si="3411"/>
        <v>45303</v>
      </c>
      <c r="O6522" s="71" t="s">
        <v>3383</v>
      </c>
      <c r="P6522" s="164" t="str">
        <f t="shared" si="3397"/>
        <v>수이보 세척액(습수액 클리너)</v>
      </c>
      <c r="Q6522" s="71">
        <f t="shared" si="3410"/>
        <v>5</v>
      </c>
      <c r="R6522" s="102">
        <f>11000*12</f>
        <v>132000</v>
      </c>
      <c r="S6522" s="102">
        <f t="shared" si="3403"/>
        <v>726000.00000000012</v>
      </c>
      <c r="T6522" s="102">
        <f t="shared" si="3404"/>
        <v>660000</v>
      </c>
      <c r="U6522" s="71"/>
      <c r="V6522" s="71"/>
      <c r="W6522" s="474"/>
      <c r="X6522" s="71"/>
      <c r="Y6522" s="71"/>
    </row>
    <row r="6523" spans="1:25" ht="30" hidden="1" customHeight="1" x14ac:dyDescent="0.25">
      <c r="A6523" s="1145">
        <v>45315</v>
      </c>
      <c r="B6523" s="664" t="s">
        <v>2353</v>
      </c>
      <c r="C6523" s="71" t="s">
        <v>129</v>
      </c>
      <c r="D6523" s="71">
        <v>7</v>
      </c>
      <c r="E6523" s="102">
        <v>325000</v>
      </c>
      <c r="F6523" s="102">
        <f t="shared" si="3401"/>
        <v>2502500</v>
      </c>
      <c r="G6523" s="102">
        <f t="shared" si="3402"/>
        <v>2275000</v>
      </c>
      <c r="H6523" s="690" t="s">
        <v>142</v>
      </c>
      <c r="I6523" s="71" t="s">
        <v>179</v>
      </c>
      <c r="J6523" s="53">
        <f t="shared" ref="J6523:J6525" si="3412">G6523-T6523</f>
        <v>636440</v>
      </c>
      <c r="K6523" s="63">
        <f t="shared" ref="K6523:K6525" si="3413">(J6523/(F6523/11*10))</f>
        <v>0.27975384615384613</v>
      </c>
      <c r="L6523" s="1212" t="s">
        <v>3999</v>
      </c>
      <c r="M6523" s="468" t="s">
        <v>2050</v>
      </c>
      <c r="N6523" s="1192">
        <f t="shared" ref="N6523:N6527" si="3414">A6523</f>
        <v>45315</v>
      </c>
      <c r="O6523" s="71" t="s">
        <v>149</v>
      </c>
      <c r="P6523" s="103" t="str">
        <f t="shared" ref="P6523:P6527" si="3415">(C6523)</f>
        <v>세정포-XL106</v>
      </c>
      <c r="Q6523" s="71">
        <f t="shared" ref="Q6523:Q6546" si="3416">D6523</f>
        <v>7</v>
      </c>
      <c r="R6523" s="102">
        <v>234080</v>
      </c>
      <c r="S6523" s="102">
        <f t="shared" si="3403"/>
        <v>1802416.0000000002</v>
      </c>
      <c r="T6523" s="102">
        <f t="shared" si="3404"/>
        <v>1638560</v>
      </c>
      <c r="U6523" s="71" t="str">
        <f>IF(J6523=W6523,"O", "X")</f>
        <v>O</v>
      </c>
      <c r="V6523" s="71"/>
      <c r="W6523" s="474">
        <f>(G6523-T6523)</f>
        <v>636440</v>
      </c>
      <c r="X6523" s="71"/>
      <c r="Y6523" s="71"/>
    </row>
    <row r="6524" spans="1:25" ht="30" hidden="1" customHeight="1" x14ac:dyDescent="0.25">
      <c r="A6524" s="1145">
        <v>45309</v>
      </c>
      <c r="B6524" s="664" t="s">
        <v>2353</v>
      </c>
      <c r="C6524" s="71" t="s">
        <v>3960</v>
      </c>
      <c r="D6524" s="71">
        <v>2</v>
      </c>
      <c r="E6524" s="102">
        <v>20000</v>
      </c>
      <c r="F6524" s="102">
        <f t="shared" si="3401"/>
        <v>44000</v>
      </c>
      <c r="G6524" s="102">
        <f t="shared" si="3402"/>
        <v>40000</v>
      </c>
      <c r="H6524" s="690" t="s">
        <v>142</v>
      </c>
      <c r="I6524" s="71" t="s">
        <v>179</v>
      </c>
      <c r="J6524" s="53">
        <f t="shared" si="3412"/>
        <v>0</v>
      </c>
      <c r="K6524" s="63">
        <f t="shared" si="3413"/>
        <v>0</v>
      </c>
      <c r="L6524" s="1212" t="s">
        <v>3999</v>
      </c>
      <c r="M6524" s="468"/>
      <c r="N6524" s="1192">
        <f t="shared" si="3414"/>
        <v>45309</v>
      </c>
      <c r="O6524" s="71" t="s">
        <v>150</v>
      </c>
      <c r="P6524" s="103" t="str">
        <f t="shared" si="3415"/>
        <v>슬라이딩 블록</v>
      </c>
      <c r="Q6524" s="71">
        <f t="shared" si="3416"/>
        <v>2</v>
      </c>
      <c r="R6524" s="102">
        <v>20000</v>
      </c>
      <c r="S6524" s="102">
        <f t="shared" si="3403"/>
        <v>44000</v>
      </c>
      <c r="T6524" s="102">
        <f t="shared" si="3404"/>
        <v>40000</v>
      </c>
      <c r="U6524" s="71"/>
      <c r="V6524" s="71"/>
      <c r="W6524" s="474"/>
      <c r="X6524" s="71"/>
      <c r="Y6524" s="71"/>
    </row>
    <row r="6525" spans="1:25" s="209" customFormat="1" ht="30" hidden="1" customHeight="1" x14ac:dyDescent="0.25">
      <c r="A6525" s="1145">
        <v>45309</v>
      </c>
      <c r="B6525" s="664" t="s">
        <v>2353</v>
      </c>
      <c r="C6525" s="71" t="s">
        <v>3961</v>
      </c>
      <c r="D6525" s="71">
        <v>2</v>
      </c>
      <c r="E6525" s="102">
        <v>280000</v>
      </c>
      <c r="F6525" s="102">
        <f t="shared" si="3401"/>
        <v>616000</v>
      </c>
      <c r="G6525" s="102">
        <f t="shared" si="3402"/>
        <v>560000</v>
      </c>
      <c r="H6525" s="690" t="s">
        <v>142</v>
      </c>
      <c r="I6525" s="71" t="s">
        <v>179</v>
      </c>
      <c r="J6525" s="53">
        <f t="shared" si="3412"/>
        <v>0</v>
      </c>
      <c r="K6525" s="63">
        <f t="shared" si="3413"/>
        <v>0</v>
      </c>
      <c r="L6525" s="1212" t="s">
        <v>3999</v>
      </c>
      <c r="M6525" s="468"/>
      <c r="N6525" s="1192">
        <f t="shared" si="3414"/>
        <v>45309</v>
      </c>
      <c r="O6525" s="71" t="s">
        <v>150</v>
      </c>
      <c r="P6525" s="164" t="str">
        <f t="shared" si="3415"/>
        <v>베어링 쉘</v>
      </c>
      <c r="Q6525" s="71">
        <f t="shared" si="3416"/>
        <v>2</v>
      </c>
      <c r="R6525" s="102">
        <v>280000</v>
      </c>
      <c r="S6525" s="102">
        <f t="shared" si="3403"/>
        <v>616000</v>
      </c>
      <c r="T6525" s="102">
        <f t="shared" si="3404"/>
        <v>560000</v>
      </c>
      <c r="U6525" s="71"/>
      <c r="V6525" s="71"/>
      <c r="W6525" s="474"/>
      <c r="X6525" s="71"/>
      <c r="Y6525" s="71"/>
    </row>
    <row r="6526" spans="1:25" ht="30" hidden="1" customHeight="1" x14ac:dyDescent="0.25">
      <c r="A6526" s="1145">
        <v>45315</v>
      </c>
      <c r="B6526" s="664" t="s">
        <v>2353</v>
      </c>
      <c r="C6526" s="71" t="s">
        <v>584</v>
      </c>
      <c r="D6526" s="71">
        <v>5</v>
      </c>
      <c r="E6526" s="102">
        <v>270000</v>
      </c>
      <c r="F6526" s="102">
        <f t="shared" si="3401"/>
        <v>1485000.0000000002</v>
      </c>
      <c r="G6526" s="102">
        <f t="shared" si="3402"/>
        <v>1350000</v>
      </c>
      <c r="H6526" s="690" t="s">
        <v>142</v>
      </c>
      <c r="I6526" s="71" t="s">
        <v>179</v>
      </c>
      <c r="J6526" s="53">
        <f t="shared" ref="J6526:J6544" si="3417">G6526-T6526</f>
        <v>410000</v>
      </c>
      <c r="K6526" s="63">
        <f t="shared" ref="K6526:K6544" si="3418">(J6526/(F6526/11*10))</f>
        <v>0.30370370370370364</v>
      </c>
      <c r="L6526" s="1212" t="s">
        <v>3999</v>
      </c>
      <c r="M6526" s="468"/>
      <c r="N6526" s="1192">
        <f t="shared" si="3414"/>
        <v>45315</v>
      </c>
      <c r="O6526" s="71" t="s">
        <v>150</v>
      </c>
      <c r="P6526" s="103" t="str">
        <f t="shared" si="3415"/>
        <v>데리바리 석션벨트</v>
      </c>
      <c r="Q6526" s="71">
        <f t="shared" si="3416"/>
        <v>5</v>
      </c>
      <c r="R6526" s="102">
        <v>188000</v>
      </c>
      <c r="S6526" s="102">
        <f t="shared" si="3403"/>
        <v>1034000.0000000001</v>
      </c>
      <c r="T6526" s="102">
        <f t="shared" si="3404"/>
        <v>940000</v>
      </c>
      <c r="U6526" s="71" t="str">
        <f>IF(J6526=W6526,"O", "X")</f>
        <v>O</v>
      </c>
      <c r="V6526" s="71"/>
      <c r="W6526" s="474">
        <f>(G6526-T6526)</f>
        <v>410000</v>
      </c>
      <c r="X6526" s="71"/>
      <c r="Y6526" s="71"/>
    </row>
    <row r="6527" spans="1:25" ht="28.5" hidden="1" customHeight="1" x14ac:dyDescent="0.25">
      <c r="A6527" s="1145">
        <v>45315</v>
      </c>
      <c r="B6527" s="664" t="s">
        <v>2353</v>
      </c>
      <c r="C6527" s="71" t="s">
        <v>2648</v>
      </c>
      <c r="D6527" s="71">
        <v>3</v>
      </c>
      <c r="E6527" s="102">
        <v>50000</v>
      </c>
      <c r="F6527" s="102">
        <f t="shared" si="3401"/>
        <v>165000</v>
      </c>
      <c r="G6527" s="102">
        <f t="shared" si="3402"/>
        <v>150000</v>
      </c>
      <c r="H6527" s="690" t="s">
        <v>179</v>
      </c>
      <c r="I6527" s="690" t="s">
        <v>179</v>
      </c>
      <c r="J6527" s="53">
        <f t="shared" si="3417"/>
        <v>78000</v>
      </c>
      <c r="K6527" s="63">
        <f t="shared" si="3418"/>
        <v>0.52</v>
      </c>
      <c r="L6527" s="1212" t="s">
        <v>3999</v>
      </c>
      <c r="M6527" s="468"/>
      <c r="N6527" s="1192">
        <f t="shared" si="3414"/>
        <v>45315</v>
      </c>
      <c r="O6527" s="71" t="s">
        <v>94</v>
      </c>
      <c r="P6527" s="103" t="str">
        <f t="shared" si="3415"/>
        <v>주머니 필터백</v>
      </c>
      <c r="Q6527" s="71">
        <f t="shared" si="3416"/>
        <v>3</v>
      </c>
      <c r="R6527" s="102">
        <v>24000</v>
      </c>
      <c r="S6527" s="102">
        <f t="shared" si="3403"/>
        <v>79200</v>
      </c>
      <c r="T6527" s="102">
        <f t="shared" si="3404"/>
        <v>72000</v>
      </c>
      <c r="U6527" s="71"/>
      <c r="V6527" s="71"/>
      <c r="W6527" s="474"/>
      <c r="X6527" s="71"/>
      <c r="Y6527" s="71"/>
    </row>
    <row r="6528" spans="1:25" ht="30" hidden="1" customHeight="1" x14ac:dyDescent="0.25">
      <c r="A6528" s="1145">
        <v>45316</v>
      </c>
      <c r="B6528" s="664" t="s">
        <v>1060</v>
      </c>
      <c r="C6528" s="71" t="s">
        <v>3908</v>
      </c>
      <c r="D6528" s="71">
        <v>600</v>
      </c>
      <c r="E6528" s="102">
        <v>5610</v>
      </c>
      <c r="F6528" s="102">
        <f t="shared" si="3401"/>
        <v>3702600.0000000005</v>
      </c>
      <c r="G6528" s="102">
        <f t="shared" si="3402"/>
        <v>3366000</v>
      </c>
      <c r="H6528" s="690" t="s">
        <v>36</v>
      </c>
      <c r="I6528" s="71" t="s">
        <v>2529</v>
      </c>
      <c r="J6528" s="53">
        <f t="shared" si="3417"/>
        <v>999000</v>
      </c>
      <c r="K6528" s="63">
        <f t="shared" si="3418"/>
        <v>0.29679144385026734</v>
      </c>
      <c r="L6528" s="1212" t="s">
        <v>3999</v>
      </c>
      <c r="M6528" s="102" t="s">
        <v>3964</v>
      </c>
      <c r="N6528" s="1192">
        <v>45194</v>
      </c>
      <c r="O6528" s="71" t="s">
        <v>662</v>
      </c>
      <c r="P6528" s="103" t="s">
        <v>3908</v>
      </c>
      <c r="Q6528" s="71">
        <f t="shared" si="3416"/>
        <v>600</v>
      </c>
      <c r="R6528" s="102">
        <v>3945</v>
      </c>
      <c r="S6528" s="102">
        <f t="shared" si="3403"/>
        <v>2603700</v>
      </c>
      <c r="T6528" s="102">
        <f t="shared" si="3404"/>
        <v>2367000</v>
      </c>
      <c r="U6528" s="71" t="s">
        <v>859</v>
      </c>
      <c r="V6528" s="71"/>
      <c r="W6528" s="474">
        <v>942000</v>
      </c>
      <c r="X6528" s="71"/>
      <c r="Y6528" s="71"/>
    </row>
    <row r="6529" spans="1:25" ht="30" hidden="1" customHeight="1" x14ac:dyDescent="0.25">
      <c r="A6529" s="1145">
        <v>45316</v>
      </c>
      <c r="B6529" s="664" t="s">
        <v>1060</v>
      </c>
      <c r="C6529" s="71" t="s">
        <v>3909</v>
      </c>
      <c r="D6529" s="71">
        <v>2000</v>
      </c>
      <c r="E6529" s="102">
        <v>3550</v>
      </c>
      <c r="F6529" s="102">
        <f t="shared" si="3401"/>
        <v>7810000.0000000009</v>
      </c>
      <c r="G6529" s="102">
        <f t="shared" si="3402"/>
        <v>7100000</v>
      </c>
      <c r="H6529" s="690" t="s">
        <v>36</v>
      </c>
      <c r="I6529" s="71" t="s">
        <v>2529</v>
      </c>
      <c r="J6529" s="53">
        <f t="shared" si="3417"/>
        <v>2114000</v>
      </c>
      <c r="K6529" s="63">
        <f t="shared" si="3418"/>
        <v>0.29774647887323941</v>
      </c>
      <c r="L6529" s="1212" t="s">
        <v>3999</v>
      </c>
      <c r="M6529" s="102" t="s">
        <v>3964</v>
      </c>
      <c r="N6529" s="1192">
        <v>45194</v>
      </c>
      <c r="O6529" s="71" t="s">
        <v>662</v>
      </c>
      <c r="P6529" s="103" t="s">
        <v>3909</v>
      </c>
      <c r="Q6529" s="71">
        <f t="shared" si="3416"/>
        <v>2000</v>
      </c>
      <c r="R6529" s="102">
        <v>2493</v>
      </c>
      <c r="S6529" s="102">
        <f t="shared" si="3403"/>
        <v>5484600</v>
      </c>
      <c r="T6529" s="102">
        <f t="shared" si="3404"/>
        <v>4986000</v>
      </c>
      <c r="U6529" s="71" t="s">
        <v>859</v>
      </c>
      <c r="V6529" s="71"/>
      <c r="W6529" s="474">
        <v>1274000</v>
      </c>
      <c r="X6529" s="71"/>
      <c r="Y6529" s="71"/>
    </row>
    <row r="6530" spans="1:25" ht="30" hidden="1" customHeight="1" x14ac:dyDescent="0.25">
      <c r="A6530" s="1145">
        <v>45316</v>
      </c>
      <c r="B6530" s="664" t="s">
        <v>1060</v>
      </c>
      <c r="C6530" s="71" t="s">
        <v>3910</v>
      </c>
      <c r="D6530" s="71">
        <v>1800</v>
      </c>
      <c r="E6530" s="102">
        <v>3350</v>
      </c>
      <c r="F6530" s="102">
        <f t="shared" si="3401"/>
        <v>6633000.0000000009</v>
      </c>
      <c r="G6530" s="102">
        <f t="shared" si="3402"/>
        <v>6030000</v>
      </c>
      <c r="H6530" s="690" t="s">
        <v>36</v>
      </c>
      <c r="I6530" s="71" t="s">
        <v>2529</v>
      </c>
      <c r="J6530" s="53">
        <f t="shared" si="3417"/>
        <v>1765800</v>
      </c>
      <c r="K6530" s="63">
        <f t="shared" si="3418"/>
        <v>0.29283582089552235</v>
      </c>
      <c r="L6530" s="1212" t="s">
        <v>3999</v>
      </c>
      <c r="M6530" s="102" t="s">
        <v>3964</v>
      </c>
      <c r="N6530" s="1192">
        <v>45194</v>
      </c>
      <c r="O6530" s="71" t="s">
        <v>662</v>
      </c>
      <c r="P6530" s="103" t="s">
        <v>3910</v>
      </c>
      <c r="Q6530" s="71">
        <f t="shared" si="3416"/>
        <v>1800</v>
      </c>
      <c r="R6530" s="102">
        <v>2369</v>
      </c>
      <c r="S6530" s="102">
        <f t="shared" si="3403"/>
        <v>4690620</v>
      </c>
      <c r="T6530" s="102">
        <f t="shared" si="3404"/>
        <v>4264200</v>
      </c>
      <c r="U6530" s="71" t="s">
        <v>859</v>
      </c>
      <c r="V6530" s="71"/>
      <c r="W6530" s="474">
        <v>3325000</v>
      </c>
      <c r="X6530" s="71"/>
      <c r="Y6530" s="71"/>
    </row>
    <row r="6531" spans="1:25" ht="30" hidden="1" customHeight="1" x14ac:dyDescent="0.25">
      <c r="A6531" s="1145">
        <v>45316</v>
      </c>
      <c r="B6531" s="664" t="s">
        <v>1060</v>
      </c>
      <c r="C6531" s="71" t="s">
        <v>3911</v>
      </c>
      <c r="D6531" s="71">
        <v>700</v>
      </c>
      <c r="E6531" s="102">
        <v>5700</v>
      </c>
      <c r="F6531" s="102">
        <f t="shared" si="3401"/>
        <v>4389000</v>
      </c>
      <c r="G6531" s="102">
        <f t="shared" si="3402"/>
        <v>3990000</v>
      </c>
      <c r="H6531" s="690" t="s">
        <v>36</v>
      </c>
      <c r="I6531" s="71" t="s">
        <v>2529</v>
      </c>
      <c r="J6531" s="53">
        <f t="shared" si="3417"/>
        <v>1192800</v>
      </c>
      <c r="K6531" s="63">
        <f t="shared" si="3418"/>
        <v>0.29894736842105263</v>
      </c>
      <c r="L6531" s="1212" t="s">
        <v>3999</v>
      </c>
      <c r="M6531" s="102" t="s">
        <v>3964</v>
      </c>
      <c r="N6531" s="1192">
        <v>45194</v>
      </c>
      <c r="O6531" s="71" t="s">
        <v>662</v>
      </c>
      <c r="P6531" s="103" t="s">
        <v>3911</v>
      </c>
      <c r="Q6531" s="71">
        <f t="shared" si="3416"/>
        <v>700</v>
      </c>
      <c r="R6531" s="102">
        <v>3996</v>
      </c>
      <c r="S6531" s="102">
        <f t="shared" si="3403"/>
        <v>3076920.0000000005</v>
      </c>
      <c r="T6531" s="102">
        <f t="shared" si="3404"/>
        <v>2797200</v>
      </c>
      <c r="U6531" s="71" t="s">
        <v>859</v>
      </c>
      <c r="V6531" s="71"/>
      <c r="W6531" s="474">
        <v>636000</v>
      </c>
      <c r="X6531" s="71"/>
      <c r="Y6531" s="71"/>
    </row>
    <row r="6532" spans="1:25" ht="30" hidden="1" customHeight="1" x14ac:dyDescent="0.25">
      <c r="A6532" s="1145">
        <v>45316</v>
      </c>
      <c r="B6532" s="664" t="s">
        <v>1060</v>
      </c>
      <c r="C6532" s="71" t="s">
        <v>3912</v>
      </c>
      <c r="D6532" s="71">
        <v>900</v>
      </c>
      <c r="E6532" s="102">
        <v>5900</v>
      </c>
      <c r="F6532" s="102">
        <f t="shared" si="3401"/>
        <v>5841000.0000000009</v>
      </c>
      <c r="G6532" s="102">
        <f t="shared" si="3402"/>
        <v>5310000</v>
      </c>
      <c r="H6532" s="690" t="s">
        <v>36</v>
      </c>
      <c r="I6532" s="71" t="s">
        <v>2529</v>
      </c>
      <c r="J6532" s="53">
        <f t="shared" si="3417"/>
        <v>1574100</v>
      </c>
      <c r="K6532" s="63">
        <f t="shared" si="3418"/>
        <v>0.29644067796610163</v>
      </c>
      <c r="L6532" s="1212" t="s">
        <v>3999</v>
      </c>
      <c r="M6532" s="102" t="s">
        <v>3964</v>
      </c>
      <c r="N6532" s="1192">
        <v>45194</v>
      </c>
      <c r="O6532" s="71" t="s">
        <v>662</v>
      </c>
      <c r="P6532" s="103" t="s">
        <v>3912</v>
      </c>
      <c r="Q6532" s="71">
        <f t="shared" si="3416"/>
        <v>900</v>
      </c>
      <c r="R6532" s="102">
        <v>4151</v>
      </c>
      <c r="S6532" s="102">
        <f t="shared" si="3403"/>
        <v>4109490.0000000005</v>
      </c>
      <c r="T6532" s="102">
        <f t="shared" si="3404"/>
        <v>3735900</v>
      </c>
      <c r="U6532" s="71" t="s">
        <v>859</v>
      </c>
      <c r="V6532" s="71"/>
      <c r="W6532" s="474">
        <v>1476000</v>
      </c>
      <c r="X6532" s="71"/>
      <c r="Y6532" s="71"/>
    </row>
    <row r="6533" spans="1:25" ht="30" hidden="1" customHeight="1" x14ac:dyDescent="0.25">
      <c r="A6533" s="1145">
        <v>45316</v>
      </c>
      <c r="B6533" s="664" t="s">
        <v>1060</v>
      </c>
      <c r="C6533" s="71" t="s">
        <v>3913</v>
      </c>
      <c r="D6533" s="71">
        <v>800</v>
      </c>
      <c r="E6533" s="102">
        <v>4210</v>
      </c>
      <c r="F6533" s="102">
        <f t="shared" si="3401"/>
        <v>3704800.0000000005</v>
      </c>
      <c r="G6533" s="102">
        <f t="shared" si="3402"/>
        <v>3368000</v>
      </c>
      <c r="H6533" s="690" t="s">
        <v>36</v>
      </c>
      <c r="I6533" s="71" t="s">
        <v>2529</v>
      </c>
      <c r="J6533" s="53">
        <f t="shared" si="3417"/>
        <v>995200</v>
      </c>
      <c r="K6533" s="63">
        <f t="shared" si="3418"/>
        <v>0.29548693586698332</v>
      </c>
      <c r="L6533" s="1212" t="s">
        <v>3999</v>
      </c>
      <c r="M6533" s="102" t="s">
        <v>3964</v>
      </c>
      <c r="N6533" s="1192">
        <v>45194</v>
      </c>
      <c r="O6533" s="71" t="s">
        <v>662</v>
      </c>
      <c r="P6533" s="103" t="s">
        <v>3913</v>
      </c>
      <c r="Q6533" s="71">
        <f t="shared" si="3416"/>
        <v>800</v>
      </c>
      <c r="R6533" s="102">
        <v>2966</v>
      </c>
      <c r="S6533" s="102">
        <f t="shared" si="3403"/>
        <v>2610080</v>
      </c>
      <c r="T6533" s="102">
        <f t="shared" si="3404"/>
        <v>2372800</v>
      </c>
      <c r="U6533" s="71" t="s">
        <v>859</v>
      </c>
      <c r="V6533" s="71"/>
      <c r="W6533" s="474">
        <v>1416000</v>
      </c>
      <c r="X6533" s="71"/>
      <c r="Y6533" s="71"/>
    </row>
    <row r="6534" spans="1:25" ht="30" hidden="1" customHeight="1" x14ac:dyDescent="0.25">
      <c r="A6534" s="1145">
        <v>45316</v>
      </c>
      <c r="B6534" s="664" t="s">
        <v>1060</v>
      </c>
      <c r="C6534" s="71" t="s">
        <v>3914</v>
      </c>
      <c r="D6534" s="71">
        <v>20</v>
      </c>
      <c r="E6534" s="102">
        <v>51040</v>
      </c>
      <c r="F6534" s="102">
        <f t="shared" si="3401"/>
        <v>1122880</v>
      </c>
      <c r="G6534" s="102">
        <f t="shared" si="3402"/>
        <v>1020800</v>
      </c>
      <c r="H6534" s="690" t="s">
        <v>36</v>
      </c>
      <c r="I6534" s="71" t="s">
        <v>2529</v>
      </c>
      <c r="J6534" s="53">
        <f t="shared" si="3417"/>
        <v>220800</v>
      </c>
      <c r="K6534" s="63">
        <f t="shared" si="3418"/>
        <v>0.21630094043887146</v>
      </c>
      <c r="L6534" s="1212" t="s">
        <v>3999</v>
      </c>
      <c r="M6534" s="468"/>
      <c r="N6534" s="1192">
        <v>45194</v>
      </c>
      <c r="O6534" s="71" t="s">
        <v>662</v>
      </c>
      <c r="P6534" s="103" t="s">
        <v>3914</v>
      </c>
      <c r="Q6534" s="71">
        <f t="shared" si="3416"/>
        <v>20</v>
      </c>
      <c r="R6534" s="102">
        <v>40000</v>
      </c>
      <c r="S6534" s="102">
        <f t="shared" si="3403"/>
        <v>880000.00000000012</v>
      </c>
      <c r="T6534" s="102">
        <f t="shared" si="3404"/>
        <v>800000</v>
      </c>
      <c r="U6534" s="71" t="s">
        <v>859</v>
      </c>
      <c r="V6534" s="71"/>
      <c r="W6534" s="474">
        <v>978750</v>
      </c>
      <c r="X6534" s="71"/>
      <c r="Y6534" s="71"/>
    </row>
    <row r="6535" spans="1:25" ht="30" hidden="1" customHeight="1" x14ac:dyDescent="0.25">
      <c r="A6535" s="1145">
        <v>45316</v>
      </c>
      <c r="B6535" s="664" t="s">
        <v>1061</v>
      </c>
      <c r="C6535" s="71" t="s">
        <v>3319</v>
      </c>
      <c r="D6535" s="71">
        <v>200</v>
      </c>
      <c r="E6535" s="102">
        <v>6328</v>
      </c>
      <c r="F6535" s="102">
        <f t="shared" si="3401"/>
        <v>1392160</v>
      </c>
      <c r="G6535" s="102">
        <f t="shared" si="3402"/>
        <v>1265600</v>
      </c>
      <c r="H6535" s="690" t="s">
        <v>36</v>
      </c>
      <c r="I6535" s="71" t="s">
        <v>3320</v>
      </c>
      <c r="J6535" s="53">
        <f t="shared" si="3417"/>
        <v>95600</v>
      </c>
      <c r="K6535" s="63">
        <f t="shared" si="3418"/>
        <v>7.5537294563843241E-2</v>
      </c>
      <c r="L6535" s="1212" t="s">
        <v>3999</v>
      </c>
      <c r="M6535" s="468"/>
      <c r="N6535" s="1192">
        <v>45194</v>
      </c>
      <c r="O6535" s="71" t="s">
        <v>146</v>
      </c>
      <c r="P6535" s="103" t="s">
        <v>3319</v>
      </c>
      <c r="Q6535" s="71">
        <f t="shared" si="3416"/>
        <v>200</v>
      </c>
      <c r="R6535" s="102">
        <v>5850</v>
      </c>
      <c r="S6535" s="102">
        <f t="shared" si="3403"/>
        <v>1287000</v>
      </c>
      <c r="T6535" s="102">
        <f t="shared" si="3404"/>
        <v>1170000</v>
      </c>
      <c r="U6535" s="71" t="s">
        <v>859</v>
      </c>
      <c r="V6535" s="71"/>
      <c r="W6535" s="474">
        <v>411200</v>
      </c>
      <c r="X6535" s="71"/>
      <c r="Y6535" s="71"/>
    </row>
    <row r="6536" spans="1:25" ht="30" hidden="1" customHeight="1" x14ac:dyDescent="0.25">
      <c r="A6536" s="1145">
        <v>45316</v>
      </c>
      <c r="B6536" s="664" t="s">
        <v>1061</v>
      </c>
      <c r="C6536" s="71" t="s">
        <v>3321</v>
      </c>
      <c r="D6536" s="71">
        <v>600</v>
      </c>
      <c r="E6536" s="102">
        <v>6780</v>
      </c>
      <c r="F6536" s="102">
        <f t="shared" si="3401"/>
        <v>4474800</v>
      </c>
      <c r="G6536" s="102">
        <f t="shared" si="3402"/>
        <v>4068000</v>
      </c>
      <c r="H6536" s="690" t="s">
        <v>36</v>
      </c>
      <c r="I6536" s="71" t="s">
        <v>3320</v>
      </c>
      <c r="J6536" s="53">
        <f t="shared" si="3417"/>
        <v>300000</v>
      </c>
      <c r="K6536" s="63">
        <f t="shared" si="3418"/>
        <v>7.3746312684365781E-2</v>
      </c>
      <c r="L6536" s="1212" t="s">
        <v>3999</v>
      </c>
      <c r="M6536" s="468"/>
      <c r="N6536" s="1192">
        <v>45194</v>
      </c>
      <c r="O6536" s="71" t="s">
        <v>146</v>
      </c>
      <c r="P6536" s="103" t="s">
        <v>3321</v>
      </c>
      <c r="Q6536" s="71">
        <f t="shared" si="3416"/>
        <v>600</v>
      </c>
      <c r="R6536" s="102">
        <v>6280</v>
      </c>
      <c r="S6536" s="102">
        <f t="shared" si="3403"/>
        <v>4144800.0000000005</v>
      </c>
      <c r="T6536" s="102">
        <f t="shared" si="3404"/>
        <v>3768000</v>
      </c>
      <c r="U6536" s="71" t="s">
        <v>859</v>
      </c>
      <c r="V6536" s="71"/>
      <c r="W6536" s="474">
        <v>292000</v>
      </c>
      <c r="X6536" s="71"/>
      <c r="Y6536" s="71"/>
    </row>
    <row r="6537" spans="1:25" ht="30" hidden="1" customHeight="1" x14ac:dyDescent="0.25">
      <c r="A6537" s="1145">
        <v>45316</v>
      </c>
      <c r="B6537" s="664" t="s">
        <v>1061</v>
      </c>
      <c r="C6537" s="71" t="s">
        <v>1289</v>
      </c>
      <c r="D6537" s="71">
        <v>800</v>
      </c>
      <c r="E6537" s="102">
        <v>6498</v>
      </c>
      <c r="F6537" s="102">
        <f t="shared" si="3401"/>
        <v>5718240</v>
      </c>
      <c r="G6537" s="102">
        <f t="shared" si="3402"/>
        <v>5198400</v>
      </c>
      <c r="H6537" s="690" t="s">
        <v>36</v>
      </c>
      <c r="I6537" s="71" t="s">
        <v>3320</v>
      </c>
      <c r="J6537" s="53">
        <f t="shared" si="3417"/>
        <v>382400</v>
      </c>
      <c r="K6537" s="63">
        <f t="shared" si="3418"/>
        <v>7.3561095721760547E-2</v>
      </c>
      <c r="L6537" s="1212" t="s">
        <v>3999</v>
      </c>
      <c r="M6537" s="468"/>
      <c r="N6537" s="1192">
        <v>45194</v>
      </c>
      <c r="O6537" s="71" t="s">
        <v>146</v>
      </c>
      <c r="P6537" s="103" t="s">
        <v>1289</v>
      </c>
      <c r="Q6537" s="71">
        <f t="shared" si="3416"/>
        <v>800</v>
      </c>
      <c r="R6537" s="102">
        <v>6020</v>
      </c>
      <c r="S6537" s="102">
        <f t="shared" si="3403"/>
        <v>5297600</v>
      </c>
      <c r="T6537" s="102">
        <f t="shared" si="3404"/>
        <v>4816000</v>
      </c>
      <c r="U6537" s="71" t="s">
        <v>859</v>
      </c>
      <c r="V6537" s="71"/>
      <c r="W6537" s="474">
        <v>640800</v>
      </c>
      <c r="X6537" s="71"/>
      <c r="Y6537" s="71"/>
    </row>
    <row r="6538" spans="1:25" ht="30" hidden="1" customHeight="1" x14ac:dyDescent="0.25">
      <c r="A6538" s="1145">
        <v>45316</v>
      </c>
      <c r="B6538" s="664" t="s">
        <v>1061</v>
      </c>
      <c r="C6538" s="71" t="s">
        <v>1290</v>
      </c>
      <c r="D6538" s="71">
        <v>400</v>
      </c>
      <c r="E6538" s="102">
        <v>7910</v>
      </c>
      <c r="F6538" s="102">
        <f t="shared" si="3401"/>
        <v>3480400.0000000005</v>
      </c>
      <c r="G6538" s="102">
        <f t="shared" si="3402"/>
        <v>3164000</v>
      </c>
      <c r="H6538" s="690" t="s">
        <v>36</v>
      </c>
      <c r="I6538" s="71" t="s">
        <v>3320</v>
      </c>
      <c r="J6538" s="53">
        <f t="shared" si="3417"/>
        <v>240000</v>
      </c>
      <c r="K6538" s="63">
        <f t="shared" si="3418"/>
        <v>7.5853350189633365E-2</v>
      </c>
      <c r="L6538" s="1212" t="s">
        <v>3999</v>
      </c>
      <c r="M6538" s="468"/>
      <c r="N6538" s="1192">
        <v>45194</v>
      </c>
      <c r="O6538" s="71" t="s">
        <v>146</v>
      </c>
      <c r="P6538" s="103" t="s">
        <v>1290</v>
      </c>
      <c r="Q6538" s="71">
        <f t="shared" si="3416"/>
        <v>400</v>
      </c>
      <c r="R6538" s="102">
        <v>7310</v>
      </c>
      <c r="S6538" s="102">
        <f t="shared" si="3403"/>
        <v>3216400.0000000005</v>
      </c>
      <c r="T6538" s="102">
        <f t="shared" si="3404"/>
        <v>2924000</v>
      </c>
      <c r="U6538" s="71" t="s">
        <v>859</v>
      </c>
      <c r="V6538" s="71"/>
      <c r="W6538" s="474">
        <v>846000</v>
      </c>
      <c r="X6538" s="71"/>
      <c r="Y6538" s="71"/>
    </row>
    <row r="6539" spans="1:25" ht="30" hidden="1" customHeight="1" x14ac:dyDescent="0.25">
      <c r="A6539" s="1145">
        <v>45316</v>
      </c>
      <c r="B6539" s="664" t="s">
        <v>1061</v>
      </c>
      <c r="C6539" s="71" t="s">
        <v>3322</v>
      </c>
      <c r="D6539" s="71"/>
      <c r="E6539" s="102">
        <v>7150</v>
      </c>
      <c r="F6539" s="102">
        <f t="shared" si="3401"/>
        <v>0</v>
      </c>
      <c r="G6539" s="102">
        <f t="shared" si="3402"/>
        <v>0</v>
      </c>
      <c r="H6539" s="690" t="s">
        <v>36</v>
      </c>
      <c r="I6539" s="71" t="s">
        <v>3320</v>
      </c>
      <c r="J6539" s="53">
        <f t="shared" si="3417"/>
        <v>0</v>
      </c>
      <c r="K6539" s="63" t="e">
        <f t="shared" si="3418"/>
        <v>#DIV/0!</v>
      </c>
      <c r="L6539" s="1212" t="s">
        <v>3999</v>
      </c>
      <c r="M6539" s="468"/>
      <c r="N6539" s="1192">
        <v>45194</v>
      </c>
      <c r="O6539" s="71" t="s">
        <v>3323</v>
      </c>
      <c r="P6539" s="103" t="s">
        <v>3322</v>
      </c>
      <c r="Q6539" s="71">
        <f t="shared" si="3416"/>
        <v>0</v>
      </c>
      <c r="R6539" s="102">
        <v>6500</v>
      </c>
      <c r="S6539" s="102">
        <f t="shared" si="3403"/>
        <v>0</v>
      </c>
      <c r="T6539" s="102">
        <f t="shared" si="3404"/>
        <v>0</v>
      </c>
      <c r="U6539" s="71" t="s">
        <v>859</v>
      </c>
      <c r="V6539" s="71"/>
      <c r="W6539" s="474">
        <v>0</v>
      </c>
      <c r="X6539" s="71"/>
      <c r="Y6539" s="71"/>
    </row>
    <row r="6540" spans="1:25" ht="30" hidden="1" customHeight="1" x14ac:dyDescent="0.25">
      <c r="A6540" s="1145">
        <v>45316</v>
      </c>
      <c r="B6540" s="664" t="s">
        <v>1061</v>
      </c>
      <c r="C6540" s="71" t="s">
        <v>3324</v>
      </c>
      <c r="D6540" s="71"/>
      <c r="E6540" s="102">
        <v>6900</v>
      </c>
      <c r="F6540" s="102">
        <f t="shared" si="3401"/>
        <v>0</v>
      </c>
      <c r="G6540" s="102">
        <f t="shared" si="3402"/>
        <v>0</v>
      </c>
      <c r="H6540" s="690" t="s">
        <v>36</v>
      </c>
      <c r="I6540" s="71" t="s">
        <v>3320</v>
      </c>
      <c r="J6540" s="53">
        <f t="shared" si="3417"/>
        <v>0</v>
      </c>
      <c r="K6540" s="63" t="e">
        <f t="shared" si="3418"/>
        <v>#DIV/0!</v>
      </c>
      <c r="L6540" s="1212" t="s">
        <v>3999</v>
      </c>
      <c r="M6540" s="468"/>
      <c r="N6540" s="1192">
        <v>45194</v>
      </c>
      <c r="O6540" s="71" t="s">
        <v>3323</v>
      </c>
      <c r="P6540" s="103" t="s">
        <v>3324</v>
      </c>
      <c r="Q6540" s="71">
        <f t="shared" si="3416"/>
        <v>0</v>
      </c>
      <c r="R6540" s="102">
        <v>6200</v>
      </c>
      <c r="S6540" s="102">
        <f t="shared" si="3403"/>
        <v>0</v>
      </c>
      <c r="T6540" s="102">
        <f t="shared" si="3404"/>
        <v>0</v>
      </c>
      <c r="U6540" s="71" t="s">
        <v>859</v>
      </c>
      <c r="V6540" s="71"/>
      <c r="W6540" s="474">
        <v>0</v>
      </c>
      <c r="X6540" s="71"/>
      <c r="Y6540" s="71"/>
    </row>
    <row r="6541" spans="1:25" ht="28.5" hidden="1" customHeight="1" x14ac:dyDescent="0.25">
      <c r="A6541" s="1145">
        <v>45316</v>
      </c>
      <c r="B6541" s="664" t="s">
        <v>1061</v>
      </c>
      <c r="C6541" s="71" t="s">
        <v>3325</v>
      </c>
      <c r="D6541" s="71"/>
      <c r="E6541" s="102">
        <v>7500</v>
      </c>
      <c r="F6541" s="102">
        <f t="shared" si="3401"/>
        <v>0</v>
      </c>
      <c r="G6541" s="102">
        <f t="shared" si="3402"/>
        <v>0</v>
      </c>
      <c r="H6541" s="690" t="s">
        <v>36</v>
      </c>
      <c r="I6541" s="71" t="s">
        <v>3320</v>
      </c>
      <c r="J6541" s="53">
        <f t="shared" si="3417"/>
        <v>0</v>
      </c>
      <c r="K6541" s="63" t="e">
        <f t="shared" si="3418"/>
        <v>#DIV/0!</v>
      </c>
      <c r="L6541" s="1212" t="s">
        <v>3999</v>
      </c>
      <c r="M6541" s="468"/>
      <c r="N6541" s="1192">
        <v>45194</v>
      </c>
      <c r="O6541" s="71" t="s">
        <v>3323</v>
      </c>
      <c r="P6541" s="103" t="s">
        <v>3325</v>
      </c>
      <c r="Q6541" s="71">
        <f t="shared" si="3416"/>
        <v>0</v>
      </c>
      <c r="R6541" s="102">
        <v>6600</v>
      </c>
      <c r="S6541" s="102">
        <f t="shared" si="3403"/>
        <v>0</v>
      </c>
      <c r="T6541" s="102">
        <f t="shared" si="3404"/>
        <v>0</v>
      </c>
      <c r="U6541" s="71" t="s">
        <v>859</v>
      </c>
      <c r="V6541" s="71"/>
      <c r="W6541" s="474">
        <v>0</v>
      </c>
      <c r="X6541" s="71"/>
      <c r="Y6541" s="71"/>
    </row>
    <row r="6542" spans="1:25" ht="30" hidden="1" customHeight="1" x14ac:dyDescent="0.25">
      <c r="A6542" s="1145">
        <v>45316</v>
      </c>
      <c r="B6542" s="664" t="s">
        <v>1061</v>
      </c>
      <c r="C6542" s="71" t="s">
        <v>3326</v>
      </c>
      <c r="D6542" s="71"/>
      <c r="E6542" s="102">
        <v>6450</v>
      </c>
      <c r="F6542" s="102">
        <f t="shared" si="3401"/>
        <v>0</v>
      </c>
      <c r="G6542" s="102">
        <f t="shared" si="3402"/>
        <v>0</v>
      </c>
      <c r="H6542" s="690" t="s">
        <v>36</v>
      </c>
      <c r="I6542" s="71" t="s">
        <v>3320</v>
      </c>
      <c r="J6542" s="53">
        <f t="shared" si="3417"/>
        <v>0</v>
      </c>
      <c r="K6542" s="63" t="e">
        <f t="shared" si="3418"/>
        <v>#DIV/0!</v>
      </c>
      <c r="L6542" s="1212" t="s">
        <v>3999</v>
      </c>
      <c r="M6542" s="468"/>
      <c r="N6542" s="1192">
        <v>45194</v>
      </c>
      <c r="O6542" s="71" t="s">
        <v>3323</v>
      </c>
      <c r="P6542" s="103" t="s">
        <v>3326</v>
      </c>
      <c r="Q6542" s="71">
        <f t="shared" si="3416"/>
        <v>0</v>
      </c>
      <c r="R6542" s="102">
        <v>5700</v>
      </c>
      <c r="S6542" s="102">
        <f t="shared" si="3403"/>
        <v>0</v>
      </c>
      <c r="T6542" s="102">
        <f t="shared" si="3404"/>
        <v>0</v>
      </c>
      <c r="U6542" s="71" t="s">
        <v>859</v>
      </c>
      <c r="V6542" s="71"/>
      <c r="W6542" s="474">
        <v>0</v>
      </c>
      <c r="X6542" s="71"/>
      <c r="Y6542" s="71"/>
    </row>
    <row r="6543" spans="1:25" ht="30" hidden="1" customHeight="1" x14ac:dyDescent="0.25">
      <c r="A6543" s="1145">
        <v>45316</v>
      </c>
      <c r="B6543" s="664" t="s">
        <v>1061</v>
      </c>
      <c r="C6543" s="71" t="s">
        <v>3963</v>
      </c>
      <c r="D6543" s="71"/>
      <c r="E6543" s="102">
        <v>22400</v>
      </c>
      <c r="F6543" s="102">
        <f t="shared" si="3401"/>
        <v>0</v>
      </c>
      <c r="G6543" s="102">
        <f t="shared" si="3402"/>
        <v>0</v>
      </c>
      <c r="H6543" s="690" t="s">
        <v>36</v>
      </c>
      <c r="I6543" s="71" t="s">
        <v>3320</v>
      </c>
      <c r="J6543" s="53">
        <f t="shared" si="3417"/>
        <v>0</v>
      </c>
      <c r="K6543" s="63" t="e">
        <f t="shared" si="3418"/>
        <v>#DIV/0!</v>
      </c>
      <c r="L6543" s="1212" t="s">
        <v>3999</v>
      </c>
      <c r="M6543" s="468"/>
      <c r="N6543" s="1192">
        <v>45286</v>
      </c>
      <c r="O6543" s="71" t="s">
        <v>146</v>
      </c>
      <c r="P6543" s="103" t="s">
        <v>3963</v>
      </c>
      <c r="Q6543" s="71">
        <f t="shared" si="3416"/>
        <v>0</v>
      </c>
      <c r="R6543" s="102">
        <v>22400</v>
      </c>
      <c r="S6543" s="102">
        <f t="shared" si="3403"/>
        <v>0</v>
      </c>
      <c r="T6543" s="102">
        <f t="shared" si="3404"/>
        <v>0</v>
      </c>
      <c r="U6543" s="71"/>
      <c r="V6543" s="71"/>
      <c r="W6543" s="474"/>
      <c r="X6543" s="71"/>
      <c r="Y6543" s="71"/>
    </row>
    <row r="6544" spans="1:25" ht="30" hidden="1" customHeight="1" x14ac:dyDescent="0.25">
      <c r="A6544" s="1145">
        <v>45316</v>
      </c>
      <c r="B6544" s="664" t="s">
        <v>1061</v>
      </c>
      <c r="C6544" s="71" t="s">
        <v>3915</v>
      </c>
      <c r="D6544" s="71">
        <v>100</v>
      </c>
      <c r="E6544" s="102">
        <v>9500</v>
      </c>
      <c r="F6544" s="102">
        <f t="shared" si="3401"/>
        <v>1045000.0000000001</v>
      </c>
      <c r="G6544" s="102">
        <f t="shared" si="3402"/>
        <v>950000</v>
      </c>
      <c r="H6544" s="690" t="s">
        <v>36</v>
      </c>
      <c r="I6544" s="71" t="s">
        <v>3320</v>
      </c>
      <c r="J6544" s="53">
        <f t="shared" si="3417"/>
        <v>50000</v>
      </c>
      <c r="K6544" s="63">
        <f t="shared" si="3418"/>
        <v>5.2631578947368411E-2</v>
      </c>
      <c r="L6544" s="1212" t="s">
        <v>3999</v>
      </c>
      <c r="M6544" s="468"/>
      <c r="N6544" s="1192">
        <v>45194</v>
      </c>
      <c r="O6544" s="71" t="s">
        <v>3323</v>
      </c>
      <c r="P6544" s="103" t="s">
        <v>3915</v>
      </c>
      <c r="Q6544" s="71">
        <f t="shared" si="3416"/>
        <v>100</v>
      </c>
      <c r="R6544" s="102">
        <v>9000</v>
      </c>
      <c r="S6544" s="102">
        <f t="shared" si="3403"/>
        <v>990000.00000000012</v>
      </c>
      <c r="T6544" s="102">
        <f t="shared" si="3404"/>
        <v>900000</v>
      </c>
      <c r="U6544" s="71"/>
      <c r="V6544" s="71"/>
      <c r="W6544" s="474"/>
      <c r="X6544" s="71"/>
      <c r="Y6544" s="71"/>
    </row>
    <row r="6545" spans="1:25" ht="30" hidden="1" customHeight="1" x14ac:dyDescent="0.25">
      <c r="A6545" s="1145">
        <v>45316</v>
      </c>
      <c r="B6545" s="664" t="s">
        <v>3307</v>
      </c>
      <c r="C6545" s="71" t="s">
        <v>3916</v>
      </c>
      <c r="D6545" s="71">
        <v>8</v>
      </c>
      <c r="E6545" s="102">
        <v>218000</v>
      </c>
      <c r="F6545" s="102">
        <f t="shared" si="3401"/>
        <v>1918400.0000000002</v>
      </c>
      <c r="G6545" s="102">
        <f t="shared" si="3402"/>
        <v>1744000</v>
      </c>
      <c r="H6545" s="690" t="s">
        <v>172</v>
      </c>
      <c r="I6545" s="71" t="s">
        <v>33</v>
      </c>
      <c r="J6545" s="53">
        <v>824000</v>
      </c>
      <c r="K6545" s="63">
        <v>0.23623853211009171</v>
      </c>
      <c r="L6545" s="1212" t="s">
        <v>3999</v>
      </c>
      <c r="M6545" s="468" t="s">
        <v>3965</v>
      </c>
      <c r="N6545" s="1192">
        <v>45194</v>
      </c>
      <c r="O6545" s="71" t="s">
        <v>662</v>
      </c>
      <c r="P6545" s="103" t="s">
        <v>3916</v>
      </c>
      <c r="Q6545" s="71">
        <v>16</v>
      </c>
      <c r="R6545" s="102">
        <v>166500</v>
      </c>
      <c r="S6545" s="102">
        <f t="shared" si="3403"/>
        <v>2930400.0000000005</v>
      </c>
      <c r="T6545" s="102">
        <f t="shared" si="3404"/>
        <v>2664000</v>
      </c>
      <c r="U6545" s="71" t="s">
        <v>859</v>
      </c>
      <c r="V6545" s="71" t="s">
        <v>728</v>
      </c>
      <c r="W6545" s="474">
        <v>464000</v>
      </c>
      <c r="X6545" s="71"/>
      <c r="Y6545" s="71"/>
    </row>
    <row r="6546" spans="1:25" ht="30" hidden="1" customHeight="1" x14ac:dyDescent="0.25">
      <c r="A6546" s="1145">
        <v>45316</v>
      </c>
      <c r="B6546" s="664" t="s">
        <v>3307</v>
      </c>
      <c r="C6546" s="71" t="s">
        <v>4002</v>
      </c>
      <c r="D6546" s="71">
        <v>1</v>
      </c>
      <c r="E6546" s="102">
        <v>2350000</v>
      </c>
      <c r="F6546" s="102">
        <f t="shared" si="3401"/>
        <v>2585000</v>
      </c>
      <c r="G6546" s="102">
        <f t="shared" si="3402"/>
        <v>2350000</v>
      </c>
      <c r="H6546" s="690" t="s">
        <v>36</v>
      </c>
      <c r="I6546" s="690" t="s">
        <v>36</v>
      </c>
      <c r="J6546" s="53">
        <f t="shared" ref="J6546" si="3419">G6546-T6546</f>
        <v>600000</v>
      </c>
      <c r="K6546" s="63">
        <f t="shared" ref="K6546" si="3420">(J6546/(F6546/11*10))</f>
        <v>0.25531914893617019</v>
      </c>
      <c r="L6546" s="1212" t="s">
        <v>3999</v>
      </c>
      <c r="M6546" s="468"/>
      <c r="N6546" s="1192">
        <v>45194</v>
      </c>
      <c r="O6546" s="71" t="s">
        <v>3298</v>
      </c>
      <c r="P6546" s="103" t="s">
        <v>3917</v>
      </c>
      <c r="Q6546" s="71">
        <f t="shared" si="3416"/>
        <v>1</v>
      </c>
      <c r="R6546" s="147">
        <v>1750000</v>
      </c>
      <c r="S6546" s="102">
        <f t="shared" si="3403"/>
        <v>1925000.0000000002</v>
      </c>
      <c r="T6546" s="102">
        <f t="shared" si="3404"/>
        <v>1750000</v>
      </c>
      <c r="U6546" s="71"/>
      <c r="V6546" s="71"/>
      <c r="W6546" s="474"/>
      <c r="X6546" s="71"/>
      <c r="Y6546" s="71"/>
    </row>
    <row r="6547" spans="1:25" ht="30" hidden="1" customHeight="1" x14ac:dyDescent="0.25">
      <c r="A6547" s="1145">
        <v>45294</v>
      </c>
      <c r="B6547" s="664" t="s">
        <v>2261</v>
      </c>
      <c r="C6547" s="760" t="s">
        <v>181</v>
      </c>
      <c r="D6547" s="71">
        <v>10</v>
      </c>
      <c r="E6547" s="102">
        <v>193000</v>
      </c>
      <c r="F6547" s="102">
        <f t="shared" si="3401"/>
        <v>2123000</v>
      </c>
      <c r="G6547" s="102">
        <f t="shared" si="3402"/>
        <v>1930000</v>
      </c>
      <c r="H6547" s="690" t="s">
        <v>2029</v>
      </c>
      <c r="I6547" s="71" t="s">
        <v>182</v>
      </c>
      <c r="J6547" s="53">
        <f t="shared" ref="J6547:J6589" si="3421">G6547-T6547</f>
        <v>690000</v>
      </c>
      <c r="K6547" s="63">
        <f t="shared" ref="K6547:K6549" si="3422">(J6547/(F6547/11*10))</f>
        <v>0.35751295336787564</v>
      </c>
      <c r="L6547" s="1212" t="s">
        <v>3999</v>
      </c>
      <c r="M6547" s="468"/>
      <c r="N6547" s="1192">
        <f t="shared" ref="N6547:N6549" si="3423">A6547</f>
        <v>45294</v>
      </c>
      <c r="O6547" s="71" t="s">
        <v>2030</v>
      </c>
      <c r="P6547" s="103" t="str">
        <f t="shared" ref="P6547:P6549" si="3424">(C6547)</f>
        <v>Fount Web 551AF</v>
      </c>
      <c r="Q6547" s="71">
        <f t="shared" ref="Q6547:Q6549" si="3425">D6547</f>
        <v>10</v>
      </c>
      <c r="R6547" s="102">
        <v>124000</v>
      </c>
      <c r="S6547" s="102">
        <f t="shared" si="3403"/>
        <v>1364000</v>
      </c>
      <c r="T6547" s="102">
        <f t="shared" si="3404"/>
        <v>1240000</v>
      </c>
      <c r="U6547" s="71" t="str">
        <f>IF(J6547=W6547,"O", "X")</f>
        <v>X</v>
      </c>
      <c r="V6547" s="71"/>
      <c r="W6547" s="474">
        <v>640000</v>
      </c>
      <c r="X6547" s="71"/>
      <c r="Y6547" s="71"/>
    </row>
    <row r="6548" spans="1:25" ht="30" hidden="1" customHeight="1" x14ac:dyDescent="0.25">
      <c r="A6548" s="1145">
        <v>45294</v>
      </c>
      <c r="B6548" s="664" t="s">
        <v>2261</v>
      </c>
      <c r="C6548" s="71" t="s">
        <v>277</v>
      </c>
      <c r="D6548" s="71">
        <v>10</v>
      </c>
      <c r="E6548" s="102">
        <v>172000</v>
      </c>
      <c r="F6548" s="102">
        <f t="shared" si="3401"/>
        <v>1892000.0000000002</v>
      </c>
      <c r="G6548" s="102">
        <f t="shared" si="3402"/>
        <v>1720000</v>
      </c>
      <c r="H6548" s="690" t="s">
        <v>172</v>
      </c>
      <c r="I6548" s="71" t="s">
        <v>108</v>
      </c>
      <c r="J6548" s="53">
        <f t="shared" si="3421"/>
        <v>390000</v>
      </c>
      <c r="K6548" s="63">
        <f t="shared" si="3422"/>
        <v>0.22674418604651159</v>
      </c>
      <c r="L6548" s="1212" t="s">
        <v>3999</v>
      </c>
      <c r="M6548" s="468"/>
      <c r="N6548" s="1192">
        <f t="shared" si="3423"/>
        <v>45294</v>
      </c>
      <c r="O6548" s="71" t="s">
        <v>662</v>
      </c>
      <c r="P6548" s="103" t="str">
        <f t="shared" si="3424"/>
        <v>윤전용 세척제(Web 504)</v>
      </c>
      <c r="Q6548" s="71">
        <f t="shared" si="3425"/>
        <v>10</v>
      </c>
      <c r="R6548" s="102">
        <v>133000</v>
      </c>
      <c r="S6548" s="102">
        <f t="shared" si="3403"/>
        <v>1463000.0000000002</v>
      </c>
      <c r="T6548" s="102">
        <f t="shared" si="3404"/>
        <v>1330000</v>
      </c>
      <c r="U6548" s="71" t="str">
        <f>IF(J6548=W6548,"O", "X")</f>
        <v>X</v>
      </c>
      <c r="V6548" s="71"/>
      <c r="W6548" s="474"/>
      <c r="X6548" s="71"/>
      <c r="Y6548" s="71"/>
    </row>
    <row r="6549" spans="1:25" ht="30" hidden="1" customHeight="1" x14ac:dyDescent="0.25">
      <c r="A6549" s="1145">
        <v>45296</v>
      </c>
      <c r="B6549" s="664" t="s">
        <v>2261</v>
      </c>
      <c r="C6549" s="71" t="s">
        <v>3299</v>
      </c>
      <c r="D6549" s="71">
        <v>10</v>
      </c>
      <c r="E6549" s="102">
        <v>52000</v>
      </c>
      <c r="F6549" s="102">
        <f t="shared" si="3401"/>
        <v>572000</v>
      </c>
      <c r="G6549" s="102">
        <f t="shared" si="3402"/>
        <v>520000</v>
      </c>
      <c r="H6549" s="690" t="s">
        <v>172</v>
      </c>
      <c r="I6549" s="71" t="s">
        <v>180</v>
      </c>
      <c r="J6549" s="53">
        <f t="shared" si="3421"/>
        <v>45000</v>
      </c>
      <c r="K6549" s="63">
        <f t="shared" si="3422"/>
        <v>8.6538461538461536E-2</v>
      </c>
      <c r="L6549" s="1212" t="s">
        <v>3999</v>
      </c>
      <c r="M6549" s="468" t="s">
        <v>3835</v>
      </c>
      <c r="N6549" s="1192">
        <f t="shared" si="3423"/>
        <v>45296</v>
      </c>
      <c r="O6549" s="71" t="s">
        <v>175</v>
      </c>
      <c r="P6549" s="103" t="str">
        <f t="shared" si="3424"/>
        <v>매엽용 세척제(Wash k11)</v>
      </c>
      <c r="Q6549" s="71">
        <f t="shared" si="3425"/>
        <v>10</v>
      </c>
      <c r="R6549" s="102">
        <v>47500</v>
      </c>
      <c r="S6549" s="102">
        <f t="shared" si="3403"/>
        <v>522500.00000000006</v>
      </c>
      <c r="T6549" s="102">
        <f t="shared" si="3404"/>
        <v>475000</v>
      </c>
      <c r="U6549" s="71" t="s">
        <v>859</v>
      </c>
      <c r="V6549" s="71"/>
      <c r="W6549" s="474"/>
      <c r="X6549" s="71"/>
      <c r="Y6549" s="71"/>
    </row>
    <row r="6550" spans="1:25" ht="30" hidden="1" customHeight="1" x14ac:dyDescent="0.25">
      <c r="A6550" s="1145">
        <v>45303</v>
      </c>
      <c r="B6550" s="664" t="s">
        <v>2261</v>
      </c>
      <c r="C6550" s="760" t="s">
        <v>181</v>
      </c>
      <c r="D6550" s="71">
        <v>10</v>
      </c>
      <c r="E6550" s="102">
        <v>193000</v>
      </c>
      <c r="F6550" s="102">
        <f t="shared" si="3401"/>
        <v>2123000</v>
      </c>
      <c r="G6550" s="102">
        <f t="shared" si="3402"/>
        <v>1930000</v>
      </c>
      <c r="H6550" s="690" t="s">
        <v>2029</v>
      </c>
      <c r="I6550" s="71" t="s">
        <v>182</v>
      </c>
      <c r="J6550" s="53">
        <f t="shared" si="3421"/>
        <v>690000</v>
      </c>
      <c r="K6550" s="63">
        <f t="shared" ref="K6550:K6554" si="3426">(J6550/(F6550/11*10))</f>
        <v>0.35751295336787564</v>
      </c>
      <c r="L6550" s="1212" t="s">
        <v>3999</v>
      </c>
      <c r="M6550" s="468"/>
      <c r="N6550" s="1192">
        <f t="shared" ref="N6550:N6556" si="3427">A6550</f>
        <v>45303</v>
      </c>
      <c r="O6550" s="71" t="s">
        <v>2030</v>
      </c>
      <c r="P6550" s="103" t="str">
        <f t="shared" ref="P6550:P6555" si="3428">(C6550)</f>
        <v>Fount Web 551AF</v>
      </c>
      <c r="Q6550" s="71">
        <f t="shared" ref="Q6550:Q6555" si="3429">D6550</f>
        <v>10</v>
      </c>
      <c r="R6550" s="102">
        <v>124000</v>
      </c>
      <c r="S6550" s="102">
        <f t="shared" si="3403"/>
        <v>1364000</v>
      </c>
      <c r="T6550" s="102">
        <f t="shared" si="3404"/>
        <v>1240000</v>
      </c>
      <c r="U6550" s="71" t="str">
        <f>IF(J6550=W6550,"O", "X")</f>
        <v>X</v>
      </c>
      <c r="V6550" s="71"/>
      <c r="W6550" s="474">
        <v>640000</v>
      </c>
      <c r="X6550" s="71"/>
      <c r="Y6550" s="71"/>
    </row>
    <row r="6551" spans="1:25" s="209" customFormat="1" ht="31.5" hidden="1" customHeight="1" x14ac:dyDescent="0.2">
      <c r="A6551" s="1145">
        <v>45307</v>
      </c>
      <c r="B6551" s="664" t="s">
        <v>3289</v>
      </c>
      <c r="C6551" s="71" t="s">
        <v>3387</v>
      </c>
      <c r="D6551" s="71">
        <v>10</v>
      </c>
      <c r="E6551" s="102">
        <v>130000</v>
      </c>
      <c r="F6551" s="102">
        <f t="shared" si="3401"/>
        <v>1430000</v>
      </c>
      <c r="G6551" s="102">
        <f t="shared" si="3402"/>
        <v>1300000</v>
      </c>
      <c r="H6551" s="165" t="s">
        <v>172</v>
      </c>
      <c r="I6551" s="71" t="s">
        <v>184</v>
      </c>
      <c r="J6551" s="53">
        <f t="shared" si="3421"/>
        <v>180000</v>
      </c>
      <c r="K6551" s="63">
        <f t="shared" si="3426"/>
        <v>0.13846153846153847</v>
      </c>
      <c r="L6551" s="1212" t="s">
        <v>3999</v>
      </c>
      <c r="M6551" s="468" t="s">
        <v>3835</v>
      </c>
      <c r="N6551" s="1192">
        <f t="shared" si="3427"/>
        <v>45307</v>
      </c>
      <c r="O6551" s="71" t="s">
        <v>189</v>
      </c>
      <c r="P6551" s="103" t="str">
        <f t="shared" si="3428"/>
        <v>Blanket(990*725)</v>
      </c>
      <c r="Q6551" s="71">
        <f t="shared" si="3429"/>
        <v>10</v>
      </c>
      <c r="R6551" s="102">
        <v>112000</v>
      </c>
      <c r="S6551" s="102">
        <f t="shared" si="3403"/>
        <v>1232000</v>
      </c>
      <c r="T6551" s="102">
        <f t="shared" si="3404"/>
        <v>1120000</v>
      </c>
      <c r="U6551" s="71" t="str">
        <f>IF(J6551=W6551,"O", "X")</f>
        <v>X</v>
      </c>
      <c r="V6551" s="71"/>
      <c r="W6551" s="474">
        <v>80000</v>
      </c>
      <c r="X6551" s="71"/>
      <c r="Y6551" s="71"/>
    </row>
    <row r="6552" spans="1:25" ht="30" hidden="1" customHeight="1" x14ac:dyDescent="0.25">
      <c r="A6552" s="1145">
        <v>45313</v>
      </c>
      <c r="B6552" s="664" t="s">
        <v>2261</v>
      </c>
      <c r="C6552" s="760" t="s">
        <v>181</v>
      </c>
      <c r="D6552" s="71">
        <v>5</v>
      </c>
      <c r="E6552" s="102">
        <v>193000</v>
      </c>
      <c r="F6552" s="102">
        <f t="shared" si="3401"/>
        <v>1061500</v>
      </c>
      <c r="G6552" s="102">
        <f t="shared" si="3402"/>
        <v>965000</v>
      </c>
      <c r="H6552" s="690" t="s">
        <v>2029</v>
      </c>
      <c r="I6552" s="71" t="s">
        <v>182</v>
      </c>
      <c r="J6552" s="53">
        <f t="shared" si="3421"/>
        <v>345000</v>
      </c>
      <c r="K6552" s="63">
        <f t="shared" si="3426"/>
        <v>0.35751295336787564</v>
      </c>
      <c r="L6552" s="1212" t="s">
        <v>3999</v>
      </c>
      <c r="M6552" s="468"/>
      <c r="N6552" s="1192">
        <f t="shared" si="3427"/>
        <v>45313</v>
      </c>
      <c r="O6552" s="71" t="s">
        <v>2030</v>
      </c>
      <c r="P6552" s="103" t="str">
        <f t="shared" si="3428"/>
        <v>Fount Web 551AF</v>
      </c>
      <c r="Q6552" s="71">
        <f t="shared" si="3429"/>
        <v>5</v>
      </c>
      <c r="R6552" s="102">
        <v>124000</v>
      </c>
      <c r="S6552" s="102">
        <f t="shared" si="3403"/>
        <v>682000</v>
      </c>
      <c r="T6552" s="102">
        <f t="shared" si="3404"/>
        <v>620000</v>
      </c>
      <c r="U6552" s="71" t="str">
        <f>IF(J6552=W6552,"O", "X")</f>
        <v>X</v>
      </c>
      <c r="V6552" s="71"/>
      <c r="W6552" s="474">
        <v>640000</v>
      </c>
      <c r="X6552" s="71"/>
      <c r="Y6552" s="71"/>
    </row>
    <row r="6553" spans="1:25" ht="30" hidden="1" customHeight="1" x14ac:dyDescent="0.25">
      <c r="A6553" s="1145">
        <v>45313</v>
      </c>
      <c r="B6553" s="664" t="s">
        <v>2261</v>
      </c>
      <c r="C6553" s="71" t="s">
        <v>277</v>
      </c>
      <c r="D6553" s="71">
        <v>10</v>
      </c>
      <c r="E6553" s="102">
        <v>172000</v>
      </c>
      <c r="F6553" s="102">
        <f t="shared" si="3401"/>
        <v>1892000.0000000002</v>
      </c>
      <c r="G6553" s="102">
        <f t="shared" si="3402"/>
        <v>1720000</v>
      </c>
      <c r="H6553" s="690" t="s">
        <v>172</v>
      </c>
      <c r="I6553" s="71" t="s">
        <v>108</v>
      </c>
      <c r="J6553" s="53">
        <f t="shared" si="3421"/>
        <v>390000</v>
      </c>
      <c r="K6553" s="63">
        <f t="shared" si="3426"/>
        <v>0.22674418604651159</v>
      </c>
      <c r="L6553" s="1212" t="s">
        <v>3999</v>
      </c>
      <c r="M6553" s="468"/>
      <c r="N6553" s="1192">
        <f t="shared" si="3427"/>
        <v>45313</v>
      </c>
      <c r="O6553" s="71" t="s">
        <v>662</v>
      </c>
      <c r="P6553" s="103" t="str">
        <f t="shared" si="3428"/>
        <v>윤전용 세척제(Web 504)</v>
      </c>
      <c r="Q6553" s="71">
        <f t="shared" si="3429"/>
        <v>10</v>
      </c>
      <c r="R6553" s="102">
        <v>133000</v>
      </c>
      <c r="S6553" s="102">
        <f t="shared" si="3403"/>
        <v>1463000.0000000002</v>
      </c>
      <c r="T6553" s="102">
        <f t="shared" si="3404"/>
        <v>1330000</v>
      </c>
      <c r="U6553" s="71" t="str">
        <f>IF(J6553=W6553,"O", "X")</f>
        <v>X</v>
      </c>
      <c r="V6553" s="71"/>
      <c r="W6553" s="474"/>
      <c r="X6553" s="71"/>
      <c r="Y6553" s="71"/>
    </row>
    <row r="6554" spans="1:25" ht="30" hidden="1" customHeight="1" x14ac:dyDescent="0.25">
      <c r="A6554" s="1145">
        <v>45313</v>
      </c>
      <c r="B6554" s="664" t="s">
        <v>2261</v>
      </c>
      <c r="C6554" s="71" t="s">
        <v>3299</v>
      </c>
      <c r="D6554" s="71">
        <v>10</v>
      </c>
      <c r="E6554" s="102">
        <v>52000</v>
      </c>
      <c r="F6554" s="102">
        <f t="shared" si="3401"/>
        <v>572000</v>
      </c>
      <c r="G6554" s="102">
        <f t="shared" si="3402"/>
        <v>520000</v>
      </c>
      <c r="H6554" s="690" t="s">
        <v>172</v>
      </c>
      <c r="I6554" s="71" t="s">
        <v>180</v>
      </c>
      <c r="J6554" s="53">
        <f t="shared" si="3421"/>
        <v>45000</v>
      </c>
      <c r="K6554" s="63">
        <f t="shared" si="3426"/>
        <v>8.6538461538461536E-2</v>
      </c>
      <c r="L6554" s="1212" t="s">
        <v>3999</v>
      </c>
      <c r="M6554" s="468" t="s">
        <v>3835</v>
      </c>
      <c r="N6554" s="1192">
        <f t="shared" si="3427"/>
        <v>45313</v>
      </c>
      <c r="O6554" s="71" t="s">
        <v>175</v>
      </c>
      <c r="P6554" s="103" t="str">
        <f t="shared" si="3428"/>
        <v>매엽용 세척제(Wash k11)</v>
      </c>
      <c r="Q6554" s="71">
        <f t="shared" si="3429"/>
        <v>10</v>
      </c>
      <c r="R6554" s="102">
        <v>47500</v>
      </c>
      <c r="S6554" s="102">
        <f t="shared" si="3403"/>
        <v>522500.00000000006</v>
      </c>
      <c r="T6554" s="102">
        <f t="shared" si="3404"/>
        <v>475000</v>
      </c>
      <c r="U6554" s="71" t="s">
        <v>859</v>
      </c>
      <c r="V6554" s="71"/>
      <c r="W6554" s="474"/>
      <c r="X6554" s="71"/>
      <c r="Y6554" s="71"/>
    </row>
    <row r="6555" spans="1:25" ht="30" hidden="1" customHeight="1" x14ac:dyDescent="0.25">
      <c r="A6555" s="1145">
        <v>45294</v>
      </c>
      <c r="B6555" s="664" t="s">
        <v>18</v>
      </c>
      <c r="C6555" s="71" t="s">
        <v>2070</v>
      </c>
      <c r="D6555" s="71">
        <v>10</v>
      </c>
      <c r="E6555" s="102">
        <v>115000</v>
      </c>
      <c r="F6555" s="102">
        <f t="shared" si="3401"/>
        <v>1265000</v>
      </c>
      <c r="G6555" s="102">
        <f t="shared" si="3402"/>
        <v>1150000</v>
      </c>
      <c r="H6555" s="690" t="s">
        <v>172</v>
      </c>
      <c r="I6555" s="71" t="s">
        <v>33</v>
      </c>
      <c r="J6555" s="53">
        <f t="shared" si="3421"/>
        <v>168000</v>
      </c>
      <c r="K6555" s="63">
        <v>0.10555555555555554</v>
      </c>
      <c r="L6555" s="1212" t="s">
        <v>3999</v>
      </c>
      <c r="M6555" s="468"/>
      <c r="N6555" s="1192">
        <f t="shared" si="3427"/>
        <v>45294</v>
      </c>
      <c r="O6555" s="71" t="s">
        <v>146</v>
      </c>
      <c r="P6555" s="103" t="str">
        <f t="shared" si="3428"/>
        <v>Blanket(1050*840)</v>
      </c>
      <c r="Q6555" s="71">
        <f t="shared" si="3429"/>
        <v>10</v>
      </c>
      <c r="R6555" s="102">
        <v>98200</v>
      </c>
      <c r="S6555" s="102">
        <f t="shared" si="3403"/>
        <v>1080200</v>
      </c>
      <c r="T6555" s="102">
        <f t="shared" si="3404"/>
        <v>982000</v>
      </c>
      <c r="U6555" s="71" t="s">
        <v>859</v>
      </c>
      <c r="V6555" s="71"/>
      <c r="W6555" s="474"/>
      <c r="X6555" s="71"/>
      <c r="Y6555" s="71"/>
    </row>
    <row r="6556" spans="1:25" ht="30" hidden="1" customHeight="1" x14ac:dyDescent="0.25">
      <c r="A6556" s="1145">
        <v>45294</v>
      </c>
      <c r="B6556" s="664" t="s">
        <v>548</v>
      </c>
      <c r="C6556" s="71" t="s">
        <v>236</v>
      </c>
      <c r="D6556" s="71">
        <v>4</v>
      </c>
      <c r="E6556" s="102">
        <v>100000</v>
      </c>
      <c r="F6556" s="102">
        <f t="shared" si="3401"/>
        <v>440000.00000000006</v>
      </c>
      <c r="G6556" s="102">
        <f t="shared" si="3402"/>
        <v>400000</v>
      </c>
      <c r="H6556" s="690" t="s">
        <v>173</v>
      </c>
      <c r="I6556" s="71" t="s">
        <v>2231</v>
      </c>
      <c r="J6556" s="53">
        <f t="shared" si="3421"/>
        <v>160000</v>
      </c>
      <c r="K6556" s="63">
        <f t="shared" ref="K6556" si="3430">(J6556/(F6556/11*10))</f>
        <v>0.39999999999999997</v>
      </c>
      <c r="L6556" s="1212" t="s">
        <v>3999</v>
      </c>
      <c r="M6556" s="468"/>
      <c r="N6556" s="1192">
        <f t="shared" si="3427"/>
        <v>45294</v>
      </c>
      <c r="O6556" s="71" t="s">
        <v>3021</v>
      </c>
      <c r="P6556" s="164" t="str">
        <f>(C6556)</f>
        <v>아스테이지(국전)</v>
      </c>
      <c r="Q6556" s="71">
        <f>D6556</f>
        <v>4</v>
      </c>
      <c r="R6556" s="102">
        <v>60000</v>
      </c>
      <c r="S6556" s="102">
        <f t="shared" si="3403"/>
        <v>264000</v>
      </c>
      <c r="T6556" s="102">
        <f t="shared" si="3404"/>
        <v>240000</v>
      </c>
      <c r="U6556" s="71" t="str">
        <f>IF(J6556=W6556,"O", "X")</f>
        <v>X</v>
      </c>
      <c r="V6556" s="71"/>
      <c r="W6556" s="474"/>
      <c r="X6556" s="71"/>
      <c r="Y6556" s="71"/>
    </row>
    <row r="6557" spans="1:25" ht="30" hidden="1" customHeight="1" x14ac:dyDescent="0.25">
      <c r="A6557" s="1145">
        <v>45294</v>
      </c>
      <c r="B6557" s="664" t="s">
        <v>548</v>
      </c>
      <c r="C6557" s="71" t="s">
        <v>3384</v>
      </c>
      <c r="D6557" s="71">
        <v>500</v>
      </c>
      <c r="E6557" s="102">
        <v>450</v>
      </c>
      <c r="F6557" s="102">
        <f t="shared" si="3401"/>
        <v>247500.00000000003</v>
      </c>
      <c r="G6557" s="102">
        <f t="shared" si="3402"/>
        <v>225000</v>
      </c>
      <c r="H6557" s="690" t="s">
        <v>2029</v>
      </c>
      <c r="I6557" s="71" t="s">
        <v>3385</v>
      </c>
      <c r="J6557" s="53">
        <f t="shared" si="3421"/>
        <v>97000</v>
      </c>
      <c r="K6557" s="63">
        <v>0.28888888888888886</v>
      </c>
      <c r="L6557" s="1212" t="s">
        <v>3999</v>
      </c>
      <c r="M6557" s="468"/>
      <c r="N6557" s="1192">
        <v>45203</v>
      </c>
      <c r="O6557" s="71" t="s">
        <v>2030</v>
      </c>
      <c r="P6557" s="103" t="s">
        <v>4003</v>
      </c>
      <c r="Q6557" s="71">
        <v>400</v>
      </c>
      <c r="R6557" s="102">
        <v>320</v>
      </c>
      <c r="S6557" s="102">
        <f t="shared" si="3403"/>
        <v>140800</v>
      </c>
      <c r="T6557" s="102">
        <f t="shared" si="3404"/>
        <v>128000</v>
      </c>
      <c r="U6557" s="71"/>
      <c r="V6557" s="71"/>
      <c r="W6557" s="474"/>
      <c r="X6557" s="71"/>
      <c r="Y6557" s="71"/>
    </row>
    <row r="6558" spans="1:25" ht="30" hidden="1" customHeight="1" x14ac:dyDescent="0.25">
      <c r="A6558" s="1145">
        <v>45294</v>
      </c>
      <c r="B6558" s="664" t="s">
        <v>18</v>
      </c>
      <c r="C6558" s="71" t="s">
        <v>3305</v>
      </c>
      <c r="D6558" s="71">
        <v>15</v>
      </c>
      <c r="E6558" s="102">
        <v>86000</v>
      </c>
      <c r="F6558" s="102">
        <f t="shared" si="3401"/>
        <v>1419000</v>
      </c>
      <c r="G6558" s="102">
        <f t="shared" si="3402"/>
        <v>1290000</v>
      </c>
      <c r="H6558" s="690" t="s">
        <v>172</v>
      </c>
      <c r="I6558" s="71" t="s">
        <v>3295</v>
      </c>
      <c r="J6558" s="53">
        <f t="shared" si="3421"/>
        <v>590000</v>
      </c>
      <c r="K6558" s="63">
        <v>0.18604651162790695</v>
      </c>
      <c r="L6558" s="1212" t="s">
        <v>3999</v>
      </c>
      <c r="M6558" s="468" t="s">
        <v>3306</v>
      </c>
      <c r="N6558" s="1192">
        <v>45231</v>
      </c>
      <c r="O6558" s="71" t="s">
        <v>146</v>
      </c>
      <c r="P6558" s="103" t="s">
        <v>3305</v>
      </c>
      <c r="Q6558" s="71">
        <v>10</v>
      </c>
      <c r="R6558" s="102">
        <v>70000</v>
      </c>
      <c r="S6558" s="102">
        <f t="shared" si="3403"/>
        <v>770000.00000000012</v>
      </c>
      <c r="T6558" s="102">
        <f t="shared" si="3404"/>
        <v>700000</v>
      </c>
      <c r="U6558" s="71" t="s">
        <v>1915</v>
      </c>
      <c r="V6558" s="71"/>
      <c r="W6558" s="474"/>
      <c r="X6558" s="71"/>
      <c r="Y6558" s="71"/>
    </row>
    <row r="6559" spans="1:25" ht="30" hidden="1" customHeight="1" x14ac:dyDescent="0.25">
      <c r="A6559" s="1145">
        <v>45294</v>
      </c>
      <c r="B6559" s="664" t="s">
        <v>548</v>
      </c>
      <c r="C6559" s="71" t="s">
        <v>3382</v>
      </c>
      <c r="D6559" s="71">
        <v>1</v>
      </c>
      <c r="E6559" s="102">
        <v>168000</v>
      </c>
      <c r="F6559" s="102">
        <f t="shared" si="3401"/>
        <v>184800.00000000003</v>
      </c>
      <c r="G6559" s="102">
        <f t="shared" si="3402"/>
        <v>168000</v>
      </c>
      <c r="H6559" s="690" t="s">
        <v>2029</v>
      </c>
      <c r="I6559" s="71" t="s">
        <v>180</v>
      </c>
      <c r="J6559" s="53">
        <f t="shared" si="3421"/>
        <v>48000</v>
      </c>
      <c r="K6559" s="63">
        <f t="shared" ref="K6559:K6562" si="3431">(J6559/(F6559/11*10))</f>
        <v>0.28571428571428564</v>
      </c>
      <c r="L6559" s="1212" t="s">
        <v>3999</v>
      </c>
      <c r="M6559" s="468"/>
      <c r="N6559" s="1192">
        <f t="shared" ref="N6559:N6566" si="3432">A6559</f>
        <v>45294</v>
      </c>
      <c r="O6559" s="71" t="s">
        <v>3383</v>
      </c>
      <c r="P6559" s="103" t="str">
        <f t="shared" ref="P6559:P6562" si="3433">(C6559)</f>
        <v>판 클리너(12개)</v>
      </c>
      <c r="Q6559" s="71">
        <f t="shared" ref="Q6559:Q6589" si="3434">D6559</f>
        <v>1</v>
      </c>
      <c r="R6559" s="102">
        <v>120000</v>
      </c>
      <c r="S6559" s="102">
        <f t="shared" si="3403"/>
        <v>132000</v>
      </c>
      <c r="T6559" s="102">
        <f t="shared" si="3404"/>
        <v>120000</v>
      </c>
      <c r="U6559" s="71" t="str">
        <f>IF(J6559=W6559,"O", "X")</f>
        <v>X</v>
      </c>
      <c r="V6559" s="71"/>
      <c r="W6559" s="474"/>
      <c r="X6559" s="71"/>
      <c r="Y6559" s="71"/>
    </row>
    <row r="6560" spans="1:25" ht="30" hidden="1" customHeight="1" x14ac:dyDescent="0.25">
      <c r="A6560" s="1145">
        <v>45315</v>
      </c>
      <c r="B6560" s="664" t="s">
        <v>26</v>
      </c>
      <c r="C6560" s="71" t="s">
        <v>2087</v>
      </c>
      <c r="D6560" s="71">
        <v>5</v>
      </c>
      <c r="E6560" s="102">
        <v>65000</v>
      </c>
      <c r="F6560" s="102">
        <f t="shared" si="3401"/>
        <v>357500</v>
      </c>
      <c r="G6560" s="102">
        <f t="shared" si="3402"/>
        <v>325000</v>
      </c>
      <c r="H6560" s="690" t="s">
        <v>172</v>
      </c>
      <c r="I6560" s="71" t="s">
        <v>3295</v>
      </c>
      <c r="J6560" s="53">
        <f t="shared" si="3421"/>
        <v>75000</v>
      </c>
      <c r="K6560" s="63">
        <f t="shared" si="3431"/>
        <v>0.23076923076923078</v>
      </c>
      <c r="L6560" s="1212" t="s">
        <v>3999</v>
      </c>
      <c r="M6560" s="468"/>
      <c r="N6560" s="1192">
        <f t="shared" si="3432"/>
        <v>45315</v>
      </c>
      <c r="O6560" s="71" t="s">
        <v>152</v>
      </c>
      <c r="P6560" s="103" t="str">
        <f t="shared" si="3433"/>
        <v>아스테이지(국전)</v>
      </c>
      <c r="Q6560" s="71">
        <f t="shared" si="3434"/>
        <v>5</v>
      </c>
      <c r="R6560" s="102">
        <v>50000</v>
      </c>
      <c r="S6560" s="102">
        <f t="shared" si="3403"/>
        <v>275000</v>
      </c>
      <c r="T6560" s="102">
        <f t="shared" si="3404"/>
        <v>250000</v>
      </c>
      <c r="U6560" s="71" t="str">
        <f>IF(J6560=W6560,"O", "X")</f>
        <v>X</v>
      </c>
      <c r="V6560" s="71"/>
      <c r="W6560" s="474">
        <v>150000</v>
      </c>
      <c r="X6560" s="71"/>
      <c r="Y6560" s="71"/>
    </row>
    <row r="6561" spans="1:25" ht="30" hidden="1" customHeight="1" x14ac:dyDescent="0.25">
      <c r="A6561" s="1145">
        <v>45317</v>
      </c>
      <c r="B6561" s="664" t="s">
        <v>26</v>
      </c>
      <c r="C6561" s="71" t="s">
        <v>2087</v>
      </c>
      <c r="D6561" s="71">
        <v>5</v>
      </c>
      <c r="E6561" s="102">
        <v>65000</v>
      </c>
      <c r="F6561" s="102">
        <f t="shared" si="3401"/>
        <v>357500</v>
      </c>
      <c r="G6561" s="102">
        <f t="shared" si="3402"/>
        <v>325000</v>
      </c>
      <c r="H6561" s="690" t="s">
        <v>172</v>
      </c>
      <c r="I6561" s="71" t="s">
        <v>3295</v>
      </c>
      <c r="J6561" s="53">
        <f t="shared" si="3421"/>
        <v>75000</v>
      </c>
      <c r="K6561" s="63">
        <f t="shared" si="3431"/>
        <v>0.23076923076923078</v>
      </c>
      <c r="L6561" s="1212" t="s">
        <v>3999</v>
      </c>
      <c r="M6561" s="468"/>
      <c r="N6561" s="1192">
        <f t="shared" si="3432"/>
        <v>45317</v>
      </c>
      <c r="O6561" s="71" t="s">
        <v>152</v>
      </c>
      <c r="P6561" s="103" t="str">
        <f t="shared" si="3433"/>
        <v>아스테이지(국전)</v>
      </c>
      <c r="Q6561" s="71">
        <f t="shared" si="3434"/>
        <v>5</v>
      </c>
      <c r="R6561" s="102">
        <v>50000</v>
      </c>
      <c r="S6561" s="102">
        <f t="shared" si="3403"/>
        <v>275000</v>
      </c>
      <c r="T6561" s="102">
        <f t="shared" si="3404"/>
        <v>250000</v>
      </c>
      <c r="U6561" s="71" t="str">
        <f>IF(J6561=W6561,"O", "X")</f>
        <v>X</v>
      </c>
      <c r="V6561" s="71"/>
      <c r="W6561" s="474">
        <v>150000</v>
      </c>
      <c r="X6561" s="71"/>
      <c r="Y6561" s="71"/>
    </row>
    <row r="6562" spans="1:25" s="209" customFormat="1" ht="30" hidden="1" customHeight="1" x14ac:dyDescent="0.25">
      <c r="A6562" s="1145">
        <v>45303</v>
      </c>
      <c r="B6562" s="664" t="s">
        <v>746</v>
      </c>
      <c r="C6562" s="71" t="s">
        <v>2648</v>
      </c>
      <c r="D6562" s="71">
        <v>10</v>
      </c>
      <c r="E6562" s="102">
        <v>38000</v>
      </c>
      <c r="F6562" s="102">
        <f t="shared" si="3401"/>
        <v>418000.00000000006</v>
      </c>
      <c r="G6562" s="102">
        <f t="shared" si="3402"/>
        <v>380000</v>
      </c>
      <c r="H6562" s="690" t="s">
        <v>94</v>
      </c>
      <c r="I6562" s="71" t="s">
        <v>94</v>
      </c>
      <c r="J6562" s="53">
        <f t="shared" si="3421"/>
        <v>160000</v>
      </c>
      <c r="K6562" s="63">
        <f t="shared" si="3431"/>
        <v>0.42105263157894729</v>
      </c>
      <c r="L6562" s="1212" t="s">
        <v>3999</v>
      </c>
      <c r="M6562" s="468"/>
      <c r="N6562" s="1192">
        <f t="shared" si="3432"/>
        <v>45303</v>
      </c>
      <c r="O6562" s="71" t="s">
        <v>94</v>
      </c>
      <c r="P6562" s="103" t="str">
        <f t="shared" si="3433"/>
        <v>주머니 필터백</v>
      </c>
      <c r="Q6562" s="71">
        <f t="shared" si="3434"/>
        <v>10</v>
      </c>
      <c r="R6562" s="102">
        <v>22000</v>
      </c>
      <c r="S6562" s="102">
        <f t="shared" si="3403"/>
        <v>242000.00000000003</v>
      </c>
      <c r="T6562" s="102">
        <f t="shared" si="3404"/>
        <v>220000</v>
      </c>
      <c r="U6562" s="71"/>
      <c r="V6562" s="71"/>
      <c r="W6562" s="474"/>
      <c r="X6562" s="71"/>
      <c r="Y6562" s="71"/>
    </row>
    <row r="6563" spans="1:25" ht="30" hidden="1" customHeight="1" x14ac:dyDescent="0.25">
      <c r="A6563" s="1145">
        <v>45303</v>
      </c>
      <c r="B6563" s="664" t="s">
        <v>2276</v>
      </c>
      <c r="C6563" s="71" t="s">
        <v>123</v>
      </c>
      <c r="D6563" s="71">
        <v>2</v>
      </c>
      <c r="E6563" s="102">
        <v>50000</v>
      </c>
      <c r="F6563" s="102">
        <f t="shared" si="3401"/>
        <v>110000.00000000001</v>
      </c>
      <c r="G6563" s="102">
        <f t="shared" si="3402"/>
        <v>100000</v>
      </c>
      <c r="H6563" s="690" t="s">
        <v>94</v>
      </c>
      <c r="I6563" s="71" t="s">
        <v>94</v>
      </c>
      <c r="J6563" s="53">
        <f t="shared" si="3421"/>
        <v>56000</v>
      </c>
      <c r="K6563" s="63">
        <f t="shared" ref="K6563:K6569" si="3435">(J6563/(F6563/11*10))</f>
        <v>0.55999999999999994</v>
      </c>
      <c r="L6563" s="1212" t="s">
        <v>3999</v>
      </c>
      <c r="M6563" s="468"/>
      <c r="N6563" s="1192">
        <f t="shared" si="3432"/>
        <v>45303</v>
      </c>
      <c r="O6563" s="71" t="s">
        <v>94</v>
      </c>
      <c r="P6563" s="103" t="str">
        <f t="shared" ref="P6563:P6566" si="3436">(C6563)</f>
        <v>필터백</v>
      </c>
      <c r="Q6563" s="71">
        <f t="shared" si="3434"/>
        <v>2</v>
      </c>
      <c r="R6563" s="102">
        <v>22000</v>
      </c>
      <c r="S6563" s="102">
        <f t="shared" si="3403"/>
        <v>48400.000000000007</v>
      </c>
      <c r="T6563" s="102">
        <f t="shared" si="3404"/>
        <v>44000</v>
      </c>
      <c r="U6563" s="71"/>
      <c r="V6563" s="71"/>
      <c r="W6563" s="474"/>
      <c r="X6563" s="71"/>
      <c r="Y6563" s="71"/>
    </row>
    <row r="6564" spans="1:25" ht="30" hidden="1" customHeight="1" x14ac:dyDescent="0.25">
      <c r="A6564" s="1145">
        <v>45310</v>
      </c>
      <c r="B6564" s="664" t="s">
        <v>3407</v>
      </c>
      <c r="C6564" s="71" t="s">
        <v>3436</v>
      </c>
      <c r="D6564" s="71">
        <v>3</v>
      </c>
      <c r="E6564" s="102">
        <v>720000</v>
      </c>
      <c r="F6564" s="102">
        <f t="shared" si="3401"/>
        <v>2376000</v>
      </c>
      <c r="G6564" s="102">
        <f t="shared" si="3402"/>
        <v>2160000</v>
      </c>
      <c r="H6564" s="690" t="s">
        <v>2029</v>
      </c>
      <c r="I6564" s="71" t="s">
        <v>2184</v>
      </c>
      <c r="J6564" s="53">
        <f t="shared" si="3421"/>
        <v>1441779</v>
      </c>
      <c r="K6564" s="63">
        <f t="shared" si="3435"/>
        <v>0.66749027777777781</v>
      </c>
      <c r="L6564" s="1212" t="s">
        <v>3999</v>
      </c>
      <c r="M6564" s="468"/>
      <c r="N6564" s="1192">
        <f t="shared" si="3432"/>
        <v>45310</v>
      </c>
      <c r="O6564" s="71" t="s">
        <v>2179</v>
      </c>
      <c r="P6564" s="103" t="str">
        <f t="shared" si="3436"/>
        <v>Ryobi UV Lamp 델리바리용</v>
      </c>
      <c r="Q6564" s="71">
        <f t="shared" si="3434"/>
        <v>3</v>
      </c>
      <c r="R6564" s="147">
        <v>239407</v>
      </c>
      <c r="S6564" s="102">
        <f t="shared" si="3403"/>
        <v>790043.10000000009</v>
      </c>
      <c r="T6564" s="102">
        <f t="shared" si="3404"/>
        <v>718221</v>
      </c>
      <c r="U6564" s="71"/>
      <c r="V6564" s="71"/>
      <c r="W6564" s="474"/>
      <c r="X6564" s="71"/>
      <c r="Y6564" s="71"/>
    </row>
    <row r="6565" spans="1:25" ht="30" hidden="1" customHeight="1" x14ac:dyDescent="0.25">
      <c r="A6565" s="1145">
        <v>45310</v>
      </c>
      <c r="B6565" s="664" t="s">
        <v>856</v>
      </c>
      <c r="C6565" s="71" t="s">
        <v>3437</v>
      </c>
      <c r="D6565" s="71">
        <v>2</v>
      </c>
      <c r="E6565" s="102">
        <v>720000</v>
      </c>
      <c r="F6565" s="102">
        <f t="shared" si="3401"/>
        <v>1584000.0000000002</v>
      </c>
      <c r="G6565" s="102">
        <f t="shared" si="3402"/>
        <v>1440000</v>
      </c>
      <c r="H6565" s="690" t="s">
        <v>173</v>
      </c>
      <c r="I6565" s="71" t="s">
        <v>2184</v>
      </c>
      <c r="J6565" s="53">
        <f t="shared" si="3421"/>
        <v>980164</v>
      </c>
      <c r="K6565" s="63">
        <f t="shared" si="3435"/>
        <v>0.68066944444444433</v>
      </c>
      <c r="L6565" s="1212" t="s">
        <v>3999</v>
      </c>
      <c r="M6565" s="468"/>
      <c r="N6565" s="1192">
        <f t="shared" si="3432"/>
        <v>45310</v>
      </c>
      <c r="O6565" s="71" t="s">
        <v>2179</v>
      </c>
      <c r="P6565" s="103" t="str">
        <f t="shared" si="3436"/>
        <v>Ryobi UV Lamp 인터덱용</v>
      </c>
      <c r="Q6565" s="71">
        <f t="shared" si="3434"/>
        <v>2</v>
      </c>
      <c r="R6565" s="147">
        <v>229918</v>
      </c>
      <c r="S6565" s="102">
        <f t="shared" si="3403"/>
        <v>505819.60000000003</v>
      </c>
      <c r="T6565" s="102">
        <f t="shared" si="3404"/>
        <v>459836</v>
      </c>
      <c r="U6565" s="71"/>
      <c r="V6565" s="71"/>
      <c r="W6565" s="474"/>
      <c r="X6565" s="71"/>
      <c r="Y6565" s="71"/>
    </row>
    <row r="6566" spans="1:25" ht="30" hidden="1" customHeight="1" x14ac:dyDescent="0.25">
      <c r="A6566" s="1145">
        <v>45646</v>
      </c>
      <c r="B6566" s="664" t="s">
        <v>442</v>
      </c>
      <c r="C6566" s="71" t="s">
        <v>4004</v>
      </c>
      <c r="D6566" s="71">
        <v>1</v>
      </c>
      <c r="E6566" s="102">
        <v>630000</v>
      </c>
      <c r="F6566" s="102">
        <f t="shared" si="3401"/>
        <v>693000</v>
      </c>
      <c r="G6566" s="102">
        <f t="shared" si="3402"/>
        <v>630000</v>
      </c>
      <c r="H6566" s="71" t="s">
        <v>2029</v>
      </c>
      <c r="I6566" s="71" t="s">
        <v>3385</v>
      </c>
      <c r="J6566" s="53">
        <f t="shared" si="3421"/>
        <v>180000</v>
      </c>
      <c r="K6566" s="63">
        <f t="shared" si="3435"/>
        <v>0.2857142857142857</v>
      </c>
      <c r="L6566" s="1212" t="s">
        <v>3999</v>
      </c>
      <c r="M6566" s="102"/>
      <c r="N6566" s="1192">
        <f t="shared" si="3432"/>
        <v>45646</v>
      </c>
      <c r="O6566" s="71" t="s">
        <v>242</v>
      </c>
      <c r="P6566" s="103" t="str">
        <f t="shared" si="3436"/>
        <v>필름출력기 , 현상기 부품</v>
      </c>
      <c r="Q6566" s="71">
        <f t="shared" si="3434"/>
        <v>1</v>
      </c>
      <c r="R6566" s="102">
        <v>450000</v>
      </c>
      <c r="S6566" s="102">
        <f t="shared" si="3403"/>
        <v>495000.00000000006</v>
      </c>
      <c r="T6566" s="102">
        <f t="shared" si="3404"/>
        <v>450000</v>
      </c>
      <c r="U6566" s="71"/>
      <c r="V6566" s="71"/>
      <c r="W6566" s="474"/>
      <c r="X6566" s="71"/>
      <c r="Y6566" s="71"/>
    </row>
    <row r="6567" spans="1:25" s="209" customFormat="1" ht="30" hidden="1" customHeight="1" x14ac:dyDescent="0.25">
      <c r="A6567" s="1145">
        <v>45288</v>
      </c>
      <c r="B6567" s="664" t="s">
        <v>442</v>
      </c>
      <c r="C6567" s="71" t="s">
        <v>3833</v>
      </c>
      <c r="D6567" s="71">
        <v>500</v>
      </c>
      <c r="E6567" s="102">
        <v>4250</v>
      </c>
      <c r="F6567" s="102">
        <f t="shared" si="3401"/>
        <v>2337500</v>
      </c>
      <c r="G6567" s="102">
        <f t="shared" si="3402"/>
        <v>2125000</v>
      </c>
      <c r="H6567" s="690" t="s">
        <v>2029</v>
      </c>
      <c r="I6567" s="71" t="s">
        <v>2230</v>
      </c>
      <c r="J6567" s="53">
        <f t="shared" si="3421"/>
        <v>300000</v>
      </c>
      <c r="K6567" s="63">
        <f t="shared" si="3435"/>
        <v>0.14117647058823529</v>
      </c>
      <c r="L6567" s="1212" t="s">
        <v>3999</v>
      </c>
      <c r="M6567" s="468"/>
      <c r="N6567" s="1192">
        <f t="shared" ref="N6567:N6600" si="3437">A6567</f>
        <v>45288</v>
      </c>
      <c r="O6567" s="71" t="s">
        <v>2030</v>
      </c>
      <c r="P6567" s="164" t="s">
        <v>3777</v>
      </c>
      <c r="Q6567" s="71">
        <f t="shared" si="3434"/>
        <v>500</v>
      </c>
      <c r="R6567" s="102">
        <v>3650</v>
      </c>
      <c r="S6567" s="102">
        <f t="shared" si="3403"/>
        <v>2007500.0000000002</v>
      </c>
      <c r="T6567" s="102">
        <f t="shared" si="3404"/>
        <v>1825000</v>
      </c>
      <c r="U6567" s="71"/>
      <c r="V6567" s="71"/>
      <c r="W6567" s="474"/>
      <c r="X6567" s="71"/>
      <c r="Y6567" s="71"/>
    </row>
    <row r="6568" spans="1:25" s="209" customFormat="1" ht="30" hidden="1" customHeight="1" x14ac:dyDescent="0.25">
      <c r="A6568" s="1145">
        <v>45295</v>
      </c>
      <c r="B6568" s="664" t="s">
        <v>442</v>
      </c>
      <c r="C6568" s="71" t="s">
        <v>3833</v>
      </c>
      <c r="D6568" s="71">
        <v>500</v>
      </c>
      <c r="E6568" s="102">
        <v>4250</v>
      </c>
      <c r="F6568" s="102">
        <f t="shared" si="3401"/>
        <v>2337500</v>
      </c>
      <c r="G6568" s="102">
        <f t="shared" si="3402"/>
        <v>2125000</v>
      </c>
      <c r="H6568" s="690" t="s">
        <v>2029</v>
      </c>
      <c r="I6568" s="71" t="s">
        <v>2230</v>
      </c>
      <c r="J6568" s="53">
        <f t="shared" si="3421"/>
        <v>300000</v>
      </c>
      <c r="K6568" s="63">
        <f t="shared" si="3435"/>
        <v>0.14117647058823529</v>
      </c>
      <c r="L6568" s="1212" t="s">
        <v>3999</v>
      </c>
      <c r="M6568" s="468"/>
      <c r="N6568" s="1192">
        <f t="shared" si="3437"/>
        <v>45295</v>
      </c>
      <c r="O6568" s="71" t="s">
        <v>2030</v>
      </c>
      <c r="P6568" s="164" t="s">
        <v>3777</v>
      </c>
      <c r="Q6568" s="71">
        <f t="shared" si="3434"/>
        <v>500</v>
      </c>
      <c r="R6568" s="102">
        <v>3650</v>
      </c>
      <c r="S6568" s="102">
        <f t="shared" si="3403"/>
        <v>2007500.0000000002</v>
      </c>
      <c r="T6568" s="102">
        <f t="shared" si="3404"/>
        <v>1825000</v>
      </c>
      <c r="U6568" s="71"/>
      <c r="V6568" s="71"/>
      <c r="W6568" s="474"/>
      <c r="X6568" s="71"/>
      <c r="Y6568" s="71"/>
    </row>
    <row r="6569" spans="1:25" ht="30" hidden="1" customHeight="1" x14ac:dyDescent="0.25">
      <c r="A6569" s="1145">
        <v>45300</v>
      </c>
      <c r="B6569" s="664" t="s">
        <v>442</v>
      </c>
      <c r="C6569" s="71" t="s">
        <v>206</v>
      </c>
      <c r="D6569" s="71">
        <v>3</v>
      </c>
      <c r="E6569" s="102">
        <v>453000</v>
      </c>
      <c r="F6569" s="102">
        <f t="shared" si="3401"/>
        <v>1494900.0000000002</v>
      </c>
      <c r="G6569" s="102">
        <f t="shared" si="3402"/>
        <v>1359000</v>
      </c>
      <c r="H6569" s="690" t="s">
        <v>2029</v>
      </c>
      <c r="I6569" s="71" t="s">
        <v>195</v>
      </c>
      <c r="J6569" s="53">
        <f t="shared" si="3421"/>
        <v>216960</v>
      </c>
      <c r="K6569" s="63">
        <f t="shared" si="3435"/>
        <v>0.15964679911699778</v>
      </c>
      <c r="L6569" s="1212" t="s">
        <v>3999</v>
      </c>
      <c r="M6569" s="468"/>
      <c r="N6569" s="1192">
        <f t="shared" si="3437"/>
        <v>45300</v>
      </c>
      <c r="O6569" s="71" t="s">
        <v>194</v>
      </c>
      <c r="P6569" s="103" t="str">
        <f t="shared" ref="P6569:P6589" si="3438">(C6569)</f>
        <v>Agfa Film(24inch)</v>
      </c>
      <c r="Q6569" s="71">
        <f t="shared" si="3434"/>
        <v>3</v>
      </c>
      <c r="R6569" s="102">
        <v>380680</v>
      </c>
      <c r="S6569" s="102">
        <f t="shared" si="3403"/>
        <v>1256244</v>
      </c>
      <c r="T6569" s="102">
        <f t="shared" si="3404"/>
        <v>1142040</v>
      </c>
      <c r="U6569" s="71" t="s">
        <v>859</v>
      </c>
      <c r="V6569" s="71"/>
      <c r="W6569" s="474">
        <v>144640</v>
      </c>
      <c r="X6569" s="71"/>
      <c r="Y6569" s="71"/>
    </row>
    <row r="6570" spans="1:25" ht="30" hidden="1" customHeight="1" x14ac:dyDescent="0.25">
      <c r="A6570" s="1145">
        <v>45300</v>
      </c>
      <c r="B6570" s="664" t="s">
        <v>442</v>
      </c>
      <c r="C6570" s="71" t="s">
        <v>207</v>
      </c>
      <c r="D6570" s="71">
        <v>3</v>
      </c>
      <c r="E6570" s="102">
        <v>558000</v>
      </c>
      <c r="F6570" s="102">
        <f t="shared" si="3401"/>
        <v>1841400.0000000002</v>
      </c>
      <c r="G6570" s="102">
        <f t="shared" si="3402"/>
        <v>1674000</v>
      </c>
      <c r="H6570" s="690" t="s">
        <v>2029</v>
      </c>
      <c r="I6570" s="71" t="s">
        <v>195</v>
      </c>
      <c r="J6570" s="53">
        <f t="shared" si="3421"/>
        <v>342720</v>
      </c>
      <c r="K6570" s="63">
        <f t="shared" ref="K6570:K6582" si="3439">(J6570/(F6570/11*10))</f>
        <v>0.20473118279569891</v>
      </c>
      <c r="L6570" s="1212" t="s">
        <v>3999</v>
      </c>
      <c r="M6570" s="468"/>
      <c r="N6570" s="1192">
        <f t="shared" si="3437"/>
        <v>45300</v>
      </c>
      <c r="O6570" s="71" t="s">
        <v>194</v>
      </c>
      <c r="P6570" s="103" t="str">
        <f t="shared" si="3438"/>
        <v>Agfa Film(28inch)</v>
      </c>
      <c r="Q6570" s="71">
        <f t="shared" si="3434"/>
        <v>3</v>
      </c>
      <c r="R6570" s="102">
        <v>443760</v>
      </c>
      <c r="S6570" s="102">
        <f t="shared" si="3403"/>
        <v>1464408.0000000002</v>
      </c>
      <c r="T6570" s="102">
        <f t="shared" si="3404"/>
        <v>1331280</v>
      </c>
      <c r="U6570" s="71" t="s">
        <v>859</v>
      </c>
      <c r="V6570" s="71"/>
      <c r="W6570" s="474">
        <v>228480</v>
      </c>
      <c r="X6570" s="71"/>
      <c r="Y6570" s="71"/>
    </row>
    <row r="6571" spans="1:25" ht="30" hidden="1" customHeight="1" x14ac:dyDescent="0.25">
      <c r="A6571" s="1145">
        <v>45300</v>
      </c>
      <c r="B6571" s="664" t="s">
        <v>442</v>
      </c>
      <c r="C6571" s="71" t="s">
        <v>208</v>
      </c>
      <c r="D6571" s="71">
        <v>3</v>
      </c>
      <c r="E6571" s="102">
        <v>624000</v>
      </c>
      <c r="F6571" s="102">
        <f t="shared" si="3401"/>
        <v>2059200.0000000002</v>
      </c>
      <c r="G6571" s="102">
        <f t="shared" si="3402"/>
        <v>1872000</v>
      </c>
      <c r="H6571" s="690" t="s">
        <v>2029</v>
      </c>
      <c r="I6571" s="71" t="s">
        <v>195</v>
      </c>
      <c r="J6571" s="53">
        <f t="shared" si="3421"/>
        <v>302730</v>
      </c>
      <c r="K6571" s="63">
        <f t="shared" si="3439"/>
        <v>0.16171474358974358</v>
      </c>
      <c r="L6571" s="1212" t="s">
        <v>3999</v>
      </c>
      <c r="M6571" s="468"/>
      <c r="N6571" s="1192">
        <f t="shared" si="3437"/>
        <v>45300</v>
      </c>
      <c r="O6571" s="71" t="s">
        <v>194</v>
      </c>
      <c r="P6571" s="103" t="str">
        <f t="shared" si="3438"/>
        <v>Agfa Film(32inch)</v>
      </c>
      <c r="Q6571" s="71">
        <f t="shared" si="3434"/>
        <v>3</v>
      </c>
      <c r="R6571" s="102">
        <f>523090</f>
        <v>523090</v>
      </c>
      <c r="S6571" s="102">
        <f t="shared" si="3403"/>
        <v>1726197.0000000002</v>
      </c>
      <c r="T6571" s="102">
        <f t="shared" si="3404"/>
        <v>1569270</v>
      </c>
      <c r="U6571" s="71" t="s">
        <v>859</v>
      </c>
      <c r="V6571" s="71"/>
      <c r="W6571" s="474">
        <v>201820</v>
      </c>
      <c r="X6571" s="71"/>
      <c r="Y6571" s="71"/>
    </row>
    <row r="6572" spans="1:25" ht="30" hidden="1" customHeight="1" x14ac:dyDescent="0.2">
      <c r="A6572" s="1145">
        <v>45300</v>
      </c>
      <c r="B6572" s="664" t="s">
        <v>442</v>
      </c>
      <c r="C6572" s="71" t="s">
        <v>648</v>
      </c>
      <c r="D6572" s="71">
        <v>1</v>
      </c>
      <c r="E6572" s="102">
        <v>93000</v>
      </c>
      <c r="F6572" s="102">
        <f t="shared" si="3401"/>
        <v>102300.00000000001</v>
      </c>
      <c r="G6572" s="102">
        <f t="shared" si="3402"/>
        <v>93000</v>
      </c>
      <c r="H6572" s="165" t="s">
        <v>172</v>
      </c>
      <c r="I6572" s="71" t="s">
        <v>195</v>
      </c>
      <c r="J6572" s="53">
        <f t="shared" si="3421"/>
        <v>27000</v>
      </c>
      <c r="K6572" s="63">
        <f t="shared" si="3439"/>
        <v>0.29032258064516125</v>
      </c>
      <c r="L6572" s="1212" t="s">
        <v>3999</v>
      </c>
      <c r="M6572" s="468"/>
      <c r="N6572" s="1192">
        <f t="shared" si="3437"/>
        <v>45300</v>
      </c>
      <c r="O6572" s="71" t="s">
        <v>194</v>
      </c>
      <c r="P6572" s="103" t="str">
        <f t="shared" si="3438"/>
        <v>Agfa 정착액 G333C(20L)</v>
      </c>
      <c r="Q6572" s="71">
        <f t="shared" si="3434"/>
        <v>1</v>
      </c>
      <c r="R6572" s="102">
        <v>66000</v>
      </c>
      <c r="S6572" s="102">
        <f t="shared" si="3403"/>
        <v>72600</v>
      </c>
      <c r="T6572" s="102">
        <f t="shared" si="3404"/>
        <v>66000</v>
      </c>
      <c r="U6572" s="71" t="s">
        <v>859</v>
      </c>
      <c r="V6572" s="71"/>
      <c r="W6572" s="474">
        <v>27000</v>
      </c>
      <c r="X6572" s="71"/>
      <c r="Y6572" s="71"/>
    </row>
    <row r="6573" spans="1:25" ht="30" hidden="1" customHeight="1" x14ac:dyDescent="0.25">
      <c r="A6573" s="1145">
        <v>45301</v>
      </c>
      <c r="B6573" s="664" t="s">
        <v>442</v>
      </c>
      <c r="C6573" s="71" t="s">
        <v>3433</v>
      </c>
      <c r="D6573" s="71">
        <v>6</v>
      </c>
      <c r="E6573" s="102">
        <v>115000</v>
      </c>
      <c r="F6573" s="102">
        <f t="shared" si="3401"/>
        <v>759000.00000000012</v>
      </c>
      <c r="G6573" s="102">
        <f t="shared" si="3402"/>
        <v>690000</v>
      </c>
      <c r="H6573" s="690" t="s">
        <v>2029</v>
      </c>
      <c r="I6573" s="71" t="s">
        <v>3385</v>
      </c>
      <c r="J6573" s="53">
        <f t="shared" si="3421"/>
        <v>169200</v>
      </c>
      <c r="K6573" s="63">
        <f t="shared" si="3439"/>
        <v>0.24521739130434778</v>
      </c>
      <c r="L6573" s="1212" t="s">
        <v>3999</v>
      </c>
      <c r="M6573" s="468"/>
      <c r="N6573" s="1192">
        <f t="shared" si="3437"/>
        <v>45301</v>
      </c>
      <c r="O6573" s="71" t="s">
        <v>147</v>
      </c>
      <c r="P6573" s="164" t="str">
        <f t="shared" si="3438"/>
        <v>블랑켓-하이델베르그 국전용</v>
      </c>
      <c r="Q6573" s="71">
        <f t="shared" si="3434"/>
        <v>6</v>
      </c>
      <c r="R6573" s="102">
        <v>86800</v>
      </c>
      <c r="S6573" s="102">
        <f t="shared" si="3403"/>
        <v>572880</v>
      </c>
      <c r="T6573" s="102">
        <f t="shared" si="3404"/>
        <v>520800</v>
      </c>
      <c r="U6573" s="71"/>
      <c r="V6573" s="71"/>
      <c r="W6573" s="474"/>
      <c r="X6573" s="71"/>
      <c r="Y6573" s="71"/>
    </row>
    <row r="6574" spans="1:25" ht="30" hidden="1" customHeight="1" x14ac:dyDescent="0.25">
      <c r="A6574" s="1145">
        <v>45302</v>
      </c>
      <c r="B6574" s="664" t="s">
        <v>442</v>
      </c>
      <c r="C6574" s="71" t="s">
        <v>3299</v>
      </c>
      <c r="D6574" s="71">
        <v>20</v>
      </c>
      <c r="E6574" s="102">
        <v>69000</v>
      </c>
      <c r="F6574" s="102">
        <f t="shared" si="3401"/>
        <v>1518000.0000000002</v>
      </c>
      <c r="G6574" s="102">
        <f t="shared" si="3402"/>
        <v>1380000</v>
      </c>
      <c r="H6574" s="690" t="s">
        <v>172</v>
      </c>
      <c r="I6574" s="71" t="s">
        <v>180</v>
      </c>
      <c r="J6574" s="53">
        <f t="shared" si="3421"/>
        <v>430000</v>
      </c>
      <c r="K6574" s="63">
        <f t="shared" si="3439"/>
        <v>0.31159420289855067</v>
      </c>
      <c r="L6574" s="1212" t="s">
        <v>3999</v>
      </c>
      <c r="M6574" s="468" t="s">
        <v>3304</v>
      </c>
      <c r="N6574" s="1192">
        <f t="shared" si="3437"/>
        <v>45302</v>
      </c>
      <c r="O6574" s="71" t="s">
        <v>175</v>
      </c>
      <c r="P6574" s="164" t="str">
        <f t="shared" si="3438"/>
        <v>매엽용 세척제(Wash k11)</v>
      </c>
      <c r="Q6574" s="71">
        <f t="shared" si="3434"/>
        <v>20</v>
      </c>
      <c r="R6574" s="102">
        <v>47500</v>
      </c>
      <c r="S6574" s="102">
        <f t="shared" si="3403"/>
        <v>1045000.0000000001</v>
      </c>
      <c r="T6574" s="102">
        <f t="shared" si="3404"/>
        <v>950000</v>
      </c>
      <c r="U6574" s="71" t="s">
        <v>859</v>
      </c>
      <c r="V6574" s="71"/>
      <c r="W6574" s="474"/>
      <c r="X6574" s="71"/>
      <c r="Y6574" s="71"/>
    </row>
    <row r="6575" spans="1:25" ht="30" hidden="1" customHeight="1" x14ac:dyDescent="0.25">
      <c r="A6575" s="1145">
        <v>45310</v>
      </c>
      <c r="B6575" s="664" t="s">
        <v>442</v>
      </c>
      <c r="C6575" s="71" t="s">
        <v>773</v>
      </c>
      <c r="D6575" s="71">
        <v>6</v>
      </c>
      <c r="E6575" s="102">
        <v>215000</v>
      </c>
      <c r="F6575" s="102">
        <f t="shared" si="3401"/>
        <v>1419000</v>
      </c>
      <c r="G6575" s="102">
        <f t="shared" si="3402"/>
        <v>1290000</v>
      </c>
      <c r="H6575" s="690" t="s">
        <v>173</v>
      </c>
      <c r="I6575" s="71" t="s">
        <v>109</v>
      </c>
      <c r="J6575" s="53">
        <f t="shared" si="3421"/>
        <v>222000</v>
      </c>
      <c r="K6575" s="63">
        <f t="shared" si="3439"/>
        <v>0.17209302325581396</v>
      </c>
      <c r="L6575" s="1212" t="s">
        <v>3999</v>
      </c>
      <c r="M6575" s="468"/>
      <c r="N6575" s="1192">
        <f t="shared" si="3437"/>
        <v>45310</v>
      </c>
      <c r="O6575" s="71" t="s">
        <v>151</v>
      </c>
      <c r="P6575" s="103" t="str">
        <f t="shared" si="3438"/>
        <v>로랜드 전지 블랑켓(1460*1165)bar</v>
      </c>
      <c r="Q6575" s="71">
        <f t="shared" si="3434"/>
        <v>6</v>
      </c>
      <c r="R6575" s="102">
        <v>178000</v>
      </c>
      <c r="S6575" s="102">
        <f t="shared" si="3403"/>
        <v>1174800</v>
      </c>
      <c r="T6575" s="102">
        <f t="shared" si="3404"/>
        <v>1068000</v>
      </c>
      <c r="U6575" s="71" t="s">
        <v>859</v>
      </c>
      <c r="V6575" s="71"/>
      <c r="W6575" s="474">
        <v>120000</v>
      </c>
      <c r="X6575" s="71"/>
      <c r="Y6575" s="71"/>
    </row>
    <row r="6576" spans="1:25" ht="30" hidden="1" customHeight="1" x14ac:dyDescent="0.25">
      <c r="A6576" s="1145">
        <v>45299</v>
      </c>
      <c r="B6576" s="664" t="s">
        <v>3296</v>
      </c>
      <c r="C6576" s="71" t="s">
        <v>3297</v>
      </c>
      <c r="D6576" s="71">
        <v>16</v>
      </c>
      <c r="E6576" s="102">
        <v>162500</v>
      </c>
      <c r="F6576" s="102">
        <f t="shared" ref="F6576:F6589" si="3440">(E6576*D6576)*1.1</f>
        <v>2860000</v>
      </c>
      <c r="G6576" s="102">
        <f t="shared" ref="G6576:G6589" si="3441">(E6576*D6576)</f>
        <v>2600000</v>
      </c>
      <c r="H6576" s="690" t="s">
        <v>172</v>
      </c>
      <c r="I6576" s="71" t="s">
        <v>3295</v>
      </c>
      <c r="J6576" s="53">
        <f t="shared" si="3421"/>
        <v>680000</v>
      </c>
      <c r="K6576" s="63">
        <f t="shared" si="3439"/>
        <v>0.26153846153846155</v>
      </c>
      <c r="L6576" s="1212" t="s">
        <v>3999</v>
      </c>
      <c r="M6576" s="468"/>
      <c r="N6576" s="1192">
        <f t="shared" si="3437"/>
        <v>45299</v>
      </c>
      <c r="O6576" s="71" t="s">
        <v>662</v>
      </c>
      <c r="P6576" s="103" t="str">
        <f t="shared" si="3438"/>
        <v>실리콘 에멀전</v>
      </c>
      <c r="Q6576" s="71">
        <f t="shared" si="3434"/>
        <v>16</v>
      </c>
      <c r="R6576" s="102">
        <v>120000</v>
      </c>
      <c r="S6576" s="102">
        <f t="shared" ref="S6576:S6589" si="3442">R6576*Q6576*1.1</f>
        <v>2112000</v>
      </c>
      <c r="T6576" s="102">
        <f t="shared" ref="T6576:T6589" si="3443">R6576*Q6576</f>
        <v>1920000</v>
      </c>
      <c r="U6576" s="71" t="str">
        <f t="shared" ref="U6576:U6582" si="3444">IF(J6576=W6576,"O", "X")</f>
        <v>X</v>
      </c>
      <c r="V6576" s="71"/>
      <c r="W6576" s="474"/>
      <c r="X6576" s="71"/>
      <c r="Y6576" s="71"/>
    </row>
    <row r="6577" spans="1:25" ht="30" hidden="1" customHeight="1" x14ac:dyDescent="0.25">
      <c r="A6577" s="1145">
        <v>45313</v>
      </c>
      <c r="B6577" s="664" t="s">
        <v>3296</v>
      </c>
      <c r="C6577" s="71" t="s">
        <v>3297</v>
      </c>
      <c r="D6577" s="71">
        <v>20</v>
      </c>
      <c r="E6577" s="102">
        <v>162500</v>
      </c>
      <c r="F6577" s="102">
        <f t="shared" si="3440"/>
        <v>3575000.0000000005</v>
      </c>
      <c r="G6577" s="102">
        <f t="shared" si="3441"/>
        <v>3250000</v>
      </c>
      <c r="H6577" s="690" t="s">
        <v>172</v>
      </c>
      <c r="I6577" s="71" t="s">
        <v>3295</v>
      </c>
      <c r="J6577" s="53">
        <f t="shared" si="3421"/>
        <v>850000</v>
      </c>
      <c r="K6577" s="63">
        <f t="shared" si="3439"/>
        <v>0.2615384615384615</v>
      </c>
      <c r="L6577" s="1212" t="s">
        <v>3999</v>
      </c>
      <c r="M6577" s="468"/>
      <c r="N6577" s="1192">
        <f t="shared" si="3437"/>
        <v>45313</v>
      </c>
      <c r="O6577" s="71" t="s">
        <v>662</v>
      </c>
      <c r="P6577" s="103" t="str">
        <f t="shared" si="3438"/>
        <v>실리콘 에멀전</v>
      </c>
      <c r="Q6577" s="71">
        <f t="shared" si="3434"/>
        <v>20</v>
      </c>
      <c r="R6577" s="102">
        <v>120000</v>
      </c>
      <c r="S6577" s="102">
        <f t="shared" si="3442"/>
        <v>2640000</v>
      </c>
      <c r="T6577" s="102">
        <f t="shared" si="3443"/>
        <v>2400000</v>
      </c>
      <c r="U6577" s="71" t="str">
        <f t="shared" si="3444"/>
        <v>X</v>
      </c>
      <c r="V6577" s="71"/>
      <c r="W6577" s="474"/>
      <c r="X6577" s="71"/>
      <c r="Y6577" s="71"/>
    </row>
    <row r="6578" spans="1:25" s="209" customFormat="1" ht="30" hidden="1" customHeight="1" x14ac:dyDescent="0.25">
      <c r="A6578" s="1145">
        <v>45295</v>
      </c>
      <c r="B6578" s="664" t="s">
        <v>411</v>
      </c>
      <c r="C6578" s="71" t="s">
        <v>3413</v>
      </c>
      <c r="D6578" s="71">
        <v>10</v>
      </c>
      <c r="E6578" s="102">
        <v>100000</v>
      </c>
      <c r="F6578" s="102">
        <f t="shared" si="3440"/>
        <v>1100000</v>
      </c>
      <c r="G6578" s="102">
        <f t="shared" si="3441"/>
        <v>1000000</v>
      </c>
      <c r="H6578" s="690" t="s">
        <v>2029</v>
      </c>
      <c r="I6578" s="71" t="s">
        <v>3385</v>
      </c>
      <c r="J6578" s="53">
        <f t="shared" si="3421"/>
        <v>500000</v>
      </c>
      <c r="K6578" s="63">
        <f t="shared" si="3439"/>
        <v>0.5</v>
      </c>
      <c r="L6578" s="1212" t="s">
        <v>3999</v>
      </c>
      <c r="M6578" s="468"/>
      <c r="N6578" s="1192">
        <f t="shared" si="3437"/>
        <v>45295</v>
      </c>
      <c r="O6578" s="71" t="s">
        <v>190</v>
      </c>
      <c r="P6578" s="103" t="str">
        <f t="shared" si="3438"/>
        <v>아스테이지(국전)</v>
      </c>
      <c r="Q6578" s="71">
        <f t="shared" si="3434"/>
        <v>10</v>
      </c>
      <c r="R6578" s="102">
        <v>50000</v>
      </c>
      <c r="S6578" s="102">
        <f t="shared" si="3442"/>
        <v>550000</v>
      </c>
      <c r="T6578" s="102">
        <f t="shared" si="3443"/>
        <v>500000</v>
      </c>
      <c r="U6578" s="71" t="str">
        <f t="shared" si="3444"/>
        <v>O</v>
      </c>
      <c r="V6578" s="71"/>
      <c r="W6578" s="474">
        <v>500000</v>
      </c>
      <c r="X6578" s="71"/>
      <c r="Y6578" s="71"/>
    </row>
    <row r="6579" spans="1:25" ht="30" hidden="1" customHeight="1" x14ac:dyDescent="0.25">
      <c r="A6579" s="1145">
        <v>45294</v>
      </c>
      <c r="B6579" s="664" t="s">
        <v>2798</v>
      </c>
      <c r="C6579" s="71" t="s">
        <v>3290</v>
      </c>
      <c r="D6579" s="71">
        <v>1</v>
      </c>
      <c r="E6579" s="102">
        <v>780000</v>
      </c>
      <c r="F6579" s="102">
        <f t="shared" si="3440"/>
        <v>858000.00000000012</v>
      </c>
      <c r="G6579" s="102">
        <f t="shared" si="3441"/>
        <v>780000</v>
      </c>
      <c r="H6579" s="690" t="s">
        <v>172</v>
      </c>
      <c r="I6579" s="71" t="s">
        <v>38</v>
      </c>
      <c r="J6579" s="53">
        <f t="shared" si="3421"/>
        <v>318000</v>
      </c>
      <c r="K6579" s="63">
        <f t="shared" si="3439"/>
        <v>0.40769230769230763</v>
      </c>
      <c r="L6579" s="1212" t="s">
        <v>3999</v>
      </c>
      <c r="M6579" s="468"/>
      <c r="N6579" s="1192">
        <f t="shared" si="3437"/>
        <v>45294</v>
      </c>
      <c r="O6579" s="71" t="s">
        <v>3291</v>
      </c>
      <c r="P6579" s="103" t="str">
        <f t="shared" si="3438"/>
        <v>점보롤 세정포</v>
      </c>
      <c r="Q6579" s="71">
        <f t="shared" si="3434"/>
        <v>1</v>
      </c>
      <c r="R6579" s="102">
        <v>462000</v>
      </c>
      <c r="S6579" s="102">
        <f t="shared" si="3442"/>
        <v>508200.00000000006</v>
      </c>
      <c r="T6579" s="102">
        <f t="shared" si="3443"/>
        <v>462000</v>
      </c>
      <c r="U6579" s="71" t="str">
        <f t="shared" si="3444"/>
        <v>O</v>
      </c>
      <c r="V6579" s="71" t="s">
        <v>3292</v>
      </c>
      <c r="W6579" s="474">
        <f>(G6579-T6579)</f>
        <v>318000</v>
      </c>
      <c r="X6579" s="71"/>
      <c r="Y6579" s="71"/>
    </row>
    <row r="6580" spans="1:25" ht="30" hidden="1" customHeight="1" x14ac:dyDescent="0.25">
      <c r="A6580" s="1145">
        <v>45300</v>
      </c>
      <c r="B6580" s="664" t="s">
        <v>545</v>
      </c>
      <c r="C6580" s="71" t="s">
        <v>1441</v>
      </c>
      <c r="D6580" s="71">
        <v>4</v>
      </c>
      <c r="E6580" s="102">
        <v>255000</v>
      </c>
      <c r="F6580" s="102">
        <f t="shared" si="3440"/>
        <v>1122000</v>
      </c>
      <c r="G6580" s="102">
        <f t="shared" si="3441"/>
        <v>1020000</v>
      </c>
      <c r="H6580" s="690" t="s">
        <v>173</v>
      </c>
      <c r="I6580" s="71" t="s">
        <v>2231</v>
      </c>
      <c r="J6580" s="53">
        <f t="shared" si="3421"/>
        <v>340000</v>
      </c>
      <c r="K6580" s="63">
        <f t="shared" si="3439"/>
        <v>0.33333333333333331</v>
      </c>
      <c r="L6580" s="1212" t="s">
        <v>3999</v>
      </c>
      <c r="M6580" s="468" t="s">
        <v>3374</v>
      </c>
      <c r="N6580" s="1192">
        <f t="shared" si="3437"/>
        <v>45300</v>
      </c>
      <c r="O6580" s="71" t="s">
        <v>1555</v>
      </c>
      <c r="P6580" s="103" t="str">
        <f t="shared" si="3438"/>
        <v xml:space="preserve"> OKS340 체인구리스</v>
      </c>
      <c r="Q6580" s="71">
        <f t="shared" si="3434"/>
        <v>4</v>
      </c>
      <c r="R6580" s="102">
        <v>170000</v>
      </c>
      <c r="S6580" s="102">
        <f t="shared" si="3442"/>
        <v>748000.00000000012</v>
      </c>
      <c r="T6580" s="102">
        <f t="shared" si="3443"/>
        <v>680000</v>
      </c>
      <c r="U6580" s="71" t="str">
        <f t="shared" si="3444"/>
        <v>X</v>
      </c>
      <c r="V6580" s="71"/>
      <c r="W6580" s="474"/>
      <c r="X6580" s="71"/>
      <c r="Y6580" s="71"/>
    </row>
    <row r="6581" spans="1:25" ht="30" hidden="1" customHeight="1" x14ac:dyDescent="0.25">
      <c r="A6581" s="1145">
        <v>45314</v>
      </c>
      <c r="B6581" s="664" t="s">
        <v>2798</v>
      </c>
      <c r="C6581" s="71" t="s">
        <v>167</v>
      </c>
      <c r="D6581" s="71">
        <v>10</v>
      </c>
      <c r="E6581" s="102">
        <v>138000</v>
      </c>
      <c r="F6581" s="102">
        <f t="shared" si="3440"/>
        <v>1518000.0000000002</v>
      </c>
      <c r="G6581" s="102">
        <f t="shared" si="3441"/>
        <v>1380000</v>
      </c>
      <c r="H6581" s="690" t="s">
        <v>172</v>
      </c>
      <c r="I6581" s="71" t="s">
        <v>33</v>
      </c>
      <c r="J6581" s="53">
        <f t="shared" si="3421"/>
        <v>368000</v>
      </c>
      <c r="K6581" s="63">
        <f t="shared" si="3439"/>
        <v>0.26666666666666661</v>
      </c>
      <c r="L6581" s="1212" t="s">
        <v>3999</v>
      </c>
      <c r="M6581" s="468"/>
      <c r="N6581" s="1192">
        <f t="shared" si="3437"/>
        <v>45314</v>
      </c>
      <c r="O6581" s="71" t="s">
        <v>146</v>
      </c>
      <c r="P6581" s="103" t="str">
        <f t="shared" si="3438"/>
        <v>Blanket(1060*860)</v>
      </c>
      <c r="Q6581" s="71">
        <f t="shared" si="3434"/>
        <v>10</v>
      </c>
      <c r="R6581" s="102">
        <v>101200</v>
      </c>
      <c r="S6581" s="102">
        <f t="shared" si="3442"/>
        <v>1113200</v>
      </c>
      <c r="T6581" s="102">
        <f t="shared" si="3443"/>
        <v>1012000</v>
      </c>
      <c r="U6581" s="71" t="str">
        <f t="shared" si="3444"/>
        <v>X</v>
      </c>
      <c r="V6581" s="71"/>
      <c r="W6581" s="474"/>
      <c r="X6581" s="71"/>
      <c r="Y6581" s="71"/>
    </row>
    <row r="6582" spans="1:25" ht="31.5" hidden="1" customHeight="1" x14ac:dyDescent="0.25">
      <c r="A6582" s="1145">
        <v>45317</v>
      </c>
      <c r="B6582" s="664" t="s">
        <v>545</v>
      </c>
      <c r="C6582" s="71" t="s">
        <v>911</v>
      </c>
      <c r="D6582" s="71">
        <v>1</v>
      </c>
      <c r="E6582" s="102">
        <v>250000</v>
      </c>
      <c r="F6582" s="102">
        <f t="shared" si="3440"/>
        <v>275000</v>
      </c>
      <c r="G6582" s="102">
        <f t="shared" si="3441"/>
        <v>250000</v>
      </c>
      <c r="H6582" s="690" t="s">
        <v>173</v>
      </c>
      <c r="I6582" s="71" t="s">
        <v>2231</v>
      </c>
      <c r="J6582" s="53">
        <f t="shared" si="3421"/>
        <v>175000</v>
      </c>
      <c r="K6582" s="63">
        <f t="shared" si="3439"/>
        <v>0.7</v>
      </c>
      <c r="L6582" s="1212" t="s">
        <v>3999</v>
      </c>
      <c r="M6582" s="468"/>
      <c r="N6582" s="1192">
        <f t="shared" si="3437"/>
        <v>45317</v>
      </c>
      <c r="O6582" s="71" t="s">
        <v>994</v>
      </c>
      <c r="P6582" s="103" t="str">
        <f t="shared" si="3438"/>
        <v>콤푸레샤 에어필터</v>
      </c>
      <c r="Q6582" s="71">
        <f t="shared" si="3434"/>
        <v>1</v>
      </c>
      <c r="R6582" s="102">
        <v>75000</v>
      </c>
      <c r="S6582" s="102">
        <f t="shared" si="3442"/>
        <v>82500</v>
      </c>
      <c r="T6582" s="102">
        <f t="shared" si="3443"/>
        <v>75000</v>
      </c>
      <c r="U6582" s="71" t="str">
        <f t="shared" si="3444"/>
        <v>O</v>
      </c>
      <c r="V6582" s="71"/>
      <c r="W6582" s="474">
        <f>(G6582-T6582)</f>
        <v>175000</v>
      </c>
      <c r="X6582" s="71"/>
      <c r="Y6582" s="71"/>
    </row>
    <row r="6583" spans="1:25" ht="30" hidden="1" customHeight="1" x14ac:dyDescent="0.25">
      <c r="A6583" s="1145">
        <v>45301</v>
      </c>
      <c r="B6583" s="664" t="s">
        <v>575</v>
      </c>
      <c r="C6583" s="71" t="s">
        <v>3218</v>
      </c>
      <c r="D6583" s="71">
        <v>2</v>
      </c>
      <c r="E6583" s="102">
        <v>750000</v>
      </c>
      <c r="F6583" s="102">
        <f t="shared" si="3440"/>
        <v>1650000.0000000002</v>
      </c>
      <c r="G6583" s="102">
        <f t="shared" si="3441"/>
        <v>1500000</v>
      </c>
      <c r="H6583" s="690" t="s">
        <v>1431</v>
      </c>
      <c r="I6583" s="71" t="s">
        <v>1431</v>
      </c>
      <c r="J6583" s="53">
        <f t="shared" si="3421"/>
        <v>530800</v>
      </c>
      <c r="K6583" s="63">
        <f t="shared" ref="K6583:K6589" si="3445">(J6583/(F6583/11*10))</f>
        <v>0.35386666666666661</v>
      </c>
      <c r="L6583" s="1212" t="s">
        <v>3999</v>
      </c>
      <c r="M6583" s="468"/>
      <c r="N6583" s="1192">
        <f t="shared" si="3437"/>
        <v>45301</v>
      </c>
      <c r="O6583" s="71" t="s">
        <v>1431</v>
      </c>
      <c r="P6583" s="164" t="str">
        <f t="shared" si="3438"/>
        <v>타임 릴레이</v>
      </c>
      <c r="Q6583" s="71">
        <f t="shared" si="3434"/>
        <v>2</v>
      </c>
      <c r="R6583" s="102">
        <v>484600</v>
      </c>
      <c r="S6583" s="102">
        <f t="shared" si="3442"/>
        <v>1066120</v>
      </c>
      <c r="T6583" s="102">
        <f t="shared" si="3443"/>
        <v>969200</v>
      </c>
      <c r="U6583" s="71"/>
      <c r="V6583" s="71"/>
      <c r="W6583" s="474"/>
      <c r="X6583" s="71"/>
      <c r="Y6583" s="71"/>
    </row>
    <row r="6584" spans="1:25" ht="30" hidden="1" customHeight="1" x14ac:dyDescent="0.25">
      <c r="A6584" s="1145">
        <v>45311</v>
      </c>
      <c r="B6584" s="664" t="s">
        <v>3824</v>
      </c>
      <c r="C6584" s="71" t="s">
        <v>4005</v>
      </c>
      <c r="D6584" s="71">
        <v>1</v>
      </c>
      <c r="E6584" s="102">
        <v>8650000</v>
      </c>
      <c r="F6584" s="102">
        <f t="shared" si="3440"/>
        <v>9515000</v>
      </c>
      <c r="G6584" s="102">
        <f t="shared" si="3441"/>
        <v>8650000</v>
      </c>
      <c r="H6584" s="690" t="s">
        <v>1431</v>
      </c>
      <c r="I6584" s="71" t="s">
        <v>1431</v>
      </c>
      <c r="J6584" s="53">
        <f t="shared" si="3421"/>
        <v>2864852</v>
      </c>
      <c r="K6584" s="63">
        <f t="shared" si="3445"/>
        <v>0.33119676300578033</v>
      </c>
      <c r="L6584" s="1212" t="s">
        <v>3999</v>
      </c>
      <c r="M6584" s="468"/>
      <c r="N6584" s="1192">
        <f t="shared" si="3437"/>
        <v>45311</v>
      </c>
      <c r="O6584" s="71" t="s">
        <v>1431</v>
      </c>
      <c r="P6584" s="103" t="str">
        <f t="shared" si="3438"/>
        <v>Gudgeon</v>
      </c>
      <c r="Q6584" s="71">
        <f t="shared" si="3434"/>
        <v>1</v>
      </c>
      <c r="R6584" s="147">
        <v>5785148</v>
      </c>
      <c r="S6584" s="102">
        <f t="shared" si="3442"/>
        <v>6363662.8000000007</v>
      </c>
      <c r="T6584" s="102">
        <f t="shared" si="3443"/>
        <v>5785148</v>
      </c>
      <c r="U6584" s="71"/>
      <c r="V6584" s="71"/>
      <c r="W6584" s="474"/>
      <c r="X6584" s="71"/>
      <c r="Y6584" s="71"/>
    </row>
    <row r="6585" spans="1:25" ht="30" hidden="1" customHeight="1" x14ac:dyDescent="0.25">
      <c r="A6585" s="1145">
        <v>45311</v>
      </c>
      <c r="B6585" s="664" t="s">
        <v>3824</v>
      </c>
      <c r="C6585" s="71" t="s">
        <v>4006</v>
      </c>
      <c r="D6585" s="71">
        <v>1</v>
      </c>
      <c r="E6585" s="102"/>
      <c r="F6585" s="102">
        <f t="shared" si="3440"/>
        <v>0</v>
      </c>
      <c r="G6585" s="102">
        <f t="shared" si="3441"/>
        <v>0</v>
      </c>
      <c r="H6585" s="690" t="s">
        <v>1431</v>
      </c>
      <c r="I6585" s="71" t="s">
        <v>1431</v>
      </c>
      <c r="J6585" s="53">
        <f t="shared" si="3421"/>
        <v>0</v>
      </c>
      <c r="K6585" s="63" t="e">
        <f t="shared" si="3445"/>
        <v>#DIV/0!</v>
      </c>
      <c r="L6585" s="1212" t="s">
        <v>3999</v>
      </c>
      <c r="M6585" s="102"/>
      <c r="N6585" s="1192">
        <f t="shared" si="3437"/>
        <v>45311</v>
      </c>
      <c r="O6585" s="71" t="s">
        <v>1431</v>
      </c>
      <c r="P6585" s="103" t="str">
        <f t="shared" si="3438"/>
        <v>Stud, adjusting</v>
      </c>
      <c r="Q6585" s="71">
        <f t="shared" si="3434"/>
        <v>1</v>
      </c>
      <c r="R6585" s="102"/>
      <c r="S6585" s="102">
        <f t="shared" si="3442"/>
        <v>0</v>
      </c>
      <c r="T6585" s="102">
        <f t="shared" si="3443"/>
        <v>0</v>
      </c>
      <c r="U6585" s="71"/>
      <c r="V6585" s="71"/>
      <c r="W6585" s="474"/>
      <c r="X6585" s="71"/>
      <c r="Y6585" s="71"/>
    </row>
    <row r="6586" spans="1:25" s="209" customFormat="1" ht="30" hidden="1" customHeight="1" x14ac:dyDescent="0.25">
      <c r="A6586" s="1145">
        <v>45311</v>
      </c>
      <c r="B6586" s="664" t="s">
        <v>3824</v>
      </c>
      <c r="C6586" s="71" t="s">
        <v>4007</v>
      </c>
      <c r="D6586" s="71">
        <v>1</v>
      </c>
      <c r="E6586" s="102"/>
      <c r="F6586" s="102">
        <f t="shared" si="3440"/>
        <v>0</v>
      </c>
      <c r="G6586" s="102">
        <f t="shared" si="3441"/>
        <v>0</v>
      </c>
      <c r="H6586" s="690" t="s">
        <v>1431</v>
      </c>
      <c r="I6586" s="71" t="s">
        <v>1431</v>
      </c>
      <c r="J6586" s="53">
        <f t="shared" si="3421"/>
        <v>0</v>
      </c>
      <c r="K6586" s="63" t="e">
        <f t="shared" si="3445"/>
        <v>#DIV/0!</v>
      </c>
      <c r="L6586" s="1212" t="s">
        <v>3999</v>
      </c>
      <c r="M6586" s="468"/>
      <c r="N6586" s="1192">
        <f t="shared" si="3437"/>
        <v>45311</v>
      </c>
      <c r="O6586" s="71" t="s">
        <v>1431</v>
      </c>
      <c r="P6586" s="164" t="str">
        <f t="shared" si="3438"/>
        <v>Clamping collar</v>
      </c>
      <c r="Q6586" s="71">
        <f t="shared" si="3434"/>
        <v>1</v>
      </c>
      <c r="R6586" s="102"/>
      <c r="S6586" s="102">
        <f t="shared" si="3442"/>
        <v>0</v>
      </c>
      <c r="T6586" s="102">
        <f t="shared" si="3443"/>
        <v>0</v>
      </c>
      <c r="U6586" s="71"/>
      <c r="V6586" s="71"/>
      <c r="W6586" s="474"/>
      <c r="X6586" s="71"/>
      <c r="Y6586" s="71"/>
    </row>
    <row r="6587" spans="1:25" ht="30" hidden="1" customHeight="1" x14ac:dyDescent="0.25">
      <c r="A6587" s="1145">
        <v>45311</v>
      </c>
      <c r="B6587" s="664" t="s">
        <v>3824</v>
      </c>
      <c r="C6587" s="71" t="s">
        <v>4008</v>
      </c>
      <c r="D6587" s="71">
        <v>1</v>
      </c>
      <c r="E6587" s="102"/>
      <c r="F6587" s="102">
        <f t="shared" si="3440"/>
        <v>0</v>
      </c>
      <c r="G6587" s="102">
        <f t="shared" si="3441"/>
        <v>0</v>
      </c>
      <c r="H6587" s="690" t="s">
        <v>1431</v>
      </c>
      <c r="I6587" s="71" t="s">
        <v>1431</v>
      </c>
      <c r="J6587" s="53">
        <f t="shared" si="3421"/>
        <v>0</v>
      </c>
      <c r="K6587" s="63" t="e">
        <f t="shared" si="3445"/>
        <v>#DIV/0!</v>
      </c>
      <c r="L6587" s="1212" t="s">
        <v>3999</v>
      </c>
      <c r="M6587" s="468"/>
      <c r="N6587" s="1192">
        <f t="shared" si="3437"/>
        <v>45311</v>
      </c>
      <c r="O6587" s="71" t="s">
        <v>1431</v>
      </c>
      <c r="P6587" s="103" t="str">
        <f t="shared" si="3438"/>
        <v>Ring</v>
      </c>
      <c r="Q6587" s="71">
        <f t="shared" si="3434"/>
        <v>1</v>
      </c>
      <c r="R6587" s="102"/>
      <c r="S6587" s="102">
        <f t="shared" si="3442"/>
        <v>0</v>
      </c>
      <c r="T6587" s="102">
        <f t="shared" si="3443"/>
        <v>0</v>
      </c>
      <c r="U6587" s="71"/>
      <c r="V6587" s="71"/>
      <c r="W6587" s="474"/>
      <c r="X6587" s="71"/>
      <c r="Y6587" s="71"/>
    </row>
    <row r="6588" spans="1:25" s="209" customFormat="1" ht="30" hidden="1" customHeight="1" x14ac:dyDescent="0.25">
      <c r="A6588" s="1145">
        <v>45311</v>
      </c>
      <c r="B6588" s="664" t="s">
        <v>3824</v>
      </c>
      <c r="C6588" s="71" t="s">
        <v>4009</v>
      </c>
      <c r="D6588" s="71">
        <v>1</v>
      </c>
      <c r="E6588" s="102"/>
      <c r="F6588" s="102">
        <f t="shared" si="3440"/>
        <v>0</v>
      </c>
      <c r="G6588" s="102">
        <f t="shared" si="3441"/>
        <v>0</v>
      </c>
      <c r="H6588" s="690" t="s">
        <v>1431</v>
      </c>
      <c r="I6588" s="71" t="s">
        <v>1431</v>
      </c>
      <c r="J6588" s="53">
        <f t="shared" si="3421"/>
        <v>0</v>
      </c>
      <c r="K6588" s="63" t="e">
        <f t="shared" si="3445"/>
        <v>#DIV/0!</v>
      </c>
      <c r="L6588" s="1212" t="s">
        <v>3999</v>
      </c>
      <c r="M6588" s="468"/>
      <c r="N6588" s="1192">
        <f t="shared" si="3437"/>
        <v>45311</v>
      </c>
      <c r="O6588" s="71" t="s">
        <v>1431</v>
      </c>
      <c r="P6588" s="164" t="str">
        <f t="shared" si="3438"/>
        <v>릴레이 K1153</v>
      </c>
      <c r="Q6588" s="71">
        <f t="shared" si="3434"/>
        <v>1</v>
      </c>
      <c r="R6588" s="102"/>
      <c r="S6588" s="102">
        <f t="shared" si="3442"/>
        <v>0</v>
      </c>
      <c r="T6588" s="102">
        <f t="shared" si="3443"/>
        <v>0</v>
      </c>
      <c r="U6588" s="71"/>
      <c r="V6588" s="71"/>
      <c r="W6588" s="474"/>
      <c r="X6588" s="71"/>
      <c r="Y6588" s="71"/>
    </row>
    <row r="6589" spans="1:25" ht="30" hidden="1" customHeight="1" x14ac:dyDescent="0.25">
      <c r="A6589" s="1145">
        <v>45311</v>
      </c>
      <c r="B6589" s="664" t="s">
        <v>1178</v>
      </c>
      <c r="C6589" s="71" t="s">
        <v>4010</v>
      </c>
      <c r="D6589" s="71">
        <v>1</v>
      </c>
      <c r="E6589" s="102">
        <v>443637</v>
      </c>
      <c r="F6589" s="102">
        <f t="shared" si="3440"/>
        <v>488000.7</v>
      </c>
      <c r="G6589" s="102">
        <f t="shared" si="3441"/>
        <v>443637</v>
      </c>
      <c r="H6589" s="690" t="s">
        <v>142</v>
      </c>
      <c r="I6589" s="71" t="s">
        <v>142</v>
      </c>
      <c r="J6589" s="53">
        <f t="shared" si="3421"/>
        <v>77637</v>
      </c>
      <c r="K6589" s="63">
        <f t="shared" si="3445"/>
        <v>0.17500118339994183</v>
      </c>
      <c r="L6589" s="1212" t="s">
        <v>3999</v>
      </c>
      <c r="M6589" s="102"/>
      <c r="N6589" s="1192">
        <f t="shared" si="3437"/>
        <v>45311</v>
      </c>
      <c r="O6589" s="71" t="s">
        <v>145</v>
      </c>
      <c r="P6589" s="103" t="str">
        <f t="shared" si="3438"/>
        <v>850*680 판재 100장</v>
      </c>
      <c r="Q6589" s="71">
        <f t="shared" si="3434"/>
        <v>1</v>
      </c>
      <c r="R6589" s="102">
        <v>366000</v>
      </c>
      <c r="S6589" s="102">
        <f t="shared" si="3442"/>
        <v>402600.00000000006</v>
      </c>
      <c r="T6589" s="102">
        <f t="shared" si="3443"/>
        <v>366000</v>
      </c>
      <c r="U6589" s="71"/>
      <c r="V6589" s="71"/>
      <c r="W6589" s="474"/>
      <c r="X6589" s="71"/>
      <c r="Y6589" s="71"/>
    </row>
    <row r="6590" spans="1:25" ht="30" hidden="1" customHeight="1" x14ac:dyDescent="0.25">
      <c r="A6590" s="1210" t="s">
        <v>4022</v>
      </c>
      <c r="B6590" s="1211" t="s">
        <v>544</v>
      </c>
      <c r="C6590" s="960"/>
      <c r="D6590" s="960"/>
      <c r="E6590" s="952"/>
      <c r="F6590" s="952"/>
      <c r="G6590" s="952"/>
      <c r="H6590" s="1206"/>
      <c r="I6590" s="960"/>
      <c r="J6590" s="952"/>
      <c r="K6590" s="953"/>
      <c r="L6590" s="1212" t="s">
        <v>4024</v>
      </c>
      <c r="M6590" s="1207"/>
      <c r="N6590" s="1208" t="str">
        <f t="shared" si="3437"/>
        <v>2024,2</v>
      </c>
      <c r="O6590" s="960"/>
      <c r="P6590" s="1209"/>
      <c r="Q6590" s="960"/>
      <c r="R6590" s="952"/>
      <c r="S6590" s="952"/>
      <c r="T6590" s="952"/>
      <c r="U6590" s="960"/>
      <c r="V6590" s="960"/>
      <c r="W6590" s="474">
        <f>(G6590-T6590)</f>
        <v>0</v>
      </c>
      <c r="X6590" s="71"/>
      <c r="Y6590" s="71"/>
    </row>
    <row r="6591" spans="1:25" ht="30" customHeight="1" x14ac:dyDescent="0.25">
      <c r="A6591" s="1145">
        <v>45348</v>
      </c>
      <c r="B6591" s="664" t="s">
        <v>641</v>
      </c>
      <c r="C6591" s="71" t="s">
        <v>3293</v>
      </c>
      <c r="D6591" s="71">
        <v>100</v>
      </c>
      <c r="E6591" s="102">
        <v>84000</v>
      </c>
      <c r="F6591" s="102">
        <f t="shared" ref="F6591:F6626" si="3446">(E6591*D6591)*1.1</f>
        <v>9240000</v>
      </c>
      <c r="G6591" s="102">
        <f t="shared" ref="G6591:G6626" si="3447">(E6591*D6591)</f>
        <v>8400000</v>
      </c>
      <c r="H6591" s="690" t="s">
        <v>172</v>
      </c>
      <c r="I6591" s="71" t="s">
        <v>38</v>
      </c>
      <c r="J6591" s="53">
        <f t="shared" ref="J6591:J6597" si="3448">G6591-T6591</f>
        <v>3300000</v>
      </c>
      <c r="K6591" s="63">
        <f t="shared" ref="K6591:K6654" si="3449">(J6591/(F6591/11*10))</f>
        <v>0.39285714285714285</v>
      </c>
      <c r="L6591" s="1212" t="s">
        <v>4024</v>
      </c>
      <c r="M6591" s="468"/>
      <c r="N6591" s="1192">
        <f t="shared" si="3437"/>
        <v>45348</v>
      </c>
      <c r="O6591" s="71" t="s">
        <v>3291</v>
      </c>
      <c r="P6591" s="103" t="str">
        <f t="shared" ref="P6591:P6604" si="3450">(C6591)</f>
        <v>GOSS 신문윤전 습식세정포</v>
      </c>
      <c r="Q6591" s="71">
        <f t="shared" ref="Q6591:Q6598" si="3451">D6591</f>
        <v>100</v>
      </c>
      <c r="R6591" s="102">
        <v>51000</v>
      </c>
      <c r="S6591" s="102">
        <f t="shared" ref="S6591:S6594" si="3452">R6591*Q6591*1.1</f>
        <v>5610000</v>
      </c>
      <c r="T6591" s="102">
        <f t="shared" ref="T6591:T6594" si="3453">R6591*Q6591</f>
        <v>5100000</v>
      </c>
      <c r="U6591" s="71" t="str">
        <f>IF(J6591=W6591,"O", "X")</f>
        <v>X</v>
      </c>
      <c r="V6591" s="71"/>
      <c r="W6591" s="474"/>
      <c r="X6591" s="71"/>
      <c r="Y6591" s="71"/>
    </row>
    <row r="6592" spans="1:25" ht="30" hidden="1" customHeight="1" x14ac:dyDescent="0.25">
      <c r="A6592" s="1145">
        <v>45328</v>
      </c>
      <c r="B6592" s="664" t="s">
        <v>2353</v>
      </c>
      <c r="C6592" s="71" t="s">
        <v>129</v>
      </c>
      <c r="D6592" s="71">
        <v>7</v>
      </c>
      <c r="E6592" s="102">
        <v>325000</v>
      </c>
      <c r="F6592" s="102">
        <f t="shared" si="3446"/>
        <v>2502500</v>
      </c>
      <c r="G6592" s="102">
        <f t="shared" si="3447"/>
        <v>2275000</v>
      </c>
      <c r="H6592" s="690" t="s">
        <v>142</v>
      </c>
      <c r="I6592" s="71" t="s">
        <v>179</v>
      </c>
      <c r="J6592" s="53">
        <f t="shared" si="3448"/>
        <v>636440</v>
      </c>
      <c r="K6592" s="63">
        <f t="shared" si="3449"/>
        <v>0.27975384615384613</v>
      </c>
      <c r="L6592" s="1212" t="s">
        <v>4023</v>
      </c>
      <c r="M6592" s="468" t="s">
        <v>2050</v>
      </c>
      <c r="N6592" s="1192">
        <f t="shared" si="3437"/>
        <v>45328</v>
      </c>
      <c r="O6592" s="71" t="s">
        <v>149</v>
      </c>
      <c r="P6592" s="103" t="str">
        <f t="shared" si="3450"/>
        <v>세정포-XL106</v>
      </c>
      <c r="Q6592" s="71">
        <f t="shared" si="3451"/>
        <v>7</v>
      </c>
      <c r="R6592" s="102">
        <v>234080</v>
      </c>
      <c r="S6592" s="102">
        <f t="shared" si="3452"/>
        <v>1802416.0000000002</v>
      </c>
      <c r="T6592" s="102">
        <f t="shared" si="3453"/>
        <v>1638560</v>
      </c>
      <c r="U6592" s="71" t="str">
        <f>IF(J6592=W6592,"O", "X")</f>
        <v>O</v>
      </c>
      <c r="V6592" s="71"/>
      <c r="W6592" s="474">
        <f>(G6592-T6592)</f>
        <v>636440</v>
      </c>
      <c r="X6592" s="71"/>
      <c r="Y6592" s="71"/>
    </row>
    <row r="6593" spans="1:25" s="209" customFormat="1" ht="30" hidden="1" customHeight="1" x14ac:dyDescent="0.25">
      <c r="A6593" s="1145">
        <v>45328</v>
      </c>
      <c r="B6593" s="664" t="s">
        <v>2353</v>
      </c>
      <c r="C6593" s="71" t="s">
        <v>3299</v>
      </c>
      <c r="D6593" s="71">
        <v>15</v>
      </c>
      <c r="E6593" s="102">
        <v>83000</v>
      </c>
      <c r="F6593" s="102">
        <f t="shared" si="3446"/>
        <v>1369500</v>
      </c>
      <c r="G6593" s="102">
        <f t="shared" si="3447"/>
        <v>1245000</v>
      </c>
      <c r="H6593" s="690" t="s">
        <v>142</v>
      </c>
      <c r="I6593" s="71" t="s">
        <v>179</v>
      </c>
      <c r="J6593" s="53">
        <f t="shared" si="3448"/>
        <v>532500</v>
      </c>
      <c r="K6593" s="63">
        <f t="shared" si="3449"/>
        <v>0.42771084337349397</v>
      </c>
      <c r="L6593" s="1212" t="s">
        <v>4023</v>
      </c>
      <c r="M6593" s="468" t="s">
        <v>2214</v>
      </c>
      <c r="N6593" s="1192">
        <f t="shared" si="3437"/>
        <v>45328</v>
      </c>
      <c r="O6593" s="71" t="s">
        <v>3383</v>
      </c>
      <c r="P6593" s="103" t="str">
        <f t="shared" si="3450"/>
        <v>매엽용 세척제(Wash k11)</v>
      </c>
      <c r="Q6593" s="71">
        <f t="shared" si="3451"/>
        <v>15</v>
      </c>
      <c r="R6593" s="102">
        <v>47500</v>
      </c>
      <c r="S6593" s="102">
        <f t="shared" si="3452"/>
        <v>783750.00000000012</v>
      </c>
      <c r="T6593" s="102">
        <f t="shared" si="3453"/>
        <v>712500</v>
      </c>
      <c r="U6593" s="71" t="s">
        <v>859</v>
      </c>
      <c r="V6593" s="71"/>
      <c r="W6593" s="474">
        <v>136000</v>
      </c>
      <c r="X6593" s="71"/>
      <c r="Y6593" s="71"/>
    </row>
    <row r="6594" spans="1:25" s="209" customFormat="1" ht="30" hidden="1" customHeight="1" x14ac:dyDescent="0.25">
      <c r="A6594" s="1145">
        <v>45328</v>
      </c>
      <c r="B6594" s="664" t="s">
        <v>2353</v>
      </c>
      <c r="C6594" s="71" t="s">
        <v>130</v>
      </c>
      <c r="D6594" s="71">
        <v>10</v>
      </c>
      <c r="E6594" s="102">
        <v>148000</v>
      </c>
      <c r="F6594" s="102">
        <f t="shared" si="3446"/>
        <v>1628000.0000000002</v>
      </c>
      <c r="G6594" s="102">
        <f t="shared" si="3447"/>
        <v>1480000</v>
      </c>
      <c r="H6594" s="690" t="s">
        <v>142</v>
      </c>
      <c r="I6594" s="71" t="s">
        <v>179</v>
      </c>
      <c r="J6594" s="53">
        <f t="shared" si="3448"/>
        <v>360000</v>
      </c>
      <c r="K6594" s="63">
        <f t="shared" si="3449"/>
        <v>0.2432432432432432</v>
      </c>
      <c r="L6594" s="1212" t="s">
        <v>4023</v>
      </c>
      <c r="M6594" s="468" t="s">
        <v>2050</v>
      </c>
      <c r="N6594" s="1192">
        <f t="shared" si="3437"/>
        <v>45328</v>
      </c>
      <c r="O6594" s="71" t="s">
        <v>3383</v>
      </c>
      <c r="P6594" s="103" t="str">
        <f t="shared" si="3450"/>
        <v>XL106 Blanket(1077*885)</v>
      </c>
      <c r="Q6594" s="71">
        <f t="shared" si="3451"/>
        <v>10</v>
      </c>
      <c r="R6594" s="102">
        <v>112000</v>
      </c>
      <c r="S6594" s="102">
        <f t="shared" si="3452"/>
        <v>1232000</v>
      </c>
      <c r="T6594" s="102">
        <f t="shared" si="3453"/>
        <v>1120000</v>
      </c>
      <c r="U6594" s="71" t="s">
        <v>859</v>
      </c>
      <c r="V6594" s="71"/>
      <c r="W6594" s="474">
        <v>260000</v>
      </c>
      <c r="X6594" s="71"/>
      <c r="Y6594" s="71"/>
    </row>
    <row r="6595" spans="1:25" ht="30" hidden="1" customHeight="1" x14ac:dyDescent="0.25">
      <c r="A6595" s="1145">
        <v>45328</v>
      </c>
      <c r="B6595" s="664" t="s">
        <v>2353</v>
      </c>
      <c r="C6595" s="71" t="s">
        <v>3384</v>
      </c>
      <c r="D6595" s="71">
        <v>300</v>
      </c>
      <c r="E6595" s="102">
        <v>500</v>
      </c>
      <c r="F6595" s="102">
        <f t="shared" si="3446"/>
        <v>165000</v>
      </c>
      <c r="G6595" s="102">
        <f t="shared" si="3447"/>
        <v>150000</v>
      </c>
      <c r="H6595" s="690" t="s">
        <v>142</v>
      </c>
      <c r="I6595" s="71" t="s">
        <v>179</v>
      </c>
      <c r="J6595" s="53">
        <f t="shared" si="3448"/>
        <v>30000</v>
      </c>
      <c r="K6595" s="63">
        <f t="shared" si="3449"/>
        <v>0.2</v>
      </c>
      <c r="L6595" s="1212" t="s">
        <v>4023</v>
      </c>
      <c r="M6595" s="468"/>
      <c r="N6595" s="1192">
        <f t="shared" si="3437"/>
        <v>45328</v>
      </c>
      <c r="O6595" s="71"/>
      <c r="P6595" s="164" t="str">
        <f t="shared" si="3450"/>
        <v>고무사카 빨간색</v>
      </c>
      <c r="Q6595" s="71">
        <f t="shared" si="3451"/>
        <v>300</v>
      </c>
      <c r="R6595" s="690">
        <v>400</v>
      </c>
      <c r="S6595" s="102">
        <f t="shared" ref="S6595:S6597" si="3454">R6595*Q6595*1.1</f>
        <v>132000</v>
      </c>
      <c r="T6595" s="102">
        <f t="shared" ref="T6595:T6597" si="3455">R6595*Q6595</f>
        <v>120000</v>
      </c>
      <c r="U6595" s="71"/>
      <c r="V6595" s="71"/>
      <c r="W6595" s="474"/>
      <c r="X6595" s="71"/>
      <c r="Y6595" s="71"/>
    </row>
    <row r="6596" spans="1:25" ht="30" hidden="1" customHeight="1" x14ac:dyDescent="0.25">
      <c r="A6596" s="1145">
        <v>45328</v>
      </c>
      <c r="B6596" s="664" t="s">
        <v>2353</v>
      </c>
      <c r="C6596" s="71" t="s">
        <v>4025</v>
      </c>
      <c r="D6596" s="71">
        <v>10</v>
      </c>
      <c r="E6596" s="102">
        <v>25000</v>
      </c>
      <c r="F6596" s="102">
        <f t="shared" si="3446"/>
        <v>275000</v>
      </c>
      <c r="G6596" s="102">
        <f t="shared" si="3447"/>
        <v>250000</v>
      </c>
      <c r="H6596" s="690" t="s">
        <v>142</v>
      </c>
      <c r="I6596" s="71" t="s">
        <v>179</v>
      </c>
      <c r="J6596" s="53">
        <f t="shared" si="3448"/>
        <v>20000</v>
      </c>
      <c r="K6596" s="63">
        <f t="shared" si="3449"/>
        <v>0.08</v>
      </c>
      <c r="L6596" s="1212" t="s">
        <v>4023</v>
      </c>
      <c r="M6596" s="468"/>
      <c r="N6596" s="1192">
        <f t="shared" si="3437"/>
        <v>45328</v>
      </c>
      <c r="O6596" s="71"/>
      <c r="P6596" s="103" t="str">
        <f t="shared" si="3450"/>
        <v>삼각 강판</v>
      </c>
      <c r="Q6596" s="71">
        <f t="shared" si="3451"/>
        <v>10</v>
      </c>
      <c r="R6596" s="690">
        <v>23000</v>
      </c>
      <c r="S6596" s="102">
        <f t="shared" si="3454"/>
        <v>253000.00000000003</v>
      </c>
      <c r="T6596" s="102">
        <f t="shared" si="3455"/>
        <v>230000</v>
      </c>
      <c r="U6596" s="71"/>
      <c r="V6596" s="71"/>
      <c r="W6596" s="474"/>
      <c r="X6596" s="71"/>
      <c r="Y6596" s="71"/>
    </row>
    <row r="6597" spans="1:25" ht="30" hidden="1" customHeight="1" x14ac:dyDescent="0.25">
      <c r="A6597" s="1145">
        <v>45335</v>
      </c>
      <c r="B6597" s="664" t="s">
        <v>2353</v>
      </c>
      <c r="C6597" s="71" t="s">
        <v>4026</v>
      </c>
      <c r="D6597" s="71">
        <v>1</v>
      </c>
      <c r="E6597" s="102">
        <v>4800000</v>
      </c>
      <c r="F6597" s="102">
        <f t="shared" si="3446"/>
        <v>5280000</v>
      </c>
      <c r="G6597" s="102">
        <f t="shared" si="3447"/>
        <v>4800000</v>
      </c>
      <c r="H6597" s="690" t="s">
        <v>142</v>
      </c>
      <c r="I6597" s="71" t="s">
        <v>179</v>
      </c>
      <c r="J6597" s="53">
        <f t="shared" si="3448"/>
        <v>450000</v>
      </c>
      <c r="K6597" s="63">
        <f t="shared" si="3449"/>
        <v>9.375E-2</v>
      </c>
      <c r="L6597" s="1212" t="s">
        <v>4023</v>
      </c>
      <c r="M6597" s="102"/>
      <c r="N6597" s="1192">
        <f t="shared" si="3437"/>
        <v>45335</v>
      </c>
      <c r="O6597" s="71"/>
      <c r="P6597" s="103" t="str">
        <f t="shared" si="3450"/>
        <v>순환 펌프</v>
      </c>
      <c r="Q6597" s="71">
        <f t="shared" si="3451"/>
        <v>1</v>
      </c>
      <c r="R6597" s="690">
        <v>4350000</v>
      </c>
      <c r="S6597" s="102">
        <f t="shared" si="3454"/>
        <v>4785000</v>
      </c>
      <c r="T6597" s="102">
        <f t="shared" si="3455"/>
        <v>4350000</v>
      </c>
      <c r="U6597" s="71"/>
      <c r="V6597" s="71"/>
      <c r="W6597" s="474"/>
      <c r="X6597" s="71"/>
      <c r="Y6597" s="71"/>
    </row>
    <row r="6598" spans="1:25" ht="30" hidden="1" customHeight="1" x14ac:dyDescent="0.25">
      <c r="A6598" s="1145">
        <v>45338</v>
      </c>
      <c r="B6598" s="664" t="s">
        <v>2579</v>
      </c>
      <c r="C6598" s="71" t="s">
        <v>3738</v>
      </c>
      <c r="D6598" s="71">
        <v>20</v>
      </c>
      <c r="E6598" s="102">
        <v>130000</v>
      </c>
      <c r="F6598" s="102">
        <f t="shared" si="3446"/>
        <v>2860000</v>
      </c>
      <c r="G6598" s="102">
        <f t="shared" si="3447"/>
        <v>2600000</v>
      </c>
      <c r="H6598" s="690" t="s">
        <v>142</v>
      </c>
      <c r="I6598" s="71" t="s">
        <v>142</v>
      </c>
      <c r="J6598" s="53">
        <f t="shared" ref="J6598:J6600" si="3456">G6598-T6598</f>
        <v>486000</v>
      </c>
      <c r="K6598" s="63">
        <f t="shared" si="3449"/>
        <v>0.18692307692307691</v>
      </c>
      <c r="L6598" s="1212" t="s">
        <v>4023</v>
      </c>
      <c r="M6598" s="468"/>
      <c r="N6598" s="1192">
        <f t="shared" si="3437"/>
        <v>45338</v>
      </c>
      <c r="O6598" s="71" t="s">
        <v>147</v>
      </c>
      <c r="P6598" s="103" t="str">
        <f t="shared" si="3450"/>
        <v>블랑켓 - 고모리 용 (1040*920)</v>
      </c>
      <c r="Q6598" s="71">
        <f t="shared" si="3451"/>
        <v>20</v>
      </c>
      <c r="R6598" s="102">
        <v>105700</v>
      </c>
      <c r="S6598" s="102">
        <f t="shared" ref="S6598:S6626" si="3457">R6598*Q6598*1.1</f>
        <v>2325400</v>
      </c>
      <c r="T6598" s="102">
        <f t="shared" ref="T6598:T6626" si="3458">R6598*Q6598</f>
        <v>2114000</v>
      </c>
      <c r="U6598" s="71"/>
      <c r="V6598" s="71"/>
      <c r="W6598" s="474"/>
      <c r="X6598" s="71"/>
      <c r="Y6598" s="71"/>
    </row>
    <row r="6599" spans="1:25" ht="30" hidden="1" customHeight="1" x14ac:dyDescent="0.25">
      <c r="A6599" s="1145">
        <v>45338</v>
      </c>
      <c r="B6599" s="664" t="s">
        <v>2353</v>
      </c>
      <c r="C6599" s="71" t="s">
        <v>3728</v>
      </c>
      <c r="D6599" s="71">
        <v>30</v>
      </c>
      <c r="E6599" s="102">
        <v>35000</v>
      </c>
      <c r="F6599" s="102">
        <f t="shared" si="3446"/>
        <v>1155000</v>
      </c>
      <c r="G6599" s="102">
        <f t="shared" si="3447"/>
        <v>1050000</v>
      </c>
      <c r="H6599" s="690" t="s">
        <v>142</v>
      </c>
      <c r="I6599" s="71" t="s">
        <v>142</v>
      </c>
      <c r="J6599" s="53">
        <f t="shared" si="3456"/>
        <v>100000</v>
      </c>
      <c r="K6599" s="63">
        <f t="shared" si="3449"/>
        <v>9.5238095238095233E-2</v>
      </c>
      <c r="L6599" s="1212" t="s">
        <v>4023</v>
      </c>
      <c r="M6599" s="468" t="s">
        <v>3907</v>
      </c>
      <c r="N6599" s="1192">
        <f t="shared" si="3437"/>
        <v>45338</v>
      </c>
      <c r="O6599" s="71" t="s">
        <v>149</v>
      </c>
      <c r="P6599" s="103" t="str">
        <f t="shared" si="3450"/>
        <v>고모리 자동 세척액</v>
      </c>
      <c r="Q6599" s="71">
        <v>20</v>
      </c>
      <c r="R6599" s="102">
        <v>47500</v>
      </c>
      <c r="S6599" s="102">
        <f t="shared" si="3457"/>
        <v>1045000.0000000001</v>
      </c>
      <c r="T6599" s="102">
        <f t="shared" si="3458"/>
        <v>950000</v>
      </c>
      <c r="U6599" s="71"/>
      <c r="V6599" s="71"/>
      <c r="W6599" s="474"/>
      <c r="X6599" s="71"/>
      <c r="Y6599" s="71"/>
    </row>
    <row r="6600" spans="1:25" s="209" customFormat="1" ht="30" hidden="1" customHeight="1" x14ac:dyDescent="0.25">
      <c r="A6600" s="1145">
        <v>45338</v>
      </c>
      <c r="B6600" s="664" t="s">
        <v>2353</v>
      </c>
      <c r="C6600" s="71" t="s">
        <v>3843</v>
      </c>
      <c r="D6600" s="71">
        <v>4</v>
      </c>
      <c r="E6600" s="102">
        <v>180000</v>
      </c>
      <c r="F6600" s="102">
        <f t="shared" si="3446"/>
        <v>792000.00000000012</v>
      </c>
      <c r="G6600" s="102">
        <f t="shared" si="3447"/>
        <v>720000</v>
      </c>
      <c r="H6600" s="690" t="s">
        <v>179</v>
      </c>
      <c r="I6600" s="71" t="s">
        <v>179</v>
      </c>
      <c r="J6600" s="53">
        <f t="shared" si="3456"/>
        <v>192000</v>
      </c>
      <c r="K6600" s="63">
        <f t="shared" si="3449"/>
        <v>0.26666666666666661</v>
      </c>
      <c r="L6600" s="1212" t="s">
        <v>4023</v>
      </c>
      <c r="M6600" s="468"/>
      <c r="N6600" s="1192">
        <f t="shared" si="3437"/>
        <v>45338</v>
      </c>
      <c r="O6600" s="71" t="s">
        <v>3383</v>
      </c>
      <c r="P6600" s="164" t="str">
        <f t="shared" si="3450"/>
        <v>수이보 세척액(습수액 클리너)</v>
      </c>
      <c r="Q6600" s="71">
        <f t="shared" ref="Q6600:Q6621" si="3459">D6600</f>
        <v>4</v>
      </c>
      <c r="R6600" s="102">
        <f>11000*12</f>
        <v>132000</v>
      </c>
      <c r="S6600" s="102">
        <f t="shared" si="3457"/>
        <v>580800</v>
      </c>
      <c r="T6600" s="102">
        <f t="shared" si="3458"/>
        <v>528000</v>
      </c>
      <c r="U6600" s="71"/>
      <c r="V6600" s="71"/>
      <c r="W6600" s="474"/>
      <c r="X6600" s="71"/>
      <c r="Y6600" s="71"/>
    </row>
    <row r="6601" spans="1:25" ht="30" customHeight="1" x14ac:dyDescent="0.25">
      <c r="A6601" s="1145">
        <v>45327</v>
      </c>
      <c r="B6601" s="664" t="s">
        <v>2352</v>
      </c>
      <c r="C6601" s="71" t="s">
        <v>3836</v>
      </c>
      <c r="D6601" s="71">
        <v>48</v>
      </c>
      <c r="E6601" s="102">
        <v>18500</v>
      </c>
      <c r="F6601" s="102">
        <f t="shared" si="3446"/>
        <v>976800.00000000012</v>
      </c>
      <c r="G6601" s="102">
        <f t="shared" si="3447"/>
        <v>888000</v>
      </c>
      <c r="H6601" s="690" t="s">
        <v>179</v>
      </c>
      <c r="I6601" s="71" t="s">
        <v>179</v>
      </c>
      <c r="J6601" s="53">
        <f>G6601-T6601</f>
        <v>355968</v>
      </c>
      <c r="K6601" s="63">
        <f t="shared" si="3449"/>
        <v>0.40086486486486483</v>
      </c>
      <c r="L6601" s="1212" t="s">
        <v>4023</v>
      </c>
      <c r="M6601" s="468"/>
      <c r="N6601" s="1192">
        <f>A6601</f>
        <v>45327</v>
      </c>
      <c r="O6601" s="71"/>
      <c r="P6601" s="103" t="str">
        <f t="shared" si="3450"/>
        <v>고모리 윤전 블랑켓 건식 세정포 - 국전용</v>
      </c>
      <c r="Q6601" s="71">
        <f t="shared" si="3459"/>
        <v>48</v>
      </c>
      <c r="R6601" s="102">
        <v>11084</v>
      </c>
      <c r="S6601" s="102">
        <f t="shared" si="3457"/>
        <v>585235.20000000007</v>
      </c>
      <c r="T6601" s="102">
        <f t="shared" si="3458"/>
        <v>532032</v>
      </c>
      <c r="U6601" s="71"/>
      <c r="V6601" s="71"/>
      <c r="W6601" s="474"/>
      <c r="X6601" s="71"/>
      <c r="Y6601" s="71"/>
    </row>
    <row r="6602" spans="1:25" ht="30" customHeight="1" x14ac:dyDescent="0.25">
      <c r="A6602" s="1145">
        <v>45327</v>
      </c>
      <c r="B6602" s="664" t="s">
        <v>2536</v>
      </c>
      <c r="C6602" s="71" t="s">
        <v>3590</v>
      </c>
      <c r="D6602" s="71">
        <v>100</v>
      </c>
      <c r="E6602" s="102">
        <v>24000</v>
      </c>
      <c r="F6602" s="102">
        <f t="shared" si="3446"/>
        <v>2640000</v>
      </c>
      <c r="G6602" s="102">
        <f t="shared" si="3447"/>
        <v>2400000</v>
      </c>
      <c r="H6602" s="690" t="s">
        <v>142</v>
      </c>
      <c r="I6602" s="71" t="s">
        <v>179</v>
      </c>
      <c r="J6602" s="53">
        <f t="shared" ref="J6602:J6621" si="3460">G6602-T6602</f>
        <v>760000</v>
      </c>
      <c r="K6602" s="63">
        <f t="shared" si="3449"/>
        <v>0.31666666666666665</v>
      </c>
      <c r="L6602" s="1212" t="s">
        <v>4023</v>
      </c>
      <c r="M6602" s="468"/>
      <c r="N6602" s="1192">
        <f t="shared" ref="N6602:N6604" si="3461">A6602</f>
        <v>45327</v>
      </c>
      <c r="O6602" s="71" t="s">
        <v>3709</v>
      </c>
      <c r="P6602" s="103" t="str">
        <f t="shared" si="3450"/>
        <v>3M 양면 테이프</v>
      </c>
      <c r="Q6602" s="71">
        <f t="shared" si="3459"/>
        <v>100</v>
      </c>
      <c r="R6602" s="102">
        <v>16400</v>
      </c>
      <c r="S6602" s="102">
        <f t="shared" si="3457"/>
        <v>1804000.0000000002</v>
      </c>
      <c r="T6602" s="102">
        <f t="shared" si="3458"/>
        <v>1640000</v>
      </c>
      <c r="U6602" s="71"/>
      <c r="V6602" s="71"/>
      <c r="W6602" s="474"/>
      <c r="X6602" s="71"/>
      <c r="Y6602" s="71"/>
    </row>
    <row r="6603" spans="1:25" ht="30" customHeight="1" x14ac:dyDescent="0.25">
      <c r="A6603" s="1145">
        <v>45327</v>
      </c>
      <c r="B6603" s="664" t="s">
        <v>2352</v>
      </c>
      <c r="C6603" s="71" t="s">
        <v>3838</v>
      </c>
      <c r="D6603" s="71">
        <v>30</v>
      </c>
      <c r="E6603" s="102">
        <v>20000</v>
      </c>
      <c r="F6603" s="102">
        <f t="shared" si="3446"/>
        <v>660000</v>
      </c>
      <c r="G6603" s="102">
        <f t="shared" si="3447"/>
        <v>600000</v>
      </c>
      <c r="H6603" s="690" t="s">
        <v>179</v>
      </c>
      <c r="I6603" s="71" t="s">
        <v>179</v>
      </c>
      <c r="J6603" s="53">
        <f t="shared" si="3460"/>
        <v>555000</v>
      </c>
      <c r="K6603" s="63">
        <f t="shared" si="3449"/>
        <v>0.92500000000000004</v>
      </c>
      <c r="L6603" s="1212" t="s">
        <v>4023</v>
      </c>
      <c r="M6603" s="468"/>
      <c r="N6603" s="1192">
        <f t="shared" si="3461"/>
        <v>45327</v>
      </c>
      <c r="O6603" s="71" t="s">
        <v>3839</v>
      </c>
      <c r="P6603" s="103" t="str">
        <f t="shared" si="3450"/>
        <v>센서 테이프 - 흑색</v>
      </c>
      <c r="Q6603" s="71">
        <f t="shared" si="3459"/>
        <v>30</v>
      </c>
      <c r="R6603" s="102">
        <v>1500</v>
      </c>
      <c r="S6603" s="102">
        <f t="shared" si="3457"/>
        <v>49500.000000000007</v>
      </c>
      <c r="T6603" s="102">
        <f t="shared" si="3458"/>
        <v>45000</v>
      </c>
      <c r="U6603" s="71"/>
      <c r="V6603" s="71"/>
      <c r="W6603" s="474"/>
      <c r="X6603" s="71"/>
      <c r="Y6603" s="71"/>
    </row>
    <row r="6604" spans="1:25" ht="30" customHeight="1" x14ac:dyDescent="0.25">
      <c r="A6604" s="1145">
        <v>45343</v>
      </c>
      <c r="B6604" s="664" t="s">
        <v>2352</v>
      </c>
      <c r="C6604" s="760" t="s">
        <v>218</v>
      </c>
      <c r="D6604" s="71">
        <v>3</v>
      </c>
      <c r="E6604" s="102">
        <v>286000</v>
      </c>
      <c r="F6604" s="102">
        <f t="shared" si="3446"/>
        <v>943800.00000000012</v>
      </c>
      <c r="G6604" s="102">
        <f t="shared" si="3447"/>
        <v>858000</v>
      </c>
      <c r="H6604" s="690" t="s">
        <v>142</v>
      </c>
      <c r="I6604" s="71" t="s">
        <v>179</v>
      </c>
      <c r="J6604" s="53">
        <f t="shared" si="3460"/>
        <v>486000</v>
      </c>
      <c r="K6604" s="63">
        <f t="shared" si="3449"/>
        <v>0.56643356643356635</v>
      </c>
      <c r="L6604" s="1212" t="s">
        <v>4023</v>
      </c>
      <c r="M6604" s="468" t="s">
        <v>2053</v>
      </c>
      <c r="N6604" s="1192">
        <f t="shared" si="3461"/>
        <v>45343</v>
      </c>
      <c r="O6604" s="71" t="s">
        <v>150</v>
      </c>
      <c r="P6604" s="103" t="str">
        <f t="shared" si="3450"/>
        <v>Fount Web 551AF</v>
      </c>
      <c r="Q6604" s="71">
        <f t="shared" si="3459"/>
        <v>3</v>
      </c>
      <c r="R6604" s="102">
        <v>124000</v>
      </c>
      <c r="S6604" s="102">
        <f t="shared" si="3457"/>
        <v>409200.00000000006</v>
      </c>
      <c r="T6604" s="102">
        <f t="shared" si="3458"/>
        <v>372000</v>
      </c>
      <c r="U6604" s="71" t="str">
        <f>IF(J6604=W6604,"O", "X")</f>
        <v>O</v>
      </c>
      <c r="V6604" s="71"/>
      <c r="W6604" s="474">
        <f>(G6604-T6604)</f>
        <v>486000</v>
      </c>
      <c r="X6604" s="71"/>
      <c r="Y6604" s="71"/>
    </row>
    <row r="6605" spans="1:25" ht="30" hidden="1" customHeight="1" x14ac:dyDescent="0.25">
      <c r="A6605" s="1145">
        <v>45347</v>
      </c>
      <c r="B6605" s="664" t="s">
        <v>1060</v>
      </c>
      <c r="C6605" s="71" t="s">
        <v>3908</v>
      </c>
      <c r="D6605" s="71">
        <v>200</v>
      </c>
      <c r="E6605" s="102">
        <v>5710</v>
      </c>
      <c r="F6605" s="102">
        <f t="shared" si="3446"/>
        <v>1256200</v>
      </c>
      <c r="G6605" s="102">
        <f t="shared" si="3447"/>
        <v>1142000</v>
      </c>
      <c r="H6605" s="690" t="s">
        <v>36</v>
      </c>
      <c r="I6605" s="71" t="s">
        <v>2529</v>
      </c>
      <c r="J6605" s="53">
        <f t="shared" si="3460"/>
        <v>353000</v>
      </c>
      <c r="K6605" s="63">
        <f t="shared" si="3449"/>
        <v>0.30910683012259194</v>
      </c>
      <c r="L6605" s="1212" t="s">
        <v>4023</v>
      </c>
      <c r="M6605" s="102" t="s">
        <v>3964</v>
      </c>
      <c r="N6605" s="1192">
        <v>45194</v>
      </c>
      <c r="O6605" s="71" t="s">
        <v>662</v>
      </c>
      <c r="P6605" s="103" t="s">
        <v>3908</v>
      </c>
      <c r="Q6605" s="71">
        <f t="shared" si="3459"/>
        <v>200</v>
      </c>
      <c r="R6605" s="102">
        <v>3945</v>
      </c>
      <c r="S6605" s="102">
        <f t="shared" si="3457"/>
        <v>867900.00000000012</v>
      </c>
      <c r="T6605" s="102">
        <f t="shared" si="3458"/>
        <v>789000</v>
      </c>
      <c r="U6605" s="71" t="s">
        <v>859</v>
      </c>
      <c r="V6605" s="71"/>
      <c r="W6605" s="474">
        <v>942000</v>
      </c>
      <c r="X6605" s="71"/>
      <c r="Y6605" s="71"/>
    </row>
    <row r="6606" spans="1:25" ht="30" hidden="1" customHeight="1" x14ac:dyDescent="0.25">
      <c r="A6606" s="1145">
        <v>45347</v>
      </c>
      <c r="B6606" s="664" t="s">
        <v>1060</v>
      </c>
      <c r="C6606" s="71" t="s">
        <v>3909</v>
      </c>
      <c r="D6606" s="71">
        <v>2600</v>
      </c>
      <c r="E6606" s="102">
        <v>3610</v>
      </c>
      <c r="F6606" s="102">
        <f t="shared" si="3446"/>
        <v>10324600</v>
      </c>
      <c r="G6606" s="102">
        <f t="shared" si="3447"/>
        <v>9386000</v>
      </c>
      <c r="H6606" s="690" t="s">
        <v>36</v>
      </c>
      <c r="I6606" s="71" t="s">
        <v>2529</v>
      </c>
      <c r="J6606" s="53">
        <f t="shared" si="3460"/>
        <v>2904200</v>
      </c>
      <c r="K6606" s="63">
        <f t="shared" si="3449"/>
        <v>0.30941828254847648</v>
      </c>
      <c r="L6606" s="1212" t="s">
        <v>4023</v>
      </c>
      <c r="M6606" s="102" t="s">
        <v>3964</v>
      </c>
      <c r="N6606" s="1192">
        <v>45194</v>
      </c>
      <c r="O6606" s="71" t="s">
        <v>662</v>
      </c>
      <c r="P6606" s="103" t="s">
        <v>3909</v>
      </c>
      <c r="Q6606" s="71">
        <f t="shared" si="3459"/>
        <v>2600</v>
      </c>
      <c r="R6606" s="102">
        <v>2493</v>
      </c>
      <c r="S6606" s="102">
        <f t="shared" si="3457"/>
        <v>7129980.0000000009</v>
      </c>
      <c r="T6606" s="102">
        <f t="shared" si="3458"/>
        <v>6481800</v>
      </c>
      <c r="U6606" s="71" t="s">
        <v>859</v>
      </c>
      <c r="V6606" s="71"/>
      <c r="W6606" s="474">
        <v>1274000</v>
      </c>
      <c r="X6606" s="71"/>
      <c r="Y6606" s="71"/>
    </row>
    <row r="6607" spans="1:25" ht="30" hidden="1" customHeight="1" x14ac:dyDescent="0.25">
      <c r="A6607" s="1145">
        <v>45347</v>
      </c>
      <c r="B6607" s="664" t="s">
        <v>1060</v>
      </c>
      <c r="C6607" s="71" t="s">
        <v>3910</v>
      </c>
      <c r="D6607" s="71">
        <v>2400</v>
      </c>
      <c r="E6607" s="102">
        <v>3410</v>
      </c>
      <c r="F6607" s="102">
        <f t="shared" si="3446"/>
        <v>9002400</v>
      </c>
      <c r="G6607" s="102">
        <f t="shared" si="3447"/>
        <v>8184000</v>
      </c>
      <c r="H6607" s="690" t="s">
        <v>36</v>
      </c>
      <c r="I6607" s="71" t="s">
        <v>2529</v>
      </c>
      <c r="J6607" s="53">
        <f t="shared" si="3460"/>
        <v>2498400</v>
      </c>
      <c r="K6607" s="63">
        <f t="shared" si="3449"/>
        <v>0.30527859237536659</v>
      </c>
      <c r="L6607" s="1212" t="s">
        <v>4023</v>
      </c>
      <c r="M6607" s="102" t="s">
        <v>3964</v>
      </c>
      <c r="N6607" s="1192">
        <v>45194</v>
      </c>
      <c r="O6607" s="71" t="s">
        <v>662</v>
      </c>
      <c r="P6607" s="103" t="s">
        <v>3910</v>
      </c>
      <c r="Q6607" s="71">
        <f t="shared" si="3459"/>
        <v>2400</v>
      </c>
      <c r="R6607" s="102">
        <v>2369</v>
      </c>
      <c r="S6607" s="102">
        <f t="shared" si="3457"/>
        <v>6254160.0000000009</v>
      </c>
      <c r="T6607" s="102">
        <f t="shared" si="3458"/>
        <v>5685600</v>
      </c>
      <c r="U6607" s="71" t="s">
        <v>859</v>
      </c>
      <c r="V6607" s="71"/>
      <c r="W6607" s="474">
        <v>3325000</v>
      </c>
      <c r="X6607" s="71"/>
      <c r="Y6607" s="71"/>
    </row>
    <row r="6608" spans="1:25" ht="30" hidden="1" customHeight="1" x14ac:dyDescent="0.25">
      <c r="A6608" s="1145">
        <v>45347</v>
      </c>
      <c r="B6608" s="664" t="s">
        <v>1060</v>
      </c>
      <c r="C6608" s="71" t="s">
        <v>3911</v>
      </c>
      <c r="D6608" s="71">
        <v>1200</v>
      </c>
      <c r="E6608" s="102">
        <v>5790</v>
      </c>
      <c r="F6608" s="102">
        <f t="shared" si="3446"/>
        <v>7642800.0000000009</v>
      </c>
      <c r="G6608" s="102">
        <f t="shared" si="3447"/>
        <v>6948000</v>
      </c>
      <c r="H6608" s="690" t="s">
        <v>36</v>
      </c>
      <c r="I6608" s="71" t="s">
        <v>2529</v>
      </c>
      <c r="J6608" s="53">
        <f t="shared" si="3460"/>
        <v>2152800</v>
      </c>
      <c r="K6608" s="63">
        <f t="shared" si="3449"/>
        <v>0.30984455958549217</v>
      </c>
      <c r="L6608" s="1212" t="s">
        <v>4023</v>
      </c>
      <c r="M6608" s="102" t="s">
        <v>3964</v>
      </c>
      <c r="N6608" s="1192">
        <v>45194</v>
      </c>
      <c r="O6608" s="71" t="s">
        <v>662</v>
      </c>
      <c r="P6608" s="103" t="s">
        <v>3911</v>
      </c>
      <c r="Q6608" s="71">
        <f t="shared" si="3459"/>
        <v>1200</v>
      </c>
      <c r="R6608" s="102">
        <v>3996</v>
      </c>
      <c r="S6608" s="102">
        <f t="shared" si="3457"/>
        <v>5274720</v>
      </c>
      <c r="T6608" s="102">
        <f t="shared" si="3458"/>
        <v>4795200</v>
      </c>
      <c r="U6608" s="71" t="s">
        <v>859</v>
      </c>
      <c r="V6608" s="71"/>
      <c r="W6608" s="474">
        <v>636000</v>
      </c>
      <c r="X6608" s="71"/>
      <c r="Y6608" s="71"/>
    </row>
    <row r="6609" spans="1:25" ht="30" hidden="1" customHeight="1" x14ac:dyDescent="0.25">
      <c r="A6609" s="1145">
        <v>45347</v>
      </c>
      <c r="B6609" s="664" t="s">
        <v>1060</v>
      </c>
      <c r="C6609" s="71" t="s">
        <v>3912</v>
      </c>
      <c r="D6609" s="71">
        <v>900</v>
      </c>
      <c r="E6609" s="102">
        <v>6010</v>
      </c>
      <c r="F6609" s="102">
        <f t="shared" si="3446"/>
        <v>5949900.0000000009</v>
      </c>
      <c r="G6609" s="102">
        <f t="shared" si="3447"/>
        <v>5409000</v>
      </c>
      <c r="H6609" s="690" t="s">
        <v>36</v>
      </c>
      <c r="I6609" s="71" t="s">
        <v>2529</v>
      </c>
      <c r="J6609" s="53">
        <f t="shared" si="3460"/>
        <v>1673100</v>
      </c>
      <c r="K6609" s="63">
        <f t="shared" si="3449"/>
        <v>0.30931780366056566</v>
      </c>
      <c r="L6609" s="1212" t="s">
        <v>4023</v>
      </c>
      <c r="M6609" s="102" t="s">
        <v>3964</v>
      </c>
      <c r="N6609" s="1192">
        <v>45194</v>
      </c>
      <c r="O6609" s="71" t="s">
        <v>662</v>
      </c>
      <c r="P6609" s="103" t="s">
        <v>3912</v>
      </c>
      <c r="Q6609" s="71">
        <f t="shared" si="3459"/>
        <v>900</v>
      </c>
      <c r="R6609" s="102">
        <v>4151</v>
      </c>
      <c r="S6609" s="102">
        <f t="shared" si="3457"/>
        <v>4109490.0000000005</v>
      </c>
      <c r="T6609" s="102">
        <f t="shared" si="3458"/>
        <v>3735900</v>
      </c>
      <c r="U6609" s="71" t="s">
        <v>859</v>
      </c>
      <c r="V6609" s="71"/>
      <c r="W6609" s="474">
        <v>1476000</v>
      </c>
      <c r="X6609" s="71"/>
      <c r="Y6609" s="71"/>
    </row>
    <row r="6610" spans="1:25" ht="30" hidden="1" customHeight="1" x14ac:dyDescent="0.25">
      <c r="A6610" s="1145">
        <v>45347</v>
      </c>
      <c r="B6610" s="664" t="s">
        <v>1060</v>
      </c>
      <c r="C6610" s="71" t="s">
        <v>3913</v>
      </c>
      <c r="D6610" s="71">
        <v>600</v>
      </c>
      <c r="E6610" s="102">
        <v>4280</v>
      </c>
      <c r="F6610" s="102">
        <f t="shared" si="3446"/>
        <v>2824800</v>
      </c>
      <c r="G6610" s="102">
        <f t="shared" si="3447"/>
        <v>2568000</v>
      </c>
      <c r="H6610" s="690" t="s">
        <v>36</v>
      </c>
      <c r="I6610" s="71" t="s">
        <v>2529</v>
      </c>
      <c r="J6610" s="53">
        <f t="shared" si="3460"/>
        <v>788400</v>
      </c>
      <c r="K6610" s="63">
        <f t="shared" si="3449"/>
        <v>0.30700934579439254</v>
      </c>
      <c r="L6610" s="1212" t="s">
        <v>4023</v>
      </c>
      <c r="M6610" s="102" t="s">
        <v>3964</v>
      </c>
      <c r="N6610" s="1192">
        <v>45194</v>
      </c>
      <c r="O6610" s="71" t="s">
        <v>662</v>
      </c>
      <c r="P6610" s="103" t="s">
        <v>3913</v>
      </c>
      <c r="Q6610" s="71">
        <f t="shared" si="3459"/>
        <v>600</v>
      </c>
      <c r="R6610" s="102">
        <v>2966</v>
      </c>
      <c r="S6610" s="102">
        <f t="shared" si="3457"/>
        <v>1957560.0000000002</v>
      </c>
      <c r="T6610" s="102">
        <f t="shared" si="3458"/>
        <v>1779600</v>
      </c>
      <c r="U6610" s="71" t="s">
        <v>859</v>
      </c>
      <c r="V6610" s="71"/>
      <c r="W6610" s="474">
        <v>1416000</v>
      </c>
      <c r="X6610" s="71"/>
      <c r="Y6610" s="71"/>
    </row>
    <row r="6611" spans="1:25" ht="30" hidden="1" customHeight="1" x14ac:dyDescent="0.25">
      <c r="A6611" s="1145">
        <v>45347</v>
      </c>
      <c r="B6611" s="664" t="s">
        <v>1060</v>
      </c>
      <c r="C6611" s="71" t="s">
        <v>3914</v>
      </c>
      <c r="D6611" s="71">
        <v>35</v>
      </c>
      <c r="E6611" s="102">
        <v>51920</v>
      </c>
      <c r="F6611" s="102">
        <f t="shared" si="3446"/>
        <v>1998920.0000000002</v>
      </c>
      <c r="G6611" s="102">
        <f t="shared" si="3447"/>
        <v>1817200</v>
      </c>
      <c r="H6611" s="690" t="s">
        <v>36</v>
      </c>
      <c r="I6611" s="71" t="s">
        <v>2529</v>
      </c>
      <c r="J6611" s="53">
        <f t="shared" si="3460"/>
        <v>417200</v>
      </c>
      <c r="K6611" s="63">
        <f t="shared" si="3449"/>
        <v>0.22958397534668717</v>
      </c>
      <c r="L6611" s="1212" t="s">
        <v>4023</v>
      </c>
      <c r="M6611" s="468"/>
      <c r="N6611" s="1192">
        <v>45194</v>
      </c>
      <c r="O6611" s="71" t="s">
        <v>662</v>
      </c>
      <c r="P6611" s="103" t="s">
        <v>3914</v>
      </c>
      <c r="Q6611" s="71">
        <f t="shared" si="3459"/>
        <v>35</v>
      </c>
      <c r="R6611" s="102">
        <v>40000</v>
      </c>
      <c r="S6611" s="102">
        <f t="shared" si="3457"/>
        <v>1540000.0000000002</v>
      </c>
      <c r="T6611" s="102">
        <f t="shared" si="3458"/>
        <v>1400000</v>
      </c>
      <c r="U6611" s="71" t="s">
        <v>859</v>
      </c>
      <c r="V6611" s="71"/>
      <c r="W6611" s="474">
        <v>978750</v>
      </c>
      <c r="X6611" s="71"/>
      <c r="Y6611" s="71"/>
    </row>
    <row r="6612" spans="1:25" ht="30" hidden="1" customHeight="1" x14ac:dyDescent="0.25">
      <c r="A6612" s="1145">
        <v>45347</v>
      </c>
      <c r="B6612" s="664" t="s">
        <v>1061</v>
      </c>
      <c r="C6612" s="71" t="s">
        <v>3319</v>
      </c>
      <c r="D6612" s="71">
        <v>200</v>
      </c>
      <c r="E6612" s="102">
        <v>6328</v>
      </c>
      <c r="F6612" s="102">
        <f t="shared" si="3446"/>
        <v>1392160</v>
      </c>
      <c r="G6612" s="102">
        <f t="shared" si="3447"/>
        <v>1265600</v>
      </c>
      <c r="H6612" s="690" t="s">
        <v>36</v>
      </c>
      <c r="I6612" s="71" t="s">
        <v>3320</v>
      </c>
      <c r="J6612" s="53">
        <f t="shared" si="3460"/>
        <v>95600</v>
      </c>
      <c r="K6612" s="63">
        <f t="shared" si="3449"/>
        <v>7.5537294563843241E-2</v>
      </c>
      <c r="L6612" s="1212" t="s">
        <v>4023</v>
      </c>
      <c r="M6612" s="468"/>
      <c r="N6612" s="1192">
        <v>45194</v>
      </c>
      <c r="O6612" s="71" t="s">
        <v>146</v>
      </c>
      <c r="P6612" s="103" t="s">
        <v>3319</v>
      </c>
      <c r="Q6612" s="71">
        <f t="shared" si="3459"/>
        <v>200</v>
      </c>
      <c r="R6612" s="102">
        <v>5850</v>
      </c>
      <c r="S6612" s="102">
        <f t="shared" si="3457"/>
        <v>1287000</v>
      </c>
      <c r="T6612" s="102">
        <f t="shared" si="3458"/>
        <v>1170000</v>
      </c>
      <c r="U6612" s="71" t="s">
        <v>859</v>
      </c>
      <c r="V6612" s="71"/>
      <c r="W6612" s="474">
        <v>411200</v>
      </c>
      <c r="X6612" s="71"/>
      <c r="Y6612" s="71"/>
    </row>
    <row r="6613" spans="1:25" ht="30" hidden="1" customHeight="1" x14ac:dyDescent="0.25">
      <c r="A6613" s="1145">
        <v>45347</v>
      </c>
      <c r="B6613" s="664" t="s">
        <v>1061</v>
      </c>
      <c r="C6613" s="71" t="s">
        <v>3321</v>
      </c>
      <c r="D6613" s="71">
        <v>200</v>
      </c>
      <c r="E6613" s="102">
        <v>6780</v>
      </c>
      <c r="F6613" s="102">
        <f t="shared" si="3446"/>
        <v>1491600.0000000002</v>
      </c>
      <c r="G6613" s="102">
        <f t="shared" si="3447"/>
        <v>1356000</v>
      </c>
      <c r="H6613" s="690" t="s">
        <v>36</v>
      </c>
      <c r="I6613" s="71" t="s">
        <v>3320</v>
      </c>
      <c r="J6613" s="53">
        <f t="shared" si="3460"/>
        <v>100000</v>
      </c>
      <c r="K6613" s="63">
        <f t="shared" si="3449"/>
        <v>7.3746312684365767E-2</v>
      </c>
      <c r="L6613" s="1212" t="s">
        <v>4023</v>
      </c>
      <c r="M6613" s="468"/>
      <c r="N6613" s="1192">
        <v>45194</v>
      </c>
      <c r="O6613" s="71" t="s">
        <v>146</v>
      </c>
      <c r="P6613" s="103" t="s">
        <v>3321</v>
      </c>
      <c r="Q6613" s="71">
        <f t="shared" si="3459"/>
        <v>200</v>
      </c>
      <c r="R6613" s="102">
        <v>6280</v>
      </c>
      <c r="S6613" s="102">
        <f t="shared" si="3457"/>
        <v>1381600</v>
      </c>
      <c r="T6613" s="102">
        <f t="shared" si="3458"/>
        <v>1256000</v>
      </c>
      <c r="U6613" s="71" t="s">
        <v>859</v>
      </c>
      <c r="V6613" s="71"/>
      <c r="W6613" s="474">
        <v>292000</v>
      </c>
      <c r="X6613" s="71"/>
      <c r="Y6613" s="71"/>
    </row>
    <row r="6614" spans="1:25" ht="30" hidden="1" customHeight="1" x14ac:dyDescent="0.25">
      <c r="A6614" s="1145">
        <v>45347</v>
      </c>
      <c r="B6614" s="664" t="s">
        <v>1061</v>
      </c>
      <c r="C6614" s="71" t="s">
        <v>1289</v>
      </c>
      <c r="D6614" s="71">
        <v>600</v>
      </c>
      <c r="E6614" s="102">
        <v>6498</v>
      </c>
      <c r="F6614" s="102">
        <f t="shared" si="3446"/>
        <v>4288680</v>
      </c>
      <c r="G6614" s="102">
        <f t="shared" si="3447"/>
        <v>3898800</v>
      </c>
      <c r="H6614" s="690" t="s">
        <v>36</v>
      </c>
      <c r="I6614" s="71" t="s">
        <v>3320</v>
      </c>
      <c r="J6614" s="53">
        <f t="shared" si="3460"/>
        <v>286800</v>
      </c>
      <c r="K6614" s="63">
        <f t="shared" si="3449"/>
        <v>7.3561095721760547E-2</v>
      </c>
      <c r="L6614" s="1212" t="s">
        <v>4023</v>
      </c>
      <c r="M6614" s="468"/>
      <c r="N6614" s="1192">
        <v>45194</v>
      </c>
      <c r="O6614" s="71" t="s">
        <v>146</v>
      </c>
      <c r="P6614" s="103" t="s">
        <v>1289</v>
      </c>
      <c r="Q6614" s="71">
        <f t="shared" si="3459"/>
        <v>600</v>
      </c>
      <c r="R6614" s="102">
        <v>6020</v>
      </c>
      <c r="S6614" s="102">
        <f t="shared" si="3457"/>
        <v>3973200.0000000005</v>
      </c>
      <c r="T6614" s="102">
        <f t="shared" si="3458"/>
        <v>3612000</v>
      </c>
      <c r="U6614" s="71" t="s">
        <v>859</v>
      </c>
      <c r="V6614" s="71"/>
      <c r="W6614" s="474">
        <v>640800</v>
      </c>
      <c r="X6614" s="71"/>
      <c r="Y6614" s="71"/>
    </row>
    <row r="6615" spans="1:25" ht="30" hidden="1" customHeight="1" x14ac:dyDescent="0.25">
      <c r="A6615" s="1145">
        <v>45347</v>
      </c>
      <c r="B6615" s="664" t="s">
        <v>1061</v>
      </c>
      <c r="C6615" s="71" t="s">
        <v>1290</v>
      </c>
      <c r="D6615" s="71">
        <v>400</v>
      </c>
      <c r="E6615" s="102">
        <v>7910</v>
      </c>
      <c r="F6615" s="102">
        <f t="shared" si="3446"/>
        <v>3480400.0000000005</v>
      </c>
      <c r="G6615" s="102">
        <f t="shared" si="3447"/>
        <v>3164000</v>
      </c>
      <c r="H6615" s="690" t="s">
        <v>36</v>
      </c>
      <c r="I6615" s="71" t="s">
        <v>3320</v>
      </c>
      <c r="J6615" s="53">
        <f t="shared" si="3460"/>
        <v>240000</v>
      </c>
      <c r="K6615" s="63">
        <f t="shared" si="3449"/>
        <v>7.5853350189633365E-2</v>
      </c>
      <c r="L6615" s="1212" t="s">
        <v>4023</v>
      </c>
      <c r="M6615" s="468"/>
      <c r="N6615" s="1192">
        <v>45194</v>
      </c>
      <c r="O6615" s="71" t="s">
        <v>146</v>
      </c>
      <c r="P6615" s="103" t="s">
        <v>1290</v>
      </c>
      <c r="Q6615" s="71">
        <f t="shared" si="3459"/>
        <v>400</v>
      </c>
      <c r="R6615" s="102">
        <v>7310</v>
      </c>
      <c r="S6615" s="102">
        <f t="shared" si="3457"/>
        <v>3216400.0000000005</v>
      </c>
      <c r="T6615" s="102">
        <f t="shared" si="3458"/>
        <v>2924000</v>
      </c>
      <c r="U6615" s="71" t="s">
        <v>859</v>
      </c>
      <c r="V6615" s="71"/>
      <c r="W6615" s="474">
        <v>846000</v>
      </c>
      <c r="X6615" s="71"/>
      <c r="Y6615" s="71"/>
    </row>
    <row r="6616" spans="1:25" ht="30" hidden="1" customHeight="1" x14ac:dyDescent="0.25">
      <c r="A6616" s="1145">
        <v>45347</v>
      </c>
      <c r="B6616" s="664" t="s">
        <v>1061</v>
      </c>
      <c r="C6616" s="71" t="s">
        <v>3322</v>
      </c>
      <c r="D6616" s="71"/>
      <c r="E6616" s="102">
        <v>7150</v>
      </c>
      <c r="F6616" s="102">
        <f t="shared" si="3446"/>
        <v>0</v>
      </c>
      <c r="G6616" s="102">
        <f t="shared" si="3447"/>
        <v>0</v>
      </c>
      <c r="H6616" s="690" t="s">
        <v>36</v>
      </c>
      <c r="I6616" s="71" t="s">
        <v>3320</v>
      </c>
      <c r="J6616" s="53">
        <f t="shared" si="3460"/>
        <v>0</v>
      </c>
      <c r="K6616" s="63" t="e">
        <f t="shared" si="3449"/>
        <v>#DIV/0!</v>
      </c>
      <c r="L6616" s="1212" t="s">
        <v>4023</v>
      </c>
      <c r="M6616" s="468"/>
      <c r="N6616" s="1192">
        <v>45194</v>
      </c>
      <c r="O6616" s="71" t="s">
        <v>3323</v>
      </c>
      <c r="P6616" s="103" t="s">
        <v>3322</v>
      </c>
      <c r="Q6616" s="71">
        <f t="shared" si="3459"/>
        <v>0</v>
      </c>
      <c r="R6616" s="102">
        <v>6500</v>
      </c>
      <c r="S6616" s="102">
        <f t="shared" si="3457"/>
        <v>0</v>
      </c>
      <c r="T6616" s="102">
        <f t="shared" si="3458"/>
        <v>0</v>
      </c>
      <c r="U6616" s="71" t="s">
        <v>859</v>
      </c>
      <c r="V6616" s="71"/>
      <c r="W6616" s="474">
        <v>0</v>
      </c>
      <c r="X6616" s="71"/>
      <c r="Y6616" s="71"/>
    </row>
    <row r="6617" spans="1:25" ht="30" hidden="1" customHeight="1" x14ac:dyDescent="0.25">
      <c r="A6617" s="1145">
        <v>45347</v>
      </c>
      <c r="B6617" s="664" t="s">
        <v>1061</v>
      </c>
      <c r="C6617" s="71" t="s">
        <v>3324</v>
      </c>
      <c r="D6617" s="71"/>
      <c r="E6617" s="102">
        <v>6900</v>
      </c>
      <c r="F6617" s="102">
        <f t="shared" si="3446"/>
        <v>0</v>
      </c>
      <c r="G6617" s="102">
        <f t="shared" si="3447"/>
        <v>0</v>
      </c>
      <c r="H6617" s="690" t="s">
        <v>36</v>
      </c>
      <c r="I6617" s="71" t="s">
        <v>3320</v>
      </c>
      <c r="J6617" s="53">
        <f t="shared" si="3460"/>
        <v>0</v>
      </c>
      <c r="K6617" s="63" t="e">
        <f t="shared" si="3449"/>
        <v>#DIV/0!</v>
      </c>
      <c r="L6617" s="1212" t="s">
        <v>4023</v>
      </c>
      <c r="M6617" s="468"/>
      <c r="N6617" s="1192">
        <v>45194</v>
      </c>
      <c r="O6617" s="71" t="s">
        <v>3323</v>
      </c>
      <c r="P6617" s="103" t="s">
        <v>3324</v>
      </c>
      <c r="Q6617" s="71">
        <f t="shared" si="3459"/>
        <v>0</v>
      </c>
      <c r="R6617" s="102">
        <v>6200</v>
      </c>
      <c r="S6617" s="102">
        <f t="shared" si="3457"/>
        <v>0</v>
      </c>
      <c r="T6617" s="102">
        <f t="shared" si="3458"/>
        <v>0</v>
      </c>
      <c r="U6617" s="71" t="s">
        <v>859</v>
      </c>
      <c r="V6617" s="71"/>
      <c r="W6617" s="474">
        <v>0</v>
      </c>
      <c r="X6617" s="71"/>
      <c r="Y6617" s="71"/>
    </row>
    <row r="6618" spans="1:25" ht="28.5" hidden="1" customHeight="1" x14ac:dyDescent="0.25">
      <c r="A6618" s="1145">
        <v>45347</v>
      </c>
      <c r="B6618" s="664" t="s">
        <v>1061</v>
      </c>
      <c r="C6618" s="71" t="s">
        <v>3325</v>
      </c>
      <c r="D6618" s="71"/>
      <c r="E6618" s="102">
        <v>7500</v>
      </c>
      <c r="F6618" s="102">
        <f t="shared" si="3446"/>
        <v>0</v>
      </c>
      <c r="G6618" s="102">
        <f t="shared" si="3447"/>
        <v>0</v>
      </c>
      <c r="H6618" s="690" t="s">
        <v>36</v>
      </c>
      <c r="I6618" s="71" t="s">
        <v>3320</v>
      </c>
      <c r="J6618" s="53">
        <f t="shared" si="3460"/>
        <v>0</v>
      </c>
      <c r="K6618" s="63" t="e">
        <f t="shared" si="3449"/>
        <v>#DIV/0!</v>
      </c>
      <c r="L6618" s="1212" t="s">
        <v>4023</v>
      </c>
      <c r="M6618" s="468"/>
      <c r="N6618" s="1192">
        <v>45194</v>
      </c>
      <c r="O6618" s="71" t="s">
        <v>3323</v>
      </c>
      <c r="P6618" s="103" t="s">
        <v>3325</v>
      </c>
      <c r="Q6618" s="71">
        <f t="shared" si="3459"/>
        <v>0</v>
      </c>
      <c r="R6618" s="102">
        <v>6600</v>
      </c>
      <c r="S6618" s="102">
        <f t="shared" si="3457"/>
        <v>0</v>
      </c>
      <c r="T6618" s="102">
        <f t="shared" si="3458"/>
        <v>0</v>
      </c>
      <c r="U6618" s="71" t="s">
        <v>859</v>
      </c>
      <c r="V6618" s="71"/>
      <c r="W6618" s="474">
        <v>0</v>
      </c>
      <c r="X6618" s="71"/>
      <c r="Y6618" s="71"/>
    </row>
    <row r="6619" spans="1:25" ht="30" hidden="1" customHeight="1" x14ac:dyDescent="0.25">
      <c r="A6619" s="1145">
        <v>45347</v>
      </c>
      <c r="B6619" s="664" t="s">
        <v>1061</v>
      </c>
      <c r="C6619" s="71" t="s">
        <v>3326</v>
      </c>
      <c r="D6619" s="71"/>
      <c r="E6619" s="102">
        <v>6450</v>
      </c>
      <c r="F6619" s="102">
        <f t="shared" si="3446"/>
        <v>0</v>
      </c>
      <c r="G6619" s="102">
        <f t="shared" si="3447"/>
        <v>0</v>
      </c>
      <c r="H6619" s="690" t="s">
        <v>36</v>
      </c>
      <c r="I6619" s="71" t="s">
        <v>3320</v>
      </c>
      <c r="J6619" s="53">
        <f t="shared" si="3460"/>
        <v>0</v>
      </c>
      <c r="K6619" s="63" t="e">
        <f t="shared" si="3449"/>
        <v>#DIV/0!</v>
      </c>
      <c r="L6619" s="1212" t="s">
        <v>4023</v>
      </c>
      <c r="M6619" s="468"/>
      <c r="N6619" s="1192">
        <v>45194</v>
      </c>
      <c r="O6619" s="71" t="s">
        <v>3323</v>
      </c>
      <c r="P6619" s="103" t="s">
        <v>3326</v>
      </c>
      <c r="Q6619" s="71">
        <f t="shared" si="3459"/>
        <v>0</v>
      </c>
      <c r="R6619" s="102">
        <v>5700</v>
      </c>
      <c r="S6619" s="102">
        <f t="shared" si="3457"/>
        <v>0</v>
      </c>
      <c r="T6619" s="102">
        <f t="shared" si="3458"/>
        <v>0</v>
      </c>
      <c r="U6619" s="71" t="s">
        <v>859</v>
      </c>
      <c r="V6619" s="71"/>
      <c r="W6619" s="474">
        <v>0</v>
      </c>
      <c r="X6619" s="71"/>
      <c r="Y6619" s="71"/>
    </row>
    <row r="6620" spans="1:25" ht="30" hidden="1" customHeight="1" x14ac:dyDescent="0.25">
      <c r="A6620" s="1145">
        <v>45347</v>
      </c>
      <c r="B6620" s="664" t="s">
        <v>1061</v>
      </c>
      <c r="C6620" s="71" t="s">
        <v>3963</v>
      </c>
      <c r="D6620" s="71"/>
      <c r="E6620" s="102">
        <v>22400</v>
      </c>
      <c r="F6620" s="102">
        <f t="shared" si="3446"/>
        <v>0</v>
      </c>
      <c r="G6620" s="102">
        <f t="shared" si="3447"/>
        <v>0</v>
      </c>
      <c r="H6620" s="690" t="s">
        <v>36</v>
      </c>
      <c r="I6620" s="71" t="s">
        <v>3320</v>
      </c>
      <c r="J6620" s="53">
        <f t="shared" si="3460"/>
        <v>0</v>
      </c>
      <c r="K6620" s="63" t="e">
        <f t="shared" si="3449"/>
        <v>#DIV/0!</v>
      </c>
      <c r="L6620" s="1212" t="s">
        <v>4023</v>
      </c>
      <c r="M6620" s="468"/>
      <c r="N6620" s="1192">
        <v>45286</v>
      </c>
      <c r="O6620" s="71" t="s">
        <v>146</v>
      </c>
      <c r="P6620" s="103" t="s">
        <v>3963</v>
      </c>
      <c r="Q6620" s="71">
        <f t="shared" si="3459"/>
        <v>0</v>
      </c>
      <c r="R6620" s="102">
        <v>22400</v>
      </c>
      <c r="S6620" s="102">
        <f t="shared" si="3457"/>
        <v>0</v>
      </c>
      <c r="T6620" s="102">
        <f t="shared" si="3458"/>
        <v>0</v>
      </c>
      <c r="U6620" s="71"/>
      <c r="V6620" s="71"/>
      <c r="W6620" s="474"/>
      <c r="X6620" s="71"/>
      <c r="Y6620" s="71"/>
    </row>
    <row r="6621" spans="1:25" ht="30" hidden="1" customHeight="1" x14ac:dyDescent="0.25">
      <c r="A6621" s="1145">
        <v>45347</v>
      </c>
      <c r="B6621" s="664" t="s">
        <v>1061</v>
      </c>
      <c r="C6621" s="71" t="s">
        <v>3915</v>
      </c>
      <c r="D6621" s="71"/>
      <c r="E6621" s="102">
        <v>9500</v>
      </c>
      <c r="F6621" s="102">
        <f t="shared" si="3446"/>
        <v>0</v>
      </c>
      <c r="G6621" s="102">
        <f t="shared" si="3447"/>
        <v>0</v>
      </c>
      <c r="H6621" s="690" t="s">
        <v>36</v>
      </c>
      <c r="I6621" s="71" t="s">
        <v>3320</v>
      </c>
      <c r="J6621" s="53">
        <f t="shared" si="3460"/>
        <v>0</v>
      </c>
      <c r="K6621" s="63" t="e">
        <f t="shared" si="3449"/>
        <v>#DIV/0!</v>
      </c>
      <c r="L6621" s="1212" t="s">
        <v>4023</v>
      </c>
      <c r="M6621" s="468"/>
      <c r="N6621" s="1192">
        <v>45194</v>
      </c>
      <c r="O6621" s="71" t="s">
        <v>3323</v>
      </c>
      <c r="P6621" s="103" t="s">
        <v>3915</v>
      </c>
      <c r="Q6621" s="71">
        <f t="shared" si="3459"/>
        <v>0</v>
      </c>
      <c r="R6621" s="102">
        <v>9000</v>
      </c>
      <c r="S6621" s="102">
        <f t="shared" si="3457"/>
        <v>0</v>
      </c>
      <c r="T6621" s="102">
        <f t="shared" si="3458"/>
        <v>0</v>
      </c>
      <c r="U6621" s="71"/>
      <c r="V6621" s="71"/>
      <c r="W6621" s="474"/>
      <c r="X6621" s="71"/>
      <c r="Y6621" s="71"/>
    </row>
    <row r="6622" spans="1:25" ht="30" hidden="1" customHeight="1" x14ac:dyDescent="0.25">
      <c r="A6622" s="1145">
        <v>45347</v>
      </c>
      <c r="B6622" s="664" t="s">
        <v>3307</v>
      </c>
      <c r="C6622" s="71" t="s">
        <v>3916</v>
      </c>
      <c r="D6622" s="71">
        <v>8</v>
      </c>
      <c r="E6622" s="102">
        <v>218000</v>
      </c>
      <c r="F6622" s="102">
        <f t="shared" si="3446"/>
        <v>1918400.0000000002</v>
      </c>
      <c r="G6622" s="102">
        <f t="shared" si="3447"/>
        <v>1744000</v>
      </c>
      <c r="H6622" s="690" t="s">
        <v>172</v>
      </c>
      <c r="I6622" s="71" t="s">
        <v>33</v>
      </c>
      <c r="J6622" s="53">
        <v>824000</v>
      </c>
      <c r="K6622" s="63">
        <f t="shared" si="3449"/>
        <v>0.47247706422018343</v>
      </c>
      <c r="L6622" s="1212" t="s">
        <v>4023</v>
      </c>
      <c r="M6622" s="468" t="s">
        <v>3965</v>
      </c>
      <c r="N6622" s="1192">
        <v>45194</v>
      </c>
      <c r="O6622" s="71" t="s">
        <v>662</v>
      </c>
      <c r="P6622" s="103" t="s">
        <v>3916</v>
      </c>
      <c r="Q6622" s="71">
        <v>16</v>
      </c>
      <c r="R6622" s="102">
        <v>166500</v>
      </c>
      <c r="S6622" s="102">
        <f t="shared" si="3457"/>
        <v>2930400.0000000005</v>
      </c>
      <c r="T6622" s="102">
        <f t="shared" si="3458"/>
        <v>2664000</v>
      </c>
      <c r="U6622" s="71" t="s">
        <v>859</v>
      </c>
      <c r="V6622" s="71" t="s">
        <v>728</v>
      </c>
      <c r="W6622" s="474">
        <v>464000</v>
      </c>
      <c r="X6622" s="71"/>
      <c r="Y6622" s="71"/>
    </row>
    <row r="6623" spans="1:25" ht="30" hidden="1" customHeight="1" x14ac:dyDescent="0.25">
      <c r="A6623" s="1145">
        <v>45347</v>
      </c>
      <c r="B6623" s="664" t="s">
        <v>3307</v>
      </c>
      <c r="C6623" s="71" t="s">
        <v>4027</v>
      </c>
      <c r="D6623" s="71">
        <v>1</v>
      </c>
      <c r="E6623" s="102">
        <v>2350000</v>
      </c>
      <c r="F6623" s="102">
        <f t="shared" si="3446"/>
        <v>2585000</v>
      </c>
      <c r="G6623" s="102">
        <f t="shared" si="3447"/>
        <v>2350000</v>
      </c>
      <c r="H6623" s="690" t="s">
        <v>36</v>
      </c>
      <c r="I6623" s="690" t="s">
        <v>36</v>
      </c>
      <c r="J6623" s="53">
        <f t="shared" ref="J6623:J6626" si="3462">G6623-T6623</f>
        <v>600000</v>
      </c>
      <c r="K6623" s="63">
        <f t="shared" si="3449"/>
        <v>0.25531914893617019</v>
      </c>
      <c r="L6623" s="1212" t="s">
        <v>4023</v>
      </c>
      <c r="M6623" s="468"/>
      <c r="N6623" s="1192">
        <v>45194</v>
      </c>
      <c r="O6623" s="71" t="s">
        <v>3298</v>
      </c>
      <c r="P6623" s="103" t="s">
        <v>3917</v>
      </c>
      <c r="Q6623" s="71">
        <f t="shared" ref="Q6623:Q6626" si="3463">D6623</f>
        <v>1</v>
      </c>
      <c r="R6623" s="147">
        <v>1750000</v>
      </c>
      <c r="S6623" s="102">
        <f t="shared" si="3457"/>
        <v>1925000.0000000002</v>
      </c>
      <c r="T6623" s="102">
        <f t="shared" si="3458"/>
        <v>1750000</v>
      </c>
      <c r="U6623" s="71"/>
      <c r="V6623" s="71"/>
      <c r="W6623" s="474"/>
      <c r="X6623" s="71"/>
      <c r="Y6623" s="71"/>
    </row>
    <row r="6624" spans="1:25" ht="30" hidden="1" customHeight="1" x14ac:dyDescent="0.25">
      <c r="A6624" s="1145">
        <v>45322</v>
      </c>
      <c r="B6624" s="664" t="s">
        <v>2261</v>
      </c>
      <c r="C6624" s="760" t="s">
        <v>181</v>
      </c>
      <c r="D6624" s="71">
        <v>10</v>
      </c>
      <c r="E6624" s="102">
        <v>193000</v>
      </c>
      <c r="F6624" s="102">
        <f t="shared" si="3446"/>
        <v>2123000</v>
      </c>
      <c r="G6624" s="102">
        <f t="shared" si="3447"/>
        <v>1930000</v>
      </c>
      <c r="H6624" s="690" t="s">
        <v>2029</v>
      </c>
      <c r="I6624" s="71" t="s">
        <v>182</v>
      </c>
      <c r="J6624" s="53">
        <f t="shared" si="3462"/>
        <v>690000</v>
      </c>
      <c r="K6624" s="63">
        <f t="shared" si="3449"/>
        <v>0.35751295336787564</v>
      </c>
      <c r="L6624" s="1212" t="s">
        <v>4023</v>
      </c>
      <c r="M6624" s="468"/>
      <c r="N6624" s="1192">
        <f t="shared" ref="N6624:N6626" si="3464">A6624</f>
        <v>45322</v>
      </c>
      <c r="O6624" s="71" t="s">
        <v>2030</v>
      </c>
      <c r="P6624" s="103" t="str">
        <f t="shared" ref="P6624:P6626" si="3465">(C6624)</f>
        <v>Fount Web 551AF</v>
      </c>
      <c r="Q6624" s="71">
        <f t="shared" si="3463"/>
        <v>10</v>
      </c>
      <c r="R6624" s="102">
        <v>124000</v>
      </c>
      <c r="S6624" s="102">
        <f t="shared" si="3457"/>
        <v>1364000</v>
      </c>
      <c r="T6624" s="102">
        <f t="shared" si="3458"/>
        <v>1240000</v>
      </c>
      <c r="U6624" s="71" t="str">
        <f>IF(J6624=W6624,"O", "X")</f>
        <v>X</v>
      </c>
      <c r="V6624" s="71"/>
      <c r="W6624" s="474">
        <v>640000</v>
      </c>
      <c r="X6624" s="71"/>
      <c r="Y6624" s="71"/>
    </row>
    <row r="6625" spans="1:25" ht="30" hidden="1" customHeight="1" x14ac:dyDescent="0.25">
      <c r="A6625" s="1145">
        <v>45322</v>
      </c>
      <c r="B6625" s="664" t="s">
        <v>2261</v>
      </c>
      <c r="C6625" s="71" t="s">
        <v>277</v>
      </c>
      <c r="D6625" s="71">
        <v>10</v>
      </c>
      <c r="E6625" s="102">
        <v>172000</v>
      </c>
      <c r="F6625" s="102">
        <f t="shared" si="3446"/>
        <v>1892000.0000000002</v>
      </c>
      <c r="G6625" s="102">
        <f t="shared" si="3447"/>
        <v>1720000</v>
      </c>
      <c r="H6625" s="690" t="s">
        <v>172</v>
      </c>
      <c r="I6625" s="71" t="s">
        <v>108</v>
      </c>
      <c r="J6625" s="53">
        <f t="shared" si="3462"/>
        <v>390000</v>
      </c>
      <c r="K6625" s="63">
        <f t="shared" si="3449"/>
        <v>0.22674418604651159</v>
      </c>
      <c r="L6625" s="1212" t="s">
        <v>4023</v>
      </c>
      <c r="M6625" s="468"/>
      <c r="N6625" s="1192">
        <f t="shared" si="3464"/>
        <v>45322</v>
      </c>
      <c r="O6625" s="71" t="s">
        <v>662</v>
      </c>
      <c r="P6625" s="103" t="str">
        <f t="shared" si="3465"/>
        <v>윤전용 세척제(Web 504)</v>
      </c>
      <c r="Q6625" s="71">
        <f t="shared" si="3463"/>
        <v>10</v>
      </c>
      <c r="R6625" s="102">
        <v>133000</v>
      </c>
      <c r="S6625" s="102">
        <f t="shared" si="3457"/>
        <v>1463000.0000000002</v>
      </c>
      <c r="T6625" s="102">
        <f t="shared" si="3458"/>
        <v>1330000</v>
      </c>
      <c r="U6625" s="71" t="str">
        <f>IF(J6625=W6625,"O", "X")</f>
        <v>X</v>
      </c>
      <c r="V6625" s="71"/>
      <c r="W6625" s="474"/>
      <c r="X6625" s="71"/>
      <c r="Y6625" s="71"/>
    </row>
    <row r="6626" spans="1:25" ht="30" hidden="1" customHeight="1" x14ac:dyDescent="0.25">
      <c r="A6626" s="1145">
        <v>45322</v>
      </c>
      <c r="B6626" s="664" t="s">
        <v>2261</v>
      </c>
      <c r="C6626" s="71" t="s">
        <v>3299</v>
      </c>
      <c r="D6626" s="71">
        <v>5</v>
      </c>
      <c r="E6626" s="102">
        <v>52000</v>
      </c>
      <c r="F6626" s="102">
        <f t="shared" si="3446"/>
        <v>286000</v>
      </c>
      <c r="G6626" s="102">
        <f t="shared" si="3447"/>
        <v>260000</v>
      </c>
      <c r="H6626" s="690" t="s">
        <v>172</v>
      </c>
      <c r="I6626" s="71" t="s">
        <v>180</v>
      </c>
      <c r="J6626" s="53">
        <f t="shared" si="3462"/>
        <v>22500</v>
      </c>
      <c r="K6626" s="63">
        <f t="shared" si="3449"/>
        <v>8.6538461538461536E-2</v>
      </c>
      <c r="L6626" s="1212" t="s">
        <v>4023</v>
      </c>
      <c r="M6626" s="468" t="s">
        <v>3835</v>
      </c>
      <c r="N6626" s="1192">
        <f t="shared" si="3464"/>
        <v>45322</v>
      </c>
      <c r="O6626" s="71" t="s">
        <v>175</v>
      </c>
      <c r="P6626" s="103" t="str">
        <f t="shared" si="3465"/>
        <v>매엽용 세척제(Wash k11)</v>
      </c>
      <c r="Q6626" s="71">
        <f t="shared" si="3463"/>
        <v>5</v>
      </c>
      <c r="R6626" s="102">
        <v>47500</v>
      </c>
      <c r="S6626" s="102">
        <f t="shared" si="3457"/>
        <v>261250.00000000003</v>
      </c>
      <c r="T6626" s="102">
        <f t="shared" si="3458"/>
        <v>237500</v>
      </c>
      <c r="U6626" s="71" t="s">
        <v>859</v>
      </c>
      <c r="V6626" s="71"/>
      <c r="W6626" s="474"/>
      <c r="X6626" s="71"/>
      <c r="Y6626" s="71"/>
    </row>
    <row r="6627" spans="1:25" ht="30" hidden="1" customHeight="1" x14ac:dyDescent="0.25">
      <c r="A6627" s="1145">
        <v>45327</v>
      </c>
      <c r="B6627" s="664" t="s">
        <v>2261</v>
      </c>
      <c r="C6627" s="71" t="s">
        <v>3299</v>
      </c>
      <c r="D6627" s="71">
        <v>10</v>
      </c>
      <c r="E6627" s="102">
        <v>52000</v>
      </c>
      <c r="F6627" s="102">
        <f t="shared" ref="F6627:F6630" si="3466">(E6627*D6627)*1.1</f>
        <v>572000</v>
      </c>
      <c r="G6627" s="102">
        <f t="shared" ref="G6627:G6630" si="3467">(E6627*D6627)</f>
        <v>520000</v>
      </c>
      <c r="H6627" s="690" t="s">
        <v>172</v>
      </c>
      <c r="I6627" s="71" t="s">
        <v>180</v>
      </c>
      <c r="J6627" s="53">
        <f t="shared" ref="J6627:J6630" si="3468">G6627-T6627</f>
        <v>45000</v>
      </c>
      <c r="K6627" s="63">
        <f t="shared" si="3449"/>
        <v>8.6538461538461536E-2</v>
      </c>
      <c r="L6627" s="1212" t="s">
        <v>4023</v>
      </c>
      <c r="M6627" s="468" t="s">
        <v>3835</v>
      </c>
      <c r="N6627" s="1192">
        <f t="shared" ref="N6627:N6630" si="3469">A6627</f>
        <v>45327</v>
      </c>
      <c r="O6627" s="71" t="s">
        <v>175</v>
      </c>
      <c r="P6627" s="103" t="str">
        <f t="shared" ref="P6627:P6630" si="3470">(C6627)</f>
        <v>매엽용 세척제(Wash k11)</v>
      </c>
      <c r="Q6627" s="71">
        <f t="shared" ref="Q6627:Q6630" si="3471">D6627</f>
        <v>10</v>
      </c>
      <c r="R6627" s="102">
        <v>47500</v>
      </c>
      <c r="S6627" s="102">
        <f t="shared" ref="S6627:S6630" si="3472">R6627*Q6627*1.1</f>
        <v>522500.00000000006</v>
      </c>
      <c r="T6627" s="102">
        <f t="shared" ref="T6627:T6630" si="3473">R6627*Q6627</f>
        <v>475000</v>
      </c>
      <c r="U6627" s="71" t="s">
        <v>859</v>
      </c>
      <c r="V6627" s="71"/>
      <c r="W6627" s="474"/>
      <c r="X6627" s="71"/>
      <c r="Y6627" s="71"/>
    </row>
    <row r="6628" spans="1:25" s="209" customFormat="1" ht="31.5" hidden="1" customHeight="1" x14ac:dyDescent="0.2">
      <c r="A6628" s="1145">
        <v>45342</v>
      </c>
      <c r="B6628" s="664" t="s">
        <v>3289</v>
      </c>
      <c r="C6628" s="71" t="s">
        <v>3387</v>
      </c>
      <c r="D6628" s="71">
        <v>10</v>
      </c>
      <c r="E6628" s="102">
        <v>130000</v>
      </c>
      <c r="F6628" s="102">
        <f t="shared" si="3466"/>
        <v>1430000</v>
      </c>
      <c r="G6628" s="102">
        <f t="shared" si="3467"/>
        <v>1300000</v>
      </c>
      <c r="H6628" s="165" t="s">
        <v>172</v>
      </c>
      <c r="I6628" s="71" t="s">
        <v>184</v>
      </c>
      <c r="J6628" s="53">
        <f t="shared" si="3468"/>
        <v>180000</v>
      </c>
      <c r="K6628" s="63">
        <f t="shared" si="3449"/>
        <v>0.13846153846153847</v>
      </c>
      <c r="L6628" s="1212" t="s">
        <v>4023</v>
      </c>
      <c r="M6628" s="468"/>
      <c r="N6628" s="1192">
        <f t="shared" si="3469"/>
        <v>45342</v>
      </c>
      <c r="O6628" s="71" t="s">
        <v>189</v>
      </c>
      <c r="P6628" s="103" t="str">
        <f t="shared" si="3470"/>
        <v>Blanket(990*725)</v>
      </c>
      <c r="Q6628" s="71">
        <f t="shared" si="3471"/>
        <v>10</v>
      </c>
      <c r="R6628" s="102">
        <v>112000</v>
      </c>
      <c r="S6628" s="102">
        <f t="shared" si="3472"/>
        <v>1232000</v>
      </c>
      <c r="T6628" s="102">
        <f t="shared" si="3473"/>
        <v>1120000</v>
      </c>
      <c r="U6628" s="71" t="str">
        <f>IF(J6628=W6628,"O", "X")</f>
        <v>X</v>
      </c>
      <c r="V6628" s="71"/>
      <c r="W6628" s="474">
        <v>80000</v>
      </c>
      <c r="X6628" s="71"/>
      <c r="Y6628" s="71"/>
    </row>
    <row r="6629" spans="1:25" ht="30" hidden="1" customHeight="1" x14ac:dyDescent="0.25">
      <c r="A6629" s="1145">
        <v>45344</v>
      </c>
      <c r="B6629" s="664" t="s">
        <v>2261</v>
      </c>
      <c r="C6629" s="760" t="s">
        <v>181</v>
      </c>
      <c r="D6629" s="71">
        <v>10</v>
      </c>
      <c r="E6629" s="102">
        <v>193000</v>
      </c>
      <c r="F6629" s="102">
        <f t="shared" si="3466"/>
        <v>2123000</v>
      </c>
      <c r="G6629" s="102">
        <f t="shared" si="3467"/>
        <v>1930000</v>
      </c>
      <c r="H6629" s="690" t="s">
        <v>2029</v>
      </c>
      <c r="I6629" s="71" t="s">
        <v>182</v>
      </c>
      <c r="J6629" s="53">
        <f t="shared" si="3468"/>
        <v>690000</v>
      </c>
      <c r="K6629" s="63">
        <f t="shared" si="3449"/>
        <v>0.35751295336787564</v>
      </c>
      <c r="L6629" s="1212" t="s">
        <v>4023</v>
      </c>
      <c r="M6629" s="468"/>
      <c r="N6629" s="1192">
        <f t="shared" si="3469"/>
        <v>45344</v>
      </c>
      <c r="O6629" s="71" t="s">
        <v>2030</v>
      </c>
      <c r="P6629" s="103" t="str">
        <f t="shared" si="3470"/>
        <v>Fount Web 551AF</v>
      </c>
      <c r="Q6629" s="71">
        <f t="shared" si="3471"/>
        <v>10</v>
      </c>
      <c r="R6629" s="102">
        <v>124000</v>
      </c>
      <c r="S6629" s="102">
        <f t="shared" si="3472"/>
        <v>1364000</v>
      </c>
      <c r="T6629" s="102">
        <f t="shared" si="3473"/>
        <v>1240000</v>
      </c>
      <c r="U6629" s="71" t="str">
        <f>IF(J6629=W6629,"O", "X")</f>
        <v>X</v>
      </c>
      <c r="V6629" s="71"/>
      <c r="W6629" s="474">
        <v>640000</v>
      </c>
      <c r="X6629" s="71"/>
      <c r="Y6629" s="71"/>
    </row>
    <row r="6630" spans="1:25" ht="30" hidden="1" customHeight="1" x14ac:dyDescent="0.25">
      <c r="A6630" s="1145">
        <v>45344</v>
      </c>
      <c r="B6630" s="664" t="s">
        <v>2261</v>
      </c>
      <c r="C6630" s="71" t="s">
        <v>277</v>
      </c>
      <c r="D6630" s="71">
        <v>10</v>
      </c>
      <c r="E6630" s="102">
        <v>172000</v>
      </c>
      <c r="F6630" s="102">
        <f t="shared" si="3466"/>
        <v>1892000.0000000002</v>
      </c>
      <c r="G6630" s="102">
        <f t="shared" si="3467"/>
        <v>1720000</v>
      </c>
      <c r="H6630" s="690" t="s">
        <v>172</v>
      </c>
      <c r="I6630" s="71" t="s">
        <v>108</v>
      </c>
      <c r="J6630" s="53">
        <f t="shared" si="3468"/>
        <v>390000</v>
      </c>
      <c r="K6630" s="63">
        <f t="shared" si="3449"/>
        <v>0.22674418604651159</v>
      </c>
      <c r="L6630" s="1212" t="s">
        <v>4023</v>
      </c>
      <c r="M6630" s="468"/>
      <c r="N6630" s="1192">
        <f t="shared" si="3469"/>
        <v>45344</v>
      </c>
      <c r="O6630" s="71" t="s">
        <v>662</v>
      </c>
      <c r="P6630" s="103" t="str">
        <f t="shared" si="3470"/>
        <v>윤전용 세척제(Web 504)</v>
      </c>
      <c r="Q6630" s="71">
        <f t="shared" si="3471"/>
        <v>10</v>
      </c>
      <c r="R6630" s="102">
        <v>133000</v>
      </c>
      <c r="S6630" s="102">
        <f t="shared" si="3472"/>
        <v>1463000.0000000002</v>
      </c>
      <c r="T6630" s="102">
        <f t="shared" si="3473"/>
        <v>1330000</v>
      </c>
      <c r="U6630" s="71" t="str">
        <f>IF(J6630=W6630,"O", "X")</f>
        <v>X</v>
      </c>
      <c r="V6630" s="71"/>
      <c r="W6630" s="474"/>
      <c r="X6630" s="71"/>
      <c r="Y6630" s="71"/>
    </row>
    <row r="6631" spans="1:25" ht="30" hidden="1" customHeight="1" x14ac:dyDescent="0.25">
      <c r="A6631" s="1145">
        <v>45344</v>
      </c>
      <c r="B6631" s="664" t="s">
        <v>2261</v>
      </c>
      <c r="C6631" s="71" t="s">
        <v>3299</v>
      </c>
      <c r="D6631" s="71">
        <v>10</v>
      </c>
      <c r="E6631" s="102">
        <v>52000</v>
      </c>
      <c r="F6631" s="102">
        <f t="shared" ref="F6631:F6642" si="3474">(E6631*D6631)*1.1</f>
        <v>572000</v>
      </c>
      <c r="G6631" s="102">
        <f t="shared" ref="G6631:G6642" si="3475">(E6631*D6631)</f>
        <v>520000</v>
      </c>
      <c r="H6631" s="690" t="s">
        <v>172</v>
      </c>
      <c r="I6631" s="71" t="s">
        <v>180</v>
      </c>
      <c r="J6631" s="53">
        <f t="shared" ref="J6631:J6640" si="3476">G6631-T6631</f>
        <v>45000</v>
      </c>
      <c r="K6631" s="63">
        <f t="shared" si="3449"/>
        <v>8.6538461538461536E-2</v>
      </c>
      <c r="L6631" s="1212" t="s">
        <v>4023</v>
      </c>
      <c r="M6631" s="468" t="s">
        <v>3835</v>
      </c>
      <c r="N6631" s="1192">
        <f t="shared" ref="N6631:N6632" si="3477">A6631</f>
        <v>45344</v>
      </c>
      <c r="O6631" s="71" t="s">
        <v>175</v>
      </c>
      <c r="P6631" s="103" t="str">
        <f t="shared" ref="P6631:P6632" si="3478">(C6631)</f>
        <v>매엽용 세척제(Wash k11)</v>
      </c>
      <c r="Q6631" s="71">
        <f t="shared" ref="Q6631:Q6632" si="3479">D6631</f>
        <v>10</v>
      </c>
      <c r="R6631" s="102">
        <v>47500</v>
      </c>
      <c r="S6631" s="102">
        <f t="shared" ref="S6631:S6640" si="3480">R6631*Q6631*1.1</f>
        <v>522500.00000000006</v>
      </c>
      <c r="T6631" s="102">
        <f t="shared" ref="T6631:T6640" si="3481">R6631*Q6631</f>
        <v>475000</v>
      </c>
      <c r="U6631" s="71" t="s">
        <v>859</v>
      </c>
      <c r="V6631" s="71"/>
      <c r="W6631" s="474"/>
      <c r="X6631" s="71"/>
      <c r="Y6631" s="71"/>
    </row>
    <row r="6632" spans="1:25" ht="30" hidden="1" customHeight="1" x14ac:dyDescent="0.25">
      <c r="A6632" s="1145">
        <v>45323</v>
      </c>
      <c r="B6632" s="664" t="s">
        <v>18</v>
      </c>
      <c r="C6632" s="71" t="s">
        <v>2070</v>
      </c>
      <c r="D6632" s="71">
        <v>15</v>
      </c>
      <c r="E6632" s="102">
        <v>115000</v>
      </c>
      <c r="F6632" s="102">
        <f t="shared" si="3474"/>
        <v>1897500.0000000002</v>
      </c>
      <c r="G6632" s="102">
        <f t="shared" si="3475"/>
        <v>1725000</v>
      </c>
      <c r="H6632" s="690" t="s">
        <v>172</v>
      </c>
      <c r="I6632" s="71" t="s">
        <v>33</v>
      </c>
      <c r="J6632" s="53">
        <f t="shared" si="3476"/>
        <v>252000</v>
      </c>
      <c r="K6632" s="63">
        <f t="shared" si="3449"/>
        <v>0.14608695652173911</v>
      </c>
      <c r="L6632" s="1212" t="s">
        <v>4023</v>
      </c>
      <c r="M6632" s="468"/>
      <c r="N6632" s="1192">
        <f t="shared" si="3477"/>
        <v>45323</v>
      </c>
      <c r="O6632" s="71" t="s">
        <v>146</v>
      </c>
      <c r="P6632" s="103" t="str">
        <f t="shared" si="3478"/>
        <v>Blanket(1050*840)</v>
      </c>
      <c r="Q6632" s="71">
        <f t="shared" si="3479"/>
        <v>15</v>
      </c>
      <c r="R6632" s="102">
        <v>98200</v>
      </c>
      <c r="S6632" s="102">
        <f t="shared" si="3480"/>
        <v>1620300.0000000002</v>
      </c>
      <c r="T6632" s="102">
        <f t="shared" si="3481"/>
        <v>1473000</v>
      </c>
      <c r="U6632" s="71" t="s">
        <v>859</v>
      </c>
      <c r="V6632" s="71"/>
      <c r="W6632" s="474"/>
      <c r="X6632" s="71"/>
      <c r="Y6632" s="71"/>
    </row>
    <row r="6633" spans="1:25" ht="30" hidden="1" customHeight="1" x14ac:dyDescent="0.25">
      <c r="A6633" s="1145">
        <v>45323</v>
      </c>
      <c r="B6633" s="664" t="s">
        <v>809</v>
      </c>
      <c r="C6633" s="71" t="s">
        <v>4028</v>
      </c>
      <c r="D6633" s="71">
        <v>20</v>
      </c>
      <c r="E6633" s="102">
        <v>125000</v>
      </c>
      <c r="F6633" s="102">
        <f t="shared" si="3474"/>
        <v>2750000</v>
      </c>
      <c r="G6633" s="102">
        <f t="shared" si="3475"/>
        <v>2500000</v>
      </c>
      <c r="H6633" s="690" t="s">
        <v>172</v>
      </c>
      <c r="I6633" s="71" t="s">
        <v>33</v>
      </c>
      <c r="J6633" s="53">
        <f t="shared" si="3476"/>
        <v>394000</v>
      </c>
      <c r="K6633" s="63">
        <f t="shared" si="3449"/>
        <v>0.15759999999999999</v>
      </c>
      <c r="L6633" s="1212" t="s">
        <v>4023</v>
      </c>
      <c r="M6633" s="102"/>
      <c r="N6633" s="1192"/>
      <c r="O6633" s="71" t="s">
        <v>147</v>
      </c>
      <c r="P6633" s="103" t="str">
        <f t="shared" ref="P6633" si="3482">(C6633)</f>
        <v>Blanket(1077*885)</v>
      </c>
      <c r="Q6633" s="71">
        <f t="shared" ref="Q6633" si="3483">D6633</f>
        <v>20</v>
      </c>
      <c r="R6633" s="102">
        <v>105300</v>
      </c>
      <c r="S6633" s="102">
        <f t="shared" si="3480"/>
        <v>2316600</v>
      </c>
      <c r="T6633" s="102">
        <f t="shared" si="3481"/>
        <v>2106000</v>
      </c>
      <c r="U6633" s="71"/>
      <c r="V6633" s="71"/>
      <c r="W6633" s="474"/>
      <c r="X6633" s="71"/>
      <c r="Y6633" s="71"/>
    </row>
    <row r="6634" spans="1:25" ht="30" hidden="1" customHeight="1" x14ac:dyDescent="0.25">
      <c r="A6634" s="1145">
        <v>45328</v>
      </c>
      <c r="B6634" s="664" t="s">
        <v>18</v>
      </c>
      <c r="C6634" s="71" t="s">
        <v>3305</v>
      </c>
      <c r="D6634" s="71">
        <v>15</v>
      </c>
      <c r="E6634" s="102">
        <v>86000</v>
      </c>
      <c r="F6634" s="102">
        <f t="shared" si="3474"/>
        <v>1419000</v>
      </c>
      <c r="G6634" s="102">
        <f t="shared" si="3475"/>
        <v>1290000</v>
      </c>
      <c r="H6634" s="690" t="s">
        <v>172</v>
      </c>
      <c r="I6634" s="71" t="s">
        <v>3295</v>
      </c>
      <c r="J6634" s="53">
        <f t="shared" si="3476"/>
        <v>590000</v>
      </c>
      <c r="K6634" s="63">
        <f t="shared" si="3449"/>
        <v>0.4573643410852713</v>
      </c>
      <c r="L6634" s="1212" t="s">
        <v>4023</v>
      </c>
      <c r="M6634" s="468" t="s">
        <v>3306</v>
      </c>
      <c r="N6634" s="1192">
        <v>45231</v>
      </c>
      <c r="O6634" s="71" t="s">
        <v>146</v>
      </c>
      <c r="P6634" s="103" t="s">
        <v>3305</v>
      </c>
      <c r="Q6634" s="71">
        <v>10</v>
      </c>
      <c r="R6634" s="102">
        <v>70000</v>
      </c>
      <c r="S6634" s="102">
        <f t="shared" si="3480"/>
        <v>770000.00000000012</v>
      </c>
      <c r="T6634" s="102">
        <f t="shared" si="3481"/>
        <v>700000</v>
      </c>
      <c r="U6634" s="71" t="s">
        <v>1915</v>
      </c>
      <c r="V6634" s="71"/>
      <c r="W6634" s="474"/>
      <c r="X6634" s="71"/>
      <c r="Y6634" s="71"/>
    </row>
    <row r="6635" spans="1:25" ht="30" hidden="1" customHeight="1" x14ac:dyDescent="0.25">
      <c r="A6635" s="1145">
        <v>45328</v>
      </c>
      <c r="B6635" s="664" t="s">
        <v>548</v>
      </c>
      <c r="C6635" s="71" t="s">
        <v>3384</v>
      </c>
      <c r="D6635" s="71">
        <v>300</v>
      </c>
      <c r="E6635" s="102">
        <v>450</v>
      </c>
      <c r="F6635" s="102">
        <f t="shared" si="3474"/>
        <v>148500</v>
      </c>
      <c r="G6635" s="102">
        <f t="shared" si="3475"/>
        <v>135000</v>
      </c>
      <c r="H6635" s="690" t="s">
        <v>2029</v>
      </c>
      <c r="I6635" s="71" t="s">
        <v>3385</v>
      </c>
      <c r="J6635" s="53">
        <f t="shared" si="3476"/>
        <v>7000</v>
      </c>
      <c r="K6635" s="63">
        <f t="shared" si="3449"/>
        <v>5.185185185185185E-2</v>
      </c>
      <c r="L6635" s="1212" t="s">
        <v>4023</v>
      </c>
      <c r="M6635" s="468"/>
      <c r="N6635" s="1192">
        <v>45203</v>
      </c>
      <c r="O6635" s="71" t="s">
        <v>2030</v>
      </c>
      <c r="P6635" s="103" t="s">
        <v>4003</v>
      </c>
      <c r="Q6635" s="71">
        <v>400</v>
      </c>
      <c r="R6635" s="102">
        <v>320</v>
      </c>
      <c r="S6635" s="102">
        <f t="shared" si="3480"/>
        <v>140800</v>
      </c>
      <c r="T6635" s="102">
        <f t="shared" si="3481"/>
        <v>128000</v>
      </c>
      <c r="U6635" s="71"/>
      <c r="V6635" s="71"/>
      <c r="W6635" s="474"/>
      <c r="X6635" s="71"/>
      <c r="Y6635" s="71"/>
    </row>
    <row r="6636" spans="1:25" ht="30" hidden="1" customHeight="1" x14ac:dyDescent="0.25">
      <c r="A6636" s="1145">
        <v>45328</v>
      </c>
      <c r="B6636" s="664" t="s">
        <v>548</v>
      </c>
      <c r="C6636" s="71" t="s">
        <v>3382</v>
      </c>
      <c r="D6636" s="71">
        <v>1</v>
      </c>
      <c r="E6636" s="102">
        <v>168000</v>
      </c>
      <c r="F6636" s="102">
        <f t="shared" si="3474"/>
        <v>184800.00000000003</v>
      </c>
      <c r="G6636" s="102">
        <f t="shared" si="3475"/>
        <v>168000</v>
      </c>
      <c r="H6636" s="690" t="s">
        <v>2029</v>
      </c>
      <c r="I6636" s="71" t="s">
        <v>180</v>
      </c>
      <c r="J6636" s="53">
        <f t="shared" si="3476"/>
        <v>48000</v>
      </c>
      <c r="K6636" s="63">
        <f t="shared" si="3449"/>
        <v>0.28571428571428564</v>
      </c>
      <c r="L6636" s="1212" t="s">
        <v>4023</v>
      </c>
      <c r="M6636" s="468"/>
      <c r="N6636" s="1192">
        <f t="shared" ref="N6636:N6642" si="3484">A6636</f>
        <v>45328</v>
      </c>
      <c r="O6636" s="71" t="s">
        <v>3383</v>
      </c>
      <c r="P6636" s="103" t="str">
        <f t="shared" ref="P6636" si="3485">(C6636)</f>
        <v>판 클리너(12개)</v>
      </c>
      <c r="Q6636" s="71">
        <f t="shared" ref="Q6636" si="3486">D6636</f>
        <v>1</v>
      </c>
      <c r="R6636" s="102">
        <v>120000</v>
      </c>
      <c r="S6636" s="102">
        <f t="shared" si="3480"/>
        <v>132000</v>
      </c>
      <c r="T6636" s="102">
        <f t="shared" si="3481"/>
        <v>120000</v>
      </c>
      <c r="U6636" s="71" t="str">
        <f>IF(J6636=W6636,"O", "X")</f>
        <v>X</v>
      </c>
      <c r="V6636" s="71"/>
      <c r="W6636" s="474"/>
      <c r="X6636" s="71"/>
      <c r="Y6636" s="71"/>
    </row>
    <row r="6637" spans="1:25" ht="30" hidden="1" customHeight="1" x14ac:dyDescent="0.25">
      <c r="A6637" s="1145">
        <v>45336</v>
      </c>
      <c r="B6637" s="664" t="s">
        <v>809</v>
      </c>
      <c r="C6637" s="71" t="s">
        <v>4029</v>
      </c>
      <c r="D6637" s="71">
        <v>2</v>
      </c>
      <c r="E6637" s="102">
        <v>150000</v>
      </c>
      <c r="F6637" s="102">
        <f t="shared" si="3474"/>
        <v>330000</v>
      </c>
      <c r="G6637" s="102">
        <f t="shared" si="3475"/>
        <v>300000</v>
      </c>
      <c r="H6637" s="690" t="s">
        <v>172</v>
      </c>
      <c r="I6637" s="71" t="s">
        <v>33</v>
      </c>
      <c r="J6637" s="53">
        <f t="shared" si="3476"/>
        <v>34000</v>
      </c>
      <c r="K6637" s="63">
        <f t="shared" si="3449"/>
        <v>0.11333333333333333</v>
      </c>
      <c r="L6637" s="1212" t="s">
        <v>4023</v>
      </c>
      <c r="M6637" s="102"/>
      <c r="N6637" s="1192">
        <f t="shared" si="3484"/>
        <v>45336</v>
      </c>
      <c r="O6637" s="71" t="s">
        <v>189</v>
      </c>
      <c r="P6637" s="103" t="str">
        <f t="shared" ref="P6637:P6640" si="3487">(C6637)</f>
        <v>블랑켓 1050*840 - Event</v>
      </c>
      <c r="Q6637" s="71">
        <f t="shared" ref="Q6637:Q6644" si="3488">D6637</f>
        <v>2</v>
      </c>
      <c r="R6637" s="102">
        <v>133000</v>
      </c>
      <c r="S6637" s="102">
        <f t="shared" si="3480"/>
        <v>292600</v>
      </c>
      <c r="T6637" s="102">
        <f t="shared" si="3481"/>
        <v>266000</v>
      </c>
      <c r="U6637" s="71"/>
      <c r="V6637" s="71"/>
      <c r="W6637" s="474"/>
      <c r="X6637" s="71"/>
      <c r="Y6637" s="71"/>
    </row>
    <row r="6638" spans="1:25" ht="30" hidden="1" customHeight="1" x14ac:dyDescent="0.25">
      <c r="A6638" s="1145">
        <v>45336</v>
      </c>
      <c r="B6638" s="664" t="s">
        <v>809</v>
      </c>
      <c r="C6638" s="71" t="s">
        <v>4030</v>
      </c>
      <c r="D6638" s="71">
        <v>2</v>
      </c>
      <c r="E6638" s="102">
        <v>130000</v>
      </c>
      <c r="F6638" s="102">
        <f t="shared" si="3474"/>
        <v>286000</v>
      </c>
      <c r="G6638" s="102">
        <f t="shared" si="3475"/>
        <v>260000</v>
      </c>
      <c r="H6638" s="690" t="s">
        <v>172</v>
      </c>
      <c r="I6638" s="71" t="s">
        <v>33</v>
      </c>
      <c r="J6638" s="53">
        <f t="shared" si="3476"/>
        <v>46000</v>
      </c>
      <c r="K6638" s="63">
        <f t="shared" si="3449"/>
        <v>0.17692307692307693</v>
      </c>
      <c r="L6638" s="1212" t="s">
        <v>4023</v>
      </c>
      <c r="M6638" s="102"/>
      <c r="N6638" s="1192">
        <f t="shared" si="3484"/>
        <v>45336</v>
      </c>
      <c r="O6638" s="71" t="s">
        <v>189</v>
      </c>
      <c r="P6638" s="103" t="str">
        <f t="shared" si="3487"/>
        <v>블랑켓 1050*840 - Zenith</v>
      </c>
      <c r="Q6638" s="71">
        <f t="shared" si="3488"/>
        <v>2</v>
      </c>
      <c r="R6638" s="102">
        <v>107000</v>
      </c>
      <c r="S6638" s="102">
        <f t="shared" si="3480"/>
        <v>235400.00000000003</v>
      </c>
      <c r="T6638" s="102">
        <f t="shared" si="3481"/>
        <v>214000</v>
      </c>
      <c r="U6638" s="71"/>
      <c r="V6638" s="71"/>
      <c r="W6638" s="474"/>
      <c r="X6638" s="71"/>
      <c r="Y6638" s="71"/>
    </row>
    <row r="6639" spans="1:25" ht="30" hidden="1" customHeight="1" x14ac:dyDescent="0.25">
      <c r="A6639" s="1145">
        <v>45336</v>
      </c>
      <c r="B6639" s="664" t="s">
        <v>3296</v>
      </c>
      <c r="C6639" s="71" t="s">
        <v>3297</v>
      </c>
      <c r="D6639" s="71">
        <v>20</v>
      </c>
      <c r="E6639" s="102">
        <v>162500</v>
      </c>
      <c r="F6639" s="102">
        <f t="shared" si="3474"/>
        <v>3575000.0000000005</v>
      </c>
      <c r="G6639" s="102">
        <f t="shared" si="3475"/>
        <v>3250000</v>
      </c>
      <c r="H6639" s="690" t="s">
        <v>172</v>
      </c>
      <c r="I6639" s="71" t="s">
        <v>3295</v>
      </c>
      <c r="J6639" s="53">
        <f t="shared" si="3476"/>
        <v>850000</v>
      </c>
      <c r="K6639" s="63">
        <f t="shared" si="3449"/>
        <v>0.2615384615384615</v>
      </c>
      <c r="L6639" s="1212" t="s">
        <v>4023</v>
      </c>
      <c r="M6639" s="468"/>
      <c r="N6639" s="1192">
        <f t="shared" si="3484"/>
        <v>45336</v>
      </c>
      <c r="O6639" s="71" t="s">
        <v>662</v>
      </c>
      <c r="P6639" s="103" t="str">
        <f t="shared" si="3487"/>
        <v>실리콘 에멀전</v>
      </c>
      <c r="Q6639" s="71">
        <f t="shared" si="3488"/>
        <v>20</v>
      </c>
      <c r="R6639" s="102">
        <v>120000</v>
      </c>
      <c r="S6639" s="102">
        <f t="shared" si="3480"/>
        <v>2640000</v>
      </c>
      <c r="T6639" s="102">
        <f t="shared" si="3481"/>
        <v>2400000</v>
      </c>
      <c r="U6639" s="71" t="str">
        <f t="shared" ref="U6639" si="3489">IF(J6639=W6639,"O", "X")</f>
        <v>X</v>
      </c>
      <c r="V6639" s="71"/>
      <c r="W6639" s="474"/>
      <c r="X6639" s="71"/>
      <c r="Y6639" s="71"/>
    </row>
    <row r="6640" spans="1:25" ht="30" hidden="1" customHeight="1" x14ac:dyDescent="0.25">
      <c r="A6640" s="1145">
        <v>45351</v>
      </c>
      <c r="B6640" s="664" t="s">
        <v>3830</v>
      </c>
      <c r="C6640" s="71" t="s">
        <v>2577</v>
      </c>
      <c r="D6640" s="71">
        <v>2063</v>
      </c>
      <c r="E6640" s="102">
        <v>1350</v>
      </c>
      <c r="F6640" s="102">
        <f t="shared" si="3474"/>
        <v>3063555.0000000005</v>
      </c>
      <c r="G6640" s="102">
        <f t="shared" si="3475"/>
        <v>2785050</v>
      </c>
      <c r="H6640" s="690" t="s">
        <v>173</v>
      </c>
      <c r="I6640" s="71" t="s">
        <v>3295</v>
      </c>
      <c r="J6640" s="53">
        <f t="shared" si="3476"/>
        <v>2785050</v>
      </c>
      <c r="K6640" s="63">
        <f t="shared" si="3449"/>
        <v>0.99999999999999978</v>
      </c>
      <c r="L6640" s="1212" t="s">
        <v>4023</v>
      </c>
      <c r="M6640" s="468"/>
      <c r="N6640" s="1192">
        <f t="shared" si="3484"/>
        <v>45351</v>
      </c>
      <c r="O6640" s="71"/>
      <c r="P6640" s="103" t="str">
        <f t="shared" si="3487"/>
        <v>CTP 폐판</v>
      </c>
      <c r="Q6640" s="71">
        <f t="shared" si="3488"/>
        <v>2063</v>
      </c>
      <c r="R6640" s="147">
        <v>0</v>
      </c>
      <c r="S6640" s="102">
        <f t="shared" si="3480"/>
        <v>0</v>
      </c>
      <c r="T6640" s="102">
        <f t="shared" si="3481"/>
        <v>0</v>
      </c>
      <c r="U6640" s="71"/>
      <c r="V6640" s="71"/>
      <c r="W6640" s="474"/>
      <c r="X6640" s="71"/>
      <c r="Y6640" s="71"/>
    </row>
    <row r="6641" spans="1:25" s="209" customFormat="1" ht="30" hidden="1" customHeight="1" x14ac:dyDescent="0.25">
      <c r="A6641" s="1145">
        <v>45316</v>
      </c>
      <c r="B6641" s="664" t="s">
        <v>442</v>
      </c>
      <c r="C6641" s="71" t="s">
        <v>3833</v>
      </c>
      <c r="D6641" s="71">
        <v>500</v>
      </c>
      <c r="E6641" s="102">
        <v>4250</v>
      </c>
      <c r="F6641" s="102">
        <f t="shared" si="3474"/>
        <v>2337500</v>
      </c>
      <c r="G6641" s="102">
        <f t="shared" si="3475"/>
        <v>2125000</v>
      </c>
      <c r="H6641" s="690" t="s">
        <v>2029</v>
      </c>
      <c r="I6641" s="71" t="s">
        <v>2230</v>
      </c>
      <c r="J6641" s="53">
        <f t="shared" ref="J6641:J6642" si="3490">G6641-T6641</f>
        <v>400000</v>
      </c>
      <c r="K6641" s="63">
        <f t="shared" si="3449"/>
        <v>0.18823529411764706</v>
      </c>
      <c r="L6641" s="1212" t="s">
        <v>4023</v>
      </c>
      <c r="M6641" s="468"/>
      <c r="N6641" s="1192">
        <f t="shared" si="3484"/>
        <v>45316</v>
      </c>
      <c r="O6641" s="71" t="s">
        <v>2030</v>
      </c>
      <c r="P6641" s="164" t="s">
        <v>3777</v>
      </c>
      <c r="Q6641" s="71">
        <f t="shared" si="3488"/>
        <v>500</v>
      </c>
      <c r="R6641" s="102">
        <v>3450</v>
      </c>
      <c r="S6641" s="102">
        <f t="shared" ref="S6641:S6644" si="3491">R6641*Q6641*1.1</f>
        <v>1897500.0000000002</v>
      </c>
      <c r="T6641" s="102">
        <f t="shared" ref="T6641:T6644" si="3492">R6641*Q6641</f>
        <v>1725000</v>
      </c>
      <c r="U6641" s="71"/>
      <c r="V6641" s="71"/>
      <c r="W6641" s="474"/>
      <c r="X6641" s="71"/>
      <c r="Y6641" s="71"/>
    </row>
    <row r="6642" spans="1:25" ht="30" hidden="1" customHeight="1" x14ac:dyDescent="0.25">
      <c r="A6642" s="1145">
        <v>45316</v>
      </c>
      <c r="B6642" s="664" t="s">
        <v>442</v>
      </c>
      <c r="C6642" s="71" t="s">
        <v>3834</v>
      </c>
      <c r="D6642" s="71">
        <v>5</v>
      </c>
      <c r="E6642" s="102">
        <v>57000</v>
      </c>
      <c r="F6642" s="102">
        <f t="shared" si="3474"/>
        <v>313500</v>
      </c>
      <c r="G6642" s="102">
        <f t="shared" si="3475"/>
        <v>285000</v>
      </c>
      <c r="H6642" s="690" t="s">
        <v>2029</v>
      </c>
      <c r="I6642" s="71" t="s">
        <v>2230</v>
      </c>
      <c r="J6642" s="53">
        <f t="shared" si="3490"/>
        <v>86700</v>
      </c>
      <c r="K6642" s="63">
        <f t="shared" si="3449"/>
        <v>0.30421052631578949</v>
      </c>
      <c r="L6642" s="1212" t="s">
        <v>4023</v>
      </c>
      <c r="M6642" s="468"/>
      <c r="N6642" s="1192">
        <f t="shared" si="3484"/>
        <v>45316</v>
      </c>
      <c r="O6642" s="71" t="s">
        <v>2030</v>
      </c>
      <c r="P6642" s="103" t="s">
        <v>1026</v>
      </c>
      <c r="Q6642" s="71">
        <f t="shared" si="3488"/>
        <v>5</v>
      </c>
      <c r="R6642" s="102">
        <v>39660</v>
      </c>
      <c r="S6642" s="102">
        <f t="shared" si="3491"/>
        <v>218130.00000000003</v>
      </c>
      <c r="T6642" s="102">
        <f t="shared" si="3492"/>
        <v>198300</v>
      </c>
      <c r="U6642" s="71"/>
      <c r="V6642" s="71"/>
      <c r="W6642" s="474"/>
      <c r="X6642" s="71"/>
      <c r="Y6642" s="71"/>
    </row>
    <row r="6643" spans="1:25" ht="30" hidden="1" customHeight="1" x14ac:dyDescent="0.25">
      <c r="A6643" s="1145">
        <v>45316</v>
      </c>
      <c r="B6643" s="664" t="s">
        <v>2</v>
      </c>
      <c r="C6643" s="71" t="s">
        <v>2075</v>
      </c>
      <c r="D6643" s="71">
        <v>1</v>
      </c>
      <c r="E6643" s="102">
        <v>98000</v>
      </c>
      <c r="F6643" s="102">
        <f>(E6643*D6643)*1.1</f>
        <v>107800.00000000001</v>
      </c>
      <c r="G6643" s="102">
        <f>(E6643*D6643)</f>
        <v>98000</v>
      </c>
      <c r="H6643" s="690" t="s">
        <v>173</v>
      </c>
      <c r="I6643" s="71" t="s">
        <v>2273</v>
      </c>
      <c r="J6643" s="53">
        <f>G6643-T6643</f>
        <v>6000</v>
      </c>
      <c r="K6643" s="63">
        <f t="shared" si="3449"/>
        <v>6.1224489795918359E-2</v>
      </c>
      <c r="L6643" s="1212" t="s">
        <v>4023</v>
      </c>
      <c r="M6643" s="468"/>
      <c r="N6643" s="1192">
        <f>A6643</f>
        <v>45316</v>
      </c>
      <c r="O6643" s="71" t="s">
        <v>150</v>
      </c>
      <c r="P6643" s="103" t="str">
        <f>C6643</f>
        <v>CTP 고무액</v>
      </c>
      <c r="Q6643" s="71">
        <f t="shared" si="3488"/>
        <v>1</v>
      </c>
      <c r="R6643" s="102">
        <v>92000</v>
      </c>
      <c r="S6643" s="102">
        <f t="shared" si="3491"/>
        <v>101200.00000000001</v>
      </c>
      <c r="T6643" s="102">
        <f t="shared" si="3492"/>
        <v>92000</v>
      </c>
      <c r="U6643" s="71" t="str">
        <f>IF(J6643=W6643,"O", "X")</f>
        <v>X</v>
      </c>
      <c r="V6643" s="71"/>
      <c r="W6643" s="474"/>
      <c r="X6643" s="71"/>
      <c r="Y6643" s="71"/>
    </row>
    <row r="6644" spans="1:25" ht="30" hidden="1" customHeight="1" x14ac:dyDescent="0.25">
      <c r="A6644" s="1145">
        <v>45317</v>
      </c>
      <c r="B6644" s="664" t="s">
        <v>442</v>
      </c>
      <c r="C6644" s="71" t="s">
        <v>207</v>
      </c>
      <c r="D6644" s="71">
        <v>2</v>
      </c>
      <c r="E6644" s="102">
        <v>558000</v>
      </c>
      <c r="F6644" s="102">
        <f t="shared" ref="F6644:F6667" si="3493">(E6644*D6644)*1.1</f>
        <v>1227600</v>
      </c>
      <c r="G6644" s="102">
        <f t="shared" ref="G6644:G6667" si="3494">(E6644*D6644)</f>
        <v>1116000</v>
      </c>
      <c r="H6644" s="690" t="s">
        <v>2029</v>
      </c>
      <c r="I6644" s="71" t="s">
        <v>195</v>
      </c>
      <c r="J6644" s="53">
        <f t="shared" ref="J6644:J6655" si="3495">G6644-T6644</f>
        <v>1116000</v>
      </c>
      <c r="K6644" s="63">
        <f t="shared" si="3449"/>
        <v>1</v>
      </c>
      <c r="L6644" s="1212" t="s">
        <v>4023</v>
      </c>
      <c r="M6644" s="468" t="s">
        <v>4034</v>
      </c>
      <c r="N6644" s="1192">
        <f t="shared" ref="N6644:N6668" si="3496">A6644</f>
        <v>45317</v>
      </c>
      <c r="O6644" s="71" t="s">
        <v>194</v>
      </c>
      <c r="P6644" s="103" t="str">
        <f t="shared" ref="P6644" si="3497">(C6644)</f>
        <v>Agfa Film(28inch)</v>
      </c>
      <c r="Q6644" s="71">
        <f t="shared" si="3488"/>
        <v>2</v>
      </c>
      <c r="R6644" s="102">
        <v>0</v>
      </c>
      <c r="S6644" s="102">
        <f t="shared" si="3491"/>
        <v>0</v>
      </c>
      <c r="T6644" s="102">
        <f t="shared" si="3492"/>
        <v>0</v>
      </c>
      <c r="U6644" s="71" t="s">
        <v>859</v>
      </c>
      <c r="V6644" s="71"/>
      <c r="W6644" s="474">
        <v>228480</v>
      </c>
      <c r="X6644" s="71"/>
      <c r="Y6644" s="71"/>
    </row>
    <row r="6645" spans="1:25" s="209" customFormat="1" ht="30" hidden="1" customHeight="1" x14ac:dyDescent="0.25">
      <c r="A6645" s="1145">
        <v>45322</v>
      </c>
      <c r="B6645" s="664" t="s">
        <v>442</v>
      </c>
      <c r="C6645" s="71" t="s">
        <v>3833</v>
      </c>
      <c r="D6645" s="71">
        <v>500</v>
      </c>
      <c r="E6645" s="102">
        <v>4250</v>
      </c>
      <c r="F6645" s="102">
        <f t="shared" si="3493"/>
        <v>2337500</v>
      </c>
      <c r="G6645" s="102">
        <f t="shared" si="3494"/>
        <v>2125000</v>
      </c>
      <c r="H6645" s="690" t="s">
        <v>2029</v>
      </c>
      <c r="I6645" s="71" t="s">
        <v>2230</v>
      </c>
      <c r="J6645" s="53">
        <f t="shared" si="3495"/>
        <v>400000</v>
      </c>
      <c r="K6645" s="63">
        <f t="shared" si="3449"/>
        <v>0.18823529411764706</v>
      </c>
      <c r="L6645" s="1212" t="s">
        <v>4023</v>
      </c>
      <c r="M6645" s="468"/>
      <c r="N6645" s="1192">
        <f t="shared" si="3496"/>
        <v>45322</v>
      </c>
      <c r="O6645" s="71" t="s">
        <v>2030</v>
      </c>
      <c r="P6645" s="164" t="s">
        <v>3777</v>
      </c>
      <c r="Q6645" s="71">
        <f t="shared" ref="Q6645:Q6667" si="3498">D6645</f>
        <v>500</v>
      </c>
      <c r="R6645" s="102">
        <v>3450</v>
      </c>
      <c r="S6645" s="102">
        <f t="shared" ref="S6645:S6655" si="3499">R6645*Q6645*1.1</f>
        <v>1897500.0000000002</v>
      </c>
      <c r="T6645" s="102">
        <f t="shared" ref="T6645:T6655" si="3500">R6645*Q6645</f>
        <v>1725000</v>
      </c>
      <c r="U6645" s="71"/>
      <c r="V6645" s="71"/>
      <c r="W6645" s="474"/>
      <c r="X6645" s="71"/>
      <c r="Y6645" s="71"/>
    </row>
    <row r="6646" spans="1:25" ht="30" hidden="1" customHeight="1" x14ac:dyDescent="0.25">
      <c r="A6646" s="1145">
        <v>45324</v>
      </c>
      <c r="B6646" s="664" t="s">
        <v>442</v>
      </c>
      <c r="C6646" s="71" t="s">
        <v>3299</v>
      </c>
      <c r="D6646" s="71">
        <v>15</v>
      </c>
      <c r="E6646" s="102">
        <v>69000</v>
      </c>
      <c r="F6646" s="102">
        <f t="shared" si="3493"/>
        <v>1138500</v>
      </c>
      <c r="G6646" s="102">
        <f t="shared" si="3494"/>
        <v>1035000</v>
      </c>
      <c r="H6646" s="690" t="s">
        <v>172</v>
      </c>
      <c r="I6646" s="71" t="s">
        <v>180</v>
      </c>
      <c r="J6646" s="53">
        <f t="shared" si="3495"/>
        <v>322500</v>
      </c>
      <c r="K6646" s="63">
        <f t="shared" si="3449"/>
        <v>0.31159420289855072</v>
      </c>
      <c r="L6646" s="1212" t="s">
        <v>4023</v>
      </c>
      <c r="M6646" s="468" t="s">
        <v>3304</v>
      </c>
      <c r="N6646" s="1192">
        <f t="shared" si="3496"/>
        <v>45324</v>
      </c>
      <c r="O6646" s="71" t="s">
        <v>175</v>
      </c>
      <c r="P6646" s="164" t="str">
        <f t="shared" ref="P6646" si="3501">(C6646)</f>
        <v>매엽용 세척제(Wash k11)</v>
      </c>
      <c r="Q6646" s="71">
        <f t="shared" si="3498"/>
        <v>15</v>
      </c>
      <c r="R6646" s="102">
        <v>47500</v>
      </c>
      <c r="S6646" s="102">
        <f t="shared" si="3499"/>
        <v>783750.00000000012</v>
      </c>
      <c r="T6646" s="102">
        <f t="shared" si="3500"/>
        <v>712500</v>
      </c>
      <c r="U6646" s="71" t="s">
        <v>859</v>
      </c>
      <c r="V6646" s="71"/>
      <c r="W6646" s="474"/>
      <c r="X6646" s="71"/>
      <c r="Y6646" s="71"/>
    </row>
    <row r="6647" spans="1:25" ht="30" hidden="1" customHeight="1" x14ac:dyDescent="0.25">
      <c r="A6647" s="1145">
        <v>45328</v>
      </c>
      <c r="B6647" s="664" t="s">
        <v>442</v>
      </c>
      <c r="C6647" s="71" t="s">
        <v>651</v>
      </c>
      <c r="D6647" s="71">
        <v>3</v>
      </c>
      <c r="E6647" s="102">
        <v>50000</v>
      </c>
      <c r="F6647" s="102">
        <f t="shared" si="3493"/>
        <v>165000</v>
      </c>
      <c r="G6647" s="102">
        <f t="shared" si="3494"/>
        <v>150000</v>
      </c>
      <c r="H6647" s="690" t="s">
        <v>2029</v>
      </c>
      <c r="I6647" s="71" t="s">
        <v>195</v>
      </c>
      <c r="J6647" s="53">
        <f t="shared" si="3495"/>
        <v>61710</v>
      </c>
      <c r="K6647" s="63">
        <f t="shared" si="3449"/>
        <v>0.41139999999999999</v>
      </c>
      <c r="L6647" s="1212" t="s">
        <v>4023</v>
      </c>
      <c r="M6647" s="468"/>
      <c r="N6647" s="1192">
        <f t="shared" si="3496"/>
        <v>45328</v>
      </c>
      <c r="O6647" s="71" t="s">
        <v>194</v>
      </c>
      <c r="P6647" s="164" t="str">
        <f>(C6647)</f>
        <v>Agfa 현상액 G101C(10L)</v>
      </c>
      <c r="Q6647" s="71">
        <f t="shared" si="3498"/>
        <v>3</v>
      </c>
      <c r="R6647" s="102">
        <v>29430</v>
      </c>
      <c r="S6647" s="102">
        <f t="shared" si="3499"/>
        <v>97119.000000000015</v>
      </c>
      <c r="T6647" s="102">
        <f t="shared" si="3500"/>
        <v>88290</v>
      </c>
      <c r="U6647" s="71" t="str">
        <f>IF(J6647=W6647,"O", "X")</f>
        <v>O</v>
      </c>
      <c r="V6647" s="71"/>
      <c r="W6647" s="474">
        <f>(G6647-T6647)</f>
        <v>61710</v>
      </c>
      <c r="X6647" s="71"/>
      <c r="Y6647" s="71"/>
    </row>
    <row r="6648" spans="1:25" ht="30" hidden="1" customHeight="1" x14ac:dyDescent="0.25">
      <c r="A6648" s="1145">
        <v>45337</v>
      </c>
      <c r="B6648" s="664" t="s">
        <v>442</v>
      </c>
      <c r="C6648" s="71" t="s">
        <v>3433</v>
      </c>
      <c r="D6648" s="71">
        <v>6</v>
      </c>
      <c r="E6648" s="102">
        <v>115000</v>
      </c>
      <c r="F6648" s="102">
        <f t="shared" si="3493"/>
        <v>759000.00000000012</v>
      </c>
      <c r="G6648" s="102">
        <f t="shared" si="3494"/>
        <v>690000</v>
      </c>
      <c r="H6648" s="690" t="s">
        <v>2029</v>
      </c>
      <c r="I6648" s="71" t="s">
        <v>3385</v>
      </c>
      <c r="J6648" s="53">
        <f t="shared" si="3495"/>
        <v>169200</v>
      </c>
      <c r="K6648" s="63">
        <f t="shared" si="3449"/>
        <v>0.24521739130434778</v>
      </c>
      <c r="L6648" s="1212" t="s">
        <v>4023</v>
      </c>
      <c r="M6648" s="468"/>
      <c r="N6648" s="1192">
        <f t="shared" si="3496"/>
        <v>45337</v>
      </c>
      <c r="O6648" s="71" t="s">
        <v>147</v>
      </c>
      <c r="P6648" s="164" t="str">
        <f t="shared" ref="P6648:P6667" si="3502">(C6648)</f>
        <v>블랑켓-하이델베르그 국전용</v>
      </c>
      <c r="Q6648" s="71">
        <f t="shared" si="3498"/>
        <v>6</v>
      </c>
      <c r="R6648" s="102">
        <v>86800</v>
      </c>
      <c r="S6648" s="102">
        <f t="shared" si="3499"/>
        <v>572880</v>
      </c>
      <c r="T6648" s="102">
        <f t="shared" si="3500"/>
        <v>520800</v>
      </c>
      <c r="U6648" s="71"/>
      <c r="V6648" s="71"/>
      <c r="W6648" s="474"/>
      <c r="X6648" s="71"/>
      <c r="Y6648" s="71"/>
    </row>
    <row r="6649" spans="1:25" ht="30" hidden="1" customHeight="1" x14ac:dyDescent="0.25">
      <c r="A6649" s="1145">
        <v>45338</v>
      </c>
      <c r="B6649" s="664" t="s">
        <v>442</v>
      </c>
      <c r="C6649" s="71" t="s">
        <v>206</v>
      </c>
      <c r="D6649" s="71">
        <v>2</v>
      </c>
      <c r="E6649" s="102">
        <v>453000</v>
      </c>
      <c r="F6649" s="102">
        <f t="shared" si="3493"/>
        <v>996600.00000000012</v>
      </c>
      <c r="G6649" s="102">
        <f t="shared" si="3494"/>
        <v>906000</v>
      </c>
      <c r="H6649" s="690" t="s">
        <v>2029</v>
      </c>
      <c r="I6649" s="71" t="s">
        <v>195</v>
      </c>
      <c r="J6649" s="53">
        <f t="shared" si="3495"/>
        <v>144640</v>
      </c>
      <c r="K6649" s="63">
        <f t="shared" si="3449"/>
        <v>0.15964679911699778</v>
      </c>
      <c r="L6649" s="1212" t="s">
        <v>4023</v>
      </c>
      <c r="M6649" s="468"/>
      <c r="N6649" s="1192">
        <f t="shared" si="3496"/>
        <v>45338</v>
      </c>
      <c r="O6649" s="71" t="s">
        <v>194</v>
      </c>
      <c r="P6649" s="103" t="str">
        <f t="shared" si="3502"/>
        <v>Agfa Film(24inch)</v>
      </c>
      <c r="Q6649" s="71">
        <f t="shared" si="3498"/>
        <v>2</v>
      </c>
      <c r="R6649" s="102">
        <v>380680</v>
      </c>
      <c r="S6649" s="102">
        <f t="shared" si="3499"/>
        <v>837496.00000000012</v>
      </c>
      <c r="T6649" s="102">
        <f t="shared" si="3500"/>
        <v>761360</v>
      </c>
      <c r="U6649" s="71" t="s">
        <v>859</v>
      </c>
      <c r="V6649" s="71"/>
      <c r="W6649" s="474">
        <v>144640</v>
      </c>
      <c r="X6649" s="71"/>
      <c r="Y6649" s="71"/>
    </row>
    <row r="6650" spans="1:25" ht="30" hidden="1" customHeight="1" x14ac:dyDescent="0.25">
      <c r="A6650" s="1145">
        <v>45338</v>
      </c>
      <c r="B6650" s="664" t="s">
        <v>442</v>
      </c>
      <c r="C6650" s="71" t="s">
        <v>208</v>
      </c>
      <c r="D6650" s="71">
        <v>1</v>
      </c>
      <c r="E6650" s="102">
        <v>624000</v>
      </c>
      <c r="F6650" s="102">
        <f t="shared" si="3493"/>
        <v>686400</v>
      </c>
      <c r="G6650" s="102">
        <f t="shared" si="3494"/>
        <v>624000</v>
      </c>
      <c r="H6650" s="690" t="s">
        <v>2029</v>
      </c>
      <c r="I6650" s="71" t="s">
        <v>195</v>
      </c>
      <c r="J6650" s="53">
        <f t="shared" si="3495"/>
        <v>100910</v>
      </c>
      <c r="K6650" s="63">
        <f t="shared" si="3449"/>
        <v>0.16171474358974358</v>
      </c>
      <c r="L6650" s="1212" t="s">
        <v>4023</v>
      </c>
      <c r="M6650" s="468"/>
      <c r="N6650" s="1192">
        <f t="shared" si="3496"/>
        <v>45338</v>
      </c>
      <c r="O6650" s="71" t="s">
        <v>194</v>
      </c>
      <c r="P6650" s="103" t="str">
        <f t="shared" si="3502"/>
        <v>Agfa Film(32inch)</v>
      </c>
      <c r="Q6650" s="71">
        <f t="shared" si="3498"/>
        <v>1</v>
      </c>
      <c r="R6650" s="102">
        <f>523090</f>
        <v>523090</v>
      </c>
      <c r="S6650" s="102">
        <f t="shared" si="3499"/>
        <v>575399</v>
      </c>
      <c r="T6650" s="102">
        <f t="shared" si="3500"/>
        <v>523090</v>
      </c>
      <c r="U6650" s="71" t="s">
        <v>859</v>
      </c>
      <c r="V6650" s="71"/>
      <c r="W6650" s="474">
        <v>201820</v>
      </c>
      <c r="X6650" s="71"/>
      <c r="Y6650" s="71"/>
    </row>
    <row r="6651" spans="1:25" ht="30" hidden="1" customHeight="1" x14ac:dyDescent="0.2">
      <c r="A6651" s="1145">
        <v>45338</v>
      </c>
      <c r="B6651" s="664" t="s">
        <v>442</v>
      </c>
      <c r="C6651" s="71" t="s">
        <v>648</v>
      </c>
      <c r="D6651" s="71">
        <v>1</v>
      </c>
      <c r="E6651" s="102">
        <v>93000</v>
      </c>
      <c r="F6651" s="102">
        <f t="shared" si="3493"/>
        <v>102300.00000000001</v>
      </c>
      <c r="G6651" s="102">
        <f t="shared" si="3494"/>
        <v>93000</v>
      </c>
      <c r="H6651" s="165" t="s">
        <v>172</v>
      </c>
      <c r="I6651" s="71" t="s">
        <v>195</v>
      </c>
      <c r="J6651" s="53">
        <f t="shared" si="3495"/>
        <v>27000</v>
      </c>
      <c r="K6651" s="63">
        <f t="shared" si="3449"/>
        <v>0.29032258064516125</v>
      </c>
      <c r="L6651" s="1212" t="s">
        <v>4023</v>
      </c>
      <c r="M6651" s="468"/>
      <c r="N6651" s="1192">
        <f t="shared" si="3496"/>
        <v>45338</v>
      </c>
      <c r="O6651" s="71" t="s">
        <v>194</v>
      </c>
      <c r="P6651" s="103" t="str">
        <f t="shared" si="3502"/>
        <v>Agfa 정착액 G333C(20L)</v>
      </c>
      <c r="Q6651" s="71">
        <f t="shared" si="3498"/>
        <v>1</v>
      </c>
      <c r="R6651" s="102">
        <v>66000</v>
      </c>
      <c r="S6651" s="102">
        <f t="shared" si="3499"/>
        <v>72600</v>
      </c>
      <c r="T6651" s="102">
        <f t="shared" si="3500"/>
        <v>66000</v>
      </c>
      <c r="U6651" s="71" t="s">
        <v>859</v>
      </c>
      <c r="V6651" s="71"/>
      <c r="W6651" s="474">
        <v>27000</v>
      </c>
      <c r="X6651" s="71"/>
      <c r="Y6651" s="71"/>
    </row>
    <row r="6652" spans="1:25" ht="30" hidden="1" customHeight="1" x14ac:dyDescent="0.25">
      <c r="A6652" s="1145">
        <v>45336</v>
      </c>
      <c r="B6652" s="664" t="s">
        <v>26</v>
      </c>
      <c r="C6652" s="71" t="s">
        <v>2087</v>
      </c>
      <c r="D6652" s="71">
        <v>10</v>
      </c>
      <c r="E6652" s="102">
        <v>65000</v>
      </c>
      <c r="F6652" s="102">
        <f t="shared" si="3493"/>
        <v>715000</v>
      </c>
      <c r="G6652" s="102">
        <f t="shared" si="3494"/>
        <v>650000</v>
      </c>
      <c r="H6652" s="690" t="s">
        <v>172</v>
      </c>
      <c r="I6652" s="71" t="s">
        <v>3295</v>
      </c>
      <c r="J6652" s="53">
        <f t="shared" si="3495"/>
        <v>150000</v>
      </c>
      <c r="K6652" s="63">
        <f t="shared" si="3449"/>
        <v>0.23076923076923078</v>
      </c>
      <c r="L6652" s="1212" t="s">
        <v>4023</v>
      </c>
      <c r="M6652" s="468"/>
      <c r="N6652" s="1192">
        <f t="shared" si="3496"/>
        <v>45336</v>
      </c>
      <c r="O6652" s="71" t="s">
        <v>152</v>
      </c>
      <c r="P6652" s="103" t="str">
        <f t="shared" si="3502"/>
        <v>아스테이지(국전)</v>
      </c>
      <c r="Q6652" s="71">
        <f t="shared" si="3498"/>
        <v>10</v>
      </c>
      <c r="R6652" s="102">
        <v>50000</v>
      </c>
      <c r="S6652" s="102">
        <f t="shared" si="3499"/>
        <v>550000</v>
      </c>
      <c r="T6652" s="102">
        <f t="shared" si="3500"/>
        <v>500000</v>
      </c>
      <c r="U6652" s="71" t="str">
        <f>IF(J6652=W6652,"O", "X")</f>
        <v>O</v>
      </c>
      <c r="V6652" s="71"/>
      <c r="W6652" s="474">
        <v>150000</v>
      </c>
      <c r="X6652" s="71"/>
      <c r="Y6652" s="71"/>
    </row>
    <row r="6653" spans="1:25" ht="30" hidden="1" customHeight="1" x14ac:dyDescent="0.25">
      <c r="A6653" s="1145">
        <v>45343</v>
      </c>
      <c r="B6653" s="664" t="s">
        <v>26</v>
      </c>
      <c r="C6653" s="71" t="s">
        <v>2087</v>
      </c>
      <c r="D6653" s="71">
        <v>5</v>
      </c>
      <c r="E6653" s="102">
        <v>65000</v>
      </c>
      <c r="F6653" s="102">
        <f t="shared" si="3493"/>
        <v>357500</v>
      </c>
      <c r="G6653" s="102">
        <f t="shared" si="3494"/>
        <v>325000</v>
      </c>
      <c r="H6653" s="690" t="s">
        <v>172</v>
      </c>
      <c r="I6653" s="71" t="s">
        <v>3295</v>
      </c>
      <c r="J6653" s="53">
        <f t="shared" si="3495"/>
        <v>75000</v>
      </c>
      <c r="K6653" s="63">
        <f t="shared" si="3449"/>
        <v>0.23076923076923078</v>
      </c>
      <c r="L6653" s="1212" t="s">
        <v>4023</v>
      </c>
      <c r="M6653" s="468"/>
      <c r="N6653" s="1192">
        <f t="shared" si="3496"/>
        <v>45343</v>
      </c>
      <c r="O6653" s="71" t="s">
        <v>152</v>
      </c>
      <c r="P6653" s="103" t="str">
        <f t="shared" si="3502"/>
        <v>아스테이지(국전)</v>
      </c>
      <c r="Q6653" s="71">
        <f t="shared" si="3498"/>
        <v>5</v>
      </c>
      <c r="R6653" s="102">
        <v>50000</v>
      </c>
      <c r="S6653" s="102">
        <f t="shared" si="3499"/>
        <v>275000</v>
      </c>
      <c r="T6653" s="102">
        <f t="shared" si="3500"/>
        <v>250000</v>
      </c>
      <c r="U6653" s="71" t="str">
        <f>IF(J6653=W6653,"O", "X")</f>
        <v>X</v>
      </c>
      <c r="V6653" s="71"/>
      <c r="W6653" s="474">
        <v>150000</v>
      </c>
      <c r="X6653" s="71"/>
      <c r="Y6653" s="71"/>
    </row>
    <row r="6654" spans="1:25" s="209" customFormat="1" ht="30" hidden="1" customHeight="1" x14ac:dyDescent="0.25">
      <c r="A6654" s="1145">
        <v>45341</v>
      </c>
      <c r="B6654" s="664" t="s">
        <v>411</v>
      </c>
      <c r="C6654" s="71" t="s">
        <v>3413</v>
      </c>
      <c r="D6654" s="71">
        <v>10</v>
      </c>
      <c r="E6654" s="102">
        <v>80000</v>
      </c>
      <c r="F6654" s="102">
        <f t="shared" si="3493"/>
        <v>880000.00000000012</v>
      </c>
      <c r="G6654" s="102">
        <f t="shared" si="3494"/>
        <v>800000</v>
      </c>
      <c r="H6654" s="690" t="s">
        <v>2029</v>
      </c>
      <c r="I6654" s="71" t="s">
        <v>3385</v>
      </c>
      <c r="J6654" s="53">
        <f t="shared" si="3495"/>
        <v>300000</v>
      </c>
      <c r="K6654" s="63">
        <f t="shared" si="3449"/>
        <v>0.37499999999999994</v>
      </c>
      <c r="L6654" s="1212" t="s">
        <v>4023</v>
      </c>
      <c r="M6654" s="468"/>
      <c r="N6654" s="1192">
        <f t="shared" si="3496"/>
        <v>45341</v>
      </c>
      <c r="O6654" s="71" t="s">
        <v>190</v>
      </c>
      <c r="P6654" s="103" t="str">
        <f t="shared" si="3502"/>
        <v>아스테이지(국전)</v>
      </c>
      <c r="Q6654" s="71">
        <f t="shared" si="3498"/>
        <v>10</v>
      </c>
      <c r="R6654" s="102">
        <v>50000</v>
      </c>
      <c r="S6654" s="102">
        <f t="shared" si="3499"/>
        <v>550000</v>
      </c>
      <c r="T6654" s="102">
        <f t="shared" si="3500"/>
        <v>500000</v>
      </c>
      <c r="U6654" s="71" t="str">
        <f t="shared" ref="U6654" si="3503">IF(J6654=W6654,"O", "X")</f>
        <v>X</v>
      </c>
      <c r="V6654" s="71"/>
      <c r="W6654" s="474">
        <v>500000</v>
      </c>
      <c r="X6654" s="71"/>
      <c r="Y6654" s="71"/>
    </row>
    <row r="6655" spans="1:25" ht="30" hidden="1" customHeight="1" x14ac:dyDescent="0.25">
      <c r="A6655" s="1145">
        <v>45344</v>
      </c>
      <c r="B6655" s="664" t="s">
        <v>2490</v>
      </c>
      <c r="C6655" s="71" t="s">
        <v>4031</v>
      </c>
      <c r="D6655" s="71">
        <v>1</v>
      </c>
      <c r="E6655" s="102">
        <v>480000</v>
      </c>
      <c r="F6655" s="102">
        <f t="shared" si="3493"/>
        <v>528000</v>
      </c>
      <c r="G6655" s="102">
        <f t="shared" si="3494"/>
        <v>480000</v>
      </c>
      <c r="H6655" s="690" t="s">
        <v>2029</v>
      </c>
      <c r="I6655" s="71" t="s">
        <v>3385</v>
      </c>
      <c r="J6655" s="53">
        <f t="shared" si="3495"/>
        <v>50000</v>
      </c>
      <c r="K6655" s="63">
        <f t="shared" ref="K6655:K6660" si="3504">(J6655/(F6655/11*10))</f>
        <v>0.10416666666666667</v>
      </c>
      <c r="L6655" s="1212" t="s">
        <v>4023</v>
      </c>
      <c r="M6655" s="468"/>
      <c r="N6655" s="1192">
        <f t="shared" si="3496"/>
        <v>45344</v>
      </c>
      <c r="O6655" s="71" t="s">
        <v>2030</v>
      </c>
      <c r="P6655" s="164" t="str">
        <f t="shared" si="3502"/>
        <v>IST UV Lamp 홀더</v>
      </c>
      <c r="Q6655" s="71">
        <f t="shared" si="3498"/>
        <v>1</v>
      </c>
      <c r="R6655" s="102">
        <v>430000</v>
      </c>
      <c r="S6655" s="102">
        <f t="shared" si="3499"/>
        <v>473000.00000000006</v>
      </c>
      <c r="T6655" s="102">
        <f t="shared" si="3500"/>
        <v>430000</v>
      </c>
      <c r="U6655" s="71"/>
      <c r="V6655" s="71"/>
      <c r="W6655" s="474"/>
      <c r="X6655" s="71"/>
      <c r="Y6655" s="71"/>
    </row>
    <row r="6656" spans="1:25" ht="30" hidden="1" customHeight="1" x14ac:dyDescent="0.25">
      <c r="A6656" s="1145">
        <v>45328</v>
      </c>
      <c r="B6656" s="664" t="s">
        <v>444</v>
      </c>
      <c r="C6656" s="71" t="s">
        <v>3399</v>
      </c>
      <c r="D6656" s="71">
        <v>10</v>
      </c>
      <c r="E6656" s="102">
        <v>195000</v>
      </c>
      <c r="F6656" s="102">
        <f t="shared" si="3493"/>
        <v>2145000</v>
      </c>
      <c r="G6656" s="102">
        <f t="shared" si="3494"/>
        <v>1950000</v>
      </c>
      <c r="H6656" s="690" t="s">
        <v>2029</v>
      </c>
      <c r="I6656" s="71" t="s">
        <v>180</v>
      </c>
      <c r="J6656" s="53">
        <f t="shared" ref="J6656:J6658" si="3505">G6656-T6656</f>
        <v>450000</v>
      </c>
      <c r="K6656" s="63">
        <f t="shared" si="3504"/>
        <v>0.23076923076923078</v>
      </c>
      <c r="L6656" s="1212" t="s">
        <v>4023</v>
      </c>
      <c r="M6656" s="468"/>
      <c r="N6656" s="1192">
        <f t="shared" si="3496"/>
        <v>45328</v>
      </c>
      <c r="O6656" s="71" t="s">
        <v>191</v>
      </c>
      <c r="P6656" s="103" t="str">
        <f t="shared" si="3502"/>
        <v>UV wash offset UV</v>
      </c>
      <c r="Q6656" s="71">
        <f t="shared" si="3498"/>
        <v>10</v>
      </c>
      <c r="R6656" s="102">
        <v>150000</v>
      </c>
      <c r="S6656" s="102">
        <f t="shared" ref="S6656:S6658" si="3506">R6656*Q6656*1.1</f>
        <v>1650000.0000000002</v>
      </c>
      <c r="T6656" s="102">
        <f t="shared" ref="T6656:T6658" si="3507">R6656*Q6656</f>
        <v>1500000</v>
      </c>
      <c r="U6656" s="71"/>
      <c r="V6656" s="71"/>
      <c r="W6656" s="474"/>
      <c r="X6656" s="71"/>
      <c r="Y6656" s="71"/>
    </row>
    <row r="6657" spans="1:25" ht="30" hidden="1" customHeight="1" x14ac:dyDescent="0.25">
      <c r="A6657" s="1145">
        <v>45341</v>
      </c>
      <c r="B6657" s="664" t="s">
        <v>2798</v>
      </c>
      <c r="C6657" s="71" t="s">
        <v>3290</v>
      </c>
      <c r="D6657" s="71">
        <v>1</v>
      </c>
      <c r="E6657" s="102">
        <v>780000</v>
      </c>
      <c r="F6657" s="102">
        <f t="shared" si="3493"/>
        <v>858000.00000000012</v>
      </c>
      <c r="G6657" s="102">
        <f t="shared" si="3494"/>
        <v>780000</v>
      </c>
      <c r="H6657" s="690" t="s">
        <v>172</v>
      </c>
      <c r="I6657" s="71" t="s">
        <v>38</v>
      </c>
      <c r="J6657" s="53">
        <f t="shared" si="3505"/>
        <v>318000</v>
      </c>
      <c r="K6657" s="63">
        <f t="shared" si="3504"/>
        <v>0.40769230769230763</v>
      </c>
      <c r="L6657" s="1212" t="s">
        <v>4023</v>
      </c>
      <c r="M6657" s="468"/>
      <c r="N6657" s="1192">
        <f t="shared" si="3496"/>
        <v>45341</v>
      </c>
      <c r="O6657" s="71" t="s">
        <v>3291</v>
      </c>
      <c r="P6657" s="103" t="str">
        <f t="shared" si="3502"/>
        <v>점보롤 세정포</v>
      </c>
      <c r="Q6657" s="71">
        <f t="shared" si="3498"/>
        <v>1</v>
      </c>
      <c r="R6657" s="102">
        <v>462000</v>
      </c>
      <c r="S6657" s="102">
        <f t="shared" si="3506"/>
        <v>508200.00000000006</v>
      </c>
      <c r="T6657" s="102">
        <f t="shared" si="3507"/>
        <v>462000</v>
      </c>
      <c r="U6657" s="71" t="str">
        <f>IF(J6657=W6657,"O", "X")</f>
        <v>O</v>
      </c>
      <c r="V6657" s="71" t="s">
        <v>3292</v>
      </c>
      <c r="W6657" s="474">
        <f>(G6657-T6657)</f>
        <v>318000</v>
      </c>
      <c r="X6657" s="71"/>
      <c r="Y6657" s="71"/>
    </row>
    <row r="6658" spans="1:25" ht="30" hidden="1" customHeight="1" x14ac:dyDescent="0.25">
      <c r="A6658" s="1145">
        <v>45336</v>
      </c>
      <c r="B6658" s="664" t="s">
        <v>575</v>
      </c>
      <c r="C6658" s="71" t="s">
        <v>4032</v>
      </c>
      <c r="D6658" s="71">
        <v>1</v>
      </c>
      <c r="E6658" s="102">
        <v>6127000</v>
      </c>
      <c r="F6658" s="102">
        <f t="shared" si="3493"/>
        <v>6739700.0000000009</v>
      </c>
      <c r="G6658" s="102">
        <f t="shared" si="3494"/>
        <v>6127000</v>
      </c>
      <c r="H6658" s="690" t="s">
        <v>2029</v>
      </c>
      <c r="I6658" s="71" t="s">
        <v>143</v>
      </c>
      <c r="J6658" s="53">
        <f t="shared" si="3505"/>
        <v>1512000</v>
      </c>
      <c r="K6658" s="63">
        <f t="shared" si="3504"/>
        <v>0.24677656275501872</v>
      </c>
      <c r="L6658" s="1212" t="s">
        <v>4023</v>
      </c>
      <c r="M6658" s="102"/>
      <c r="N6658" s="1192">
        <f t="shared" si="3496"/>
        <v>45336</v>
      </c>
      <c r="O6658" s="71" t="s">
        <v>612</v>
      </c>
      <c r="P6658" s="103" t="str">
        <f t="shared" si="3502"/>
        <v>윤전, 매엽 롤러 세트</v>
      </c>
      <c r="Q6658" s="71">
        <f t="shared" si="3498"/>
        <v>1</v>
      </c>
      <c r="R6658" s="102">
        <v>4615000</v>
      </c>
      <c r="S6658" s="102">
        <f t="shared" si="3506"/>
        <v>5076500</v>
      </c>
      <c r="T6658" s="102">
        <f t="shared" si="3507"/>
        <v>4615000</v>
      </c>
      <c r="U6658" s="71"/>
      <c r="V6658" s="71"/>
      <c r="W6658" s="474"/>
      <c r="X6658" s="71"/>
      <c r="Y6658" s="71"/>
    </row>
    <row r="6659" spans="1:25" ht="30" hidden="1" customHeight="1" x14ac:dyDescent="0.25">
      <c r="A6659" s="1145">
        <v>45342</v>
      </c>
      <c r="B6659" s="664" t="s">
        <v>575</v>
      </c>
      <c r="C6659" s="71" t="s">
        <v>4033</v>
      </c>
      <c r="D6659" s="71">
        <v>1</v>
      </c>
      <c r="E6659" s="102">
        <v>6000000</v>
      </c>
      <c r="F6659" s="102">
        <f t="shared" si="3493"/>
        <v>6600000.0000000009</v>
      </c>
      <c r="G6659" s="102">
        <f t="shared" si="3494"/>
        <v>6000000</v>
      </c>
      <c r="H6659" s="690" t="s">
        <v>1431</v>
      </c>
      <c r="I6659" s="71" t="s">
        <v>1431</v>
      </c>
      <c r="J6659" s="53">
        <f t="shared" ref="J6659" si="3508">G6659-T6659</f>
        <v>4960574.3307297351</v>
      </c>
      <c r="K6659" s="63">
        <f t="shared" ref="K6659" si="3509">(J6659/(F6659/11*10))</f>
        <v>0.82676238845495575</v>
      </c>
      <c r="L6659" s="1212" t="s">
        <v>4023</v>
      </c>
      <c r="M6659" s="468"/>
      <c r="N6659" s="1192">
        <f t="shared" si="3496"/>
        <v>45342</v>
      </c>
      <c r="O6659" s="71" t="s">
        <v>4052</v>
      </c>
      <c r="P6659" s="164" t="str">
        <f t="shared" si="3502"/>
        <v>하리 조정 장치 축</v>
      </c>
      <c r="Q6659" s="71">
        <f t="shared" si="3498"/>
        <v>1</v>
      </c>
      <c r="R6659" s="102">
        <v>1039425.6692702648</v>
      </c>
      <c r="S6659" s="102">
        <f t="shared" ref="S6659" si="3510">R6659*Q6659*1.1</f>
        <v>1143368.2361972914</v>
      </c>
      <c r="T6659" s="102">
        <f t="shared" ref="T6659" si="3511">R6659*Q6659</f>
        <v>1039425.6692702648</v>
      </c>
      <c r="U6659" s="71"/>
      <c r="V6659" s="71"/>
      <c r="W6659" s="474"/>
      <c r="X6659" s="71"/>
      <c r="Y6659" s="71"/>
    </row>
    <row r="6660" spans="1:25" ht="30" hidden="1" customHeight="1" x14ac:dyDescent="0.25">
      <c r="A6660" s="1145">
        <v>45328</v>
      </c>
      <c r="B6660" s="664" t="s">
        <v>3410</v>
      </c>
      <c r="C6660" s="71" t="s">
        <v>2974</v>
      </c>
      <c r="D6660" s="71">
        <v>2</v>
      </c>
      <c r="E6660" s="102">
        <v>650000</v>
      </c>
      <c r="F6660" s="102">
        <f t="shared" si="3493"/>
        <v>1430000</v>
      </c>
      <c r="G6660" s="102">
        <f t="shared" si="3494"/>
        <v>1300000</v>
      </c>
      <c r="H6660" s="690" t="s">
        <v>142</v>
      </c>
      <c r="I6660" s="690" t="s">
        <v>142</v>
      </c>
      <c r="J6660" s="53">
        <f>G6660-T6660</f>
        <v>853130</v>
      </c>
      <c r="K6660" s="63">
        <f t="shared" si="3504"/>
        <v>0.65625384615384619</v>
      </c>
      <c r="L6660" s="1212" t="s">
        <v>4023</v>
      </c>
      <c r="M6660" s="468"/>
      <c r="N6660" s="1192">
        <f t="shared" si="3496"/>
        <v>45328</v>
      </c>
      <c r="O6660" s="71" t="s">
        <v>3412</v>
      </c>
      <c r="P6660" s="103" t="str">
        <f t="shared" si="3502"/>
        <v>Baldwin UV 램프 국전</v>
      </c>
      <c r="Q6660" s="71">
        <f t="shared" si="3498"/>
        <v>2</v>
      </c>
      <c r="R6660" s="102">
        <v>223435</v>
      </c>
      <c r="S6660" s="102">
        <f>R6660*Q6660*1.1</f>
        <v>491557.00000000006</v>
      </c>
      <c r="T6660" s="102">
        <f>R6660*Q6660</f>
        <v>446870</v>
      </c>
      <c r="U6660" s="71"/>
      <c r="V6660" s="71"/>
      <c r="W6660" s="474"/>
      <c r="X6660" s="71"/>
      <c r="Y6660" s="71"/>
    </row>
    <row r="6661" spans="1:25" ht="30" hidden="1" customHeight="1" x14ac:dyDescent="0.25">
      <c r="A6661" s="1145">
        <v>45348</v>
      </c>
      <c r="B6661" s="664" t="s">
        <v>546</v>
      </c>
      <c r="C6661" s="71" t="s">
        <v>3868</v>
      </c>
      <c r="D6661" s="71">
        <v>4</v>
      </c>
      <c r="E6661" s="102">
        <v>45000</v>
      </c>
      <c r="F6661" s="102">
        <f t="shared" si="3493"/>
        <v>198000.00000000003</v>
      </c>
      <c r="G6661" s="102">
        <f t="shared" si="3494"/>
        <v>180000</v>
      </c>
      <c r="H6661" s="690" t="s">
        <v>1431</v>
      </c>
      <c r="I6661" s="71" t="s">
        <v>1431</v>
      </c>
      <c r="J6661" s="53">
        <f t="shared" ref="J6661:J6667" si="3512">G6661-T6661</f>
        <v>81653.376812717019</v>
      </c>
      <c r="K6661" s="63">
        <f t="shared" ref="K6661:K6667" si="3513">(J6661/(F6661/11*10))</f>
        <v>0.45362987118176112</v>
      </c>
      <c r="L6661" s="1212" t="s">
        <v>4023</v>
      </c>
      <c r="M6661" s="102"/>
      <c r="N6661" s="1192">
        <f t="shared" si="3496"/>
        <v>45348</v>
      </c>
      <c r="O6661" s="71" t="s">
        <v>4052</v>
      </c>
      <c r="P6661" s="103" t="str">
        <f t="shared" si="3502"/>
        <v>Tucker blade</v>
      </c>
      <c r="Q6661" s="71">
        <f t="shared" si="3498"/>
        <v>4</v>
      </c>
      <c r="R6661" s="102">
        <v>24586.655796820745</v>
      </c>
      <c r="S6661" s="102">
        <f t="shared" ref="S6661:S6667" si="3514">R6661*Q6661*1.1</f>
        <v>108181.28550601129</v>
      </c>
      <c r="T6661" s="102">
        <f t="shared" ref="T6661:T6667" si="3515">R6661*Q6661</f>
        <v>98346.623187282981</v>
      </c>
      <c r="U6661" s="71"/>
      <c r="V6661" s="71"/>
      <c r="W6661" s="474"/>
      <c r="X6661" s="71"/>
      <c r="Y6661" s="71"/>
    </row>
    <row r="6662" spans="1:25" ht="30" hidden="1" customHeight="1" x14ac:dyDescent="0.25">
      <c r="A6662" s="1145">
        <v>45348</v>
      </c>
      <c r="B6662" s="664" t="s">
        <v>546</v>
      </c>
      <c r="C6662" s="71" t="s">
        <v>4035</v>
      </c>
      <c r="D6662" s="71">
        <v>8</v>
      </c>
      <c r="E6662" s="102">
        <v>420000</v>
      </c>
      <c r="F6662" s="102">
        <f t="shared" si="3493"/>
        <v>3696000.0000000005</v>
      </c>
      <c r="G6662" s="102">
        <f t="shared" si="3494"/>
        <v>3360000</v>
      </c>
      <c r="H6662" s="690" t="s">
        <v>1431</v>
      </c>
      <c r="I6662" s="71" t="s">
        <v>1431</v>
      </c>
      <c r="J6662" s="53">
        <f t="shared" si="3512"/>
        <v>1356151.0118817042</v>
      </c>
      <c r="K6662" s="63">
        <f t="shared" si="3513"/>
        <v>0.40361637258384048</v>
      </c>
      <c r="L6662" s="1212" t="s">
        <v>4023</v>
      </c>
      <c r="M6662" s="102"/>
      <c r="N6662" s="1192">
        <f t="shared" si="3496"/>
        <v>45348</v>
      </c>
      <c r="O6662" s="71" t="s">
        <v>4052</v>
      </c>
      <c r="P6662" s="103" t="str">
        <f t="shared" si="3502"/>
        <v>브레이크 라이닝 Rotoman</v>
      </c>
      <c r="Q6662" s="71">
        <f t="shared" si="3498"/>
        <v>8</v>
      </c>
      <c r="R6662" s="102">
        <v>250481.12351478697</v>
      </c>
      <c r="S6662" s="102">
        <f t="shared" si="3514"/>
        <v>2204233.8869301258</v>
      </c>
      <c r="T6662" s="102">
        <f t="shared" si="3515"/>
        <v>2003848.9881182958</v>
      </c>
      <c r="U6662" s="71"/>
      <c r="V6662" s="71"/>
      <c r="W6662" s="474"/>
      <c r="X6662" s="71"/>
      <c r="Y6662" s="71"/>
    </row>
    <row r="6663" spans="1:25" ht="30" hidden="1" customHeight="1" x14ac:dyDescent="0.25">
      <c r="A6663" s="1145">
        <v>45348</v>
      </c>
      <c r="B6663" s="664" t="s">
        <v>546</v>
      </c>
      <c r="C6663" s="71" t="s">
        <v>4036</v>
      </c>
      <c r="D6663" s="71">
        <v>8</v>
      </c>
      <c r="E6663" s="102">
        <v>370000</v>
      </c>
      <c r="F6663" s="102">
        <f t="shared" si="3493"/>
        <v>3256000.0000000005</v>
      </c>
      <c r="G6663" s="102">
        <f t="shared" si="3494"/>
        <v>2960000</v>
      </c>
      <c r="H6663" s="690" t="s">
        <v>1431</v>
      </c>
      <c r="I6663" s="71" t="s">
        <v>1431</v>
      </c>
      <c r="J6663" s="53">
        <f t="shared" si="3512"/>
        <v>1057629.6931322764</v>
      </c>
      <c r="K6663" s="63">
        <f t="shared" si="3513"/>
        <v>0.35730732876090415</v>
      </c>
      <c r="L6663" s="1212" t="s">
        <v>4023</v>
      </c>
      <c r="M6663" s="468"/>
      <c r="N6663" s="1192">
        <f t="shared" si="3496"/>
        <v>45348</v>
      </c>
      <c r="O6663" s="71" t="s">
        <v>4052</v>
      </c>
      <c r="P6663" s="164" t="str">
        <f t="shared" si="3502"/>
        <v>브레이크 라이닝 M600</v>
      </c>
      <c r="Q6663" s="71">
        <f t="shared" si="3498"/>
        <v>8</v>
      </c>
      <c r="R6663" s="102">
        <v>237796.28835846545</v>
      </c>
      <c r="S6663" s="102">
        <f t="shared" si="3514"/>
        <v>2092607.337554496</v>
      </c>
      <c r="T6663" s="102">
        <f t="shared" si="3515"/>
        <v>1902370.3068677236</v>
      </c>
      <c r="U6663" s="71"/>
      <c r="V6663" s="71"/>
      <c r="W6663" s="474"/>
      <c r="X6663" s="71"/>
      <c r="Y6663" s="71"/>
    </row>
    <row r="6664" spans="1:25" ht="30" hidden="1" customHeight="1" x14ac:dyDescent="0.25">
      <c r="A6664" s="1145">
        <v>45348</v>
      </c>
      <c r="B6664" s="664" t="s">
        <v>546</v>
      </c>
      <c r="C6664" s="71" t="s">
        <v>4037</v>
      </c>
      <c r="D6664" s="71">
        <v>2</v>
      </c>
      <c r="E6664" s="102">
        <v>850000</v>
      </c>
      <c r="F6664" s="102">
        <f t="shared" si="3493"/>
        <v>1870000.0000000002</v>
      </c>
      <c r="G6664" s="102">
        <f t="shared" si="3494"/>
        <v>1700000</v>
      </c>
      <c r="H6664" s="690" t="s">
        <v>1431</v>
      </c>
      <c r="I6664" s="71" t="s">
        <v>1431</v>
      </c>
      <c r="J6664" s="53">
        <f t="shared" si="3512"/>
        <v>814671.58744356723</v>
      </c>
      <c r="K6664" s="63">
        <f t="shared" si="3513"/>
        <v>0.47921858084915714</v>
      </c>
      <c r="L6664" s="1212" t="s">
        <v>4023</v>
      </c>
      <c r="M6664" s="468"/>
      <c r="N6664" s="1192">
        <f t="shared" si="3496"/>
        <v>45348</v>
      </c>
      <c r="O6664" s="71" t="s">
        <v>4052</v>
      </c>
      <c r="P6664" s="103" t="str">
        <f t="shared" si="3502"/>
        <v>Photoelectric sensor</v>
      </c>
      <c r="Q6664" s="71">
        <f t="shared" si="3498"/>
        <v>2</v>
      </c>
      <c r="R6664" s="147">
        <v>442664.20627821638</v>
      </c>
      <c r="S6664" s="102">
        <f t="shared" si="3514"/>
        <v>973861.25381207617</v>
      </c>
      <c r="T6664" s="102">
        <f t="shared" si="3515"/>
        <v>885328.41255643277</v>
      </c>
      <c r="U6664" s="71"/>
      <c r="V6664" s="71"/>
      <c r="W6664" s="474"/>
      <c r="X6664" s="71"/>
      <c r="Y6664" s="71"/>
    </row>
    <row r="6665" spans="1:25" ht="30" hidden="1" customHeight="1" x14ac:dyDescent="0.25">
      <c r="A6665" s="1145">
        <v>45327</v>
      </c>
      <c r="B6665" s="664" t="s">
        <v>546</v>
      </c>
      <c r="C6665" s="71" t="s">
        <v>920</v>
      </c>
      <c r="D6665" s="71">
        <v>1</v>
      </c>
      <c r="E6665" s="102">
        <v>2500000</v>
      </c>
      <c r="F6665" s="102">
        <f t="shared" si="3493"/>
        <v>2750000</v>
      </c>
      <c r="G6665" s="102">
        <f t="shared" si="3494"/>
        <v>2500000</v>
      </c>
      <c r="H6665" s="690" t="s">
        <v>1431</v>
      </c>
      <c r="I6665" s="71" t="s">
        <v>1431</v>
      </c>
      <c r="J6665" s="53">
        <f t="shared" si="3512"/>
        <v>1087773.7585572158</v>
      </c>
      <c r="K6665" s="63">
        <f t="shared" si="3513"/>
        <v>0.43510950342288635</v>
      </c>
      <c r="L6665" s="1212" t="s">
        <v>4023</v>
      </c>
      <c r="M6665" s="102"/>
      <c r="N6665" s="1192">
        <f t="shared" si="3496"/>
        <v>45327</v>
      </c>
      <c r="O6665" s="71" t="s">
        <v>4052</v>
      </c>
      <c r="P6665" s="103" t="str">
        <f t="shared" si="3502"/>
        <v>에어 실린더</v>
      </c>
      <c r="Q6665" s="71">
        <f t="shared" si="3498"/>
        <v>1</v>
      </c>
      <c r="R6665" s="102">
        <v>1412226.2414427842</v>
      </c>
      <c r="S6665" s="102">
        <f t="shared" si="3514"/>
        <v>1553448.8655870627</v>
      </c>
      <c r="T6665" s="102">
        <f t="shared" si="3515"/>
        <v>1412226.2414427842</v>
      </c>
      <c r="U6665" s="71"/>
      <c r="V6665" s="71"/>
      <c r="W6665" s="474"/>
      <c r="X6665" s="71"/>
      <c r="Y6665" s="71"/>
    </row>
    <row r="6666" spans="1:25" ht="30" hidden="1" customHeight="1" x14ac:dyDescent="0.25">
      <c r="A6666" s="1145">
        <v>45327</v>
      </c>
      <c r="B6666" s="664" t="s">
        <v>546</v>
      </c>
      <c r="C6666" s="71" t="s">
        <v>4038</v>
      </c>
      <c r="D6666" s="71">
        <v>2</v>
      </c>
      <c r="E6666" s="102">
        <v>2050000</v>
      </c>
      <c r="F6666" s="102">
        <f t="shared" si="3493"/>
        <v>4510000</v>
      </c>
      <c r="G6666" s="102">
        <f t="shared" si="3494"/>
        <v>4100000</v>
      </c>
      <c r="H6666" s="690" t="s">
        <v>1431</v>
      </c>
      <c r="I6666" s="71" t="s">
        <v>1431</v>
      </c>
      <c r="J6666" s="53">
        <f t="shared" si="3512"/>
        <v>1947332.568638464</v>
      </c>
      <c r="K6666" s="63">
        <f t="shared" si="3513"/>
        <v>0.4749591630825522</v>
      </c>
      <c r="L6666" s="1212" t="s">
        <v>4023</v>
      </c>
      <c r="M6666" s="102"/>
      <c r="N6666" s="1192">
        <f t="shared" si="3496"/>
        <v>45327</v>
      </c>
      <c r="O6666" s="71" t="s">
        <v>4052</v>
      </c>
      <c r="P6666" s="103" t="str">
        <f t="shared" si="3502"/>
        <v>Circuit board</v>
      </c>
      <c r="Q6666" s="71">
        <f t="shared" si="3498"/>
        <v>2</v>
      </c>
      <c r="R6666" s="102">
        <v>1076333.715680768</v>
      </c>
      <c r="S6666" s="102">
        <f t="shared" si="3514"/>
        <v>2367934.1744976901</v>
      </c>
      <c r="T6666" s="102">
        <f t="shared" si="3515"/>
        <v>2152667.431361536</v>
      </c>
      <c r="U6666" s="71"/>
      <c r="V6666" s="71"/>
      <c r="W6666" s="474"/>
      <c r="X6666" s="71"/>
      <c r="Y6666" s="71"/>
    </row>
    <row r="6667" spans="1:25" ht="30" hidden="1" customHeight="1" x14ac:dyDescent="0.25">
      <c r="A6667" s="1145">
        <v>45327</v>
      </c>
      <c r="B6667" s="664" t="s">
        <v>546</v>
      </c>
      <c r="C6667" s="71" t="s">
        <v>4039</v>
      </c>
      <c r="D6667" s="71">
        <v>1</v>
      </c>
      <c r="E6667" s="102">
        <v>3400000</v>
      </c>
      <c r="F6667" s="102">
        <f t="shared" si="3493"/>
        <v>3740000.0000000005</v>
      </c>
      <c r="G6667" s="102">
        <f t="shared" si="3494"/>
        <v>3400000</v>
      </c>
      <c r="H6667" s="690" t="s">
        <v>1431</v>
      </c>
      <c r="I6667" s="71" t="s">
        <v>1431</v>
      </c>
      <c r="J6667" s="53">
        <f t="shared" si="3512"/>
        <v>1262005.4253443745</v>
      </c>
      <c r="K6667" s="63">
        <f t="shared" si="3513"/>
        <v>0.37117806627775718</v>
      </c>
      <c r="L6667" s="1212" t="s">
        <v>4023</v>
      </c>
      <c r="M6667" s="468"/>
      <c r="N6667" s="1192">
        <f t="shared" si="3496"/>
        <v>45327</v>
      </c>
      <c r="O6667" s="71" t="s">
        <v>4052</v>
      </c>
      <c r="P6667" s="164" t="str">
        <f t="shared" si="3502"/>
        <v>Interbus module</v>
      </c>
      <c r="Q6667" s="71">
        <f t="shared" si="3498"/>
        <v>1</v>
      </c>
      <c r="R6667" s="102">
        <v>2137994.5746556255</v>
      </c>
      <c r="S6667" s="102">
        <f t="shared" si="3514"/>
        <v>2351794.0321211885</v>
      </c>
      <c r="T6667" s="102">
        <f t="shared" si="3515"/>
        <v>2137994.5746556255</v>
      </c>
      <c r="U6667" s="71"/>
      <c r="V6667" s="71"/>
      <c r="W6667" s="474"/>
      <c r="X6667" s="71"/>
      <c r="Y6667" s="71"/>
    </row>
    <row r="6668" spans="1:25" ht="30" hidden="1" customHeight="1" x14ac:dyDescent="0.25">
      <c r="A6668" s="1210" t="s">
        <v>4053</v>
      </c>
      <c r="B6668" s="1211" t="s">
        <v>544</v>
      </c>
      <c r="C6668" s="960"/>
      <c r="D6668" s="960"/>
      <c r="E6668" s="952"/>
      <c r="F6668" s="952"/>
      <c r="G6668" s="952"/>
      <c r="H6668" s="1206"/>
      <c r="I6668" s="960"/>
      <c r="J6668" s="952"/>
      <c r="K6668" s="953"/>
      <c r="L6668" s="1212" t="s">
        <v>4055</v>
      </c>
      <c r="M6668" s="1207"/>
      <c r="N6668" s="1208" t="str">
        <f t="shared" si="3496"/>
        <v>2024,3</v>
      </c>
      <c r="O6668" s="960"/>
      <c r="P6668" s="1209"/>
      <c r="Q6668" s="960"/>
      <c r="R6668" s="952"/>
      <c r="S6668" s="952"/>
      <c r="T6668" s="952"/>
      <c r="U6668" s="960"/>
      <c r="V6668" s="960"/>
      <c r="W6668" s="474">
        <f>(G6668-T6668)</f>
        <v>0</v>
      </c>
      <c r="X6668" s="71"/>
      <c r="Y6668" s="71"/>
    </row>
    <row r="6669" spans="1:25" ht="30" customHeight="1" x14ac:dyDescent="0.25">
      <c r="A6669" s="1145">
        <v>45366</v>
      </c>
      <c r="B6669" s="664" t="s">
        <v>2352</v>
      </c>
      <c r="C6669" s="71" t="s">
        <v>3837</v>
      </c>
      <c r="D6669" s="71">
        <v>48</v>
      </c>
      <c r="E6669" s="102">
        <v>13500</v>
      </c>
      <c r="F6669" s="102">
        <v>712800</v>
      </c>
      <c r="G6669" s="102">
        <f t="shared" ref="G6669" si="3516">(E6669*D6669)</f>
        <v>648000</v>
      </c>
      <c r="H6669" s="690" t="s">
        <v>179</v>
      </c>
      <c r="I6669" s="71" t="s">
        <v>179</v>
      </c>
      <c r="J6669" s="53">
        <v>246480</v>
      </c>
      <c r="K6669" s="63">
        <v>0.38037037037037036</v>
      </c>
      <c r="L6669" s="1212" t="s">
        <v>4055</v>
      </c>
      <c r="M6669" s="468"/>
      <c r="N6669" s="1192">
        <v>45308</v>
      </c>
      <c r="O6669" s="71"/>
      <c r="P6669" s="103" t="s">
        <v>4056</v>
      </c>
      <c r="Q6669" s="71">
        <v>48</v>
      </c>
      <c r="R6669" s="102">
        <v>8365</v>
      </c>
      <c r="S6669" s="102">
        <v>441672.00000000006</v>
      </c>
      <c r="T6669" s="102">
        <v>401520</v>
      </c>
      <c r="U6669" s="71"/>
      <c r="V6669" s="71"/>
      <c r="W6669" s="474"/>
      <c r="X6669" s="71"/>
      <c r="Y6669" s="71"/>
    </row>
    <row r="6670" spans="1:25" ht="30" customHeight="1" x14ac:dyDescent="0.25">
      <c r="A6670" s="1145">
        <v>45366</v>
      </c>
      <c r="B6670" s="664" t="s">
        <v>2352</v>
      </c>
      <c r="C6670" s="71" t="s">
        <v>3836</v>
      </c>
      <c r="D6670" s="71">
        <v>48</v>
      </c>
      <c r="E6670" s="102">
        <v>18500</v>
      </c>
      <c r="F6670" s="102">
        <v>976800.00000000012</v>
      </c>
      <c r="G6670" s="102">
        <v>888000</v>
      </c>
      <c r="H6670" s="690" t="s">
        <v>179</v>
      </c>
      <c r="I6670" s="71" t="s">
        <v>179</v>
      </c>
      <c r="J6670" s="53">
        <v>355968</v>
      </c>
      <c r="K6670" s="63">
        <v>0.40086486486486483</v>
      </c>
      <c r="L6670" s="1212" t="s">
        <v>4054</v>
      </c>
      <c r="M6670" s="468"/>
      <c r="N6670" s="1192">
        <v>45327</v>
      </c>
      <c r="O6670" s="71"/>
      <c r="P6670" s="103" t="s">
        <v>4057</v>
      </c>
      <c r="Q6670" s="71">
        <v>48</v>
      </c>
      <c r="R6670" s="102">
        <v>11084</v>
      </c>
      <c r="S6670" s="102">
        <v>585235.20000000007</v>
      </c>
      <c r="T6670" s="102">
        <v>532032</v>
      </c>
      <c r="U6670" s="71"/>
      <c r="V6670" s="71"/>
      <c r="W6670" s="474"/>
      <c r="X6670" s="71"/>
      <c r="Y6670" s="71"/>
    </row>
    <row r="6671" spans="1:25" ht="30" customHeight="1" x14ac:dyDescent="0.25">
      <c r="A6671" s="1145">
        <v>45370</v>
      </c>
      <c r="B6671" s="664" t="s">
        <v>2352</v>
      </c>
      <c r="C6671" s="760" t="s">
        <v>218</v>
      </c>
      <c r="D6671" s="71">
        <v>3</v>
      </c>
      <c r="E6671" s="102">
        <v>286000</v>
      </c>
      <c r="F6671" s="102">
        <f t="shared" ref="F6671:F6675" si="3517">(E6671*D6671)*1.1</f>
        <v>943800.00000000012</v>
      </c>
      <c r="G6671" s="102">
        <f t="shared" ref="G6671:G6675" si="3518">(E6671*D6671)</f>
        <v>858000</v>
      </c>
      <c r="H6671" s="690" t="s">
        <v>142</v>
      </c>
      <c r="I6671" s="71" t="s">
        <v>179</v>
      </c>
      <c r="J6671" s="53">
        <f t="shared" ref="J6671:J6675" si="3519">G6671-T6671</f>
        <v>486000</v>
      </c>
      <c r="K6671" s="63">
        <f t="shared" ref="K6671:K6675" si="3520">(J6671/(F6671/11*10))</f>
        <v>0.56643356643356635</v>
      </c>
      <c r="L6671" s="1212" t="s">
        <v>4054</v>
      </c>
      <c r="M6671" s="468" t="s">
        <v>2053</v>
      </c>
      <c r="N6671" s="1192">
        <f t="shared" ref="N6671:N6675" si="3521">A6671</f>
        <v>45370</v>
      </c>
      <c r="O6671" s="71" t="s">
        <v>150</v>
      </c>
      <c r="P6671" s="103" t="str">
        <f t="shared" ref="P6671:P6675" si="3522">(C6671)</f>
        <v>Fount Web 551AF</v>
      </c>
      <c r="Q6671" s="71">
        <f t="shared" ref="Q6671:Q6675" si="3523">D6671</f>
        <v>3</v>
      </c>
      <c r="R6671" s="102">
        <v>124000</v>
      </c>
      <c r="S6671" s="102">
        <f t="shared" ref="S6671:S6675" si="3524">R6671*Q6671*1.1</f>
        <v>409200.00000000006</v>
      </c>
      <c r="T6671" s="102">
        <f t="shared" ref="T6671:T6675" si="3525">R6671*Q6671</f>
        <v>372000</v>
      </c>
      <c r="U6671" s="71" t="str">
        <f>IF(J6671=W6671,"O", "X")</f>
        <v>O</v>
      </c>
      <c r="V6671" s="71"/>
      <c r="W6671" s="474">
        <f>(G6671-T6671)</f>
        <v>486000</v>
      </c>
      <c r="X6671" s="71"/>
      <c r="Y6671" s="71"/>
    </row>
    <row r="6672" spans="1:25" ht="30" customHeight="1" x14ac:dyDescent="0.25">
      <c r="A6672" s="1145">
        <v>45370</v>
      </c>
      <c r="B6672" s="664" t="s">
        <v>2352</v>
      </c>
      <c r="C6672" s="71" t="s">
        <v>692</v>
      </c>
      <c r="D6672" s="71">
        <v>4</v>
      </c>
      <c r="E6672" s="102">
        <v>264000</v>
      </c>
      <c r="F6672" s="102">
        <f t="shared" si="3517"/>
        <v>1161600</v>
      </c>
      <c r="G6672" s="102">
        <f t="shared" si="3518"/>
        <v>1056000</v>
      </c>
      <c r="H6672" s="690" t="s">
        <v>142</v>
      </c>
      <c r="I6672" s="71" t="s">
        <v>179</v>
      </c>
      <c r="J6672" s="53">
        <f t="shared" si="3519"/>
        <v>390000</v>
      </c>
      <c r="K6672" s="63">
        <f t="shared" si="3520"/>
        <v>0.36931818181818182</v>
      </c>
      <c r="L6672" s="1212" t="s">
        <v>4054</v>
      </c>
      <c r="M6672" s="468" t="s">
        <v>2052</v>
      </c>
      <c r="N6672" s="1192">
        <f t="shared" si="3521"/>
        <v>45370</v>
      </c>
      <c r="O6672" s="71" t="s">
        <v>150</v>
      </c>
      <c r="P6672" s="103" t="str">
        <f t="shared" si="3522"/>
        <v>윤전 블랑켓</v>
      </c>
      <c r="Q6672" s="71">
        <f t="shared" si="3523"/>
        <v>4</v>
      </c>
      <c r="R6672" s="102">
        <v>166500</v>
      </c>
      <c r="S6672" s="102">
        <f t="shared" si="3524"/>
        <v>732600.00000000012</v>
      </c>
      <c r="T6672" s="102">
        <f t="shared" si="3525"/>
        <v>666000</v>
      </c>
      <c r="U6672" s="71" t="str">
        <f>IF(J6672=W6672,"O", "X")</f>
        <v>O</v>
      </c>
      <c r="V6672" s="71" t="s">
        <v>784</v>
      </c>
      <c r="W6672" s="474">
        <f>(G6672-T6672)</f>
        <v>390000</v>
      </c>
      <c r="X6672" s="71"/>
      <c r="Y6672" s="71"/>
    </row>
    <row r="6673" spans="1:25" ht="30" hidden="1" customHeight="1" x14ac:dyDescent="0.25">
      <c r="A6673" s="1145">
        <v>45357</v>
      </c>
      <c r="B6673" s="664" t="s">
        <v>2353</v>
      </c>
      <c r="C6673" s="71" t="s">
        <v>129</v>
      </c>
      <c r="D6673" s="71">
        <v>7</v>
      </c>
      <c r="E6673" s="102">
        <v>325000</v>
      </c>
      <c r="F6673" s="102">
        <f t="shared" si="3517"/>
        <v>2502500</v>
      </c>
      <c r="G6673" s="102">
        <f t="shared" si="3518"/>
        <v>2275000</v>
      </c>
      <c r="H6673" s="690" t="s">
        <v>142</v>
      </c>
      <c r="I6673" s="71" t="s">
        <v>179</v>
      </c>
      <c r="J6673" s="53">
        <f t="shared" si="3519"/>
        <v>636440</v>
      </c>
      <c r="K6673" s="63">
        <f t="shared" si="3520"/>
        <v>0.27975384615384613</v>
      </c>
      <c r="L6673" s="1212" t="s">
        <v>4054</v>
      </c>
      <c r="M6673" s="468" t="s">
        <v>2050</v>
      </c>
      <c r="N6673" s="1192">
        <f t="shared" si="3521"/>
        <v>45357</v>
      </c>
      <c r="O6673" s="71" t="s">
        <v>149</v>
      </c>
      <c r="P6673" s="103" t="str">
        <f t="shared" si="3522"/>
        <v>세정포-XL106</v>
      </c>
      <c r="Q6673" s="71">
        <f t="shared" si="3523"/>
        <v>7</v>
      </c>
      <c r="R6673" s="102">
        <v>234080</v>
      </c>
      <c r="S6673" s="102">
        <f t="shared" si="3524"/>
        <v>1802416.0000000002</v>
      </c>
      <c r="T6673" s="102">
        <f t="shared" si="3525"/>
        <v>1638560</v>
      </c>
      <c r="U6673" s="71" t="str">
        <f>IF(J6673=W6673,"O", "X")</f>
        <v>O</v>
      </c>
      <c r="V6673" s="71"/>
      <c r="W6673" s="474">
        <f>(G6673-T6673)</f>
        <v>636440</v>
      </c>
      <c r="X6673" s="71"/>
      <c r="Y6673" s="71"/>
    </row>
    <row r="6674" spans="1:25" s="209" customFormat="1" ht="30" hidden="1" customHeight="1" x14ac:dyDescent="0.25">
      <c r="A6674" s="1145">
        <v>45357</v>
      </c>
      <c r="B6674" s="664" t="s">
        <v>2353</v>
      </c>
      <c r="C6674" s="71" t="s">
        <v>3299</v>
      </c>
      <c r="D6674" s="71">
        <v>10</v>
      </c>
      <c r="E6674" s="102">
        <v>83000</v>
      </c>
      <c r="F6674" s="102">
        <f t="shared" si="3517"/>
        <v>913000.00000000012</v>
      </c>
      <c r="G6674" s="102">
        <f t="shared" si="3518"/>
        <v>830000</v>
      </c>
      <c r="H6674" s="690" t="s">
        <v>142</v>
      </c>
      <c r="I6674" s="71" t="s">
        <v>179</v>
      </c>
      <c r="J6674" s="53">
        <f t="shared" si="3519"/>
        <v>355000</v>
      </c>
      <c r="K6674" s="63">
        <f t="shared" si="3520"/>
        <v>0.42771084337349391</v>
      </c>
      <c r="L6674" s="1212" t="s">
        <v>4054</v>
      </c>
      <c r="M6674" s="468" t="s">
        <v>2214</v>
      </c>
      <c r="N6674" s="1192">
        <f t="shared" si="3521"/>
        <v>45357</v>
      </c>
      <c r="O6674" s="71" t="s">
        <v>3383</v>
      </c>
      <c r="P6674" s="103" t="str">
        <f t="shared" si="3522"/>
        <v>매엽용 세척제(Wash k11)</v>
      </c>
      <c r="Q6674" s="71">
        <f t="shared" si="3523"/>
        <v>10</v>
      </c>
      <c r="R6674" s="102">
        <v>47500</v>
      </c>
      <c r="S6674" s="102">
        <f t="shared" si="3524"/>
        <v>522500.00000000006</v>
      </c>
      <c r="T6674" s="102">
        <f t="shared" si="3525"/>
        <v>475000</v>
      </c>
      <c r="U6674" s="71" t="s">
        <v>859</v>
      </c>
      <c r="V6674" s="71"/>
      <c r="W6674" s="474">
        <v>136000</v>
      </c>
      <c r="X6674" s="71"/>
      <c r="Y6674" s="71"/>
    </row>
    <row r="6675" spans="1:25" s="209" customFormat="1" ht="30" hidden="1" customHeight="1" x14ac:dyDescent="0.25">
      <c r="A6675" s="1145">
        <v>45357</v>
      </c>
      <c r="B6675" s="664" t="s">
        <v>2353</v>
      </c>
      <c r="C6675" s="71" t="s">
        <v>130</v>
      </c>
      <c r="D6675" s="71">
        <v>20</v>
      </c>
      <c r="E6675" s="102">
        <v>148000</v>
      </c>
      <c r="F6675" s="102">
        <f t="shared" si="3517"/>
        <v>3256000.0000000005</v>
      </c>
      <c r="G6675" s="102">
        <f t="shared" si="3518"/>
        <v>2960000</v>
      </c>
      <c r="H6675" s="690" t="s">
        <v>142</v>
      </c>
      <c r="I6675" s="71" t="s">
        <v>179</v>
      </c>
      <c r="J6675" s="53">
        <f t="shared" si="3519"/>
        <v>720000</v>
      </c>
      <c r="K6675" s="63">
        <f t="shared" si="3520"/>
        <v>0.2432432432432432</v>
      </c>
      <c r="L6675" s="1212" t="s">
        <v>4054</v>
      </c>
      <c r="M6675" s="468" t="s">
        <v>2050</v>
      </c>
      <c r="N6675" s="1192">
        <f t="shared" si="3521"/>
        <v>45357</v>
      </c>
      <c r="O6675" s="71" t="s">
        <v>3383</v>
      </c>
      <c r="P6675" s="103" t="str">
        <f t="shared" si="3522"/>
        <v>XL106 Blanket(1077*885)</v>
      </c>
      <c r="Q6675" s="71">
        <f t="shared" si="3523"/>
        <v>20</v>
      </c>
      <c r="R6675" s="102">
        <v>112000</v>
      </c>
      <c r="S6675" s="102">
        <f t="shared" si="3524"/>
        <v>2464000</v>
      </c>
      <c r="T6675" s="102">
        <f t="shared" si="3525"/>
        <v>2240000</v>
      </c>
      <c r="U6675" s="71" t="s">
        <v>859</v>
      </c>
      <c r="V6675" s="71"/>
      <c r="W6675" s="474">
        <v>260000</v>
      </c>
      <c r="X6675" s="71"/>
      <c r="Y6675" s="71"/>
    </row>
    <row r="6676" spans="1:25" ht="30" hidden="1" customHeight="1" x14ac:dyDescent="0.25">
      <c r="A6676" s="1145">
        <v>45372</v>
      </c>
      <c r="B6676" s="664" t="s">
        <v>2353</v>
      </c>
      <c r="C6676" s="71" t="s">
        <v>129</v>
      </c>
      <c r="D6676" s="71">
        <v>7</v>
      </c>
      <c r="E6676" s="102">
        <v>325000</v>
      </c>
      <c r="F6676" s="102">
        <f t="shared" ref="F6676:F6705" si="3526">(E6676*D6676)*1.1</f>
        <v>2502500</v>
      </c>
      <c r="G6676" s="102">
        <f t="shared" ref="G6676:G6705" si="3527">(E6676*D6676)</f>
        <v>2275000</v>
      </c>
      <c r="H6676" s="690" t="s">
        <v>142</v>
      </c>
      <c r="I6676" s="71" t="s">
        <v>179</v>
      </c>
      <c r="J6676" s="53">
        <f t="shared" ref="J6676:J6700" si="3528">G6676-T6676</f>
        <v>636440</v>
      </c>
      <c r="K6676" s="63">
        <f t="shared" ref="K6676:K6700" si="3529">(J6676/(F6676/11*10))</f>
        <v>0.27975384615384613</v>
      </c>
      <c r="L6676" s="1212" t="s">
        <v>4054</v>
      </c>
      <c r="M6676" s="468" t="s">
        <v>2050</v>
      </c>
      <c r="N6676" s="1192">
        <f t="shared" ref="N6676:N6684" si="3530">A6676</f>
        <v>45372</v>
      </c>
      <c r="O6676" s="71" t="s">
        <v>149</v>
      </c>
      <c r="P6676" s="103" t="str">
        <f t="shared" ref="P6676:P6684" si="3531">(C6676)</f>
        <v>세정포-XL106</v>
      </c>
      <c r="Q6676" s="71">
        <f t="shared" ref="Q6676:Q6701" si="3532">D6676</f>
        <v>7</v>
      </c>
      <c r="R6676" s="102">
        <v>234080</v>
      </c>
      <c r="S6676" s="102">
        <f t="shared" ref="S6676:S6701" si="3533">R6676*Q6676*1.1</f>
        <v>1802416.0000000002</v>
      </c>
      <c r="T6676" s="102">
        <f t="shared" ref="T6676:T6701" si="3534">R6676*Q6676</f>
        <v>1638560</v>
      </c>
      <c r="U6676" s="71" t="str">
        <f>IF(J6676=W6676,"O", "X")</f>
        <v>O</v>
      </c>
      <c r="V6676" s="71"/>
      <c r="W6676" s="474">
        <f>(G6676-T6676)</f>
        <v>636440</v>
      </c>
      <c r="X6676" s="71"/>
      <c r="Y6676" s="71"/>
    </row>
    <row r="6677" spans="1:25" s="209" customFormat="1" ht="30" hidden="1" customHeight="1" x14ac:dyDescent="0.25">
      <c r="A6677" s="1145">
        <v>45372</v>
      </c>
      <c r="B6677" s="664" t="s">
        <v>2353</v>
      </c>
      <c r="C6677" s="71" t="s">
        <v>3299</v>
      </c>
      <c r="D6677" s="71">
        <v>10</v>
      </c>
      <c r="E6677" s="102">
        <v>83000</v>
      </c>
      <c r="F6677" s="102">
        <f t="shared" si="3526"/>
        <v>913000.00000000012</v>
      </c>
      <c r="G6677" s="102">
        <f t="shared" si="3527"/>
        <v>830000</v>
      </c>
      <c r="H6677" s="690" t="s">
        <v>142</v>
      </c>
      <c r="I6677" s="71" t="s">
        <v>179</v>
      </c>
      <c r="J6677" s="53">
        <f t="shared" si="3528"/>
        <v>355000</v>
      </c>
      <c r="K6677" s="63">
        <f t="shared" si="3529"/>
        <v>0.42771084337349391</v>
      </c>
      <c r="L6677" s="1212" t="s">
        <v>4054</v>
      </c>
      <c r="M6677" s="468" t="s">
        <v>2214</v>
      </c>
      <c r="N6677" s="1192">
        <f t="shared" si="3530"/>
        <v>45372</v>
      </c>
      <c r="O6677" s="71" t="s">
        <v>3383</v>
      </c>
      <c r="P6677" s="103" t="str">
        <f t="shared" si="3531"/>
        <v>매엽용 세척제(Wash k11)</v>
      </c>
      <c r="Q6677" s="71">
        <f t="shared" si="3532"/>
        <v>10</v>
      </c>
      <c r="R6677" s="102">
        <v>47500</v>
      </c>
      <c r="S6677" s="102">
        <f t="shared" si="3533"/>
        <v>522500.00000000006</v>
      </c>
      <c r="T6677" s="102">
        <f t="shared" si="3534"/>
        <v>475000</v>
      </c>
      <c r="U6677" s="71" t="s">
        <v>859</v>
      </c>
      <c r="V6677" s="71"/>
      <c r="W6677" s="474">
        <v>136000</v>
      </c>
      <c r="X6677" s="71"/>
      <c r="Y6677" s="71"/>
    </row>
    <row r="6678" spans="1:25" s="209" customFormat="1" ht="30" hidden="1" customHeight="1" x14ac:dyDescent="0.25">
      <c r="A6678" s="1145">
        <v>45372</v>
      </c>
      <c r="B6678" s="664" t="s">
        <v>2353</v>
      </c>
      <c r="C6678" s="71" t="s">
        <v>130</v>
      </c>
      <c r="D6678" s="71">
        <v>10</v>
      </c>
      <c r="E6678" s="102">
        <v>148000</v>
      </c>
      <c r="F6678" s="102">
        <f t="shared" si="3526"/>
        <v>1628000.0000000002</v>
      </c>
      <c r="G6678" s="102">
        <f t="shared" si="3527"/>
        <v>1480000</v>
      </c>
      <c r="H6678" s="690" t="s">
        <v>142</v>
      </c>
      <c r="I6678" s="71" t="s">
        <v>179</v>
      </c>
      <c r="J6678" s="53">
        <f t="shared" si="3528"/>
        <v>360000</v>
      </c>
      <c r="K6678" s="63">
        <f t="shared" si="3529"/>
        <v>0.2432432432432432</v>
      </c>
      <c r="L6678" s="1212" t="s">
        <v>4054</v>
      </c>
      <c r="M6678" s="468" t="s">
        <v>2050</v>
      </c>
      <c r="N6678" s="1192">
        <f t="shared" si="3530"/>
        <v>45372</v>
      </c>
      <c r="O6678" s="71" t="s">
        <v>3383</v>
      </c>
      <c r="P6678" s="103" t="str">
        <f t="shared" si="3531"/>
        <v>XL106 Blanket(1077*885)</v>
      </c>
      <c r="Q6678" s="71">
        <f t="shared" si="3532"/>
        <v>10</v>
      </c>
      <c r="R6678" s="102">
        <v>112000</v>
      </c>
      <c r="S6678" s="102">
        <f t="shared" si="3533"/>
        <v>1232000</v>
      </c>
      <c r="T6678" s="102">
        <f t="shared" si="3534"/>
        <v>1120000</v>
      </c>
      <c r="U6678" s="71" t="s">
        <v>859</v>
      </c>
      <c r="V6678" s="71"/>
      <c r="W6678" s="474">
        <v>260000</v>
      </c>
      <c r="X6678" s="71"/>
      <c r="Y6678" s="71"/>
    </row>
    <row r="6679" spans="1:25" ht="30" hidden="1" customHeight="1" x14ac:dyDescent="0.25">
      <c r="A6679" s="1145">
        <v>45378</v>
      </c>
      <c r="B6679" s="664" t="s">
        <v>2579</v>
      </c>
      <c r="C6679" s="71" t="s">
        <v>3738</v>
      </c>
      <c r="D6679" s="71">
        <v>20</v>
      </c>
      <c r="E6679" s="102">
        <v>130000</v>
      </c>
      <c r="F6679" s="102">
        <f t="shared" si="3526"/>
        <v>2860000</v>
      </c>
      <c r="G6679" s="102">
        <f t="shared" si="3527"/>
        <v>2600000</v>
      </c>
      <c r="H6679" s="690" t="s">
        <v>142</v>
      </c>
      <c r="I6679" s="71" t="s">
        <v>142</v>
      </c>
      <c r="J6679" s="53">
        <f t="shared" si="3528"/>
        <v>486000</v>
      </c>
      <c r="K6679" s="63">
        <f t="shared" si="3529"/>
        <v>0.18692307692307691</v>
      </c>
      <c r="L6679" s="1212" t="s">
        <v>4054</v>
      </c>
      <c r="M6679" s="468"/>
      <c r="N6679" s="1192">
        <f t="shared" si="3530"/>
        <v>45378</v>
      </c>
      <c r="O6679" s="71" t="s">
        <v>147</v>
      </c>
      <c r="P6679" s="103" t="str">
        <f t="shared" si="3531"/>
        <v>블랑켓 - 고모리 용 (1040*920)</v>
      </c>
      <c r="Q6679" s="71">
        <f t="shared" si="3532"/>
        <v>20</v>
      </c>
      <c r="R6679" s="102">
        <v>105700</v>
      </c>
      <c r="S6679" s="102">
        <f t="shared" si="3533"/>
        <v>2325400</v>
      </c>
      <c r="T6679" s="102">
        <f t="shared" si="3534"/>
        <v>2114000</v>
      </c>
      <c r="U6679" s="71"/>
      <c r="V6679" s="71"/>
      <c r="W6679" s="474"/>
      <c r="X6679" s="71"/>
      <c r="Y6679" s="71"/>
    </row>
    <row r="6680" spans="1:25" ht="30" hidden="1" customHeight="1" x14ac:dyDescent="0.25">
      <c r="A6680" s="1145">
        <v>45378</v>
      </c>
      <c r="B6680" s="664" t="s">
        <v>2353</v>
      </c>
      <c r="C6680" s="71" t="s">
        <v>3727</v>
      </c>
      <c r="D6680" s="71">
        <v>5</v>
      </c>
      <c r="E6680" s="102">
        <v>225000</v>
      </c>
      <c r="F6680" s="102">
        <f t="shared" si="3526"/>
        <v>1237500</v>
      </c>
      <c r="G6680" s="102">
        <f t="shared" si="3527"/>
        <v>1125000</v>
      </c>
      <c r="H6680" s="690" t="s">
        <v>142</v>
      </c>
      <c r="I6680" s="71" t="s">
        <v>142</v>
      </c>
      <c r="J6680" s="53">
        <f t="shared" si="3528"/>
        <v>500000</v>
      </c>
      <c r="K6680" s="63">
        <f t="shared" si="3529"/>
        <v>0.44444444444444442</v>
      </c>
      <c r="L6680" s="1212" t="s">
        <v>4054</v>
      </c>
      <c r="M6680" s="468"/>
      <c r="N6680" s="1192">
        <f t="shared" si="3530"/>
        <v>45378</v>
      </c>
      <c r="O6680" s="71" t="s">
        <v>189</v>
      </c>
      <c r="P6680" s="103" t="str">
        <f t="shared" si="3531"/>
        <v>압통 코팅제 - 퀵 프린트</v>
      </c>
      <c r="Q6680" s="71">
        <f t="shared" si="3532"/>
        <v>5</v>
      </c>
      <c r="R6680" s="102">
        <f>25000*5</f>
        <v>125000</v>
      </c>
      <c r="S6680" s="102">
        <f t="shared" si="3533"/>
        <v>687500</v>
      </c>
      <c r="T6680" s="102">
        <f t="shared" si="3534"/>
        <v>625000</v>
      </c>
      <c r="U6680" s="71"/>
      <c r="V6680" s="71"/>
      <c r="W6680" s="474"/>
      <c r="X6680" s="71"/>
      <c r="Y6680" s="71"/>
    </row>
    <row r="6681" spans="1:25" ht="30" hidden="1" customHeight="1" x14ac:dyDescent="0.25">
      <c r="A6681" s="1145">
        <v>45357</v>
      </c>
      <c r="B6681" s="664" t="s">
        <v>2353</v>
      </c>
      <c r="C6681" s="71" t="s">
        <v>584</v>
      </c>
      <c r="D6681" s="71">
        <v>4</v>
      </c>
      <c r="E6681" s="102">
        <v>270000</v>
      </c>
      <c r="F6681" s="102">
        <f t="shared" si="3526"/>
        <v>1188000</v>
      </c>
      <c r="G6681" s="102">
        <f t="shared" si="3527"/>
        <v>1080000</v>
      </c>
      <c r="H6681" s="690" t="s">
        <v>142</v>
      </c>
      <c r="I6681" s="71" t="s">
        <v>179</v>
      </c>
      <c r="J6681" s="53">
        <f t="shared" si="3528"/>
        <v>328000</v>
      </c>
      <c r="K6681" s="63">
        <f t="shared" si="3529"/>
        <v>0.3037037037037037</v>
      </c>
      <c r="L6681" s="1212" t="s">
        <v>4054</v>
      </c>
      <c r="M6681" s="468"/>
      <c r="N6681" s="1192">
        <f t="shared" si="3530"/>
        <v>45357</v>
      </c>
      <c r="O6681" s="71" t="s">
        <v>150</v>
      </c>
      <c r="P6681" s="103" t="str">
        <f t="shared" si="3531"/>
        <v>데리바리 석션벨트</v>
      </c>
      <c r="Q6681" s="71">
        <f t="shared" si="3532"/>
        <v>4</v>
      </c>
      <c r="R6681" s="102">
        <v>188000</v>
      </c>
      <c r="S6681" s="102">
        <f t="shared" si="3533"/>
        <v>827200.00000000012</v>
      </c>
      <c r="T6681" s="102">
        <f t="shared" si="3534"/>
        <v>752000</v>
      </c>
      <c r="U6681" s="71" t="str">
        <f>IF(J6681=W6681,"O", "X")</f>
        <v>O</v>
      </c>
      <c r="V6681" s="71"/>
      <c r="W6681" s="474">
        <f>(G6681-T6681)</f>
        <v>328000</v>
      </c>
      <c r="X6681" s="71"/>
      <c r="Y6681" s="71"/>
    </row>
    <row r="6682" spans="1:25" ht="28.5" hidden="1" customHeight="1" x14ac:dyDescent="0.25">
      <c r="A6682" s="1145">
        <v>45357</v>
      </c>
      <c r="B6682" s="664" t="s">
        <v>2353</v>
      </c>
      <c r="C6682" s="71" t="s">
        <v>2648</v>
      </c>
      <c r="D6682" s="71">
        <v>3</v>
      </c>
      <c r="E6682" s="102">
        <v>50000</v>
      </c>
      <c r="F6682" s="102">
        <f t="shared" si="3526"/>
        <v>165000</v>
      </c>
      <c r="G6682" s="102">
        <f t="shared" si="3527"/>
        <v>150000</v>
      </c>
      <c r="H6682" s="690" t="s">
        <v>179</v>
      </c>
      <c r="I6682" s="690" t="s">
        <v>179</v>
      </c>
      <c r="J6682" s="53">
        <f t="shared" si="3528"/>
        <v>78000</v>
      </c>
      <c r="K6682" s="63">
        <f t="shared" si="3529"/>
        <v>0.52</v>
      </c>
      <c r="L6682" s="1212" t="s">
        <v>4054</v>
      </c>
      <c r="M6682" s="468"/>
      <c r="N6682" s="1192">
        <f t="shared" si="3530"/>
        <v>45357</v>
      </c>
      <c r="O6682" s="71" t="s">
        <v>94</v>
      </c>
      <c r="P6682" s="103" t="str">
        <f t="shared" si="3531"/>
        <v>주머니 필터백</v>
      </c>
      <c r="Q6682" s="71">
        <f t="shared" si="3532"/>
        <v>3</v>
      </c>
      <c r="R6682" s="102">
        <v>24000</v>
      </c>
      <c r="S6682" s="102">
        <f t="shared" si="3533"/>
        <v>79200</v>
      </c>
      <c r="T6682" s="102">
        <f t="shared" si="3534"/>
        <v>72000</v>
      </c>
      <c r="U6682" s="71"/>
      <c r="V6682" s="71"/>
      <c r="W6682" s="474"/>
      <c r="X6682" s="71"/>
      <c r="Y6682" s="71"/>
    </row>
    <row r="6683" spans="1:25" ht="30" customHeight="1" x14ac:dyDescent="0.25">
      <c r="A6683" s="1145">
        <v>45372</v>
      </c>
      <c r="B6683" s="664" t="s">
        <v>641</v>
      </c>
      <c r="C6683" s="71" t="s">
        <v>3293</v>
      </c>
      <c r="D6683" s="71">
        <v>60</v>
      </c>
      <c r="E6683" s="102">
        <v>84000</v>
      </c>
      <c r="F6683" s="102">
        <f t="shared" si="3526"/>
        <v>5544000</v>
      </c>
      <c r="G6683" s="102">
        <f t="shared" si="3527"/>
        <v>5040000</v>
      </c>
      <c r="H6683" s="690" t="s">
        <v>172</v>
      </c>
      <c r="I6683" s="71" t="s">
        <v>38</v>
      </c>
      <c r="J6683" s="53">
        <f t="shared" si="3528"/>
        <v>1980000</v>
      </c>
      <c r="K6683" s="63">
        <f t="shared" si="3529"/>
        <v>0.39285714285714285</v>
      </c>
      <c r="L6683" s="1212" t="s">
        <v>4054</v>
      </c>
      <c r="M6683" s="468"/>
      <c r="N6683" s="1192">
        <f t="shared" si="3530"/>
        <v>45372</v>
      </c>
      <c r="O6683" s="71" t="s">
        <v>3291</v>
      </c>
      <c r="P6683" s="103" t="str">
        <f t="shared" si="3531"/>
        <v>GOSS 신문윤전 습식세정포</v>
      </c>
      <c r="Q6683" s="71">
        <f t="shared" si="3532"/>
        <v>60</v>
      </c>
      <c r="R6683" s="102">
        <v>51000</v>
      </c>
      <c r="S6683" s="102">
        <f t="shared" si="3533"/>
        <v>3366000.0000000005</v>
      </c>
      <c r="T6683" s="102">
        <f t="shared" si="3534"/>
        <v>3060000</v>
      </c>
      <c r="U6683" s="71" t="str">
        <f>IF(J6683=W6683,"O", "X")</f>
        <v>X</v>
      </c>
      <c r="V6683" s="71"/>
      <c r="W6683" s="474"/>
      <c r="X6683" s="71"/>
      <c r="Y6683" s="71"/>
    </row>
    <row r="6684" spans="1:25" ht="30" hidden="1" customHeight="1" x14ac:dyDescent="0.25">
      <c r="A6684" s="1145">
        <v>45376</v>
      </c>
      <c r="B6684" s="664" t="s">
        <v>1060</v>
      </c>
      <c r="C6684" s="71" t="s">
        <v>3908</v>
      </c>
      <c r="D6684" s="71">
        <v>0</v>
      </c>
      <c r="E6684" s="102">
        <v>5710</v>
      </c>
      <c r="F6684" s="102">
        <f t="shared" si="3526"/>
        <v>0</v>
      </c>
      <c r="G6684" s="102">
        <f t="shared" si="3527"/>
        <v>0</v>
      </c>
      <c r="H6684" s="690" t="s">
        <v>36</v>
      </c>
      <c r="I6684" s="71" t="s">
        <v>2529</v>
      </c>
      <c r="J6684" s="53">
        <f t="shared" si="3528"/>
        <v>0</v>
      </c>
      <c r="K6684" s="63" t="e">
        <f t="shared" si="3529"/>
        <v>#DIV/0!</v>
      </c>
      <c r="L6684" s="1212" t="s">
        <v>4054</v>
      </c>
      <c r="M6684" s="102" t="s">
        <v>3964</v>
      </c>
      <c r="N6684" s="1192">
        <f t="shared" si="3530"/>
        <v>45376</v>
      </c>
      <c r="O6684" s="71" t="s">
        <v>662</v>
      </c>
      <c r="P6684" s="103" t="str">
        <f t="shared" si="3531"/>
        <v>Saphira CTP 판 1030 x 790</v>
      </c>
      <c r="Q6684" s="71">
        <f t="shared" si="3532"/>
        <v>0</v>
      </c>
      <c r="R6684" s="102">
        <v>3945</v>
      </c>
      <c r="S6684" s="102">
        <f t="shared" si="3533"/>
        <v>0</v>
      </c>
      <c r="T6684" s="102">
        <f t="shared" si="3534"/>
        <v>0</v>
      </c>
      <c r="U6684" s="71" t="s">
        <v>859</v>
      </c>
      <c r="V6684" s="71"/>
      <c r="W6684" s="474">
        <v>942000</v>
      </c>
      <c r="X6684" s="71"/>
      <c r="Y6684" s="71"/>
    </row>
    <row r="6685" spans="1:25" ht="30" hidden="1" customHeight="1" x14ac:dyDescent="0.25">
      <c r="A6685" s="1145">
        <v>45376</v>
      </c>
      <c r="B6685" s="664" t="s">
        <v>1060</v>
      </c>
      <c r="C6685" s="71" t="s">
        <v>3909</v>
      </c>
      <c r="D6685" s="71">
        <v>3000</v>
      </c>
      <c r="E6685" s="102">
        <v>3610</v>
      </c>
      <c r="F6685" s="102">
        <f t="shared" si="3526"/>
        <v>11913000.000000002</v>
      </c>
      <c r="G6685" s="102">
        <f t="shared" si="3527"/>
        <v>10830000</v>
      </c>
      <c r="H6685" s="690" t="s">
        <v>36</v>
      </c>
      <c r="I6685" s="71" t="s">
        <v>2529</v>
      </c>
      <c r="J6685" s="53">
        <f t="shared" si="3528"/>
        <v>3351000</v>
      </c>
      <c r="K6685" s="63">
        <f t="shared" si="3529"/>
        <v>0.30941828254847642</v>
      </c>
      <c r="L6685" s="1212" t="s">
        <v>4054</v>
      </c>
      <c r="M6685" s="102" t="s">
        <v>3964</v>
      </c>
      <c r="N6685" s="1192">
        <v>45194</v>
      </c>
      <c r="O6685" s="71" t="s">
        <v>662</v>
      </c>
      <c r="P6685" s="103" t="s">
        <v>3909</v>
      </c>
      <c r="Q6685" s="71">
        <f t="shared" si="3532"/>
        <v>3000</v>
      </c>
      <c r="R6685" s="102">
        <v>2493</v>
      </c>
      <c r="S6685" s="102">
        <f t="shared" si="3533"/>
        <v>8226900.0000000009</v>
      </c>
      <c r="T6685" s="102">
        <f t="shared" si="3534"/>
        <v>7479000</v>
      </c>
      <c r="U6685" s="71" t="s">
        <v>859</v>
      </c>
      <c r="V6685" s="71"/>
      <c r="W6685" s="474">
        <v>1274000</v>
      </c>
      <c r="X6685" s="71"/>
      <c r="Y6685" s="71"/>
    </row>
    <row r="6686" spans="1:25" ht="30" hidden="1" customHeight="1" x14ac:dyDescent="0.25">
      <c r="A6686" s="1145">
        <v>45376</v>
      </c>
      <c r="B6686" s="664" t="s">
        <v>1060</v>
      </c>
      <c r="C6686" s="71" t="s">
        <v>3910</v>
      </c>
      <c r="D6686" s="71">
        <v>2600</v>
      </c>
      <c r="E6686" s="102">
        <v>3410</v>
      </c>
      <c r="F6686" s="102">
        <f t="shared" si="3526"/>
        <v>9752600</v>
      </c>
      <c r="G6686" s="102">
        <f t="shared" si="3527"/>
        <v>8866000</v>
      </c>
      <c r="H6686" s="690" t="s">
        <v>36</v>
      </c>
      <c r="I6686" s="71" t="s">
        <v>2529</v>
      </c>
      <c r="J6686" s="53">
        <f t="shared" si="3528"/>
        <v>2706600</v>
      </c>
      <c r="K6686" s="63">
        <f t="shared" si="3529"/>
        <v>0.30527859237536659</v>
      </c>
      <c r="L6686" s="1212" t="s">
        <v>4054</v>
      </c>
      <c r="M6686" s="102" t="s">
        <v>3964</v>
      </c>
      <c r="N6686" s="1192">
        <v>45194</v>
      </c>
      <c r="O6686" s="71" t="s">
        <v>662</v>
      </c>
      <c r="P6686" s="103" t="s">
        <v>3910</v>
      </c>
      <c r="Q6686" s="71">
        <f t="shared" si="3532"/>
        <v>2600</v>
      </c>
      <c r="R6686" s="102">
        <v>2369</v>
      </c>
      <c r="S6686" s="102">
        <f t="shared" si="3533"/>
        <v>6775340.0000000009</v>
      </c>
      <c r="T6686" s="102">
        <f t="shared" si="3534"/>
        <v>6159400</v>
      </c>
      <c r="U6686" s="71" t="s">
        <v>859</v>
      </c>
      <c r="V6686" s="71"/>
      <c r="W6686" s="474">
        <v>3325000</v>
      </c>
      <c r="X6686" s="71"/>
      <c r="Y6686" s="71"/>
    </row>
    <row r="6687" spans="1:25" ht="30" hidden="1" customHeight="1" x14ac:dyDescent="0.25">
      <c r="A6687" s="1145">
        <v>45376</v>
      </c>
      <c r="B6687" s="664" t="s">
        <v>1060</v>
      </c>
      <c r="C6687" s="71" t="s">
        <v>3911</v>
      </c>
      <c r="D6687" s="71">
        <v>600</v>
      </c>
      <c r="E6687" s="102">
        <v>5790</v>
      </c>
      <c r="F6687" s="102">
        <f t="shared" si="3526"/>
        <v>3821400.0000000005</v>
      </c>
      <c r="G6687" s="102">
        <f t="shared" si="3527"/>
        <v>3474000</v>
      </c>
      <c r="H6687" s="690" t="s">
        <v>36</v>
      </c>
      <c r="I6687" s="71" t="s">
        <v>2529</v>
      </c>
      <c r="J6687" s="53">
        <f t="shared" si="3528"/>
        <v>1076400</v>
      </c>
      <c r="K6687" s="63">
        <f t="shared" si="3529"/>
        <v>0.30984455958549217</v>
      </c>
      <c r="L6687" s="1212" t="s">
        <v>4054</v>
      </c>
      <c r="M6687" s="102" t="s">
        <v>3964</v>
      </c>
      <c r="N6687" s="1192">
        <v>45194</v>
      </c>
      <c r="O6687" s="71" t="s">
        <v>662</v>
      </c>
      <c r="P6687" s="103" t="s">
        <v>3911</v>
      </c>
      <c r="Q6687" s="71">
        <f t="shared" si="3532"/>
        <v>600</v>
      </c>
      <c r="R6687" s="102">
        <v>3996</v>
      </c>
      <c r="S6687" s="102">
        <f t="shared" si="3533"/>
        <v>2637360</v>
      </c>
      <c r="T6687" s="102">
        <f t="shared" si="3534"/>
        <v>2397600</v>
      </c>
      <c r="U6687" s="71" t="s">
        <v>859</v>
      </c>
      <c r="V6687" s="71"/>
      <c r="W6687" s="474">
        <v>636000</v>
      </c>
      <c r="X6687" s="71"/>
      <c r="Y6687" s="71"/>
    </row>
    <row r="6688" spans="1:25" ht="30" hidden="1" customHeight="1" x14ac:dyDescent="0.25">
      <c r="A6688" s="1145">
        <v>45376</v>
      </c>
      <c r="B6688" s="664" t="s">
        <v>1060</v>
      </c>
      <c r="C6688" s="71" t="s">
        <v>3912</v>
      </c>
      <c r="D6688" s="71">
        <v>1100</v>
      </c>
      <c r="E6688" s="102">
        <v>6010</v>
      </c>
      <c r="F6688" s="102">
        <f t="shared" si="3526"/>
        <v>7272100.0000000009</v>
      </c>
      <c r="G6688" s="102">
        <f t="shared" si="3527"/>
        <v>6611000</v>
      </c>
      <c r="H6688" s="690" t="s">
        <v>36</v>
      </c>
      <c r="I6688" s="71" t="s">
        <v>2529</v>
      </c>
      <c r="J6688" s="53">
        <f t="shared" si="3528"/>
        <v>2044900</v>
      </c>
      <c r="K6688" s="63">
        <f t="shared" si="3529"/>
        <v>0.30931780366056566</v>
      </c>
      <c r="L6688" s="1212" t="s">
        <v>4054</v>
      </c>
      <c r="M6688" s="102" t="s">
        <v>3964</v>
      </c>
      <c r="N6688" s="1192">
        <v>45194</v>
      </c>
      <c r="O6688" s="71" t="s">
        <v>662</v>
      </c>
      <c r="P6688" s="103" t="s">
        <v>3912</v>
      </c>
      <c r="Q6688" s="71">
        <f t="shared" si="3532"/>
        <v>1100</v>
      </c>
      <c r="R6688" s="102">
        <v>4151</v>
      </c>
      <c r="S6688" s="102">
        <f t="shared" si="3533"/>
        <v>5022710</v>
      </c>
      <c r="T6688" s="102">
        <f t="shared" si="3534"/>
        <v>4566100</v>
      </c>
      <c r="U6688" s="71" t="s">
        <v>859</v>
      </c>
      <c r="V6688" s="71"/>
      <c r="W6688" s="474">
        <v>1476000</v>
      </c>
      <c r="X6688" s="71"/>
      <c r="Y6688" s="71"/>
    </row>
    <row r="6689" spans="1:25" ht="30" hidden="1" customHeight="1" x14ac:dyDescent="0.25">
      <c r="A6689" s="1145">
        <v>45376</v>
      </c>
      <c r="B6689" s="664" t="s">
        <v>1060</v>
      </c>
      <c r="C6689" s="71" t="s">
        <v>3913</v>
      </c>
      <c r="D6689" s="71">
        <v>300</v>
      </c>
      <c r="E6689" s="102">
        <v>4280</v>
      </c>
      <c r="F6689" s="102">
        <f t="shared" si="3526"/>
        <v>1412400</v>
      </c>
      <c r="G6689" s="102">
        <f t="shared" si="3527"/>
        <v>1284000</v>
      </c>
      <c r="H6689" s="690" t="s">
        <v>36</v>
      </c>
      <c r="I6689" s="71" t="s">
        <v>2529</v>
      </c>
      <c r="J6689" s="53">
        <f t="shared" si="3528"/>
        <v>394200</v>
      </c>
      <c r="K6689" s="63">
        <f t="shared" si="3529"/>
        <v>0.30700934579439254</v>
      </c>
      <c r="L6689" s="1212" t="s">
        <v>4054</v>
      </c>
      <c r="M6689" s="102" t="s">
        <v>3964</v>
      </c>
      <c r="N6689" s="1192">
        <v>45194</v>
      </c>
      <c r="O6689" s="71" t="s">
        <v>662</v>
      </c>
      <c r="P6689" s="103" t="s">
        <v>3913</v>
      </c>
      <c r="Q6689" s="71">
        <f t="shared" si="3532"/>
        <v>300</v>
      </c>
      <c r="R6689" s="102">
        <v>2966</v>
      </c>
      <c r="S6689" s="102">
        <f t="shared" si="3533"/>
        <v>978780.00000000012</v>
      </c>
      <c r="T6689" s="102">
        <f t="shared" si="3534"/>
        <v>889800</v>
      </c>
      <c r="U6689" s="71" t="s">
        <v>859</v>
      </c>
      <c r="V6689" s="71"/>
      <c r="W6689" s="474">
        <v>1416000</v>
      </c>
      <c r="X6689" s="71"/>
      <c r="Y6689" s="71"/>
    </row>
    <row r="6690" spans="1:25" ht="30" hidden="1" customHeight="1" x14ac:dyDescent="0.25">
      <c r="A6690" s="1145">
        <v>45376</v>
      </c>
      <c r="B6690" s="664" t="s">
        <v>1060</v>
      </c>
      <c r="C6690" s="71" t="s">
        <v>3914</v>
      </c>
      <c r="D6690" s="71">
        <v>30</v>
      </c>
      <c r="E6690" s="102">
        <v>51920</v>
      </c>
      <c r="F6690" s="102">
        <f t="shared" si="3526"/>
        <v>1713360.0000000002</v>
      </c>
      <c r="G6690" s="102">
        <f t="shared" si="3527"/>
        <v>1557600</v>
      </c>
      <c r="H6690" s="690" t="s">
        <v>36</v>
      </c>
      <c r="I6690" s="71" t="s">
        <v>2529</v>
      </c>
      <c r="J6690" s="53">
        <f t="shared" si="3528"/>
        <v>357600</v>
      </c>
      <c r="K6690" s="63">
        <f t="shared" si="3529"/>
        <v>0.22958397534668717</v>
      </c>
      <c r="L6690" s="1212" t="s">
        <v>4054</v>
      </c>
      <c r="M6690" s="468"/>
      <c r="N6690" s="1192">
        <v>45194</v>
      </c>
      <c r="O6690" s="71" t="s">
        <v>662</v>
      </c>
      <c r="P6690" s="103" t="s">
        <v>3914</v>
      </c>
      <c r="Q6690" s="71">
        <f t="shared" si="3532"/>
        <v>30</v>
      </c>
      <c r="R6690" s="102">
        <v>40000</v>
      </c>
      <c r="S6690" s="102">
        <f t="shared" si="3533"/>
        <v>1320000</v>
      </c>
      <c r="T6690" s="102">
        <f t="shared" si="3534"/>
        <v>1200000</v>
      </c>
      <c r="U6690" s="71" t="s">
        <v>859</v>
      </c>
      <c r="V6690" s="71"/>
      <c r="W6690" s="474">
        <v>978750</v>
      </c>
      <c r="X6690" s="71"/>
      <c r="Y6690" s="71"/>
    </row>
    <row r="6691" spans="1:25" ht="30" hidden="1" customHeight="1" x14ac:dyDescent="0.25">
      <c r="A6691" s="1145">
        <v>45376</v>
      </c>
      <c r="B6691" s="664" t="s">
        <v>1061</v>
      </c>
      <c r="C6691" s="71" t="s">
        <v>3319</v>
      </c>
      <c r="D6691" s="71">
        <v>200</v>
      </c>
      <c r="E6691" s="102">
        <v>6328</v>
      </c>
      <c r="F6691" s="102">
        <f t="shared" si="3526"/>
        <v>1392160</v>
      </c>
      <c r="G6691" s="102">
        <f t="shared" si="3527"/>
        <v>1265600</v>
      </c>
      <c r="H6691" s="690" t="s">
        <v>36</v>
      </c>
      <c r="I6691" s="71" t="s">
        <v>3320</v>
      </c>
      <c r="J6691" s="53">
        <f t="shared" si="3528"/>
        <v>95600</v>
      </c>
      <c r="K6691" s="63">
        <f t="shared" si="3529"/>
        <v>7.5537294563843241E-2</v>
      </c>
      <c r="L6691" s="1212" t="s">
        <v>4054</v>
      </c>
      <c r="M6691" s="468"/>
      <c r="N6691" s="1192">
        <v>45194</v>
      </c>
      <c r="O6691" s="71" t="s">
        <v>146</v>
      </c>
      <c r="P6691" s="103" t="s">
        <v>3319</v>
      </c>
      <c r="Q6691" s="71">
        <f t="shared" si="3532"/>
        <v>200</v>
      </c>
      <c r="R6691" s="102">
        <v>5850</v>
      </c>
      <c r="S6691" s="102">
        <f t="shared" si="3533"/>
        <v>1287000</v>
      </c>
      <c r="T6691" s="102">
        <f t="shared" si="3534"/>
        <v>1170000</v>
      </c>
      <c r="U6691" s="71" t="s">
        <v>859</v>
      </c>
      <c r="V6691" s="71"/>
      <c r="W6691" s="474">
        <v>411200</v>
      </c>
      <c r="X6691" s="71"/>
      <c r="Y6691" s="71"/>
    </row>
    <row r="6692" spans="1:25" ht="30" hidden="1" customHeight="1" x14ac:dyDescent="0.25">
      <c r="A6692" s="1145">
        <v>45376</v>
      </c>
      <c r="B6692" s="664" t="s">
        <v>1061</v>
      </c>
      <c r="C6692" s="71" t="s">
        <v>3321</v>
      </c>
      <c r="D6692" s="71">
        <v>200</v>
      </c>
      <c r="E6692" s="102">
        <v>6780</v>
      </c>
      <c r="F6692" s="102">
        <f t="shared" si="3526"/>
        <v>1491600.0000000002</v>
      </c>
      <c r="G6692" s="102">
        <f t="shared" si="3527"/>
        <v>1356000</v>
      </c>
      <c r="H6692" s="690" t="s">
        <v>36</v>
      </c>
      <c r="I6692" s="71" t="s">
        <v>3320</v>
      </c>
      <c r="J6692" s="53">
        <f t="shared" si="3528"/>
        <v>100000</v>
      </c>
      <c r="K6692" s="63">
        <f t="shared" si="3529"/>
        <v>7.3746312684365767E-2</v>
      </c>
      <c r="L6692" s="1212" t="s">
        <v>4054</v>
      </c>
      <c r="M6692" s="468"/>
      <c r="N6692" s="1192">
        <v>45194</v>
      </c>
      <c r="O6692" s="71" t="s">
        <v>146</v>
      </c>
      <c r="P6692" s="103" t="s">
        <v>3321</v>
      </c>
      <c r="Q6692" s="71">
        <f t="shared" si="3532"/>
        <v>200</v>
      </c>
      <c r="R6692" s="102">
        <v>6280</v>
      </c>
      <c r="S6692" s="102">
        <f t="shared" si="3533"/>
        <v>1381600</v>
      </c>
      <c r="T6692" s="102">
        <f t="shared" si="3534"/>
        <v>1256000</v>
      </c>
      <c r="U6692" s="71" t="s">
        <v>859</v>
      </c>
      <c r="V6692" s="71"/>
      <c r="W6692" s="474">
        <v>292000</v>
      </c>
      <c r="X6692" s="71"/>
      <c r="Y6692" s="71"/>
    </row>
    <row r="6693" spans="1:25" ht="30" hidden="1" customHeight="1" x14ac:dyDescent="0.25">
      <c r="A6693" s="1145">
        <v>45376</v>
      </c>
      <c r="B6693" s="664" t="s">
        <v>1061</v>
      </c>
      <c r="C6693" s="71" t="s">
        <v>1289</v>
      </c>
      <c r="D6693" s="71">
        <v>600</v>
      </c>
      <c r="E6693" s="102">
        <v>6498</v>
      </c>
      <c r="F6693" s="102">
        <f t="shared" si="3526"/>
        <v>4288680</v>
      </c>
      <c r="G6693" s="102">
        <f t="shared" si="3527"/>
        <v>3898800</v>
      </c>
      <c r="H6693" s="690" t="s">
        <v>36</v>
      </c>
      <c r="I6693" s="71" t="s">
        <v>3320</v>
      </c>
      <c r="J6693" s="53">
        <f t="shared" si="3528"/>
        <v>286800</v>
      </c>
      <c r="K6693" s="63">
        <f t="shared" si="3529"/>
        <v>7.3561095721760547E-2</v>
      </c>
      <c r="L6693" s="1212" t="s">
        <v>4054</v>
      </c>
      <c r="M6693" s="468"/>
      <c r="N6693" s="1192">
        <v>45194</v>
      </c>
      <c r="O6693" s="71" t="s">
        <v>146</v>
      </c>
      <c r="P6693" s="103" t="s">
        <v>1289</v>
      </c>
      <c r="Q6693" s="71">
        <f t="shared" si="3532"/>
        <v>600</v>
      </c>
      <c r="R6693" s="102">
        <v>6020</v>
      </c>
      <c r="S6693" s="102">
        <f t="shared" si="3533"/>
        <v>3973200.0000000005</v>
      </c>
      <c r="T6693" s="102">
        <f t="shared" si="3534"/>
        <v>3612000</v>
      </c>
      <c r="U6693" s="71" t="s">
        <v>859</v>
      </c>
      <c r="V6693" s="71"/>
      <c r="W6693" s="474">
        <v>640800</v>
      </c>
      <c r="X6693" s="71"/>
      <c r="Y6693" s="71"/>
    </row>
    <row r="6694" spans="1:25" ht="30" hidden="1" customHeight="1" x14ac:dyDescent="0.25">
      <c r="A6694" s="1145">
        <v>45376</v>
      </c>
      <c r="B6694" s="664" t="s">
        <v>1061</v>
      </c>
      <c r="C6694" s="71" t="s">
        <v>1290</v>
      </c>
      <c r="D6694" s="71">
        <v>200</v>
      </c>
      <c r="E6694" s="102">
        <v>7910</v>
      </c>
      <c r="F6694" s="102">
        <f t="shared" si="3526"/>
        <v>1740200.0000000002</v>
      </c>
      <c r="G6694" s="102">
        <f t="shared" si="3527"/>
        <v>1582000</v>
      </c>
      <c r="H6694" s="690" t="s">
        <v>36</v>
      </c>
      <c r="I6694" s="71" t="s">
        <v>3320</v>
      </c>
      <c r="J6694" s="53">
        <f t="shared" si="3528"/>
        <v>120000</v>
      </c>
      <c r="K6694" s="63">
        <f t="shared" si="3529"/>
        <v>7.5853350189633365E-2</v>
      </c>
      <c r="L6694" s="1212" t="s">
        <v>4054</v>
      </c>
      <c r="M6694" s="468"/>
      <c r="N6694" s="1192">
        <v>45194</v>
      </c>
      <c r="O6694" s="71" t="s">
        <v>146</v>
      </c>
      <c r="P6694" s="103" t="s">
        <v>1290</v>
      </c>
      <c r="Q6694" s="71">
        <f t="shared" si="3532"/>
        <v>200</v>
      </c>
      <c r="R6694" s="102">
        <v>7310</v>
      </c>
      <c r="S6694" s="102">
        <f t="shared" si="3533"/>
        <v>1608200.0000000002</v>
      </c>
      <c r="T6694" s="102">
        <f t="shared" si="3534"/>
        <v>1462000</v>
      </c>
      <c r="U6694" s="71" t="s">
        <v>859</v>
      </c>
      <c r="V6694" s="71"/>
      <c r="W6694" s="474">
        <v>846000</v>
      </c>
      <c r="X6694" s="71"/>
      <c r="Y6694" s="71"/>
    </row>
    <row r="6695" spans="1:25" ht="30" hidden="1" customHeight="1" x14ac:dyDescent="0.25">
      <c r="A6695" s="1145">
        <v>45376</v>
      </c>
      <c r="B6695" s="664" t="s">
        <v>1061</v>
      </c>
      <c r="C6695" s="71" t="s">
        <v>3322</v>
      </c>
      <c r="D6695" s="71"/>
      <c r="E6695" s="102">
        <v>7150</v>
      </c>
      <c r="F6695" s="102">
        <f t="shared" si="3526"/>
        <v>0</v>
      </c>
      <c r="G6695" s="102">
        <f t="shared" si="3527"/>
        <v>0</v>
      </c>
      <c r="H6695" s="690" t="s">
        <v>36</v>
      </c>
      <c r="I6695" s="71" t="s">
        <v>3320</v>
      </c>
      <c r="J6695" s="53">
        <f t="shared" si="3528"/>
        <v>0</v>
      </c>
      <c r="K6695" s="63" t="e">
        <f t="shared" si="3529"/>
        <v>#DIV/0!</v>
      </c>
      <c r="L6695" s="1212" t="s">
        <v>4054</v>
      </c>
      <c r="M6695" s="468"/>
      <c r="N6695" s="1192">
        <f t="shared" ref="N6695:N6700" si="3535">A6695</f>
        <v>45376</v>
      </c>
      <c r="O6695" s="71" t="s">
        <v>3323</v>
      </c>
      <c r="P6695" s="103" t="str">
        <f t="shared" ref="P6695:P6700" si="3536">(C6695)</f>
        <v>한특 잉크(적)</v>
      </c>
      <c r="Q6695" s="71">
        <f t="shared" si="3532"/>
        <v>0</v>
      </c>
      <c r="R6695" s="102">
        <v>6500</v>
      </c>
      <c r="S6695" s="102">
        <f t="shared" si="3533"/>
        <v>0</v>
      </c>
      <c r="T6695" s="102">
        <f t="shared" si="3534"/>
        <v>0</v>
      </c>
      <c r="U6695" s="71" t="s">
        <v>859</v>
      </c>
      <c r="V6695" s="71"/>
      <c r="W6695" s="474">
        <v>0</v>
      </c>
      <c r="X6695" s="71"/>
      <c r="Y6695" s="71"/>
    </row>
    <row r="6696" spans="1:25" ht="30" hidden="1" customHeight="1" x14ac:dyDescent="0.25">
      <c r="A6696" s="1145">
        <v>45376</v>
      </c>
      <c r="B6696" s="664" t="s">
        <v>1061</v>
      </c>
      <c r="C6696" s="71" t="s">
        <v>3324</v>
      </c>
      <c r="D6696" s="71"/>
      <c r="E6696" s="102">
        <v>6900</v>
      </c>
      <c r="F6696" s="102">
        <f t="shared" si="3526"/>
        <v>0</v>
      </c>
      <c r="G6696" s="102">
        <f t="shared" si="3527"/>
        <v>0</v>
      </c>
      <c r="H6696" s="690" t="s">
        <v>36</v>
      </c>
      <c r="I6696" s="71" t="s">
        <v>3320</v>
      </c>
      <c r="J6696" s="53">
        <f t="shared" si="3528"/>
        <v>0</v>
      </c>
      <c r="K6696" s="63" t="e">
        <f t="shared" si="3529"/>
        <v>#DIV/0!</v>
      </c>
      <c r="L6696" s="1212" t="s">
        <v>4054</v>
      </c>
      <c r="M6696" s="468"/>
      <c r="N6696" s="1192">
        <f t="shared" si="3535"/>
        <v>45376</v>
      </c>
      <c r="O6696" s="71" t="s">
        <v>3323</v>
      </c>
      <c r="P6696" s="103" t="str">
        <f t="shared" si="3536"/>
        <v>한특 잉크(황)</v>
      </c>
      <c r="Q6696" s="71">
        <f t="shared" si="3532"/>
        <v>0</v>
      </c>
      <c r="R6696" s="102">
        <v>6200</v>
      </c>
      <c r="S6696" s="102">
        <f t="shared" si="3533"/>
        <v>0</v>
      </c>
      <c r="T6696" s="102">
        <f t="shared" si="3534"/>
        <v>0</v>
      </c>
      <c r="U6696" s="71" t="s">
        <v>859</v>
      </c>
      <c r="V6696" s="71"/>
      <c r="W6696" s="474">
        <v>0</v>
      </c>
      <c r="X6696" s="71"/>
      <c r="Y6696" s="71"/>
    </row>
    <row r="6697" spans="1:25" ht="28.5" hidden="1" customHeight="1" x14ac:dyDescent="0.25">
      <c r="A6697" s="1145">
        <v>45376</v>
      </c>
      <c r="B6697" s="664" t="s">
        <v>1061</v>
      </c>
      <c r="C6697" s="71" t="s">
        <v>3325</v>
      </c>
      <c r="D6697" s="71"/>
      <c r="E6697" s="102">
        <v>7500</v>
      </c>
      <c r="F6697" s="102">
        <f t="shared" si="3526"/>
        <v>0</v>
      </c>
      <c r="G6697" s="102">
        <f t="shared" si="3527"/>
        <v>0</v>
      </c>
      <c r="H6697" s="690" t="s">
        <v>36</v>
      </c>
      <c r="I6697" s="71" t="s">
        <v>3320</v>
      </c>
      <c r="J6697" s="53">
        <f t="shared" si="3528"/>
        <v>0</v>
      </c>
      <c r="K6697" s="63" t="e">
        <f t="shared" si="3529"/>
        <v>#DIV/0!</v>
      </c>
      <c r="L6697" s="1212" t="s">
        <v>4054</v>
      </c>
      <c r="M6697" s="468"/>
      <c r="N6697" s="1192">
        <f t="shared" si="3535"/>
        <v>45376</v>
      </c>
      <c r="O6697" s="71" t="s">
        <v>3323</v>
      </c>
      <c r="P6697" s="103" t="str">
        <f t="shared" si="3536"/>
        <v>한특 잉크(청)</v>
      </c>
      <c r="Q6697" s="71">
        <f t="shared" si="3532"/>
        <v>0</v>
      </c>
      <c r="R6697" s="102">
        <v>6600</v>
      </c>
      <c r="S6697" s="102">
        <f t="shared" si="3533"/>
        <v>0</v>
      </c>
      <c r="T6697" s="102">
        <f t="shared" si="3534"/>
        <v>0</v>
      </c>
      <c r="U6697" s="71" t="s">
        <v>859</v>
      </c>
      <c r="V6697" s="71"/>
      <c r="W6697" s="474">
        <v>0</v>
      </c>
      <c r="X6697" s="71"/>
      <c r="Y6697" s="71"/>
    </row>
    <row r="6698" spans="1:25" ht="30" hidden="1" customHeight="1" x14ac:dyDescent="0.25">
      <c r="A6698" s="1145">
        <v>45376</v>
      </c>
      <c r="B6698" s="664" t="s">
        <v>1061</v>
      </c>
      <c r="C6698" s="71" t="s">
        <v>3326</v>
      </c>
      <c r="D6698" s="71"/>
      <c r="E6698" s="102">
        <v>6450</v>
      </c>
      <c r="F6698" s="102">
        <f t="shared" si="3526"/>
        <v>0</v>
      </c>
      <c r="G6698" s="102">
        <f t="shared" si="3527"/>
        <v>0</v>
      </c>
      <c r="H6698" s="690" t="s">
        <v>36</v>
      </c>
      <c r="I6698" s="71" t="s">
        <v>3320</v>
      </c>
      <c r="J6698" s="53">
        <f t="shared" si="3528"/>
        <v>0</v>
      </c>
      <c r="K6698" s="63" t="e">
        <f t="shared" si="3529"/>
        <v>#DIV/0!</v>
      </c>
      <c r="L6698" s="1212" t="s">
        <v>4054</v>
      </c>
      <c r="M6698" s="468"/>
      <c r="N6698" s="1192">
        <f t="shared" si="3535"/>
        <v>45376</v>
      </c>
      <c r="O6698" s="71" t="s">
        <v>3323</v>
      </c>
      <c r="P6698" s="103" t="str">
        <f t="shared" si="3536"/>
        <v>한특 잉크(먹)</v>
      </c>
      <c r="Q6698" s="71">
        <f t="shared" si="3532"/>
        <v>0</v>
      </c>
      <c r="R6698" s="102">
        <v>5700</v>
      </c>
      <c r="S6698" s="102">
        <f t="shared" si="3533"/>
        <v>0</v>
      </c>
      <c r="T6698" s="102">
        <f t="shared" si="3534"/>
        <v>0</v>
      </c>
      <c r="U6698" s="71" t="s">
        <v>859</v>
      </c>
      <c r="V6698" s="71"/>
      <c r="W6698" s="474">
        <v>0</v>
      </c>
      <c r="X6698" s="71"/>
      <c r="Y6698" s="71"/>
    </row>
    <row r="6699" spans="1:25" ht="30" hidden="1" customHeight="1" x14ac:dyDescent="0.25">
      <c r="A6699" s="1145">
        <v>45376</v>
      </c>
      <c r="B6699" s="664" t="s">
        <v>1061</v>
      </c>
      <c r="C6699" s="71" t="s">
        <v>3963</v>
      </c>
      <c r="D6699" s="71"/>
      <c r="E6699" s="102">
        <v>22400</v>
      </c>
      <c r="F6699" s="102">
        <f t="shared" si="3526"/>
        <v>0</v>
      </c>
      <c r="G6699" s="102">
        <f t="shared" si="3527"/>
        <v>0</v>
      </c>
      <c r="H6699" s="690" t="s">
        <v>36</v>
      </c>
      <c r="I6699" s="71" t="s">
        <v>3320</v>
      </c>
      <c r="J6699" s="53">
        <f t="shared" si="3528"/>
        <v>0</v>
      </c>
      <c r="K6699" s="63" t="e">
        <f t="shared" si="3529"/>
        <v>#DIV/0!</v>
      </c>
      <c r="L6699" s="1212" t="s">
        <v>4054</v>
      </c>
      <c r="M6699" s="468"/>
      <c r="N6699" s="1192">
        <f t="shared" si="3535"/>
        <v>45376</v>
      </c>
      <c r="O6699" s="71" t="s">
        <v>146</v>
      </c>
      <c r="P6699" s="103" t="str">
        <f t="shared" si="3536"/>
        <v>별색 - PT 810C 형광등</v>
      </c>
      <c r="Q6699" s="71">
        <f t="shared" si="3532"/>
        <v>0</v>
      </c>
      <c r="R6699" s="102">
        <v>22400</v>
      </c>
      <c r="S6699" s="102">
        <f t="shared" si="3533"/>
        <v>0</v>
      </c>
      <c r="T6699" s="102">
        <f t="shared" si="3534"/>
        <v>0</v>
      </c>
      <c r="U6699" s="71"/>
      <c r="V6699" s="71"/>
      <c r="W6699" s="474"/>
      <c r="X6699" s="71"/>
      <c r="Y6699" s="71"/>
    </row>
    <row r="6700" spans="1:25" ht="30" hidden="1" customHeight="1" x14ac:dyDescent="0.25">
      <c r="A6700" s="1145">
        <v>45376</v>
      </c>
      <c r="B6700" s="664" t="s">
        <v>1061</v>
      </c>
      <c r="C6700" s="71" t="s">
        <v>3915</v>
      </c>
      <c r="D6700" s="71"/>
      <c r="E6700" s="102">
        <v>9500</v>
      </c>
      <c r="F6700" s="102">
        <f t="shared" si="3526"/>
        <v>0</v>
      </c>
      <c r="G6700" s="102">
        <f t="shared" si="3527"/>
        <v>0</v>
      </c>
      <c r="H6700" s="690" t="s">
        <v>36</v>
      </c>
      <c r="I6700" s="71" t="s">
        <v>3320</v>
      </c>
      <c r="J6700" s="53">
        <f t="shared" si="3528"/>
        <v>0</v>
      </c>
      <c r="K6700" s="63" t="e">
        <f t="shared" si="3529"/>
        <v>#DIV/0!</v>
      </c>
      <c r="L6700" s="1212" t="s">
        <v>4054</v>
      </c>
      <c r="M6700" s="468"/>
      <c r="N6700" s="1192">
        <f t="shared" si="3535"/>
        <v>45376</v>
      </c>
      <c r="O6700" s="71" t="s">
        <v>3323</v>
      </c>
      <c r="P6700" s="103" t="str">
        <f t="shared" si="3536"/>
        <v>별색 - PT 801C</v>
      </c>
      <c r="Q6700" s="71">
        <f t="shared" si="3532"/>
        <v>0</v>
      </c>
      <c r="R6700" s="102">
        <v>9000</v>
      </c>
      <c r="S6700" s="102">
        <f t="shared" si="3533"/>
        <v>0</v>
      </c>
      <c r="T6700" s="102">
        <f t="shared" si="3534"/>
        <v>0</v>
      </c>
      <c r="U6700" s="71"/>
      <c r="V6700" s="71"/>
      <c r="W6700" s="474"/>
      <c r="X6700" s="71"/>
      <c r="Y6700" s="71"/>
    </row>
    <row r="6701" spans="1:25" ht="30" hidden="1" customHeight="1" x14ac:dyDescent="0.25">
      <c r="A6701" s="1145">
        <v>45376</v>
      </c>
      <c r="B6701" s="664" t="s">
        <v>3307</v>
      </c>
      <c r="C6701" s="71" t="s">
        <v>3916</v>
      </c>
      <c r="D6701" s="71">
        <v>8</v>
      </c>
      <c r="E6701" s="102">
        <v>218000</v>
      </c>
      <c r="F6701" s="102">
        <f t="shared" si="3526"/>
        <v>1918400.0000000002</v>
      </c>
      <c r="G6701" s="102">
        <f t="shared" si="3527"/>
        <v>1744000</v>
      </c>
      <c r="H6701" s="690" t="s">
        <v>172</v>
      </c>
      <c r="I6701" s="71" t="s">
        <v>33</v>
      </c>
      <c r="J6701" s="53">
        <f t="shared" ref="J6701" si="3537">G6701-T6701</f>
        <v>412000</v>
      </c>
      <c r="K6701" s="63">
        <f t="shared" ref="K6701" si="3538">(J6701/(F6701/11*10))</f>
        <v>0.23623853211009171</v>
      </c>
      <c r="L6701" s="1212" t="s">
        <v>4054</v>
      </c>
      <c r="M6701" s="468" t="s">
        <v>3965</v>
      </c>
      <c r="N6701" s="1192">
        <v>45194</v>
      </c>
      <c r="O6701" s="71" t="s">
        <v>662</v>
      </c>
      <c r="P6701" s="103" t="s">
        <v>3916</v>
      </c>
      <c r="Q6701" s="71">
        <f t="shared" si="3532"/>
        <v>8</v>
      </c>
      <c r="R6701" s="102">
        <v>166500</v>
      </c>
      <c r="S6701" s="102">
        <f t="shared" si="3533"/>
        <v>1465200.0000000002</v>
      </c>
      <c r="T6701" s="102">
        <f t="shared" si="3534"/>
        <v>1332000</v>
      </c>
      <c r="U6701" s="71" t="s">
        <v>859</v>
      </c>
      <c r="V6701" s="71" t="s">
        <v>728</v>
      </c>
      <c r="W6701" s="474">
        <v>464000</v>
      </c>
      <c r="X6701" s="71"/>
      <c r="Y6701" s="71"/>
    </row>
    <row r="6702" spans="1:25" ht="30" hidden="1" customHeight="1" x14ac:dyDescent="0.25">
      <c r="A6702" s="1145">
        <v>45376</v>
      </c>
      <c r="B6702" s="664" t="s">
        <v>575</v>
      </c>
      <c r="C6702" s="71" t="s">
        <v>4058</v>
      </c>
      <c r="D6702" s="71">
        <v>8</v>
      </c>
      <c r="E6702" s="102">
        <v>27000</v>
      </c>
      <c r="F6702" s="102">
        <f t="shared" si="3526"/>
        <v>237600.00000000003</v>
      </c>
      <c r="G6702" s="102">
        <f t="shared" si="3527"/>
        <v>216000</v>
      </c>
      <c r="H6702" s="690" t="s">
        <v>179</v>
      </c>
      <c r="I6702" s="71" t="s">
        <v>142</v>
      </c>
      <c r="J6702" s="53">
        <f t="shared" ref="J6702:J6707" si="3539">G6702-T6702</f>
        <v>35200</v>
      </c>
      <c r="K6702" s="63">
        <f t="shared" ref="K6702:K6707" si="3540">(J6702/(F6702/11*10))</f>
        <v>0.16296296296296295</v>
      </c>
      <c r="L6702" s="1212" t="s">
        <v>4054</v>
      </c>
      <c r="M6702" s="468"/>
      <c r="N6702" s="1192">
        <f t="shared" ref="N6702:N6703" si="3541">A6702</f>
        <v>45376</v>
      </c>
      <c r="O6702" s="71" t="s">
        <v>151</v>
      </c>
      <c r="P6702" s="103" t="str">
        <f t="shared" ref="P6702:P6703" si="3542">(C6702)</f>
        <v>국전 블랑켓 패킹지</v>
      </c>
      <c r="Q6702" s="71">
        <f t="shared" ref="Q6702:Q6707" si="3543">D6702</f>
        <v>8</v>
      </c>
      <c r="R6702" s="147">
        <v>22600</v>
      </c>
      <c r="S6702" s="102">
        <f t="shared" ref="S6702:S6703" si="3544">R6702*Q6702*1.1</f>
        <v>198880.00000000003</v>
      </c>
      <c r="T6702" s="102">
        <f t="shared" ref="T6702:T6703" si="3545">R6702*Q6702</f>
        <v>180800</v>
      </c>
      <c r="U6702" s="71"/>
      <c r="V6702" s="71"/>
      <c r="W6702" s="474"/>
      <c r="X6702" s="71"/>
      <c r="Y6702" s="71"/>
    </row>
    <row r="6703" spans="1:25" ht="30" hidden="1" customHeight="1" x14ac:dyDescent="0.25">
      <c r="A6703" s="1145">
        <v>45348</v>
      </c>
      <c r="B6703" s="664" t="s">
        <v>4059</v>
      </c>
      <c r="C6703" s="71" t="s">
        <v>4060</v>
      </c>
      <c r="D6703" s="71">
        <v>10</v>
      </c>
      <c r="E6703" s="102">
        <v>187000</v>
      </c>
      <c r="F6703" s="102">
        <f t="shared" si="3526"/>
        <v>2057000.0000000002</v>
      </c>
      <c r="G6703" s="102">
        <f t="shared" si="3527"/>
        <v>1870000</v>
      </c>
      <c r="H6703" s="690" t="s">
        <v>2029</v>
      </c>
      <c r="I6703" s="71" t="s">
        <v>109</v>
      </c>
      <c r="J6703" s="53">
        <f t="shared" si="3539"/>
        <v>170000</v>
      </c>
      <c r="K6703" s="63">
        <f t="shared" si="3540"/>
        <v>9.0909090909090898E-2</v>
      </c>
      <c r="L6703" s="1212" t="s">
        <v>4054</v>
      </c>
      <c r="M6703" s="102"/>
      <c r="N6703" s="1192">
        <f t="shared" si="3541"/>
        <v>45348</v>
      </c>
      <c r="O6703" s="71" t="s">
        <v>189</v>
      </c>
      <c r="P6703" s="103" t="str">
        <f t="shared" si="3542"/>
        <v>미쯔비시 윤전용 블랑켓 1155*910</v>
      </c>
      <c r="Q6703" s="71">
        <f t="shared" si="3543"/>
        <v>10</v>
      </c>
      <c r="R6703" s="102">
        <v>170000</v>
      </c>
      <c r="S6703" s="102">
        <f t="shared" si="3544"/>
        <v>1870000.0000000002</v>
      </c>
      <c r="T6703" s="102">
        <f t="shared" si="3545"/>
        <v>1700000</v>
      </c>
      <c r="U6703" s="71"/>
      <c r="V6703" s="71"/>
      <c r="W6703" s="474"/>
      <c r="X6703" s="71"/>
      <c r="Y6703" s="71"/>
    </row>
    <row r="6704" spans="1:25" s="209" customFormat="1" ht="31.5" hidden="1" customHeight="1" x14ac:dyDescent="0.2">
      <c r="A6704" s="1145">
        <v>45358</v>
      </c>
      <c r="B6704" s="664" t="s">
        <v>4059</v>
      </c>
      <c r="C6704" s="71" t="s">
        <v>4061</v>
      </c>
      <c r="D6704" s="71">
        <v>10</v>
      </c>
      <c r="E6704" s="102">
        <v>130000</v>
      </c>
      <c r="F6704" s="102">
        <f t="shared" si="3526"/>
        <v>1430000</v>
      </c>
      <c r="G6704" s="102">
        <f t="shared" si="3527"/>
        <v>1300000</v>
      </c>
      <c r="H6704" s="165" t="s">
        <v>172</v>
      </c>
      <c r="I6704" s="71" t="s">
        <v>184</v>
      </c>
      <c r="J6704" s="53">
        <f t="shared" si="3539"/>
        <v>180000</v>
      </c>
      <c r="K6704" s="63">
        <f t="shared" si="3540"/>
        <v>0.13846153846153847</v>
      </c>
      <c r="L6704" s="1212" t="s">
        <v>4054</v>
      </c>
      <c r="M6704" s="468"/>
      <c r="N6704" s="1192">
        <f t="shared" ref="N6704:N6705" si="3546">A6704</f>
        <v>45358</v>
      </c>
      <c r="O6704" s="71" t="s">
        <v>189</v>
      </c>
      <c r="P6704" s="103" t="str">
        <f t="shared" ref="P6704:P6705" si="3547">(C6704)</f>
        <v>M600 Blanket(990*725)</v>
      </c>
      <c r="Q6704" s="71">
        <f t="shared" si="3543"/>
        <v>10</v>
      </c>
      <c r="R6704" s="102">
        <v>112000</v>
      </c>
      <c r="S6704" s="102">
        <f t="shared" ref="S6704:S6705" si="3548">R6704*Q6704*1.1</f>
        <v>1232000</v>
      </c>
      <c r="T6704" s="102">
        <f t="shared" ref="T6704:T6705" si="3549">R6704*Q6704</f>
        <v>1120000</v>
      </c>
      <c r="U6704" s="71" t="str">
        <f>IF(J6704=W6704,"O", "X")</f>
        <v>X</v>
      </c>
      <c r="V6704" s="71"/>
      <c r="W6704" s="474">
        <v>80000</v>
      </c>
      <c r="X6704" s="71"/>
      <c r="Y6704" s="71"/>
    </row>
    <row r="6705" spans="1:25" ht="30" hidden="1" customHeight="1" x14ac:dyDescent="0.25">
      <c r="A6705" s="1145">
        <v>45370</v>
      </c>
      <c r="B6705" s="664" t="s">
        <v>4059</v>
      </c>
      <c r="C6705" s="71" t="s">
        <v>4062</v>
      </c>
      <c r="D6705" s="71">
        <v>10</v>
      </c>
      <c r="E6705" s="102">
        <v>98000</v>
      </c>
      <c r="F6705" s="102">
        <f t="shared" si="3526"/>
        <v>1078000</v>
      </c>
      <c r="G6705" s="102">
        <f t="shared" si="3527"/>
        <v>980000</v>
      </c>
      <c r="H6705" s="690" t="s">
        <v>2029</v>
      </c>
      <c r="I6705" s="71" t="s">
        <v>142</v>
      </c>
      <c r="J6705" s="53">
        <f t="shared" si="3539"/>
        <v>230000</v>
      </c>
      <c r="K6705" s="63">
        <f t="shared" si="3540"/>
        <v>0.23469387755102042</v>
      </c>
      <c r="L6705" s="1212" t="s">
        <v>4054</v>
      </c>
      <c r="M6705" s="102"/>
      <c r="N6705" s="1192">
        <f t="shared" si="3546"/>
        <v>45370</v>
      </c>
      <c r="O6705" s="71" t="s">
        <v>1431</v>
      </c>
      <c r="P6705" s="103" t="str">
        <f t="shared" si="3547"/>
        <v>Molydal Grease 3790</v>
      </c>
      <c r="Q6705" s="71">
        <f t="shared" si="3543"/>
        <v>10</v>
      </c>
      <c r="R6705" s="102">
        <v>75000</v>
      </c>
      <c r="S6705" s="102">
        <f t="shared" si="3548"/>
        <v>825000.00000000012</v>
      </c>
      <c r="T6705" s="102">
        <f t="shared" si="3549"/>
        <v>750000</v>
      </c>
      <c r="U6705" s="71"/>
      <c r="V6705" s="71"/>
      <c r="W6705" s="474"/>
      <c r="X6705" s="71"/>
      <c r="Y6705" s="71"/>
    </row>
    <row r="6706" spans="1:25" s="209" customFormat="1" ht="31.5" hidden="1" customHeight="1" x14ac:dyDescent="0.2">
      <c r="A6706" s="1145">
        <v>45376</v>
      </c>
      <c r="B6706" s="664" t="s">
        <v>4059</v>
      </c>
      <c r="C6706" s="71" t="s">
        <v>4061</v>
      </c>
      <c r="D6706" s="71">
        <v>10</v>
      </c>
      <c r="E6706" s="102">
        <v>130000</v>
      </c>
      <c r="F6706" s="102">
        <f t="shared" ref="F6706" si="3550">(E6706*D6706)*1.1</f>
        <v>1430000</v>
      </c>
      <c r="G6706" s="102">
        <f t="shared" ref="G6706" si="3551">(E6706*D6706)</f>
        <v>1300000</v>
      </c>
      <c r="H6706" s="165" t="s">
        <v>172</v>
      </c>
      <c r="I6706" s="71" t="s">
        <v>184</v>
      </c>
      <c r="J6706" s="53">
        <f t="shared" si="3539"/>
        <v>180000</v>
      </c>
      <c r="K6706" s="63">
        <f t="shared" si="3540"/>
        <v>0.13846153846153847</v>
      </c>
      <c r="L6706" s="1212" t="s">
        <v>4054</v>
      </c>
      <c r="M6706" s="468"/>
      <c r="N6706" s="1192">
        <f t="shared" ref="N6706:N6707" si="3552">A6706</f>
        <v>45376</v>
      </c>
      <c r="O6706" s="71" t="s">
        <v>189</v>
      </c>
      <c r="P6706" s="103" t="str">
        <f t="shared" ref="P6706:P6707" si="3553">(C6706)</f>
        <v>M600 Blanket(990*725)</v>
      </c>
      <c r="Q6706" s="71">
        <f t="shared" ref="Q6706" si="3554">D6706</f>
        <v>10</v>
      </c>
      <c r="R6706" s="102">
        <v>112000</v>
      </c>
      <c r="S6706" s="102">
        <f t="shared" ref="S6706:S6707" si="3555">R6706*Q6706*1.1</f>
        <v>1232000</v>
      </c>
      <c r="T6706" s="102">
        <f t="shared" ref="T6706:T6707" si="3556">R6706*Q6706</f>
        <v>1120000</v>
      </c>
      <c r="U6706" s="71" t="str">
        <f>IF(J6706=W6706,"O", "X")</f>
        <v>X</v>
      </c>
      <c r="V6706" s="71"/>
      <c r="W6706" s="474">
        <v>80000</v>
      </c>
      <c r="X6706" s="71"/>
      <c r="Y6706" s="71"/>
    </row>
    <row r="6707" spans="1:25" ht="30" hidden="1" customHeight="1" x14ac:dyDescent="0.25">
      <c r="A6707" s="1145">
        <v>45376</v>
      </c>
      <c r="B6707" s="664" t="s">
        <v>4059</v>
      </c>
      <c r="C6707" s="71" t="s">
        <v>4060</v>
      </c>
      <c r="D6707" s="71">
        <v>10</v>
      </c>
      <c r="E6707" s="102">
        <v>187000</v>
      </c>
      <c r="F6707" s="102">
        <f t="shared" ref="F6707:F6713" si="3557">(E6707*D6707)*1.1</f>
        <v>2057000.0000000002</v>
      </c>
      <c r="G6707" s="102">
        <f t="shared" ref="G6707:G6713" si="3558">(E6707*D6707)</f>
        <v>1870000</v>
      </c>
      <c r="H6707" s="690" t="s">
        <v>2029</v>
      </c>
      <c r="I6707" s="71" t="s">
        <v>109</v>
      </c>
      <c r="J6707" s="53">
        <f t="shared" si="3539"/>
        <v>170000</v>
      </c>
      <c r="K6707" s="63">
        <f t="shared" si="3540"/>
        <v>9.0909090909090898E-2</v>
      </c>
      <c r="L6707" s="1212" t="s">
        <v>4054</v>
      </c>
      <c r="M6707" s="102"/>
      <c r="N6707" s="1192">
        <f t="shared" si="3552"/>
        <v>45376</v>
      </c>
      <c r="O6707" s="71" t="s">
        <v>189</v>
      </c>
      <c r="P6707" s="103" t="str">
        <f t="shared" si="3553"/>
        <v>미쯔비시 윤전용 블랑켓 1155*910</v>
      </c>
      <c r="Q6707" s="71">
        <f t="shared" si="3543"/>
        <v>10</v>
      </c>
      <c r="R6707" s="102">
        <v>170000</v>
      </c>
      <c r="S6707" s="102">
        <f t="shared" si="3555"/>
        <v>1870000.0000000002</v>
      </c>
      <c r="T6707" s="102">
        <f t="shared" si="3556"/>
        <v>1700000</v>
      </c>
      <c r="U6707" s="71"/>
      <c r="V6707" s="71"/>
      <c r="W6707" s="474"/>
      <c r="X6707" s="71"/>
      <c r="Y6707" s="71"/>
    </row>
    <row r="6708" spans="1:25" ht="30" hidden="1" customHeight="1" x14ac:dyDescent="0.25">
      <c r="A6708" s="1145">
        <v>45357</v>
      </c>
      <c r="B6708" s="664" t="s">
        <v>2261</v>
      </c>
      <c r="C6708" s="71" t="s">
        <v>3299</v>
      </c>
      <c r="D6708" s="71">
        <v>10</v>
      </c>
      <c r="E6708" s="102">
        <v>52000</v>
      </c>
      <c r="F6708" s="102">
        <f t="shared" si="3557"/>
        <v>572000</v>
      </c>
      <c r="G6708" s="102">
        <f t="shared" si="3558"/>
        <v>520000</v>
      </c>
      <c r="H6708" s="690" t="s">
        <v>172</v>
      </c>
      <c r="I6708" s="71" t="s">
        <v>180</v>
      </c>
      <c r="J6708" s="53">
        <f t="shared" ref="J6708:J6713" si="3559">G6708-T6708</f>
        <v>45000</v>
      </c>
      <c r="K6708" s="63">
        <f t="shared" ref="K6708:K6713" si="3560">(J6708/(F6708/11*10))</f>
        <v>8.6538461538461536E-2</v>
      </c>
      <c r="L6708" s="1212" t="s">
        <v>4054</v>
      </c>
      <c r="M6708" s="468" t="s">
        <v>3835</v>
      </c>
      <c r="N6708" s="1192">
        <f t="shared" ref="N6708:N6713" si="3561">A6708</f>
        <v>45357</v>
      </c>
      <c r="O6708" s="71" t="s">
        <v>175</v>
      </c>
      <c r="P6708" s="103" t="str">
        <f t="shared" ref="P6708:P6713" si="3562">(C6708)</f>
        <v>매엽용 세척제(Wash k11)</v>
      </c>
      <c r="Q6708" s="71">
        <f t="shared" ref="Q6708:Q6713" si="3563">D6708</f>
        <v>10</v>
      </c>
      <c r="R6708" s="102">
        <v>47500</v>
      </c>
      <c r="S6708" s="102">
        <f t="shared" ref="S6708:S6713" si="3564">R6708*Q6708*1.1</f>
        <v>522500.00000000006</v>
      </c>
      <c r="T6708" s="102">
        <f t="shared" ref="T6708:T6713" si="3565">R6708*Q6708</f>
        <v>475000</v>
      </c>
      <c r="U6708" s="71" t="s">
        <v>859</v>
      </c>
      <c r="V6708" s="71"/>
      <c r="W6708" s="474"/>
      <c r="X6708" s="71"/>
      <c r="Y6708" s="71"/>
    </row>
    <row r="6709" spans="1:25" ht="30" hidden="1" customHeight="1" x14ac:dyDescent="0.25">
      <c r="A6709" s="1145">
        <v>45362</v>
      </c>
      <c r="B6709" s="664" t="s">
        <v>3289</v>
      </c>
      <c r="C6709" s="71" t="s">
        <v>2070</v>
      </c>
      <c r="D6709" s="71">
        <v>10</v>
      </c>
      <c r="E6709" s="102">
        <v>110000</v>
      </c>
      <c r="F6709" s="102">
        <f t="shared" si="3557"/>
        <v>1210000</v>
      </c>
      <c r="G6709" s="102">
        <f t="shared" si="3558"/>
        <v>1100000</v>
      </c>
      <c r="H6709" s="690" t="s">
        <v>172</v>
      </c>
      <c r="I6709" s="71" t="s">
        <v>33</v>
      </c>
      <c r="J6709" s="53">
        <f t="shared" si="3559"/>
        <v>118000</v>
      </c>
      <c r="K6709" s="63">
        <f t="shared" si="3560"/>
        <v>0.10727272727272727</v>
      </c>
      <c r="L6709" s="1212" t="s">
        <v>4054</v>
      </c>
      <c r="M6709" s="468"/>
      <c r="N6709" s="1192">
        <f t="shared" si="3561"/>
        <v>45362</v>
      </c>
      <c r="O6709" s="71" t="s">
        <v>146</v>
      </c>
      <c r="P6709" s="103" t="str">
        <f t="shared" si="3562"/>
        <v>Blanket(1050*840)</v>
      </c>
      <c r="Q6709" s="71">
        <f t="shared" si="3563"/>
        <v>10</v>
      </c>
      <c r="R6709" s="102">
        <v>98200</v>
      </c>
      <c r="S6709" s="102">
        <f t="shared" si="3564"/>
        <v>1080200</v>
      </c>
      <c r="T6709" s="102">
        <f t="shared" si="3565"/>
        <v>982000</v>
      </c>
      <c r="U6709" s="71" t="str">
        <f>IF(J6709=W6709,"O", "X")</f>
        <v>X</v>
      </c>
      <c r="V6709" s="71"/>
      <c r="W6709" s="474">
        <v>275000</v>
      </c>
      <c r="X6709" s="71"/>
      <c r="Y6709" s="71"/>
    </row>
    <row r="6710" spans="1:25" ht="30" hidden="1" customHeight="1" x14ac:dyDescent="0.25">
      <c r="A6710" s="1145">
        <v>45366</v>
      </c>
      <c r="B6710" s="664" t="s">
        <v>2261</v>
      </c>
      <c r="C6710" s="71" t="s">
        <v>277</v>
      </c>
      <c r="D6710" s="71">
        <v>10</v>
      </c>
      <c r="E6710" s="102">
        <v>172000</v>
      </c>
      <c r="F6710" s="102">
        <f t="shared" si="3557"/>
        <v>1892000.0000000002</v>
      </c>
      <c r="G6710" s="102">
        <f t="shared" si="3558"/>
        <v>1720000</v>
      </c>
      <c r="H6710" s="690" t="s">
        <v>172</v>
      </c>
      <c r="I6710" s="71" t="s">
        <v>108</v>
      </c>
      <c r="J6710" s="53">
        <f t="shared" si="3559"/>
        <v>390000</v>
      </c>
      <c r="K6710" s="63">
        <f t="shared" si="3560"/>
        <v>0.22674418604651159</v>
      </c>
      <c r="L6710" s="1212" t="s">
        <v>4054</v>
      </c>
      <c r="M6710" s="468"/>
      <c r="N6710" s="1192">
        <f t="shared" si="3561"/>
        <v>45366</v>
      </c>
      <c r="O6710" s="71" t="s">
        <v>662</v>
      </c>
      <c r="P6710" s="103" t="str">
        <f t="shared" si="3562"/>
        <v>윤전용 세척제(Web 504)</v>
      </c>
      <c r="Q6710" s="71">
        <f t="shared" si="3563"/>
        <v>10</v>
      </c>
      <c r="R6710" s="102">
        <v>133000</v>
      </c>
      <c r="S6710" s="102">
        <f t="shared" si="3564"/>
        <v>1463000.0000000002</v>
      </c>
      <c r="T6710" s="102">
        <f t="shared" si="3565"/>
        <v>1330000</v>
      </c>
      <c r="U6710" s="71" t="str">
        <f>IF(J6710=W6710,"O", "X")</f>
        <v>X</v>
      </c>
      <c r="V6710" s="71"/>
      <c r="W6710" s="474"/>
      <c r="X6710" s="71"/>
      <c r="Y6710" s="71"/>
    </row>
    <row r="6711" spans="1:25" ht="30" hidden="1" customHeight="1" x14ac:dyDescent="0.25">
      <c r="A6711" s="1145">
        <v>45366</v>
      </c>
      <c r="B6711" s="664" t="s">
        <v>2261</v>
      </c>
      <c r="C6711" s="71" t="s">
        <v>3299</v>
      </c>
      <c r="D6711" s="71">
        <v>10</v>
      </c>
      <c r="E6711" s="102">
        <v>52000</v>
      </c>
      <c r="F6711" s="102">
        <f t="shared" si="3557"/>
        <v>572000</v>
      </c>
      <c r="G6711" s="102">
        <f t="shared" si="3558"/>
        <v>520000</v>
      </c>
      <c r="H6711" s="690" t="s">
        <v>172</v>
      </c>
      <c r="I6711" s="71" t="s">
        <v>180</v>
      </c>
      <c r="J6711" s="53">
        <f t="shared" si="3559"/>
        <v>45000</v>
      </c>
      <c r="K6711" s="63">
        <f t="shared" si="3560"/>
        <v>8.6538461538461536E-2</v>
      </c>
      <c r="L6711" s="1212" t="s">
        <v>4054</v>
      </c>
      <c r="M6711" s="468" t="s">
        <v>3835</v>
      </c>
      <c r="N6711" s="1192">
        <f t="shared" si="3561"/>
        <v>45366</v>
      </c>
      <c r="O6711" s="71" t="s">
        <v>175</v>
      </c>
      <c r="P6711" s="103" t="str">
        <f t="shared" si="3562"/>
        <v>매엽용 세척제(Wash k11)</v>
      </c>
      <c r="Q6711" s="71">
        <f t="shared" si="3563"/>
        <v>10</v>
      </c>
      <c r="R6711" s="102">
        <v>47500</v>
      </c>
      <c r="S6711" s="102">
        <f t="shared" si="3564"/>
        <v>522500.00000000006</v>
      </c>
      <c r="T6711" s="102">
        <f t="shared" si="3565"/>
        <v>475000</v>
      </c>
      <c r="U6711" s="71" t="s">
        <v>859</v>
      </c>
      <c r="V6711" s="71"/>
      <c r="W6711" s="474"/>
      <c r="X6711" s="71"/>
      <c r="Y6711" s="71"/>
    </row>
    <row r="6712" spans="1:25" s="209" customFormat="1" ht="31.5" hidden="1" customHeight="1" x14ac:dyDescent="0.2">
      <c r="A6712" s="1145">
        <v>45371</v>
      </c>
      <c r="B6712" s="664" t="s">
        <v>3289</v>
      </c>
      <c r="C6712" s="71" t="s">
        <v>3387</v>
      </c>
      <c r="D6712" s="71">
        <v>10</v>
      </c>
      <c r="E6712" s="102">
        <v>130000</v>
      </c>
      <c r="F6712" s="102">
        <f t="shared" si="3557"/>
        <v>1430000</v>
      </c>
      <c r="G6712" s="102">
        <f t="shared" si="3558"/>
        <v>1300000</v>
      </c>
      <c r="H6712" s="165" t="s">
        <v>172</v>
      </c>
      <c r="I6712" s="71" t="s">
        <v>184</v>
      </c>
      <c r="J6712" s="53">
        <f t="shared" si="3559"/>
        <v>180000</v>
      </c>
      <c r="K6712" s="63">
        <f t="shared" si="3560"/>
        <v>0.13846153846153847</v>
      </c>
      <c r="L6712" s="1212" t="s">
        <v>4054</v>
      </c>
      <c r="M6712" s="468"/>
      <c r="N6712" s="1192">
        <f t="shared" si="3561"/>
        <v>45371</v>
      </c>
      <c r="O6712" s="71" t="s">
        <v>189</v>
      </c>
      <c r="P6712" s="103" t="str">
        <f t="shared" si="3562"/>
        <v>Blanket(990*725)</v>
      </c>
      <c r="Q6712" s="71">
        <f t="shared" si="3563"/>
        <v>10</v>
      </c>
      <c r="R6712" s="102">
        <v>112000</v>
      </c>
      <c r="S6712" s="102">
        <f t="shared" si="3564"/>
        <v>1232000</v>
      </c>
      <c r="T6712" s="102">
        <f t="shared" si="3565"/>
        <v>1120000</v>
      </c>
      <c r="U6712" s="71" t="str">
        <f>IF(J6712=W6712,"O", "X")</f>
        <v>X</v>
      </c>
      <c r="V6712" s="71"/>
      <c r="W6712" s="474">
        <v>80000</v>
      </c>
      <c r="X6712" s="71"/>
      <c r="Y6712" s="71"/>
    </row>
    <row r="6713" spans="1:25" ht="30" hidden="1" customHeight="1" x14ac:dyDescent="0.25">
      <c r="A6713" s="1145">
        <v>45377</v>
      </c>
      <c r="B6713" s="664" t="s">
        <v>2261</v>
      </c>
      <c r="C6713" s="760" t="s">
        <v>181</v>
      </c>
      <c r="D6713" s="71">
        <v>5</v>
      </c>
      <c r="E6713" s="102">
        <v>193000</v>
      </c>
      <c r="F6713" s="102">
        <f t="shared" si="3557"/>
        <v>1061500</v>
      </c>
      <c r="G6713" s="102">
        <f t="shared" si="3558"/>
        <v>965000</v>
      </c>
      <c r="H6713" s="690" t="s">
        <v>2029</v>
      </c>
      <c r="I6713" s="71" t="s">
        <v>182</v>
      </c>
      <c r="J6713" s="53">
        <f t="shared" si="3559"/>
        <v>345000</v>
      </c>
      <c r="K6713" s="63">
        <f t="shared" si="3560"/>
        <v>0.35751295336787564</v>
      </c>
      <c r="L6713" s="1212" t="s">
        <v>4054</v>
      </c>
      <c r="M6713" s="468"/>
      <c r="N6713" s="1192">
        <f t="shared" si="3561"/>
        <v>45377</v>
      </c>
      <c r="O6713" s="71" t="s">
        <v>2030</v>
      </c>
      <c r="P6713" s="103" t="str">
        <f t="shared" si="3562"/>
        <v>Fount Web 551AF</v>
      </c>
      <c r="Q6713" s="71">
        <f t="shared" si="3563"/>
        <v>5</v>
      </c>
      <c r="R6713" s="102">
        <v>124000</v>
      </c>
      <c r="S6713" s="102">
        <f t="shared" si="3564"/>
        <v>682000</v>
      </c>
      <c r="T6713" s="102">
        <f t="shared" si="3565"/>
        <v>620000</v>
      </c>
      <c r="U6713" s="71" t="str">
        <f>IF(J6713=W6713,"O", "X")</f>
        <v>X</v>
      </c>
      <c r="V6713" s="71"/>
      <c r="W6713" s="474">
        <v>640000</v>
      </c>
      <c r="X6713" s="71"/>
      <c r="Y6713" s="71"/>
    </row>
    <row r="6714" spans="1:25" ht="30" hidden="1" customHeight="1" x14ac:dyDescent="0.25">
      <c r="A6714" s="1145">
        <v>45377</v>
      </c>
      <c r="B6714" s="664" t="s">
        <v>2261</v>
      </c>
      <c r="C6714" s="71" t="s">
        <v>277</v>
      </c>
      <c r="D6714" s="71">
        <v>10</v>
      </c>
      <c r="E6714" s="102">
        <v>172000</v>
      </c>
      <c r="F6714" s="102">
        <f t="shared" ref="F6714:F6717" si="3566">(E6714*D6714)*1.1</f>
        <v>1892000.0000000002</v>
      </c>
      <c r="G6714" s="102">
        <f t="shared" ref="G6714:G6717" si="3567">(E6714*D6714)</f>
        <v>1720000</v>
      </c>
      <c r="H6714" s="690" t="s">
        <v>172</v>
      </c>
      <c r="I6714" s="71" t="s">
        <v>108</v>
      </c>
      <c r="J6714" s="53">
        <f t="shared" ref="J6714:J6719" si="3568">G6714-T6714</f>
        <v>390000</v>
      </c>
      <c r="K6714" s="63">
        <f t="shared" ref="K6714:K6719" si="3569">(J6714/(F6714/11*10))</f>
        <v>0.22674418604651159</v>
      </c>
      <c r="L6714" s="1212" t="s">
        <v>4054</v>
      </c>
      <c r="M6714" s="468"/>
      <c r="N6714" s="1192">
        <f t="shared" ref="N6714:N6716" si="3570">A6714</f>
        <v>45377</v>
      </c>
      <c r="O6714" s="71" t="s">
        <v>662</v>
      </c>
      <c r="P6714" s="103" t="str">
        <f t="shared" ref="P6714:P6717" si="3571">(C6714)</f>
        <v>윤전용 세척제(Web 504)</v>
      </c>
      <c r="Q6714" s="71">
        <f t="shared" ref="Q6714:Q6717" si="3572">D6714</f>
        <v>10</v>
      </c>
      <c r="R6714" s="102">
        <v>133000</v>
      </c>
      <c r="S6714" s="102">
        <f t="shared" ref="S6714:S6719" si="3573">R6714*Q6714*1.1</f>
        <v>1463000.0000000002</v>
      </c>
      <c r="T6714" s="102">
        <f t="shared" ref="T6714:T6719" si="3574">R6714*Q6714</f>
        <v>1330000</v>
      </c>
      <c r="U6714" s="71" t="str">
        <f>IF(J6714=W6714,"O", "X")</f>
        <v>X</v>
      </c>
      <c r="V6714" s="71"/>
      <c r="W6714" s="474"/>
      <c r="X6714" s="71"/>
      <c r="Y6714" s="71"/>
    </row>
    <row r="6715" spans="1:25" ht="30" hidden="1" customHeight="1" x14ac:dyDescent="0.25">
      <c r="A6715" s="1145">
        <v>45377</v>
      </c>
      <c r="B6715" s="664" t="s">
        <v>2261</v>
      </c>
      <c r="C6715" s="71" t="s">
        <v>3299</v>
      </c>
      <c r="D6715" s="71">
        <v>10</v>
      </c>
      <c r="E6715" s="102">
        <v>52000</v>
      </c>
      <c r="F6715" s="102">
        <f t="shared" si="3566"/>
        <v>572000</v>
      </c>
      <c r="G6715" s="102">
        <f t="shared" si="3567"/>
        <v>520000</v>
      </c>
      <c r="H6715" s="690" t="s">
        <v>172</v>
      </c>
      <c r="I6715" s="71" t="s">
        <v>180</v>
      </c>
      <c r="J6715" s="53">
        <f t="shared" si="3568"/>
        <v>45000</v>
      </c>
      <c r="K6715" s="63">
        <f t="shared" si="3569"/>
        <v>8.6538461538461536E-2</v>
      </c>
      <c r="L6715" s="1212" t="s">
        <v>4054</v>
      </c>
      <c r="M6715" s="468" t="s">
        <v>3835</v>
      </c>
      <c r="N6715" s="1192">
        <f t="shared" si="3570"/>
        <v>45377</v>
      </c>
      <c r="O6715" s="71" t="s">
        <v>175</v>
      </c>
      <c r="P6715" s="103" t="str">
        <f t="shared" si="3571"/>
        <v>매엽용 세척제(Wash k11)</v>
      </c>
      <c r="Q6715" s="71">
        <f t="shared" si="3572"/>
        <v>10</v>
      </c>
      <c r="R6715" s="102">
        <v>47500</v>
      </c>
      <c r="S6715" s="102">
        <f t="shared" si="3573"/>
        <v>522500.00000000006</v>
      </c>
      <c r="T6715" s="102">
        <f t="shared" si="3574"/>
        <v>475000</v>
      </c>
      <c r="U6715" s="71" t="s">
        <v>859</v>
      </c>
      <c r="V6715" s="71"/>
      <c r="W6715" s="474"/>
      <c r="X6715" s="71"/>
      <c r="Y6715" s="71"/>
    </row>
    <row r="6716" spans="1:25" ht="30" hidden="1" customHeight="1" x14ac:dyDescent="0.25">
      <c r="A6716" s="1145">
        <v>45377</v>
      </c>
      <c r="B6716" s="664" t="s">
        <v>3289</v>
      </c>
      <c r="C6716" s="71" t="s">
        <v>2070</v>
      </c>
      <c r="D6716" s="71">
        <v>10</v>
      </c>
      <c r="E6716" s="102">
        <v>110000</v>
      </c>
      <c r="F6716" s="102">
        <f t="shared" si="3566"/>
        <v>1210000</v>
      </c>
      <c r="G6716" s="102">
        <f t="shared" si="3567"/>
        <v>1100000</v>
      </c>
      <c r="H6716" s="690" t="s">
        <v>172</v>
      </c>
      <c r="I6716" s="71" t="s">
        <v>33</v>
      </c>
      <c r="J6716" s="53">
        <f t="shared" si="3568"/>
        <v>118000</v>
      </c>
      <c r="K6716" s="63">
        <f t="shared" si="3569"/>
        <v>0.10727272727272727</v>
      </c>
      <c r="L6716" s="1212" t="s">
        <v>4054</v>
      </c>
      <c r="M6716" s="468"/>
      <c r="N6716" s="1192">
        <f t="shared" si="3570"/>
        <v>45377</v>
      </c>
      <c r="O6716" s="71" t="s">
        <v>146</v>
      </c>
      <c r="P6716" s="103" t="str">
        <f t="shared" si="3571"/>
        <v>Blanket(1050*840)</v>
      </c>
      <c r="Q6716" s="71">
        <f t="shared" si="3572"/>
        <v>10</v>
      </c>
      <c r="R6716" s="102">
        <v>98200</v>
      </c>
      <c r="S6716" s="102">
        <f t="shared" si="3573"/>
        <v>1080200</v>
      </c>
      <c r="T6716" s="102">
        <f t="shared" si="3574"/>
        <v>982000</v>
      </c>
      <c r="U6716" s="71" t="str">
        <f>IF(J6716=W6716,"O", "X")</f>
        <v>X</v>
      </c>
      <c r="V6716" s="71"/>
      <c r="W6716" s="474">
        <v>275000</v>
      </c>
      <c r="X6716" s="71"/>
      <c r="Y6716" s="71"/>
    </row>
    <row r="6717" spans="1:25" ht="30" hidden="1" customHeight="1" x14ac:dyDescent="0.25">
      <c r="A6717" s="1145">
        <v>45357</v>
      </c>
      <c r="B6717" s="664" t="s">
        <v>809</v>
      </c>
      <c r="C6717" s="71" t="s">
        <v>4028</v>
      </c>
      <c r="D6717" s="71">
        <v>25</v>
      </c>
      <c r="E6717" s="102">
        <v>125000</v>
      </c>
      <c r="F6717" s="102">
        <f t="shared" si="3566"/>
        <v>3437500.0000000005</v>
      </c>
      <c r="G6717" s="102">
        <f t="shared" si="3567"/>
        <v>3125000</v>
      </c>
      <c r="H6717" s="690" t="s">
        <v>172</v>
      </c>
      <c r="I6717" s="71" t="s">
        <v>33</v>
      </c>
      <c r="J6717" s="53">
        <f t="shared" si="3568"/>
        <v>492500</v>
      </c>
      <c r="K6717" s="63">
        <f t="shared" si="3569"/>
        <v>0.15759999999999999</v>
      </c>
      <c r="L6717" s="1212" t="s">
        <v>4054</v>
      </c>
      <c r="M6717" s="102"/>
      <c r="N6717" s="1192"/>
      <c r="O6717" s="71" t="s">
        <v>147</v>
      </c>
      <c r="P6717" s="103" t="str">
        <f t="shared" si="3571"/>
        <v>Blanket(1077*885)</v>
      </c>
      <c r="Q6717" s="71">
        <f t="shared" si="3572"/>
        <v>25</v>
      </c>
      <c r="R6717" s="102">
        <v>105300</v>
      </c>
      <c r="S6717" s="102">
        <f t="shared" si="3573"/>
        <v>2895750.0000000005</v>
      </c>
      <c r="T6717" s="102">
        <f t="shared" si="3574"/>
        <v>2632500</v>
      </c>
      <c r="U6717" s="71"/>
      <c r="V6717" s="71"/>
      <c r="W6717" s="474"/>
      <c r="X6717" s="71"/>
      <c r="Y6717" s="71"/>
    </row>
    <row r="6718" spans="1:25" ht="30" hidden="1" customHeight="1" x14ac:dyDescent="0.2">
      <c r="A6718" s="1145">
        <v>45357</v>
      </c>
      <c r="B6718" s="664" t="s">
        <v>548</v>
      </c>
      <c r="C6718" s="71" t="s">
        <v>236</v>
      </c>
      <c r="D6718" s="71">
        <v>3</v>
      </c>
      <c r="E6718" s="102">
        <v>100000</v>
      </c>
      <c r="F6718" s="163">
        <f>(E6718*D6718)*1.1</f>
        <v>330000</v>
      </c>
      <c r="G6718" s="102">
        <f>(E6718*D6718)</f>
        <v>300000</v>
      </c>
      <c r="H6718" s="690" t="s">
        <v>173</v>
      </c>
      <c r="I6718" s="71" t="s">
        <v>2231</v>
      </c>
      <c r="J6718" s="53">
        <f t="shared" si="3568"/>
        <v>120000</v>
      </c>
      <c r="K6718" s="63">
        <f t="shared" si="3569"/>
        <v>0.4</v>
      </c>
      <c r="L6718" s="1212" t="s">
        <v>4054</v>
      </c>
      <c r="M6718" s="468"/>
      <c r="N6718" s="1192">
        <f t="shared" ref="N6718:N6719" si="3575">A6718</f>
        <v>45357</v>
      </c>
      <c r="O6718" s="71" t="s">
        <v>3021</v>
      </c>
      <c r="P6718" s="164" t="str">
        <f>(C6718)</f>
        <v>아스테이지(국전)</v>
      </c>
      <c r="Q6718" s="71">
        <f>D6718</f>
        <v>3</v>
      </c>
      <c r="R6718" s="102">
        <v>60000</v>
      </c>
      <c r="S6718" s="102">
        <f t="shared" si="3573"/>
        <v>198000.00000000003</v>
      </c>
      <c r="T6718" s="102">
        <f t="shared" si="3574"/>
        <v>180000</v>
      </c>
      <c r="U6718" s="71" t="str">
        <f>IF(J6718=W6718,"O", "X")</f>
        <v>X</v>
      </c>
      <c r="V6718" s="71"/>
      <c r="W6718" s="474"/>
      <c r="X6718" s="71"/>
      <c r="Y6718" s="71"/>
    </row>
    <row r="6719" spans="1:25" ht="30" hidden="1" customHeight="1" x14ac:dyDescent="0.25">
      <c r="A6719" s="1145">
        <v>45357</v>
      </c>
      <c r="B6719" s="664" t="s">
        <v>548</v>
      </c>
      <c r="C6719" s="71" t="s">
        <v>3384</v>
      </c>
      <c r="D6719" s="71">
        <v>300</v>
      </c>
      <c r="E6719" s="102">
        <v>450</v>
      </c>
      <c r="F6719" s="102">
        <f>(E6719*D6719)*1.1</f>
        <v>148500</v>
      </c>
      <c r="G6719" s="102">
        <f>(E6719*D6719)</f>
        <v>135000</v>
      </c>
      <c r="H6719" s="690" t="s">
        <v>2029</v>
      </c>
      <c r="I6719" s="71" t="s">
        <v>3385</v>
      </c>
      <c r="J6719" s="53">
        <f t="shared" si="3568"/>
        <v>39000</v>
      </c>
      <c r="K6719" s="63">
        <f t="shared" si="3569"/>
        <v>0.28888888888888886</v>
      </c>
      <c r="L6719" s="1212" t="s">
        <v>4054</v>
      </c>
      <c r="M6719" s="468"/>
      <c r="N6719" s="1192">
        <f t="shared" si="3575"/>
        <v>45357</v>
      </c>
      <c r="O6719" s="71" t="s">
        <v>2030</v>
      </c>
      <c r="P6719" s="103" t="str">
        <f t="shared" ref="P6719" si="3576">(C6719)</f>
        <v>고무사카 빨간색</v>
      </c>
      <c r="Q6719" s="71">
        <f t="shared" ref="Q6719" si="3577">D6719</f>
        <v>300</v>
      </c>
      <c r="R6719" s="102">
        <v>320</v>
      </c>
      <c r="S6719" s="102">
        <f t="shared" si="3573"/>
        <v>105600.00000000001</v>
      </c>
      <c r="T6719" s="102">
        <f t="shared" si="3574"/>
        <v>96000</v>
      </c>
      <c r="U6719" s="71"/>
      <c r="V6719" s="71"/>
      <c r="W6719" s="474"/>
      <c r="X6719" s="71"/>
      <c r="Y6719" s="71"/>
    </row>
    <row r="6720" spans="1:25" ht="30" hidden="1" customHeight="1" x14ac:dyDescent="0.2">
      <c r="A6720" s="1145">
        <v>45376</v>
      </c>
      <c r="B6720" s="664" t="s">
        <v>548</v>
      </c>
      <c r="C6720" s="71" t="s">
        <v>236</v>
      </c>
      <c r="D6720" s="71">
        <v>2</v>
      </c>
      <c r="E6720" s="102">
        <v>100000</v>
      </c>
      <c r="F6720" s="163">
        <f>(E6720*D6720)*1.1</f>
        <v>220000.00000000003</v>
      </c>
      <c r="G6720" s="102">
        <f>(E6720*D6720)</f>
        <v>200000</v>
      </c>
      <c r="H6720" s="690" t="s">
        <v>173</v>
      </c>
      <c r="I6720" s="71" t="s">
        <v>2231</v>
      </c>
      <c r="J6720" s="53">
        <f t="shared" ref="J6720:J6721" si="3578">G6720-T6720</f>
        <v>80000</v>
      </c>
      <c r="K6720" s="63">
        <f t="shared" ref="K6720:K6721" si="3579">(J6720/(F6720/11*10))</f>
        <v>0.39999999999999997</v>
      </c>
      <c r="L6720" s="1212" t="s">
        <v>4054</v>
      </c>
      <c r="M6720" s="468"/>
      <c r="N6720" s="1192">
        <f t="shared" ref="N6720:N6726" si="3580">A6720</f>
        <v>45376</v>
      </c>
      <c r="O6720" s="71" t="s">
        <v>3021</v>
      </c>
      <c r="P6720" s="164" t="str">
        <f>(C6720)</f>
        <v>아스테이지(국전)</v>
      </c>
      <c r="Q6720" s="71">
        <f>D6720</f>
        <v>2</v>
      </c>
      <c r="R6720" s="102">
        <v>60000</v>
      </c>
      <c r="S6720" s="102">
        <f t="shared" ref="S6720:S6722" si="3581">R6720*Q6720*1.1</f>
        <v>132000</v>
      </c>
      <c r="T6720" s="102">
        <f t="shared" ref="T6720:T6722" si="3582">R6720*Q6720</f>
        <v>120000</v>
      </c>
      <c r="U6720" s="71" t="str">
        <f>IF(J6720=W6720,"O", "X")</f>
        <v>X</v>
      </c>
      <c r="V6720" s="71"/>
      <c r="W6720" s="474"/>
      <c r="X6720" s="71"/>
      <c r="Y6720" s="71"/>
    </row>
    <row r="6721" spans="1:25" ht="30" hidden="1" customHeight="1" x14ac:dyDescent="0.25">
      <c r="A6721" s="1145">
        <v>45379</v>
      </c>
      <c r="B6721" s="664" t="s">
        <v>548</v>
      </c>
      <c r="C6721" s="71" t="s">
        <v>4063</v>
      </c>
      <c r="D6721" s="71">
        <v>1</v>
      </c>
      <c r="E6721" s="102">
        <v>1000000</v>
      </c>
      <c r="F6721" s="102">
        <f>(E6721*D6721)*1.1</f>
        <v>1100000</v>
      </c>
      <c r="G6721" s="102">
        <f>(E6721*D6721)</f>
        <v>1000000</v>
      </c>
      <c r="H6721" s="690" t="s">
        <v>2029</v>
      </c>
      <c r="I6721" s="71" t="s">
        <v>142</v>
      </c>
      <c r="J6721" s="53">
        <f t="shared" si="3578"/>
        <v>0</v>
      </c>
      <c r="K6721" s="63">
        <f t="shared" si="3579"/>
        <v>0</v>
      </c>
      <c r="L6721" s="1212" t="s">
        <v>4054</v>
      </c>
      <c r="M6721" s="468"/>
      <c r="N6721" s="1192">
        <f t="shared" si="3580"/>
        <v>45379</v>
      </c>
      <c r="O6721" s="71" t="s">
        <v>2030</v>
      </c>
      <c r="P6721" s="103" t="str">
        <f t="shared" ref="P6721:P6722" si="3583">(C6721)</f>
        <v>하이델베르그 filterStar compact</v>
      </c>
      <c r="Q6721" s="71">
        <f>D6721</f>
        <v>1</v>
      </c>
      <c r="R6721" s="147">
        <v>1000000</v>
      </c>
      <c r="S6721" s="102">
        <f t="shared" si="3581"/>
        <v>1100000</v>
      </c>
      <c r="T6721" s="102">
        <f t="shared" si="3582"/>
        <v>1000000</v>
      </c>
      <c r="U6721" s="71"/>
      <c r="V6721" s="71"/>
      <c r="W6721" s="474"/>
      <c r="X6721" s="71"/>
      <c r="Y6721" s="71"/>
    </row>
    <row r="6722" spans="1:25" ht="30" hidden="1" customHeight="1" x14ac:dyDescent="0.25">
      <c r="A6722" s="1145">
        <v>45379</v>
      </c>
      <c r="B6722" s="664" t="s">
        <v>548</v>
      </c>
      <c r="C6722" s="71" t="s">
        <v>3783</v>
      </c>
      <c r="D6722" s="71">
        <v>1</v>
      </c>
      <c r="E6722" s="102">
        <v>700000</v>
      </c>
      <c r="F6722" s="102">
        <f>(E6722*D6722)*1.1</f>
        <v>770000.00000000012</v>
      </c>
      <c r="G6722" s="102">
        <f>(E6722*D6722)</f>
        <v>700000</v>
      </c>
      <c r="H6722" s="690" t="s">
        <v>94</v>
      </c>
      <c r="I6722" s="71" t="s">
        <v>94</v>
      </c>
      <c r="J6722" s="53">
        <f t="shared" ref="J6722" si="3584">G6722-T6722</f>
        <v>440410</v>
      </c>
      <c r="K6722" s="63">
        <f t="shared" ref="K6722" si="3585">(J6722/(F6722/11*10))</f>
        <v>0.62915714285714275</v>
      </c>
      <c r="L6722" s="1212" t="s">
        <v>4054</v>
      </c>
      <c r="M6722" s="102"/>
      <c r="N6722" s="1192">
        <f t="shared" si="3580"/>
        <v>45379</v>
      </c>
      <c r="O6722" s="71" t="s">
        <v>94</v>
      </c>
      <c r="P6722" s="103" t="str">
        <f t="shared" si="3583"/>
        <v>Technotrans beta.f 필터 세트</v>
      </c>
      <c r="Q6722" s="71">
        <f>D6722</f>
        <v>1</v>
      </c>
      <c r="R6722" s="102">
        <v>259590</v>
      </c>
      <c r="S6722" s="102">
        <f t="shared" si="3581"/>
        <v>285549</v>
      </c>
      <c r="T6722" s="102">
        <f t="shared" si="3582"/>
        <v>259590</v>
      </c>
      <c r="U6722" s="71"/>
      <c r="V6722" s="71"/>
      <c r="W6722" s="474"/>
      <c r="X6722" s="71"/>
      <c r="Y6722" s="71"/>
    </row>
    <row r="6723" spans="1:25" ht="30" hidden="1" customHeight="1" x14ac:dyDescent="0.25">
      <c r="A6723" s="1145">
        <v>45363</v>
      </c>
      <c r="B6723" s="664" t="s">
        <v>3296</v>
      </c>
      <c r="C6723" s="71" t="s">
        <v>3297</v>
      </c>
      <c r="D6723" s="71">
        <v>20</v>
      </c>
      <c r="E6723" s="102">
        <v>162500</v>
      </c>
      <c r="F6723" s="102">
        <f t="shared" ref="F6723:F6726" si="3586">(E6723*D6723)*1.1</f>
        <v>3575000.0000000005</v>
      </c>
      <c r="G6723" s="102">
        <f t="shared" ref="G6723:G6726" si="3587">(E6723*D6723)</f>
        <v>3250000</v>
      </c>
      <c r="H6723" s="690" t="s">
        <v>172</v>
      </c>
      <c r="I6723" s="71" t="s">
        <v>3295</v>
      </c>
      <c r="J6723" s="53">
        <f t="shared" ref="J6723:J6726" si="3588">G6723-T6723</f>
        <v>850000</v>
      </c>
      <c r="K6723" s="63">
        <f t="shared" ref="K6723:K6726" si="3589">(J6723/(F6723/11*10))</f>
        <v>0.2615384615384615</v>
      </c>
      <c r="L6723" s="1212" t="s">
        <v>4054</v>
      </c>
      <c r="M6723" s="468"/>
      <c r="N6723" s="1192">
        <f t="shared" si="3580"/>
        <v>45363</v>
      </c>
      <c r="O6723" s="71" t="s">
        <v>662</v>
      </c>
      <c r="P6723" s="103" t="str">
        <f t="shared" ref="P6723" si="3590">(C6723)</f>
        <v>실리콘 에멀전</v>
      </c>
      <c r="Q6723" s="71">
        <f t="shared" ref="Q6723:Q6726" si="3591">D6723</f>
        <v>20</v>
      </c>
      <c r="R6723" s="102">
        <v>120000</v>
      </c>
      <c r="S6723" s="102">
        <f t="shared" ref="S6723:S6726" si="3592">R6723*Q6723*1.1</f>
        <v>2640000</v>
      </c>
      <c r="T6723" s="102">
        <f t="shared" ref="T6723:T6726" si="3593">R6723*Q6723</f>
        <v>2400000</v>
      </c>
      <c r="U6723" s="71" t="str">
        <f t="shared" ref="U6723" si="3594">IF(J6723=W6723,"O", "X")</f>
        <v>X</v>
      </c>
      <c r="V6723" s="71"/>
      <c r="W6723" s="474"/>
      <c r="X6723" s="71"/>
      <c r="Y6723" s="71"/>
    </row>
    <row r="6724" spans="1:25" s="209" customFormat="1" ht="30" hidden="1" customHeight="1" x14ac:dyDescent="0.25">
      <c r="A6724" s="1145">
        <v>45349</v>
      </c>
      <c r="B6724" s="664" t="s">
        <v>442</v>
      </c>
      <c r="C6724" s="71" t="s">
        <v>3833</v>
      </c>
      <c r="D6724" s="71">
        <v>1000</v>
      </c>
      <c r="E6724" s="102">
        <v>4250</v>
      </c>
      <c r="F6724" s="102">
        <f t="shared" si="3586"/>
        <v>4675000</v>
      </c>
      <c r="G6724" s="102">
        <f t="shared" si="3587"/>
        <v>4250000</v>
      </c>
      <c r="H6724" s="690" t="s">
        <v>2029</v>
      </c>
      <c r="I6724" s="71" t="s">
        <v>2230</v>
      </c>
      <c r="J6724" s="53">
        <f t="shared" si="3588"/>
        <v>800000</v>
      </c>
      <c r="K6724" s="63">
        <f t="shared" si="3589"/>
        <v>0.18823529411764706</v>
      </c>
      <c r="L6724" s="1212" t="s">
        <v>4054</v>
      </c>
      <c r="M6724" s="468"/>
      <c r="N6724" s="1192">
        <f t="shared" si="3580"/>
        <v>45349</v>
      </c>
      <c r="O6724" s="71" t="s">
        <v>2030</v>
      </c>
      <c r="P6724" s="164" t="s">
        <v>3777</v>
      </c>
      <c r="Q6724" s="71">
        <f t="shared" si="3591"/>
        <v>1000</v>
      </c>
      <c r="R6724" s="102">
        <v>3450</v>
      </c>
      <c r="S6724" s="102">
        <f t="shared" si="3592"/>
        <v>3795000.0000000005</v>
      </c>
      <c r="T6724" s="102">
        <f t="shared" si="3593"/>
        <v>3450000</v>
      </c>
      <c r="U6724" s="71"/>
      <c r="V6724" s="71"/>
      <c r="W6724" s="474"/>
      <c r="X6724" s="71"/>
      <c r="Y6724" s="71"/>
    </row>
    <row r="6725" spans="1:25" ht="30" hidden="1" customHeight="1" x14ac:dyDescent="0.25">
      <c r="A6725" s="1145">
        <v>45349</v>
      </c>
      <c r="B6725" s="664" t="s">
        <v>442</v>
      </c>
      <c r="C6725" s="71" t="s">
        <v>3834</v>
      </c>
      <c r="D6725" s="71">
        <v>10</v>
      </c>
      <c r="E6725" s="102">
        <v>57000</v>
      </c>
      <c r="F6725" s="102">
        <f t="shared" si="3586"/>
        <v>627000</v>
      </c>
      <c r="G6725" s="102">
        <f t="shared" si="3587"/>
        <v>570000</v>
      </c>
      <c r="H6725" s="690" t="s">
        <v>2029</v>
      </c>
      <c r="I6725" s="71" t="s">
        <v>2230</v>
      </c>
      <c r="J6725" s="53">
        <f t="shared" si="3588"/>
        <v>173400</v>
      </c>
      <c r="K6725" s="63">
        <f t="shared" si="3589"/>
        <v>0.30421052631578949</v>
      </c>
      <c r="L6725" s="1212" t="s">
        <v>4054</v>
      </c>
      <c r="M6725" s="468"/>
      <c r="N6725" s="1192">
        <f t="shared" si="3580"/>
        <v>45349</v>
      </c>
      <c r="O6725" s="71" t="s">
        <v>2030</v>
      </c>
      <c r="P6725" s="103" t="s">
        <v>1026</v>
      </c>
      <c r="Q6725" s="71">
        <f t="shared" si="3591"/>
        <v>10</v>
      </c>
      <c r="R6725" s="102">
        <v>39660</v>
      </c>
      <c r="S6725" s="102">
        <f t="shared" si="3592"/>
        <v>436260.00000000006</v>
      </c>
      <c r="T6725" s="102">
        <f t="shared" si="3593"/>
        <v>396600</v>
      </c>
      <c r="U6725" s="71"/>
      <c r="V6725" s="71"/>
      <c r="W6725" s="474"/>
      <c r="X6725" s="71"/>
      <c r="Y6725" s="71"/>
    </row>
    <row r="6726" spans="1:25" ht="30" hidden="1" customHeight="1" x14ac:dyDescent="0.25">
      <c r="A6726" s="1145">
        <v>45355</v>
      </c>
      <c r="B6726" s="664" t="s">
        <v>442</v>
      </c>
      <c r="C6726" s="71" t="s">
        <v>4064</v>
      </c>
      <c r="D6726" s="71">
        <v>4</v>
      </c>
      <c r="E6726" s="102">
        <v>98000</v>
      </c>
      <c r="F6726" s="102">
        <f t="shared" si="3586"/>
        <v>431200.00000000006</v>
      </c>
      <c r="G6726" s="102">
        <f t="shared" si="3587"/>
        <v>392000</v>
      </c>
      <c r="H6726" s="690" t="s">
        <v>2029</v>
      </c>
      <c r="I6726" s="71" t="s">
        <v>2230</v>
      </c>
      <c r="J6726" s="53">
        <f t="shared" si="3588"/>
        <v>40000</v>
      </c>
      <c r="K6726" s="63">
        <f t="shared" si="3589"/>
        <v>0.1020408163265306</v>
      </c>
      <c r="L6726" s="1212" t="s">
        <v>4054</v>
      </c>
      <c r="M6726" s="102"/>
      <c r="N6726" s="1192">
        <f t="shared" si="3580"/>
        <v>45355</v>
      </c>
      <c r="O6726" s="71" t="s">
        <v>194</v>
      </c>
      <c r="P6726" s="103" t="str">
        <f t="shared" ref="P6726" si="3595">(C6726)</f>
        <v>Agfa 부품 Bearing Pept Roller</v>
      </c>
      <c r="Q6726" s="71">
        <f t="shared" si="3591"/>
        <v>4</v>
      </c>
      <c r="R6726" s="102">
        <v>88000</v>
      </c>
      <c r="S6726" s="102">
        <f t="shared" si="3592"/>
        <v>387200.00000000006</v>
      </c>
      <c r="T6726" s="102">
        <f t="shared" si="3593"/>
        <v>352000</v>
      </c>
      <c r="U6726" s="71"/>
      <c r="V6726" s="71"/>
      <c r="W6726" s="474"/>
      <c r="X6726" s="71"/>
      <c r="Y6726" s="71"/>
    </row>
    <row r="6727" spans="1:25" ht="30" hidden="1" customHeight="1" x14ac:dyDescent="0.25">
      <c r="A6727" s="1145">
        <v>45357</v>
      </c>
      <c r="B6727" s="664" t="s">
        <v>442</v>
      </c>
      <c r="C6727" s="71" t="s">
        <v>207</v>
      </c>
      <c r="D6727" s="71">
        <v>1</v>
      </c>
      <c r="E6727" s="102">
        <v>558000</v>
      </c>
      <c r="F6727" s="102">
        <f t="shared" ref="F6727:F6731" si="3596">(E6727*D6727)*1.1</f>
        <v>613800</v>
      </c>
      <c r="G6727" s="102">
        <f t="shared" ref="G6727:G6731" si="3597">(E6727*D6727)</f>
        <v>558000</v>
      </c>
      <c r="H6727" s="690" t="s">
        <v>2029</v>
      </c>
      <c r="I6727" s="71" t="s">
        <v>195</v>
      </c>
      <c r="J6727" s="53">
        <f t="shared" ref="J6727:J6730" si="3598">G6727-T6727</f>
        <v>74310</v>
      </c>
      <c r="K6727" s="63">
        <f t="shared" ref="K6727:K6730" si="3599">(J6727/(F6727/11*10))</f>
        <v>0.13317204301075269</v>
      </c>
      <c r="L6727" s="1212" t="s">
        <v>4054</v>
      </c>
      <c r="M6727" s="468"/>
      <c r="N6727" s="1192">
        <f t="shared" ref="N6727:N6731" si="3600">A6727</f>
        <v>45357</v>
      </c>
      <c r="O6727" s="71" t="s">
        <v>194</v>
      </c>
      <c r="P6727" s="103" t="str">
        <f t="shared" ref="P6727:P6728" si="3601">(C6727)</f>
        <v>Agfa Film(28inch)</v>
      </c>
      <c r="Q6727" s="71">
        <f t="shared" ref="Q6727:Q6731" si="3602">D6727</f>
        <v>1</v>
      </c>
      <c r="R6727" s="102">
        <v>483690</v>
      </c>
      <c r="S6727" s="102">
        <f t="shared" ref="S6727:S6731" si="3603">R6727*Q6727*1.1</f>
        <v>532059</v>
      </c>
      <c r="T6727" s="102">
        <f t="shared" ref="T6727:T6731" si="3604">R6727*Q6727</f>
        <v>483690</v>
      </c>
      <c r="U6727" s="71" t="s">
        <v>859</v>
      </c>
      <c r="V6727" s="71"/>
      <c r="W6727" s="474">
        <v>228480</v>
      </c>
      <c r="X6727" s="71"/>
      <c r="Y6727" s="71"/>
    </row>
    <row r="6728" spans="1:25" ht="30" hidden="1" customHeight="1" x14ac:dyDescent="0.25">
      <c r="A6728" s="1145">
        <v>45357</v>
      </c>
      <c r="B6728" s="664" t="s">
        <v>442</v>
      </c>
      <c r="C6728" s="71" t="s">
        <v>3299</v>
      </c>
      <c r="D6728" s="71">
        <v>20</v>
      </c>
      <c r="E6728" s="102">
        <v>69000</v>
      </c>
      <c r="F6728" s="102">
        <f t="shared" si="3596"/>
        <v>1518000.0000000002</v>
      </c>
      <c r="G6728" s="102">
        <f t="shared" si="3597"/>
        <v>1380000</v>
      </c>
      <c r="H6728" s="690" t="s">
        <v>172</v>
      </c>
      <c r="I6728" s="71" t="s">
        <v>180</v>
      </c>
      <c r="J6728" s="53">
        <f t="shared" si="3598"/>
        <v>430000</v>
      </c>
      <c r="K6728" s="63">
        <f t="shared" si="3599"/>
        <v>0.31159420289855067</v>
      </c>
      <c r="L6728" s="1212" t="s">
        <v>4054</v>
      </c>
      <c r="M6728" s="468" t="s">
        <v>3304</v>
      </c>
      <c r="N6728" s="1192">
        <f t="shared" si="3600"/>
        <v>45357</v>
      </c>
      <c r="O6728" s="71" t="s">
        <v>175</v>
      </c>
      <c r="P6728" s="164" t="str">
        <f t="shared" si="3601"/>
        <v>매엽용 세척제(Wash k11)</v>
      </c>
      <c r="Q6728" s="71">
        <f t="shared" si="3602"/>
        <v>20</v>
      </c>
      <c r="R6728" s="102">
        <v>47500</v>
      </c>
      <c r="S6728" s="102">
        <f t="shared" si="3603"/>
        <v>1045000.0000000001</v>
      </c>
      <c r="T6728" s="102">
        <f t="shared" si="3604"/>
        <v>950000</v>
      </c>
      <c r="U6728" s="71" t="s">
        <v>859</v>
      </c>
      <c r="V6728" s="71"/>
      <c r="W6728" s="474"/>
      <c r="X6728" s="71"/>
      <c r="Y6728" s="71"/>
    </row>
    <row r="6729" spans="1:25" ht="30" hidden="1" customHeight="1" x14ac:dyDescent="0.25">
      <c r="A6729" s="1145">
        <v>45357</v>
      </c>
      <c r="B6729" s="664" t="s">
        <v>442</v>
      </c>
      <c r="C6729" s="71" t="s">
        <v>3431</v>
      </c>
      <c r="D6729" s="71">
        <v>2</v>
      </c>
      <c r="E6729" s="102">
        <v>142000</v>
      </c>
      <c r="F6729" s="102">
        <f t="shared" si="3596"/>
        <v>312400</v>
      </c>
      <c r="G6729" s="102">
        <f t="shared" si="3597"/>
        <v>284000</v>
      </c>
      <c r="H6729" s="690" t="s">
        <v>2029</v>
      </c>
      <c r="I6729" s="71" t="s">
        <v>195</v>
      </c>
      <c r="J6729" s="53">
        <f t="shared" si="3598"/>
        <v>94000</v>
      </c>
      <c r="K6729" s="63">
        <f t="shared" si="3599"/>
        <v>0.33098591549295775</v>
      </c>
      <c r="L6729" s="1212" t="s">
        <v>4054</v>
      </c>
      <c r="M6729" s="468"/>
      <c r="N6729" s="1192">
        <f t="shared" si="3600"/>
        <v>45357</v>
      </c>
      <c r="O6729" s="71" t="s">
        <v>2030</v>
      </c>
      <c r="P6729" s="164" t="str">
        <f>(C6729)</f>
        <v>닥터호일 아스테이지</v>
      </c>
      <c r="Q6729" s="71">
        <f t="shared" si="3602"/>
        <v>2</v>
      </c>
      <c r="R6729" s="102">
        <v>95000</v>
      </c>
      <c r="S6729" s="102">
        <f t="shared" si="3603"/>
        <v>209000.00000000003</v>
      </c>
      <c r="T6729" s="102">
        <f t="shared" si="3604"/>
        <v>190000</v>
      </c>
      <c r="U6729" s="71" t="str">
        <f>IF(J6729=W6729,"O", "X")</f>
        <v>O</v>
      </c>
      <c r="V6729" s="71"/>
      <c r="W6729" s="474">
        <f>(G6729-T6729)</f>
        <v>94000</v>
      </c>
      <c r="X6729" s="71"/>
      <c r="Y6729" s="71"/>
    </row>
    <row r="6730" spans="1:25" ht="30" hidden="1" customHeight="1" x14ac:dyDescent="0.25">
      <c r="A6730" s="1145">
        <v>45364</v>
      </c>
      <c r="B6730" s="664" t="s">
        <v>442</v>
      </c>
      <c r="C6730" s="71" t="s">
        <v>651</v>
      </c>
      <c r="D6730" s="71">
        <v>15</v>
      </c>
      <c r="E6730" s="102">
        <v>50000</v>
      </c>
      <c r="F6730" s="102">
        <f t="shared" si="3596"/>
        <v>825000.00000000012</v>
      </c>
      <c r="G6730" s="102">
        <f t="shared" si="3597"/>
        <v>750000</v>
      </c>
      <c r="H6730" s="690" t="s">
        <v>2029</v>
      </c>
      <c r="I6730" s="71" t="s">
        <v>195</v>
      </c>
      <c r="J6730" s="53">
        <f t="shared" si="3598"/>
        <v>263400</v>
      </c>
      <c r="K6730" s="63">
        <f t="shared" si="3599"/>
        <v>0.35119999999999996</v>
      </c>
      <c r="L6730" s="1212" t="s">
        <v>4054</v>
      </c>
      <c r="M6730" s="468"/>
      <c r="N6730" s="1192">
        <f t="shared" si="3600"/>
        <v>45364</v>
      </c>
      <c r="O6730" s="71" t="s">
        <v>194</v>
      </c>
      <c r="P6730" s="164" t="str">
        <f>(C6730)</f>
        <v>Agfa 현상액 G101C(10L)</v>
      </c>
      <c r="Q6730" s="71">
        <f t="shared" si="3602"/>
        <v>15</v>
      </c>
      <c r="R6730" s="102">
        <v>32440</v>
      </c>
      <c r="S6730" s="102">
        <f t="shared" si="3603"/>
        <v>535260</v>
      </c>
      <c r="T6730" s="102">
        <f t="shared" si="3604"/>
        <v>486600</v>
      </c>
      <c r="U6730" s="71" t="str">
        <f>IF(J6730=W6730,"O", "X")</f>
        <v>O</v>
      </c>
      <c r="V6730" s="71"/>
      <c r="W6730" s="474">
        <f>(G6730-T6730)</f>
        <v>263400</v>
      </c>
      <c r="X6730" s="71"/>
      <c r="Y6730" s="71"/>
    </row>
    <row r="6731" spans="1:25" ht="30" hidden="1" customHeight="1" x14ac:dyDescent="0.25">
      <c r="A6731" s="1145">
        <v>45349</v>
      </c>
      <c r="B6731" s="664" t="s">
        <v>411</v>
      </c>
      <c r="C6731" s="71" t="s">
        <v>4065</v>
      </c>
      <c r="D6731" s="71">
        <v>5</v>
      </c>
      <c r="E6731" s="102">
        <v>100000</v>
      </c>
      <c r="F6731" s="102">
        <f t="shared" si="3596"/>
        <v>550000</v>
      </c>
      <c r="G6731" s="102">
        <f t="shared" si="3597"/>
        <v>500000</v>
      </c>
      <c r="H6731" s="690" t="s">
        <v>2029</v>
      </c>
      <c r="I6731" s="71" t="s">
        <v>3385</v>
      </c>
      <c r="J6731" s="53"/>
      <c r="K6731" s="63"/>
      <c r="L6731" s="1212" t="s">
        <v>4054</v>
      </c>
      <c r="M6731" s="468"/>
      <c r="N6731" s="1192">
        <f t="shared" si="3600"/>
        <v>45349</v>
      </c>
      <c r="O6731" s="71"/>
      <c r="P6731" s="103" t="str">
        <f t="shared" ref="P6731" si="3605">(C6731)</f>
        <v>프로텍티브 필름 - 언더호일</v>
      </c>
      <c r="Q6731" s="71">
        <f t="shared" si="3602"/>
        <v>5</v>
      </c>
      <c r="R6731" s="147"/>
      <c r="S6731" s="102">
        <f t="shared" si="3603"/>
        <v>0</v>
      </c>
      <c r="T6731" s="102">
        <f t="shared" si="3604"/>
        <v>0</v>
      </c>
      <c r="U6731" s="71"/>
      <c r="V6731" s="71"/>
      <c r="W6731" s="474"/>
      <c r="X6731" s="71"/>
      <c r="Y6731" s="71"/>
    </row>
    <row r="6732" spans="1:25" s="209" customFormat="1" ht="30" hidden="1" customHeight="1" x14ac:dyDescent="0.25">
      <c r="A6732" s="1145">
        <v>45370</v>
      </c>
      <c r="B6732" s="664" t="s">
        <v>411</v>
      </c>
      <c r="C6732" s="71" t="s">
        <v>3413</v>
      </c>
      <c r="D6732" s="71">
        <v>10</v>
      </c>
      <c r="E6732" s="102">
        <v>80000</v>
      </c>
      <c r="F6732" s="102">
        <f t="shared" ref="F6732:F6733" si="3606">(E6732*D6732)*1.1</f>
        <v>880000.00000000012</v>
      </c>
      <c r="G6732" s="102">
        <f t="shared" ref="G6732:G6733" si="3607">(E6732*D6732)</f>
        <v>800000</v>
      </c>
      <c r="H6732" s="690" t="s">
        <v>2029</v>
      </c>
      <c r="I6732" s="71" t="s">
        <v>3385</v>
      </c>
      <c r="J6732" s="53">
        <f t="shared" ref="J6732:J6733" si="3608">G6732-T6732</f>
        <v>300000</v>
      </c>
      <c r="K6732" s="63">
        <f t="shared" ref="K6732:K6733" si="3609">(J6732/(F6732/11*10))</f>
        <v>0.37499999999999994</v>
      </c>
      <c r="L6732" s="1212" t="s">
        <v>4054</v>
      </c>
      <c r="M6732" s="468"/>
      <c r="N6732" s="1192">
        <f t="shared" ref="N6732:N6733" si="3610">A6732</f>
        <v>45370</v>
      </c>
      <c r="O6732" s="71" t="s">
        <v>190</v>
      </c>
      <c r="P6732" s="103" t="str">
        <f t="shared" ref="P6732:P6733" si="3611">(C6732)</f>
        <v>아스테이지(국전)</v>
      </c>
      <c r="Q6732" s="71">
        <f t="shared" ref="Q6732:Q6733" si="3612">D6732</f>
        <v>10</v>
      </c>
      <c r="R6732" s="102">
        <v>50000</v>
      </c>
      <c r="S6732" s="102">
        <f t="shared" ref="S6732:S6733" si="3613">R6732*Q6732*1.1</f>
        <v>550000</v>
      </c>
      <c r="T6732" s="102">
        <f t="shared" ref="T6732:T6733" si="3614">R6732*Q6732</f>
        <v>500000</v>
      </c>
      <c r="U6732" s="71" t="str">
        <f t="shared" ref="U6732" si="3615">IF(J6732=W6732,"O", "X")</f>
        <v>X</v>
      </c>
      <c r="V6732" s="71"/>
      <c r="W6732" s="474">
        <v>500000</v>
      </c>
      <c r="X6732" s="71"/>
      <c r="Y6732" s="71"/>
    </row>
    <row r="6733" spans="1:25" ht="30" hidden="1" customHeight="1" x14ac:dyDescent="0.25">
      <c r="A6733" s="1145">
        <v>45357</v>
      </c>
      <c r="B6733" s="664" t="s">
        <v>26</v>
      </c>
      <c r="C6733" s="71" t="s">
        <v>2087</v>
      </c>
      <c r="D6733" s="71">
        <v>5</v>
      </c>
      <c r="E6733" s="102">
        <v>65000</v>
      </c>
      <c r="F6733" s="102">
        <f t="shared" si="3606"/>
        <v>357500</v>
      </c>
      <c r="G6733" s="102">
        <f t="shared" si="3607"/>
        <v>325000</v>
      </c>
      <c r="H6733" s="690" t="s">
        <v>172</v>
      </c>
      <c r="I6733" s="71" t="s">
        <v>3295</v>
      </c>
      <c r="J6733" s="53">
        <f t="shared" si="3608"/>
        <v>75000</v>
      </c>
      <c r="K6733" s="63">
        <f t="shared" si="3609"/>
        <v>0.23076923076923078</v>
      </c>
      <c r="L6733" s="1212" t="s">
        <v>4054</v>
      </c>
      <c r="M6733" s="468"/>
      <c r="N6733" s="1192">
        <f t="shared" si="3610"/>
        <v>45357</v>
      </c>
      <c r="O6733" s="71" t="s">
        <v>152</v>
      </c>
      <c r="P6733" s="103" t="str">
        <f t="shared" si="3611"/>
        <v>아스테이지(국전)</v>
      </c>
      <c r="Q6733" s="71">
        <f t="shared" si="3612"/>
        <v>5</v>
      </c>
      <c r="R6733" s="102">
        <v>50000</v>
      </c>
      <c r="S6733" s="102">
        <f t="shared" si="3613"/>
        <v>275000</v>
      </c>
      <c r="T6733" s="102">
        <f t="shared" si="3614"/>
        <v>250000</v>
      </c>
      <c r="U6733" s="71" t="str">
        <f>IF(J6733=W6733,"O", "X")</f>
        <v>X</v>
      </c>
      <c r="V6733" s="71"/>
      <c r="W6733" s="474">
        <v>150000</v>
      </c>
      <c r="X6733" s="71"/>
      <c r="Y6733" s="71"/>
    </row>
    <row r="6734" spans="1:25" ht="30" hidden="1" customHeight="1" x14ac:dyDescent="0.25">
      <c r="A6734" s="1145">
        <v>45363</v>
      </c>
      <c r="B6734" s="664" t="s">
        <v>1155</v>
      </c>
      <c r="C6734" s="760" t="s">
        <v>2648</v>
      </c>
      <c r="D6734" s="71">
        <v>10</v>
      </c>
      <c r="E6734" s="102">
        <v>37000</v>
      </c>
      <c r="F6734" s="102">
        <f>(E6734*D6734)*1.1</f>
        <v>407000.00000000006</v>
      </c>
      <c r="G6734" s="102">
        <f>(E6734*D6734)</f>
        <v>370000</v>
      </c>
      <c r="H6734" s="690" t="s">
        <v>94</v>
      </c>
      <c r="I6734" s="71" t="s">
        <v>94</v>
      </c>
      <c r="J6734" s="53">
        <f>G6734-T6734</f>
        <v>129300</v>
      </c>
      <c r="K6734" s="63">
        <f>(J6734/(F6734/11*10))</f>
        <v>0.34945945945945939</v>
      </c>
      <c r="L6734" s="1212" t="s">
        <v>4054</v>
      </c>
      <c r="M6734" s="468"/>
      <c r="N6734" s="1192">
        <f>A6734</f>
        <v>45363</v>
      </c>
      <c r="O6734" s="71" t="s">
        <v>94</v>
      </c>
      <c r="P6734" s="103" t="str">
        <f>(C6734)</f>
        <v>주머니 필터백</v>
      </c>
      <c r="Q6734" s="71">
        <f>D6734</f>
        <v>10</v>
      </c>
      <c r="R6734" s="102">
        <v>24070</v>
      </c>
      <c r="S6734" s="102">
        <f>R6734*Q6734*1.1</f>
        <v>264770</v>
      </c>
      <c r="T6734" s="102">
        <f>R6734*Q6734</f>
        <v>240700</v>
      </c>
      <c r="U6734" s="71"/>
      <c r="V6734" s="71"/>
      <c r="W6734" s="474"/>
      <c r="X6734" s="71"/>
      <c r="Y6734" s="71"/>
    </row>
    <row r="6735" spans="1:25" s="209" customFormat="1" ht="30" hidden="1" customHeight="1" x14ac:dyDescent="0.25">
      <c r="A6735" s="1145">
        <v>45377</v>
      </c>
      <c r="B6735" s="664" t="s">
        <v>746</v>
      </c>
      <c r="C6735" s="71" t="s">
        <v>2648</v>
      </c>
      <c r="D6735" s="71">
        <v>10</v>
      </c>
      <c r="E6735" s="102">
        <v>38000</v>
      </c>
      <c r="F6735" s="102">
        <f t="shared" ref="F6735:F6746" si="3616">(E6735*D6735)*1.1</f>
        <v>418000.00000000006</v>
      </c>
      <c r="G6735" s="102">
        <f t="shared" ref="G6735:G6746" si="3617">(E6735*D6735)</f>
        <v>380000</v>
      </c>
      <c r="H6735" s="690" t="s">
        <v>94</v>
      </c>
      <c r="I6735" s="71" t="s">
        <v>94</v>
      </c>
      <c r="J6735" s="53">
        <f t="shared" ref="J6735:J6737" si="3618">G6735-T6735</f>
        <v>160000</v>
      </c>
      <c r="K6735" s="63">
        <f t="shared" ref="K6735:K6737" si="3619">(J6735/(F6735/11*10))</f>
        <v>0.42105263157894729</v>
      </c>
      <c r="L6735" s="1212" t="s">
        <v>4054</v>
      </c>
      <c r="M6735" s="468"/>
      <c r="N6735" s="1192">
        <f t="shared" ref="N6735:N6745" si="3620">A6735</f>
        <v>45377</v>
      </c>
      <c r="O6735" s="71" t="s">
        <v>94</v>
      </c>
      <c r="P6735" s="103" t="str">
        <f t="shared" ref="P6735:P6745" si="3621">(C6735)</f>
        <v>주머니 필터백</v>
      </c>
      <c r="Q6735" s="71">
        <f t="shared" ref="Q6735:Q6746" si="3622">D6735</f>
        <v>10</v>
      </c>
      <c r="R6735" s="102">
        <v>22000</v>
      </c>
      <c r="S6735" s="102">
        <f t="shared" ref="S6735:S6744" si="3623">R6735*Q6735*1.1</f>
        <v>242000.00000000003</v>
      </c>
      <c r="T6735" s="102">
        <f t="shared" ref="T6735:T6744" si="3624">R6735*Q6735</f>
        <v>220000</v>
      </c>
      <c r="U6735" s="71"/>
      <c r="V6735" s="71"/>
      <c r="W6735" s="474"/>
      <c r="X6735" s="71"/>
      <c r="Y6735" s="71"/>
    </row>
    <row r="6736" spans="1:25" ht="30" hidden="1" customHeight="1" x14ac:dyDescent="0.25">
      <c r="A6736" s="1145">
        <v>45359</v>
      </c>
      <c r="B6736" s="664" t="s">
        <v>2798</v>
      </c>
      <c r="C6736" s="71" t="s">
        <v>167</v>
      </c>
      <c r="D6736" s="71">
        <v>10</v>
      </c>
      <c r="E6736" s="102">
        <v>138000</v>
      </c>
      <c r="F6736" s="102">
        <f t="shared" si="3616"/>
        <v>1518000.0000000002</v>
      </c>
      <c r="G6736" s="102">
        <f t="shared" si="3617"/>
        <v>1380000</v>
      </c>
      <c r="H6736" s="690" t="s">
        <v>172</v>
      </c>
      <c r="I6736" s="71" t="s">
        <v>33</v>
      </c>
      <c r="J6736" s="53">
        <f t="shared" si="3618"/>
        <v>368000</v>
      </c>
      <c r="K6736" s="63">
        <f t="shared" si="3619"/>
        <v>0.26666666666666661</v>
      </c>
      <c r="L6736" s="1212" t="s">
        <v>4054</v>
      </c>
      <c r="M6736" s="468"/>
      <c r="N6736" s="1192">
        <f t="shared" si="3620"/>
        <v>45359</v>
      </c>
      <c r="O6736" s="71" t="s">
        <v>146</v>
      </c>
      <c r="P6736" s="103" t="str">
        <f t="shared" si="3621"/>
        <v>Blanket(1060*860)</v>
      </c>
      <c r="Q6736" s="71">
        <f t="shared" si="3622"/>
        <v>10</v>
      </c>
      <c r="R6736" s="102">
        <v>101200</v>
      </c>
      <c r="S6736" s="102">
        <f t="shared" si="3623"/>
        <v>1113200</v>
      </c>
      <c r="T6736" s="102">
        <f t="shared" si="3624"/>
        <v>1012000</v>
      </c>
      <c r="U6736" s="71" t="str">
        <f t="shared" ref="U6736" si="3625">IF(J6736=W6736,"O", "X")</f>
        <v>X</v>
      </c>
      <c r="V6736" s="71"/>
      <c r="W6736" s="474"/>
      <c r="X6736" s="71"/>
      <c r="Y6736" s="71"/>
    </row>
    <row r="6737" spans="1:25" ht="30" hidden="1" customHeight="1" x14ac:dyDescent="0.25">
      <c r="A6737" s="1145">
        <v>45364</v>
      </c>
      <c r="B6737" s="664" t="s">
        <v>444</v>
      </c>
      <c r="C6737" s="71" t="s">
        <v>3399</v>
      </c>
      <c r="D6737" s="71">
        <v>10</v>
      </c>
      <c r="E6737" s="102">
        <v>195000</v>
      </c>
      <c r="F6737" s="102">
        <f t="shared" si="3616"/>
        <v>2145000</v>
      </c>
      <c r="G6737" s="102">
        <f t="shared" si="3617"/>
        <v>1950000</v>
      </c>
      <c r="H6737" s="690" t="s">
        <v>2029</v>
      </c>
      <c r="I6737" s="71" t="s">
        <v>180</v>
      </c>
      <c r="J6737" s="53">
        <f t="shared" si="3618"/>
        <v>450000</v>
      </c>
      <c r="K6737" s="63">
        <f t="shared" si="3619"/>
        <v>0.23076923076923078</v>
      </c>
      <c r="L6737" s="1212" t="s">
        <v>4054</v>
      </c>
      <c r="M6737" s="468"/>
      <c r="N6737" s="1192">
        <f t="shared" si="3620"/>
        <v>45364</v>
      </c>
      <c r="O6737" s="71" t="s">
        <v>191</v>
      </c>
      <c r="P6737" s="103" t="str">
        <f t="shared" si="3621"/>
        <v>UV wash offset UV</v>
      </c>
      <c r="Q6737" s="71">
        <f t="shared" si="3622"/>
        <v>10</v>
      </c>
      <c r="R6737" s="102">
        <v>150000</v>
      </c>
      <c r="S6737" s="102">
        <f t="shared" si="3623"/>
        <v>1650000.0000000002</v>
      </c>
      <c r="T6737" s="102">
        <f t="shared" si="3624"/>
        <v>1500000</v>
      </c>
      <c r="U6737" s="71"/>
      <c r="V6737" s="71"/>
      <c r="W6737" s="474"/>
      <c r="X6737" s="71"/>
      <c r="Y6737" s="71"/>
    </row>
    <row r="6738" spans="1:25" ht="30" hidden="1" customHeight="1" x14ac:dyDescent="0.25">
      <c r="A6738" s="1145">
        <v>45376</v>
      </c>
      <c r="B6738" s="664" t="s">
        <v>1178</v>
      </c>
      <c r="C6738" s="71" t="s">
        <v>4066</v>
      </c>
      <c r="D6738" s="71">
        <v>1</v>
      </c>
      <c r="E6738" s="102">
        <v>3600000</v>
      </c>
      <c r="F6738" s="102">
        <f t="shared" si="3616"/>
        <v>3960000.0000000005</v>
      </c>
      <c r="G6738" s="102">
        <f t="shared" si="3617"/>
        <v>3600000</v>
      </c>
      <c r="H6738" s="690" t="s">
        <v>142</v>
      </c>
      <c r="I6738" s="71" t="s">
        <v>142</v>
      </c>
      <c r="J6738" s="53">
        <f t="shared" ref="J6738:J6742" si="3626">G6738-T6738</f>
        <v>1800000</v>
      </c>
      <c r="K6738" s="63">
        <f t="shared" ref="K6738:K6742" si="3627">(J6738/(F6738/11*10))</f>
        <v>0.49999999999999994</v>
      </c>
      <c r="L6738" s="1212" t="s">
        <v>4054</v>
      </c>
      <c r="M6738" s="102"/>
      <c r="N6738" s="1192">
        <f t="shared" si="3620"/>
        <v>45376</v>
      </c>
      <c r="O6738" s="71" t="s">
        <v>2224</v>
      </c>
      <c r="P6738" s="103" t="str">
        <f t="shared" si="3621"/>
        <v>플렉소 엔드씰</v>
      </c>
      <c r="Q6738" s="71">
        <f t="shared" si="3622"/>
        <v>1</v>
      </c>
      <c r="R6738" s="102">
        <v>1800000</v>
      </c>
      <c r="S6738" s="102">
        <f t="shared" si="3623"/>
        <v>1980000.0000000002</v>
      </c>
      <c r="T6738" s="102">
        <f t="shared" si="3624"/>
        <v>1800000</v>
      </c>
      <c r="U6738" s="71"/>
      <c r="V6738" s="71"/>
      <c r="W6738" s="474"/>
      <c r="X6738" s="71"/>
      <c r="Y6738" s="71"/>
    </row>
    <row r="6739" spans="1:25" ht="30" hidden="1" customHeight="1" x14ac:dyDescent="0.25">
      <c r="A6739" s="1145">
        <v>45376</v>
      </c>
      <c r="B6739" s="664" t="s">
        <v>1178</v>
      </c>
      <c r="C6739" s="71" t="s">
        <v>4071</v>
      </c>
      <c r="D6739" s="71">
        <v>1</v>
      </c>
      <c r="E6739" s="102">
        <v>6109091</v>
      </c>
      <c r="F6739" s="102">
        <f t="shared" si="3616"/>
        <v>6720000.1000000006</v>
      </c>
      <c r="G6739" s="102">
        <f t="shared" si="3617"/>
        <v>6109091</v>
      </c>
      <c r="H6739" s="690" t="s">
        <v>142</v>
      </c>
      <c r="I6739" s="71" t="s">
        <v>142</v>
      </c>
      <c r="J6739" s="53">
        <f t="shared" si="3626"/>
        <v>1071091</v>
      </c>
      <c r="K6739" s="63">
        <f t="shared" si="3627"/>
        <v>0.17532739322429472</v>
      </c>
      <c r="L6739" s="1212" t="s">
        <v>4054</v>
      </c>
      <c r="M6739" s="468"/>
      <c r="N6739" s="1192">
        <f t="shared" si="3620"/>
        <v>45376</v>
      </c>
      <c r="O6739" s="71" t="s">
        <v>145</v>
      </c>
      <c r="P6739" s="103" t="str">
        <f t="shared" si="3621"/>
        <v>CTP 850*780 1200장</v>
      </c>
      <c r="Q6739" s="71">
        <f t="shared" si="3622"/>
        <v>1</v>
      </c>
      <c r="R6739" s="147">
        <v>5038000</v>
      </c>
      <c r="S6739" s="102">
        <f t="shared" si="3623"/>
        <v>5541800</v>
      </c>
      <c r="T6739" s="102">
        <f t="shared" si="3624"/>
        <v>5038000</v>
      </c>
      <c r="U6739" s="71"/>
      <c r="V6739" s="71"/>
      <c r="W6739" s="474"/>
      <c r="X6739" s="71"/>
      <c r="Y6739" s="71"/>
    </row>
    <row r="6740" spans="1:25" ht="30" hidden="1" customHeight="1" x14ac:dyDescent="0.25">
      <c r="A6740" s="1145">
        <v>45376</v>
      </c>
      <c r="B6740" s="664" t="s">
        <v>546</v>
      </c>
      <c r="C6740" s="71" t="s">
        <v>114</v>
      </c>
      <c r="D6740" s="71">
        <v>50</v>
      </c>
      <c r="E6740" s="102">
        <v>18000</v>
      </c>
      <c r="F6740" s="102">
        <f t="shared" si="3616"/>
        <v>990000.00000000012</v>
      </c>
      <c r="G6740" s="102">
        <f t="shared" si="3617"/>
        <v>900000</v>
      </c>
      <c r="H6740" s="690" t="s">
        <v>1431</v>
      </c>
      <c r="I6740" s="71" t="s">
        <v>1431</v>
      </c>
      <c r="J6740" s="53">
        <f t="shared" si="3626"/>
        <v>365000</v>
      </c>
      <c r="K6740" s="63">
        <f t="shared" si="3627"/>
        <v>0.4055555555555555</v>
      </c>
      <c r="L6740" s="1212" t="s">
        <v>4054</v>
      </c>
      <c r="M6740" s="102"/>
      <c r="N6740" s="1192">
        <f t="shared" si="3620"/>
        <v>45376</v>
      </c>
      <c r="O6740" s="71" t="s">
        <v>1431</v>
      </c>
      <c r="P6740" s="103" t="str">
        <f t="shared" si="3621"/>
        <v>스트리퍼</v>
      </c>
      <c r="Q6740" s="71">
        <f t="shared" si="3622"/>
        <v>50</v>
      </c>
      <c r="R6740" s="102">
        <v>10700</v>
      </c>
      <c r="S6740" s="102">
        <f t="shared" si="3623"/>
        <v>588500</v>
      </c>
      <c r="T6740" s="102">
        <f t="shared" si="3624"/>
        <v>535000</v>
      </c>
      <c r="U6740" s="71"/>
      <c r="V6740" s="71"/>
      <c r="W6740" s="474"/>
      <c r="X6740" s="71"/>
      <c r="Y6740" s="71"/>
    </row>
    <row r="6741" spans="1:25" ht="30" hidden="1" customHeight="1" x14ac:dyDescent="0.25">
      <c r="A6741" s="1145">
        <v>45376</v>
      </c>
      <c r="B6741" s="664" t="s">
        <v>2261</v>
      </c>
      <c r="C6741" s="71" t="s">
        <v>4068</v>
      </c>
      <c r="D6741" s="71">
        <v>1</v>
      </c>
      <c r="E6741" s="102">
        <v>1100000</v>
      </c>
      <c r="F6741" s="102">
        <f t="shared" si="3616"/>
        <v>1210000</v>
      </c>
      <c r="G6741" s="102">
        <f t="shared" si="3617"/>
        <v>1100000</v>
      </c>
      <c r="H6741" s="690" t="s">
        <v>1431</v>
      </c>
      <c r="I6741" s="71" t="s">
        <v>1431</v>
      </c>
      <c r="J6741" s="53">
        <f t="shared" si="3626"/>
        <v>400000</v>
      </c>
      <c r="K6741" s="63">
        <f t="shared" si="3627"/>
        <v>0.36363636363636365</v>
      </c>
      <c r="L6741" s="1212" t="s">
        <v>4054</v>
      </c>
      <c r="M6741" s="468"/>
      <c r="N6741" s="1192">
        <f t="shared" si="3620"/>
        <v>45376</v>
      </c>
      <c r="O6741" s="71" t="s">
        <v>1431</v>
      </c>
      <c r="P6741" s="103" t="str">
        <f t="shared" si="3621"/>
        <v>칠롤 씰 키트</v>
      </c>
      <c r="Q6741" s="71">
        <f t="shared" si="3622"/>
        <v>1</v>
      </c>
      <c r="R6741" s="147">
        <v>700000</v>
      </c>
      <c r="S6741" s="102">
        <f t="shared" si="3623"/>
        <v>770000.00000000012</v>
      </c>
      <c r="T6741" s="102">
        <f t="shared" si="3624"/>
        <v>700000</v>
      </c>
      <c r="U6741" s="71"/>
      <c r="V6741" s="71"/>
      <c r="W6741" s="474"/>
      <c r="X6741" s="71"/>
      <c r="Y6741" s="71"/>
    </row>
    <row r="6742" spans="1:25" ht="30" hidden="1" customHeight="1" x14ac:dyDescent="0.25">
      <c r="A6742" s="1145">
        <v>45376</v>
      </c>
      <c r="B6742" s="664" t="s">
        <v>2261</v>
      </c>
      <c r="C6742" s="71" t="s">
        <v>4067</v>
      </c>
      <c r="D6742" s="71">
        <v>5</v>
      </c>
      <c r="E6742" s="102">
        <v>92000</v>
      </c>
      <c r="F6742" s="102">
        <f t="shared" si="3616"/>
        <v>506000.00000000006</v>
      </c>
      <c r="G6742" s="102">
        <f t="shared" si="3617"/>
        <v>460000</v>
      </c>
      <c r="H6742" s="690" t="s">
        <v>1431</v>
      </c>
      <c r="I6742" s="71" t="s">
        <v>1431</v>
      </c>
      <c r="J6742" s="53">
        <f t="shared" si="3626"/>
        <v>88500</v>
      </c>
      <c r="K6742" s="63">
        <f t="shared" si="3627"/>
        <v>0.19239130434782606</v>
      </c>
      <c r="L6742" s="1212" t="s">
        <v>4054</v>
      </c>
      <c r="M6742" s="102"/>
      <c r="N6742" s="1192">
        <f t="shared" si="3620"/>
        <v>45376</v>
      </c>
      <c r="O6742" s="71" t="s">
        <v>1431</v>
      </c>
      <c r="P6742" s="103" t="str">
        <f t="shared" si="3621"/>
        <v>스프팅</v>
      </c>
      <c r="Q6742" s="71">
        <f t="shared" si="3622"/>
        <v>5</v>
      </c>
      <c r="R6742" s="102">
        <v>74300</v>
      </c>
      <c r="S6742" s="102">
        <f t="shared" si="3623"/>
        <v>408650.00000000006</v>
      </c>
      <c r="T6742" s="102">
        <f t="shared" si="3624"/>
        <v>371500</v>
      </c>
      <c r="U6742" s="71"/>
      <c r="V6742" s="71"/>
      <c r="W6742" s="474"/>
      <c r="X6742" s="71"/>
      <c r="Y6742" s="71"/>
    </row>
    <row r="6743" spans="1:25" ht="30" hidden="1" customHeight="1" x14ac:dyDescent="0.25">
      <c r="A6743" s="1145">
        <v>45376</v>
      </c>
      <c r="B6743" s="664" t="s">
        <v>4059</v>
      </c>
      <c r="C6743" s="71" t="s">
        <v>2137</v>
      </c>
      <c r="D6743" s="71">
        <v>1</v>
      </c>
      <c r="E6743" s="102">
        <v>550000</v>
      </c>
      <c r="F6743" s="102">
        <f t="shared" si="3616"/>
        <v>605000</v>
      </c>
      <c r="G6743" s="102">
        <f t="shared" si="3617"/>
        <v>550000</v>
      </c>
      <c r="H6743" s="690" t="s">
        <v>1431</v>
      </c>
      <c r="I6743" s="71" t="s">
        <v>1431</v>
      </c>
      <c r="J6743" s="53">
        <f t="shared" ref="J6743:J6744" si="3628">G6743-T6743</f>
        <v>-10000</v>
      </c>
      <c r="K6743" s="63">
        <f t="shared" ref="K6743:K6744" si="3629">(J6743/(F6743/11*10))</f>
        <v>-1.8181818181818181E-2</v>
      </c>
      <c r="L6743" s="1212" t="s">
        <v>4054</v>
      </c>
      <c r="M6743" s="468"/>
      <c r="N6743" s="1192">
        <f t="shared" si="3620"/>
        <v>45376</v>
      </c>
      <c r="O6743" s="71" t="s">
        <v>2030</v>
      </c>
      <c r="P6743" s="103" t="str">
        <f t="shared" si="3621"/>
        <v>잉크집 아스테이지</v>
      </c>
      <c r="Q6743" s="71">
        <f t="shared" si="3622"/>
        <v>1</v>
      </c>
      <c r="R6743" s="147">
        <v>560000</v>
      </c>
      <c r="S6743" s="102">
        <f t="shared" si="3623"/>
        <v>616000</v>
      </c>
      <c r="T6743" s="102">
        <f t="shared" si="3624"/>
        <v>560000</v>
      </c>
      <c r="U6743" s="71"/>
      <c r="V6743" s="71"/>
      <c r="W6743" s="474"/>
      <c r="X6743" s="71"/>
      <c r="Y6743" s="71"/>
    </row>
    <row r="6744" spans="1:25" ht="30" hidden="1" customHeight="1" x14ac:dyDescent="0.25">
      <c r="A6744" s="1145">
        <v>45376</v>
      </c>
      <c r="B6744" s="664" t="s">
        <v>1299</v>
      </c>
      <c r="C6744" s="71" t="s">
        <v>1300</v>
      </c>
      <c r="D6744" s="71">
        <v>50</v>
      </c>
      <c r="E6744" s="102">
        <v>42000</v>
      </c>
      <c r="F6744" s="102">
        <f t="shared" si="3616"/>
        <v>2310000</v>
      </c>
      <c r="G6744" s="102">
        <f t="shared" si="3617"/>
        <v>2100000</v>
      </c>
      <c r="H6744" s="690" t="s">
        <v>142</v>
      </c>
      <c r="I6744" s="71" t="s">
        <v>142</v>
      </c>
      <c r="J6744" s="53">
        <f t="shared" si="3628"/>
        <v>275000</v>
      </c>
      <c r="K6744" s="63">
        <f t="shared" si="3629"/>
        <v>0.13095238095238096</v>
      </c>
      <c r="L6744" s="1212" t="s">
        <v>4054</v>
      </c>
      <c r="M6744" s="102"/>
      <c r="N6744" s="1192">
        <f t="shared" si="3620"/>
        <v>45376</v>
      </c>
      <c r="O6744" s="71" t="s">
        <v>1431</v>
      </c>
      <c r="P6744" s="103" t="str">
        <f t="shared" si="3621"/>
        <v>솔레노이드 코일</v>
      </c>
      <c r="Q6744" s="71">
        <f t="shared" si="3622"/>
        <v>50</v>
      </c>
      <c r="R6744" s="102">
        <v>36500</v>
      </c>
      <c r="S6744" s="102">
        <f t="shared" si="3623"/>
        <v>2007500.0000000002</v>
      </c>
      <c r="T6744" s="102">
        <f t="shared" si="3624"/>
        <v>1825000</v>
      </c>
      <c r="U6744" s="71"/>
      <c r="V6744" s="71"/>
      <c r="W6744" s="474"/>
      <c r="X6744" s="71"/>
      <c r="Y6744" s="71"/>
    </row>
    <row r="6745" spans="1:25" ht="30" hidden="1" customHeight="1" x14ac:dyDescent="0.25">
      <c r="A6745" s="1145">
        <v>45376</v>
      </c>
      <c r="B6745" s="664" t="s">
        <v>150</v>
      </c>
      <c r="C6745" s="71" t="s">
        <v>4069</v>
      </c>
      <c r="D6745" s="71">
        <v>1</v>
      </c>
      <c r="E6745" s="102">
        <v>30000000</v>
      </c>
      <c r="F6745" s="102">
        <f t="shared" si="3616"/>
        <v>33000000.000000004</v>
      </c>
      <c r="G6745" s="102">
        <f t="shared" si="3617"/>
        <v>30000000</v>
      </c>
      <c r="H6745" s="690" t="s">
        <v>281</v>
      </c>
      <c r="I6745" s="71" t="s">
        <v>281</v>
      </c>
      <c r="J6745" s="53"/>
      <c r="K6745" s="63"/>
      <c r="L6745" s="1212" t="s">
        <v>4054</v>
      </c>
      <c r="M6745" s="468"/>
      <c r="N6745" s="1192">
        <f t="shared" si="3620"/>
        <v>45376</v>
      </c>
      <c r="O6745" s="71"/>
      <c r="P6745" s="103" t="str">
        <f t="shared" si="3621"/>
        <v>프린피아 M600 이전 공사비</v>
      </c>
      <c r="Q6745" s="71">
        <f t="shared" si="3622"/>
        <v>1</v>
      </c>
      <c r="R6745" s="147"/>
      <c r="S6745" s="102">
        <f t="shared" ref="S6745" si="3630">R6745*Q6745*1.1</f>
        <v>0</v>
      </c>
      <c r="T6745" s="102">
        <f t="shared" ref="T6745" si="3631">R6745*Q6745</f>
        <v>0</v>
      </c>
      <c r="U6745" s="71"/>
      <c r="V6745" s="71"/>
      <c r="W6745" s="474"/>
      <c r="X6745" s="71"/>
      <c r="Y6745" s="71"/>
    </row>
    <row r="6746" spans="1:25" ht="30" hidden="1" customHeight="1" x14ac:dyDescent="0.25">
      <c r="A6746" s="1145">
        <v>45376</v>
      </c>
      <c r="B6746" s="664" t="s">
        <v>3307</v>
      </c>
      <c r="C6746" s="71" t="s">
        <v>3703</v>
      </c>
      <c r="D6746" s="71">
        <v>1</v>
      </c>
      <c r="E6746" s="102">
        <v>2350000</v>
      </c>
      <c r="F6746" s="102">
        <f t="shared" si="3616"/>
        <v>2585000</v>
      </c>
      <c r="G6746" s="102">
        <f t="shared" si="3617"/>
        <v>2350000</v>
      </c>
      <c r="H6746" s="690" t="s">
        <v>36</v>
      </c>
      <c r="I6746" s="690" t="s">
        <v>36</v>
      </c>
      <c r="J6746" s="53">
        <f t="shared" ref="J6746" si="3632">G6746-T6746</f>
        <v>600000</v>
      </c>
      <c r="K6746" s="63">
        <f t="shared" ref="K6746" si="3633">(J6746/(F6746/11*10))</f>
        <v>0.25531914893617019</v>
      </c>
      <c r="L6746" s="1212" t="s">
        <v>4070</v>
      </c>
      <c r="M6746" s="468"/>
      <c r="N6746" s="1192">
        <v>45194</v>
      </c>
      <c r="O6746" s="71" t="s">
        <v>3298</v>
      </c>
      <c r="P6746" s="103" t="s">
        <v>3917</v>
      </c>
      <c r="Q6746" s="71">
        <f t="shared" si="3622"/>
        <v>1</v>
      </c>
      <c r="R6746" s="147">
        <v>1750000</v>
      </c>
      <c r="S6746" s="102">
        <f t="shared" ref="S6746" si="3634">R6746*Q6746*1.1</f>
        <v>1925000.0000000002</v>
      </c>
      <c r="T6746" s="102">
        <f t="shared" ref="T6746" si="3635">R6746*Q6746</f>
        <v>1750000</v>
      </c>
      <c r="U6746" s="71"/>
      <c r="V6746" s="71"/>
      <c r="W6746" s="474"/>
      <c r="X6746" s="71"/>
      <c r="Y6746" s="71"/>
    </row>
    <row r="6747" spans="1:25" ht="30" hidden="1" customHeight="1" x14ac:dyDescent="0.25">
      <c r="A6747" s="1210" t="s">
        <v>4081</v>
      </c>
      <c r="B6747" s="1211" t="s">
        <v>544</v>
      </c>
      <c r="C6747" s="960"/>
      <c r="D6747" s="960"/>
      <c r="E6747" s="952"/>
      <c r="F6747" s="952"/>
      <c r="G6747" s="952"/>
      <c r="H6747" s="1206"/>
      <c r="I6747" s="960"/>
      <c r="J6747" s="952"/>
      <c r="K6747" s="953"/>
      <c r="L6747" s="1212" t="s">
        <v>4083</v>
      </c>
      <c r="M6747" s="1207"/>
      <c r="N6747" s="1208" t="str">
        <f t="shared" ref="N6747:N6748" si="3636">A6747</f>
        <v>2024,4</v>
      </c>
      <c r="O6747" s="960"/>
      <c r="P6747" s="1209"/>
      <c r="Q6747" s="960"/>
      <c r="R6747" s="952"/>
      <c r="S6747" s="952"/>
      <c r="T6747" s="952"/>
      <c r="U6747" s="960"/>
      <c r="V6747" s="960"/>
      <c r="W6747" s="474">
        <f>(G6747-T6747)</f>
        <v>0</v>
      </c>
      <c r="X6747" s="71"/>
      <c r="Y6747" s="71"/>
    </row>
    <row r="6748" spans="1:25" ht="30" customHeight="1" x14ac:dyDescent="0.25">
      <c r="A6748" s="1145">
        <v>45408</v>
      </c>
      <c r="B6748" s="664" t="s">
        <v>641</v>
      </c>
      <c r="C6748" s="71" t="s">
        <v>3293</v>
      </c>
      <c r="D6748" s="71">
        <v>60</v>
      </c>
      <c r="E6748" s="102">
        <v>84000</v>
      </c>
      <c r="F6748" s="102">
        <f t="shared" ref="F6748:F6811" si="3637">(E6748*D6748)*1.1</f>
        <v>5544000</v>
      </c>
      <c r="G6748" s="102">
        <f t="shared" ref="G6748" si="3638">(E6748*D6748)</f>
        <v>5040000</v>
      </c>
      <c r="H6748" s="690" t="s">
        <v>172</v>
      </c>
      <c r="I6748" s="71" t="s">
        <v>38</v>
      </c>
      <c r="J6748" s="53">
        <f t="shared" ref="J6748" si="3639">G6748-T6748</f>
        <v>1980000</v>
      </c>
      <c r="K6748" s="63">
        <f t="shared" ref="K6748:K6811" si="3640">(J6748/(F6748/11*10))</f>
        <v>0.39285714285714285</v>
      </c>
      <c r="L6748" s="1212" t="s">
        <v>4085</v>
      </c>
      <c r="M6748" s="468"/>
      <c r="N6748" s="1192">
        <f t="shared" si="3636"/>
        <v>45408</v>
      </c>
      <c r="O6748" s="71" t="s">
        <v>3291</v>
      </c>
      <c r="P6748" s="103" t="str">
        <f t="shared" ref="P6748" si="3641">(C6748)</f>
        <v>GOSS 신문윤전 습식세정포</v>
      </c>
      <c r="Q6748" s="71">
        <f t="shared" ref="Q6748:Q6811" si="3642">D6748</f>
        <v>60</v>
      </c>
      <c r="R6748" s="102">
        <v>51000</v>
      </c>
      <c r="S6748" s="102">
        <f t="shared" ref="S6748:S6811" si="3643">R6748*Q6748*1.1</f>
        <v>3366000.0000000005</v>
      </c>
      <c r="T6748" s="102">
        <f t="shared" ref="T6748:T6811" si="3644">R6748*Q6748</f>
        <v>3060000</v>
      </c>
      <c r="U6748" s="71" t="str">
        <f>IF(J6748=W6748,"O", "X")</f>
        <v>X</v>
      </c>
      <c r="V6748" s="71"/>
      <c r="W6748" s="474"/>
      <c r="X6748" s="71"/>
      <c r="Y6748" s="71"/>
    </row>
    <row r="6749" spans="1:25" ht="30" customHeight="1" x14ac:dyDescent="0.25">
      <c r="A6749" s="1145">
        <v>45400</v>
      </c>
      <c r="B6749" s="664" t="s">
        <v>2352</v>
      </c>
      <c r="C6749" s="71" t="s">
        <v>3837</v>
      </c>
      <c r="D6749" s="71">
        <v>48</v>
      </c>
      <c r="E6749" s="102">
        <v>13500</v>
      </c>
      <c r="F6749" s="102">
        <f t="shared" si="3637"/>
        <v>712800</v>
      </c>
      <c r="G6749" s="102">
        <f t="shared" ref="G6749:G6755" si="3645">(E6749*D6749)</f>
        <v>648000</v>
      </c>
      <c r="H6749" s="690" t="s">
        <v>179</v>
      </c>
      <c r="I6749" s="71" t="s">
        <v>179</v>
      </c>
      <c r="J6749" s="53">
        <v>246480</v>
      </c>
      <c r="K6749" s="63">
        <f t="shared" si="3640"/>
        <v>0.38037037037037036</v>
      </c>
      <c r="L6749" s="1212" t="s">
        <v>4083</v>
      </c>
      <c r="M6749" s="468"/>
      <c r="N6749" s="1192">
        <v>45308</v>
      </c>
      <c r="O6749" s="71"/>
      <c r="P6749" s="103" t="s">
        <v>4056</v>
      </c>
      <c r="Q6749" s="71">
        <f t="shared" si="3642"/>
        <v>48</v>
      </c>
      <c r="R6749" s="102">
        <v>8365</v>
      </c>
      <c r="S6749" s="102">
        <f t="shared" si="3643"/>
        <v>441672.00000000006</v>
      </c>
      <c r="T6749" s="102">
        <f t="shared" si="3644"/>
        <v>401520</v>
      </c>
      <c r="U6749" s="71"/>
      <c r="V6749" s="71"/>
      <c r="W6749" s="474"/>
      <c r="X6749" s="71"/>
      <c r="Y6749" s="71"/>
    </row>
    <row r="6750" spans="1:25" ht="30" customHeight="1" x14ac:dyDescent="0.25">
      <c r="A6750" s="1145">
        <v>45400</v>
      </c>
      <c r="B6750" s="664" t="s">
        <v>2352</v>
      </c>
      <c r="C6750" s="71" t="s">
        <v>3836</v>
      </c>
      <c r="D6750" s="71">
        <v>32</v>
      </c>
      <c r="E6750" s="102">
        <v>18500</v>
      </c>
      <c r="F6750" s="102">
        <f t="shared" si="3637"/>
        <v>651200</v>
      </c>
      <c r="G6750" s="102">
        <f t="shared" si="3645"/>
        <v>592000</v>
      </c>
      <c r="H6750" s="690" t="s">
        <v>179</v>
      </c>
      <c r="I6750" s="71" t="s">
        <v>179</v>
      </c>
      <c r="J6750" s="53">
        <v>355968</v>
      </c>
      <c r="K6750" s="63">
        <f t="shared" si="3640"/>
        <v>0.60129729729729731</v>
      </c>
      <c r="L6750" s="1212" t="s">
        <v>4082</v>
      </c>
      <c r="M6750" s="468"/>
      <c r="N6750" s="1192">
        <v>45327</v>
      </c>
      <c r="O6750" s="71"/>
      <c r="P6750" s="103" t="s">
        <v>4057</v>
      </c>
      <c r="Q6750" s="71">
        <f t="shared" si="3642"/>
        <v>32</v>
      </c>
      <c r="R6750" s="102">
        <v>11084</v>
      </c>
      <c r="S6750" s="102">
        <f t="shared" si="3643"/>
        <v>390156.80000000005</v>
      </c>
      <c r="T6750" s="102">
        <f t="shared" si="3644"/>
        <v>354688</v>
      </c>
      <c r="U6750" s="71"/>
      <c r="V6750" s="71"/>
      <c r="W6750" s="474"/>
      <c r="X6750" s="71"/>
      <c r="Y6750" s="71"/>
    </row>
    <row r="6751" spans="1:25" ht="30" customHeight="1" x14ac:dyDescent="0.25">
      <c r="A6751" s="1145">
        <v>45400</v>
      </c>
      <c r="B6751" s="664" t="s">
        <v>2352</v>
      </c>
      <c r="C6751" s="760" t="s">
        <v>218</v>
      </c>
      <c r="D6751" s="71">
        <v>2</v>
      </c>
      <c r="E6751" s="102">
        <v>286000</v>
      </c>
      <c r="F6751" s="102">
        <f t="shared" si="3637"/>
        <v>629200</v>
      </c>
      <c r="G6751" s="102">
        <f t="shared" si="3645"/>
        <v>572000</v>
      </c>
      <c r="H6751" s="690" t="s">
        <v>142</v>
      </c>
      <c r="I6751" s="71" t="s">
        <v>179</v>
      </c>
      <c r="J6751" s="53">
        <f t="shared" ref="J6751:J6814" si="3646">G6751-T6751</f>
        <v>324000</v>
      </c>
      <c r="K6751" s="63">
        <f t="shared" si="3640"/>
        <v>0.56643356643356646</v>
      </c>
      <c r="L6751" s="1212" t="s">
        <v>4082</v>
      </c>
      <c r="M6751" s="468" t="s">
        <v>2053</v>
      </c>
      <c r="N6751" s="1192">
        <f t="shared" ref="N6751:N6755" si="3647">A6751</f>
        <v>45400</v>
      </c>
      <c r="O6751" s="71" t="s">
        <v>150</v>
      </c>
      <c r="P6751" s="103" t="str">
        <f t="shared" ref="P6751:P6755" si="3648">(C6751)</f>
        <v>Fount Web 551AF</v>
      </c>
      <c r="Q6751" s="71">
        <f t="shared" si="3642"/>
        <v>2</v>
      </c>
      <c r="R6751" s="102">
        <v>124000</v>
      </c>
      <c r="S6751" s="102">
        <f t="shared" si="3643"/>
        <v>272800</v>
      </c>
      <c r="T6751" s="102">
        <f t="shared" si="3644"/>
        <v>248000</v>
      </c>
      <c r="U6751" s="71" t="str">
        <f>IF(J6751=W6751,"O", "X")</f>
        <v>O</v>
      </c>
      <c r="V6751" s="71"/>
      <c r="W6751" s="474">
        <f>(G6751-T6751)</f>
        <v>324000</v>
      </c>
      <c r="X6751" s="71"/>
      <c r="Y6751" s="71"/>
    </row>
    <row r="6752" spans="1:25" ht="30" customHeight="1" x14ac:dyDescent="0.25">
      <c r="A6752" s="1145">
        <v>45400</v>
      </c>
      <c r="B6752" s="664" t="s">
        <v>2352</v>
      </c>
      <c r="C6752" s="71" t="s">
        <v>692</v>
      </c>
      <c r="D6752" s="71">
        <v>4</v>
      </c>
      <c r="E6752" s="102">
        <v>264000</v>
      </c>
      <c r="F6752" s="102">
        <f t="shared" si="3637"/>
        <v>1161600</v>
      </c>
      <c r="G6752" s="102">
        <f t="shared" si="3645"/>
        <v>1056000</v>
      </c>
      <c r="H6752" s="690" t="s">
        <v>142</v>
      </c>
      <c r="I6752" s="71" t="s">
        <v>179</v>
      </c>
      <c r="J6752" s="53">
        <f t="shared" si="3646"/>
        <v>390000</v>
      </c>
      <c r="K6752" s="63">
        <f t="shared" si="3640"/>
        <v>0.36931818181818182</v>
      </c>
      <c r="L6752" s="1212" t="s">
        <v>4082</v>
      </c>
      <c r="M6752" s="468" t="s">
        <v>2052</v>
      </c>
      <c r="N6752" s="1192">
        <f t="shared" si="3647"/>
        <v>45400</v>
      </c>
      <c r="O6752" s="71" t="s">
        <v>150</v>
      </c>
      <c r="P6752" s="103" t="str">
        <f t="shared" si="3648"/>
        <v>윤전 블랑켓</v>
      </c>
      <c r="Q6752" s="71">
        <f t="shared" si="3642"/>
        <v>4</v>
      </c>
      <c r="R6752" s="102">
        <v>166500</v>
      </c>
      <c r="S6752" s="102">
        <f t="shared" si="3643"/>
        <v>732600.00000000012</v>
      </c>
      <c r="T6752" s="102">
        <f t="shared" si="3644"/>
        <v>666000</v>
      </c>
      <c r="U6752" s="71" t="str">
        <f>IF(J6752=W6752,"O", "X")</f>
        <v>O</v>
      </c>
      <c r="V6752" s="71" t="s">
        <v>784</v>
      </c>
      <c r="W6752" s="474">
        <f>(G6752-T6752)</f>
        <v>390000</v>
      </c>
      <c r="X6752" s="71"/>
      <c r="Y6752" s="71"/>
    </row>
    <row r="6753" spans="1:25" ht="30" hidden="1" customHeight="1" x14ac:dyDescent="0.25">
      <c r="A6753" s="1145">
        <v>45391</v>
      </c>
      <c r="B6753" s="664" t="s">
        <v>2353</v>
      </c>
      <c r="C6753" s="71" t="s">
        <v>129</v>
      </c>
      <c r="D6753" s="71">
        <v>7</v>
      </c>
      <c r="E6753" s="102">
        <v>325000</v>
      </c>
      <c r="F6753" s="102">
        <f t="shared" si="3637"/>
        <v>2502500</v>
      </c>
      <c r="G6753" s="102">
        <f t="shared" si="3645"/>
        <v>2275000</v>
      </c>
      <c r="H6753" s="690" t="s">
        <v>142</v>
      </c>
      <c r="I6753" s="71" t="s">
        <v>179</v>
      </c>
      <c r="J6753" s="53">
        <f t="shared" si="3646"/>
        <v>636440</v>
      </c>
      <c r="K6753" s="63">
        <f t="shared" si="3640"/>
        <v>0.27975384615384613</v>
      </c>
      <c r="L6753" s="1212" t="s">
        <v>4082</v>
      </c>
      <c r="M6753" s="468" t="s">
        <v>2050</v>
      </c>
      <c r="N6753" s="1192">
        <f t="shared" si="3647"/>
        <v>45391</v>
      </c>
      <c r="O6753" s="71" t="s">
        <v>149</v>
      </c>
      <c r="P6753" s="103" t="str">
        <f t="shared" si="3648"/>
        <v>세정포-XL106</v>
      </c>
      <c r="Q6753" s="71">
        <f t="shared" si="3642"/>
        <v>7</v>
      </c>
      <c r="R6753" s="102">
        <v>234080</v>
      </c>
      <c r="S6753" s="102">
        <f t="shared" si="3643"/>
        <v>1802416.0000000002</v>
      </c>
      <c r="T6753" s="102">
        <f t="shared" si="3644"/>
        <v>1638560</v>
      </c>
      <c r="U6753" s="71" t="str">
        <f>IF(J6753=W6753,"O", "X")</f>
        <v>O</v>
      </c>
      <c r="V6753" s="71"/>
      <c r="W6753" s="474">
        <f>(G6753-T6753)</f>
        <v>636440</v>
      </c>
      <c r="X6753" s="71"/>
      <c r="Y6753" s="71"/>
    </row>
    <row r="6754" spans="1:25" s="209" customFormat="1" ht="30" hidden="1" customHeight="1" x14ac:dyDescent="0.25">
      <c r="A6754" s="1145">
        <v>45391</v>
      </c>
      <c r="B6754" s="664" t="s">
        <v>2353</v>
      </c>
      <c r="C6754" s="71" t="s">
        <v>3299</v>
      </c>
      <c r="D6754" s="71">
        <v>10</v>
      </c>
      <c r="E6754" s="102">
        <v>83000</v>
      </c>
      <c r="F6754" s="102">
        <f t="shared" si="3637"/>
        <v>913000.00000000012</v>
      </c>
      <c r="G6754" s="102">
        <f t="shared" si="3645"/>
        <v>830000</v>
      </c>
      <c r="H6754" s="690" t="s">
        <v>142</v>
      </c>
      <c r="I6754" s="71" t="s">
        <v>179</v>
      </c>
      <c r="J6754" s="53">
        <f t="shared" si="3646"/>
        <v>355000</v>
      </c>
      <c r="K6754" s="63">
        <f t="shared" si="3640"/>
        <v>0.42771084337349391</v>
      </c>
      <c r="L6754" s="1212" t="s">
        <v>4082</v>
      </c>
      <c r="M6754" s="468" t="s">
        <v>2214</v>
      </c>
      <c r="N6754" s="1192">
        <f t="shared" si="3647"/>
        <v>45391</v>
      </c>
      <c r="O6754" s="71" t="s">
        <v>3383</v>
      </c>
      <c r="P6754" s="103" t="str">
        <f t="shared" si="3648"/>
        <v>매엽용 세척제(Wash k11)</v>
      </c>
      <c r="Q6754" s="71">
        <f t="shared" si="3642"/>
        <v>10</v>
      </c>
      <c r="R6754" s="102">
        <v>47500</v>
      </c>
      <c r="S6754" s="102">
        <f t="shared" si="3643"/>
        <v>522500.00000000006</v>
      </c>
      <c r="T6754" s="102">
        <f t="shared" si="3644"/>
        <v>475000</v>
      </c>
      <c r="U6754" s="71" t="s">
        <v>859</v>
      </c>
      <c r="V6754" s="71"/>
      <c r="W6754" s="474">
        <v>136000</v>
      </c>
      <c r="X6754" s="71"/>
      <c r="Y6754" s="71"/>
    </row>
    <row r="6755" spans="1:25" s="209" customFormat="1" ht="30" hidden="1" customHeight="1" x14ac:dyDescent="0.25">
      <c r="A6755" s="1145">
        <v>45391</v>
      </c>
      <c r="B6755" s="664" t="s">
        <v>2353</v>
      </c>
      <c r="C6755" s="71" t="s">
        <v>130</v>
      </c>
      <c r="D6755" s="71">
        <v>10</v>
      </c>
      <c r="E6755" s="102">
        <v>148000</v>
      </c>
      <c r="F6755" s="102">
        <f t="shared" si="3637"/>
        <v>1628000.0000000002</v>
      </c>
      <c r="G6755" s="102">
        <f t="shared" si="3645"/>
        <v>1480000</v>
      </c>
      <c r="H6755" s="690" t="s">
        <v>142</v>
      </c>
      <c r="I6755" s="71" t="s">
        <v>179</v>
      </c>
      <c r="J6755" s="53">
        <f t="shared" si="3646"/>
        <v>360000</v>
      </c>
      <c r="K6755" s="63">
        <f t="shared" si="3640"/>
        <v>0.2432432432432432</v>
      </c>
      <c r="L6755" s="1212" t="s">
        <v>4082</v>
      </c>
      <c r="M6755" s="468" t="s">
        <v>2050</v>
      </c>
      <c r="N6755" s="1192">
        <f t="shared" si="3647"/>
        <v>45391</v>
      </c>
      <c r="O6755" s="71" t="s">
        <v>3383</v>
      </c>
      <c r="P6755" s="103" t="str">
        <f t="shared" si="3648"/>
        <v>XL106 Blanket(1077*885)</v>
      </c>
      <c r="Q6755" s="71">
        <f t="shared" si="3642"/>
        <v>10</v>
      </c>
      <c r="R6755" s="102">
        <v>112000</v>
      </c>
      <c r="S6755" s="102">
        <f t="shared" si="3643"/>
        <v>1232000</v>
      </c>
      <c r="T6755" s="102">
        <f t="shared" si="3644"/>
        <v>1120000</v>
      </c>
      <c r="U6755" s="71" t="s">
        <v>859</v>
      </c>
      <c r="V6755" s="71"/>
      <c r="W6755" s="474">
        <v>260000</v>
      </c>
      <c r="X6755" s="71"/>
      <c r="Y6755" s="71"/>
    </row>
    <row r="6756" spans="1:25" ht="30" hidden="1" customHeight="1" x14ac:dyDescent="0.25">
      <c r="A6756" s="1145">
        <v>45412</v>
      </c>
      <c r="B6756" s="664" t="s">
        <v>2353</v>
      </c>
      <c r="C6756" s="71" t="s">
        <v>129</v>
      </c>
      <c r="D6756" s="71">
        <v>7</v>
      </c>
      <c r="E6756" s="102">
        <v>325000</v>
      </c>
      <c r="F6756" s="102">
        <f t="shared" si="3637"/>
        <v>2502500</v>
      </c>
      <c r="G6756" s="102">
        <f t="shared" ref="G6756:G6783" si="3649">(E6756*D6756)</f>
        <v>2275000</v>
      </c>
      <c r="H6756" s="690" t="s">
        <v>142</v>
      </c>
      <c r="I6756" s="71" t="s">
        <v>179</v>
      </c>
      <c r="J6756" s="53">
        <f t="shared" si="3646"/>
        <v>636440</v>
      </c>
      <c r="K6756" s="63">
        <f t="shared" si="3640"/>
        <v>0.27975384615384613</v>
      </c>
      <c r="L6756" s="1212" t="s">
        <v>4082</v>
      </c>
      <c r="M6756" s="468" t="s">
        <v>2050</v>
      </c>
      <c r="N6756" s="1192">
        <f t="shared" ref="N6756:N6760" si="3650">A6756</f>
        <v>45412</v>
      </c>
      <c r="O6756" s="71" t="s">
        <v>149</v>
      </c>
      <c r="P6756" s="103" t="str">
        <f t="shared" ref="P6756:P6761" si="3651">(C6756)</f>
        <v>세정포-XL106</v>
      </c>
      <c r="Q6756" s="71">
        <f t="shared" si="3642"/>
        <v>7</v>
      </c>
      <c r="R6756" s="102">
        <v>234080</v>
      </c>
      <c r="S6756" s="102">
        <f t="shared" si="3643"/>
        <v>1802416.0000000002</v>
      </c>
      <c r="T6756" s="102">
        <f t="shared" si="3644"/>
        <v>1638560</v>
      </c>
      <c r="U6756" s="71" t="str">
        <f>IF(J6756=W6756,"O", "X")</f>
        <v>O</v>
      </c>
      <c r="V6756" s="71"/>
      <c r="W6756" s="474">
        <f>(G6756-T6756)</f>
        <v>636440</v>
      </c>
      <c r="X6756" s="71"/>
      <c r="Y6756" s="71"/>
    </row>
    <row r="6757" spans="1:25" s="209" customFormat="1" ht="30" hidden="1" customHeight="1" x14ac:dyDescent="0.25">
      <c r="A6757" s="1145">
        <v>45412</v>
      </c>
      <c r="B6757" s="664" t="s">
        <v>2353</v>
      </c>
      <c r="C6757" s="71" t="s">
        <v>130</v>
      </c>
      <c r="D6757" s="71">
        <v>10</v>
      </c>
      <c r="E6757" s="102">
        <v>148000</v>
      </c>
      <c r="F6757" s="102">
        <f t="shared" si="3637"/>
        <v>1628000.0000000002</v>
      </c>
      <c r="G6757" s="102">
        <f t="shared" si="3649"/>
        <v>1480000</v>
      </c>
      <c r="H6757" s="690" t="s">
        <v>142</v>
      </c>
      <c r="I6757" s="71" t="s">
        <v>179</v>
      </c>
      <c r="J6757" s="53">
        <f t="shared" si="3646"/>
        <v>360000</v>
      </c>
      <c r="K6757" s="63">
        <f t="shared" si="3640"/>
        <v>0.2432432432432432</v>
      </c>
      <c r="L6757" s="1212" t="s">
        <v>4082</v>
      </c>
      <c r="M6757" s="468" t="s">
        <v>2050</v>
      </c>
      <c r="N6757" s="1192">
        <f t="shared" si="3650"/>
        <v>45412</v>
      </c>
      <c r="O6757" s="71" t="s">
        <v>3383</v>
      </c>
      <c r="P6757" s="103" t="str">
        <f t="shared" si="3651"/>
        <v>XL106 Blanket(1077*885)</v>
      </c>
      <c r="Q6757" s="71">
        <f t="shared" si="3642"/>
        <v>10</v>
      </c>
      <c r="R6757" s="102">
        <v>112000</v>
      </c>
      <c r="S6757" s="102">
        <f t="shared" si="3643"/>
        <v>1232000</v>
      </c>
      <c r="T6757" s="102">
        <f t="shared" si="3644"/>
        <v>1120000</v>
      </c>
      <c r="U6757" s="71" t="s">
        <v>859</v>
      </c>
      <c r="V6757" s="71"/>
      <c r="W6757" s="474">
        <v>260000</v>
      </c>
      <c r="X6757" s="71"/>
      <c r="Y6757" s="71"/>
    </row>
    <row r="6758" spans="1:25" ht="28.5" hidden="1" customHeight="1" x14ac:dyDescent="0.25">
      <c r="A6758" s="1145">
        <v>45391</v>
      </c>
      <c r="B6758" s="664" t="s">
        <v>2353</v>
      </c>
      <c r="C6758" s="71" t="s">
        <v>2648</v>
      </c>
      <c r="D6758" s="71">
        <v>4</v>
      </c>
      <c r="E6758" s="102">
        <v>50000</v>
      </c>
      <c r="F6758" s="102">
        <f t="shared" si="3637"/>
        <v>220000.00000000003</v>
      </c>
      <c r="G6758" s="102">
        <f t="shared" si="3649"/>
        <v>200000</v>
      </c>
      <c r="H6758" s="690" t="s">
        <v>179</v>
      </c>
      <c r="I6758" s="690" t="s">
        <v>179</v>
      </c>
      <c r="J6758" s="53">
        <f t="shared" si="3646"/>
        <v>104000</v>
      </c>
      <c r="K6758" s="63">
        <f t="shared" si="3640"/>
        <v>0.51999999999999991</v>
      </c>
      <c r="L6758" s="1212" t="s">
        <v>4082</v>
      </c>
      <c r="M6758" s="468"/>
      <c r="N6758" s="1192">
        <f t="shared" si="3650"/>
        <v>45391</v>
      </c>
      <c r="O6758" s="71" t="s">
        <v>94</v>
      </c>
      <c r="P6758" s="103" t="str">
        <f t="shared" si="3651"/>
        <v>주머니 필터백</v>
      </c>
      <c r="Q6758" s="71">
        <f t="shared" si="3642"/>
        <v>4</v>
      </c>
      <c r="R6758" s="102">
        <v>24000</v>
      </c>
      <c r="S6758" s="102">
        <f t="shared" si="3643"/>
        <v>105600.00000000001</v>
      </c>
      <c r="T6758" s="102">
        <f t="shared" si="3644"/>
        <v>96000</v>
      </c>
      <c r="U6758" s="71"/>
      <c r="V6758" s="71"/>
      <c r="W6758" s="474"/>
      <c r="X6758" s="71"/>
      <c r="Y6758" s="71"/>
    </row>
    <row r="6759" spans="1:25" ht="28.5" hidden="1" customHeight="1" x14ac:dyDescent="0.25">
      <c r="A6759" s="1145">
        <v>45412</v>
      </c>
      <c r="B6759" s="664" t="s">
        <v>2353</v>
      </c>
      <c r="C6759" s="71" t="s">
        <v>2648</v>
      </c>
      <c r="D6759" s="71">
        <v>4</v>
      </c>
      <c r="E6759" s="102">
        <v>50000</v>
      </c>
      <c r="F6759" s="102">
        <f t="shared" si="3637"/>
        <v>220000.00000000003</v>
      </c>
      <c r="G6759" s="102">
        <f t="shared" si="3649"/>
        <v>200000</v>
      </c>
      <c r="H6759" s="690" t="s">
        <v>179</v>
      </c>
      <c r="I6759" s="690" t="s">
        <v>179</v>
      </c>
      <c r="J6759" s="53">
        <f t="shared" si="3646"/>
        <v>104000</v>
      </c>
      <c r="K6759" s="63">
        <f t="shared" si="3640"/>
        <v>0.51999999999999991</v>
      </c>
      <c r="L6759" s="1212" t="s">
        <v>4082</v>
      </c>
      <c r="M6759" s="468"/>
      <c r="N6759" s="1192">
        <f t="shared" si="3650"/>
        <v>45412</v>
      </c>
      <c r="O6759" s="71" t="s">
        <v>94</v>
      </c>
      <c r="P6759" s="103" t="str">
        <f t="shared" si="3651"/>
        <v>주머니 필터백</v>
      </c>
      <c r="Q6759" s="71">
        <f t="shared" si="3642"/>
        <v>4</v>
      </c>
      <c r="R6759" s="102">
        <v>24000</v>
      </c>
      <c r="S6759" s="102">
        <f t="shared" si="3643"/>
        <v>105600.00000000001</v>
      </c>
      <c r="T6759" s="102">
        <f t="shared" si="3644"/>
        <v>96000</v>
      </c>
      <c r="U6759" s="71"/>
      <c r="V6759" s="71"/>
      <c r="W6759" s="474"/>
      <c r="X6759" s="71"/>
      <c r="Y6759" s="71"/>
    </row>
    <row r="6760" spans="1:25" ht="30" hidden="1" customHeight="1" x14ac:dyDescent="0.25">
      <c r="A6760" s="1145">
        <v>45412</v>
      </c>
      <c r="B6760" s="664" t="s">
        <v>2353</v>
      </c>
      <c r="C6760" s="71" t="s">
        <v>584</v>
      </c>
      <c r="D6760" s="71">
        <v>5</v>
      </c>
      <c r="E6760" s="102">
        <v>270000</v>
      </c>
      <c r="F6760" s="102">
        <f t="shared" si="3637"/>
        <v>1485000.0000000002</v>
      </c>
      <c r="G6760" s="102">
        <f t="shared" si="3649"/>
        <v>1350000</v>
      </c>
      <c r="H6760" s="690" t="s">
        <v>142</v>
      </c>
      <c r="I6760" s="71" t="s">
        <v>179</v>
      </c>
      <c r="J6760" s="53">
        <f t="shared" si="3646"/>
        <v>410000</v>
      </c>
      <c r="K6760" s="63">
        <f t="shared" si="3640"/>
        <v>0.30370370370370364</v>
      </c>
      <c r="L6760" s="1212" t="s">
        <v>4082</v>
      </c>
      <c r="M6760" s="468"/>
      <c r="N6760" s="1192">
        <f t="shared" si="3650"/>
        <v>45412</v>
      </c>
      <c r="O6760" s="71" t="s">
        <v>150</v>
      </c>
      <c r="P6760" s="103" t="str">
        <f t="shared" si="3651"/>
        <v>데리바리 석션벨트</v>
      </c>
      <c r="Q6760" s="71">
        <f t="shared" si="3642"/>
        <v>5</v>
      </c>
      <c r="R6760" s="102">
        <v>188000</v>
      </c>
      <c r="S6760" s="102">
        <f t="shared" si="3643"/>
        <v>1034000.0000000001</v>
      </c>
      <c r="T6760" s="102">
        <f t="shared" si="3644"/>
        <v>940000</v>
      </c>
      <c r="U6760" s="71" t="str">
        <f>IF(J6760=W6760,"O", "X")</f>
        <v>O</v>
      </c>
      <c r="V6760" s="71"/>
      <c r="W6760" s="474">
        <f>(G6760-T6760)</f>
        <v>410000</v>
      </c>
      <c r="X6760" s="71"/>
      <c r="Y6760" s="71"/>
    </row>
    <row r="6761" spans="1:25" ht="30" hidden="1" customHeight="1" x14ac:dyDescent="0.25">
      <c r="A6761" s="1145">
        <v>45412</v>
      </c>
      <c r="B6761" s="664" t="s">
        <v>2353</v>
      </c>
      <c r="C6761" s="71" t="s">
        <v>4084</v>
      </c>
      <c r="D6761" s="71">
        <v>4</v>
      </c>
      <c r="E6761" s="102">
        <v>450000</v>
      </c>
      <c r="F6761" s="102">
        <f t="shared" si="3637"/>
        <v>1980000.0000000002</v>
      </c>
      <c r="G6761" s="102">
        <f t="shared" si="3649"/>
        <v>1800000</v>
      </c>
      <c r="H6761" s="690" t="s">
        <v>142</v>
      </c>
      <c r="I6761" s="71" t="s">
        <v>179</v>
      </c>
      <c r="J6761" s="53">
        <f t="shared" si="3646"/>
        <v>0</v>
      </c>
      <c r="K6761" s="63">
        <f t="shared" si="3640"/>
        <v>0</v>
      </c>
      <c r="L6761" s="1212" t="s">
        <v>4082</v>
      </c>
      <c r="M6761" s="468"/>
      <c r="N6761" s="1192"/>
      <c r="O6761" s="71" t="s">
        <v>2030</v>
      </c>
      <c r="P6761" s="103" t="str">
        <f t="shared" si="3651"/>
        <v>용지 가이드 강판</v>
      </c>
      <c r="Q6761" s="71">
        <f t="shared" si="3642"/>
        <v>4</v>
      </c>
      <c r="R6761" s="147">
        <v>450000</v>
      </c>
      <c r="S6761" s="102">
        <f t="shared" si="3643"/>
        <v>1980000.0000000002</v>
      </c>
      <c r="T6761" s="102">
        <f t="shared" si="3644"/>
        <v>1800000</v>
      </c>
      <c r="U6761" s="71"/>
      <c r="V6761" s="71"/>
      <c r="W6761" s="474"/>
      <c r="X6761" s="71"/>
      <c r="Y6761" s="71"/>
    </row>
    <row r="6762" spans="1:25" ht="30" hidden="1" customHeight="1" x14ac:dyDescent="0.25">
      <c r="A6762" s="1145">
        <v>45407</v>
      </c>
      <c r="B6762" s="664" t="s">
        <v>1060</v>
      </c>
      <c r="C6762" s="71" t="s">
        <v>3908</v>
      </c>
      <c r="D6762" s="71">
        <v>600</v>
      </c>
      <c r="E6762" s="102">
        <v>5710</v>
      </c>
      <c r="F6762" s="102">
        <f t="shared" si="3637"/>
        <v>3768600.0000000005</v>
      </c>
      <c r="G6762" s="102">
        <f t="shared" si="3649"/>
        <v>3426000</v>
      </c>
      <c r="H6762" s="690" t="s">
        <v>142</v>
      </c>
      <c r="I6762" s="71" t="s">
        <v>179</v>
      </c>
      <c r="J6762" s="53">
        <f t="shared" si="3646"/>
        <v>1077600</v>
      </c>
      <c r="K6762" s="63">
        <f t="shared" si="3640"/>
        <v>0.31453590192644482</v>
      </c>
      <c r="L6762" s="1212" t="s">
        <v>4082</v>
      </c>
      <c r="M6762" s="102" t="s">
        <v>3964</v>
      </c>
      <c r="N6762" s="1192">
        <v>45376</v>
      </c>
      <c r="O6762" s="71" t="s">
        <v>662</v>
      </c>
      <c r="P6762" s="103" t="s">
        <v>3908</v>
      </c>
      <c r="Q6762" s="71">
        <f t="shared" si="3642"/>
        <v>600</v>
      </c>
      <c r="R6762" s="102">
        <v>3914</v>
      </c>
      <c r="S6762" s="102">
        <f t="shared" si="3643"/>
        <v>2583240</v>
      </c>
      <c r="T6762" s="102">
        <f t="shared" si="3644"/>
        <v>2348400</v>
      </c>
      <c r="U6762" s="71" t="s">
        <v>859</v>
      </c>
      <c r="V6762" s="71"/>
      <c r="W6762" s="474">
        <v>942000</v>
      </c>
      <c r="X6762" s="71"/>
      <c r="Y6762" s="71"/>
    </row>
    <row r="6763" spans="1:25" ht="30" hidden="1" customHeight="1" x14ac:dyDescent="0.25">
      <c r="A6763" s="1145">
        <v>45407</v>
      </c>
      <c r="B6763" s="664" t="s">
        <v>1060</v>
      </c>
      <c r="C6763" s="71" t="s">
        <v>3909</v>
      </c>
      <c r="D6763" s="71">
        <v>2900</v>
      </c>
      <c r="E6763" s="102">
        <v>3610</v>
      </c>
      <c r="F6763" s="102">
        <f t="shared" si="3637"/>
        <v>11515900</v>
      </c>
      <c r="G6763" s="102">
        <f t="shared" si="3649"/>
        <v>10469000</v>
      </c>
      <c r="H6763" s="690" t="s">
        <v>36</v>
      </c>
      <c r="I6763" s="71" t="s">
        <v>2529</v>
      </c>
      <c r="J6763" s="53">
        <f t="shared" si="3646"/>
        <v>3300200</v>
      </c>
      <c r="K6763" s="63">
        <f t="shared" si="3640"/>
        <v>0.31523545706371192</v>
      </c>
      <c r="L6763" s="1212" t="s">
        <v>4082</v>
      </c>
      <c r="M6763" s="102" t="s">
        <v>3964</v>
      </c>
      <c r="N6763" s="1192">
        <v>45194</v>
      </c>
      <c r="O6763" s="71" t="s">
        <v>662</v>
      </c>
      <c r="P6763" s="103" t="s">
        <v>3909</v>
      </c>
      <c r="Q6763" s="71">
        <f t="shared" si="3642"/>
        <v>2900</v>
      </c>
      <c r="R6763" s="102">
        <v>2472</v>
      </c>
      <c r="S6763" s="102">
        <f t="shared" si="3643"/>
        <v>7885680.0000000009</v>
      </c>
      <c r="T6763" s="102">
        <f t="shared" si="3644"/>
        <v>7168800</v>
      </c>
      <c r="U6763" s="71" t="s">
        <v>859</v>
      </c>
      <c r="V6763" s="71"/>
      <c r="W6763" s="474">
        <v>1274000</v>
      </c>
      <c r="X6763" s="71"/>
      <c r="Y6763" s="71"/>
    </row>
    <row r="6764" spans="1:25" ht="30" hidden="1" customHeight="1" x14ac:dyDescent="0.25">
      <c r="A6764" s="1145">
        <v>45407</v>
      </c>
      <c r="B6764" s="664" t="s">
        <v>1060</v>
      </c>
      <c r="C6764" s="71" t="s">
        <v>3910</v>
      </c>
      <c r="D6764" s="71">
        <v>500</v>
      </c>
      <c r="E6764" s="102">
        <v>3410</v>
      </c>
      <c r="F6764" s="102">
        <f t="shared" si="3637"/>
        <v>1875500.0000000002</v>
      </c>
      <c r="G6764" s="102">
        <f t="shared" si="3649"/>
        <v>1705000</v>
      </c>
      <c r="H6764" s="690" t="s">
        <v>36</v>
      </c>
      <c r="I6764" s="71" t="s">
        <v>2529</v>
      </c>
      <c r="J6764" s="53">
        <f t="shared" si="3646"/>
        <v>531000</v>
      </c>
      <c r="K6764" s="63">
        <f t="shared" si="3640"/>
        <v>0.31143695014662753</v>
      </c>
      <c r="L6764" s="1212" t="s">
        <v>4082</v>
      </c>
      <c r="M6764" s="102" t="s">
        <v>3964</v>
      </c>
      <c r="N6764" s="1192">
        <v>45194</v>
      </c>
      <c r="O6764" s="71" t="s">
        <v>662</v>
      </c>
      <c r="P6764" s="103" t="s">
        <v>3910</v>
      </c>
      <c r="Q6764" s="71">
        <f t="shared" si="3642"/>
        <v>500</v>
      </c>
      <c r="R6764" s="102">
        <v>2348</v>
      </c>
      <c r="S6764" s="102">
        <f t="shared" si="3643"/>
        <v>1291400</v>
      </c>
      <c r="T6764" s="102">
        <f t="shared" si="3644"/>
        <v>1174000</v>
      </c>
      <c r="U6764" s="71" t="s">
        <v>859</v>
      </c>
      <c r="V6764" s="71"/>
      <c r="W6764" s="474">
        <v>3325000</v>
      </c>
      <c r="X6764" s="71"/>
      <c r="Y6764" s="71"/>
    </row>
    <row r="6765" spans="1:25" ht="30" hidden="1" customHeight="1" x14ac:dyDescent="0.25">
      <c r="A6765" s="1145">
        <v>45407</v>
      </c>
      <c r="B6765" s="664" t="s">
        <v>1060</v>
      </c>
      <c r="C6765" s="71" t="s">
        <v>3911</v>
      </c>
      <c r="D6765" s="71">
        <v>400</v>
      </c>
      <c r="E6765" s="102">
        <v>5790</v>
      </c>
      <c r="F6765" s="102">
        <f t="shared" si="3637"/>
        <v>2547600</v>
      </c>
      <c r="G6765" s="102">
        <f t="shared" si="3649"/>
        <v>2316000</v>
      </c>
      <c r="H6765" s="690" t="s">
        <v>36</v>
      </c>
      <c r="I6765" s="71" t="s">
        <v>2529</v>
      </c>
      <c r="J6765" s="53">
        <f t="shared" si="3646"/>
        <v>729600</v>
      </c>
      <c r="K6765" s="63">
        <f t="shared" si="3640"/>
        <v>0.31502590673575132</v>
      </c>
      <c r="L6765" s="1212" t="s">
        <v>4082</v>
      </c>
      <c r="M6765" s="102" t="s">
        <v>3964</v>
      </c>
      <c r="N6765" s="1192">
        <v>45194</v>
      </c>
      <c r="O6765" s="71" t="s">
        <v>662</v>
      </c>
      <c r="P6765" s="103" t="s">
        <v>3911</v>
      </c>
      <c r="Q6765" s="71">
        <f t="shared" si="3642"/>
        <v>400</v>
      </c>
      <c r="R6765" s="102">
        <v>3966</v>
      </c>
      <c r="S6765" s="102">
        <f t="shared" si="3643"/>
        <v>1745040.0000000002</v>
      </c>
      <c r="T6765" s="102">
        <f t="shared" si="3644"/>
        <v>1586400</v>
      </c>
      <c r="U6765" s="71" t="s">
        <v>859</v>
      </c>
      <c r="V6765" s="71"/>
      <c r="W6765" s="474">
        <v>636000</v>
      </c>
      <c r="X6765" s="71"/>
      <c r="Y6765" s="71"/>
    </row>
    <row r="6766" spans="1:25" ht="30" hidden="1" customHeight="1" x14ac:dyDescent="0.25">
      <c r="A6766" s="1145">
        <v>45407</v>
      </c>
      <c r="B6766" s="664" t="s">
        <v>1060</v>
      </c>
      <c r="C6766" s="71" t="s">
        <v>3912</v>
      </c>
      <c r="D6766" s="71">
        <v>600</v>
      </c>
      <c r="E6766" s="102">
        <v>6010</v>
      </c>
      <c r="F6766" s="102">
        <f t="shared" si="3637"/>
        <v>3966600.0000000005</v>
      </c>
      <c r="G6766" s="102">
        <f t="shared" si="3649"/>
        <v>3606000</v>
      </c>
      <c r="H6766" s="690" t="s">
        <v>36</v>
      </c>
      <c r="I6766" s="71" t="s">
        <v>2529</v>
      </c>
      <c r="J6766" s="53">
        <f t="shared" si="3646"/>
        <v>1134000</v>
      </c>
      <c r="K6766" s="63">
        <f t="shared" si="3640"/>
        <v>0.31447587354409312</v>
      </c>
      <c r="L6766" s="1212" t="s">
        <v>4082</v>
      </c>
      <c r="M6766" s="102" t="s">
        <v>3964</v>
      </c>
      <c r="N6766" s="1192">
        <v>45194</v>
      </c>
      <c r="O6766" s="71" t="s">
        <v>662</v>
      </c>
      <c r="P6766" s="103" t="s">
        <v>3912</v>
      </c>
      <c r="Q6766" s="71">
        <f t="shared" si="3642"/>
        <v>600</v>
      </c>
      <c r="R6766" s="102">
        <v>4120</v>
      </c>
      <c r="S6766" s="102">
        <f t="shared" si="3643"/>
        <v>2719200</v>
      </c>
      <c r="T6766" s="102">
        <f t="shared" si="3644"/>
        <v>2472000</v>
      </c>
      <c r="U6766" s="71" t="s">
        <v>859</v>
      </c>
      <c r="V6766" s="71"/>
      <c r="W6766" s="474">
        <v>1476000</v>
      </c>
      <c r="X6766" s="71"/>
      <c r="Y6766" s="71"/>
    </row>
    <row r="6767" spans="1:25" ht="30" hidden="1" customHeight="1" x14ac:dyDescent="0.25">
      <c r="A6767" s="1145">
        <v>45407</v>
      </c>
      <c r="B6767" s="664" t="s">
        <v>1060</v>
      </c>
      <c r="C6767" s="71" t="s">
        <v>3913</v>
      </c>
      <c r="D6767" s="71">
        <v>0</v>
      </c>
      <c r="E6767" s="102">
        <v>4280</v>
      </c>
      <c r="F6767" s="102">
        <f t="shared" si="3637"/>
        <v>0</v>
      </c>
      <c r="G6767" s="102">
        <f t="shared" si="3649"/>
        <v>0</v>
      </c>
      <c r="H6767" s="690" t="s">
        <v>36</v>
      </c>
      <c r="I6767" s="71" t="s">
        <v>2529</v>
      </c>
      <c r="J6767" s="53">
        <f t="shared" si="3646"/>
        <v>0</v>
      </c>
      <c r="K6767" s="63" t="e">
        <f t="shared" si="3640"/>
        <v>#DIV/0!</v>
      </c>
      <c r="L6767" s="1212" t="s">
        <v>4082</v>
      </c>
      <c r="M6767" s="102" t="s">
        <v>3964</v>
      </c>
      <c r="N6767" s="1192">
        <v>45194</v>
      </c>
      <c r="O6767" s="71" t="s">
        <v>662</v>
      </c>
      <c r="P6767" s="103" t="s">
        <v>3913</v>
      </c>
      <c r="Q6767" s="71">
        <f t="shared" si="3642"/>
        <v>0</v>
      </c>
      <c r="R6767" s="102">
        <v>2936</v>
      </c>
      <c r="S6767" s="102">
        <f t="shared" si="3643"/>
        <v>0</v>
      </c>
      <c r="T6767" s="102">
        <f t="shared" si="3644"/>
        <v>0</v>
      </c>
      <c r="U6767" s="71" t="s">
        <v>859</v>
      </c>
      <c r="V6767" s="71"/>
      <c r="W6767" s="474">
        <v>1416000</v>
      </c>
      <c r="X6767" s="71"/>
      <c r="Y6767" s="71"/>
    </row>
    <row r="6768" spans="1:25" ht="30" hidden="1" customHeight="1" x14ac:dyDescent="0.25">
      <c r="A6768" s="1145">
        <v>45407</v>
      </c>
      <c r="B6768" s="664" t="s">
        <v>1060</v>
      </c>
      <c r="C6768" s="71" t="s">
        <v>3914</v>
      </c>
      <c r="D6768" s="71">
        <v>25</v>
      </c>
      <c r="E6768" s="102">
        <v>51920</v>
      </c>
      <c r="F6768" s="102">
        <f t="shared" si="3637"/>
        <v>1427800</v>
      </c>
      <c r="G6768" s="102">
        <f t="shared" si="3649"/>
        <v>1298000</v>
      </c>
      <c r="H6768" s="690" t="s">
        <v>36</v>
      </c>
      <c r="I6768" s="71" t="s">
        <v>2529</v>
      </c>
      <c r="J6768" s="53">
        <f t="shared" si="3646"/>
        <v>268000</v>
      </c>
      <c r="K6768" s="63">
        <f t="shared" si="3640"/>
        <v>0.20647149460708783</v>
      </c>
      <c r="L6768" s="1212" t="s">
        <v>4082</v>
      </c>
      <c r="M6768" s="468"/>
      <c r="N6768" s="1192">
        <v>45194</v>
      </c>
      <c r="O6768" s="71" t="s">
        <v>662</v>
      </c>
      <c r="P6768" s="103" t="s">
        <v>3914</v>
      </c>
      <c r="Q6768" s="71">
        <f t="shared" si="3642"/>
        <v>25</v>
      </c>
      <c r="R6768" s="102">
        <v>41200</v>
      </c>
      <c r="S6768" s="102">
        <f t="shared" si="3643"/>
        <v>1133000</v>
      </c>
      <c r="T6768" s="102">
        <f t="shared" si="3644"/>
        <v>1030000</v>
      </c>
      <c r="U6768" s="71" t="s">
        <v>859</v>
      </c>
      <c r="V6768" s="71"/>
      <c r="W6768" s="474">
        <v>978750</v>
      </c>
      <c r="X6768" s="71"/>
      <c r="Y6768" s="71"/>
    </row>
    <row r="6769" spans="1:25" ht="30" hidden="1" customHeight="1" x14ac:dyDescent="0.25">
      <c r="A6769" s="1145">
        <v>45407</v>
      </c>
      <c r="B6769" s="664" t="s">
        <v>1061</v>
      </c>
      <c r="C6769" s="71" t="s">
        <v>3319</v>
      </c>
      <c r="D6769" s="71">
        <v>400</v>
      </c>
      <c r="E6769" s="102">
        <v>6328</v>
      </c>
      <c r="F6769" s="102">
        <f t="shared" si="3637"/>
        <v>2784320</v>
      </c>
      <c r="G6769" s="102">
        <f t="shared" si="3649"/>
        <v>2531200</v>
      </c>
      <c r="H6769" s="690" t="s">
        <v>36</v>
      </c>
      <c r="I6769" s="71" t="s">
        <v>3320</v>
      </c>
      <c r="J6769" s="53">
        <f t="shared" si="3646"/>
        <v>191200</v>
      </c>
      <c r="K6769" s="63">
        <f t="shared" si="3640"/>
        <v>7.5537294563843241E-2</v>
      </c>
      <c r="L6769" s="1212" t="s">
        <v>4082</v>
      </c>
      <c r="M6769" s="468"/>
      <c r="N6769" s="1192">
        <v>45194</v>
      </c>
      <c r="O6769" s="71" t="s">
        <v>146</v>
      </c>
      <c r="P6769" s="103" t="s">
        <v>3319</v>
      </c>
      <c r="Q6769" s="71">
        <f t="shared" si="3642"/>
        <v>400</v>
      </c>
      <c r="R6769" s="102">
        <v>5850</v>
      </c>
      <c r="S6769" s="102">
        <f t="shared" si="3643"/>
        <v>2574000</v>
      </c>
      <c r="T6769" s="102">
        <f t="shared" si="3644"/>
        <v>2340000</v>
      </c>
      <c r="U6769" s="71" t="s">
        <v>859</v>
      </c>
      <c r="V6769" s="71"/>
      <c r="W6769" s="474">
        <v>411200</v>
      </c>
      <c r="X6769" s="71"/>
      <c r="Y6769" s="71"/>
    </row>
    <row r="6770" spans="1:25" ht="30" hidden="1" customHeight="1" x14ac:dyDescent="0.25">
      <c r="A6770" s="1145">
        <v>45407</v>
      </c>
      <c r="B6770" s="664" t="s">
        <v>1061</v>
      </c>
      <c r="C6770" s="71" t="s">
        <v>3321</v>
      </c>
      <c r="D6770" s="71">
        <v>600</v>
      </c>
      <c r="E6770" s="102">
        <v>6780</v>
      </c>
      <c r="F6770" s="102">
        <f t="shared" si="3637"/>
        <v>4474800</v>
      </c>
      <c r="G6770" s="102">
        <f t="shared" si="3649"/>
        <v>4068000</v>
      </c>
      <c r="H6770" s="690" t="s">
        <v>36</v>
      </c>
      <c r="I6770" s="71" t="s">
        <v>3320</v>
      </c>
      <c r="J6770" s="53">
        <f t="shared" si="3646"/>
        <v>300000</v>
      </c>
      <c r="K6770" s="63">
        <f t="shared" si="3640"/>
        <v>7.3746312684365781E-2</v>
      </c>
      <c r="L6770" s="1212" t="s">
        <v>4082</v>
      </c>
      <c r="M6770" s="468"/>
      <c r="N6770" s="1192">
        <v>45194</v>
      </c>
      <c r="O6770" s="71" t="s">
        <v>146</v>
      </c>
      <c r="P6770" s="103" t="s">
        <v>3321</v>
      </c>
      <c r="Q6770" s="71">
        <f t="shared" si="3642"/>
        <v>600</v>
      </c>
      <c r="R6770" s="102">
        <v>6280</v>
      </c>
      <c r="S6770" s="102">
        <f t="shared" si="3643"/>
        <v>4144800.0000000005</v>
      </c>
      <c r="T6770" s="102">
        <f t="shared" si="3644"/>
        <v>3768000</v>
      </c>
      <c r="U6770" s="71" t="s">
        <v>859</v>
      </c>
      <c r="V6770" s="71"/>
      <c r="W6770" s="474">
        <v>292000</v>
      </c>
      <c r="X6770" s="71"/>
      <c r="Y6770" s="71"/>
    </row>
    <row r="6771" spans="1:25" ht="30" hidden="1" customHeight="1" x14ac:dyDescent="0.25">
      <c r="A6771" s="1145">
        <v>45407</v>
      </c>
      <c r="B6771" s="664" t="s">
        <v>1061</v>
      </c>
      <c r="C6771" s="71" t="s">
        <v>1289</v>
      </c>
      <c r="D6771" s="71">
        <v>600</v>
      </c>
      <c r="E6771" s="102">
        <v>6498</v>
      </c>
      <c r="F6771" s="102">
        <f t="shared" si="3637"/>
        <v>4288680</v>
      </c>
      <c r="G6771" s="102">
        <f t="shared" si="3649"/>
        <v>3898800</v>
      </c>
      <c r="H6771" s="690" t="s">
        <v>36</v>
      </c>
      <c r="I6771" s="71" t="s">
        <v>3320</v>
      </c>
      <c r="J6771" s="53">
        <f t="shared" si="3646"/>
        <v>286800</v>
      </c>
      <c r="K6771" s="63">
        <f t="shared" si="3640"/>
        <v>7.3561095721760547E-2</v>
      </c>
      <c r="L6771" s="1212" t="s">
        <v>4082</v>
      </c>
      <c r="M6771" s="468"/>
      <c r="N6771" s="1192">
        <v>45194</v>
      </c>
      <c r="O6771" s="71" t="s">
        <v>146</v>
      </c>
      <c r="P6771" s="103" t="s">
        <v>1289</v>
      </c>
      <c r="Q6771" s="71">
        <f t="shared" si="3642"/>
        <v>600</v>
      </c>
      <c r="R6771" s="102">
        <v>6020</v>
      </c>
      <c r="S6771" s="102">
        <f t="shared" si="3643"/>
        <v>3973200.0000000005</v>
      </c>
      <c r="T6771" s="102">
        <f t="shared" si="3644"/>
        <v>3612000</v>
      </c>
      <c r="U6771" s="71" t="s">
        <v>859</v>
      </c>
      <c r="V6771" s="71"/>
      <c r="W6771" s="474">
        <v>640800</v>
      </c>
      <c r="X6771" s="71"/>
      <c r="Y6771" s="71"/>
    </row>
    <row r="6772" spans="1:25" ht="30" hidden="1" customHeight="1" x14ac:dyDescent="0.25">
      <c r="A6772" s="1145">
        <v>45407</v>
      </c>
      <c r="B6772" s="664" t="s">
        <v>1061</v>
      </c>
      <c r="C6772" s="71" t="s">
        <v>1290</v>
      </c>
      <c r="D6772" s="71">
        <v>600</v>
      </c>
      <c r="E6772" s="102">
        <v>7910</v>
      </c>
      <c r="F6772" s="102">
        <f t="shared" si="3637"/>
        <v>5220600</v>
      </c>
      <c r="G6772" s="102">
        <f t="shared" si="3649"/>
        <v>4746000</v>
      </c>
      <c r="H6772" s="690" t="s">
        <v>36</v>
      </c>
      <c r="I6772" s="71" t="s">
        <v>3320</v>
      </c>
      <c r="J6772" s="53">
        <f t="shared" si="3646"/>
        <v>360000</v>
      </c>
      <c r="K6772" s="63">
        <f t="shared" si="3640"/>
        <v>7.5853350189633378E-2</v>
      </c>
      <c r="L6772" s="1212" t="s">
        <v>4082</v>
      </c>
      <c r="M6772" s="468"/>
      <c r="N6772" s="1192">
        <v>45194</v>
      </c>
      <c r="O6772" s="71" t="s">
        <v>146</v>
      </c>
      <c r="P6772" s="103" t="s">
        <v>1290</v>
      </c>
      <c r="Q6772" s="71">
        <f t="shared" si="3642"/>
        <v>600</v>
      </c>
      <c r="R6772" s="102">
        <v>7310</v>
      </c>
      <c r="S6772" s="102">
        <f t="shared" si="3643"/>
        <v>4824600</v>
      </c>
      <c r="T6772" s="102">
        <f t="shared" si="3644"/>
        <v>4386000</v>
      </c>
      <c r="U6772" s="71" t="s">
        <v>859</v>
      </c>
      <c r="V6772" s="71"/>
      <c r="W6772" s="474">
        <v>846000</v>
      </c>
      <c r="X6772" s="71"/>
      <c r="Y6772" s="71"/>
    </row>
    <row r="6773" spans="1:25" ht="30" hidden="1" customHeight="1" x14ac:dyDescent="0.25">
      <c r="A6773" s="1145">
        <v>45407</v>
      </c>
      <c r="B6773" s="664" t="s">
        <v>1061</v>
      </c>
      <c r="C6773" s="71" t="s">
        <v>3322</v>
      </c>
      <c r="D6773" s="71"/>
      <c r="E6773" s="102">
        <v>7150</v>
      </c>
      <c r="F6773" s="102">
        <f t="shared" si="3637"/>
        <v>0</v>
      </c>
      <c r="G6773" s="102">
        <f t="shared" si="3649"/>
        <v>0</v>
      </c>
      <c r="H6773" s="690" t="s">
        <v>36</v>
      </c>
      <c r="I6773" s="71" t="s">
        <v>3320</v>
      </c>
      <c r="J6773" s="53">
        <f t="shared" si="3646"/>
        <v>0</v>
      </c>
      <c r="K6773" s="63" t="e">
        <f t="shared" si="3640"/>
        <v>#DIV/0!</v>
      </c>
      <c r="L6773" s="1212" t="s">
        <v>4082</v>
      </c>
      <c r="M6773" s="468"/>
      <c r="N6773" s="1192">
        <v>45376</v>
      </c>
      <c r="O6773" s="71" t="s">
        <v>3323</v>
      </c>
      <c r="P6773" s="103" t="s">
        <v>3322</v>
      </c>
      <c r="Q6773" s="71">
        <f t="shared" si="3642"/>
        <v>0</v>
      </c>
      <c r="R6773" s="102">
        <v>6500</v>
      </c>
      <c r="S6773" s="102">
        <f t="shared" si="3643"/>
        <v>0</v>
      </c>
      <c r="T6773" s="102">
        <f t="shared" si="3644"/>
        <v>0</v>
      </c>
      <c r="U6773" s="71" t="s">
        <v>859</v>
      </c>
      <c r="V6773" s="71"/>
      <c r="W6773" s="474">
        <v>0</v>
      </c>
      <c r="X6773" s="71"/>
      <c r="Y6773" s="71"/>
    </row>
    <row r="6774" spans="1:25" ht="30" hidden="1" customHeight="1" x14ac:dyDescent="0.25">
      <c r="A6774" s="1145">
        <v>45407</v>
      </c>
      <c r="B6774" s="664" t="s">
        <v>1061</v>
      </c>
      <c r="C6774" s="71" t="s">
        <v>3324</v>
      </c>
      <c r="D6774" s="71"/>
      <c r="E6774" s="102">
        <v>6900</v>
      </c>
      <c r="F6774" s="102">
        <f t="shared" si="3637"/>
        <v>0</v>
      </c>
      <c r="G6774" s="102">
        <f t="shared" si="3649"/>
        <v>0</v>
      </c>
      <c r="H6774" s="690" t="s">
        <v>36</v>
      </c>
      <c r="I6774" s="71" t="s">
        <v>3320</v>
      </c>
      <c r="J6774" s="53">
        <f t="shared" si="3646"/>
        <v>0</v>
      </c>
      <c r="K6774" s="63" t="e">
        <f t="shared" si="3640"/>
        <v>#DIV/0!</v>
      </c>
      <c r="L6774" s="1212" t="s">
        <v>4082</v>
      </c>
      <c r="M6774" s="468"/>
      <c r="N6774" s="1192">
        <v>45376</v>
      </c>
      <c r="O6774" s="71" t="s">
        <v>3323</v>
      </c>
      <c r="P6774" s="103" t="s">
        <v>3324</v>
      </c>
      <c r="Q6774" s="71">
        <f t="shared" si="3642"/>
        <v>0</v>
      </c>
      <c r="R6774" s="102">
        <v>6200</v>
      </c>
      <c r="S6774" s="102">
        <f t="shared" si="3643"/>
        <v>0</v>
      </c>
      <c r="T6774" s="102">
        <f t="shared" si="3644"/>
        <v>0</v>
      </c>
      <c r="U6774" s="71" t="s">
        <v>859</v>
      </c>
      <c r="V6774" s="71"/>
      <c r="W6774" s="474">
        <v>0</v>
      </c>
      <c r="X6774" s="71"/>
      <c r="Y6774" s="71"/>
    </row>
    <row r="6775" spans="1:25" ht="28.5" hidden="1" customHeight="1" x14ac:dyDescent="0.25">
      <c r="A6775" s="1145">
        <v>45407</v>
      </c>
      <c r="B6775" s="664" t="s">
        <v>1061</v>
      </c>
      <c r="C6775" s="71" t="s">
        <v>3325</v>
      </c>
      <c r="D6775" s="71"/>
      <c r="E6775" s="102">
        <v>7500</v>
      </c>
      <c r="F6775" s="102">
        <f t="shared" si="3637"/>
        <v>0</v>
      </c>
      <c r="G6775" s="102">
        <f t="shared" si="3649"/>
        <v>0</v>
      </c>
      <c r="H6775" s="690" t="s">
        <v>36</v>
      </c>
      <c r="I6775" s="71" t="s">
        <v>3320</v>
      </c>
      <c r="J6775" s="53">
        <f t="shared" si="3646"/>
        <v>0</v>
      </c>
      <c r="K6775" s="63" t="e">
        <f t="shared" si="3640"/>
        <v>#DIV/0!</v>
      </c>
      <c r="L6775" s="1212" t="s">
        <v>4082</v>
      </c>
      <c r="M6775" s="468"/>
      <c r="N6775" s="1192">
        <v>45376</v>
      </c>
      <c r="O6775" s="71" t="s">
        <v>3323</v>
      </c>
      <c r="P6775" s="103" t="s">
        <v>3325</v>
      </c>
      <c r="Q6775" s="71">
        <f t="shared" si="3642"/>
        <v>0</v>
      </c>
      <c r="R6775" s="102">
        <v>6600</v>
      </c>
      <c r="S6775" s="102">
        <f t="shared" si="3643"/>
        <v>0</v>
      </c>
      <c r="T6775" s="102">
        <f t="shared" si="3644"/>
        <v>0</v>
      </c>
      <c r="U6775" s="71" t="s">
        <v>859</v>
      </c>
      <c r="V6775" s="71"/>
      <c r="W6775" s="474">
        <v>0</v>
      </c>
      <c r="X6775" s="71"/>
      <c r="Y6775" s="71"/>
    </row>
    <row r="6776" spans="1:25" ht="30" hidden="1" customHeight="1" x14ac:dyDescent="0.25">
      <c r="A6776" s="1145">
        <v>45407</v>
      </c>
      <c r="B6776" s="664" t="s">
        <v>1061</v>
      </c>
      <c r="C6776" s="71" t="s">
        <v>3326</v>
      </c>
      <c r="D6776" s="71"/>
      <c r="E6776" s="102">
        <v>6450</v>
      </c>
      <c r="F6776" s="102">
        <f t="shared" si="3637"/>
        <v>0</v>
      </c>
      <c r="G6776" s="102">
        <f t="shared" si="3649"/>
        <v>0</v>
      </c>
      <c r="H6776" s="690" t="s">
        <v>36</v>
      </c>
      <c r="I6776" s="71" t="s">
        <v>3320</v>
      </c>
      <c r="J6776" s="53">
        <f t="shared" si="3646"/>
        <v>0</v>
      </c>
      <c r="K6776" s="63" t="e">
        <f t="shared" si="3640"/>
        <v>#DIV/0!</v>
      </c>
      <c r="L6776" s="1212" t="s">
        <v>4082</v>
      </c>
      <c r="M6776" s="468"/>
      <c r="N6776" s="1192">
        <v>45376</v>
      </c>
      <c r="O6776" s="71" t="s">
        <v>3323</v>
      </c>
      <c r="P6776" s="103" t="s">
        <v>3326</v>
      </c>
      <c r="Q6776" s="71">
        <f t="shared" si="3642"/>
        <v>0</v>
      </c>
      <c r="R6776" s="102">
        <v>5700</v>
      </c>
      <c r="S6776" s="102">
        <f t="shared" si="3643"/>
        <v>0</v>
      </c>
      <c r="T6776" s="102">
        <f t="shared" si="3644"/>
        <v>0</v>
      </c>
      <c r="U6776" s="71" t="s">
        <v>859</v>
      </c>
      <c r="V6776" s="71"/>
      <c r="W6776" s="474">
        <v>0</v>
      </c>
      <c r="X6776" s="71"/>
      <c r="Y6776" s="71"/>
    </row>
    <row r="6777" spans="1:25" ht="30" hidden="1" customHeight="1" x14ac:dyDescent="0.25">
      <c r="A6777" s="1145">
        <v>45407</v>
      </c>
      <c r="B6777" s="664" t="s">
        <v>1061</v>
      </c>
      <c r="C6777" s="71" t="s">
        <v>3963</v>
      </c>
      <c r="D6777" s="71"/>
      <c r="E6777" s="102">
        <v>22400</v>
      </c>
      <c r="F6777" s="102">
        <f t="shared" si="3637"/>
        <v>0</v>
      </c>
      <c r="G6777" s="102">
        <f t="shared" si="3649"/>
        <v>0</v>
      </c>
      <c r="H6777" s="690" t="s">
        <v>36</v>
      </c>
      <c r="I6777" s="71" t="s">
        <v>3320</v>
      </c>
      <c r="J6777" s="53">
        <f t="shared" si="3646"/>
        <v>0</v>
      </c>
      <c r="K6777" s="63" t="e">
        <f t="shared" si="3640"/>
        <v>#DIV/0!</v>
      </c>
      <c r="L6777" s="1212" t="s">
        <v>4082</v>
      </c>
      <c r="M6777" s="468"/>
      <c r="N6777" s="1192">
        <v>45376</v>
      </c>
      <c r="O6777" s="71" t="s">
        <v>146</v>
      </c>
      <c r="P6777" s="103" t="s">
        <v>3963</v>
      </c>
      <c r="Q6777" s="71">
        <f t="shared" si="3642"/>
        <v>0</v>
      </c>
      <c r="R6777" s="102">
        <v>22400</v>
      </c>
      <c r="S6777" s="102">
        <f t="shared" si="3643"/>
        <v>0</v>
      </c>
      <c r="T6777" s="102">
        <f t="shared" si="3644"/>
        <v>0</v>
      </c>
      <c r="U6777" s="71"/>
      <c r="V6777" s="71"/>
      <c r="W6777" s="474"/>
      <c r="X6777" s="71"/>
      <c r="Y6777" s="71"/>
    </row>
    <row r="6778" spans="1:25" ht="30" hidden="1" customHeight="1" x14ac:dyDescent="0.25">
      <c r="A6778" s="1145">
        <v>45407</v>
      </c>
      <c r="B6778" s="664" t="s">
        <v>1061</v>
      </c>
      <c r="C6778" s="71" t="s">
        <v>3915</v>
      </c>
      <c r="D6778" s="71"/>
      <c r="E6778" s="102">
        <v>9500</v>
      </c>
      <c r="F6778" s="102">
        <f t="shared" si="3637"/>
        <v>0</v>
      </c>
      <c r="G6778" s="102">
        <f t="shared" si="3649"/>
        <v>0</v>
      </c>
      <c r="H6778" s="690" t="s">
        <v>36</v>
      </c>
      <c r="I6778" s="71" t="s">
        <v>3320</v>
      </c>
      <c r="J6778" s="53">
        <f t="shared" si="3646"/>
        <v>0</v>
      </c>
      <c r="K6778" s="63" t="e">
        <f t="shared" si="3640"/>
        <v>#DIV/0!</v>
      </c>
      <c r="L6778" s="1212" t="s">
        <v>4082</v>
      </c>
      <c r="M6778" s="468"/>
      <c r="N6778" s="1192">
        <v>45376</v>
      </c>
      <c r="O6778" s="71" t="s">
        <v>3323</v>
      </c>
      <c r="P6778" s="103" t="s">
        <v>3915</v>
      </c>
      <c r="Q6778" s="71">
        <f t="shared" si="3642"/>
        <v>0</v>
      </c>
      <c r="R6778" s="102">
        <v>9000</v>
      </c>
      <c r="S6778" s="102">
        <f t="shared" si="3643"/>
        <v>0</v>
      </c>
      <c r="T6778" s="102">
        <f t="shared" si="3644"/>
        <v>0</v>
      </c>
      <c r="U6778" s="71"/>
      <c r="V6778" s="71"/>
      <c r="W6778" s="474"/>
      <c r="X6778" s="71"/>
      <c r="Y6778" s="71"/>
    </row>
    <row r="6779" spans="1:25" ht="30" hidden="1" customHeight="1" x14ac:dyDescent="0.25">
      <c r="A6779" s="1145">
        <v>45407</v>
      </c>
      <c r="B6779" s="664" t="s">
        <v>3307</v>
      </c>
      <c r="C6779" s="71" t="s">
        <v>3916</v>
      </c>
      <c r="D6779" s="71">
        <v>8</v>
      </c>
      <c r="E6779" s="102">
        <v>218000</v>
      </c>
      <c r="F6779" s="102">
        <f t="shared" si="3637"/>
        <v>1918400.0000000002</v>
      </c>
      <c r="G6779" s="102">
        <f t="shared" si="3649"/>
        <v>1744000</v>
      </c>
      <c r="H6779" s="690" t="s">
        <v>172</v>
      </c>
      <c r="I6779" s="71" t="s">
        <v>33</v>
      </c>
      <c r="J6779" s="53">
        <f t="shared" si="3646"/>
        <v>412000</v>
      </c>
      <c r="K6779" s="63">
        <f t="shared" si="3640"/>
        <v>0.23623853211009171</v>
      </c>
      <c r="L6779" s="1212" t="s">
        <v>4082</v>
      </c>
      <c r="M6779" s="468" t="s">
        <v>3965</v>
      </c>
      <c r="N6779" s="1192">
        <v>45194</v>
      </c>
      <c r="O6779" s="71" t="s">
        <v>662</v>
      </c>
      <c r="P6779" s="103" t="s">
        <v>3916</v>
      </c>
      <c r="Q6779" s="71">
        <f t="shared" si="3642"/>
        <v>8</v>
      </c>
      <c r="R6779" s="102">
        <v>166500</v>
      </c>
      <c r="S6779" s="102">
        <f t="shared" si="3643"/>
        <v>1465200.0000000002</v>
      </c>
      <c r="T6779" s="102">
        <f t="shared" si="3644"/>
        <v>1332000</v>
      </c>
      <c r="U6779" s="71" t="s">
        <v>859</v>
      </c>
      <c r="V6779" s="71" t="s">
        <v>728</v>
      </c>
      <c r="W6779" s="474">
        <v>464000</v>
      </c>
      <c r="X6779" s="71"/>
      <c r="Y6779" s="71"/>
    </row>
    <row r="6780" spans="1:25" ht="30" hidden="1" customHeight="1" x14ac:dyDescent="0.25">
      <c r="A6780" s="1145">
        <v>45407</v>
      </c>
      <c r="B6780" s="664" t="s">
        <v>3307</v>
      </c>
      <c r="C6780" s="71" t="s">
        <v>3703</v>
      </c>
      <c r="D6780" s="71">
        <v>1</v>
      </c>
      <c r="E6780" s="102">
        <v>2350000</v>
      </c>
      <c r="F6780" s="102">
        <f t="shared" si="3637"/>
        <v>2585000</v>
      </c>
      <c r="G6780" s="102">
        <f t="shared" si="3649"/>
        <v>2350000</v>
      </c>
      <c r="H6780" s="690" t="s">
        <v>36</v>
      </c>
      <c r="I6780" s="690" t="s">
        <v>36</v>
      </c>
      <c r="J6780" s="53">
        <f t="shared" si="3646"/>
        <v>600000</v>
      </c>
      <c r="K6780" s="63">
        <f t="shared" si="3640"/>
        <v>0.25531914893617019</v>
      </c>
      <c r="L6780" s="1212" t="s">
        <v>4082</v>
      </c>
      <c r="M6780" s="468"/>
      <c r="N6780" s="1192">
        <v>45194</v>
      </c>
      <c r="O6780" s="71" t="s">
        <v>3298</v>
      </c>
      <c r="P6780" s="103" t="s">
        <v>3917</v>
      </c>
      <c r="Q6780" s="71">
        <f t="shared" si="3642"/>
        <v>1</v>
      </c>
      <c r="R6780" s="147">
        <v>1750000</v>
      </c>
      <c r="S6780" s="102">
        <f t="shared" si="3643"/>
        <v>1925000.0000000002</v>
      </c>
      <c r="T6780" s="102">
        <f t="shared" si="3644"/>
        <v>1750000</v>
      </c>
      <c r="U6780" s="71"/>
      <c r="V6780" s="71"/>
      <c r="W6780" s="474"/>
      <c r="X6780" s="71"/>
      <c r="Y6780" s="71"/>
    </row>
    <row r="6781" spans="1:25" ht="30" hidden="1" customHeight="1" x14ac:dyDescent="0.25">
      <c r="A6781" s="1145">
        <v>45384</v>
      </c>
      <c r="B6781" s="664" t="s">
        <v>2261</v>
      </c>
      <c r="C6781" s="760" t="s">
        <v>181</v>
      </c>
      <c r="D6781" s="71">
        <v>10</v>
      </c>
      <c r="E6781" s="102">
        <v>193000</v>
      </c>
      <c r="F6781" s="102">
        <f t="shared" si="3637"/>
        <v>2123000</v>
      </c>
      <c r="G6781" s="102">
        <f t="shared" si="3649"/>
        <v>1930000</v>
      </c>
      <c r="H6781" s="690" t="s">
        <v>2029</v>
      </c>
      <c r="I6781" s="71" t="s">
        <v>182</v>
      </c>
      <c r="J6781" s="53">
        <f t="shared" si="3646"/>
        <v>690000</v>
      </c>
      <c r="K6781" s="63">
        <f t="shared" si="3640"/>
        <v>0.35751295336787564</v>
      </c>
      <c r="L6781" s="1212" t="s">
        <v>4082</v>
      </c>
      <c r="M6781" s="468"/>
      <c r="N6781" s="1192">
        <f t="shared" ref="N6781:N6783" si="3652">A6781</f>
        <v>45384</v>
      </c>
      <c r="O6781" s="71" t="s">
        <v>2030</v>
      </c>
      <c r="P6781" s="103" t="str">
        <f t="shared" ref="P6781:P6783" si="3653">(C6781)</f>
        <v>Fount Web 551AF</v>
      </c>
      <c r="Q6781" s="71">
        <f t="shared" si="3642"/>
        <v>10</v>
      </c>
      <c r="R6781" s="102">
        <v>124000</v>
      </c>
      <c r="S6781" s="102">
        <f t="shared" si="3643"/>
        <v>1364000</v>
      </c>
      <c r="T6781" s="102">
        <f t="shared" si="3644"/>
        <v>1240000</v>
      </c>
      <c r="U6781" s="71" t="str">
        <f>IF(J6781=W6781,"O", "X")</f>
        <v>X</v>
      </c>
      <c r="V6781" s="71"/>
      <c r="W6781" s="474">
        <v>640000</v>
      </c>
      <c r="X6781" s="71"/>
      <c r="Y6781" s="71"/>
    </row>
    <row r="6782" spans="1:25" ht="30" hidden="1" customHeight="1" x14ac:dyDescent="0.25">
      <c r="A6782" s="1145">
        <v>45387</v>
      </c>
      <c r="B6782" s="664" t="s">
        <v>2261</v>
      </c>
      <c r="C6782" s="71" t="s">
        <v>277</v>
      </c>
      <c r="D6782" s="71">
        <v>10</v>
      </c>
      <c r="E6782" s="102">
        <v>172000</v>
      </c>
      <c r="F6782" s="102">
        <f t="shared" si="3637"/>
        <v>1892000.0000000002</v>
      </c>
      <c r="G6782" s="102">
        <f t="shared" si="3649"/>
        <v>1720000</v>
      </c>
      <c r="H6782" s="690" t="s">
        <v>172</v>
      </c>
      <c r="I6782" s="71" t="s">
        <v>108</v>
      </c>
      <c r="J6782" s="53">
        <f t="shared" si="3646"/>
        <v>390000</v>
      </c>
      <c r="K6782" s="63">
        <f t="shared" si="3640"/>
        <v>0.22674418604651159</v>
      </c>
      <c r="L6782" s="1212" t="s">
        <v>4082</v>
      </c>
      <c r="M6782" s="468"/>
      <c r="N6782" s="1192">
        <f t="shared" si="3652"/>
        <v>45387</v>
      </c>
      <c r="O6782" s="71" t="s">
        <v>662</v>
      </c>
      <c r="P6782" s="103" t="str">
        <f t="shared" si="3653"/>
        <v>윤전용 세척제(Web 504)</v>
      </c>
      <c r="Q6782" s="71">
        <f t="shared" si="3642"/>
        <v>10</v>
      </c>
      <c r="R6782" s="102">
        <v>133000</v>
      </c>
      <c r="S6782" s="102">
        <f t="shared" si="3643"/>
        <v>1463000.0000000002</v>
      </c>
      <c r="T6782" s="102">
        <f t="shared" si="3644"/>
        <v>1330000</v>
      </c>
      <c r="U6782" s="71" t="str">
        <f>IF(J6782=W6782,"O", "X")</f>
        <v>X</v>
      </c>
      <c r="V6782" s="71"/>
      <c r="W6782" s="474"/>
      <c r="X6782" s="71"/>
      <c r="Y6782" s="71"/>
    </row>
    <row r="6783" spans="1:25" ht="30" hidden="1" customHeight="1" x14ac:dyDescent="0.25">
      <c r="A6783" s="1145">
        <v>45387</v>
      </c>
      <c r="B6783" s="664" t="s">
        <v>2261</v>
      </c>
      <c r="C6783" s="71" t="s">
        <v>3299</v>
      </c>
      <c r="D6783" s="71">
        <v>10</v>
      </c>
      <c r="E6783" s="102">
        <v>52000</v>
      </c>
      <c r="F6783" s="102">
        <f t="shared" si="3637"/>
        <v>572000</v>
      </c>
      <c r="G6783" s="102">
        <f t="shared" si="3649"/>
        <v>520000</v>
      </c>
      <c r="H6783" s="690" t="s">
        <v>172</v>
      </c>
      <c r="I6783" s="71" t="s">
        <v>180</v>
      </c>
      <c r="J6783" s="53">
        <f t="shared" si="3646"/>
        <v>45000</v>
      </c>
      <c r="K6783" s="63">
        <f t="shared" si="3640"/>
        <v>8.6538461538461536E-2</v>
      </c>
      <c r="L6783" s="1212" t="s">
        <v>4082</v>
      </c>
      <c r="M6783" s="468" t="s">
        <v>3835</v>
      </c>
      <c r="N6783" s="1192">
        <f t="shared" si="3652"/>
        <v>45387</v>
      </c>
      <c r="O6783" s="71" t="s">
        <v>175</v>
      </c>
      <c r="P6783" s="103" t="str">
        <f t="shared" si="3653"/>
        <v>매엽용 세척제(Wash k11)</v>
      </c>
      <c r="Q6783" s="71">
        <f t="shared" si="3642"/>
        <v>10</v>
      </c>
      <c r="R6783" s="102">
        <v>47500</v>
      </c>
      <c r="S6783" s="102">
        <f t="shared" si="3643"/>
        <v>522500.00000000006</v>
      </c>
      <c r="T6783" s="102">
        <f t="shared" si="3644"/>
        <v>475000</v>
      </c>
      <c r="U6783" s="71" t="s">
        <v>859</v>
      </c>
      <c r="V6783" s="71"/>
      <c r="W6783" s="474"/>
      <c r="X6783" s="71"/>
      <c r="Y6783" s="71"/>
    </row>
    <row r="6784" spans="1:25" ht="30" hidden="1" customHeight="1" x14ac:dyDescent="0.25">
      <c r="A6784" s="1145">
        <v>45394</v>
      </c>
      <c r="B6784" s="664" t="s">
        <v>2261</v>
      </c>
      <c r="C6784" s="71" t="s">
        <v>277</v>
      </c>
      <c r="D6784" s="71">
        <v>10</v>
      </c>
      <c r="E6784" s="102">
        <v>172000</v>
      </c>
      <c r="F6784" s="102">
        <f t="shared" si="3637"/>
        <v>1892000.0000000002</v>
      </c>
      <c r="G6784" s="102">
        <f t="shared" ref="G6784:G6793" si="3654">(E6784*D6784)</f>
        <v>1720000</v>
      </c>
      <c r="H6784" s="690" t="s">
        <v>172</v>
      </c>
      <c r="I6784" s="71" t="s">
        <v>108</v>
      </c>
      <c r="J6784" s="53">
        <f t="shared" si="3646"/>
        <v>390000</v>
      </c>
      <c r="K6784" s="63">
        <f t="shared" si="3640"/>
        <v>0.22674418604651159</v>
      </c>
      <c r="L6784" s="1212" t="s">
        <v>4082</v>
      </c>
      <c r="M6784" s="468"/>
      <c r="N6784" s="1192">
        <f t="shared" ref="N6784:N6789" si="3655">A6784</f>
        <v>45394</v>
      </c>
      <c r="O6784" s="71" t="s">
        <v>662</v>
      </c>
      <c r="P6784" s="103" t="str">
        <f t="shared" ref="P6784:P6791" si="3656">(C6784)</f>
        <v>윤전용 세척제(Web 504)</v>
      </c>
      <c r="Q6784" s="71">
        <f t="shared" si="3642"/>
        <v>10</v>
      </c>
      <c r="R6784" s="102">
        <v>133000</v>
      </c>
      <c r="S6784" s="102">
        <f t="shared" si="3643"/>
        <v>1463000.0000000002</v>
      </c>
      <c r="T6784" s="102">
        <f t="shared" si="3644"/>
        <v>1330000</v>
      </c>
      <c r="U6784" s="71" t="str">
        <f>IF(J6784=W6784,"O", "X")</f>
        <v>X</v>
      </c>
      <c r="V6784" s="71"/>
      <c r="W6784" s="474"/>
      <c r="X6784" s="71"/>
      <c r="Y6784" s="71"/>
    </row>
    <row r="6785" spans="1:25" ht="30" hidden="1" customHeight="1" x14ac:dyDescent="0.25">
      <c r="A6785" s="1145">
        <v>45394</v>
      </c>
      <c r="B6785" s="664" t="s">
        <v>2261</v>
      </c>
      <c r="C6785" s="71" t="s">
        <v>3299</v>
      </c>
      <c r="D6785" s="71">
        <v>10</v>
      </c>
      <c r="E6785" s="102">
        <v>52000</v>
      </c>
      <c r="F6785" s="102">
        <f t="shared" si="3637"/>
        <v>572000</v>
      </c>
      <c r="G6785" s="102">
        <f t="shared" si="3654"/>
        <v>520000</v>
      </c>
      <c r="H6785" s="690" t="s">
        <v>172</v>
      </c>
      <c r="I6785" s="71" t="s">
        <v>180</v>
      </c>
      <c r="J6785" s="53">
        <f t="shared" si="3646"/>
        <v>45000</v>
      </c>
      <c r="K6785" s="63">
        <f t="shared" si="3640"/>
        <v>8.6538461538461536E-2</v>
      </c>
      <c r="L6785" s="1212" t="s">
        <v>4082</v>
      </c>
      <c r="M6785" s="468" t="s">
        <v>3835</v>
      </c>
      <c r="N6785" s="1192">
        <f t="shared" si="3655"/>
        <v>45394</v>
      </c>
      <c r="O6785" s="71" t="s">
        <v>175</v>
      </c>
      <c r="P6785" s="103" t="str">
        <f t="shared" si="3656"/>
        <v>매엽용 세척제(Wash k11)</v>
      </c>
      <c r="Q6785" s="71">
        <f t="shared" si="3642"/>
        <v>10</v>
      </c>
      <c r="R6785" s="102">
        <v>47500</v>
      </c>
      <c r="S6785" s="102">
        <f t="shared" si="3643"/>
        <v>522500.00000000006</v>
      </c>
      <c r="T6785" s="102">
        <f t="shared" si="3644"/>
        <v>475000</v>
      </c>
      <c r="U6785" s="71" t="s">
        <v>859</v>
      </c>
      <c r="V6785" s="71"/>
      <c r="W6785" s="474"/>
      <c r="X6785" s="71"/>
      <c r="Y6785" s="71"/>
    </row>
    <row r="6786" spans="1:25" ht="30" hidden="1" customHeight="1" x14ac:dyDescent="0.25">
      <c r="A6786" s="1145">
        <v>45401</v>
      </c>
      <c r="B6786" s="664" t="s">
        <v>2261</v>
      </c>
      <c r="C6786" s="760" t="s">
        <v>181</v>
      </c>
      <c r="D6786" s="71">
        <v>10</v>
      </c>
      <c r="E6786" s="102">
        <v>193000</v>
      </c>
      <c r="F6786" s="102">
        <f t="shared" si="3637"/>
        <v>2123000</v>
      </c>
      <c r="G6786" s="102">
        <f t="shared" si="3654"/>
        <v>1930000</v>
      </c>
      <c r="H6786" s="690" t="s">
        <v>2029</v>
      </c>
      <c r="I6786" s="71" t="s">
        <v>182</v>
      </c>
      <c r="J6786" s="53">
        <f t="shared" si="3646"/>
        <v>690000</v>
      </c>
      <c r="K6786" s="63">
        <f t="shared" si="3640"/>
        <v>0.35751295336787564</v>
      </c>
      <c r="L6786" s="1212" t="s">
        <v>4082</v>
      </c>
      <c r="M6786" s="468"/>
      <c r="N6786" s="1192">
        <f t="shared" si="3655"/>
        <v>45401</v>
      </c>
      <c r="O6786" s="71" t="s">
        <v>2030</v>
      </c>
      <c r="P6786" s="103" t="str">
        <f t="shared" si="3656"/>
        <v>Fount Web 551AF</v>
      </c>
      <c r="Q6786" s="71">
        <f t="shared" si="3642"/>
        <v>10</v>
      </c>
      <c r="R6786" s="102">
        <v>124000</v>
      </c>
      <c r="S6786" s="102">
        <f t="shared" si="3643"/>
        <v>1364000</v>
      </c>
      <c r="T6786" s="102">
        <f t="shared" si="3644"/>
        <v>1240000</v>
      </c>
      <c r="U6786" s="71" t="str">
        <f>IF(J6786=W6786,"O", "X")</f>
        <v>X</v>
      </c>
      <c r="V6786" s="71"/>
      <c r="W6786" s="474">
        <v>640000</v>
      </c>
      <c r="X6786" s="71"/>
      <c r="Y6786" s="71"/>
    </row>
    <row r="6787" spans="1:25" s="209" customFormat="1" ht="31.5" hidden="1" customHeight="1" x14ac:dyDescent="0.2">
      <c r="A6787" s="1145">
        <v>45405</v>
      </c>
      <c r="B6787" s="664" t="s">
        <v>3289</v>
      </c>
      <c r="C6787" s="71" t="s">
        <v>3387</v>
      </c>
      <c r="D6787" s="71">
        <v>10</v>
      </c>
      <c r="E6787" s="102">
        <v>130000</v>
      </c>
      <c r="F6787" s="102">
        <f t="shared" si="3637"/>
        <v>1430000</v>
      </c>
      <c r="G6787" s="102">
        <f t="shared" si="3654"/>
        <v>1300000</v>
      </c>
      <c r="H6787" s="165" t="s">
        <v>172</v>
      </c>
      <c r="I6787" s="71" t="s">
        <v>184</v>
      </c>
      <c r="J6787" s="53">
        <f t="shared" si="3646"/>
        <v>180000</v>
      </c>
      <c r="K6787" s="63">
        <f t="shared" si="3640"/>
        <v>0.13846153846153847</v>
      </c>
      <c r="L6787" s="1212" t="s">
        <v>4082</v>
      </c>
      <c r="M6787" s="468"/>
      <c r="N6787" s="1192">
        <f t="shared" si="3655"/>
        <v>45405</v>
      </c>
      <c r="O6787" s="71" t="s">
        <v>189</v>
      </c>
      <c r="P6787" s="103" t="str">
        <f t="shared" si="3656"/>
        <v>Blanket(990*725)</v>
      </c>
      <c r="Q6787" s="71">
        <f t="shared" si="3642"/>
        <v>10</v>
      </c>
      <c r="R6787" s="102">
        <v>112000</v>
      </c>
      <c r="S6787" s="102">
        <f t="shared" si="3643"/>
        <v>1232000</v>
      </c>
      <c r="T6787" s="102">
        <f t="shared" si="3644"/>
        <v>1120000</v>
      </c>
      <c r="U6787" s="71" t="str">
        <f>IF(J6787=W6787,"O", "X")</f>
        <v>X</v>
      </c>
      <c r="V6787" s="71"/>
      <c r="W6787" s="474">
        <v>80000</v>
      </c>
      <c r="X6787" s="71"/>
      <c r="Y6787" s="71"/>
    </row>
    <row r="6788" spans="1:25" ht="30" hidden="1" customHeight="1" x14ac:dyDescent="0.25">
      <c r="A6788" s="1145">
        <v>45408</v>
      </c>
      <c r="B6788" s="664" t="s">
        <v>2261</v>
      </c>
      <c r="C6788" s="71" t="s">
        <v>277</v>
      </c>
      <c r="D6788" s="71">
        <v>10</v>
      </c>
      <c r="E6788" s="102">
        <v>172000</v>
      </c>
      <c r="F6788" s="102">
        <f t="shared" si="3637"/>
        <v>1892000.0000000002</v>
      </c>
      <c r="G6788" s="102">
        <f t="shared" si="3654"/>
        <v>1720000</v>
      </c>
      <c r="H6788" s="690" t="s">
        <v>172</v>
      </c>
      <c r="I6788" s="71" t="s">
        <v>108</v>
      </c>
      <c r="J6788" s="53">
        <f t="shared" si="3646"/>
        <v>390000</v>
      </c>
      <c r="K6788" s="63">
        <f t="shared" si="3640"/>
        <v>0.22674418604651159</v>
      </c>
      <c r="L6788" s="1212" t="s">
        <v>4082</v>
      </c>
      <c r="M6788" s="468"/>
      <c r="N6788" s="1192">
        <f t="shared" si="3655"/>
        <v>45408</v>
      </c>
      <c r="O6788" s="71" t="s">
        <v>662</v>
      </c>
      <c r="P6788" s="103" t="str">
        <f t="shared" si="3656"/>
        <v>윤전용 세척제(Web 504)</v>
      </c>
      <c r="Q6788" s="71">
        <f t="shared" si="3642"/>
        <v>10</v>
      </c>
      <c r="R6788" s="102">
        <v>133000</v>
      </c>
      <c r="S6788" s="102">
        <f t="shared" si="3643"/>
        <v>1463000.0000000002</v>
      </c>
      <c r="T6788" s="102">
        <f t="shared" si="3644"/>
        <v>1330000</v>
      </c>
      <c r="U6788" s="71" t="str">
        <f>IF(J6788=W6788,"O", "X")</f>
        <v>X</v>
      </c>
      <c r="V6788" s="71"/>
      <c r="W6788" s="474"/>
      <c r="X6788" s="71"/>
      <c r="Y6788" s="71"/>
    </row>
    <row r="6789" spans="1:25" ht="30" hidden="1" customHeight="1" x14ac:dyDescent="0.25">
      <c r="A6789" s="1145">
        <v>45408</v>
      </c>
      <c r="B6789" s="664" t="s">
        <v>2261</v>
      </c>
      <c r="C6789" s="71" t="s">
        <v>3299</v>
      </c>
      <c r="D6789" s="71">
        <v>10</v>
      </c>
      <c r="E6789" s="102">
        <v>52000</v>
      </c>
      <c r="F6789" s="102">
        <f t="shared" si="3637"/>
        <v>572000</v>
      </c>
      <c r="G6789" s="102">
        <f t="shared" si="3654"/>
        <v>520000</v>
      </c>
      <c r="H6789" s="690" t="s">
        <v>172</v>
      </c>
      <c r="I6789" s="71" t="s">
        <v>180</v>
      </c>
      <c r="J6789" s="53">
        <f t="shared" si="3646"/>
        <v>45000</v>
      </c>
      <c r="K6789" s="63">
        <f t="shared" si="3640"/>
        <v>8.6538461538461536E-2</v>
      </c>
      <c r="L6789" s="1212" t="s">
        <v>4082</v>
      </c>
      <c r="M6789" s="468" t="s">
        <v>3835</v>
      </c>
      <c r="N6789" s="1192">
        <f t="shared" si="3655"/>
        <v>45408</v>
      </c>
      <c r="O6789" s="71" t="s">
        <v>175</v>
      </c>
      <c r="P6789" s="103" t="str">
        <f t="shared" si="3656"/>
        <v>매엽용 세척제(Wash k11)</v>
      </c>
      <c r="Q6789" s="71">
        <f t="shared" si="3642"/>
        <v>10</v>
      </c>
      <c r="R6789" s="102">
        <v>47500</v>
      </c>
      <c r="S6789" s="102">
        <f t="shared" si="3643"/>
        <v>522500.00000000006</v>
      </c>
      <c r="T6789" s="102">
        <f t="shared" si="3644"/>
        <v>475000</v>
      </c>
      <c r="U6789" s="71" t="s">
        <v>859</v>
      </c>
      <c r="V6789" s="71"/>
      <c r="W6789" s="474"/>
      <c r="X6789" s="71"/>
      <c r="Y6789" s="71"/>
    </row>
    <row r="6790" spans="1:25" ht="30" hidden="1" customHeight="1" x14ac:dyDescent="0.25">
      <c r="A6790" s="1145">
        <v>45391</v>
      </c>
      <c r="B6790" s="664" t="s">
        <v>809</v>
      </c>
      <c r="C6790" s="71" t="s">
        <v>4028</v>
      </c>
      <c r="D6790" s="71">
        <v>25</v>
      </c>
      <c r="E6790" s="102">
        <v>125000</v>
      </c>
      <c r="F6790" s="102">
        <f t="shared" si="3637"/>
        <v>3437500.0000000005</v>
      </c>
      <c r="G6790" s="102">
        <f t="shared" si="3654"/>
        <v>3125000</v>
      </c>
      <c r="H6790" s="690" t="s">
        <v>172</v>
      </c>
      <c r="I6790" s="71" t="s">
        <v>33</v>
      </c>
      <c r="J6790" s="53">
        <f t="shared" si="3646"/>
        <v>492500</v>
      </c>
      <c r="K6790" s="63">
        <f t="shared" si="3640"/>
        <v>0.15759999999999999</v>
      </c>
      <c r="L6790" s="1212" t="s">
        <v>4082</v>
      </c>
      <c r="M6790" s="102"/>
      <c r="N6790" s="1192"/>
      <c r="O6790" s="71" t="s">
        <v>147</v>
      </c>
      <c r="P6790" s="103" t="str">
        <f t="shared" si="3656"/>
        <v>Blanket(1077*885)</v>
      </c>
      <c r="Q6790" s="71">
        <f t="shared" si="3642"/>
        <v>25</v>
      </c>
      <c r="R6790" s="102">
        <v>105300</v>
      </c>
      <c r="S6790" s="102">
        <f t="shared" si="3643"/>
        <v>2895750.0000000005</v>
      </c>
      <c r="T6790" s="102">
        <f t="shared" si="3644"/>
        <v>2632500</v>
      </c>
      <c r="U6790" s="71"/>
      <c r="V6790" s="71"/>
      <c r="W6790" s="474"/>
      <c r="X6790" s="71"/>
      <c r="Y6790" s="71"/>
    </row>
    <row r="6791" spans="1:25" ht="30" hidden="1" customHeight="1" x14ac:dyDescent="0.25">
      <c r="A6791" s="1145">
        <v>45393</v>
      </c>
      <c r="B6791" s="664" t="s">
        <v>3296</v>
      </c>
      <c r="C6791" s="71" t="s">
        <v>3297</v>
      </c>
      <c r="D6791" s="71">
        <v>20</v>
      </c>
      <c r="E6791" s="102">
        <v>162500</v>
      </c>
      <c r="F6791" s="102">
        <f t="shared" si="3637"/>
        <v>3575000.0000000005</v>
      </c>
      <c r="G6791" s="102">
        <f t="shared" si="3654"/>
        <v>3250000</v>
      </c>
      <c r="H6791" s="690" t="s">
        <v>172</v>
      </c>
      <c r="I6791" s="71" t="s">
        <v>3295</v>
      </c>
      <c r="J6791" s="53">
        <f t="shared" si="3646"/>
        <v>850000</v>
      </c>
      <c r="K6791" s="63">
        <f t="shared" si="3640"/>
        <v>0.2615384615384615</v>
      </c>
      <c r="L6791" s="1212" t="s">
        <v>4082</v>
      </c>
      <c r="M6791" s="468"/>
      <c r="N6791" s="1192">
        <f t="shared" ref="N6791:N6793" si="3657">A6791</f>
        <v>45393</v>
      </c>
      <c r="O6791" s="71" t="s">
        <v>662</v>
      </c>
      <c r="P6791" s="103" t="str">
        <f t="shared" si="3656"/>
        <v>실리콘 에멀전</v>
      </c>
      <c r="Q6791" s="71">
        <f t="shared" si="3642"/>
        <v>20</v>
      </c>
      <c r="R6791" s="102">
        <v>120000</v>
      </c>
      <c r="S6791" s="102">
        <f t="shared" si="3643"/>
        <v>2640000</v>
      </c>
      <c r="T6791" s="102">
        <f t="shared" si="3644"/>
        <v>2400000</v>
      </c>
      <c r="U6791" s="71" t="str">
        <f t="shared" ref="U6791" si="3658">IF(J6791=W6791,"O", "X")</f>
        <v>X</v>
      </c>
      <c r="V6791" s="71"/>
      <c r="W6791" s="474"/>
      <c r="X6791" s="71"/>
      <c r="Y6791" s="71"/>
    </row>
    <row r="6792" spans="1:25" s="209" customFormat="1" ht="30" hidden="1" customHeight="1" x14ac:dyDescent="0.25">
      <c r="A6792" s="1145">
        <v>45379</v>
      </c>
      <c r="B6792" s="664" t="s">
        <v>442</v>
      </c>
      <c r="C6792" s="71" t="s">
        <v>3833</v>
      </c>
      <c r="D6792" s="71">
        <v>1000</v>
      </c>
      <c r="E6792" s="102">
        <v>4250</v>
      </c>
      <c r="F6792" s="102">
        <f t="shared" si="3637"/>
        <v>4675000</v>
      </c>
      <c r="G6792" s="102">
        <f t="shared" si="3654"/>
        <v>4250000</v>
      </c>
      <c r="H6792" s="690" t="s">
        <v>2029</v>
      </c>
      <c r="I6792" s="71" t="s">
        <v>2230</v>
      </c>
      <c r="J6792" s="53">
        <f t="shared" si="3646"/>
        <v>800000</v>
      </c>
      <c r="K6792" s="63">
        <f t="shared" si="3640"/>
        <v>0.18823529411764706</v>
      </c>
      <c r="L6792" s="1212" t="s">
        <v>4082</v>
      </c>
      <c r="M6792" s="468"/>
      <c r="N6792" s="1192">
        <f t="shared" si="3657"/>
        <v>45379</v>
      </c>
      <c r="O6792" s="71" t="s">
        <v>2030</v>
      </c>
      <c r="P6792" s="164" t="s">
        <v>3777</v>
      </c>
      <c r="Q6792" s="71">
        <f t="shared" si="3642"/>
        <v>1000</v>
      </c>
      <c r="R6792" s="102">
        <v>3450</v>
      </c>
      <c r="S6792" s="102">
        <f t="shared" si="3643"/>
        <v>3795000.0000000005</v>
      </c>
      <c r="T6792" s="102">
        <f t="shared" si="3644"/>
        <v>3450000</v>
      </c>
      <c r="U6792" s="71"/>
      <c r="V6792" s="71"/>
      <c r="W6792" s="474"/>
      <c r="X6792" s="71"/>
      <c r="Y6792" s="71"/>
    </row>
    <row r="6793" spans="1:25" ht="30" hidden="1" customHeight="1" x14ac:dyDescent="0.25">
      <c r="A6793" s="1145">
        <v>45379</v>
      </c>
      <c r="B6793" s="664" t="s">
        <v>442</v>
      </c>
      <c r="C6793" s="71" t="s">
        <v>3834</v>
      </c>
      <c r="D6793" s="71">
        <v>6</v>
      </c>
      <c r="E6793" s="102">
        <v>57000</v>
      </c>
      <c r="F6793" s="102">
        <f t="shared" si="3637"/>
        <v>376200.00000000006</v>
      </c>
      <c r="G6793" s="102">
        <f t="shared" si="3654"/>
        <v>342000</v>
      </c>
      <c r="H6793" s="690" t="s">
        <v>2029</v>
      </c>
      <c r="I6793" s="71" t="s">
        <v>2230</v>
      </c>
      <c r="J6793" s="53">
        <f t="shared" si="3646"/>
        <v>104040</v>
      </c>
      <c r="K6793" s="63">
        <f t="shared" si="3640"/>
        <v>0.30421052631578943</v>
      </c>
      <c r="L6793" s="1212" t="s">
        <v>4082</v>
      </c>
      <c r="M6793" s="468"/>
      <c r="N6793" s="1192">
        <f t="shared" si="3657"/>
        <v>45379</v>
      </c>
      <c r="O6793" s="71" t="s">
        <v>2030</v>
      </c>
      <c r="P6793" s="103" t="s">
        <v>1026</v>
      </c>
      <c r="Q6793" s="71">
        <f t="shared" si="3642"/>
        <v>6</v>
      </c>
      <c r="R6793" s="102">
        <v>39660</v>
      </c>
      <c r="S6793" s="102">
        <f t="shared" si="3643"/>
        <v>261756.00000000003</v>
      </c>
      <c r="T6793" s="102">
        <f t="shared" si="3644"/>
        <v>237960</v>
      </c>
      <c r="U6793" s="71"/>
      <c r="V6793" s="71"/>
      <c r="W6793" s="474"/>
      <c r="X6793" s="71"/>
      <c r="Y6793" s="71"/>
    </row>
    <row r="6794" spans="1:25" ht="30" hidden="1" customHeight="1" x14ac:dyDescent="0.25">
      <c r="A6794" s="1145">
        <v>45379</v>
      </c>
      <c r="B6794" s="664" t="s">
        <v>2</v>
      </c>
      <c r="C6794" s="71" t="s">
        <v>2075</v>
      </c>
      <c r="D6794" s="71">
        <v>1</v>
      </c>
      <c r="E6794" s="102">
        <v>98000</v>
      </c>
      <c r="F6794" s="102">
        <f t="shared" si="3637"/>
        <v>107800.00000000001</v>
      </c>
      <c r="G6794" s="102">
        <f>(E6794*D6794)</f>
        <v>98000</v>
      </c>
      <c r="H6794" s="690" t="s">
        <v>173</v>
      </c>
      <c r="I6794" s="71" t="s">
        <v>2273</v>
      </c>
      <c r="J6794" s="53">
        <f t="shared" si="3646"/>
        <v>6000</v>
      </c>
      <c r="K6794" s="63">
        <f t="shared" si="3640"/>
        <v>6.1224489795918359E-2</v>
      </c>
      <c r="L6794" s="1212" t="s">
        <v>4082</v>
      </c>
      <c r="M6794" s="468"/>
      <c r="N6794" s="1192">
        <f>A6794</f>
        <v>45379</v>
      </c>
      <c r="O6794" s="71" t="s">
        <v>150</v>
      </c>
      <c r="P6794" s="103" t="str">
        <f>C6794</f>
        <v>CTP 고무액</v>
      </c>
      <c r="Q6794" s="71">
        <f t="shared" si="3642"/>
        <v>1</v>
      </c>
      <c r="R6794" s="102">
        <v>92000</v>
      </c>
      <c r="S6794" s="102">
        <f t="shared" si="3643"/>
        <v>101200.00000000001</v>
      </c>
      <c r="T6794" s="102">
        <f t="shared" si="3644"/>
        <v>92000</v>
      </c>
      <c r="U6794" s="71" t="str">
        <f>IF(J6794=W6794,"O", "X")</f>
        <v>X</v>
      </c>
      <c r="V6794" s="71"/>
      <c r="W6794" s="474"/>
      <c r="X6794" s="71"/>
      <c r="Y6794" s="71"/>
    </row>
    <row r="6795" spans="1:25" ht="30" hidden="1" customHeight="1" x14ac:dyDescent="0.25">
      <c r="A6795" s="1145">
        <v>45386</v>
      </c>
      <c r="B6795" s="664" t="s">
        <v>442</v>
      </c>
      <c r="C6795" s="71" t="s">
        <v>3433</v>
      </c>
      <c r="D6795" s="71">
        <v>6</v>
      </c>
      <c r="E6795" s="102">
        <v>115000</v>
      </c>
      <c r="F6795" s="102">
        <f t="shared" si="3637"/>
        <v>759000.00000000012</v>
      </c>
      <c r="G6795" s="102">
        <f t="shared" ref="G6795:G6858" si="3659">(E6795*D6795)</f>
        <v>690000</v>
      </c>
      <c r="H6795" s="690" t="s">
        <v>2029</v>
      </c>
      <c r="I6795" s="71" t="s">
        <v>3385</v>
      </c>
      <c r="J6795" s="53">
        <f t="shared" si="3646"/>
        <v>169200</v>
      </c>
      <c r="K6795" s="63">
        <f t="shared" si="3640"/>
        <v>0.24521739130434778</v>
      </c>
      <c r="L6795" s="1212" t="s">
        <v>4082</v>
      </c>
      <c r="M6795" s="468"/>
      <c r="N6795" s="1192">
        <f t="shared" ref="N6795:N6821" si="3660">A6795</f>
        <v>45386</v>
      </c>
      <c r="O6795" s="71" t="s">
        <v>147</v>
      </c>
      <c r="P6795" s="164" t="str">
        <f t="shared" ref="P6795:P6800" si="3661">(C6795)</f>
        <v>블랑켓-하이델베르그 국전용</v>
      </c>
      <c r="Q6795" s="71">
        <f t="shared" si="3642"/>
        <v>6</v>
      </c>
      <c r="R6795" s="102">
        <v>86800</v>
      </c>
      <c r="S6795" s="102">
        <f t="shared" si="3643"/>
        <v>572880</v>
      </c>
      <c r="T6795" s="102">
        <f t="shared" si="3644"/>
        <v>520800</v>
      </c>
      <c r="U6795" s="71"/>
      <c r="V6795" s="71"/>
      <c r="W6795" s="474"/>
      <c r="X6795" s="71"/>
      <c r="Y6795" s="71"/>
    </row>
    <row r="6796" spans="1:25" ht="30" hidden="1" customHeight="1" x14ac:dyDescent="0.25">
      <c r="A6796" s="1145">
        <v>45397</v>
      </c>
      <c r="B6796" s="664" t="s">
        <v>442</v>
      </c>
      <c r="C6796" s="71" t="s">
        <v>3299</v>
      </c>
      <c r="D6796" s="71">
        <v>20</v>
      </c>
      <c r="E6796" s="102">
        <v>69000</v>
      </c>
      <c r="F6796" s="102">
        <f t="shared" si="3637"/>
        <v>1518000.0000000002</v>
      </c>
      <c r="G6796" s="102">
        <f t="shared" si="3659"/>
        <v>1380000</v>
      </c>
      <c r="H6796" s="690" t="s">
        <v>172</v>
      </c>
      <c r="I6796" s="71" t="s">
        <v>180</v>
      </c>
      <c r="J6796" s="53">
        <f t="shared" si="3646"/>
        <v>430000</v>
      </c>
      <c r="K6796" s="63">
        <f t="shared" si="3640"/>
        <v>0.31159420289855067</v>
      </c>
      <c r="L6796" s="1212" t="s">
        <v>4082</v>
      </c>
      <c r="M6796" s="468" t="s">
        <v>3304</v>
      </c>
      <c r="N6796" s="1192">
        <f t="shared" si="3660"/>
        <v>45397</v>
      </c>
      <c r="O6796" s="71" t="s">
        <v>175</v>
      </c>
      <c r="P6796" s="164" t="str">
        <f t="shared" si="3661"/>
        <v>매엽용 세척제(Wash k11)</v>
      </c>
      <c r="Q6796" s="71">
        <f t="shared" si="3642"/>
        <v>20</v>
      </c>
      <c r="R6796" s="102">
        <v>47500</v>
      </c>
      <c r="S6796" s="102">
        <f t="shared" si="3643"/>
        <v>1045000.0000000001</v>
      </c>
      <c r="T6796" s="102">
        <f t="shared" si="3644"/>
        <v>950000</v>
      </c>
      <c r="U6796" s="71" t="s">
        <v>859</v>
      </c>
      <c r="V6796" s="71"/>
      <c r="W6796" s="474"/>
      <c r="X6796" s="71"/>
      <c r="Y6796" s="71"/>
    </row>
    <row r="6797" spans="1:25" ht="30" hidden="1" customHeight="1" x14ac:dyDescent="0.25">
      <c r="A6797" s="1145">
        <v>45406</v>
      </c>
      <c r="B6797" s="664" t="s">
        <v>442</v>
      </c>
      <c r="C6797" s="71" t="s">
        <v>206</v>
      </c>
      <c r="D6797" s="71">
        <v>2</v>
      </c>
      <c r="E6797" s="102">
        <v>453000</v>
      </c>
      <c r="F6797" s="102">
        <f t="shared" si="3637"/>
        <v>996600.00000000012</v>
      </c>
      <c r="G6797" s="102">
        <f t="shared" si="3659"/>
        <v>906000</v>
      </c>
      <c r="H6797" s="690" t="s">
        <v>2029</v>
      </c>
      <c r="I6797" s="71" t="s">
        <v>195</v>
      </c>
      <c r="J6797" s="53">
        <f t="shared" si="3646"/>
        <v>144640</v>
      </c>
      <c r="K6797" s="63">
        <f t="shared" si="3640"/>
        <v>0.15964679911699778</v>
      </c>
      <c r="L6797" s="1212" t="s">
        <v>4082</v>
      </c>
      <c r="M6797" s="468"/>
      <c r="N6797" s="1192">
        <f t="shared" si="3660"/>
        <v>45406</v>
      </c>
      <c r="O6797" s="71" t="s">
        <v>194</v>
      </c>
      <c r="P6797" s="103" t="str">
        <f t="shared" si="3661"/>
        <v>Agfa Film(24inch)</v>
      </c>
      <c r="Q6797" s="71">
        <f t="shared" si="3642"/>
        <v>2</v>
      </c>
      <c r="R6797" s="102">
        <v>380680</v>
      </c>
      <c r="S6797" s="102">
        <f t="shared" si="3643"/>
        <v>837496.00000000012</v>
      </c>
      <c r="T6797" s="102">
        <f t="shared" si="3644"/>
        <v>761360</v>
      </c>
      <c r="U6797" s="71" t="s">
        <v>859</v>
      </c>
      <c r="V6797" s="71"/>
      <c r="W6797" s="474">
        <v>144640</v>
      </c>
      <c r="X6797" s="71"/>
      <c r="Y6797" s="71"/>
    </row>
    <row r="6798" spans="1:25" ht="30" hidden="1" customHeight="1" x14ac:dyDescent="0.25">
      <c r="A6798" s="1145">
        <v>45406</v>
      </c>
      <c r="B6798" s="664" t="s">
        <v>442</v>
      </c>
      <c r="C6798" s="71" t="s">
        <v>207</v>
      </c>
      <c r="D6798" s="71">
        <v>3</v>
      </c>
      <c r="E6798" s="102">
        <v>558000</v>
      </c>
      <c r="F6798" s="102">
        <f t="shared" si="3637"/>
        <v>1841400.0000000002</v>
      </c>
      <c r="G6798" s="102">
        <f t="shared" si="3659"/>
        <v>1674000</v>
      </c>
      <c r="H6798" s="690" t="s">
        <v>2029</v>
      </c>
      <c r="I6798" s="71" t="s">
        <v>195</v>
      </c>
      <c r="J6798" s="53">
        <f t="shared" si="3646"/>
        <v>342720</v>
      </c>
      <c r="K6798" s="63">
        <f t="shared" si="3640"/>
        <v>0.20473118279569891</v>
      </c>
      <c r="L6798" s="1212" t="s">
        <v>4082</v>
      </c>
      <c r="M6798" s="468"/>
      <c r="N6798" s="1192">
        <f t="shared" si="3660"/>
        <v>45406</v>
      </c>
      <c r="O6798" s="71" t="s">
        <v>194</v>
      </c>
      <c r="P6798" s="103" t="str">
        <f t="shared" si="3661"/>
        <v>Agfa Film(28inch)</v>
      </c>
      <c r="Q6798" s="71">
        <f t="shared" si="3642"/>
        <v>3</v>
      </c>
      <c r="R6798" s="102">
        <v>443760</v>
      </c>
      <c r="S6798" s="102">
        <f t="shared" si="3643"/>
        <v>1464408.0000000002</v>
      </c>
      <c r="T6798" s="102">
        <f t="shared" si="3644"/>
        <v>1331280</v>
      </c>
      <c r="U6798" s="71" t="s">
        <v>859</v>
      </c>
      <c r="V6798" s="71"/>
      <c r="W6798" s="474">
        <v>228480</v>
      </c>
      <c r="X6798" s="71"/>
      <c r="Y6798" s="71"/>
    </row>
    <row r="6799" spans="1:25" ht="30" hidden="1" customHeight="1" x14ac:dyDescent="0.25">
      <c r="A6799" s="1145">
        <v>45406</v>
      </c>
      <c r="B6799" s="664" t="s">
        <v>442</v>
      </c>
      <c r="C6799" s="71" t="s">
        <v>208</v>
      </c>
      <c r="D6799" s="71">
        <v>1</v>
      </c>
      <c r="E6799" s="102">
        <v>624000</v>
      </c>
      <c r="F6799" s="102">
        <f t="shared" si="3637"/>
        <v>686400</v>
      </c>
      <c r="G6799" s="102">
        <f t="shared" si="3659"/>
        <v>624000</v>
      </c>
      <c r="H6799" s="690" t="s">
        <v>2029</v>
      </c>
      <c r="I6799" s="71" t="s">
        <v>195</v>
      </c>
      <c r="J6799" s="53">
        <f t="shared" si="3646"/>
        <v>100910</v>
      </c>
      <c r="K6799" s="63">
        <f t="shared" si="3640"/>
        <v>0.16171474358974358</v>
      </c>
      <c r="L6799" s="1212" t="s">
        <v>4082</v>
      </c>
      <c r="M6799" s="468"/>
      <c r="N6799" s="1192">
        <f t="shared" si="3660"/>
        <v>45406</v>
      </c>
      <c r="O6799" s="71" t="s">
        <v>194</v>
      </c>
      <c r="P6799" s="103" t="str">
        <f t="shared" si="3661"/>
        <v>Agfa Film(32inch)</v>
      </c>
      <c r="Q6799" s="71">
        <f t="shared" si="3642"/>
        <v>1</v>
      </c>
      <c r="R6799" s="102">
        <f>523090</f>
        <v>523090</v>
      </c>
      <c r="S6799" s="102">
        <f t="shared" si="3643"/>
        <v>575399</v>
      </c>
      <c r="T6799" s="102">
        <f t="shared" si="3644"/>
        <v>523090</v>
      </c>
      <c r="U6799" s="71" t="s">
        <v>859</v>
      </c>
      <c r="V6799" s="71"/>
      <c r="W6799" s="474">
        <v>201820</v>
      </c>
      <c r="X6799" s="71"/>
      <c r="Y6799" s="71"/>
    </row>
    <row r="6800" spans="1:25" ht="30" hidden="1" customHeight="1" x14ac:dyDescent="0.2">
      <c r="A6800" s="1145">
        <v>45338</v>
      </c>
      <c r="B6800" s="664" t="s">
        <v>442</v>
      </c>
      <c r="C6800" s="71" t="s">
        <v>648</v>
      </c>
      <c r="D6800" s="71">
        <v>1</v>
      </c>
      <c r="E6800" s="102">
        <v>93000</v>
      </c>
      <c r="F6800" s="102">
        <f t="shared" si="3637"/>
        <v>102300.00000000001</v>
      </c>
      <c r="G6800" s="102">
        <f t="shared" si="3659"/>
        <v>93000</v>
      </c>
      <c r="H6800" s="165" t="s">
        <v>172</v>
      </c>
      <c r="I6800" s="71" t="s">
        <v>195</v>
      </c>
      <c r="J6800" s="53">
        <f t="shared" si="3646"/>
        <v>27000</v>
      </c>
      <c r="K6800" s="63">
        <f t="shared" si="3640"/>
        <v>0.29032258064516125</v>
      </c>
      <c r="L6800" s="1212" t="s">
        <v>4082</v>
      </c>
      <c r="M6800" s="468"/>
      <c r="N6800" s="1192">
        <f t="shared" si="3660"/>
        <v>45338</v>
      </c>
      <c r="O6800" s="71" t="s">
        <v>194</v>
      </c>
      <c r="P6800" s="103" t="str">
        <f t="shared" si="3661"/>
        <v>Agfa 정착액 G333C(20L)</v>
      </c>
      <c r="Q6800" s="71">
        <f t="shared" si="3642"/>
        <v>1</v>
      </c>
      <c r="R6800" s="102">
        <v>66000</v>
      </c>
      <c r="S6800" s="102">
        <f t="shared" si="3643"/>
        <v>72600</v>
      </c>
      <c r="T6800" s="102">
        <f t="shared" si="3644"/>
        <v>66000</v>
      </c>
      <c r="U6800" s="71" t="s">
        <v>859</v>
      </c>
      <c r="V6800" s="71"/>
      <c r="W6800" s="474">
        <v>27000</v>
      </c>
      <c r="X6800" s="71"/>
      <c r="Y6800" s="71"/>
    </row>
    <row r="6801" spans="1:25" s="209" customFormat="1" ht="30" hidden="1" customHeight="1" x14ac:dyDescent="0.25">
      <c r="A6801" s="1145">
        <v>45379</v>
      </c>
      <c r="B6801" s="664" t="s">
        <v>442</v>
      </c>
      <c r="C6801" s="71" t="s">
        <v>3833</v>
      </c>
      <c r="D6801" s="71">
        <v>1000</v>
      </c>
      <c r="E6801" s="102">
        <v>4250</v>
      </c>
      <c r="F6801" s="102">
        <f t="shared" si="3637"/>
        <v>4675000</v>
      </c>
      <c r="G6801" s="102">
        <f t="shared" si="3659"/>
        <v>4250000</v>
      </c>
      <c r="H6801" s="690" t="s">
        <v>2029</v>
      </c>
      <c r="I6801" s="71" t="s">
        <v>2230</v>
      </c>
      <c r="J6801" s="53">
        <f t="shared" si="3646"/>
        <v>800000</v>
      </c>
      <c r="K6801" s="63">
        <f t="shared" si="3640"/>
        <v>0.18823529411764706</v>
      </c>
      <c r="L6801" s="1212" t="s">
        <v>4082</v>
      </c>
      <c r="M6801" s="468"/>
      <c r="N6801" s="1192">
        <f t="shared" si="3660"/>
        <v>45379</v>
      </c>
      <c r="O6801" s="71" t="s">
        <v>2030</v>
      </c>
      <c r="P6801" s="164" t="s">
        <v>3777</v>
      </c>
      <c r="Q6801" s="71">
        <f t="shared" si="3642"/>
        <v>1000</v>
      </c>
      <c r="R6801" s="102">
        <v>3450</v>
      </c>
      <c r="S6801" s="102">
        <f t="shared" si="3643"/>
        <v>3795000.0000000005</v>
      </c>
      <c r="T6801" s="102">
        <f t="shared" si="3644"/>
        <v>3450000</v>
      </c>
      <c r="U6801" s="71"/>
      <c r="V6801" s="71"/>
      <c r="W6801" s="474"/>
      <c r="X6801" s="71"/>
      <c r="Y6801" s="71"/>
    </row>
    <row r="6802" spans="1:25" ht="30" hidden="1" customHeight="1" x14ac:dyDescent="0.25">
      <c r="A6802" s="1145">
        <v>45379</v>
      </c>
      <c r="B6802" s="664" t="s">
        <v>442</v>
      </c>
      <c r="C6802" s="71" t="s">
        <v>3834</v>
      </c>
      <c r="D6802" s="71">
        <v>8</v>
      </c>
      <c r="E6802" s="102">
        <v>57000</v>
      </c>
      <c r="F6802" s="102">
        <f t="shared" si="3637"/>
        <v>501600.00000000006</v>
      </c>
      <c r="G6802" s="102">
        <f t="shared" si="3659"/>
        <v>456000</v>
      </c>
      <c r="H6802" s="690" t="s">
        <v>2029</v>
      </c>
      <c r="I6802" s="71" t="s">
        <v>2230</v>
      </c>
      <c r="J6802" s="53">
        <f t="shared" si="3646"/>
        <v>138720</v>
      </c>
      <c r="K6802" s="63">
        <f t="shared" si="3640"/>
        <v>0.30421052631578943</v>
      </c>
      <c r="L6802" s="1212" t="s">
        <v>4082</v>
      </c>
      <c r="M6802" s="468"/>
      <c r="N6802" s="1192">
        <f t="shared" si="3660"/>
        <v>45379</v>
      </c>
      <c r="O6802" s="71" t="s">
        <v>2030</v>
      </c>
      <c r="P6802" s="103" t="s">
        <v>1026</v>
      </c>
      <c r="Q6802" s="71">
        <f t="shared" si="3642"/>
        <v>8</v>
      </c>
      <c r="R6802" s="102">
        <v>39660</v>
      </c>
      <c r="S6802" s="102">
        <f t="shared" si="3643"/>
        <v>349008</v>
      </c>
      <c r="T6802" s="102">
        <f t="shared" si="3644"/>
        <v>317280</v>
      </c>
      <c r="U6802" s="71"/>
      <c r="V6802" s="71"/>
      <c r="W6802" s="474"/>
      <c r="X6802" s="71"/>
      <c r="Y6802" s="71"/>
    </row>
    <row r="6803" spans="1:25" ht="30" hidden="1" customHeight="1" x14ac:dyDescent="0.25">
      <c r="A6803" s="1145">
        <v>45383</v>
      </c>
      <c r="B6803" s="664" t="s">
        <v>26</v>
      </c>
      <c r="C6803" s="71" t="s">
        <v>2087</v>
      </c>
      <c r="D6803" s="71">
        <v>5</v>
      </c>
      <c r="E6803" s="102">
        <v>65000</v>
      </c>
      <c r="F6803" s="102">
        <f t="shared" si="3637"/>
        <v>357500</v>
      </c>
      <c r="G6803" s="102">
        <f t="shared" si="3659"/>
        <v>325000</v>
      </c>
      <c r="H6803" s="690" t="s">
        <v>172</v>
      </c>
      <c r="I6803" s="71" t="s">
        <v>3295</v>
      </c>
      <c r="J6803" s="53">
        <f t="shared" si="3646"/>
        <v>75000</v>
      </c>
      <c r="K6803" s="63">
        <f t="shared" si="3640"/>
        <v>0.23076923076923078</v>
      </c>
      <c r="L6803" s="1212" t="s">
        <v>4082</v>
      </c>
      <c r="M6803" s="468"/>
      <c r="N6803" s="1192">
        <f t="shared" si="3660"/>
        <v>45383</v>
      </c>
      <c r="O6803" s="71" t="s">
        <v>152</v>
      </c>
      <c r="P6803" s="103" t="s">
        <v>2087</v>
      </c>
      <c r="Q6803" s="71">
        <f t="shared" si="3642"/>
        <v>5</v>
      </c>
      <c r="R6803" s="102">
        <v>50000</v>
      </c>
      <c r="S6803" s="102">
        <f t="shared" si="3643"/>
        <v>275000</v>
      </c>
      <c r="T6803" s="102">
        <f t="shared" si="3644"/>
        <v>250000</v>
      </c>
      <c r="U6803" s="71" t="s">
        <v>1915</v>
      </c>
      <c r="V6803" s="71"/>
      <c r="W6803" s="474">
        <v>150000</v>
      </c>
      <c r="X6803" s="71"/>
      <c r="Y6803" s="71"/>
    </row>
    <row r="6804" spans="1:25" ht="30" hidden="1" customHeight="1" x14ac:dyDescent="0.25">
      <c r="A6804" s="1145">
        <v>45399</v>
      </c>
      <c r="B6804" s="664" t="s">
        <v>26</v>
      </c>
      <c r="C6804" s="71" t="s">
        <v>2087</v>
      </c>
      <c r="D6804" s="71">
        <v>5</v>
      </c>
      <c r="E6804" s="102">
        <v>65000</v>
      </c>
      <c r="F6804" s="102">
        <f t="shared" si="3637"/>
        <v>357500</v>
      </c>
      <c r="G6804" s="102">
        <f t="shared" si="3659"/>
        <v>325000</v>
      </c>
      <c r="H6804" s="690" t="s">
        <v>172</v>
      </c>
      <c r="I6804" s="71" t="s">
        <v>3295</v>
      </c>
      <c r="J6804" s="53">
        <f t="shared" si="3646"/>
        <v>75000</v>
      </c>
      <c r="K6804" s="63">
        <f t="shared" si="3640"/>
        <v>0.23076923076923078</v>
      </c>
      <c r="L6804" s="1212" t="s">
        <v>4082</v>
      </c>
      <c r="M6804" s="468"/>
      <c r="N6804" s="1192">
        <f t="shared" si="3660"/>
        <v>45399</v>
      </c>
      <c r="O6804" s="71" t="s">
        <v>152</v>
      </c>
      <c r="P6804" s="103" t="s">
        <v>2087</v>
      </c>
      <c r="Q6804" s="71">
        <f t="shared" si="3642"/>
        <v>5</v>
      </c>
      <c r="R6804" s="102">
        <v>50000</v>
      </c>
      <c r="S6804" s="102">
        <f t="shared" si="3643"/>
        <v>275000</v>
      </c>
      <c r="T6804" s="102">
        <f t="shared" si="3644"/>
        <v>250000</v>
      </c>
      <c r="U6804" s="71" t="s">
        <v>1915</v>
      </c>
      <c r="V6804" s="71"/>
      <c r="W6804" s="474">
        <v>150000</v>
      </c>
      <c r="X6804" s="71"/>
      <c r="Y6804" s="71"/>
    </row>
    <row r="6805" spans="1:25" ht="30" hidden="1" customHeight="1" x14ac:dyDescent="0.25">
      <c r="A6805" s="1145">
        <v>45398</v>
      </c>
      <c r="B6805" s="664" t="s">
        <v>3618</v>
      </c>
      <c r="C6805" s="71" t="s">
        <v>123</v>
      </c>
      <c r="D6805" s="71">
        <v>5</v>
      </c>
      <c r="E6805" s="102">
        <v>50000</v>
      </c>
      <c r="F6805" s="102">
        <f t="shared" si="3637"/>
        <v>275000</v>
      </c>
      <c r="G6805" s="102">
        <f t="shared" si="3659"/>
        <v>250000</v>
      </c>
      <c r="H6805" s="690" t="s">
        <v>94</v>
      </c>
      <c r="I6805" s="71" t="s">
        <v>94</v>
      </c>
      <c r="J6805" s="53">
        <f t="shared" si="3646"/>
        <v>140000</v>
      </c>
      <c r="K6805" s="63">
        <f t="shared" si="3640"/>
        <v>0.56000000000000005</v>
      </c>
      <c r="L6805" s="1212" t="s">
        <v>4082</v>
      </c>
      <c r="M6805" s="102"/>
      <c r="N6805" s="1192">
        <f t="shared" si="3660"/>
        <v>45398</v>
      </c>
      <c r="O6805" s="71" t="s">
        <v>94</v>
      </c>
      <c r="P6805" s="103" t="str">
        <f t="shared" ref="P6805:P6807" si="3662">(C6805)</f>
        <v>필터백</v>
      </c>
      <c r="Q6805" s="71">
        <f t="shared" si="3642"/>
        <v>5</v>
      </c>
      <c r="R6805" s="102">
        <v>22000</v>
      </c>
      <c r="S6805" s="102">
        <f t="shared" si="3643"/>
        <v>121000.00000000001</v>
      </c>
      <c r="T6805" s="102">
        <f t="shared" si="3644"/>
        <v>110000</v>
      </c>
      <c r="U6805" s="71"/>
      <c r="V6805" s="71"/>
      <c r="W6805" s="474"/>
      <c r="X6805" s="71"/>
      <c r="Y6805" s="71"/>
    </row>
    <row r="6806" spans="1:25" ht="30" hidden="1" customHeight="1" x14ac:dyDescent="0.25">
      <c r="A6806" s="1145">
        <v>45398</v>
      </c>
      <c r="B6806" s="664" t="s">
        <v>1155</v>
      </c>
      <c r="C6806" s="71" t="s">
        <v>3783</v>
      </c>
      <c r="D6806" s="71">
        <v>1</v>
      </c>
      <c r="E6806" s="102">
        <v>850000</v>
      </c>
      <c r="F6806" s="102">
        <f t="shared" si="3637"/>
        <v>935000.00000000012</v>
      </c>
      <c r="G6806" s="102">
        <f t="shared" si="3659"/>
        <v>850000</v>
      </c>
      <c r="H6806" s="690" t="s">
        <v>94</v>
      </c>
      <c r="I6806" s="71" t="s">
        <v>94</v>
      </c>
      <c r="J6806" s="53">
        <f t="shared" si="3646"/>
        <v>590410</v>
      </c>
      <c r="K6806" s="63">
        <f t="shared" si="3640"/>
        <v>0.69459999999999988</v>
      </c>
      <c r="L6806" s="1212" t="s">
        <v>4082</v>
      </c>
      <c r="M6806" s="468"/>
      <c r="N6806" s="1192">
        <f t="shared" si="3660"/>
        <v>45398</v>
      </c>
      <c r="O6806" s="71" t="s">
        <v>94</v>
      </c>
      <c r="P6806" s="103" t="str">
        <f t="shared" si="3662"/>
        <v>Technotrans beta.f 필터 세트</v>
      </c>
      <c r="Q6806" s="71">
        <f t="shared" si="3642"/>
        <v>1</v>
      </c>
      <c r="R6806" s="102">
        <v>259590</v>
      </c>
      <c r="S6806" s="102">
        <f t="shared" si="3643"/>
        <v>285549</v>
      </c>
      <c r="T6806" s="102">
        <f t="shared" si="3644"/>
        <v>259590</v>
      </c>
      <c r="U6806" s="71"/>
      <c r="V6806" s="71"/>
      <c r="W6806" s="474"/>
      <c r="X6806" s="71"/>
      <c r="Y6806" s="71"/>
    </row>
    <row r="6807" spans="1:25" ht="30" hidden="1" customHeight="1" x14ac:dyDescent="0.25">
      <c r="A6807" s="1145">
        <v>45405</v>
      </c>
      <c r="B6807" s="664" t="s">
        <v>591</v>
      </c>
      <c r="C6807" s="71" t="s">
        <v>4086</v>
      </c>
      <c r="D6807" s="71">
        <v>1</v>
      </c>
      <c r="E6807" s="102">
        <v>5093000</v>
      </c>
      <c r="F6807" s="102">
        <f t="shared" si="3637"/>
        <v>5602300</v>
      </c>
      <c r="G6807" s="102">
        <f t="shared" si="3659"/>
        <v>5093000</v>
      </c>
      <c r="H6807" s="690" t="s">
        <v>2029</v>
      </c>
      <c r="I6807" s="71" t="s">
        <v>143</v>
      </c>
      <c r="J6807" s="53">
        <f t="shared" si="3646"/>
        <v>1028000</v>
      </c>
      <c r="K6807" s="63">
        <f t="shared" si="3640"/>
        <v>0.20184567052817592</v>
      </c>
      <c r="L6807" s="1212" t="s">
        <v>4082</v>
      </c>
      <c r="M6807" s="102"/>
      <c r="N6807" s="1192">
        <f t="shared" si="3660"/>
        <v>45405</v>
      </c>
      <c r="O6807" s="71" t="s">
        <v>612</v>
      </c>
      <c r="P6807" s="103" t="str">
        <f t="shared" si="3662"/>
        <v>롤러 세트</v>
      </c>
      <c r="Q6807" s="71">
        <f t="shared" si="3642"/>
        <v>1</v>
      </c>
      <c r="R6807" s="102">
        <v>4065000</v>
      </c>
      <c r="S6807" s="102">
        <f t="shared" si="3643"/>
        <v>4471500</v>
      </c>
      <c r="T6807" s="102">
        <f t="shared" si="3644"/>
        <v>4065000</v>
      </c>
      <c r="U6807" s="71"/>
      <c r="V6807" s="71"/>
      <c r="W6807" s="474"/>
      <c r="X6807" s="71"/>
      <c r="Y6807" s="71"/>
    </row>
    <row r="6808" spans="1:25" ht="31.5" hidden="1" customHeight="1" x14ac:dyDescent="0.25">
      <c r="A6808" s="1145">
        <v>45391</v>
      </c>
      <c r="B6808" s="664" t="s">
        <v>2798</v>
      </c>
      <c r="C6808" s="71" t="s">
        <v>3290</v>
      </c>
      <c r="D6808" s="71">
        <v>1</v>
      </c>
      <c r="E6808" s="102">
        <v>780000</v>
      </c>
      <c r="F6808" s="102">
        <f t="shared" si="3637"/>
        <v>858000.00000000012</v>
      </c>
      <c r="G6808" s="102">
        <f t="shared" si="3659"/>
        <v>780000</v>
      </c>
      <c r="H6808" s="690" t="s">
        <v>172</v>
      </c>
      <c r="I6808" s="71" t="s">
        <v>38</v>
      </c>
      <c r="J6808" s="53">
        <f t="shared" si="3646"/>
        <v>318000</v>
      </c>
      <c r="K6808" s="63">
        <f t="shared" si="3640"/>
        <v>0.40769230769230763</v>
      </c>
      <c r="L6808" s="1212" t="s">
        <v>4082</v>
      </c>
      <c r="M6808" s="468"/>
      <c r="N6808" s="1192">
        <f t="shared" si="3660"/>
        <v>45391</v>
      </c>
      <c r="O6808" s="71" t="s">
        <v>3291</v>
      </c>
      <c r="P6808" s="103" t="str">
        <f t="shared" ref="P6808:P6822" si="3663">(C6808)</f>
        <v>점보롤 세정포</v>
      </c>
      <c r="Q6808" s="71">
        <f t="shared" si="3642"/>
        <v>1</v>
      </c>
      <c r="R6808" s="102">
        <v>462000</v>
      </c>
      <c r="S6808" s="102">
        <f t="shared" si="3643"/>
        <v>508200.00000000006</v>
      </c>
      <c r="T6808" s="102">
        <f t="shared" si="3644"/>
        <v>462000</v>
      </c>
      <c r="U6808" s="71" t="str">
        <f>IF(J6808=W6808,"O", "X")</f>
        <v>O</v>
      </c>
      <c r="V6808" s="71" t="s">
        <v>3292</v>
      </c>
      <c r="W6808" s="474">
        <f>(G6808-T6808)</f>
        <v>318000</v>
      </c>
      <c r="X6808" s="71"/>
      <c r="Y6808" s="71"/>
    </row>
    <row r="6809" spans="1:25" ht="30" hidden="1" customHeight="1" x14ac:dyDescent="0.25">
      <c r="A6809" s="1145">
        <v>45394</v>
      </c>
      <c r="B6809" s="664" t="s">
        <v>2798</v>
      </c>
      <c r="C6809" s="71" t="s">
        <v>167</v>
      </c>
      <c r="D6809" s="71">
        <v>10</v>
      </c>
      <c r="E6809" s="102">
        <v>138000</v>
      </c>
      <c r="F6809" s="102">
        <f t="shared" si="3637"/>
        <v>1518000.0000000002</v>
      </c>
      <c r="G6809" s="102">
        <f t="shared" si="3659"/>
        <v>1380000</v>
      </c>
      <c r="H6809" s="690" t="s">
        <v>172</v>
      </c>
      <c r="I6809" s="71" t="s">
        <v>33</v>
      </c>
      <c r="J6809" s="53">
        <f t="shared" si="3646"/>
        <v>368000</v>
      </c>
      <c r="K6809" s="63">
        <f t="shared" si="3640"/>
        <v>0.26666666666666661</v>
      </c>
      <c r="L6809" s="1212" t="s">
        <v>4082</v>
      </c>
      <c r="M6809" s="468"/>
      <c r="N6809" s="1192">
        <f t="shared" si="3660"/>
        <v>45394</v>
      </c>
      <c r="O6809" s="71" t="s">
        <v>146</v>
      </c>
      <c r="P6809" s="103" t="str">
        <f t="shared" si="3663"/>
        <v>Blanket(1060*860)</v>
      </c>
      <c r="Q6809" s="71">
        <f t="shared" si="3642"/>
        <v>10</v>
      </c>
      <c r="R6809" s="102">
        <v>101200</v>
      </c>
      <c r="S6809" s="102">
        <f t="shared" si="3643"/>
        <v>1113200</v>
      </c>
      <c r="T6809" s="102">
        <f t="shared" si="3644"/>
        <v>1012000</v>
      </c>
      <c r="U6809" s="71" t="str">
        <f t="shared" ref="U6809:U6810" si="3664">IF(J6809=W6809,"O", "X")</f>
        <v>X</v>
      </c>
      <c r="V6809" s="71"/>
      <c r="W6809" s="474"/>
      <c r="X6809" s="71"/>
      <c r="Y6809" s="71"/>
    </row>
    <row r="6810" spans="1:25" ht="30" hidden="1" customHeight="1" x14ac:dyDescent="0.25">
      <c r="A6810" s="1145">
        <v>45399</v>
      </c>
      <c r="B6810" s="664" t="s">
        <v>2798</v>
      </c>
      <c r="C6810" s="71" t="s">
        <v>3474</v>
      </c>
      <c r="D6810" s="71">
        <v>5</v>
      </c>
      <c r="E6810" s="102">
        <v>900000</v>
      </c>
      <c r="F6810" s="102">
        <f t="shared" si="3637"/>
        <v>4950000</v>
      </c>
      <c r="G6810" s="102">
        <f t="shared" si="3659"/>
        <v>4500000</v>
      </c>
      <c r="H6810" s="690" t="s">
        <v>172</v>
      </c>
      <c r="I6810" s="71" t="s">
        <v>33</v>
      </c>
      <c r="J6810" s="53">
        <f t="shared" si="3646"/>
        <v>2314500</v>
      </c>
      <c r="K6810" s="63">
        <f t="shared" si="3640"/>
        <v>0.51433333333333331</v>
      </c>
      <c r="L6810" s="1212" t="s">
        <v>4082</v>
      </c>
      <c r="M6810" s="468"/>
      <c r="N6810" s="1192">
        <f t="shared" si="3660"/>
        <v>45399</v>
      </c>
      <c r="O6810" s="71" t="s">
        <v>3490</v>
      </c>
      <c r="P6810" s="103" t="str">
        <f t="shared" si="3663"/>
        <v>UV Lamp - KBA 전선타입</v>
      </c>
      <c r="Q6810" s="71">
        <f t="shared" si="3642"/>
        <v>5</v>
      </c>
      <c r="R6810" s="102">
        <v>437100</v>
      </c>
      <c r="S6810" s="102">
        <f t="shared" si="3643"/>
        <v>2404050</v>
      </c>
      <c r="T6810" s="102">
        <f t="shared" si="3644"/>
        <v>2185500</v>
      </c>
      <c r="U6810" s="71" t="str">
        <f t="shared" si="3664"/>
        <v>X</v>
      </c>
      <c r="V6810" s="71"/>
      <c r="W6810" s="474"/>
      <c r="X6810" s="71"/>
      <c r="Y6810" s="71"/>
    </row>
    <row r="6811" spans="1:25" ht="30" hidden="1" customHeight="1" x14ac:dyDescent="0.25">
      <c r="A6811" s="1145">
        <v>45402</v>
      </c>
      <c r="B6811" s="664" t="s">
        <v>444</v>
      </c>
      <c r="C6811" s="71" t="s">
        <v>3399</v>
      </c>
      <c r="D6811" s="71">
        <v>10</v>
      </c>
      <c r="E6811" s="102">
        <v>195000</v>
      </c>
      <c r="F6811" s="102">
        <f t="shared" si="3637"/>
        <v>2145000</v>
      </c>
      <c r="G6811" s="102">
        <f t="shared" si="3659"/>
        <v>1950000</v>
      </c>
      <c r="H6811" s="690" t="s">
        <v>2029</v>
      </c>
      <c r="I6811" s="71" t="s">
        <v>180</v>
      </c>
      <c r="J6811" s="53">
        <f t="shared" si="3646"/>
        <v>450000</v>
      </c>
      <c r="K6811" s="63">
        <f t="shared" si="3640"/>
        <v>0.23076923076923078</v>
      </c>
      <c r="L6811" s="1212" t="s">
        <v>4082</v>
      </c>
      <c r="M6811" s="468"/>
      <c r="N6811" s="1192">
        <f t="shared" si="3660"/>
        <v>45402</v>
      </c>
      <c r="O6811" s="71" t="s">
        <v>191</v>
      </c>
      <c r="P6811" s="103" t="str">
        <f t="shared" si="3663"/>
        <v>UV wash offset UV</v>
      </c>
      <c r="Q6811" s="71">
        <f t="shared" si="3642"/>
        <v>10</v>
      </c>
      <c r="R6811" s="102">
        <v>150000</v>
      </c>
      <c r="S6811" s="102">
        <f t="shared" si="3643"/>
        <v>1650000.0000000002</v>
      </c>
      <c r="T6811" s="102">
        <f t="shared" si="3644"/>
        <v>1500000</v>
      </c>
      <c r="U6811" s="71"/>
      <c r="V6811" s="71"/>
      <c r="W6811" s="474"/>
      <c r="X6811" s="71"/>
      <c r="Y6811" s="71"/>
    </row>
    <row r="6812" spans="1:25" ht="30" hidden="1" customHeight="1" x14ac:dyDescent="0.25">
      <c r="A6812" s="1145">
        <v>45399</v>
      </c>
      <c r="B6812" s="664" t="s">
        <v>545</v>
      </c>
      <c r="C6812" s="71" t="s">
        <v>1804</v>
      </c>
      <c r="D6812" s="71">
        <v>500</v>
      </c>
      <c r="E6812" s="102">
        <v>450</v>
      </c>
      <c r="F6812" s="102">
        <f t="shared" ref="F6812:F6863" si="3665">(E6812*D6812)*1.1</f>
        <v>247500.00000000003</v>
      </c>
      <c r="G6812" s="102">
        <f t="shared" si="3659"/>
        <v>225000</v>
      </c>
      <c r="H6812" s="690" t="s">
        <v>2029</v>
      </c>
      <c r="I6812" s="71" t="s">
        <v>4092</v>
      </c>
      <c r="J6812" s="53">
        <f t="shared" si="3646"/>
        <v>25000</v>
      </c>
      <c r="K6812" s="63">
        <f t="shared" ref="K6812:K6822" si="3666">(J6812/(F6812/11*10))</f>
        <v>0.11111111111111109</v>
      </c>
      <c r="L6812" s="1212" t="s">
        <v>4082</v>
      </c>
      <c r="M6812" s="468"/>
      <c r="N6812" s="1192">
        <f t="shared" si="3660"/>
        <v>45399</v>
      </c>
      <c r="O6812" s="71" t="s">
        <v>150</v>
      </c>
      <c r="P6812" s="103" t="str">
        <f t="shared" si="3663"/>
        <v>고무사카 노란색</v>
      </c>
      <c r="Q6812" s="71">
        <f t="shared" ref="Q6812:Q6822" si="3667">D6812</f>
        <v>500</v>
      </c>
      <c r="R6812" s="147">
        <v>400</v>
      </c>
      <c r="S6812" s="102">
        <f t="shared" ref="S6812:S6822" si="3668">R6812*Q6812*1.1</f>
        <v>220000.00000000003</v>
      </c>
      <c r="T6812" s="102">
        <f t="shared" ref="T6812:T6821" si="3669">R6812*Q6812</f>
        <v>200000</v>
      </c>
      <c r="U6812" s="71"/>
      <c r="V6812" s="71"/>
      <c r="W6812" s="474"/>
      <c r="X6812" s="71"/>
      <c r="Y6812" s="71"/>
    </row>
    <row r="6813" spans="1:25" ht="30" hidden="1" customHeight="1" x14ac:dyDescent="0.25">
      <c r="A6813" s="1145">
        <v>45412</v>
      </c>
      <c r="B6813" s="664" t="s">
        <v>1178</v>
      </c>
      <c r="C6813" s="71" t="s">
        <v>4087</v>
      </c>
      <c r="D6813" s="71">
        <v>1</v>
      </c>
      <c r="E6813" s="102">
        <v>1740000</v>
      </c>
      <c r="F6813" s="102">
        <f t="shared" si="3665"/>
        <v>1914000.0000000002</v>
      </c>
      <c r="G6813" s="102">
        <f t="shared" si="3659"/>
        <v>1740000</v>
      </c>
      <c r="H6813" s="690" t="s">
        <v>142</v>
      </c>
      <c r="I6813" s="71" t="s">
        <v>140</v>
      </c>
      <c r="J6813" s="53">
        <f t="shared" si="3646"/>
        <v>532500</v>
      </c>
      <c r="K6813" s="63">
        <f t="shared" si="3666"/>
        <v>0.30603448275862066</v>
      </c>
      <c r="L6813" s="1212" t="s">
        <v>4082</v>
      </c>
      <c r="M6813" s="102"/>
      <c r="N6813" s="1192">
        <f t="shared" si="3660"/>
        <v>45412</v>
      </c>
      <c r="O6813" s="71" t="s">
        <v>145</v>
      </c>
      <c r="P6813" s="103" t="str">
        <f t="shared" si="3663"/>
        <v>CTP 보충액 및 현상액</v>
      </c>
      <c r="Q6813" s="71">
        <f t="shared" si="3667"/>
        <v>1</v>
      </c>
      <c r="R6813" s="102">
        <v>1207500</v>
      </c>
      <c r="S6813" s="102">
        <f t="shared" si="3668"/>
        <v>1328250</v>
      </c>
      <c r="T6813" s="102">
        <f t="shared" si="3669"/>
        <v>1207500</v>
      </c>
      <c r="U6813" s="71"/>
      <c r="V6813" s="71"/>
      <c r="W6813" s="474"/>
      <c r="X6813" s="71"/>
      <c r="Y6813" s="71"/>
    </row>
    <row r="6814" spans="1:25" ht="30" hidden="1" customHeight="1" x14ac:dyDescent="0.25">
      <c r="A6814" s="1145">
        <v>45412</v>
      </c>
      <c r="B6814" s="664" t="s">
        <v>4059</v>
      </c>
      <c r="C6814" s="71" t="s">
        <v>114</v>
      </c>
      <c r="D6814" s="71">
        <v>60</v>
      </c>
      <c r="E6814" s="102">
        <v>18000</v>
      </c>
      <c r="F6814" s="102">
        <f t="shared" si="3665"/>
        <v>1188000</v>
      </c>
      <c r="G6814" s="102">
        <f t="shared" si="3659"/>
        <v>1080000</v>
      </c>
      <c r="H6814" s="690" t="s">
        <v>1431</v>
      </c>
      <c r="I6814" s="71" t="s">
        <v>1431</v>
      </c>
      <c r="J6814" s="53">
        <f t="shared" si="3646"/>
        <v>460260</v>
      </c>
      <c r="K6814" s="63">
        <f t="shared" si="3666"/>
        <v>0.42616666666666669</v>
      </c>
      <c r="L6814" s="1212" t="s">
        <v>4082</v>
      </c>
      <c r="M6814" s="468"/>
      <c r="N6814" s="1192">
        <f t="shared" si="3660"/>
        <v>45412</v>
      </c>
      <c r="O6814" s="71" t="s">
        <v>1431</v>
      </c>
      <c r="P6814" s="103" t="str">
        <f t="shared" si="3663"/>
        <v>스트리퍼</v>
      </c>
      <c r="Q6814" s="71">
        <f t="shared" si="3667"/>
        <v>60</v>
      </c>
      <c r="R6814" s="147">
        <v>10329</v>
      </c>
      <c r="S6814" s="102">
        <f t="shared" si="3668"/>
        <v>681714</v>
      </c>
      <c r="T6814" s="102">
        <f t="shared" si="3669"/>
        <v>619740</v>
      </c>
      <c r="U6814" s="71"/>
      <c r="V6814" s="71"/>
      <c r="W6814" s="474"/>
      <c r="X6814" s="71"/>
      <c r="Y6814" s="71"/>
    </row>
    <row r="6815" spans="1:25" ht="30" hidden="1" customHeight="1" x14ac:dyDescent="0.25">
      <c r="A6815" s="1145">
        <v>45412</v>
      </c>
      <c r="B6815" s="664" t="s">
        <v>546</v>
      </c>
      <c r="C6815" s="71" t="s">
        <v>934</v>
      </c>
      <c r="D6815" s="71">
        <v>20</v>
      </c>
      <c r="E6815" s="102">
        <v>4500</v>
      </c>
      <c r="F6815" s="102">
        <f t="shared" si="3665"/>
        <v>99000.000000000015</v>
      </c>
      <c r="G6815" s="102">
        <f t="shared" si="3659"/>
        <v>90000</v>
      </c>
      <c r="H6815" s="690" t="s">
        <v>1431</v>
      </c>
      <c r="I6815" s="71" t="s">
        <v>1431</v>
      </c>
      <c r="J6815" s="53">
        <f t="shared" ref="J6815:J6822" si="3670">G6815-T6815</f>
        <v>24760</v>
      </c>
      <c r="K6815" s="63">
        <f t="shared" si="3666"/>
        <v>0.27511111111111108</v>
      </c>
      <c r="L6815" s="1212" t="s">
        <v>4082</v>
      </c>
      <c r="M6815" s="102"/>
      <c r="N6815" s="1192">
        <f t="shared" si="3660"/>
        <v>45412</v>
      </c>
      <c r="O6815" s="71" t="s">
        <v>1431</v>
      </c>
      <c r="P6815" s="103" t="str">
        <f t="shared" si="3663"/>
        <v>양면 테이프</v>
      </c>
      <c r="Q6815" s="71">
        <f t="shared" si="3667"/>
        <v>20</v>
      </c>
      <c r="R6815" s="102">
        <v>3262</v>
      </c>
      <c r="S6815" s="102">
        <f t="shared" si="3668"/>
        <v>71764</v>
      </c>
      <c r="T6815" s="102">
        <f t="shared" si="3669"/>
        <v>65240</v>
      </c>
      <c r="U6815" s="71"/>
      <c r="V6815" s="71"/>
      <c r="W6815" s="474"/>
      <c r="X6815" s="71"/>
      <c r="Y6815" s="71"/>
    </row>
    <row r="6816" spans="1:25" ht="30" hidden="1" customHeight="1" x14ac:dyDescent="0.25">
      <c r="A6816" s="1145">
        <v>45398</v>
      </c>
      <c r="B6816" s="664" t="s">
        <v>4088</v>
      </c>
      <c r="C6816" s="71" t="s">
        <v>4089</v>
      </c>
      <c r="D6816" s="71">
        <v>5</v>
      </c>
      <c r="E6816" s="102">
        <v>125000</v>
      </c>
      <c r="F6816" s="102">
        <f t="shared" si="3665"/>
        <v>687500</v>
      </c>
      <c r="G6816" s="102">
        <f t="shared" si="3659"/>
        <v>625000</v>
      </c>
      <c r="H6816" s="690" t="s">
        <v>2029</v>
      </c>
      <c r="I6816" s="71" t="s">
        <v>109</v>
      </c>
      <c r="J6816" s="53">
        <f t="shared" si="3670"/>
        <v>134000</v>
      </c>
      <c r="K6816" s="63">
        <f t="shared" si="3666"/>
        <v>0.21440000000000001</v>
      </c>
      <c r="L6816" s="1212" t="s">
        <v>4082</v>
      </c>
      <c r="M6816" s="468"/>
      <c r="N6816" s="1192">
        <f t="shared" si="3660"/>
        <v>45398</v>
      </c>
      <c r="O6816" s="71" t="s">
        <v>147</v>
      </c>
      <c r="P6816" s="103" t="str">
        <f t="shared" si="3663"/>
        <v>블랑켓 CD102용</v>
      </c>
      <c r="Q6816" s="71">
        <f t="shared" si="3667"/>
        <v>5</v>
      </c>
      <c r="R6816" s="147">
        <v>98200</v>
      </c>
      <c r="S6816" s="102">
        <f t="shared" si="3668"/>
        <v>540100</v>
      </c>
      <c r="T6816" s="102">
        <f t="shared" si="3669"/>
        <v>491000</v>
      </c>
      <c r="U6816" s="71"/>
      <c r="V6816" s="71"/>
      <c r="W6816" s="474"/>
      <c r="X6816" s="71"/>
      <c r="Y6816" s="71"/>
    </row>
    <row r="6817" spans="1:25" ht="30" hidden="1" customHeight="1" x14ac:dyDescent="0.25">
      <c r="A6817" s="1145">
        <v>45412</v>
      </c>
      <c r="B6817" s="664" t="s">
        <v>575</v>
      </c>
      <c r="C6817" s="71" t="s">
        <v>1236</v>
      </c>
      <c r="D6817" s="71">
        <v>10</v>
      </c>
      <c r="E6817" s="102">
        <v>120000</v>
      </c>
      <c r="F6817" s="102">
        <f t="shared" si="3665"/>
        <v>1320000</v>
      </c>
      <c r="G6817" s="102">
        <f t="shared" si="3659"/>
        <v>1200000</v>
      </c>
      <c r="H6817" s="690" t="s">
        <v>1431</v>
      </c>
      <c r="I6817" s="71" t="s">
        <v>1431</v>
      </c>
      <c r="J6817" s="53">
        <f t="shared" si="3670"/>
        <v>410290</v>
      </c>
      <c r="K6817" s="63">
        <f t="shared" si="3666"/>
        <v>0.34190833333333331</v>
      </c>
      <c r="L6817" s="1212" t="s">
        <v>4082</v>
      </c>
      <c r="M6817" s="102"/>
      <c r="N6817" s="1192">
        <f t="shared" si="3660"/>
        <v>45412</v>
      </c>
      <c r="O6817" s="71" t="s">
        <v>1431</v>
      </c>
      <c r="P6817" s="103" t="str">
        <f t="shared" si="3663"/>
        <v>접지칼</v>
      </c>
      <c r="Q6817" s="71">
        <f t="shared" si="3667"/>
        <v>10</v>
      </c>
      <c r="R6817" s="102">
        <v>78971</v>
      </c>
      <c r="S6817" s="102">
        <f t="shared" si="3668"/>
        <v>868681.00000000012</v>
      </c>
      <c r="T6817" s="102">
        <f t="shared" si="3669"/>
        <v>789710</v>
      </c>
      <c r="U6817" s="71"/>
      <c r="V6817" s="71"/>
      <c r="W6817" s="474"/>
      <c r="X6817" s="71"/>
      <c r="Y6817" s="71"/>
    </row>
    <row r="6818" spans="1:25" ht="30" hidden="1" customHeight="1" x14ac:dyDescent="0.25">
      <c r="A6818" s="1145">
        <v>45412</v>
      </c>
      <c r="B6818" s="664" t="s">
        <v>575</v>
      </c>
      <c r="C6818" s="71" t="s">
        <v>1298</v>
      </c>
      <c r="D6818" s="71">
        <v>10</v>
      </c>
      <c r="E6818" s="102">
        <v>130000</v>
      </c>
      <c r="F6818" s="102">
        <f t="shared" si="3665"/>
        <v>1430000</v>
      </c>
      <c r="G6818" s="102">
        <f t="shared" si="3659"/>
        <v>1300000</v>
      </c>
      <c r="H6818" s="690" t="s">
        <v>1431</v>
      </c>
      <c r="I6818" s="71" t="s">
        <v>1431</v>
      </c>
      <c r="J6818" s="53">
        <f t="shared" si="3670"/>
        <v>388590</v>
      </c>
      <c r="K6818" s="63">
        <f t="shared" si="3666"/>
        <v>0.29891538461538464</v>
      </c>
      <c r="L6818" s="1212" t="s">
        <v>4082</v>
      </c>
      <c r="M6818" s="468"/>
      <c r="N6818" s="1192">
        <f t="shared" si="3660"/>
        <v>45412</v>
      </c>
      <c r="O6818" s="71" t="s">
        <v>1431</v>
      </c>
      <c r="P6818" s="103" t="str">
        <f t="shared" si="3663"/>
        <v>재단칼</v>
      </c>
      <c r="Q6818" s="71">
        <f t="shared" si="3667"/>
        <v>10</v>
      </c>
      <c r="R6818" s="147">
        <v>91141</v>
      </c>
      <c r="S6818" s="102">
        <f t="shared" si="3668"/>
        <v>1002551.0000000001</v>
      </c>
      <c r="T6818" s="102">
        <f t="shared" si="3669"/>
        <v>911410</v>
      </c>
      <c r="U6818" s="71"/>
      <c r="V6818" s="71"/>
      <c r="W6818" s="474"/>
      <c r="X6818" s="71"/>
      <c r="Y6818" s="71"/>
    </row>
    <row r="6819" spans="1:25" ht="30" hidden="1" customHeight="1" x14ac:dyDescent="0.25">
      <c r="A6819" s="1145">
        <v>45412</v>
      </c>
      <c r="B6819" s="664" t="s">
        <v>575</v>
      </c>
      <c r="C6819" s="71" t="s">
        <v>4090</v>
      </c>
      <c r="D6819" s="71">
        <v>8</v>
      </c>
      <c r="E6819" s="102">
        <v>78000</v>
      </c>
      <c r="F6819" s="102">
        <f t="shared" si="3665"/>
        <v>686400</v>
      </c>
      <c r="G6819" s="102">
        <f t="shared" si="3659"/>
        <v>624000</v>
      </c>
      <c r="H6819" s="690" t="s">
        <v>1431</v>
      </c>
      <c r="I6819" s="71" t="s">
        <v>1431</v>
      </c>
      <c r="J6819" s="53">
        <f t="shared" si="3670"/>
        <v>213704</v>
      </c>
      <c r="K6819" s="63">
        <f t="shared" si="3666"/>
        <v>0.34247435897435896</v>
      </c>
      <c r="L6819" s="1212" t="s">
        <v>4082</v>
      </c>
      <c r="M6819" s="102"/>
      <c r="N6819" s="1192">
        <f t="shared" si="3660"/>
        <v>45412</v>
      </c>
      <c r="O6819" s="71" t="s">
        <v>1431</v>
      </c>
      <c r="P6819" s="103" t="str">
        <f t="shared" si="3663"/>
        <v>재단칼 쿠션</v>
      </c>
      <c r="Q6819" s="71">
        <f t="shared" si="3667"/>
        <v>8</v>
      </c>
      <c r="R6819" s="102">
        <v>51287</v>
      </c>
      <c r="S6819" s="102">
        <f t="shared" si="3668"/>
        <v>451325.60000000003</v>
      </c>
      <c r="T6819" s="102">
        <f t="shared" si="3669"/>
        <v>410296</v>
      </c>
      <c r="U6819" s="71"/>
      <c r="V6819" s="71"/>
      <c r="W6819" s="474"/>
      <c r="X6819" s="71"/>
      <c r="Y6819" s="71"/>
    </row>
    <row r="6820" spans="1:25" ht="30" hidden="1" customHeight="1" x14ac:dyDescent="0.25">
      <c r="A6820" s="1145">
        <v>45412</v>
      </c>
      <c r="B6820" s="664" t="s">
        <v>575</v>
      </c>
      <c r="C6820" s="71" t="s">
        <v>884</v>
      </c>
      <c r="D6820" s="71">
        <v>10</v>
      </c>
      <c r="E6820" s="102">
        <v>70000</v>
      </c>
      <c r="F6820" s="102">
        <f t="shared" si="3665"/>
        <v>770000.00000000012</v>
      </c>
      <c r="G6820" s="102">
        <f t="shared" si="3659"/>
        <v>700000</v>
      </c>
      <c r="H6820" s="690" t="s">
        <v>1431</v>
      </c>
      <c r="I6820" s="71" t="s">
        <v>1431</v>
      </c>
      <c r="J6820" s="53">
        <f t="shared" si="3670"/>
        <v>153670</v>
      </c>
      <c r="K6820" s="63">
        <f t="shared" si="3666"/>
        <v>0.21952857142857138</v>
      </c>
      <c r="L6820" s="1212" t="s">
        <v>4082</v>
      </c>
      <c r="M6820" s="468"/>
      <c r="N6820" s="1192">
        <f t="shared" si="3660"/>
        <v>45412</v>
      </c>
      <c r="O6820" s="71" t="s">
        <v>1431</v>
      </c>
      <c r="P6820" s="103" t="str">
        <f t="shared" si="3663"/>
        <v>재단목</v>
      </c>
      <c r="Q6820" s="71">
        <f t="shared" si="3667"/>
        <v>10</v>
      </c>
      <c r="R6820" s="147">
        <v>54633</v>
      </c>
      <c r="S6820" s="102">
        <f t="shared" si="3668"/>
        <v>600963</v>
      </c>
      <c r="T6820" s="102">
        <f t="shared" si="3669"/>
        <v>546330</v>
      </c>
      <c r="U6820" s="71"/>
      <c r="V6820" s="71"/>
      <c r="W6820" s="474"/>
      <c r="X6820" s="71"/>
      <c r="Y6820" s="71"/>
    </row>
    <row r="6821" spans="1:25" ht="30" hidden="1" customHeight="1" x14ac:dyDescent="0.25">
      <c r="A6821" s="1145">
        <v>45412</v>
      </c>
      <c r="B6821" s="664" t="s">
        <v>575</v>
      </c>
      <c r="C6821" s="71" t="s">
        <v>2318</v>
      </c>
      <c r="D6821" s="71">
        <v>4</v>
      </c>
      <c r="E6821" s="102">
        <v>80000</v>
      </c>
      <c r="F6821" s="102">
        <f t="shared" si="3665"/>
        <v>352000</v>
      </c>
      <c r="G6821" s="102">
        <f t="shared" si="3659"/>
        <v>320000</v>
      </c>
      <c r="H6821" s="690" t="s">
        <v>1431</v>
      </c>
      <c r="I6821" s="71" t="s">
        <v>1431</v>
      </c>
      <c r="J6821" s="53">
        <f t="shared" si="3670"/>
        <v>161868</v>
      </c>
      <c r="K6821" s="63">
        <f t="shared" si="3666"/>
        <v>0.50583750000000005</v>
      </c>
      <c r="L6821" s="1212" t="s">
        <v>4082</v>
      </c>
      <c r="M6821" s="102"/>
      <c r="N6821" s="1192">
        <f t="shared" si="3660"/>
        <v>45412</v>
      </c>
      <c r="O6821" s="71" t="s">
        <v>1431</v>
      </c>
      <c r="P6821" s="103" t="str">
        <f t="shared" si="3663"/>
        <v>스트립</v>
      </c>
      <c r="Q6821" s="71">
        <f t="shared" si="3667"/>
        <v>4</v>
      </c>
      <c r="R6821" s="102">
        <v>39533</v>
      </c>
      <c r="S6821" s="102">
        <f t="shared" si="3668"/>
        <v>173945.2</v>
      </c>
      <c r="T6821" s="102">
        <f t="shared" si="3669"/>
        <v>158132</v>
      </c>
      <c r="U6821" s="71"/>
      <c r="V6821" s="71"/>
      <c r="W6821" s="474"/>
      <c r="X6821" s="71"/>
      <c r="Y6821" s="71"/>
    </row>
    <row r="6822" spans="1:25" ht="30" hidden="1" customHeight="1" x14ac:dyDescent="0.25">
      <c r="A6822" s="1145">
        <v>45412</v>
      </c>
      <c r="B6822" s="664" t="s">
        <v>575</v>
      </c>
      <c r="C6822" s="71" t="s">
        <v>4091</v>
      </c>
      <c r="D6822" s="71">
        <v>1</v>
      </c>
      <c r="E6822" s="102">
        <v>2625000</v>
      </c>
      <c r="F6822" s="102">
        <f t="shared" si="3665"/>
        <v>2887500.0000000005</v>
      </c>
      <c r="G6822" s="102">
        <f t="shared" si="3659"/>
        <v>2625000</v>
      </c>
      <c r="H6822" s="690" t="s">
        <v>281</v>
      </c>
      <c r="I6822" s="71" t="s">
        <v>281</v>
      </c>
      <c r="J6822" s="53">
        <f t="shared" si="3670"/>
        <v>2625000</v>
      </c>
      <c r="K6822" s="63">
        <f t="shared" si="3666"/>
        <v>0.99999999999999978</v>
      </c>
      <c r="L6822" s="1212" t="s">
        <v>4082</v>
      </c>
      <c r="M6822" s="102"/>
      <c r="N6822" s="1192"/>
      <c r="O6822" s="71"/>
      <c r="P6822" s="103" t="str">
        <f t="shared" si="3663"/>
        <v>M-600 서비스계약 1회차분</v>
      </c>
      <c r="Q6822" s="71">
        <f t="shared" si="3667"/>
        <v>1</v>
      </c>
      <c r="R6822" s="102"/>
      <c r="S6822" s="102">
        <f t="shared" si="3668"/>
        <v>0</v>
      </c>
      <c r="T6822" s="102"/>
      <c r="U6822" s="71"/>
      <c r="V6822" s="71"/>
      <c r="W6822" s="474"/>
      <c r="X6822" s="71"/>
      <c r="Y6822" s="71"/>
    </row>
    <row r="6823" spans="1:25" ht="30" hidden="1" customHeight="1" x14ac:dyDescent="0.25">
      <c r="A6823" s="1210" t="s">
        <v>4096</v>
      </c>
      <c r="B6823" s="1211" t="s">
        <v>544</v>
      </c>
      <c r="C6823" s="960"/>
      <c r="D6823" s="960"/>
      <c r="E6823" s="952"/>
      <c r="F6823" s="952"/>
      <c r="G6823" s="952"/>
      <c r="H6823" s="1206"/>
      <c r="I6823" s="960"/>
      <c r="J6823" s="952"/>
      <c r="K6823" s="953"/>
      <c r="L6823" s="1212" t="s">
        <v>4098</v>
      </c>
      <c r="M6823" s="1207"/>
      <c r="N6823" s="1208" t="str">
        <f t="shared" ref="N6823:N6886" si="3671">A6823</f>
        <v>2024,5</v>
      </c>
      <c r="O6823" s="960"/>
      <c r="P6823" s="1209"/>
      <c r="Q6823" s="960"/>
      <c r="R6823" s="952"/>
      <c r="S6823" s="952"/>
      <c r="T6823" s="952"/>
      <c r="U6823" s="960"/>
      <c r="V6823" s="960"/>
      <c r="W6823" s="474">
        <f>(G6823-T6823)</f>
        <v>0</v>
      </c>
      <c r="X6823" s="71"/>
      <c r="Y6823" s="71"/>
    </row>
    <row r="6824" spans="1:25" ht="30" hidden="1" customHeight="1" x14ac:dyDescent="0.25">
      <c r="A6824" s="1145">
        <v>45437</v>
      </c>
      <c r="B6824" s="664" t="s">
        <v>1060</v>
      </c>
      <c r="C6824" s="71" t="s">
        <v>3908</v>
      </c>
      <c r="D6824" s="71">
        <v>400</v>
      </c>
      <c r="E6824" s="102">
        <v>5810</v>
      </c>
      <c r="F6824" s="102">
        <f t="shared" si="3665"/>
        <v>2556400</v>
      </c>
      <c r="G6824" s="102">
        <f t="shared" si="3659"/>
        <v>2324000</v>
      </c>
      <c r="H6824" s="690" t="s">
        <v>142</v>
      </c>
      <c r="I6824" s="71" t="s">
        <v>179</v>
      </c>
      <c r="J6824" s="53">
        <f t="shared" ref="J6824" si="3672">G6824-T6824</f>
        <v>758400</v>
      </c>
      <c r="K6824" s="63">
        <f t="shared" ref="K6824" si="3673">(J6824/(F6824/11*10))</f>
        <v>0.3263339070567986</v>
      </c>
      <c r="L6824" s="1212" t="s">
        <v>4099</v>
      </c>
      <c r="M6824" s="102" t="s">
        <v>3964</v>
      </c>
      <c r="N6824" s="1192">
        <f t="shared" si="3671"/>
        <v>45437</v>
      </c>
      <c r="O6824" s="71" t="s">
        <v>662</v>
      </c>
      <c r="P6824" s="103" t="str">
        <f t="shared" ref="P6824:P6887" si="3674">(C6824)</f>
        <v>Saphira CTP 판 1030 x 790</v>
      </c>
      <c r="Q6824" s="71">
        <f t="shared" ref="Q6824:Q6887" si="3675">D6824</f>
        <v>400</v>
      </c>
      <c r="R6824" s="102">
        <v>3914</v>
      </c>
      <c r="S6824" s="102">
        <f t="shared" ref="S6824" si="3676">R6824*Q6824*1.1</f>
        <v>1722160.0000000002</v>
      </c>
      <c r="T6824" s="102">
        <f t="shared" ref="T6824" si="3677">R6824*Q6824</f>
        <v>1565600</v>
      </c>
      <c r="U6824" s="71" t="s">
        <v>859</v>
      </c>
      <c r="V6824" s="71"/>
      <c r="W6824" s="474">
        <v>942000</v>
      </c>
      <c r="X6824" s="71"/>
      <c r="Y6824" s="71"/>
    </row>
    <row r="6825" spans="1:25" ht="30" hidden="1" customHeight="1" x14ac:dyDescent="0.25">
      <c r="A6825" s="1145">
        <v>45437</v>
      </c>
      <c r="B6825" s="664" t="s">
        <v>1060</v>
      </c>
      <c r="C6825" s="71" t="s">
        <v>3909</v>
      </c>
      <c r="D6825" s="71">
        <v>3100</v>
      </c>
      <c r="E6825" s="102">
        <v>3670</v>
      </c>
      <c r="F6825" s="102">
        <f t="shared" si="3665"/>
        <v>12514700.000000002</v>
      </c>
      <c r="G6825" s="102">
        <f t="shared" si="3659"/>
        <v>11377000</v>
      </c>
      <c r="H6825" s="690" t="s">
        <v>36</v>
      </c>
      <c r="I6825" s="71" t="s">
        <v>2529</v>
      </c>
      <c r="J6825" s="53">
        <f t="shared" ref="J6825:J6888" si="3678">G6825-T6825</f>
        <v>3713800</v>
      </c>
      <c r="K6825" s="63">
        <f t="shared" ref="K6825:K6888" si="3679">(J6825/(F6825/11*10))</f>
        <v>0.3264305177111716</v>
      </c>
      <c r="L6825" s="1212" t="s">
        <v>4099</v>
      </c>
      <c r="M6825" s="102" t="s">
        <v>3964</v>
      </c>
      <c r="N6825" s="1192">
        <f t="shared" si="3671"/>
        <v>45437</v>
      </c>
      <c r="O6825" s="71" t="s">
        <v>662</v>
      </c>
      <c r="P6825" s="103" t="str">
        <f t="shared" si="3674"/>
        <v>Saphira CTP 판 900 x 571</v>
      </c>
      <c r="Q6825" s="71">
        <f t="shared" si="3675"/>
        <v>3100</v>
      </c>
      <c r="R6825" s="102">
        <v>2472</v>
      </c>
      <c r="S6825" s="102">
        <f t="shared" ref="S6825:S6888" si="3680">R6825*Q6825*1.1</f>
        <v>8429520</v>
      </c>
      <c r="T6825" s="102">
        <f t="shared" ref="T6825:T6888" si="3681">R6825*Q6825</f>
        <v>7663200</v>
      </c>
      <c r="U6825" s="71" t="s">
        <v>859</v>
      </c>
      <c r="V6825" s="71"/>
      <c r="W6825" s="474">
        <v>1274000</v>
      </c>
      <c r="X6825" s="71"/>
      <c r="Y6825" s="71"/>
    </row>
    <row r="6826" spans="1:25" ht="30" hidden="1" customHeight="1" x14ac:dyDescent="0.25">
      <c r="A6826" s="1145">
        <v>45437</v>
      </c>
      <c r="B6826" s="664" t="s">
        <v>1060</v>
      </c>
      <c r="C6826" s="71" t="s">
        <v>3910</v>
      </c>
      <c r="D6826" s="71">
        <v>300</v>
      </c>
      <c r="E6826" s="102">
        <v>3470</v>
      </c>
      <c r="F6826" s="102">
        <f t="shared" si="3665"/>
        <v>1145100</v>
      </c>
      <c r="G6826" s="102">
        <f t="shared" si="3659"/>
        <v>1041000</v>
      </c>
      <c r="H6826" s="690" t="s">
        <v>36</v>
      </c>
      <c r="I6826" s="71" t="s">
        <v>2529</v>
      </c>
      <c r="J6826" s="53">
        <f t="shared" si="3678"/>
        <v>336600</v>
      </c>
      <c r="K6826" s="63">
        <f t="shared" si="3679"/>
        <v>0.32334293948126802</v>
      </c>
      <c r="L6826" s="1212" t="s">
        <v>4099</v>
      </c>
      <c r="M6826" s="102" t="s">
        <v>3964</v>
      </c>
      <c r="N6826" s="1192">
        <f t="shared" si="3671"/>
        <v>45437</v>
      </c>
      <c r="O6826" s="71" t="s">
        <v>662</v>
      </c>
      <c r="P6826" s="103" t="str">
        <f t="shared" si="3674"/>
        <v>Saphira CTP 판 883 x 552</v>
      </c>
      <c r="Q6826" s="71">
        <f t="shared" si="3675"/>
        <v>300</v>
      </c>
      <c r="R6826" s="102">
        <v>2348</v>
      </c>
      <c r="S6826" s="102">
        <f t="shared" si="3680"/>
        <v>774840.00000000012</v>
      </c>
      <c r="T6826" s="102">
        <f t="shared" si="3681"/>
        <v>704400</v>
      </c>
      <c r="U6826" s="71" t="s">
        <v>859</v>
      </c>
      <c r="V6826" s="71"/>
      <c r="W6826" s="474">
        <v>3325000</v>
      </c>
      <c r="X6826" s="71"/>
      <c r="Y6826" s="71"/>
    </row>
    <row r="6827" spans="1:25" ht="30" hidden="1" customHeight="1" x14ac:dyDescent="0.25">
      <c r="A6827" s="1145">
        <v>45437</v>
      </c>
      <c r="B6827" s="664" t="s">
        <v>1060</v>
      </c>
      <c r="C6827" s="71" t="s">
        <v>3911</v>
      </c>
      <c r="D6827" s="71">
        <v>400</v>
      </c>
      <c r="E6827" s="102">
        <v>5890</v>
      </c>
      <c r="F6827" s="102">
        <f t="shared" si="3665"/>
        <v>2591600</v>
      </c>
      <c r="G6827" s="102">
        <f t="shared" si="3659"/>
        <v>2356000</v>
      </c>
      <c r="H6827" s="690" t="s">
        <v>36</v>
      </c>
      <c r="I6827" s="71" t="s">
        <v>2529</v>
      </c>
      <c r="J6827" s="53">
        <f t="shared" si="3678"/>
        <v>769600</v>
      </c>
      <c r="K6827" s="63">
        <f t="shared" si="3679"/>
        <v>0.32665534804753821</v>
      </c>
      <c r="L6827" s="1212" t="s">
        <v>4099</v>
      </c>
      <c r="M6827" s="102" t="s">
        <v>3964</v>
      </c>
      <c r="N6827" s="1192">
        <f t="shared" si="3671"/>
        <v>45437</v>
      </c>
      <c r="O6827" s="71" t="s">
        <v>662</v>
      </c>
      <c r="P6827" s="103" t="str">
        <f t="shared" si="3674"/>
        <v>Saphira CTP 판 1030 x 800</v>
      </c>
      <c r="Q6827" s="71">
        <f t="shared" si="3675"/>
        <v>400</v>
      </c>
      <c r="R6827" s="102">
        <v>3966</v>
      </c>
      <c r="S6827" s="102">
        <f t="shared" si="3680"/>
        <v>1745040.0000000002</v>
      </c>
      <c r="T6827" s="102">
        <f t="shared" si="3681"/>
        <v>1586400</v>
      </c>
      <c r="U6827" s="71" t="s">
        <v>859</v>
      </c>
      <c r="V6827" s="71"/>
      <c r="W6827" s="474">
        <v>636000</v>
      </c>
      <c r="X6827" s="71"/>
      <c r="Y6827" s="71"/>
    </row>
    <row r="6828" spans="1:25" ht="30" hidden="1" customHeight="1" x14ac:dyDescent="0.25">
      <c r="A6828" s="1145">
        <v>45437</v>
      </c>
      <c r="B6828" s="664" t="s">
        <v>1060</v>
      </c>
      <c r="C6828" s="71" t="s">
        <v>3912</v>
      </c>
      <c r="D6828" s="71">
        <v>400</v>
      </c>
      <c r="E6828" s="102">
        <v>6110</v>
      </c>
      <c r="F6828" s="102">
        <f t="shared" si="3665"/>
        <v>2688400</v>
      </c>
      <c r="G6828" s="102">
        <f t="shared" si="3659"/>
        <v>2444000</v>
      </c>
      <c r="H6828" s="690" t="s">
        <v>36</v>
      </c>
      <c r="I6828" s="71" t="s">
        <v>2529</v>
      </c>
      <c r="J6828" s="53">
        <f t="shared" si="3678"/>
        <v>796000</v>
      </c>
      <c r="K6828" s="63">
        <f t="shared" si="3679"/>
        <v>0.32569558101472995</v>
      </c>
      <c r="L6828" s="1212" t="s">
        <v>4099</v>
      </c>
      <c r="M6828" s="102" t="s">
        <v>3964</v>
      </c>
      <c r="N6828" s="1192">
        <f t="shared" si="3671"/>
        <v>45437</v>
      </c>
      <c r="O6828" s="71" t="s">
        <v>662</v>
      </c>
      <c r="P6828" s="103" t="str">
        <f t="shared" si="3674"/>
        <v>Saphira CTP 판 1055 x 811</v>
      </c>
      <c r="Q6828" s="71">
        <f t="shared" si="3675"/>
        <v>400</v>
      </c>
      <c r="R6828" s="102">
        <v>4120</v>
      </c>
      <c r="S6828" s="102">
        <f t="shared" si="3680"/>
        <v>1812800.0000000002</v>
      </c>
      <c r="T6828" s="102">
        <f t="shared" si="3681"/>
        <v>1648000</v>
      </c>
      <c r="U6828" s="71" t="s">
        <v>859</v>
      </c>
      <c r="V6828" s="71"/>
      <c r="W6828" s="474">
        <v>1476000</v>
      </c>
      <c r="X6828" s="71"/>
      <c r="Y6828" s="71"/>
    </row>
    <row r="6829" spans="1:25" ht="30" hidden="1" customHeight="1" x14ac:dyDescent="0.25">
      <c r="A6829" s="1145">
        <v>45437</v>
      </c>
      <c r="B6829" s="664" t="s">
        <v>1060</v>
      </c>
      <c r="C6829" s="71" t="s">
        <v>3913</v>
      </c>
      <c r="D6829" s="71">
        <v>200</v>
      </c>
      <c r="E6829" s="102">
        <v>4360</v>
      </c>
      <c r="F6829" s="102">
        <f t="shared" si="3665"/>
        <v>959200.00000000012</v>
      </c>
      <c r="G6829" s="102">
        <f t="shared" si="3659"/>
        <v>872000</v>
      </c>
      <c r="H6829" s="690" t="s">
        <v>36</v>
      </c>
      <c r="I6829" s="71" t="s">
        <v>2529</v>
      </c>
      <c r="J6829" s="53">
        <f t="shared" si="3678"/>
        <v>284800</v>
      </c>
      <c r="K6829" s="63">
        <f t="shared" si="3679"/>
        <v>0.32660550458715593</v>
      </c>
      <c r="L6829" s="1212" t="s">
        <v>4099</v>
      </c>
      <c r="M6829" s="102" t="s">
        <v>3964</v>
      </c>
      <c r="N6829" s="1192">
        <f t="shared" si="3671"/>
        <v>45437</v>
      </c>
      <c r="O6829" s="71" t="s">
        <v>662</v>
      </c>
      <c r="P6829" s="103" t="str">
        <f t="shared" si="3674"/>
        <v>Saphira CTP 판 968 x 631</v>
      </c>
      <c r="Q6829" s="71">
        <f t="shared" si="3675"/>
        <v>200</v>
      </c>
      <c r="R6829" s="102">
        <v>2936</v>
      </c>
      <c r="S6829" s="102">
        <f t="shared" si="3680"/>
        <v>645920</v>
      </c>
      <c r="T6829" s="102">
        <f t="shared" si="3681"/>
        <v>587200</v>
      </c>
      <c r="U6829" s="71" t="s">
        <v>859</v>
      </c>
      <c r="V6829" s="71"/>
      <c r="W6829" s="474">
        <v>1416000</v>
      </c>
      <c r="X6829" s="71"/>
      <c r="Y6829" s="71"/>
    </row>
    <row r="6830" spans="1:25" ht="30" hidden="1" customHeight="1" x14ac:dyDescent="0.25">
      <c r="A6830" s="1145">
        <v>45437</v>
      </c>
      <c r="B6830" s="664" t="s">
        <v>1060</v>
      </c>
      <c r="C6830" s="71" t="s">
        <v>3914</v>
      </c>
      <c r="D6830" s="71">
        <v>15</v>
      </c>
      <c r="E6830" s="102">
        <v>52800</v>
      </c>
      <c r="F6830" s="102">
        <f t="shared" si="3665"/>
        <v>871200.00000000012</v>
      </c>
      <c r="G6830" s="102">
        <f t="shared" si="3659"/>
        <v>792000</v>
      </c>
      <c r="H6830" s="690" t="s">
        <v>36</v>
      </c>
      <c r="I6830" s="71" t="s">
        <v>2529</v>
      </c>
      <c r="J6830" s="53">
        <f t="shared" si="3678"/>
        <v>174000</v>
      </c>
      <c r="K6830" s="63">
        <f t="shared" si="3679"/>
        <v>0.21969696969696967</v>
      </c>
      <c r="L6830" s="1212" t="s">
        <v>4099</v>
      </c>
      <c r="M6830" s="468"/>
      <c r="N6830" s="1192">
        <f t="shared" si="3671"/>
        <v>45437</v>
      </c>
      <c r="O6830" s="71" t="s">
        <v>662</v>
      </c>
      <c r="P6830" s="103" t="str">
        <f t="shared" si="3674"/>
        <v>사피라 현상액</v>
      </c>
      <c r="Q6830" s="71">
        <f t="shared" si="3675"/>
        <v>15</v>
      </c>
      <c r="R6830" s="102">
        <v>41200</v>
      </c>
      <c r="S6830" s="102">
        <f t="shared" si="3680"/>
        <v>679800</v>
      </c>
      <c r="T6830" s="102">
        <f t="shared" si="3681"/>
        <v>618000</v>
      </c>
      <c r="U6830" s="71" t="s">
        <v>859</v>
      </c>
      <c r="V6830" s="71"/>
      <c r="W6830" s="474">
        <v>978750</v>
      </c>
      <c r="X6830" s="71"/>
      <c r="Y6830" s="71"/>
    </row>
    <row r="6831" spans="1:25" ht="30" hidden="1" customHeight="1" x14ac:dyDescent="0.25">
      <c r="A6831" s="1145">
        <v>45437</v>
      </c>
      <c r="B6831" s="664" t="s">
        <v>1061</v>
      </c>
      <c r="C6831" s="71" t="s">
        <v>3319</v>
      </c>
      <c r="D6831" s="71">
        <v>200</v>
      </c>
      <c r="E6831" s="102">
        <v>6328</v>
      </c>
      <c r="F6831" s="102">
        <f t="shared" si="3665"/>
        <v>1392160</v>
      </c>
      <c r="G6831" s="102">
        <f t="shared" si="3659"/>
        <v>1265600</v>
      </c>
      <c r="H6831" s="690" t="s">
        <v>36</v>
      </c>
      <c r="I6831" s="71" t="s">
        <v>3320</v>
      </c>
      <c r="J6831" s="53">
        <f t="shared" si="3678"/>
        <v>95600</v>
      </c>
      <c r="K6831" s="63">
        <f t="shared" si="3679"/>
        <v>7.5537294563843241E-2</v>
      </c>
      <c r="L6831" s="1212" t="s">
        <v>4099</v>
      </c>
      <c r="M6831" s="468"/>
      <c r="N6831" s="1192">
        <f t="shared" si="3671"/>
        <v>45437</v>
      </c>
      <c r="O6831" s="71" t="s">
        <v>146</v>
      </c>
      <c r="P6831" s="103" t="str">
        <f t="shared" si="3674"/>
        <v>프리미어(먹)</v>
      </c>
      <c r="Q6831" s="71">
        <f t="shared" si="3675"/>
        <v>200</v>
      </c>
      <c r="R6831" s="102">
        <v>5850</v>
      </c>
      <c r="S6831" s="102">
        <f t="shared" si="3680"/>
        <v>1287000</v>
      </c>
      <c r="T6831" s="102">
        <f t="shared" si="3681"/>
        <v>1170000</v>
      </c>
      <c r="U6831" s="71" t="s">
        <v>859</v>
      </c>
      <c r="V6831" s="71"/>
      <c r="W6831" s="474">
        <v>411200</v>
      </c>
      <c r="X6831" s="71"/>
      <c r="Y6831" s="71"/>
    </row>
    <row r="6832" spans="1:25" ht="30" hidden="1" customHeight="1" x14ac:dyDescent="0.25">
      <c r="A6832" s="1145">
        <v>45437</v>
      </c>
      <c r="B6832" s="664" t="s">
        <v>1061</v>
      </c>
      <c r="C6832" s="71" t="s">
        <v>3321</v>
      </c>
      <c r="D6832" s="71">
        <v>400</v>
      </c>
      <c r="E6832" s="102">
        <v>6780</v>
      </c>
      <c r="F6832" s="102">
        <f t="shared" si="3665"/>
        <v>2983200.0000000005</v>
      </c>
      <c r="G6832" s="102">
        <f t="shared" si="3659"/>
        <v>2712000</v>
      </c>
      <c r="H6832" s="690" t="s">
        <v>36</v>
      </c>
      <c r="I6832" s="71" t="s">
        <v>3320</v>
      </c>
      <c r="J6832" s="53">
        <f t="shared" si="3678"/>
        <v>200000</v>
      </c>
      <c r="K6832" s="63">
        <f t="shared" si="3679"/>
        <v>7.3746312684365767E-2</v>
      </c>
      <c r="L6832" s="1212" t="s">
        <v>4099</v>
      </c>
      <c r="M6832" s="468"/>
      <c r="N6832" s="1192">
        <f t="shared" si="3671"/>
        <v>45437</v>
      </c>
      <c r="O6832" s="71" t="s">
        <v>146</v>
      </c>
      <c r="P6832" s="103" t="str">
        <f t="shared" si="3674"/>
        <v>프리미어(적)</v>
      </c>
      <c r="Q6832" s="71">
        <f t="shared" si="3675"/>
        <v>400</v>
      </c>
      <c r="R6832" s="102">
        <v>6280</v>
      </c>
      <c r="S6832" s="102">
        <f t="shared" si="3680"/>
        <v>2763200</v>
      </c>
      <c r="T6832" s="102">
        <f t="shared" si="3681"/>
        <v>2512000</v>
      </c>
      <c r="U6832" s="71" t="s">
        <v>859</v>
      </c>
      <c r="V6832" s="71"/>
      <c r="W6832" s="474">
        <v>292000</v>
      </c>
      <c r="X6832" s="71"/>
      <c r="Y6832" s="71"/>
    </row>
    <row r="6833" spans="1:25" ht="30" hidden="1" customHeight="1" x14ac:dyDescent="0.25">
      <c r="A6833" s="1145">
        <v>45437</v>
      </c>
      <c r="B6833" s="664" t="s">
        <v>1061</v>
      </c>
      <c r="C6833" s="71" t="s">
        <v>1289</v>
      </c>
      <c r="D6833" s="71">
        <v>600</v>
      </c>
      <c r="E6833" s="102">
        <v>6498</v>
      </c>
      <c r="F6833" s="102">
        <f t="shared" si="3665"/>
        <v>4288680</v>
      </c>
      <c r="G6833" s="102">
        <f t="shared" si="3659"/>
        <v>3898800</v>
      </c>
      <c r="H6833" s="690" t="s">
        <v>36</v>
      </c>
      <c r="I6833" s="71" t="s">
        <v>3320</v>
      </c>
      <c r="J6833" s="53">
        <f t="shared" si="3678"/>
        <v>286800</v>
      </c>
      <c r="K6833" s="63">
        <f t="shared" si="3679"/>
        <v>7.3561095721760547E-2</v>
      </c>
      <c r="L6833" s="1212" t="s">
        <v>4099</v>
      </c>
      <c r="M6833" s="468"/>
      <c r="N6833" s="1192">
        <f t="shared" si="3671"/>
        <v>45437</v>
      </c>
      <c r="O6833" s="71" t="s">
        <v>146</v>
      </c>
      <c r="P6833" s="103" t="str">
        <f t="shared" si="3674"/>
        <v>프리미어(황)</v>
      </c>
      <c r="Q6833" s="71">
        <f t="shared" si="3675"/>
        <v>600</v>
      </c>
      <c r="R6833" s="102">
        <v>6020</v>
      </c>
      <c r="S6833" s="102">
        <f t="shared" si="3680"/>
        <v>3973200.0000000005</v>
      </c>
      <c r="T6833" s="102">
        <f t="shared" si="3681"/>
        <v>3612000</v>
      </c>
      <c r="U6833" s="71" t="s">
        <v>859</v>
      </c>
      <c r="V6833" s="71"/>
      <c r="W6833" s="474">
        <v>640800</v>
      </c>
      <c r="X6833" s="71"/>
      <c r="Y6833" s="71"/>
    </row>
    <row r="6834" spans="1:25" ht="30" hidden="1" customHeight="1" x14ac:dyDescent="0.25">
      <c r="A6834" s="1145">
        <v>45437</v>
      </c>
      <c r="B6834" s="664" t="s">
        <v>1061</v>
      </c>
      <c r="C6834" s="71" t="s">
        <v>1290</v>
      </c>
      <c r="D6834" s="71">
        <v>400</v>
      </c>
      <c r="E6834" s="102">
        <v>7910</v>
      </c>
      <c r="F6834" s="102">
        <f t="shared" si="3665"/>
        <v>3480400.0000000005</v>
      </c>
      <c r="G6834" s="102">
        <f t="shared" si="3659"/>
        <v>3164000</v>
      </c>
      <c r="H6834" s="690" t="s">
        <v>36</v>
      </c>
      <c r="I6834" s="71" t="s">
        <v>3320</v>
      </c>
      <c r="J6834" s="53">
        <f t="shared" si="3678"/>
        <v>240000</v>
      </c>
      <c r="K6834" s="63">
        <f t="shared" si="3679"/>
        <v>7.5853350189633365E-2</v>
      </c>
      <c r="L6834" s="1212" t="s">
        <v>4099</v>
      </c>
      <c r="M6834" s="468"/>
      <c r="N6834" s="1192">
        <f t="shared" si="3671"/>
        <v>45437</v>
      </c>
      <c r="O6834" s="71" t="s">
        <v>146</v>
      </c>
      <c r="P6834" s="103" t="str">
        <f t="shared" si="3674"/>
        <v>프리미어(청)</v>
      </c>
      <c r="Q6834" s="71">
        <f t="shared" si="3675"/>
        <v>400</v>
      </c>
      <c r="R6834" s="102">
        <v>7310</v>
      </c>
      <c r="S6834" s="102">
        <f t="shared" si="3680"/>
        <v>3216400.0000000005</v>
      </c>
      <c r="T6834" s="102">
        <f t="shared" si="3681"/>
        <v>2924000</v>
      </c>
      <c r="U6834" s="71" t="s">
        <v>859</v>
      </c>
      <c r="V6834" s="71"/>
      <c r="W6834" s="474">
        <v>846000</v>
      </c>
      <c r="X6834" s="71"/>
      <c r="Y6834" s="71"/>
    </row>
    <row r="6835" spans="1:25" ht="30" hidden="1" customHeight="1" x14ac:dyDescent="0.25">
      <c r="A6835" s="1145">
        <v>45437</v>
      </c>
      <c r="B6835" s="664" t="s">
        <v>1061</v>
      </c>
      <c r="C6835" s="71" t="s">
        <v>3322</v>
      </c>
      <c r="D6835" s="71"/>
      <c r="E6835" s="102">
        <v>7150</v>
      </c>
      <c r="F6835" s="102">
        <f t="shared" si="3665"/>
        <v>0</v>
      </c>
      <c r="G6835" s="102">
        <f t="shared" si="3659"/>
        <v>0</v>
      </c>
      <c r="H6835" s="690" t="s">
        <v>36</v>
      </c>
      <c r="I6835" s="71" t="s">
        <v>3320</v>
      </c>
      <c r="J6835" s="53">
        <f t="shared" si="3678"/>
        <v>0</v>
      </c>
      <c r="K6835" s="63" t="e">
        <f t="shared" si="3679"/>
        <v>#DIV/0!</v>
      </c>
      <c r="L6835" s="1212" t="s">
        <v>4099</v>
      </c>
      <c r="M6835" s="468"/>
      <c r="N6835" s="1192">
        <f t="shared" si="3671"/>
        <v>45437</v>
      </c>
      <c r="O6835" s="71" t="s">
        <v>3323</v>
      </c>
      <c r="P6835" s="103" t="str">
        <f t="shared" si="3674"/>
        <v>한특 잉크(적)</v>
      </c>
      <c r="Q6835" s="71">
        <f t="shared" si="3675"/>
        <v>0</v>
      </c>
      <c r="R6835" s="102">
        <v>6500</v>
      </c>
      <c r="S6835" s="102">
        <f t="shared" si="3680"/>
        <v>0</v>
      </c>
      <c r="T6835" s="102">
        <f t="shared" si="3681"/>
        <v>0</v>
      </c>
      <c r="U6835" s="71" t="s">
        <v>859</v>
      </c>
      <c r="V6835" s="71"/>
      <c r="W6835" s="474">
        <v>0</v>
      </c>
      <c r="X6835" s="71"/>
      <c r="Y6835" s="71"/>
    </row>
    <row r="6836" spans="1:25" ht="30" hidden="1" customHeight="1" x14ac:dyDescent="0.25">
      <c r="A6836" s="1145">
        <v>45437</v>
      </c>
      <c r="B6836" s="664" t="s">
        <v>1061</v>
      </c>
      <c r="C6836" s="71" t="s">
        <v>3324</v>
      </c>
      <c r="D6836" s="71"/>
      <c r="E6836" s="102">
        <v>6900</v>
      </c>
      <c r="F6836" s="102">
        <f t="shared" si="3665"/>
        <v>0</v>
      </c>
      <c r="G6836" s="102">
        <f t="shared" si="3659"/>
        <v>0</v>
      </c>
      <c r="H6836" s="690" t="s">
        <v>36</v>
      </c>
      <c r="I6836" s="71" t="s">
        <v>3320</v>
      </c>
      <c r="J6836" s="53">
        <f t="shared" si="3678"/>
        <v>0</v>
      </c>
      <c r="K6836" s="63" t="e">
        <f t="shared" si="3679"/>
        <v>#DIV/0!</v>
      </c>
      <c r="L6836" s="1212" t="s">
        <v>4099</v>
      </c>
      <c r="M6836" s="468"/>
      <c r="N6836" s="1192">
        <f t="shared" si="3671"/>
        <v>45437</v>
      </c>
      <c r="O6836" s="71" t="s">
        <v>3323</v>
      </c>
      <c r="P6836" s="103" t="str">
        <f t="shared" si="3674"/>
        <v>한특 잉크(황)</v>
      </c>
      <c r="Q6836" s="71">
        <f t="shared" si="3675"/>
        <v>0</v>
      </c>
      <c r="R6836" s="102">
        <v>6200</v>
      </c>
      <c r="S6836" s="102">
        <f t="shared" si="3680"/>
        <v>0</v>
      </c>
      <c r="T6836" s="102">
        <f t="shared" si="3681"/>
        <v>0</v>
      </c>
      <c r="U6836" s="71" t="s">
        <v>859</v>
      </c>
      <c r="V6836" s="71"/>
      <c r="W6836" s="474">
        <v>0</v>
      </c>
      <c r="X6836" s="71"/>
      <c r="Y6836" s="71"/>
    </row>
    <row r="6837" spans="1:25" ht="28.5" hidden="1" customHeight="1" x14ac:dyDescent="0.25">
      <c r="A6837" s="1145">
        <v>45437</v>
      </c>
      <c r="B6837" s="664" t="s">
        <v>1061</v>
      </c>
      <c r="C6837" s="71" t="s">
        <v>3325</v>
      </c>
      <c r="D6837" s="71"/>
      <c r="E6837" s="102">
        <v>7500</v>
      </c>
      <c r="F6837" s="102">
        <f t="shared" si="3665"/>
        <v>0</v>
      </c>
      <c r="G6837" s="102">
        <f t="shared" si="3659"/>
        <v>0</v>
      </c>
      <c r="H6837" s="690" t="s">
        <v>36</v>
      </c>
      <c r="I6837" s="71" t="s">
        <v>3320</v>
      </c>
      <c r="J6837" s="53">
        <f t="shared" si="3678"/>
        <v>0</v>
      </c>
      <c r="K6837" s="63" t="e">
        <f t="shared" si="3679"/>
        <v>#DIV/0!</v>
      </c>
      <c r="L6837" s="1212" t="s">
        <v>4099</v>
      </c>
      <c r="M6837" s="468"/>
      <c r="N6837" s="1192">
        <f t="shared" si="3671"/>
        <v>45437</v>
      </c>
      <c r="O6837" s="71" t="s">
        <v>3323</v>
      </c>
      <c r="P6837" s="103" t="str">
        <f t="shared" si="3674"/>
        <v>한특 잉크(청)</v>
      </c>
      <c r="Q6837" s="71">
        <f t="shared" si="3675"/>
        <v>0</v>
      </c>
      <c r="R6837" s="102">
        <v>6600</v>
      </c>
      <c r="S6837" s="102">
        <f t="shared" si="3680"/>
        <v>0</v>
      </c>
      <c r="T6837" s="102">
        <f t="shared" si="3681"/>
        <v>0</v>
      </c>
      <c r="U6837" s="71" t="s">
        <v>859</v>
      </c>
      <c r="V6837" s="71"/>
      <c r="W6837" s="474">
        <v>0</v>
      </c>
      <c r="X6837" s="71"/>
      <c r="Y6837" s="71"/>
    </row>
    <row r="6838" spans="1:25" ht="30" hidden="1" customHeight="1" x14ac:dyDescent="0.25">
      <c r="A6838" s="1145">
        <v>45437</v>
      </c>
      <c r="B6838" s="664" t="s">
        <v>1061</v>
      </c>
      <c r="C6838" s="71" t="s">
        <v>3326</v>
      </c>
      <c r="D6838" s="71"/>
      <c r="E6838" s="102">
        <v>6450</v>
      </c>
      <c r="F6838" s="102">
        <f t="shared" si="3665"/>
        <v>0</v>
      </c>
      <c r="G6838" s="102">
        <f t="shared" si="3659"/>
        <v>0</v>
      </c>
      <c r="H6838" s="690" t="s">
        <v>36</v>
      </c>
      <c r="I6838" s="71" t="s">
        <v>3320</v>
      </c>
      <c r="J6838" s="53">
        <f t="shared" si="3678"/>
        <v>0</v>
      </c>
      <c r="K6838" s="63" t="e">
        <f t="shared" si="3679"/>
        <v>#DIV/0!</v>
      </c>
      <c r="L6838" s="1212" t="s">
        <v>4099</v>
      </c>
      <c r="M6838" s="468"/>
      <c r="N6838" s="1192">
        <f t="shared" si="3671"/>
        <v>45437</v>
      </c>
      <c r="O6838" s="71" t="s">
        <v>3323</v>
      </c>
      <c r="P6838" s="103" t="str">
        <f t="shared" si="3674"/>
        <v>한특 잉크(먹)</v>
      </c>
      <c r="Q6838" s="71">
        <f t="shared" si="3675"/>
        <v>0</v>
      </c>
      <c r="R6838" s="102">
        <v>5700</v>
      </c>
      <c r="S6838" s="102">
        <f t="shared" si="3680"/>
        <v>0</v>
      </c>
      <c r="T6838" s="102">
        <f t="shared" si="3681"/>
        <v>0</v>
      </c>
      <c r="U6838" s="71" t="s">
        <v>859</v>
      </c>
      <c r="V6838" s="71"/>
      <c r="W6838" s="474">
        <v>0</v>
      </c>
      <c r="X6838" s="71"/>
      <c r="Y6838" s="71"/>
    </row>
    <row r="6839" spans="1:25" ht="30" hidden="1" customHeight="1" x14ac:dyDescent="0.25">
      <c r="A6839" s="1145">
        <v>45437</v>
      </c>
      <c r="B6839" s="664" t="s">
        <v>1061</v>
      </c>
      <c r="C6839" s="71" t="s">
        <v>3963</v>
      </c>
      <c r="D6839" s="71"/>
      <c r="E6839" s="102">
        <v>22400</v>
      </c>
      <c r="F6839" s="102">
        <f t="shared" si="3665"/>
        <v>0</v>
      </c>
      <c r="G6839" s="102">
        <f t="shared" si="3659"/>
        <v>0</v>
      </c>
      <c r="H6839" s="690" t="s">
        <v>36</v>
      </c>
      <c r="I6839" s="71" t="s">
        <v>3320</v>
      </c>
      <c r="J6839" s="53">
        <f t="shared" si="3678"/>
        <v>0</v>
      </c>
      <c r="K6839" s="63" t="e">
        <f t="shared" si="3679"/>
        <v>#DIV/0!</v>
      </c>
      <c r="L6839" s="1212" t="s">
        <v>4099</v>
      </c>
      <c r="M6839" s="468"/>
      <c r="N6839" s="1192">
        <f t="shared" si="3671"/>
        <v>45437</v>
      </c>
      <c r="O6839" s="71" t="s">
        <v>146</v>
      </c>
      <c r="P6839" s="103" t="str">
        <f t="shared" si="3674"/>
        <v>별색 - PT 810C 형광등</v>
      </c>
      <c r="Q6839" s="71">
        <f t="shared" si="3675"/>
        <v>0</v>
      </c>
      <c r="R6839" s="102">
        <v>22400</v>
      </c>
      <c r="S6839" s="102">
        <f t="shared" si="3680"/>
        <v>0</v>
      </c>
      <c r="T6839" s="102">
        <f t="shared" si="3681"/>
        <v>0</v>
      </c>
      <c r="U6839" s="71"/>
      <c r="V6839" s="71"/>
      <c r="W6839" s="474"/>
      <c r="X6839" s="71"/>
      <c r="Y6839" s="71"/>
    </row>
    <row r="6840" spans="1:25" ht="30" hidden="1" customHeight="1" x14ac:dyDescent="0.25">
      <c r="A6840" s="1145">
        <v>45437</v>
      </c>
      <c r="B6840" s="664" t="s">
        <v>1061</v>
      </c>
      <c r="C6840" s="71" t="s">
        <v>3915</v>
      </c>
      <c r="D6840" s="71"/>
      <c r="E6840" s="102">
        <v>9500</v>
      </c>
      <c r="F6840" s="102">
        <f t="shared" si="3665"/>
        <v>0</v>
      </c>
      <c r="G6840" s="102">
        <f t="shared" si="3659"/>
        <v>0</v>
      </c>
      <c r="H6840" s="690" t="s">
        <v>36</v>
      </c>
      <c r="I6840" s="71" t="s">
        <v>3320</v>
      </c>
      <c r="J6840" s="53">
        <f t="shared" si="3678"/>
        <v>0</v>
      </c>
      <c r="K6840" s="63" t="e">
        <f t="shared" si="3679"/>
        <v>#DIV/0!</v>
      </c>
      <c r="L6840" s="1212" t="s">
        <v>4099</v>
      </c>
      <c r="M6840" s="468"/>
      <c r="N6840" s="1192">
        <f t="shared" si="3671"/>
        <v>45437</v>
      </c>
      <c r="O6840" s="71" t="s">
        <v>3323</v>
      </c>
      <c r="P6840" s="103" t="str">
        <f t="shared" si="3674"/>
        <v>별색 - PT 801C</v>
      </c>
      <c r="Q6840" s="71">
        <f t="shared" si="3675"/>
        <v>0</v>
      </c>
      <c r="R6840" s="102">
        <v>9000</v>
      </c>
      <c r="S6840" s="102">
        <f t="shared" si="3680"/>
        <v>0</v>
      </c>
      <c r="T6840" s="102">
        <f t="shared" si="3681"/>
        <v>0</v>
      </c>
      <c r="U6840" s="71"/>
      <c r="V6840" s="71"/>
      <c r="W6840" s="474"/>
      <c r="X6840" s="71"/>
      <c r="Y6840" s="71"/>
    </row>
    <row r="6841" spans="1:25" ht="30" hidden="1" customHeight="1" x14ac:dyDescent="0.25">
      <c r="A6841" s="1145">
        <v>45437</v>
      </c>
      <c r="B6841" s="664" t="s">
        <v>3307</v>
      </c>
      <c r="C6841" s="71" t="s">
        <v>3916</v>
      </c>
      <c r="D6841" s="71">
        <v>0</v>
      </c>
      <c r="E6841" s="102">
        <v>218000</v>
      </c>
      <c r="F6841" s="102">
        <f t="shared" si="3665"/>
        <v>0</v>
      </c>
      <c r="G6841" s="102">
        <f t="shared" si="3659"/>
        <v>0</v>
      </c>
      <c r="H6841" s="690" t="s">
        <v>172</v>
      </c>
      <c r="I6841" s="71" t="s">
        <v>33</v>
      </c>
      <c r="J6841" s="53">
        <f t="shared" si="3678"/>
        <v>0</v>
      </c>
      <c r="K6841" s="63" t="e">
        <f t="shared" si="3679"/>
        <v>#DIV/0!</v>
      </c>
      <c r="L6841" s="1212" t="s">
        <v>4099</v>
      </c>
      <c r="M6841" s="468" t="s">
        <v>3965</v>
      </c>
      <c r="N6841" s="1192">
        <f t="shared" si="3671"/>
        <v>45437</v>
      </c>
      <c r="O6841" s="71" t="s">
        <v>662</v>
      </c>
      <c r="P6841" s="103" t="str">
        <f t="shared" si="3674"/>
        <v>윤전 블랑켓</v>
      </c>
      <c r="Q6841" s="71">
        <f t="shared" si="3675"/>
        <v>0</v>
      </c>
      <c r="R6841" s="102">
        <v>166500</v>
      </c>
      <c r="S6841" s="102">
        <f t="shared" si="3680"/>
        <v>0</v>
      </c>
      <c r="T6841" s="102">
        <f t="shared" si="3681"/>
        <v>0</v>
      </c>
      <c r="U6841" s="71" t="s">
        <v>859</v>
      </c>
      <c r="V6841" s="71" t="s">
        <v>728</v>
      </c>
      <c r="W6841" s="474">
        <v>464000</v>
      </c>
      <c r="X6841" s="71"/>
      <c r="Y6841" s="71"/>
    </row>
    <row r="6842" spans="1:25" ht="30" hidden="1" customHeight="1" x14ac:dyDescent="0.25">
      <c r="A6842" s="1145">
        <v>45437</v>
      </c>
      <c r="B6842" s="664" t="s">
        <v>3307</v>
      </c>
      <c r="C6842" s="71" t="s">
        <v>3750</v>
      </c>
      <c r="D6842" s="71">
        <v>1</v>
      </c>
      <c r="E6842" s="102">
        <v>2350000</v>
      </c>
      <c r="F6842" s="102">
        <f t="shared" si="3665"/>
        <v>2585000</v>
      </c>
      <c r="G6842" s="102">
        <f t="shared" si="3659"/>
        <v>2350000</v>
      </c>
      <c r="H6842" s="690" t="s">
        <v>36</v>
      </c>
      <c r="I6842" s="690" t="s">
        <v>36</v>
      </c>
      <c r="J6842" s="53">
        <f t="shared" si="3678"/>
        <v>600000</v>
      </c>
      <c r="K6842" s="63">
        <f t="shared" si="3679"/>
        <v>0.25531914893617019</v>
      </c>
      <c r="L6842" s="1212" t="s">
        <v>4099</v>
      </c>
      <c r="M6842" s="468"/>
      <c r="N6842" s="1192">
        <f t="shared" si="3671"/>
        <v>45437</v>
      </c>
      <c r="O6842" s="71" t="s">
        <v>3298</v>
      </c>
      <c r="P6842" s="103" t="str">
        <f t="shared" si="3674"/>
        <v>5월분 Apogee 사용료</v>
      </c>
      <c r="Q6842" s="71">
        <f t="shared" si="3675"/>
        <v>1</v>
      </c>
      <c r="R6842" s="147">
        <v>1750000</v>
      </c>
      <c r="S6842" s="102">
        <f t="shared" si="3680"/>
        <v>1925000.0000000002</v>
      </c>
      <c r="T6842" s="102">
        <f t="shared" si="3681"/>
        <v>1750000</v>
      </c>
      <c r="U6842" s="71"/>
      <c r="V6842" s="71"/>
      <c r="W6842" s="474"/>
      <c r="X6842" s="71"/>
      <c r="Y6842" s="71"/>
    </row>
    <row r="6843" spans="1:25" ht="30" hidden="1" customHeight="1" x14ac:dyDescent="0.25">
      <c r="A6843" s="1145">
        <v>45421</v>
      </c>
      <c r="B6843" s="664" t="s">
        <v>2353</v>
      </c>
      <c r="C6843" s="71" t="s">
        <v>4100</v>
      </c>
      <c r="D6843" s="71">
        <v>1</v>
      </c>
      <c r="E6843" s="102">
        <v>1900000</v>
      </c>
      <c r="F6843" s="102">
        <f t="shared" si="3665"/>
        <v>2090000.0000000002</v>
      </c>
      <c r="G6843" s="102">
        <f t="shared" si="3659"/>
        <v>1900000</v>
      </c>
      <c r="H6843" s="690" t="s">
        <v>142</v>
      </c>
      <c r="I6843" s="690" t="s">
        <v>142</v>
      </c>
      <c r="J6843" s="53">
        <f t="shared" si="3678"/>
        <v>150000</v>
      </c>
      <c r="K6843" s="63">
        <f t="shared" si="3679"/>
        <v>7.8947368421052627E-2</v>
      </c>
      <c r="L6843" s="1212" t="s">
        <v>4097</v>
      </c>
      <c r="M6843" s="468"/>
      <c r="N6843" s="1192">
        <f t="shared" si="3671"/>
        <v>45421</v>
      </c>
      <c r="O6843" s="71" t="s">
        <v>2030</v>
      </c>
      <c r="P6843" s="103" t="str">
        <f t="shared" si="3674"/>
        <v>메인 모터 휠</v>
      </c>
      <c r="Q6843" s="71">
        <f t="shared" si="3675"/>
        <v>1</v>
      </c>
      <c r="R6843" s="147">
        <v>1750000</v>
      </c>
      <c r="S6843" s="102">
        <f t="shared" si="3680"/>
        <v>1925000.0000000002</v>
      </c>
      <c r="T6843" s="102">
        <f t="shared" si="3681"/>
        <v>1750000</v>
      </c>
      <c r="U6843" s="71"/>
      <c r="V6843" s="71"/>
      <c r="W6843" s="474"/>
      <c r="X6843" s="71"/>
      <c r="Y6843" s="71"/>
    </row>
    <row r="6844" spans="1:25" ht="30" hidden="1" customHeight="1" x14ac:dyDescent="0.25">
      <c r="A6844" s="1145">
        <v>45433</v>
      </c>
      <c r="B6844" s="664" t="s">
        <v>2353</v>
      </c>
      <c r="C6844" s="71" t="s">
        <v>4101</v>
      </c>
      <c r="D6844" s="71">
        <v>2</v>
      </c>
      <c r="E6844" s="102">
        <v>1750000</v>
      </c>
      <c r="F6844" s="102">
        <f t="shared" si="3665"/>
        <v>3850000.0000000005</v>
      </c>
      <c r="G6844" s="102">
        <f t="shared" si="3659"/>
        <v>3500000</v>
      </c>
      <c r="H6844" s="690" t="s">
        <v>142</v>
      </c>
      <c r="I6844" s="690" t="s">
        <v>142</v>
      </c>
      <c r="J6844" s="53">
        <f t="shared" si="3678"/>
        <v>350000</v>
      </c>
      <c r="K6844" s="63">
        <f t="shared" si="3679"/>
        <v>9.9999999999999992E-2</v>
      </c>
      <c r="L6844" s="1212" t="s">
        <v>4097</v>
      </c>
      <c r="M6844" s="102"/>
      <c r="N6844" s="1192">
        <f t="shared" si="3671"/>
        <v>45433</v>
      </c>
      <c r="O6844" s="71" t="s">
        <v>150</v>
      </c>
      <c r="P6844" s="103" t="str">
        <f t="shared" si="3674"/>
        <v>구와이 핀 모터</v>
      </c>
      <c r="Q6844" s="71">
        <f t="shared" si="3675"/>
        <v>2</v>
      </c>
      <c r="R6844" s="102">
        <f>3150000/2</f>
        <v>1575000</v>
      </c>
      <c r="S6844" s="102">
        <f t="shared" si="3680"/>
        <v>3465000.0000000005</v>
      </c>
      <c r="T6844" s="102">
        <f t="shared" si="3681"/>
        <v>3150000</v>
      </c>
      <c r="U6844" s="71"/>
      <c r="V6844" s="71"/>
      <c r="W6844" s="474"/>
      <c r="X6844" s="71"/>
      <c r="Y6844" s="71"/>
    </row>
    <row r="6845" spans="1:25" ht="30" hidden="1" customHeight="1" x14ac:dyDescent="0.25">
      <c r="A6845" s="1145">
        <v>45433</v>
      </c>
      <c r="B6845" s="664" t="s">
        <v>2353</v>
      </c>
      <c r="C6845" s="71" t="s">
        <v>4102</v>
      </c>
      <c r="D6845" s="71">
        <v>4</v>
      </c>
      <c r="E6845" s="102">
        <v>48000</v>
      </c>
      <c r="F6845" s="102">
        <f t="shared" si="3665"/>
        <v>211200.00000000003</v>
      </c>
      <c r="G6845" s="102">
        <f t="shared" si="3659"/>
        <v>192000</v>
      </c>
      <c r="H6845" s="690" t="s">
        <v>142</v>
      </c>
      <c r="I6845" s="690" t="s">
        <v>142</v>
      </c>
      <c r="J6845" s="53">
        <f t="shared" si="3678"/>
        <v>0</v>
      </c>
      <c r="K6845" s="63">
        <f t="shared" si="3679"/>
        <v>0</v>
      </c>
      <c r="L6845" s="1212" t="s">
        <v>4097</v>
      </c>
      <c r="M6845" s="468"/>
      <c r="N6845" s="1192">
        <f t="shared" si="3671"/>
        <v>45433</v>
      </c>
      <c r="O6845" s="71" t="s">
        <v>2030</v>
      </c>
      <c r="P6845" s="103" t="str">
        <f t="shared" si="3674"/>
        <v>급지부 벨트(샤프트)</v>
      </c>
      <c r="Q6845" s="71">
        <f t="shared" si="3675"/>
        <v>4</v>
      </c>
      <c r="R6845" s="147">
        <v>48000</v>
      </c>
      <c r="S6845" s="102">
        <f t="shared" si="3680"/>
        <v>211200.00000000003</v>
      </c>
      <c r="T6845" s="102">
        <f t="shared" si="3681"/>
        <v>192000</v>
      </c>
      <c r="U6845" s="71"/>
      <c r="V6845" s="71"/>
      <c r="W6845" s="474"/>
      <c r="X6845" s="71"/>
      <c r="Y6845" s="71"/>
    </row>
    <row r="6846" spans="1:25" ht="30" customHeight="1" x14ac:dyDescent="0.25">
      <c r="A6846" s="1145">
        <v>45437</v>
      </c>
      <c r="B6846" s="664" t="s">
        <v>641</v>
      </c>
      <c r="C6846" s="71" t="s">
        <v>3293</v>
      </c>
      <c r="D6846" s="71">
        <v>60</v>
      </c>
      <c r="E6846" s="102">
        <v>84000</v>
      </c>
      <c r="F6846" s="102">
        <f t="shared" si="3665"/>
        <v>5544000</v>
      </c>
      <c r="G6846" s="102">
        <f t="shared" si="3659"/>
        <v>5040000</v>
      </c>
      <c r="H6846" s="690" t="s">
        <v>172</v>
      </c>
      <c r="I6846" s="71" t="s">
        <v>38</v>
      </c>
      <c r="J6846" s="53">
        <f t="shared" si="3678"/>
        <v>1980000</v>
      </c>
      <c r="K6846" s="63">
        <f t="shared" si="3679"/>
        <v>0.39285714285714285</v>
      </c>
      <c r="L6846" s="1212" t="s">
        <v>4097</v>
      </c>
      <c r="M6846" s="468"/>
      <c r="N6846" s="1192">
        <f t="shared" si="3671"/>
        <v>45437</v>
      </c>
      <c r="O6846" s="71" t="s">
        <v>3291</v>
      </c>
      <c r="P6846" s="103" t="str">
        <f t="shared" si="3674"/>
        <v>GOSS 신문윤전 습식세정포</v>
      </c>
      <c r="Q6846" s="71">
        <f t="shared" si="3675"/>
        <v>60</v>
      </c>
      <c r="R6846" s="102">
        <v>51000</v>
      </c>
      <c r="S6846" s="102">
        <f t="shared" si="3680"/>
        <v>3366000.0000000005</v>
      </c>
      <c r="T6846" s="102">
        <f t="shared" si="3681"/>
        <v>3060000</v>
      </c>
      <c r="U6846" s="71" t="str">
        <f>IF(J6846=W6846,"O", "X")</f>
        <v>X</v>
      </c>
      <c r="V6846" s="71"/>
      <c r="W6846" s="474"/>
      <c r="X6846" s="71"/>
      <c r="Y6846" s="71"/>
    </row>
    <row r="6847" spans="1:25" ht="30" customHeight="1" x14ac:dyDescent="0.25">
      <c r="A6847" s="1145">
        <v>45437</v>
      </c>
      <c r="B6847" s="664" t="s">
        <v>2536</v>
      </c>
      <c r="C6847" s="71" t="s">
        <v>3382</v>
      </c>
      <c r="D6847" s="71">
        <v>6</v>
      </c>
      <c r="E6847" s="102">
        <v>180000</v>
      </c>
      <c r="F6847" s="102">
        <f t="shared" si="3665"/>
        <v>1188000</v>
      </c>
      <c r="G6847" s="102">
        <f t="shared" si="3659"/>
        <v>1080000</v>
      </c>
      <c r="H6847" s="690" t="s">
        <v>179</v>
      </c>
      <c r="I6847" s="71" t="s">
        <v>142</v>
      </c>
      <c r="J6847" s="53">
        <f t="shared" si="3678"/>
        <v>360000</v>
      </c>
      <c r="K6847" s="63">
        <f t="shared" si="3679"/>
        <v>0.33333333333333331</v>
      </c>
      <c r="L6847" s="1212" t="s">
        <v>4097</v>
      </c>
      <c r="M6847" s="468"/>
      <c r="N6847" s="1192">
        <f t="shared" si="3671"/>
        <v>45437</v>
      </c>
      <c r="O6847" s="71" t="s">
        <v>149</v>
      </c>
      <c r="P6847" s="103" t="str">
        <f t="shared" si="3674"/>
        <v>판 클리너(12개)</v>
      </c>
      <c r="Q6847" s="71">
        <f t="shared" si="3675"/>
        <v>6</v>
      </c>
      <c r="R6847" s="102">
        <v>120000</v>
      </c>
      <c r="S6847" s="102">
        <f t="shared" si="3680"/>
        <v>792000.00000000012</v>
      </c>
      <c r="T6847" s="102">
        <f t="shared" si="3681"/>
        <v>720000</v>
      </c>
      <c r="U6847" s="71"/>
      <c r="V6847" s="71"/>
      <c r="W6847" s="474"/>
      <c r="X6847" s="71"/>
      <c r="Y6847" s="71"/>
    </row>
    <row r="6848" spans="1:25" ht="30" customHeight="1" x14ac:dyDescent="0.25">
      <c r="A6848" s="1145">
        <v>45437</v>
      </c>
      <c r="B6848" s="664" t="s">
        <v>2352</v>
      </c>
      <c r="C6848" s="71" t="s">
        <v>3837</v>
      </c>
      <c r="D6848" s="71">
        <v>32</v>
      </c>
      <c r="E6848" s="102">
        <v>13500</v>
      </c>
      <c r="F6848" s="102">
        <f t="shared" si="3665"/>
        <v>475200.00000000006</v>
      </c>
      <c r="G6848" s="102">
        <f t="shared" si="3659"/>
        <v>432000</v>
      </c>
      <c r="H6848" s="690" t="s">
        <v>179</v>
      </c>
      <c r="I6848" s="71" t="s">
        <v>179</v>
      </c>
      <c r="J6848" s="53">
        <f t="shared" si="3678"/>
        <v>164320</v>
      </c>
      <c r="K6848" s="63">
        <f t="shared" si="3679"/>
        <v>0.3803703703703703</v>
      </c>
      <c r="L6848" s="1212" t="s">
        <v>4097</v>
      </c>
      <c r="M6848" s="468"/>
      <c r="N6848" s="1192">
        <f t="shared" si="3671"/>
        <v>45437</v>
      </c>
      <c r="O6848" s="71"/>
      <c r="P6848" s="103" t="str">
        <f t="shared" si="3674"/>
        <v>고모리 윤전 블랑켓 건식 세정포 - 4x6용</v>
      </c>
      <c r="Q6848" s="71">
        <f t="shared" si="3675"/>
        <v>32</v>
      </c>
      <c r="R6848" s="102">
        <v>8365</v>
      </c>
      <c r="S6848" s="102">
        <f t="shared" si="3680"/>
        <v>294448</v>
      </c>
      <c r="T6848" s="102">
        <f t="shared" si="3681"/>
        <v>267680</v>
      </c>
      <c r="U6848" s="71"/>
      <c r="V6848" s="71"/>
      <c r="W6848" s="474"/>
      <c r="X6848" s="71"/>
      <c r="Y6848" s="71"/>
    </row>
    <row r="6849" spans="1:25" ht="30" customHeight="1" x14ac:dyDescent="0.25">
      <c r="A6849" s="1145">
        <v>45437</v>
      </c>
      <c r="B6849" s="664" t="s">
        <v>2352</v>
      </c>
      <c r="C6849" s="71" t="s">
        <v>3836</v>
      </c>
      <c r="D6849" s="71">
        <v>32</v>
      </c>
      <c r="E6849" s="102">
        <v>18500</v>
      </c>
      <c r="F6849" s="102">
        <f t="shared" si="3665"/>
        <v>651200</v>
      </c>
      <c r="G6849" s="102">
        <f t="shared" si="3659"/>
        <v>592000</v>
      </c>
      <c r="H6849" s="690" t="s">
        <v>179</v>
      </c>
      <c r="I6849" s="71" t="s">
        <v>179</v>
      </c>
      <c r="J6849" s="53">
        <f t="shared" si="3678"/>
        <v>237312</v>
      </c>
      <c r="K6849" s="63">
        <f t="shared" si="3679"/>
        <v>0.40086486486486489</v>
      </c>
      <c r="L6849" s="1212" t="s">
        <v>4097</v>
      </c>
      <c r="M6849" s="468"/>
      <c r="N6849" s="1192">
        <f t="shared" si="3671"/>
        <v>45437</v>
      </c>
      <c r="O6849" s="71"/>
      <c r="P6849" s="103" t="str">
        <f t="shared" si="3674"/>
        <v>고모리 윤전 블랑켓 건식 세정포 - 국전용</v>
      </c>
      <c r="Q6849" s="71">
        <f t="shared" si="3675"/>
        <v>32</v>
      </c>
      <c r="R6849" s="102">
        <v>11084</v>
      </c>
      <c r="S6849" s="102">
        <f t="shared" si="3680"/>
        <v>390156.80000000005</v>
      </c>
      <c r="T6849" s="102">
        <f t="shared" si="3681"/>
        <v>354688</v>
      </c>
      <c r="U6849" s="71"/>
      <c r="V6849" s="71"/>
      <c r="W6849" s="474"/>
      <c r="X6849" s="71"/>
      <c r="Y6849" s="71"/>
    </row>
    <row r="6850" spans="1:25" ht="30" customHeight="1" x14ac:dyDescent="0.25">
      <c r="A6850" s="1145">
        <v>45437</v>
      </c>
      <c r="B6850" s="664" t="s">
        <v>2536</v>
      </c>
      <c r="C6850" s="71" t="s">
        <v>4103</v>
      </c>
      <c r="D6850" s="71">
        <v>10</v>
      </c>
      <c r="E6850" s="102">
        <v>24000</v>
      </c>
      <c r="F6850" s="102">
        <f t="shared" si="3665"/>
        <v>264000</v>
      </c>
      <c r="G6850" s="102">
        <f t="shared" si="3659"/>
        <v>240000</v>
      </c>
      <c r="H6850" s="690" t="s">
        <v>179</v>
      </c>
      <c r="I6850" s="71" t="s">
        <v>179</v>
      </c>
      <c r="J6850" s="53">
        <f t="shared" si="3678"/>
        <v>62000</v>
      </c>
      <c r="K6850" s="63">
        <f t="shared" si="3679"/>
        <v>0.25833333333333336</v>
      </c>
      <c r="L6850" s="1212" t="s">
        <v>4097</v>
      </c>
      <c r="M6850" s="468"/>
      <c r="N6850" s="1192">
        <f t="shared" si="3671"/>
        <v>45437</v>
      </c>
      <c r="O6850" s="71" t="s">
        <v>151</v>
      </c>
      <c r="P6850" s="103" t="str">
        <f t="shared" si="3674"/>
        <v>4*6 블랑켓 접착 패킹지</v>
      </c>
      <c r="Q6850" s="71">
        <f t="shared" si="3675"/>
        <v>10</v>
      </c>
      <c r="R6850" s="102">
        <v>17800</v>
      </c>
      <c r="S6850" s="102">
        <f t="shared" si="3680"/>
        <v>195800.00000000003</v>
      </c>
      <c r="T6850" s="102">
        <f t="shared" si="3681"/>
        <v>178000</v>
      </c>
      <c r="U6850" s="71"/>
      <c r="V6850" s="71"/>
      <c r="W6850" s="474"/>
      <c r="X6850" s="71"/>
      <c r="Y6850" s="71"/>
    </row>
    <row r="6851" spans="1:25" ht="30" customHeight="1" x14ac:dyDescent="0.25">
      <c r="A6851" s="1145">
        <v>45437</v>
      </c>
      <c r="B6851" s="664" t="s">
        <v>2352</v>
      </c>
      <c r="C6851" s="71" t="s">
        <v>692</v>
      </c>
      <c r="D6851" s="71">
        <v>2</v>
      </c>
      <c r="E6851" s="102">
        <v>264000</v>
      </c>
      <c r="F6851" s="102">
        <f t="shared" si="3665"/>
        <v>580800</v>
      </c>
      <c r="G6851" s="102">
        <f t="shared" si="3659"/>
        <v>528000</v>
      </c>
      <c r="H6851" s="690" t="s">
        <v>142</v>
      </c>
      <c r="I6851" s="71" t="s">
        <v>179</v>
      </c>
      <c r="J6851" s="53">
        <f t="shared" si="3678"/>
        <v>195000</v>
      </c>
      <c r="K6851" s="63">
        <f t="shared" si="3679"/>
        <v>0.36931818181818182</v>
      </c>
      <c r="L6851" s="1212" t="s">
        <v>4097</v>
      </c>
      <c r="M6851" s="468" t="s">
        <v>2052</v>
      </c>
      <c r="N6851" s="1192">
        <f t="shared" si="3671"/>
        <v>45437</v>
      </c>
      <c r="O6851" s="71" t="s">
        <v>150</v>
      </c>
      <c r="P6851" s="103" t="str">
        <f t="shared" si="3674"/>
        <v>윤전 블랑켓</v>
      </c>
      <c r="Q6851" s="71">
        <f t="shared" si="3675"/>
        <v>2</v>
      </c>
      <c r="R6851" s="102">
        <v>166500</v>
      </c>
      <c r="S6851" s="102">
        <f t="shared" si="3680"/>
        <v>366300.00000000006</v>
      </c>
      <c r="T6851" s="102">
        <f t="shared" si="3681"/>
        <v>333000</v>
      </c>
      <c r="U6851" s="71" t="str">
        <f>IF(J6851=W6851,"O", "X")</f>
        <v>O</v>
      </c>
      <c r="V6851" s="71" t="s">
        <v>784</v>
      </c>
      <c r="W6851" s="474">
        <f>(G6851-T6851)</f>
        <v>195000</v>
      </c>
      <c r="X6851" s="71"/>
      <c r="Y6851" s="71"/>
    </row>
    <row r="6852" spans="1:25" ht="30" customHeight="1" x14ac:dyDescent="0.25">
      <c r="A6852" s="1145">
        <v>45437</v>
      </c>
      <c r="B6852" s="664" t="s">
        <v>2352</v>
      </c>
      <c r="C6852" s="760" t="s">
        <v>218</v>
      </c>
      <c r="D6852" s="71">
        <v>2</v>
      </c>
      <c r="E6852" s="102">
        <v>286000</v>
      </c>
      <c r="F6852" s="102">
        <f t="shared" si="3665"/>
        <v>629200</v>
      </c>
      <c r="G6852" s="102">
        <f t="shared" si="3659"/>
        <v>572000</v>
      </c>
      <c r="H6852" s="690" t="s">
        <v>142</v>
      </c>
      <c r="I6852" s="71" t="s">
        <v>179</v>
      </c>
      <c r="J6852" s="53">
        <f t="shared" si="3678"/>
        <v>324000</v>
      </c>
      <c r="K6852" s="63">
        <f t="shared" si="3679"/>
        <v>0.56643356643356646</v>
      </c>
      <c r="L6852" s="1212" t="s">
        <v>4097</v>
      </c>
      <c r="M6852" s="468" t="s">
        <v>2053</v>
      </c>
      <c r="N6852" s="1192">
        <f t="shared" si="3671"/>
        <v>45437</v>
      </c>
      <c r="O6852" s="71" t="s">
        <v>150</v>
      </c>
      <c r="P6852" s="103" t="str">
        <f t="shared" si="3674"/>
        <v>Fount Web 551AF</v>
      </c>
      <c r="Q6852" s="71">
        <f t="shared" si="3675"/>
        <v>2</v>
      </c>
      <c r="R6852" s="102">
        <v>124000</v>
      </c>
      <c r="S6852" s="102">
        <f t="shared" si="3680"/>
        <v>272800</v>
      </c>
      <c r="T6852" s="102">
        <f t="shared" si="3681"/>
        <v>248000</v>
      </c>
      <c r="U6852" s="71" t="str">
        <f>IF(J6852=W6852,"O", "X")</f>
        <v>O</v>
      </c>
      <c r="V6852" s="71"/>
      <c r="W6852" s="474">
        <f>(G6852-T6852)</f>
        <v>324000</v>
      </c>
      <c r="X6852" s="71"/>
      <c r="Y6852" s="71"/>
    </row>
    <row r="6853" spans="1:25" ht="30" hidden="1" customHeight="1" x14ac:dyDescent="0.25">
      <c r="A6853" s="1145">
        <v>45415</v>
      </c>
      <c r="B6853" s="664" t="s">
        <v>2579</v>
      </c>
      <c r="C6853" s="71" t="s">
        <v>3738</v>
      </c>
      <c r="D6853" s="71">
        <v>15</v>
      </c>
      <c r="E6853" s="102">
        <v>130000</v>
      </c>
      <c r="F6853" s="102">
        <f t="shared" si="3665"/>
        <v>2145000</v>
      </c>
      <c r="G6853" s="102">
        <f t="shared" si="3659"/>
        <v>1950000</v>
      </c>
      <c r="H6853" s="690" t="s">
        <v>142</v>
      </c>
      <c r="I6853" s="71" t="s">
        <v>142</v>
      </c>
      <c r="J6853" s="53">
        <f t="shared" si="3678"/>
        <v>508500</v>
      </c>
      <c r="K6853" s="63">
        <f t="shared" si="3679"/>
        <v>0.26076923076923075</v>
      </c>
      <c r="L6853" s="1212" t="s">
        <v>4097</v>
      </c>
      <c r="M6853" s="468"/>
      <c r="N6853" s="1192">
        <f t="shared" si="3671"/>
        <v>45415</v>
      </c>
      <c r="O6853" s="71" t="s">
        <v>147</v>
      </c>
      <c r="P6853" s="103" t="str">
        <f t="shared" si="3674"/>
        <v>블랑켓 - 고모리 용 (1040*920)</v>
      </c>
      <c r="Q6853" s="71">
        <f t="shared" si="3675"/>
        <v>15</v>
      </c>
      <c r="R6853" s="102">
        <v>96100</v>
      </c>
      <c r="S6853" s="102">
        <f t="shared" si="3680"/>
        <v>1585650.0000000002</v>
      </c>
      <c r="T6853" s="102">
        <f t="shared" si="3681"/>
        <v>1441500</v>
      </c>
      <c r="U6853" s="71"/>
      <c r="V6853" s="71"/>
      <c r="W6853" s="474"/>
      <c r="X6853" s="71"/>
      <c r="Y6853" s="71"/>
    </row>
    <row r="6854" spans="1:25" ht="30" hidden="1" customHeight="1" x14ac:dyDescent="0.25">
      <c r="A6854" s="1145">
        <v>45415</v>
      </c>
      <c r="B6854" s="664" t="s">
        <v>2353</v>
      </c>
      <c r="C6854" s="71" t="s">
        <v>3727</v>
      </c>
      <c r="D6854" s="71">
        <v>5</v>
      </c>
      <c r="E6854" s="102">
        <v>225000</v>
      </c>
      <c r="F6854" s="102">
        <f t="shared" si="3665"/>
        <v>1237500</v>
      </c>
      <c r="G6854" s="102">
        <f t="shared" si="3659"/>
        <v>1125000</v>
      </c>
      <c r="H6854" s="690" t="s">
        <v>142</v>
      </c>
      <c r="I6854" s="71" t="s">
        <v>142</v>
      </c>
      <c r="J6854" s="53">
        <f t="shared" si="3678"/>
        <v>500000</v>
      </c>
      <c r="K6854" s="63">
        <f t="shared" si="3679"/>
        <v>0.44444444444444442</v>
      </c>
      <c r="L6854" s="1212" t="s">
        <v>4097</v>
      </c>
      <c r="M6854" s="468"/>
      <c r="N6854" s="1192">
        <f t="shared" si="3671"/>
        <v>45415</v>
      </c>
      <c r="O6854" s="71" t="s">
        <v>189</v>
      </c>
      <c r="P6854" s="103" t="str">
        <f t="shared" si="3674"/>
        <v>압통 코팅제 - 퀵 프린트</v>
      </c>
      <c r="Q6854" s="71">
        <f t="shared" si="3675"/>
        <v>5</v>
      </c>
      <c r="R6854" s="102">
        <f>25000*5</f>
        <v>125000</v>
      </c>
      <c r="S6854" s="102">
        <f t="shared" si="3680"/>
        <v>687500</v>
      </c>
      <c r="T6854" s="102">
        <f t="shared" si="3681"/>
        <v>625000</v>
      </c>
      <c r="U6854" s="71"/>
      <c r="V6854" s="71"/>
      <c r="W6854" s="474"/>
      <c r="X6854" s="71"/>
      <c r="Y6854" s="71"/>
    </row>
    <row r="6855" spans="1:25" ht="30" hidden="1" customHeight="1" x14ac:dyDescent="0.25">
      <c r="A6855" s="1145">
        <v>45415</v>
      </c>
      <c r="B6855" s="664" t="s">
        <v>2353</v>
      </c>
      <c r="C6855" s="71" t="s">
        <v>3728</v>
      </c>
      <c r="D6855" s="71">
        <v>40</v>
      </c>
      <c r="E6855" s="102">
        <v>35000</v>
      </c>
      <c r="F6855" s="102">
        <f t="shared" si="3665"/>
        <v>1540000.0000000002</v>
      </c>
      <c r="G6855" s="102">
        <f t="shared" si="3659"/>
        <v>1400000</v>
      </c>
      <c r="H6855" s="690" t="s">
        <v>142</v>
      </c>
      <c r="I6855" s="71" t="s">
        <v>142</v>
      </c>
      <c r="J6855" s="53">
        <f t="shared" si="3678"/>
        <v>212500</v>
      </c>
      <c r="K6855" s="63">
        <f t="shared" si="3679"/>
        <v>0.15178571428571427</v>
      </c>
      <c r="L6855" s="1212" t="s">
        <v>4097</v>
      </c>
      <c r="M6855" s="468" t="s">
        <v>3907</v>
      </c>
      <c r="N6855" s="1192">
        <f t="shared" si="3671"/>
        <v>45415</v>
      </c>
      <c r="O6855" s="71" t="s">
        <v>149</v>
      </c>
      <c r="P6855" s="103" t="str">
        <f t="shared" si="3674"/>
        <v>고모리 자동 세척액</v>
      </c>
      <c r="Q6855" s="71">
        <v>25</v>
      </c>
      <c r="R6855" s="102">
        <v>47500</v>
      </c>
      <c r="S6855" s="102">
        <f t="shared" si="3680"/>
        <v>1306250</v>
      </c>
      <c r="T6855" s="102">
        <f t="shared" si="3681"/>
        <v>1187500</v>
      </c>
      <c r="U6855" s="71"/>
      <c r="V6855" s="71"/>
      <c r="W6855" s="474"/>
      <c r="X6855" s="71"/>
      <c r="Y6855" s="71"/>
    </row>
    <row r="6856" spans="1:25" s="209" customFormat="1" ht="30" hidden="1" customHeight="1" x14ac:dyDescent="0.25">
      <c r="A6856" s="1145">
        <v>45415</v>
      </c>
      <c r="B6856" s="664" t="s">
        <v>2353</v>
      </c>
      <c r="C6856" s="71" t="s">
        <v>3843</v>
      </c>
      <c r="D6856" s="71">
        <v>7</v>
      </c>
      <c r="E6856" s="102">
        <v>180000</v>
      </c>
      <c r="F6856" s="102">
        <f t="shared" si="3665"/>
        <v>1386000</v>
      </c>
      <c r="G6856" s="102">
        <f t="shared" si="3659"/>
        <v>1260000</v>
      </c>
      <c r="H6856" s="690" t="s">
        <v>179</v>
      </c>
      <c r="I6856" s="71" t="s">
        <v>179</v>
      </c>
      <c r="J6856" s="53">
        <f t="shared" si="3678"/>
        <v>336000</v>
      </c>
      <c r="K6856" s="63">
        <f t="shared" si="3679"/>
        <v>0.26666666666666666</v>
      </c>
      <c r="L6856" s="1212" t="s">
        <v>4097</v>
      </c>
      <c r="M6856" s="468"/>
      <c r="N6856" s="1192">
        <f t="shared" si="3671"/>
        <v>45415</v>
      </c>
      <c r="O6856" s="71" t="s">
        <v>3383</v>
      </c>
      <c r="P6856" s="103" t="str">
        <f t="shared" si="3674"/>
        <v>수이보 세척액(습수액 클리너)</v>
      </c>
      <c r="Q6856" s="71">
        <f t="shared" si="3675"/>
        <v>7</v>
      </c>
      <c r="R6856" s="102">
        <f>11000*12</f>
        <v>132000</v>
      </c>
      <c r="S6856" s="102">
        <f t="shared" si="3680"/>
        <v>1016400.0000000001</v>
      </c>
      <c r="T6856" s="102">
        <f t="shared" si="3681"/>
        <v>924000</v>
      </c>
      <c r="U6856" s="71"/>
      <c r="V6856" s="71"/>
      <c r="W6856" s="474"/>
      <c r="X6856" s="71"/>
      <c r="Y6856" s="71"/>
    </row>
    <row r="6857" spans="1:25" s="209" customFormat="1" ht="30" hidden="1" customHeight="1" x14ac:dyDescent="0.25">
      <c r="A6857" s="1145">
        <v>45434</v>
      </c>
      <c r="B6857" s="664" t="s">
        <v>2353</v>
      </c>
      <c r="C6857" s="71" t="s">
        <v>130</v>
      </c>
      <c r="D6857" s="71">
        <v>10</v>
      </c>
      <c r="E6857" s="102">
        <v>148000</v>
      </c>
      <c r="F6857" s="102">
        <f t="shared" si="3665"/>
        <v>1628000.0000000002</v>
      </c>
      <c r="G6857" s="102">
        <f t="shared" si="3659"/>
        <v>1480000</v>
      </c>
      <c r="H6857" s="690" t="s">
        <v>142</v>
      </c>
      <c r="I6857" s="71" t="s">
        <v>179</v>
      </c>
      <c r="J6857" s="53">
        <f t="shared" si="3678"/>
        <v>360000</v>
      </c>
      <c r="K6857" s="63">
        <f t="shared" si="3679"/>
        <v>0.2432432432432432</v>
      </c>
      <c r="L6857" s="1212" t="s">
        <v>4097</v>
      </c>
      <c r="M6857" s="468" t="s">
        <v>2050</v>
      </c>
      <c r="N6857" s="1192">
        <f t="shared" si="3671"/>
        <v>45434</v>
      </c>
      <c r="O6857" s="71" t="s">
        <v>3383</v>
      </c>
      <c r="P6857" s="103" t="str">
        <f t="shared" si="3674"/>
        <v>XL106 Blanket(1077*885)</v>
      </c>
      <c r="Q6857" s="71">
        <f t="shared" si="3675"/>
        <v>10</v>
      </c>
      <c r="R6857" s="102">
        <v>112000</v>
      </c>
      <c r="S6857" s="102">
        <f t="shared" si="3680"/>
        <v>1232000</v>
      </c>
      <c r="T6857" s="102">
        <f t="shared" si="3681"/>
        <v>1120000</v>
      </c>
      <c r="U6857" s="71" t="s">
        <v>859</v>
      </c>
      <c r="V6857" s="71"/>
      <c r="W6857" s="474">
        <v>260000</v>
      </c>
      <c r="X6857" s="71"/>
      <c r="Y6857" s="71"/>
    </row>
    <row r="6858" spans="1:25" ht="30" hidden="1" customHeight="1" x14ac:dyDescent="0.25">
      <c r="A6858" s="1145">
        <v>45434</v>
      </c>
      <c r="B6858" s="664" t="s">
        <v>2353</v>
      </c>
      <c r="C6858" s="71" t="s">
        <v>129</v>
      </c>
      <c r="D6858" s="71">
        <v>10</v>
      </c>
      <c r="E6858" s="102">
        <v>325000</v>
      </c>
      <c r="F6858" s="102">
        <f t="shared" si="3665"/>
        <v>3575000.0000000005</v>
      </c>
      <c r="G6858" s="102">
        <f t="shared" si="3659"/>
        <v>3250000</v>
      </c>
      <c r="H6858" s="690" t="s">
        <v>142</v>
      </c>
      <c r="I6858" s="71" t="s">
        <v>179</v>
      </c>
      <c r="J6858" s="53">
        <f t="shared" si="3678"/>
        <v>909200</v>
      </c>
      <c r="K6858" s="63">
        <f t="shared" si="3679"/>
        <v>0.27975384615384613</v>
      </c>
      <c r="L6858" s="1212" t="s">
        <v>4097</v>
      </c>
      <c r="M6858" s="468" t="s">
        <v>2050</v>
      </c>
      <c r="N6858" s="1192">
        <f t="shared" si="3671"/>
        <v>45434</v>
      </c>
      <c r="O6858" s="71" t="s">
        <v>149</v>
      </c>
      <c r="P6858" s="103" t="str">
        <f t="shared" si="3674"/>
        <v>세정포-XL106</v>
      </c>
      <c r="Q6858" s="71">
        <f t="shared" si="3675"/>
        <v>10</v>
      </c>
      <c r="R6858" s="102">
        <v>234080</v>
      </c>
      <c r="S6858" s="102">
        <f t="shared" si="3680"/>
        <v>2574880</v>
      </c>
      <c r="T6858" s="102">
        <f t="shared" si="3681"/>
        <v>2340800</v>
      </c>
      <c r="U6858" s="71" t="str">
        <f>IF(J6858=W6858,"O", "X")</f>
        <v>O</v>
      </c>
      <c r="V6858" s="71"/>
      <c r="W6858" s="474">
        <f>(G6858-T6858)</f>
        <v>909200</v>
      </c>
      <c r="X6858" s="71"/>
      <c r="Y6858" s="71"/>
    </row>
    <row r="6859" spans="1:25" s="209" customFormat="1" ht="31.5" hidden="1" customHeight="1" x14ac:dyDescent="0.2">
      <c r="A6859" s="1145">
        <v>45429</v>
      </c>
      <c r="B6859" s="664" t="s">
        <v>4059</v>
      </c>
      <c r="C6859" s="71" t="s">
        <v>4061</v>
      </c>
      <c r="D6859" s="71">
        <v>10</v>
      </c>
      <c r="E6859" s="102">
        <v>130000</v>
      </c>
      <c r="F6859" s="102">
        <f t="shared" si="3665"/>
        <v>1430000</v>
      </c>
      <c r="G6859" s="102">
        <f t="shared" ref="G6859:G6863" si="3682">(E6859*D6859)</f>
        <v>1300000</v>
      </c>
      <c r="H6859" s="165" t="s">
        <v>172</v>
      </c>
      <c r="I6859" s="71" t="s">
        <v>184</v>
      </c>
      <c r="J6859" s="53">
        <f t="shared" si="3678"/>
        <v>180000</v>
      </c>
      <c r="K6859" s="63">
        <f t="shared" si="3679"/>
        <v>0.13846153846153847</v>
      </c>
      <c r="L6859" s="1212" t="s">
        <v>4097</v>
      </c>
      <c r="M6859" s="468"/>
      <c r="N6859" s="1192">
        <f t="shared" si="3671"/>
        <v>45429</v>
      </c>
      <c r="O6859" s="71" t="s">
        <v>189</v>
      </c>
      <c r="P6859" s="103" t="str">
        <f t="shared" si="3674"/>
        <v>M600 Blanket(990*725)</v>
      </c>
      <c r="Q6859" s="71">
        <f t="shared" si="3675"/>
        <v>10</v>
      </c>
      <c r="R6859" s="102">
        <v>112000</v>
      </c>
      <c r="S6859" s="102">
        <f t="shared" si="3680"/>
        <v>1232000</v>
      </c>
      <c r="T6859" s="102">
        <f t="shared" si="3681"/>
        <v>1120000</v>
      </c>
      <c r="U6859" s="71" t="str">
        <f>IF(J6859=W6859,"O", "X")</f>
        <v>X</v>
      </c>
      <c r="V6859" s="71"/>
      <c r="W6859" s="474">
        <v>80000</v>
      </c>
      <c r="X6859" s="71"/>
      <c r="Y6859" s="71"/>
    </row>
    <row r="6860" spans="1:25" s="209" customFormat="1" ht="31.5" hidden="1" customHeight="1" x14ac:dyDescent="0.2">
      <c r="A6860" s="1145">
        <v>45443</v>
      </c>
      <c r="B6860" s="664" t="s">
        <v>4059</v>
      </c>
      <c r="C6860" s="71" t="s">
        <v>4061</v>
      </c>
      <c r="D6860" s="71">
        <v>10</v>
      </c>
      <c r="E6860" s="102">
        <v>130000</v>
      </c>
      <c r="F6860" s="102">
        <f t="shared" si="3665"/>
        <v>1430000</v>
      </c>
      <c r="G6860" s="102">
        <f t="shared" si="3682"/>
        <v>1300000</v>
      </c>
      <c r="H6860" s="165" t="s">
        <v>172</v>
      </c>
      <c r="I6860" s="71" t="s">
        <v>184</v>
      </c>
      <c r="J6860" s="53">
        <f t="shared" si="3678"/>
        <v>180000</v>
      </c>
      <c r="K6860" s="63">
        <f t="shared" si="3679"/>
        <v>0.13846153846153847</v>
      </c>
      <c r="L6860" s="1212" t="s">
        <v>4097</v>
      </c>
      <c r="M6860" s="468"/>
      <c r="N6860" s="1192">
        <f t="shared" si="3671"/>
        <v>45443</v>
      </c>
      <c r="O6860" s="71" t="s">
        <v>189</v>
      </c>
      <c r="P6860" s="103" t="str">
        <f t="shared" si="3674"/>
        <v>M600 Blanket(990*725)</v>
      </c>
      <c r="Q6860" s="71">
        <f t="shared" si="3675"/>
        <v>10</v>
      </c>
      <c r="R6860" s="102">
        <v>112000</v>
      </c>
      <c r="S6860" s="102">
        <f t="shared" si="3680"/>
        <v>1232000</v>
      </c>
      <c r="T6860" s="102">
        <f t="shared" si="3681"/>
        <v>1120000</v>
      </c>
      <c r="U6860" s="71" t="str">
        <f>IF(J6860=W6860,"O", "X")</f>
        <v>X</v>
      </c>
      <c r="V6860" s="71"/>
      <c r="W6860" s="474">
        <v>80000</v>
      </c>
      <c r="X6860" s="71"/>
      <c r="Y6860" s="71"/>
    </row>
    <row r="6861" spans="1:25" ht="30" hidden="1" customHeight="1" x14ac:dyDescent="0.25">
      <c r="A6861" s="1145">
        <v>45420</v>
      </c>
      <c r="B6861" s="664" t="s">
        <v>2261</v>
      </c>
      <c r="C6861" s="71" t="s">
        <v>3299</v>
      </c>
      <c r="D6861" s="71">
        <v>10</v>
      </c>
      <c r="E6861" s="102">
        <v>52000</v>
      </c>
      <c r="F6861" s="102">
        <f t="shared" si="3665"/>
        <v>572000</v>
      </c>
      <c r="G6861" s="102">
        <f t="shared" si="3682"/>
        <v>520000</v>
      </c>
      <c r="H6861" s="690" t="s">
        <v>172</v>
      </c>
      <c r="I6861" s="71" t="s">
        <v>180</v>
      </c>
      <c r="J6861" s="53">
        <f t="shared" si="3678"/>
        <v>45000</v>
      </c>
      <c r="K6861" s="63">
        <f t="shared" si="3679"/>
        <v>8.6538461538461536E-2</v>
      </c>
      <c r="L6861" s="1212" t="s">
        <v>4097</v>
      </c>
      <c r="M6861" s="468" t="s">
        <v>3835</v>
      </c>
      <c r="N6861" s="1192">
        <f t="shared" si="3671"/>
        <v>45420</v>
      </c>
      <c r="O6861" s="71" t="s">
        <v>175</v>
      </c>
      <c r="P6861" s="103" t="str">
        <f t="shared" si="3674"/>
        <v>매엽용 세척제(Wash k11)</v>
      </c>
      <c r="Q6861" s="71">
        <f t="shared" si="3675"/>
        <v>10</v>
      </c>
      <c r="R6861" s="102">
        <v>47500</v>
      </c>
      <c r="S6861" s="102">
        <f t="shared" si="3680"/>
        <v>522500.00000000006</v>
      </c>
      <c r="T6861" s="102">
        <f t="shared" si="3681"/>
        <v>475000</v>
      </c>
      <c r="U6861" s="71" t="s">
        <v>859</v>
      </c>
      <c r="V6861" s="71"/>
      <c r="W6861" s="474"/>
      <c r="X6861" s="71"/>
      <c r="Y6861" s="71"/>
    </row>
    <row r="6862" spans="1:25" ht="30" hidden="1" customHeight="1" x14ac:dyDescent="0.25">
      <c r="A6862" s="1145">
        <v>45428</v>
      </c>
      <c r="B6862" s="664" t="s">
        <v>2261</v>
      </c>
      <c r="C6862" s="760" t="s">
        <v>181</v>
      </c>
      <c r="D6862" s="71">
        <v>10</v>
      </c>
      <c r="E6862" s="102">
        <v>193000</v>
      </c>
      <c r="F6862" s="102">
        <f t="shared" si="3665"/>
        <v>2123000</v>
      </c>
      <c r="G6862" s="102">
        <f t="shared" si="3682"/>
        <v>1930000</v>
      </c>
      <c r="H6862" s="690" t="s">
        <v>2029</v>
      </c>
      <c r="I6862" s="71" t="s">
        <v>182</v>
      </c>
      <c r="J6862" s="53">
        <f t="shared" si="3678"/>
        <v>690000</v>
      </c>
      <c r="K6862" s="63">
        <f t="shared" si="3679"/>
        <v>0.35751295336787564</v>
      </c>
      <c r="L6862" s="1212" t="s">
        <v>4097</v>
      </c>
      <c r="M6862" s="468"/>
      <c r="N6862" s="1192">
        <f t="shared" si="3671"/>
        <v>45428</v>
      </c>
      <c r="O6862" s="71" t="s">
        <v>2030</v>
      </c>
      <c r="P6862" s="103" t="str">
        <f t="shared" si="3674"/>
        <v>Fount Web 551AF</v>
      </c>
      <c r="Q6862" s="71">
        <f t="shared" si="3675"/>
        <v>10</v>
      </c>
      <c r="R6862" s="102">
        <v>124000</v>
      </c>
      <c r="S6862" s="102">
        <f t="shared" si="3680"/>
        <v>1364000</v>
      </c>
      <c r="T6862" s="102">
        <f t="shared" si="3681"/>
        <v>1240000</v>
      </c>
      <c r="U6862" s="71" t="str">
        <f>IF(J6862=W6862,"O", "X")</f>
        <v>X</v>
      </c>
      <c r="V6862" s="71"/>
      <c r="W6862" s="474">
        <v>640000</v>
      </c>
      <c r="X6862" s="71"/>
      <c r="Y6862" s="71"/>
    </row>
    <row r="6863" spans="1:25" ht="30" hidden="1" customHeight="1" x14ac:dyDescent="0.25">
      <c r="A6863" s="1145">
        <v>45428</v>
      </c>
      <c r="B6863" s="664" t="s">
        <v>2261</v>
      </c>
      <c r="C6863" s="71" t="s">
        <v>277</v>
      </c>
      <c r="D6863" s="71">
        <v>10</v>
      </c>
      <c r="E6863" s="102">
        <v>172000</v>
      </c>
      <c r="F6863" s="102">
        <f t="shared" si="3665"/>
        <v>1892000.0000000002</v>
      </c>
      <c r="G6863" s="102">
        <f t="shared" si="3682"/>
        <v>1720000</v>
      </c>
      <c r="H6863" s="690" t="s">
        <v>172</v>
      </c>
      <c r="I6863" s="71" t="s">
        <v>108</v>
      </c>
      <c r="J6863" s="53">
        <f t="shared" si="3678"/>
        <v>390000</v>
      </c>
      <c r="K6863" s="63">
        <f t="shared" si="3679"/>
        <v>0.22674418604651159</v>
      </c>
      <c r="L6863" s="1212" t="s">
        <v>4097</v>
      </c>
      <c r="M6863" s="468"/>
      <c r="N6863" s="1192">
        <f t="shared" si="3671"/>
        <v>45428</v>
      </c>
      <c r="O6863" s="71" t="s">
        <v>662</v>
      </c>
      <c r="P6863" s="103" t="str">
        <f t="shared" si="3674"/>
        <v>윤전용 세척제(Web 504)</v>
      </c>
      <c r="Q6863" s="71">
        <f t="shared" si="3675"/>
        <v>10</v>
      </c>
      <c r="R6863" s="102">
        <v>133000</v>
      </c>
      <c r="S6863" s="102">
        <f t="shared" si="3680"/>
        <v>1463000.0000000002</v>
      </c>
      <c r="T6863" s="102">
        <f t="shared" si="3681"/>
        <v>1330000</v>
      </c>
      <c r="U6863" s="71" t="str">
        <f>IF(J6863=W6863,"O", "X")</f>
        <v>X</v>
      </c>
      <c r="V6863" s="71"/>
      <c r="W6863" s="474"/>
      <c r="X6863" s="71"/>
      <c r="Y6863" s="71"/>
    </row>
    <row r="6864" spans="1:25" ht="30" hidden="1" customHeight="1" x14ac:dyDescent="0.25">
      <c r="A6864" s="1145">
        <v>45428</v>
      </c>
      <c r="B6864" s="664" t="s">
        <v>2261</v>
      </c>
      <c r="C6864" s="71" t="s">
        <v>3299</v>
      </c>
      <c r="D6864" s="71">
        <v>10</v>
      </c>
      <c r="E6864" s="102">
        <v>52000</v>
      </c>
      <c r="F6864" s="102">
        <f t="shared" ref="F6864:F6866" si="3683">(E6864*D6864)*1.1</f>
        <v>572000</v>
      </c>
      <c r="G6864" s="102">
        <f t="shared" ref="G6864:G6866" si="3684">(E6864*D6864)</f>
        <v>520000</v>
      </c>
      <c r="H6864" s="690" t="s">
        <v>172</v>
      </c>
      <c r="I6864" s="71" t="s">
        <v>180</v>
      </c>
      <c r="J6864" s="53">
        <f t="shared" si="3678"/>
        <v>45000</v>
      </c>
      <c r="K6864" s="63">
        <f t="shared" si="3679"/>
        <v>8.6538461538461536E-2</v>
      </c>
      <c r="L6864" s="1212" t="s">
        <v>4097</v>
      </c>
      <c r="M6864" s="468" t="s">
        <v>3835</v>
      </c>
      <c r="N6864" s="1192">
        <f t="shared" si="3671"/>
        <v>45428</v>
      </c>
      <c r="O6864" s="71" t="s">
        <v>175</v>
      </c>
      <c r="P6864" s="103" t="str">
        <f t="shared" si="3674"/>
        <v>매엽용 세척제(Wash k11)</v>
      </c>
      <c r="Q6864" s="71">
        <f t="shared" si="3675"/>
        <v>10</v>
      </c>
      <c r="R6864" s="102">
        <v>47500</v>
      </c>
      <c r="S6864" s="102">
        <f t="shared" si="3680"/>
        <v>522500.00000000006</v>
      </c>
      <c r="T6864" s="102">
        <f t="shared" si="3681"/>
        <v>475000</v>
      </c>
      <c r="U6864" s="71" t="s">
        <v>859</v>
      </c>
      <c r="V6864" s="71"/>
      <c r="W6864" s="474"/>
      <c r="X6864" s="71"/>
      <c r="Y6864" s="71"/>
    </row>
    <row r="6865" spans="1:25" ht="30" hidden="1" customHeight="1" x14ac:dyDescent="0.25">
      <c r="A6865" s="1145">
        <v>45432</v>
      </c>
      <c r="B6865" s="664" t="s">
        <v>3289</v>
      </c>
      <c r="C6865" s="71" t="s">
        <v>2070</v>
      </c>
      <c r="D6865" s="71">
        <v>10</v>
      </c>
      <c r="E6865" s="102">
        <v>110000</v>
      </c>
      <c r="F6865" s="102">
        <f t="shared" si="3683"/>
        <v>1210000</v>
      </c>
      <c r="G6865" s="102">
        <f t="shared" si="3684"/>
        <v>1100000</v>
      </c>
      <c r="H6865" s="690" t="s">
        <v>172</v>
      </c>
      <c r="I6865" s="71" t="s">
        <v>33</v>
      </c>
      <c r="J6865" s="53">
        <f t="shared" si="3678"/>
        <v>206000</v>
      </c>
      <c r="K6865" s="63">
        <f t="shared" si="3679"/>
        <v>0.18727272727272729</v>
      </c>
      <c r="L6865" s="1212" t="s">
        <v>4097</v>
      </c>
      <c r="M6865" s="468" t="s">
        <v>4114</v>
      </c>
      <c r="N6865" s="1192">
        <f t="shared" si="3671"/>
        <v>45432</v>
      </c>
      <c r="O6865" s="71" t="s">
        <v>146</v>
      </c>
      <c r="P6865" s="103" t="str">
        <f t="shared" si="3674"/>
        <v>Blanket(1050*840)</v>
      </c>
      <c r="Q6865" s="71">
        <f t="shared" si="3675"/>
        <v>10</v>
      </c>
      <c r="R6865" s="102">
        <v>89400</v>
      </c>
      <c r="S6865" s="102">
        <f t="shared" si="3680"/>
        <v>983400.00000000012</v>
      </c>
      <c r="T6865" s="102">
        <f t="shared" si="3681"/>
        <v>894000</v>
      </c>
      <c r="U6865" s="71" t="str">
        <f>IF(J6865=W6865,"O", "X")</f>
        <v>X</v>
      </c>
      <c r="V6865" s="71"/>
      <c r="W6865" s="474">
        <v>275000</v>
      </c>
      <c r="X6865" s="71"/>
      <c r="Y6865" s="71"/>
    </row>
    <row r="6866" spans="1:25" ht="30" hidden="1" customHeight="1" x14ac:dyDescent="0.25">
      <c r="A6866" s="1145">
        <v>45436</v>
      </c>
      <c r="B6866" s="664" t="s">
        <v>2261</v>
      </c>
      <c r="C6866" s="71" t="s">
        <v>3299</v>
      </c>
      <c r="D6866" s="71">
        <v>10</v>
      </c>
      <c r="E6866" s="102">
        <v>52000</v>
      </c>
      <c r="F6866" s="102">
        <f t="shared" si="3683"/>
        <v>572000</v>
      </c>
      <c r="G6866" s="102">
        <f t="shared" si="3684"/>
        <v>520000</v>
      </c>
      <c r="H6866" s="690" t="s">
        <v>172</v>
      </c>
      <c r="I6866" s="71" t="s">
        <v>180</v>
      </c>
      <c r="J6866" s="53">
        <f t="shared" si="3678"/>
        <v>45000</v>
      </c>
      <c r="K6866" s="63">
        <f t="shared" si="3679"/>
        <v>8.6538461538461536E-2</v>
      </c>
      <c r="L6866" s="1212" t="s">
        <v>4097</v>
      </c>
      <c r="M6866" s="468" t="s">
        <v>3835</v>
      </c>
      <c r="N6866" s="1192">
        <f t="shared" si="3671"/>
        <v>45436</v>
      </c>
      <c r="O6866" s="71" t="s">
        <v>175</v>
      </c>
      <c r="P6866" s="103" t="str">
        <f t="shared" si="3674"/>
        <v>매엽용 세척제(Wash k11)</v>
      </c>
      <c r="Q6866" s="71">
        <f t="shared" si="3675"/>
        <v>10</v>
      </c>
      <c r="R6866" s="102">
        <v>47500</v>
      </c>
      <c r="S6866" s="102">
        <f t="shared" si="3680"/>
        <v>522500.00000000006</v>
      </c>
      <c r="T6866" s="102">
        <f t="shared" si="3681"/>
        <v>475000</v>
      </c>
      <c r="U6866" s="71" t="s">
        <v>859</v>
      </c>
      <c r="V6866" s="71"/>
      <c r="W6866" s="474"/>
      <c r="X6866" s="71"/>
      <c r="Y6866" s="71"/>
    </row>
    <row r="6867" spans="1:25" ht="30" hidden="1" customHeight="1" x14ac:dyDescent="0.25">
      <c r="A6867" s="1145">
        <v>45436</v>
      </c>
      <c r="B6867" s="664" t="s">
        <v>3289</v>
      </c>
      <c r="C6867" s="71" t="s">
        <v>2070</v>
      </c>
      <c r="D6867" s="71">
        <v>10</v>
      </c>
      <c r="E6867" s="102">
        <v>110000</v>
      </c>
      <c r="F6867" s="102">
        <f t="shared" ref="F6867:F6868" si="3685">(E6867*D6867)*1.1</f>
        <v>1210000</v>
      </c>
      <c r="G6867" s="102">
        <f t="shared" ref="G6867:G6868" si="3686">(E6867*D6867)</f>
        <v>1100000</v>
      </c>
      <c r="H6867" s="690" t="s">
        <v>172</v>
      </c>
      <c r="I6867" s="71" t="s">
        <v>33</v>
      </c>
      <c r="J6867" s="53">
        <f t="shared" si="3678"/>
        <v>206000</v>
      </c>
      <c r="K6867" s="63">
        <f t="shared" si="3679"/>
        <v>0.18727272727272729</v>
      </c>
      <c r="L6867" s="1212" t="s">
        <v>4097</v>
      </c>
      <c r="M6867" s="468" t="s">
        <v>4114</v>
      </c>
      <c r="N6867" s="1192">
        <f t="shared" si="3671"/>
        <v>45436</v>
      </c>
      <c r="O6867" s="71" t="s">
        <v>146</v>
      </c>
      <c r="P6867" s="103" t="str">
        <f t="shared" si="3674"/>
        <v>Blanket(1050*840)</v>
      </c>
      <c r="Q6867" s="71">
        <f t="shared" si="3675"/>
        <v>10</v>
      </c>
      <c r="R6867" s="102">
        <v>89400</v>
      </c>
      <c r="S6867" s="102">
        <f t="shared" si="3680"/>
        <v>983400.00000000012</v>
      </c>
      <c r="T6867" s="102">
        <f t="shared" si="3681"/>
        <v>894000</v>
      </c>
      <c r="U6867" s="71" t="str">
        <f>IF(J6867=W6867,"O", "X")</f>
        <v>X</v>
      </c>
      <c r="V6867" s="71"/>
      <c r="W6867" s="474">
        <v>275000</v>
      </c>
      <c r="X6867" s="71"/>
      <c r="Y6867" s="71"/>
    </row>
    <row r="6868" spans="1:25" ht="30" hidden="1" customHeight="1" x14ac:dyDescent="0.25">
      <c r="A6868" s="1145">
        <v>45441</v>
      </c>
      <c r="B6868" s="664" t="s">
        <v>2261</v>
      </c>
      <c r="C6868" s="71" t="s">
        <v>277</v>
      </c>
      <c r="D6868" s="71">
        <v>10</v>
      </c>
      <c r="E6868" s="102">
        <v>172000</v>
      </c>
      <c r="F6868" s="102">
        <f t="shared" si="3685"/>
        <v>1892000.0000000002</v>
      </c>
      <c r="G6868" s="102">
        <f t="shared" si="3686"/>
        <v>1720000</v>
      </c>
      <c r="H6868" s="690" t="s">
        <v>172</v>
      </c>
      <c r="I6868" s="71" t="s">
        <v>108</v>
      </c>
      <c r="J6868" s="53">
        <f t="shared" si="3678"/>
        <v>390000</v>
      </c>
      <c r="K6868" s="63">
        <f t="shared" si="3679"/>
        <v>0.22674418604651159</v>
      </c>
      <c r="L6868" s="1212" t="s">
        <v>4097</v>
      </c>
      <c r="M6868" s="468"/>
      <c r="N6868" s="1192">
        <f t="shared" si="3671"/>
        <v>45441</v>
      </c>
      <c r="O6868" s="71" t="s">
        <v>662</v>
      </c>
      <c r="P6868" s="103" t="str">
        <f t="shared" si="3674"/>
        <v>윤전용 세척제(Web 504)</v>
      </c>
      <c r="Q6868" s="71">
        <f t="shared" si="3675"/>
        <v>10</v>
      </c>
      <c r="R6868" s="102">
        <v>133000</v>
      </c>
      <c r="S6868" s="102">
        <f t="shared" si="3680"/>
        <v>1463000.0000000002</v>
      </c>
      <c r="T6868" s="102">
        <f t="shared" si="3681"/>
        <v>1330000</v>
      </c>
      <c r="U6868" s="71" t="str">
        <f>IF(J6868=W6868,"O", "X")</f>
        <v>X</v>
      </c>
      <c r="V6868" s="71"/>
      <c r="W6868" s="474"/>
      <c r="X6868" s="71"/>
      <c r="Y6868" s="71"/>
    </row>
    <row r="6869" spans="1:25" ht="30" hidden="1" customHeight="1" x14ac:dyDescent="0.25">
      <c r="A6869" s="1145">
        <v>45419</v>
      </c>
      <c r="B6869" s="664" t="s">
        <v>548</v>
      </c>
      <c r="C6869" s="71" t="s">
        <v>4063</v>
      </c>
      <c r="D6869" s="71">
        <v>4</v>
      </c>
      <c r="E6869" s="102">
        <v>850000</v>
      </c>
      <c r="F6869" s="102">
        <f>(E6869*D6869)*1.1</f>
        <v>3740000.0000000005</v>
      </c>
      <c r="G6869" s="102">
        <f>(E6869*D6869)</f>
        <v>3400000</v>
      </c>
      <c r="H6869" s="690" t="s">
        <v>2029</v>
      </c>
      <c r="I6869" s="71" t="s">
        <v>142</v>
      </c>
      <c r="J6869" s="53">
        <f t="shared" si="3678"/>
        <v>1066737</v>
      </c>
      <c r="K6869" s="63">
        <f t="shared" si="3679"/>
        <v>0.31374617647058817</v>
      </c>
      <c r="L6869" s="1212" t="s">
        <v>4097</v>
      </c>
      <c r="M6869" s="468"/>
      <c r="N6869" s="1192">
        <f t="shared" si="3671"/>
        <v>45419</v>
      </c>
      <c r="O6869" s="71" t="s">
        <v>4112</v>
      </c>
      <c r="P6869" s="103" t="str">
        <f t="shared" si="3674"/>
        <v>하이델베르그 filterStar compact</v>
      </c>
      <c r="Q6869" s="71">
        <v>1</v>
      </c>
      <c r="R6869" s="147">
        <v>2333263</v>
      </c>
      <c r="S6869" s="102">
        <f t="shared" si="3680"/>
        <v>2566589.3000000003</v>
      </c>
      <c r="T6869" s="102">
        <f t="shared" si="3681"/>
        <v>2333263</v>
      </c>
      <c r="U6869" s="71"/>
      <c r="V6869" s="71"/>
      <c r="W6869" s="474"/>
      <c r="X6869" s="71"/>
      <c r="Y6869" s="71"/>
    </row>
    <row r="6870" spans="1:25" ht="30" hidden="1" customHeight="1" x14ac:dyDescent="0.2">
      <c r="A6870" s="1145">
        <v>45420</v>
      </c>
      <c r="B6870" s="664" t="s">
        <v>548</v>
      </c>
      <c r="C6870" s="71" t="s">
        <v>236</v>
      </c>
      <c r="D6870" s="71">
        <v>3</v>
      </c>
      <c r="E6870" s="102">
        <v>100000</v>
      </c>
      <c r="F6870" s="163">
        <f>(E6870*D6870)*1.1</f>
        <v>330000</v>
      </c>
      <c r="G6870" s="102">
        <f>(E6870*D6870)</f>
        <v>300000</v>
      </c>
      <c r="H6870" s="690" t="s">
        <v>173</v>
      </c>
      <c r="I6870" s="71" t="s">
        <v>2231</v>
      </c>
      <c r="J6870" s="53">
        <f t="shared" si="3678"/>
        <v>120000</v>
      </c>
      <c r="K6870" s="63">
        <f t="shared" si="3679"/>
        <v>0.4</v>
      </c>
      <c r="L6870" s="1212" t="s">
        <v>4097</v>
      </c>
      <c r="M6870" s="468"/>
      <c r="N6870" s="1192">
        <f t="shared" si="3671"/>
        <v>45420</v>
      </c>
      <c r="O6870" s="71" t="s">
        <v>3021</v>
      </c>
      <c r="P6870" s="103" t="str">
        <f t="shared" si="3674"/>
        <v>아스테이지(국전)</v>
      </c>
      <c r="Q6870" s="71">
        <f t="shared" si="3675"/>
        <v>3</v>
      </c>
      <c r="R6870" s="102">
        <v>60000</v>
      </c>
      <c r="S6870" s="102">
        <f t="shared" si="3680"/>
        <v>198000.00000000003</v>
      </c>
      <c r="T6870" s="102">
        <f t="shared" si="3681"/>
        <v>180000</v>
      </c>
      <c r="U6870" s="71" t="str">
        <f>IF(J6870=W6870,"O", "X")</f>
        <v>X</v>
      </c>
      <c r="V6870" s="71"/>
      <c r="W6870" s="474"/>
      <c r="X6870" s="71"/>
      <c r="Y6870" s="71"/>
    </row>
    <row r="6871" spans="1:25" ht="30" hidden="1" customHeight="1" x14ac:dyDescent="0.25">
      <c r="A6871" s="1145">
        <v>45420</v>
      </c>
      <c r="B6871" s="664" t="s">
        <v>548</v>
      </c>
      <c r="C6871" s="71" t="s">
        <v>3384</v>
      </c>
      <c r="D6871" s="71">
        <v>300</v>
      </c>
      <c r="E6871" s="102">
        <v>450</v>
      </c>
      <c r="F6871" s="102">
        <f>(E6871*D6871)*1.1</f>
        <v>148500</v>
      </c>
      <c r="G6871" s="102">
        <f>(E6871*D6871)</f>
        <v>135000</v>
      </c>
      <c r="H6871" s="690" t="s">
        <v>2029</v>
      </c>
      <c r="I6871" s="71" t="s">
        <v>3385</v>
      </c>
      <c r="J6871" s="53">
        <f t="shared" si="3678"/>
        <v>39000</v>
      </c>
      <c r="K6871" s="63">
        <f t="shared" si="3679"/>
        <v>0.28888888888888886</v>
      </c>
      <c r="L6871" s="1212" t="s">
        <v>4097</v>
      </c>
      <c r="M6871" s="468"/>
      <c r="N6871" s="1192">
        <f t="shared" si="3671"/>
        <v>45420</v>
      </c>
      <c r="O6871" s="71" t="s">
        <v>2030</v>
      </c>
      <c r="P6871" s="103" t="str">
        <f t="shared" si="3674"/>
        <v>고무사카 빨간색</v>
      </c>
      <c r="Q6871" s="71">
        <f t="shared" si="3675"/>
        <v>300</v>
      </c>
      <c r="R6871" s="102">
        <v>320</v>
      </c>
      <c r="S6871" s="102">
        <f t="shared" si="3680"/>
        <v>105600.00000000001</v>
      </c>
      <c r="T6871" s="102">
        <f t="shared" si="3681"/>
        <v>96000</v>
      </c>
      <c r="U6871" s="71"/>
      <c r="V6871" s="71"/>
      <c r="W6871" s="474"/>
      <c r="X6871" s="71"/>
      <c r="Y6871" s="71"/>
    </row>
    <row r="6872" spans="1:25" ht="30" hidden="1" customHeight="1" x14ac:dyDescent="0.25">
      <c r="A6872" s="1145">
        <v>45433</v>
      </c>
      <c r="B6872" s="664" t="s">
        <v>548</v>
      </c>
      <c r="C6872" s="71" t="s">
        <v>4104</v>
      </c>
      <c r="D6872" s="71">
        <v>100</v>
      </c>
      <c r="E6872" s="102">
        <v>500</v>
      </c>
      <c r="F6872" s="102">
        <f>(E6872*D6872)*1.1</f>
        <v>55000.000000000007</v>
      </c>
      <c r="G6872" s="102">
        <f>(E6872*D6872)</f>
        <v>50000</v>
      </c>
      <c r="H6872" s="690" t="s">
        <v>2029</v>
      </c>
      <c r="I6872" s="71" t="s">
        <v>3385</v>
      </c>
      <c r="J6872" s="53">
        <f t="shared" si="3678"/>
        <v>5000</v>
      </c>
      <c r="K6872" s="63">
        <f t="shared" si="3679"/>
        <v>9.9999999999999992E-2</v>
      </c>
      <c r="L6872" s="1212" t="s">
        <v>4097</v>
      </c>
      <c r="M6872" s="468"/>
      <c r="N6872" s="1192">
        <f t="shared" si="3671"/>
        <v>45433</v>
      </c>
      <c r="O6872" s="71" t="s">
        <v>2030</v>
      </c>
      <c r="P6872" s="103" t="str">
        <f t="shared" si="3674"/>
        <v>고무사카 노란색 - 마닐라용</v>
      </c>
      <c r="Q6872" s="71">
        <f t="shared" si="3675"/>
        <v>100</v>
      </c>
      <c r="R6872" s="102">
        <v>450</v>
      </c>
      <c r="S6872" s="102">
        <f t="shared" si="3680"/>
        <v>49500.000000000007</v>
      </c>
      <c r="T6872" s="102">
        <f t="shared" si="3681"/>
        <v>45000</v>
      </c>
      <c r="U6872" s="71"/>
      <c r="V6872" s="71"/>
      <c r="W6872" s="474"/>
      <c r="X6872" s="71"/>
      <c r="Y6872" s="71"/>
    </row>
    <row r="6873" spans="1:25" ht="30" hidden="1" customHeight="1" x14ac:dyDescent="0.25">
      <c r="A6873" s="1145">
        <v>45433</v>
      </c>
      <c r="B6873" s="664" t="s">
        <v>548</v>
      </c>
      <c r="C6873" s="71" t="s">
        <v>1804</v>
      </c>
      <c r="D6873" s="71">
        <v>200</v>
      </c>
      <c r="E6873" s="102">
        <v>450</v>
      </c>
      <c r="F6873" s="102">
        <f>(E6873*D6873)*1.1</f>
        <v>99000.000000000015</v>
      </c>
      <c r="G6873" s="102">
        <f>(E6873*D6873)</f>
        <v>90000</v>
      </c>
      <c r="H6873" s="690" t="s">
        <v>2029</v>
      </c>
      <c r="I6873" s="71" t="s">
        <v>3385</v>
      </c>
      <c r="J6873" s="53">
        <f t="shared" si="3678"/>
        <v>10000</v>
      </c>
      <c r="K6873" s="63">
        <f t="shared" si="3679"/>
        <v>0.11111111111111109</v>
      </c>
      <c r="L6873" s="1212" t="s">
        <v>4097</v>
      </c>
      <c r="M6873" s="102"/>
      <c r="N6873" s="1192">
        <f t="shared" si="3671"/>
        <v>45433</v>
      </c>
      <c r="O6873" s="71" t="s">
        <v>2030</v>
      </c>
      <c r="P6873" s="103" t="str">
        <f t="shared" si="3674"/>
        <v>고무사카 노란색</v>
      </c>
      <c r="Q6873" s="71">
        <f t="shared" si="3675"/>
        <v>200</v>
      </c>
      <c r="R6873" s="102">
        <v>400</v>
      </c>
      <c r="S6873" s="102">
        <f t="shared" si="3680"/>
        <v>88000</v>
      </c>
      <c r="T6873" s="102">
        <f t="shared" si="3681"/>
        <v>80000</v>
      </c>
      <c r="U6873" s="71"/>
      <c r="V6873" s="71"/>
      <c r="W6873" s="474"/>
      <c r="X6873" s="71"/>
      <c r="Y6873" s="71"/>
    </row>
    <row r="6874" spans="1:25" ht="30" hidden="1" customHeight="1" x14ac:dyDescent="0.25">
      <c r="A6874" s="1145">
        <v>45415</v>
      </c>
      <c r="B6874" s="664" t="s">
        <v>442</v>
      </c>
      <c r="C6874" s="71" t="s">
        <v>208</v>
      </c>
      <c r="D6874" s="71">
        <v>1</v>
      </c>
      <c r="E6874" s="102">
        <v>624000</v>
      </c>
      <c r="F6874" s="102">
        <f t="shared" ref="F6874:F6882" si="3687">(E6874*D6874)*1.1</f>
        <v>686400</v>
      </c>
      <c r="G6874" s="102">
        <f t="shared" ref="G6874:G6882" si="3688">(E6874*D6874)</f>
        <v>624000</v>
      </c>
      <c r="H6874" s="690" t="s">
        <v>2029</v>
      </c>
      <c r="I6874" s="71" t="s">
        <v>195</v>
      </c>
      <c r="J6874" s="53">
        <f t="shared" si="3678"/>
        <v>35780</v>
      </c>
      <c r="K6874" s="63">
        <f t="shared" si="3679"/>
        <v>5.7339743589743593E-2</v>
      </c>
      <c r="L6874" s="1212" t="s">
        <v>4097</v>
      </c>
      <c r="M6874" s="468"/>
      <c r="N6874" s="1192">
        <f t="shared" si="3671"/>
        <v>45415</v>
      </c>
      <c r="O6874" s="71" t="s">
        <v>194</v>
      </c>
      <c r="P6874" s="103" t="str">
        <f t="shared" si="3674"/>
        <v>Agfa Film(32inch)</v>
      </c>
      <c r="Q6874" s="71">
        <f t="shared" si="3675"/>
        <v>1</v>
      </c>
      <c r="R6874" s="102">
        <v>588220</v>
      </c>
      <c r="S6874" s="102">
        <f t="shared" si="3680"/>
        <v>647042</v>
      </c>
      <c r="T6874" s="102">
        <f t="shared" si="3681"/>
        <v>588220</v>
      </c>
      <c r="U6874" s="71" t="s">
        <v>859</v>
      </c>
      <c r="V6874" s="71"/>
      <c r="W6874" s="474">
        <v>201820</v>
      </c>
      <c r="X6874" s="71"/>
      <c r="Y6874" s="71"/>
    </row>
    <row r="6875" spans="1:25" ht="30" hidden="1" customHeight="1" x14ac:dyDescent="0.25">
      <c r="A6875" s="1145">
        <v>45432</v>
      </c>
      <c r="B6875" s="664" t="s">
        <v>442</v>
      </c>
      <c r="C6875" s="71" t="s">
        <v>3299</v>
      </c>
      <c r="D6875" s="71">
        <v>20</v>
      </c>
      <c r="E6875" s="102">
        <v>69000</v>
      </c>
      <c r="F6875" s="102">
        <f t="shared" si="3687"/>
        <v>1518000.0000000002</v>
      </c>
      <c r="G6875" s="102">
        <f t="shared" si="3688"/>
        <v>1380000</v>
      </c>
      <c r="H6875" s="690" t="s">
        <v>172</v>
      </c>
      <c r="I6875" s="71" t="s">
        <v>180</v>
      </c>
      <c r="J6875" s="53">
        <f t="shared" si="3678"/>
        <v>430000</v>
      </c>
      <c r="K6875" s="63">
        <f t="shared" si="3679"/>
        <v>0.31159420289855067</v>
      </c>
      <c r="L6875" s="1212" t="s">
        <v>4097</v>
      </c>
      <c r="M6875" s="468" t="s">
        <v>3304</v>
      </c>
      <c r="N6875" s="1192">
        <f t="shared" si="3671"/>
        <v>45432</v>
      </c>
      <c r="O6875" s="71" t="s">
        <v>175</v>
      </c>
      <c r="P6875" s="103" t="str">
        <f t="shared" si="3674"/>
        <v>매엽용 세척제(Wash k11)</v>
      </c>
      <c r="Q6875" s="71">
        <f t="shared" si="3675"/>
        <v>20</v>
      </c>
      <c r="R6875" s="102">
        <v>47500</v>
      </c>
      <c r="S6875" s="102">
        <f t="shared" si="3680"/>
        <v>1045000.0000000001</v>
      </c>
      <c r="T6875" s="102">
        <f t="shared" si="3681"/>
        <v>950000</v>
      </c>
      <c r="U6875" s="71" t="s">
        <v>859</v>
      </c>
      <c r="V6875" s="71"/>
      <c r="W6875" s="474"/>
      <c r="X6875" s="71"/>
      <c r="Y6875" s="71"/>
    </row>
    <row r="6876" spans="1:25" ht="30" hidden="1" customHeight="1" x14ac:dyDescent="0.25">
      <c r="A6876" s="1145">
        <v>45436</v>
      </c>
      <c r="B6876" s="664" t="s">
        <v>442</v>
      </c>
      <c r="C6876" s="71" t="s">
        <v>206</v>
      </c>
      <c r="D6876" s="71">
        <v>2</v>
      </c>
      <c r="E6876" s="102">
        <v>453000</v>
      </c>
      <c r="F6876" s="102">
        <f t="shared" si="3687"/>
        <v>996600.00000000012</v>
      </c>
      <c r="G6876" s="102">
        <f t="shared" si="3688"/>
        <v>906000</v>
      </c>
      <c r="H6876" s="690" t="s">
        <v>2029</v>
      </c>
      <c r="I6876" s="71" t="s">
        <v>195</v>
      </c>
      <c r="J6876" s="53">
        <f t="shared" si="3678"/>
        <v>49840</v>
      </c>
      <c r="K6876" s="63">
        <f t="shared" si="3679"/>
        <v>5.5011037527593815E-2</v>
      </c>
      <c r="L6876" s="1212" t="s">
        <v>4097</v>
      </c>
      <c r="M6876" s="468"/>
      <c r="N6876" s="1192">
        <f t="shared" si="3671"/>
        <v>45436</v>
      </c>
      <c r="O6876" s="71" t="s">
        <v>194</v>
      </c>
      <c r="P6876" s="103" t="str">
        <f t="shared" si="3674"/>
        <v>Agfa Film(24inch)</v>
      </c>
      <c r="Q6876" s="71">
        <f t="shared" si="3675"/>
        <v>2</v>
      </c>
      <c r="R6876" s="102">
        <v>428080</v>
      </c>
      <c r="S6876" s="102">
        <f t="shared" si="3680"/>
        <v>941776.00000000012</v>
      </c>
      <c r="T6876" s="102">
        <f t="shared" si="3681"/>
        <v>856160</v>
      </c>
      <c r="U6876" s="71" t="s">
        <v>859</v>
      </c>
      <c r="V6876" s="71"/>
      <c r="W6876" s="474">
        <v>144640</v>
      </c>
      <c r="X6876" s="71"/>
      <c r="Y6876" s="71"/>
    </row>
    <row r="6877" spans="1:25" ht="30" hidden="1" customHeight="1" x14ac:dyDescent="0.25">
      <c r="A6877" s="1145">
        <v>45436</v>
      </c>
      <c r="B6877" s="664" t="s">
        <v>442</v>
      </c>
      <c r="C6877" s="71" t="s">
        <v>207</v>
      </c>
      <c r="D6877" s="71">
        <v>3</v>
      </c>
      <c r="E6877" s="102">
        <v>558000</v>
      </c>
      <c r="F6877" s="102">
        <f t="shared" si="3687"/>
        <v>1841400.0000000002</v>
      </c>
      <c r="G6877" s="102">
        <f t="shared" si="3688"/>
        <v>1674000</v>
      </c>
      <c r="H6877" s="690" t="s">
        <v>2029</v>
      </c>
      <c r="I6877" s="71" t="s">
        <v>195</v>
      </c>
      <c r="J6877" s="53">
        <f t="shared" si="3678"/>
        <v>176940</v>
      </c>
      <c r="K6877" s="63">
        <f t="shared" si="3679"/>
        <v>0.10569892473118278</v>
      </c>
      <c r="L6877" s="1212" t="s">
        <v>4097</v>
      </c>
      <c r="M6877" s="468"/>
      <c r="N6877" s="1192">
        <f t="shared" si="3671"/>
        <v>45436</v>
      </c>
      <c r="O6877" s="71" t="s">
        <v>194</v>
      </c>
      <c r="P6877" s="103" t="str">
        <f t="shared" si="3674"/>
        <v>Agfa Film(28inch)</v>
      </c>
      <c r="Q6877" s="71">
        <f t="shared" si="3675"/>
        <v>3</v>
      </c>
      <c r="R6877" s="102">
        <v>499020</v>
      </c>
      <c r="S6877" s="102">
        <f t="shared" si="3680"/>
        <v>1646766.0000000002</v>
      </c>
      <c r="T6877" s="102">
        <f t="shared" si="3681"/>
        <v>1497060</v>
      </c>
      <c r="U6877" s="71" t="s">
        <v>859</v>
      </c>
      <c r="V6877" s="71"/>
      <c r="W6877" s="474">
        <v>228480</v>
      </c>
      <c r="X6877" s="71"/>
      <c r="Y6877" s="71"/>
    </row>
    <row r="6878" spans="1:25" ht="30" hidden="1" customHeight="1" x14ac:dyDescent="0.25">
      <c r="A6878" s="1145">
        <v>45436</v>
      </c>
      <c r="B6878" s="664" t="s">
        <v>442</v>
      </c>
      <c r="C6878" s="71" t="s">
        <v>208</v>
      </c>
      <c r="D6878" s="71">
        <v>2</v>
      </c>
      <c r="E6878" s="102">
        <v>624000</v>
      </c>
      <c r="F6878" s="102">
        <f t="shared" si="3687"/>
        <v>1372800</v>
      </c>
      <c r="G6878" s="102">
        <f t="shared" si="3688"/>
        <v>1248000</v>
      </c>
      <c r="H6878" s="690" t="s">
        <v>2029</v>
      </c>
      <c r="I6878" s="71" t="s">
        <v>195</v>
      </c>
      <c r="J6878" s="53">
        <f t="shared" si="3678"/>
        <v>71560</v>
      </c>
      <c r="K6878" s="63">
        <f t="shared" si="3679"/>
        <v>5.7339743589743593E-2</v>
      </c>
      <c r="L6878" s="1212" t="s">
        <v>4097</v>
      </c>
      <c r="M6878" s="468"/>
      <c r="N6878" s="1192">
        <f t="shared" si="3671"/>
        <v>45436</v>
      </c>
      <c r="O6878" s="71" t="s">
        <v>194</v>
      </c>
      <c r="P6878" s="103" t="str">
        <f t="shared" si="3674"/>
        <v>Agfa Film(32inch)</v>
      </c>
      <c r="Q6878" s="71">
        <f t="shared" si="3675"/>
        <v>2</v>
      </c>
      <c r="R6878" s="102">
        <v>588220</v>
      </c>
      <c r="S6878" s="102">
        <f t="shared" si="3680"/>
        <v>1294084</v>
      </c>
      <c r="T6878" s="102">
        <f t="shared" si="3681"/>
        <v>1176440</v>
      </c>
      <c r="U6878" s="71" t="s">
        <v>859</v>
      </c>
      <c r="V6878" s="71"/>
      <c r="W6878" s="474">
        <v>201820</v>
      </c>
      <c r="X6878" s="71"/>
      <c r="Y6878" s="71"/>
    </row>
    <row r="6879" spans="1:25" ht="30" hidden="1" customHeight="1" x14ac:dyDescent="0.2">
      <c r="A6879" s="1145">
        <v>45436</v>
      </c>
      <c r="B6879" s="664" t="s">
        <v>442</v>
      </c>
      <c r="C6879" s="71" t="s">
        <v>648</v>
      </c>
      <c r="D6879" s="71">
        <v>1</v>
      </c>
      <c r="E6879" s="102">
        <v>93000</v>
      </c>
      <c r="F6879" s="102">
        <f t="shared" si="3687"/>
        <v>102300.00000000001</v>
      </c>
      <c r="G6879" s="102">
        <f t="shared" si="3688"/>
        <v>93000</v>
      </c>
      <c r="H6879" s="165" t="s">
        <v>172</v>
      </c>
      <c r="I6879" s="71" t="s">
        <v>195</v>
      </c>
      <c r="J6879" s="53">
        <f t="shared" si="3678"/>
        <v>15140</v>
      </c>
      <c r="K6879" s="63">
        <f t="shared" si="3679"/>
        <v>0.16279569892473117</v>
      </c>
      <c r="L6879" s="1212" t="s">
        <v>4097</v>
      </c>
      <c r="M6879" s="468"/>
      <c r="N6879" s="1192">
        <f t="shared" si="3671"/>
        <v>45436</v>
      </c>
      <c r="O6879" s="71" t="s">
        <v>194</v>
      </c>
      <c r="P6879" s="103" t="str">
        <f t="shared" si="3674"/>
        <v>Agfa 정착액 G333C(20L)</v>
      </c>
      <c r="Q6879" s="71">
        <f t="shared" si="3675"/>
        <v>1</v>
      </c>
      <c r="R6879" s="102">
        <v>77860</v>
      </c>
      <c r="S6879" s="102">
        <f t="shared" si="3680"/>
        <v>85646</v>
      </c>
      <c r="T6879" s="102">
        <f t="shared" si="3681"/>
        <v>77860</v>
      </c>
      <c r="U6879" s="71" t="s">
        <v>859</v>
      </c>
      <c r="V6879" s="71"/>
      <c r="W6879" s="474">
        <v>27000</v>
      </c>
      <c r="X6879" s="71"/>
      <c r="Y6879" s="71"/>
    </row>
    <row r="6880" spans="1:25" ht="30" hidden="1" customHeight="1" x14ac:dyDescent="0.25">
      <c r="A6880" s="1145">
        <v>45419</v>
      </c>
      <c r="B6880" s="664" t="s">
        <v>3296</v>
      </c>
      <c r="C6880" s="71" t="s">
        <v>3297</v>
      </c>
      <c r="D6880" s="71">
        <v>20</v>
      </c>
      <c r="E6880" s="102">
        <v>162500</v>
      </c>
      <c r="F6880" s="102">
        <f t="shared" si="3687"/>
        <v>3575000.0000000005</v>
      </c>
      <c r="G6880" s="102">
        <f t="shared" si="3688"/>
        <v>3250000</v>
      </c>
      <c r="H6880" s="690" t="s">
        <v>172</v>
      </c>
      <c r="I6880" s="71" t="s">
        <v>3295</v>
      </c>
      <c r="J6880" s="53">
        <f t="shared" si="3678"/>
        <v>850000</v>
      </c>
      <c r="K6880" s="63">
        <f t="shared" si="3679"/>
        <v>0.2615384615384615</v>
      </c>
      <c r="L6880" s="1212" t="s">
        <v>4097</v>
      </c>
      <c r="M6880" s="468"/>
      <c r="N6880" s="1192">
        <f t="shared" si="3671"/>
        <v>45419</v>
      </c>
      <c r="O6880" s="71" t="s">
        <v>662</v>
      </c>
      <c r="P6880" s="103" t="str">
        <f t="shared" si="3674"/>
        <v>실리콘 에멀전</v>
      </c>
      <c r="Q6880" s="71">
        <f t="shared" si="3675"/>
        <v>20</v>
      </c>
      <c r="R6880" s="102">
        <v>120000</v>
      </c>
      <c r="S6880" s="102">
        <f t="shared" si="3680"/>
        <v>2640000</v>
      </c>
      <c r="T6880" s="102">
        <f t="shared" si="3681"/>
        <v>2400000</v>
      </c>
      <c r="U6880" s="71" t="str">
        <f t="shared" ref="U6880" si="3689">IF(J6880=W6880,"O", "X")</f>
        <v>X</v>
      </c>
      <c r="V6880" s="71"/>
      <c r="W6880" s="474"/>
      <c r="X6880" s="71"/>
      <c r="Y6880" s="71"/>
    </row>
    <row r="6881" spans="1:25" ht="30" hidden="1" customHeight="1" x14ac:dyDescent="0.25">
      <c r="A6881" s="1145">
        <v>45420</v>
      </c>
      <c r="B6881" s="664" t="s">
        <v>26</v>
      </c>
      <c r="C6881" s="71" t="s">
        <v>2087</v>
      </c>
      <c r="D6881" s="71">
        <v>5</v>
      </c>
      <c r="E6881" s="102">
        <v>65000</v>
      </c>
      <c r="F6881" s="102">
        <f t="shared" si="3687"/>
        <v>357500</v>
      </c>
      <c r="G6881" s="102">
        <f t="shared" si="3688"/>
        <v>325000</v>
      </c>
      <c r="H6881" s="690" t="s">
        <v>172</v>
      </c>
      <c r="I6881" s="71" t="s">
        <v>3295</v>
      </c>
      <c r="J6881" s="53">
        <f t="shared" si="3678"/>
        <v>75000</v>
      </c>
      <c r="K6881" s="63">
        <f t="shared" si="3679"/>
        <v>0.23076923076923078</v>
      </c>
      <c r="L6881" s="1212" t="s">
        <v>4097</v>
      </c>
      <c r="M6881" s="468"/>
      <c r="N6881" s="1192">
        <f t="shared" si="3671"/>
        <v>45420</v>
      </c>
      <c r="O6881" s="71" t="s">
        <v>152</v>
      </c>
      <c r="P6881" s="103" t="str">
        <f t="shared" si="3674"/>
        <v>아스테이지(국전)</v>
      </c>
      <c r="Q6881" s="71">
        <f t="shared" si="3675"/>
        <v>5</v>
      </c>
      <c r="R6881" s="102">
        <v>50000</v>
      </c>
      <c r="S6881" s="102">
        <f t="shared" si="3680"/>
        <v>275000</v>
      </c>
      <c r="T6881" s="102">
        <f t="shared" si="3681"/>
        <v>250000</v>
      </c>
      <c r="U6881" s="71" t="s">
        <v>1915</v>
      </c>
      <c r="V6881" s="71"/>
      <c r="W6881" s="474">
        <v>150000</v>
      </c>
      <c r="X6881" s="71"/>
      <c r="Y6881" s="71"/>
    </row>
    <row r="6882" spans="1:25" s="209" customFormat="1" ht="30" hidden="1" customHeight="1" x14ac:dyDescent="0.25">
      <c r="A6882" s="1145">
        <v>45426</v>
      </c>
      <c r="B6882" s="664" t="s">
        <v>567</v>
      </c>
      <c r="C6882" s="71" t="s">
        <v>123</v>
      </c>
      <c r="D6882" s="71">
        <v>10</v>
      </c>
      <c r="E6882" s="102">
        <v>50000</v>
      </c>
      <c r="F6882" s="102">
        <f t="shared" si="3687"/>
        <v>550000</v>
      </c>
      <c r="G6882" s="102">
        <f t="shared" si="3688"/>
        <v>500000</v>
      </c>
      <c r="H6882" s="690" t="s">
        <v>94</v>
      </c>
      <c r="I6882" s="71" t="s">
        <v>94</v>
      </c>
      <c r="J6882" s="53">
        <f t="shared" si="3678"/>
        <v>260000</v>
      </c>
      <c r="K6882" s="63">
        <f t="shared" si="3679"/>
        <v>0.52</v>
      </c>
      <c r="L6882" s="1212" t="s">
        <v>4097</v>
      </c>
      <c r="M6882" s="468"/>
      <c r="N6882" s="1192">
        <f t="shared" si="3671"/>
        <v>45426</v>
      </c>
      <c r="O6882" s="71" t="s">
        <v>94</v>
      </c>
      <c r="P6882" s="103" t="str">
        <f t="shared" si="3674"/>
        <v>필터백</v>
      </c>
      <c r="Q6882" s="71">
        <f t="shared" si="3675"/>
        <v>10</v>
      </c>
      <c r="R6882" s="102">
        <v>24000</v>
      </c>
      <c r="S6882" s="102">
        <f t="shared" si="3680"/>
        <v>264000</v>
      </c>
      <c r="T6882" s="102">
        <f t="shared" si="3681"/>
        <v>240000</v>
      </c>
      <c r="U6882" s="71"/>
      <c r="V6882" s="71"/>
      <c r="W6882" s="474"/>
      <c r="X6882" s="71"/>
      <c r="Y6882" s="71"/>
    </row>
    <row r="6883" spans="1:25" ht="30" hidden="1" customHeight="1" x14ac:dyDescent="0.25">
      <c r="A6883" s="1145">
        <v>45439</v>
      </c>
      <c r="B6883" s="664" t="s">
        <v>26</v>
      </c>
      <c r="C6883" s="71" t="s">
        <v>2087</v>
      </c>
      <c r="D6883" s="71">
        <v>5</v>
      </c>
      <c r="E6883" s="102">
        <v>65000</v>
      </c>
      <c r="F6883" s="102">
        <f t="shared" ref="F6883:F6887" si="3690">(E6883*D6883)*1.1</f>
        <v>357500</v>
      </c>
      <c r="G6883" s="102">
        <f t="shared" ref="G6883:G6887" si="3691">(E6883*D6883)</f>
        <v>325000</v>
      </c>
      <c r="H6883" s="690" t="s">
        <v>172</v>
      </c>
      <c r="I6883" s="71" t="s">
        <v>3295</v>
      </c>
      <c r="J6883" s="53">
        <f t="shared" si="3678"/>
        <v>75000</v>
      </c>
      <c r="K6883" s="63">
        <f t="shared" si="3679"/>
        <v>0.23076923076923078</v>
      </c>
      <c r="L6883" s="1212" t="s">
        <v>4097</v>
      </c>
      <c r="M6883" s="468"/>
      <c r="N6883" s="1192">
        <f t="shared" si="3671"/>
        <v>45439</v>
      </c>
      <c r="O6883" s="71" t="s">
        <v>152</v>
      </c>
      <c r="P6883" s="103" t="str">
        <f t="shared" si="3674"/>
        <v>아스테이지(국전)</v>
      </c>
      <c r="Q6883" s="71">
        <f t="shared" si="3675"/>
        <v>5</v>
      </c>
      <c r="R6883" s="102">
        <v>50000</v>
      </c>
      <c r="S6883" s="102">
        <f t="shared" si="3680"/>
        <v>275000</v>
      </c>
      <c r="T6883" s="102">
        <f t="shared" si="3681"/>
        <v>250000</v>
      </c>
      <c r="U6883" s="71" t="s">
        <v>1915</v>
      </c>
      <c r="V6883" s="71"/>
      <c r="W6883" s="474">
        <v>150000</v>
      </c>
      <c r="X6883" s="71"/>
      <c r="Y6883" s="71"/>
    </row>
    <row r="6884" spans="1:25" ht="30" hidden="1" customHeight="1" x14ac:dyDescent="0.25">
      <c r="A6884" s="1145">
        <v>45441</v>
      </c>
      <c r="B6884" s="664" t="s">
        <v>26</v>
      </c>
      <c r="C6884" s="71" t="s">
        <v>2087</v>
      </c>
      <c r="D6884" s="71">
        <v>5</v>
      </c>
      <c r="E6884" s="102">
        <v>65000</v>
      </c>
      <c r="F6884" s="102">
        <f t="shared" si="3690"/>
        <v>357500</v>
      </c>
      <c r="G6884" s="102">
        <f t="shared" si="3691"/>
        <v>325000</v>
      </c>
      <c r="H6884" s="690" t="s">
        <v>172</v>
      </c>
      <c r="I6884" s="71" t="s">
        <v>3295</v>
      </c>
      <c r="J6884" s="53">
        <f t="shared" si="3678"/>
        <v>75000</v>
      </c>
      <c r="K6884" s="63">
        <f t="shared" si="3679"/>
        <v>0.23076923076923078</v>
      </c>
      <c r="L6884" s="1212" t="s">
        <v>4097</v>
      </c>
      <c r="M6884" s="468"/>
      <c r="N6884" s="1192">
        <f t="shared" si="3671"/>
        <v>45441</v>
      </c>
      <c r="O6884" s="71" t="s">
        <v>152</v>
      </c>
      <c r="P6884" s="103" t="str">
        <f t="shared" si="3674"/>
        <v>아스테이지(국전)</v>
      </c>
      <c r="Q6884" s="71">
        <f t="shared" si="3675"/>
        <v>5</v>
      </c>
      <c r="R6884" s="102">
        <v>50000</v>
      </c>
      <c r="S6884" s="102">
        <f t="shared" si="3680"/>
        <v>275000</v>
      </c>
      <c r="T6884" s="102">
        <f t="shared" si="3681"/>
        <v>250000</v>
      </c>
      <c r="U6884" s="71" t="s">
        <v>1915</v>
      </c>
      <c r="V6884" s="71"/>
      <c r="W6884" s="474">
        <v>150000</v>
      </c>
      <c r="X6884" s="71"/>
      <c r="Y6884" s="71"/>
    </row>
    <row r="6885" spans="1:25" s="209" customFormat="1" ht="30" hidden="1" customHeight="1" x14ac:dyDescent="0.25">
      <c r="A6885" s="1145">
        <v>45414</v>
      </c>
      <c r="B6885" s="664" t="s">
        <v>411</v>
      </c>
      <c r="C6885" s="71" t="s">
        <v>3413</v>
      </c>
      <c r="D6885" s="71">
        <v>10</v>
      </c>
      <c r="E6885" s="102">
        <v>80000</v>
      </c>
      <c r="F6885" s="102">
        <f t="shared" si="3690"/>
        <v>880000.00000000012</v>
      </c>
      <c r="G6885" s="102">
        <f t="shared" si="3691"/>
        <v>800000</v>
      </c>
      <c r="H6885" s="690" t="s">
        <v>2029</v>
      </c>
      <c r="I6885" s="71" t="s">
        <v>3385</v>
      </c>
      <c r="J6885" s="53">
        <f t="shared" si="3678"/>
        <v>300000</v>
      </c>
      <c r="K6885" s="63">
        <f t="shared" si="3679"/>
        <v>0.37499999999999994</v>
      </c>
      <c r="L6885" s="1212" t="s">
        <v>4097</v>
      </c>
      <c r="M6885" s="468"/>
      <c r="N6885" s="1192">
        <f t="shared" si="3671"/>
        <v>45414</v>
      </c>
      <c r="O6885" s="71" t="s">
        <v>190</v>
      </c>
      <c r="P6885" s="103" t="str">
        <f t="shared" si="3674"/>
        <v>아스테이지(국전)</v>
      </c>
      <c r="Q6885" s="71">
        <f t="shared" si="3675"/>
        <v>10</v>
      </c>
      <c r="R6885" s="102">
        <v>50000</v>
      </c>
      <c r="S6885" s="102">
        <f t="shared" si="3680"/>
        <v>550000</v>
      </c>
      <c r="T6885" s="102">
        <f t="shared" si="3681"/>
        <v>500000</v>
      </c>
      <c r="U6885" s="71" t="str">
        <f t="shared" ref="U6885:U6887" si="3692">IF(J6885=W6885,"O", "X")</f>
        <v>X</v>
      </c>
      <c r="V6885" s="71"/>
      <c r="W6885" s="474">
        <v>500000</v>
      </c>
      <c r="X6885" s="71"/>
      <c r="Y6885" s="71"/>
    </row>
    <row r="6886" spans="1:25" ht="30" hidden="1" customHeight="1" x14ac:dyDescent="0.25">
      <c r="A6886" s="1145">
        <v>45416</v>
      </c>
      <c r="B6886" s="664" t="s">
        <v>2798</v>
      </c>
      <c r="C6886" s="71" t="s">
        <v>167</v>
      </c>
      <c r="D6886" s="71">
        <v>10</v>
      </c>
      <c r="E6886" s="102">
        <v>138000</v>
      </c>
      <c r="F6886" s="102">
        <f t="shared" si="3690"/>
        <v>1518000.0000000002</v>
      </c>
      <c r="G6886" s="102">
        <f t="shared" si="3691"/>
        <v>1380000</v>
      </c>
      <c r="H6886" s="690" t="s">
        <v>172</v>
      </c>
      <c r="I6886" s="71" t="s">
        <v>33</v>
      </c>
      <c r="J6886" s="53">
        <f t="shared" si="3678"/>
        <v>460000</v>
      </c>
      <c r="K6886" s="63">
        <f t="shared" si="3679"/>
        <v>0.33333333333333326</v>
      </c>
      <c r="L6886" s="1212" t="s">
        <v>4097</v>
      </c>
      <c r="M6886" s="468" t="s">
        <v>4114</v>
      </c>
      <c r="N6886" s="1192">
        <f t="shared" si="3671"/>
        <v>45416</v>
      </c>
      <c r="O6886" s="71" t="s">
        <v>146</v>
      </c>
      <c r="P6886" s="103" t="str">
        <f t="shared" si="3674"/>
        <v>Blanket(1060*860)</v>
      </c>
      <c r="Q6886" s="71">
        <f t="shared" si="3675"/>
        <v>10</v>
      </c>
      <c r="R6886" s="102">
        <v>92000</v>
      </c>
      <c r="S6886" s="102">
        <f t="shared" si="3680"/>
        <v>1012000.0000000001</v>
      </c>
      <c r="T6886" s="102">
        <f t="shared" si="3681"/>
        <v>920000</v>
      </c>
      <c r="U6886" s="71" t="str">
        <f t="shared" si="3692"/>
        <v>X</v>
      </c>
      <c r="V6886" s="71"/>
      <c r="W6886" s="474"/>
      <c r="X6886" s="71"/>
      <c r="Y6886" s="71"/>
    </row>
    <row r="6887" spans="1:25" ht="31.5" hidden="1" customHeight="1" x14ac:dyDescent="0.25">
      <c r="A6887" s="1145">
        <v>45429</v>
      </c>
      <c r="B6887" s="664" t="s">
        <v>545</v>
      </c>
      <c r="C6887" s="71" t="s">
        <v>911</v>
      </c>
      <c r="D6887" s="71">
        <v>1</v>
      </c>
      <c r="E6887" s="102">
        <v>250000</v>
      </c>
      <c r="F6887" s="102">
        <f t="shared" si="3690"/>
        <v>275000</v>
      </c>
      <c r="G6887" s="102">
        <f t="shared" si="3691"/>
        <v>250000</v>
      </c>
      <c r="H6887" s="690" t="s">
        <v>173</v>
      </c>
      <c r="I6887" s="71" t="s">
        <v>2231</v>
      </c>
      <c r="J6887" s="53">
        <f t="shared" si="3678"/>
        <v>175000</v>
      </c>
      <c r="K6887" s="63">
        <f t="shared" si="3679"/>
        <v>0.7</v>
      </c>
      <c r="L6887" s="1212" t="s">
        <v>4097</v>
      </c>
      <c r="M6887" s="468"/>
      <c r="N6887" s="1192">
        <f t="shared" ref="N6887:N6912" si="3693">A6887</f>
        <v>45429</v>
      </c>
      <c r="O6887" s="71" t="s">
        <v>994</v>
      </c>
      <c r="P6887" s="103" t="str">
        <f t="shared" si="3674"/>
        <v>콤푸레샤 에어필터</v>
      </c>
      <c r="Q6887" s="71">
        <f t="shared" si="3675"/>
        <v>1</v>
      </c>
      <c r="R6887" s="102">
        <v>75000</v>
      </c>
      <c r="S6887" s="102">
        <f t="shared" si="3680"/>
        <v>82500</v>
      </c>
      <c r="T6887" s="102">
        <f t="shared" si="3681"/>
        <v>75000</v>
      </c>
      <c r="U6887" s="71" t="str">
        <f t="shared" si="3692"/>
        <v>O</v>
      </c>
      <c r="V6887" s="71"/>
      <c r="W6887" s="474">
        <f>(G6887-T6887)</f>
        <v>175000</v>
      </c>
      <c r="X6887" s="71"/>
      <c r="Y6887" s="71"/>
    </row>
    <row r="6888" spans="1:25" ht="30" hidden="1" customHeight="1" x14ac:dyDescent="0.25">
      <c r="A6888" s="1145">
        <v>45434</v>
      </c>
      <c r="B6888" s="664" t="s">
        <v>2798</v>
      </c>
      <c r="C6888" s="71" t="s">
        <v>167</v>
      </c>
      <c r="D6888" s="71">
        <v>10</v>
      </c>
      <c r="E6888" s="102">
        <v>138000</v>
      </c>
      <c r="F6888" s="102">
        <f t="shared" ref="F6888:F6898" si="3694">(E6888*D6888)*1.1</f>
        <v>1518000.0000000002</v>
      </c>
      <c r="G6888" s="102">
        <f t="shared" ref="G6888:G6898" si="3695">(E6888*D6888)</f>
        <v>1380000</v>
      </c>
      <c r="H6888" s="690" t="s">
        <v>172</v>
      </c>
      <c r="I6888" s="71" t="s">
        <v>33</v>
      </c>
      <c r="J6888" s="53">
        <f t="shared" si="3678"/>
        <v>460000</v>
      </c>
      <c r="K6888" s="63">
        <f t="shared" si="3679"/>
        <v>0.33333333333333326</v>
      </c>
      <c r="L6888" s="1212" t="s">
        <v>4097</v>
      </c>
      <c r="M6888" s="468" t="s">
        <v>4114</v>
      </c>
      <c r="N6888" s="1192">
        <f t="shared" si="3693"/>
        <v>45434</v>
      </c>
      <c r="O6888" s="71" t="s">
        <v>146</v>
      </c>
      <c r="P6888" s="103" t="str">
        <f t="shared" ref="P6888:P6898" si="3696">(C6888)</f>
        <v>Blanket(1060*860)</v>
      </c>
      <c r="Q6888" s="71">
        <f t="shared" ref="Q6888:Q6898" si="3697">D6888</f>
        <v>10</v>
      </c>
      <c r="R6888" s="102">
        <v>92000</v>
      </c>
      <c r="S6888" s="102">
        <f t="shared" si="3680"/>
        <v>1012000.0000000001</v>
      </c>
      <c r="T6888" s="102">
        <f t="shared" si="3681"/>
        <v>920000</v>
      </c>
      <c r="U6888" s="71" t="str">
        <f t="shared" ref="U6888:U6889" si="3698">IF(J6888=W6888,"O", "X")</f>
        <v>X</v>
      </c>
      <c r="V6888" s="71"/>
      <c r="W6888" s="474"/>
      <c r="X6888" s="71"/>
      <c r="Y6888" s="71"/>
    </row>
    <row r="6889" spans="1:25" ht="30" hidden="1" customHeight="1" x14ac:dyDescent="0.25">
      <c r="A6889" s="1145">
        <v>45437</v>
      </c>
      <c r="B6889" s="664" t="s">
        <v>2798</v>
      </c>
      <c r="C6889" s="71" t="s">
        <v>167</v>
      </c>
      <c r="D6889" s="71">
        <v>10</v>
      </c>
      <c r="E6889" s="102">
        <v>138000</v>
      </c>
      <c r="F6889" s="102">
        <f t="shared" si="3694"/>
        <v>1518000.0000000002</v>
      </c>
      <c r="G6889" s="102">
        <f t="shared" si="3695"/>
        <v>1380000</v>
      </c>
      <c r="H6889" s="690" t="s">
        <v>172</v>
      </c>
      <c r="I6889" s="71" t="s">
        <v>33</v>
      </c>
      <c r="J6889" s="53">
        <f t="shared" ref="J6889" si="3699">G6889-T6889</f>
        <v>460000</v>
      </c>
      <c r="K6889" s="63">
        <f t="shared" ref="K6889" si="3700">(J6889/(F6889/11*10))</f>
        <v>0.33333333333333326</v>
      </c>
      <c r="L6889" s="1212" t="s">
        <v>4097</v>
      </c>
      <c r="M6889" s="468" t="s">
        <v>4114</v>
      </c>
      <c r="N6889" s="1192">
        <f t="shared" si="3693"/>
        <v>45437</v>
      </c>
      <c r="O6889" s="71" t="s">
        <v>146</v>
      </c>
      <c r="P6889" s="103" t="str">
        <f t="shared" si="3696"/>
        <v>Blanket(1060*860)</v>
      </c>
      <c r="Q6889" s="71">
        <f t="shared" si="3697"/>
        <v>10</v>
      </c>
      <c r="R6889" s="102">
        <v>92000</v>
      </c>
      <c r="S6889" s="102">
        <f t="shared" ref="S6889:S6898" si="3701">R6889*Q6889*1.1</f>
        <v>1012000.0000000001</v>
      </c>
      <c r="T6889" s="102">
        <f t="shared" ref="T6889:T6898" si="3702">R6889*Q6889</f>
        <v>920000</v>
      </c>
      <c r="U6889" s="71" t="str">
        <f t="shared" si="3698"/>
        <v>X</v>
      </c>
      <c r="V6889" s="71"/>
      <c r="W6889" s="474"/>
      <c r="X6889" s="71"/>
      <c r="Y6889" s="71"/>
    </row>
    <row r="6890" spans="1:25" ht="30" hidden="1" customHeight="1" x14ac:dyDescent="0.25">
      <c r="A6890" s="1145">
        <v>45414</v>
      </c>
      <c r="B6890" s="664" t="s">
        <v>2155</v>
      </c>
      <c r="C6890" s="71" t="s">
        <v>4105</v>
      </c>
      <c r="D6890" s="71">
        <v>1</v>
      </c>
      <c r="E6890" s="102">
        <v>53900000</v>
      </c>
      <c r="F6890" s="102">
        <f t="shared" si="3694"/>
        <v>59290000.000000007</v>
      </c>
      <c r="G6890" s="102">
        <f t="shared" si="3695"/>
        <v>53900000</v>
      </c>
      <c r="H6890" s="690" t="s">
        <v>1431</v>
      </c>
      <c r="I6890" s="71" t="s">
        <v>1431</v>
      </c>
      <c r="J6890" s="53">
        <f t="shared" ref="J6890" si="3703">G6890-T6890</f>
        <v>16841300</v>
      </c>
      <c r="K6890" s="63">
        <f t="shared" ref="K6890" si="3704">(J6890/(F6890/11*10))</f>
        <v>0.31245454545454543</v>
      </c>
      <c r="L6890" s="1212" t="s">
        <v>4097</v>
      </c>
      <c r="M6890" s="102"/>
      <c r="N6890" s="1192">
        <f t="shared" si="3693"/>
        <v>45414</v>
      </c>
      <c r="O6890" s="71" t="s">
        <v>1431</v>
      </c>
      <c r="P6890" s="103" t="str">
        <f t="shared" si="3696"/>
        <v>잉크키모터업그레이드중도금+잔금</v>
      </c>
      <c r="Q6890" s="71">
        <f t="shared" si="3697"/>
        <v>1</v>
      </c>
      <c r="R6890" s="102">
        <v>37058700</v>
      </c>
      <c r="S6890" s="102">
        <f t="shared" si="3701"/>
        <v>40764570</v>
      </c>
      <c r="T6890" s="102">
        <f t="shared" si="3702"/>
        <v>37058700</v>
      </c>
      <c r="U6890" s="71"/>
      <c r="V6890" s="71"/>
      <c r="W6890" s="474"/>
      <c r="X6890" s="71"/>
      <c r="Y6890" s="71"/>
    </row>
    <row r="6891" spans="1:25" ht="30" hidden="1" customHeight="1" x14ac:dyDescent="0.25">
      <c r="A6891" s="1145">
        <v>45413</v>
      </c>
      <c r="B6891" s="664" t="s">
        <v>3830</v>
      </c>
      <c r="C6891" s="71" t="s">
        <v>2577</v>
      </c>
      <c r="D6891" s="71">
        <v>1940</v>
      </c>
      <c r="E6891" s="102">
        <v>1450</v>
      </c>
      <c r="F6891" s="102">
        <f t="shared" si="3694"/>
        <v>3094300.0000000005</v>
      </c>
      <c r="G6891" s="102">
        <f t="shared" si="3695"/>
        <v>2813000</v>
      </c>
      <c r="H6891" s="690" t="s">
        <v>2029</v>
      </c>
      <c r="I6891" s="71" t="s">
        <v>2273</v>
      </c>
      <c r="J6891" s="53">
        <f t="shared" ref="J6891" si="3705">G6891-T6891</f>
        <v>2813000</v>
      </c>
      <c r="K6891" s="63">
        <f t="shared" ref="K6891" si="3706">(J6891/(F6891/11*10))</f>
        <v>0.99999999999999989</v>
      </c>
      <c r="L6891" s="1212" t="s">
        <v>4097</v>
      </c>
      <c r="M6891" s="468"/>
      <c r="N6891" s="1192">
        <f t="shared" si="3693"/>
        <v>45413</v>
      </c>
      <c r="O6891" s="71"/>
      <c r="P6891" s="103" t="str">
        <f t="shared" si="3696"/>
        <v>CTP 폐판</v>
      </c>
      <c r="Q6891" s="71">
        <f t="shared" si="3697"/>
        <v>1940</v>
      </c>
      <c r="R6891" s="147"/>
      <c r="S6891" s="102">
        <f t="shared" si="3701"/>
        <v>0</v>
      </c>
      <c r="T6891" s="102">
        <f t="shared" si="3702"/>
        <v>0</v>
      </c>
      <c r="U6891" s="71"/>
      <c r="V6891" s="71"/>
      <c r="W6891" s="474"/>
      <c r="X6891" s="71"/>
      <c r="Y6891" s="71"/>
    </row>
    <row r="6892" spans="1:25" ht="30" hidden="1" customHeight="1" x14ac:dyDescent="0.25">
      <c r="A6892" s="1145">
        <v>45434</v>
      </c>
      <c r="B6892" s="664" t="s">
        <v>1263</v>
      </c>
      <c r="C6892" s="71" t="s">
        <v>123</v>
      </c>
      <c r="D6892" s="71">
        <v>5</v>
      </c>
      <c r="E6892" s="102">
        <v>25000</v>
      </c>
      <c r="F6892" s="102">
        <f t="shared" si="3694"/>
        <v>137500</v>
      </c>
      <c r="G6892" s="102">
        <f t="shared" si="3695"/>
        <v>125000</v>
      </c>
      <c r="H6892" s="690" t="s">
        <v>142</v>
      </c>
      <c r="I6892" s="71" t="s">
        <v>179</v>
      </c>
      <c r="J6892" s="53"/>
      <c r="K6892" s="63"/>
      <c r="L6892" s="1212" t="s">
        <v>4097</v>
      </c>
      <c r="M6892" s="102"/>
      <c r="N6892" s="1192">
        <f t="shared" si="3693"/>
        <v>45434</v>
      </c>
      <c r="O6892" s="71" t="s">
        <v>94</v>
      </c>
      <c r="P6892" s="103" t="str">
        <f t="shared" si="3696"/>
        <v>필터백</v>
      </c>
      <c r="Q6892" s="71">
        <f t="shared" si="3697"/>
        <v>5</v>
      </c>
      <c r="R6892" s="102">
        <v>24000</v>
      </c>
      <c r="S6892" s="102">
        <f t="shared" si="3701"/>
        <v>132000</v>
      </c>
      <c r="T6892" s="102">
        <f t="shared" si="3702"/>
        <v>120000</v>
      </c>
      <c r="U6892" s="71"/>
      <c r="V6892" s="71"/>
      <c r="W6892" s="474"/>
      <c r="X6892" s="71"/>
      <c r="Y6892" s="71"/>
    </row>
    <row r="6893" spans="1:25" ht="30" hidden="1" customHeight="1" x14ac:dyDescent="0.25">
      <c r="A6893" s="1145">
        <v>45426</v>
      </c>
      <c r="B6893" s="664" t="s">
        <v>575</v>
      </c>
      <c r="C6893" s="71" t="s">
        <v>4107</v>
      </c>
      <c r="D6893" s="71">
        <v>4</v>
      </c>
      <c r="E6893" s="102">
        <v>120000</v>
      </c>
      <c r="F6893" s="102">
        <f t="shared" si="3694"/>
        <v>528000</v>
      </c>
      <c r="G6893" s="102">
        <f t="shared" si="3695"/>
        <v>480000</v>
      </c>
      <c r="H6893" s="690" t="s">
        <v>1431</v>
      </c>
      <c r="I6893" s="71" t="s">
        <v>1431</v>
      </c>
      <c r="J6893" s="53">
        <f t="shared" ref="J6893:J6897" si="3707">G6893-T6893</f>
        <v>272384</v>
      </c>
      <c r="K6893" s="63">
        <f t="shared" ref="K6893:K6897" si="3708">(J6893/(F6893/11*10))</f>
        <v>0.56746666666666667</v>
      </c>
      <c r="L6893" s="1212" t="s">
        <v>4097</v>
      </c>
      <c r="M6893" s="468"/>
      <c r="N6893" s="1192">
        <f t="shared" si="3693"/>
        <v>45426</v>
      </c>
      <c r="O6893" s="71" t="s">
        <v>1431</v>
      </c>
      <c r="P6893" s="103" t="str">
        <f t="shared" si="3696"/>
        <v>가스 스프링 (쇼바)</v>
      </c>
      <c r="Q6893" s="71">
        <f t="shared" si="3697"/>
        <v>4</v>
      </c>
      <c r="R6893" s="147">
        <v>51904</v>
      </c>
      <c r="S6893" s="102">
        <f t="shared" si="3701"/>
        <v>228377.60000000001</v>
      </c>
      <c r="T6893" s="102">
        <f t="shared" si="3702"/>
        <v>207616</v>
      </c>
      <c r="U6893" s="71"/>
      <c r="V6893" s="71"/>
      <c r="W6893" s="474"/>
      <c r="X6893" s="71"/>
      <c r="Y6893" s="71"/>
    </row>
    <row r="6894" spans="1:25" ht="30" hidden="1" customHeight="1" x14ac:dyDescent="0.25">
      <c r="A6894" s="1145">
        <v>45426</v>
      </c>
      <c r="B6894" s="664" t="s">
        <v>575</v>
      </c>
      <c r="C6894" s="71" t="s">
        <v>4106</v>
      </c>
      <c r="D6894" s="71">
        <v>4</v>
      </c>
      <c r="E6894" s="102">
        <v>205000</v>
      </c>
      <c r="F6894" s="102">
        <f t="shared" si="3694"/>
        <v>902000.00000000012</v>
      </c>
      <c r="G6894" s="102">
        <f t="shared" si="3695"/>
        <v>820000</v>
      </c>
      <c r="H6894" s="690" t="s">
        <v>1431</v>
      </c>
      <c r="I6894" s="71" t="s">
        <v>1431</v>
      </c>
      <c r="J6894" s="53">
        <f t="shared" si="3707"/>
        <v>57824</v>
      </c>
      <c r="K6894" s="63">
        <f t="shared" si="3708"/>
        <v>7.0517073170731692E-2</v>
      </c>
      <c r="L6894" s="1212" t="s">
        <v>4097</v>
      </c>
      <c r="M6894" s="102"/>
      <c r="N6894" s="1192">
        <f t="shared" si="3693"/>
        <v>45426</v>
      </c>
      <c r="O6894" s="71" t="s">
        <v>1431</v>
      </c>
      <c r="P6894" s="103" t="str">
        <f t="shared" si="3696"/>
        <v>가스 스프링(쇼바 대)</v>
      </c>
      <c r="Q6894" s="71">
        <f t="shared" si="3697"/>
        <v>4</v>
      </c>
      <c r="R6894" s="102">
        <v>190544</v>
      </c>
      <c r="S6894" s="102">
        <f t="shared" si="3701"/>
        <v>838393.60000000009</v>
      </c>
      <c r="T6894" s="102">
        <f t="shared" si="3702"/>
        <v>762176</v>
      </c>
      <c r="U6894" s="71"/>
      <c r="V6894" s="71"/>
      <c r="W6894" s="474"/>
      <c r="X6894" s="71"/>
      <c r="Y6894" s="71"/>
    </row>
    <row r="6895" spans="1:25" ht="30" hidden="1" customHeight="1" x14ac:dyDescent="0.25">
      <c r="A6895" s="1145">
        <v>45426</v>
      </c>
      <c r="B6895" s="664" t="s">
        <v>575</v>
      </c>
      <c r="C6895" s="71" t="s">
        <v>4108</v>
      </c>
      <c r="D6895" s="71">
        <v>100</v>
      </c>
      <c r="E6895" s="102">
        <v>19000</v>
      </c>
      <c r="F6895" s="102">
        <f t="shared" si="3694"/>
        <v>2090000.0000000002</v>
      </c>
      <c r="G6895" s="102">
        <f t="shared" si="3695"/>
        <v>1900000</v>
      </c>
      <c r="H6895" s="690" t="s">
        <v>1431</v>
      </c>
      <c r="I6895" s="71" t="s">
        <v>1431</v>
      </c>
      <c r="J6895" s="53">
        <f t="shared" si="3707"/>
        <v>695600</v>
      </c>
      <c r="K6895" s="63">
        <f t="shared" si="3708"/>
        <v>0.36610526315789471</v>
      </c>
      <c r="L6895" s="1212" t="s">
        <v>4097</v>
      </c>
      <c r="M6895" s="468"/>
      <c r="N6895" s="1192">
        <f t="shared" si="3693"/>
        <v>45426</v>
      </c>
      <c r="O6895" s="71" t="s">
        <v>1431</v>
      </c>
      <c r="P6895" s="103" t="str">
        <f t="shared" si="3696"/>
        <v>스트리퍼 (대)</v>
      </c>
      <c r="Q6895" s="71">
        <f t="shared" si="3697"/>
        <v>100</v>
      </c>
      <c r="R6895" s="147">
        <v>12044</v>
      </c>
      <c r="S6895" s="102">
        <f t="shared" si="3701"/>
        <v>1324840</v>
      </c>
      <c r="T6895" s="102">
        <f t="shared" si="3702"/>
        <v>1204400</v>
      </c>
      <c r="U6895" s="71"/>
      <c r="V6895" s="71"/>
      <c r="W6895" s="474"/>
      <c r="X6895" s="71"/>
      <c r="Y6895" s="71"/>
    </row>
    <row r="6896" spans="1:25" ht="30" hidden="1" customHeight="1" x14ac:dyDescent="0.25">
      <c r="A6896" s="1145">
        <v>45426</v>
      </c>
      <c r="B6896" s="664" t="s">
        <v>575</v>
      </c>
      <c r="C6896" s="71" t="s">
        <v>4109</v>
      </c>
      <c r="D6896" s="71">
        <v>50</v>
      </c>
      <c r="E6896" s="102">
        <v>19000</v>
      </c>
      <c r="F6896" s="102">
        <f t="shared" si="3694"/>
        <v>1045000.0000000001</v>
      </c>
      <c r="G6896" s="102">
        <f t="shared" si="3695"/>
        <v>950000</v>
      </c>
      <c r="H6896" s="690" t="s">
        <v>1431</v>
      </c>
      <c r="I6896" s="71" t="s">
        <v>1431</v>
      </c>
      <c r="J6896" s="53">
        <f t="shared" si="3707"/>
        <v>347800</v>
      </c>
      <c r="K6896" s="63">
        <f t="shared" si="3708"/>
        <v>0.36610526315789471</v>
      </c>
      <c r="L6896" s="1212" t="s">
        <v>4097</v>
      </c>
      <c r="M6896" s="102"/>
      <c r="N6896" s="1192">
        <f t="shared" si="3693"/>
        <v>45426</v>
      </c>
      <c r="O6896" s="71" t="s">
        <v>1431</v>
      </c>
      <c r="P6896" s="103" t="str">
        <f t="shared" si="3696"/>
        <v>스트리퍼 (소)</v>
      </c>
      <c r="Q6896" s="71">
        <f t="shared" si="3697"/>
        <v>50</v>
      </c>
      <c r="R6896" s="102">
        <v>12044</v>
      </c>
      <c r="S6896" s="102">
        <f t="shared" si="3701"/>
        <v>662420</v>
      </c>
      <c r="T6896" s="102">
        <f t="shared" si="3702"/>
        <v>602200</v>
      </c>
      <c r="U6896" s="71"/>
      <c r="V6896" s="71"/>
      <c r="W6896" s="474"/>
      <c r="X6896" s="71"/>
      <c r="Y6896" s="71"/>
    </row>
    <row r="6897" spans="1:25" ht="30" hidden="1" customHeight="1" x14ac:dyDescent="0.25">
      <c r="A6897" s="1145">
        <v>45419</v>
      </c>
      <c r="B6897" s="664" t="s">
        <v>1155</v>
      </c>
      <c r="C6897" s="71" t="s">
        <v>4110</v>
      </c>
      <c r="D6897" s="71">
        <v>1</v>
      </c>
      <c r="E6897" s="102">
        <v>3600000</v>
      </c>
      <c r="F6897" s="102">
        <f t="shared" si="3694"/>
        <v>3960000.0000000005</v>
      </c>
      <c r="G6897" s="102">
        <f t="shared" si="3695"/>
        <v>3600000</v>
      </c>
      <c r="H6897" s="690" t="s">
        <v>281</v>
      </c>
      <c r="I6897" s="71" t="s">
        <v>281</v>
      </c>
      <c r="J6897" s="53">
        <f t="shared" si="3707"/>
        <v>600000</v>
      </c>
      <c r="K6897" s="63">
        <f t="shared" si="3708"/>
        <v>0.16666666666666666</v>
      </c>
      <c r="L6897" s="1212" t="s">
        <v>4097</v>
      </c>
      <c r="M6897" s="468"/>
      <c r="N6897" s="1192">
        <f t="shared" si="3693"/>
        <v>45419</v>
      </c>
      <c r="O6897" s="71"/>
      <c r="P6897" s="103" t="str">
        <f t="shared" si="3696"/>
        <v>M600 콘티웹 엔지니어 Mark 서비스비용</v>
      </c>
      <c r="Q6897" s="71">
        <f t="shared" si="3697"/>
        <v>1</v>
      </c>
      <c r="R6897" s="147">
        <v>3000000</v>
      </c>
      <c r="S6897" s="102">
        <f t="shared" si="3701"/>
        <v>3300000.0000000005</v>
      </c>
      <c r="T6897" s="102">
        <f t="shared" si="3702"/>
        <v>3000000</v>
      </c>
      <c r="U6897" s="71"/>
      <c r="V6897" s="71"/>
      <c r="W6897" s="474"/>
      <c r="X6897" s="71"/>
      <c r="Y6897" s="71"/>
    </row>
    <row r="6898" spans="1:25" ht="30" hidden="1" customHeight="1" x14ac:dyDescent="0.25">
      <c r="A6898" s="1145">
        <v>45413</v>
      </c>
      <c r="B6898" s="664" t="s">
        <v>2155</v>
      </c>
      <c r="C6898" s="71" t="s">
        <v>4111</v>
      </c>
      <c r="D6898" s="71">
        <v>2</v>
      </c>
      <c r="E6898" s="102">
        <v>105000</v>
      </c>
      <c r="F6898" s="102">
        <f t="shared" si="3694"/>
        <v>231000.00000000003</v>
      </c>
      <c r="G6898" s="102">
        <f t="shared" si="3695"/>
        <v>210000</v>
      </c>
      <c r="H6898" s="690" t="s">
        <v>2029</v>
      </c>
      <c r="I6898" s="71" t="s">
        <v>2231</v>
      </c>
      <c r="J6898" s="53">
        <f t="shared" ref="J6898" si="3709">G6898-T6898</f>
        <v>20000</v>
      </c>
      <c r="K6898" s="63">
        <f t="shared" ref="K6898" si="3710">(J6898/(F6898/11*10))</f>
        <v>9.5238095238095219E-2</v>
      </c>
      <c r="L6898" s="1212" t="s">
        <v>4097</v>
      </c>
      <c r="M6898" s="102"/>
      <c r="N6898" s="1192">
        <f t="shared" si="3693"/>
        <v>45413</v>
      </c>
      <c r="O6898" s="71" t="s">
        <v>2030</v>
      </c>
      <c r="P6898" s="103" t="str">
        <f t="shared" si="3696"/>
        <v>매엽 아스테이지</v>
      </c>
      <c r="Q6898" s="71">
        <f t="shared" si="3697"/>
        <v>2</v>
      </c>
      <c r="R6898" s="102">
        <v>95000</v>
      </c>
      <c r="S6898" s="102">
        <f t="shared" si="3701"/>
        <v>209000.00000000003</v>
      </c>
      <c r="T6898" s="102">
        <f t="shared" si="3702"/>
        <v>190000</v>
      </c>
      <c r="U6898" s="71"/>
      <c r="V6898" s="71"/>
      <c r="W6898" s="474"/>
      <c r="X6898" s="71"/>
      <c r="Y6898" s="71"/>
    </row>
    <row r="6899" spans="1:25" ht="30" hidden="1" customHeight="1" x14ac:dyDescent="0.25">
      <c r="A6899" s="1210" t="s">
        <v>4120</v>
      </c>
      <c r="B6899" s="1211" t="s">
        <v>544</v>
      </c>
      <c r="C6899" s="960"/>
      <c r="D6899" s="960"/>
      <c r="E6899" s="952"/>
      <c r="F6899" s="952"/>
      <c r="G6899" s="952"/>
      <c r="H6899" s="1206"/>
      <c r="I6899" s="960"/>
      <c r="J6899" s="952"/>
      <c r="K6899" s="953"/>
      <c r="L6899" s="1212" t="s">
        <v>4122</v>
      </c>
      <c r="M6899" s="1207"/>
      <c r="N6899" s="1208" t="str">
        <f t="shared" si="3693"/>
        <v>2024,6</v>
      </c>
      <c r="O6899" s="960"/>
      <c r="P6899" s="1209"/>
      <c r="Q6899" s="960"/>
      <c r="R6899" s="952"/>
      <c r="S6899" s="952"/>
      <c r="T6899" s="952"/>
      <c r="U6899" s="960"/>
      <c r="V6899" s="960"/>
      <c r="W6899" s="474">
        <f>(G6899-T6899)</f>
        <v>0</v>
      </c>
      <c r="X6899" s="71"/>
      <c r="Y6899" s="71"/>
    </row>
    <row r="6900" spans="1:25" ht="30" customHeight="1" x14ac:dyDescent="0.25">
      <c r="A6900" s="1145">
        <v>45468</v>
      </c>
      <c r="B6900" s="664" t="s">
        <v>641</v>
      </c>
      <c r="C6900" s="71" t="s">
        <v>3293</v>
      </c>
      <c r="D6900" s="71">
        <v>60</v>
      </c>
      <c r="E6900" s="102">
        <v>84000</v>
      </c>
      <c r="F6900" s="102">
        <f t="shared" ref="F6900:F6912" si="3711">(E6900*D6900)*1.1</f>
        <v>5544000</v>
      </c>
      <c r="G6900" s="102">
        <f t="shared" ref="G6900:G6912" si="3712">(E6900*D6900)</f>
        <v>5040000</v>
      </c>
      <c r="H6900" s="690" t="s">
        <v>172</v>
      </c>
      <c r="I6900" s="71" t="s">
        <v>38</v>
      </c>
      <c r="J6900" s="53">
        <f t="shared" ref="J6900:J6912" si="3713">G6900-T6900</f>
        <v>1980000</v>
      </c>
      <c r="K6900" s="63">
        <f t="shared" ref="K6900:K6912" si="3714">(J6900/(F6900/11*10))</f>
        <v>0.39285714285714285</v>
      </c>
      <c r="L6900" s="1212" t="s">
        <v>4122</v>
      </c>
      <c r="M6900" s="468"/>
      <c r="N6900" s="1192">
        <f t="shared" si="3693"/>
        <v>45468</v>
      </c>
      <c r="O6900" s="71" t="s">
        <v>3291</v>
      </c>
      <c r="P6900" s="103" t="str">
        <f t="shared" ref="P6900:P6912" si="3715">(C6900)</f>
        <v>GOSS 신문윤전 습식세정포</v>
      </c>
      <c r="Q6900" s="71">
        <f t="shared" ref="Q6900:Q6910" si="3716">D6900</f>
        <v>60</v>
      </c>
      <c r="R6900" s="102">
        <v>51000</v>
      </c>
      <c r="S6900" s="102">
        <f t="shared" ref="S6900:S6912" si="3717">R6900*Q6900*1.1</f>
        <v>3366000.0000000005</v>
      </c>
      <c r="T6900" s="102">
        <f t="shared" ref="T6900:T6912" si="3718">R6900*Q6900</f>
        <v>3060000</v>
      </c>
      <c r="U6900" s="71" t="str">
        <f>IF(J6900=W6900,"O", "X")</f>
        <v>X</v>
      </c>
      <c r="V6900" s="71"/>
      <c r="W6900" s="474"/>
      <c r="X6900" s="71"/>
      <c r="Y6900" s="71"/>
    </row>
    <row r="6901" spans="1:25" ht="30" customHeight="1" x14ac:dyDescent="0.25">
      <c r="A6901" s="1145">
        <v>45455</v>
      </c>
      <c r="B6901" s="664" t="s">
        <v>2352</v>
      </c>
      <c r="C6901" s="760" t="s">
        <v>218</v>
      </c>
      <c r="D6901" s="71">
        <v>2</v>
      </c>
      <c r="E6901" s="102">
        <v>286000</v>
      </c>
      <c r="F6901" s="102">
        <f t="shared" si="3711"/>
        <v>629200</v>
      </c>
      <c r="G6901" s="102">
        <f t="shared" si="3712"/>
        <v>572000</v>
      </c>
      <c r="H6901" s="690" t="s">
        <v>142</v>
      </c>
      <c r="I6901" s="71" t="s">
        <v>179</v>
      </c>
      <c r="J6901" s="53">
        <f t="shared" si="3713"/>
        <v>324000</v>
      </c>
      <c r="K6901" s="63">
        <f t="shared" si="3714"/>
        <v>0.56643356643356646</v>
      </c>
      <c r="L6901" s="1212" t="s">
        <v>4121</v>
      </c>
      <c r="M6901" s="468" t="s">
        <v>2053</v>
      </c>
      <c r="N6901" s="1192">
        <f t="shared" si="3693"/>
        <v>45455</v>
      </c>
      <c r="O6901" s="71" t="s">
        <v>150</v>
      </c>
      <c r="P6901" s="103" t="str">
        <f t="shared" si="3715"/>
        <v>Fount Web 551AF</v>
      </c>
      <c r="Q6901" s="71">
        <f t="shared" si="3716"/>
        <v>2</v>
      </c>
      <c r="R6901" s="102">
        <v>124000</v>
      </c>
      <c r="S6901" s="102">
        <f t="shared" si="3717"/>
        <v>272800</v>
      </c>
      <c r="T6901" s="102">
        <f t="shared" si="3718"/>
        <v>248000</v>
      </c>
      <c r="U6901" s="71" t="str">
        <f>IF(J6901=W6901,"O", "X")</f>
        <v>O</v>
      </c>
      <c r="V6901" s="71"/>
      <c r="W6901" s="474">
        <f>(G6901-T6901)</f>
        <v>324000</v>
      </c>
      <c r="X6901" s="71"/>
      <c r="Y6901" s="71"/>
    </row>
    <row r="6902" spans="1:25" ht="30" customHeight="1" x14ac:dyDescent="0.25">
      <c r="A6902" s="1145">
        <v>45455</v>
      </c>
      <c r="B6902" s="664" t="s">
        <v>2352</v>
      </c>
      <c r="C6902" s="71" t="s">
        <v>692</v>
      </c>
      <c r="D6902" s="71">
        <v>2</v>
      </c>
      <c r="E6902" s="102">
        <v>264000</v>
      </c>
      <c r="F6902" s="102">
        <f t="shared" si="3711"/>
        <v>580800</v>
      </c>
      <c r="G6902" s="102">
        <f t="shared" si="3712"/>
        <v>528000</v>
      </c>
      <c r="H6902" s="690" t="s">
        <v>142</v>
      </c>
      <c r="I6902" s="71" t="s">
        <v>179</v>
      </c>
      <c r="J6902" s="53">
        <f t="shared" si="3713"/>
        <v>195000</v>
      </c>
      <c r="K6902" s="63">
        <f t="shared" si="3714"/>
        <v>0.36931818181818182</v>
      </c>
      <c r="L6902" s="1212" t="s">
        <v>4121</v>
      </c>
      <c r="M6902" s="468" t="s">
        <v>2052</v>
      </c>
      <c r="N6902" s="1192">
        <f t="shared" si="3693"/>
        <v>45455</v>
      </c>
      <c r="O6902" s="71" t="s">
        <v>150</v>
      </c>
      <c r="P6902" s="103" t="str">
        <f t="shared" si="3715"/>
        <v>윤전 블랑켓</v>
      </c>
      <c r="Q6902" s="71">
        <f t="shared" si="3716"/>
        <v>2</v>
      </c>
      <c r="R6902" s="102">
        <v>166500</v>
      </c>
      <c r="S6902" s="102">
        <f t="shared" si="3717"/>
        <v>366300.00000000006</v>
      </c>
      <c r="T6902" s="102">
        <f t="shared" si="3718"/>
        <v>333000</v>
      </c>
      <c r="U6902" s="71" t="str">
        <f>IF(J6902=W6902,"O", "X")</f>
        <v>O</v>
      </c>
      <c r="V6902" s="71" t="s">
        <v>784</v>
      </c>
      <c r="W6902" s="474">
        <f>(G6902-T6902)</f>
        <v>195000</v>
      </c>
      <c r="X6902" s="71"/>
      <c r="Y6902" s="71"/>
    </row>
    <row r="6903" spans="1:25" s="209" customFormat="1" ht="30" customHeight="1" x14ac:dyDescent="0.25">
      <c r="A6903" s="1145">
        <v>45455</v>
      </c>
      <c r="B6903" s="664" t="s">
        <v>2352</v>
      </c>
      <c r="C6903" s="71" t="s">
        <v>583</v>
      </c>
      <c r="D6903" s="71">
        <v>8</v>
      </c>
      <c r="E6903" s="102">
        <v>98000</v>
      </c>
      <c r="F6903" s="102">
        <f t="shared" si="3711"/>
        <v>862400.00000000012</v>
      </c>
      <c r="G6903" s="102">
        <f t="shared" si="3712"/>
        <v>784000</v>
      </c>
      <c r="H6903" s="690" t="s">
        <v>142</v>
      </c>
      <c r="I6903" s="71" t="s">
        <v>142</v>
      </c>
      <c r="J6903" s="53">
        <f t="shared" si="3713"/>
        <v>408000</v>
      </c>
      <c r="K6903" s="63">
        <f t="shared" si="3714"/>
        <v>0.52040816326530603</v>
      </c>
      <c r="L6903" s="1212" t="s">
        <v>4121</v>
      </c>
      <c r="M6903" s="468" t="s">
        <v>2053</v>
      </c>
      <c r="N6903" s="1192">
        <f t="shared" si="3693"/>
        <v>45455</v>
      </c>
      <c r="O6903" s="71" t="s">
        <v>599</v>
      </c>
      <c r="P6903" s="103" t="str">
        <f t="shared" si="3715"/>
        <v>M600 윤전 세정포</v>
      </c>
      <c r="Q6903" s="71">
        <f t="shared" si="3716"/>
        <v>8</v>
      </c>
      <c r="R6903" s="102">
        <v>47000</v>
      </c>
      <c r="S6903" s="102">
        <f t="shared" si="3717"/>
        <v>413600.00000000006</v>
      </c>
      <c r="T6903" s="102">
        <f t="shared" si="3718"/>
        <v>376000</v>
      </c>
      <c r="U6903" s="71" t="str">
        <f>IF(J6903=W6903,"O", "X")</f>
        <v>O</v>
      </c>
      <c r="V6903" s="71"/>
      <c r="W6903" s="474">
        <f>(G6903-T6903)</f>
        <v>408000</v>
      </c>
      <c r="X6903" s="71"/>
      <c r="Y6903" s="71"/>
    </row>
    <row r="6904" spans="1:25" ht="30" customHeight="1" x14ac:dyDescent="0.25">
      <c r="A6904" s="1145">
        <v>45471</v>
      </c>
      <c r="B6904" s="664" t="s">
        <v>2352</v>
      </c>
      <c r="C6904" s="71" t="s">
        <v>3836</v>
      </c>
      <c r="D6904" s="71">
        <v>64</v>
      </c>
      <c r="E6904" s="102">
        <v>18500</v>
      </c>
      <c r="F6904" s="102">
        <f t="shared" si="3711"/>
        <v>1302400</v>
      </c>
      <c r="G6904" s="102">
        <f t="shared" si="3712"/>
        <v>1184000</v>
      </c>
      <c r="H6904" s="690" t="s">
        <v>179</v>
      </c>
      <c r="I6904" s="71" t="s">
        <v>179</v>
      </c>
      <c r="J6904" s="53">
        <f t="shared" si="3713"/>
        <v>474624</v>
      </c>
      <c r="K6904" s="63">
        <f t="shared" si="3714"/>
        <v>0.40086486486486489</v>
      </c>
      <c r="L6904" s="1212" t="s">
        <v>4121</v>
      </c>
      <c r="M6904" s="468"/>
      <c r="N6904" s="1192">
        <f t="shared" si="3693"/>
        <v>45471</v>
      </c>
      <c r="O6904" s="71"/>
      <c r="P6904" s="103" t="str">
        <f t="shared" si="3715"/>
        <v>고모리 윤전 블랑켓 건식 세정포 - 국전용</v>
      </c>
      <c r="Q6904" s="71">
        <f t="shared" si="3716"/>
        <v>64</v>
      </c>
      <c r="R6904" s="102">
        <v>11084</v>
      </c>
      <c r="S6904" s="102">
        <f t="shared" si="3717"/>
        <v>780313.60000000009</v>
      </c>
      <c r="T6904" s="102">
        <f t="shared" si="3718"/>
        <v>709376</v>
      </c>
      <c r="U6904" s="71"/>
      <c r="V6904" s="71"/>
      <c r="W6904" s="474"/>
      <c r="X6904" s="71"/>
      <c r="Y6904" s="71"/>
    </row>
    <row r="6905" spans="1:25" ht="30" customHeight="1" x14ac:dyDescent="0.25">
      <c r="A6905" s="1145">
        <v>45471</v>
      </c>
      <c r="B6905" s="664" t="s">
        <v>2536</v>
      </c>
      <c r="C6905" s="71" t="s">
        <v>3590</v>
      </c>
      <c r="D6905" s="71">
        <v>100</v>
      </c>
      <c r="E6905" s="102">
        <v>24000</v>
      </c>
      <c r="F6905" s="102">
        <f t="shared" si="3711"/>
        <v>2640000</v>
      </c>
      <c r="G6905" s="102">
        <f t="shared" si="3712"/>
        <v>2400000</v>
      </c>
      <c r="H6905" s="690" t="s">
        <v>142</v>
      </c>
      <c r="I6905" s="71" t="s">
        <v>179</v>
      </c>
      <c r="J6905" s="53">
        <f t="shared" si="3713"/>
        <v>760000</v>
      </c>
      <c r="K6905" s="63">
        <f t="shared" si="3714"/>
        <v>0.31666666666666665</v>
      </c>
      <c r="L6905" s="1212" t="s">
        <v>4121</v>
      </c>
      <c r="M6905" s="468"/>
      <c r="N6905" s="1192">
        <f t="shared" si="3693"/>
        <v>45471</v>
      </c>
      <c r="O6905" s="71" t="s">
        <v>3709</v>
      </c>
      <c r="P6905" s="103" t="str">
        <f t="shared" si="3715"/>
        <v>3M 양면 테이프</v>
      </c>
      <c r="Q6905" s="71">
        <f t="shared" si="3716"/>
        <v>100</v>
      </c>
      <c r="R6905" s="102">
        <v>16400</v>
      </c>
      <c r="S6905" s="102">
        <f t="shared" si="3717"/>
        <v>1804000.0000000002</v>
      </c>
      <c r="T6905" s="102">
        <f t="shared" si="3718"/>
        <v>1640000</v>
      </c>
      <c r="U6905" s="71"/>
      <c r="V6905" s="71"/>
      <c r="W6905" s="474"/>
      <c r="X6905" s="71"/>
      <c r="Y6905" s="71"/>
    </row>
    <row r="6906" spans="1:25" s="209" customFormat="1" ht="30" hidden="1" customHeight="1" x14ac:dyDescent="0.25">
      <c r="A6906" s="1145">
        <v>45455</v>
      </c>
      <c r="B6906" s="664" t="s">
        <v>2353</v>
      </c>
      <c r="C6906" s="71" t="s">
        <v>130</v>
      </c>
      <c r="D6906" s="71">
        <v>10</v>
      </c>
      <c r="E6906" s="102">
        <v>148000</v>
      </c>
      <c r="F6906" s="102">
        <f t="shared" si="3711"/>
        <v>1628000.0000000002</v>
      </c>
      <c r="G6906" s="102">
        <f t="shared" si="3712"/>
        <v>1480000</v>
      </c>
      <c r="H6906" s="690" t="s">
        <v>142</v>
      </c>
      <c r="I6906" s="71" t="s">
        <v>179</v>
      </c>
      <c r="J6906" s="53">
        <f t="shared" si="3713"/>
        <v>360000</v>
      </c>
      <c r="K6906" s="63">
        <f t="shared" si="3714"/>
        <v>0.2432432432432432</v>
      </c>
      <c r="L6906" s="1212" t="s">
        <v>4121</v>
      </c>
      <c r="M6906" s="468" t="s">
        <v>2050</v>
      </c>
      <c r="N6906" s="1192">
        <f t="shared" si="3693"/>
        <v>45455</v>
      </c>
      <c r="O6906" s="71" t="s">
        <v>3383</v>
      </c>
      <c r="P6906" s="103" t="str">
        <f t="shared" si="3715"/>
        <v>XL106 Blanket(1077*885)</v>
      </c>
      <c r="Q6906" s="71">
        <f t="shared" si="3716"/>
        <v>10</v>
      </c>
      <c r="R6906" s="102">
        <v>112000</v>
      </c>
      <c r="S6906" s="102">
        <f t="shared" si="3717"/>
        <v>1232000</v>
      </c>
      <c r="T6906" s="102">
        <f t="shared" si="3718"/>
        <v>1120000</v>
      </c>
      <c r="U6906" s="71" t="s">
        <v>859</v>
      </c>
      <c r="V6906" s="71"/>
      <c r="W6906" s="474">
        <v>260000</v>
      </c>
      <c r="X6906" s="71"/>
      <c r="Y6906" s="71"/>
    </row>
    <row r="6907" spans="1:25" ht="30" hidden="1" customHeight="1" x14ac:dyDescent="0.25">
      <c r="A6907" s="1145">
        <v>45455</v>
      </c>
      <c r="B6907" s="664" t="s">
        <v>2353</v>
      </c>
      <c r="C6907" s="71" t="s">
        <v>129</v>
      </c>
      <c r="D6907" s="71">
        <v>7</v>
      </c>
      <c r="E6907" s="102">
        <v>325000</v>
      </c>
      <c r="F6907" s="102">
        <f t="shared" si="3711"/>
        <v>2502500</v>
      </c>
      <c r="G6907" s="102">
        <f t="shared" si="3712"/>
        <v>2275000</v>
      </c>
      <c r="H6907" s="690" t="s">
        <v>142</v>
      </c>
      <c r="I6907" s="71" t="s">
        <v>179</v>
      </c>
      <c r="J6907" s="53">
        <f t="shared" si="3713"/>
        <v>636440</v>
      </c>
      <c r="K6907" s="63">
        <f t="shared" si="3714"/>
        <v>0.27975384615384613</v>
      </c>
      <c r="L6907" s="1212" t="s">
        <v>4121</v>
      </c>
      <c r="M6907" s="468" t="s">
        <v>2050</v>
      </c>
      <c r="N6907" s="1192">
        <f t="shared" si="3693"/>
        <v>45455</v>
      </c>
      <c r="O6907" s="71" t="s">
        <v>149</v>
      </c>
      <c r="P6907" s="103" t="str">
        <f t="shared" si="3715"/>
        <v>세정포-XL106</v>
      </c>
      <c r="Q6907" s="71">
        <f t="shared" si="3716"/>
        <v>7</v>
      </c>
      <c r="R6907" s="102">
        <v>234080</v>
      </c>
      <c r="S6907" s="102">
        <f t="shared" si="3717"/>
        <v>1802416.0000000002</v>
      </c>
      <c r="T6907" s="102">
        <f t="shared" si="3718"/>
        <v>1638560</v>
      </c>
      <c r="U6907" s="71" t="str">
        <f>IF(J6907=W6907,"O", "X")</f>
        <v>O</v>
      </c>
      <c r="V6907" s="71"/>
      <c r="W6907" s="474">
        <f>(G6907-T6907)</f>
        <v>636440</v>
      </c>
      <c r="X6907" s="71"/>
      <c r="Y6907" s="71"/>
    </row>
    <row r="6908" spans="1:25" s="209" customFormat="1" ht="30" hidden="1" customHeight="1" x14ac:dyDescent="0.25">
      <c r="A6908" s="1145">
        <v>45455</v>
      </c>
      <c r="B6908" s="664" t="s">
        <v>2353</v>
      </c>
      <c r="C6908" s="71" t="s">
        <v>3299</v>
      </c>
      <c r="D6908" s="71">
        <v>10</v>
      </c>
      <c r="E6908" s="102">
        <v>83000</v>
      </c>
      <c r="F6908" s="102">
        <f t="shared" si="3711"/>
        <v>913000.00000000012</v>
      </c>
      <c r="G6908" s="102">
        <f t="shared" si="3712"/>
        <v>830000</v>
      </c>
      <c r="H6908" s="690" t="s">
        <v>142</v>
      </c>
      <c r="I6908" s="71" t="s">
        <v>179</v>
      </c>
      <c r="J6908" s="53">
        <f t="shared" si="3713"/>
        <v>355000</v>
      </c>
      <c r="K6908" s="63">
        <f t="shared" si="3714"/>
        <v>0.42771084337349391</v>
      </c>
      <c r="L6908" s="1212" t="s">
        <v>4121</v>
      </c>
      <c r="M6908" s="468" t="s">
        <v>2214</v>
      </c>
      <c r="N6908" s="1192">
        <f t="shared" si="3693"/>
        <v>45455</v>
      </c>
      <c r="O6908" s="71" t="s">
        <v>3383</v>
      </c>
      <c r="P6908" s="103" t="str">
        <f t="shared" si="3715"/>
        <v>매엽용 세척제(Wash k11)</v>
      </c>
      <c r="Q6908" s="71">
        <f t="shared" si="3716"/>
        <v>10</v>
      </c>
      <c r="R6908" s="102">
        <v>47500</v>
      </c>
      <c r="S6908" s="102">
        <f t="shared" si="3717"/>
        <v>522500.00000000006</v>
      </c>
      <c r="T6908" s="102">
        <f t="shared" si="3718"/>
        <v>475000</v>
      </c>
      <c r="U6908" s="71" t="s">
        <v>859</v>
      </c>
      <c r="V6908" s="71"/>
      <c r="W6908" s="474">
        <v>136000</v>
      </c>
      <c r="X6908" s="71"/>
      <c r="Y6908" s="71"/>
    </row>
    <row r="6909" spans="1:25" ht="30" hidden="1" customHeight="1" x14ac:dyDescent="0.25">
      <c r="A6909" s="1145">
        <v>45464</v>
      </c>
      <c r="B6909" s="664" t="s">
        <v>2579</v>
      </c>
      <c r="C6909" s="71" t="s">
        <v>3738</v>
      </c>
      <c r="D6909" s="71">
        <v>20</v>
      </c>
      <c r="E6909" s="102">
        <v>130000</v>
      </c>
      <c r="F6909" s="102">
        <f t="shared" si="3711"/>
        <v>2860000</v>
      </c>
      <c r="G6909" s="102">
        <f t="shared" si="3712"/>
        <v>2600000</v>
      </c>
      <c r="H6909" s="690" t="s">
        <v>142</v>
      </c>
      <c r="I6909" s="71" t="s">
        <v>142</v>
      </c>
      <c r="J6909" s="53">
        <f t="shared" si="3713"/>
        <v>678000</v>
      </c>
      <c r="K6909" s="63">
        <f t="shared" si="3714"/>
        <v>0.26076923076923075</v>
      </c>
      <c r="L6909" s="1212" t="s">
        <v>4121</v>
      </c>
      <c r="M6909" s="468"/>
      <c r="N6909" s="1192">
        <f t="shared" si="3693"/>
        <v>45464</v>
      </c>
      <c r="O6909" s="71" t="s">
        <v>147</v>
      </c>
      <c r="P6909" s="103" t="str">
        <f t="shared" si="3715"/>
        <v>블랑켓 - 고모리 용 (1040*920)</v>
      </c>
      <c r="Q6909" s="71">
        <f t="shared" si="3716"/>
        <v>20</v>
      </c>
      <c r="R6909" s="102">
        <v>96100</v>
      </c>
      <c r="S6909" s="102">
        <f t="shared" si="3717"/>
        <v>2114200</v>
      </c>
      <c r="T6909" s="102">
        <f t="shared" si="3718"/>
        <v>1922000</v>
      </c>
      <c r="U6909" s="71"/>
      <c r="V6909" s="71"/>
      <c r="W6909" s="474"/>
      <c r="X6909" s="71"/>
      <c r="Y6909" s="71"/>
    </row>
    <row r="6910" spans="1:25" ht="30" hidden="1" customHeight="1" x14ac:dyDescent="0.25">
      <c r="A6910" s="1145">
        <v>45464</v>
      </c>
      <c r="B6910" s="664" t="s">
        <v>2353</v>
      </c>
      <c r="C6910" s="71" t="s">
        <v>3727</v>
      </c>
      <c r="D6910" s="71">
        <v>3</v>
      </c>
      <c r="E6910" s="102">
        <v>225000</v>
      </c>
      <c r="F6910" s="102">
        <f t="shared" si="3711"/>
        <v>742500.00000000012</v>
      </c>
      <c r="G6910" s="102">
        <f t="shared" si="3712"/>
        <v>675000</v>
      </c>
      <c r="H6910" s="690" t="s">
        <v>142</v>
      </c>
      <c r="I6910" s="71" t="s">
        <v>142</v>
      </c>
      <c r="J6910" s="53">
        <f t="shared" si="3713"/>
        <v>300000</v>
      </c>
      <c r="K6910" s="63">
        <f t="shared" si="3714"/>
        <v>0.44444444444444436</v>
      </c>
      <c r="L6910" s="1212" t="s">
        <v>4121</v>
      </c>
      <c r="M6910" s="468"/>
      <c r="N6910" s="1192">
        <f t="shared" si="3693"/>
        <v>45464</v>
      </c>
      <c r="O6910" s="71" t="s">
        <v>189</v>
      </c>
      <c r="P6910" s="103" t="str">
        <f t="shared" si="3715"/>
        <v>압통 코팅제 - 퀵 프린트</v>
      </c>
      <c r="Q6910" s="71">
        <f t="shared" si="3716"/>
        <v>3</v>
      </c>
      <c r="R6910" s="102">
        <f>25000*5</f>
        <v>125000</v>
      </c>
      <c r="S6910" s="102">
        <f t="shared" si="3717"/>
        <v>412500.00000000006</v>
      </c>
      <c r="T6910" s="102">
        <f t="shared" si="3718"/>
        <v>375000</v>
      </c>
      <c r="U6910" s="71"/>
      <c r="V6910" s="71"/>
      <c r="W6910" s="474"/>
      <c r="X6910" s="71"/>
      <c r="Y6910" s="71"/>
    </row>
    <row r="6911" spans="1:25" ht="30" hidden="1" customHeight="1" x14ac:dyDescent="0.25">
      <c r="A6911" s="1145">
        <v>45464</v>
      </c>
      <c r="B6911" s="664" t="s">
        <v>2353</v>
      </c>
      <c r="C6911" s="71" t="s">
        <v>3728</v>
      </c>
      <c r="D6911" s="71">
        <v>30</v>
      </c>
      <c r="E6911" s="102">
        <v>35000</v>
      </c>
      <c r="F6911" s="102">
        <f t="shared" si="3711"/>
        <v>1155000</v>
      </c>
      <c r="G6911" s="102">
        <f t="shared" si="3712"/>
        <v>1050000</v>
      </c>
      <c r="H6911" s="690" t="s">
        <v>142</v>
      </c>
      <c r="I6911" s="71" t="s">
        <v>142</v>
      </c>
      <c r="J6911" s="53">
        <f t="shared" si="3713"/>
        <v>-137500</v>
      </c>
      <c r="K6911" s="63">
        <f t="shared" si="3714"/>
        <v>-0.13095238095238096</v>
      </c>
      <c r="L6911" s="1212" t="s">
        <v>4121</v>
      </c>
      <c r="M6911" s="468" t="s">
        <v>3907</v>
      </c>
      <c r="N6911" s="1192">
        <f t="shared" si="3693"/>
        <v>45464</v>
      </c>
      <c r="O6911" s="71" t="s">
        <v>149</v>
      </c>
      <c r="P6911" s="103" t="str">
        <f t="shared" si="3715"/>
        <v>고모리 자동 세척액</v>
      </c>
      <c r="Q6911" s="71">
        <v>25</v>
      </c>
      <c r="R6911" s="102">
        <v>47500</v>
      </c>
      <c r="S6911" s="102">
        <f t="shared" si="3717"/>
        <v>1306250</v>
      </c>
      <c r="T6911" s="102">
        <f t="shared" si="3718"/>
        <v>1187500</v>
      </c>
      <c r="U6911" s="71"/>
      <c r="V6911" s="71"/>
      <c r="W6911" s="474"/>
      <c r="X6911" s="71"/>
      <c r="Y6911" s="71"/>
    </row>
    <row r="6912" spans="1:25" ht="30" hidden="1" customHeight="1" x14ac:dyDescent="0.25">
      <c r="A6912" s="1145">
        <v>45464</v>
      </c>
      <c r="B6912" s="664" t="s">
        <v>2579</v>
      </c>
      <c r="C6912" s="71" t="s">
        <v>3382</v>
      </c>
      <c r="D6912" s="71">
        <v>3</v>
      </c>
      <c r="E6912" s="102">
        <v>180000</v>
      </c>
      <c r="F6912" s="102">
        <f t="shared" si="3711"/>
        <v>594000</v>
      </c>
      <c r="G6912" s="102">
        <f t="shared" si="3712"/>
        <v>540000</v>
      </c>
      <c r="H6912" s="690" t="s">
        <v>179</v>
      </c>
      <c r="I6912" s="690" t="s">
        <v>179</v>
      </c>
      <c r="J6912" s="53">
        <f t="shared" si="3713"/>
        <v>180000</v>
      </c>
      <c r="K6912" s="63">
        <f t="shared" si="3714"/>
        <v>0.33333333333333331</v>
      </c>
      <c r="L6912" s="1212" t="s">
        <v>4121</v>
      </c>
      <c r="M6912" s="468"/>
      <c r="N6912" s="1192">
        <f t="shared" si="3693"/>
        <v>45464</v>
      </c>
      <c r="O6912" s="71" t="s">
        <v>3383</v>
      </c>
      <c r="P6912" s="103" t="str">
        <f t="shared" si="3715"/>
        <v>판 클리너(12개)</v>
      </c>
      <c r="Q6912" s="71">
        <f t="shared" ref="Q6912:Q6941" si="3719">D6912</f>
        <v>3</v>
      </c>
      <c r="R6912" s="102">
        <v>120000</v>
      </c>
      <c r="S6912" s="102">
        <f t="shared" si="3717"/>
        <v>396000.00000000006</v>
      </c>
      <c r="T6912" s="102">
        <f t="shared" si="3718"/>
        <v>360000</v>
      </c>
      <c r="U6912" s="71"/>
      <c r="V6912" s="71"/>
      <c r="W6912" s="474"/>
      <c r="X6912" s="71"/>
      <c r="Y6912" s="71"/>
    </row>
    <row r="6913" spans="1:25" ht="30" hidden="1" customHeight="1" x14ac:dyDescent="0.25">
      <c r="A6913" s="1145">
        <v>45471</v>
      </c>
      <c r="B6913" s="664" t="s">
        <v>2353</v>
      </c>
      <c r="C6913" s="71" t="s">
        <v>129</v>
      </c>
      <c r="D6913" s="71">
        <v>7</v>
      </c>
      <c r="E6913" s="102">
        <v>325000</v>
      </c>
      <c r="F6913" s="102">
        <f t="shared" ref="F6913:F6941" si="3720">(E6913*D6913)*1.1</f>
        <v>2502500</v>
      </c>
      <c r="G6913" s="102">
        <f t="shared" ref="G6913:G6941" si="3721">(E6913*D6913)</f>
        <v>2275000</v>
      </c>
      <c r="H6913" s="690" t="s">
        <v>142</v>
      </c>
      <c r="I6913" s="71" t="s">
        <v>179</v>
      </c>
      <c r="J6913" s="53">
        <f t="shared" ref="J6913:J6941" si="3722">G6913-T6913</f>
        <v>636440</v>
      </c>
      <c r="K6913" s="63">
        <f t="shared" ref="K6913:K6941" si="3723">(J6913/(F6913/11*10))</f>
        <v>0.27975384615384613</v>
      </c>
      <c r="L6913" s="1212" t="s">
        <v>4121</v>
      </c>
      <c r="M6913" s="468" t="s">
        <v>2050</v>
      </c>
      <c r="N6913" s="1192">
        <f t="shared" ref="N6913:N6915" si="3724">A6913</f>
        <v>45471</v>
      </c>
      <c r="O6913" s="71" t="s">
        <v>149</v>
      </c>
      <c r="P6913" s="103" t="str">
        <f t="shared" ref="P6913:P6941" si="3725">(C6913)</f>
        <v>세정포-XL106</v>
      </c>
      <c r="Q6913" s="71">
        <f t="shared" si="3719"/>
        <v>7</v>
      </c>
      <c r="R6913" s="102">
        <v>234080</v>
      </c>
      <c r="S6913" s="102">
        <f t="shared" ref="S6913:S6941" si="3726">R6913*Q6913*1.1</f>
        <v>1802416.0000000002</v>
      </c>
      <c r="T6913" s="102">
        <f t="shared" ref="T6913:T6941" si="3727">R6913*Q6913</f>
        <v>1638560</v>
      </c>
      <c r="U6913" s="71" t="str">
        <f>IF(J6913=W6913,"O", "X")</f>
        <v>O</v>
      </c>
      <c r="V6913" s="71"/>
      <c r="W6913" s="474">
        <f>(G6913-T6913)</f>
        <v>636440</v>
      </c>
      <c r="X6913" s="71"/>
      <c r="Y6913" s="71"/>
    </row>
    <row r="6914" spans="1:25" s="209" customFormat="1" ht="30" hidden="1" customHeight="1" x14ac:dyDescent="0.25">
      <c r="A6914" s="1145">
        <v>45471</v>
      </c>
      <c r="B6914" s="664" t="s">
        <v>2353</v>
      </c>
      <c r="C6914" s="71" t="s">
        <v>3299</v>
      </c>
      <c r="D6914" s="71">
        <v>8</v>
      </c>
      <c r="E6914" s="102">
        <v>83000</v>
      </c>
      <c r="F6914" s="102">
        <f t="shared" si="3720"/>
        <v>730400.00000000012</v>
      </c>
      <c r="G6914" s="102">
        <f t="shared" si="3721"/>
        <v>664000</v>
      </c>
      <c r="H6914" s="690" t="s">
        <v>142</v>
      </c>
      <c r="I6914" s="71" t="s">
        <v>179</v>
      </c>
      <c r="J6914" s="53">
        <f t="shared" si="3722"/>
        <v>284000</v>
      </c>
      <c r="K6914" s="63">
        <f t="shared" si="3723"/>
        <v>0.42771084337349391</v>
      </c>
      <c r="L6914" s="1212" t="s">
        <v>4121</v>
      </c>
      <c r="M6914" s="468" t="s">
        <v>2214</v>
      </c>
      <c r="N6914" s="1192">
        <f t="shared" si="3724"/>
        <v>45471</v>
      </c>
      <c r="O6914" s="71" t="s">
        <v>3383</v>
      </c>
      <c r="P6914" s="103" t="str">
        <f t="shared" si="3725"/>
        <v>매엽용 세척제(Wash k11)</v>
      </c>
      <c r="Q6914" s="71">
        <f t="shared" si="3719"/>
        <v>8</v>
      </c>
      <c r="R6914" s="102">
        <v>47500</v>
      </c>
      <c r="S6914" s="102">
        <f t="shared" si="3726"/>
        <v>418000.00000000006</v>
      </c>
      <c r="T6914" s="102">
        <f t="shared" si="3727"/>
        <v>380000</v>
      </c>
      <c r="U6914" s="71" t="s">
        <v>859</v>
      </c>
      <c r="V6914" s="71"/>
      <c r="W6914" s="474">
        <v>136000</v>
      </c>
      <c r="X6914" s="71"/>
      <c r="Y6914" s="71"/>
    </row>
    <row r="6915" spans="1:25" s="209" customFormat="1" ht="30" hidden="1" customHeight="1" x14ac:dyDescent="0.25">
      <c r="A6915" s="1145">
        <v>45471</v>
      </c>
      <c r="B6915" s="664" t="s">
        <v>2353</v>
      </c>
      <c r="C6915" s="71" t="s">
        <v>130</v>
      </c>
      <c r="D6915" s="71">
        <v>15</v>
      </c>
      <c r="E6915" s="102">
        <v>148000</v>
      </c>
      <c r="F6915" s="102">
        <f t="shared" si="3720"/>
        <v>2442000</v>
      </c>
      <c r="G6915" s="102">
        <f t="shared" si="3721"/>
        <v>2220000</v>
      </c>
      <c r="H6915" s="690" t="s">
        <v>142</v>
      </c>
      <c r="I6915" s="71" t="s">
        <v>179</v>
      </c>
      <c r="J6915" s="53">
        <f t="shared" si="3722"/>
        <v>540000</v>
      </c>
      <c r="K6915" s="63">
        <f t="shared" si="3723"/>
        <v>0.24324324324324326</v>
      </c>
      <c r="L6915" s="1212" t="s">
        <v>4121</v>
      </c>
      <c r="M6915" s="468" t="s">
        <v>2050</v>
      </c>
      <c r="N6915" s="1192">
        <f t="shared" si="3724"/>
        <v>45471</v>
      </c>
      <c r="O6915" s="71" t="s">
        <v>3383</v>
      </c>
      <c r="P6915" s="103" t="str">
        <f t="shared" si="3725"/>
        <v>XL106 Blanket(1077*885)</v>
      </c>
      <c r="Q6915" s="71">
        <f t="shared" si="3719"/>
        <v>15</v>
      </c>
      <c r="R6915" s="102">
        <v>112000</v>
      </c>
      <c r="S6915" s="102">
        <f t="shared" si="3726"/>
        <v>1848000.0000000002</v>
      </c>
      <c r="T6915" s="102">
        <f t="shared" si="3727"/>
        <v>1680000</v>
      </c>
      <c r="U6915" s="71" t="s">
        <v>859</v>
      </c>
      <c r="V6915" s="71"/>
      <c r="W6915" s="474">
        <v>260000</v>
      </c>
      <c r="X6915" s="71"/>
      <c r="Y6915" s="71"/>
    </row>
    <row r="6916" spans="1:25" ht="30" hidden="1" customHeight="1" x14ac:dyDescent="0.25">
      <c r="A6916" s="1145">
        <v>45455</v>
      </c>
      <c r="B6916" s="664" t="s">
        <v>2353</v>
      </c>
      <c r="C6916" s="71" t="s">
        <v>2137</v>
      </c>
      <c r="D6916" s="71">
        <v>3</v>
      </c>
      <c r="E6916" s="102">
        <v>125000</v>
      </c>
      <c r="F6916" s="102">
        <f t="shared" si="3720"/>
        <v>412500.00000000006</v>
      </c>
      <c r="G6916" s="102">
        <f t="shared" si="3721"/>
        <v>375000</v>
      </c>
      <c r="H6916" s="690" t="s">
        <v>142</v>
      </c>
      <c r="I6916" s="71" t="s">
        <v>142</v>
      </c>
      <c r="J6916" s="53">
        <f t="shared" si="3722"/>
        <v>90000</v>
      </c>
      <c r="K6916" s="63">
        <f t="shared" si="3723"/>
        <v>0.23999999999999996</v>
      </c>
      <c r="L6916" s="1212" t="s">
        <v>4121</v>
      </c>
      <c r="M6916" s="468"/>
      <c r="N6916" s="1192">
        <f>A6916</f>
        <v>45455</v>
      </c>
      <c r="O6916" s="71" t="s">
        <v>150</v>
      </c>
      <c r="P6916" s="103" t="str">
        <f t="shared" si="3725"/>
        <v>잉크집 아스테이지</v>
      </c>
      <c r="Q6916" s="71">
        <f t="shared" si="3719"/>
        <v>3</v>
      </c>
      <c r="R6916" s="102">
        <v>95000</v>
      </c>
      <c r="S6916" s="102">
        <f t="shared" si="3726"/>
        <v>313500</v>
      </c>
      <c r="T6916" s="102">
        <f t="shared" si="3727"/>
        <v>285000</v>
      </c>
      <c r="U6916" s="71"/>
      <c r="V6916" s="71"/>
      <c r="W6916" s="474"/>
      <c r="X6916" s="71"/>
      <c r="Y6916" s="71"/>
    </row>
    <row r="6917" spans="1:25" ht="28.5" hidden="1" customHeight="1" x14ac:dyDescent="0.25">
      <c r="A6917" s="1145">
        <v>45455</v>
      </c>
      <c r="B6917" s="664" t="s">
        <v>2353</v>
      </c>
      <c r="C6917" s="71" t="s">
        <v>2648</v>
      </c>
      <c r="D6917" s="71">
        <v>3</v>
      </c>
      <c r="E6917" s="102">
        <v>50000</v>
      </c>
      <c r="F6917" s="102">
        <f t="shared" si="3720"/>
        <v>165000</v>
      </c>
      <c r="G6917" s="102">
        <f t="shared" si="3721"/>
        <v>150000</v>
      </c>
      <c r="H6917" s="690" t="s">
        <v>179</v>
      </c>
      <c r="I6917" s="690" t="s">
        <v>179</v>
      </c>
      <c r="J6917" s="53">
        <f t="shared" si="3722"/>
        <v>78000</v>
      </c>
      <c r="K6917" s="63">
        <f t="shared" si="3723"/>
        <v>0.52</v>
      </c>
      <c r="L6917" s="1212" t="s">
        <v>4121</v>
      </c>
      <c r="M6917" s="468"/>
      <c r="N6917" s="1192">
        <f t="shared" ref="N6917:N6941" si="3728">A6917</f>
        <v>45455</v>
      </c>
      <c r="O6917" s="71" t="s">
        <v>94</v>
      </c>
      <c r="P6917" s="103" t="str">
        <f t="shared" si="3725"/>
        <v>주머니 필터백</v>
      </c>
      <c r="Q6917" s="71">
        <f t="shared" si="3719"/>
        <v>3</v>
      </c>
      <c r="R6917" s="102">
        <v>24000</v>
      </c>
      <c r="S6917" s="102">
        <f t="shared" si="3726"/>
        <v>79200</v>
      </c>
      <c r="T6917" s="102">
        <f t="shared" si="3727"/>
        <v>72000</v>
      </c>
      <c r="U6917" s="71"/>
      <c r="V6917" s="71"/>
      <c r="W6917" s="474"/>
      <c r="X6917" s="71"/>
      <c r="Y6917" s="71"/>
    </row>
    <row r="6918" spans="1:25" ht="30" hidden="1" customHeight="1" x14ac:dyDescent="0.25">
      <c r="A6918" s="1145">
        <v>45468</v>
      </c>
      <c r="B6918" s="664" t="s">
        <v>1060</v>
      </c>
      <c r="C6918" s="71" t="s">
        <v>3908</v>
      </c>
      <c r="D6918" s="71">
        <v>500</v>
      </c>
      <c r="E6918" s="102">
        <v>5810</v>
      </c>
      <c r="F6918" s="102">
        <f t="shared" si="3720"/>
        <v>3195500.0000000005</v>
      </c>
      <c r="G6918" s="102">
        <f t="shared" si="3721"/>
        <v>2905000</v>
      </c>
      <c r="H6918" s="690" t="s">
        <v>142</v>
      </c>
      <c r="I6918" s="71" t="s">
        <v>179</v>
      </c>
      <c r="J6918" s="53">
        <f t="shared" si="3722"/>
        <v>948000</v>
      </c>
      <c r="K6918" s="63">
        <f t="shared" si="3723"/>
        <v>0.32633390705679854</v>
      </c>
      <c r="L6918" s="1212" t="s">
        <v>4121</v>
      </c>
      <c r="M6918" s="102" t="s">
        <v>3964</v>
      </c>
      <c r="N6918" s="1192">
        <f t="shared" si="3728"/>
        <v>45468</v>
      </c>
      <c r="O6918" s="71" t="s">
        <v>662</v>
      </c>
      <c r="P6918" s="103" t="str">
        <f t="shared" si="3725"/>
        <v>Saphira CTP 판 1030 x 790</v>
      </c>
      <c r="Q6918" s="71">
        <f t="shared" si="3719"/>
        <v>500</v>
      </c>
      <c r="R6918" s="102">
        <v>3914</v>
      </c>
      <c r="S6918" s="102">
        <f t="shared" si="3726"/>
        <v>2152700</v>
      </c>
      <c r="T6918" s="102">
        <f t="shared" si="3727"/>
        <v>1957000</v>
      </c>
      <c r="U6918" s="71" t="s">
        <v>859</v>
      </c>
      <c r="V6918" s="71"/>
      <c r="W6918" s="474">
        <v>942000</v>
      </c>
      <c r="X6918" s="71"/>
      <c r="Y6918" s="71"/>
    </row>
    <row r="6919" spans="1:25" ht="30" hidden="1" customHeight="1" x14ac:dyDescent="0.25">
      <c r="A6919" s="1145">
        <v>45468</v>
      </c>
      <c r="B6919" s="664" t="s">
        <v>1060</v>
      </c>
      <c r="C6919" s="71" t="s">
        <v>3909</v>
      </c>
      <c r="D6919" s="71">
        <v>2000</v>
      </c>
      <c r="E6919" s="102">
        <v>3670</v>
      </c>
      <c r="F6919" s="102">
        <f t="shared" si="3720"/>
        <v>8074000.0000000009</v>
      </c>
      <c r="G6919" s="102">
        <f t="shared" si="3721"/>
        <v>7340000</v>
      </c>
      <c r="H6919" s="690" t="s">
        <v>36</v>
      </c>
      <c r="I6919" s="71" t="s">
        <v>2529</v>
      </c>
      <c r="J6919" s="53">
        <f t="shared" si="3722"/>
        <v>2396000</v>
      </c>
      <c r="K6919" s="63">
        <f t="shared" si="3723"/>
        <v>0.3264305177111716</v>
      </c>
      <c r="L6919" s="1212" t="s">
        <v>4121</v>
      </c>
      <c r="M6919" s="102" t="s">
        <v>3964</v>
      </c>
      <c r="N6919" s="1192">
        <f t="shared" si="3728"/>
        <v>45468</v>
      </c>
      <c r="O6919" s="71" t="s">
        <v>662</v>
      </c>
      <c r="P6919" s="103" t="str">
        <f t="shared" si="3725"/>
        <v>Saphira CTP 판 900 x 571</v>
      </c>
      <c r="Q6919" s="71">
        <f t="shared" si="3719"/>
        <v>2000</v>
      </c>
      <c r="R6919" s="102">
        <v>2472</v>
      </c>
      <c r="S6919" s="102">
        <f t="shared" si="3726"/>
        <v>5438400</v>
      </c>
      <c r="T6919" s="102">
        <f t="shared" si="3727"/>
        <v>4944000</v>
      </c>
      <c r="U6919" s="71" t="s">
        <v>859</v>
      </c>
      <c r="V6919" s="71"/>
      <c r="W6919" s="474">
        <v>1274000</v>
      </c>
      <c r="X6919" s="71"/>
      <c r="Y6919" s="71"/>
    </row>
    <row r="6920" spans="1:25" ht="30" hidden="1" customHeight="1" x14ac:dyDescent="0.25">
      <c r="A6920" s="1145">
        <v>45468</v>
      </c>
      <c r="B6920" s="664" t="s">
        <v>1060</v>
      </c>
      <c r="C6920" s="71" t="s">
        <v>3910</v>
      </c>
      <c r="D6920" s="71">
        <v>1800</v>
      </c>
      <c r="E6920" s="102">
        <v>3470</v>
      </c>
      <c r="F6920" s="102">
        <f t="shared" si="3720"/>
        <v>6870600.0000000009</v>
      </c>
      <c r="G6920" s="102">
        <f t="shared" si="3721"/>
        <v>6246000</v>
      </c>
      <c r="H6920" s="690" t="s">
        <v>36</v>
      </c>
      <c r="I6920" s="71" t="s">
        <v>2529</v>
      </c>
      <c r="J6920" s="53">
        <f t="shared" si="3722"/>
        <v>2019600</v>
      </c>
      <c r="K6920" s="63">
        <f t="shared" si="3723"/>
        <v>0.32334293948126797</v>
      </c>
      <c r="L6920" s="1212" t="s">
        <v>4121</v>
      </c>
      <c r="M6920" s="102" t="s">
        <v>3964</v>
      </c>
      <c r="N6920" s="1192">
        <f t="shared" si="3728"/>
        <v>45468</v>
      </c>
      <c r="O6920" s="71" t="s">
        <v>662</v>
      </c>
      <c r="P6920" s="103" t="str">
        <f t="shared" si="3725"/>
        <v>Saphira CTP 판 883 x 552</v>
      </c>
      <c r="Q6920" s="71">
        <f t="shared" si="3719"/>
        <v>1800</v>
      </c>
      <c r="R6920" s="102">
        <v>2348</v>
      </c>
      <c r="S6920" s="102">
        <f t="shared" si="3726"/>
        <v>4649040</v>
      </c>
      <c r="T6920" s="102">
        <f t="shared" si="3727"/>
        <v>4226400</v>
      </c>
      <c r="U6920" s="71" t="s">
        <v>859</v>
      </c>
      <c r="V6920" s="71"/>
      <c r="W6920" s="474">
        <v>3325000</v>
      </c>
      <c r="X6920" s="71"/>
      <c r="Y6920" s="71"/>
    </row>
    <row r="6921" spans="1:25" ht="30" hidden="1" customHeight="1" x14ac:dyDescent="0.25">
      <c r="A6921" s="1145">
        <v>45468</v>
      </c>
      <c r="B6921" s="664" t="s">
        <v>1060</v>
      </c>
      <c r="C6921" s="71" t="s">
        <v>3911</v>
      </c>
      <c r="D6921" s="71">
        <v>400</v>
      </c>
      <c r="E6921" s="102">
        <v>5890</v>
      </c>
      <c r="F6921" s="102">
        <f t="shared" si="3720"/>
        <v>2591600</v>
      </c>
      <c r="G6921" s="102">
        <f t="shared" si="3721"/>
        <v>2356000</v>
      </c>
      <c r="H6921" s="690" t="s">
        <v>36</v>
      </c>
      <c r="I6921" s="71" t="s">
        <v>2529</v>
      </c>
      <c r="J6921" s="53">
        <f t="shared" si="3722"/>
        <v>769600</v>
      </c>
      <c r="K6921" s="63">
        <f t="shared" si="3723"/>
        <v>0.32665534804753821</v>
      </c>
      <c r="L6921" s="1212" t="s">
        <v>4121</v>
      </c>
      <c r="M6921" s="102" t="s">
        <v>3964</v>
      </c>
      <c r="N6921" s="1192">
        <f t="shared" si="3728"/>
        <v>45468</v>
      </c>
      <c r="O6921" s="71" t="s">
        <v>662</v>
      </c>
      <c r="P6921" s="103" t="str">
        <f t="shared" si="3725"/>
        <v>Saphira CTP 판 1030 x 800</v>
      </c>
      <c r="Q6921" s="71">
        <f t="shared" si="3719"/>
        <v>400</v>
      </c>
      <c r="R6921" s="102">
        <v>3966</v>
      </c>
      <c r="S6921" s="102">
        <f t="shared" si="3726"/>
        <v>1745040.0000000002</v>
      </c>
      <c r="T6921" s="102">
        <f t="shared" si="3727"/>
        <v>1586400</v>
      </c>
      <c r="U6921" s="71" t="s">
        <v>859</v>
      </c>
      <c r="V6921" s="71"/>
      <c r="W6921" s="474">
        <v>636000</v>
      </c>
      <c r="X6921" s="71"/>
      <c r="Y6921" s="71"/>
    </row>
    <row r="6922" spans="1:25" ht="30" hidden="1" customHeight="1" x14ac:dyDescent="0.25">
      <c r="A6922" s="1145">
        <v>45468</v>
      </c>
      <c r="B6922" s="664" t="s">
        <v>1060</v>
      </c>
      <c r="C6922" s="71" t="s">
        <v>3912</v>
      </c>
      <c r="D6922" s="71">
        <v>900</v>
      </c>
      <c r="E6922" s="102">
        <v>6110</v>
      </c>
      <c r="F6922" s="102">
        <f t="shared" si="3720"/>
        <v>6048900.0000000009</v>
      </c>
      <c r="G6922" s="102">
        <f t="shared" si="3721"/>
        <v>5499000</v>
      </c>
      <c r="H6922" s="690" t="s">
        <v>36</v>
      </c>
      <c r="I6922" s="71" t="s">
        <v>2529</v>
      </c>
      <c r="J6922" s="53">
        <f t="shared" si="3722"/>
        <v>1791000</v>
      </c>
      <c r="K6922" s="63">
        <f t="shared" si="3723"/>
        <v>0.3256955810147299</v>
      </c>
      <c r="L6922" s="1212" t="s">
        <v>4121</v>
      </c>
      <c r="M6922" s="102" t="s">
        <v>3964</v>
      </c>
      <c r="N6922" s="1192">
        <f t="shared" si="3728"/>
        <v>45468</v>
      </c>
      <c r="O6922" s="71" t="s">
        <v>662</v>
      </c>
      <c r="P6922" s="103" t="str">
        <f t="shared" si="3725"/>
        <v>Saphira CTP 판 1055 x 811</v>
      </c>
      <c r="Q6922" s="71">
        <f t="shared" si="3719"/>
        <v>900</v>
      </c>
      <c r="R6922" s="102">
        <v>4120</v>
      </c>
      <c r="S6922" s="102">
        <f t="shared" si="3726"/>
        <v>4078800.0000000005</v>
      </c>
      <c r="T6922" s="102">
        <f t="shared" si="3727"/>
        <v>3708000</v>
      </c>
      <c r="U6922" s="71" t="s">
        <v>859</v>
      </c>
      <c r="V6922" s="71"/>
      <c r="W6922" s="474">
        <v>1476000</v>
      </c>
      <c r="X6922" s="71"/>
      <c r="Y6922" s="71"/>
    </row>
    <row r="6923" spans="1:25" ht="30" hidden="1" customHeight="1" x14ac:dyDescent="0.25">
      <c r="A6923" s="1145">
        <v>45468</v>
      </c>
      <c r="B6923" s="664" t="s">
        <v>1060</v>
      </c>
      <c r="C6923" s="71" t="s">
        <v>3913</v>
      </c>
      <c r="D6923" s="71"/>
      <c r="E6923" s="102">
        <v>4360</v>
      </c>
      <c r="F6923" s="102">
        <f t="shared" si="3720"/>
        <v>0</v>
      </c>
      <c r="G6923" s="102">
        <f t="shared" si="3721"/>
        <v>0</v>
      </c>
      <c r="H6923" s="690" t="s">
        <v>36</v>
      </c>
      <c r="I6923" s="71" t="s">
        <v>2529</v>
      </c>
      <c r="J6923" s="53">
        <f t="shared" si="3722"/>
        <v>0</v>
      </c>
      <c r="K6923" s="63" t="e">
        <f t="shared" si="3723"/>
        <v>#DIV/0!</v>
      </c>
      <c r="L6923" s="1212" t="s">
        <v>4121</v>
      </c>
      <c r="M6923" s="102" t="s">
        <v>3964</v>
      </c>
      <c r="N6923" s="1192">
        <f t="shared" si="3728"/>
        <v>45468</v>
      </c>
      <c r="O6923" s="71" t="s">
        <v>662</v>
      </c>
      <c r="P6923" s="103" t="str">
        <f t="shared" si="3725"/>
        <v>Saphira CTP 판 968 x 631</v>
      </c>
      <c r="Q6923" s="71">
        <f t="shared" si="3719"/>
        <v>0</v>
      </c>
      <c r="R6923" s="102">
        <v>2936</v>
      </c>
      <c r="S6923" s="102">
        <f t="shared" si="3726"/>
        <v>0</v>
      </c>
      <c r="T6923" s="102">
        <f t="shared" si="3727"/>
        <v>0</v>
      </c>
      <c r="U6923" s="71" t="s">
        <v>859</v>
      </c>
      <c r="V6923" s="71"/>
      <c r="W6923" s="474">
        <v>1416000</v>
      </c>
      <c r="X6923" s="71"/>
      <c r="Y6923" s="71"/>
    </row>
    <row r="6924" spans="1:25" ht="30" hidden="1" customHeight="1" x14ac:dyDescent="0.25">
      <c r="A6924" s="1145">
        <v>45468</v>
      </c>
      <c r="B6924" s="664" t="s">
        <v>1060</v>
      </c>
      <c r="C6924" s="71" t="s">
        <v>3914</v>
      </c>
      <c r="D6924" s="71">
        <v>25</v>
      </c>
      <c r="E6924" s="102">
        <v>52800</v>
      </c>
      <c r="F6924" s="102">
        <f t="shared" si="3720"/>
        <v>1452000.0000000002</v>
      </c>
      <c r="G6924" s="102">
        <f t="shared" si="3721"/>
        <v>1320000</v>
      </c>
      <c r="H6924" s="690" t="s">
        <v>36</v>
      </c>
      <c r="I6924" s="71" t="s">
        <v>2529</v>
      </c>
      <c r="J6924" s="53">
        <f t="shared" si="3722"/>
        <v>290000</v>
      </c>
      <c r="K6924" s="63">
        <f t="shared" si="3723"/>
        <v>0.21969696969696967</v>
      </c>
      <c r="L6924" s="1212" t="s">
        <v>4121</v>
      </c>
      <c r="M6924" s="468"/>
      <c r="N6924" s="1192">
        <f t="shared" si="3728"/>
        <v>45468</v>
      </c>
      <c r="O6924" s="71" t="s">
        <v>662</v>
      </c>
      <c r="P6924" s="103" t="str">
        <f t="shared" si="3725"/>
        <v>사피라 현상액</v>
      </c>
      <c r="Q6924" s="71">
        <f t="shared" si="3719"/>
        <v>25</v>
      </c>
      <c r="R6924" s="102">
        <v>41200</v>
      </c>
      <c r="S6924" s="102">
        <f t="shared" si="3726"/>
        <v>1133000</v>
      </c>
      <c r="T6924" s="102">
        <f t="shared" si="3727"/>
        <v>1030000</v>
      </c>
      <c r="U6924" s="71" t="s">
        <v>859</v>
      </c>
      <c r="V6924" s="71"/>
      <c r="W6924" s="474">
        <v>978750</v>
      </c>
      <c r="X6924" s="71"/>
      <c r="Y6924" s="71"/>
    </row>
    <row r="6925" spans="1:25" ht="30" hidden="1" customHeight="1" x14ac:dyDescent="0.25">
      <c r="A6925" s="1145">
        <v>45468</v>
      </c>
      <c r="B6925" s="664" t="s">
        <v>1061</v>
      </c>
      <c r="C6925" s="71" t="s">
        <v>3319</v>
      </c>
      <c r="D6925" s="71">
        <v>224</v>
      </c>
      <c r="E6925" s="102">
        <v>6328</v>
      </c>
      <c r="F6925" s="102">
        <f t="shared" si="3720"/>
        <v>1559219.2000000002</v>
      </c>
      <c r="G6925" s="102">
        <f t="shared" si="3721"/>
        <v>1417472</v>
      </c>
      <c r="H6925" s="690" t="s">
        <v>36</v>
      </c>
      <c r="I6925" s="71" t="s">
        <v>3320</v>
      </c>
      <c r="J6925" s="53">
        <f t="shared" si="3722"/>
        <v>107072</v>
      </c>
      <c r="K6925" s="63">
        <f t="shared" si="3723"/>
        <v>7.5537294563843241E-2</v>
      </c>
      <c r="L6925" s="1212" t="s">
        <v>4121</v>
      </c>
      <c r="M6925" s="468"/>
      <c r="N6925" s="1192">
        <f t="shared" si="3728"/>
        <v>45468</v>
      </c>
      <c r="O6925" s="71" t="s">
        <v>146</v>
      </c>
      <c r="P6925" s="103" t="str">
        <f t="shared" si="3725"/>
        <v>프리미어(먹)</v>
      </c>
      <c r="Q6925" s="71">
        <f t="shared" si="3719"/>
        <v>224</v>
      </c>
      <c r="R6925" s="102">
        <v>5850</v>
      </c>
      <c r="S6925" s="102">
        <f t="shared" si="3726"/>
        <v>1441440</v>
      </c>
      <c r="T6925" s="102">
        <f t="shared" si="3727"/>
        <v>1310400</v>
      </c>
      <c r="U6925" s="71" t="s">
        <v>859</v>
      </c>
      <c r="V6925" s="71"/>
      <c r="W6925" s="474">
        <v>411200</v>
      </c>
      <c r="X6925" s="71"/>
      <c r="Y6925" s="71"/>
    </row>
    <row r="6926" spans="1:25" ht="30" hidden="1" customHeight="1" x14ac:dyDescent="0.25">
      <c r="A6926" s="1145">
        <v>45468</v>
      </c>
      <c r="B6926" s="664" t="s">
        <v>1061</v>
      </c>
      <c r="C6926" s="71" t="s">
        <v>3321</v>
      </c>
      <c r="D6926" s="71">
        <v>400</v>
      </c>
      <c r="E6926" s="102">
        <v>6780</v>
      </c>
      <c r="F6926" s="102">
        <f t="shared" si="3720"/>
        <v>2983200.0000000005</v>
      </c>
      <c r="G6926" s="102">
        <f t="shared" si="3721"/>
        <v>2712000</v>
      </c>
      <c r="H6926" s="690" t="s">
        <v>36</v>
      </c>
      <c r="I6926" s="71" t="s">
        <v>3320</v>
      </c>
      <c r="J6926" s="53">
        <f t="shared" si="3722"/>
        <v>200000</v>
      </c>
      <c r="K6926" s="63">
        <f t="shared" si="3723"/>
        <v>7.3746312684365767E-2</v>
      </c>
      <c r="L6926" s="1212" t="s">
        <v>4121</v>
      </c>
      <c r="M6926" s="468"/>
      <c r="N6926" s="1192">
        <f t="shared" si="3728"/>
        <v>45468</v>
      </c>
      <c r="O6926" s="71" t="s">
        <v>146</v>
      </c>
      <c r="P6926" s="103" t="str">
        <f t="shared" si="3725"/>
        <v>프리미어(적)</v>
      </c>
      <c r="Q6926" s="71">
        <f t="shared" si="3719"/>
        <v>400</v>
      </c>
      <c r="R6926" s="102">
        <v>6280</v>
      </c>
      <c r="S6926" s="102">
        <f t="shared" si="3726"/>
        <v>2763200</v>
      </c>
      <c r="T6926" s="102">
        <f t="shared" si="3727"/>
        <v>2512000</v>
      </c>
      <c r="U6926" s="71" t="s">
        <v>859</v>
      </c>
      <c r="V6926" s="71"/>
      <c r="W6926" s="474">
        <v>292000</v>
      </c>
      <c r="X6926" s="71"/>
      <c r="Y6926" s="71"/>
    </row>
    <row r="6927" spans="1:25" ht="30" hidden="1" customHeight="1" x14ac:dyDescent="0.25">
      <c r="A6927" s="1145">
        <v>45468</v>
      </c>
      <c r="B6927" s="664" t="s">
        <v>1061</v>
      </c>
      <c r="C6927" s="71" t="s">
        <v>1289</v>
      </c>
      <c r="D6927" s="71">
        <v>624</v>
      </c>
      <c r="E6927" s="102">
        <v>6498</v>
      </c>
      <c r="F6927" s="102">
        <f t="shared" si="3720"/>
        <v>4460227.2</v>
      </c>
      <c r="G6927" s="102">
        <f t="shared" si="3721"/>
        <v>4054752</v>
      </c>
      <c r="H6927" s="690" t="s">
        <v>36</v>
      </c>
      <c r="I6927" s="71" t="s">
        <v>3320</v>
      </c>
      <c r="J6927" s="53">
        <f t="shared" si="3722"/>
        <v>298272</v>
      </c>
      <c r="K6927" s="63">
        <f t="shared" si="3723"/>
        <v>7.3561095721760547E-2</v>
      </c>
      <c r="L6927" s="1212" t="s">
        <v>4121</v>
      </c>
      <c r="M6927" s="468"/>
      <c r="N6927" s="1192">
        <f t="shared" si="3728"/>
        <v>45468</v>
      </c>
      <c r="O6927" s="71" t="s">
        <v>146</v>
      </c>
      <c r="P6927" s="103" t="str">
        <f t="shared" si="3725"/>
        <v>프리미어(황)</v>
      </c>
      <c r="Q6927" s="71">
        <f t="shared" si="3719"/>
        <v>624</v>
      </c>
      <c r="R6927" s="102">
        <v>6020</v>
      </c>
      <c r="S6927" s="102">
        <f t="shared" si="3726"/>
        <v>4132128.0000000005</v>
      </c>
      <c r="T6927" s="102">
        <f t="shared" si="3727"/>
        <v>3756480</v>
      </c>
      <c r="U6927" s="71" t="s">
        <v>859</v>
      </c>
      <c r="V6927" s="71"/>
      <c r="W6927" s="474">
        <v>640800</v>
      </c>
      <c r="X6927" s="71"/>
      <c r="Y6927" s="71"/>
    </row>
    <row r="6928" spans="1:25" ht="30" hidden="1" customHeight="1" x14ac:dyDescent="0.25">
      <c r="A6928" s="1145">
        <v>45468</v>
      </c>
      <c r="B6928" s="664" t="s">
        <v>1061</v>
      </c>
      <c r="C6928" s="71" t="s">
        <v>1290</v>
      </c>
      <c r="D6928" s="71">
        <v>424</v>
      </c>
      <c r="E6928" s="102">
        <v>7910</v>
      </c>
      <c r="F6928" s="102">
        <f t="shared" si="3720"/>
        <v>3689224.0000000005</v>
      </c>
      <c r="G6928" s="102">
        <f t="shared" si="3721"/>
        <v>3353840</v>
      </c>
      <c r="H6928" s="690" t="s">
        <v>36</v>
      </c>
      <c r="I6928" s="71" t="s">
        <v>3320</v>
      </c>
      <c r="J6928" s="53">
        <f t="shared" si="3722"/>
        <v>254400</v>
      </c>
      <c r="K6928" s="63">
        <f t="shared" si="3723"/>
        <v>7.5853350189633365E-2</v>
      </c>
      <c r="L6928" s="1212" t="s">
        <v>4121</v>
      </c>
      <c r="M6928" s="468"/>
      <c r="N6928" s="1192">
        <f t="shared" si="3728"/>
        <v>45468</v>
      </c>
      <c r="O6928" s="71" t="s">
        <v>146</v>
      </c>
      <c r="P6928" s="103" t="str">
        <f t="shared" si="3725"/>
        <v>프리미어(청)</v>
      </c>
      <c r="Q6928" s="71">
        <f t="shared" si="3719"/>
        <v>424</v>
      </c>
      <c r="R6928" s="102">
        <v>7310</v>
      </c>
      <c r="S6928" s="102">
        <f t="shared" si="3726"/>
        <v>3409384.0000000005</v>
      </c>
      <c r="T6928" s="102">
        <f t="shared" si="3727"/>
        <v>3099440</v>
      </c>
      <c r="U6928" s="71" t="s">
        <v>859</v>
      </c>
      <c r="V6928" s="71"/>
      <c r="W6928" s="474">
        <v>846000</v>
      </c>
      <c r="X6928" s="71"/>
      <c r="Y6928" s="71"/>
    </row>
    <row r="6929" spans="1:25" ht="30" hidden="1" customHeight="1" x14ac:dyDescent="0.25">
      <c r="A6929" s="1145">
        <v>45468</v>
      </c>
      <c r="B6929" s="664" t="s">
        <v>1061</v>
      </c>
      <c r="C6929" s="71" t="s">
        <v>3322</v>
      </c>
      <c r="D6929" s="71"/>
      <c r="E6929" s="102">
        <v>7150</v>
      </c>
      <c r="F6929" s="102">
        <f t="shared" si="3720"/>
        <v>0</v>
      </c>
      <c r="G6929" s="102">
        <f t="shared" si="3721"/>
        <v>0</v>
      </c>
      <c r="H6929" s="690" t="s">
        <v>36</v>
      </c>
      <c r="I6929" s="71" t="s">
        <v>3320</v>
      </c>
      <c r="J6929" s="53">
        <f t="shared" si="3722"/>
        <v>0</v>
      </c>
      <c r="K6929" s="63" t="e">
        <f t="shared" si="3723"/>
        <v>#DIV/0!</v>
      </c>
      <c r="L6929" s="1212" t="s">
        <v>4121</v>
      </c>
      <c r="M6929" s="468"/>
      <c r="N6929" s="1192">
        <f t="shared" si="3728"/>
        <v>45468</v>
      </c>
      <c r="O6929" s="71" t="s">
        <v>3323</v>
      </c>
      <c r="P6929" s="103" t="str">
        <f t="shared" si="3725"/>
        <v>한특 잉크(적)</v>
      </c>
      <c r="Q6929" s="71">
        <f t="shared" si="3719"/>
        <v>0</v>
      </c>
      <c r="R6929" s="102">
        <v>6500</v>
      </c>
      <c r="S6929" s="102">
        <f t="shared" si="3726"/>
        <v>0</v>
      </c>
      <c r="T6929" s="102">
        <f t="shared" si="3727"/>
        <v>0</v>
      </c>
      <c r="U6929" s="71" t="s">
        <v>859</v>
      </c>
      <c r="V6929" s="71"/>
      <c r="W6929" s="474">
        <v>0</v>
      </c>
      <c r="X6929" s="71"/>
      <c r="Y6929" s="71"/>
    </row>
    <row r="6930" spans="1:25" ht="30" hidden="1" customHeight="1" x14ac:dyDescent="0.25">
      <c r="A6930" s="1145">
        <v>45468</v>
      </c>
      <c r="B6930" s="664" t="s">
        <v>1061</v>
      </c>
      <c r="C6930" s="71" t="s">
        <v>3324</v>
      </c>
      <c r="D6930" s="71"/>
      <c r="E6930" s="102">
        <v>6900</v>
      </c>
      <c r="F6930" s="102">
        <f t="shared" si="3720"/>
        <v>0</v>
      </c>
      <c r="G6930" s="102">
        <f t="shared" si="3721"/>
        <v>0</v>
      </c>
      <c r="H6930" s="690" t="s">
        <v>36</v>
      </c>
      <c r="I6930" s="71" t="s">
        <v>3320</v>
      </c>
      <c r="J6930" s="53">
        <f t="shared" si="3722"/>
        <v>0</v>
      </c>
      <c r="K6930" s="63" t="e">
        <f t="shared" si="3723"/>
        <v>#DIV/0!</v>
      </c>
      <c r="L6930" s="1212" t="s">
        <v>4121</v>
      </c>
      <c r="M6930" s="468"/>
      <c r="N6930" s="1192">
        <f t="shared" si="3728"/>
        <v>45468</v>
      </c>
      <c r="O6930" s="71" t="s">
        <v>3323</v>
      </c>
      <c r="P6930" s="103" t="str">
        <f t="shared" si="3725"/>
        <v>한특 잉크(황)</v>
      </c>
      <c r="Q6930" s="71">
        <f t="shared" si="3719"/>
        <v>0</v>
      </c>
      <c r="R6930" s="102">
        <v>6200</v>
      </c>
      <c r="S6930" s="102">
        <f t="shared" si="3726"/>
        <v>0</v>
      </c>
      <c r="T6930" s="102">
        <f t="shared" si="3727"/>
        <v>0</v>
      </c>
      <c r="U6930" s="71" t="s">
        <v>859</v>
      </c>
      <c r="V6930" s="71"/>
      <c r="W6930" s="474">
        <v>0</v>
      </c>
      <c r="X6930" s="71"/>
      <c r="Y6930" s="71"/>
    </row>
    <row r="6931" spans="1:25" ht="28.5" hidden="1" customHeight="1" x14ac:dyDescent="0.25">
      <c r="A6931" s="1145">
        <v>45468</v>
      </c>
      <c r="B6931" s="664" t="s">
        <v>1061</v>
      </c>
      <c r="C6931" s="71" t="s">
        <v>3325</v>
      </c>
      <c r="D6931" s="71"/>
      <c r="E6931" s="102">
        <v>7500</v>
      </c>
      <c r="F6931" s="102">
        <f t="shared" si="3720"/>
        <v>0</v>
      </c>
      <c r="G6931" s="102">
        <f t="shared" si="3721"/>
        <v>0</v>
      </c>
      <c r="H6931" s="690" t="s">
        <v>36</v>
      </c>
      <c r="I6931" s="71" t="s">
        <v>3320</v>
      </c>
      <c r="J6931" s="53">
        <f t="shared" si="3722"/>
        <v>0</v>
      </c>
      <c r="K6931" s="63" t="e">
        <f t="shared" si="3723"/>
        <v>#DIV/0!</v>
      </c>
      <c r="L6931" s="1212" t="s">
        <v>4121</v>
      </c>
      <c r="M6931" s="468"/>
      <c r="N6931" s="1192">
        <f t="shared" si="3728"/>
        <v>45468</v>
      </c>
      <c r="O6931" s="71" t="s">
        <v>3323</v>
      </c>
      <c r="P6931" s="103" t="str">
        <f t="shared" si="3725"/>
        <v>한특 잉크(청)</v>
      </c>
      <c r="Q6931" s="71">
        <f t="shared" si="3719"/>
        <v>0</v>
      </c>
      <c r="R6931" s="102">
        <v>6600</v>
      </c>
      <c r="S6931" s="102">
        <f t="shared" si="3726"/>
        <v>0</v>
      </c>
      <c r="T6931" s="102">
        <f t="shared" si="3727"/>
        <v>0</v>
      </c>
      <c r="U6931" s="71" t="s">
        <v>859</v>
      </c>
      <c r="V6931" s="71"/>
      <c r="W6931" s="474">
        <v>0</v>
      </c>
      <c r="X6931" s="71"/>
      <c r="Y6931" s="71"/>
    </row>
    <row r="6932" spans="1:25" ht="30" hidden="1" customHeight="1" x14ac:dyDescent="0.25">
      <c r="A6932" s="1145">
        <v>45468</v>
      </c>
      <c r="B6932" s="664" t="s">
        <v>1061</v>
      </c>
      <c r="C6932" s="71" t="s">
        <v>3326</v>
      </c>
      <c r="D6932" s="71"/>
      <c r="E6932" s="102">
        <v>6450</v>
      </c>
      <c r="F6932" s="102">
        <f t="shared" si="3720"/>
        <v>0</v>
      </c>
      <c r="G6932" s="102">
        <f t="shared" si="3721"/>
        <v>0</v>
      </c>
      <c r="H6932" s="690" t="s">
        <v>36</v>
      </c>
      <c r="I6932" s="71" t="s">
        <v>3320</v>
      </c>
      <c r="J6932" s="53">
        <f t="shared" si="3722"/>
        <v>0</v>
      </c>
      <c r="K6932" s="63" t="e">
        <f t="shared" si="3723"/>
        <v>#DIV/0!</v>
      </c>
      <c r="L6932" s="1212" t="s">
        <v>4121</v>
      </c>
      <c r="M6932" s="468"/>
      <c r="N6932" s="1192">
        <f t="shared" si="3728"/>
        <v>45468</v>
      </c>
      <c r="O6932" s="71" t="s">
        <v>3323</v>
      </c>
      <c r="P6932" s="103" t="str">
        <f t="shared" si="3725"/>
        <v>한특 잉크(먹)</v>
      </c>
      <c r="Q6932" s="71">
        <f t="shared" si="3719"/>
        <v>0</v>
      </c>
      <c r="R6932" s="102">
        <v>5700</v>
      </c>
      <c r="S6932" s="102">
        <f t="shared" si="3726"/>
        <v>0</v>
      </c>
      <c r="T6932" s="102">
        <f t="shared" si="3727"/>
        <v>0</v>
      </c>
      <c r="U6932" s="71" t="s">
        <v>859</v>
      </c>
      <c r="V6932" s="71"/>
      <c r="W6932" s="474">
        <v>0</v>
      </c>
      <c r="X6932" s="71"/>
      <c r="Y6932" s="71"/>
    </row>
    <row r="6933" spans="1:25" ht="30" hidden="1" customHeight="1" x14ac:dyDescent="0.25">
      <c r="A6933" s="1145">
        <v>45468</v>
      </c>
      <c r="B6933" s="664" t="s">
        <v>1061</v>
      </c>
      <c r="C6933" s="71" t="s">
        <v>3963</v>
      </c>
      <c r="D6933" s="71"/>
      <c r="E6933" s="102">
        <v>22400</v>
      </c>
      <c r="F6933" s="102">
        <f t="shared" si="3720"/>
        <v>0</v>
      </c>
      <c r="G6933" s="102">
        <f t="shared" si="3721"/>
        <v>0</v>
      </c>
      <c r="H6933" s="690" t="s">
        <v>36</v>
      </c>
      <c r="I6933" s="71" t="s">
        <v>3320</v>
      </c>
      <c r="J6933" s="53">
        <f t="shared" si="3722"/>
        <v>0</v>
      </c>
      <c r="K6933" s="63" t="e">
        <f t="shared" si="3723"/>
        <v>#DIV/0!</v>
      </c>
      <c r="L6933" s="1212" t="s">
        <v>4121</v>
      </c>
      <c r="M6933" s="468"/>
      <c r="N6933" s="1192">
        <f t="shared" si="3728"/>
        <v>45468</v>
      </c>
      <c r="O6933" s="71" t="s">
        <v>146</v>
      </c>
      <c r="P6933" s="103" t="str">
        <f t="shared" si="3725"/>
        <v>별색 - PT 810C 형광등</v>
      </c>
      <c r="Q6933" s="71">
        <f t="shared" si="3719"/>
        <v>0</v>
      </c>
      <c r="R6933" s="102">
        <v>22400</v>
      </c>
      <c r="S6933" s="102">
        <f t="shared" si="3726"/>
        <v>0</v>
      </c>
      <c r="T6933" s="102">
        <f t="shared" si="3727"/>
        <v>0</v>
      </c>
      <c r="U6933" s="71"/>
      <c r="V6933" s="71"/>
      <c r="W6933" s="474"/>
      <c r="X6933" s="71"/>
      <c r="Y6933" s="71"/>
    </row>
    <row r="6934" spans="1:25" ht="30" hidden="1" customHeight="1" x14ac:dyDescent="0.25">
      <c r="A6934" s="1145">
        <v>45468</v>
      </c>
      <c r="B6934" s="664" t="s">
        <v>1061</v>
      </c>
      <c r="C6934" s="71" t="s">
        <v>4123</v>
      </c>
      <c r="D6934" s="71">
        <v>180</v>
      </c>
      <c r="E6934" s="102">
        <v>12500</v>
      </c>
      <c r="F6934" s="102">
        <f t="shared" si="3720"/>
        <v>2475000</v>
      </c>
      <c r="G6934" s="102">
        <f t="shared" si="3721"/>
        <v>2250000</v>
      </c>
      <c r="H6934" s="690" t="s">
        <v>36</v>
      </c>
      <c r="I6934" s="71" t="s">
        <v>3320</v>
      </c>
      <c r="J6934" s="53">
        <f t="shared" si="3722"/>
        <v>144000</v>
      </c>
      <c r="K6934" s="63">
        <f t="shared" si="3723"/>
        <v>6.4000000000000001E-2</v>
      </c>
      <c r="L6934" s="1212" t="s">
        <v>4121</v>
      </c>
      <c r="M6934" s="468"/>
      <c r="N6934" s="1192">
        <f t="shared" si="3728"/>
        <v>45468</v>
      </c>
      <c r="O6934" s="71" t="s">
        <v>3323</v>
      </c>
      <c r="P6934" s="103" t="str">
        <f t="shared" si="3725"/>
        <v>별색 - P 2370</v>
      </c>
      <c r="Q6934" s="71">
        <f t="shared" si="3719"/>
        <v>180</v>
      </c>
      <c r="R6934" s="102">
        <v>11700</v>
      </c>
      <c r="S6934" s="102">
        <f t="shared" si="3726"/>
        <v>2316600</v>
      </c>
      <c r="T6934" s="102">
        <f t="shared" si="3727"/>
        <v>2106000</v>
      </c>
      <c r="U6934" s="71"/>
      <c r="V6934" s="71"/>
      <c r="W6934" s="474"/>
      <c r="X6934" s="71"/>
      <c r="Y6934" s="71"/>
    </row>
    <row r="6935" spans="1:25" ht="30" hidden="1" customHeight="1" x14ac:dyDescent="0.25">
      <c r="A6935" s="1145">
        <v>45468</v>
      </c>
      <c r="B6935" s="664" t="s">
        <v>3307</v>
      </c>
      <c r="C6935" s="71" t="s">
        <v>3916</v>
      </c>
      <c r="D6935" s="71"/>
      <c r="E6935" s="102">
        <v>218000</v>
      </c>
      <c r="F6935" s="102">
        <f t="shared" si="3720"/>
        <v>0</v>
      </c>
      <c r="G6935" s="102">
        <f t="shared" si="3721"/>
        <v>0</v>
      </c>
      <c r="H6935" s="690" t="s">
        <v>172</v>
      </c>
      <c r="I6935" s="71" t="s">
        <v>33</v>
      </c>
      <c r="J6935" s="53">
        <f t="shared" si="3722"/>
        <v>0</v>
      </c>
      <c r="K6935" s="63" t="e">
        <f t="shared" si="3723"/>
        <v>#DIV/0!</v>
      </c>
      <c r="L6935" s="1212" t="s">
        <v>4121</v>
      </c>
      <c r="M6935" s="468" t="s">
        <v>3965</v>
      </c>
      <c r="N6935" s="1192">
        <f t="shared" si="3728"/>
        <v>45468</v>
      </c>
      <c r="O6935" s="71" t="s">
        <v>662</v>
      </c>
      <c r="P6935" s="103" t="str">
        <f t="shared" si="3725"/>
        <v>윤전 블랑켓</v>
      </c>
      <c r="Q6935" s="71">
        <f t="shared" si="3719"/>
        <v>0</v>
      </c>
      <c r="R6935" s="102">
        <v>166500</v>
      </c>
      <c r="S6935" s="102">
        <f t="shared" si="3726"/>
        <v>0</v>
      </c>
      <c r="T6935" s="102">
        <f t="shared" si="3727"/>
        <v>0</v>
      </c>
      <c r="U6935" s="71" t="s">
        <v>859</v>
      </c>
      <c r="V6935" s="71" t="s">
        <v>728</v>
      </c>
      <c r="W6935" s="474">
        <v>464000</v>
      </c>
      <c r="X6935" s="71"/>
      <c r="Y6935" s="71"/>
    </row>
    <row r="6936" spans="1:25" ht="30" hidden="1" customHeight="1" x14ac:dyDescent="0.25">
      <c r="A6936" s="1145">
        <v>45468</v>
      </c>
      <c r="B6936" s="664" t="s">
        <v>3307</v>
      </c>
      <c r="C6936" s="71" t="s">
        <v>4136</v>
      </c>
      <c r="D6936" s="71">
        <v>1</v>
      </c>
      <c r="E6936" s="102">
        <v>2350000</v>
      </c>
      <c r="F6936" s="102">
        <f t="shared" si="3720"/>
        <v>2585000</v>
      </c>
      <c r="G6936" s="102">
        <f t="shared" si="3721"/>
        <v>2350000</v>
      </c>
      <c r="H6936" s="690" t="s">
        <v>36</v>
      </c>
      <c r="I6936" s="690" t="s">
        <v>36</v>
      </c>
      <c r="J6936" s="53">
        <f t="shared" si="3722"/>
        <v>600000</v>
      </c>
      <c r="K6936" s="63">
        <f t="shared" si="3723"/>
        <v>0.25531914893617019</v>
      </c>
      <c r="L6936" s="1212" t="s">
        <v>4121</v>
      </c>
      <c r="M6936" s="468"/>
      <c r="N6936" s="1192">
        <f t="shared" si="3728"/>
        <v>45468</v>
      </c>
      <c r="O6936" s="71" t="s">
        <v>3298</v>
      </c>
      <c r="P6936" s="103" t="str">
        <f t="shared" si="3725"/>
        <v>6월분 Apogee 사용료</v>
      </c>
      <c r="Q6936" s="71">
        <f t="shared" si="3719"/>
        <v>1</v>
      </c>
      <c r="R6936" s="147">
        <v>1750000</v>
      </c>
      <c r="S6936" s="102">
        <f t="shared" si="3726"/>
        <v>1925000.0000000002</v>
      </c>
      <c r="T6936" s="102">
        <f t="shared" si="3727"/>
        <v>1750000</v>
      </c>
      <c r="U6936" s="71"/>
      <c r="V6936" s="71"/>
      <c r="W6936" s="474"/>
      <c r="X6936" s="71"/>
      <c r="Y6936" s="71"/>
    </row>
    <row r="6937" spans="1:25" ht="30" hidden="1" customHeight="1" x14ac:dyDescent="0.25">
      <c r="A6937" s="1145">
        <v>45467</v>
      </c>
      <c r="B6937" s="664" t="s">
        <v>26</v>
      </c>
      <c r="C6937" s="71" t="s">
        <v>2087</v>
      </c>
      <c r="D6937" s="71">
        <v>5</v>
      </c>
      <c r="E6937" s="102">
        <v>65000</v>
      </c>
      <c r="F6937" s="102">
        <f t="shared" si="3720"/>
        <v>357500</v>
      </c>
      <c r="G6937" s="102">
        <f t="shared" si="3721"/>
        <v>325000</v>
      </c>
      <c r="H6937" s="690" t="s">
        <v>172</v>
      </c>
      <c r="I6937" s="71" t="s">
        <v>3295</v>
      </c>
      <c r="J6937" s="53">
        <f t="shared" si="3722"/>
        <v>75000</v>
      </c>
      <c r="K6937" s="63">
        <f t="shared" si="3723"/>
        <v>0.23076923076923078</v>
      </c>
      <c r="L6937" s="1212" t="s">
        <v>4121</v>
      </c>
      <c r="M6937" s="468"/>
      <c r="N6937" s="1192">
        <f t="shared" si="3728"/>
        <v>45467</v>
      </c>
      <c r="O6937" s="71" t="s">
        <v>152</v>
      </c>
      <c r="P6937" s="103" t="str">
        <f t="shared" si="3725"/>
        <v>아스테이지(국전)</v>
      </c>
      <c r="Q6937" s="71">
        <f t="shared" si="3719"/>
        <v>5</v>
      </c>
      <c r="R6937" s="102">
        <v>50000</v>
      </c>
      <c r="S6937" s="102">
        <f t="shared" si="3726"/>
        <v>275000</v>
      </c>
      <c r="T6937" s="102">
        <f t="shared" si="3727"/>
        <v>250000</v>
      </c>
      <c r="U6937" s="71" t="s">
        <v>1915</v>
      </c>
      <c r="V6937" s="71"/>
      <c r="W6937" s="474">
        <v>150000</v>
      </c>
      <c r="X6937" s="71"/>
      <c r="Y6937" s="71"/>
    </row>
    <row r="6938" spans="1:25" ht="30" hidden="1" customHeight="1" x14ac:dyDescent="0.25">
      <c r="A6938" s="1145">
        <v>45448</v>
      </c>
      <c r="B6938" s="664" t="s">
        <v>2261</v>
      </c>
      <c r="C6938" s="71" t="s">
        <v>3299</v>
      </c>
      <c r="D6938" s="71">
        <v>10</v>
      </c>
      <c r="E6938" s="102">
        <v>52000</v>
      </c>
      <c r="F6938" s="102">
        <f t="shared" si="3720"/>
        <v>572000</v>
      </c>
      <c r="G6938" s="102">
        <f t="shared" si="3721"/>
        <v>520000</v>
      </c>
      <c r="H6938" s="690" t="s">
        <v>172</v>
      </c>
      <c r="I6938" s="71" t="s">
        <v>180</v>
      </c>
      <c r="J6938" s="53">
        <f t="shared" si="3722"/>
        <v>45000</v>
      </c>
      <c r="K6938" s="63">
        <f t="shared" si="3723"/>
        <v>8.6538461538461536E-2</v>
      </c>
      <c r="L6938" s="1212" t="s">
        <v>4121</v>
      </c>
      <c r="M6938" s="468" t="s">
        <v>3835</v>
      </c>
      <c r="N6938" s="1192">
        <f t="shared" si="3728"/>
        <v>45448</v>
      </c>
      <c r="O6938" s="71" t="s">
        <v>175</v>
      </c>
      <c r="P6938" s="103" t="str">
        <f t="shared" si="3725"/>
        <v>매엽용 세척제(Wash k11)</v>
      </c>
      <c r="Q6938" s="71">
        <f t="shared" si="3719"/>
        <v>10</v>
      </c>
      <c r="R6938" s="102">
        <v>47500</v>
      </c>
      <c r="S6938" s="102">
        <f t="shared" si="3726"/>
        <v>522500.00000000006</v>
      </c>
      <c r="T6938" s="102">
        <f t="shared" si="3727"/>
        <v>475000</v>
      </c>
      <c r="U6938" s="71" t="s">
        <v>859</v>
      </c>
      <c r="V6938" s="71"/>
      <c r="W6938" s="474"/>
      <c r="X6938" s="71"/>
      <c r="Y6938" s="71"/>
    </row>
    <row r="6939" spans="1:25" s="209" customFormat="1" ht="31.5" hidden="1" customHeight="1" x14ac:dyDescent="0.2">
      <c r="A6939" s="1145">
        <v>45448</v>
      </c>
      <c r="B6939" s="664" t="s">
        <v>3289</v>
      </c>
      <c r="C6939" s="71" t="s">
        <v>3387</v>
      </c>
      <c r="D6939" s="71">
        <v>10</v>
      </c>
      <c r="E6939" s="102">
        <v>130000</v>
      </c>
      <c r="F6939" s="102">
        <f t="shared" si="3720"/>
        <v>1430000</v>
      </c>
      <c r="G6939" s="102">
        <f t="shared" si="3721"/>
        <v>1300000</v>
      </c>
      <c r="H6939" s="165" t="s">
        <v>172</v>
      </c>
      <c r="I6939" s="71" t="s">
        <v>184</v>
      </c>
      <c r="J6939" s="53">
        <f t="shared" si="3722"/>
        <v>180000</v>
      </c>
      <c r="K6939" s="63">
        <f t="shared" si="3723"/>
        <v>0.13846153846153847</v>
      </c>
      <c r="L6939" s="1212" t="s">
        <v>4121</v>
      </c>
      <c r="M6939" s="468"/>
      <c r="N6939" s="1192">
        <f t="shared" si="3728"/>
        <v>45448</v>
      </c>
      <c r="O6939" s="71" t="s">
        <v>189</v>
      </c>
      <c r="P6939" s="103" t="str">
        <f t="shared" si="3725"/>
        <v>Blanket(990*725)</v>
      </c>
      <c r="Q6939" s="71">
        <f t="shared" si="3719"/>
        <v>10</v>
      </c>
      <c r="R6939" s="102">
        <v>112000</v>
      </c>
      <c r="S6939" s="102">
        <f t="shared" si="3726"/>
        <v>1232000</v>
      </c>
      <c r="T6939" s="102">
        <f t="shared" si="3727"/>
        <v>1120000</v>
      </c>
      <c r="U6939" s="71" t="str">
        <f>IF(J6939=W6939,"O", "X")</f>
        <v>X</v>
      </c>
      <c r="V6939" s="71"/>
      <c r="W6939" s="474">
        <v>80000</v>
      </c>
      <c r="X6939" s="71"/>
      <c r="Y6939" s="71"/>
    </row>
    <row r="6940" spans="1:25" ht="30" hidden="1" customHeight="1" x14ac:dyDescent="0.25">
      <c r="A6940" s="1145">
        <v>45453</v>
      </c>
      <c r="B6940" s="664" t="s">
        <v>2261</v>
      </c>
      <c r="C6940" s="760" t="s">
        <v>181</v>
      </c>
      <c r="D6940" s="71">
        <v>10</v>
      </c>
      <c r="E6940" s="102">
        <v>193000</v>
      </c>
      <c r="F6940" s="102">
        <f t="shared" si="3720"/>
        <v>2123000</v>
      </c>
      <c r="G6940" s="102">
        <f t="shared" si="3721"/>
        <v>1930000</v>
      </c>
      <c r="H6940" s="690" t="s">
        <v>2029</v>
      </c>
      <c r="I6940" s="71" t="s">
        <v>182</v>
      </c>
      <c r="J6940" s="53">
        <f t="shared" si="3722"/>
        <v>690000</v>
      </c>
      <c r="K6940" s="63">
        <f t="shared" si="3723"/>
        <v>0.35751295336787564</v>
      </c>
      <c r="L6940" s="1212" t="s">
        <v>4121</v>
      </c>
      <c r="M6940" s="468"/>
      <c r="N6940" s="1192">
        <f t="shared" si="3728"/>
        <v>45453</v>
      </c>
      <c r="O6940" s="71" t="s">
        <v>2030</v>
      </c>
      <c r="P6940" s="103" t="str">
        <f t="shared" si="3725"/>
        <v>Fount Web 551AF</v>
      </c>
      <c r="Q6940" s="71">
        <f t="shared" si="3719"/>
        <v>10</v>
      </c>
      <c r="R6940" s="102">
        <v>124000</v>
      </c>
      <c r="S6940" s="102">
        <f t="shared" si="3726"/>
        <v>1364000</v>
      </c>
      <c r="T6940" s="102">
        <f t="shared" si="3727"/>
        <v>1240000</v>
      </c>
      <c r="U6940" s="71" t="str">
        <f>IF(J6940=W6940,"O", "X")</f>
        <v>X</v>
      </c>
      <c r="V6940" s="71"/>
      <c r="W6940" s="474">
        <v>640000</v>
      </c>
      <c r="X6940" s="71"/>
      <c r="Y6940" s="71"/>
    </row>
    <row r="6941" spans="1:25" ht="30" hidden="1" customHeight="1" x14ac:dyDescent="0.25">
      <c r="A6941" s="1145">
        <v>45453</v>
      </c>
      <c r="B6941" s="664" t="s">
        <v>2261</v>
      </c>
      <c r="C6941" s="71" t="s">
        <v>277</v>
      </c>
      <c r="D6941" s="71">
        <v>10</v>
      </c>
      <c r="E6941" s="102">
        <v>172000</v>
      </c>
      <c r="F6941" s="102">
        <f t="shared" si="3720"/>
        <v>1892000.0000000002</v>
      </c>
      <c r="G6941" s="102">
        <f t="shared" si="3721"/>
        <v>1720000</v>
      </c>
      <c r="H6941" s="690" t="s">
        <v>172</v>
      </c>
      <c r="I6941" s="71" t="s">
        <v>108</v>
      </c>
      <c r="J6941" s="53">
        <f t="shared" si="3722"/>
        <v>390000</v>
      </c>
      <c r="K6941" s="63">
        <f t="shared" si="3723"/>
        <v>0.22674418604651159</v>
      </c>
      <c r="L6941" s="1212" t="s">
        <v>4121</v>
      </c>
      <c r="M6941" s="468"/>
      <c r="N6941" s="1192">
        <f t="shared" si="3728"/>
        <v>45453</v>
      </c>
      <c r="O6941" s="71" t="s">
        <v>662</v>
      </c>
      <c r="P6941" s="103" t="str">
        <f t="shared" si="3725"/>
        <v>윤전용 세척제(Web 504)</v>
      </c>
      <c r="Q6941" s="71">
        <f t="shared" si="3719"/>
        <v>10</v>
      </c>
      <c r="R6941" s="102">
        <v>133000</v>
      </c>
      <c r="S6941" s="102">
        <f t="shared" si="3726"/>
        <v>1463000.0000000002</v>
      </c>
      <c r="T6941" s="102">
        <f t="shared" si="3727"/>
        <v>1330000</v>
      </c>
      <c r="U6941" s="71" t="str">
        <f>IF(J6941=W6941,"O", "X")</f>
        <v>X</v>
      </c>
      <c r="V6941" s="71"/>
      <c r="W6941" s="474"/>
      <c r="X6941" s="71"/>
      <c r="Y6941" s="71"/>
    </row>
    <row r="6942" spans="1:25" ht="30" hidden="1" customHeight="1" x14ac:dyDescent="0.25">
      <c r="A6942" s="1145">
        <v>45456</v>
      </c>
      <c r="B6942" s="664" t="s">
        <v>2261</v>
      </c>
      <c r="C6942" s="71" t="s">
        <v>3299</v>
      </c>
      <c r="D6942" s="71">
        <v>10</v>
      </c>
      <c r="E6942" s="102">
        <v>52000</v>
      </c>
      <c r="F6942" s="102">
        <f t="shared" ref="F6942:F6954" si="3729">(E6942*D6942)*1.1</f>
        <v>572000</v>
      </c>
      <c r="G6942" s="102">
        <f t="shared" ref="G6942:G6947" si="3730">(E6942*D6942)</f>
        <v>520000</v>
      </c>
      <c r="H6942" s="690" t="s">
        <v>172</v>
      </c>
      <c r="I6942" s="71" t="s">
        <v>180</v>
      </c>
      <c r="J6942" s="53">
        <f t="shared" ref="J6942:J6961" si="3731">G6942-T6942</f>
        <v>45000</v>
      </c>
      <c r="K6942" s="63">
        <f t="shared" ref="K6942:K6961" si="3732">(J6942/(F6942/11*10))</f>
        <v>8.6538461538461536E-2</v>
      </c>
      <c r="L6942" s="1212" t="s">
        <v>4121</v>
      </c>
      <c r="M6942" s="468" t="s">
        <v>3835</v>
      </c>
      <c r="N6942" s="1192">
        <f t="shared" ref="N6942:N6947" si="3733">A6942</f>
        <v>45456</v>
      </c>
      <c r="O6942" s="71" t="s">
        <v>175</v>
      </c>
      <c r="P6942" s="103" t="str">
        <f t="shared" ref="P6942:P6945" si="3734">(C6942)</f>
        <v>매엽용 세척제(Wash k11)</v>
      </c>
      <c r="Q6942" s="71">
        <f t="shared" ref="Q6942:Q6968" si="3735">D6942</f>
        <v>10</v>
      </c>
      <c r="R6942" s="102">
        <v>47500</v>
      </c>
      <c r="S6942" s="102">
        <f t="shared" ref="S6942:S6961" si="3736">R6942*Q6942*1.1</f>
        <v>522500.00000000006</v>
      </c>
      <c r="T6942" s="102">
        <f t="shared" ref="T6942:T6961" si="3737">R6942*Q6942</f>
        <v>475000</v>
      </c>
      <c r="U6942" s="71" t="s">
        <v>859</v>
      </c>
      <c r="V6942" s="71"/>
      <c r="W6942" s="474"/>
      <c r="X6942" s="71"/>
      <c r="Y6942" s="71"/>
    </row>
    <row r="6943" spans="1:25" ht="30" hidden="1" customHeight="1" x14ac:dyDescent="0.25">
      <c r="A6943" s="1145">
        <v>45463</v>
      </c>
      <c r="B6943" s="664" t="s">
        <v>2261</v>
      </c>
      <c r="C6943" s="760" t="s">
        <v>181</v>
      </c>
      <c r="D6943" s="71">
        <v>10</v>
      </c>
      <c r="E6943" s="102">
        <v>193000</v>
      </c>
      <c r="F6943" s="102">
        <f t="shared" si="3729"/>
        <v>2123000</v>
      </c>
      <c r="G6943" s="102">
        <f t="shared" si="3730"/>
        <v>1930000</v>
      </c>
      <c r="H6943" s="690" t="s">
        <v>2029</v>
      </c>
      <c r="I6943" s="71" t="s">
        <v>182</v>
      </c>
      <c r="J6943" s="53">
        <f t="shared" si="3731"/>
        <v>690000</v>
      </c>
      <c r="K6943" s="63">
        <f t="shared" si="3732"/>
        <v>0.35751295336787564</v>
      </c>
      <c r="L6943" s="1212" t="s">
        <v>4121</v>
      </c>
      <c r="M6943" s="468"/>
      <c r="N6943" s="1192">
        <f t="shared" si="3733"/>
        <v>45463</v>
      </c>
      <c r="O6943" s="71" t="s">
        <v>2030</v>
      </c>
      <c r="P6943" s="103" t="str">
        <f t="shared" si="3734"/>
        <v>Fount Web 551AF</v>
      </c>
      <c r="Q6943" s="71">
        <f t="shared" si="3735"/>
        <v>10</v>
      </c>
      <c r="R6943" s="102">
        <v>124000</v>
      </c>
      <c r="S6943" s="102">
        <f t="shared" si="3736"/>
        <v>1364000</v>
      </c>
      <c r="T6943" s="102">
        <f t="shared" si="3737"/>
        <v>1240000</v>
      </c>
      <c r="U6943" s="71" t="str">
        <f>IF(J6943=W6943,"O", "X")</f>
        <v>X</v>
      </c>
      <c r="V6943" s="71"/>
      <c r="W6943" s="474">
        <v>640000</v>
      </c>
      <c r="X6943" s="71"/>
      <c r="Y6943" s="71"/>
    </row>
    <row r="6944" spans="1:25" s="209" customFormat="1" ht="31.5" hidden="1" customHeight="1" x14ac:dyDescent="0.2">
      <c r="A6944" s="1145">
        <v>45463</v>
      </c>
      <c r="B6944" s="664" t="s">
        <v>3289</v>
      </c>
      <c r="C6944" s="71" t="s">
        <v>3387</v>
      </c>
      <c r="D6944" s="71">
        <v>10</v>
      </c>
      <c r="E6944" s="102">
        <v>130000</v>
      </c>
      <c r="F6944" s="102">
        <f t="shared" si="3729"/>
        <v>1430000</v>
      </c>
      <c r="G6944" s="102">
        <f t="shared" si="3730"/>
        <v>1300000</v>
      </c>
      <c r="H6944" s="165" t="s">
        <v>172</v>
      </c>
      <c r="I6944" s="71" t="s">
        <v>184</v>
      </c>
      <c r="J6944" s="53">
        <f t="shared" si="3731"/>
        <v>180000</v>
      </c>
      <c r="K6944" s="63">
        <f t="shared" si="3732"/>
        <v>0.13846153846153847</v>
      </c>
      <c r="L6944" s="1212" t="s">
        <v>4121</v>
      </c>
      <c r="M6944" s="468"/>
      <c r="N6944" s="1192">
        <f t="shared" si="3733"/>
        <v>45463</v>
      </c>
      <c r="O6944" s="71" t="s">
        <v>189</v>
      </c>
      <c r="P6944" s="103" t="str">
        <f t="shared" si="3734"/>
        <v>Blanket(990*725)</v>
      </c>
      <c r="Q6944" s="71">
        <f t="shared" si="3735"/>
        <v>10</v>
      </c>
      <c r="R6944" s="102">
        <v>112000</v>
      </c>
      <c r="S6944" s="102">
        <f t="shared" si="3736"/>
        <v>1232000</v>
      </c>
      <c r="T6944" s="102">
        <f t="shared" si="3737"/>
        <v>1120000</v>
      </c>
      <c r="U6944" s="71" t="str">
        <f>IF(J6944=W6944,"O", "X")</f>
        <v>X</v>
      </c>
      <c r="V6944" s="71"/>
      <c r="W6944" s="474">
        <v>80000</v>
      </c>
      <c r="X6944" s="71"/>
      <c r="Y6944" s="71"/>
    </row>
    <row r="6945" spans="1:25" s="209" customFormat="1" ht="31.5" hidden="1" customHeight="1" x14ac:dyDescent="0.2">
      <c r="A6945" s="1145">
        <v>45460</v>
      </c>
      <c r="B6945" s="664" t="s">
        <v>4059</v>
      </c>
      <c r="C6945" s="71" t="s">
        <v>4061</v>
      </c>
      <c r="D6945" s="71">
        <v>10</v>
      </c>
      <c r="E6945" s="102">
        <v>130000</v>
      </c>
      <c r="F6945" s="102">
        <f t="shared" si="3729"/>
        <v>1430000</v>
      </c>
      <c r="G6945" s="102">
        <f t="shared" si="3730"/>
        <v>1300000</v>
      </c>
      <c r="H6945" s="165" t="s">
        <v>172</v>
      </c>
      <c r="I6945" s="71" t="s">
        <v>184</v>
      </c>
      <c r="J6945" s="53">
        <f t="shared" si="3731"/>
        <v>180000</v>
      </c>
      <c r="K6945" s="63">
        <f t="shared" si="3732"/>
        <v>0.13846153846153847</v>
      </c>
      <c r="L6945" s="1212" t="s">
        <v>4121</v>
      </c>
      <c r="M6945" s="468"/>
      <c r="N6945" s="1192">
        <f t="shared" si="3733"/>
        <v>45460</v>
      </c>
      <c r="O6945" s="71" t="s">
        <v>189</v>
      </c>
      <c r="P6945" s="103" t="str">
        <f t="shared" si="3734"/>
        <v>M600 Blanket(990*725)</v>
      </c>
      <c r="Q6945" s="71">
        <f t="shared" si="3735"/>
        <v>10</v>
      </c>
      <c r="R6945" s="102">
        <v>112000</v>
      </c>
      <c r="S6945" s="102">
        <f t="shared" si="3736"/>
        <v>1232000</v>
      </c>
      <c r="T6945" s="102">
        <f t="shared" si="3737"/>
        <v>1120000</v>
      </c>
      <c r="U6945" s="71" t="str">
        <f>IF(J6945=W6945,"O", "X")</f>
        <v>X</v>
      </c>
      <c r="V6945" s="71"/>
      <c r="W6945" s="474">
        <v>80000</v>
      </c>
      <c r="X6945" s="71"/>
      <c r="Y6945" s="71"/>
    </row>
    <row r="6946" spans="1:25" s="209" customFormat="1" ht="30" hidden="1" customHeight="1" x14ac:dyDescent="0.25">
      <c r="A6946" s="1145">
        <v>45446</v>
      </c>
      <c r="B6946" s="664" t="s">
        <v>442</v>
      </c>
      <c r="C6946" s="71" t="s">
        <v>3833</v>
      </c>
      <c r="D6946" s="71">
        <v>1000</v>
      </c>
      <c r="E6946" s="102">
        <v>4250</v>
      </c>
      <c r="F6946" s="102">
        <f t="shared" si="3729"/>
        <v>4675000</v>
      </c>
      <c r="G6946" s="102">
        <f t="shared" si="3730"/>
        <v>4250000</v>
      </c>
      <c r="H6946" s="690" t="s">
        <v>2029</v>
      </c>
      <c r="I6946" s="71" t="s">
        <v>2230</v>
      </c>
      <c r="J6946" s="53">
        <f t="shared" si="3731"/>
        <v>800000</v>
      </c>
      <c r="K6946" s="63">
        <f t="shared" si="3732"/>
        <v>0.18823529411764706</v>
      </c>
      <c r="L6946" s="1212" t="s">
        <v>4121</v>
      </c>
      <c r="M6946" s="468"/>
      <c r="N6946" s="1192">
        <f t="shared" si="3733"/>
        <v>45446</v>
      </c>
      <c r="O6946" s="71" t="s">
        <v>2030</v>
      </c>
      <c r="P6946" s="164" t="s">
        <v>3777</v>
      </c>
      <c r="Q6946" s="71">
        <f t="shared" si="3735"/>
        <v>1000</v>
      </c>
      <c r="R6946" s="102">
        <v>3450</v>
      </c>
      <c r="S6946" s="102">
        <f t="shared" si="3736"/>
        <v>3795000.0000000005</v>
      </c>
      <c r="T6946" s="102">
        <f t="shared" si="3737"/>
        <v>3450000</v>
      </c>
      <c r="U6946" s="71"/>
      <c r="V6946" s="71"/>
      <c r="W6946" s="474"/>
      <c r="X6946" s="71"/>
      <c r="Y6946" s="71"/>
    </row>
    <row r="6947" spans="1:25" ht="30" hidden="1" customHeight="1" x14ac:dyDescent="0.25">
      <c r="A6947" s="1145">
        <v>45446</v>
      </c>
      <c r="B6947" s="664" t="s">
        <v>442</v>
      </c>
      <c r="C6947" s="71" t="s">
        <v>3834</v>
      </c>
      <c r="D6947" s="71">
        <v>12</v>
      </c>
      <c r="E6947" s="102">
        <v>57000</v>
      </c>
      <c r="F6947" s="102">
        <f t="shared" si="3729"/>
        <v>752400.00000000012</v>
      </c>
      <c r="G6947" s="102">
        <f t="shared" si="3730"/>
        <v>684000</v>
      </c>
      <c r="H6947" s="690" t="s">
        <v>2029</v>
      </c>
      <c r="I6947" s="71" t="s">
        <v>2230</v>
      </c>
      <c r="J6947" s="53">
        <f t="shared" si="3731"/>
        <v>208080</v>
      </c>
      <c r="K6947" s="63">
        <f t="shared" si="3732"/>
        <v>0.30421052631578943</v>
      </c>
      <c r="L6947" s="1212" t="s">
        <v>4121</v>
      </c>
      <c r="M6947" s="468"/>
      <c r="N6947" s="1192">
        <f t="shared" si="3733"/>
        <v>45446</v>
      </c>
      <c r="O6947" s="71" t="s">
        <v>2030</v>
      </c>
      <c r="P6947" s="103" t="s">
        <v>1026</v>
      </c>
      <c r="Q6947" s="71">
        <f t="shared" si="3735"/>
        <v>12</v>
      </c>
      <c r="R6947" s="102">
        <v>39660</v>
      </c>
      <c r="S6947" s="102">
        <f t="shared" si="3736"/>
        <v>523512.00000000006</v>
      </c>
      <c r="T6947" s="102">
        <f t="shared" si="3737"/>
        <v>475920</v>
      </c>
      <c r="U6947" s="71"/>
      <c r="V6947" s="71"/>
      <c r="W6947" s="474"/>
      <c r="X6947" s="71"/>
      <c r="Y6947" s="71"/>
    </row>
    <row r="6948" spans="1:25" ht="30" hidden="1" customHeight="1" x14ac:dyDescent="0.25">
      <c r="A6948" s="1145">
        <v>45446</v>
      </c>
      <c r="B6948" s="664" t="s">
        <v>2</v>
      </c>
      <c r="C6948" s="71" t="s">
        <v>2075</v>
      </c>
      <c r="D6948" s="71">
        <v>1</v>
      </c>
      <c r="E6948" s="102">
        <v>98000</v>
      </c>
      <c r="F6948" s="102">
        <f t="shared" si="3729"/>
        <v>107800.00000000001</v>
      </c>
      <c r="G6948" s="102">
        <f>(E6948*D6948)</f>
        <v>98000</v>
      </c>
      <c r="H6948" s="690" t="s">
        <v>2029</v>
      </c>
      <c r="I6948" s="71" t="s">
        <v>2230</v>
      </c>
      <c r="J6948" s="53">
        <f t="shared" si="3731"/>
        <v>6000</v>
      </c>
      <c r="K6948" s="63">
        <f t="shared" si="3732"/>
        <v>6.1224489795918359E-2</v>
      </c>
      <c r="L6948" s="1212" t="s">
        <v>4121</v>
      </c>
      <c r="M6948" s="468"/>
      <c r="N6948" s="1192">
        <f>A6948</f>
        <v>45446</v>
      </c>
      <c r="O6948" s="71" t="s">
        <v>150</v>
      </c>
      <c r="P6948" s="103" t="str">
        <f>C6948</f>
        <v>CTP 고무액</v>
      </c>
      <c r="Q6948" s="71">
        <f t="shared" si="3735"/>
        <v>1</v>
      </c>
      <c r="R6948" s="102">
        <v>92000</v>
      </c>
      <c r="S6948" s="102">
        <f t="shared" si="3736"/>
        <v>101200.00000000001</v>
      </c>
      <c r="T6948" s="102">
        <f t="shared" si="3737"/>
        <v>92000</v>
      </c>
      <c r="U6948" s="71" t="str">
        <f>IF(J6948=W6948,"O", "X")</f>
        <v>X</v>
      </c>
      <c r="V6948" s="71"/>
      <c r="W6948" s="474"/>
      <c r="X6948" s="71"/>
      <c r="Y6948" s="71"/>
    </row>
    <row r="6949" spans="1:25" ht="30" hidden="1" customHeight="1" x14ac:dyDescent="0.25">
      <c r="A6949" s="1145">
        <v>45447</v>
      </c>
      <c r="B6949" s="664" t="s">
        <v>442</v>
      </c>
      <c r="C6949" s="71" t="s">
        <v>651</v>
      </c>
      <c r="D6949" s="71">
        <v>12</v>
      </c>
      <c r="E6949" s="102">
        <v>50000</v>
      </c>
      <c r="F6949" s="102">
        <f t="shared" si="3729"/>
        <v>660000</v>
      </c>
      <c r="G6949" s="102">
        <f t="shared" ref="G6949:G6954" si="3738">(E6949*D6949)</f>
        <v>600000</v>
      </c>
      <c r="H6949" s="690" t="s">
        <v>2029</v>
      </c>
      <c r="I6949" s="71" t="s">
        <v>195</v>
      </c>
      <c r="J6949" s="53">
        <f t="shared" si="3731"/>
        <v>210720</v>
      </c>
      <c r="K6949" s="63">
        <f t="shared" si="3732"/>
        <v>0.35120000000000001</v>
      </c>
      <c r="L6949" s="1212" t="s">
        <v>4121</v>
      </c>
      <c r="M6949" s="468"/>
      <c r="N6949" s="1192">
        <f t="shared" ref="N6949:N6953" si="3739">A6949</f>
        <v>45447</v>
      </c>
      <c r="O6949" s="71" t="s">
        <v>194</v>
      </c>
      <c r="P6949" s="164" t="str">
        <f>(C6949)</f>
        <v>Agfa 현상액 G101C(10L)</v>
      </c>
      <c r="Q6949" s="71">
        <f t="shared" si="3735"/>
        <v>12</v>
      </c>
      <c r="R6949" s="102">
        <v>32440</v>
      </c>
      <c r="S6949" s="102">
        <f t="shared" si="3736"/>
        <v>428208.00000000006</v>
      </c>
      <c r="T6949" s="102">
        <f t="shared" si="3737"/>
        <v>389280</v>
      </c>
      <c r="U6949" s="71" t="str">
        <f>IF(J6949=W6949,"O", "X")</f>
        <v>O</v>
      </c>
      <c r="V6949" s="71"/>
      <c r="W6949" s="474">
        <f>(G6949-T6949)</f>
        <v>210720</v>
      </c>
      <c r="X6949" s="71"/>
      <c r="Y6949" s="71"/>
    </row>
    <row r="6950" spans="1:25" ht="30" hidden="1" customHeight="1" x14ac:dyDescent="0.25">
      <c r="A6950" s="1145">
        <v>45467</v>
      </c>
      <c r="B6950" s="664" t="s">
        <v>442</v>
      </c>
      <c r="C6950" s="71" t="s">
        <v>3299</v>
      </c>
      <c r="D6950" s="71">
        <v>15</v>
      </c>
      <c r="E6950" s="102">
        <v>69000</v>
      </c>
      <c r="F6950" s="102">
        <f t="shared" si="3729"/>
        <v>1138500</v>
      </c>
      <c r="G6950" s="102">
        <f t="shared" si="3738"/>
        <v>1035000</v>
      </c>
      <c r="H6950" s="690" t="s">
        <v>172</v>
      </c>
      <c r="I6950" s="71" t="s">
        <v>180</v>
      </c>
      <c r="J6950" s="53">
        <f t="shared" si="3731"/>
        <v>322500</v>
      </c>
      <c r="K6950" s="63">
        <f t="shared" si="3732"/>
        <v>0.31159420289855072</v>
      </c>
      <c r="L6950" s="1212" t="s">
        <v>4121</v>
      </c>
      <c r="M6950" s="468" t="s">
        <v>3304</v>
      </c>
      <c r="N6950" s="1192">
        <f t="shared" si="3739"/>
        <v>45467</v>
      </c>
      <c r="O6950" s="71" t="s">
        <v>175</v>
      </c>
      <c r="P6950" s="103" t="str">
        <f t="shared" ref="P6950:P6968" si="3740">(C6950)</f>
        <v>매엽용 세척제(Wash k11)</v>
      </c>
      <c r="Q6950" s="71">
        <f t="shared" si="3735"/>
        <v>15</v>
      </c>
      <c r="R6950" s="102">
        <v>47500</v>
      </c>
      <c r="S6950" s="102">
        <f t="shared" si="3736"/>
        <v>783750.00000000012</v>
      </c>
      <c r="T6950" s="102">
        <f t="shared" si="3737"/>
        <v>712500</v>
      </c>
      <c r="U6950" s="71" t="s">
        <v>859</v>
      </c>
      <c r="V6950" s="71"/>
      <c r="W6950" s="474"/>
      <c r="X6950" s="71"/>
      <c r="Y6950" s="71"/>
    </row>
    <row r="6951" spans="1:25" ht="30" hidden="1" customHeight="1" x14ac:dyDescent="0.25">
      <c r="A6951" s="1145">
        <v>45467</v>
      </c>
      <c r="B6951" s="664" t="s">
        <v>442</v>
      </c>
      <c r="C6951" s="71" t="s">
        <v>773</v>
      </c>
      <c r="D6951" s="71">
        <v>6</v>
      </c>
      <c r="E6951" s="102">
        <v>215000</v>
      </c>
      <c r="F6951" s="102">
        <f t="shared" si="3729"/>
        <v>1419000</v>
      </c>
      <c r="G6951" s="102">
        <f t="shared" si="3738"/>
        <v>1290000</v>
      </c>
      <c r="H6951" s="690" t="s">
        <v>173</v>
      </c>
      <c r="I6951" s="71" t="s">
        <v>109</v>
      </c>
      <c r="J6951" s="53">
        <f t="shared" si="3731"/>
        <v>222000</v>
      </c>
      <c r="K6951" s="63">
        <f t="shared" si="3732"/>
        <v>0.17209302325581396</v>
      </c>
      <c r="L6951" s="1212" t="s">
        <v>4121</v>
      </c>
      <c r="M6951" s="468"/>
      <c r="N6951" s="1192">
        <f t="shared" si="3739"/>
        <v>45467</v>
      </c>
      <c r="O6951" s="71" t="s">
        <v>151</v>
      </c>
      <c r="P6951" s="103" t="str">
        <f t="shared" si="3740"/>
        <v>로랜드 전지 블랑켓(1460*1165)bar</v>
      </c>
      <c r="Q6951" s="71">
        <f t="shared" si="3735"/>
        <v>6</v>
      </c>
      <c r="R6951" s="102">
        <v>178000</v>
      </c>
      <c r="S6951" s="102">
        <f t="shared" si="3736"/>
        <v>1174800</v>
      </c>
      <c r="T6951" s="102">
        <f t="shared" si="3737"/>
        <v>1068000</v>
      </c>
      <c r="U6951" s="71" t="s">
        <v>859</v>
      </c>
      <c r="V6951" s="71"/>
      <c r="W6951" s="474">
        <v>120000</v>
      </c>
      <c r="X6951" s="71"/>
      <c r="Y6951" s="71"/>
    </row>
    <row r="6952" spans="1:25" ht="30" hidden="1" customHeight="1" x14ac:dyDescent="0.25">
      <c r="A6952" s="1145">
        <v>45453</v>
      </c>
      <c r="B6952" s="664" t="s">
        <v>3296</v>
      </c>
      <c r="C6952" s="71" t="s">
        <v>3297</v>
      </c>
      <c r="D6952" s="71">
        <v>20</v>
      </c>
      <c r="E6952" s="102">
        <v>162500</v>
      </c>
      <c r="F6952" s="102">
        <f t="shared" si="3729"/>
        <v>3575000.0000000005</v>
      </c>
      <c r="G6952" s="102">
        <f t="shared" si="3738"/>
        <v>3250000</v>
      </c>
      <c r="H6952" s="690" t="s">
        <v>172</v>
      </c>
      <c r="I6952" s="71" t="s">
        <v>3295</v>
      </c>
      <c r="J6952" s="53">
        <f t="shared" si="3731"/>
        <v>850000</v>
      </c>
      <c r="K6952" s="63">
        <f t="shared" si="3732"/>
        <v>0.2615384615384615</v>
      </c>
      <c r="L6952" s="1212" t="s">
        <v>4121</v>
      </c>
      <c r="M6952" s="468"/>
      <c r="N6952" s="1192">
        <f t="shared" si="3739"/>
        <v>45453</v>
      </c>
      <c r="O6952" s="71" t="s">
        <v>662</v>
      </c>
      <c r="P6952" s="103" t="str">
        <f t="shared" si="3740"/>
        <v>실리콘 에멀전</v>
      </c>
      <c r="Q6952" s="71">
        <f t="shared" si="3735"/>
        <v>20</v>
      </c>
      <c r="R6952" s="102">
        <v>120000</v>
      </c>
      <c r="S6952" s="102">
        <f t="shared" si="3736"/>
        <v>2640000</v>
      </c>
      <c r="T6952" s="102">
        <f t="shared" si="3737"/>
        <v>2400000</v>
      </c>
      <c r="U6952" s="71" t="str">
        <f t="shared" ref="U6952:U6953" si="3741">IF(J6952=W6952,"O", "X")</f>
        <v>X</v>
      </c>
      <c r="V6952" s="71"/>
      <c r="W6952" s="474"/>
      <c r="X6952" s="71"/>
      <c r="Y6952" s="71"/>
    </row>
    <row r="6953" spans="1:25" ht="30" hidden="1" customHeight="1" x14ac:dyDescent="0.25">
      <c r="A6953" s="1145">
        <v>45467</v>
      </c>
      <c r="B6953" s="664" t="s">
        <v>3296</v>
      </c>
      <c r="C6953" s="71" t="s">
        <v>3297</v>
      </c>
      <c r="D6953" s="71">
        <v>20</v>
      </c>
      <c r="E6953" s="102">
        <v>162500</v>
      </c>
      <c r="F6953" s="102">
        <f t="shared" si="3729"/>
        <v>3575000.0000000005</v>
      </c>
      <c r="G6953" s="102">
        <f t="shared" si="3738"/>
        <v>3250000</v>
      </c>
      <c r="H6953" s="690" t="s">
        <v>172</v>
      </c>
      <c r="I6953" s="71" t="s">
        <v>3295</v>
      </c>
      <c r="J6953" s="53">
        <f t="shared" si="3731"/>
        <v>850000</v>
      </c>
      <c r="K6953" s="63">
        <f t="shared" si="3732"/>
        <v>0.2615384615384615</v>
      </c>
      <c r="L6953" s="1212" t="s">
        <v>4121</v>
      </c>
      <c r="M6953" s="468"/>
      <c r="N6953" s="1192">
        <f t="shared" si="3739"/>
        <v>45467</v>
      </c>
      <c r="O6953" s="71" t="s">
        <v>662</v>
      </c>
      <c r="P6953" s="103" t="str">
        <f t="shared" si="3740"/>
        <v>실리콘 에멀전</v>
      </c>
      <c r="Q6953" s="71">
        <f t="shared" si="3735"/>
        <v>20</v>
      </c>
      <c r="R6953" s="102">
        <v>120000</v>
      </c>
      <c r="S6953" s="102">
        <f t="shared" si="3736"/>
        <v>2640000</v>
      </c>
      <c r="T6953" s="102">
        <f t="shared" si="3737"/>
        <v>2400000</v>
      </c>
      <c r="U6953" s="71" t="str">
        <f t="shared" si="3741"/>
        <v>X</v>
      </c>
      <c r="V6953" s="71"/>
      <c r="W6953" s="474"/>
      <c r="X6953" s="71"/>
      <c r="Y6953" s="71"/>
    </row>
    <row r="6954" spans="1:25" ht="30" hidden="1" customHeight="1" x14ac:dyDescent="0.25">
      <c r="A6954" s="1145">
        <v>45448</v>
      </c>
      <c r="B6954" s="664" t="s">
        <v>809</v>
      </c>
      <c r="C6954" s="71" t="s">
        <v>4028</v>
      </c>
      <c r="D6954" s="71">
        <v>25</v>
      </c>
      <c r="E6954" s="102">
        <v>125000</v>
      </c>
      <c r="F6954" s="102">
        <f t="shared" si="3729"/>
        <v>3437500.0000000005</v>
      </c>
      <c r="G6954" s="102">
        <f t="shared" si="3738"/>
        <v>3125000</v>
      </c>
      <c r="H6954" s="690" t="s">
        <v>172</v>
      </c>
      <c r="I6954" s="71" t="s">
        <v>33</v>
      </c>
      <c r="J6954" s="53">
        <f t="shared" si="3731"/>
        <v>492500</v>
      </c>
      <c r="K6954" s="63">
        <f t="shared" si="3732"/>
        <v>0.15759999999999999</v>
      </c>
      <c r="L6954" s="1212" t="s">
        <v>4121</v>
      </c>
      <c r="M6954" s="102"/>
      <c r="N6954" s="1192"/>
      <c r="O6954" s="71" t="s">
        <v>147</v>
      </c>
      <c r="P6954" s="103" t="str">
        <f t="shared" si="3740"/>
        <v>Blanket(1077*885)</v>
      </c>
      <c r="Q6954" s="71">
        <f t="shared" si="3735"/>
        <v>25</v>
      </c>
      <c r="R6954" s="102">
        <v>105300</v>
      </c>
      <c r="S6954" s="102">
        <f t="shared" si="3736"/>
        <v>2895750.0000000005</v>
      </c>
      <c r="T6954" s="102">
        <f t="shared" si="3737"/>
        <v>2632500</v>
      </c>
      <c r="U6954" s="71"/>
      <c r="V6954" s="71"/>
      <c r="W6954" s="474"/>
      <c r="X6954" s="71"/>
      <c r="Y6954" s="71"/>
    </row>
    <row r="6955" spans="1:25" ht="30" hidden="1" customHeight="1" x14ac:dyDescent="0.25">
      <c r="A6955" s="1145">
        <v>45448</v>
      </c>
      <c r="B6955" s="664" t="s">
        <v>548</v>
      </c>
      <c r="C6955" s="71" t="s">
        <v>3384</v>
      </c>
      <c r="D6955" s="71">
        <v>200</v>
      </c>
      <c r="E6955" s="102">
        <v>450</v>
      </c>
      <c r="F6955" s="102">
        <f>(E6955*D6955)*1.1</f>
        <v>99000.000000000015</v>
      </c>
      <c r="G6955" s="102">
        <f>(E6955*D6955)</f>
        <v>90000</v>
      </c>
      <c r="H6955" s="690" t="s">
        <v>2029</v>
      </c>
      <c r="I6955" s="71" t="s">
        <v>3385</v>
      </c>
      <c r="J6955" s="53">
        <f t="shared" si="3731"/>
        <v>26000</v>
      </c>
      <c r="K6955" s="63">
        <f t="shared" si="3732"/>
        <v>0.28888888888888886</v>
      </c>
      <c r="L6955" s="1212" t="s">
        <v>4121</v>
      </c>
      <c r="M6955" s="468"/>
      <c r="N6955" s="1192">
        <f t="shared" ref="N6955:N6961" si="3742">A6955</f>
        <v>45448</v>
      </c>
      <c r="O6955" s="71" t="s">
        <v>2030</v>
      </c>
      <c r="P6955" s="103" t="str">
        <f t="shared" si="3740"/>
        <v>고무사카 빨간색</v>
      </c>
      <c r="Q6955" s="71">
        <f t="shared" si="3735"/>
        <v>200</v>
      </c>
      <c r="R6955" s="102">
        <v>320</v>
      </c>
      <c r="S6955" s="102">
        <f t="shared" si="3736"/>
        <v>70400</v>
      </c>
      <c r="T6955" s="102">
        <f t="shared" si="3737"/>
        <v>64000</v>
      </c>
      <c r="U6955" s="71"/>
      <c r="V6955" s="71"/>
      <c r="W6955" s="474"/>
      <c r="X6955" s="71"/>
      <c r="Y6955" s="71"/>
    </row>
    <row r="6956" spans="1:25" ht="30" hidden="1" customHeight="1" x14ac:dyDescent="0.25">
      <c r="A6956" s="1145">
        <v>45471</v>
      </c>
      <c r="B6956" s="664" t="s">
        <v>3830</v>
      </c>
      <c r="C6956" s="71" t="s">
        <v>2577</v>
      </c>
      <c r="D6956" s="71">
        <v>1679</v>
      </c>
      <c r="E6956" s="102">
        <v>1550</v>
      </c>
      <c r="F6956" s="102">
        <f t="shared" ref="F6956:F6968" si="3743">(E6956*D6956)*1.1</f>
        <v>2862695</v>
      </c>
      <c r="G6956" s="102">
        <f t="shared" ref="G6956:G6968" si="3744">(E6956*D6956)</f>
        <v>2602450</v>
      </c>
      <c r="H6956" s="690" t="s">
        <v>2029</v>
      </c>
      <c r="I6956" s="71" t="s">
        <v>2273</v>
      </c>
      <c r="J6956" s="53">
        <f t="shared" si="3731"/>
        <v>2602450</v>
      </c>
      <c r="K6956" s="63">
        <f t="shared" si="3732"/>
        <v>1</v>
      </c>
      <c r="L6956" s="1212" t="s">
        <v>4121</v>
      </c>
      <c r="M6956" s="468"/>
      <c r="N6956" s="1192">
        <f t="shared" si="3742"/>
        <v>45471</v>
      </c>
      <c r="O6956" s="71"/>
      <c r="P6956" s="103" t="str">
        <f t="shared" si="3740"/>
        <v>CTP 폐판</v>
      </c>
      <c r="Q6956" s="71">
        <f t="shared" si="3735"/>
        <v>1679</v>
      </c>
      <c r="R6956" s="147"/>
      <c r="S6956" s="102">
        <f t="shared" si="3736"/>
        <v>0</v>
      </c>
      <c r="T6956" s="102">
        <f t="shared" si="3737"/>
        <v>0</v>
      </c>
      <c r="U6956" s="71"/>
      <c r="V6956" s="71"/>
      <c r="W6956" s="474"/>
      <c r="X6956" s="71"/>
      <c r="Y6956" s="71"/>
    </row>
    <row r="6957" spans="1:25" ht="30" hidden="1" customHeight="1" x14ac:dyDescent="0.25">
      <c r="A6957" s="1145">
        <v>45447</v>
      </c>
      <c r="B6957" s="664" t="s">
        <v>2798</v>
      </c>
      <c r="C6957" s="71" t="s">
        <v>3290</v>
      </c>
      <c r="D6957" s="71">
        <v>1</v>
      </c>
      <c r="E6957" s="102">
        <v>780000</v>
      </c>
      <c r="F6957" s="102">
        <f t="shared" si="3743"/>
        <v>858000.00000000012</v>
      </c>
      <c r="G6957" s="102">
        <f t="shared" si="3744"/>
        <v>780000</v>
      </c>
      <c r="H6957" s="690" t="s">
        <v>172</v>
      </c>
      <c r="I6957" s="71" t="s">
        <v>38</v>
      </c>
      <c r="J6957" s="53">
        <f t="shared" si="3731"/>
        <v>318000</v>
      </c>
      <c r="K6957" s="63">
        <f t="shared" si="3732"/>
        <v>0.40769230769230763</v>
      </c>
      <c r="L6957" s="1212" t="s">
        <v>4121</v>
      </c>
      <c r="M6957" s="468"/>
      <c r="N6957" s="1192">
        <f t="shared" si="3742"/>
        <v>45447</v>
      </c>
      <c r="O6957" s="71" t="s">
        <v>3291</v>
      </c>
      <c r="P6957" s="103" t="str">
        <f t="shared" si="3740"/>
        <v>점보롤 세정포</v>
      </c>
      <c r="Q6957" s="71">
        <f t="shared" si="3735"/>
        <v>1</v>
      </c>
      <c r="R6957" s="102">
        <v>462000</v>
      </c>
      <c r="S6957" s="102">
        <f t="shared" si="3736"/>
        <v>508200.00000000006</v>
      </c>
      <c r="T6957" s="102">
        <f t="shared" si="3737"/>
        <v>462000</v>
      </c>
      <c r="U6957" s="71" t="str">
        <f>IF(J6957=W6957,"O", "X")</f>
        <v>O</v>
      </c>
      <c r="V6957" s="71" t="s">
        <v>3292</v>
      </c>
      <c r="W6957" s="474">
        <f>(G6957-T6957)</f>
        <v>318000</v>
      </c>
      <c r="X6957" s="71"/>
      <c r="Y6957" s="71"/>
    </row>
    <row r="6958" spans="1:25" ht="30" hidden="1" customHeight="1" x14ac:dyDescent="0.25">
      <c r="A6958" s="1145">
        <v>45454</v>
      </c>
      <c r="B6958" s="664" t="s">
        <v>444</v>
      </c>
      <c r="C6958" s="71" t="s">
        <v>3399</v>
      </c>
      <c r="D6958" s="71">
        <v>10</v>
      </c>
      <c r="E6958" s="102">
        <v>195000</v>
      </c>
      <c r="F6958" s="102">
        <f t="shared" si="3743"/>
        <v>2145000</v>
      </c>
      <c r="G6958" s="102">
        <f t="shared" si="3744"/>
        <v>1950000</v>
      </c>
      <c r="H6958" s="690" t="s">
        <v>2029</v>
      </c>
      <c r="I6958" s="71" t="s">
        <v>180</v>
      </c>
      <c r="J6958" s="53">
        <f t="shared" si="3731"/>
        <v>450000</v>
      </c>
      <c r="K6958" s="63">
        <f t="shared" si="3732"/>
        <v>0.23076923076923078</v>
      </c>
      <c r="L6958" s="1212" t="s">
        <v>4121</v>
      </c>
      <c r="M6958" s="468"/>
      <c r="N6958" s="1192">
        <f t="shared" si="3742"/>
        <v>45454</v>
      </c>
      <c r="O6958" s="71" t="s">
        <v>191</v>
      </c>
      <c r="P6958" s="103" t="str">
        <f t="shared" si="3740"/>
        <v>UV wash offset UV</v>
      </c>
      <c r="Q6958" s="71">
        <f t="shared" si="3735"/>
        <v>10</v>
      </c>
      <c r="R6958" s="102">
        <v>150000</v>
      </c>
      <c r="S6958" s="102">
        <f t="shared" si="3736"/>
        <v>1650000.0000000002</v>
      </c>
      <c r="T6958" s="102">
        <f t="shared" si="3737"/>
        <v>1500000</v>
      </c>
      <c r="U6958" s="71"/>
      <c r="V6958" s="71"/>
      <c r="W6958" s="474"/>
      <c r="X6958" s="71"/>
      <c r="Y6958" s="71"/>
    </row>
    <row r="6959" spans="1:25" s="209" customFormat="1" ht="30" hidden="1" customHeight="1" x14ac:dyDescent="0.25">
      <c r="A6959" s="1145">
        <v>45453</v>
      </c>
      <c r="B6959" s="664" t="s">
        <v>411</v>
      </c>
      <c r="C6959" s="71" t="s">
        <v>3413</v>
      </c>
      <c r="D6959" s="71">
        <v>10</v>
      </c>
      <c r="E6959" s="102">
        <v>80000</v>
      </c>
      <c r="F6959" s="102">
        <f t="shared" si="3743"/>
        <v>880000.00000000012</v>
      </c>
      <c r="G6959" s="102">
        <f t="shared" si="3744"/>
        <v>800000</v>
      </c>
      <c r="H6959" s="690" t="s">
        <v>2029</v>
      </c>
      <c r="I6959" s="71" t="s">
        <v>3385</v>
      </c>
      <c r="J6959" s="53">
        <f t="shared" si="3731"/>
        <v>300000</v>
      </c>
      <c r="K6959" s="63">
        <f t="shared" si="3732"/>
        <v>0.37499999999999994</v>
      </c>
      <c r="L6959" s="1212" t="s">
        <v>4121</v>
      </c>
      <c r="M6959" s="468"/>
      <c r="N6959" s="1192">
        <f t="shared" si="3742"/>
        <v>45453</v>
      </c>
      <c r="O6959" s="71" t="s">
        <v>190</v>
      </c>
      <c r="P6959" s="103" t="str">
        <f t="shared" si="3740"/>
        <v>아스테이지(국전)</v>
      </c>
      <c r="Q6959" s="71">
        <f t="shared" si="3735"/>
        <v>10</v>
      </c>
      <c r="R6959" s="102">
        <v>50000</v>
      </c>
      <c r="S6959" s="102">
        <f t="shared" si="3736"/>
        <v>550000</v>
      </c>
      <c r="T6959" s="102">
        <f t="shared" si="3737"/>
        <v>500000</v>
      </c>
      <c r="U6959" s="71" t="str">
        <f t="shared" ref="U6959" si="3745">IF(J6959=W6959,"O", "X")</f>
        <v>X</v>
      </c>
      <c r="V6959" s="71"/>
      <c r="W6959" s="474">
        <v>500000</v>
      </c>
      <c r="X6959" s="71"/>
      <c r="Y6959" s="71"/>
    </row>
    <row r="6960" spans="1:25" ht="30" hidden="1" customHeight="1" x14ac:dyDescent="0.25">
      <c r="A6960" s="1145">
        <v>45453</v>
      </c>
      <c r="B6960" s="664" t="s">
        <v>1593</v>
      </c>
      <c r="C6960" s="71" t="s">
        <v>4124</v>
      </c>
      <c r="D6960" s="71">
        <v>1</v>
      </c>
      <c r="E6960" s="102">
        <v>47400000</v>
      </c>
      <c r="F6960" s="102">
        <f t="shared" si="3743"/>
        <v>52140000.000000007</v>
      </c>
      <c r="G6960" s="102">
        <f t="shared" si="3744"/>
        <v>47400000</v>
      </c>
      <c r="H6960" s="690" t="s">
        <v>142</v>
      </c>
      <c r="I6960" s="690" t="s">
        <v>142</v>
      </c>
      <c r="J6960" s="53">
        <f t="shared" si="3731"/>
        <v>8250000</v>
      </c>
      <c r="K6960" s="63">
        <f t="shared" si="3732"/>
        <v>0.17405063291139239</v>
      </c>
      <c r="L6960" s="1212" t="s">
        <v>4121</v>
      </c>
      <c r="M6960" s="102"/>
      <c r="N6960" s="1192">
        <f t="shared" si="3742"/>
        <v>45453</v>
      </c>
      <c r="O6960" s="71" t="s">
        <v>94</v>
      </c>
      <c r="P6960" s="103" t="str">
        <f t="shared" si="3740"/>
        <v>Technotrans 잉크 펌프 계약금 30%</v>
      </c>
      <c r="Q6960" s="71">
        <f t="shared" si="3735"/>
        <v>1</v>
      </c>
      <c r="R6960" s="102">
        <v>39150000</v>
      </c>
      <c r="S6960" s="102">
        <f t="shared" si="3736"/>
        <v>43065000</v>
      </c>
      <c r="T6960" s="102">
        <f t="shared" si="3737"/>
        <v>39150000</v>
      </c>
      <c r="U6960" s="71"/>
      <c r="V6960" s="71"/>
      <c r="W6960" s="474"/>
      <c r="X6960" s="71"/>
      <c r="Y6960" s="71"/>
    </row>
    <row r="6961" spans="1:25" ht="30" hidden="1" customHeight="1" x14ac:dyDescent="0.25">
      <c r="A6961" s="1145">
        <v>45454</v>
      </c>
      <c r="B6961" s="664" t="s">
        <v>575</v>
      </c>
      <c r="C6961" s="71" t="s">
        <v>4125</v>
      </c>
      <c r="D6961" s="71">
        <v>1</v>
      </c>
      <c r="E6961" s="102">
        <v>39000000</v>
      </c>
      <c r="F6961" s="102">
        <f t="shared" si="3743"/>
        <v>42900000</v>
      </c>
      <c r="G6961" s="102">
        <f t="shared" si="3744"/>
        <v>39000000</v>
      </c>
      <c r="H6961" s="690" t="s">
        <v>1431</v>
      </c>
      <c r="I6961" s="71" t="s">
        <v>1431</v>
      </c>
      <c r="J6961" s="53">
        <f t="shared" si="3731"/>
        <v>9964638</v>
      </c>
      <c r="K6961" s="63">
        <f t="shared" si="3732"/>
        <v>0.25550353846153845</v>
      </c>
      <c r="L6961" s="1212" t="s">
        <v>4121</v>
      </c>
      <c r="M6961" s="468"/>
      <c r="N6961" s="1192">
        <f t="shared" si="3742"/>
        <v>45454</v>
      </c>
      <c r="O6961" s="71" t="s">
        <v>1431</v>
      </c>
      <c r="P6961" s="103" t="str">
        <f t="shared" si="3740"/>
        <v>자동 판걸이 업그레이드</v>
      </c>
      <c r="Q6961" s="71">
        <f t="shared" si="3735"/>
        <v>1</v>
      </c>
      <c r="R6961" s="147">
        <v>29035362</v>
      </c>
      <c r="S6961" s="102">
        <f t="shared" si="3736"/>
        <v>31938898.200000003</v>
      </c>
      <c r="T6961" s="102">
        <f t="shared" si="3737"/>
        <v>29035362</v>
      </c>
      <c r="U6961" s="71"/>
      <c r="V6961" s="71"/>
      <c r="W6961" s="474"/>
      <c r="X6961" s="71"/>
      <c r="Y6961" s="71"/>
    </row>
    <row r="6962" spans="1:25" ht="30" hidden="1" customHeight="1" x14ac:dyDescent="0.25">
      <c r="A6962" s="1145">
        <v>45460</v>
      </c>
      <c r="B6962" s="664" t="s">
        <v>2490</v>
      </c>
      <c r="C6962" s="71" t="s">
        <v>4126</v>
      </c>
      <c r="D6962" s="71">
        <v>1</v>
      </c>
      <c r="E6962" s="102">
        <v>1485000</v>
      </c>
      <c r="F6962" s="102">
        <f t="shared" si="3743"/>
        <v>1633500.0000000002</v>
      </c>
      <c r="G6962" s="102">
        <f t="shared" si="3744"/>
        <v>1485000</v>
      </c>
      <c r="H6962" s="690" t="s">
        <v>2029</v>
      </c>
      <c r="I6962" s="71" t="s">
        <v>2231</v>
      </c>
      <c r="J6962" s="53">
        <f t="shared" ref="J6962" si="3746">G6962-T6962</f>
        <v>195000</v>
      </c>
      <c r="K6962" s="63">
        <f t="shared" ref="K6962" si="3747">(J6962/(F6962/11*10))</f>
        <v>0.1313131313131313</v>
      </c>
      <c r="L6962" s="1212" t="s">
        <v>4121</v>
      </c>
      <c r="M6962" s="102"/>
      <c r="N6962" s="1192">
        <f t="shared" ref="N6962:N6981" si="3748">A6962</f>
        <v>45460</v>
      </c>
      <c r="O6962" s="71" t="s">
        <v>150</v>
      </c>
      <c r="P6962" s="103" t="str">
        <f t="shared" si="3740"/>
        <v>IST 램프 홀더, 전선 포함</v>
      </c>
      <c r="Q6962" s="71">
        <f t="shared" si="3735"/>
        <v>1</v>
      </c>
      <c r="R6962" s="102">
        <v>1290000</v>
      </c>
      <c r="S6962" s="102">
        <f t="shared" ref="S6962" si="3749">R6962*Q6962*1.1</f>
        <v>1419000</v>
      </c>
      <c r="T6962" s="102">
        <f t="shared" ref="T6962" si="3750">R6962*Q6962</f>
        <v>1290000</v>
      </c>
      <c r="U6962" s="71"/>
      <c r="V6962" s="71"/>
      <c r="W6962" s="474"/>
      <c r="X6962" s="71"/>
      <c r="Y6962" s="71"/>
    </row>
    <row r="6963" spans="1:25" ht="30" hidden="1" customHeight="1" x14ac:dyDescent="0.25">
      <c r="A6963" s="1145">
        <v>45460</v>
      </c>
      <c r="B6963" s="664" t="s">
        <v>575</v>
      </c>
      <c r="C6963" s="71" t="s">
        <v>4127</v>
      </c>
      <c r="D6963" s="71">
        <v>1</v>
      </c>
      <c r="E6963" s="102">
        <v>2625000</v>
      </c>
      <c r="F6963" s="102">
        <f t="shared" si="3743"/>
        <v>2887500.0000000005</v>
      </c>
      <c r="G6963" s="102">
        <f t="shared" si="3744"/>
        <v>2625000</v>
      </c>
      <c r="H6963" s="690" t="s">
        <v>281</v>
      </c>
      <c r="I6963" s="71" t="s">
        <v>281</v>
      </c>
      <c r="J6963" s="53"/>
      <c r="K6963" s="63"/>
      <c r="L6963" s="1212" t="s">
        <v>4121</v>
      </c>
      <c r="M6963" s="468"/>
      <c r="N6963" s="1192">
        <f t="shared" si="3748"/>
        <v>45460</v>
      </c>
      <c r="O6963" s="71"/>
      <c r="P6963" s="103" t="str">
        <f t="shared" si="3740"/>
        <v>M-600 서비스계약 2회차분</v>
      </c>
      <c r="Q6963" s="71">
        <f t="shared" si="3735"/>
        <v>1</v>
      </c>
      <c r="R6963" s="147"/>
      <c r="S6963" s="102"/>
      <c r="T6963" s="102"/>
      <c r="U6963" s="71"/>
      <c r="V6963" s="71"/>
      <c r="W6963" s="474"/>
      <c r="X6963" s="71"/>
      <c r="Y6963" s="71"/>
    </row>
    <row r="6964" spans="1:25" ht="30" hidden="1" customHeight="1" x14ac:dyDescent="0.25">
      <c r="A6964" s="1145">
        <v>45461</v>
      </c>
      <c r="B6964" s="664" t="s">
        <v>3572</v>
      </c>
      <c r="C6964" s="71" t="s">
        <v>4128</v>
      </c>
      <c r="D6964" s="71">
        <v>1</v>
      </c>
      <c r="E6964" s="102">
        <v>79800000</v>
      </c>
      <c r="F6964" s="102">
        <f t="shared" si="3743"/>
        <v>87780000</v>
      </c>
      <c r="G6964" s="102">
        <f t="shared" si="3744"/>
        <v>79800000</v>
      </c>
      <c r="H6964" s="690" t="s">
        <v>1431</v>
      </c>
      <c r="I6964" s="71" t="s">
        <v>1431</v>
      </c>
      <c r="J6964" s="53">
        <f t="shared" ref="J6964" si="3751">G6964-T6964</f>
        <v>18825739</v>
      </c>
      <c r="K6964" s="63">
        <f t="shared" ref="K6964" si="3752">(J6964/(F6964/11*10))</f>
        <v>0.23591151629072682</v>
      </c>
      <c r="L6964" s="1212" t="s">
        <v>4121</v>
      </c>
      <c r="M6964" s="102"/>
      <c r="N6964" s="1192">
        <f t="shared" si="3748"/>
        <v>45461</v>
      </c>
      <c r="O6964" s="71" t="s">
        <v>1431</v>
      </c>
      <c r="P6964" s="103" t="str">
        <f t="shared" si="3740"/>
        <v>자동 판 교환 시스템 중도금 + 잔금</v>
      </c>
      <c r="Q6964" s="71">
        <f t="shared" si="3735"/>
        <v>1</v>
      </c>
      <c r="R6964" s="102">
        <v>60974261</v>
      </c>
      <c r="S6964" s="102">
        <f t="shared" ref="S6964" si="3753">R6964*Q6964*1.1</f>
        <v>67071687.100000009</v>
      </c>
      <c r="T6964" s="102">
        <f t="shared" ref="T6964" si="3754">R6964*Q6964</f>
        <v>60974261</v>
      </c>
      <c r="U6964" s="71"/>
      <c r="V6964" s="71"/>
      <c r="W6964" s="474"/>
      <c r="X6964" s="71"/>
      <c r="Y6964" s="71"/>
    </row>
    <row r="6965" spans="1:25" ht="30" hidden="1" customHeight="1" x14ac:dyDescent="0.25">
      <c r="A6965" s="1145">
        <v>45467</v>
      </c>
      <c r="B6965" s="664" t="s">
        <v>2155</v>
      </c>
      <c r="C6965" s="71" t="s">
        <v>4130</v>
      </c>
      <c r="D6965" s="71">
        <v>1</v>
      </c>
      <c r="E6965" s="102">
        <v>25300000</v>
      </c>
      <c r="F6965" s="102">
        <f t="shared" si="3743"/>
        <v>27830000.000000004</v>
      </c>
      <c r="G6965" s="102">
        <f t="shared" si="3744"/>
        <v>25300000</v>
      </c>
      <c r="H6965" s="690" t="s">
        <v>281</v>
      </c>
      <c r="I6965" s="71" t="s">
        <v>281</v>
      </c>
      <c r="J6965" s="53">
        <f t="shared" ref="J6965" si="3755">G6965-T6965</f>
        <v>4091685</v>
      </c>
      <c r="K6965" s="63">
        <f t="shared" ref="K6965" si="3756">(J6965/(F6965/11*10))</f>
        <v>0.1617266798418972</v>
      </c>
      <c r="L6965" s="1212" t="s">
        <v>4121</v>
      </c>
      <c r="M6965" s="102"/>
      <c r="N6965" s="1192">
        <f t="shared" si="3748"/>
        <v>45467</v>
      </c>
      <c r="O6965" s="71" t="s">
        <v>1431</v>
      </c>
      <c r="P6965" s="103" t="str">
        <f t="shared" si="3740"/>
        <v>외국인 엔지니어 Mark 비용(드라이어 수리)</v>
      </c>
      <c r="Q6965" s="71">
        <f t="shared" si="3735"/>
        <v>1</v>
      </c>
      <c r="R6965" s="102">
        <v>21208315</v>
      </c>
      <c r="S6965" s="102">
        <f t="shared" ref="S6965" si="3757">R6965*Q6965*1.1</f>
        <v>23329146.500000004</v>
      </c>
      <c r="T6965" s="102">
        <f t="shared" ref="T6965" si="3758">R6965*Q6965</f>
        <v>21208315</v>
      </c>
      <c r="U6965" s="71"/>
      <c r="V6965" s="71"/>
      <c r="W6965" s="474"/>
      <c r="X6965" s="71"/>
      <c r="Y6965" s="71"/>
    </row>
    <row r="6966" spans="1:25" ht="30" hidden="1" customHeight="1" x14ac:dyDescent="0.25">
      <c r="A6966" s="1145">
        <v>45468</v>
      </c>
      <c r="B6966" s="664" t="s">
        <v>4131</v>
      </c>
      <c r="C6966" s="71" t="s">
        <v>2075</v>
      </c>
      <c r="D6966" s="71">
        <v>2</v>
      </c>
      <c r="E6966" s="102">
        <v>98000</v>
      </c>
      <c r="F6966" s="102">
        <f t="shared" si="3743"/>
        <v>215600.00000000003</v>
      </c>
      <c r="G6966" s="102">
        <f t="shared" si="3744"/>
        <v>196000</v>
      </c>
      <c r="H6966" s="690" t="s">
        <v>142</v>
      </c>
      <c r="I6966" s="71" t="s">
        <v>142</v>
      </c>
      <c r="J6966" s="53">
        <f t="shared" ref="J6966:J6967" si="3759">G6966-T6966</f>
        <v>53000</v>
      </c>
      <c r="K6966" s="63">
        <f t="shared" ref="K6966:K6967" si="3760">(J6966/(F6966/11*10))</f>
        <v>0.27040816326530609</v>
      </c>
      <c r="L6966" s="1212" t="s">
        <v>4121</v>
      </c>
      <c r="M6966" s="468"/>
      <c r="N6966" s="1192">
        <f t="shared" si="3748"/>
        <v>45468</v>
      </c>
      <c r="O6966" s="71" t="s">
        <v>194</v>
      </c>
      <c r="P6966" s="103" t="str">
        <f t="shared" si="3740"/>
        <v>CTP 고무액</v>
      </c>
      <c r="Q6966" s="71">
        <f t="shared" si="3735"/>
        <v>2</v>
      </c>
      <c r="R6966" s="147">
        <v>71500</v>
      </c>
      <c r="S6966" s="102">
        <f t="shared" ref="S6966:S6967" si="3761">R6966*Q6966*1.1</f>
        <v>157300</v>
      </c>
      <c r="T6966" s="102">
        <f t="shared" ref="T6966:T6967" si="3762">R6966*Q6966</f>
        <v>143000</v>
      </c>
      <c r="U6966" s="71"/>
      <c r="V6966" s="71"/>
      <c r="W6966" s="474"/>
      <c r="X6966" s="71"/>
      <c r="Y6966" s="71"/>
    </row>
    <row r="6967" spans="1:25" ht="30" hidden="1" customHeight="1" x14ac:dyDescent="0.25">
      <c r="A6967" s="1145">
        <v>45468</v>
      </c>
      <c r="B6967" s="664" t="s">
        <v>4131</v>
      </c>
      <c r="C6967" s="71" t="s">
        <v>4132</v>
      </c>
      <c r="D6967" s="71">
        <v>2</v>
      </c>
      <c r="E6967" s="102">
        <v>926000</v>
      </c>
      <c r="F6967" s="102">
        <f t="shared" si="3743"/>
        <v>2037200.0000000002</v>
      </c>
      <c r="G6967" s="102">
        <f t="shared" si="3744"/>
        <v>1852000</v>
      </c>
      <c r="H6967" s="690" t="s">
        <v>142</v>
      </c>
      <c r="I6967" s="71" t="s">
        <v>142</v>
      </c>
      <c r="J6967" s="53">
        <f t="shared" si="3759"/>
        <v>184000</v>
      </c>
      <c r="K6967" s="63">
        <f t="shared" si="3760"/>
        <v>9.935205183585312E-2</v>
      </c>
      <c r="L6967" s="1212" t="s">
        <v>4121</v>
      </c>
      <c r="M6967" s="102"/>
      <c r="N6967" s="1192">
        <f t="shared" si="3748"/>
        <v>45468</v>
      </c>
      <c r="O6967" s="71" t="s">
        <v>194</v>
      </c>
      <c r="P6967" s="103" t="str">
        <f t="shared" si="3740"/>
        <v>CTP 상부 롤러</v>
      </c>
      <c r="Q6967" s="71">
        <f t="shared" si="3735"/>
        <v>2</v>
      </c>
      <c r="R6967" s="102">
        <v>834000</v>
      </c>
      <c r="S6967" s="102">
        <f t="shared" si="3761"/>
        <v>1834800.0000000002</v>
      </c>
      <c r="T6967" s="102">
        <f t="shared" si="3762"/>
        <v>1668000</v>
      </c>
      <c r="U6967" s="71"/>
      <c r="V6967" s="71"/>
      <c r="W6967" s="474"/>
      <c r="X6967" s="71"/>
      <c r="Y6967" s="71"/>
    </row>
    <row r="6968" spans="1:25" ht="30" hidden="1" customHeight="1" x14ac:dyDescent="0.25">
      <c r="A6968" s="1145">
        <v>45468</v>
      </c>
      <c r="B6968" s="664" t="s">
        <v>1155</v>
      </c>
      <c r="C6968" s="71" t="s">
        <v>4133</v>
      </c>
      <c r="D6968" s="71">
        <v>1</v>
      </c>
      <c r="E6968" s="102">
        <v>18000000</v>
      </c>
      <c r="F6968" s="102">
        <f t="shared" si="3743"/>
        <v>19800000</v>
      </c>
      <c r="G6968" s="102">
        <f t="shared" si="3744"/>
        <v>18000000</v>
      </c>
      <c r="H6968" s="690" t="s">
        <v>1431</v>
      </c>
      <c r="I6968" s="71" t="s">
        <v>1431</v>
      </c>
      <c r="J6968" s="53">
        <f t="shared" ref="J6968:J6970" si="3763">G6968-T6968</f>
        <v>7920000</v>
      </c>
      <c r="K6968" s="63">
        <f t="shared" ref="K6968:K6970" si="3764">(J6968/(F6968/11*10))</f>
        <v>0.44</v>
      </c>
      <c r="L6968" s="1212" t="s">
        <v>4121</v>
      </c>
      <c r="M6968" s="468"/>
      <c r="N6968" s="1192">
        <f t="shared" si="3748"/>
        <v>45468</v>
      </c>
      <c r="O6968" s="71" t="s">
        <v>1431</v>
      </c>
      <c r="P6968" s="103" t="str">
        <f t="shared" si="3740"/>
        <v>자동 판걸이 튜브 (상부)</v>
      </c>
      <c r="Q6968" s="71">
        <f t="shared" si="3735"/>
        <v>1</v>
      </c>
      <c r="R6968" s="147">
        <v>10080000</v>
      </c>
      <c r="S6968" s="102">
        <f t="shared" ref="S6968:S6970" si="3765">R6968*Q6968*1.1</f>
        <v>11088000</v>
      </c>
      <c r="T6968" s="102">
        <f t="shared" ref="T6968:T6970" si="3766">R6968*Q6968</f>
        <v>10080000</v>
      </c>
      <c r="U6968" s="71"/>
      <c r="V6968" s="71"/>
      <c r="W6968" s="474"/>
      <c r="X6968" s="71"/>
      <c r="Y6968" s="71"/>
    </row>
    <row r="6969" spans="1:25" ht="30" hidden="1" customHeight="1" x14ac:dyDescent="0.25">
      <c r="A6969" s="1145">
        <v>45446</v>
      </c>
      <c r="B6969" s="664" t="s">
        <v>1155</v>
      </c>
      <c r="C6969" s="71" t="s">
        <v>4129</v>
      </c>
      <c r="D6969" s="71">
        <v>1</v>
      </c>
      <c r="E6969" s="102">
        <v>2500000</v>
      </c>
      <c r="F6969" s="102">
        <f t="shared" ref="F6969:F6975" si="3767">(E6969*D6969)*1.1</f>
        <v>2750000</v>
      </c>
      <c r="G6969" s="102">
        <f t="shared" ref="G6969:G6975" si="3768">(E6969*D6969)</f>
        <v>2500000</v>
      </c>
      <c r="H6969" s="690" t="s">
        <v>1431</v>
      </c>
      <c r="I6969" s="71" t="s">
        <v>1431</v>
      </c>
      <c r="J6969" s="53">
        <f t="shared" si="3763"/>
        <v>666000</v>
      </c>
      <c r="K6969" s="63">
        <f t="shared" si="3764"/>
        <v>0.26640000000000003</v>
      </c>
      <c r="L6969" s="1212" t="s">
        <v>4121</v>
      </c>
      <c r="M6969" s="468"/>
      <c r="N6969" s="1192">
        <f t="shared" si="3748"/>
        <v>45446</v>
      </c>
      <c r="O6969" s="71" t="s">
        <v>1431</v>
      </c>
      <c r="P6969" s="103" t="str">
        <f t="shared" ref="P6969:P6975" si="3769">(C6969)</f>
        <v>웹 가이드 센터 센서</v>
      </c>
      <c r="Q6969" s="71">
        <f t="shared" ref="Q6969:Q6975" si="3770">D6969</f>
        <v>1</v>
      </c>
      <c r="R6969" s="147">
        <v>1834000</v>
      </c>
      <c r="S6969" s="102">
        <f t="shared" si="3765"/>
        <v>2017400.0000000002</v>
      </c>
      <c r="T6969" s="102">
        <f t="shared" si="3766"/>
        <v>1834000</v>
      </c>
      <c r="U6969" s="71"/>
      <c r="V6969" s="71"/>
      <c r="W6969" s="474"/>
      <c r="X6969" s="71"/>
      <c r="Y6969" s="71"/>
    </row>
    <row r="6970" spans="1:25" ht="30" hidden="1" customHeight="1" x14ac:dyDescent="0.25">
      <c r="A6970" s="1145">
        <v>45466</v>
      </c>
      <c r="B6970" s="664" t="s">
        <v>1155</v>
      </c>
      <c r="C6970" s="71" t="s">
        <v>114</v>
      </c>
      <c r="D6970" s="71">
        <v>20</v>
      </c>
      <c r="E6970" s="102">
        <v>22000</v>
      </c>
      <c r="F6970" s="102">
        <f t="shared" si="3767"/>
        <v>484000.00000000006</v>
      </c>
      <c r="G6970" s="102">
        <f t="shared" si="3768"/>
        <v>440000</v>
      </c>
      <c r="H6970" s="690" t="s">
        <v>1431</v>
      </c>
      <c r="I6970" s="71" t="s">
        <v>1431</v>
      </c>
      <c r="J6970" s="53">
        <f t="shared" si="3763"/>
        <v>199120</v>
      </c>
      <c r="K6970" s="63">
        <f t="shared" si="3764"/>
        <v>0.45254545454545447</v>
      </c>
      <c r="L6970" s="1212" t="s">
        <v>4121</v>
      </c>
      <c r="M6970" s="468"/>
      <c r="N6970" s="1192">
        <f t="shared" si="3748"/>
        <v>45466</v>
      </c>
      <c r="O6970" s="71" t="s">
        <v>1431</v>
      </c>
      <c r="P6970" s="103" t="str">
        <f t="shared" si="3769"/>
        <v>스트리퍼</v>
      </c>
      <c r="Q6970" s="71">
        <f t="shared" si="3770"/>
        <v>20</v>
      </c>
      <c r="R6970" s="102">
        <v>12044</v>
      </c>
      <c r="S6970" s="102">
        <f t="shared" si="3765"/>
        <v>264968</v>
      </c>
      <c r="T6970" s="102">
        <f t="shared" si="3766"/>
        <v>240880</v>
      </c>
      <c r="U6970" s="71"/>
      <c r="V6970" s="71"/>
      <c r="W6970" s="474"/>
      <c r="X6970" s="71"/>
      <c r="Y6970" s="71"/>
    </row>
    <row r="6971" spans="1:25" ht="30" hidden="1" customHeight="1" x14ac:dyDescent="0.25">
      <c r="A6971" s="1145">
        <v>45447</v>
      </c>
      <c r="B6971" s="664" t="s">
        <v>2155</v>
      </c>
      <c r="C6971" s="71" t="s">
        <v>4134</v>
      </c>
      <c r="D6971" s="71">
        <v>2</v>
      </c>
      <c r="E6971" s="102">
        <v>7250000</v>
      </c>
      <c r="F6971" s="102">
        <f t="shared" si="3767"/>
        <v>15950000.000000002</v>
      </c>
      <c r="G6971" s="102">
        <f t="shared" si="3768"/>
        <v>14500000</v>
      </c>
      <c r="H6971" s="690" t="s">
        <v>1431</v>
      </c>
      <c r="I6971" s="71" t="s">
        <v>1431</v>
      </c>
      <c r="J6971" s="53">
        <f t="shared" ref="J6971" si="3771">G6971-T6971</f>
        <v>3600000</v>
      </c>
      <c r="K6971" s="63">
        <f t="shared" ref="K6971" si="3772">(J6971/(F6971/11*10))</f>
        <v>0.24827586206896549</v>
      </c>
      <c r="L6971" s="1212" t="s">
        <v>4121</v>
      </c>
      <c r="M6971" s="102"/>
      <c r="N6971" s="1192">
        <f t="shared" si="3748"/>
        <v>45447</v>
      </c>
      <c r="O6971" s="71" t="s">
        <v>1431</v>
      </c>
      <c r="P6971" s="103" t="str">
        <f t="shared" si="3769"/>
        <v>브레이크 디스크 &amp; 링</v>
      </c>
      <c r="Q6971" s="71">
        <f t="shared" si="3770"/>
        <v>2</v>
      </c>
      <c r="R6971" s="102">
        <f>10900000/2</f>
        <v>5450000</v>
      </c>
      <c r="S6971" s="102">
        <f t="shared" ref="S6971" si="3773">R6971*Q6971*1.1</f>
        <v>11990000.000000002</v>
      </c>
      <c r="T6971" s="102">
        <f t="shared" ref="T6971" si="3774">R6971*Q6971</f>
        <v>10900000</v>
      </c>
      <c r="U6971" s="71"/>
      <c r="V6971" s="71"/>
      <c r="W6971" s="474"/>
      <c r="X6971" s="71"/>
      <c r="Y6971" s="71"/>
    </row>
    <row r="6972" spans="1:25" ht="30" hidden="1" customHeight="1" x14ac:dyDescent="0.25">
      <c r="A6972" s="1145">
        <v>45453</v>
      </c>
      <c r="B6972" s="664" t="s">
        <v>2155</v>
      </c>
      <c r="C6972" s="71" t="s">
        <v>4135</v>
      </c>
      <c r="D6972" s="71">
        <v>1</v>
      </c>
      <c r="E6972" s="102">
        <v>3800000</v>
      </c>
      <c r="F6972" s="102">
        <f t="shared" si="3767"/>
        <v>4180000.0000000005</v>
      </c>
      <c r="G6972" s="102">
        <f t="shared" si="3768"/>
        <v>3800000</v>
      </c>
      <c r="H6972" s="690" t="s">
        <v>281</v>
      </c>
      <c r="I6972" s="71" t="s">
        <v>281</v>
      </c>
      <c r="J6972" s="53"/>
      <c r="K6972" s="63"/>
      <c r="L6972" s="1212" t="s">
        <v>4121</v>
      </c>
      <c r="M6972" s="468" t="s">
        <v>2642</v>
      </c>
      <c r="N6972" s="1192">
        <f t="shared" si="3748"/>
        <v>45453</v>
      </c>
      <c r="O6972" s="71" t="s">
        <v>150</v>
      </c>
      <c r="P6972" s="103" t="str">
        <f t="shared" si="3769"/>
        <v>자동판걸이 업그레이드 서비스비용</v>
      </c>
      <c r="Q6972" s="71">
        <f t="shared" si="3770"/>
        <v>1</v>
      </c>
      <c r="R6972" s="147">
        <v>2287000</v>
      </c>
      <c r="S6972" s="102">
        <f t="shared" ref="S6972" si="3775">R6972*Q6972*1.1</f>
        <v>2515700</v>
      </c>
      <c r="T6972" s="102">
        <f t="shared" ref="T6972" si="3776">R6972*Q6972</f>
        <v>2287000</v>
      </c>
      <c r="U6972" s="71"/>
      <c r="V6972" s="71"/>
      <c r="W6972" s="474"/>
      <c r="X6972" s="71"/>
      <c r="Y6972" s="71"/>
    </row>
    <row r="6973" spans="1:25" ht="30" hidden="1" customHeight="1" x14ac:dyDescent="0.25">
      <c r="A6973" s="1145">
        <v>45448</v>
      </c>
      <c r="B6973" s="664" t="s">
        <v>546</v>
      </c>
      <c r="C6973" s="71" t="s">
        <v>114</v>
      </c>
      <c r="D6973" s="71">
        <v>50</v>
      </c>
      <c r="E6973" s="102">
        <v>18000</v>
      </c>
      <c r="F6973" s="102">
        <f t="shared" si="3767"/>
        <v>990000.00000000012</v>
      </c>
      <c r="G6973" s="102">
        <f t="shared" si="3768"/>
        <v>900000</v>
      </c>
      <c r="H6973" s="690" t="s">
        <v>1431</v>
      </c>
      <c r="I6973" s="71" t="s">
        <v>1431</v>
      </c>
      <c r="J6973" s="53">
        <f t="shared" ref="J6973" si="3777">G6973-T6973</f>
        <v>297800</v>
      </c>
      <c r="K6973" s="63">
        <f t="shared" ref="K6973" si="3778">(J6973/(F6973/11*10))</f>
        <v>0.33088888888888884</v>
      </c>
      <c r="L6973" s="1212" t="s">
        <v>4121</v>
      </c>
      <c r="M6973" s="102"/>
      <c r="N6973" s="1192">
        <f t="shared" si="3748"/>
        <v>45448</v>
      </c>
      <c r="O6973" s="71" t="s">
        <v>1431</v>
      </c>
      <c r="P6973" s="103" t="str">
        <f t="shared" si="3769"/>
        <v>스트리퍼</v>
      </c>
      <c r="Q6973" s="71">
        <f t="shared" si="3770"/>
        <v>50</v>
      </c>
      <c r="R6973" s="102">
        <v>12044</v>
      </c>
      <c r="S6973" s="102">
        <f t="shared" ref="S6973" si="3779">R6973*Q6973*1.1</f>
        <v>662420</v>
      </c>
      <c r="T6973" s="102">
        <f t="shared" ref="T6973" si="3780">R6973*Q6973</f>
        <v>602200</v>
      </c>
      <c r="U6973" s="71"/>
      <c r="V6973" s="71"/>
      <c r="W6973" s="474"/>
      <c r="X6973" s="71"/>
      <c r="Y6973" s="71"/>
    </row>
    <row r="6974" spans="1:25" ht="30" hidden="1" customHeight="1" x14ac:dyDescent="0.25">
      <c r="A6974" s="1145">
        <v>45448</v>
      </c>
      <c r="B6974" s="664" t="s">
        <v>546</v>
      </c>
      <c r="C6974" s="71" t="s">
        <v>2435</v>
      </c>
      <c r="D6974" s="71">
        <v>30</v>
      </c>
      <c r="E6974" s="102">
        <v>20000</v>
      </c>
      <c r="F6974" s="102">
        <f t="shared" si="3767"/>
        <v>660000</v>
      </c>
      <c r="G6974" s="102">
        <f t="shared" si="3768"/>
        <v>600000</v>
      </c>
      <c r="H6974" s="690" t="s">
        <v>1431</v>
      </c>
      <c r="I6974" s="71" t="s">
        <v>1431</v>
      </c>
      <c r="J6974" s="53">
        <f t="shared" ref="J6974" si="3781">G6974-T6974</f>
        <v>127200</v>
      </c>
      <c r="K6974" s="63">
        <f t="shared" ref="K6974" si="3782">(J6974/(F6974/11*10))</f>
        <v>0.21199999999999999</v>
      </c>
      <c r="L6974" s="1212" t="s">
        <v>4121</v>
      </c>
      <c r="M6974" s="468"/>
      <c r="N6974" s="1192">
        <f t="shared" si="3748"/>
        <v>45448</v>
      </c>
      <c r="O6974" s="71" t="s">
        <v>1431</v>
      </c>
      <c r="P6974" s="103" t="str">
        <f t="shared" si="3769"/>
        <v>잉크 파운틴 호일</v>
      </c>
      <c r="Q6974" s="71">
        <f t="shared" si="3770"/>
        <v>30</v>
      </c>
      <c r="R6974" s="102">
        <v>15760</v>
      </c>
      <c r="S6974" s="102">
        <f t="shared" ref="S6974" si="3783">R6974*Q6974*1.1</f>
        <v>520080.00000000006</v>
      </c>
      <c r="T6974" s="102">
        <f t="shared" ref="T6974" si="3784">R6974*Q6974</f>
        <v>472800</v>
      </c>
      <c r="U6974" s="71"/>
      <c r="V6974" s="71"/>
      <c r="W6974" s="474"/>
      <c r="X6974" s="71"/>
      <c r="Y6974" s="71"/>
    </row>
    <row r="6975" spans="1:25" ht="30" hidden="1" customHeight="1" x14ac:dyDescent="0.25">
      <c r="A6975" s="1145">
        <v>45468</v>
      </c>
      <c r="B6975" s="664" t="s">
        <v>4131</v>
      </c>
      <c r="C6975" s="71" t="s">
        <v>4137</v>
      </c>
      <c r="D6975" s="71">
        <v>1</v>
      </c>
      <c r="E6975" s="102">
        <v>618182</v>
      </c>
      <c r="F6975" s="102">
        <f t="shared" si="3767"/>
        <v>680000.20000000007</v>
      </c>
      <c r="G6975" s="102">
        <f t="shared" si="3768"/>
        <v>618182</v>
      </c>
      <c r="H6975" s="690" t="s">
        <v>142</v>
      </c>
      <c r="I6975" s="71" t="s">
        <v>142</v>
      </c>
      <c r="J6975" s="53">
        <f t="shared" ref="J6975" si="3785">G6975-T6975</f>
        <v>96182</v>
      </c>
      <c r="K6975" s="63">
        <f t="shared" ref="K6975" si="3786">(J6975/(F6975/11*10))</f>
        <v>0.15558848365044597</v>
      </c>
      <c r="L6975" s="1212" t="s">
        <v>4121</v>
      </c>
      <c r="M6975" s="102"/>
      <c r="N6975" s="1192">
        <f t="shared" si="3748"/>
        <v>45468</v>
      </c>
      <c r="O6975" s="71" t="s">
        <v>194</v>
      </c>
      <c r="P6975" s="103" t="str">
        <f t="shared" si="3769"/>
        <v>850*720 재단판 100장</v>
      </c>
      <c r="Q6975" s="71">
        <f t="shared" si="3770"/>
        <v>1</v>
      </c>
      <c r="R6975" s="102">
        <v>522000</v>
      </c>
      <c r="S6975" s="102">
        <f t="shared" ref="S6975" si="3787">R6975*Q6975*1.1</f>
        <v>574200</v>
      </c>
      <c r="T6975" s="102">
        <f t="shared" ref="T6975" si="3788">R6975*Q6975</f>
        <v>522000</v>
      </c>
      <c r="U6975" s="71"/>
      <c r="V6975" s="71"/>
      <c r="W6975" s="474"/>
      <c r="X6975" s="71"/>
      <c r="Y6975" s="71"/>
    </row>
    <row r="6976" spans="1:25" ht="30" hidden="1" customHeight="1" x14ac:dyDescent="0.25">
      <c r="A6976" s="1210" t="s">
        <v>4148</v>
      </c>
      <c r="B6976" s="1211" t="s">
        <v>544</v>
      </c>
      <c r="C6976" s="960"/>
      <c r="D6976" s="960"/>
      <c r="E6976" s="952"/>
      <c r="F6976" s="952"/>
      <c r="G6976" s="952"/>
      <c r="H6976" s="1206"/>
      <c r="I6976" s="960"/>
      <c r="J6976" s="952"/>
      <c r="K6976" s="953"/>
      <c r="L6976" s="1212" t="s">
        <v>4150</v>
      </c>
      <c r="M6976" s="1207"/>
      <c r="N6976" s="1208" t="str">
        <f t="shared" si="3748"/>
        <v>2024,7</v>
      </c>
      <c r="O6976" s="960"/>
      <c r="P6976" s="1209"/>
      <c r="Q6976" s="960"/>
      <c r="R6976" s="952"/>
      <c r="S6976" s="952"/>
      <c r="T6976" s="952"/>
      <c r="U6976" s="960"/>
      <c r="V6976" s="960"/>
      <c r="W6976" s="474">
        <f>(G6976-T6976)</f>
        <v>0</v>
      </c>
      <c r="X6976" s="71"/>
      <c r="Y6976" s="71"/>
    </row>
    <row r="6977" spans="1:25" ht="30" customHeight="1" x14ac:dyDescent="0.25">
      <c r="A6977" s="1145">
        <v>45489</v>
      </c>
      <c r="B6977" s="664" t="s">
        <v>2352</v>
      </c>
      <c r="C6977" s="71" t="s">
        <v>3837</v>
      </c>
      <c r="D6977" s="71">
        <v>64</v>
      </c>
      <c r="E6977" s="102">
        <v>13500</v>
      </c>
      <c r="F6977" s="102">
        <f t="shared" ref="F6977:F6981" si="3789">(E6977*D6977)*1.1</f>
        <v>950400.00000000012</v>
      </c>
      <c r="G6977" s="102">
        <f t="shared" ref="G6977:G6981" si="3790">(E6977*D6977)</f>
        <v>864000</v>
      </c>
      <c r="H6977" s="690" t="s">
        <v>179</v>
      </c>
      <c r="I6977" s="71" t="s">
        <v>179</v>
      </c>
      <c r="J6977" s="53">
        <f t="shared" ref="J6977:J6981" si="3791">G6977-T6977</f>
        <v>328640</v>
      </c>
      <c r="K6977" s="63">
        <f t="shared" ref="K6977:K6981" si="3792">(J6977/(F6977/11*10))</f>
        <v>0.3803703703703703</v>
      </c>
      <c r="L6977" s="1212" t="s">
        <v>4151</v>
      </c>
      <c r="M6977" s="468"/>
      <c r="N6977" s="1192">
        <f t="shared" si="3748"/>
        <v>45489</v>
      </c>
      <c r="O6977" s="71"/>
      <c r="P6977" s="103" t="str">
        <f t="shared" ref="P6977:P6981" si="3793">(C6977)</f>
        <v>고모리 윤전 블랑켓 건식 세정포 - 4x6용</v>
      </c>
      <c r="Q6977" s="71">
        <f t="shared" ref="Q6977:Q6981" si="3794">D6977</f>
        <v>64</v>
      </c>
      <c r="R6977" s="102">
        <v>8365</v>
      </c>
      <c r="S6977" s="102">
        <f t="shared" ref="S6977:S6981" si="3795">R6977*Q6977*1.1</f>
        <v>588896</v>
      </c>
      <c r="T6977" s="102">
        <f t="shared" ref="T6977:T6981" si="3796">R6977*Q6977</f>
        <v>535360</v>
      </c>
      <c r="U6977" s="71"/>
      <c r="V6977" s="71"/>
      <c r="W6977" s="474"/>
      <c r="X6977" s="71"/>
      <c r="Y6977" s="71"/>
    </row>
    <row r="6978" spans="1:25" ht="30" hidden="1" customHeight="1" x14ac:dyDescent="0.25">
      <c r="A6978" s="1145">
        <v>45477</v>
      </c>
      <c r="B6978" s="664" t="s">
        <v>2579</v>
      </c>
      <c r="C6978" s="71" t="s">
        <v>3738</v>
      </c>
      <c r="D6978" s="71">
        <v>20</v>
      </c>
      <c r="E6978" s="102">
        <v>130000</v>
      </c>
      <c r="F6978" s="102">
        <f t="shared" si="3789"/>
        <v>2860000</v>
      </c>
      <c r="G6978" s="102">
        <f t="shared" si="3790"/>
        <v>2600000</v>
      </c>
      <c r="H6978" s="690" t="s">
        <v>142</v>
      </c>
      <c r="I6978" s="71" t="s">
        <v>142</v>
      </c>
      <c r="J6978" s="53">
        <f t="shared" si="3791"/>
        <v>678000</v>
      </c>
      <c r="K6978" s="63">
        <f t="shared" si="3792"/>
        <v>0.26076923076923075</v>
      </c>
      <c r="L6978" s="1212" t="s">
        <v>4151</v>
      </c>
      <c r="M6978" s="468"/>
      <c r="N6978" s="1192">
        <f t="shared" si="3748"/>
        <v>45477</v>
      </c>
      <c r="O6978" s="71" t="s">
        <v>147</v>
      </c>
      <c r="P6978" s="103" t="str">
        <f t="shared" si="3793"/>
        <v>블랑켓 - 고모리 용 (1040*920)</v>
      </c>
      <c r="Q6978" s="71">
        <f t="shared" si="3794"/>
        <v>20</v>
      </c>
      <c r="R6978" s="102">
        <v>96100</v>
      </c>
      <c r="S6978" s="102">
        <f t="shared" si="3795"/>
        <v>2114200</v>
      </c>
      <c r="T6978" s="102">
        <f t="shared" si="3796"/>
        <v>1922000</v>
      </c>
      <c r="U6978" s="71"/>
      <c r="V6978" s="71"/>
      <c r="W6978" s="474"/>
      <c r="X6978" s="71"/>
      <c r="Y6978" s="71"/>
    </row>
    <row r="6979" spans="1:25" ht="30" hidden="1" customHeight="1" x14ac:dyDescent="0.25">
      <c r="A6979" s="1145">
        <v>45489</v>
      </c>
      <c r="B6979" s="664" t="s">
        <v>2353</v>
      </c>
      <c r="C6979" s="71" t="s">
        <v>129</v>
      </c>
      <c r="D6979" s="71">
        <v>7</v>
      </c>
      <c r="E6979" s="102">
        <v>325000</v>
      </c>
      <c r="F6979" s="102">
        <f t="shared" si="3789"/>
        <v>2502500</v>
      </c>
      <c r="G6979" s="102">
        <f t="shared" si="3790"/>
        <v>2275000</v>
      </c>
      <c r="H6979" s="690" t="s">
        <v>142</v>
      </c>
      <c r="I6979" s="71" t="s">
        <v>179</v>
      </c>
      <c r="J6979" s="53">
        <f t="shared" si="3791"/>
        <v>636440</v>
      </c>
      <c r="K6979" s="63">
        <f t="shared" si="3792"/>
        <v>0.27975384615384613</v>
      </c>
      <c r="L6979" s="1212" t="s">
        <v>4151</v>
      </c>
      <c r="M6979" s="468" t="s">
        <v>2050</v>
      </c>
      <c r="N6979" s="1192">
        <f t="shared" si="3748"/>
        <v>45489</v>
      </c>
      <c r="O6979" s="71" t="s">
        <v>149</v>
      </c>
      <c r="P6979" s="103" t="str">
        <f t="shared" si="3793"/>
        <v>세정포-XL106</v>
      </c>
      <c r="Q6979" s="71">
        <f t="shared" si="3794"/>
        <v>7</v>
      </c>
      <c r="R6979" s="102">
        <v>234080</v>
      </c>
      <c r="S6979" s="102">
        <f t="shared" si="3795"/>
        <v>1802416.0000000002</v>
      </c>
      <c r="T6979" s="102">
        <f t="shared" si="3796"/>
        <v>1638560</v>
      </c>
      <c r="U6979" s="71" t="str">
        <f>IF(J6979=W6979,"O", "X")</f>
        <v>O</v>
      </c>
      <c r="V6979" s="71"/>
      <c r="W6979" s="474">
        <f>(G6979-T6979)</f>
        <v>636440</v>
      </c>
      <c r="X6979" s="71"/>
      <c r="Y6979" s="71"/>
    </row>
    <row r="6980" spans="1:25" s="209" customFormat="1" ht="30" hidden="1" customHeight="1" x14ac:dyDescent="0.25">
      <c r="A6980" s="1145">
        <v>45489</v>
      </c>
      <c r="B6980" s="664" t="s">
        <v>2353</v>
      </c>
      <c r="C6980" s="71" t="s">
        <v>3299</v>
      </c>
      <c r="D6980" s="71">
        <v>10</v>
      </c>
      <c r="E6980" s="102">
        <v>83000</v>
      </c>
      <c r="F6980" s="102">
        <f t="shared" si="3789"/>
        <v>913000.00000000012</v>
      </c>
      <c r="G6980" s="102">
        <f t="shared" si="3790"/>
        <v>830000</v>
      </c>
      <c r="H6980" s="690" t="s">
        <v>142</v>
      </c>
      <c r="I6980" s="71" t="s">
        <v>179</v>
      </c>
      <c r="J6980" s="53">
        <f t="shared" si="3791"/>
        <v>355000</v>
      </c>
      <c r="K6980" s="63">
        <f t="shared" si="3792"/>
        <v>0.42771084337349391</v>
      </c>
      <c r="L6980" s="1212" t="s">
        <v>4151</v>
      </c>
      <c r="M6980" s="468" t="s">
        <v>2214</v>
      </c>
      <c r="N6980" s="1192">
        <f t="shared" si="3748"/>
        <v>45489</v>
      </c>
      <c r="O6980" s="71" t="s">
        <v>3383</v>
      </c>
      <c r="P6980" s="103" t="str">
        <f t="shared" si="3793"/>
        <v>매엽용 세척제(Wash k11)</v>
      </c>
      <c r="Q6980" s="71">
        <f t="shared" si="3794"/>
        <v>10</v>
      </c>
      <c r="R6980" s="102">
        <v>47500</v>
      </c>
      <c r="S6980" s="102">
        <f t="shared" si="3795"/>
        <v>522500.00000000006</v>
      </c>
      <c r="T6980" s="102">
        <f t="shared" si="3796"/>
        <v>475000</v>
      </c>
      <c r="U6980" s="71" t="s">
        <v>859</v>
      </c>
      <c r="V6980" s="71"/>
      <c r="W6980" s="474">
        <v>136000</v>
      </c>
      <c r="X6980" s="71"/>
      <c r="Y6980" s="71"/>
    </row>
    <row r="6981" spans="1:25" s="209" customFormat="1" ht="30" hidden="1" customHeight="1" x14ac:dyDescent="0.25">
      <c r="A6981" s="1145">
        <v>45489</v>
      </c>
      <c r="B6981" s="664" t="s">
        <v>2353</v>
      </c>
      <c r="C6981" s="71" t="s">
        <v>130</v>
      </c>
      <c r="D6981" s="71">
        <v>20</v>
      </c>
      <c r="E6981" s="102">
        <v>148000</v>
      </c>
      <c r="F6981" s="102">
        <f t="shared" si="3789"/>
        <v>3256000.0000000005</v>
      </c>
      <c r="G6981" s="102">
        <f t="shared" si="3790"/>
        <v>2960000</v>
      </c>
      <c r="H6981" s="690" t="s">
        <v>142</v>
      </c>
      <c r="I6981" s="71" t="s">
        <v>179</v>
      </c>
      <c r="J6981" s="53">
        <f t="shared" si="3791"/>
        <v>720000</v>
      </c>
      <c r="K6981" s="63">
        <f t="shared" si="3792"/>
        <v>0.2432432432432432</v>
      </c>
      <c r="L6981" s="1212" t="s">
        <v>4151</v>
      </c>
      <c r="M6981" s="468" t="s">
        <v>2050</v>
      </c>
      <c r="N6981" s="1192">
        <f t="shared" si="3748"/>
        <v>45489</v>
      </c>
      <c r="O6981" s="71" t="s">
        <v>3383</v>
      </c>
      <c r="P6981" s="103" t="str">
        <f t="shared" si="3793"/>
        <v>XL106 Blanket(1077*885)</v>
      </c>
      <c r="Q6981" s="71">
        <f t="shared" si="3794"/>
        <v>20</v>
      </c>
      <c r="R6981" s="102">
        <v>112000</v>
      </c>
      <c r="S6981" s="102">
        <f t="shared" si="3795"/>
        <v>2464000</v>
      </c>
      <c r="T6981" s="102">
        <f t="shared" si="3796"/>
        <v>2240000</v>
      </c>
      <c r="U6981" s="71" t="s">
        <v>859</v>
      </c>
      <c r="V6981" s="71"/>
      <c r="W6981" s="474">
        <v>260000</v>
      </c>
      <c r="X6981" s="71"/>
      <c r="Y6981" s="71"/>
    </row>
    <row r="6982" spans="1:25" ht="30" hidden="1" customHeight="1" x14ac:dyDescent="0.25">
      <c r="A6982" s="1145">
        <v>45502</v>
      </c>
      <c r="B6982" s="664" t="s">
        <v>2353</v>
      </c>
      <c r="C6982" s="71" t="s">
        <v>129</v>
      </c>
      <c r="D6982" s="71">
        <v>5</v>
      </c>
      <c r="E6982" s="102">
        <v>325000</v>
      </c>
      <c r="F6982" s="102">
        <f t="shared" ref="F6982:F7007" si="3797">(E6982*D6982)*1.1</f>
        <v>1787500.0000000002</v>
      </c>
      <c r="G6982" s="102">
        <f t="shared" ref="G6982:G7007" si="3798">(E6982*D6982)</f>
        <v>1625000</v>
      </c>
      <c r="H6982" s="690" t="s">
        <v>142</v>
      </c>
      <c r="I6982" s="71" t="s">
        <v>179</v>
      </c>
      <c r="J6982" s="53">
        <f t="shared" ref="J6982:J7007" si="3799">G6982-T6982</f>
        <v>454600</v>
      </c>
      <c r="K6982" s="63">
        <f t="shared" ref="K6982:K7007" si="3800">(J6982/(F6982/11*10))</f>
        <v>0.27975384615384613</v>
      </c>
      <c r="L6982" s="1212" t="s">
        <v>4151</v>
      </c>
      <c r="M6982" s="468" t="s">
        <v>2050</v>
      </c>
      <c r="N6982" s="1192">
        <f t="shared" ref="N6982:N7007" si="3801">A6982</f>
        <v>45502</v>
      </c>
      <c r="O6982" s="71" t="s">
        <v>149</v>
      </c>
      <c r="P6982" s="103" t="str">
        <f t="shared" ref="P6982:P7007" si="3802">(C6982)</f>
        <v>세정포-XL106</v>
      </c>
      <c r="Q6982" s="71">
        <f t="shared" ref="Q6982:Q7007" si="3803">D6982</f>
        <v>5</v>
      </c>
      <c r="R6982" s="102">
        <v>234080</v>
      </c>
      <c r="S6982" s="102">
        <f t="shared" ref="S6982:S7007" si="3804">R6982*Q6982*1.1</f>
        <v>1287440</v>
      </c>
      <c r="T6982" s="102">
        <f t="shared" ref="T6982:T7007" si="3805">R6982*Q6982</f>
        <v>1170400</v>
      </c>
      <c r="U6982" s="71" t="str">
        <f>IF(J6982=W6982,"O", "X")</f>
        <v>O</v>
      </c>
      <c r="V6982" s="71"/>
      <c r="W6982" s="474">
        <f>(G6982-T6982)</f>
        <v>454600</v>
      </c>
      <c r="X6982" s="71"/>
      <c r="Y6982" s="71"/>
    </row>
    <row r="6983" spans="1:25" s="209" customFormat="1" ht="30" hidden="1" customHeight="1" x14ac:dyDescent="0.25">
      <c r="A6983" s="1145">
        <v>45502</v>
      </c>
      <c r="B6983" s="664" t="s">
        <v>2353</v>
      </c>
      <c r="C6983" s="71" t="s">
        <v>130</v>
      </c>
      <c r="D6983" s="71">
        <v>10</v>
      </c>
      <c r="E6983" s="102">
        <v>148000</v>
      </c>
      <c r="F6983" s="102">
        <f t="shared" si="3797"/>
        <v>1628000.0000000002</v>
      </c>
      <c r="G6983" s="102">
        <f t="shared" si="3798"/>
        <v>1480000</v>
      </c>
      <c r="H6983" s="690" t="s">
        <v>142</v>
      </c>
      <c r="I6983" s="71" t="s">
        <v>179</v>
      </c>
      <c r="J6983" s="53">
        <f t="shared" si="3799"/>
        <v>360000</v>
      </c>
      <c r="K6983" s="63">
        <f t="shared" si="3800"/>
        <v>0.2432432432432432</v>
      </c>
      <c r="L6983" s="1212" t="s">
        <v>4151</v>
      </c>
      <c r="M6983" s="468" t="s">
        <v>2050</v>
      </c>
      <c r="N6983" s="1192">
        <f t="shared" si="3801"/>
        <v>45502</v>
      </c>
      <c r="O6983" s="71" t="s">
        <v>3383</v>
      </c>
      <c r="P6983" s="103" t="str">
        <f t="shared" si="3802"/>
        <v>XL106 Blanket(1077*885)</v>
      </c>
      <c r="Q6983" s="71">
        <f t="shared" si="3803"/>
        <v>10</v>
      </c>
      <c r="R6983" s="102">
        <v>112000</v>
      </c>
      <c r="S6983" s="102">
        <f t="shared" si="3804"/>
        <v>1232000</v>
      </c>
      <c r="T6983" s="102">
        <f t="shared" si="3805"/>
        <v>1120000</v>
      </c>
      <c r="U6983" s="71" t="s">
        <v>859</v>
      </c>
      <c r="V6983" s="71"/>
      <c r="W6983" s="474">
        <v>260000</v>
      </c>
      <c r="X6983" s="71"/>
      <c r="Y6983" s="71"/>
    </row>
    <row r="6984" spans="1:25" ht="30" hidden="1" customHeight="1" x14ac:dyDescent="0.25">
      <c r="A6984" s="1145">
        <v>45502</v>
      </c>
      <c r="B6984" s="664" t="s">
        <v>2579</v>
      </c>
      <c r="C6984" s="71" t="s">
        <v>3738</v>
      </c>
      <c r="D6984" s="71">
        <v>20</v>
      </c>
      <c r="E6984" s="102">
        <v>130000</v>
      </c>
      <c r="F6984" s="102">
        <f t="shared" si="3797"/>
        <v>2860000</v>
      </c>
      <c r="G6984" s="102">
        <f t="shared" si="3798"/>
        <v>2600000</v>
      </c>
      <c r="H6984" s="690" t="s">
        <v>142</v>
      </c>
      <c r="I6984" s="71" t="s">
        <v>142</v>
      </c>
      <c r="J6984" s="53">
        <f t="shared" si="3799"/>
        <v>678000</v>
      </c>
      <c r="K6984" s="63">
        <f t="shared" si="3800"/>
        <v>0.26076923076923075</v>
      </c>
      <c r="L6984" s="1212" t="s">
        <v>4151</v>
      </c>
      <c r="M6984" s="468"/>
      <c r="N6984" s="1192">
        <f t="shared" si="3801"/>
        <v>45502</v>
      </c>
      <c r="O6984" s="71" t="s">
        <v>147</v>
      </c>
      <c r="P6984" s="103" t="str">
        <f t="shared" si="3802"/>
        <v>블랑켓 - 고모리 용 (1040*920)</v>
      </c>
      <c r="Q6984" s="71">
        <f t="shared" si="3803"/>
        <v>20</v>
      </c>
      <c r="R6984" s="102">
        <v>96100</v>
      </c>
      <c r="S6984" s="102">
        <f t="shared" si="3804"/>
        <v>2114200</v>
      </c>
      <c r="T6984" s="102">
        <f t="shared" si="3805"/>
        <v>1922000</v>
      </c>
      <c r="U6984" s="71"/>
      <c r="V6984" s="71"/>
      <c r="W6984" s="474"/>
      <c r="X6984" s="71"/>
      <c r="Y6984" s="71"/>
    </row>
    <row r="6985" spans="1:25" ht="30" hidden="1" customHeight="1" x14ac:dyDescent="0.25">
      <c r="A6985" s="1145">
        <v>45502</v>
      </c>
      <c r="B6985" s="664" t="s">
        <v>2353</v>
      </c>
      <c r="C6985" s="71" t="s">
        <v>3727</v>
      </c>
      <c r="D6985" s="71">
        <v>3</v>
      </c>
      <c r="E6985" s="102">
        <v>225000</v>
      </c>
      <c r="F6985" s="102">
        <f t="shared" si="3797"/>
        <v>742500.00000000012</v>
      </c>
      <c r="G6985" s="102">
        <f t="shared" si="3798"/>
        <v>675000</v>
      </c>
      <c r="H6985" s="690" t="s">
        <v>142</v>
      </c>
      <c r="I6985" s="71" t="s">
        <v>142</v>
      </c>
      <c r="J6985" s="53">
        <f t="shared" si="3799"/>
        <v>300000</v>
      </c>
      <c r="K6985" s="63">
        <f t="shared" si="3800"/>
        <v>0.44444444444444436</v>
      </c>
      <c r="L6985" s="1212" t="s">
        <v>4151</v>
      </c>
      <c r="M6985" s="468"/>
      <c r="N6985" s="1192">
        <f t="shared" si="3801"/>
        <v>45502</v>
      </c>
      <c r="O6985" s="71" t="s">
        <v>189</v>
      </c>
      <c r="P6985" s="103" t="str">
        <f t="shared" si="3802"/>
        <v>압통 코팅제 - 퀵 프린트</v>
      </c>
      <c r="Q6985" s="71">
        <f t="shared" si="3803"/>
        <v>3</v>
      </c>
      <c r="R6985" s="102">
        <f>25000*5</f>
        <v>125000</v>
      </c>
      <c r="S6985" s="102">
        <f t="shared" si="3804"/>
        <v>412500.00000000006</v>
      </c>
      <c r="T6985" s="102">
        <f t="shared" si="3805"/>
        <v>375000</v>
      </c>
      <c r="U6985" s="71"/>
      <c r="V6985" s="71"/>
      <c r="W6985" s="474"/>
      <c r="X6985" s="71"/>
      <c r="Y6985" s="71"/>
    </row>
    <row r="6986" spans="1:25" ht="30" hidden="1" customHeight="1" x14ac:dyDescent="0.25">
      <c r="A6986" s="1145">
        <v>45489</v>
      </c>
      <c r="B6986" s="664" t="s">
        <v>2353</v>
      </c>
      <c r="C6986" s="71" t="s">
        <v>3384</v>
      </c>
      <c r="D6986" s="71">
        <v>100</v>
      </c>
      <c r="E6986" s="102">
        <v>500</v>
      </c>
      <c r="F6986" s="102">
        <f t="shared" si="3797"/>
        <v>55000.000000000007</v>
      </c>
      <c r="G6986" s="102">
        <f t="shared" si="3798"/>
        <v>50000</v>
      </c>
      <c r="H6986" s="690" t="s">
        <v>142</v>
      </c>
      <c r="I6986" s="71" t="s">
        <v>179</v>
      </c>
      <c r="J6986" s="53">
        <f t="shared" si="3799"/>
        <v>10000</v>
      </c>
      <c r="K6986" s="63">
        <f t="shared" si="3800"/>
        <v>0.19999999999999998</v>
      </c>
      <c r="L6986" s="1212" t="s">
        <v>4151</v>
      </c>
      <c r="M6986" s="468"/>
      <c r="N6986" s="1192">
        <f t="shared" si="3801"/>
        <v>45489</v>
      </c>
      <c r="O6986" s="71"/>
      <c r="P6986" s="164" t="str">
        <f t="shared" si="3802"/>
        <v>고무사카 빨간색</v>
      </c>
      <c r="Q6986" s="71">
        <f t="shared" si="3803"/>
        <v>100</v>
      </c>
      <c r="R6986" s="690">
        <v>400</v>
      </c>
      <c r="S6986" s="102">
        <f t="shared" si="3804"/>
        <v>44000</v>
      </c>
      <c r="T6986" s="102">
        <f t="shared" si="3805"/>
        <v>40000</v>
      </c>
      <c r="U6986" s="71"/>
      <c r="V6986" s="71"/>
      <c r="W6986" s="474"/>
      <c r="X6986" s="71"/>
      <c r="Y6986" s="71"/>
    </row>
    <row r="6987" spans="1:25" ht="30" customHeight="1" x14ac:dyDescent="0.25">
      <c r="A6987" s="1145">
        <v>45498</v>
      </c>
      <c r="B6987" s="664" t="s">
        <v>641</v>
      </c>
      <c r="C6987" s="71" t="s">
        <v>3293</v>
      </c>
      <c r="D6987" s="71">
        <v>80</v>
      </c>
      <c r="E6987" s="102">
        <v>84000</v>
      </c>
      <c r="F6987" s="102">
        <f t="shared" si="3797"/>
        <v>7392000.0000000009</v>
      </c>
      <c r="G6987" s="102">
        <f t="shared" si="3798"/>
        <v>6720000</v>
      </c>
      <c r="H6987" s="690" t="s">
        <v>172</v>
      </c>
      <c r="I6987" s="71" t="s">
        <v>38</v>
      </c>
      <c r="J6987" s="53">
        <f t="shared" si="3799"/>
        <v>2640000</v>
      </c>
      <c r="K6987" s="63">
        <f t="shared" si="3800"/>
        <v>0.39285714285714279</v>
      </c>
      <c r="L6987" s="1212" t="s">
        <v>4149</v>
      </c>
      <c r="M6987" s="468"/>
      <c r="N6987" s="1192">
        <f t="shared" si="3801"/>
        <v>45498</v>
      </c>
      <c r="O6987" s="71" t="s">
        <v>3291</v>
      </c>
      <c r="P6987" s="103" t="str">
        <f t="shared" si="3802"/>
        <v>GOSS 신문윤전 습식세정포</v>
      </c>
      <c r="Q6987" s="71">
        <f t="shared" si="3803"/>
        <v>80</v>
      </c>
      <c r="R6987" s="102">
        <v>51000</v>
      </c>
      <c r="S6987" s="102">
        <f t="shared" si="3804"/>
        <v>4488000</v>
      </c>
      <c r="T6987" s="102">
        <f t="shared" si="3805"/>
        <v>4080000</v>
      </c>
      <c r="U6987" s="71" t="str">
        <f>IF(J6987=W6987,"O", "X")</f>
        <v>X</v>
      </c>
      <c r="V6987" s="71"/>
      <c r="W6987" s="474"/>
      <c r="X6987" s="71"/>
      <c r="Y6987" s="71"/>
    </row>
    <row r="6988" spans="1:25" ht="30" hidden="1" customHeight="1" x14ac:dyDescent="0.25">
      <c r="A6988" s="1145">
        <v>45498</v>
      </c>
      <c r="B6988" s="664" t="s">
        <v>1060</v>
      </c>
      <c r="C6988" s="71" t="s">
        <v>3908</v>
      </c>
      <c r="D6988" s="71">
        <v>300</v>
      </c>
      <c r="E6988" s="102">
        <v>5860</v>
      </c>
      <c r="F6988" s="102">
        <f t="shared" si="3797"/>
        <v>1933800.0000000002</v>
      </c>
      <c r="G6988" s="102">
        <f t="shared" si="3798"/>
        <v>1758000</v>
      </c>
      <c r="H6988" s="690" t="s">
        <v>142</v>
      </c>
      <c r="I6988" s="71" t="s">
        <v>179</v>
      </c>
      <c r="J6988" s="53">
        <f t="shared" si="3799"/>
        <v>583800</v>
      </c>
      <c r="K6988" s="63">
        <f t="shared" si="3800"/>
        <v>0.33208191126279857</v>
      </c>
      <c r="L6988" s="1212" t="s">
        <v>4149</v>
      </c>
      <c r="M6988" s="102" t="s">
        <v>3964</v>
      </c>
      <c r="N6988" s="1192">
        <f t="shared" si="3801"/>
        <v>45498</v>
      </c>
      <c r="O6988" s="71" t="s">
        <v>662</v>
      </c>
      <c r="P6988" s="103" t="str">
        <f t="shared" si="3802"/>
        <v>Saphira CTP 판 1030 x 790</v>
      </c>
      <c r="Q6988" s="71">
        <f t="shared" si="3803"/>
        <v>300</v>
      </c>
      <c r="R6988" s="102">
        <v>3914</v>
      </c>
      <c r="S6988" s="102">
        <f t="shared" si="3804"/>
        <v>1291620</v>
      </c>
      <c r="T6988" s="102">
        <f t="shared" si="3805"/>
        <v>1174200</v>
      </c>
      <c r="U6988" s="71" t="s">
        <v>859</v>
      </c>
      <c r="V6988" s="71"/>
      <c r="W6988" s="474">
        <v>942000</v>
      </c>
      <c r="X6988" s="71"/>
      <c r="Y6988" s="71"/>
    </row>
    <row r="6989" spans="1:25" ht="30" hidden="1" customHeight="1" x14ac:dyDescent="0.25">
      <c r="A6989" s="1145">
        <v>45498</v>
      </c>
      <c r="B6989" s="664" t="s">
        <v>1060</v>
      </c>
      <c r="C6989" s="71" t="s">
        <v>3909</v>
      </c>
      <c r="D6989" s="71">
        <v>2500</v>
      </c>
      <c r="E6989" s="102">
        <v>3700</v>
      </c>
      <c r="F6989" s="102">
        <f t="shared" si="3797"/>
        <v>10175000</v>
      </c>
      <c r="G6989" s="102">
        <f t="shared" si="3798"/>
        <v>9250000</v>
      </c>
      <c r="H6989" s="690" t="s">
        <v>36</v>
      </c>
      <c r="I6989" s="71" t="s">
        <v>2529</v>
      </c>
      <c r="J6989" s="53">
        <f t="shared" si="3799"/>
        <v>3070000</v>
      </c>
      <c r="K6989" s="63">
        <f t="shared" si="3800"/>
        <v>0.33189189189189189</v>
      </c>
      <c r="L6989" s="1212" t="s">
        <v>4149</v>
      </c>
      <c r="M6989" s="102" t="s">
        <v>3964</v>
      </c>
      <c r="N6989" s="1192">
        <f t="shared" si="3801"/>
        <v>45498</v>
      </c>
      <c r="O6989" s="71" t="s">
        <v>662</v>
      </c>
      <c r="P6989" s="103" t="str">
        <f t="shared" si="3802"/>
        <v>Saphira CTP 판 900 x 571</v>
      </c>
      <c r="Q6989" s="71">
        <f t="shared" si="3803"/>
        <v>2500</v>
      </c>
      <c r="R6989" s="102">
        <v>2472</v>
      </c>
      <c r="S6989" s="102">
        <f t="shared" si="3804"/>
        <v>6798000.0000000009</v>
      </c>
      <c r="T6989" s="102">
        <f t="shared" si="3805"/>
        <v>6180000</v>
      </c>
      <c r="U6989" s="71" t="s">
        <v>859</v>
      </c>
      <c r="V6989" s="71"/>
      <c r="W6989" s="474">
        <v>1274000</v>
      </c>
      <c r="X6989" s="71"/>
      <c r="Y6989" s="71"/>
    </row>
    <row r="6990" spans="1:25" ht="30" hidden="1" customHeight="1" x14ac:dyDescent="0.25">
      <c r="A6990" s="1145">
        <v>45498</v>
      </c>
      <c r="B6990" s="664" t="s">
        <v>1060</v>
      </c>
      <c r="C6990" s="71" t="s">
        <v>3910</v>
      </c>
      <c r="D6990" s="71">
        <v>1200</v>
      </c>
      <c r="E6990" s="102">
        <v>3500</v>
      </c>
      <c r="F6990" s="102">
        <f t="shared" si="3797"/>
        <v>4620000</v>
      </c>
      <c r="G6990" s="102">
        <f t="shared" si="3798"/>
        <v>4200000</v>
      </c>
      <c r="H6990" s="690" t="s">
        <v>36</v>
      </c>
      <c r="I6990" s="71" t="s">
        <v>2529</v>
      </c>
      <c r="J6990" s="53">
        <f t="shared" si="3799"/>
        <v>1382400</v>
      </c>
      <c r="K6990" s="63">
        <f t="shared" si="3800"/>
        <v>0.32914285714285713</v>
      </c>
      <c r="L6990" s="1212" t="s">
        <v>4149</v>
      </c>
      <c r="M6990" s="102" t="s">
        <v>3964</v>
      </c>
      <c r="N6990" s="1192">
        <f t="shared" si="3801"/>
        <v>45498</v>
      </c>
      <c r="O6990" s="71" t="s">
        <v>662</v>
      </c>
      <c r="P6990" s="103" t="str">
        <f t="shared" si="3802"/>
        <v>Saphira CTP 판 883 x 552</v>
      </c>
      <c r="Q6990" s="71">
        <f t="shared" si="3803"/>
        <v>1200</v>
      </c>
      <c r="R6990" s="102">
        <v>2348</v>
      </c>
      <c r="S6990" s="102">
        <f t="shared" si="3804"/>
        <v>3099360.0000000005</v>
      </c>
      <c r="T6990" s="102">
        <f t="shared" si="3805"/>
        <v>2817600</v>
      </c>
      <c r="U6990" s="71" t="s">
        <v>859</v>
      </c>
      <c r="V6990" s="71"/>
      <c r="W6990" s="474">
        <v>3325000</v>
      </c>
      <c r="X6990" s="71"/>
      <c r="Y6990" s="71"/>
    </row>
    <row r="6991" spans="1:25" ht="30" hidden="1" customHeight="1" x14ac:dyDescent="0.25">
      <c r="A6991" s="1145">
        <v>45498</v>
      </c>
      <c r="B6991" s="664" t="s">
        <v>1060</v>
      </c>
      <c r="C6991" s="71" t="s">
        <v>3911</v>
      </c>
      <c r="D6991" s="71">
        <v>600</v>
      </c>
      <c r="E6991" s="102">
        <v>5940</v>
      </c>
      <c r="F6991" s="102">
        <f t="shared" si="3797"/>
        <v>3920400.0000000005</v>
      </c>
      <c r="G6991" s="102">
        <f t="shared" si="3798"/>
        <v>3564000</v>
      </c>
      <c r="H6991" s="690" t="s">
        <v>36</v>
      </c>
      <c r="I6991" s="71" t="s">
        <v>2529</v>
      </c>
      <c r="J6991" s="53">
        <f t="shared" si="3799"/>
        <v>1184400</v>
      </c>
      <c r="K6991" s="63">
        <f t="shared" si="3800"/>
        <v>0.3323232323232323</v>
      </c>
      <c r="L6991" s="1212" t="s">
        <v>4149</v>
      </c>
      <c r="M6991" s="102" t="s">
        <v>3964</v>
      </c>
      <c r="N6991" s="1192">
        <f t="shared" si="3801"/>
        <v>45498</v>
      </c>
      <c r="O6991" s="71" t="s">
        <v>662</v>
      </c>
      <c r="P6991" s="103" t="str">
        <f t="shared" si="3802"/>
        <v>Saphira CTP 판 1030 x 800</v>
      </c>
      <c r="Q6991" s="71">
        <f t="shared" si="3803"/>
        <v>600</v>
      </c>
      <c r="R6991" s="102">
        <v>3966</v>
      </c>
      <c r="S6991" s="102">
        <f t="shared" si="3804"/>
        <v>2617560</v>
      </c>
      <c r="T6991" s="102">
        <f t="shared" si="3805"/>
        <v>2379600</v>
      </c>
      <c r="U6991" s="71" t="s">
        <v>859</v>
      </c>
      <c r="V6991" s="71"/>
      <c r="W6991" s="474">
        <v>636000</v>
      </c>
      <c r="X6991" s="71"/>
      <c r="Y6991" s="71"/>
    </row>
    <row r="6992" spans="1:25" ht="30" hidden="1" customHeight="1" x14ac:dyDescent="0.25">
      <c r="A6992" s="1145">
        <v>45498</v>
      </c>
      <c r="B6992" s="664" t="s">
        <v>1060</v>
      </c>
      <c r="C6992" s="71" t="s">
        <v>3912</v>
      </c>
      <c r="D6992" s="71">
        <v>400</v>
      </c>
      <c r="E6992" s="102">
        <v>6160</v>
      </c>
      <c r="F6992" s="102">
        <f t="shared" si="3797"/>
        <v>2710400</v>
      </c>
      <c r="G6992" s="102">
        <f t="shared" si="3798"/>
        <v>2464000</v>
      </c>
      <c r="H6992" s="690" t="s">
        <v>36</v>
      </c>
      <c r="I6992" s="71" t="s">
        <v>2529</v>
      </c>
      <c r="J6992" s="53">
        <f t="shared" si="3799"/>
        <v>816000</v>
      </c>
      <c r="K6992" s="63">
        <f t="shared" si="3800"/>
        <v>0.33116883116883117</v>
      </c>
      <c r="L6992" s="1212" t="s">
        <v>4149</v>
      </c>
      <c r="M6992" s="102" t="s">
        <v>3964</v>
      </c>
      <c r="N6992" s="1192">
        <f t="shared" si="3801"/>
        <v>45498</v>
      </c>
      <c r="O6992" s="71" t="s">
        <v>662</v>
      </c>
      <c r="P6992" s="103" t="str">
        <f t="shared" si="3802"/>
        <v>Saphira CTP 판 1055 x 811</v>
      </c>
      <c r="Q6992" s="71">
        <f t="shared" si="3803"/>
        <v>400</v>
      </c>
      <c r="R6992" s="102">
        <v>4120</v>
      </c>
      <c r="S6992" s="102">
        <f t="shared" si="3804"/>
        <v>1812800.0000000002</v>
      </c>
      <c r="T6992" s="102">
        <f t="shared" si="3805"/>
        <v>1648000</v>
      </c>
      <c r="U6992" s="71" t="s">
        <v>859</v>
      </c>
      <c r="V6992" s="71"/>
      <c r="W6992" s="474">
        <v>1476000</v>
      </c>
      <c r="X6992" s="71"/>
      <c r="Y6992" s="71"/>
    </row>
    <row r="6993" spans="1:25" ht="30" hidden="1" customHeight="1" x14ac:dyDescent="0.25">
      <c r="A6993" s="1145">
        <v>45498</v>
      </c>
      <c r="B6993" s="664" t="s">
        <v>1060</v>
      </c>
      <c r="C6993" s="71" t="s">
        <v>3913</v>
      </c>
      <c r="D6993" s="71">
        <v>200</v>
      </c>
      <c r="E6993" s="102">
        <v>4390</v>
      </c>
      <c r="F6993" s="102">
        <f t="shared" si="3797"/>
        <v>965800.00000000012</v>
      </c>
      <c r="G6993" s="102">
        <f t="shared" si="3798"/>
        <v>878000</v>
      </c>
      <c r="H6993" s="690" t="s">
        <v>36</v>
      </c>
      <c r="I6993" s="71" t="s">
        <v>2529</v>
      </c>
      <c r="J6993" s="53">
        <f t="shared" si="3799"/>
        <v>290800</v>
      </c>
      <c r="K6993" s="63">
        <f t="shared" si="3800"/>
        <v>0.33120728929384963</v>
      </c>
      <c r="L6993" s="1212" t="s">
        <v>4149</v>
      </c>
      <c r="M6993" s="102" t="s">
        <v>3964</v>
      </c>
      <c r="N6993" s="1192">
        <f t="shared" si="3801"/>
        <v>45498</v>
      </c>
      <c r="O6993" s="71" t="s">
        <v>662</v>
      </c>
      <c r="P6993" s="103" t="str">
        <f t="shared" si="3802"/>
        <v>Saphira CTP 판 968 x 631</v>
      </c>
      <c r="Q6993" s="71">
        <f t="shared" si="3803"/>
        <v>200</v>
      </c>
      <c r="R6993" s="102">
        <v>2936</v>
      </c>
      <c r="S6993" s="102">
        <f t="shared" si="3804"/>
        <v>645920</v>
      </c>
      <c r="T6993" s="102">
        <f t="shared" si="3805"/>
        <v>587200</v>
      </c>
      <c r="U6993" s="71" t="s">
        <v>859</v>
      </c>
      <c r="V6993" s="71"/>
      <c r="W6993" s="474">
        <v>1416000</v>
      </c>
      <c r="X6993" s="71"/>
      <c r="Y6993" s="71"/>
    </row>
    <row r="6994" spans="1:25" ht="30" hidden="1" customHeight="1" x14ac:dyDescent="0.25">
      <c r="A6994" s="1145">
        <v>45498</v>
      </c>
      <c r="B6994" s="664" t="s">
        <v>1060</v>
      </c>
      <c r="C6994" s="71" t="s">
        <v>3914</v>
      </c>
      <c r="D6994" s="71">
        <v>25</v>
      </c>
      <c r="E6994" s="102">
        <v>53240</v>
      </c>
      <c r="F6994" s="102">
        <f t="shared" si="3797"/>
        <v>1464100.0000000002</v>
      </c>
      <c r="G6994" s="102">
        <f t="shared" si="3798"/>
        <v>1331000</v>
      </c>
      <c r="H6994" s="690" t="s">
        <v>36</v>
      </c>
      <c r="I6994" s="71" t="s">
        <v>2529</v>
      </c>
      <c r="J6994" s="53">
        <f t="shared" si="3799"/>
        <v>301000</v>
      </c>
      <c r="K6994" s="63">
        <f t="shared" si="3800"/>
        <v>0.22614575507137485</v>
      </c>
      <c r="L6994" s="1212" t="s">
        <v>4149</v>
      </c>
      <c r="M6994" s="468"/>
      <c r="N6994" s="1192">
        <f t="shared" si="3801"/>
        <v>45498</v>
      </c>
      <c r="O6994" s="71" t="s">
        <v>662</v>
      </c>
      <c r="P6994" s="103" t="str">
        <f t="shared" si="3802"/>
        <v>사피라 현상액</v>
      </c>
      <c r="Q6994" s="71">
        <f t="shared" si="3803"/>
        <v>25</v>
      </c>
      <c r="R6994" s="102">
        <v>41200</v>
      </c>
      <c r="S6994" s="102">
        <f t="shared" si="3804"/>
        <v>1133000</v>
      </c>
      <c r="T6994" s="102">
        <f t="shared" si="3805"/>
        <v>1030000</v>
      </c>
      <c r="U6994" s="71" t="s">
        <v>859</v>
      </c>
      <c r="V6994" s="71"/>
      <c r="W6994" s="474">
        <v>978750</v>
      </c>
      <c r="X6994" s="71"/>
      <c r="Y6994" s="71"/>
    </row>
    <row r="6995" spans="1:25" ht="30" hidden="1" customHeight="1" x14ac:dyDescent="0.25">
      <c r="A6995" s="1145">
        <v>45498</v>
      </c>
      <c r="B6995" s="664" t="s">
        <v>1061</v>
      </c>
      <c r="C6995" s="71" t="s">
        <v>3319</v>
      </c>
      <c r="D6995" s="71">
        <v>400</v>
      </c>
      <c r="E6995" s="102">
        <v>6328</v>
      </c>
      <c r="F6995" s="102">
        <f t="shared" si="3797"/>
        <v>2784320</v>
      </c>
      <c r="G6995" s="102">
        <f t="shared" si="3798"/>
        <v>2531200</v>
      </c>
      <c r="H6995" s="690" t="s">
        <v>36</v>
      </c>
      <c r="I6995" s="71" t="s">
        <v>3320</v>
      </c>
      <c r="J6995" s="53">
        <f t="shared" si="3799"/>
        <v>191200</v>
      </c>
      <c r="K6995" s="63">
        <f t="shared" si="3800"/>
        <v>7.5537294563843241E-2</v>
      </c>
      <c r="L6995" s="1212" t="s">
        <v>4149</v>
      </c>
      <c r="M6995" s="468"/>
      <c r="N6995" s="1192">
        <f t="shared" si="3801"/>
        <v>45498</v>
      </c>
      <c r="O6995" s="71" t="s">
        <v>146</v>
      </c>
      <c r="P6995" s="103" t="str">
        <f t="shared" si="3802"/>
        <v>프리미어(먹)</v>
      </c>
      <c r="Q6995" s="71">
        <f t="shared" si="3803"/>
        <v>400</v>
      </c>
      <c r="R6995" s="102">
        <v>5850</v>
      </c>
      <c r="S6995" s="102">
        <f t="shared" si="3804"/>
        <v>2574000</v>
      </c>
      <c r="T6995" s="102">
        <f t="shared" si="3805"/>
        <v>2340000</v>
      </c>
      <c r="U6995" s="71" t="s">
        <v>859</v>
      </c>
      <c r="V6995" s="71"/>
      <c r="W6995" s="474">
        <v>411200</v>
      </c>
      <c r="X6995" s="71"/>
      <c r="Y6995" s="71"/>
    </row>
    <row r="6996" spans="1:25" ht="30" hidden="1" customHeight="1" x14ac:dyDescent="0.25">
      <c r="A6996" s="1145">
        <v>45498</v>
      </c>
      <c r="B6996" s="664" t="s">
        <v>1061</v>
      </c>
      <c r="C6996" s="71" t="s">
        <v>3321</v>
      </c>
      <c r="D6996" s="71">
        <v>200</v>
      </c>
      <c r="E6996" s="102">
        <v>6780</v>
      </c>
      <c r="F6996" s="102">
        <f t="shared" si="3797"/>
        <v>1491600.0000000002</v>
      </c>
      <c r="G6996" s="102">
        <f t="shared" si="3798"/>
        <v>1356000</v>
      </c>
      <c r="H6996" s="690" t="s">
        <v>36</v>
      </c>
      <c r="I6996" s="71" t="s">
        <v>3320</v>
      </c>
      <c r="J6996" s="53">
        <f t="shared" si="3799"/>
        <v>100000</v>
      </c>
      <c r="K6996" s="63">
        <f t="shared" si="3800"/>
        <v>7.3746312684365767E-2</v>
      </c>
      <c r="L6996" s="1212" t="s">
        <v>4149</v>
      </c>
      <c r="M6996" s="468"/>
      <c r="N6996" s="1192">
        <f t="shared" si="3801"/>
        <v>45498</v>
      </c>
      <c r="O6996" s="71" t="s">
        <v>146</v>
      </c>
      <c r="P6996" s="103" t="str">
        <f t="shared" si="3802"/>
        <v>프리미어(적)</v>
      </c>
      <c r="Q6996" s="71">
        <f t="shared" si="3803"/>
        <v>200</v>
      </c>
      <c r="R6996" s="102">
        <v>6280</v>
      </c>
      <c r="S6996" s="102">
        <f t="shared" si="3804"/>
        <v>1381600</v>
      </c>
      <c r="T6996" s="102">
        <f t="shared" si="3805"/>
        <v>1256000</v>
      </c>
      <c r="U6996" s="71" t="s">
        <v>859</v>
      </c>
      <c r="V6996" s="71"/>
      <c r="W6996" s="474">
        <v>292000</v>
      </c>
      <c r="X6996" s="71"/>
      <c r="Y6996" s="71"/>
    </row>
    <row r="6997" spans="1:25" ht="30" hidden="1" customHeight="1" x14ac:dyDescent="0.25">
      <c r="A6997" s="1145">
        <v>45498</v>
      </c>
      <c r="B6997" s="664" t="s">
        <v>1061</v>
      </c>
      <c r="C6997" s="71" t="s">
        <v>1289</v>
      </c>
      <c r="D6997" s="71">
        <v>400</v>
      </c>
      <c r="E6997" s="102">
        <v>6498</v>
      </c>
      <c r="F6997" s="102">
        <f t="shared" si="3797"/>
        <v>2859120</v>
      </c>
      <c r="G6997" s="102">
        <f t="shared" si="3798"/>
        <v>2599200</v>
      </c>
      <c r="H6997" s="690" t="s">
        <v>36</v>
      </c>
      <c r="I6997" s="71" t="s">
        <v>3320</v>
      </c>
      <c r="J6997" s="53">
        <f t="shared" si="3799"/>
        <v>191200</v>
      </c>
      <c r="K6997" s="63">
        <f t="shared" si="3800"/>
        <v>7.3561095721760547E-2</v>
      </c>
      <c r="L6997" s="1212" t="s">
        <v>4149</v>
      </c>
      <c r="M6997" s="468"/>
      <c r="N6997" s="1192">
        <f t="shared" si="3801"/>
        <v>45498</v>
      </c>
      <c r="O6997" s="71" t="s">
        <v>146</v>
      </c>
      <c r="P6997" s="103" t="str">
        <f t="shared" si="3802"/>
        <v>프리미어(황)</v>
      </c>
      <c r="Q6997" s="71">
        <f t="shared" si="3803"/>
        <v>400</v>
      </c>
      <c r="R6997" s="102">
        <v>6020</v>
      </c>
      <c r="S6997" s="102">
        <f t="shared" si="3804"/>
        <v>2648800</v>
      </c>
      <c r="T6997" s="102">
        <f t="shared" si="3805"/>
        <v>2408000</v>
      </c>
      <c r="U6997" s="71" t="s">
        <v>859</v>
      </c>
      <c r="V6997" s="71"/>
      <c r="W6997" s="474">
        <v>640800</v>
      </c>
      <c r="X6997" s="71"/>
      <c r="Y6997" s="71"/>
    </row>
    <row r="6998" spans="1:25" ht="30" hidden="1" customHeight="1" x14ac:dyDescent="0.25">
      <c r="A6998" s="1145">
        <v>45498</v>
      </c>
      <c r="B6998" s="664" t="s">
        <v>1061</v>
      </c>
      <c r="C6998" s="71" t="s">
        <v>1290</v>
      </c>
      <c r="D6998" s="71">
        <v>400</v>
      </c>
      <c r="E6998" s="102">
        <v>7910</v>
      </c>
      <c r="F6998" s="102">
        <f t="shared" si="3797"/>
        <v>3480400.0000000005</v>
      </c>
      <c r="G6998" s="102">
        <f t="shared" si="3798"/>
        <v>3164000</v>
      </c>
      <c r="H6998" s="690" t="s">
        <v>36</v>
      </c>
      <c r="I6998" s="71" t="s">
        <v>3320</v>
      </c>
      <c r="J6998" s="53">
        <f t="shared" si="3799"/>
        <v>240000</v>
      </c>
      <c r="K6998" s="63">
        <f t="shared" si="3800"/>
        <v>7.5853350189633365E-2</v>
      </c>
      <c r="L6998" s="1212" t="s">
        <v>4149</v>
      </c>
      <c r="M6998" s="468"/>
      <c r="N6998" s="1192">
        <f t="shared" si="3801"/>
        <v>45498</v>
      </c>
      <c r="O6998" s="71" t="s">
        <v>146</v>
      </c>
      <c r="P6998" s="103" t="str">
        <f t="shared" si="3802"/>
        <v>프리미어(청)</v>
      </c>
      <c r="Q6998" s="71">
        <f t="shared" si="3803"/>
        <v>400</v>
      </c>
      <c r="R6998" s="102">
        <v>7310</v>
      </c>
      <c r="S6998" s="102">
        <f t="shared" si="3804"/>
        <v>3216400.0000000005</v>
      </c>
      <c r="T6998" s="102">
        <f t="shared" si="3805"/>
        <v>2924000</v>
      </c>
      <c r="U6998" s="71" t="s">
        <v>859</v>
      </c>
      <c r="V6998" s="71"/>
      <c r="W6998" s="474">
        <v>846000</v>
      </c>
      <c r="X6998" s="71"/>
      <c r="Y6998" s="71"/>
    </row>
    <row r="6999" spans="1:25" ht="30" hidden="1" customHeight="1" x14ac:dyDescent="0.25">
      <c r="A6999" s="1145">
        <v>45498</v>
      </c>
      <c r="B6999" s="664" t="s">
        <v>1061</v>
      </c>
      <c r="C6999" s="71" t="s">
        <v>3322</v>
      </c>
      <c r="D6999" s="71"/>
      <c r="E6999" s="102">
        <v>7150</v>
      </c>
      <c r="F6999" s="102">
        <f t="shared" si="3797"/>
        <v>0</v>
      </c>
      <c r="G6999" s="102">
        <f t="shared" si="3798"/>
        <v>0</v>
      </c>
      <c r="H6999" s="690" t="s">
        <v>36</v>
      </c>
      <c r="I6999" s="71" t="s">
        <v>3320</v>
      </c>
      <c r="J6999" s="53">
        <f t="shared" si="3799"/>
        <v>0</v>
      </c>
      <c r="K6999" s="63" t="e">
        <f t="shared" si="3800"/>
        <v>#DIV/0!</v>
      </c>
      <c r="L6999" s="1212" t="s">
        <v>4149</v>
      </c>
      <c r="M6999" s="468"/>
      <c r="N6999" s="1192">
        <f t="shared" si="3801"/>
        <v>45498</v>
      </c>
      <c r="O6999" s="71" t="s">
        <v>3323</v>
      </c>
      <c r="P6999" s="103" t="str">
        <f t="shared" si="3802"/>
        <v>한특 잉크(적)</v>
      </c>
      <c r="Q6999" s="71">
        <f t="shared" si="3803"/>
        <v>0</v>
      </c>
      <c r="R6999" s="102">
        <v>6500</v>
      </c>
      <c r="S6999" s="102">
        <f t="shared" si="3804"/>
        <v>0</v>
      </c>
      <c r="T6999" s="102">
        <f t="shared" si="3805"/>
        <v>0</v>
      </c>
      <c r="U6999" s="71" t="s">
        <v>859</v>
      </c>
      <c r="V6999" s="71"/>
      <c r="W6999" s="474">
        <v>0</v>
      </c>
      <c r="X6999" s="71"/>
      <c r="Y6999" s="71"/>
    </row>
    <row r="7000" spans="1:25" ht="30" hidden="1" customHeight="1" x14ac:dyDescent="0.25">
      <c r="A7000" s="1145">
        <v>45498</v>
      </c>
      <c r="B7000" s="664" t="s">
        <v>1061</v>
      </c>
      <c r="C7000" s="71" t="s">
        <v>3324</v>
      </c>
      <c r="D7000" s="71"/>
      <c r="E7000" s="102">
        <v>6900</v>
      </c>
      <c r="F7000" s="102">
        <f t="shared" si="3797"/>
        <v>0</v>
      </c>
      <c r="G7000" s="102">
        <f t="shared" si="3798"/>
        <v>0</v>
      </c>
      <c r="H7000" s="690" t="s">
        <v>36</v>
      </c>
      <c r="I7000" s="71" t="s">
        <v>3320</v>
      </c>
      <c r="J7000" s="53">
        <f t="shared" si="3799"/>
        <v>0</v>
      </c>
      <c r="K7000" s="63" t="e">
        <f t="shared" si="3800"/>
        <v>#DIV/0!</v>
      </c>
      <c r="L7000" s="1212" t="s">
        <v>4149</v>
      </c>
      <c r="M7000" s="468"/>
      <c r="N7000" s="1192">
        <f t="shared" si="3801"/>
        <v>45498</v>
      </c>
      <c r="O7000" s="71" t="s">
        <v>3323</v>
      </c>
      <c r="P7000" s="103" t="str">
        <f t="shared" si="3802"/>
        <v>한특 잉크(황)</v>
      </c>
      <c r="Q7000" s="71">
        <f t="shared" si="3803"/>
        <v>0</v>
      </c>
      <c r="R7000" s="102">
        <v>6200</v>
      </c>
      <c r="S7000" s="102">
        <f t="shared" si="3804"/>
        <v>0</v>
      </c>
      <c r="T7000" s="102">
        <f t="shared" si="3805"/>
        <v>0</v>
      </c>
      <c r="U7000" s="71" t="s">
        <v>859</v>
      </c>
      <c r="V7000" s="71"/>
      <c r="W7000" s="474">
        <v>0</v>
      </c>
      <c r="X7000" s="71"/>
      <c r="Y7000" s="71"/>
    </row>
    <row r="7001" spans="1:25" ht="28.5" hidden="1" customHeight="1" x14ac:dyDescent="0.25">
      <c r="A7001" s="1145">
        <v>45498</v>
      </c>
      <c r="B7001" s="664" t="s">
        <v>1061</v>
      </c>
      <c r="C7001" s="71" t="s">
        <v>3325</v>
      </c>
      <c r="D7001" s="71"/>
      <c r="E7001" s="102">
        <v>7500</v>
      </c>
      <c r="F7001" s="102">
        <f t="shared" si="3797"/>
        <v>0</v>
      </c>
      <c r="G7001" s="102">
        <f t="shared" si="3798"/>
        <v>0</v>
      </c>
      <c r="H7001" s="690" t="s">
        <v>36</v>
      </c>
      <c r="I7001" s="71" t="s">
        <v>3320</v>
      </c>
      <c r="J7001" s="53">
        <f t="shared" si="3799"/>
        <v>0</v>
      </c>
      <c r="K7001" s="63" t="e">
        <f t="shared" si="3800"/>
        <v>#DIV/0!</v>
      </c>
      <c r="L7001" s="1212" t="s">
        <v>4149</v>
      </c>
      <c r="M7001" s="468"/>
      <c r="N7001" s="1192">
        <f t="shared" si="3801"/>
        <v>45498</v>
      </c>
      <c r="O7001" s="71" t="s">
        <v>3323</v>
      </c>
      <c r="P7001" s="103" t="str">
        <f t="shared" si="3802"/>
        <v>한특 잉크(청)</v>
      </c>
      <c r="Q7001" s="71">
        <f t="shared" si="3803"/>
        <v>0</v>
      </c>
      <c r="R7001" s="102">
        <v>6600</v>
      </c>
      <c r="S7001" s="102">
        <f t="shared" si="3804"/>
        <v>0</v>
      </c>
      <c r="T7001" s="102">
        <f t="shared" si="3805"/>
        <v>0</v>
      </c>
      <c r="U7001" s="71" t="s">
        <v>859</v>
      </c>
      <c r="V7001" s="71"/>
      <c r="W7001" s="474">
        <v>0</v>
      </c>
      <c r="X7001" s="71"/>
      <c r="Y7001" s="71"/>
    </row>
    <row r="7002" spans="1:25" ht="30" hidden="1" customHeight="1" x14ac:dyDescent="0.25">
      <c r="A7002" s="1145">
        <v>45498</v>
      </c>
      <c r="B7002" s="664" t="s">
        <v>1061</v>
      </c>
      <c r="C7002" s="71" t="s">
        <v>3326</v>
      </c>
      <c r="D7002" s="71"/>
      <c r="E7002" s="102">
        <v>6450</v>
      </c>
      <c r="F7002" s="102">
        <f t="shared" si="3797"/>
        <v>0</v>
      </c>
      <c r="G7002" s="102">
        <f t="shared" si="3798"/>
        <v>0</v>
      </c>
      <c r="H7002" s="690" t="s">
        <v>36</v>
      </c>
      <c r="I7002" s="71" t="s">
        <v>3320</v>
      </c>
      <c r="J7002" s="53">
        <f t="shared" si="3799"/>
        <v>0</v>
      </c>
      <c r="K7002" s="63" t="e">
        <f t="shared" si="3800"/>
        <v>#DIV/0!</v>
      </c>
      <c r="L7002" s="1212" t="s">
        <v>4149</v>
      </c>
      <c r="M7002" s="468"/>
      <c r="N7002" s="1192">
        <f t="shared" si="3801"/>
        <v>45498</v>
      </c>
      <c r="O7002" s="71" t="s">
        <v>3323</v>
      </c>
      <c r="P7002" s="103" t="str">
        <f t="shared" si="3802"/>
        <v>한특 잉크(먹)</v>
      </c>
      <c r="Q7002" s="71">
        <f t="shared" si="3803"/>
        <v>0</v>
      </c>
      <c r="R7002" s="102">
        <v>5700</v>
      </c>
      <c r="S7002" s="102">
        <f t="shared" si="3804"/>
        <v>0</v>
      </c>
      <c r="T7002" s="102">
        <f t="shared" si="3805"/>
        <v>0</v>
      </c>
      <c r="U7002" s="71" t="s">
        <v>859</v>
      </c>
      <c r="V7002" s="71"/>
      <c r="W7002" s="474">
        <v>0</v>
      </c>
      <c r="X7002" s="71"/>
      <c r="Y7002" s="71"/>
    </row>
    <row r="7003" spans="1:25" ht="30" hidden="1" customHeight="1" x14ac:dyDescent="0.25">
      <c r="A7003" s="1145">
        <v>45498</v>
      </c>
      <c r="B7003" s="664" t="s">
        <v>1061</v>
      </c>
      <c r="C7003" s="71" t="s">
        <v>3963</v>
      </c>
      <c r="D7003" s="71"/>
      <c r="E7003" s="102">
        <v>22400</v>
      </c>
      <c r="F7003" s="102">
        <f t="shared" si="3797"/>
        <v>0</v>
      </c>
      <c r="G7003" s="102">
        <f t="shared" si="3798"/>
        <v>0</v>
      </c>
      <c r="H7003" s="690" t="s">
        <v>36</v>
      </c>
      <c r="I7003" s="71" t="s">
        <v>3320</v>
      </c>
      <c r="J7003" s="53">
        <f t="shared" si="3799"/>
        <v>0</v>
      </c>
      <c r="K7003" s="63" t="e">
        <f t="shared" si="3800"/>
        <v>#DIV/0!</v>
      </c>
      <c r="L7003" s="1212" t="s">
        <v>4149</v>
      </c>
      <c r="M7003" s="468"/>
      <c r="N7003" s="1192">
        <f t="shared" si="3801"/>
        <v>45498</v>
      </c>
      <c r="O7003" s="71" t="s">
        <v>146</v>
      </c>
      <c r="P7003" s="103" t="str">
        <f t="shared" si="3802"/>
        <v>별색 - PT 810C 형광등</v>
      </c>
      <c r="Q7003" s="71">
        <f t="shared" si="3803"/>
        <v>0</v>
      </c>
      <c r="R7003" s="102">
        <v>22400</v>
      </c>
      <c r="S7003" s="102">
        <f t="shared" si="3804"/>
        <v>0</v>
      </c>
      <c r="T7003" s="102">
        <f t="shared" si="3805"/>
        <v>0</v>
      </c>
      <c r="U7003" s="71"/>
      <c r="V7003" s="71"/>
      <c r="W7003" s="474"/>
      <c r="X7003" s="71"/>
      <c r="Y7003" s="71"/>
    </row>
    <row r="7004" spans="1:25" ht="30" hidden="1" customHeight="1" x14ac:dyDescent="0.25">
      <c r="A7004" s="1145">
        <v>45498</v>
      </c>
      <c r="B7004" s="664" t="s">
        <v>1061</v>
      </c>
      <c r="C7004" s="71" t="s">
        <v>4123</v>
      </c>
      <c r="D7004" s="71">
        <v>0</v>
      </c>
      <c r="E7004" s="102">
        <v>12500</v>
      </c>
      <c r="F7004" s="102">
        <f t="shared" si="3797"/>
        <v>0</v>
      </c>
      <c r="G7004" s="102">
        <f t="shared" si="3798"/>
        <v>0</v>
      </c>
      <c r="H7004" s="690" t="s">
        <v>36</v>
      </c>
      <c r="I7004" s="71" t="s">
        <v>3320</v>
      </c>
      <c r="J7004" s="53">
        <f t="shared" si="3799"/>
        <v>0</v>
      </c>
      <c r="K7004" s="63" t="e">
        <f t="shared" si="3800"/>
        <v>#DIV/0!</v>
      </c>
      <c r="L7004" s="1212" t="s">
        <v>4149</v>
      </c>
      <c r="M7004" s="468"/>
      <c r="N7004" s="1192">
        <f t="shared" si="3801"/>
        <v>45498</v>
      </c>
      <c r="O7004" s="71" t="s">
        <v>3323</v>
      </c>
      <c r="P7004" s="103" t="str">
        <f t="shared" si="3802"/>
        <v>별색 - P 2370</v>
      </c>
      <c r="Q7004" s="71">
        <f t="shared" si="3803"/>
        <v>0</v>
      </c>
      <c r="R7004" s="102">
        <v>11700</v>
      </c>
      <c r="S7004" s="102">
        <f t="shared" si="3804"/>
        <v>0</v>
      </c>
      <c r="T7004" s="102">
        <f t="shared" si="3805"/>
        <v>0</v>
      </c>
      <c r="U7004" s="71"/>
      <c r="V7004" s="71"/>
      <c r="W7004" s="474"/>
      <c r="X7004" s="71"/>
      <c r="Y7004" s="71"/>
    </row>
    <row r="7005" spans="1:25" ht="30" hidden="1" customHeight="1" x14ac:dyDescent="0.25">
      <c r="A7005" s="1145">
        <v>45498</v>
      </c>
      <c r="B7005" s="664" t="s">
        <v>3307</v>
      </c>
      <c r="C7005" s="71" t="s">
        <v>3916</v>
      </c>
      <c r="D7005" s="71"/>
      <c r="E7005" s="102">
        <v>218000</v>
      </c>
      <c r="F7005" s="102">
        <f t="shared" si="3797"/>
        <v>0</v>
      </c>
      <c r="G7005" s="102">
        <f t="shared" si="3798"/>
        <v>0</v>
      </c>
      <c r="H7005" s="690" t="s">
        <v>172</v>
      </c>
      <c r="I7005" s="71" t="s">
        <v>33</v>
      </c>
      <c r="J7005" s="53">
        <f t="shared" si="3799"/>
        <v>0</v>
      </c>
      <c r="K7005" s="63" t="e">
        <f t="shared" si="3800"/>
        <v>#DIV/0!</v>
      </c>
      <c r="L7005" s="1212" t="s">
        <v>4149</v>
      </c>
      <c r="M7005" s="468" t="s">
        <v>3965</v>
      </c>
      <c r="N7005" s="1192">
        <f t="shared" si="3801"/>
        <v>45498</v>
      </c>
      <c r="O7005" s="71" t="s">
        <v>662</v>
      </c>
      <c r="P7005" s="103" t="str">
        <f t="shared" si="3802"/>
        <v>윤전 블랑켓</v>
      </c>
      <c r="Q7005" s="71">
        <f t="shared" si="3803"/>
        <v>0</v>
      </c>
      <c r="R7005" s="102">
        <v>166500</v>
      </c>
      <c r="S7005" s="102">
        <f t="shared" si="3804"/>
        <v>0</v>
      </c>
      <c r="T7005" s="102">
        <f t="shared" si="3805"/>
        <v>0</v>
      </c>
      <c r="U7005" s="71" t="s">
        <v>859</v>
      </c>
      <c r="V7005" s="71" t="s">
        <v>728</v>
      </c>
      <c r="W7005" s="474">
        <v>464000</v>
      </c>
      <c r="X7005" s="71"/>
      <c r="Y7005" s="71"/>
    </row>
    <row r="7006" spans="1:25" ht="30" hidden="1" customHeight="1" x14ac:dyDescent="0.25">
      <c r="A7006" s="1145">
        <v>45498</v>
      </c>
      <c r="B7006" s="664" t="s">
        <v>3307</v>
      </c>
      <c r="C7006" s="71" t="s">
        <v>3820</v>
      </c>
      <c r="D7006" s="71">
        <v>1</v>
      </c>
      <c r="E7006" s="102">
        <v>2350000</v>
      </c>
      <c r="F7006" s="102">
        <f t="shared" si="3797"/>
        <v>2585000</v>
      </c>
      <c r="G7006" s="102">
        <f t="shared" si="3798"/>
        <v>2350000</v>
      </c>
      <c r="H7006" s="690" t="s">
        <v>36</v>
      </c>
      <c r="I7006" s="690" t="s">
        <v>36</v>
      </c>
      <c r="J7006" s="53">
        <f t="shared" si="3799"/>
        <v>600000</v>
      </c>
      <c r="K7006" s="63">
        <f t="shared" si="3800"/>
        <v>0.25531914893617019</v>
      </c>
      <c r="L7006" s="1212" t="s">
        <v>4149</v>
      </c>
      <c r="M7006" s="468"/>
      <c r="N7006" s="1192">
        <f t="shared" si="3801"/>
        <v>45498</v>
      </c>
      <c r="O7006" s="71" t="s">
        <v>3298</v>
      </c>
      <c r="P7006" s="103" t="str">
        <f t="shared" si="3802"/>
        <v>7월분 Apogee 사용료</v>
      </c>
      <c r="Q7006" s="71">
        <f t="shared" si="3803"/>
        <v>1</v>
      </c>
      <c r="R7006" s="147">
        <v>1750000</v>
      </c>
      <c r="S7006" s="102">
        <f t="shared" si="3804"/>
        <v>1925000.0000000002</v>
      </c>
      <c r="T7006" s="102">
        <f t="shared" si="3805"/>
        <v>1750000</v>
      </c>
      <c r="U7006" s="71"/>
      <c r="V7006" s="71"/>
      <c r="W7006" s="474"/>
      <c r="X7006" s="71"/>
      <c r="Y7006" s="71"/>
    </row>
    <row r="7007" spans="1:25" s="209" customFormat="1" ht="30" hidden="1" customHeight="1" x14ac:dyDescent="0.25">
      <c r="A7007" s="1145">
        <v>45495</v>
      </c>
      <c r="B7007" s="664" t="s">
        <v>411</v>
      </c>
      <c r="C7007" s="71" t="s">
        <v>3413</v>
      </c>
      <c r="D7007" s="71">
        <v>10</v>
      </c>
      <c r="E7007" s="102">
        <v>80000</v>
      </c>
      <c r="F7007" s="102">
        <f t="shared" si="3797"/>
        <v>880000.00000000012</v>
      </c>
      <c r="G7007" s="102">
        <f t="shared" si="3798"/>
        <v>800000</v>
      </c>
      <c r="H7007" s="690" t="s">
        <v>2029</v>
      </c>
      <c r="I7007" s="71" t="s">
        <v>3385</v>
      </c>
      <c r="J7007" s="53">
        <f t="shared" si="3799"/>
        <v>300000</v>
      </c>
      <c r="K7007" s="63">
        <f t="shared" si="3800"/>
        <v>0.37499999999999994</v>
      </c>
      <c r="L7007" s="1212" t="s">
        <v>4149</v>
      </c>
      <c r="M7007" s="468"/>
      <c r="N7007" s="1192">
        <f t="shared" si="3801"/>
        <v>45495</v>
      </c>
      <c r="O7007" s="71" t="s">
        <v>190</v>
      </c>
      <c r="P7007" s="103" t="str">
        <f t="shared" si="3802"/>
        <v>아스테이지(국전)</v>
      </c>
      <c r="Q7007" s="71">
        <f t="shared" si="3803"/>
        <v>10</v>
      </c>
      <c r="R7007" s="102">
        <v>50000</v>
      </c>
      <c r="S7007" s="102">
        <f t="shared" si="3804"/>
        <v>550000</v>
      </c>
      <c r="T7007" s="102">
        <f t="shared" si="3805"/>
        <v>500000</v>
      </c>
      <c r="U7007" s="71" t="str">
        <f t="shared" ref="U7007" si="3806">IF(J7007=W7007,"O", "X")</f>
        <v>X</v>
      </c>
      <c r="V7007" s="71"/>
      <c r="W7007" s="474">
        <v>500000</v>
      </c>
      <c r="X7007" s="71"/>
      <c r="Y7007" s="71"/>
    </row>
    <row r="7008" spans="1:25" ht="30" hidden="1" customHeight="1" x14ac:dyDescent="0.25">
      <c r="A7008" s="1145">
        <v>45490</v>
      </c>
      <c r="B7008" s="664" t="s">
        <v>1155</v>
      </c>
      <c r="C7008" s="760" t="s">
        <v>2648</v>
      </c>
      <c r="D7008" s="71">
        <v>10</v>
      </c>
      <c r="E7008" s="102">
        <v>37000</v>
      </c>
      <c r="F7008" s="102">
        <f>(E7008*D7008)*1.1</f>
        <v>407000.00000000006</v>
      </c>
      <c r="G7008" s="102">
        <f>(E7008*D7008)</f>
        <v>370000</v>
      </c>
      <c r="H7008" s="690" t="s">
        <v>94</v>
      </c>
      <c r="I7008" s="71" t="s">
        <v>94</v>
      </c>
      <c r="J7008" s="53">
        <f>G7008-T7008</f>
        <v>129300</v>
      </c>
      <c r="K7008" s="63">
        <f>(J7008/(F7008/11*10))</f>
        <v>0.34945945945945939</v>
      </c>
      <c r="L7008" s="1212" t="s">
        <v>4149</v>
      </c>
      <c r="M7008" s="468"/>
      <c r="N7008" s="1192">
        <f>A7008</f>
        <v>45490</v>
      </c>
      <c r="O7008" s="71" t="s">
        <v>94</v>
      </c>
      <c r="P7008" s="103" t="str">
        <f>(C7008)</f>
        <v>주머니 필터백</v>
      </c>
      <c r="Q7008" s="71">
        <f>D7008</f>
        <v>10</v>
      </c>
      <c r="R7008" s="102">
        <v>24070</v>
      </c>
      <c r="S7008" s="102">
        <f>R7008*Q7008*1.1</f>
        <v>264770</v>
      </c>
      <c r="T7008" s="102">
        <f>R7008*Q7008</f>
        <v>240700</v>
      </c>
      <c r="U7008" s="71"/>
      <c r="V7008" s="71"/>
      <c r="W7008" s="474"/>
      <c r="X7008" s="71"/>
      <c r="Y7008" s="71"/>
    </row>
    <row r="7009" spans="1:25" ht="30" hidden="1" customHeight="1" x14ac:dyDescent="0.25">
      <c r="A7009" s="1145">
        <v>45478</v>
      </c>
      <c r="B7009" s="664" t="s">
        <v>26</v>
      </c>
      <c r="C7009" s="71" t="s">
        <v>2087</v>
      </c>
      <c r="D7009" s="71">
        <v>5</v>
      </c>
      <c r="E7009" s="102">
        <v>65000</v>
      </c>
      <c r="F7009" s="102">
        <v>357500</v>
      </c>
      <c r="G7009" s="102">
        <v>325000</v>
      </c>
      <c r="H7009" s="690" t="s">
        <v>172</v>
      </c>
      <c r="I7009" s="71" t="s">
        <v>3295</v>
      </c>
      <c r="J7009" s="53">
        <f t="shared" ref="J7009:J7025" si="3807">G7009-T7009</f>
        <v>75000</v>
      </c>
      <c r="K7009" s="63">
        <v>0.23076923076923078</v>
      </c>
      <c r="L7009" s="1212" t="s">
        <v>4149</v>
      </c>
      <c r="M7009" s="468"/>
      <c r="N7009" s="1192">
        <v>45439</v>
      </c>
      <c r="O7009" s="71" t="s">
        <v>152</v>
      </c>
      <c r="P7009" s="103" t="s">
        <v>2087</v>
      </c>
      <c r="Q7009" s="71">
        <v>5</v>
      </c>
      <c r="R7009" s="102">
        <v>50000</v>
      </c>
      <c r="S7009" s="102">
        <f t="shared" ref="S7009:S7027" si="3808">R7009*Q7009*1.1</f>
        <v>275000</v>
      </c>
      <c r="T7009" s="102">
        <v>250000</v>
      </c>
      <c r="U7009" s="71" t="s">
        <v>1915</v>
      </c>
      <c r="V7009" s="71"/>
      <c r="W7009" s="474">
        <v>150000</v>
      </c>
      <c r="X7009" s="71"/>
      <c r="Y7009" s="71"/>
    </row>
    <row r="7010" spans="1:25" ht="30" hidden="1" customHeight="1" x14ac:dyDescent="0.25">
      <c r="A7010" s="1145">
        <v>45490</v>
      </c>
      <c r="B7010" s="664" t="s">
        <v>26</v>
      </c>
      <c r="C7010" s="71" t="s">
        <v>2087</v>
      </c>
      <c r="D7010" s="71">
        <v>5</v>
      </c>
      <c r="E7010" s="102">
        <v>65000</v>
      </c>
      <c r="F7010" s="102">
        <v>357500</v>
      </c>
      <c r="G7010" s="102">
        <v>325000</v>
      </c>
      <c r="H7010" s="690" t="s">
        <v>172</v>
      </c>
      <c r="I7010" s="71" t="s">
        <v>3295</v>
      </c>
      <c r="J7010" s="53">
        <f t="shared" si="3807"/>
        <v>75000</v>
      </c>
      <c r="K7010" s="63">
        <v>0.23076923076923078</v>
      </c>
      <c r="L7010" s="1212" t="s">
        <v>4149</v>
      </c>
      <c r="M7010" s="468"/>
      <c r="N7010" s="1192">
        <v>45441</v>
      </c>
      <c r="O7010" s="71" t="s">
        <v>152</v>
      </c>
      <c r="P7010" s="103" t="s">
        <v>2087</v>
      </c>
      <c r="Q7010" s="71">
        <v>5</v>
      </c>
      <c r="R7010" s="102">
        <v>50000</v>
      </c>
      <c r="S7010" s="102">
        <f t="shared" si="3808"/>
        <v>275000</v>
      </c>
      <c r="T7010" s="102">
        <v>250000</v>
      </c>
      <c r="U7010" s="71" t="s">
        <v>1915</v>
      </c>
      <c r="V7010" s="71"/>
      <c r="W7010" s="474">
        <v>150000</v>
      </c>
      <c r="X7010" s="71"/>
      <c r="Y7010" s="71"/>
    </row>
    <row r="7011" spans="1:25" ht="30" hidden="1" customHeight="1" x14ac:dyDescent="0.25">
      <c r="A7011" s="1145">
        <v>45497</v>
      </c>
      <c r="B7011" s="664" t="s">
        <v>26</v>
      </c>
      <c r="C7011" s="71" t="s">
        <v>2087</v>
      </c>
      <c r="D7011" s="71">
        <v>5</v>
      </c>
      <c r="E7011" s="102">
        <v>65000</v>
      </c>
      <c r="F7011" s="102">
        <v>357500</v>
      </c>
      <c r="G7011" s="102">
        <v>325000</v>
      </c>
      <c r="H7011" s="690" t="s">
        <v>172</v>
      </c>
      <c r="I7011" s="71" t="s">
        <v>3295</v>
      </c>
      <c r="J7011" s="53">
        <f t="shared" si="3807"/>
        <v>75000</v>
      </c>
      <c r="K7011" s="63">
        <v>0.23076923076923078</v>
      </c>
      <c r="L7011" s="1212" t="s">
        <v>4149</v>
      </c>
      <c r="M7011" s="468"/>
      <c r="N7011" s="1192">
        <v>45467</v>
      </c>
      <c r="O7011" s="71" t="s">
        <v>152</v>
      </c>
      <c r="P7011" s="103" t="s">
        <v>2087</v>
      </c>
      <c r="Q7011" s="71">
        <v>5</v>
      </c>
      <c r="R7011" s="102">
        <v>50000</v>
      </c>
      <c r="S7011" s="102">
        <f t="shared" si="3808"/>
        <v>275000</v>
      </c>
      <c r="T7011" s="102">
        <v>250000</v>
      </c>
      <c r="U7011" s="71" t="s">
        <v>1915</v>
      </c>
      <c r="V7011" s="71"/>
      <c r="W7011" s="474">
        <v>150000</v>
      </c>
      <c r="X7011" s="71"/>
      <c r="Y7011" s="71"/>
    </row>
    <row r="7012" spans="1:25" ht="30" hidden="1" customHeight="1" x14ac:dyDescent="0.25">
      <c r="A7012" s="1145">
        <v>45498</v>
      </c>
      <c r="B7012" s="664" t="s">
        <v>2490</v>
      </c>
      <c r="C7012" s="71" t="s">
        <v>123</v>
      </c>
      <c r="D7012" s="71">
        <v>30</v>
      </c>
      <c r="E7012" s="102">
        <v>40000</v>
      </c>
      <c r="F7012" s="102">
        <f>(E7012*D7012)*1.1</f>
        <v>1320000</v>
      </c>
      <c r="G7012" s="102">
        <f>(E7012*D7012)</f>
        <v>1200000</v>
      </c>
      <c r="H7012" s="690" t="s">
        <v>1432</v>
      </c>
      <c r="I7012" s="71" t="s">
        <v>1432</v>
      </c>
      <c r="J7012" s="53">
        <f t="shared" si="3807"/>
        <v>477900</v>
      </c>
      <c r="K7012" s="63">
        <f t="shared" ref="K7012:K7025" si="3809">(J7012/(F7012/11*10))</f>
        <v>0.39824999999999999</v>
      </c>
      <c r="L7012" s="1212" t="s">
        <v>4149</v>
      </c>
      <c r="M7012" s="468"/>
      <c r="N7012" s="1192">
        <f t="shared" ref="N7012" si="3810">A7012</f>
        <v>45498</v>
      </c>
      <c r="O7012" s="71" t="s">
        <v>94</v>
      </c>
      <c r="P7012" s="164" t="str">
        <f t="shared" ref="P7012" si="3811">(C7012)</f>
        <v>필터백</v>
      </c>
      <c r="Q7012" s="71">
        <f t="shared" ref="Q7012" si="3812">D7012</f>
        <v>30</v>
      </c>
      <c r="R7012" s="102">
        <v>24070</v>
      </c>
      <c r="S7012" s="102">
        <f t="shared" si="3808"/>
        <v>794310.00000000012</v>
      </c>
      <c r="T7012" s="102">
        <f t="shared" ref="T7012:T7027" si="3813">R7012*Q7012</f>
        <v>722100</v>
      </c>
      <c r="U7012" s="71"/>
      <c r="V7012" s="71"/>
      <c r="W7012" s="474"/>
      <c r="X7012" s="71"/>
      <c r="Y7012" s="71"/>
    </row>
    <row r="7013" spans="1:25" ht="30" hidden="1" customHeight="1" x14ac:dyDescent="0.25">
      <c r="A7013" s="1145">
        <v>45490</v>
      </c>
      <c r="B7013" s="664" t="s">
        <v>18</v>
      </c>
      <c r="C7013" s="71" t="s">
        <v>3305</v>
      </c>
      <c r="D7013" s="71">
        <v>15</v>
      </c>
      <c r="E7013" s="102">
        <v>86000</v>
      </c>
      <c r="F7013" s="102">
        <f t="shared" ref="F7013" si="3814">(E7013*D7013)*1.1</f>
        <v>1419000</v>
      </c>
      <c r="G7013" s="102">
        <f t="shared" ref="G7013" si="3815">(E7013*D7013)</f>
        <v>1290000</v>
      </c>
      <c r="H7013" s="690" t="s">
        <v>172</v>
      </c>
      <c r="I7013" s="71" t="s">
        <v>3295</v>
      </c>
      <c r="J7013" s="53">
        <f t="shared" si="3807"/>
        <v>590000</v>
      </c>
      <c r="K7013" s="63">
        <f t="shared" si="3809"/>
        <v>0.4573643410852713</v>
      </c>
      <c r="L7013" s="1212" t="s">
        <v>4149</v>
      </c>
      <c r="M7013" s="468" t="s">
        <v>3306</v>
      </c>
      <c r="N7013" s="1192">
        <v>45231</v>
      </c>
      <c r="O7013" s="71" t="s">
        <v>146</v>
      </c>
      <c r="P7013" s="103" t="s">
        <v>3305</v>
      </c>
      <c r="Q7013" s="71">
        <v>10</v>
      </c>
      <c r="R7013" s="102">
        <v>70000</v>
      </c>
      <c r="S7013" s="102">
        <f t="shared" si="3808"/>
        <v>770000.00000000012</v>
      </c>
      <c r="T7013" s="102">
        <f t="shared" si="3813"/>
        <v>700000</v>
      </c>
      <c r="U7013" s="71" t="s">
        <v>1915</v>
      </c>
      <c r="V7013" s="71"/>
      <c r="W7013" s="474"/>
      <c r="X7013" s="71"/>
      <c r="Y7013" s="71"/>
    </row>
    <row r="7014" spans="1:25" ht="30" hidden="1" customHeight="1" x14ac:dyDescent="0.2">
      <c r="A7014" s="1145">
        <v>45490</v>
      </c>
      <c r="B7014" s="664" t="s">
        <v>548</v>
      </c>
      <c r="C7014" s="71" t="s">
        <v>236</v>
      </c>
      <c r="D7014" s="71">
        <v>3</v>
      </c>
      <c r="E7014" s="102">
        <v>100000</v>
      </c>
      <c r="F7014" s="163">
        <f>(E7014*D7014)*1.1</f>
        <v>330000</v>
      </c>
      <c r="G7014" s="102">
        <f>(E7014*D7014)</f>
        <v>300000</v>
      </c>
      <c r="H7014" s="690" t="s">
        <v>173</v>
      </c>
      <c r="I7014" s="71" t="s">
        <v>2231</v>
      </c>
      <c r="J7014" s="53">
        <f t="shared" si="3807"/>
        <v>120000</v>
      </c>
      <c r="K7014" s="63">
        <f t="shared" si="3809"/>
        <v>0.4</v>
      </c>
      <c r="L7014" s="1212" t="s">
        <v>4149</v>
      </c>
      <c r="M7014" s="468"/>
      <c r="N7014" s="1192">
        <f t="shared" ref="N7014:N7034" si="3816">A7014</f>
        <v>45490</v>
      </c>
      <c r="O7014" s="71" t="s">
        <v>3021</v>
      </c>
      <c r="P7014" s="103" t="str">
        <f t="shared" ref="P7014:P7020" si="3817">(C7014)</f>
        <v>아스테이지(국전)</v>
      </c>
      <c r="Q7014" s="71">
        <f t="shared" ref="Q7014:Q7034" si="3818">D7014</f>
        <v>3</v>
      </c>
      <c r="R7014" s="102">
        <v>60000</v>
      </c>
      <c r="S7014" s="102">
        <f t="shared" si="3808"/>
        <v>198000.00000000003</v>
      </c>
      <c r="T7014" s="102">
        <f t="shared" si="3813"/>
        <v>180000</v>
      </c>
      <c r="U7014" s="71" t="str">
        <f>IF(J7014=W7014,"O", "X")</f>
        <v>X</v>
      </c>
      <c r="V7014" s="71"/>
      <c r="W7014" s="474"/>
      <c r="X7014" s="71"/>
      <c r="Y7014" s="71"/>
    </row>
    <row r="7015" spans="1:25" ht="30" hidden="1" customHeight="1" x14ac:dyDescent="0.25">
      <c r="A7015" s="1145">
        <v>45490</v>
      </c>
      <c r="B7015" s="664" t="s">
        <v>548</v>
      </c>
      <c r="C7015" s="71" t="s">
        <v>3384</v>
      </c>
      <c r="D7015" s="71">
        <v>300</v>
      </c>
      <c r="E7015" s="102">
        <v>450</v>
      </c>
      <c r="F7015" s="102">
        <f>(E7015*D7015)*1.1</f>
        <v>148500</v>
      </c>
      <c r="G7015" s="102">
        <f>(E7015*D7015)</f>
        <v>135000</v>
      </c>
      <c r="H7015" s="690" t="s">
        <v>2029</v>
      </c>
      <c r="I7015" s="71" t="s">
        <v>3385</v>
      </c>
      <c r="J7015" s="53">
        <f t="shared" si="3807"/>
        <v>39000</v>
      </c>
      <c r="K7015" s="63">
        <f t="shared" si="3809"/>
        <v>0.28888888888888886</v>
      </c>
      <c r="L7015" s="1212" t="s">
        <v>4149</v>
      </c>
      <c r="M7015" s="468"/>
      <c r="N7015" s="1192">
        <f t="shared" si="3816"/>
        <v>45490</v>
      </c>
      <c r="O7015" s="71" t="s">
        <v>2030</v>
      </c>
      <c r="P7015" s="103" t="str">
        <f t="shared" si="3817"/>
        <v>고무사카 빨간색</v>
      </c>
      <c r="Q7015" s="71">
        <f t="shared" si="3818"/>
        <v>300</v>
      </c>
      <c r="R7015" s="102">
        <v>320</v>
      </c>
      <c r="S7015" s="102">
        <f t="shared" si="3808"/>
        <v>105600.00000000001</v>
      </c>
      <c r="T7015" s="102">
        <f t="shared" si="3813"/>
        <v>96000</v>
      </c>
      <c r="U7015" s="71"/>
      <c r="V7015" s="71"/>
      <c r="W7015" s="474"/>
      <c r="X7015" s="71"/>
      <c r="Y7015" s="71"/>
    </row>
    <row r="7016" spans="1:25" ht="30" hidden="1" customHeight="1" x14ac:dyDescent="0.25">
      <c r="A7016" s="1145">
        <v>45495</v>
      </c>
      <c r="B7016" s="664" t="s">
        <v>3296</v>
      </c>
      <c r="C7016" s="71" t="s">
        <v>3297</v>
      </c>
      <c r="D7016" s="71">
        <v>20</v>
      </c>
      <c r="E7016" s="102">
        <v>162500</v>
      </c>
      <c r="F7016" s="102">
        <f t="shared" ref="F7016:F7034" si="3819">(E7016*D7016)*1.1</f>
        <v>3575000.0000000005</v>
      </c>
      <c r="G7016" s="102">
        <f t="shared" ref="G7016:G7034" si="3820">(E7016*D7016)</f>
        <v>3250000</v>
      </c>
      <c r="H7016" s="690" t="s">
        <v>172</v>
      </c>
      <c r="I7016" s="71" t="s">
        <v>3295</v>
      </c>
      <c r="J7016" s="53">
        <f t="shared" si="3807"/>
        <v>850000</v>
      </c>
      <c r="K7016" s="63">
        <f t="shared" si="3809"/>
        <v>0.2615384615384615</v>
      </c>
      <c r="L7016" s="1212" t="s">
        <v>4149</v>
      </c>
      <c r="M7016" s="468"/>
      <c r="N7016" s="1192">
        <f t="shared" si="3816"/>
        <v>45495</v>
      </c>
      <c r="O7016" s="71" t="s">
        <v>662</v>
      </c>
      <c r="P7016" s="103" t="str">
        <f t="shared" si="3817"/>
        <v>실리콘 에멀전</v>
      </c>
      <c r="Q7016" s="71">
        <f t="shared" si="3818"/>
        <v>20</v>
      </c>
      <c r="R7016" s="102">
        <v>120000</v>
      </c>
      <c r="S7016" s="102">
        <f t="shared" si="3808"/>
        <v>2640000</v>
      </c>
      <c r="T7016" s="102">
        <f t="shared" si="3813"/>
        <v>2400000</v>
      </c>
      <c r="U7016" s="71" t="str">
        <f t="shared" ref="U7016" si="3821">IF(J7016=W7016,"O", "X")</f>
        <v>X</v>
      </c>
      <c r="V7016" s="71"/>
      <c r="W7016" s="474"/>
      <c r="X7016" s="71"/>
      <c r="Y7016" s="71"/>
    </row>
    <row r="7017" spans="1:25" ht="30" hidden="1" customHeight="1" x14ac:dyDescent="0.25">
      <c r="A7017" s="1145">
        <v>45474</v>
      </c>
      <c r="B7017" s="664" t="s">
        <v>442</v>
      </c>
      <c r="C7017" s="71" t="s">
        <v>206</v>
      </c>
      <c r="D7017" s="71">
        <v>3</v>
      </c>
      <c r="E7017" s="102">
        <v>453000</v>
      </c>
      <c r="F7017" s="102">
        <f t="shared" si="3819"/>
        <v>1494900.0000000002</v>
      </c>
      <c r="G7017" s="102">
        <f t="shared" si="3820"/>
        <v>1359000</v>
      </c>
      <c r="H7017" s="690" t="s">
        <v>2029</v>
      </c>
      <c r="I7017" s="71" t="s">
        <v>195</v>
      </c>
      <c r="J7017" s="53">
        <f t="shared" si="3807"/>
        <v>74760</v>
      </c>
      <c r="K7017" s="63">
        <f t="shared" si="3809"/>
        <v>5.5011037527593808E-2</v>
      </c>
      <c r="L7017" s="1212" t="s">
        <v>4149</v>
      </c>
      <c r="M7017" s="468"/>
      <c r="N7017" s="1192">
        <f t="shared" si="3816"/>
        <v>45474</v>
      </c>
      <c r="O7017" s="71" t="s">
        <v>194</v>
      </c>
      <c r="P7017" s="103" t="str">
        <f t="shared" si="3817"/>
        <v>Agfa Film(24inch)</v>
      </c>
      <c r="Q7017" s="71">
        <f t="shared" si="3818"/>
        <v>3</v>
      </c>
      <c r="R7017" s="102">
        <v>428080</v>
      </c>
      <c r="S7017" s="102">
        <f t="shared" si="3808"/>
        <v>1412664</v>
      </c>
      <c r="T7017" s="102">
        <f t="shared" si="3813"/>
        <v>1284240</v>
      </c>
      <c r="U7017" s="71" t="s">
        <v>859</v>
      </c>
      <c r="V7017" s="71"/>
      <c r="W7017" s="474">
        <v>144640</v>
      </c>
      <c r="X7017" s="71"/>
      <c r="Y7017" s="71"/>
    </row>
    <row r="7018" spans="1:25" ht="30" hidden="1" customHeight="1" x14ac:dyDescent="0.25">
      <c r="A7018" s="1145">
        <v>45474</v>
      </c>
      <c r="B7018" s="664" t="s">
        <v>442</v>
      </c>
      <c r="C7018" s="71" t="s">
        <v>207</v>
      </c>
      <c r="D7018" s="71">
        <v>3</v>
      </c>
      <c r="E7018" s="102">
        <v>558000</v>
      </c>
      <c r="F7018" s="102">
        <f t="shared" si="3819"/>
        <v>1841400.0000000002</v>
      </c>
      <c r="G7018" s="102">
        <f t="shared" si="3820"/>
        <v>1674000</v>
      </c>
      <c r="H7018" s="690" t="s">
        <v>2029</v>
      </c>
      <c r="I7018" s="71" t="s">
        <v>195</v>
      </c>
      <c r="J7018" s="53">
        <f t="shared" si="3807"/>
        <v>176940</v>
      </c>
      <c r="K7018" s="63">
        <f t="shared" si="3809"/>
        <v>0.10569892473118278</v>
      </c>
      <c r="L7018" s="1212" t="s">
        <v>4149</v>
      </c>
      <c r="M7018" s="468"/>
      <c r="N7018" s="1192">
        <f t="shared" si="3816"/>
        <v>45474</v>
      </c>
      <c r="O7018" s="71" t="s">
        <v>194</v>
      </c>
      <c r="P7018" s="103" t="str">
        <f t="shared" si="3817"/>
        <v>Agfa Film(28inch)</v>
      </c>
      <c r="Q7018" s="71">
        <f t="shared" si="3818"/>
        <v>3</v>
      </c>
      <c r="R7018" s="102">
        <v>499020</v>
      </c>
      <c r="S7018" s="102">
        <f t="shared" si="3808"/>
        <v>1646766.0000000002</v>
      </c>
      <c r="T7018" s="102">
        <f t="shared" si="3813"/>
        <v>1497060</v>
      </c>
      <c r="U7018" s="71" t="s">
        <v>859</v>
      </c>
      <c r="V7018" s="71"/>
      <c r="W7018" s="474">
        <v>228480</v>
      </c>
      <c r="X7018" s="71"/>
      <c r="Y7018" s="71"/>
    </row>
    <row r="7019" spans="1:25" ht="30" hidden="1" customHeight="1" x14ac:dyDescent="0.25">
      <c r="A7019" s="1145">
        <v>45474</v>
      </c>
      <c r="B7019" s="664" t="s">
        <v>442</v>
      </c>
      <c r="C7019" s="71" t="s">
        <v>208</v>
      </c>
      <c r="D7019" s="71">
        <v>3</v>
      </c>
      <c r="E7019" s="102">
        <v>624000</v>
      </c>
      <c r="F7019" s="102">
        <f t="shared" si="3819"/>
        <v>2059200.0000000002</v>
      </c>
      <c r="G7019" s="102">
        <f t="shared" si="3820"/>
        <v>1872000</v>
      </c>
      <c r="H7019" s="690" t="s">
        <v>2029</v>
      </c>
      <c r="I7019" s="71" t="s">
        <v>195</v>
      </c>
      <c r="J7019" s="53">
        <f t="shared" si="3807"/>
        <v>107340</v>
      </c>
      <c r="K7019" s="63">
        <f t="shared" si="3809"/>
        <v>5.7339743589743586E-2</v>
      </c>
      <c r="L7019" s="1212" t="s">
        <v>4149</v>
      </c>
      <c r="M7019" s="468"/>
      <c r="N7019" s="1192">
        <f t="shared" si="3816"/>
        <v>45474</v>
      </c>
      <c r="O7019" s="71" t="s">
        <v>194</v>
      </c>
      <c r="P7019" s="103" t="str">
        <f t="shared" si="3817"/>
        <v>Agfa Film(32inch)</v>
      </c>
      <c r="Q7019" s="71">
        <f t="shared" si="3818"/>
        <v>3</v>
      </c>
      <c r="R7019" s="102">
        <v>588220</v>
      </c>
      <c r="S7019" s="102">
        <f t="shared" si="3808"/>
        <v>1941126.0000000002</v>
      </c>
      <c r="T7019" s="102">
        <f t="shared" si="3813"/>
        <v>1764660</v>
      </c>
      <c r="U7019" s="71" t="s">
        <v>859</v>
      </c>
      <c r="V7019" s="71"/>
      <c r="W7019" s="474">
        <v>201820</v>
      </c>
      <c r="X7019" s="71"/>
      <c r="Y7019" s="71"/>
    </row>
    <row r="7020" spans="1:25" ht="30" hidden="1" customHeight="1" x14ac:dyDescent="0.2">
      <c r="A7020" s="1145">
        <v>45474</v>
      </c>
      <c r="B7020" s="664" t="s">
        <v>442</v>
      </c>
      <c r="C7020" s="71" t="s">
        <v>648</v>
      </c>
      <c r="D7020" s="71">
        <v>1</v>
      </c>
      <c r="E7020" s="102">
        <v>93000</v>
      </c>
      <c r="F7020" s="102">
        <f t="shared" si="3819"/>
        <v>102300.00000000001</v>
      </c>
      <c r="G7020" s="102">
        <f t="shared" si="3820"/>
        <v>93000</v>
      </c>
      <c r="H7020" s="165" t="s">
        <v>172</v>
      </c>
      <c r="I7020" s="71" t="s">
        <v>195</v>
      </c>
      <c r="J7020" s="53">
        <f t="shared" si="3807"/>
        <v>15140</v>
      </c>
      <c r="K7020" s="63">
        <f t="shared" si="3809"/>
        <v>0.16279569892473117</v>
      </c>
      <c r="L7020" s="1212" t="s">
        <v>4149</v>
      </c>
      <c r="M7020" s="468"/>
      <c r="N7020" s="1192">
        <f t="shared" si="3816"/>
        <v>45474</v>
      </c>
      <c r="O7020" s="71" t="s">
        <v>194</v>
      </c>
      <c r="P7020" s="103" t="str">
        <f t="shared" si="3817"/>
        <v>Agfa 정착액 G333C(20L)</v>
      </c>
      <c r="Q7020" s="71">
        <f t="shared" si="3818"/>
        <v>1</v>
      </c>
      <c r="R7020" s="102">
        <v>77860</v>
      </c>
      <c r="S7020" s="102">
        <f t="shared" si="3808"/>
        <v>85646</v>
      </c>
      <c r="T7020" s="102">
        <f t="shared" si="3813"/>
        <v>77860</v>
      </c>
      <c r="U7020" s="71" t="s">
        <v>859</v>
      </c>
      <c r="V7020" s="71"/>
      <c r="W7020" s="474">
        <v>27000</v>
      </c>
      <c r="X7020" s="71"/>
      <c r="Y7020" s="71"/>
    </row>
    <row r="7021" spans="1:25" ht="30" hidden="1" customHeight="1" x14ac:dyDescent="0.25">
      <c r="A7021" s="1145">
        <v>45475</v>
      </c>
      <c r="B7021" s="664" t="s">
        <v>442</v>
      </c>
      <c r="C7021" s="71" t="s">
        <v>3431</v>
      </c>
      <c r="D7021" s="71">
        <v>2</v>
      </c>
      <c r="E7021" s="102">
        <v>142000</v>
      </c>
      <c r="F7021" s="102">
        <f t="shared" si="3819"/>
        <v>312400</v>
      </c>
      <c r="G7021" s="102">
        <f t="shared" si="3820"/>
        <v>284000</v>
      </c>
      <c r="H7021" s="690" t="s">
        <v>2029</v>
      </c>
      <c r="I7021" s="71" t="s">
        <v>195</v>
      </c>
      <c r="J7021" s="53">
        <f t="shared" si="3807"/>
        <v>94000</v>
      </c>
      <c r="K7021" s="63">
        <f t="shared" si="3809"/>
        <v>0.33098591549295775</v>
      </c>
      <c r="L7021" s="1212" t="s">
        <v>4149</v>
      </c>
      <c r="M7021" s="468"/>
      <c r="N7021" s="1192">
        <f t="shared" si="3816"/>
        <v>45475</v>
      </c>
      <c r="O7021" s="71" t="s">
        <v>2030</v>
      </c>
      <c r="P7021" s="164" t="str">
        <f>(C7021)</f>
        <v>닥터호일 아스테이지</v>
      </c>
      <c r="Q7021" s="71">
        <f t="shared" si="3818"/>
        <v>2</v>
      </c>
      <c r="R7021" s="102">
        <v>95000</v>
      </c>
      <c r="S7021" s="102">
        <f t="shared" si="3808"/>
        <v>209000.00000000003</v>
      </c>
      <c r="T7021" s="102">
        <f t="shared" si="3813"/>
        <v>190000</v>
      </c>
      <c r="U7021" s="71" t="str">
        <f>IF(J7021=W7021,"O", "X")</f>
        <v>O</v>
      </c>
      <c r="V7021" s="71"/>
      <c r="W7021" s="474">
        <f>(G7021-T7021)</f>
        <v>94000</v>
      </c>
      <c r="X7021" s="71"/>
      <c r="Y7021" s="71"/>
    </row>
    <row r="7022" spans="1:25" s="209" customFormat="1" ht="30" hidden="1" customHeight="1" x14ac:dyDescent="0.25">
      <c r="A7022" s="1145">
        <v>45482</v>
      </c>
      <c r="B7022" s="664" t="s">
        <v>442</v>
      </c>
      <c r="C7022" s="71" t="s">
        <v>3833</v>
      </c>
      <c r="D7022" s="71">
        <v>1000</v>
      </c>
      <c r="E7022" s="102">
        <v>4250</v>
      </c>
      <c r="F7022" s="102">
        <f t="shared" si="3819"/>
        <v>4675000</v>
      </c>
      <c r="G7022" s="102">
        <f t="shared" si="3820"/>
        <v>4250000</v>
      </c>
      <c r="H7022" s="690" t="s">
        <v>2029</v>
      </c>
      <c r="I7022" s="71" t="s">
        <v>2230</v>
      </c>
      <c r="J7022" s="53">
        <f t="shared" si="3807"/>
        <v>800000</v>
      </c>
      <c r="K7022" s="63">
        <f t="shared" si="3809"/>
        <v>0.18823529411764706</v>
      </c>
      <c r="L7022" s="1212" t="s">
        <v>4149</v>
      </c>
      <c r="M7022" s="468"/>
      <c r="N7022" s="1192">
        <f t="shared" si="3816"/>
        <v>45482</v>
      </c>
      <c r="O7022" s="71" t="s">
        <v>2030</v>
      </c>
      <c r="P7022" s="164" t="s">
        <v>3777</v>
      </c>
      <c r="Q7022" s="71">
        <f t="shared" si="3818"/>
        <v>1000</v>
      </c>
      <c r="R7022" s="102">
        <v>3450</v>
      </c>
      <c r="S7022" s="102">
        <f t="shared" si="3808"/>
        <v>3795000.0000000005</v>
      </c>
      <c r="T7022" s="102">
        <f t="shared" si="3813"/>
        <v>3450000</v>
      </c>
      <c r="U7022" s="71"/>
      <c r="V7022" s="71"/>
      <c r="W7022" s="474"/>
      <c r="X7022" s="71"/>
      <c r="Y7022" s="71"/>
    </row>
    <row r="7023" spans="1:25" ht="30" hidden="1" customHeight="1" x14ac:dyDescent="0.25">
      <c r="A7023" s="1145">
        <v>45482</v>
      </c>
      <c r="B7023" s="664" t="s">
        <v>442</v>
      </c>
      <c r="C7023" s="71" t="s">
        <v>3834</v>
      </c>
      <c r="D7023" s="71">
        <v>5</v>
      </c>
      <c r="E7023" s="102">
        <v>57000</v>
      </c>
      <c r="F7023" s="102">
        <f t="shared" si="3819"/>
        <v>313500</v>
      </c>
      <c r="G7023" s="102">
        <f t="shared" si="3820"/>
        <v>285000</v>
      </c>
      <c r="H7023" s="690" t="s">
        <v>2029</v>
      </c>
      <c r="I7023" s="71" t="s">
        <v>2230</v>
      </c>
      <c r="J7023" s="53">
        <f t="shared" si="3807"/>
        <v>86700</v>
      </c>
      <c r="K7023" s="63">
        <f t="shared" si="3809"/>
        <v>0.30421052631578949</v>
      </c>
      <c r="L7023" s="1212" t="s">
        <v>4149</v>
      </c>
      <c r="M7023" s="468"/>
      <c r="N7023" s="1192">
        <f t="shared" si="3816"/>
        <v>45482</v>
      </c>
      <c r="O7023" s="71" t="s">
        <v>2030</v>
      </c>
      <c r="P7023" s="103" t="s">
        <v>1026</v>
      </c>
      <c r="Q7023" s="71">
        <f t="shared" si="3818"/>
        <v>5</v>
      </c>
      <c r="R7023" s="102">
        <v>39660</v>
      </c>
      <c r="S7023" s="102">
        <f t="shared" si="3808"/>
        <v>218130.00000000003</v>
      </c>
      <c r="T7023" s="102">
        <f t="shared" si="3813"/>
        <v>198300</v>
      </c>
      <c r="U7023" s="71"/>
      <c r="V7023" s="71"/>
      <c r="W7023" s="474"/>
      <c r="X7023" s="71"/>
      <c r="Y7023" s="71"/>
    </row>
    <row r="7024" spans="1:25" ht="30" hidden="1" customHeight="1" x14ac:dyDescent="0.25">
      <c r="A7024" s="1145">
        <v>45496</v>
      </c>
      <c r="B7024" s="664" t="s">
        <v>442</v>
      </c>
      <c r="C7024" s="71" t="s">
        <v>3433</v>
      </c>
      <c r="D7024" s="71">
        <v>6</v>
      </c>
      <c r="E7024" s="102">
        <v>115000</v>
      </c>
      <c r="F7024" s="102">
        <f t="shared" si="3819"/>
        <v>759000.00000000012</v>
      </c>
      <c r="G7024" s="102">
        <f t="shared" si="3820"/>
        <v>690000</v>
      </c>
      <c r="H7024" s="690" t="s">
        <v>2029</v>
      </c>
      <c r="I7024" s="71" t="s">
        <v>3385</v>
      </c>
      <c r="J7024" s="53">
        <f t="shared" si="3807"/>
        <v>169200</v>
      </c>
      <c r="K7024" s="63">
        <f t="shared" si="3809"/>
        <v>0.24521739130434778</v>
      </c>
      <c r="L7024" s="1212" t="s">
        <v>4149</v>
      </c>
      <c r="M7024" s="468"/>
      <c r="N7024" s="1192">
        <f t="shared" si="3816"/>
        <v>45496</v>
      </c>
      <c r="O7024" s="71" t="s">
        <v>147</v>
      </c>
      <c r="P7024" s="164" t="str">
        <f t="shared" ref="P7024:P7027" si="3822">(C7024)</f>
        <v>블랑켓-하이델베르그 국전용</v>
      </c>
      <c r="Q7024" s="71">
        <f t="shared" si="3818"/>
        <v>6</v>
      </c>
      <c r="R7024" s="102">
        <v>86800</v>
      </c>
      <c r="S7024" s="102">
        <f t="shared" si="3808"/>
        <v>572880</v>
      </c>
      <c r="T7024" s="102">
        <f t="shared" si="3813"/>
        <v>520800</v>
      </c>
      <c r="U7024" s="71"/>
      <c r="V7024" s="71"/>
      <c r="W7024" s="474"/>
      <c r="X7024" s="71"/>
      <c r="Y7024" s="71"/>
    </row>
    <row r="7025" spans="1:25" ht="30" hidden="1" customHeight="1" x14ac:dyDescent="0.25">
      <c r="A7025" s="1145">
        <v>45496</v>
      </c>
      <c r="B7025" s="664" t="s">
        <v>442</v>
      </c>
      <c r="C7025" s="71" t="s">
        <v>3299</v>
      </c>
      <c r="D7025" s="71">
        <v>15</v>
      </c>
      <c r="E7025" s="102">
        <v>69000</v>
      </c>
      <c r="F7025" s="102">
        <f t="shared" si="3819"/>
        <v>1138500</v>
      </c>
      <c r="G7025" s="102">
        <f t="shared" si="3820"/>
        <v>1035000</v>
      </c>
      <c r="H7025" s="690" t="s">
        <v>172</v>
      </c>
      <c r="I7025" s="71" t="s">
        <v>180</v>
      </c>
      <c r="J7025" s="53">
        <f t="shared" si="3807"/>
        <v>322500</v>
      </c>
      <c r="K7025" s="63">
        <f t="shared" si="3809"/>
        <v>0.31159420289855072</v>
      </c>
      <c r="L7025" s="1212" t="s">
        <v>4149</v>
      </c>
      <c r="M7025" s="468" t="s">
        <v>3304</v>
      </c>
      <c r="N7025" s="1192">
        <f t="shared" si="3816"/>
        <v>45496</v>
      </c>
      <c r="O7025" s="71" t="s">
        <v>175</v>
      </c>
      <c r="P7025" s="103" t="str">
        <f t="shared" si="3822"/>
        <v>매엽용 세척제(Wash k11)</v>
      </c>
      <c r="Q7025" s="71">
        <f t="shared" si="3818"/>
        <v>15</v>
      </c>
      <c r="R7025" s="102">
        <v>47500</v>
      </c>
      <c r="S7025" s="102">
        <f t="shared" si="3808"/>
        <v>783750.00000000012</v>
      </c>
      <c r="T7025" s="102">
        <f t="shared" si="3813"/>
        <v>712500</v>
      </c>
      <c r="U7025" s="71" t="s">
        <v>859</v>
      </c>
      <c r="V7025" s="71"/>
      <c r="W7025" s="474"/>
      <c r="X7025" s="71"/>
      <c r="Y7025" s="71"/>
    </row>
    <row r="7026" spans="1:25" ht="30" hidden="1" customHeight="1" x14ac:dyDescent="0.25">
      <c r="A7026" s="1145">
        <v>45474</v>
      </c>
      <c r="B7026" s="664" t="s">
        <v>442</v>
      </c>
      <c r="C7026" s="71" t="s">
        <v>4152</v>
      </c>
      <c r="D7026" s="71">
        <v>6</v>
      </c>
      <c r="E7026" s="102">
        <v>83000</v>
      </c>
      <c r="F7026" s="102">
        <f t="shared" si="3819"/>
        <v>547800</v>
      </c>
      <c r="G7026" s="102">
        <f t="shared" si="3820"/>
        <v>498000</v>
      </c>
      <c r="H7026" s="690" t="s">
        <v>173</v>
      </c>
      <c r="I7026" s="71" t="s">
        <v>2230</v>
      </c>
      <c r="J7026" s="53">
        <f t="shared" ref="J7026:J7027" si="3823">G7026-T7026</f>
        <v>-42000</v>
      </c>
      <c r="K7026" s="63">
        <f t="shared" ref="K7026:K7027" si="3824">(J7026/(F7026/11*10))</f>
        <v>-8.4337349397590355E-2</v>
      </c>
      <c r="L7026" s="1212" t="s">
        <v>4149</v>
      </c>
      <c r="M7026" s="468"/>
      <c r="N7026" s="1192">
        <f t="shared" si="3816"/>
        <v>45474</v>
      </c>
      <c r="O7026" s="71" t="s">
        <v>194</v>
      </c>
      <c r="P7026" s="103" t="str">
        <f t="shared" si="3822"/>
        <v>CTP 부품 베어링</v>
      </c>
      <c r="Q7026" s="71">
        <f t="shared" si="3818"/>
        <v>6</v>
      </c>
      <c r="R7026" s="147">
        <v>90000</v>
      </c>
      <c r="S7026" s="102">
        <f t="shared" si="3808"/>
        <v>594000</v>
      </c>
      <c r="T7026" s="102">
        <f t="shared" si="3813"/>
        <v>540000</v>
      </c>
      <c r="U7026" s="71"/>
      <c r="V7026" s="71"/>
      <c r="W7026" s="474"/>
      <c r="X7026" s="71"/>
      <c r="Y7026" s="71"/>
    </row>
    <row r="7027" spans="1:25" ht="30" hidden="1" customHeight="1" x14ac:dyDescent="0.25">
      <c r="A7027" s="1145">
        <v>45475</v>
      </c>
      <c r="B7027" s="664" t="s">
        <v>442</v>
      </c>
      <c r="C7027" s="71" t="s">
        <v>2605</v>
      </c>
      <c r="D7027" s="71">
        <v>1</v>
      </c>
      <c r="E7027" s="102">
        <v>300000</v>
      </c>
      <c r="F7027" s="102">
        <f t="shared" si="3819"/>
        <v>330000</v>
      </c>
      <c r="G7027" s="102">
        <f t="shared" si="3820"/>
        <v>300000</v>
      </c>
      <c r="H7027" s="690" t="s">
        <v>173</v>
      </c>
      <c r="I7027" s="71" t="s">
        <v>2230</v>
      </c>
      <c r="J7027" s="53">
        <f t="shared" si="3823"/>
        <v>175000</v>
      </c>
      <c r="K7027" s="63">
        <f t="shared" si="3824"/>
        <v>0.58333333333333337</v>
      </c>
      <c r="L7027" s="1212" t="s">
        <v>4149</v>
      </c>
      <c r="M7027" s="102"/>
      <c r="N7027" s="1192">
        <f t="shared" si="3816"/>
        <v>45475</v>
      </c>
      <c r="O7027" s="71" t="s">
        <v>194</v>
      </c>
      <c r="P7027" s="103" t="str">
        <f t="shared" si="3822"/>
        <v>CTP 서비스 비용</v>
      </c>
      <c r="Q7027" s="71">
        <f t="shared" si="3818"/>
        <v>1</v>
      </c>
      <c r="R7027" s="102">
        <v>125000</v>
      </c>
      <c r="S7027" s="102">
        <f t="shared" si="3808"/>
        <v>137500</v>
      </c>
      <c r="T7027" s="102">
        <f t="shared" si="3813"/>
        <v>125000</v>
      </c>
      <c r="U7027" s="71"/>
      <c r="V7027" s="71"/>
      <c r="W7027" s="474"/>
      <c r="X7027" s="71"/>
      <c r="Y7027" s="71"/>
    </row>
    <row r="7028" spans="1:25" ht="30" hidden="1" customHeight="1" x14ac:dyDescent="0.25">
      <c r="A7028" s="1145">
        <v>45471</v>
      </c>
      <c r="B7028" s="664" t="s">
        <v>4059</v>
      </c>
      <c r="C7028" s="71" t="s">
        <v>4060</v>
      </c>
      <c r="D7028" s="71">
        <v>10</v>
      </c>
      <c r="E7028" s="102">
        <v>187000</v>
      </c>
      <c r="F7028" s="102">
        <f t="shared" si="3819"/>
        <v>2057000.0000000002</v>
      </c>
      <c r="G7028" s="102">
        <f t="shared" si="3820"/>
        <v>1870000</v>
      </c>
      <c r="H7028" s="690" t="s">
        <v>2029</v>
      </c>
      <c r="I7028" s="71" t="s">
        <v>109</v>
      </c>
      <c r="J7028" s="53">
        <f t="shared" ref="J7028:J7034" si="3825">G7028-T7028</f>
        <v>170000</v>
      </c>
      <c r="K7028" s="63">
        <f t="shared" ref="K7028:K7034" si="3826">(J7028/(F7028/11*10))</f>
        <v>9.0909090909090898E-2</v>
      </c>
      <c r="L7028" s="1212" t="s">
        <v>4149</v>
      </c>
      <c r="M7028" s="102"/>
      <c r="N7028" s="1192">
        <f t="shared" si="3816"/>
        <v>45471</v>
      </c>
      <c r="O7028" s="71" t="s">
        <v>189</v>
      </c>
      <c r="P7028" s="103" t="str">
        <f t="shared" ref="P7028:P7034" si="3827">(C7028)</f>
        <v>미쯔비시 윤전용 블랑켓 1155*910</v>
      </c>
      <c r="Q7028" s="71">
        <f t="shared" si="3818"/>
        <v>10</v>
      </c>
      <c r="R7028" s="102">
        <v>170000</v>
      </c>
      <c r="S7028" s="102">
        <f t="shared" ref="S7028:S7034" si="3828">R7028*Q7028*1.1</f>
        <v>1870000.0000000002</v>
      </c>
      <c r="T7028" s="102">
        <f t="shared" ref="T7028:T7034" si="3829">R7028*Q7028</f>
        <v>1700000</v>
      </c>
      <c r="U7028" s="71"/>
      <c r="V7028" s="71"/>
      <c r="W7028" s="474"/>
      <c r="X7028" s="71"/>
      <c r="Y7028" s="71"/>
    </row>
    <row r="7029" spans="1:25" s="209" customFormat="1" ht="31.5" hidden="1" customHeight="1" x14ac:dyDescent="0.2">
      <c r="A7029" s="1145">
        <v>45471</v>
      </c>
      <c r="B7029" s="664" t="s">
        <v>4059</v>
      </c>
      <c r="C7029" s="71" t="s">
        <v>4061</v>
      </c>
      <c r="D7029" s="71">
        <v>10</v>
      </c>
      <c r="E7029" s="102">
        <v>130000</v>
      </c>
      <c r="F7029" s="102">
        <f t="shared" si="3819"/>
        <v>1430000</v>
      </c>
      <c r="G7029" s="102">
        <f t="shared" si="3820"/>
        <v>1300000</v>
      </c>
      <c r="H7029" s="165" t="s">
        <v>172</v>
      </c>
      <c r="I7029" s="71" t="s">
        <v>184</v>
      </c>
      <c r="J7029" s="53">
        <f t="shared" si="3825"/>
        <v>180000</v>
      </c>
      <c r="K7029" s="63">
        <f t="shared" si="3826"/>
        <v>0.13846153846153847</v>
      </c>
      <c r="L7029" s="1212" t="s">
        <v>4149</v>
      </c>
      <c r="M7029" s="468"/>
      <c r="N7029" s="1192">
        <f t="shared" si="3816"/>
        <v>45471</v>
      </c>
      <c r="O7029" s="71" t="s">
        <v>189</v>
      </c>
      <c r="P7029" s="103" t="str">
        <f t="shared" si="3827"/>
        <v>M600 Blanket(990*725)</v>
      </c>
      <c r="Q7029" s="71">
        <f t="shared" si="3818"/>
        <v>10</v>
      </c>
      <c r="R7029" s="102">
        <v>112000</v>
      </c>
      <c r="S7029" s="102">
        <f t="shared" si="3828"/>
        <v>1232000</v>
      </c>
      <c r="T7029" s="102">
        <f t="shared" si="3829"/>
        <v>1120000</v>
      </c>
      <c r="U7029" s="71" t="str">
        <f>IF(J7029=W7029,"O", "X")</f>
        <v>X</v>
      </c>
      <c r="V7029" s="71"/>
      <c r="W7029" s="474">
        <v>80000</v>
      </c>
      <c r="X7029" s="71"/>
      <c r="Y7029" s="71"/>
    </row>
    <row r="7030" spans="1:25" ht="30" hidden="1" customHeight="1" x14ac:dyDescent="0.25">
      <c r="A7030" s="1145">
        <v>45471</v>
      </c>
      <c r="B7030" s="664" t="s">
        <v>2261</v>
      </c>
      <c r="C7030" s="71" t="s">
        <v>3299</v>
      </c>
      <c r="D7030" s="71">
        <v>10</v>
      </c>
      <c r="E7030" s="102">
        <v>52000</v>
      </c>
      <c r="F7030" s="102">
        <f t="shared" si="3819"/>
        <v>572000</v>
      </c>
      <c r="G7030" s="102">
        <f t="shared" si="3820"/>
        <v>520000</v>
      </c>
      <c r="H7030" s="690" t="s">
        <v>172</v>
      </c>
      <c r="I7030" s="71" t="s">
        <v>180</v>
      </c>
      <c r="J7030" s="53">
        <f t="shared" si="3825"/>
        <v>45000</v>
      </c>
      <c r="K7030" s="63">
        <f t="shared" si="3826"/>
        <v>8.6538461538461536E-2</v>
      </c>
      <c r="L7030" s="1212" t="s">
        <v>4149</v>
      </c>
      <c r="M7030" s="468" t="s">
        <v>3835</v>
      </c>
      <c r="N7030" s="1192">
        <f t="shared" si="3816"/>
        <v>45471</v>
      </c>
      <c r="O7030" s="71" t="s">
        <v>175</v>
      </c>
      <c r="P7030" s="103" t="str">
        <f t="shared" si="3827"/>
        <v>매엽용 세척제(Wash k11)</v>
      </c>
      <c r="Q7030" s="71">
        <f t="shared" si="3818"/>
        <v>10</v>
      </c>
      <c r="R7030" s="102">
        <v>47500</v>
      </c>
      <c r="S7030" s="102">
        <f t="shared" si="3828"/>
        <v>522500.00000000006</v>
      </c>
      <c r="T7030" s="102">
        <f t="shared" si="3829"/>
        <v>475000</v>
      </c>
      <c r="U7030" s="71" t="s">
        <v>859</v>
      </c>
      <c r="V7030" s="71"/>
      <c r="W7030" s="474"/>
      <c r="X7030" s="71"/>
      <c r="Y7030" s="71"/>
    </row>
    <row r="7031" spans="1:25" s="209" customFormat="1" ht="31.5" hidden="1" customHeight="1" x14ac:dyDescent="0.2">
      <c r="A7031" s="1145">
        <v>45471</v>
      </c>
      <c r="B7031" s="664" t="s">
        <v>3289</v>
      </c>
      <c r="C7031" s="71" t="s">
        <v>3387</v>
      </c>
      <c r="D7031" s="71">
        <v>10</v>
      </c>
      <c r="E7031" s="102">
        <v>130000</v>
      </c>
      <c r="F7031" s="102">
        <f t="shared" si="3819"/>
        <v>1430000</v>
      </c>
      <c r="G7031" s="102">
        <f t="shared" si="3820"/>
        <v>1300000</v>
      </c>
      <c r="H7031" s="165" t="s">
        <v>172</v>
      </c>
      <c r="I7031" s="71" t="s">
        <v>184</v>
      </c>
      <c r="J7031" s="53">
        <f t="shared" si="3825"/>
        <v>180000</v>
      </c>
      <c r="K7031" s="63">
        <f t="shared" si="3826"/>
        <v>0.13846153846153847</v>
      </c>
      <c r="L7031" s="1212" t="s">
        <v>4149</v>
      </c>
      <c r="M7031" s="468"/>
      <c r="N7031" s="1192">
        <f t="shared" si="3816"/>
        <v>45471</v>
      </c>
      <c r="O7031" s="71" t="s">
        <v>189</v>
      </c>
      <c r="P7031" s="103" t="str">
        <f t="shared" si="3827"/>
        <v>Blanket(990*725)</v>
      </c>
      <c r="Q7031" s="71">
        <f t="shared" si="3818"/>
        <v>10</v>
      </c>
      <c r="R7031" s="102">
        <v>112000</v>
      </c>
      <c r="S7031" s="102">
        <f t="shared" si="3828"/>
        <v>1232000</v>
      </c>
      <c r="T7031" s="102">
        <f t="shared" si="3829"/>
        <v>1120000</v>
      </c>
      <c r="U7031" s="71" t="str">
        <f>IF(J7031=W7031,"O", "X")</f>
        <v>X</v>
      </c>
      <c r="V7031" s="71"/>
      <c r="W7031" s="474">
        <v>80000</v>
      </c>
      <c r="X7031" s="71"/>
      <c r="Y7031" s="71"/>
    </row>
    <row r="7032" spans="1:25" ht="30" hidden="1" customHeight="1" x14ac:dyDescent="0.25">
      <c r="A7032" s="1145">
        <v>45476</v>
      </c>
      <c r="B7032" s="664" t="s">
        <v>2261</v>
      </c>
      <c r="C7032" s="760" t="s">
        <v>181</v>
      </c>
      <c r="D7032" s="71">
        <v>10</v>
      </c>
      <c r="E7032" s="102">
        <v>193000</v>
      </c>
      <c r="F7032" s="102">
        <f t="shared" si="3819"/>
        <v>2123000</v>
      </c>
      <c r="G7032" s="102">
        <f t="shared" si="3820"/>
        <v>1930000</v>
      </c>
      <c r="H7032" s="690" t="s">
        <v>2029</v>
      </c>
      <c r="I7032" s="71" t="s">
        <v>182</v>
      </c>
      <c r="J7032" s="53">
        <f t="shared" si="3825"/>
        <v>690000</v>
      </c>
      <c r="K7032" s="63">
        <f t="shared" si="3826"/>
        <v>0.35751295336787564</v>
      </c>
      <c r="L7032" s="1212" t="s">
        <v>4149</v>
      </c>
      <c r="M7032" s="468"/>
      <c r="N7032" s="1192">
        <f t="shared" si="3816"/>
        <v>45476</v>
      </c>
      <c r="O7032" s="71" t="s">
        <v>2030</v>
      </c>
      <c r="P7032" s="103" t="str">
        <f t="shared" si="3827"/>
        <v>Fount Web 551AF</v>
      </c>
      <c r="Q7032" s="71">
        <f t="shared" si="3818"/>
        <v>10</v>
      </c>
      <c r="R7032" s="102">
        <v>124000</v>
      </c>
      <c r="S7032" s="102">
        <f t="shared" si="3828"/>
        <v>1364000</v>
      </c>
      <c r="T7032" s="102">
        <f t="shared" si="3829"/>
        <v>1240000</v>
      </c>
      <c r="U7032" s="71" t="str">
        <f>IF(J7032=W7032,"O", "X")</f>
        <v>X</v>
      </c>
      <c r="V7032" s="71"/>
      <c r="W7032" s="474">
        <v>640000</v>
      </c>
      <c r="X7032" s="71"/>
      <c r="Y7032" s="71"/>
    </row>
    <row r="7033" spans="1:25" ht="30" hidden="1" customHeight="1" x14ac:dyDescent="0.25">
      <c r="A7033" s="1145">
        <v>45476</v>
      </c>
      <c r="B7033" s="664" t="s">
        <v>2261</v>
      </c>
      <c r="C7033" s="71" t="s">
        <v>277</v>
      </c>
      <c r="D7033" s="71">
        <v>10</v>
      </c>
      <c r="E7033" s="102">
        <v>172000</v>
      </c>
      <c r="F7033" s="102">
        <f t="shared" si="3819"/>
        <v>1892000.0000000002</v>
      </c>
      <c r="G7033" s="102">
        <f t="shared" si="3820"/>
        <v>1720000</v>
      </c>
      <c r="H7033" s="690" t="s">
        <v>172</v>
      </c>
      <c r="I7033" s="71" t="s">
        <v>108</v>
      </c>
      <c r="J7033" s="53">
        <f t="shared" si="3825"/>
        <v>390000</v>
      </c>
      <c r="K7033" s="63">
        <f t="shared" si="3826"/>
        <v>0.22674418604651159</v>
      </c>
      <c r="L7033" s="1212" t="s">
        <v>4149</v>
      </c>
      <c r="M7033" s="468"/>
      <c r="N7033" s="1192">
        <f t="shared" si="3816"/>
        <v>45476</v>
      </c>
      <c r="O7033" s="71" t="s">
        <v>662</v>
      </c>
      <c r="P7033" s="103" t="str">
        <f t="shared" si="3827"/>
        <v>윤전용 세척제(Web 504)</v>
      </c>
      <c r="Q7033" s="71">
        <f t="shared" si="3818"/>
        <v>10</v>
      </c>
      <c r="R7033" s="102">
        <v>133000</v>
      </c>
      <c r="S7033" s="102">
        <f t="shared" si="3828"/>
        <v>1463000.0000000002</v>
      </c>
      <c r="T7033" s="102">
        <f t="shared" si="3829"/>
        <v>1330000</v>
      </c>
      <c r="U7033" s="71" t="str">
        <f>IF(J7033=W7033,"O", "X")</f>
        <v>X</v>
      </c>
      <c r="V7033" s="71"/>
      <c r="W7033" s="474"/>
      <c r="X7033" s="71"/>
      <c r="Y7033" s="71"/>
    </row>
    <row r="7034" spans="1:25" ht="30" hidden="1" customHeight="1" x14ac:dyDescent="0.25">
      <c r="A7034" s="1145">
        <v>45476</v>
      </c>
      <c r="B7034" s="664" t="s">
        <v>3289</v>
      </c>
      <c r="C7034" s="71" t="s">
        <v>2070</v>
      </c>
      <c r="D7034" s="71">
        <v>10</v>
      </c>
      <c r="E7034" s="102">
        <v>110000</v>
      </c>
      <c r="F7034" s="102">
        <f t="shared" si="3819"/>
        <v>1210000</v>
      </c>
      <c r="G7034" s="102">
        <f t="shared" si="3820"/>
        <v>1100000</v>
      </c>
      <c r="H7034" s="690" t="s">
        <v>172</v>
      </c>
      <c r="I7034" s="71" t="s">
        <v>33</v>
      </c>
      <c r="J7034" s="53">
        <f t="shared" si="3825"/>
        <v>206000</v>
      </c>
      <c r="K7034" s="63">
        <f t="shared" si="3826"/>
        <v>0.18727272727272729</v>
      </c>
      <c r="L7034" s="1212" t="s">
        <v>4149</v>
      </c>
      <c r="M7034" s="468" t="s">
        <v>4114</v>
      </c>
      <c r="N7034" s="1192">
        <f t="shared" si="3816"/>
        <v>45476</v>
      </c>
      <c r="O7034" s="71" t="s">
        <v>146</v>
      </c>
      <c r="P7034" s="103" t="str">
        <f t="shared" si="3827"/>
        <v>Blanket(1050*840)</v>
      </c>
      <c r="Q7034" s="71">
        <f t="shared" si="3818"/>
        <v>10</v>
      </c>
      <c r="R7034" s="102">
        <v>89400</v>
      </c>
      <c r="S7034" s="102">
        <f t="shared" si="3828"/>
        <v>983400.00000000012</v>
      </c>
      <c r="T7034" s="102">
        <f t="shared" si="3829"/>
        <v>894000</v>
      </c>
      <c r="U7034" s="71" t="str">
        <f>IF(J7034=W7034,"O", "X")</f>
        <v>X</v>
      </c>
      <c r="V7034" s="71"/>
      <c r="W7034" s="474">
        <v>275000</v>
      </c>
      <c r="X7034" s="71"/>
      <c r="Y7034" s="71"/>
    </row>
    <row r="7035" spans="1:25" ht="30" hidden="1" customHeight="1" x14ac:dyDescent="0.25">
      <c r="A7035" s="1145">
        <v>45484</v>
      </c>
      <c r="B7035" s="664" t="s">
        <v>2261</v>
      </c>
      <c r="C7035" s="71" t="s">
        <v>3299</v>
      </c>
      <c r="D7035" s="71">
        <v>10</v>
      </c>
      <c r="E7035" s="102">
        <v>52000</v>
      </c>
      <c r="F7035" s="102">
        <f t="shared" ref="F7035:F7036" si="3830">(E7035*D7035)*1.1</f>
        <v>572000</v>
      </c>
      <c r="G7035" s="102">
        <f t="shared" ref="G7035:G7036" si="3831">(E7035*D7035)</f>
        <v>520000</v>
      </c>
      <c r="H7035" s="690" t="s">
        <v>172</v>
      </c>
      <c r="I7035" s="71" t="s">
        <v>180</v>
      </c>
      <c r="J7035" s="53">
        <f t="shared" ref="J7035:J7036" si="3832">G7035-T7035</f>
        <v>45000</v>
      </c>
      <c r="K7035" s="63">
        <f t="shared" ref="K7035:K7036" si="3833">(J7035/(F7035/11*10))</f>
        <v>8.6538461538461536E-2</v>
      </c>
      <c r="L7035" s="1212" t="s">
        <v>4149</v>
      </c>
      <c r="M7035" s="468" t="s">
        <v>3835</v>
      </c>
      <c r="N7035" s="1192">
        <f t="shared" ref="N7035:N7036" si="3834">A7035</f>
        <v>45484</v>
      </c>
      <c r="O7035" s="71" t="s">
        <v>175</v>
      </c>
      <c r="P7035" s="103" t="str">
        <f t="shared" ref="P7035:P7036" si="3835">(C7035)</f>
        <v>매엽용 세척제(Wash k11)</v>
      </c>
      <c r="Q7035" s="71">
        <f t="shared" ref="Q7035:Q7036" si="3836">D7035</f>
        <v>10</v>
      </c>
      <c r="R7035" s="102">
        <v>47500</v>
      </c>
      <c r="S7035" s="102">
        <f t="shared" ref="S7035:S7036" si="3837">R7035*Q7035*1.1</f>
        <v>522500.00000000006</v>
      </c>
      <c r="T7035" s="102">
        <f t="shared" ref="T7035:T7036" si="3838">R7035*Q7035</f>
        <v>475000</v>
      </c>
      <c r="U7035" s="71" t="s">
        <v>859</v>
      </c>
      <c r="V7035" s="71"/>
      <c r="W7035" s="474"/>
      <c r="X7035" s="71"/>
      <c r="Y7035" s="71"/>
    </row>
    <row r="7036" spans="1:25" ht="30" hidden="1" customHeight="1" x14ac:dyDescent="0.25">
      <c r="A7036" s="1145">
        <v>45496</v>
      </c>
      <c r="B7036" s="664" t="s">
        <v>2261</v>
      </c>
      <c r="C7036" s="71" t="s">
        <v>277</v>
      </c>
      <c r="D7036" s="71">
        <v>10</v>
      </c>
      <c r="E7036" s="102">
        <v>172000</v>
      </c>
      <c r="F7036" s="102">
        <f t="shared" si="3830"/>
        <v>1892000.0000000002</v>
      </c>
      <c r="G7036" s="102">
        <f t="shared" si="3831"/>
        <v>1720000</v>
      </c>
      <c r="H7036" s="690" t="s">
        <v>172</v>
      </c>
      <c r="I7036" s="71" t="s">
        <v>108</v>
      </c>
      <c r="J7036" s="53">
        <f t="shared" si="3832"/>
        <v>390000</v>
      </c>
      <c r="K7036" s="63">
        <f t="shared" si="3833"/>
        <v>0.22674418604651159</v>
      </c>
      <c r="L7036" s="1212" t="s">
        <v>4149</v>
      </c>
      <c r="M7036" s="468"/>
      <c r="N7036" s="1192">
        <f t="shared" si="3834"/>
        <v>45496</v>
      </c>
      <c r="O7036" s="71" t="s">
        <v>662</v>
      </c>
      <c r="P7036" s="103" t="str">
        <f t="shared" si="3835"/>
        <v>윤전용 세척제(Web 504)</v>
      </c>
      <c r="Q7036" s="71">
        <f t="shared" si="3836"/>
        <v>10</v>
      </c>
      <c r="R7036" s="102">
        <v>133000</v>
      </c>
      <c r="S7036" s="102">
        <f t="shared" si="3837"/>
        <v>1463000.0000000002</v>
      </c>
      <c r="T7036" s="102">
        <f t="shared" si="3838"/>
        <v>1330000</v>
      </c>
      <c r="U7036" s="71" t="str">
        <f>IF(J7036=W7036,"O", "X")</f>
        <v>X</v>
      </c>
      <c r="V7036" s="71"/>
      <c r="W7036" s="474"/>
      <c r="X7036" s="71"/>
      <c r="Y7036" s="71"/>
    </row>
    <row r="7037" spans="1:25" ht="30" hidden="1" customHeight="1" x14ac:dyDescent="0.25">
      <c r="A7037" s="1145">
        <v>45496</v>
      </c>
      <c r="B7037" s="664" t="s">
        <v>2261</v>
      </c>
      <c r="C7037" s="71" t="s">
        <v>3299</v>
      </c>
      <c r="D7037" s="71">
        <v>10</v>
      </c>
      <c r="E7037" s="102">
        <v>52000</v>
      </c>
      <c r="F7037" s="102">
        <f t="shared" ref="F7037:F7038" si="3839">(E7037*D7037)*1.1</f>
        <v>572000</v>
      </c>
      <c r="G7037" s="102">
        <f t="shared" ref="G7037:G7038" si="3840">(E7037*D7037)</f>
        <v>520000</v>
      </c>
      <c r="H7037" s="690" t="s">
        <v>172</v>
      </c>
      <c r="I7037" s="71" t="s">
        <v>180</v>
      </c>
      <c r="J7037" s="53">
        <f t="shared" ref="J7037" si="3841">G7037-T7037</f>
        <v>45000</v>
      </c>
      <c r="K7037" s="63">
        <f t="shared" ref="K7037:K7038" si="3842">(J7037/(F7037/11*10))</f>
        <v>8.6538461538461536E-2</v>
      </c>
      <c r="L7037" s="1212" t="s">
        <v>4149</v>
      </c>
      <c r="M7037" s="468" t="s">
        <v>3835</v>
      </c>
      <c r="N7037" s="1192">
        <f t="shared" ref="N7037:N7038" si="3843">A7037</f>
        <v>45496</v>
      </c>
      <c r="O7037" s="71" t="s">
        <v>175</v>
      </c>
      <c r="P7037" s="103" t="str">
        <f t="shared" ref="P7037:P7038" si="3844">(C7037)</f>
        <v>매엽용 세척제(Wash k11)</v>
      </c>
      <c r="Q7037" s="71">
        <f t="shared" ref="Q7037:Q7038" si="3845">D7037</f>
        <v>10</v>
      </c>
      <c r="R7037" s="102">
        <v>47500</v>
      </c>
      <c r="S7037" s="102">
        <f t="shared" ref="S7037" si="3846">R7037*Q7037*1.1</f>
        <v>522500.00000000006</v>
      </c>
      <c r="T7037" s="102">
        <f t="shared" ref="T7037" si="3847">R7037*Q7037</f>
        <v>475000</v>
      </c>
      <c r="U7037" s="71" t="s">
        <v>859</v>
      </c>
      <c r="V7037" s="71"/>
      <c r="W7037" s="474"/>
      <c r="X7037" s="71"/>
      <c r="Y7037" s="71"/>
    </row>
    <row r="7038" spans="1:25" ht="30" hidden="1" customHeight="1" x14ac:dyDescent="0.25">
      <c r="A7038" s="1145">
        <v>45328</v>
      </c>
      <c r="B7038" s="664" t="s">
        <v>3410</v>
      </c>
      <c r="C7038" s="71" t="s">
        <v>2974</v>
      </c>
      <c r="D7038" s="71">
        <v>2</v>
      </c>
      <c r="E7038" s="102">
        <v>650000</v>
      </c>
      <c r="F7038" s="102">
        <f t="shared" si="3839"/>
        <v>1430000</v>
      </c>
      <c r="G7038" s="102">
        <f t="shared" si="3840"/>
        <v>1300000</v>
      </c>
      <c r="H7038" s="690" t="s">
        <v>142</v>
      </c>
      <c r="I7038" s="690" t="s">
        <v>142</v>
      </c>
      <c r="J7038" s="53">
        <f>G7038-T7038</f>
        <v>853130</v>
      </c>
      <c r="K7038" s="63">
        <f t="shared" si="3842"/>
        <v>0.65625384615384619</v>
      </c>
      <c r="L7038" s="1212" t="s">
        <v>4162</v>
      </c>
      <c r="M7038" s="468"/>
      <c r="N7038" s="1192">
        <f t="shared" si="3843"/>
        <v>45328</v>
      </c>
      <c r="O7038" s="71" t="s">
        <v>3412</v>
      </c>
      <c r="P7038" s="103" t="str">
        <f t="shared" si="3844"/>
        <v>Baldwin UV 램프 국전</v>
      </c>
      <c r="Q7038" s="71">
        <f t="shared" si="3845"/>
        <v>2</v>
      </c>
      <c r="R7038" s="102">
        <v>223435</v>
      </c>
      <c r="S7038" s="102">
        <f>R7038*Q7038*1.1</f>
        <v>491557.00000000006</v>
      </c>
      <c r="T7038" s="102">
        <f>R7038*Q7038</f>
        <v>446870</v>
      </c>
      <c r="U7038" s="71"/>
      <c r="V7038" s="71"/>
      <c r="W7038" s="474"/>
      <c r="X7038" s="71"/>
      <c r="Y7038" s="71"/>
    </row>
    <row r="7039" spans="1:25" ht="30" hidden="1" customHeight="1" x14ac:dyDescent="0.25">
      <c r="A7039" s="1145">
        <v>45499</v>
      </c>
      <c r="B7039" s="664" t="s">
        <v>3410</v>
      </c>
      <c r="C7039" s="71" t="s">
        <v>2974</v>
      </c>
      <c r="D7039" s="71">
        <v>4</v>
      </c>
      <c r="E7039" s="102">
        <v>650000</v>
      </c>
      <c r="F7039" s="102">
        <f t="shared" ref="F7039:F7054" si="3848">(E7039*D7039)*1.1</f>
        <v>2860000</v>
      </c>
      <c r="G7039" s="102">
        <f t="shared" ref="G7039:G7054" si="3849">(E7039*D7039)</f>
        <v>2600000</v>
      </c>
      <c r="H7039" s="690" t="s">
        <v>142</v>
      </c>
      <c r="I7039" s="690" t="s">
        <v>142</v>
      </c>
      <c r="J7039" s="53">
        <f>G7039-T7039</f>
        <v>1706260</v>
      </c>
      <c r="K7039" s="63">
        <f t="shared" ref="K7039:K7046" si="3850">(J7039/(F7039/11*10))</f>
        <v>0.65625384615384619</v>
      </c>
      <c r="L7039" s="1212" t="s">
        <v>4149</v>
      </c>
      <c r="M7039" s="468"/>
      <c r="N7039" s="1192">
        <f t="shared" ref="N7039:N7049" si="3851">A7039</f>
        <v>45499</v>
      </c>
      <c r="O7039" s="71" t="s">
        <v>3412</v>
      </c>
      <c r="P7039" s="103" t="str">
        <f t="shared" ref="P7039:P7049" si="3852">(C7039)</f>
        <v>Baldwin UV 램프 국전</v>
      </c>
      <c r="Q7039" s="71">
        <f t="shared" ref="Q7039:Q7054" si="3853">D7039</f>
        <v>4</v>
      </c>
      <c r="R7039" s="102">
        <v>223435</v>
      </c>
      <c r="S7039" s="102">
        <f>R7039*Q7039*1.1</f>
        <v>983114.00000000012</v>
      </c>
      <c r="T7039" s="102">
        <f>R7039*Q7039</f>
        <v>893740</v>
      </c>
      <c r="U7039" s="71"/>
      <c r="V7039" s="71"/>
      <c r="W7039" s="474"/>
      <c r="X7039" s="71"/>
      <c r="Y7039" s="71"/>
    </row>
    <row r="7040" spans="1:25" ht="30" hidden="1" customHeight="1" x14ac:dyDescent="0.25">
      <c r="A7040" s="1145">
        <v>45499</v>
      </c>
      <c r="B7040" s="664" t="s">
        <v>3410</v>
      </c>
      <c r="C7040" s="71" t="s">
        <v>123</v>
      </c>
      <c r="D7040" s="71">
        <v>10</v>
      </c>
      <c r="E7040" s="102">
        <v>34000</v>
      </c>
      <c r="F7040" s="102">
        <f t="shared" si="3848"/>
        <v>374000.00000000006</v>
      </c>
      <c r="G7040" s="102">
        <f t="shared" si="3849"/>
        <v>340000</v>
      </c>
      <c r="H7040" s="690" t="s">
        <v>142</v>
      </c>
      <c r="I7040" s="690" t="s">
        <v>142</v>
      </c>
      <c r="J7040" s="53">
        <f t="shared" ref="J7040:J7046" si="3854">G7040-T7040</f>
        <v>99300</v>
      </c>
      <c r="K7040" s="63">
        <f t="shared" si="3850"/>
        <v>0.2920588235294117</v>
      </c>
      <c r="L7040" s="1212" t="s">
        <v>4149</v>
      </c>
      <c r="M7040" s="468"/>
      <c r="N7040" s="1192">
        <f t="shared" si="3851"/>
        <v>45499</v>
      </c>
      <c r="O7040" s="71" t="s">
        <v>94</v>
      </c>
      <c r="P7040" s="103" t="str">
        <f t="shared" si="3852"/>
        <v>필터백</v>
      </c>
      <c r="Q7040" s="71">
        <f t="shared" si="3853"/>
        <v>10</v>
      </c>
      <c r="R7040" s="102">
        <v>24070</v>
      </c>
      <c r="S7040" s="102">
        <f t="shared" ref="S7040" si="3855">R7040*Q7040*1.1</f>
        <v>264770</v>
      </c>
      <c r="T7040" s="102">
        <f t="shared" ref="T7040" si="3856">R7040*Q7040</f>
        <v>240700</v>
      </c>
      <c r="U7040" s="71"/>
      <c r="V7040" s="71"/>
      <c r="W7040" s="474"/>
      <c r="X7040" s="71"/>
      <c r="Y7040" s="71"/>
    </row>
    <row r="7041" spans="1:25" ht="30" hidden="1" customHeight="1" x14ac:dyDescent="0.25">
      <c r="A7041" s="1145">
        <v>45498</v>
      </c>
      <c r="B7041" s="664" t="s">
        <v>4131</v>
      </c>
      <c r="C7041" s="71" t="s">
        <v>4153</v>
      </c>
      <c r="D7041" s="71">
        <v>1</v>
      </c>
      <c r="E7041" s="102">
        <v>24200000</v>
      </c>
      <c r="F7041" s="102">
        <f t="shared" si="3848"/>
        <v>26620000.000000004</v>
      </c>
      <c r="G7041" s="102">
        <f t="shared" si="3849"/>
        <v>24200000</v>
      </c>
      <c r="H7041" s="690" t="s">
        <v>142</v>
      </c>
      <c r="I7041" s="690" t="s">
        <v>142</v>
      </c>
      <c r="J7041" s="53">
        <f t="shared" si="3854"/>
        <v>-3632100</v>
      </c>
      <c r="K7041" s="63">
        <f t="shared" si="3850"/>
        <v>-0.15008677685950411</v>
      </c>
      <c r="L7041" s="1212" t="s">
        <v>4149</v>
      </c>
      <c r="M7041" s="102"/>
      <c r="N7041" s="1192">
        <f t="shared" si="3851"/>
        <v>45498</v>
      </c>
      <c r="O7041" s="71" t="s">
        <v>2470</v>
      </c>
      <c r="P7041" s="103" t="str">
        <f t="shared" si="3852"/>
        <v>ESI 엔지니어 2차 작업분</v>
      </c>
      <c r="Q7041" s="71">
        <f t="shared" si="3853"/>
        <v>1</v>
      </c>
      <c r="R7041" s="102">
        <v>27832100</v>
      </c>
      <c r="S7041" s="102">
        <f t="shared" ref="S7041:S7046" si="3857">R7041*Q7041*1.1</f>
        <v>30615310.000000004</v>
      </c>
      <c r="T7041" s="102">
        <f t="shared" ref="T7041:T7046" si="3858">R7041*Q7041</f>
        <v>27832100</v>
      </c>
      <c r="U7041" s="71"/>
      <c r="V7041" s="71"/>
      <c r="W7041" s="474"/>
      <c r="X7041" s="71"/>
      <c r="Y7041" s="71"/>
    </row>
    <row r="7042" spans="1:25" ht="30" hidden="1" customHeight="1" x14ac:dyDescent="0.25">
      <c r="A7042" s="1145">
        <v>45498</v>
      </c>
      <c r="B7042" s="664" t="s">
        <v>4131</v>
      </c>
      <c r="C7042" s="71" t="s">
        <v>4154</v>
      </c>
      <c r="D7042" s="71">
        <v>1</v>
      </c>
      <c r="E7042" s="102">
        <v>42839000</v>
      </c>
      <c r="F7042" s="102">
        <f t="shared" si="3848"/>
        <v>47122900.000000007</v>
      </c>
      <c r="G7042" s="102">
        <f t="shared" si="3849"/>
        <v>42839000</v>
      </c>
      <c r="H7042" s="690" t="s">
        <v>142</v>
      </c>
      <c r="I7042" s="690" t="s">
        <v>142</v>
      </c>
      <c r="J7042" s="53">
        <f t="shared" si="3854"/>
        <v>17839000</v>
      </c>
      <c r="K7042" s="63">
        <f t="shared" si="3850"/>
        <v>0.4164196176381334</v>
      </c>
      <c r="L7042" s="1212" t="s">
        <v>4149</v>
      </c>
      <c r="M7042" s="468"/>
      <c r="N7042" s="1192">
        <f t="shared" si="3851"/>
        <v>45498</v>
      </c>
      <c r="O7042" s="71" t="s">
        <v>1443</v>
      </c>
      <c r="P7042" s="103" t="str">
        <f t="shared" si="3852"/>
        <v>Vpak 블랑켓 5size</v>
      </c>
      <c r="Q7042" s="71">
        <f t="shared" si="3853"/>
        <v>1</v>
      </c>
      <c r="R7042" s="147">
        <v>25000000</v>
      </c>
      <c r="S7042" s="102">
        <f t="shared" si="3857"/>
        <v>27500000.000000004</v>
      </c>
      <c r="T7042" s="102">
        <f t="shared" si="3858"/>
        <v>25000000</v>
      </c>
      <c r="U7042" s="71"/>
      <c r="V7042" s="71"/>
      <c r="W7042" s="474"/>
      <c r="X7042" s="71"/>
      <c r="Y7042" s="71"/>
    </row>
    <row r="7043" spans="1:25" ht="30" hidden="1" customHeight="1" x14ac:dyDescent="0.25">
      <c r="A7043" s="1145">
        <v>45498</v>
      </c>
      <c r="B7043" s="664" t="s">
        <v>546</v>
      </c>
      <c r="C7043" s="71" t="s">
        <v>4155</v>
      </c>
      <c r="D7043" s="71">
        <v>1</v>
      </c>
      <c r="E7043" s="102">
        <v>11200000</v>
      </c>
      <c r="F7043" s="102">
        <f t="shared" si="3848"/>
        <v>12320000.000000002</v>
      </c>
      <c r="G7043" s="102">
        <f t="shared" si="3849"/>
        <v>11200000</v>
      </c>
      <c r="H7043" s="690" t="s">
        <v>281</v>
      </c>
      <c r="I7043" s="71" t="s">
        <v>281</v>
      </c>
      <c r="J7043" s="53">
        <f t="shared" si="3854"/>
        <v>1729000</v>
      </c>
      <c r="K7043" s="63">
        <f t="shared" si="3850"/>
        <v>0.15437499999999998</v>
      </c>
      <c r="L7043" s="1212" t="s">
        <v>4149</v>
      </c>
      <c r="M7043" s="102"/>
      <c r="N7043" s="1192">
        <f t="shared" si="3851"/>
        <v>45498</v>
      </c>
      <c r="O7043" s="71" t="s">
        <v>1431</v>
      </c>
      <c r="P7043" s="103" t="str">
        <f t="shared" si="3852"/>
        <v>Rotoman TSC 계약</v>
      </c>
      <c r="Q7043" s="71">
        <f t="shared" si="3853"/>
        <v>1</v>
      </c>
      <c r="R7043" s="102">
        <v>9471000</v>
      </c>
      <c r="S7043" s="102">
        <f t="shared" si="3857"/>
        <v>10418100</v>
      </c>
      <c r="T7043" s="102">
        <f t="shared" si="3858"/>
        <v>9471000</v>
      </c>
      <c r="U7043" s="71"/>
      <c r="V7043" s="71"/>
      <c r="W7043" s="474"/>
      <c r="X7043" s="71"/>
      <c r="Y7043" s="71"/>
    </row>
    <row r="7044" spans="1:25" ht="30" hidden="1" customHeight="1" x14ac:dyDescent="0.25">
      <c r="A7044" s="1145">
        <v>45498</v>
      </c>
      <c r="B7044" s="664" t="s">
        <v>1155</v>
      </c>
      <c r="C7044" s="71" t="s">
        <v>4156</v>
      </c>
      <c r="D7044" s="71">
        <v>1</v>
      </c>
      <c r="E7044" s="102">
        <v>3760000</v>
      </c>
      <c r="F7044" s="102">
        <f t="shared" si="3848"/>
        <v>4136000.0000000005</v>
      </c>
      <c r="G7044" s="102">
        <f t="shared" si="3849"/>
        <v>3760000</v>
      </c>
      <c r="H7044" s="690" t="s">
        <v>281</v>
      </c>
      <c r="I7044" s="71" t="s">
        <v>281</v>
      </c>
      <c r="J7044" s="53">
        <f t="shared" si="3854"/>
        <v>1480000</v>
      </c>
      <c r="K7044" s="63">
        <f t="shared" si="3850"/>
        <v>0.3936170212765957</v>
      </c>
      <c r="L7044" s="1212" t="s">
        <v>4149</v>
      </c>
      <c r="M7044" s="468"/>
      <c r="N7044" s="1192">
        <f t="shared" si="3851"/>
        <v>45498</v>
      </c>
      <c r="O7044" s="71" t="s">
        <v>2030</v>
      </c>
      <c r="P7044" s="103" t="str">
        <f t="shared" si="3852"/>
        <v>M600 판걸이튜브 교체 서비스</v>
      </c>
      <c r="Q7044" s="71">
        <f t="shared" si="3853"/>
        <v>1</v>
      </c>
      <c r="R7044" s="147">
        <v>2280000</v>
      </c>
      <c r="S7044" s="102">
        <f t="shared" si="3857"/>
        <v>2508000</v>
      </c>
      <c r="T7044" s="102">
        <f t="shared" si="3858"/>
        <v>2280000</v>
      </c>
      <c r="U7044" s="71"/>
      <c r="V7044" s="71"/>
      <c r="W7044" s="474"/>
      <c r="X7044" s="71"/>
      <c r="Y7044" s="71"/>
    </row>
    <row r="7045" spans="1:25" ht="30" hidden="1" customHeight="1" x14ac:dyDescent="0.25">
      <c r="A7045" s="1145">
        <v>45498</v>
      </c>
      <c r="B7045" s="664" t="s">
        <v>562</v>
      </c>
      <c r="C7045" s="71" t="s">
        <v>4157</v>
      </c>
      <c r="D7045" s="71">
        <v>7</v>
      </c>
      <c r="E7045" s="102">
        <v>650000</v>
      </c>
      <c r="F7045" s="102">
        <f t="shared" si="3848"/>
        <v>5005000</v>
      </c>
      <c r="G7045" s="102">
        <f t="shared" si="3849"/>
        <v>4550000</v>
      </c>
      <c r="H7045" s="690" t="s">
        <v>173</v>
      </c>
      <c r="I7045" s="71" t="s">
        <v>2184</v>
      </c>
      <c r="J7045" s="53">
        <f t="shared" si="3854"/>
        <v>1890000</v>
      </c>
      <c r="K7045" s="63">
        <f t="shared" si="3850"/>
        <v>0.41538461538461541</v>
      </c>
      <c r="L7045" s="1212" t="s">
        <v>4149</v>
      </c>
      <c r="M7045" s="102"/>
      <c r="N7045" s="1192">
        <f t="shared" si="3851"/>
        <v>45498</v>
      </c>
      <c r="O7045" s="71" t="s">
        <v>2179</v>
      </c>
      <c r="P7045" s="103" t="str">
        <f t="shared" si="3852"/>
        <v>UV lamp 데리바리용</v>
      </c>
      <c r="Q7045" s="71">
        <f t="shared" si="3853"/>
        <v>7</v>
      </c>
      <c r="R7045" s="102">
        <v>380000</v>
      </c>
      <c r="S7045" s="102">
        <f t="shared" si="3857"/>
        <v>2926000.0000000005</v>
      </c>
      <c r="T7045" s="102">
        <f t="shared" si="3858"/>
        <v>2660000</v>
      </c>
      <c r="U7045" s="71"/>
      <c r="V7045" s="71"/>
      <c r="W7045" s="474"/>
      <c r="X7045" s="71"/>
      <c r="Y7045" s="71"/>
    </row>
    <row r="7046" spans="1:25" ht="30" hidden="1" customHeight="1" x14ac:dyDescent="0.25">
      <c r="A7046" s="1145">
        <v>45498</v>
      </c>
      <c r="B7046" s="664" t="s">
        <v>562</v>
      </c>
      <c r="C7046" s="71" t="s">
        <v>4158</v>
      </c>
      <c r="D7046" s="71">
        <v>3</v>
      </c>
      <c r="E7046" s="102">
        <v>680000</v>
      </c>
      <c r="F7046" s="102">
        <f t="shared" si="3848"/>
        <v>2244000</v>
      </c>
      <c r="G7046" s="102">
        <f t="shared" si="3849"/>
        <v>2040000</v>
      </c>
      <c r="H7046" s="690" t="s">
        <v>173</v>
      </c>
      <c r="I7046" s="71" t="s">
        <v>2184</v>
      </c>
      <c r="J7046" s="53">
        <f t="shared" si="3854"/>
        <v>900000</v>
      </c>
      <c r="K7046" s="63">
        <f t="shared" si="3850"/>
        <v>0.44117647058823528</v>
      </c>
      <c r="L7046" s="1212" t="s">
        <v>4149</v>
      </c>
      <c r="M7046" s="468"/>
      <c r="N7046" s="1192">
        <f t="shared" si="3851"/>
        <v>45498</v>
      </c>
      <c r="O7046" s="71" t="s">
        <v>2179</v>
      </c>
      <c r="P7046" s="103" t="str">
        <f t="shared" si="3852"/>
        <v>UV lamp 인터덱 용</v>
      </c>
      <c r="Q7046" s="71">
        <f t="shared" si="3853"/>
        <v>3</v>
      </c>
      <c r="R7046" s="147">
        <v>380000</v>
      </c>
      <c r="S7046" s="102">
        <f t="shared" si="3857"/>
        <v>1254000</v>
      </c>
      <c r="T7046" s="102">
        <f t="shared" si="3858"/>
        <v>1140000</v>
      </c>
      <c r="U7046" s="71"/>
      <c r="V7046" s="71"/>
      <c r="W7046" s="474"/>
      <c r="X7046" s="71"/>
      <c r="Y7046" s="71"/>
    </row>
    <row r="7047" spans="1:25" ht="30" hidden="1" customHeight="1" x14ac:dyDescent="0.25">
      <c r="A7047" s="1145">
        <v>45498</v>
      </c>
      <c r="B7047" s="664" t="s">
        <v>3571</v>
      </c>
      <c r="C7047" s="71" t="s">
        <v>4159</v>
      </c>
      <c r="D7047" s="71">
        <v>1</v>
      </c>
      <c r="E7047" s="102">
        <v>64800000</v>
      </c>
      <c r="F7047" s="102">
        <f t="shared" si="3848"/>
        <v>71280000</v>
      </c>
      <c r="G7047" s="102">
        <f t="shared" si="3849"/>
        <v>64800000</v>
      </c>
      <c r="H7047" s="690" t="s">
        <v>1431</v>
      </c>
      <c r="I7047" s="71" t="s">
        <v>1431</v>
      </c>
      <c r="J7047" s="53"/>
      <c r="K7047" s="63"/>
      <c r="L7047" s="1212" t="s">
        <v>4149</v>
      </c>
      <c r="M7047" s="102"/>
      <c r="N7047" s="1192">
        <f t="shared" si="3851"/>
        <v>45498</v>
      </c>
      <c r="O7047" s="71" t="s">
        <v>1431</v>
      </c>
      <c r="P7047" s="103" t="str">
        <f t="shared" si="3852"/>
        <v>Rotoman 부품 및 엔지니어 인건비 계약금 30%</v>
      </c>
      <c r="Q7047" s="71">
        <f t="shared" si="3853"/>
        <v>1</v>
      </c>
      <c r="R7047" s="102"/>
      <c r="S7047" s="102"/>
      <c r="T7047" s="102"/>
      <c r="U7047" s="71"/>
      <c r="V7047" s="71"/>
      <c r="W7047" s="474"/>
      <c r="X7047" s="71"/>
      <c r="Y7047" s="71"/>
    </row>
    <row r="7048" spans="1:25" ht="30" hidden="1" customHeight="1" x14ac:dyDescent="0.25">
      <c r="A7048" s="1145">
        <v>45498</v>
      </c>
      <c r="B7048" s="664" t="s">
        <v>591</v>
      </c>
      <c r="C7048" s="71" t="s">
        <v>4160</v>
      </c>
      <c r="D7048" s="71">
        <v>1</v>
      </c>
      <c r="E7048" s="102">
        <v>12276000</v>
      </c>
      <c r="F7048" s="102">
        <f t="shared" si="3848"/>
        <v>13503600.000000002</v>
      </c>
      <c r="G7048" s="102">
        <f t="shared" si="3849"/>
        <v>12276000</v>
      </c>
      <c r="H7048" s="690" t="s">
        <v>173</v>
      </c>
      <c r="I7048" s="71" t="s">
        <v>143</v>
      </c>
      <c r="J7048" s="53">
        <f t="shared" ref="J7048:J7049" si="3859">G7048-T7048</f>
        <v>3081000</v>
      </c>
      <c r="K7048" s="63">
        <f t="shared" ref="K7048:K7049" si="3860">(J7048/(F7048/11*10))</f>
        <v>0.25097751710654931</v>
      </c>
      <c r="L7048" s="1212" t="s">
        <v>4149</v>
      </c>
      <c r="M7048" s="468"/>
      <c r="N7048" s="1192">
        <f t="shared" si="3851"/>
        <v>45498</v>
      </c>
      <c r="O7048" s="71" t="s">
        <v>612</v>
      </c>
      <c r="P7048" s="103" t="str">
        <f t="shared" si="3852"/>
        <v>윤전+매엽 롤러세트</v>
      </c>
      <c r="Q7048" s="71">
        <f t="shared" si="3853"/>
        <v>1</v>
      </c>
      <c r="R7048" s="147">
        <v>9195000</v>
      </c>
      <c r="S7048" s="102">
        <f t="shared" ref="S7048" si="3861">R7048*Q7048*1.1</f>
        <v>10114500</v>
      </c>
      <c r="T7048" s="102">
        <f t="shared" ref="T7048" si="3862">R7048*Q7048</f>
        <v>9195000</v>
      </c>
      <c r="U7048" s="71"/>
      <c r="V7048" s="71"/>
      <c r="W7048" s="474"/>
      <c r="X7048" s="71"/>
      <c r="Y7048" s="71"/>
    </row>
    <row r="7049" spans="1:25" ht="30" hidden="1" customHeight="1" x14ac:dyDescent="0.25">
      <c r="A7049" s="1145">
        <v>45498</v>
      </c>
      <c r="B7049" s="664" t="s">
        <v>2975</v>
      </c>
      <c r="C7049" s="71" t="s">
        <v>4161</v>
      </c>
      <c r="D7049" s="71">
        <v>1</v>
      </c>
      <c r="E7049" s="102">
        <v>150000</v>
      </c>
      <c r="F7049" s="102">
        <f t="shared" si="3848"/>
        <v>165000</v>
      </c>
      <c r="G7049" s="102">
        <f t="shared" si="3849"/>
        <v>150000</v>
      </c>
      <c r="H7049" s="690" t="s">
        <v>173</v>
      </c>
      <c r="I7049" s="71" t="s">
        <v>4092</v>
      </c>
      <c r="J7049" s="53">
        <f t="shared" si="3859"/>
        <v>86800</v>
      </c>
      <c r="K7049" s="63">
        <f t="shared" si="3860"/>
        <v>0.57866666666666666</v>
      </c>
      <c r="L7049" s="1212" t="s">
        <v>4149</v>
      </c>
      <c r="M7049" s="102"/>
      <c r="N7049" s="1192">
        <f t="shared" si="3851"/>
        <v>45498</v>
      </c>
      <c r="O7049" s="71"/>
      <c r="P7049" s="103" t="str">
        <f t="shared" si="3852"/>
        <v>파워서플라이</v>
      </c>
      <c r="Q7049" s="71">
        <f t="shared" si="3853"/>
        <v>1</v>
      </c>
      <c r="R7049" s="102">
        <v>63200</v>
      </c>
      <c r="S7049" s="102">
        <f t="shared" ref="S7049" si="3863">R7049*Q7049*1.1</f>
        <v>69520</v>
      </c>
      <c r="T7049" s="102">
        <f t="shared" ref="T7049" si="3864">R7049*Q7049</f>
        <v>63200</v>
      </c>
      <c r="U7049" s="71"/>
      <c r="V7049" s="71"/>
      <c r="W7049" s="474"/>
      <c r="X7049" s="71"/>
      <c r="Y7049" s="71"/>
    </row>
    <row r="7050" spans="1:25" ht="30" hidden="1" customHeight="1" x14ac:dyDescent="0.25">
      <c r="A7050" s="1145">
        <v>45470</v>
      </c>
      <c r="B7050" s="664" t="s">
        <v>2798</v>
      </c>
      <c r="C7050" s="71" t="s">
        <v>167</v>
      </c>
      <c r="D7050" s="71">
        <v>10</v>
      </c>
      <c r="E7050" s="102">
        <v>138000</v>
      </c>
      <c r="F7050" s="102">
        <f t="shared" si="3848"/>
        <v>1518000.0000000002</v>
      </c>
      <c r="G7050" s="102">
        <f t="shared" si="3849"/>
        <v>1380000</v>
      </c>
      <c r="H7050" s="690" t="s">
        <v>172</v>
      </c>
      <c r="I7050" s="71" t="s">
        <v>33</v>
      </c>
      <c r="J7050" s="53">
        <f t="shared" ref="J7050:J7053" si="3865">G7050-T7050</f>
        <v>460000</v>
      </c>
      <c r="K7050" s="63">
        <f t="shared" ref="K7050:K7053" si="3866">(J7050/(F7050/11*10))</f>
        <v>0.33333333333333326</v>
      </c>
      <c r="L7050" s="1212" t="s">
        <v>4149</v>
      </c>
      <c r="M7050" s="468" t="s">
        <v>4114</v>
      </c>
      <c r="N7050" s="1192">
        <f t="shared" ref="N7050:N7054" si="3867">A7050</f>
        <v>45470</v>
      </c>
      <c r="O7050" s="71" t="s">
        <v>146</v>
      </c>
      <c r="P7050" s="103" t="str">
        <f t="shared" ref="P7050:P7054" si="3868">(C7050)</f>
        <v>Blanket(1060*860)</v>
      </c>
      <c r="Q7050" s="71">
        <f t="shared" si="3853"/>
        <v>10</v>
      </c>
      <c r="R7050" s="102">
        <v>92000</v>
      </c>
      <c r="S7050" s="102">
        <f t="shared" ref="S7050:S7053" si="3869">R7050*Q7050*1.1</f>
        <v>1012000.0000000001</v>
      </c>
      <c r="T7050" s="102">
        <f t="shared" ref="T7050:T7053" si="3870">R7050*Q7050</f>
        <v>920000</v>
      </c>
      <c r="U7050" s="71" t="str">
        <f t="shared" ref="U7050:U7051" si="3871">IF(J7050=W7050,"O", "X")</f>
        <v>X</v>
      </c>
      <c r="V7050" s="71"/>
      <c r="W7050" s="474"/>
      <c r="X7050" s="71"/>
      <c r="Y7050" s="71"/>
    </row>
    <row r="7051" spans="1:25" ht="30" hidden="1" customHeight="1" x14ac:dyDescent="0.25">
      <c r="A7051" s="1145">
        <v>45478</v>
      </c>
      <c r="B7051" s="664" t="s">
        <v>2798</v>
      </c>
      <c r="C7051" s="71" t="s">
        <v>167</v>
      </c>
      <c r="D7051" s="71">
        <v>10</v>
      </c>
      <c r="E7051" s="102">
        <v>138000</v>
      </c>
      <c r="F7051" s="102">
        <f t="shared" si="3848"/>
        <v>1518000.0000000002</v>
      </c>
      <c r="G7051" s="102">
        <f t="shared" si="3849"/>
        <v>1380000</v>
      </c>
      <c r="H7051" s="690" t="s">
        <v>172</v>
      </c>
      <c r="I7051" s="71" t="s">
        <v>33</v>
      </c>
      <c r="J7051" s="53">
        <f t="shared" si="3865"/>
        <v>460000</v>
      </c>
      <c r="K7051" s="63">
        <f t="shared" si="3866"/>
        <v>0.33333333333333326</v>
      </c>
      <c r="L7051" s="1212" t="s">
        <v>4149</v>
      </c>
      <c r="M7051" s="468" t="s">
        <v>4114</v>
      </c>
      <c r="N7051" s="1192">
        <f t="shared" si="3867"/>
        <v>45478</v>
      </c>
      <c r="O7051" s="71" t="s">
        <v>146</v>
      </c>
      <c r="P7051" s="103" t="str">
        <f t="shared" si="3868"/>
        <v>Blanket(1060*860)</v>
      </c>
      <c r="Q7051" s="71">
        <f t="shared" si="3853"/>
        <v>10</v>
      </c>
      <c r="R7051" s="102">
        <v>92000</v>
      </c>
      <c r="S7051" s="102">
        <f t="shared" si="3869"/>
        <v>1012000.0000000001</v>
      </c>
      <c r="T7051" s="102">
        <f t="shared" si="3870"/>
        <v>920000</v>
      </c>
      <c r="U7051" s="71" t="str">
        <f t="shared" si="3871"/>
        <v>X</v>
      </c>
      <c r="V7051" s="71"/>
      <c r="W7051" s="474"/>
      <c r="X7051" s="71"/>
      <c r="Y7051" s="71"/>
    </row>
    <row r="7052" spans="1:25" ht="31.5" hidden="1" customHeight="1" x14ac:dyDescent="0.25">
      <c r="A7052" s="1145">
        <v>45490</v>
      </c>
      <c r="B7052" s="664" t="s">
        <v>2798</v>
      </c>
      <c r="C7052" s="71" t="s">
        <v>3290</v>
      </c>
      <c r="D7052" s="71">
        <v>1</v>
      </c>
      <c r="E7052" s="102">
        <v>780000</v>
      </c>
      <c r="F7052" s="102">
        <f t="shared" si="3848"/>
        <v>858000.00000000012</v>
      </c>
      <c r="G7052" s="102">
        <f t="shared" si="3849"/>
        <v>780000</v>
      </c>
      <c r="H7052" s="690" t="s">
        <v>172</v>
      </c>
      <c r="I7052" s="71" t="s">
        <v>38</v>
      </c>
      <c r="J7052" s="53">
        <f t="shared" si="3865"/>
        <v>318000</v>
      </c>
      <c r="K7052" s="63">
        <f t="shared" si="3866"/>
        <v>0.40769230769230763</v>
      </c>
      <c r="L7052" s="1212" t="s">
        <v>4149</v>
      </c>
      <c r="M7052" s="468"/>
      <c r="N7052" s="1192">
        <f t="shared" si="3867"/>
        <v>45490</v>
      </c>
      <c r="O7052" s="71" t="s">
        <v>3291</v>
      </c>
      <c r="P7052" s="103" t="str">
        <f t="shared" si="3868"/>
        <v>점보롤 세정포</v>
      </c>
      <c r="Q7052" s="71">
        <f t="shared" si="3853"/>
        <v>1</v>
      </c>
      <c r="R7052" s="102">
        <v>462000</v>
      </c>
      <c r="S7052" s="102">
        <f t="shared" si="3869"/>
        <v>508200.00000000006</v>
      </c>
      <c r="T7052" s="102">
        <f t="shared" si="3870"/>
        <v>462000</v>
      </c>
      <c r="U7052" s="71" t="str">
        <f>IF(J7052=W7052,"O", "X")</f>
        <v>O</v>
      </c>
      <c r="V7052" s="71" t="s">
        <v>3292</v>
      </c>
      <c r="W7052" s="474">
        <f>(G7052-T7052)</f>
        <v>318000</v>
      </c>
      <c r="X7052" s="71"/>
      <c r="Y7052" s="71"/>
    </row>
    <row r="7053" spans="1:25" ht="30" hidden="1" customHeight="1" x14ac:dyDescent="0.25">
      <c r="A7053" s="1145">
        <v>45491</v>
      </c>
      <c r="B7053" s="664" t="s">
        <v>2798</v>
      </c>
      <c r="C7053" s="71" t="s">
        <v>3474</v>
      </c>
      <c r="D7053" s="71">
        <v>8</v>
      </c>
      <c r="E7053" s="102">
        <v>900000</v>
      </c>
      <c r="F7053" s="102">
        <f t="shared" si="3848"/>
        <v>7920000.0000000009</v>
      </c>
      <c r="G7053" s="102">
        <f t="shared" si="3849"/>
        <v>7200000</v>
      </c>
      <c r="H7053" s="690" t="s">
        <v>172</v>
      </c>
      <c r="I7053" s="71" t="s">
        <v>33</v>
      </c>
      <c r="J7053" s="53">
        <f t="shared" si="3865"/>
        <v>3703200</v>
      </c>
      <c r="K7053" s="63">
        <f t="shared" si="3866"/>
        <v>0.51433333333333331</v>
      </c>
      <c r="L7053" s="1212" t="s">
        <v>4149</v>
      </c>
      <c r="M7053" s="468"/>
      <c r="N7053" s="1192">
        <f t="shared" si="3867"/>
        <v>45491</v>
      </c>
      <c r="O7053" s="71" t="s">
        <v>3490</v>
      </c>
      <c r="P7053" s="103" t="str">
        <f t="shared" si="3868"/>
        <v>UV Lamp - KBA 전선타입</v>
      </c>
      <c r="Q7053" s="71">
        <f t="shared" si="3853"/>
        <v>8</v>
      </c>
      <c r="R7053" s="102">
        <v>437100</v>
      </c>
      <c r="S7053" s="102">
        <f t="shared" si="3869"/>
        <v>3846480.0000000005</v>
      </c>
      <c r="T7053" s="102">
        <f t="shared" si="3870"/>
        <v>3496800</v>
      </c>
      <c r="U7053" s="71" t="str">
        <f t="shared" ref="U7053:U7054" si="3872">IF(J7053=W7053,"O", "X")</f>
        <v>X</v>
      </c>
      <c r="V7053" s="71"/>
      <c r="W7053" s="474"/>
      <c r="X7053" s="71"/>
      <c r="Y7053" s="71"/>
    </row>
    <row r="7054" spans="1:25" ht="30" hidden="1" customHeight="1" x14ac:dyDescent="0.25">
      <c r="A7054" s="1145">
        <v>45491</v>
      </c>
      <c r="B7054" s="664" t="s">
        <v>2798</v>
      </c>
      <c r="C7054" s="71" t="s">
        <v>3475</v>
      </c>
      <c r="D7054" s="71">
        <v>5</v>
      </c>
      <c r="E7054" s="102">
        <v>700000</v>
      </c>
      <c r="F7054" s="102">
        <f t="shared" si="3848"/>
        <v>3850000.0000000005</v>
      </c>
      <c r="G7054" s="102">
        <f t="shared" si="3849"/>
        <v>3500000</v>
      </c>
      <c r="H7054" s="690" t="s">
        <v>172</v>
      </c>
      <c r="I7054" s="71" t="s">
        <v>38</v>
      </c>
      <c r="J7054" s="53">
        <f>G7054-T7054</f>
        <v>1677555</v>
      </c>
      <c r="K7054" s="63">
        <f>(J7054/(F7054/11*10))</f>
        <v>0.47930142857142849</v>
      </c>
      <c r="L7054" s="1212" t="s">
        <v>4149</v>
      </c>
      <c r="M7054" s="468"/>
      <c r="N7054" s="1192">
        <f t="shared" si="3867"/>
        <v>45491</v>
      </c>
      <c r="O7054" s="71" t="s">
        <v>3490</v>
      </c>
      <c r="P7054" s="103" t="str">
        <f t="shared" si="3868"/>
        <v>UV Lamp - KBA 똑딱이타입</v>
      </c>
      <c r="Q7054" s="71">
        <f t="shared" si="3853"/>
        <v>5</v>
      </c>
      <c r="R7054" s="102">
        <v>364489</v>
      </c>
      <c r="S7054" s="102">
        <f>R7054*Q7054*1.1</f>
        <v>2004689.5000000002</v>
      </c>
      <c r="T7054" s="102">
        <f>R7054*Q7054</f>
        <v>1822445</v>
      </c>
      <c r="U7054" s="71" t="str">
        <f t="shared" si="3872"/>
        <v>O</v>
      </c>
      <c r="V7054" s="71" t="s">
        <v>3292</v>
      </c>
      <c r="W7054" s="474">
        <f>(G7054-T7054)</f>
        <v>1677555</v>
      </c>
      <c r="X7054" s="71"/>
      <c r="Y7054" s="71"/>
    </row>
    <row r="7055" spans="1:25" ht="30" hidden="1" customHeight="1" x14ac:dyDescent="0.25">
      <c r="A7055" s="1145">
        <v>45497</v>
      </c>
      <c r="B7055" s="664" t="s">
        <v>2798</v>
      </c>
      <c r="C7055" s="71" t="s">
        <v>167</v>
      </c>
      <c r="D7055" s="71">
        <v>10</v>
      </c>
      <c r="E7055" s="102">
        <v>138000</v>
      </c>
      <c r="F7055" s="102">
        <f t="shared" ref="F7055" si="3873">(E7055*D7055)*1.1</f>
        <v>1518000.0000000002</v>
      </c>
      <c r="G7055" s="102">
        <f t="shared" ref="G7055" si="3874">(E7055*D7055)</f>
        <v>1380000</v>
      </c>
      <c r="H7055" s="690" t="s">
        <v>172</v>
      </c>
      <c r="I7055" s="71" t="s">
        <v>33</v>
      </c>
      <c r="J7055" s="53">
        <f t="shared" ref="J7055" si="3875">G7055-T7055</f>
        <v>460000</v>
      </c>
      <c r="K7055" s="63">
        <f t="shared" ref="K7055" si="3876">(J7055/(F7055/11*10))</f>
        <v>0.33333333333333326</v>
      </c>
      <c r="L7055" s="1212" t="s">
        <v>4149</v>
      </c>
      <c r="M7055" s="468" t="s">
        <v>4114</v>
      </c>
      <c r="N7055" s="1192">
        <f t="shared" ref="N7055:N7069" si="3877">A7055</f>
        <v>45497</v>
      </c>
      <c r="O7055" s="71" t="s">
        <v>146</v>
      </c>
      <c r="P7055" s="103" t="str">
        <f t="shared" ref="P7055" si="3878">(C7055)</f>
        <v>Blanket(1060*860)</v>
      </c>
      <c r="Q7055" s="71">
        <f t="shared" ref="Q7055" si="3879">D7055</f>
        <v>10</v>
      </c>
      <c r="R7055" s="102">
        <v>92000</v>
      </c>
      <c r="S7055" s="102">
        <f t="shared" ref="S7055" si="3880">R7055*Q7055*1.1</f>
        <v>1012000.0000000001</v>
      </c>
      <c r="T7055" s="102">
        <f t="shared" ref="T7055" si="3881">R7055*Q7055</f>
        <v>920000</v>
      </c>
      <c r="U7055" s="71" t="str">
        <f t="shared" ref="U7055" si="3882">IF(J7055=W7055,"O", "X")</f>
        <v>X</v>
      </c>
      <c r="V7055" s="71"/>
      <c r="W7055" s="474"/>
      <c r="X7055" s="71"/>
      <c r="Y7055" s="71"/>
    </row>
    <row r="7056" spans="1:25" ht="30" hidden="1" customHeight="1" x14ac:dyDescent="0.25">
      <c r="A7056" s="1210" t="s">
        <v>4170</v>
      </c>
      <c r="B7056" s="1211" t="s">
        <v>544</v>
      </c>
      <c r="C7056" s="960"/>
      <c r="D7056" s="960"/>
      <c r="E7056" s="952"/>
      <c r="F7056" s="952"/>
      <c r="G7056" s="952"/>
      <c r="H7056" s="1206"/>
      <c r="I7056" s="960"/>
      <c r="J7056" s="952"/>
      <c r="K7056" s="953"/>
      <c r="L7056" s="1212" t="s">
        <v>4182</v>
      </c>
      <c r="M7056" s="1207"/>
      <c r="N7056" s="1208" t="str">
        <f t="shared" si="3877"/>
        <v>2024,8</v>
      </c>
      <c r="O7056" s="960"/>
      <c r="P7056" s="1209"/>
      <c r="Q7056" s="960"/>
      <c r="R7056" s="952"/>
      <c r="S7056" s="952"/>
      <c r="T7056" s="952"/>
      <c r="U7056" s="960"/>
      <c r="V7056" s="960"/>
      <c r="W7056" s="474">
        <f>(G7056-T7056)</f>
        <v>0</v>
      </c>
      <c r="X7056" s="71"/>
      <c r="Y7056" s="71"/>
    </row>
    <row r="7057" spans="1:25" ht="30" customHeight="1" x14ac:dyDescent="0.25">
      <c r="A7057" s="1145">
        <v>45523</v>
      </c>
      <c r="B7057" s="664" t="s">
        <v>2352</v>
      </c>
      <c r="C7057" s="71" t="s">
        <v>3837</v>
      </c>
      <c r="D7057" s="71">
        <v>32</v>
      </c>
      <c r="E7057" s="102">
        <v>13500</v>
      </c>
      <c r="F7057" s="102">
        <f t="shared" ref="F7057:F7063" si="3883">(E7057*D7057)*1.1</f>
        <v>475200.00000000006</v>
      </c>
      <c r="G7057" s="102">
        <f t="shared" ref="G7057:G7063" si="3884">(E7057*D7057)</f>
        <v>432000</v>
      </c>
      <c r="H7057" s="690" t="s">
        <v>179</v>
      </c>
      <c r="I7057" s="71" t="s">
        <v>179</v>
      </c>
      <c r="J7057" s="53">
        <f t="shared" ref="J7057:J7063" si="3885">G7057-T7057</f>
        <v>164320</v>
      </c>
      <c r="K7057" s="63">
        <f t="shared" ref="K7057:K7063" si="3886">(J7057/(F7057/11*10))</f>
        <v>0.3803703703703703</v>
      </c>
      <c r="L7057" s="1212" t="s">
        <v>4183</v>
      </c>
      <c r="M7057" s="468"/>
      <c r="N7057" s="1192">
        <f t="shared" si="3877"/>
        <v>45523</v>
      </c>
      <c r="O7057" s="71"/>
      <c r="P7057" s="103" t="str">
        <f t="shared" ref="P7057:P7070" si="3887">(C7057)</f>
        <v>고모리 윤전 블랑켓 건식 세정포 - 4x6용</v>
      </c>
      <c r="Q7057" s="71">
        <f t="shared" ref="Q7057:Q7092" si="3888">D7057</f>
        <v>32</v>
      </c>
      <c r="R7057" s="102">
        <v>8365</v>
      </c>
      <c r="S7057" s="102">
        <f t="shared" ref="S7057:S7063" si="3889">R7057*Q7057*1.1</f>
        <v>294448</v>
      </c>
      <c r="T7057" s="102">
        <f t="shared" ref="T7057:T7063" si="3890">R7057*Q7057</f>
        <v>267680</v>
      </c>
      <c r="U7057" s="71"/>
      <c r="V7057" s="71"/>
      <c r="W7057" s="474"/>
      <c r="X7057" s="71"/>
      <c r="Y7057" s="71"/>
    </row>
    <row r="7058" spans="1:25" ht="30" customHeight="1" x14ac:dyDescent="0.25">
      <c r="A7058" s="1145">
        <v>45523</v>
      </c>
      <c r="B7058" s="664" t="s">
        <v>2352</v>
      </c>
      <c r="C7058" s="71" t="s">
        <v>3836</v>
      </c>
      <c r="D7058" s="71">
        <v>48</v>
      </c>
      <c r="E7058" s="102">
        <v>18500</v>
      </c>
      <c r="F7058" s="102">
        <f t="shared" si="3883"/>
        <v>976800.00000000012</v>
      </c>
      <c r="G7058" s="102">
        <f t="shared" si="3884"/>
        <v>888000</v>
      </c>
      <c r="H7058" s="690" t="s">
        <v>179</v>
      </c>
      <c r="I7058" s="71" t="s">
        <v>179</v>
      </c>
      <c r="J7058" s="53">
        <f t="shared" si="3885"/>
        <v>355968</v>
      </c>
      <c r="K7058" s="63">
        <f t="shared" si="3886"/>
        <v>0.40086486486486483</v>
      </c>
      <c r="L7058" s="1212" t="s">
        <v>4181</v>
      </c>
      <c r="M7058" s="468"/>
      <c r="N7058" s="1192">
        <f t="shared" si="3877"/>
        <v>45523</v>
      </c>
      <c r="O7058" s="71"/>
      <c r="P7058" s="103" t="str">
        <f t="shared" si="3887"/>
        <v>고모리 윤전 블랑켓 건식 세정포 - 국전용</v>
      </c>
      <c r="Q7058" s="71">
        <f t="shared" si="3888"/>
        <v>48</v>
      </c>
      <c r="R7058" s="102">
        <v>11084</v>
      </c>
      <c r="S7058" s="102">
        <f t="shared" si="3889"/>
        <v>585235.20000000007</v>
      </c>
      <c r="T7058" s="102">
        <f t="shared" si="3890"/>
        <v>532032</v>
      </c>
      <c r="U7058" s="71"/>
      <c r="V7058" s="71"/>
      <c r="W7058" s="474"/>
      <c r="X7058" s="71"/>
      <c r="Y7058" s="71"/>
    </row>
    <row r="7059" spans="1:25" ht="30" customHeight="1" x14ac:dyDescent="0.25">
      <c r="A7059" s="1145">
        <v>45527</v>
      </c>
      <c r="B7059" s="664" t="s">
        <v>2352</v>
      </c>
      <c r="C7059" s="71" t="s">
        <v>3838</v>
      </c>
      <c r="D7059" s="71">
        <v>30</v>
      </c>
      <c r="E7059" s="102">
        <v>20000</v>
      </c>
      <c r="F7059" s="102">
        <f t="shared" si="3883"/>
        <v>660000</v>
      </c>
      <c r="G7059" s="102">
        <f t="shared" si="3884"/>
        <v>600000</v>
      </c>
      <c r="H7059" s="690" t="s">
        <v>179</v>
      </c>
      <c r="I7059" s="71" t="s">
        <v>179</v>
      </c>
      <c r="J7059" s="53">
        <f t="shared" si="3885"/>
        <v>555000</v>
      </c>
      <c r="K7059" s="63">
        <f t="shared" si="3886"/>
        <v>0.92500000000000004</v>
      </c>
      <c r="L7059" s="1212" t="s">
        <v>4181</v>
      </c>
      <c r="M7059" s="468"/>
      <c r="N7059" s="1192">
        <f t="shared" si="3877"/>
        <v>45527</v>
      </c>
      <c r="O7059" s="71" t="s">
        <v>3839</v>
      </c>
      <c r="P7059" s="103" t="str">
        <f t="shared" si="3887"/>
        <v>센서 테이프 - 흑색</v>
      </c>
      <c r="Q7059" s="71">
        <f t="shared" si="3888"/>
        <v>30</v>
      </c>
      <c r="R7059" s="102">
        <v>1500</v>
      </c>
      <c r="S7059" s="102">
        <f t="shared" si="3889"/>
        <v>49500.000000000007</v>
      </c>
      <c r="T7059" s="102">
        <f t="shared" si="3890"/>
        <v>45000</v>
      </c>
      <c r="U7059" s="71"/>
      <c r="V7059" s="71"/>
      <c r="W7059" s="474"/>
      <c r="X7059" s="71"/>
      <c r="Y7059" s="71"/>
    </row>
    <row r="7060" spans="1:25" ht="30" hidden="1" customHeight="1" x14ac:dyDescent="0.25">
      <c r="A7060" s="1145">
        <v>45526</v>
      </c>
      <c r="B7060" s="664" t="s">
        <v>2353</v>
      </c>
      <c r="C7060" s="71" t="s">
        <v>129</v>
      </c>
      <c r="D7060" s="71">
        <v>7</v>
      </c>
      <c r="E7060" s="102">
        <v>325000</v>
      </c>
      <c r="F7060" s="102">
        <f t="shared" si="3883"/>
        <v>2502500</v>
      </c>
      <c r="G7060" s="102">
        <f t="shared" si="3884"/>
        <v>2275000</v>
      </c>
      <c r="H7060" s="690" t="s">
        <v>142</v>
      </c>
      <c r="I7060" s="71" t="s">
        <v>179</v>
      </c>
      <c r="J7060" s="53">
        <f t="shared" si="3885"/>
        <v>636440</v>
      </c>
      <c r="K7060" s="63">
        <f t="shared" si="3886"/>
        <v>0.27975384615384613</v>
      </c>
      <c r="L7060" s="1212" t="s">
        <v>4181</v>
      </c>
      <c r="M7060" s="468" t="s">
        <v>2050</v>
      </c>
      <c r="N7060" s="1192">
        <f t="shared" si="3877"/>
        <v>45526</v>
      </c>
      <c r="O7060" s="71" t="s">
        <v>149</v>
      </c>
      <c r="P7060" s="103" t="str">
        <f t="shared" si="3887"/>
        <v>세정포-XL106</v>
      </c>
      <c r="Q7060" s="71">
        <f t="shared" si="3888"/>
        <v>7</v>
      </c>
      <c r="R7060" s="102">
        <v>234080</v>
      </c>
      <c r="S7060" s="102">
        <f t="shared" si="3889"/>
        <v>1802416.0000000002</v>
      </c>
      <c r="T7060" s="102">
        <f t="shared" si="3890"/>
        <v>1638560</v>
      </c>
      <c r="U7060" s="71" t="str">
        <f>IF(J7060=W7060,"O", "X")</f>
        <v>O</v>
      </c>
      <c r="V7060" s="71"/>
      <c r="W7060" s="474">
        <f>(G7060-T7060)</f>
        <v>636440</v>
      </c>
      <c r="X7060" s="71"/>
      <c r="Y7060" s="71"/>
    </row>
    <row r="7061" spans="1:25" s="209" customFormat="1" ht="30" hidden="1" customHeight="1" x14ac:dyDescent="0.25">
      <c r="A7061" s="1145">
        <v>45526</v>
      </c>
      <c r="B7061" s="664" t="s">
        <v>2353</v>
      </c>
      <c r="C7061" s="71" t="s">
        <v>130</v>
      </c>
      <c r="D7061" s="71">
        <v>20</v>
      </c>
      <c r="E7061" s="102">
        <v>148000</v>
      </c>
      <c r="F7061" s="102">
        <f t="shared" si="3883"/>
        <v>3256000.0000000005</v>
      </c>
      <c r="G7061" s="102">
        <f t="shared" si="3884"/>
        <v>2960000</v>
      </c>
      <c r="H7061" s="690" t="s">
        <v>142</v>
      </c>
      <c r="I7061" s="71" t="s">
        <v>179</v>
      </c>
      <c r="J7061" s="53">
        <f t="shared" si="3885"/>
        <v>720000</v>
      </c>
      <c r="K7061" s="63">
        <f t="shared" si="3886"/>
        <v>0.2432432432432432</v>
      </c>
      <c r="L7061" s="1212" t="s">
        <v>4181</v>
      </c>
      <c r="M7061" s="468" t="s">
        <v>2050</v>
      </c>
      <c r="N7061" s="1192">
        <f t="shared" si="3877"/>
        <v>45526</v>
      </c>
      <c r="O7061" s="71" t="s">
        <v>3383</v>
      </c>
      <c r="P7061" s="103" t="str">
        <f t="shared" si="3887"/>
        <v>XL106 Blanket(1077*885)</v>
      </c>
      <c r="Q7061" s="71">
        <f t="shared" si="3888"/>
        <v>20</v>
      </c>
      <c r="R7061" s="102">
        <v>112000</v>
      </c>
      <c r="S7061" s="102">
        <f t="shared" si="3889"/>
        <v>2464000</v>
      </c>
      <c r="T7061" s="102">
        <f t="shared" si="3890"/>
        <v>2240000</v>
      </c>
      <c r="U7061" s="71" t="s">
        <v>859</v>
      </c>
      <c r="V7061" s="71"/>
      <c r="W7061" s="474">
        <v>260000</v>
      </c>
      <c r="X7061" s="71"/>
      <c r="Y7061" s="71"/>
    </row>
    <row r="7062" spans="1:25" ht="30" hidden="1" customHeight="1" x14ac:dyDescent="0.25">
      <c r="A7062" s="1145">
        <v>45517</v>
      </c>
      <c r="B7062" s="664" t="s">
        <v>2353</v>
      </c>
      <c r="C7062" s="71" t="s">
        <v>3960</v>
      </c>
      <c r="D7062" s="71">
        <v>8</v>
      </c>
      <c r="E7062" s="102">
        <v>20000</v>
      </c>
      <c r="F7062" s="102">
        <f t="shared" si="3883"/>
        <v>176000</v>
      </c>
      <c r="G7062" s="102">
        <f t="shared" si="3884"/>
        <v>160000</v>
      </c>
      <c r="H7062" s="690" t="s">
        <v>142</v>
      </c>
      <c r="I7062" s="71" t="s">
        <v>179</v>
      </c>
      <c r="J7062" s="53">
        <f t="shared" si="3885"/>
        <v>0</v>
      </c>
      <c r="K7062" s="63">
        <f t="shared" si="3886"/>
        <v>0</v>
      </c>
      <c r="L7062" s="1212" t="s">
        <v>4181</v>
      </c>
      <c r="M7062" s="468"/>
      <c r="N7062" s="1192">
        <f t="shared" si="3877"/>
        <v>45517</v>
      </c>
      <c r="O7062" s="71" t="s">
        <v>150</v>
      </c>
      <c r="P7062" s="103" t="str">
        <f t="shared" si="3887"/>
        <v>슬라이딩 블록</v>
      </c>
      <c r="Q7062" s="71">
        <f t="shared" si="3888"/>
        <v>8</v>
      </c>
      <c r="R7062" s="102">
        <v>20000</v>
      </c>
      <c r="S7062" s="102">
        <f t="shared" si="3889"/>
        <v>176000</v>
      </c>
      <c r="T7062" s="102">
        <f t="shared" si="3890"/>
        <v>160000</v>
      </c>
      <c r="U7062" s="71"/>
      <c r="V7062" s="71"/>
      <c r="W7062" s="474"/>
      <c r="X7062" s="71"/>
      <c r="Y7062" s="71"/>
    </row>
    <row r="7063" spans="1:25" s="209" customFormat="1" ht="30" hidden="1" customHeight="1" x14ac:dyDescent="0.25">
      <c r="A7063" s="1145">
        <v>45517</v>
      </c>
      <c r="B7063" s="664" t="s">
        <v>2353</v>
      </c>
      <c r="C7063" s="71" t="s">
        <v>3961</v>
      </c>
      <c r="D7063" s="71">
        <v>4</v>
      </c>
      <c r="E7063" s="102">
        <v>280000</v>
      </c>
      <c r="F7063" s="102">
        <f t="shared" si="3883"/>
        <v>1232000</v>
      </c>
      <c r="G7063" s="102">
        <f t="shared" si="3884"/>
        <v>1120000</v>
      </c>
      <c r="H7063" s="690" t="s">
        <v>142</v>
      </c>
      <c r="I7063" s="71" t="s">
        <v>179</v>
      </c>
      <c r="J7063" s="53">
        <f t="shared" si="3885"/>
        <v>0</v>
      </c>
      <c r="K7063" s="63">
        <f t="shared" si="3886"/>
        <v>0</v>
      </c>
      <c r="L7063" s="1212" t="s">
        <v>4181</v>
      </c>
      <c r="M7063" s="468"/>
      <c r="N7063" s="1192">
        <f t="shared" si="3877"/>
        <v>45517</v>
      </c>
      <c r="O7063" s="71" t="s">
        <v>150</v>
      </c>
      <c r="P7063" s="164" t="str">
        <f t="shared" si="3887"/>
        <v>베어링 쉘</v>
      </c>
      <c r="Q7063" s="71">
        <f t="shared" si="3888"/>
        <v>4</v>
      </c>
      <c r="R7063" s="102">
        <v>280000</v>
      </c>
      <c r="S7063" s="102">
        <f t="shared" si="3889"/>
        <v>1232000</v>
      </c>
      <c r="T7063" s="102">
        <f t="shared" si="3890"/>
        <v>1120000</v>
      </c>
      <c r="U7063" s="71"/>
      <c r="V7063" s="71"/>
      <c r="W7063" s="474"/>
      <c r="X7063" s="71"/>
      <c r="Y7063" s="71"/>
    </row>
    <row r="7064" spans="1:25" ht="30" hidden="1" customHeight="1" x14ac:dyDescent="0.25">
      <c r="A7064" s="1145">
        <v>45517</v>
      </c>
      <c r="B7064" s="664" t="s">
        <v>2353</v>
      </c>
      <c r="C7064" s="71" t="s">
        <v>4171</v>
      </c>
      <c r="D7064" s="71">
        <v>2</v>
      </c>
      <c r="E7064" s="102">
        <v>360000</v>
      </c>
      <c r="F7064" s="102">
        <f t="shared" ref="F7064:F7081" si="3891">(E7064*D7064)*1.1</f>
        <v>792000.00000000012</v>
      </c>
      <c r="G7064" s="102">
        <f t="shared" ref="G7064:G7081" si="3892">(E7064*D7064)</f>
        <v>720000</v>
      </c>
      <c r="H7064" s="690"/>
      <c r="I7064" s="71"/>
      <c r="J7064" s="53">
        <f t="shared" ref="J7064:J7069" si="3893">G7064-T7064</f>
        <v>36000</v>
      </c>
      <c r="K7064" s="63">
        <f t="shared" ref="K7064:K7069" si="3894">(J7064/(F7064/11*10))</f>
        <v>4.9999999999999989E-2</v>
      </c>
      <c r="L7064" s="1212" t="s">
        <v>4181</v>
      </c>
      <c r="M7064" s="468"/>
      <c r="N7064" s="1192">
        <f t="shared" si="3877"/>
        <v>45517</v>
      </c>
      <c r="O7064" s="71" t="s">
        <v>150</v>
      </c>
      <c r="P7064" s="103" t="str">
        <f t="shared" si="3887"/>
        <v>잉크 롤러 실린더</v>
      </c>
      <c r="Q7064" s="71">
        <f t="shared" si="3888"/>
        <v>2</v>
      </c>
      <c r="R7064" s="147">
        <f t="shared" ref="R7064:R7069" si="3895">E7064*0.95</f>
        <v>342000</v>
      </c>
      <c r="S7064" s="102">
        <f t="shared" ref="S7064:S7069" si="3896">R7064*Q7064*1.1</f>
        <v>752400.00000000012</v>
      </c>
      <c r="T7064" s="102">
        <f t="shared" ref="T7064:T7069" si="3897">R7064*Q7064</f>
        <v>684000</v>
      </c>
      <c r="U7064" s="71"/>
      <c r="V7064" s="71"/>
      <c r="W7064" s="474"/>
      <c r="X7064" s="71"/>
      <c r="Y7064" s="71"/>
    </row>
    <row r="7065" spans="1:25" ht="30" hidden="1" customHeight="1" x14ac:dyDescent="0.25">
      <c r="A7065" s="1145">
        <v>45526</v>
      </c>
      <c r="B7065" s="664" t="s">
        <v>2353</v>
      </c>
      <c r="C7065" s="71" t="s">
        <v>4172</v>
      </c>
      <c r="D7065" s="71">
        <v>2</v>
      </c>
      <c r="E7065" s="102">
        <v>520000</v>
      </c>
      <c r="F7065" s="102">
        <f t="shared" si="3891"/>
        <v>1144000</v>
      </c>
      <c r="G7065" s="102">
        <f t="shared" si="3892"/>
        <v>1040000</v>
      </c>
      <c r="H7065" s="690"/>
      <c r="I7065" s="71"/>
      <c r="J7065" s="53">
        <f t="shared" si="3893"/>
        <v>52000</v>
      </c>
      <c r="K7065" s="63">
        <f t="shared" si="3894"/>
        <v>0.05</v>
      </c>
      <c r="L7065" s="1212" t="s">
        <v>4181</v>
      </c>
      <c r="M7065" s="102"/>
      <c r="N7065" s="1192">
        <f t="shared" si="3877"/>
        <v>45526</v>
      </c>
      <c r="O7065" s="71" t="s">
        <v>150</v>
      </c>
      <c r="P7065" s="103" t="str">
        <f t="shared" si="3887"/>
        <v>판넬 필터 SET</v>
      </c>
      <c r="Q7065" s="71">
        <f t="shared" si="3888"/>
        <v>2</v>
      </c>
      <c r="R7065" s="147">
        <f t="shared" si="3895"/>
        <v>494000</v>
      </c>
      <c r="S7065" s="102">
        <f t="shared" si="3896"/>
        <v>1086800</v>
      </c>
      <c r="T7065" s="102">
        <f t="shared" si="3897"/>
        <v>988000</v>
      </c>
      <c r="U7065" s="71"/>
      <c r="V7065" s="71"/>
      <c r="W7065" s="474"/>
      <c r="X7065" s="71"/>
      <c r="Y7065" s="71"/>
    </row>
    <row r="7066" spans="1:25" ht="30" hidden="1" customHeight="1" x14ac:dyDescent="0.25">
      <c r="A7066" s="1145">
        <v>45531</v>
      </c>
      <c r="B7066" s="664" t="s">
        <v>2353</v>
      </c>
      <c r="C7066" s="71" t="s">
        <v>4173</v>
      </c>
      <c r="D7066" s="71">
        <v>10</v>
      </c>
      <c r="E7066" s="102">
        <v>35000</v>
      </c>
      <c r="F7066" s="102">
        <f t="shared" si="3891"/>
        <v>385000.00000000006</v>
      </c>
      <c r="G7066" s="102">
        <f t="shared" si="3892"/>
        <v>350000</v>
      </c>
      <c r="H7066" s="690"/>
      <c r="I7066" s="71"/>
      <c r="J7066" s="53">
        <f t="shared" si="3893"/>
        <v>17500</v>
      </c>
      <c r="K7066" s="63">
        <f t="shared" si="3894"/>
        <v>4.9999999999999989E-2</v>
      </c>
      <c r="L7066" s="1212" t="s">
        <v>4181</v>
      </c>
      <c r="M7066" s="468"/>
      <c r="N7066" s="1192">
        <f t="shared" si="3877"/>
        <v>45531</v>
      </c>
      <c r="O7066" s="71" t="s">
        <v>150</v>
      </c>
      <c r="P7066" s="103" t="str">
        <f t="shared" si="3887"/>
        <v>크롬 롤러 베어링</v>
      </c>
      <c r="Q7066" s="71">
        <f t="shared" si="3888"/>
        <v>10</v>
      </c>
      <c r="R7066" s="147">
        <f t="shared" si="3895"/>
        <v>33250</v>
      </c>
      <c r="S7066" s="102">
        <f t="shared" si="3896"/>
        <v>365750.00000000006</v>
      </c>
      <c r="T7066" s="102">
        <f t="shared" si="3897"/>
        <v>332500</v>
      </c>
      <c r="U7066" s="71"/>
      <c r="V7066" s="71"/>
      <c r="W7066" s="474"/>
      <c r="X7066" s="71"/>
      <c r="Y7066" s="71"/>
    </row>
    <row r="7067" spans="1:25" ht="30" hidden="1" customHeight="1" x14ac:dyDescent="0.25">
      <c r="A7067" s="1145">
        <v>45531</v>
      </c>
      <c r="B7067" s="664" t="s">
        <v>2353</v>
      </c>
      <c r="C7067" s="71" t="s">
        <v>4174</v>
      </c>
      <c r="D7067" s="71">
        <v>10</v>
      </c>
      <c r="E7067" s="102">
        <v>3000</v>
      </c>
      <c r="F7067" s="102">
        <f t="shared" si="3891"/>
        <v>33000</v>
      </c>
      <c r="G7067" s="102">
        <f t="shared" si="3892"/>
        <v>30000</v>
      </c>
      <c r="H7067" s="690"/>
      <c r="I7067" s="71"/>
      <c r="J7067" s="53">
        <f t="shared" si="3893"/>
        <v>1500</v>
      </c>
      <c r="K7067" s="63">
        <f t="shared" si="3894"/>
        <v>0.05</v>
      </c>
      <c r="L7067" s="1212" t="s">
        <v>4181</v>
      </c>
      <c r="M7067" s="102"/>
      <c r="N7067" s="1192">
        <f t="shared" si="3877"/>
        <v>45531</v>
      </c>
      <c r="O7067" s="71" t="s">
        <v>150</v>
      </c>
      <c r="P7067" s="103" t="str">
        <f t="shared" si="3887"/>
        <v>전진 싸카 스프링</v>
      </c>
      <c r="Q7067" s="71">
        <f t="shared" si="3888"/>
        <v>10</v>
      </c>
      <c r="R7067" s="147">
        <f t="shared" si="3895"/>
        <v>2850</v>
      </c>
      <c r="S7067" s="102">
        <f t="shared" si="3896"/>
        <v>31350.000000000004</v>
      </c>
      <c r="T7067" s="102">
        <f t="shared" si="3897"/>
        <v>28500</v>
      </c>
      <c r="U7067" s="71"/>
      <c r="V7067" s="71"/>
      <c r="W7067" s="474"/>
      <c r="X7067" s="71"/>
      <c r="Y7067" s="71"/>
    </row>
    <row r="7068" spans="1:25" ht="30" hidden="1" customHeight="1" x14ac:dyDescent="0.25">
      <c r="A7068" s="1145">
        <v>45531</v>
      </c>
      <c r="B7068" s="664" t="s">
        <v>2353</v>
      </c>
      <c r="C7068" s="71" t="s">
        <v>4175</v>
      </c>
      <c r="D7068" s="71">
        <v>5</v>
      </c>
      <c r="E7068" s="102">
        <v>25000</v>
      </c>
      <c r="F7068" s="102">
        <f t="shared" si="3891"/>
        <v>137500</v>
      </c>
      <c r="G7068" s="102">
        <f t="shared" si="3892"/>
        <v>125000</v>
      </c>
      <c r="H7068" s="690"/>
      <c r="I7068" s="71"/>
      <c r="J7068" s="53">
        <f t="shared" si="3893"/>
        <v>6250</v>
      </c>
      <c r="K7068" s="63">
        <f t="shared" si="3894"/>
        <v>0.05</v>
      </c>
      <c r="L7068" s="1212" t="s">
        <v>4181</v>
      </c>
      <c r="M7068" s="468"/>
      <c r="N7068" s="1192">
        <f t="shared" si="3877"/>
        <v>45531</v>
      </c>
      <c r="O7068" s="71" t="s">
        <v>150</v>
      </c>
      <c r="P7068" s="103" t="str">
        <f t="shared" si="3887"/>
        <v>휘더 구동 벨트(중)</v>
      </c>
      <c r="Q7068" s="71">
        <f t="shared" si="3888"/>
        <v>5</v>
      </c>
      <c r="R7068" s="147">
        <f t="shared" si="3895"/>
        <v>23750</v>
      </c>
      <c r="S7068" s="102">
        <f t="shared" si="3896"/>
        <v>130625.00000000001</v>
      </c>
      <c r="T7068" s="102">
        <f t="shared" si="3897"/>
        <v>118750</v>
      </c>
      <c r="U7068" s="71"/>
      <c r="V7068" s="71"/>
      <c r="W7068" s="474"/>
      <c r="X7068" s="71"/>
      <c r="Y7068" s="71"/>
    </row>
    <row r="7069" spans="1:25" ht="30" hidden="1" customHeight="1" x14ac:dyDescent="0.25">
      <c r="A7069" s="1145">
        <v>45531</v>
      </c>
      <c r="B7069" s="664" t="s">
        <v>2353</v>
      </c>
      <c r="C7069" s="71" t="s">
        <v>4176</v>
      </c>
      <c r="D7069" s="71">
        <v>5</v>
      </c>
      <c r="E7069" s="102">
        <v>65000</v>
      </c>
      <c r="F7069" s="102">
        <f t="shared" si="3891"/>
        <v>357500</v>
      </c>
      <c r="G7069" s="102">
        <f t="shared" si="3892"/>
        <v>325000</v>
      </c>
      <c r="H7069" s="690"/>
      <c r="I7069" s="71"/>
      <c r="J7069" s="53">
        <f t="shared" si="3893"/>
        <v>16250</v>
      </c>
      <c r="K7069" s="63">
        <f t="shared" si="3894"/>
        <v>0.05</v>
      </c>
      <c r="L7069" s="1212" t="s">
        <v>4181</v>
      </c>
      <c r="M7069" s="102"/>
      <c r="N7069" s="1192">
        <f t="shared" si="3877"/>
        <v>45531</v>
      </c>
      <c r="O7069" s="71" t="s">
        <v>150</v>
      </c>
      <c r="P7069" s="103" t="str">
        <f t="shared" si="3887"/>
        <v>휘더 구동 벨트(소)</v>
      </c>
      <c r="Q7069" s="71">
        <f t="shared" si="3888"/>
        <v>5</v>
      </c>
      <c r="R7069" s="147">
        <f t="shared" si="3895"/>
        <v>61750</v>
      </c>
      <c r="S7069" s="102">
        <f t="shared" si="3896"/>
        <v>339625</v>
      </c>
      <c r="T7069" s="102">
        <f t="shared" si="3897"/>
        <v>308750</v>
      </c>
      <c r="U7069" s="71"/>
      <c r="V7069" s="71"/>
      <c r="W7069" s="474"/>
      <c r="X7069" s="71"/>
      <c r="Y7069" s="71"/>
    </row>
    <row r="7070" spans="1:25" ht="30" customHeight="1" x14ac:dyDescent="0.25">
      <c r="A7070" s="1145">
        <v>45529</v>
      </c>
      <c r="B7070" s="664" t="s">
        <v>641</v>
      </c>
      <c r="C7070" s="71" t="s">
        <v>3293</v>
      </c>
      <c r="D7070" s="71">
        <v>60</v>
      </c>
      <c r="E7070" s="102">
        <v>84000</v>
      </c>
      <c r="F7070" s="102">
        <f t="shared" si="3891"/>
        <v>5544000</v>
      </c>
      <c r="G7070" s="102">
        <f t="shared" si="3892"/>
        <v>5040000</v>
      </c>
      <c r="H7070" s="690" t="s">
        <v>172</v>
      </c>
      <c r="I7070" s="71" t="s">
        <v>38</v>
      </c>
      <c r="J7070" s="53">
        <f t="shared" ref="J7070:J7087" si="3898">G7070-T7070</f>
        <v>1980000</v>
      </c>
      <c r="K7070" s="63">
        <f t="shared" ref="K7070:K7087" si="3899">(J7070/(F7070/11*10))</f>
        <v>0.39285714285714285</v>
      </c>
      <c r="L7070" s="1212" t="s">
        <v>4181</v>
      </c>
      <c r="M7070" s="468"/>
      <c r="N7070" s="1192">
        <f t="shared" ref="N7070:N7089" si="3900">A7070</f>
        <v>45529</v>
      </c>
      <c r="O7070" s="71" t="s">
        <v>3291</v>
      </c>
      <c r="P7070" s="103" t="str">
        <f t="shared" si="3887"/>
        <v>GOSS 신문윤전 습식세정포</v>
      </c>
      <c r="Q7070" s="71">
        <f t="shared" si="3888"/>
        <v>60</v>
      </c>
      <c r="R7070" s="102">
        <v>51000</v>
      </c>
      <c r="S7070" s="102">
        <f t="shared" ref="S7070:S7092" si="3901">R7070*Q7070*1.1</f>
        <v>3366000.0000000005</v>
      </c>
      <c r="T7070" s="102">
        <f t="shared" ref="T7070:T7092" si="3902">R7070*Q7070</f>
        <v>3060000</v>
      </c>
      <c r="U7070" s="71" t="str">
        <f>IF(J7070=W7070,"O", "X")</f>
        <v>X</v>
      </c>
      <c r="V7070" s="71"/>
      <c r="W7070" s="474"/>
      <c r="X7070" s="71"/>
      <c r="Y7070" s="71"/>
    </row>
    <row r="7071" spans="1:25" ht="30" hidden="1" customHeight="1" x14ac:dyDescent="0.25">
      <c r="A7071" s="1145">
        <v>45529</v>
      </c>
      <c r="B7071" s="664" t="s">
        <v>1060</v>
      </c>
      <c r="C7071" s="71" t="s">
        <v>3908</v>
      </c>
      <c r="D7071" s="71">
        <v>700</v>
      </c>
      <c r="E7071" s="102">
        <v>5860</v>
      </c>
      <c r="F7071" s="102">
        <f t="shared" si="3891"/>
        <v>4512200</v>
      </c>
      <c r="G7071" s="102">
        <f t="shared" si="3892"/>
        <v>4102000</v>
      </c>
      <c r="H7071" s="690" t="s">
        <v>142</v>
      </c>
      <c r="I7071" s="71" t="s">
        <v>179</v>
      </c>
      <c r="J7071" s="53">
        <f t="shared" si="3898"/>
        <v>1362200</v>
      </c>
      <c r="K7071" s="63">
        <f t="shared" si="3899"/>
        <v>0.33208191126279862</v>
      </c>
      <c r="L7071" s="1212" t="s">
        <v>4181</v>
      </c>
      <c r="M7071" s="102" t="s">
        <v>3964</v>
      </c>
      <c r="N7071" s="1192">
        <f t="shared" si="3900"/>
        <v>45529</v>
      </c>
      <c r="O7071" s="71" t="s">
        <v>662</v>
      </c>
      <c r="P7071" s="103" t="s">
        <v>3908</v>
      </c>
      <c r="Q7071" s="71">
        <f t="shared" si="3888"/>
        <v>700</v>
      </c>
      <c r="R7071" s="102">
        <v>3914</v>
      </c>
      <c r="S7071" s="102">
        <f t="shared" si="3901"/>
        <v>3013780.0000000005</v>
      </c>
      <c r="T7071" s="102">
        <f t="shared" si="3902"/>
        <v>2739800</v>
      </c>
      <c r="U7071" s="71" t="s">
        <v>859</v>
      </c>
      <c r="V7071" s="71"/>
      <c r="W7071" s="474">
        <v>942000</v>
      </c>
      <c r="X7071" s="71"/>
      <c r="Y7071" s="71"/>
    </row>
    <row r="7072" spans="1:25" ht="30" hidden="1" customHeight="1" x14ac:dyDescent="0.25">
      <c r="A7072" s="1145">
        <v>45529</v>
      </c>
      <c r="B7072" s="664" t="s">
        <v>1060</v>
      </c>
      <c r="C7072" s="71" t="s">
        <v>3909</v>
      </c>
      <c r="D7072" s="71">
        <v>1700</v>
      </c>
      <c r="E7072" s="102">
        <v>3700</v>
      </c>
      <c r="F7072" s="102">
        <f t="shared" si="3891"/>
        <v>6919000.0000000009</v>
      </c>
      <c r="G7072" s="102">
        <f t="shared" si="3892"/>
        <v>6290000</v>
      </c>
      <c r="H7072" s="690" t="s">
        <v>36</v>
      </c>
      <c r="I7072" s="71" t="s">
        <v>2529</v>
      </c>
      <c r="J7072" s="53">
        <f t="shared" si="3898"/>
        <v>2087600</v>
      </c>
      <c r="K7072" s="63">
        <f t="shared" si="3899"/>
        <v>0.33189189189189183</v>
      </c>
      <c r="L7072" s="1212" t="s">
        <v>4181</v>
      </c>
      <c r="M7072" s="102" t="s">
        <v>3964</v>
      </c>
      <c r="N7072" s="1192">
        <f t="shared" si="3900"/>
        <v>45529</v>
      </c>
      <c r="O7072" s="71" t="s">
        <v>662</v>
      </c>
      <c r="P7072" s="103" t="s">
        <v>3909</v>
      </c>
      <c r="Q7072" s="71">
        <f t="shared" si="3888"/>
        <v>1700</v>
      </c>
      <c r="R7072" s="102">
        <v>2472</v>
      </c>
      <c r="S7072" s="102">
        <f t="shared" si="3901"/>
        <v>4622640</v>
      </c>
      <c r="T7072" s="102">
        <f t="shared" si="3902"/>
        <v>4202400</v>
      </c>
      <c r="U7072" s="71" t="s">
        <v>859</v>
      </c>
      <c r="V7072" s="71"/>
      <c r="W7072" s="474">
        <v>1274000</v>
      </c>
      <c r="X7072" s="71"/>
      <c r="Y7072" s="71"/>
    </row>
    <row r="7073" spans="1:25" ht="30" hidden="1" customHeight="1" x14ac:dyDescent="0.25">
      <c r="A7073" s="1145">
        <v>45529</v>
      </c>
      <c r="B7073" s="664" t="s">
        <v>1060</v>
      </c>
      <c r="C7073" s="71" t="s">
        <v>3910</v>
      </c>
      <c r="D7073" s="71">
        <v>1300</v>
      </c>
      <c r="E7073" s="102">
        <v>3500</v>
      </c>
      <c r="F7073" s="102">
        <f t="shared" si="3891"/>
        <v>5005000</v>
      </c>
      <c r="G7073" s="102">
        <f t="shared" si="3892"/>
        <v>4550000</v>
      </c>
      <c r="H7073" s="690" t="s">
        <v>36</v>
      </c>
      <c r="I7073" s="71" t="s">
        <v>2529</v>
      </c>
      <c r="J7073" s="53">
        <f t="shared" si="3898"/>
        <v>1497600</v>
      </c>
      <c r="K7073" s="63">
        <f t="shared" si="3899"/>
        <v>0.32914285714285713</v>
      </c>
      <c r="L7073" s="1212" t="s">
        <v>4181</v>
      </c>
      <c r="M7073" s="102" t="s">
        <v>3964</v>
      </c>
      <c r="N7073" s="1192">
        <f t="shared" si="3900"/>
        <v>45529</v>
      </c>
      <c r="O7073" s="71" t="s">
        <v>662</v>
      </c>
      <c r="P7073" s="103" t="s">
        <v>3910</v>
      </c>
      <c r="Q7073" s="71">
        <f t="shared" si="3888"/>
        <v>1300</v>
      </c>
      <c r="R7073" s="102">
        <v>2348</v>
      </c>
      <c r="S7073" s="102">
        <f t="shared" ref="S7073:S7089" si="3903">R7073*Q7073*1.1</f>
        <v>3357640.0000000005</v>
      </c>
      <c r="T7073" s="102">
        <f t="shared" ref="T7073:T7089" si="3904">R7073*Q7073</f>
        <v>3052400</v>
      </c>
      <c r="U7073" s="71" t="s">
        <v>859</v>
      </c>
      <c r="V7073" s="71"/>
      <c r="W7073" s="474">
        <v>3325000</v>
      </c>
      <c r="X7073" s="71"/>
      <c r="Y7073" s="71"/>
    </row>
    <row r="7074" spans="1:25" ht="30" hidden="1" customHeight="1" x14ac:dyDescent="0.25">
      <c r="A7074" s="1145">
        <v>45529</v>
      </c>
      <c r="B7074" s="664" t="s">
        <v>1060</v>
      </c>
      <c r="C7074" s="71" t="s">
        <v>3911</v>
      </c>
      <c r="D7074" s="71">
        <v>200</v>
      </c>
      <c r="E7074" s="102">
        <v>5940</v>
      </c>
      <c r="F7074" s="102">
        <f t="shared" si="3891"/>
        <v>1306800</v>
      </c>
      <c r="G7074" s="102">
        <f t="shared" si="3892"/>
        <v>1188000</v>
      </c>
      <c r="H7074" s="690" t="s">
        <v>36</v>
      </c>
      <c r="I7074" s="71" t="s">
        <v>2529</v>
      </c>
      <c r="J7074" s="53">
        <f t="shared" si="3898"/>
        <v>394800</v>
      </c>
      <c r="K7074" s="63">
        <f t="shared" si="3899"/>
        <v>0.3323232323232323</v>
      </c>
      <c r="L7074" s="1212" t="s">
        <v>4181</v>
      </c>
      <c r="M7074" s="102" t="s">
        <v>3964</v>
      </c>
      <c r="N7074" s="1192">
        <f t="shared" si="3900"/>
        <v>45529</v>
      </c>
      <c r="O7074" s="71" t="s">
        <v>662</v>
      </c>
      <c r="P7074" s="103" t="s">
        <v>3911</v>
      </c>
      <c r="Q7074" s="71">
        <f t="shared" si="3888"/>
        <v>200</v>
      </c>
      <c r="R7074" s="102">
        <v>3966</v>
      </c>
      <c r="S7074" s="102">
        <f t="shared" si="3903"/>
        <v>872520.00000000012</v>
      </c>
      <c r="T7074" s="102">
        <f t="shared" si="3904"/>
        <v>793200</v>
      </c>
      <c r="U7074" s="71" t="s">
        <v>859</v>
      </c>
      <c r="V7074" s="71"/>
      <c r="W7074" s="474">
        <v>636000</v>
      </c>
      <c r="X7074" s="71"/>
      <c r="Y7074" s="71"/>
    </row>
    <row r="7075" spans="1:25" ht="30" hidden="1" customHeight="1" x14ac:dyDescent="0.25">
      <c r="A7075" s="1145">
        <v>45529</v>
      </c>
      <c r="B7075" s="664" t="s">
        <v>1060</v>
      </c>
      <c r="C7075" s="71" t="s">
        <v>3912</v>
      </c>
      <c r="D7075" s="71">
        <v>900</v>
      </c>
      <c r="E7075" s="102">
        <v>6160</v>
      </c>
      <c r="F7075" s="102">
        <f t="shared" si="3891"/>
        <v>6098400.0000000009</v>
      </c>
      <c r="G7075" s="102">
        <f t="shared" si="3892"/>
        <v>5544000</v>
      </c>
      <c r="H7075" s="690" t="s">
        <v>36</v>
      </c>
      <c r="I7075" s="71" t="s">
        <v>2529</v>
      </c>
      <c r="J7075" s="53">
        <f t="shared" si="3898"/>
        <v>1836000</v>
      </c>
      <c r="K7075" s="63">
        <f t="shared" si="3899"/>
        <v>0.33116883116883111</v>
      </c>
      <c r="L7075" s="1212" t="s">
        <v>4181</v>
      </c>
      <c r="M7075" s="102" t="s">
        <v>3964</v>
      </c>
      <c r="N7075" s="1192">
        <f t="shared" si="3900"/>
        <v>45529</v>
      </c>
      <c r="O7075" s="71" t="s">
        <v>662</v>
      </c>
      <c r="P7075" s="103" t="s">
        <v>3912</v>
      </c>
      <c r="Q7075" s="71">
        <f t="shared" si="3888"/>
        <v>900</v>
      </c>
      <c r="R7075" s="102">
        <v>4120</v>
      </c>
      <c r="S7075" s="102">
        <f t="shared" si="3903"/>
        <v>4078800.0000000005</v>
      </c>
      <c r="T7075" s="102">
        <f t="shared" si="3904"/>
        <v>3708000</v>
      </c>
      <c r="U7075" s="71" t="s">
        <v>859</v>
      </c>
      <c r="V7075" s="71"/>
      <c r="W7075" s="474">
        <v>1476000</v>
      </c>
      <c r="X7075" s="71"/>
      <c r="Y7075" s="71"/>
    </row>
    <row r="7076" spans="1:25" ht="30" hidden="1" customHeight="1" x14ac:dyDescent="0.25">
      <c r="A7076" s="1145">
        <v>45529</v>
      </c>
      <c r="B7076" s="664" t="s">
        <v>1060</v>
      </c>
      <c r="C7076" s="71" t="s">
        <v>3913</v>
      </c>
      <c r="D7076" s="71">
        <v>400</v>
      </c>
      <c r="E7076" s="102">
        <v>4390</v>
      </c>
      <c r="F7076" s="102">
        <f t="shared" si="3891"/>
        <v>1931600.0000000002</v>
      </c>
      <c r="G7076" s="102">
        <f t="shared" si="3892"/>
        <v>1756000</v>
      </c>
      <c r="H7076" s="690" t="s">
        <v>36</v>
      </c>
      <c r="I7076" s="71" t="s">
        <v>2529</v>
      </c>
      <c r="J7076" s="53">
        <f t="shared" si="3898"/>
        <v>581600</v>
      </c>
      <c r="K7076" s="63">
        <f t="shared" si="3899"/>
        <v>0.33120728929384963</v>
      </c>
      <c r="L7076" s="1212" t="s">
        <v>4181</v>
      </c>
      <c r="M7076" s="102" t="s">
        <v>3964</v>
      </c>
      <c r="N7076" s="1192">
        <f t="shared" si="3900"/>
        <v>45529</v>
      </c>
      <c r="O7076" s="71" t="s">
        <v>662</v>
      </c>
      <c r="P7076" s="103" t="s">
        <v>3913</v>
      </c>
      <c r="Q7076" s="71">
        <f t="shared" si="3888"/>
        <v>400</v>
      </c>
      <c r="R7076" s="102">
        <v>2936</v>
      </c>
      <c r="S7076" s="102">
        <f t="shared" si="3903"/>
        <v>1291840</v>
      </c>
      <c r="T7076" s="102">
        <f t="shared" si="3904"/>
        <v>1174400</v>
      </c>
      <c r="U7076" s="71" t="s">
        <v>859</v>
      </c>
      <c r="V7076" s="71"/>
      <c r="W7076" s="474">
        <v>1416000</v>
      </c>
      <c r="X7076" s="71"/>
      <c r="Y7076" s="71"/>
    </row>
    <row r="7077" spans="1:25" ht="30" hidden="1" customHeight="1" x14ac:dyDescent="0.25">
      <c r="A7077" s="1145">
        <v>45529</v>
      </c>
      <c r="B7077" s="664" t="s">
        <v>1060</v>
      </c>
      <c r="C7077" s="71" t="s">
        <v>3914</v>
      </c>
      <c r="D7077" s="71">
        <v>20</v>
      </c>
      <c r="E7077" s="102">
        <v>53240</v>
      </c>
      <c r="F7077" s="102">
        <f t="shared" si="3891"/>
        <v>1171280</v>
      </c>
      <c r="G7077" s="102">
        <f t="shared" si="3892"/>
        <v>1064800</v>
      </c>
      <c r="H7077" s="690" t="s">
        <v>36</v>
      </c>
      <c r="I7077" s="71" t="s">
        <v>2529</v>
      </c>
      <c r="J7077" s="53">
        <f t="shared" si="3898"/>
        <v>240800</v>
      </c>
      <c r="K7077" s="63">
        <f t="shared" si="3899"/>
        <v>0.22614575507137491</v>
      </c>
      <c r="L7077" s="1212" t="s">
        <v>4181</v>
      </c>
      <c r="M7077" s="468"/>
      <c r="N7077" s="1192">
        <f t="shared" si="3900"/>
        <v>45529</v>
      </c>
      <c r="O7077" s="71" t="s">
        <v>662</v>
      </c>
      <c r="P7077" s="103" t="s">
        <v>3914</v>
      </c>
      <c r="Q7077" s="71">
        <f t="shared" si="3888"/>
        <v>20</v>
      </c>
      <c r="R7077" s="102">
        <v>41200</v>
      </c>
      <c r="S7077" s="102">
        <f t="shared" si="3903"/>
        <v>906400.00000000012</v>
      </c>
      <c r="T7077" s="102">
        <f t="shared" si="3904"/>
        <v>824000</v>
      </c>
      <c r="U7077" s="71" t="s">
        <v>859</v>
      </c>
      <c r="V7077" s="71"/>
      <c r="W7077" s="474">
        <v>978750</v>
      </c>
      <c r="X7077" s="71"/>
      <c r="Y7077" s="71"/>
    </row>
    <row r="7078" spans="1:25" ht="30" hidden="1" customHeight="1" x14ac:dyDescent="0.25">
      <c r="A7078" s="1145">
        <v>45529</v>
      </c>
      <c r="B7078" s="664" t="s">
        <v>1061</v>
      </c>
      <c r="C7078" s="71" t="s">
        <v>3319</v>
      </c>
      <c r="D7078" s="71"/>
      <c r="E7078" s="102">
        <v>6328</v>
      </c>
      <c r="F7078" s="102">
        <f t="shared" si="3891"/>
        <v>0</v>
      </c>
      <c r="G7078" s="102">
        <f t="shared" si="3892"/>
        <v>0</v>
      </c>
      <c r="H7078" s="690" t="s">
        <v>36</v>
      </c>
      <c r="I7078" s="71" t="s">
        <v>3320</v>
      </c>
      <c r="J7078" s="53">
        <f t="shared" si="3898"/>
        <v>0</v>
      </c>
      <c r="K7078" s="63" t="e">
        <f t="shared" si="3899"/>
        <v>#DIV/0!</v>
      </c>
      <c r="L7078" s="1212" t="s">
        <v>4181</v>
      </c>
      <c r="M7078" s="468"/>
      <c r="N7078" s="1192">
        <f t="shared" si="3900"/>
        <v>45529</v>
      </c>
      <c r="O7078" s="71" t="s">
        <v>146</v>
      </c>
      <c r="P7078" s="103" t="s">
        <v>3319</v>
      </c>
      <c r="Q7078" s="71">
        <f t="shared" si="3888"/>
        <v>0</v>
      </c>
      <c r="R7078" s="102">
        <v>5850</v>
      </c>
      <c r="S7078" s="102">
        <f t="shared" si="3903"/>
        <v>0</v>
      </c>
      <c r="T7078" s="102">
        <f t="shared" si="3904"/>
        <v>0</v>
      </c>
      <c r="U7078" s="71" t="s">
        <v>859</v>
      </c>
      <c r="V7078" s="71"/>
      <c r="W7078" s="474">
        <v>411200</v>
      </c>
      <c r="X7078" s="71"/>
      <c r="Y7078" s="71"/>
    </row>
    <row r="7079" spans="1:25" ht="30" hidden="1" customHeight="1" x14ac:dyDescent="0.25">
      <c r="A7079" s="1145">
        <v>45529</v>
      </c>
      <c r="B7079" s="664" t="s">
        <v>1061</v>
      </c>
      <c r="C7079" s="71" t="s">
        <v>3321</v>
      </c>
      <c r="D7079" s="71">
        <v>200</v>
      </c>
      <c r="E7079" s="102">
        <v>6780</v>
      </c>
      <c r="F7079" s="102">
        <f t="shared" si="3891"/>
        <v>1491600.0000000002</v>
      </c>
      <c r="G7079" s="102">
        <f t="shared" si="3892"/>
        <v>1356000</v>
      </c>
      <c r="H7079" s="690" t="s">
        <v>36</v>
      </c>
      <c r="I7079" s="71" t="s">
        <v>3320</v>
      </c>
      <c r="J7079" s="53">
        <f t="shared" si="3898"/>
        <v>100000</v>
      </c>
      <c r="K7079" s="63">
        <f t="shared" si="3899"/>
        <v>7.3746312684365767E-2</v>
      </c>
      <c r="L7079" s="1212" t="s">
        <v>4181</v>
      </c>
      <c r="M7079" s="468"/>
      <c r="N7079" s="1192">
        <f t="shared" si="3900"/>
        <v>45529</v>
      </c>
      <c r="O7079" s="71" t="s">
        <v>146</v>
      </c>
      <c r="P7079" s="103" t="s">
        <v>3321</v>
      </c>
      <c r="Q7079" s="71">
        <f t="shared" si="3888"/>
        <v>200</v>
      </c>
      <c r="R7079" s="102">
        <v>6280</v>
      </c>
      <c r="S7079" s="102">
        <f t="shared" si="3903"/>
        <v>1381600</v>
      </c>
      <c r="T7079" s="102">
        <f t="shared" si="3904"/>
        <v>1256000</v>
      </c>
      <c r="U7079" s="71" t="s">
        <v>859</v>
      </c>
      <c r="V7079" s="71"/>
      <c r="W7079" s="474">
        <v>292000</v>
      </c>
      <c r="X7079" s="71"/>
      <c r="Y7079" s="71"/>
    </row>
    <row r="7080" spans="1:25" ht="30" hidden="1" customHeight="1" x14ac:dyDescent="0.25">
      <c r="A7080" s="1145">
        <v>45529</v>
      </c>
      <c r="B7080" s="664" t="s">
        <v>1061</v>
      </c>
      <c r="C7080" s="71" t="s">
        <v>1289</v>
      </c>
      <c r="D7080" s="71">
        <v>400</v>
      </c>
      <c r="E7080" s="102">
        <v>6498</v>
      </c>
      <c r="F7080" s="102">
        <f t="shared" si="3891"/>
        <v>2859120</v>
      </c>
      <c r="G7080" s="102">
        <f t="shared" si="3892"/>
        <v>2599200</v>
      </c>
      <c r="H7080" s="690" t="s">
        <v>36</v>
      </c>
      <c r="I7080" s="71" t="s">
        <v>3320</v>
      </c>
      <c r="J7080" s="53">
        <f t="shared" si="3898"/>
        <v>191200</v>
      </c>
      <c r="K7080" s="63">
        <f t="shared" si="3899"/>
        <v>7.3561095721760547E-2</v>
      </c>
      <c r="L7080" s="1212" t="s">
        <v>4181</v>
      </c>
      <c r="M7080" s="468"/>
      <c r="N7080" s="1192">
        <f t="shared" si="3900"/>
        <v>45529</v>
      </c>
      <c r="O7080" s="71" t="s">
        <v>146</v>
      </c>
      <c r="P7080" s="103" t="s">
        <v>1289</v>
      </c>
      <c r="Q7080" s="71">
        <f t="shared" si="3888"/>
        <v>400</v>
      </c>
      <c r="R7080" s="102">
        <v>6020</v>
      </c>
      <c r="S7080" s="102">
        <f t="shared" si="3903"/>
        <v>2648800</v>
      </c>
      <c r="T7080" s="102">
        <f t="shared" si="3904"/>
        <v>2408000</v>
      </c>
      <c r="U7080" s="71" t="s">
        <v>859</v>
      </c>
      <c r="V7080" s="71"/>
      <c r="W7080" s="474">
        <v>640800</v>
      </c>
      <c r="X7080" s="71"/>
      <c r="Y7080" s="71"/>
    </row>
    <row r="7081" spans="1:25" ht="30" hidden="1" customHeight="1" x14ac:dyDescent="0.25">
      <c r="A7081" s="1145">
        <v>45529</v>
      </c>
      <c r="B7081" s="664" t="s">
        <v>1061</v>
      </c>
      <c r="C7081" s="71" t="s">
        <v>1290</v>
      </c>
      <c r="D7081" s="71">
        <v>200</v>
      </c>
      <c r="E7081" s="102">
        <v>7910</v>
      </c>
      <c r="F7081" s="102">
        <f t="shared" si="3891"/>
        <v>1740200.0000000002</v>
      </c>
      <c r="G7081" s="102">
        <f t="shared" si="3892"/>
        <v>1582000</v>
      </c>
      <c r="H7081" s="690" t="s">
        <v>36</v>
      </c>
      <c r="I7081" s="71" t="s">
        <v>3320</v>
      </c>
      <c r="J7081" s="53">
        <f t="shared" si="3898"/>
        <v>120000</v>
      </c>
      <c r="K7081" s="63">
        <f t="shared" si="3899"/>
        <v>7.5853350189633365E-2</v>
      </c>
      <c r="L7081" s="1212" t="s">
        <v>4181</v>
      </c>
      <c r="M7081" s="468"/>
      <c r="N7081" s="1192">
        <f t="shared" si="3900"/>
        <v>45529</v>
      </c>
      <c r="O7081" s="71" t="s">
        <v>146</v>
      </c>
      <c r="P7081" s="103" t="s">
        <v>1290</v>
      </c>
      <c r="Q7081" s="71">
        <f t="shared" si="3888"/>
        <v>200</v>
      </c>
      <c r="R7081" s="102">
        <v>7310</v>
      </c>
      <c r="S7081" s="102">
        <f t="shared" si="3903"/>
        <v>1608200.0000000002</v>
      </c>
      <c r="T7081" s="102">
        <f t="shared" si="3904"/>
        <v>1462000</v>
      </c>
      <c r="U7081" s="71" t="s">
        <v>859</v>
      </c>
      <c r="V7081" s="71"/>
      <c r="W7081" s="474">
        <v>846000</v>
      </c>
      <c r="X7081" s="71"/>
      <c r="Y7081" s="71"/>
    </row>
    <row r="7082" spans="1:25" ht="30" hidden="1" customHeight="1" x14ac:dyDescent="0.25">
      <c r="A7082" s="1145">
        <v>45529</v>
      </c>
      <c r="B7082" s="664" t="s">
        <v>1061</v>
      </c>
      <c r="C7082" s="71" t="s">
        <v>3322</v>
      </c>
      <c r="D7082" s="71"/>
      <c r="E7082" s="102">
        <v>7150</v>
      </c>
      <c r="F7082" s="102">
        <f t="shared" ref="F7082:F7088" si="3905">(E7082*D7082)*1.1</f>
        <v>0</v>
      </c>
      <c r="G7082" s="102">
        <f t="shared" ref="G7082:G7088" si="3906">(E7082*D7082)</f>
        <v>0</v>
      </c>
      <c r="H7082" s="690" t="s">
        <v>36</v>
      </c>
      <c r="I7082" s="71" t="s">
        <v>3320</v>
      </c>
      <c r="J7082" s="53">
        <f t="shared" si="3898"/>
        <v>0</v>
      </c>
      <c r="K7082" s="63" t="e">
        <f t="shared" si="3899"/>
        <v>#DIV/0!</v>
      </c>
      <c r="L7082" s="1212" t="s">
        <v>4181</v>
      </c>
      <c r="M7082" s="468"/>
      <c r="N7082" s="1192">
        <f t="shared" si="3900"/>
        <v>45529</v>
      </c>
      <c r="O7082" s="71" t="s">
        <v>3323</v>
      </c>
      <c r="P7082" s="103" t="s">
        <v>3322</v>
      </c>
      <c r="Q7082" s="71">
        <f t="shared" si="3888"/>
        <v>0</v>
      </c>
      <c r="R7082" s="102">
        <v>6500</v>
      </c>
      <c r="S7082" s="102">
        <f t="shared" si="3903"/>
        <v>0</v>
      </c>
      <c r="T7082" s="102">
        <f t="shared" si="3904"/>
        <v>0</v>
      </c>
      <c r="U7082" s="71" t="s">
        <v>859</v>
      </c>
      <c r="V7082" s="71"/>
      <c r="W7082" s="474">
        <v>0</v>
      </c>
      <c r="X7082" s="71"/>
      <c r="Y7082" s="71"/>
    </row>
    <row r="7083" spans="1:25" ht="30" hidden="1" customHeight="1" x14ac:dyDescent="0.25">
      <c r="A7083" s="1145">
        <v>45529</v>
      </c>
      <c r="B7083" s="664" t="s">
        <v>1061</v>
      </c>
      <c r="C7083" s="71" t="s">
        <v>3324</v>
      </c>
      <c r="D7083" s="71"/>
      <c r="E7083" s="102">
        <v>6900</v>
      </c>
      <c r="F7083" s="102">
        <f t="shared" si="3905"/>
        <v>0</v>
      </c>
      <c r="G7083" s="102">
        <f t="shared" si="3906"/>
        <v>0</v>
      </c>
      <c r="H7083" s="690" t="s">
        <v>36</v>
      </c>
      <c r="I7083" s="71" t="s">
        <v>3320</v>
      </c>
      <c r="J7083" s="53">
        <f t="shared" si="3898"/>
        <v>0</v>
      </c>
      <c r="K7083" s="63" t="e">
        <f t="shared" si="3899"/>
        <v>#DIV/0!</v>
      </c>
      <c r="L7083" s="1212" t="s">
        <v>4181</v>
      </c>
      <c r="M7083" s="468"/>
      <c r="N7083" s="1192">
        <f t="shared" si="3900"/>
        <v>45529</v>
      </c>
      <c r="O7083" s="71" t="s">
        <v>3323</v>
      </c>
      <c r="P7083" s="103" t="s">
        <v>3324</v>
      </c>
      <c r="Q7083" s="71">
        <f t="shared" si="3888"/>
        <v>0</v>
      </c>
      <c r="R7083" s="102">
        <v>6200</v>
      </c>
      <c r="S7083" s="102">
        <f t="shared" si="3903"/>
        <v>0</v>
      </c>
      <c r="T7083" s="102">
        <f t="shared" si="3904"/>
        <v>0</v>
      </c>
      <c r="U7083" s="71" t="s">
        <v>859</v>
      </c>
      <c r="V7083" s="71"/>
      <c r="W7083" s="474">
        <v>0</v>
      </c>
      <c r="X7083" s="71"/>
      <c r="Y7083" s="71"/>
    </row>
    <row r="7084" spans="1:25" ht="28.5" hidden="1" customHeight="1" x14ac:dyDescent="0.25">
      <c r="A7084" s="1145">
        <v>45529</v>
      </c>
      <c r="B7084" s="664" t="s">
        <v>1061</v>
      </c>
      <c r="C7084" s="71" t="s">
        <v>3325</v>
      </c>
      <c r="D7084" s="71"/>
      <c r="E7084" s="102">
        <v>7500</v>
      </c>
      <c r="F7084" s="102">
        <f t="shared" si="3905"/>
        <v>0</v>
      </c>
      <c r="G7084" s="102">
        <f t="shared" si="3906"/>
        <v>0</v>
      </c>
      <c r="H7084" s="690" t="s">
        <v>36</v>
      </c>
      <c r="I7084" s="71" t="s">
        <v>3320</v>
      </c>
      <c r="J7084" s="53">
        <f t="shared" si="3898"/>
        <v>0</v>
      </c>
      <c r="K7084" s="63" t="e">
        <f t="shared" si="3899"/>
        <v>#DIV/0!</v>
      </c>
      <c r="L7084" s="1212" t="s">
        <v>4181</v>
      </c>
      <c r="M7084" s="468"/>
      <c r="N7084" s="1192">
        <f t="shared" si="3900"/>
        <v>45529</v>
      </c>
      <c r="O7084" s="71" t="s">
        <v>3323</v>
      </c>
      <c r="P7084" s="103" t="s">
        <v>3325</v>
      </c>
      <c r="Q7084" s="71">
        <f t="shared" si="3888"/>
        <v>0</v>
      </c>
      <c r="R7084" s="102">
        <v>6600</v>
      </c>
      <c r="S7084" s="102">
        <f t="shared" si="3903"/>
        <v>0</v>
      </c>
      <c r="T7084" s="102">
        <f t="shared" si="3904"/>
        <v>0</v>
      </c>
      <c r="U7084" s="71" t="s">
        <v>859</v>
      </c>
      <c r="V7084" s="71"/>
      <c r="W7084" s="474">
        <v>0</v>
      </c>
      <c r="X7084" s="71"/>
      <c r="Y7084" s="71"/>
    </row>
    <row r="7085" spans="1:25" ht="30" hidden="1" customHeight="1" x14ac:dyDescent="0.25">
      <c r="A7085" s="1145">
        <v>45529</v>
      </c>
      <c r="B7085" s="664" t="s">
        <v>1061</v>
      </c>
      <c r="C7085" s="71" t="s">
        <v>3326</v>
      </c>
      <c r="D7085" s="71"/>
      <c r="E7085" s="102">
        <v>6450</v>
      </c>
      <c r="F7085" s="102">
        <f t="shared" si="3905"/>
        <v>0</v>
      </c>
      <c r="G7085" s="102">
        <f t="shared" si="3906"/>
        <v>0</v>
      </c>
      <c r="H7085" s="690" t="s">
        <v>36</v>
      </c>
      <c r="I7085" s="71" t="s">
        <v>3320</v>
      </c>
      <c r="J7085" s="53">
        <f t="shared" si="3898"/>
        <v>0</v>
      </c>
      <c r="K7085" s="63" t="e">
        <f t="shared" si="3899"/>
        <v>#DIV/0!</v>
      </c>
      <c r="L7085" s="1212" t="s">
        <v>4181</v>
      </c>
      <c r="M7085" s="468"/>
      <c r="N7085" s="1192">
        <f t="shared" si="3900"/>
        <v>45529</v>
      </c>
      <c r="O7085" s="71" t="s">
        <v>3323</v>
      </c>
      <c r="P7085" s="103" t="s">
        <v>3326</v>
      </c>
      <c r="Q7085" s="71">
        <f t="shared" si="3888"/>
        <v>0</v>
      </c>
      <c r="R7085" s="102">
        <v>5700</v>
      </c>
      <c r="S7085" s="102">
        <f t="shared" si="3903"/>
        <v>0</v>
      </c>
      <c r="T7085" s="102">
        <f t="shared" si="3904"/>
        <v>0</v>
      </c>
      <c r="U7085" s="71" t="s">
        <v>859</v>
      </c>
      <c r="V7085" s="71"/>
      <c r="W7085" s="474">
        <v>0</v>
      </c>
      <c r="X7085" s="71"/>
      <c r="Y7085" s="71"/>
    </row>
    <row r="7086" spans="1:25" ht="30" hidden="1" customHeight="1" x14ac:dyDescent="0.25">
      <c r="A7086" s="1145">
        <v>45529</v>
      </c>
      <c r="B7086" s="664" t="s">
        <v>1061</v>
      </c>
      <c r="C7086" s="71" t="s">
        <v>4179</v>
      </c>
      <c r="D7086" s="71">
        <v>151</v>
      </c>
      <c r="E7086" s="102">
        <v>24900</v>
      </c>
      <c r="F7086" s="102">
        <f t="shared" si="3905"/>
        <v>4135890.0000000005</v>
      </c>
      <c r="G7086" s="102">
        <f t="shared" si="3906"/>
        <v>3759900</v>
      </c>
      <c r="H7086" s="690" t="s">
        <v>36</v>
      </c>
      <c r="I7086" s="71" t="s">
        <v>3320</v>
      </c>
      <c r="J7086" s="53">
        <f t="shared" si="3898"/>
        <v>377500</v>
      </c>
      <c r="K7086" s="63">
        <f t="shared" si="3899"/>
        <v>0.1004016064257028</v>
      </c>
      <c r="L7086" s="1212" t="s">
        <v>4181</v>
      </c>
      <c r="M7086" s="468"/>
      <c r="N7086" s="1192">
        <f t="shared" si="3900"/>
        <v>45529</v>
      </c>
      <c r="O7086" s="71" t="s">
        <v>146</v>
      </c>
      <c r="P7086" s="103" t="s">
        <v>3963</v>
      </c>
      <c r="Q7086" s="71">
        <f t="shared" si="3888"/>
        <v>151</v>
      </c>
      <c r="R7086" s="102">
        <v>22400</v>
      </c>
      <c r="S7086" s="102">
        <f t="shared" si="3903"/>
        <v>3720640.0000000005</v>
      </c>
      <c r="T7086" s="102">
        <f t="shared" si="3904"/>
        <v>3382400</v>
      </c>
      <c r="U7086" s="71"/>
      <c r="V7086" s="71"/>
      <c r="W7086" s="474"/>
      <c r="X7086" s="71"/>
      <c r="Y7086" s="71"/>
    </row>
    <row r="7087" spans="1:25" ht="30" hidden="1" customHeight="1" x14ac:dyDescent="0.25">
      <c r="A7087" s="1145">
        <v>45529</v>
      </c>
      <c r="B7087" s="664" t="s">
        <v>1061</v>
      </c>
      <c r="C7087" s="71" t="s">
        <v>4123</v>
      </c>
      <c r="D7087" s="71">
        <v>0</v>
      </c>
      <c r="E7087" s="102">
        <v>12500</v>
      </c>
      <c r="F7087" s="102">
        <f t="shared" si="3905"/>
        <v>0</v>
      </c>
      <c r="G7087" s="102">
        <f t="shared" si="3906"/>
        <v>0</v>
      </c>
      <c r="H7087" s="690" t="s">
        <v>36</v>
      </c>
      <c r="I7087" s="71" t="s">
        <v>3320</v>
      </c>
      <c r="J7087" s="53">
        <f t="shared" si="3898"/>
        <v>0</v>
      </c>
      <c r="K7087" s="63" t="e">
        <f t="shared" si="3899"/>
        <v>#DIV/0!</v>
      </c>
      <c r="L7087" s="1212" t="s">
        <v>4181</v>
      </c>
      <c r="M7087" s="468"/>
      <c r="N7087" s="1192">
        <f t="shared" si="3900"/>
        <v>45529</v>
      </c>
      <c r="O7087" s="71" t="s">
        <v>3323</v>
      </c>
      <c r="P7087" s="103" t="s">
        <v>4177</v>
      </c>
      <c r="Q7087" s="71">
        <f t="shared" si="3888"/>
        <v>0</v>
      </c>
      <c r="R7087" s="102">
        <v>11700</v>
      </c>
      <c r="S7087" s="102">
        <f t="shared" si="3903"/>
        <v>0</v>
      </c>
      <c r="T7087" s="102">
        <f t="shared" si="3904"/>
        <v>0</v>
      </c>
      <c r="U7087" s="71"/>
      <c r="V7087" s="71"/>
      <c r="W7087" s="474"/>
      <c r="X7087" s="71"/>
      <c r="Y7087" s="71"/>
    </row>
    <row r="7088" spans="1:25" ht="30" hidden="1" customHeight="1" x14ac:dyDescent="0.25">
      <c r="A7088" s="1145">
        <v>45529</v>
      </c>
      <c r="B7088" s="664" t="s">
        <v>3307</v>
      </c>
      <c r="C7088" s="71" t="s">
        <v>3916</v>
      </c>
      <c r="D7088" s="71">
        <v>8</v>
      </c>
      <c r="E7088" s="102">
        <v>218000</v>
      </c>
      <c r="F7088" s="102">
        <f t="shared" si="3905"/>
        <v>1918400.0000000002</v>
      </c>
      <c r="G7088" s="102">
        <f t="shared" si="3906"/>
        <v>1744000</v>
      </c>
      <c r="H7088" s="690" t="s">
        <v>172</v>
      </c>
      <c r="I7088" s="71" t="s">
        <v>33</v>
      </c>
      <c r="J7088" s="53">
        <f t="shared" ref="J7088:J7089" si="3907">G7088-T7088</f>
        <v>412000</v>
      </c>
      <c r="K7088" s="63">
        <f t="shared" ref="K7088:K7089" si="3908">(J7088/(F7088/11*10))</f>
        <v>0.23623853211009171</v>
      </c>
      <c r="L7088" s="1212" t="s">
        <v>4181</v>
      </c>
      <c r="M7088" s="468" t="s">
        <v>3965</v>
      </c>
      <c r="N7088" s="1192">
        <f t="shared" si="3900"/>
        <v>45529</v>
      </c>
      <c r="O7088" s="71" t="s">
        <v>662</v>
      </c>
      <c r="P7088" s="103" t="s">
        <v>3916</v>
      </c>
      <c r="Q7088" s="71">
        <f t="shared" si="3888"/>
        <v>8</v>
      </c>
      <c r="R7088" s="102">
        <v>166500</v>
      </c>
      <c r="S7088" s="102">
        <f t="shared" si="3903"/>
        <v>1465200.0000000002</v>
      </c>
      <c r="T7088" s="102">
        <f t="shared" si="3904"/>
        <v>1332000</v>
      </c>
      <c r="U7088" s="71" t="s">
        <v>859</v>
      </c>
      <c r="V7088" s="71" t="s">
        <v>728</v>
      </c>
      <c r="W7088" s="474">
        <v>464000</v>
      </c>
      <c r="X7088" s="71"/>
      <c r="Y7088" s="71"/>
    </row>
    <row r="7089" spans="1:25" ht="30" hidden="1" customHeight="1" x14ac:dyDescent="0.25">
      <c r="A7089" s="1145">
        <v>45529</v>
      </c>
      <c r="B7089" s="664" t="s">
        <v>3307</v>
      </c>
      <c r="C7089" s="71" t="s">
        <v>4180</v>
      </c>
      <c r="D7089" s="71">
        <v>1</v>
      </c>
      <c r="E7089" s="102">
        <v>2350000</v>
      </c>
      <c r="F7089" s="102">
        <f t="shared" ref="F7089:F7092" si="3909">(E7089*D7089)*1.1</f>
        <v>2585000</v>
      </c>
      <c r="G7089" s="102">
        <f t="shared" ref="G7089:G7092" si="3910">(E7089*D7089)</f>
        <v>2350000</v>
      </c>
      <c r="H7089" s="690" t="s">
        <v>36</v>
      </c>
      <c r="I7089" s="690" t="s">
        <v>36</v>
      </c>
      <c r="J7089" s="53">
        <f t="shared" si="3907"/>
        <v>600000</v>
      </c>
      <c r="K7089" s="63">
        <f t="shared" si="3908"/>
        <v>0.25531914893617019</v>
      </c>
      <c r="L7089" s="1212" t="s">
        <v>4181</v>
      </c>
      <c r="M7089" s="468"/>
      <c r="N7089" s="1192">
        <f t="shared" si="3900"/>
        <v>45529</v>
      </c>
      <c r="O7089" s="71" t="s">
        <v>3298</v>
      </c>
      <c r="P7089" s="103" t="s">
        <v>4178</v>
      </c>
      <c r="Q7089" s="71">
        <f t="shared" si="3888"/>
        <v>1</v>
      </c>
      <c r="R7089" s="147">
        <v>1750000</v>
      </c>
      <c r="S7089" s="102">
        <f t="shared" si="3903"/>
        <v>1925000.0000000002</v>
      </c>
      <c r="T7089" s="102">
        <f t="shared" si="3904"/>
        <v>1750000</v>
      </c>
      <c r="U7089" s="71"/>
      <c r="V7089" s="71"/>
      <c r="W7089" s="474"/>
      <c r="X7089" s="71"/>
      <c r="Y7089" s="71"/>
    </row>
    <row r="7090" spans="1:25" s="209" customFormat="1" ht="31.5" hidden="1" customHeight="1" x14ac:dyDescent="0.2">
      <c r="A7090" s="1145">
        <v>45520</v>
      </c>
      <c r="B7090" s="664" t="s">
        <v>4059</v>
      </c>
      <c r="C7090" s="71" t="s">
        <v>4061</v>
      </c>
      <c r="D7090" s="71">
        <v>10</v>
      </c>
      <c r="E7090" s="102">
        <v>130000</v>
      </c>
      <c r="F7090" s="102">
        <f t="shared" si="3909"/>
        <v>1430000</v>
      </c>
      <c r="G7090" s="102">
        <f t="shared" si="3910"/>
        <v>1300000</v>
      </c>
      <c r="H7090" s="165" t="s">
        <v>172</v>
      </c>
      <c r="I7090" s="71" t="s">
        <v>184</v>
      </c>
      <c r="J7090" s="53">
        <f t="shared" ref="J7090:J7092" si="3911">G7090-T7090</f>
        <v>180000</v>
      </c>
      <c r="K7090" s="63">
        <f t="shared" ref="K7090:K7092" si="3912">(J7090/(F7090/11*10))</f>
        <v>0.13846153846153847</v>
      </c>
      <c r="L7090" s="1212" t="s">
        <v>4181</v>
      </c>
      <c r="M7090" s="468"/>
      <c r="N7090" s="1192">
        <f t="shared" ref="N7090:N7092" si="3913">A7090</f>
        <v>45520</v>
      </c>
      <c r="O7090" s="71" t="s">
        <v>189</v>
      </c>
      <c r="P7090" s="103" t="str">
        <f t="shared" ref="P7090:P7092" si="3914">(C7090)</f>
        <v>M600 Blanket(990*725)</v>
      </c>
      <c r="Q7090" s="71">
        <f t="shared" si="3888"/>
        <v>10</v>
      </c>
      <c r="R7090" s="102">
        <v>112000</v>
      </c>
      <c r="S7090" s="102">
        <f t="shared" si="3901"/>
        <v>1232000</v>
      </c>
      <c r="T7090" s="102">
        <f t="shared" si="3902"/>
        <v>1120000</v>
      </c>
      <c r="U7090" s="71" t="str">
        <f>IF(J7090=W7090,"O", "X")</f>
        <v>X</v>
      </c>
      <c r="V7090" s="71"/>
      <c r="W7090" s="474">
        <v>80000</v>
      </c>
      <c r="X7090" s="71"/>
      <c r="Y7090" s="71"/>
    </row>
    <row r="7091" spans="1:25" ht="30" hidden="1" customHeight="1" x14ac:dyDescent="0.25">
      <c r="A7091" s="1145">
        <v>45502</v>
      </c>
      <c r="B7091" s="664" t="s">
        <v>2261</v>
      </c>
      <c r="C7091" s="71" t="s">
        <v>3299</v>
      </c>
      <c r="D7091" s="71">
        <v>10</v>
      </c>
      <c r="E7091" s="102">
        <v>52000</v>
      </c>
      <c r="F7091" s="102">
        <f t="shared" si="3909"/>
        <v>572000</v>
      </c>
      <c r="G7091" s="102">
        <f t="shared" si="3910"/>
        <v>520000</v>
      </c>
      <c r="H7091" s="690" t="s">
        <v>172</v>
      </c>
      <c r="I7091" s="71" t="s">
        <v>180</v>
      </c>
      <c r="J7091" s="53">
        <f t="shared" si="3911"/>
        <v>45000</v>
      </c>
      <c r="K7091" s="63">
        <f t="shared" si="3912"/>
        <v>8.6538461538461536E-2</v>
      </c>
      <c r="L7091" s="1212" t="s">
        <v>4181</v>
      </c>
      <c r="M7091" s="468" t="s">
        <v>3835</v>
      </c>
      <c r="N7091" s="1192">
        <f t="shared" si="3913"/>
        <v>45502</v>
      </c>
      <c r="O7091" s="71" t="s">
        <v>175</v>
      </c>
      <c r="P7091" s="103" t="str">
        <f t="shared" si="3914"/>
        <v>매엽용 세척제(Wash k11)</v>
      </c>
      <c r="Q7091" s="71">
        <f t="shared" si="3888"/>
        <v>10</v>
      </c>
      <c r="R7091" s="102">
        <v>47500</v>
      </c>
      <c r="S7091" s="102">
        <f t="shared" si="3901"/>
        <v>522500.00000000006</v>
      </c>
      <c r="T7091" s="102">
        <f t="shared" si="3902"/>
        <v>475000</v>
      </c>
      <c r="U7091" s="71" t="s">
        <v>859</v>
      </c>
      <c r="V7091" s="71"/>
      <c r="W7091" s="474"/>
      <c r="X7091" s="71"/>
      <c r="Y7091" s="71"/>
    </row>
    <row r="7092" spans="1:25" ht="30" hidden="1" customHeight="1" x14ac:dyDescent="0.25">
      <c r="A7092" s="1145">
        <v>45512</v>
      </c>
      <c r="B7092" s="664" t="s">
        <v>2261</v>
      </c>
      <c r="C7092" s="760" t="s">
        <v>181</v>
      </c>
      <c r="D7092" s="71">
        <v>10</v>
      </c>
      <c r="E7092" s="102">
        <v>193000</v>
      </c>
      <c r="F7092" s="102">
        <f t="shared" si="3909"/>
        <v>2123000</v>
      </c>
      <c r="G7092" s="102">
        <f t="shared" si="3910"/>
        <v>1930000</v>
      </c>
      <c r="H7092" s="690" t="s">
        <v>2029</v>
      </c>
      <c r="I7092" s="71" t="s">
        <v>182</v>
      </c>
      <c r="J7092" s="53">
        <f t="shared" si="3911"/>
        <v>690000</v>
      </c>
      <c r="K7092" s="63">
        <f t="shared" si="3912"/>
        <v>0.35751295336787564</v>
      </c>
      <c r="L7092" s="1212" t="s">
        <v>4181</v>
      </c>
      <c r="M7092" s="468"/>
      <c r="N7092" s="1192">
        <f t="shared" si="3913"/>
        <v>45512</v>
      </c>
      <c r="O7092" s="71" t="s">
        <v>2030</v>
      </c>
      <c r="P7092" s="103" t="str">
        <f t="shared" si="3914"/>
        <v>Fount Web 551AF</v>
      </c>
      <c r="Q7092" s="71">
        <f t="shared" si="3888"/>
        <v>10</v>
      </c>
      <c r="R7092" s="102">
        <v>124000</v>
      </c>
      <c r="S7092" s="102">
        <f t="shared" si="3901"/>
        <v>1364000</v>
      </c>
      <c r="T7092" s="102">
        <f t="shared" si="3902"/>
        <v>1240000</v>
      </c>
      <c r="U7092" s="71" t="str">
        <f>IF(J7092=W7092,"O", "X")</f>
        <v>X</v>
      </c>
      <c r="V7092" s="71"/>
      <c r="W7092" s="474">
        <v>640000</v>
      </c>
      <c r="X7092" s="71"/>
      <c r="Y7092" s="71"/>
    </row>
    <row r="7093" spans="1:25" ht="30" hidden="1" customHeight="1" x14ac:dyDescent="0.25">
      <c r="A7093" s="1145">
        <v>45512</v>
      </c>
      <c r="B7093" s="664" t="s">
        <v>2261</v>
      </c>
      <c r="C7093" s="71" t="s">
        <v>277</v>
      </c>
      <c r="D7093" s="71">
        <v>10</v>
      </c>
      <c r="E7093" s="102">
        <v>172000</v>
      </c>
      <c r="F7093" s="102">
        <f t="shared" ref="F7093" si="3915">(E7093*D7093)*1.1</f>
        <v>1892000.0000000002</v>
      </c>
      <c r="G7093" s="102">
        <f t="shared" ref="G7093" si="3916">(E7093*D7093)</f>
        <v>1720000</v>
      </c>
      <c r="H7093" s="690" t="s">
        <v>172</v>
      </c>
      <c r="I7093" s="71" t="s">
        <v>108</v>
      </c>
      <c r="J7093" s="53">
        <f t="shared" ref="J7093" si="3917">G7093-T7093</f>
        <v>390000</v>
      </c>
      <c r="K7093" s="63">
        <f t="shared" ref="K7093" si="3918">(J7093/(F7093/11*10))</f>
        <v>0.22674418604651159</v>
      </c>
      <c r="L7093" s="1212" t="s">
        <v>4181</v>
      </c>
      <c r="M7093" s="468"/>
      <c r="N7093" s="1192">
        <f t="shared" ref="N7093" si="3919">A7093</f>
        <v>45512</v>
      </c>
      <c r="O7093" s="71" t="s">
        <v>662</v>
      </c>
      <c r="P7093" s="103" t="str">
        <f t="shared" ref="P7093" si="3920">(C7093)</f>
        <v>윤전용 세척제(Web 504)</v>
      </c>
      <c r="Q7093" s="71">
        <f t="shared" ref="Q7093" si="3921">D7093</f>
        <v>10</v>
      </c>
      <c r="R7093" s="102">
        <v>133000</v>
      </c>
      <c r="S7093" s="102">
        <f t="shared" ref="S7093" si="3922">R7093*Q7093*1.1</f>
        <v>1463000.0000000002</v>
      </c>
      <c r="T7093" s="102">
        <f t="shared" ref="T7093" si="3923">R7093*Q7093</f>
        <v>1330000</v>
      </c>
      <c r="U7093" s="71" t="str">
        <f>IF(J7093=W7093,"O", "X")</f>
        <v>X</v>
      </c>
      <c r="V7093" s="71"/>
      <c r="W7093" s="474"/>
      <c r="X7093" s="71"/>
      <c r="Y7093" s="71"/>
    </row>
    <row r="7094" spans="1:25" ht="30" hidden="1" customHeight="1" x14ac:dyDescent="0.25">
      <c r="A7094" s="1145">
        <v>45512</v>
      </c>
      <c r="B7094" s="664" t="s">
        <v>2261</v>
      </c>
      <c r="C7094" s="71" t="s">
        <v>3299</v>
      </c>
      <c r="D7094" s="71">
        <v>10</v>
      </c>
      <c r="E7094" s="102">
        <v>52000</v>
      </c>
      <c r="F7094" s="102">
        <f t="shared" ref="F7094:F7096" si="3924">(E7094*D7094)*1.1</f>
        <v>572000</v>
      </c>
      <c r="G7094" s="102">
        <f t="shared" ref="G7094:G7096" si="3925">(E7094*D7094)</f>
        <v>520000</v>
      </c>
      <c r="H7094" s="690" t="s">
        <v>172</v>
      </c>
      <c r="I7094" s="71" t="s">
        <v>180</v>
      </c>
      <c r="J7094" s="53">
        <f t="shared" ref="J7094:J7096" si="3926">G7094-T7094</f>
        <v>45000</v>
      </c>
      <c r="K7094" s="63">
        <f t="shared" ref="K7094:K7096" si="3927">(J7094/(F7094/11*10))</f>
        <v>8.6538461538461536E-2</v>
      </c>
      <c r="L7094" s="1212" t="s">
        <v>4181</v>
      </c>
      <c r="M7094" s="468" t="s">
        <v>3835</v>
      </c>
      <c r="N7094" s="1192">
        <f t="shared" ref="N7094:N7096" si="3928">A7094</f>
        <v>45512</v>
      </c>
      <c r="O7094" s="71" t="s">
        <v>175</v>
      </c>
      <c r="P7094" s="103" t="str">
        <f t="shared" ref="P7094:P7096" si="3929">(C7094)</f>
        <v>매엽용 세척제(Wash k11)</v>
      </c>
      <c r="Q7094" s="71">
        <f t="shared" ref="Q7094:Q7096" si="3930">D7094</f>
        <v>10</v>
      </c>
      <c r="R7094" s="102">
        <v>47500</v>
      </c>
      <c r="S7094" s="102">
        <f t="shared" ref="S7094:S7096" si="3931">R7094*Q7094*1.1</f>
        <v>522500.00000000006</v>
      </c>
      <c r="T7094" s="102">
        <f t="shared" ref="T7094:T7096" si="3932">R7094*Q7094</f>
        <v>475000</v>
      </c>
      <c r="U7094" s="71" t="s">
        <v>859</v>
      </c>
      <c r="V7094" s="71"/>
      <c r="W7094" s="474"/>
      <c r="X7094" s="71"/>
      <c r="Y7094" s="71"/>
    </row>
    <row r="7095" spans="1:25" ht="30" hidden="1" customHeight="1" x14ac:dyDescent="0.25">
      <c r="A7095" s="1145">
        <v>45518</v>
      </c>
      <c r="B7095" s="664" t="s">
        <v>2261</v>
      </c>
      <c r="C7095" s="71" t="s">
        <v>3299</v>
      </c>
      <c r="D7095" s="71">
        <v>10</v>
      </c>
      <c r="E7095" s="102">
        <v>52000</v>
      </c>
      <c r="F7095" s="102">
        <f t="shared" si="3924"/>
        <v>572000</v>
      </c>
      <c r="G7095" s="102">
        <f t="shared" si="3925"/>
        <v>520000</v>
      </c>
      <c r="H7095" s="690" t="s">
        <v>172</v>
      </c>
      <c r="I7095" s="71" t="s">
        <v>180</v>
      </c>
      <c r="J7095" s="53">
        <f t="shared" si="3926"/>
        <v>45000</v>
      </c>
      <c r="K7095" s="63">
        <f t="shared" si="3927"/>
        <v>8.6538461538461536E-2</v>
      </c>
      <c r="L7095" s="1212" t="s">
        <v>4181</v>
      </c>
      <c r="M7095" s="468" t="s">
        <v>3835</v>
      </c>
      <c r="N7095" s="1192">
        <f t="shared" si="3928"/>
        <v>45518</v>
      </c>
      <c r="O7095" s="71" t="s">
        <v>175</v>
      </c>
      <c r="P7095" s="103" t="str">
        <f t="shared" si="3929"/>
        <v>매엽용 세척제(Wash k11)</v>
      </c>
      <c r="Q7095" s="71">
        <f t="shared" si="3930"/>
        <v>10</v>
      </c>
      <c r="R7095" s="102">
        <v>47500</v>
      </c>
      <c r="S7095" s="102">
        <f t="shared" si="3931"/>
        <v>522500.00000000006</v>
      </c>
      <c r="T7095" s="102">
        <f t="shared" si="3932"/>
        <v>475000</v>
      </c>
      <c r="U7095" s="71" t="s">
        <v>859</v>
      </c>
      <c r="V7095" s="71"/>
      <c r="W7095" s="474"/>
      <c r="X7095" s="71"/>
      <c r="Y7095" s="71"/>
    </row>
    <row r="7096" spans="1:25" ht="30" hidden="1" customHeight="1" x14ac:dyDescent="0.25">
      <c r="A7096" s="1145">
        <v>45524</v>
      </c>
      <c r="B7096" s="664" t="s">
        <v>2261</v>
      </c>
      <c r="C7096" s="71" t="s">
        <v>277</v>
      </c>
      <c r="D7096" s="71">
        <v>10</v>
      </c>
      <c r="E7096" s="102">
        <v>172000</v>
      </c>
      <c r="F7096" s="102">
        <f t="shared" si="3924"/>
        <v>1892000.0000000002</v>
      </c>
      <c r="G7096" s="102">
        <f t="shared" si="3925"/>
        <v>1720000</v>
      </c>
      <c r="H7096" s="690" t="s">
        <v>172</v>
      </c>
      <c r="I7096" s="71" t="s">
        <v>108</v>
      </c>
      <c r="J7096" s="53">
        <f t="shared" si="3926"/>
        <v>390000</v>
      </c>
      <c r="K7096" s="63">
        <f t="shared" si="3927"/>
        <v>0.22674418604651159</v>
      </c>
      <c r="L7096" s="1212" t="s">
        <v>4181</v>
      </c>
      <c r="M7096" s="468"/>
      <c r="N7096" s="1192">
        <f t="shared" si="3928"/>
        <v>45524</v>
      </c>
      <c r="O7096" s="71" t="s">
        <v>662</v>
      </c>
      <c r="P7096" s="103" t="str">
        <f t="shared" si="3929"/>
        <v>윤전용 세척제(Web 504)</v>
      </c>
      <c r="Q7096" s="71">
        <f t="shared" si="3930"/>
        <v>10</v>
      </c>
      <c r="R7096" s="102">
        <v>133000</v>
      </c>
      <c r="S7096" s="102">
        <f t="shared" si="3931"/>
        <v>1463000.0000000002</v>
      </c>
      <c r="T7096" s="102">
        <f t="shared" si="3932"/>
        <v>1330000</v>
      </c>
      <c r="U7096" s="71" t="str">
        <f>IF(J7096=W7096,"O", "X")</f>
        <v>X</v>
      </c>
      <c r="V7096" s="71"/>
      <c r="W7096" s="474"/>
      <c r="X7096" s="71"/>
      <c r="Y7096" s="71"/>
    </row>
    <row r="7097" spans="1:25" ht="30" hidden="1" customHeight="1" x14ac:dyDescent="0.25">
      <c r="A7097" s="1145">
        <v>45524</v>
      </c>
      <c r="B7097" s="664" t="s">
        <v>2261</v>
      </c>
      <c r="C7097" s="71" t="s">
        <v>3299</v>
      </c>
      <c r="D7097" s="71">
        <v>10</v>
      </c>
      <c r="E7097" s="102">
        <v>52000</v>
      </c>
      <c r="F7097" s="102">
        <f t="shared" ref="F7097:F7098" si="3933">(E7097*D7097)*1.1</f>
        <v>572000</v>
      </c>
      <c r="G7097" s="102">
        <f t="shared" ref="G7097:G7098" si="3934">(E7097*D7097)</f>
        <v>520000</v>
      </c>
      <c r="H7097" s="690" t="s">
        <v>172</v>
      </c>
      <c r="I7097" s="71" t="s">
        <v>180</v>
      </c>
      <c r="J7097" s="53">
        <f t="shared" ref="J7097:J7098" si="3935">G7097-T7097</f>
        <v>45000</v>
      </c>
      <c r="K7097" s="63">
        <f t="shared" ref="K7097:K7098" si="3936">(J7097/(F7097/11*10))</f>
        <v>8.6538461538461536E-2</v>
      </c>
      <c r="L7097" s="1212" t="s">
        <v>4181</v>
      </c>
      <c r="M7097" s="468" t="s">
        <v>3835</v>
      </c>
      <c r="N7097" s="1192">
        <f t="shared" ref="N7097:N7098" si="3937">A7097</f>
        <v>45524</v>
      </c>
      <c r="O7097" s="71" t="s">
        <v>175</v>
      </c>
      <c r="P7097" s="103" t="str">
        <f t="shared" ref="P7097:P7098" si="3938">(C7097)</f>
        <v>매엽용 세척제(Wash k11)</v>
      </c>
      <c r="Q7097" s="71">
        <f t="shared" ref="Q7097:Q7098" si="3939">D7097</f>
        <v>10</v>
      </c>
      <c r="R7097" s="102">
        <v>47500</v>
      </c>
      <c r="S7097" s="102">
        <f t="shared" ref="S7097:S7098" si="3940">R7097*Q7097*1.1</f>
        <v>522500.00000000006</v>
      </c>
      <c r="T7097" s="102">
        <f t="shared" ref="T7097:T7098" si="3941">R7097*Q7097</f>
        <v>475000</v>
      </c>
      <c r="U7097" s="71" t="s">
        <v>859</v>
      </c>
      <c r="V7097" s="71"/>
      <c r="W7097" s="474"/>
      <c r="X7097" s="71"/>
      <c r="Y7097" s="71"/>
    </row>
    <row r="7098" spans="1:25" ht="30" hidden="1" customHeight="1" x14ac:dyDescent="0.25">
      <c r="A7098" s="1145">
        <v>45533</v>
      </c>
      <c r="B7098" s="664" t="s">
        <v>2261</v>
      </c>
      <c r="C7098" s="71" t="s">
        <v>277</v>
      </c>
      <c r="D7098" s="71">
        <v>5</v>
      </c>
      <c r="E7098" s="102">
        <v>172000</v>
      </c>
      <c r="F7098" s="102">
        <f t="shared" si="3933"/>
        <v>946000.00000000012</v>
      </c>
      <c r="G7098" s="102">
        <f t="shared" si="3934"/>
        <v>860000</v>
      </c>
      <c r="H7098" s="690" t="s">
        <v>172</v>
      </c>
      <c r="I7098" s="71" t="s">
        <v>108</v>
      </c>
      <c r="J7098" s="53">
        <f t="shared" si="3935"/>
        <v>195000</v>
      </c>
      <c r="K7098" s="63">
        <f t="shared" si="3936"/>
        <v>0.22674418604651159</v>
      </c>
      <c r="L7098" s="1212" t="s">
        <v>4181</v>
      </c>
      <c r="M7098" s="468"/>
      <c r="N7098" s="1192">
        <f t="shared" si="3937"/>
        <v>45533</v>
      </c>
      <c r="O7098" s="71" t="s">
        <v>662</v>
      </c>
      <c r="P7098" s="103" t="str">
        <f t="shared" si="3938"/>
        <v>윤전용 세척제(Web 504)</v>
      </c>
      <c r="Q7098" s="71">
        <f t="shared" si="3939"/>
        <v>5</v>
      </c>
      <c r="R7098" s="102">
        <v>133000</v>
      </c>
      <c r="S7098" s="102">
        <f t="shared" si="3940"/>
        <v>731500.00000000012</v>
      </c>
      <c r="T7098" s="102">
        <f t="shared" si="3941"/>
        <v>665000</v>
      </c>
      <c r="U7098" s="71" t="str">
        <f>IF(J7098=W7098,"O", "X")</f>
        <v>X</v>
      </c>
      <c r="V7098" s="71"/>
      <c r="W7098" s="474"/>
      <c r="X7098" s="71"/>
      <c r="Y7098" s="71"/>
    </row>
    <row r="7099" spans="1:25" ht="30" hidden="1" customHeight="1" x14ac:dyDescent="0.25">
      <c r="A7099" s="1145">
        <v>45533</v>
      </c>
      <c r="B7099" s="664" t="s">
        <v>2261</v>
      </c>
      <c r="C7099" s="71" t="s">
        <v>3299</v>
      </c>
      <c r="D7099" s="71">
        <v>5</v>
      </c>
      <c r="E7099" s="102">
        <v>52000</v>
      </c>
      <c r="F7099" s="102">
        <f t="shared" ref="F7099:F7102" si="3942">(E7099*D7099)*1.1</f>
        <v>286000</v>
      </c>
      <c r="G7099" s="102">
        <f t="shared" ref="G7099:G7102" si="3943">(E7099*D7099)</f>
        <v>260000</v>
      </c>
      <c r="H7099" s="690" t="s">
        <v>172</v>
      </c>
      <c r="I7099" s="71" t="s">
        <v>180</v>
      </c>
      <c r="J7099" s="53">
        <f t="shared" ref="J7099:J7100" si="3944">G7099-T7099</f>
        <v>22500</v>
      </c>
      <c r="K7099" s="63">
        <f t="shared" ref="K7099:K7100" si="3945">(J7099/(F7099/11*10))</f>
        <v>8.6538461538461536E-2</v>
      </c>
      <c r="L7099" s="1212" t="s">
        <v>4181</v>
      </c>
      <c r="M7099" s="468" t="s">
        <v>3835</v>
      </c>
      <c r="N7099" s="1192">
        <f t="shared" ref="N7099:N7100" si="3946">A7099</f>
        <v>45533</v>
      </c>
      <c r="O7099" s="71" t="s">
        <v>175</v>
      </c>
      <c r="P7099" s="103" t="str">
        <f t="shared" ref="P7099:P7102" si="3947">(C7099)</f>
        <v>매엽용 세척제(Wash k11)</v>
      </c>
      <c r="Q7099" s="71">
        <f t="shared" ref="Q7099:Q7102" si="3948">D7099</f>
        <v>5</v>
      </c>
      <c r="R7099" s="102">
        <v>47500</v>
      </c>
      <c r="S7099" s="102">
        <f t="shared" ref="S7099:S7100" si="3949">R7099*Q7099*1.1</f>
        <v>261250.00000000003</v>
      </c>
      <c r="T7099" s="102">
        <f t="shared" ref="T7099:T7100" si="3950">R7099*Q7099</f>
        <v>237500</v>
      </c>
      <c r="U7099" s="71" t="s">
        <v>859</v>
      </c>
      <c r="V7099" s="71"/>
      <c r="W7099" s="474"/>
      <c r="X7099" s="71"/>
      <c r="Y7099" s="71"/>
    </row>
    <row r="7100" spans="1:25" ht="30" hidden="1" customHeight="1" x14ac:dyDescent="0.25">
      <c r="A7100" s="1145">
        <v>45524</v>
      </c>
      <c r="B7100" s="664" t="s">
        <v>1513</v>
      </c>
      <c r="C7100" s="71" t="s">
        <v>3931</v>
      </c>
      <c r="D7100" s="71">
        <v>2</v>
      </c>
      <c r="E7100" s="102">
        <v>180000</v>
      </c>
      <c r="F7100" s="102">
        <f t="shared" si="3942"/>
        <v>396000.00000000006</v>
      </c>
      <c r="G7100" s="102">
        <f t="shared" si="3943"/>
        <v>360000</v>
      </c>
      <c r="H7100" s="690"/>
      <c r="I7100" s="71"/>
      <c r="J7100" s="53">
        <f t="shared" si="3944"/>
        <v>40000</v>
      </c>
      <c r="K7100" s="63">
        <f t="shared" si="3945"/>
        <v>0.11111111111111109</v>
      </c>
      <c r="L7100" s="1212" t="s">
        <v>4181</v>
      </c>
      <c r="M7100" s="102"/>
      <c r="N7100" s="1192">
        <f t="shared" si="3946"/>
        <v>45524</v>
      </c>
      <c r="O7100" s="71" t="s">
        <v>2030</v>
      </c>
      <c r="P7100" s="103" t="str">
        <f t="shared" si="3947"/>
        <v>metering piston 도져 부품</v>
      </c>
      <c r="Q7100" s="71">
        <f t="shared" si="3948"/>
        <v>2</v>
      </c>
      <c r="R7100" s="102">
        <v>160000</v>
      </c>
      <c r="S7100" s="102">
        <f t="shared" si="3949"/>
        <v>352000</v>
      </c>
      <c r="T7100" s="102">
        <f t="shared" si="3950"/>
        <v>320000</v>
      </c>
      <c r="U7100" s="71"/>
      <c r="V7100" s="71"/>
      <c r="W7100" s="474"/>
      <c r="X7100" s="71"/>
      <c r="Y7100" s="71"/>
    </row>
    <row r="7101" spans="1:25" ht="30" hidden="1" customHeight="1" x14ac:dyDescent="0.25">
      <c r="A7101" s="1145">
        <v>45503</v>
      </c>
      <c r="B7101" s="664" t="s">
        <v>809</v>
      </c>
      <c r="C7101" s="71" t="s">
        <v>4028</v>
      </c>
      <c r="D7101" s="71">
        <v>15</v>
      </c>
      <c r="E7101" s="102">
        <v>125000</v>
      </c>
      <c r="F7101" s="102">
        <f t="shared" si="3942"/>
        <v>2062500.0000000002</v>
      </c>
      <c r="G7101" s="102">
        <f t="shared" si="3943"/>
        <v>1875000</v>
      </c>
      <c r="H7101" s="690" t="s">
        <v>172</v>
      </c>
      <c r="I7101" s="71" t="s">
        <v>33</v>
      </c>
      <c r="J7101" s="53">
        <f t="shared" ref="J7101:J7102" si="3951">G7101-T7101</f>
        <v>295500</v>
      </c>
      <c r="K7101" s="63">
        <f t="shared" ref="K7101:K7102" si="3952">(J7101/(F7101/11*10))</f>
        <v>0.15759999999999999</v>
      </c>
      <c r="L7101" s="1212" t="s">
        <v>4181</v>
      </c>
      <c r="M7101" s="102"/>
      <c r="N7101" s="1192"/>
      <c r="O7101" s="71" t="s">
        <v>147</v>
      </c>
      <c r="P7101" s="103" t="str">
        <f t="shared" si="3947"/>
        <v>Blanket(1077*885)</v>
      </c>
      <c r="Q7101" s="71">
        <f t="shared" si="3948"/>
        <v>15</v>
      </c>
      <c r="R7101" s="102">
        <v>105300</v>
      </c>
      <c r="S7101" s="102">
        <f t="shared" ref="S7101:S7102" si="3953">R7101*Q7101*1.1</f>
        <v>1737450.0000000002</v>
      </c>
      <c r="T7101" s="102">
        <f t="shared" ref="T7101:T7102" si="3954">R7101*Q7101</f>
        <v>1579500</v>
      </c>
      <c r="U7101" s="71"/>
      <c r="V7101" s="71"/>
      <c r="W7101" s="474"/>
      <c r="X7101" s="71"/>
      <c r="Y7101" s="71"/>
    </row>
    <row r="7102" spans="1:25" ht="30" hidden="1" customHeight="1" x14ac:dyDescent="0.25">
      <c r="A7102" s="1145">
        <v>45503</v>
      </c>
      <c r="B7102" s="664" t="s">
        <v>18</v>
      </c>
      <c r="C7102" s="71" t="s">
        <v>2070</v>
      </c>
      <c r="D7102" s="71">
        <v>10</v>
      </c>
      <c r="E7102" s="102">
        <v>115000</v>
      </c>
      <c r="F7102" s="102">
        <f t="shared" si="3942"/>
        <v>1265000</v>
      </c>
      <c r="G7102" s="102">
        <f t="shared" si="3943"/>
        <v>1150000</v>
      </c>
      <c r="H7102" s="690" t="s">
        <v>172</v>
      </c>
      <c r="I7102" s="71" t="s">
        <v>33</v>
      </c>
      <c r="J7102" s="53">
        <f t="shared" si="3951"/>
        <v>168000</v>
      </c>
      <c r="K7102" s="63">
        <f t="shared" si="3952"/>
        <v>0.14608695652173914</v>
      </c>
      <c r="L7102" s="1212" t="s">
        <v>4181</v>
      </c>
      <c r="M7102" s="468"/>
      <c r="N7102" s="1192">
        <f t="shared" ref="N7102" si="3955">A7102</f>
        <v>45503</v>
      </c>
      <c r="O7102" s="71" t="s">
        <v>146</v>
      </c>
      <c r="P7102" s="103" t="str">
        <f t="shared" si="3947"/>
        <v>Blanket(1050*840)</v>
      </c>
      <c r="Q7102" s="71">
        <f t="shared" si="3948"/>
        <v>10</v>
      </c>
      <c r="R7102" s="102">
        <v>98200</v>
      </c>
      <c r="S7102" s="102">
        <f t="shared" si="3953"/>
        <v>1080200</v>
      </c>
      <c r="T7102" s="102">
        <f t="shared" si="3954"/>
        <v>982000</v>
      </c>
      <c r="U7102" s="71" t="s">
        <v>859</v>
      </c>
      <c r="V7102" s="71"/>
      <c r="W7102" s="474"/>
      <c r="X7102" s="71"/>
      <c r="Y7102" s="71"/>
    </row>
    <row r="7103" spans="1:25" ht="30" hidden="1" customHeight="1" x14ac:dyDescent="0.25">
      <c r="A7103" s="1145">
        <v>45503</v>
      </c>
      <c r="B7103" s="664" t="s">
        <v>548</v>
      </c>
      <c r="C7103" s="71" t="s">
        <v>3384</v>
      </c>
      <c r="D7103" s="71">
        <v>300</v>
      </c>
      <c r="E7103" s="102">
        <v>450</v>
      </c>
      <c r="F7103" s="102">
        <f>(E7103*D7103)*1.1</f>
        <v>148500</v>
      </c>
      <c r="G7103" s="102">
        <f>(E7103*D7103)</f>
        <v>135000</v>
      </c>
      <c r="H7103" s="690" t="s">
        <v>2029</v>
      </c>
      <c r="I7103" s="71" t="s">
        <v>3385</v>
      </c>
      <c r="J7103" s="53">
        <f t="shared" ref="J7103:J7109" si="3956">G7103-T7103</f>
        <v>39000</v>
      </c>
      <c r="K7103" s="63">
        <f t="shared" ref="K7103:K7109" si="3957">(J7103/(F7103/11*10))</f>
        <v>0.28888888888888886</v>
      </c>
      <c r="L7103" s="1212" t="s">
        <v>4181</v>
      </c>
      <c r="M7103" s="468"/>
      <c r="N7103" s="1192">
        <f t="shared" ref="N7103:N7107" si="3958">A7103</f>
        <v>45503</v>
      </c>
      <c r="O7103" s="71" t="s">
        <v>2030</v>
      </c>
      <c r="P7103" s="103" t="str">
        <f t="shared" ref="P7103:P7105" si="3959">(C7103)</f>
        <v>고무사카 빨간색</v>
      </c>
      <c r="Q7103" s="71">
        <f t="shared" ref="Q7103:Q7111" si="3960">D7103</f>
        <v>300</v>
      </c>
      <c r="R7103" s="102">
        <v>320</v>
      </c>
      <c r="S7103" s="102">
        <f t="shared" ref="S7103:S7109" si="3961">R7103*Q7103*1.1</f>
        <v>105600.00000000001</v>
      </c>
      <c r="T7103" s="102">
        <f t="shared" ref="T7103:T7109" si="3962">R7103*Q7103</f>
        <v>96000</v>
      </c>
      <c r="U7103" s="71"/>
      <c r="V7103" s="71"/>
      <c r="W7103" s="474"/>
      <c r="X7103" s="71"/>
      <c r="Y7103" s="71"/>
    </row>
    <row r="7104" spans="1:25" ht="30" hidden="1" customHeight="1" x14ac:dyDescent="0.25">
      <c r="A7104" s="1145">
        <v>45503</v>
      </c>
      <c r="B7104" s="664" t="s">
        <v>548</v>
      </c>
      <c r="C7104" s="71" t="s">
        <v>3382</v>
      </c>
      <c r="D7104" s="71">
        <v>1</v>
      </c>
      <c r="E7104" s="102">
        <v>168000</v>
      </c>
      <c r="F7104" s="102">
        <f t="shared" ref="F7104:F7111" si="3963">(E7104*D7104)*1.1</f>
        <v>184800.00000000003</v>
      </c>
      <c r="G7104" s="102">
        <f t="shared" ref="G7104:G7107" si="3964">(E7104*D7104)</f>
        <v>168000</v>
      </c>
      <c r="H7104" s="690" t="s">
        <v>2029</v>
      </c>
      <c r="I7104" s="71" t="s">
        <v>180</v>
      </c>
      <c r="J7104" s="53">
        <f t="shared" si="3956"/>
        <v>48000</v>
      </c>
      <c r="K7104" s="63">
        <f t="shared" si="3957"/>
        <v>0.28571428571428564</v>
      </c>
      <c r="L7104" s="1212" t="s">
        <v>4181</v>
      </c>
      <c r="M7104" s="468"/>
      <c r="N7104" s="1192">
        <f t="shared" si="3958"/>
        <v>45503</v>
      </c>
      <c r="O7104" s="71" t="s">
        <v>3383</v>
      </c>
      <c r="P7104" s="103" t="str">
        <f t="shared" si="3959"/>
        <v>판 클리너(12개)</v>
      </c>
      <c r="Q7104" s="71">
        <f t="shared" si="3960"/>
        <v>1</v>
      </c>
      <c r="R7104" s="102">
        <v>120000</v>
      </c>
      <c r="S7104" s="102">
        <f t="shared" si="3961"/>
        <v>132000</v>
      </c>
      <c r="T7104" s="102">
        <f t="shared" si="3962"/>
        <v>120000</v>
      </c>
      <c r="U7104" s="71" t="str">
        <f>IF(J7104=W7104,"O", "X")</f>
        <v>X</v>
      </c>
      <c r="V7104" s="71"/>
      <c r="W7104" s="474"/>
      <c r="X7104" s="71"/>
      <c r="Y7104" s="71"/>
    </row>
    <row r="7105" spans="1:25" ht="30" hidden="1" customHeight="1" x14ac:dyDescent="0.25">
      <c r="A7105" s="1145">
        <v>45526</v>
      </c>
      <c r="B7105" s="664" t="s">
        <v>3296</v>
      </c>
      <c r="C7105" s="71" t="s">
        <v>3297</v>
      </c>
      <c r="D7105" s="71">
        <v>20</v>
      </c>
      <c r="E7105" s="102">
        <v>162500</v>
      </c>
      <c r="F7105" s="102">
        <f t="shared" si="3963"/>
        <v>3575000.0000000005</v>
      </c>
      <c r="G7105" s="102">
        <f t="shared" si="3964"/>
        <v>3250000</v>
      </c>
      <c r="H7105" s="690" t="s">
        <v>172</v>
      </c>
      <c r="I7105" s="71" t="s">
        <v>3295</v>
      </c>
      <c r="J7105" s="53">
        <f t="shared" si="3956"/>
        <v>850000</v>
      </c>
      <c r="K7105" s="63">
        <f t="shared" si="3957"/>
        <v>0.2615384615384615</v>
      </c>
      <c r="L7105" s="1212" t="s">
        <v>4181</v>
      </c>
      <c r="M7105" s="468"/>
      <c r="N7105" s="1192">
        <f t="shared" si="3958"/>
        <v>45526</v>
      </c>
      <c r="O7105" s="71" t="s">
        <v>662</v>
      </c>
      <c r="P7105" s="103" t="str">
        <f t="shared" si="3959"/>
        <v>실리콘 에멀전</v>
      </c>
      <c r="Q7105" s="71">
        <f t="shared" si="3960"/>
        <v>20</v>
      </c>
      <c r="R7105" s="102">
        <v>120000</v>
      </c>
      <c r="S7105" s="102">
        <f t="shared" si="3961"/>
        <v>2640000</v>
      </c>
      <c r="T7105" s="102">
        <f t="shared" si="3962"/>
        <v>2400000</v>
      </c>
      <c r="U7105" s="71" t="str">
        <f t="shared" ref="U7105" si="3965">IF(J7105=W7105,"O", "X")</f>
        <v>X</v>
      </c>
      <c r="V7105" s="71"/>
      <c r="W7105" s="474"/>
      <c r="X7105" s="71"/>
      <c r="Y7105" s="71"/>
    </row>
    <row r="7106" spans="1:25" s="209" customFormat="1" ht="30" hidden="1" customHeight="1" x14ac:dyDescent="0.25">
      <c r="A7106" s="1145">
        <v>45525</v>
      </c>
      <c r="B7106" s="664" t="s">
        <v>442</v>
      </c>
      <c r="C7106" s="71" t="s">
        <v>3833</v>
      </c>
      <c r="D7106" s="71">
        <v>1000</v>
      </c>
      <c r="E7106" s="102">
        <v>4250</v>
      </c>
      <c r="F7106" s="102">
        <f t="shared" si="3963"/>
        <v>4675000</v>
      </c>
      <c r="G7106" s="102">
        <f t="shared" si="3964"/>
        <v>4250000</v>
      </c>
      <c r="H7106" s="690" t="s">
        <v>2029</v>
      </c>
      <c r="I7106" s="71" t="s">
        <v>2230</v>
      </c>
      <c r="J7106" s="53">
        <f t="shared" si="3956"/>
        <v>800000</v>
      </c>
      <c r="K7106" s="63">
        <f t="shared" si="3957"/>
        <v>0.18823529411764706</v>
      </c>
      <c r="L7106" s="1212" t="s">
        <v>4181</v>
      </c>
      <c r="M7106" s="468"/>
      <c r="N7106" s="1192">
        <f t="shared" si="3958"/>
        <v>45525</v>
      </c>
      <c r="O7106" s="71" t="s">
        <v>2030</v>
      </c>
      <c r="P7106" s="164" t="s">
        <v>3777</v>
      </c>
      <c r="Q7106" s="71">
        <f t="shared" si="3960"/>
        <v>1000</v>
      </c>
      <c r="R7106" s="102">
        <v>3450</v>
      </c>
      <c r="S7106" s="102">
        <f t="shared" si="3961"/>
        <v>3795000.0000000005</v>
      </c>
      <c r="T7106" s="102">
        <f t="shared" si="3962"/>
        <v>3450000</v>
      </c>
      <c r="U7106" s="71"/>
      <c r="V7106" s="71"/>
      <c r="W7106" s="474"/>
      <c r="X7106" s="71"/>
      <c r="Y7106" s="71"/>
    </row>
    <row r="7107" spans="1:25" ht="30" hidden="1" customHeight="1" x14ac:dyDescent="0.25">
      <c r="A7107" s="1145">
        <v>45525</v>
      </c>
      <c r="B7107" s="664" t="s">
        <v>442</v>
      </c>
      <c r="C7107" s="71" t="s">
        <v>3834</v>
      </c>
      <c r="D7107" s="71">
        <v>12</v>
      </c>
      <c r="E7107" s="102">
        <v>57000</v>
      </c>
      <c r="F7107" s="102">
        <f t="shared" si="3963"/>
        <v>752400.00000000012</v>
      </c>
      <c r="G7107" s="102">
        <f t="shared" si="3964"/>
        <v>684000</v>
      </c>
      <c r="H7107" s="690" t="s">
        <v>2029</v>
      </c>
      <c r="I7107" s="71" t="s">
        <v>2230</v>
      </c>
      <c r="J7107" s="53">
        <f t="shared" si="3956"/>
        <v>208080</v>
      </c>
      <c r="K7107" s="63">
        <f t="shared" si="3957"/>
        <v>0.30421052631578943</v>
      </c>
      <c r="L7107" s="1212" t="s">
        <v>4181</v>
      </c>
      <c r="M7107" s="468"/>
      <c r="N7107" s="1192">
        <f t="shared" si="3958"/>
        <v>45525</v>
      </c>
      <c r="O7107" s="71" t="s">
        <v>2030</v>
      </c>
      <c r="P7107" s="103" t="s">
        <v>1026</v>
      </c>
      <c r="Q7107" s="71">
        <f t="shared" si="3960"/>
        <v>12</v>
      </c>
      <c r="R7107" s="102">
        <v>39660</v>
      </c>
      <c r="S7107" s="102">
        <f t="shared" si="3961"/>
        <v>523512.00000000006</v>
      </c>
      <c r="T7107" s="102">
        <f t="shared" si="3962"/>
        <v>475920</v>
      </c>
      <c r="U7107" s="71"/>
      <c r="V7107" s="71"/>
      <c r="W7107" s="474"/>
      <c r="X7107" s="71"/>
      <c r="Y7107" s="71"/>
    </row>
    <row r="7108" spans="1:25" ht="30" hidden="1" customHeight="1" x14ac:dyDescent="0.25">
      <c r="A7108" s="1145">
        <v>45525</v>
      </c>
      <c r="B7108" s="664" t="s">
        <v>2</v>
      </c>
      <c r="C7108" s="71" t="s">
        <v>2075</v>
      </c>
      <c r="D7108" s="71">
        <v>1</v>
      </c>
      <c r="E7108" s="102">
        <v>98000</v>
      </c>
      <c r="F7108" s="102">
        <f t="shared" si="3963"/>
        <v>107800.00000000001</v>
      </c>
      <c r="G7108" s="102">
        <f>(E7108*D7108)</f>
        <v>98000</v>
      </c>
      <c r="H7108" s="690" t="s">
        <v>2029</v>
      </c>
      <c r="I7108" s="71" t="s">
        <v>2230</v>
      </c>
      <c r="J7108" s="53">
        <f t="shared" si="3956"/>
        <v>6000</v>
      </c>
      <c r="K7108" s="63">
        <f t="shared" si="3957"/>
        <v>6.1224489795918359E-2</v>
      </c>
      <c r="L7108" s="1212" t="s">
        <v>4181</v>
      </c>
      <c r="M7108" s="468"/>
      <c r="N7108" s="1192">
        <f>A7108</f>
        <v>45525</v>
      </c>
      <c r="O7108" s="71" t="s">
        <v>150</v>
      </c>
      <c r="P7108" s="103" t="str">
        <f>C7108</f>
        <v>CTP 고무액</v>
      </c>
      <c r="Q7108" s="71">
        <f t="shared" si="3960"/>
        <v>1</v>
      </c>
      <c r="R7108" s="102">
        <v>92000</v>
      </c>
      <c r="S7108" s="102">
        <f t="shared" si="3961"/>
        <v>101200.00000000001</v>
      </c>
      <c r="T7108" s="102">
        <f t="shared" si="3962"/>
        <v>92000</v>
      </c>
      <c r="U7108" s="71" t="str">
        <f>IF(J7108=W7108,"O", "X")</f>
        <v>X</v>
      </c>
      <c r="V7108" s="71"/>
      <c r="W7108" s="474"/>
      <c r="X7108" s="71"/>
      <c r="Y7108" s="71"/>
    </row>
    <row r="7109" spans="1:25" ht="30" hidden="1" customHeight="1" x14ac:dyDescent="0.25">
      <c r="A7109" s="1145">
        <v>45520</v>
      </c>
      <c r="B7109" s="664" t="s">
        <v>442</v>
      </c>
      <c r="C7109" s="71" t="s">
        <v>4184</v>
      </c>
      <c r="D7109" s="71">
        <v>1</v>
      </c>
      <c r="E7109" s="102">
        <v>300000</v>
      </c>
      <c r="F7109" s="102">
        <f t="shared" si="3963"/>
        <v>330000</v>
      </c>
      <c r="G7109" s="102">
        <f>(E7109*D7109)</f>
        <v>300000</v>
      </c>
      <c r="H7109" s="690" t="s">
        <v>2029</v>
      </c>
      <c r="I7109" s="71" t="s">
        <v>2230</v>
      </c>
      <c r="J7109" s="53">
        <f t="shared" si="3956"/>
        <v>-250000</v>
      </c>
      <c r="K7109" s="63">
        <f t="shared" si="3957"/>
        <v>-0.83333333333333337</v>
      </c>
      <c r="L7109" s="1212" t="s">
        <v>4181</v>
      </c>
      <c r="M7109" s="468"/>
      <c r="N7109" s="1192">
        <f>A7109</f>
        <v>45520</v>
      </c>
      <c r="O7109" s="71" t="s">
        <v>242</v>
      </c>
      <c r="P7109" s="103" t="str">
        <f t="shared" ref="P7109" si="3966">(C7109)</f>
        <v>서비스 비용(필름현상기)</v>
      </c>
      <c r="Q7109" s="71">
        <f t="shared" si="3960"/>
        <v>1</v>
      </c>
      <c r="R7109" s="147">
        <v>550000</v>
      </c>
      <c r="S7109" s="102">
        <f t="shared" si="3961"/>
        <v>605000</v>
      </c>
      <c r="T7109" s="102">
        <f t="shared" si="3962"/>
        <v>550000</v>
      </c>
      <c r="U7109" s="71"/>
      <c r="V7109" s="71"/>
      <c r="W7109" s="474"/>
      <c r="X7109" s="71"/>
      <c r="Y7109" s="71"/>
    </row>
    <row r="7110" spans="1:25" ht="30" hidden="1" customHeight="1" x14ac:dyDescent="0.25">
      <c r="A7110" s="1145">
        <v>45533</v>
      </c>
      <c r="B7110" s="664" t="s">
        <v>3830</v>
      </c>
      <c r="C7110" s="71" t="s">
        <v>2577</v>
      </c>
      <c r="D7110" s="71">
        <v>1504</v>
      </c>
      <c r="E7110" s="102">
        <v>1550</v>
      </c>
      <c r="F7110" s="102">
        <f t="shared" si="3963"/>
        <v>2564320</v>
      </c>
      <c r="G7110" s="102">
        <f t="shared" ref="G7110:G7111" si="3967">(E7110*D7110)</f>
        <v>2331200</v>
      </c>
      <c r="H7110" s="690" t="s">
        <v>2029</v>
      </c>
      <c r="I7110" s="71" t="s">
        <v>2273</v>
      </c>
      <c r="J7110" s="53">
        <f t="shared" ref="J7110:J7118" si="3968">G7110-T7110</f>
        <v>2331200</v>
      </c>
      <c r="K7110" s="63">
        <f t="shared" ref="K7110:K7111" si="3969">(J7110/(F7110/11*10))</f>
        <v>1</v>
      </c>
      <c r="L7110" s="1212" t="s">
        <v>4181</v>
      </c>
      <c r="M7110" s="468"/>
      <c r="N7110" s="1192">
        <f t="shared" ref="N7110:N7111" si="3970">A7110</f>
        <v>45533</v>
      </c>
      <c r="O7110" s="71"/>
      <c r="P7110" s="103" t="str">
        <f t="shared" ref="P7110:P7111" si="3971">(C7110)</f>
        <v>CTP 폐판</v>
      </c>
      <c r="Q7110" s="71">
        <f t="shared" si="3960"/>
        <v>1504</v>
      </c>
      <c r="R7110" s="147"/>
      <c r="S7110" s="102">
        <f t="shared" ref="S7110:S7118" si="3972">R7110*Q7110*1.1</f>
        <v>0</v>
      </c>
      <c r="T7110" s="102">
        <f t="shared" ref="T7110:T7111" si="3973">R7110*Q7110</f>
        <v>0</v>
      </c>
      <c r="U7110" s="71"/>
      <c r="V7110" s="71"/>
      <c r="W7110" s="474"/>
      <c r="X7110" s="71"/>
      <c r="Y7110" s="71"/>
    </row>
    <row r="7111" spans="1:25" s="209" customFormat="1" ht="30" hidden="1" customHeight="1" x14ac:dyDescent="0.25">
      <c r="A7111" s="1145">
        <v>45517</v>
      </c>
      <c r="B7111" s="664" t="s">
        <v>746</v>
      </c>
      <c r="C7111" s="71" t="s">
        <v>2648</v>
      </c>
      <c r="D7111" s="71">
        <v>10</v>
      </c>
      <c r="E7111" s="102">
        <v>38000</v>
      </c>
      <c r="F7111" s="102">
        <f t="shared" si="3963"/>
        <v>418000.00000000006</v>
      </c>
      <c r="G7111" s="102">
        <f t="shared" si="3967"/>
        <v>380000</v>
      </c>
      <c r="H7111" s="690" t="s">
        <v>94</v>
      </c>
      <c r="I7111" s="71" t="s">
        <v>94</v>
      </c>
      <c r="J7111" s="53">
        <f t="shared" si="3968"/>
        <v>160000</v>
      </c>
      <c r="K7111" s="63">
        <f t="shared" si="3969"/>
        <v>0.42105263157894729</v>
      </c>
      <c r="L7111" s="1212" t="s">
        <v>4181</v>
      </c>
      <c r="M7111" s="468"/>
      <c r="N7111" s="1192">
        <f t="shared" si="3970"/>
        <v>45517</v>
      </c>
      <c r="O7111" s="71" t="s">
        <v>94</v>
      </c>
      <c r="P7111" s="103" t="str">
        <f t="shared" si="3971"/>
        <v>주머니 필터백</v>
      </c>
      <c r="Q7111" s="71">
        <f t="shared" si="3960"/>
        <v>10</v>
      </c>
      <c r="R7111" s="102">
        <v>22000</v>
      </c>
      <c r="S7111" s="102">
        <f t="shared" si="3972"/>
        <v>242000.00000000003</v>
      </c>
      <c r="T7111" s="102">
        <f t="shared" si="3973"/>
        <v>220000</v>
      </c>
      <c r="U7111" s="71"/>
      <c r="V7111" s="71"/>
      <c r="W7111" s="474"/>
      <c r="X7111" s="71"/>
      <c r="Y7111" s="71"/>
    </row>
    <row r="7112" spans="1:25" ht="30" hidden="1" customHeight="1" x14ac:dyDescent="0.25">
      <c r="A7112" s="1145">
        <v>45520</v>
      </c>
      <c r="B7112" s="664" t="s">
        <v>26</v>
      </c>
      <c r="C7112" s="71" t="s">
        <v>2087</v>
      </c>
      <c r="D7112" s="71">
        <v>5</v>
      </c>
      <c r="E7112" s="102">
        <v>65000</v>
      </c>
      <c r="F7112" s="102">
        <v>357500</v>
      </c>
      <c r="G7112" s="102">
        <v>325000</v>
      </c>
      <c r="H7112" s="690" t="s">
        <v>172</v>
      </c>
      <c r="I7112" s="71" t="s">
        <v>3295</v>
      </c>
      <c r="J7112" s="53">
        <f t="shared" si="3968"/>
        <v>75000</v>
      </c>
      <c r="K7112" s="63">
        <v>0.23076923076923078</v>
      </c>
      <c r="L7112" s="1212" t="s">
        <v>4181</v>
      </c>
      <c r="M7112" s="468"/>
      <c r="N7112" s="1192">
        <v>45467</v>
      </c>
      <c r="O7112" s="71" t="s">
        <v>152</v>
      </c>
      <c r="P7112" s="103" t="s">
        <v>2087</v>
      </c>
      <c r="Q7112" s="71">
        <v>5</v>
      </c>
      <c r="R7112" s="102">
        <v>50000</v>
      </c>
      <c r="S7112" s="102">
        <f t="shared" si="3972"/>
        <v>275000</v>
      </c>
      <c r="T7112" s="102">
        <v>250000</v>
      </c>
      <c r="U7112" s="71" t="s">
        <v>1915</v>
      </c>
      <c r="V7112" s="71"/>
      <c r="W7112" s="474">
        <v>150000</v>
      </c>
      <c r="X7112" s="71"/>
      <c r="Y7112" s="71"/>
    </row>
    <row r="7113" spans="1:25" ht="30" hidden="1" customHeight="1" x14ac:dyDescent="0.25">
      <c r="A7113" s="1145">
        <v>45517</v>
      </c>
      <c r="B7113" s="664" t="s">
        <v>2798</v>
      </c>
      <c r="C7113" s="71" t="s">
        <v>167</v>
      </c>
      <c r="D7113" s="71">
        <v>10</v>
      </c>
      <c r="E7113" s="102">
        <v>138000</v>
      </c>
      <c r="F7113" s="102">
        <f t="shared" ref="F7113:F7119" si="3974">(E7113*D7113)*1.1</f>
        <v>1518000.0000000002</v>
      </c>
      <c r="G7113" s="102">
        <f t="shared" ref="G7113:G7119" si="3975">(E7113*D7113)</f>
        <v>1380000</v>
      </c>
      <c r="H7113" s="690" t="s">
        <v>172</v>
      </c>
      <c r="I7113" s="71" t="s">
        <v>33</v>
      </c>
      <c r="J7113" s="53">
        <f t="shared" si="3968"/>
        <v>460000</v>
      </c>
      <c r="K7113" s="63">
        <f t="shared" ref="K7113:K7118" si="3976">(J7113/(F7113/11*10))</f>
        <v>0.33333333333333326</v>
      </c>
      <c r="L7113" s="1212" t="s">
        <v>4181</v>
      </c>
      <c r="M7113" s="468" t="s">
        <v>4114</v>
      </c>
      <c r="N7113" s="1192">
        <f t="shared" ref="N7113:N7152" si="3977">A7113</f>
        <v>45517</v>
      </c>
      <c r="O7113" s="71" t="s">
        <v>146</v>
      </c>
      <c r="P7113" s="103" t="str">
        <f t="shared" ref="P7113:P7119" si="3978">(C7113)</f>
        <v>Blanket(1060*860)</v>
      </c>
      <c r="Q7113" s="71">
        <f t="shared" ref="Q7113:Q7119" si="3979">D7113</f>
        <v>10</v>
      </c>
      <c r="R7113" s="102">
        <v>92000</v>
      </c>
      <c r="S7113" s="102">
        <f t="shared" si="3972"/>
        <v>1012000.0000000001</v>
      </c>
      <c r="T7113" s="102">
        <f t="shared" ref="T7113:T7118" si="3980">R7113*Q7113</f>
        <v>920000</v>
      </c>
      <c r="U7113" s="71" t="str">
        <f t="shared" ref="U7113:U7114" si="3981">IF(J7113=W7113,"O", "X")</f>
        <v>X</v>
      </c>
      <c r="V7113" s="71"/>
      <c r="W7113" s="474"/>
      <c r="X7113" s="71"/>
      <c r="Y7113" s="71"/>
    </row>
    <row r="7114" spans="1:25" ht="30" hidden="1" customHeight="1" x14ac:dyDescent="0.25">
      <c r="A7114" s="1145">
        <v>45517</v>
      </c>
      <c r="B7114" s="664" t="s">
        <v>545</v>
      </c>
      <c r="C7114" s="71" t="s">
        <v>1441</v>
      </c>
      <c r="D7114" s="71">
        <v>4</v>
      </c>
      <c r="E7114" s="102">
        <v>255000</v>
      </c>
      <c r="F7114" s="102">
        <f t="shared" si="3974"/>
        <v>1122000</v>
      </c>
      <c r="G7114" s="102">
        <f t="shared" si="3975"/>
        <v>1020000</v>
      </c>
      <c r="H7114" s="690" t="s">
        <v>173</v>
      </c>
      <c r="I7114" s="71" t="s">
        <v>2231</v>
      </c>
      <c r="J7114" s="53">
        <f t="shared" si="3968"/>
        <v>340000</v>
      </c>
      <c r="K7114" s="63">
        <f t="shared" si="3976"/>
        <v>0.33333333333333331</v>
      </c>
      <c r="L7114" s="1212" t="s">
        <v>4181</v>
      </c>
      <c r="M7114" s="468" t="s">
        <v>3374</v>
      </c>
      <c r="N7114" s="1192">
        <f t="shared" si="3977"/>
        <v>45517</v>
      </c>
      <c r="O7114" s="71" t="s">
        <v>1555</v>
      </c>
      <c r="P7114" s="103" t="str">
        <f t="shared" si="3978"/>
        <v xml:space="preserve"> OKS340 체인구리스</v>
      </c>
      <c r="Q7114" s="71">
        <f t="shared" si="3979"/>
        <v>4</v>
      </c>
      <c r="R7114" s="102">
        <v>170000</v>
      </c>
      <c r="S7114" s="102">
        <f t="shared" si="3972"/>
        <v>748000.00000000012</v>
      </c>
      <c r="T7114" s="102">
        <f t="shared" si="3980"/>
        <v>680000</v>
      </c>
      <c r="U7114" s="71" t="str">
        <f t="shared" si="3981"/>
        <v>X</v>
      </c>
      <c r="V7114" s="71"/>
      <c r="W7114" s="474"/>
      <c r="X7114" s="71"/>
      <c r="Y7114" s="71"/>
    </row>
    <row r="7115" spans="1:25" s="209" customFormat="1" ht="30" hidden="1" customHeight="1" x14ac:dyDescent="0.25">
      <c r="A7115" s="1145">
        <v>45517</v>
      </c>
      <c r="B7115" s="664" t="s">
        <v>2798</v>
      </c>
      <c r="C7115" s="71" t="s">
        <v>123</v>
      </c>
      <c r="D7115" s="71">
        <v>30</v>
      </c>
      <c r="E7115" s="102">
        <v>42000</v>
      </c>
      <c r="F7115" s="102">
        <f t="shared" si="3974"/>
        <v>1386000</v>
      </c>
      <c r="G7115" s="102">
        <f t="shared" si="3975"/>
        <v>1260000</v>
      </c>
      <c r="H7115" s="690" t="s">
        <v>94</v>
      </c>
      <c r="I7115" s="71" t="s">
        <v>94</v>
      </c>
      <c r="J7115" s="53">
        <f t="shared" si="3968"/>
        <v>540000</v>
      </c>
      <c r="K7115" s="63">
        <f t="shared" si="3976"/>
        <v>0.42857142857142855</v>
      </c>
      <c r="L7115" s="1212" t="s">
        <v>4181</v>
      </c>
      <c r="M7115" s="468"/>
      <c r="N7115" s="1192">
        <f t="shared" si="3977"/>
        <v>45517</v>
      </c>
      <c r="O7115" s="71" t="s">
        <v>94</v>
      </c>
      <c r="P7115" s="103" t="str">
        <f t="shared" si="3978"/>
        <v>필터백</v>
      </c>
      <c r="Q7115" s="71">
        <f t="shared" si="3979"/>
        <v>30</v>
      </c>
      <c r="R7115" s="102">
        <v>24000</v>
      </c>
      <c r="S7115" s="102">
        <f t="shared" si="3972"/>
        <v>792000.00000000012</v>
      </c>
      <c r="T7115" s="102">
        <f t="shared" si="3980"/>
        <v>720000</v>
      </c>
      <c r="U7115" s="71"/>
      <c r="V7115" s="71"/>
      <c r="W7115" s="474"/>
      <c r="X7115" s="71"/>
      <c r="Y7115" s="71"/>
    </row>
    <row r="7116" spans="1:25" ht="30" hidden="1" customHeight="1" x14ac:dyDescent="0.25">
      <c r="A7116" s="1145">
        <v>45524</v>
      </c>
      <c r="B7116" s="664" t="s">
        <v>444</v>
      </c>
      <c r="C7116" s="71" t="s">
        <v>3399</v>
      </c>
      <c r="D7116" s="71">
        <v>10</v>
      </c>
      <c r="E7116" s="102">
        <v>195000</v>
      </c>
      <c r="F7116" s="102">
        <f t="shared" si="3974"/>
        <v>2145000</v>
      </c>
      <c r="G7116" s="102">
        <f t="shared" si="3975"/>
        <v>1950000</v>
      </c>
      <c r="H7116" s="690" t="s">
        <v>2029</v>
      </c>
      <c r="I7116" s="71" t="s">
        <v>180</v>
      </c>
      <c r="J7116" s="53">
        <f t="shared" si="3968"/>
        <v>450000</v>
      </c>
      <c r="K7116" s="63">
        <f t="shared" si="3976"/>
        <v>0.23076923076923078</v>
      </c>
      <c r="L7116" s="1212" t="s">
        <v>4181</v>
      </c>
      <c r="M7116" s="468"/>
      <c r="N7116" s="1192">
        <f t="shared" si="3977"/>
        <v>45524</v>
      </c>
      <c r="O7116" s="71" t="s">
        <v>191</v>
      </c>
      <c r="P7116" s="103" t="str">
        <f t="shared" si="3978"/>
        <v>UV wash offset UV</v>
      </c>
      <c r="Q7116" s="71">
        <f t="shared" si="3979"/>
        <v>10</v>
      </c>
      <c r="R7116" s="102">
        <v>150000</v>
      </c>
      <c r="S7116" s="102">
        <f t="shared" si="3972"/>
        <v>1650000.0000000002</v>
      </c>
      <c r="T7116" s="102">
        <f t="shared" si="3980"/>
        <v>1500000</v>
      </c>
      <c r="U7116" s="71"/>
      <c r="V7116" s="71"/>
      <c r="W7116" s="474"/>
      <c r="X7116" s="71"/>
      <c r="Y7116" s="71"/>
    </row>
    <row r="7117" spans="1:25" ht="30" hidden="1" customHeight="1" x14ac:dyDescent="0.25">
      <c r="A7117" s="1145">
        <v>45512</v>
      </c>
      <c r="B7117" s="664" t="s">
        <v>856</v>
      </c>
      <c r="C7117" s="71" t="s">
        <v>4185</v>
      </c>
      <c r="D7117" s="71">
        <v>5</v>
      </c>
      <c r="E7117" s="102">
        <v>930000</v>
      </c>
      <c r="F7117" s="102">
        <f t="shared" si="3974"/>
        <v>5115000</v>
      </c>
      <c r="G7117" s="102">
        <f t="shared" si="3975"/>
        <v>4650000</v>
      </c>
      <c r="H7117" s="690" t="s">
        <v>2029</v>
      </c>
      <c r="I7117" s="71" t="s">
        <v>2184</v>
      </c>
      <c r="J7117" s="53">
        <f t="shared" si="3968"/>
        <v>2235720</v>
      </c>
      <c r="K7117" s="63">
        <f t="shared" si="3976"/>
        <v>0.48080000000000001</v>
      </c>
      <c r="L7117" s="1212" t="s">
        <v>4181</v>
      </c>
      <c r="M7117" s="468"/>
      <c r="N7117" s="1192">
        <f t="shared" si="3977"/>
        <v>45512</v>
      </c>
      <c r="O7117" s="71" t="s">
        <v>3984</v>
      </c>
      <c r="P7117" s="103" t="str">
        <f t="shared" si="3978"/>
        <v>료비 UV Lamp</v>
      </c>
      <c r="Q7117" s="71">
        <f t="shared" si="3979"/>
        <v>5</v>
      </c>
      <c r="R7117" s="147">
        <v>482856</v>
      </c>
      <c r="S7117" s="102">
        <f t="shared" si="3972"/>
        <v>2655708</v>
      </c>
      <c r="T7117" s="102">
        <f t="shared" si="3980"/>
        <v>2414280</v>
      </c>
      <c r="U7117" s="71"/>
      <c r="V7117" s="71"/>
      <c r="W7117" s="474"/>
      <c r="X7117" s="71"/>
      <c r="Y7117" s="71"/>
    </row>
    <row r="7118" spans="1:25" ht="30" hidden="1" customHeight="1" x14ac:dyDescent="0.25">
      <c r="A7118" s="1145">
        <v>45519</v>
      </c>
      <c r="B7118" s="664" t="s">
        <v>575</v>
      </c>
      <c r="C7118" s="71" t="s">
        <v>1423</v>
      </c>
      <c r="D7118" s="71">
        <v>1</v>
      </c>
      <c r="E7118" s="102">
        <v>2625000</v>
      </c>
      <c r="F7118" s="102">
        <f t="shared" si="3974"/>
        <v>2887500.0000000005</v>
      </c>
      <c r="G7118" s="102">
        <f t="shared" si="3975"/>
        <v>2625000</v>
      </c>
      <c r="H7118" s="690" t="s">
        <v>281</v>
      </c>
      <c r="I7118" s="71" t="s">
        <v>281</v>
      </c>
      <c r="J7118" s="53">
        <f t="shared" si="3968"/>
        <v>2625000</v>
      </c>
      <c r="K7118" s="63">
        <f t="shared" si="3976"/>
        <v>0.99999999999999978</v>
      </c>
      <c r="L7118" s="1212" t="s">
        <v>4181</v>
      </c>
      <c r="M7118" s="102"/>
      <c r="N7118" s="1192">
        <f t="shared" si="3977"/>
        <v>45519</v>
      </c>
      <c r="O7118" s="71"/>
      <c r="P7118" s="103" t="str">
        <f t="shared" si="3978"/>
        <v>M600 서비스 계약(3회차)</v>
      </c>
      <c r="Q7118" s="71">
        <f t="shared" si="3979"/>
        <v>1</v>
      </c>
      <c r="R7118" s="102"/>
      <c r="S7118" s="102">
        <f t="shared" si="3972"/>
        <v>0</v>
      </c>
      <c r="T7118" s="102">
        <f t="shared" si="3980"/>
        <v>0</v>
      </c>
      <c r="U7118" s="71"/>
      <c r="V7118" s="71"/>
      <c r="W7118" s="474"/>
      <c r="X7118" s="71"/>
      <c r="Y7118" s="71"/>
    </row>
    <row r="7119" spans="1:25" ht="30" hidden="1" customHeight="1" x14ac:dyDescent="0.25">
      <c r="A7119" s="1145">
        <v>45535</v>
      </c>
      <c r="B7119" s="664" t="s">
        <v>546</v>
      </c>
      <c r="C7119" s="71" t="s">
        <v>4186</v>
      </c>
      <c r="D7119" s="71">
        <v>1</v>
      </c>
      <c r="E7119" s="102">
        <v>9750000</v>
      </c>
      <c r="F7119" s="102">
        <f t="shared" si="3974"/>
        <v>10725000</v>
      </c>
      <c r="G7119" s="102">
        <f t="shared" si="3975"/>
        <v>9750000</v>
      </c>
      <c r="H7119" s="690" t="s">
        <v>1431</v>
      </c>
      <c r="I7119" s="71" t="s">
        <v>1431</v>
      </c>
      <c r="J7119" s="53"/>
      <c r="K7119" s="63"/>
      <c r="L7119" s="1212" t="s">
        <v>4181</v>
      </c>
      <c r="M7119" s="468"/>
      <c r="N7119" s="1192">
        <f t="shared" si="3977"/>
        <v>45535</v>
      </c>
      <c r="O7119" s="71" t="s">
        <v>1431</v>
      </c>
      <c r="P7119" s="103" t="str">
        <f t="shared" si="3978"/>
        <v>8월 부품</v>
      </c>
      <c r="Q7119" s="71">
        <f t="shared" si="3979"/>
        <v>1</v>
      </c>
      <c r="R7119" s="147"/>
      <c r="S7119" s="102"/>
      <c r="T7119" s="102"/>
      <c r="U7119" s="71"/>
      <c r="V7119" s="71"/>
      <c r="W7119" s="474"/>
      <c r="X7119" s="71"/>
      <c r="Y7119" s="71"/>
    </row>
    <row r="7120" spans="1:25" ht="30" hidden="1" customHeight="1" x14ac:dyDescent="0.25">
      <c r="A7120" s="1210" t="s">
        <v>4193</v>
      </c>
      <c r="B7120" s="1211" t="s">
        <v>544</v>
      </c>
      <c r="C7120" s="960"/>
      <c r="D7120" s="960"/>
      <c r="E7120" s="952"/>
      <c r="F7120" s="952"/>
      <c r="G7120" s="952"/>
      <c r="H7120" s="1206"/>
      <c r="I7120" s="960"/>
      <c r="J7120" s="952"/>
      <c r="K7120" s="953"/>
      <c r="L7120" s="1212" t="s">
        <v>4195</v>
      </c>
      <c r="M7120" s="1207"/>
      <c r="N7120" s="1208" t="str">
        <f t="shared" si="3977"/>
        <v>2024,9</v>
      </c>
      <c r="O7120" s="960"/>
      <c r="P7120" s="1209"/>
      <c r="Q7120" s="960"/>
      <c r="R7120" s="952"/>
      <c r="S7120" s="952"/>
      <c r="T7120" s="952"/>
      <c r="U7120" s="960"/>
      <c r="V7120" s="960"/>
      <c r="W7120" s="474">
        <f>(G7120-T7120)</f>
        <v>0</v>
      </c>
      <c r="X7120" s="71"/>
      <c r="Y7120" s="71"/>
    </row>
    <row r="7121" spans="1:25" ht="27" hidden="1" customHeight="1" x14ac:dyDescent="0.25">
      <c r="A7121" s="1145">
        <v>45547</v>
      </c>
      <c r="B7121" s="664" t="s">
        <v>2353</v>
      </c>
      <c r="C7121" s="71" t="s">
        <v>2648</v>
      </c>
      <c r="D7121" s="71">
        <v>4</v>
      </c>
      <c r="E7121" s="102">
        <v>50000</v>
      </c>
      <c r="F7121" s="102">
        <f t="shared" ref="F7121:F7133" si="3982">(E7121*D7121)*1.1</f>
        <v>220000.00000000003</v>
      </c>
      <c r="G7121" s="102">
        <f t="shared" ref="G7121:G7133" si="3983">(E7121*D7121)</f>
        <v>200000</v>
      </c>
      <c r="H7121" s="690" t="s">
        <v>179</v>
      </c>
      <c r="I7121" s="690" t="s">
        <v>179</v>
      </c>
      <c r="J7121" s="53">
        <f t="shared" ref="J7121:J7152" si="3984">G7121-T7121</f>
        <v>104000</v>
      </c>
      <c r="K7121" s="63">
        <f t="shared" ref="K7121:K7152" si="3985">(J7121/(F7121/11*10))</f>
        <v>0.51999999999999991</v>
      </c>
      <c r="L7121" s="1212" t="s">
        <v>4197</v>
      </c>
      <c r="M7121" s="468"/>
      <c r="N7121" s="1192">
        <f t="shared" si="3977"/>
        <v>45547</v>
      </c>
      <c r="O7121" s="71" t="s">
        <v>94</v>
      </c>
      <c r="P7121" s="103" t="str">
        <f t="shared" ref="P7121:P7130" si="3986">(C7121)</f>
        <v>주머니 필터백</v>
      </c>
      <c r="Q7121" s="71">
        <f t="shared" ref="Q7121:Q7123" si="3987">D7121</f>
        <v>4</v>
      </c>
      <c r="R7121" s="102">
        <v>24000</v>
      </c>
      <c r="S7121" s="102">
        <f t="shared" ref="S7121:S7155" si="3988">R7121*Q7121*1.1</f>
        <v>105600.00000000001</v>
      </c>
      <c r="T7121" s="102">
        <f t="shared" ref="T7121:T7155" si="3989">R7121*Q7121</f>
        <v>96000</v>
      </c>
      <c r="U7121" s="71"/>
      <c r="V7121" s="71"/>
      <c r="W7121" s="474"/>
      <c r="X7121" s="71"/>
      <c r="Y7121" s="71"/>
    </row>
    <row r="7122" spans="1:25" ht="30" hidden="1" customHeight="1" x14ac:dyDescent="0.25">
      <c r="A7122" s="1145">
        <v>45540</v>
      </c>
      <c r="B7122" s="664" t="s">
        <v>2579</v>
      </c>
      <c r="C7122" s="71" t="s">
        <v>3738</v>
      </c>
      <c r="D7122" s="71">
        <v>15</v>
      </c>
      <c r="E7122" s="102">
        <v>130000</v>
      </c>
      <c r="F7122" s="102">
        <f t="shared" si="3982"/>
        <v>2145000</v>
      </c>
      <c r="G7122" s="102">
        <f t="shared" si="3983"/>
        <v>1950000</v>
      </c>
      <c r="H7122" s="690" t="s">
        <v>142</v>
      </c>
      <c r="I7122" s="71" t="s">
        <v>142</v>
      </c>
      <c r="J7122" s="53">
        <f t="shared" si="3984"/>
        <v>508500</v>
      </c>
      <c r="K7122" s="63">
        <f t="shared" si="3985"/>
        <v>0.26076923076923075</v>
      </c>
      <c r="L7122" s="1212" t="s">
        <v>4194</v>
      </c>
      <c r="M7122" s="468"/>
      <c r="N7122" s="1192">
        <f t="shared" si="3977"/>
        <v>45540</v>
      </c>
      <c r="O7122" s="71" t="s">
        <v>147</v>
      </c>
      <c r="P7122" s="103" t="str">
        <f t="shared" si="3986"/>
        <v>블랑켓 - 고모리 용 (1040*920)</v>
      </c>
      <c r="Q7122" s="71">
        <f t="shared" si="3987"/>
        <v>15</v>
      </c>
      <c r="R7122" s="102">
        <v>96100</v>
      </c>
      <c r="S7122" s="102">
        <f t="shared" si="3988"/>
        <v>1585650.0000000002</v>
      </c>
      <c r="T7122" s="102">
        <f t="shared" si="3989"/>
        <v>1441500</v>
      </c>
      <c r="U7122" s="71"/>
      <c r="V7122" s="71"/>
      <c r="W7122" s="474"/>
      <c r="X7122" s="71"/>
      <c r="Y7122" s="71"/>
    </row>
    <row r="7123" spans="1:25" ht="30" hidden="1" customHeight="1" x14ac:dyDescent="0.25">
      <c r="A7123" s="1145">
        <v>45540</v>
      </c>
      <c r="B7123" s="664" t="s">
        <v>2353</v>
      </c>
      <c r="C7123" s="71" t="s">
        <v>3727</v>
      </c>
      <c r="D7123" s="71">
        <v>4</v>
      </c>
      <c r="E7123" s="102">
        <v>225000</v>
      </c>
      <c r="F7123" s="102">
        <f t="shared" si="3982"/>
        <v>990000.00000000012</v>
      </c>
      <c r="G7123" s="102">
        <f t="shared" si="3983"/>
        <v>900000</v>
      </c>
      <c r="H7123" s="690" t="s">
        <v>142</v>
      </c>
      <c r="I7123" s="71" t="s">
        <v>142</v>
      </c>
      <c r="J7123" s="53">
        <f t="shared" si="3984"/>
        <v>400000</v>
      </c>
      <c r="K7123" s="63">
        <f t="shared" si="3985"/>
        <v>0.44444444444444436</v>
      </c>
      <c r="L7123" s="1212" t="s">
        <v>4194</v>
      </c>
      <c r="M7123" s="468"/>
      <c r="N7123" s="1192">
        <f t="shared" si="3977"/>
        <v>45540</v>
      </c>
      <c r="O7123" s="71" t="s">
        <v>189</v>
      </c>
      <c r="P7123" s="103" t="str">
        <f t="shared" si="3986"/>
        <v>압통 코팅제 - 퀵 프린트</v>
      </c>
      <c r="Q7123" s="71">
        <f t="shared" si="3987"/>
        <v>4</v>
      </c>
      <c r="R7123" s="102">
        <f>25000*5</f>
        <v>125000</v>
      </c>
      <c r="S7123" s="102">
        <f t="shared" si="3988"/>
        <v>550000</v>
      </c>
      <c r="T7123" s="102">
        <f t="shared" si="3989"/>
        <v>500000</v>
      </c>
      <c r="U7123" s="71"/>
      <c r="V7123" s="71"/>
      <c r="W7123" s="474"/>
      <c r="X7123" s="71"/>
      <c r="Y7123" s="71"/>
    </row>
    <row r="7124" spans="1:25" ht="30" hidden="1" customHeight="1" x14ac:dyDescent="0.25">
      <c r="A7124" s="1145">
        <v>45540</v>
      </c>
      <c r="B7124" s="664" t="s">
        <v>2353</v>
      </c>
      <c r="C7124" s="71" t="s">
        <v>3728</v>
      </c>
      <c r="D7124" s="71">
        <v>40</v>
      </c>
      <c r="E7124" s="102">
        <v>35000</v>
      </c>
      <c r="F7124" s="102">
        <f t="shared" si="3982"/>
        <v>1540000.0000000002</v>
      </c>
      <c r="G7124" s="102">
        <f t="shared" si="3983"/>
        <v>1400000</v>
      </c>
      <c r="H7124" s="690" t="s">
        <v>142</v>
      </c>
      <c r="I7124" s="71" t="s">
        <v>142</v>
      </c>
      <c r="J7124" s="53">
        <f t="shared" si="3984"/>
        <v>212500</v>
      </c>
      <c r="K7124" s="63">
        <f t="shared" si="3985"/>
        <v>0.15178571428571427</v>
      </c>
      <c r="L7124" s="1212" t="s">
        <v>4194</v>
      </c>
      <c r="M7124" s="468" t="s">
        <v>3907</v>
      </c>
      <c r="N7124" s="1192">
        <f t="shared" si="3977"/>
        <v>45540</v>
      </c>
      <c r="O7124" s="71" t="s">
        <v>149</v>
      </c>
      <c r="P7124" s="103" t="str">
        <f t="shared" si="3986"/>
        <v>고모리 자동 세척액</v>
      </c>
      <c r="Q7124" s="71">
        <v>25</v>
      </c>
      <c r="R7124" s="102">
        <v>47500</v>
      </c>
      <c r="S7124" s="102">
        <f t="shared" si="3988"/>
        <v>1306250</v>
      </c>
      <c r="T7124" s="102">
        <f t="shared" si="3989"/>
        <v>1187500</v>
      </c>
      <c r="U7124" s="71"/>
      <c r="V7124" s="71"/>
      <c r="W7124" s="474"/>
      <c r="X7124" s="71"/>
      <c r="Y7124" s="71"/>
    </row>
    <row r="7125" spans="1:25" s="209" customFormat="1" ht="30" hidden="1" customHeight="1" x14ac:dyDescent="0.25">
      <c r="A7125" s="1145">
        <v>45540</v>
      </c>
      <c r="B7125" s="664" t="s">
        <v>2353</v>
      </c>
      <c r="C7125" s="71" t="s">
        <v>3843</v>
      </c>
      <c r="D7125" s="71">
        <v>5</v>
      </c>
      <c r="E7125" s="102">
        <v>180000</v>
      </c>
      <c r="F7125" s="102">
        <f t="shared" si="3982"/>
        <v>990000.00000000012</v>
      </c>
      <c r="G7125" s="102">
        <f t="shared" si="3983"/>
        <v>900000</v>
      </c>
      <c r="H7125" s="690" t="s">
        <v>179</v>
      </c>
      <c r="I7125" s="71" t="s">
        <v>179</v>
      </c>
      <c r="J7125" s="53">
        <f t="shared" si="3984"/>
        <v>240000</v>
      </c>
      <c r="K7125" s="63">
        <f t="shared" si="3985"/>
        <v>0.26666666666666661</v>
      </c>
      <c r="L7125" s="1212" t="s">
        <v>4194</v>
      </c>
      <c r="M7125" s="468"/>
      <c r="N7125" s="1192">
        <f t="shared" si="3977"/>
        <v>45540</v>
      </c>
      <c r="O7125" s="71" t="s">
        <v>3383</v>
      </c>
      <c r="P7125" s="103" t="str">
        <f t="shared" si="3986"/>
        <v>수이보 세척액(습수액 클리너)</v>
      </c>
      <c r="Q7125" s="71">
        <f t="shared" ref="Q7125:Q7152" si="3990">D7125</f>
        <v>5</v>
      </c>
      <c r="R7125" s="102">
        <f>11000*12</f>
        <v>132000</v>
      </c>
      <c r="S7125" s="102">
        <f t="shared" si="3988"/>
        <v>726000.00000000012</v>
      </c>
      <c r="T7125" s="102">
        <f t="shared" si="3989"/>
        <v>660000</v>
      </c>
      <c r="U7125" s="71"/>
      <c r="V7125" s="71"/>
      <c r="W7125" s="474"/>
      <c r="X7125" s="71"/>
      <c r="Y7125" s="71"/>
    </row>
    <row r="7126" spans="1:25" s="209" customFormat="1" ht="30" hidden="1" customHeight="1" x14ac:dyDescent="0.25">
      <c r="A7126" s="1145">
        <v>45547</v>
      </c>
      <c r="B7126" s="664" t="s">
        <v>2353</v>
      </c>
      <c r="C7126" s="71" t="s">
        <v>3299</v>
      </c>
      <c r="D7126" s="71">
        <v>10</v>
      </c>
      <c r="E7126" s="102">
        <v>83000</v>
      </c>
      <c r="F7126" s="102">
        <f t="shared" si="3982"/>
        <v>913000.00000000012</v>
      </c>
      <c r="G7126" s="102">
        <f t="shared" si="3983"/>
        <v>830000</v>
      </c>
      <c r="H7126" s="690" t="s">
        <v>142</v>
      </c>
      <c r="I7126" s="71" t="s">
        <v>179</v>
      </c>
      <c r="J7126" s="53">
        <f t="shared" si="3984"/>
        <v>355000</v>
      </c>
      <c r="K7126" s="63">
        <f t="shared" si="3985"/>
        <v>0.42771084337349391</v>
      </c>
      <c r="L7126" s="1212" t="s">
        <v>4194</v>
      </c>
      <c r="M7126" s="468" t="s">
        <v>2214</v>
      </c>
      <c r="N7126" s="1192">
        <f t="shared" si="3977"/>
        <v>45547</v>
      </c>
      <c r="O7126" s="71" t="s">
        <v>3383</v>
      </c>
      <c r="P7126" s="103" t="str">
        <f t="shared" si="3986"/>
        <v>매엽용 세척제(Wash k11)</v>
      </c>
      <c r="Q7126" s="71">
        <f t="shared" si="3990"/>
        <v>10</v>
      </c>
      <c r="R7126" s="102">
        <v>47500</v>
      </c>
      <c r="S7126" s="102">
        <f t="shared" si="3988"/>
        <v>522500.00000000006</v>
      </c>
      <c r="T7126" s="102">
        <f t="shared" si="3989"/>
        <v>475000</v>
      </c>
      <c r="U7126" s="71" t="s">
        <v>859</v>
      </c>
      <c r="V7126" s="71"/>
      <c r="W7126" s="474">
        <v>136000</v>
      </c>
      <c r="X7126" s="71"/>
      <c r="Y7126" s="71"/>
    </row>
    <row r="7127" spans="1:25" s="209" customFormat="1" ht="30" hidden="1" customHeight="1" x14ac:dyDescent="0.25">
      <c r="A7127" s="1145">
        <v>45547</v>
      </c>
      <c r="B7127" s="664" t="s">
        <v>2353</v>
      </c>
      <c r="C7127" s="71" t="s">
        <v>130</v>
      </c>
      <c r="D7127" s="71">
        <v>15</v>
      </c>
      <c r="E7127" s="102">
        <v>148000</v>
      </c>
      <c r="F7127" s="102">
        <f t="shared" si="3982"/>
        <v>2442000</v>
      </c>
      <c r="G7127" s="102">
        <f t="shared" si="3983"/>
        <v>2220000</v>
      </c>
      <c r="H7127" s="690" t="s">
        <v>142</v>
      </c>
      <c r="I7127" s="71" t="s">
        <v>179</v>
      </c>
      <c r="J7127" s="53">
        <f t="shared" si="3984"/>
        <v>540000</v>
      </c>
      <c r="K7127" s="63">
        <f t="shared" si="3985"/>
        <v>0.24324324324324326</v>
      </c>
      <c r="L7127" s="1212" t="s">
        <v>4194</v>
      </c>
      <c r="M7127" s="468" t="s">
        <v>2050</v>
      </c>
      <c r="N7127" s="1192">
        <f t="shared" si="3977"/>
        <v>45547</v>
      </c>
      <c r="O7127" s="71" t="s">
        <v>3383</v>
      </c>
      <c r="P7127" s="103" t="str">
        <f t="shared" si="3986"/>
        <v>XL106 Blanket(1077*885)</v>
      </c>
      <c r="Q7127" s="71">
        <f t="shared" si="3990"/>
        <v>15</v>
      </c>
      <c r="R7127" s="102">
        <v>112000</v>
      </c>
      <c r="S7127" s="102">
        <f t="shared" si="3988"/>
        <v>1848000.0000000002</v>
      </c>
      <c r="T7127" s="102">
        <f t="shared" si="3989"/>
        <v>1680000</v>
      </c>
      <c r="U7127" s="71" t="s">
        <v>859</v>
      </c>
      <c r="V7127" s="71"/>
      <c r="W7127" s="474">
        <v>260000</v>
      </c>
      <c r="X7127" s="71"/>
      <c r="Y7127" s="71"/>
    </row>
    <row r="7128" spans="1:25" ht="30" hidden="1" customHeight="1" x14ac:dyDescent="0.25">
      <c r="A7128" s="1145">
        <v>45547</v>
      </c>
      <c r="B7128" s="664" t="s">
        <v>2353</v>
      </c>
      <c r="C7128" s="71" t="s">
        <v>129</v>
      </c>
      <c r="D7128" s="71">
        <v>7</v>
      </c>
      <c r="E7128" s="102">
        <v>325000</v>
      </c>
      <c r="F7128" s="102">
        <f t="shared" si="3982"/>
        <v>2502500</v>
      </c>
      <c r="G7128" s="102">
        <f t="shared" si="3983"/>
        <v>2275000</v>
      </c>
      <c r="H7128" s="690" t="s">
        <v>142</v>
      </c>
      <c r="I7128" s="71" t="s">
        <v>179</v>
      </c>
      <c r="J7128" s="53">
        <f t="shared" si="3984"/>
        <v>636440</v>
      </c>
      <c r="K7128" s="63">
        <f t="shared" si="3985"/>
        <v>0.27975384615384613</v>
      </c>
      <c r="L7128" s="1212" t="s">
        <v>4194</v>
      </c>
      <c r="M7128" s="468" t="s">
        <v>2050</v>
      </c>
      <c r="N7128" s="1192">
        <f t="shared" si="3977"/>
        <v>45547</v>
      </c>
      <c r="O7128" s="71" t="s">
        <v>149</v>
      </c>
      <c r="P7128" s="103" t="str">
        <f t="shared" si="3986"/>
        <v>세정포-XL106</v>
      </c>
      <c r="Q7128" s="71">
        <f t="shared" si="3990"/>
        <v>7</v>
      </c>
      <c r="R7128" s="102">
        <v>234080</v>
      </c>
      <c r="S7128" s="102">
        <f t="shared" si="3988"/>
        <v>1802416.0000000002</v>
      </c>
      <c r="T7128" s="102">
        <f t="shared" si="3989"/>
        <v>1638560</v>
      </c>
      <c r="U7128" s="71" t="str">
        <f>IF(J7128=W7128,"O", "X")</f>
        <v>O</v>
      </c>
      <c r="V7128" s="71"/>
      <c r="W7128" s="474">
        <f>(G7128-T7128)</f>
        <v>636440</v>
      </c>
      <c r="X7128" s="71"/>
      <c r="Y7128" s="71"/>
    </row>
    <row r="7129" spans="1:25" ht="30" customHeight="1" x14ac:dyDescent="0.25">
      <c r="A7129" s="1145">
        <v>45554</v>
      </c>
      <c r="B7129" s="664" t="s">
        <v>2352</v>
      </c>
      <c r="C7129" s="71" t="s">
        <v>3837</v>
      </c>
      <c r="D7129" s="71">
        <v>48</v>
      </c>
      <c r="E7129" s="102">
        <v>13500</v>
      </c>
      <c r="F7129" s="102">
        <f t="shared" si="3982"/>
        <v>712800</v>
      </c>
      <c r="G7129" s="102">
        <f t="shared" si="3983"/>
        <v>648000</v>
      </c>
      <c r="H7129" s="690" t="s">
        <v>179</v>
      </c>
      <c r="I7129" s="71" t="s">
        <v>179</v>
      </c>
      <c r="J7129" s="53">
        <f t="shared" si="3984"/>
        <v>246480</v>
      </c>
      <c r="K7129" s="63">
        <f t="shared" si="3985"/>
        <v>0.38037037037037036</v>
      </c>
      <c r="L7129" s="1212" t="s">
        <v>4194</v>
      </c>
      <c r="M7129" s="468"/>
      <c r="N7129" s="1192">
        <f t="shared" si="3977"/>
        <v>45554</v>
      </c>
      <c r="O7129" s="71"/>
      <c r="P7129" s="103" t="str">
        <f t="shared" si="3986"/>
        <v>고모리 윤전 블랑켓 건식 세정포 - 4x6용</v>
      </c>
      <c r="Q7129" s="71">
        <f t="shared" si="3990"/>
        <v>48</v>
      </c>
      <c r="R7129" s="102">
        <v>8365</v>
      </c>
      <c r="S7129" s="102">
        <f t="shared" si="3988"/>
        <v>441672.00000000006</v>
      </c>
      <c r="T7129" s="102">
        <f t="shared" si="3989"/>
        <v>401520</v>
      </c>
      <c r="U7129" s="71"/>
      <c r="V7129" s="71"/>
      <c r="W7129" s="474"/>
      <c r="X7129" s="71"/>
      <c r="Y7129" s="71"/>
    </row>
    <row r="7130" spans="1:25" ht="30" customHeight="1" x14ac:dyDescent="0.25">
      <c r="A7130" s="1145">
        <v>45547</v>
      </c>
      <c r="B7130" s="664" t="s">
        <v>2352</v>
      </c>
      <c r="C7130" s="71" t="s">
        <v>3836</v>
      </c>
      <c r="D7130" s="71">
        <v>48</v>
      </c>
      <c r="E7130" s="102">
        <v>18500</v>
      </c>
      <c r="F7130" s="102">
        <f t="shared" si="3982"/>
        <v>976800.00000000012</v>
      </c>
      <c r="G7130" s="102">
        <f t="shared" si="3983"/>
        <v>888000</v>
      </c>
      <c r="H7130" s="690" t="s">
        <v>179</v>
      </c>
      <c r="I7130" s="71" t="s">
        <v>179</v>
      </c>
      <c r="J7130" s="53">
        <f t="shared" si="3984"/>
        <v>355968</v>
      </c>
      <c r="K7130" s="63">
        <f t="shared" si="3985"/>
        <v>0.40086486486486483</v>
      </c>
      <c r="L7130" s="1212" t="s">
        <v>4194</v>
      </c>
      <c r="M7130" s="468"/>
      <c r="N7130" s="1192">
        <f t="shared" si="3977"/>
        <v>45547</v>
      </c>
      <c r="O7130" s="71"/>
      <c r="P7130" s="103" t="str">
        <f t="shared" si="3986"/>
        <v>고모리 윤전 블랑켓 건식 세정포 - 국전용</v>
      </c>
      <c r="Q7130" s="71">
        <f t="shared" si="3990"/>
        <v>48</v>
      </c>
      <c r="R7130" s="102">
        <v>11084</v>
      </c>
      <c r="S7130" s="102">
        <f t="shared" si="3988"/>
        <v>585235.20000000007</v>
      </c>
      <c r="T7130" s="102">
        <f t="shared" si="3989"/>
        <v>532032</v>
      </c>
      <c r="U7130" s="71"/>
      <c r="V7130" s="71"/>
      <c r="W7130" s="474"/>
      <c r="X7130" s="71"/>
      <c r="Y7130" s="71"/>
    </row>
    <row r="7131" spans="1:25" ht="30" hidden="1" customHeight="1" x14ac:dyDescent="0.25">
      <c r="A7131" s="1145">
        <v>45560</v>
      </c>
      <c r="B7131" s="664" t="s">
        <v>1060</v>
      </c>
      <c r="C7131" s="71" t="s">
        <v>3908</v>
      </c>
      <c r="D7131" s="71">
        <v>700</v>
      </c>
      <c r="E7131" s="102">
        <v>5760</v>
      </c>
      <c r="F7131" s="102">
        <f t="shared" si="3982"/>
        <v>4435200</v>
      </c>
      <c r="G7131" s="102">
        <f t="shared" si="3983"/>
        <v>4032000</v>
      </c>
      <c r="H7131" s="690" t="s">
        <v>142</v>
      </c>
      <c r="I7131" s="71" t="s">
        <v>179</v>
      </c>
      <c r="J7131" s="53">
        <f t="shared" si="3984"/>
        <v>1292200</v>
      </c>
      <c r="K7131" s="63">
        <f t="shared" si="3985"/>
        <v>0.32048611111111114</v>
      </c>
      <c r="L7131" s="1212" t="s">
        <v>4194</v>
      </c>
      <c r="M7131" s="102" t="s">
        <v>3964</v>
      </c>
      <c r="N7131" s="1192">
        <f t="shared" si="3977"/>
        <v>45560</v>
      </c>
      <c r="O7131" s="71" t="s">
        <v>662</v>
      </c>
      <c r="P7131" s="103" t="s">
        <v>3908</v>
      </c>
      <c r="Q7131" s="71">
        <f t="shared" si="3990"/>
        <v>700</v>
      </c>
      <c r="R7131" s="102">
        <v>3914</v>
      </c>
      <c r="S7131" s="102">
        <f t="shared" si="3988"/>
        <v>3013780.0000000005</v>
      </c>
      <c r="T7131" s="102">
        <f t="shared" si="3989"/>
        <v>2739800</v>
      </c>
      <c r="U7131" s="71" t="s">
        <v>859</v>
      </c>
      <c r="V7131" s="71"/>
      <c r="W7131" s="474">
        <v>942000</v>
      </c>
      <c r="X7131" s="71"/>
      <c r="Y7131" s="71"/>
    </row>
    <row r="7132" spans="1:25" ht="30" hidden="1" customHeight="1" x14ac:dyDescent="0.25">
      <c r="A7132" s="1145">
        <v>45560</v>
      </c>
      <c r="B7132" s="664" t="s">
        <v>1060</v>
      </c>
      <c r="C7132" s="71" t="s">
        <v>3909</v>
      </c>
      <c r="D7132" s="71">
        <v>2100</v>
      </c>
      <c r="E7132" s="102">
        <v>3640</v>
      </c>
      <c r="F7132" s="102">
        <f t="shared" si="3982"/>
        <v>8408400</v>
      </c>
      <c r="G7132" s="102">
        <f t="shared" si="3983"/>
        <v>7644000</v>
      </c>
      <c r="H7132" s="690" t="s">
        <v>36</v>
      </c>
      <c r="I7132" s="71" t="s">
        <v>2529</v>
      </c>
      <c r="J7132" s="53">
        <f t="shared" si="3984"/>
        <v>2452800</v>
      </c>
      <c r="K7132" s="63">
        <f t="shared" si="3985"/>
        <v>0.3208791208791209</v>
      </c>
      <c r="L7132" s="1212" t="s">
        <v>4194</v>
      </c>
      <c r="M7132" s="102" t="s">
        <v>3964</v>
      </c>
      <c r="N7132" s="1192">
        <f t="shared" si="3977"/>
        <v>45560</v>
      </c>
      <c r="O7132" s="71" t="s">
        <v>662</v>
      </c>
      <c r="P7132" s="103" t="s">
        <v>3909</v>
      </c>
      <c r="Q7132" s="71">
        <f t="shared" si="3990"/>
        <v>2100</v>
      </c>
      <c r="R7132" s="102">
        <v>2472</v>
      </c>
      <c r="S7132" s="102">
        <f t="shared" si="3988"/>
        <v>5710320</v>
      </c>
      <c r="T7132" s="102">
        <f t="shared" si="3989"/>
        <v>5191200</v>
      </c>
      <c r="U7132" s="71" t="s">
        <v>859</v>
      </c>
      <c r="V7132" s="71"/>
      <c r="W7132" s="474">
        <v>1274000</v>
      </c>
      <c r="X7132" s="71"/>
      <c r="Y7132" s="71"/>
    </row>
    <row r="7133" spans="1:25" ht="30" hidden="1" customHeight="1" x14ac:dyDescent="0.25">
      <c r="A7133" s="1145">
        <v>45560</v>
      </c>
      <c r="B7133" s="664" t="s">
        <v>1060</v>
      </c>
      <c r="C7133" s="71" t="s">
        <v>3910</v>
      </c>
      <c r="D7133" s="71">
        <v>2500</v>
      </c>
      <c r="E7133" s="102">
        <v>3440</v>
      </c>
      <c r="F7133" s="102">
        <f t="shared" si="3982"/>
        <v>9460000</v>
      </c>
      <c r="G7133" s="102">
        <f t="shared" si="3983"/>
        <v>8600000</v>
      </c>
      <c r="H7133" s="690" t="s">
        <v>36</v>
      </c>
      <c r="I7133" s="71" t="s">
        <v>2529</v>
      </c>
      <c r="J7133" s="53">
        <f t="shared" si="3984"/>
        <v>2730000</v>
      </c>
      <c r="K7133" s="63">
        <f t="shared" si="3985"/>
        <v>0.3174418604651163</v>
      </c>
      <c r="L7133" s="1212" t="s">
        <v>4194</v>
      </c>
      <c r="M7133" s="102" t="s">
        <v>3964</v>
      </c>
      <c r="N7133" s="1192">
        <f t="shared" si="3977"/>
        <v>45560</v>
      </c>
      <c r="O7133" s="71" t="s">
        <v>662</v>
      </c>
      <c r="P7133" s="103" t="s">
        <v>3910</v>
      </c>
      <c r="Q7133" s="71">
        <f t="shared" si="3990"/>
        <v>2500</v>
      </c>
      <c r="R7133" s="102">
        <v>2348</v>
      </c>
      <c r="S7133" s="102">
        <f t="shared" si="3988"/>
        <v>6457000.0000000009</v>
      </c>
      <c r="T7133" s="102">
        <f t="shared" si="3989"/>
        <v>5870000</v>
      </c>
      <c r="U7133" s="71" t="s">
        <v>859</v>
      </c>
      <c r="V7133" s="71"/>
      <c r="W7133" s="474">
        <v>3325000</v>
      </c>
      <c r="X7133" s="71"/>
      <c r="Y7133" s="71"/>
    </row>
    <row r="7134" spans="1:25" ht="30" hidden="1" customHeight="1" x14ac:dyDescent="0.25">
      <c r="A7134" s="1145">
        <v>45560</v>
      </c>
      <c r="B7134" s="664" t="s">
        <v>1060</v>
      </c>
      <c r="C7134" s="71" t="s">
        <v>3911</v>
      </c>
      <c r="D7134" s="71">
        <v>800</v>
      </c>
      <c r="E7134" s="102">
        <v>5840</v>
      </c>
      <c r="F7134" s="102">
        <f t="shared" ref="F7134:F7152" si="3991">(E7134*D7134)*1.1</f>
        <v>5139200</v>
      </c>
      <c r="G7134" s="102">
        <f t="shared" ref="G7134:G7152" si="3992">(E7134*D7134)</f>
        <v>4672000</v>
      </c>
      <c r="H7134" s="690" t="s">
        <v>36</v>
      </c>
      <c r="I7134" s="71" t="s">
        <v>2529</v>
      </c>
      <c r="J7134" s="53">
        <f t="shared" si="3984"/>
        <v>1499200</v>
      </c>
      <c r="K7134" s="63">
        <f t="shared" si="3985"/>
        <v>0.32089041095890408</v>
      </c>
      <c r="L7134" s="1212" t="s">
        <v>4194</v>
      </c>
      <c r="M7134" s="102" t="s">
        <v>3964</v>
      </c>
      <c r="N7134" s="1192">
        <f t="shared" si="3977"/>
        <v>45560</v>
      </c>
      <c r="O7134" s="71" t="s">
        <v>662</v>
      </c>
      <c r="P7134" s="103" t="s">
        <v>3911</v>
      </c>
      <c r="Q7134" s="71">
        <f t="shared" si="3990"/>
        <v>800</v>
      </c>
      <c r="R7134" s="102">
        <v>3966</v>
      </c>
      <c r="S7134" s="102">
        <f t="shared" si="3988"/>
        <v>3490080.0000000005</v>
      </c>
      <c r="T7134" s="102">
        <f t="shared" si="3989"/>
        <v>3172800</v>
      </c>
      <c r="U7134" s="71" t="s">
        <v>859</v>
      </c>
      <c r="V7134" s="71"/>
      <c r="W7134" s="474">
        <v>636000</v>
      </c>
      <c r="X7134" s="71"/>
      <c r="Y7134" s="71"/>
    </row>
    <row r="7135" spans="1:25" ht="30" hidden="1" customHeight="1" x14ac:dyDescent="0.25">
      <c r="A7135" s="1145">
        <v>45560</v>
      </c>
      <c r="B7135" s="664" t="s">
        <v>1060</v>
      </c>
      <c r="C7135" s="71" t="s">
        <v>3912</v>
      </c>
      <c r="D7135" s="71">
        <v>700</v>
      </c>
      <c r="E7135" s="102">
        <v>6060</v>
      </c>
      <c r="F7135" s="102">
        <f t="shared" si="3991"/>
        <v>4666200</v>
      </c>
      <c r="G7135" s="102">
        <f t="shared" si="3992"/>
        <v>4242000</v>
      </c>
      <c r="H7135" s="690" t="s">
        <v>36</v>
      </c>
      <c r="I7135" s="71" t="s">
        <v>2529</v>
      </c>
      <c r="J7135" s="53">
        <f t="shared" si="3984"/>
        <v>1358000</v>
      </c>
      <c r="K7135" s="63">
        <f t="shared" si="3985"/>
        <v>0.32013201320132012</v>
      </c>
      <c r="L7135" s="1212" t="s">
        <v>4194</v>
      </c>
      <c r="M7135" s="102" t="s">
        <v>3964</v>
      </c>
      <c r="N7135" s="1192">
        <f t="shared" si="3977"/>
        <v>45560</v>
      </c>
      <c r="O7135" s="71" t="s">
        <v>662</v>
      </c>
      <c r="P7135" s="103" t="s">
        <v>3912</v>
      </c>
      <c r="Q7135" s="71">
        <f t="shared" si="3990"/>
        <v>700</v>
      </c>
      <c r="R7135" s="102">
        <v>4120</v>
      </c>
      <c r="S7135" s="102">
        <f t="shared" si="3988"/>
        <v>3172400.0000000005</v>
      </c>
      <c r="T7135" s="102">
        <f t="shared" si="3989"/>
        <v>2884000</v>
      </c>
      <c r="U7135" s="71" t="s">
        <v>859</v>
      </c>
      <c r="V7135" s="71"/>
      <c r="W7135" s="474">
        <v>1476000</v>
      </c>
      <c r="X7135" s="71"/>
      <c r="Y7135" s="71"/>
    </row>
    <row r="7136" spans="1:25" ht="30" hidden="1" customHeight="1" x14ac:dyDescent="0.25">
      <c r="A7136" s="1145">
        <v>45560</v>
      </c>
      <c r="B7136" s="664" t="s">
        <v>1060</v>
      </c>
      <c r="C7136" s="71" t="s">
        <v>3913</v>
      </c>
      <c r="D7136" s="71">
        <v>500</v>
      </c>
      <c r="E7136" s="102">
        <v>4320</v>
      </c>
      <c r="F7136" s="102">
        <f t="shared" si="3991"/>
        <v>2376000</v>
      </c>
      <c r="G7136" s="102">
        <f t="shared" si="3992"/>
        <v>2160000</v>
      </c>
      <c r="H7136" s="690" t="s">
        <v>36</v>
      </c>
      <c r="I7136" s="71" t="s">
        <v>2529</v>
      </c>
      <c r="J7136" s="53">
        <f t="shared" si="3984"/>
        <v>692000</v>
      </c>
      <c r="K7136" s="63">
        <f t="shared" si="3985"/>
        <v>0.32037037037037036</v>
      </c>
      <c r="L7136" s="1212" t="s">
        <v>4194</v>
      </c>
      <c r="M7136" s="102" t="s">
        <v>3964</v>
      </c>
      <c r="N7136" s="1192">
        <f t="shared" si="3977"/>
        <v>45560</v>
      </c>
      <c r="O7136" s="71" t="s">
        <v>662</v>
      </c>
      <c r="P7136" s="103" t="s">
        <v>3913</v>
      </c>
      <c r="Q7136" s="71">
        <f t="shared" si="3990"/>
        <v>500</v>
      </c>
      <c r="R7136" s="102">
        <v>2936</v>
      </c>
      <c r="S7136" s="102">
        <f t="shared" si="3988"/>
        <v>1614800.0000000002</v>
      </c>
      <c r="T7136" s="102">
        <f t="shared" si="3989"/>
        <v>1468000</v>
      </c>
      <c r="U7136" s="71" t="s">
        <v>859</v>
      </c>
      <c r="V7136" s="71"/>
      <c r="W7136" s="474">
        <v>1416000</v>
      </c>
      <c r="X7136" s="71"/>
      <c r="Y7136" s="71"/>
    </row>
    <row r="7137" spans="1:25" ht="30" hidden="1" customHeight="1" x14ac:dyDescent="0.25">
      <c r="A7137" s="1145">
        <v>45560</v>
      </c>
      <c r="B7137" s="664" t="s">
        <v>1060</v>
      </c>
      <c r="C7137" s="71" t="s">
        <v>3914</v>
      </c>
      <c r="D7137" s="71">
        <v>30</v>
      </c>
      <c r="E7137" s="102">
        <v>52360</v>
      </c>
      <c r="F7137" s="102">
        <f t="shared" si="3991"/>
        <v>1727880.0000000002</v>
      </c>
      <c r="G7137" s="102">
        <f t="shared" si="3992"/>
        <v>1570800</v>
      </c>
      <c r="H7137" s="690" t="s">
        <v>36</v>
      </c>
      <c r="I7137" s="71" t="s">
        <v>2529</v>
      </c>
      <c r="J7137" s="53">
        <f t="shared" si="3984"/>
        <v>334800</v>
      </c>
      <c r="K7137" s="63">
        <f t="shared" si="3985"/>
        <v>0.21313980137509547</v>
      </c>
      <c r="L7137" s="1212" t="s">
        <v>4194</v>
      </c>
      <c r="M7137" s="468"/>
      <c r="N7137" s="1192">
        <f t="shared" si="3977"/>
        <v>45560</v>
      </c>
      <c r="O7137" s="71" t="s">
        <v>662</v>
      </c>
      <c r="P7137" s="103" t="s">
        <v>3914</v>
      </c>
      <c r="Q7137" s="71">
        <f t="shared" si="3990"/>
        <v>30</v>
      </c>
      <c r="R7137" s="102">
        <v>41200</v>
      </c>
      <c r="S7137" s="102">
        <f t="shared" si="3988"/>
        <v>1359600</v>
      </c>
      <c r="T7137" s="102">
        <f t="shared" si="3989"/>
        <v>1236000</v>
      </c>
      <c r="U7137" s="71" t="s">
        <v>859</v>
      </c>
      <c r="V7137" s="71"/>
      <c r="W7137" s="474">
        <v>978750</v>
      </c>
      <c r="X7137" s="71"/>
      <c r="Y7137" s="71"/>
    </row>
    <row r="7138" spans="1:25" ht="30" hidden="1" customHeight="1" x14ac:dyDescent="0.25">
      <c r="A7138" s="1145">
        <v>45560</v>
      </c>
      <c r="B7138" s="664" t="s">
        <v>1061</v>
      </c>
      <c r="C7138" s="71" t="s">
        <v>3319</v>
      </c>
      <c r="D7138" s="71">
        <v>212</v>
      </c>
      <c r="E7138" s="102">
        <v>6328</v>
      </c>
      <c r="F7138" s="102">
        <f t="shared" si="3991"/>
        <v>1475689.6</v>
      </c>
      <c r="G7138" s="102">
        <f t="shared" si="3992"/>
        <v>1341536</v>
      </c>
      <c r="H7138" s="690" t="s">
        <v>36</v>
      </c>
      <c r="I7138" s="71" t="s">
        <v>3320</v>
      </c>
      <c r="J7138" s="53">
        <f t="shared" si="3984"/>
        <v>101336</v>
      </c>
      <c r="K7138" s="63">
        <f t="shared" si="3985"/>
        <v>7.5537294563843241E-2</v>
      </c>
      <c r="L7138" s="1212" t="s">
        <v>4194</v>
      </c>
      <c r="M7138" s="468"/>
      <c r="N7138" s="1192">
        <f t="shared" si="3977"/>
        <v>45560</v>
      </c>
      <c r="O7138" s="71" t="s">
        <v>146</v>
      </c>
      <c r="P7138" s="103" t="s">
        <v>3319</v>
      </c>
      <c r="Q7138" s="71">
        <f t="shared" si="3990"/>
        <v>212</v>
      </c>
      <c r="R7138" s="102">
        <v>5850</v>
      </c>
      <c r="S7138" s="102">
        <f t="shared" si="3988"/>
        <v>1364220</v>
      </c>
      <c r="T7138" s="102">
        <f t="shared" si="3989"/>
        <v>1240200</v>
      </c>
      <c r="U7138" s="71" t="s">
        <v>859</v>
      </c>
      <c r="V7138" s="71"/>
      <c r="W7138" s="474">
        <v>411200</v>
      </c>
      <c r="X7138" s="71"/>
      <c r="Y7138" s="71"/>
    </row>
    <row r="7139" spans="1:25" ht="30" hidden="1" customHeight="1" x14ac:dyDescent="0.25">
      <c r="A7139" s="1145">
        <v>45560</v>
      </c>
      <c r="B7139" s="664" t="s">
        <v>1061</v>
      </c>
      <c r="C7139" s="71" t="s">
        <v>3321</v>
      </c>
      <c r="D7139" s="71">
        <v>200</v>
      </c>
      <c r="E7139" s="102">
        <v>6780</v>
      </c>
      <c r="F7139" s="102">
        <f t="shared" si="3991"/>
        <v>1491600.0000000002</v>
      </c>
      <c r="G7139" s="102">
        <f t="shared" si="3992"/>
        <v>1356000</v>
      </c>
      <c r="H7139" s="690" t="s">
        <v>36</v>
      </c>
      <c r="I7139" s="71" t="s">
        <v>3320</v>
      </c>
      <c r="J7139" s="53">
        <f t="shared" si="3984"/>
        <v>100000</v>
      </c>
      <c r="K7139" s="63">
        <f t="shared" si="3985"/>
        <v>7.3746312684365767E-2</v>
      </c>
      <c r="L7139" s="1212" t="s">
        <v>4194</v>
      </c>
      <c r="M7139" s="468"/>
      <c r="N7139" s="1192">
        <f t="shared" si="3977"/>
        <v>45560</v>
      </c>
      <c r="O7139" s="71" t="s">
        <v>146</v>
      </c>
      <c r="P7139" s="103" t="s">
        <v>3321</v>
      </c>
      <c r="Q7139" s="71">
        <f t="shared" si="3990"/>
        <v>200</v>
      </c>
      <c r="R7139" s="102">
        <v>6280</v>
      </c>
      <c r="S7139" s="102">
        <f t="shared" si="3988"/>
        <v>1381600</v>
      </c>
      <c r="T7139" s="102">
        <f t="shared" si="3989"/>
        <v>1256000</v>
      </c>
      <c r="U7139" s="71" t="s">
        <v>859</v>
      </c>
      <c r="V7139" s="71"/>
      <c r="W7139" s="474">
        <v>292000</v>
      </c>
      <c r="X7139" s="71"/>
      <c r="Y7139" s="71"/>
    </row>
    <row r="7140" spans="1:25" ht="30" hidden="1" customHeight="1" x14ac:dyDescent="0.25">
      <c r="A7140" s="1145">
        <v>45560</v>
      </c>
      <c r="B7140" s="664" t="s">
        <v>1061</v>
      </c>
      <c r="C7140" s="71" t="s">
        <v>1289</v>
      </c>
      <c r="D7140" s="71">
        <v>424</v>
      </c>
      <c r="E7140" s="102">
        <v>6498</v>
      </c>
      <c r="F7140" s="102">
        <f t="shared" si="3991"/>
        <v>3030667.2</v>
      </c>
      <c r="G7140" s="102">
        <f t="shared" si="3992"/>
        <v>2755152</v>
      </c>
      <c r="H7140" s="690" t="s">
        <v>36</v>
      </c>
      <c r="I7140" s="71" t="s">
        <v>3320</v>
      </c>
      <c r="J7140" s="53">
        <f t="shared" si="3984"/>
        <v>202672</v>
      </c>
      <c r="K7140" s="63">
        <f t="shared" si="3985"/>
        <v>7.3561095721760547E-2</v>
      </c>
      <c r="L7140" s="1212" t="s">
        <v>4194</v>
      </c>
      <c r="M7140" s="468"/>
      <c r="N7140" s="1192">
        <f t="shared" si="3977"/>
        <v>45560</v>
      </c>
      <c r="O7140" s="71" t="s">
        <v>146</v>
      </c>
      <c r="P7140" s="103" t="s">
        <v>1289</v>
      </c>
      <c r="Q7140" s="71">
        <f t="shared" si="3990"/>
        <v>424</v>
      </c>
      <c r="R7140" s="102">
        <v>6020</v>
      </c>
      <c r="S7140" s="102">
        <f t="shared" si="3988"/>
        <v>2807728</v>
      </c>
      <c r="T7140" s="102">
        <f t="shared" si="3989"/>
        <v>2552480</v>
      </c>
      <c r="U7140" s="71" t="s">
        <v>859</v>
      </c>
      <c r="V7140" s="71"/>
      <c r="W7140" s="474">
        <v>640800</v>
      </c>
      <c r="X7140" s="71"/>
      <c r="Y7140" s="71"/>
    </row>
    <row r="7141" spans="1:25" ht="30" hidden="1" customHeight="1" x14ac:dyDescent="0.25">
      <c r="A7141" s="1145">
        <v>45560</v>
      </c>
      <c r="B7141" s="664" t="s">
        <v>1061</v>
      </c>
      <c r="C7141" s="71" t="s">
        <v>1290</v>
      </c>
      <c r="D7141" s="71">
        <v>212</v>
      </c>
      <c r="E7141" s="102">
        <v>7910</v>
      </c>
      <c r="F7141" s="102">
        <f t="shared" si="3991"/>
        <v>1844612.0000000002</v>
      </c>
      <c r="G7141" s="102">
        <f t="shared" si="3992"/>
        <v>1676920</v>
      </c>
      <c r="H7141" s="690" t="s">
        <v>36</v>
      </c>
      <c r="I7141" s="71" t="s">
        <v>3320</v>
      </c>
      <c r="J7141" s="53">
        <f t="shared" si="3984"/>
        <v>127200</v>
      </c>
      <c r="K7141" s="63">
        <f t="shared" si="3985"/>
        <v>7.5853350189633365E-2</v>
      </c>
      <c r="L7141" s="1212" t="s">
        <v>4194</v>
      </c>
      <c r="M7141" s="468"/>
      <c r="N7141" s="1192">
        <f t="shared" si="3977"/>
        <v>45560</v>
      </c>
      <c r="O7141" s="71" t="s">
        <v>146</v>
      </c>
      <c r="P7141" s="103" t="s">
        <v>1290</v>
      </c>
      <c r="Q7141" s="71">
        <f t="shared" si="3990"/>
        <v>212</v>
      </c>
      <c r="R7141" s="102">
        <v>7310</v>
      </c>
      <c r="S7141" s="102">
        <f t="shared" si="3988"/>
        <v>1704692.0000000002</v>
      </c>
      <c r="T7141" s="102">
        <f t="shared" si="3989"/>
        <v>1549720</v>
      </c>
      <c r="U7141" s="71" t="s">
        <v>859</v>
      </c>
      <c r="V7141" s="71"/>
      <c r="W7141" s="474">
        <v>846000</v>
      </c>
      <c r="X7141" s="71"/>
      <c r="Y7141" s="71"/>
    </row>
    <row r="7142" spans="1:25" ht="30" hidden="1" customHeight="1" x14ac:dyDescent="0.25">
      <c r="A7142" s="1145">
        <v>45560</v>
      </c>
      <c r="B7142" s="664" t="s">
        <v>1061</v>
      </c>
      <c r="C7142" s="71" t="s">
        <v>3322</v>
      </c>
      <c r="D7142" s="71"/>
      <c r="E7142" s="102">
        <v>7150</v>
      </c>
      <c r="F7142" s="102">
        <f t="shared" si="3991"/>
        <v>0</v>
      </c>
      <c r="G7142" s="102">
        <f t="shared" si="3992"/>
        <v>0</v>
      </c>
      <c r="H7142" s="690" t="s">
        <v>36</v>
      </c>
      <c r="I7142" s="71" t="s">
        <v>3320</v>
      </c>
      <c r="J7142" s="53">
        <f t="shared" si="3984"/>
        <v>0</v>
      </c>
      <c r="K7142" s="63" t="e">
        <f t="shared" si="3985"/>
        <v>#DIV/0!</v>
      </c>
      <c r="L7142" s="1212" t="s">
        <v>4194</v>
      </c>
      <c r="M7142" s="468"/>
      <c r="N7142" s="1192">
        <f t="shared" si="3977"/>
        <v>45560</v>
      </c>
      <c r="O7142" s="71" t="s">
        <v>3323</v>
      </c>
      <c r="P7142" s="103" t="s">
        <v>3322</v>
      </c>
      <c r="Q7142" s="71">
        <f t="shared" si="3990"/>
        <v>0</v>
      </c>
      <c r="R7142" s="102">
        <v>6500</v>
      </c>
      <c r="S7142" s="102">
        <f t="shared" si="3988"/>
        <v>0</v>
      </c>
      <c r="T7142" s="102">
        <f t="shared" si="3989"/>
        <v>0</v>
      </c>
      <c r="U7142" s="71" t="s">
        <v>859</v>
      </c>
      <c r="V7142" s="71"/>
      <c r="W7142" s="474">
        <v>0</v>
      </c>
      <c r="X7142" s="71"/>
      <c r="Y7142" s="71"/>
    </row>
    <row r="7143" spans="1:25" ht="30" hidden="1" customHeight="1" x14ac:dyDescent="0.25">
      <c r="A7143" s="1145">
        <v>45560</v>
      </c>
      <c r="B7143" s="664" t="s">
        <v>1061</v>
      </c>
      <c r="C7143" s="71" t="s">
        <v>3324</v>
      </c>
      <c r="D7143" s="71"/>
      <c r="E7143" s="102">
        <v>6900</v>
      </c>
      <c r="F7143" s="102">
        <f t="shared" si="3991"/>
        <v>0</v>
      </c>
      <c r="G7143" s="102">
        <f t="shared" si="3992"/>
        <v>0</v>
      </c>
      <c r="H7143" s="690" t="s">
        <v>36</v>
      </c>
      <c r="I7143" s="71" t="s">
        <v>3320</v>
      </c>
      <c r="J7143" s="53">
        <f t="shared" si="3984"/>
        <v>0</v>
      </c>
      <c r="K7143" s="63" t="e">
        <f t="shared" si="3985"/>
        <v>#DIV/0!</v>
      </c>
      <c r="L7143" s="1212" t="s">
        <v>4194</v>
      </c>
      <c r="M7143" s="468"/>
      <c r="N7143" s="1192">
        <f t="shared" si="3977"/>
        <v>45560</v>
      </c>
      <c r="O7143" s="71" t="s">
        <v>3323</v>
      </c>
      <c r="P7143" s="103" t="s">
        <v>3324</v>
      </c>
      <c r="Q7143" s="71">
        <f t="shared" si="3990"/>
        <v>0</v>
      </c>
      <c r="R7143" s="102">
        <v>6200</v>
      </c>
      <c r="S7143" s="102">
        <f t="shared" si="3988"/>
        <v>0</v>
      </c>
      <c r="T7143" s="102">
        <f t="shared" si="3989"/>
        <v>0</v>
      </c>
      <c r="U7143" s="71" t="s">
        <v>859</v>
      </c>
      <c r="V7143" s="71"/>
      <c r="W7143" s="474">
        <v>0</v>
      </c>
      <c r="X7143" s="71"/>
      <c r="Y7143" s="71"/>
    </row>
    <row r="7144" spans="1:25" ht="28.5" hidden="1" customHeight="1" x14ac:dyDescent="0.25">
      <c r="A7144" s="1145">
        <v>45560</v>
      </c>
      <c r="B7144" s="664" t="s">
        <v>1061</v>
      </c>
      <c r="C7144" s="71" t="s">
        <v>3325</v>
      </c>
      <c r="D7144" s="71"/>
      <c r="E7144" s="102">
        <v>7500</v>
      </c>
      <c r="F7144" s="102">
        <f t="shared" si="3991"/>
        <v>0</v>
      </c>
      <c r="G7144" s="102">
        <f t="shared" si="3992"/>
        <v>0</v>
      </c>
      <c r="H7144" s="690" t="s">
        <v>36</v>
      </c>
      <c r="I7144" s="71" t="s">
        <v>3320</v>
      </c>
      <c r="J7144" s="53">
        <f t="shared" si="3984"/>
        <v>0</v>
      </c>
      <c r="K7144" s="63" t="e">
        <f t="shared" si="3985"/>
        <v>#DIV/0!</v>
      </c>
      <c r="L7144" s="1212" t="s">
        <v>4194</v>
      </c>
      <c r="M7144" s="468"/>
      <c r="N7144" s="1192">
        <f t="shared" si="3977"/>
        <v>45560</v>
      </c>
      <c r="O7144" s="71" t="s">
        <v>3323</v>
      </c>
      <c r="P7144" s="103" t="s">
        <v>3325</v>
      </c>
      <c r="Q7144" s="71">
        <f t="shared" si="3990"/>
        <v>0</v>
      </c>
      <c r="R7144" s="102">
        <v>6600</v>
      </c>
      <c r="S7144" s="102">
        <f t="shared" si="3988"/>
        <v>0</v>
      </c>
      <c r="T7144" s="102">
        <f t="shared" si="3989"/>
        <v>0</v>
      </c>
      <c r="U7144" s="71" t="s">
        <v>859</v>
      </c>
      <c r="V7144" s="71"/>
      <c r="W7144" s="474">
        <v>0</v>
      </c>
      <c r="X7144" s="71"/>
      <c r="Y7144" s="71"/>
    </row>
    <row r="7145" spans="1:25" ht="30" hidden="1" customHeight="1" x14ac:dyDescent="0.25">
      <c r="A7145" s="1145">
        <v>45560</v>
      </c>
      <c r="B7145" s="664" t="s">
        <v>1061</v>
      </c>
      <c r="C7145" s="71" t="s">
        <v>3326</v>
      </c>
      <c r="D7145" s="71"/>
      <c r="E7145" s="102">
        <v>6450</v>
      </c>
      <c r="F7145" s="102">
        <f t="shared" si="3991"/>
        <v>0</v>
      </c>
      <c r="G7145" s="102">
        <f t="shared" si="3992"/>
        <v>0</v>
      </c>
      <c r="H7145" s="690" t="s">
        <v>36</v>
      </c>
      <c r="I7145" s="71" t="s">
        <v>3320</v>
      </c>
      <c r="J7145" s="53">
        <f t="shared" si="3984"/>
        <v>0</v>
      </c>
      <c r="K7145" s="63" t="e">
        <f t="shared" si="3985"/>
        <v>#DIV/0!</v>
      </c>
      <c r="L7145" s="1212" t="s">
        <v>4194</v>
      </c>
      <c r="M7145" s="468"/>
      <c r="N7145" s="1192">
        <f t="shared" si="3977"/>
        <v>45560</v>
      </c>
      <c r="O7145" s="71" t="s">
        <v>3323</v>
      </c>
      <c r="P7145" s="103" t="s">
        <v>3326</v>
      </c>
      <c r="Q7145" s="71">
        <f t="shared" si="3990"/>
        <v>0</v>
      </c>
      <c r="R7145" s="102">
        <v>5700</v>
      </c>
      <c r="S7145" s="102">
        <f t="shared" si="3988"/>
        <v>0</v>
      </c>
      <c r="T7145" s="102">
        <f t="shared" si="3989"/>
        <v>0</v>
      </c>
      <c r="U7145" s="71" t="s">
        <v>859</v>
      </c>
      <c r="V7145" s="71"/>
      <c r="W7145" s="474">
        <v>0</v>
      </c>
      <c r="X7145" s="71"/>
      <c r="Y7145" s="71"/>
    </row>
    <row r="7146" spans="1:25" ht="30" hidden="1" customHeight="1" x14ac:dyDescent="0.25">
      <c r="A7146" s="1145">
        <v>45560</v>
      </c>
      <c r="B7146" s="664" t="s">
        <v>1061</v>
      </c>
      <c r="C7146" s="71" t="s">
        <v>4196</v>
      </c>
      <c r="D7146" s="71">
        <v>101</v>
      </c>
      <c r="E7146" s="102">
        <v>22400</v>
      </c>
      <c r="F7146" s="102">
        <f t="shared" si="3991"/>
        <v>2488640</v>
      </c>
      <c r="G7146" s="102">
        <f t="shared" si="3992"/>
        <v>2262400</v>
      </c>
      <c r="H7146" s="690" t="s">
        <v>36</v>
      </c>
      <c r="I7146" s="71" t="s">
        <v>3320</v>
      </c>
      <c r="J7146" s="53">
        <f t="shared" si="3984"/>
        <v>2262400</v>
      </c>
      <c r="K7146" s="63">
        <f t="shared" si="3985"/>
        <v>1</v>
      </c>
      <c r="L7146" s="1212" t="s">
        <v>4194</v>
      </c>
      <c r="M7146" s="468"/>
      <c r="N7146" s="1192">
        <f t="shared" si="3977"/>
        <v>45560</v>
      </c>
      <c r="O7146" s="71" t="s">
        <v>146</v>
      </c>
      <c r="P7146" s="103" t="s">
        <v>3963</v>
      </c>
      <c r="Q7146" s="71">
        <f t="shared" si="3990"/>
        <v>101</v>
      </c>
      <c r="R7146" s="102"/>
      <c r="S7146" s="102">
        <f t="shared" si="3988"/>
        <v>0</v>
      </c>
      <c r="T7146" s="102">
        <f t="shared" si="3989"/>
        <v>0</v>
      </c>
      <c r="U7146" s="71"/>
      <c r="V7146" s="71"/>
      <c r="W7146" s="474"/>
      <c r="X7146" s="71"/>
      <c r="Y7146" s="71"/>
    </row>
    <row r="7147" spans="1:25" ht="30" hidden="1" customHeight="1" x14ac:dyDescent="0.25">
      <c r="A7147" s="1145">
        <v>45560</v>
      </c>
      <c r="B7147" s="664" t="s">
        <v>1061</v>
      </c>
      <c r="C7147" s="71" t="s">
        <v>4123</v>
      </c>
      <c r="D7147" s="71">
        <v>0</v>
      </c>
      <c r="E7147" s="102">
        <v>12500</v>
      </c>
      <c r="F7147" s="102">
        <f t="shared" si="3991"/>
        <v>0</v>
      </c>
      <c r="G7147" s="102">
        <f t="shared" si="3992"/>
        <v>0</v>
      </c>
      <c r="H7147" s="690" t="s">
        <v>36</v>
      </c>
      <c r="I7147" s="71" t="s">
        <v>3320</v>
      </c>
      <c r="J7147" s="53">
        <f t="shared" si="3984"/>
        <v>0</v>
      </c>
      <c r="K7147" s="63" t="e">
        <f t="shared" si="3985"/>
        <v>#DIV/0!</v>
      </c>
      <c r="L7147" s="1212" t="s">
        <v>4194</v>
      </c>
      <c r="M7147" s="468"/>
      <c r="N7147" s="1192">
        <f t="shared" si="3977"/>
        <v>45560</v>
      </c>
      <c r="O7147" s="71" t="s">
        <v>3323</v>
      </c>
      <c r="P7147" s="103" t="s">
        <v>4177</v>
      </c>
      <c r="Q7147" s="71">
        <f t="shared" si="3990"/>
        <v>0</v>
      </c>
      <c r="R7147" s="102">
        <v>11700</v>
      </c>
      <c r="S7147" s="102">
        <f t="shared" si="3988"/>
        <v>0</v>
      </c>
      <c r="T7147" s="102">
        <f t="shared" si="3989"/>
        <v>0</v>
      </c>
      <c r="U7147" s="71"/>
      <c r="V7147" s="71"/>
      <c r="W7147" s="474"/>
      <c r="X7147" s="71"/>
      <c r="Y7147" s="71"/>
    </row>
    <row r="7148" spans="1:25" ht="30" hidden="1" customHeight="1" x14ac:dyDescent="0.25">
      <c r="A7148" s="1145">
        <v>45560</v>
      </c>
      <c r="B7148" s="664" t="s">
        <v>3307</v>
      </c>
      <c r="C7148" s="71" t="s">
        <v>3916</v>
      </c>
      <c r="D7148" s="71">
        <v>8</v>
      </c>
      <c r="E7148" s="102">
        <v>218000</v>
      </c>
      <c r="F7148" s="102">
        <f t="shared" si="3991"/>
        <v>1918400.0000000002</v>
      </c>
      <c r="G7148" s="102">
        <f t="shared" si="3992"/>
        <v>1744000</v>
      </c>
      <c r="H7148" s="690" t="s">
        <v>172</v>
      </c>
      <c r="I7148" s="71" t="s">
        <v>33</v>
      </c>
      <c r="J7148" s="53">
        <f t="shared" si="3984"/>
        <v>412000</v>
      </c>
      <c r="K7148" s="63">
        <f t="shared" si="3985"/>
        <v>0.23623853211009171</v>
      </c>
      <c r="L7148" s="1212" t="s">
        <v>4194</v>
      </c>
      <c r="M7148" s="468" t="s">
        <v>3965</v>
      </c>
      <c r="N7148" s="1192">
        <f t="shared" si="3977"/>
        <v>45560</v>
      </c>
      <c r="O7148" s="71" t="s">
        <v>662</v>
      </c>
      <c r="P7148" s="103" t="s">
        <v>3916</v>
      </c>
      <c r="Q7148" s="71">
        <f t="shared" si="3990"/>
        <v>8</v>
      </c>
      <c r="R7148" s="102">
        <v>166500</v>
      </c>
      <c r="S7148" s="102">
        <f t="shared" si="3988"/>
        <v>1465200.0000000002</v>
      </c>
      <c r="T7148" s="102">
        <f t="shared" si="3989"/>
        <v>1332000</v>
      </c>
      <c r="U7148" s="71" t="s">
        <v>859</v>
      </c>
      <c r="V7148" s="71" t="s">
        <v>728</v>
      </c>
      <c r="W7148" s="474">
        <v>464000</v>
      </c>
      <c r="X7148" s="71"/>
      <c r="Y7148" s="71"/>
    </row>
    <row r="7149" spans="1:25" ht="30" hidden="1" customHeight="1" x14ac:dyDescent="0.25">
      <c r="A7149" s="1145">
        <v>45560</v>
      </c>
      <c r="B7149" s="664" t="s">
        <v>3307</v>
      </c>
      <c r="C7149" s="71" t="s">
        <v>3864</v>
      </c>
      <c r="D7149" s="71">
        <v>1</v>
      </c>
      <c r="E7149" s="102">
        <v>2350000</v>
      </c>
      <c r="F7149" s="102">
        <f t="shared" si="3991"/>
        <v>2585000</v>
      </c>
      <c r="G7149" s="102">
        <f t="shared" si="3992"/>
        <v>2350000</v>
      </c>
      <c r="H7149" s="690" t="s">
        <v>36</v>
      </c>
      <c r="I7149" s="690" t="s">
        <v>36</v>
      </c>
      <c r="J7149" s="53">
        <f t="shared" si="3984"/>
        <v>600000</v>
      </c>
      <c r="K7149" s="63">
        <f t="shared" si="3985"/>
        <v>0.25531914893617019</v>
      </c>
      <c r="L7149" s="1212" t="s">
        <v>4194</v>
      </c>
      <c r="M7149" s="468"/>
      <c r="N7149" s="1192">
        <f t="shared" si="3977"/>
        <v>45560</v>
      </c>
      <c r="O7149" s="71" t="s">
        <v>3298</v>
      </c>
      <c r="P7149" s="103" t="s">
        <v>4178</v>
      </c>
      <c r="Q7149" s="71">
        <f t="shared" si="3990"/>
        <v>1</v>
      </c>
      <c r="R7149" s="147">
        <v>1750000</v>
      </c>
      <c r="S7149" s="102">
        <f t="shared" si="3988"/>
        <v>1925000.0000000002</v>
      </c>
      <c r="T7149" s="102">
        <f t="shared" si="3989"/>
        <v>1750000</v>
      </c>
      <c r="U7149" s="71"/>
      <c r="V7149" s="71"/>
      <c r="W7149" s="474"/>
      <c r="X7149" s="71"/>
      <c r="Y7149" s="71"/>
    </row>
    <row r="7150" spans="1:25" ht="30" hidden="1" customHeight="1" x14ac:dyDescent="0.25">
      <c r="A7150" s="1145">
        <v>45560</v>
      </c>
      <c r="B7150" s="664" t="s">
        <v>575</v>
      </c>
      <c r="C7150" s="71" t="s">
        <v>4058</v>
      </c>
      <c r="D7150" s="71">
        <v>10</v>
      </c>
      <c r="E7150" s="102">
        <v>27000</v>
      </c>
      <c r="F7150" s="102">
        <f t="shared" si="3991"/>
        <v>297000</v>
      </c>
      <c r="G7150" s="102">
        <f t="shared" si="3992"/>
        <v>270000</v>
      </c>
      <c r="H7150" s="690" t="s">
        <v>179</v>
      </c>
      <c r="I7150" s="71" t="s">
        <v>142</v>
      </c>
      <c r="J7150" s="53">
        <f t="shared" si="3984"/>
        <v>44000</v>
      </c>
      <c r="K7150" s="63">
        <f t="shared" si="3985"/>
        <v>0.16296296296296298</v>
      </c>
      <c r="L7150" s="1212" t="s">
        <v>4194</v>
      </c>
      <c r="M7150" s="468"/>
      <c r="N7150" s="1192">
        <f t="shared" si="3977"/>
        <v>45560</v>
      </c>
      <c r="O7150" s="71" t="s">
        <v>151</v>
      </c>
      <c r="P7150" s="103" t="str">
        <f t="shared" ref="P7150:P7152" si="3993">(C7150)</f>
        <v>국전 블랑켓 패킹지</v>
      </c>
      <c r="Q7150" s="71">
        <f t="shared" si="3990"/>
        <v>10</v>
      </c>
      <c r="R7150" s="147">
        <v>22600</v>
      </c>
      <c r="S7150" s="102">
        <f t="shared" si="3988"/>
        <v>248600.00000000003</v>
      </c>
      <c r="T7150" s="102">
        <f t="shared" si="3989"/>
        <v>226000</v>
      </c>
      <c r="U7150" s="71"/>
      <c r="V7150" s="71"/>
      <c r="W7150" s="474"/>
      <c r="X7150" s="71"/>
      <c r="Y7150" s="71"/>
    </row>
    <row r="7151" spans="1:25" s="209" customFormat="1" ht="31.5" hidden="1" customHeight="1" x14ac:dyDescent="0.2">
      <c r="A7151" s="1145">
        <v>45539</v>
      </c>
      <c r="B7151" s="664" t="s">
        <v>4059</v>
      </c>
      <c r="C7151" s="71" t="s">
        <v>4061</v>
      </c>
      <c r="D7151" s="71">
        <v>10</v>
      </c>
      <c r="E7151" s="102">
        <v>130000</v>
      </c>
      <c r="F7151" s="102">
        <f t="shared" si="3991"/>
        <v>1430000</v>
      </c>
      <c r="G7151" s="102">
        <f t="shared" si="3992"/>
        <v>1300000</v>
      </c>
      <c r="H7151" s="165" t="s">
        <v>172</v>
      </c>
      <c r="I7151" s="71" t="s">
        <v>184</v>
      </c>
      <c r="J7151" s="53">
        <f t="shared" si="3984"/>
        <v>180000</v>
      </c>
      <c r="K7151" s="63">
        <f t="shared" si="3985"/>
        <v>0.13846153846153847</v>
      </c>
      <c r="L7151" s="1212" t="s">
        <v>4194</v>
      </c>
      <c r="M7151" s="468"/>
      <c r="N7151" s="1192">
        <f t="shared" si="3977"/>
        <v>45539</v>
      </c>
      <c r="O7151" s="71" t="s">
        <v>189</v>
      </c>
      <c r="P7151" s="103" t="str">
        <f t="shared" si="3993"/>
        <v>M600 Blanket(990*725)</v>
      </c>
      <c r="Q7151" s="71">
        <f t="shared" si="3990"/>
        <v>10</v>
      </c>
      <c r="R7151" s="102">
        <v>112000</v>
      </c>
      <c r="S7151" s="102">
        <f t="shared" si="3988"/>
        <v>1232000</v>
      </c>
      <c r="T7151" s="102">
        <f t="shared" si="3989"/>
        <v>1120000</v>
      </c>
      <c r="U7151" s="71" t="str">
        <f>IF(J7151=W7151,"O", "X")</f>
        <v>X</v>
      </c>
      <c r="V7151" s="71"/>
      <c r="W7151" s="474">
        <v>80000</v>
      </c>
      <c r="X7151" s="71"/>
      <c r="Y7151" s="71"/>
    </row>
    <row r="7152" spans="1:25" s="209" customFormat="1" ht="31.5" hidden="1" customHeight="1" x14ac:dyDescent="0.2">
      <c r="A7152" s="1145">
        <v>45555</v>
      </c>
      <c r="B7152" s="664" t="s">
        <v>4059</v>
      </c>
      <c r="C7152" s="71" t="s">
        <v>4061</v>
      </c>
      <c r="D7152" s="71">
        <v>10</v>
      </c>
      <c r="E7152" s="102">
        <v>130000</v>
      </c>
      <c r="F7152" s="102">
        <f t="shared" si="3991"/>
        <v>1430000</v>
      </c>
      <c r="G7152" s="102">
        <f t="shared" si="3992"/>
        <v>1300000</v>
      </c>
      <c r="H7152" s="165" t="s">
        <v>172</v>
      </c>
      <c r="I7152" s="71" t="s">
        <v>184</v>
      </c>
      <c r="J7152" s="53">
        <f t="shared" si="3984"/>
        <v>180000</v>
      </c>
      <c r="K7152" s="63">
        <f t="shared" si="3985"/>
        <v>0.13846153846153847</v>
      </c>
      <c r="L7152" s="1212" t="s">
        <v>4194</v>
      </c>
      <c r="M7152" s="468"/>
      <c r="N7152" s="1192">
        <f t="shared" si="3977"/>
        <v>45555</v>
      </c>
      <c r="O7152" s="71" t="s">
        <v>189</v>
      </c>
      <c r="P7152" s="103" t="str">
        <f t="shared" si="3993"/>
        <v>M600 Blanket(990*725)</v>
      </c>
      <c r="Q7152" s="71">
        <f t="shared" si="3990"/>
        <v>10</v>
      </c>
      <c r="R7152" s="102">
        <v>112000</v>
      </c>
      <c r="S7152" s="102">
        <f t="shared" si="3988"/>
        <v>1232000</v>
      </c>
      <c r="T7152" s="102">
        <f t="shared" si="3989"/>
        <v>1120000</v>
      </c>
      <c r="U7152" s="71" t="str">
        <f>IF(J7152=W7152,"O", "X")</f>
        <v>X</v>
      </c>
      <c r="V7152" s="71"/>
      <c r="W7152" s="474">
        <v>80000</v>
      </c>
      <c r="X7152" s="71"/>
      <c r="Y7152" s="71"/>
    </row>
    <row r="7153" spans="1:25" ht="30" hidden="1" customHeight="1" x14ac:dyDescent="0.25">
      <c r="A7153" s="1145">
        <v>45534</v>
      </c>
      <c r="B7153" s="664" t="s">
        <v>2261</v>
      </c>
      <c r="C7153" s="71" t="s">
        <v>3299</v>
      </c>
      <c r="D7153" s="71">
        <v>10</v>
      </c>
      <c r="E7153" s="102">
        <v>52000</v>
      </c>
      <c r="F7153" s="102">
        <f t="shared" ref="F7153:F7155" si="3994">(E7153*D7153)*1.1</f>
        <v>572000</v>
      </c>
      <c r="G7153" s="102">
        <f t="shared" ref="G7153:G7155" si="3995">(E7153*D7153)</f>
        <v>520000</v>
      </c>
      <c r="H7153" s="690" t="s">
        <v>172</v>
      </c>
      <c r="I7153" s="71" t="s">
        <v>180</v>
      </c>
      <c r="J7153" s="53">
        <f t="shared" ref="J7153:J7155" si="3996">G7153-T7153</f>
        <v>45000</v>
      </c>
      <c r="K7153" s="63">
        <f t="shared" ref="K7153:K7155" si="3997">(J7153/(F7153/11*10))</f>
        <v>8.6538461538461536E-2</v>
      </c>
      <c r="L7153" s="1212" t="s">
        <v>4194</v>
      </c>
      <c r="M7153" s="468" t="s">
        <v>3835</v>
      </c>
      <c r="N7153" s="1192">
        <f t="shared" ref="N7153:N7155" si="3998">A7153</f>
        <v>45534</v>
      </c>
      <c r="O7153" s="71" t="s">
        <v>175</v>
      </c>
      <c r="P7153" s="103" t="str">
        <f t="shared" ref="P7153:P7155" si="3999">(C7153)</f>
        <v>매엽용 세척제(Wash k11)</v>
      </c>
      <c r="Q7153" s="71">
        <f t="shared" ref="Q7153:Q7155" si="4000">D7153</f>
        <v>10</v>
      </c>
      <c r="R7153" s="102">
        <v>47500</v>
      </c>
      <c r="S7153" s="102">
        <f t="shared" si="3988"/>
        <v>522500.00000000006</v>
      </c>
      <c r="T7153" s="102">
        <f t="shared" si="3989"/>
        <v>475000</v>
      </c>
      <c r="U7153" s="71" t="s">
        <v>859</v>
      </c>
      <c r="V7153" s="71"/>
      <c r="W7153" s="474"/>
      <c r="X7153" s="71"/>
      <c r="Y7153" s="71"/>
    </row>
    <row r="7154" spans="1:25" ht="30" hidden="1" customHeight="1" x14ac:dyDescent="0.25">
      <c r="A7154" s="1145">
        <v>45539</v>
      </c>
      <c r="B7154" s="664" t="s">
        <v>2261</v>
      </c>
      <c r="C7154" s="760" t="s">
        <v>181</v>
      </c>
      <c r="D7154" s="71">
        <v>5</v>
      </c>
      <c r="E7154" s="102">
        <v>193000</v>
      </c>
      <c r="F7154" s="102">
        <f t="shared" si="3994"/>
        <v>1061500</v>
      </c>
      <c r="G7154" s="102">
        <f t="shared" si="3995"/>
        <v>965000</v>
      </c>
      <c r="H7154" s="690" t="s">
        <v>2029</v>
      </c>
      <c r="I7154" s="71" t="s">
        <v>182</v>
      </c>
      <c r="J7154" s="53">
        <f t="shared" si="3996"/>
        <v>345000</v>
      </c>
      <c r="K7154" s="63">
        <f t="shared" si="3997"/>
        <v>0.35751295336787564</v>
      </c>
      <c r="L7154" s="1212" t="s">
        <v>4194</v>
      </c>
      <c r="M7154" s="468"/>
      <c r="N7154" s="1192">
        <f t="shared" si="3998"/>
        <v>45539</v>
      </c>
      <c r="O7154" s="71" t="s">
        <v>2030</v>
      </c>
      <c r="P7154" s="103" t="str">
        <f t="shared" si="3999"/>
        <v>Fount Web 551AF</v>
      </c>
      <c r="Q7154" s="71">
        <f t="shared" si="4000"/>
        <v>5</v>
      </c>
      <c r="R7154" s="102">
        <v>124000</v>
      </c>
      <c r="S7154" s="102">
        <f t="shared" si="3988"/>
        <v>682000</v>
      </c>
      <c r="T7154" s="102">
        <f t="shared" si="3989"/>
        <v>620000</v>
      </c>
      <c r="U7154" s="71" t="str">
        <f>IF(J7154=W7154,"O", "X")</f>
        <v>X</v>
      </c>
      <c r="V7154" s="71"/>
      <c r="W7154" s="474">
        <v>640000</v>
      </c>
      <c r="X7154" s="71"/>
      <c r="Y7154" s="71"/>
    </row>
    <row r="7155" spans="1:25" ht="30" hidden="1" customHeight="1" x14ac:dyDescent="0.25">
      <c r="A7155" s="1145">
        <v>45539</v>
      </c>
      <c r="B7155" s="664" t="s">
        <v>2261</v>
      </c>
      <c r="C7155" s="71" t="s">
        <v>277</v>
      </c>
      <c r="D7155" s="71">
        <v>10</v>
      </c>
      <c r="E7155" s="102">
        <v>172000</v>
      </c>
      <c r="F7155" s="102">
        <f t="shared" si="3994"/>
        <v>1892000.0000000002</v>
      </c>
      <c r="G7155" s="102">
        <f t="shared" si="3995"/>
        <v>1720000</v>
      </c>
      <c r="H7155" s="690" t="s">
        <v>172</v>
      </c>
      <c r="I7155" s="71" t="s">
        <v>108</v>
      </c>
      <c r="J7155" s="53">
        <f t="shared" si="3996"/>
        <v>390000</v>
      </c>
      <c r="K7155" s="63">
        <f t="shared" si="3997"/>
        <v>0.22674418604651159</v>
      </c>
      <c r="L7155" s="1212" t="s">
        <v>4194</v>
      </c>
      <c r="M7155" s="468"/>
      <c r="N7155" s="1192">
        <f t="shared" si="3998"/>
        <v>45539</v>
      </c>
      <c r="O7155" s="71" t="s">
        <v>662</v>
      </c>
      <c r="P7155" s="103" t="str">
        <f t="shared" si="3999"/>
        <v>윤전용 세척제(Web 504)</v>
      </c>
      <c r="Q7155" s="71">
        <f t="shared" si="4000"/>
        <v>10</v>
      </c>
      <c r="R7155" s="102">
        <v>133000</v>
      </c>
      <c r="S7155" s="102">
        <f t="shared" si="3988"/>
        <v>1463000.0000000002</v>
      </c>
      <c r="T7155" s="102">
        <f t="shared" si="3989"/>
        <v>1330000</v>
      </c>
      <c r="U7155" s="71" t="str">
        <f>IF(J7155=W7155,"O", "X")</f>
        <v>X</v>
      </c>
      <c r="V7155" s="71"/>
      <c r="W7155" s="474"/>
      <c r="X7155" s="71"/>
      <c r="Y7155" s="71"/>
    </row>
    <row r="7156" spans="1:25" ht="30" hidden="1" customHeight="1" x14ac:dyDescent="0.25">
      <c r="A7156" s="1145">
        <v>45539</v>
      </c>
      <c r="B7156" s="664" t="s">
        <v>2261</v>
      </c>
      <c r="C7156" s="71" t="s">
        <v>3299</v>
      </c>
      <c r="D7156" s="71">
        <v>10</v>
      </c>
      <c r="E7156" s="102">
        <v>52000</v>
      </c>
      <c r="F7156" s="102">
        <f t="shared" ref="F7156:F7159" si="4001">(E7156*D7156)*1.1</f>
        <v>572000</v>
      </c>
      <c r="G7156" s="102">
        <f t="shared" ref="G7156:G7159" si="4002">(E7156*D7156)</f>
        <v>520000</v>
      </c>
      <c r="H7156" s="690" t="s">
        <v>172</v>
      </c>
      <c r="I7156" s="71" t="s">
        <v>180</v>
      </c>
      <c r="J7156" s="53">
        <f t="shared" ref="J7156:J7159" si="4003">G7156-T7156</f>
        <v>45000</v>
      </c>
      <c r="K7156" s="63">
        <f t="shared" ref="K7156:K7159" si="4004">(J7156/(F7156/11*10))</f>
        <v>8.6538461538461536E-2</v>
      </c>
      <c r="L7156" s="1212" t="s">
        <v>4194</v>
      </c>
      <c r="M7156" s="468" t="s">
        <v>3835</v>
      </c>
      <c r="N7156" s="1192">
        <f t="shared" ref="N7156:N7159" si="4005">A7156</f>
        <v>45539</v>
      </c>
      <c r="O7156" s="71" t="s">
        <v>175</v>
      </c>
      <c r="P7156" s="103" t="str">
        <f t="shared" ref="P7156:P7159" si="4006">(C7156)</f>
        <v>매엽용 세척제(Wash k11)</v>
      </c>
      <c r="Q7156" s="71">
        <f t="shared" ref="Q7156:Q7159" si="4007">D7156</f>
        <v>10</v>
      </c>
      <c r="R7156" s="102">
        <v>47500</v>
      </c>
      <c r="S7156" s="102">
        <f t="shared" ref="S7156:S7159" si="4008">R7156*Q7156*1.1</f>
        <v>522500.00000000006</v>
      </c>
      <c r="T7156" s="102">
        <f t="shared" ref="T7156:T7159" si="4009">R7156*Q7156</f>
        <v>475000</v>
      </c>
      <c r="U7156" s="71" t="s">
        <v>859</v>
      </c>
      <c r="V7156" s="71"/>
      <c r="W7156" s="474"/>
      <c r="X7156" s="71"/>
      <c r="Y7156" s="71"/>
    </row>
    <row r="7157" spans="1:25" ht="30" hidden="1" customHeight="1" x14ac:dyDescent="0.25">
      <c r="A7157" s="1145">
        <v>45546</v>
      </c>
      <c r="B7157" s="664" t="s">
        <v>2261</v>
      </c>
      <c r="C7157" s="760" t="s">
        <v>181</v>
      </c>
      <c r="D7157" s="71">
        <v>10</v>
      </c>
      <c r="E7157" s="102">
        <v>193000</v>
      </c>
      <c r="F7157" s="102">
        <f t="shared" si="4001"/>
        <v>2123000</v>
      </c>
      <c r="G7157" s="102">
        <f t="shared" si="4002"/>
        <v>1930000</v>
      </c>
      <c r="H7157" s="690" t="s">
        <v>2029</v>
      </c>
      <c r="I7157" s="71" t="s">
        <v>182</v>
      </c>
      <c r="J7157" s="53">
        <f t="shared" si="4003"/>
        <v>690000</v>
      </c>
      <c r="K7157" s="63">
        <f t="shared" si="4004"/>
        <v>0.35751295336787564</v>
      </c>
      <c r="L7157" s="1212" t="s">
        <v>4194</v>
      </c>
      <c r="M7157" s="468"/>
      <c r="N7157" s="1192">
        <f t="shared" si="4005"/>
        <v>45546</v>
      </c>
      <c r="O7157" s="71" t="s">
        <v>2030</v>
      </c>
      <c r="P7157" s="103" t="str">
        <f t="shared" si="4006"/>
        <v>Fount Web 551AF</v>
      </c>
      <c r="Q7157" s="71">
        <f t="shared" si="4007"/>
        <v>10</v>
      </c>
      <c r="R7157" s="102">
        <v>124000</v>
      </c>
      <c r="S7157" s="102">
        <f t="shared" si="4008"/>
        <v>1364000</v>
      </c>
      <c r="T7157" s="102">
        <f t="shared" si="4009"/>
        <v>1240000</v>
      </c>
      <c r="U7157" s="71" t="str">
        <f>IF(J7157=W7157,"O", "X")</f>
        <v>X</v>
      </c>
      <c r="V7157" s="71"/>
      <c r="W7157" s="474">
        <v>640000</v>
      </c>
      <c r="X7157" s="71"/>
      <c r="Y7157" s="71"/>
    </row>
    <row r="7158" spans="1:25" ht="30" hidden="1" customHeight="1" x14ac:dyDescent="0.25">
      <c r="A7158" s="1145">
        <v>45547</v>
      </c>
      <c r="B7158" s="664" t="s">
        <v>3289</v>
      </c>
      <c r="C7158" s="71" t="s">
        <v>2070</v>
      </c>
      <c r="D7158" s="71">
        <v>10</v>
      </c>
      <c r="E7158" s="102">
        <v>110000</v>
      </c>
      <c r="F7158" s="102">
        <f t="shared" si="4001"/>
        <v>1210000</v>
      </c>
      <c r="G7158" s="102">
        <f t="shared" si="4002"/>
        <v>1100000</v>
      </c>
      <c r="H7158" s="690" t="s">
        <v>172</v>
      </c>
      <c r="I7158" s="71" t="s">
        <v>33</v>
      </c>
      <c r="J7158" s="53">
        <f t="shared" si="4003"/>
        <v>206000</v>
      </c>
      <c r="K7158" s="63">
        <f t="shared" si="4004"/>
        <v>0.18727272727272729</v>
      </c>
      <c r="L7158" s="1212" t="s">
        <v>4194</v>
      </c>
      <c r="M7158" s="468" t="s">
        <v>4114</v>
      </c>
      <c r="N7158" s="1192">
        <f t="shared" si="4005"/>
        <v>45547</v>
      </c>
      <c r="O7158" s="71" t="s">
        <v>146</v>
      </c>
      <c r="P7158" s="103" t="str">
        <f t="shared" si="4006"/>
        <v>Blanket(1050*840)</v>
      </c>
      <c r="Q7158" s="71">
        <f t="shared" si="4007"/>
        <v>10</v>
      </c>
      <c r="R7158" s="102">
        <v>89400</v>
      </c>
      <c r="S7158" s="102">
        <f t="shared" si="4008"/>
        <v>983400.00000000012</v>
      </c>
      <c r="T7158" s="102">
        <f t="shared" si="4009"/>
        <v>894000</v>
      </c>
      <c r="U7158" s="71" t="str">
        <f>IF(J7158=W7158,"O", "X")</f>
        <v>X</v>
      </c>
      <c r="V7158" s="71"/>
      <c r="W7158" s="474">
        <v>275000</v>
      </c>
      <c r="X7158" s="71"/>
      <c r="Y7158" s="71"/>
    </row>
    <row r="7159" spans="1:25" s="209" customFormat="1" ht="31.15" hidden="1" customHeight="1" x14ac:dyDescent="0.2">
      <c r="A7159" s="1145">
        <v>45547</v>
      </c>
      <c r="B7159" s="664" t="s">
        <v>3289</v>
      </c>
      <c r="C7159" s="71" t="s">
        <v>3387</v>
      </c>
      <c r="D7159" s="71">
        <v>10</v>
      </c>
      <c r="E7159" s="102">
        <v>130000</v>
      </c>
      <c r="F7159" s="102">
        <f t="shared" si="4001"/>
        <v>1430000</v>
      </c>
      <c r="G7159" s="102">
        <f t="shared" si="4002"/>
        <v>1300000</v>
      </c>
      <c r="H7159" s="165" t="s">
        <v>172</v>
      </c>
      <c r="I7159" s="71" t="s">
        <v>184</v>
      </c>
      <c r="J7159" s="53">
        <f t="shared" si="4003"/>
        <v>180000</v>
      </c>
      <c r="K7159" s="63">
        <f t="shared" si="4004"/>
        <v>0.13846153846153847</v>
      </c>
      <c r="L7159" s="1212" t="s">
        <v>4194</v>
      </c>
      <c r="M7159" s="468"/>
      <c r="N7159" s="1192">
        <f t="shared" si="4005"/>
        <v>45547</v>
      </c>
      <c r="O7159" s="71" t="s">
        <v>189</v>
      </c>
      <c r="P7159" s="103" t="str">
        <f t="shared" si="4006"/>
        <v>Blanket(990*725)</v>
      </c>
      <c r="Q7159" s="71">
        <f t="shared" si="4007"/>
        <v>10</v>
      </c>
      <c r="R7159" s="102">
        <v>112000</v>
      </c>
      <c r="S7159" s="102">
        <f t="shared" si="4008"/>
        <v>1232000</v>
      </c>
      <c r="T7159" s="102">
        <f t="shared" si="4009"/>
        <v>1120000</v>
      </c>
      <c r="U7159" s="71" t="str">
        <f>IF(J7159=W7159,"O", "X")</f>
        <v>X</v>
      </c>
      <c r="V7159" s="71"/>
      <c r="W7159" s="474">
        <v>80000</v>
      </c>
      <c r="X7159" s="71"/>
      <c r="Y7159" s="71"/>
    </row>
    <row r="7160" spans="1:25" ht="30" hidden="1" customHeight="1" x14ac:dyDescent="0.25">
      <c r="A7160" s="1145">
        <v>45555</v>
      </c>
      <c r="B7160" s="664" t="s">
        <v>2261</v>
      </c>
      <c r="C7160" s="71" t="s">
        <v>3299</v>
      </c>
      <c r="D7160" s="71">
        <v>10</v>
      </c>
      <c r="E7160" s="102">
        <v>52000</v>
      </c>
      <c r="F7160" s="102">
        <f t="shared" ref="F7160:F7165" si="4010">(E7160*D7160)*1.1</f>
        <v>572000</v>
      </c>
      <c r="G7160" s="102">
        <f t="shared" ref="G7160:G7165" si="4011">(E7160*D7160)</f>
        <v>520000</v>
      </c>
      <c r="H7160" s="690" t="s">
        <v>172</v>
      </c>
      <c r="I7160" s="71" t="s">
        <v>180</v>
      </c>
      <c r="J7160" s="53">
        <f t="shared" ref="J7160:J7171" si="4012">G7160-T7160</f>
        <v>45000</v>
      </c>
      <c r="K7160" s="63">
        <f t="shared" ref="K7160:K7168" si="4013">(J7160/(F7160/11*10))</f>
        <v>8.6538461538461536E-2</v>
      </c>
      <c r="L7160" s="1212" t="s">
        <v>4194</v>
      </c>
      <c r="M7160" s="468" t="s">
        <v>3835</v>
      </c>
      <c r="N7160" s="1192">
        <f t="shared" ref="N7160:N7163" si="4014">A7160</f>
        <v>45555</v>
      </c>
      <c r="O7160" s="71" t="s">
        <v>175</v>
      </c>
      <c r="P7160" s="103" t="str">
        <f t="shared" ref="P7160:P7167" si="4015">(C7160)</f>
        <v>매엽용 세척제(Wash k11)</v>
      </c>
      <c r="Q7160" s="71">
        <f t="shared" ref="Q7160:Q7167" si="4016">D7160</f>
        <v>10</v>
      </c>
      <c r="R7160" s="102">
        <v>47500</v>
      </c>
      <c r="S7160" s="102">
        <f t="shared" ref="S7160:S7171" si="4017">R7160*Q7160*1.1</f>
        <v>522500.00000000006</v>
      </c>
      <c r="T7160" s="102">
        <f t="shared" ref="T7160:T7168" si="4018">R7160*Q7160</f>
        <v>475000</v>
      </c>
      <c r="U7160" s="71" t="s">
        <v>859</v>
      </c>
      <c r="V7160" s="71"/>
      <c r="W7160" s="474"/>
      <c r="X7160" s="71"/>
      <c r="Y7160" s="71"/>
    </row>
    <row r="7161" spans="1:25" ht="30" hidden="1" customHeight="1" x14ac:dyDescent="0.25">
      <c r="A7161" s="1145">
        <v>45555</v>
      </c>
      <c r="B7161" s="664" t="s">
        <v>2261</v>
      </c>
      <c r="C7161" s="71" t="s">
        <v>277</v>
      </c>
      <c r="D7161" s="71">
        <v>5</v>
      </c>
      <c r="E7161" s="102">
        <v>172000</v>
      </c>
      <c r="F7161" s="102">
        <f t="shared" si="4010"/>
        <v>946000.00000000012</v>
      </c>
      <c r="G7161" s="102">
        <f t="shared" si="4011"/>
        <v>860000</v>
      </c>
      <c r="H7161" s="690" t="s">
        <v>172</v>
      </c>
      <c r="I7161" s="71" t="s">
        <v>108</v>
      </c>
      <c r="J7161" s="53">
        <f t="shared" si="4012"/>
        <v>195000</v>
      </c>
      <c r="K7161" s="63">
        <f t="shared" si="4013"/>
        <v>0.22674418604651159</v>
      </c>
      <c r="L7161" s="1212" t="s">
        <v>4194</v>
      </c>
      <c r="M7161" s="468"/>
      <c r="N7161" s="1192">
        <f t="shared" si="4014"/>
        <v>45555</v>
      </c>
      <c r="O7161" s="71" t="s">
        <v>662</v>
      </c>
      <c r="P7161" s="103" t="str">
        <f t="shared" si="4015"/>
        <v>윤전용 세척제(Web 504)</v>
      </c>
      <c r="Q7161" s="71">
        <f t="shared" si="4016"/>
        <v>5</v>
      </c>
      <c r="R7161" s="102">
        <v>133000</v>
      </c>
      <c r="S7161" s="102">
        <f t="shared" si="4017"/>
        <v>731500.00000000012</v>
      </c>
      <c r="T7161" s="102">
        <f t="shared" si="4018"/>
        <v>665000</v>
      </c>
      <c r="U7161" s="71" t="str">
        <f>IF(J7161=W7161,"O", "X")</f>
        <v>X</v>
      </c>
      <c r="V7161" s="71"/>
      <c r="W7161" s="474"/>
      <c r="X7161" s="71"/>
      <c r="Y7161" s="71"/>
    </row>
    <row r="7162" spans="1:25" ht="30" hidden="1" customHeight="1" x14ac:dyDescent="0.25">
      <c r="A7162" s="1145">
        <v>45565</v>
      </c>
      <c r="B7162" s="664" t="s">
        <v>2261</v>
      </c>
      <c r="C7162" s="71" t="s">
        <v>3299</v>
      </c>
      <c r="D7162" s="71">
        <v>10</v>
      </c>
      <c r="E7162" s="102">
        <v>52000</v>
      </c>
      <c r="F7162" s="102">
        <f t="shared" si="4010"/>
        <v>572000</v>
      </c>
      <c r="G7162" s="102">
        <f t="shared" si="4011"/>
        <v>520000</v>
      </c>
      <c r="H7162" s="690" t="s">
        <v>172</v>
      </c>
      <c r="I7162" s="71" t="s">
        <v>180</v>
      </c>
      <c r="J7162" s="53">
        <f t="shared" si="4012"/>
        <v>45000</v>
      </c>
      <c r="K7162" s="63">
        <f t="shared" si="4013"/>
        <v>8.6538461538461536E-2</v>
      </c>
      <c r="L7162" s="1212" t="s">
        <v>4194</v>
      </c>
      <c r="M7162" s="468" t="s">
        <v>3835</v>
      </c>
      <c r="N7162" s="1192">
        <f t="shared" si="4014"/>
        <v>45565</v>
      </c>
      <c r="O7162" s="71" t="s">
        <v>175</v>
      </c>
      <c r="P7162" s="103" t="str">
        <f t="shared" si="4015"/>
        <v>매엽용 세척제(Wash k11)</v>
      </c>
      <c r="Q7162" s="71">
        <f t="shared" si="4016"/>
        <v>10</v>
      </c>
      <c r="R7162" s="102">
        <v>47500</v>
      </c>
      <c r="S7162" s="102">
        <f t="shared" si="4017"/>
        <v>522500.00000000006</v>
      </c>
      <c r="T7162" s="102">
        <f t="shared" si="4018"/>
        <v>475000</v>
      </c>
      <c r="U7162" s="71" t="s">
        <v>859</v>
      </c>
      <c r="V7162" s="71"/>
      <c r="W7162" s="474"/>
      <c r="X7162" s="71"/>
      <c r="Y7162" s="71"/>
    </row>
    <row r="7163" spans="1:25" ht="30" hidden="1" customHeight="1" x14ac:dyDescent="0.25">
      <c r="A7163" s="1145">
        <v>45539</v>
      </c>
      <c r="B7163" s="664" t="s">
        <v>3296</v>
      </c>
      <c r="C7163" s="71" t="s">
        <v>3297</v>
      </c>
      <c r="D7163" s="71">
        <v>20</v>
      </c>
      <c r="E7163" s="102">
        <v>162500</v>
      </c>
      <c r="F7163" s="102">
        <f t="shared" si="4010"/>
        <v>3575000.0000000005</v>
      </c>
      <c r="G7163" s="102">
        <f t="shared" si="4011"/>
        <v>3250000</v>
      </c>
      <c r="H7163" s="690" t="s">
        <v>172</v>
      </c>
      <c r="I7163" s="71" t="s">
        <v>3295</v>
      </c>
      <c r="J7163" s="53">
        <f t="shared" si="4012"/>
        <v>850000</v>
      </c>
      <c r="K7163" s="63">
        <f t="shared" si="4013"/>
        <v>0.2615384615384615</v>
      </c>
      <c r="L7163" s="1212" t="s">
        <v>4194</v>
      </c>
      <c r="M7163" s="468"/>
      <c r="N7163" s="1192">
        <f t="shared" si="4014"/>
        <v>45539</v>
      </c>
      <c r="O7163" s="71" t="s">
        <v>662</v>
      </c>
      <c r="P7163" s="103" t="str">
        <f t="shared" si="4015"/>
        <v>실리콘 에멀전</v>
      </c>
      <c r="Q7163" s="71">
        <f t="shared" si="4016"/>
        <v>20</v>
      </c>
      <c r="R7163" s="102">
        <v>120000</v>
      </c>
      <c r="S7163" s="102">
        <f t="shared" si="4017"/>
        <v>2640000</v>
      </c>
      <c r="T7163" s="102">
        <f t="shared" si="4018"/>
        <v>2400000</v>
      </c>
      <c r="U7163" s="71" t="str">
        <f t="shared" ref="U7163" si="4019">IF(J7163=W7163,"O", "X")</f>
        <v>X</v>
      </c>
      <c r="V7163" s="71"/>
      <c r="W7163" s="474"/>
      <c r="X7163" s="71"/>
      <c r="Y7163" s="71"/>
    </row>
    <row r="7164" spans="1:25" ht="30" hidden="1" customHeight="1" x14ac:dyDescent="0.25">
      <c r="A7164" s="1145">
        <v>45539</v>
      </c>
      <c r="B7164" s="664" t="s">
        <v>809</v>
      </c>
      <c r="C7164" s="71" t="s">
        <v>4028</v>
      </c>
      <c r="D7164" s="71">
        <v>20</v>
      </c>
      <c r="E7164" s="102">
        <v>125000</v>
      </c>
      <c r="F7164" s="102">
        <f t="shared" si="4010"/>
        <v>2750000</v>
      </c>
      <c r="G7164" s="102">
        <f t="shared" si="4011"/>
        <v>2500000</v>
      </c>
      <c r="H7164" s="690" t="s">
        <v>172</v>
      </c>
      <c r="I7164" s="71" t="s">
        <v>33</v>
      </c>
      <c r="J7164" s="53">
        <f t="shared" si="4012"/>
        <v>394000</v>
      </c>
      <c r="K7164" s="63">
        <f t="shared" si="4013"/>
        <v>0.15759999999999999</v>
      </c>
      <c r="L7164" s="1212" t="s">
        <v>4194</v>
      </c>
      <c r="M7164" s="102"/>
      <c r="N7164" s="1192"/>
      <c r="O7164" s="71" t="s">
        <v>147</v>
      </c>
      <c r="P7164" s="103" t="str">
        <f t="shared" si="4015"/>
        <v>Blanket(1077*885)</v>
      </c>
      <c r="Q7164" s="71">
        <f t="shared" si="4016"/>
        <v>20</v>
      </c>
      <c r="R7164" s="102">
        <v>105300</v>
      </c>
      <c r="S7164" s="102">
        <f t="shared" si="4017"/>
        <v>2316600</v>
      </c>
      <c r="T7164" s="102">
        <f t="shared" si="4018"/>
        <v>2106000</v>
      </c>
      <c r="U7164" s="71"/>
      <c r="V7164" s="71"/>
      <c r="W7164" s="474"/>
      <c r="X7164" s="71"/>
      <c r="Y7164" s="71"/>
    </row>
    <row r="7165" spans="1:25" ht="30" hidden="1" customHeight="1" x14ac:dyDescent="0.25">
      <c r="A7165" s="1145">
        <v>45539</v>
      </c>
      <c r="B7165" s="664" t="s">
        <v>18</v>
      </c>
      <c r="C7165" s="71" t="s">
        <v>2070</v>
      </c>
      <c r="D7165" s="71">
        <v>10</v>
      </c>
      <c r="E7165" s="102">
        <v>115000</v>
      </c>
      <c r="F7165" s="102">
        <f t="shared" si="4010"/>
        <v>1265000</v>
      </c>
      <c r="G7165" s="102">
        <f t="shared" si="4011"/>
        <v>1150000</v>
      </c>
      <c r="H7165" s="690" t="s">
        <v>172</v>
      </c>
      <c r="I7165" s="71" t="s">
        <v>33</v>
      </c>
      <c r="J7165" s="53">
        <f t="shared" si="4012"/>
        <v>168000</v>
      </c>
      <c r="K7165" s="63">
        <f t="shared" si="4013"/>
        <v>0.14608695652173914</v>
      </c>
      <c r="L7165" s="1212" t="s">
        <v>4194</v>
      </c>
      <c r="M7165" s="468"/>
      <c r="N7165" s="1192">
        <f t="shared" ref="N7165:N7167" si="4020">A7165</f>
        <v>45539</v>
      </c>
      <c r="O7165" s="71" t="s">
        <v>146</v>
      </c>
      <c r="P7165" s="103" t="str">
        <f t="shared" si="4015"/>
        <v>Blanket(1050*840)</v>
      </c>
      <c r="Q7165" s="71">
        <f t="shared" si="4016"/>
        <v>10</v>
      </c>
      <c r="R7165" s="102">
        <v>98200</v>
      </c>
      <c r="S7165" s="102">
        <f t="shared" si="4017"/>
        <v>1080200</v>
      </c>
      <c r="T7165" s="102">
        <f t="shared" si="4018"/>
        <v>982000</v>
      </c>
      <c r="U7165" s="71" t="s">
        <v>859</v>
      </c>
      <c r="V7165" s="71"/>
      <c r="W7165" s="474"/>
      <c r="X7165" s="71"/>
      <c r="Y7165" s="71"/>
    </row>
    <row r="7166" spans="1:25" ht="30" hidden="1" customHeight="1" x14ac:dyDescent="0.25">
      <c r="A7166" s="1145">
        <v>45539</v>
      </c>
      <c r="B7166" s="664" t="s">
        <v>548</v>
      </c>
      <c r="C7166" s="71" t="s">
        <v>3384</v>
      </c>
      <c r="D7166" s="71">
        <v>200</v>
      </c>
      <c r="E7166" s="102">
        <v>450</v>
      </c>
      <c r="F7166" s="102">
        <f>(E7166*D7166)*1.1</f>
        <v>99000.000000000015</v>
      </c>
      <c r="G7166" s="102">
        <f>(E7166*D7166)</f>
        <v>90000</v>
      </c>
      <c r="H7166" s="690" t="s">
        <v>2029</v>
      </c>
      <c r="I7166" s="71" t="s">
        <v>3385</v>
      </c>
      <c r="J7166" s="53">
        <f t="shared" si="4012"/>
        <v>26000</v>
      </c>
      <c r="K7166" s="63">
        <f t="shared" si="4013"/>
        <v>0.28888888888888886</v>
      </c>
      <c r="L7166" s="1212" t="s">
        <v>4194</v>
      </c>
      <c r="M7166" s="468"/>
      <c r="N7166" s="1192">
        <f t="shared" si="4020"/>
        <v>45539</v>
      </c>
      <c r="O7166" s="71" t="s">
        <v>2030</v>
      </c>
      <c r="P7166" s="103" t="str">
        <f t="shared" si="4015"/>
        <v>고무사카 빨간색</v>
      </c>
      <c r="Q7166" s="71">
        <f t="shared" si="4016"/>
        <v>200</v>
      </c>
      <c r="R7166" s="102">
        <v>320</v>
      </c>
      <c r="S7166" s="102">
        <f t="shared" si="4017"/>
        <v>70400</v>
      </c>
      <c r="T7166" s="102">
        <f t="shared" si="4018"/>
        <v>64000</v>
      </c>
      <c r="U7166" s="71"/>
      <c r="V7166" s="71"/>
      <c r="W7166" s="474"/>
      <c r="X7166" s="71"/>
      <c r="Y7166" s="71"/>
    </row>
    <row r="7167" spans="1:25" ht="30" hidden="1" customHeight="1" x14ac:dyDescent="0.2">
      <c r="A7167" s="1145">
        <v>45539</v>
      </c>
      <c r="B7167" s="664" t="s">
        <v>548</v>
      </c>
      <c r="C7167" s="71" t="s">
        <v>236</v>
      </c>
      <c r="D7167" s="71">
        <v>4</v>
      </c>
      <c r="E7167" s="102">
        <v>100000</v>
      </c>
      <c r="F7167" s="163">
        <f>(E7167*D7167)*1.1</f>
        <v>440000.00000000006</v>
      </c>
      <c r="G7167" s="102">
        <f>(E7167*D7167)</f>
        <v>400000</v>
      </c>
      <c r="H7167" s="690" t="s">
        <v>173</v>
      </c>
      <c r="I7167" s="71" t="s">
        <v>2231</v>
      </c>
      <c r="J7167" s="53">
        <f t="shared" si="4012"/>
        <v>160000</v>
      </c>
      <c r="K7167" s="63">
        <f t="shared" si="4013"/>
        <v>0.39999999999999997</v>
      </c>
      <c r="L7167" s="1212" t="s">
        <v>4194</v>
      </c>
      <c r="M7167" s="468"/>
      <c r="N7167" s="1192">
        <f t="shared" si="4020"/>
        <v>45539</v>
      </c>
      <c r="O7167" s="71" t="s">
        <v>3021</v>
      </c>
      <c r="P7167" s="103" t="str">
        <f t="shared" si="4015"/>
        <v>아스테이지(국전)</v>
      </c>
      <c r="Q7167" s="71">
        <f t="shared" si="4016"/>
        <v>4</v>
      </c>
      <c r="R7167" s="102">
        <v>60000</v>
      </c>
      <c r="S7167" s="102">
        <f t="shared" si="4017"/>
        <v>264000</v>
      </c>
      <c r="T7167" s="102">
        <f t="shared" si="4018"/>
        <v>240000</v>
      </c>
      <c r="U7167" s="71" t="str">
        <f>IF(J7167=W7167,"O", "X")</f>
        <v>X</v>
      </c>
      <c r="V7167" s="71"/>
      <c r="W7167" s="474"/>
      <c r="X7167" s="71"/>
      <c r="Y7167" s="71"/>
    </row>
    <row r="7168" spans="1:25" ht="30" hidden="1" customHeight="1" x14ac:dyDescent="0.25">
      <c r="A7168" s="1145">
        <v>45539</v>
      </c>
      <c r="B7168" s="664" t="s">
        <v>18</v>
      </c>
      <c r="C7168" s="71" t="s">
        <v>3305</v>
      </c>
      <c r="D7168" s="71">
        <v>15</v>
      </c>
      <c r="E7168" s="102">
        <v>86000</v>
      </c>
      <c r="F7168" s="102">
        <f t="shared" ref="F7168" si="4021">(E7168*D7168)*1.1</f>
        <v>1419000</v>
      </c>
      <c r="G7168" s="102">
        <f t="shared" ref="G7168" si="4022">(E7168*D7168)</f>
        <v>1290000</v>
      </c>
      <c r="H7168" s="690" t="s">
        <v>172</v>
      </c>
      <c r="I7168" s="71" t="s">
        <v>3295</v>
      </c>
      <c r="J7168" s="53">
        <f t="shared" si="4012"/>
        <v>590000</v>
      </c>
      <c r="K7168" s="63">
        <f t="shared" si="4013"/>
        <v>0.4573643410852713</v>
      </c>
      <c r="L7168" s="1212" t="s">
        <v>4194</v>
      </c>
      <c r="M7168" s="468" t="s">
        <v>3306</v>
      </c>
      <c r="N7168" s="1192">
        <v>45231</v>
      </c>
      <c r="O7168" s="71" t="s">
        <v>146</v>
      </c>
      <c r="P7168" s="103" t="s">
        <v>3305</v>
      </c>
      <c r="Q7168" s="71">
        <v>10</v>
      </c>
      <c r="R7168" s="102">
        <v>70000</v>
      </c>
      <c r="S7168" s="102">
        <f t="shared" si="4017"/>
        <v>770000.00000000012</v>
      </c>
      <c r="T7168" s="102">
        <f t="shared" si="4018"/>
        <v>700000</v>
      </c>
      <c r="U7168" s="71" t="s">
        <v>1915</v>
      </c>
      <c r="V7168" s="71"/>
      <c r="W7168" s="474"/>
      <c r="X7168" s="71"/>
      <c r="Y7168" s="71"/>
    </row>
    <row r="7169" spans="1:25" ht="30" hidden="1" customHeight="1" x14ac:dyDescent="0.25">
      <c r="A7169" s="1145">
        <v>45539</v>
      </c>
      <c r="B7169" s="664" t="s">
        <v>26</v>
      </c>
      <c r="C7169" s="71" t="s">
        <v>2087</v>
      </c>
      <c r="D7169" s="71">
        <v>5</v>
      </c>
      <c r="E7169" s="102">
        <v>65000</v>
      </c>
      <c r="F7169" s="102">
        <v>357500</v>
      </c>
      <c r="G7169" s="102">
        <v>325000</v>
      </c>
      <c r="H7169" s="690" t="s">
        <v>172</v>
      </c>
      <c r="I7169" s="71" t="s">
        <v>3295</v>
      </c>
      <c r="J7169" s="53">
        <f t="shared" si="4012"/>
        <v>75000</v>
      </c>
      <c r="K7169" s="63">
        <v>0.23076923076923078</v>
      </c>
      <c r="L7169" s="1212" t="s">
        <v>4194</v>
      </c>
      <c r="M7169" s="468"/>
      <c r="N7169" s="1192">
        <v>45467</v>
      </c>
      <c r="O7169" s="71" t="s">
        <v>152</v>
      </c>
      <c r="P7169" s="103" t="s">
        <v>2087</v>
      </c>
      <c r="Q7169" s="71">
        <v>5</v>
      </c>
      <c r="R7169" s="102">
        <v>50000</v>
      </c>
      <c r="S7169" s="102">
        <f t="shared" si="4017"/>
        <v>275000</v>
      </c>
      <c r="T7169" s="102">
        <v>250000</v>
      </c>
      <c r="U7169" s="71" t="s">
        <v>1915</v>
      </c>
      <c r="V7169" s="71"/>
      <c r="W7169" s="474">
        <v>150000</v>
      </c>
      <c r="X7169" s="71"/>
      <c r="Y7169" s="71"/>
    </row>
    <row r="7170" spans="1:25" ht="30" hidden="1" customHeight="1" x14ac:dyDescent="0.25">
      <c r="A7170" s="1145">
        <v>45565</v>
      </c>
      <c r="B7170" s="664" t="s">
        <v>26</v>
      </c>
      <c r="C7170" s="71" t="s">
        <v>2087</v>
      </c>
      <c r="D7170" s="71">
        <v>5</v>
      </c>
      <c r="E7170" s="102">
        <v>65000</v>
      </c>
      <c r="F7170" s="102">
        <v>357500</v>
      </c>
      <c r="G7170" s="102">
        <v>325000</v>
      </c>
      <c r="H7170" s="690" t="s">
        <v>172</v>
      </c>
      <c r="I7170" s="71" t="s">
        <v>3295</v>
      </c>
      <c r="J7170" s="53">
        <f t="shared" si="4012"/>
        <v>75000</v>
      </c>
      <c r="K7170" s="63">
        <v>0.23076923076923078</v>
      </c>
      <c r="L7170" s="1212" t="s">
        <v>4194</v>
      </c>
      <c r="M7170" s="468"/>
      <c r="N7170" s="1192">
        <v>45467</v>
      </c>
      <c r="O7170" s="71" t="s">
        <v>152</v>
      </c>
      <c r="P7170" s="103" t="s">
        <v>2087</v>
      </c>
      <c r="Q7170" s="71">
        <v>5</v>
      </c>
      <c r="R7170" s="102">
        <v>50000</v>
      </c>
      <c r="S7170" s="102">
        <f t="shared" si="4017"/>
        <v>275000</v>
      </c>
      <c r="T7170" s="102">
        <v>250000</v>
      </c>
      <c r="U7170" s="71" t="s">
        <v>1915</v>
      </c>
      <c r="V7170" s="71"/>
      <c r="W7170" s="474">
        <v>150000</v>
      </c>
      <c r="X7170" s="71"/>
      <c r="Y7170" s="71"/>
    </row>
    <row r="7171" spans="1:25" ht="30" hidden="1" customHeight="1" x14ac:dyDescent="0.25">
      <c r="A7171" s="1145">
        <v>45531</v>
      </c>
      <c r="B7171" s="664" t="s">
        <v>442</v>
      </c>
      <c r="C7171" s="71" t="s">
        <v>3431</v>
      </c>
      <c r="D7171" s="71">
        <v>2</v>
      </c>
      <c r="E7171" s="102">
        <v>142000</v>
      </c>
      <c r="F7171" s="102">
        <f t="shared" ref="F7171" si="4023">(E7171*D7171)*1.1</f>
        <v>312400</v>
      </c>
      <c r="G7171" s="102">
        <f t="shared" ref="G7171" si="4024">(E7171*D7171)</f>
        <v>284000</v>
      </c>
      <c r="H7171" s="690" t="s">
        <v>2029</v>
      </c>
      <c r="I7171" s="71" t="s">
        <v>195</v>
      </c>
      <c r="J7171" s="53">
        <f t="shared" si="4012"/>
        <v>94000</v>
      </c>
      <c r="K7171" s="63">
        <f t="shared" ref="K7171" si="4025">(J7171/(F7171/11*10))</f>
        <v>0.33098591549295775</v>
      </c>
      <c r="L7171" s="1212" t="s">
        <v>4194</v>
      </c>
      <c r="M7171" s="468"/>
      <c r="N7171" s="1192">
        <f t="shared" ref="N7171:N7186" si="4026">A7171</f>
        <v>45531</v>
      </c>
      <c r="O7171" s="71" t="s">
        <v>2030</v>
      </c>
      <c r="P7171" s="164" t="str">
        <f>(C7171)</f>
        <v>닥터호일 아스테이지</v>
      </c>
      <c r="Q7171" s="71">
        <f t="shared" ref="Q7171" si="4027">D7171</f>
        <v>2</v>
      </c>
      <c r="R7171" s="102">
        <v>95000</v>
      </c>
      <c r="S7171" s="102">
        <f t="shared" si="4017"/>
        <v>209000.00000000003</v>
      </c>
      <c r="T7171" s="102">
        <f t="shared" ref="T7171" si="4028">R7171*Q7171</f>
        <v>190000</v>
      </c>
      <c r="U7171" s="71" t="str">
        <f>IF(J7171=W7171,"O", "X")</f>
        <v>O</v>
      </c>
      <c r="V7171" s="71"/>
      <c r="W7171" s="474">
        <f>(G7171-T7171)</f>
        <v>94000</v>
      </c>
      <c r="X7171" s="71"/>
      <c r="Y7171" s="71"/>
    </row>
    <row r="7172" spans="1:25" ht="30" hidden="1" customHeight="1" x14ac:dyDescent="0.25">
      <c r="A7172" s="1145">
        <v>45531</v>
      </c>
      <c r="B7172" s="664" t="s">
        <v>2</v>
      </c>
      <c r="C7172" s="71" t="s">
        <v>3359</v>
      </c>
      <c r="D7172" s="71">
        <v>2</v>
      </c>
      <c r="E7172" s="102">
        <v>172000</v>
      </c>
      <c r="F7172" s="102">
        <f>(E7172*D7172)*1.1</f>
        <v>378400.00000000006</v>
      </c>
      <c r="G7172" s="102">
        <f>(E7172*D7172)</f>
        <v>344000</v>
      </c>
      <c r="H7172" s="690" t="s">
        <v>172</v>
      </c>
      <c r="I7172" s="71" t="s">
        <v>38</v>
      </c>
      <c r="J7172" s="53">
        <f>G7172-T7172</f>
        <v>124590</v>
      </c>
      <c r="K7172" s="63">
        <f>(J7172/(F7172/11*10))</f>
        <v>0.36218023255813947</v>
      </c>
      <c r="L7172" s="1212" t="s">
        <v>4194</v>
      </c>
      <c r="M7172" s="468" t="s">
        <v>3769</v>
      </c>
      <c r="N7172" s="1192">
        <f t="shared" si="4026"/>
        <v>45531</v>
      </c>
      <c r="O7172" s="71" t="s">
        <v>150</v>
      </c>
      <c r="P7172" s="164" t="str">
        <f t="shared" ref="P7172:P7186" si="4029">(C7172)</f>
        <v>매엽 습수약물</v>
      </c>
      <c r="Q7172" s="71">
        <f>D7172</f>
        <v>2</v>
      </c>
      <c r="R7172" s="102">
        <f>97000+12705</f>
        <v>109705</v>
      </c>
      <c r="S7172" s="102">
        <f>R7172*Q7172*1.1</f>
        <v>241351.00000000003</v>
      </c>
      <c r="T7172" s="102">
        <f>R7172*Q7172</f>
        <v>219410</v>
      </c>
      <c r="U7172" s="71" t="str">
        <f>IF(J7172=W7172,"O", "X")</f>
        <v>X</v>
      </c>
      <c r="V7172" s="71"/>
      <c r="W7172" s="474"/>
      <c r="X7172" s="71"/>
      <c r="Y7172" s="71"/>
    </row>
    <row r="7173" spans="1:25" ht="30" hidden="1" customHeight="1" x14ac:dyDescent="0.25">
      <c r="A7173" s="1145">
        <v>45532</v>
      </c>
      <c r="B7173" s="664" t="s">
        <v>442</v>
      </c>
      <c r="C7173" s="71" t="s">
        <v>3299</v>
      </c>
      <c r="D7173" s="71">
        <v>25</v>
      </c>
      <c r="E7173" s="102">
        <v>69000</v>
      </c>
      <c r="F7173" s="102">
        <f t="shared" ref="F7173:F7195" si="4030">(E7173*D7173)*1.1</f>
        <v>1897500.0000000002</v>
      </c>
      <c r="G7173" s="102">
        <f t="shared" ref="G7173:G7195" si="4031">(E7173*D7173)</f>
        <v>1725000</v>
      </c>
      <c r="H7173" s="690" t="s">
        <v>172</v>
      </c>
      <c r="I7173" s="71" t="s">
        <v>180</v>
      </c>
      <c r="J7173" s="53">
        <f t="shared" ref="J7173:J7195" si="4032">G7173-T7173</f>
        <v>537500</v>
      </c>
      <c r="K7173" s="63">
        <f t="shared" ref="K7173:K7195" si="4033">(J7173/(F7173/11*10))</f>
        <v>0.31159420289855067</v>
      </c>
      <c r="L7173" s="1212" t="s">
        <v>4194</v>
      </c>
      <c r="M7173" s="468" t="s">
        <v>3304</v>
      </c>
      <c r="N7173" s="1192">
        <f t="shared" si="4026"/>
        <v>45532</v>
      </c>
      <c r="O7173" s="71" t="s">
        <v>175</v>
      </c>
      <c r="P7173" s="103" t="str">
        <f t="shared" si="4029"/>
        <v>매엽용 세척제(Wash k11)</v>
      </c>
      <c r="Q7173" s="71">
        <f t="shared" ref="Q7173:Q7195" si="4034">D7173</f>
        <v>25</v>
      </c>
      <c r="R7173" s="102">
        <v>47500</v>
      </c>
      <c r="S7173" s="102">
        <f t="shared" ref="S7173:S7180" si="4035">R7173*Q7173*1.1</f>
        <v>1306250</v>
      </c>
      <c r="T7173" s="102">
        <f t="shared" ref="T7173:T7180" si="4036">R7173*Q7173</f>
        <v>1187500</v>
      </c>
      <c r="U7173" s="71" t="s">
        <v>859</v>
      </c>
      <c r="V7173" s="71"/>
      <c r="W7173" s="474"/>
      <c r="X7173" s="71"/>
      <c r="Y7173" s="71"/>
    </row>
    <row r="7174" spans="1:25" ht="30" hidden="1" customHeight="1" x14ac:dyDescent="0.25">
      <c r="A7174" s="1145">
        <v>45533</v>
      </c>
      <c r="B7174" s="664" t="s">
        <v>442</v>
      </c>
      <c r="C7174" s="71" t="s">
        <v>206</v>
      </c>
      <c r="D7174" s="71">
        <v>6</v>
      </c>
      <c r="E7174" s="102">
        <v>493770</v>
      </c>
      <c r="F7174" s="102">
        <f t="shared" si="4030"/>
        <v>3258882.0000000005</v>
      </c>
      <c r="G7174" s="102">
        <f t="shared" si="4031"/>
        <v>2962620</v>
      </c>
      <c r="H7174" s="690" t="s">
        <v>2029</v>
      </c>
      <c r="I7174" s="71" t="s">
        <v>195</v>
      </c>
      <c r="J7174" s="53">
        <f t="shared" si="4032"/>
        <v>394140</v>
      </c>
      <c r="K7174" s="63">
        <f t="shared" si="4033"/>
        <v>0.13303764910788421</v>
      </c>
      <c r="L7174" s="1212" t="s">
        <v>4194</v>
      </c>
      <c r="M7174" s="468"/>
      <c r="N7174" s="1192">
        <f t="shared" si="4026"/>
        <v>45533</v>
      </c>
      <c r="O7174" s="71" t="s">
        <v>194</v>
      </c>
      <c r="P7174" s="103" t="str">
        <f t="shared" si="4029"/>
        <v>Agfa Film(24inch)</v>
      </c>
      <c r="Q7174" s="71">
        <f t="shared" si="4034"/>
        <v>6</v>
      </c>
      <c r="R7174" s="102">
        <v>428080</v>
      </c>
      <c r="S7174" s="102">
        <f t="shared" si="4035"/>
        <v>2825328</v>
      </c>
      <c r="T7174" s="102">
        <f t="shared" si="4036"/>
        <v>2568480</v>
      </c>
      <c r="U7174" s="71" t="s">
        <v>859</v>
      </c>
      <c r="V7174" s="71"/>
      <c r="W7174" s="474">
        <v>144640</v>
      </c>
      <c r="X7174" s="71"/>
      <c r="Y7174" s="71"/>
    </row>
    <row r="7175" spans="1:25" ht="30" hidden="1" customHeight="1" x14ac:dyDescent="0.25">
      <c r="A7175" s="1145">
        <v>45533</v>
      </c>
      <c r="B7175" s="664" t="s">
        <v>442</v>
      </c>
      <c r="C7175" s="71" t="s">
        <v>207</v>
      </c>
      <c r="D7175" s="71">
        <v>6</v>
      </c>
      <c r="E7175" s="102">
        <v>608220</v>
      </c>
      <c r="F7175" s="102">
        <f t="shared" si="4030"/>
        <v>4014252.0000000005</v>
      </c>
      <c r="G7175" s="102">
        <f t="shared" si="4031"/>
        <v>3649320</v>
      </c>
      <c r="H7175" s="690" t="s">
        <v>2029</v>
      </c>
      <c r="I7175" s="71" t="s">
        <v>195</v>
      </c>
      <c r="J7175" s="53">
        <f t="shared" si="4032"/>
        <v>655200</v>
      </c>
      <c r="K7175" s="63">
        <f t="shared" si="4033"/>
        <v>0.17954029791851631</v>
      </c>
      <c r="L7175" s="1212" t="s">
        <v>4194</v>
      </c>
      <c r="M7175" s="468"/>
      <c r="N7175" s="1192">
        <f t="shared" si="4026"/>
        <v>45533</v>
      </c>
      <c r="O7175" s="71" t="s">
        <v>194</v>
      </c>
      <c r="P7175" s="103" t="str">
        <f t="shared" si="4029"/>
        <v>Agfa Film(28inch)</v>
      </c>
      <c r="Q7175" s="71">
        <f t="shared" si="4034"/>
        <v>6</v>
      </c>
      <c r="R7175" s="102">
        <v>499020</v>
      </c>
      <c r="S7175" s="102">
        <f t="shared" si="4035"/>
        <v>3293532.0000000005</v>
      </c>
      <c r="T7175" s="102">
        <f t="shared" si="4036"/>
        <v>2994120</v>
      </c>
      <c r="U7175" s="71" t="s">
        <v>859</v>
      </c>
      <c r="V7175" s="71"/>
      <c r="W7175" s="474">
        <v>228480</v>
      </c>
      <c r="X7175" s="71"/>
      <c r="Y7175" s="71"/>
    </row>
    <row r="7176" spans="1:25" ht="30" hidden="1" customHeight="1" x14ac:dyDescent="0.25">
      <c r="A7176" s="1145">
        <v>45533</v>
      </c>
      <c r="B7176" s="664" t="s">
        <v>442</v>
      </c>
      <c r="C7176" s="71" t="s">
        <v>208</v>
      </c>
      <c r="D7176" s="71">
        <v>6</v>
      </c>
      <c r="E7176" s="102">
        <v>680160</v>
      </c>
      <c r="F7176" s="102">
        <f t="shared" si="4030"/>
        <v>4489056</v>
      </c>
      <c r="G7176" s="102">
        <f t="shared" si="4031"/>
        <v>4080960</v>
      </c>
      <c r="H7176" s="690" t="s">
        <v>2029</v>
      </c>
      <c r="I7176" s="71" t="s">
        <v>195</v>
      </c>
      <c r="J7176" s="53">
        <f t="shared" si="4032"/>
        <v>551640</v>
      </c>
      <c r="K7176" s="63">
        <f t="shared" si="4033"/>
        <v>0.13517407668783815</v>
      </c>
      <c r="L7176" s="1212" t="s">
        <v>4194</v>
      </c>
      <c r="M7176" s="468"/>
      <c r="N7176" s="1192">
        <f t="shared" si="4026"/>
        <v>45533</v>
      </c>
      <c r="O7176" s="71" t="s">
        <v>194</v>
      </c>
      <c r="P7176" s="103" t="str">
        <f t="shared" si="4029"/>
        <v>Agfa Film(32inch)</v>
      </c>
      <c r="Q7176" s="71">
        <f t="shared" si="4034"/>
        <v>6</v>
      </c>
      <c r="R7176" s="102">
        <v>588220</v>
      </c>
      <c r="S7176" s="102">
        <f t="shared" si="4035"/>
        <v>3882252.0000000005</v>
      </c>
      <c r="T7176" s="102">
        <f t="shared" si="4036"/>
        <v>3529320</v>
      </c>
      <c r="U7176" s="71" t="s">
        <v>859</v>
      </c>
      <c r="V7176" s="71"/>
      <c r="W7176" s="474">
        <v>201820</v>
      </c>
      <c r="X7176" s="71"/>
      <c r="Y7176" s="71"/>
    </row>
    <row r="7177" spans="1:25" ht="30" hidden="1" customHeight="1" x14ac:dyDescent="0.2">
      <c r="A7177" s="1145">
        <v>45533</v>
      </c>
      <c r="B7177" s="664" t="s">
        <v>442</v>
      </c>
      <c r="C7177" s="71" t="s">
        <v>648</v>
      </c>
      <c r="D7177" s="71">
        <v>2</v>
      </c>
      <c r="E7177" s="102">
        <v>93000</v>
      </c>
      <c r="F7177" s="102">
        <f t="shared" si="4030"/>
        <v>204600.00000000003</v>
      </c>
      <c r="G7177" s="102">
        <f t="shared" si="4031"/>
        <v>186000</v>
      </c>
      <c r="H7177" s="165" t="s">
        <v>172</v>
      </c>
      <c r="I7177" s="71" t="s">
        <v>195</v>
      </c>
      <c r="J7177" s="53">
        <f t="shared" si="4032"/>
        <v>30280</v>
      </c>
      <c r="K7177" s="63">
        <f t="shared" si="4033"/>
        <v>0.16279569892473117</v>
      </c>
      <c r="L7177" s="1212" t="s">
        <v>4194</v>
      </c>
      <c r="M7177" s="468"/>
      <c r="N7177" s="1192">
        <f t="shared" si="4026"/>
        <v>45533</v>
      </c>
      <c r="O7177" s="71" t="s">
        <v>194</v>
      </c>
      <c r="P7177" s="103" t="str">
        <f t="shared" si="4029"/>
        <v>Agfa 정착액 G333C(20L)</v>
      </c>
      <c r="Q7177" s="71">
        <f t="shared" si="4034"/>
        <v>2</v>
      </c>
      <c r="R7177" s="102">
        <v>77860</v>
      </c>
      <c r="S7177" s="102">
        <f t="shared" si="4035"/>
        <v>171292</v>
      </c>
      <c r="T7177" s="102">
        <f t="shared" si="4036"/>
        <v>155720</v>
      </c>
      <c r="U7177" s="71" t="s">
        <v>859</v>
      </c>
      <c r="V7177" s="71"/>
      <c r="W7177" s="474">
        <v>27000</v>
      </c>
      <c r="X7177" s="71"/>
      <c r="Y7177" s="71"/>
    </row>
    <row r="7178" spans="1:25" ht="30" hidden="1" customHeight="1" x14ac:dyDescent="0.25">
      <c r="A7178" s="1145">
        <v>45540</v>
      </c>
      <c r="B7178" s="664" t="s">
        <v>442</v>
      </c>
      <c r="C7178" s="71" t="s">
        <v>2031</v>
      </c>
      <c r="D7178" s="71">
        <v>15</v>
      </c>
      <c r="E7178" s="102">
        <v>50000</v>
      </c>
      <c r="F7178" s="102">
        <f t="shared" si="4030"/>
        <v>825000.00000000012</v>
      </c>
      <c r="G7178" s="102">
        <f t="shared" si="4031"/>
        <v>750000</v>
      </c>
      <c r="H7178" s="690" t="s">
        <v>94</v>
      </c>
      <c r="I7178" s="71" t="s">
        <v>94</v>
      </c>
      <c r="J7178" s="53">
        <f t="shared" si="4032"/>
        <v>390000</v>
      </c>
      <c r="K7178" s="63">
        <f t="shared" si="4033"/>
        <v>0.51999999999999991</v>
      </c>
      <c r="L7178" s="1212" t="s">
        <v>4194</v>
      </c>
      <c r="M7178" s="102"/>
      <c r="N7178" s="1192">
        <f t="shared" si="4026"/>
        <v>45540</v>
      </c>
      <c r="O7178" s="71" t="s">
        <v>94</v>
      </c>
      <c r="P7178" s="103" t="str">
        <f t="shared" si="4029"/>
        <v>필터백</v>
      </c>
      <c r="Q7178" s="71">
        <f t="shared" si="4034"/>
        <v>15</v>
      </c>
      <c r="R7178" s="102">
        <v>24000</v>
      </c>
      <c r="S7178" s="102">
        <f t="shared" si="4035"/>
        <v>396000.00000000006</v>
      </c>
      <c r="T7178" s="102">
        <f t="shared" si="4036"/>
        <v>360000</v>
      </c>
      <c r="U7178" s="71"/>
      <c r="V7178" s="71"/>
      <c r="W7178" s="474"/>
      <c r="X7178" s="71"/>
      <c r="Y7178" s="71"/>
    </row>
    <row r="7179" spans="1:25" s="209" customFormat="1" ht="30" hidden="1" customHeight="1" x14ac:dyDescent="0.25">
      <c r="A7179" s="1145">
        <v>45555</v>
      </c>
      <c r="B7179" s="664" t="s">
        <v>442</v>
      </c>
      <c r="C7179" s="71" t="s">
        <v>3833</v>
      </c>
      <c r="D7179" s="71">
        <v>1000</v>
      </c>
      <c r="E7179" s="102">
        <v>4250</v>
      </c>
      <c r="F7179" s="102">
        <f t="shared" si="4030"/>
        <v>4675000</v>
      </c>
      <c r="G7179" s="102">
        <f t="shared" si="4031"/>
        <v>4250000</v>
      </c>
      <c r="H7179" s="690" t="s">
        <v>2029</v>
      </c>
      <c r="I7179" s="71" t="s">
        <v>2230</v>
      </c>
      <c r="J7179" s="53">
        <f t="shared" si="4032"/>
        <v>800000</v>
      </c>
      <c r="K7179" s="63">
        <f t="shared" si="4033"/>
        <v>0.18823529411764706</v>
      </c>
      <c r="L7179" s="1212" t="s">
        <v>4194</v>
      </c>
      <c r="M7179" s="468"/>
      <c r="N7179" s="1192">
        <f t="shared" si="4026"/>
        <v>45555</v>
      </c>
      <c r="O7179" s="71" t="s">
        <v>2030</v>
      </c>
      <c r="P7179" s="103" t="str">
        <f t="shared" si="4029"/>
        <v>CTP 판 1030*790</v>
      </c>
      <c r="Q7179" s="71">
        <f t="shared" si="4034"/>
        <v>1000</v>
      </c>
      <c r="R7179" s="102">
        <v>3450</v>
      </c>
      <c r="S7179" s="102">
        <f t="shared" si="4035"/>
        <v>3795000.0000000005</v>
      </c>
      <c r="T7179" s="102">
        <f t="shared" si="4036"/>
        <v>3450000</v>
      </c>
      <c r="U7179" s="71"/>
      <c r="V7179" s="71"/>
      <c r="W7179" s="474"/>
      <c r="X7179" s="71"/>
      <c r="Y7179" s="71"/>
    </row>
    <row r="7180" spans="1:25" ht="30" hidden="1" customHeight="1" x14ac:dyDescent="0.25">
      <c r="A7180" s="1145" t="s">
        <v>4234</v>
      </c>
      <c r="B7180" s="664" t="s">
        <v>442</v>
      </c>
      <c r="C7180" s="71" t="s">
        <v>3834</v>
      </c>
      <c r="D7180" s="71">
        <v>8</v>
      </c>
      <c r="E7180" s="102">
        <v>57000</v>
      </c>
      <c r="F7180" s="102">
        <f t="shared" si="4030"/>
        <v>501600.00000000006</v>
      </c>
      <c r="G7180" s="102">
        <f t="shared" si="4031"/>
        <v>456000</v>
      </c>
      <c r="H7180" s="690" t="s">
        <v>2029</v>
      </c>
      <c r="I7180" s="71" t="s">
        <v>2230</v>
      </c>
      <c r="J7180" s="53">
        <f t="shared" si="4032"/>
        <v>138720</v>
      </c>
      <c r="K7180" s="63">
        <f t="shared" si="4033"/>
        <v>0.30421052631578943</v>
      </c>
      <c r="L7180" s="1212" t="s">
        <v>4194</v>
      </c>
      <c r="M7180" s="468"/>
      <c r="N7180" s="1192" t="str">
        <f t="shared" si="4026"/>
        <v>ㅌ</v>
      </c>
      <c r="O7180" s="71" t="s">
        <v>2030</v>
      </c>
      <c r="P7180" s="103" t="str">
        <f t="shared" si="4029"/>
        <v>CTP 현상액</v>
      </c>
      <c r="Q7180" s="71">
        <f t="shared" si="4034"/>
        <v>8</v>
      </c>
      <c r="R7180" s="102">
        <v>39660</v>
      </c>
      <c r="S7180" s="102">
        <f t="shared" si="4035"/>
        <v>349008</v>
      </c>
      <c r="T7180" s="102">
        <f t="shared" si="4036"/>
        <v>317280</v>
      </c>
      <c r="U7180" s="71"/>
      <c r="V7180" s="71"/>
      <c r="W7180" s="474"/>
      <c r="X7180" s="71"/>
      <c r="Y7180" s="71"/>
    </row>
    <row r="7181" spans="1:25" ht="30" hidden="1" customHeight="1" x14ac:dyDescent="0.25">
      <c r="A7181" s="1145">
        <v>45540</v>
      </c>
      <c r="B7181" s="664" t="s">
        <v>442</v>
      </c>
      <c r="C7181" s="71" t="s">
        <v>4198</v>
      </c>
      <c r="D7181" s="71">
        <v>1</v>
      </c>
      <c r="E7181" s="102">
        <v>600000</v>
      </c>
      <c r="F7181" s="102">
        <f t="shared" si="4030"/>
        <v>660000</v>
      </c>
      <c r="G7181" s="102">
        <f t="shared" si="4031"/>
        <v>600000</v>
      </c>
      <c r="H7181" s="690" t="s">
        <v>2029</v>
      </c>
      <c r="I7181" s="71" t="s">
        <v>2230</v>
      </c>
      <c r="J7181" s="53">
        <f t="shared" si="4032"/>
        <v>-400000</v>
      </c>
      <c r="K7181" s="63">
        <f t="shared" si="4033"/>
        <v>-0.66666666666666663</v>
      </c>
      <c r="L7181" s="1212" t="s">
        <v>4194</v>
      </c>
      <c r="M7181" s="102"/>
      <c r="N7181" s="1192">
        <f t="shared" si="4026"/>
        <v>45540</v>
      </c>
      <c r="O7181" s="71" t="s">
        <v>145</v>
      </c>
      <c r="P7181" s="103" t="str">
        <f t="shared" si="4029"/>
        <v>출장비/CTP</v>
      </c>
      <c r="Q7181" s="71">
        <f t="shared" si="4034"/>
        <v>1</v>
      </c>
      <c r="R7181" s="102">
        <v>1000000</v>
      </c>
      <c r="S7181" s="102">
        <f t="shared" ref="S7181" si="4037">R7181*Q7181*1.1</f>
        <v>1100000</v>
      </c>
      <c r="T7181" s="102">
        <f t="shared" ref="T7181" si="4038">R7181*Q7181</f>
        <v>1000000</v>
      </c>
      <c r="U7181" s="71"/>
      <c r="V7181" s="71"/>
      <c r="W7181" s="474"/>
      <c r="X7181" s="71"/>
      <c r="Y7181" s="71"/>
    </row>
    <row r="7182" spans="1:25" ht="30" hidden="1" customHeight="1" x14ac:dyDescent="0.25">
      <c r="A7182" s="1145">
        <v>45540</v>
      </c>
      <c r="B7182" s="664" t="s">
        <v>442</v>
      </c>
      <c r="C7182" s="71" t="s">
        <v>4199</v>
      </c>
      <c r="D7182" s="71">
        <v>1</v>
      </c>
      <c r="E7182" s="102">
        <v>700000</v>
      </c>
      <c r="F7182" s="102">
        <f t="shared" si="4030"/>
        <v>770000.00000000012</v>
      </c>
      <c r="G7182" s="102">
        <f t="shared" si="4031"/>
        <v>700000</v>
      </c>
      <c r="H7182" s="690" t="s">
        <v>2029</v>
      </c>
      <c r="I7182" s="71" t="s">
        <v>2230</v>
      </c>
      <c r="J7182" s="53">
        <f t="shared" si="4032"/>
        <v>-330000</v>
      </c>
      <c r="K7182" s="63">
        <f t="shared" si="4033"/>
        <v>-0.47142857142857136</v>
      </c>
      <c r="L7182" s="1212" t="s">
        <v>4194</v>
      </c>
      <c r="M7182" s="468"/>
      <c r="N7182" s="1192">
        <f t="shared" si="4026"/>
        <v>45540</v>
      </c>
      <c r="O7182" s="71" t="s">
        <v>145</v>
      </c>
      <c r="P7182" s="103" t="str">
        <f t="shared" si="4029"/>
        <v>CTP 프로그램 설치비</v>
      </c>
      <c r="Q7182" s="71">
        <f t="shared" si="4034"/>
        <v>1</v>
      </c>
      <c r="R7182" s="147">
        <v>1030000</v>
      </c>
      <c r="S7182" s="102">
        <f t="shared" ref="S7182:S7214" si="4039">R7182*Q7182*1.1</f>
        <v>1133000</v>
      </c>
      <c r="T7182" s="102">
        <f t="shared" ref="T7182:T7214" si="4040">R7182*Q7182</f>
        <v>1030000</v>
      </c>
      <c r="U7182" s="71"/>
      <c r="V7182" s="71"/>
      <c r="W7182" s="474"/>
      <c r="X7182" s="71"/>
      <c r="Y7182" s="71"/>
    </row>
    <row r="7183" spans="1:25" ht="30" hidden="1" customHeight="1" x14ac:dyDescent="0.25">
      <c r="A7183" s="1145">
        <v>45540</v>
      </c>
      <c r="B7183" s="664" t="s">
        <v>442</v>
      </c>
      <c r="C7183" s="71" t="s">
        <v>4200</v>
      </c>
      <c r="D7183" s="71">
        <v>1</v>
      </c>
      <c r="E7183" s="102">
        <v>300000</v>
      </c>
      <c r="F7183" s="102">
        <f t="shared" si="4030"/>
        <v>330000</v>
      </c>
      <c r="G7183" s="102">
        <f t="shared" si="4031"/>
        <v>300000</v>
      </c>
      <c r="H7183" s="690" t="s">
        <v>2029</v>
      </c>
      <c r="I7183" s="71" t="s">
        <v>2231</v>
      </c>
      <c r="J7183" s="53">
        <f t="shared" si="4032"/>
        <v>0</v>
      </c>
      <c r="K7183" s="63">
        <f t="shared" si="4033"/>
        <v>0</v>
      </c>
      <c r="L7183" s="1212" t="s">
        <v>4194</v>
      </c>
      <c r="M7183" s="102"/>
      <c r="N7183" s="1192">
        <f t="shared" si="4026"/>
        <v>45540</v>
      </c>
      <c r="O7183" s="71" t="s">
        <v>242</v>
      </c>
      <c r="P7183" s="103" t="str">
        <f t="shared" si="4029"/>
        <v>출장비/필름출력기</v>
      </c>
      <c r="Q7183" s="71">
        <f t="shared" si="4034"/>
        <v>1</v>
      </c>
      <c r="R7183" s="102">
        <v>300000</v>
      </c>
      <c r="S7183" s="102">
        <f t="shared" si="4039"/>
        <v>330000</v>
      </c>
      <c r="T7183" s="102">
        <f t="shared" si="4040"/>
        <v>300000</v>
      </c>
      <c r="U7183" s="71"/>
      <c r="V7183" s="71"/>
      <c r="W7183" s="474"/>
      <c r="X7183" s="71"/>
      <c r="Y7183" s="71"/>
    </row>
    <row r="7184" spans="1:25" ht="30" hidden="1" customHeight="1" x14ac:dyDescent="0.25">
      <c r="A7184" s="1145">
        <v>45540</v>
      </c>
      <c r="B7184" s="664" t="s">
        <v>442</v>
      </c>
      <c r="C7184" s="71" t="s">
        <v>4201</v>
      </c>
      <c r="D7184" s="71">
        <v>1</v>
      </c>
      <c r="E7184" s="102">
        <v>200000</v>
      </c>
      <c r="F7184" s="102">
        <f t="shared" si="4030"/>
        <v>220000.00000000003</v>
      </c>
      <c r="G7184" s="102">
        <f t="shared" si="4031"/>
        <v>200000</v>
      </c>
      <c r="H7184" s="690" t="s">
        <v>2029</v>
      </c>
      <c r="I7184" s="71" t="s">
        <v>2231</v>
      </c>
      <c r="J7184" s="53">
        <f t="shared" si="4032"/>
        <v>-100000</v>
      </c>
      <c r="K7184" s="63">
        <f t="shared" si="4033"/>
        <v>-0.49999999999999994</v>
      </c>
      <c r="L7184" s="1212" t="s">
        <v>4194</v>
      </c>
      <c r="M7184" s="468"/>
      <c r="N7184" s="1192">
        <f t="shared" si="4026"/>
        <v>45540</v>
      </c>
      <c r="O7184" s="71" t="s">
        <v>242</v>
      </c>
      <c r="P7184" s="103" t="str">
        <f t="shared" si="4029"/>
        <v>소프트웨어 설치비/필름출력기</v>
      </c>
      <c r="Q7184" s="71">
        <f t="shared" si="4034"/>
        <v>1</v>
      </c>
      <c r="R7184" s="147">
        <v>300000</v>
      </c>
      <c r="S7184" s="102">
        <f t="shared" si="4039"/>
        <v>330000</v>
      </c>
      <c r="T7184" s="102">
        <f t="shared" si="4040"/>
        <v>300000</v>
      </c>
      <c r="U7184" s="71"/>
      <c r="V7184" s="71"/>
      <c r="W7184" s="474"/>
      <c r="X7184" s="71"/>
      <c r="Y7184" s="71"/>
    </row>
    <row r="7185" spans="1:25" ht="30" hidden="1" customHeight="1" x14ac:dyDescent="0.25">
      <c r="A7185" s="1145">
        <v>45545</v>
      </c>
      <c r="B7185" s="664" t="s">
        <v>546</v>
      </c>
      <c r="C7185" s="71" t="s">
        <v>3435</v>
      </c>
      <c r="D7185" s="71">
        <v>3</v>
      </c>
      <c r="E7185" s="102">
        <v>750000</v>
      </c>
      <c r="F7185" s="102">
        <f t="shared" si="4030"/>
        <v>2475000</v>
      </c>
      <c r="G7185" s="102">
        <f t="shared" si="4031"/>
        <v>2250000</v>
      </c>
      <c r="H7185" s="1223" t="s">
        <v>94</v>
      </c>
      <c r="I7185" s="1224" t="s">
        <v>94</v>
      </c>
      <c r="J7185" s="53">
        <f t="shared" si="4032"/>
        <v>1471230</v>
      </c>
      <c r="K7185" s="63">
        <f t="shared" si="4033"/>
        <v>0.65388000000000002</v>
      </c>
      <c r="L7185" s="1212" t="s">
        <v>4194</v>
      </c>
      <c r="M7185" s="102"/>
      <c r="N7185" s="1192">
        <f t="shared" si="4026"/>
        <v>45545</v>
      </c>
      <c r="O7185" s="71" t="s">
        <v>94</v>
      </c>
      <c r="P7185" s="103" t="str">
        <f t="shared" si="4029"/>
        <v>습수정화장치 beta.f 필터 세트</v>
      </c>
      <c r="Q7185" s="71">
        <f t="shared" si="4034"/>
        <v>3</v>
      </c>
      <c r="R7185" s="102">
        <v>259590</v>
      </c>
      <c r="S7185" s="102">
        <f t="shared" si="4039"/>
        <v>856647.00000000012</v>
      </c>
      <c r="T7185" s="102">
        <f t="shared" si="4040"/>
        <v>778770</v>
      </c>
      <c r="U7185" s="71"/>
      <c r="V7185" s="71"/>
      <c r="W7185" s="474"/>
      <c r="X7185" s="71"/>
      <c r="Y7185" s="71"/>
    </row>
    <row r="7186" spans="1:25" ht="30" hidden="1" customHeight="1" x14ac:dyDescent="0.25">
      <c r="A7186" s="1145">
        <v>45534</v>
      </c>
      <c r="B7186" s="664" t="s">
        <v>444</v>
      </c>
      <c r="C7186" s="71" t="s">
        <v>3782</v>
      </c>
      <c r="D7186" s="71">
        <v>2</v>
      </c>
      <c r="E7186" s="102">
        <v>800000</v>
      </c>
      <c r="F7186" s="102">
        <f t="shared" si="4030"/>
        <v>1760000.0000000002</v>
      </c>
      <c r="G7186" s="102">
        <f t="shared" si="4031"/>
        <v>1600000</v>
      </c>
      <c r="H7186" s="1223" t="s">
        <v>173</v>
      </c>
      <c r="I7186" s="71" t="s">
        <v>2231</v>
      </c>
      <c r="J7186" s="53">
        <f t="shared" si="4032"/>
        <v>200000</v>
      </c>
      <c r="K7186" s="63">
        <f t="shared" si="4033"/>
        <v>0.12499999999999999</v>
      </c>
      <c r="L7186" s="1212" t="s">
        <v>4194</v>
      </c>
      <c r="M7186" s="468"/>
      <c r="N7186" s="1192">
        <f t="shared" si="4026"/>
        <v>45534</v>
      </c>
      <c r="O7186" s="71" t="s">
        <v>150</v>
      </c>
      <c r="P7186" s="103" t="str">
        <f t="shared" si="4029"/>
        <v>챔버 닥터블레이드 - XL106용</v>
      </c>
      <c r="Q7186" s="71">
        <f t="shared" si="4034"/>
        <v>2</v>
      </c>
      <c r="R7186" s="147">
        <v>700000</v>
      </c>
      <c r="S7186" s="102">
        <f t="shared" si="4039"/>
        <v>1540000.0000000002</v>
      </c>
      <c r="T7186" s="102">
        <f t="shared" si="4040"/>
        <v>1400000</v>
      </c>
      <c r="U7186" s="71"/>
      <c r="V7186" s="71"/>
      <c r="W7186" s="474"/>
      <c r="X7186" s="71"/>
      <c r="Y7186" s="71"/>
    </row>
    <row r="7187" spans="1:25" ht="30" hidden="1" customHeight="1" x14ac:dyDescent="0.25">
      <c r="A7187" s="1145">
        <v>45541</v>
      </c>
      <c r="B7187" s="664" t="s">
        <v>2798</v>
      </c>
      <c r="C7187" s="71" t="s">
        <v>167</v>
      </c>
      <c r="D7187" s="71">
        <v>10</v>
      </c>
      <c r="E7187" s="102">
        <v>138000</v>
      </c>
      <c r="F7187" s="102">
        <f t="shared" si="4030"/>
        <v>1518000.0000000002</v>
      </c>
      <c r="G7187" s="102">
        <f t="shared" si="4031"/>
        <v>1380000</v>
      </c>
      <c r="H7187" s="690" t="s">
        <v>172</v>
      </c>
      <c r="I7187" s="71" t="s">
        <v>33</v>
      </c>
      <c r="J7187" s="53">
        <f t="shared" si="4032"/>
        <v>460000</v>
      </c>
      <c r="K7187" s="63">
        <f t="shared" si="4033"/>
        <v>0.33333333333333326</v>
      </c>
      <c r="L7187" s="1212" t="s">
        <v>4194</v>
      </c>
      <c r="M7187" s="468" t="s">
        <v>4114</v>
      </c>
      <c r="N7187" s="1192">
        <f t="shared" ref="N7187:N7191" si="4041">A7187</f>
        <v>45541</v>
      </c>
      <c r="O7187" s="71" t="s">
        <v>146</v>
      </c>
      <c r="P7187" s="103" t="str">
        <f t="shared" ref="P7187:P7195" si="4042">(C7187)</f>
        <v>Blanket(1060*860)</v>
      </c>
      <c r="Q7187" s="71">
        <f t="shared" si="4034"/>
        <v>10</v>
      </c>
      <c r="R7187" s="102">
        <v>92000</v>
      </c>
      <c r="S7187" s="102">
        <f t="shared" si="4039"/>
        <v>1012000.0000000001</v>
      </c>
      <c r="T7187" s="102">
        <f t="shared" si="4040"/>
        <v>920000</v>
      </c>
      <c r="U7187" s="71" t="str">
        <f t="shared" ref="U7187" si="4043">IF(J7187=W7187,"O", "X")</f>
        <v>X</v>
      </c>
      <c r="V7187" s="71"/>
      <c r="W7187" s="474"/>
      <c r="X7187" s="71"/>
      <c r="Y7187" s="71"/>
    </row>
    <row r="7188" spans="1:25" ht="31.5" hidden="1" customHeight="1" x14ac:dyDescent="0.25">
      <c r="A7188" s="1145">
        <v>45555</v>
      </c>
      <c r="B7188" s="664" t="s">
        <v>2798</v>
      </c>
      <c r="C7188" s="71" t="s">
        <v>3290</v>
      </c>
      <c r="D7188" s="71">
        <v>1</v>
      </c>
      <c r="E7188" s="102">
        <v>780000</v>
      </c>
      <c r="F7188" s="102">
        <f t="shared" si="4030"/>
        <v>858000.00000000012</v>
      </c>
      <c r="G7188" s="102">
        <f t="shared" si="4031"/>
        <v>780000</v>
      </c>
      <c r="H7188" s="690" t="s">
        <v>172</v>
      </c>
      <c r="I7188" s="71" t="s">
        <v>38</v>
      </c>
      <c r="J7188" s="53">
        <f t="shared" si="4032"/>
        <v>318000</v>
      </c>
      <c r="K7188" s="63">
        <f t="shared" si="4033"/>
        <v>0.40769230769230763</v>
      </c>
      <c r="L7188" s="1212" t="s">
        <v>4194</v>
      </c>
      <c r="M7188" s="468"/>
      <c r="N7188" s="1192">
        <f t="shared" si="4041"/>
        <v>45555</v>
      </c>
      <c r="O7188" s="71" t="s">
        <v>3291</v>
      </c>
      <c r="P7188" s="103" t="str">
        <f t="shared" si="4042"/>
        <v>점보롤 세정포</v>
      </c>
      <c r="Q7188" s="71">
        <f t="shared" si="4034"/>
        <v>1</v>
      </c>
      <c r="R7188" s="102">
        <v>462000</v>
      </c>
      <c r="S7188" s="102">
        <f t="shared" si="4039"/>
        <v>508200.00000000006</v>
      </c>
      <c r="T7188" s="102">
        <f t="shared" si="4040"/>
        <v>462000</v>
      </c>
      <c r="U7188" s="71" t="str">
        <f>IF(J7188=W7188,"O", "X")</f>
        <v>O</v>
      </c>
      <c r="V7188" s="71" t="s">
        <v>3292</v>
      </c>
      <c r="W7188" s="474">
        <f>(G7188-T7188)</f>
        <v>318000</v>
      </c>
      <c r="X7188" s="71"/>
      <c r="Y7188" s="71"/>
    </row>
    <row r="7189" spans="1:25" ht="31.5" hidden="1" customHeight="1" x14ac:dyDescent="0.25">
      <c r="A7189" s="1145">
        <v>45555</v>
      </c>
      <c r="B7189" s="664" t="s">
        <v>545</v>
      </c>
      <c r="C7189" s="71" t="s">
        <v>911</v>
      </c>
      <c r="D7189" s="71">
        <v>1</v>
      </c>
      <c r="E7189" s="102">
        <v>250000</v>
      </c>
      <c r="F7189" s="102">
        <f t="shared" si="4030"/>
        <v>275000</v>
      </c>
      <c r="G7189" s="102">
        <f t="shared" si="4031"/>
        <v>250000</v>
      </c>
      <c r="H7189" s="690" t="s">
        <v>173</v>
      </c>
      <c r="I7189" s="71" t="s">
        <v>2231</v>
      </c>
      <c r="J7189" s="53">
        <f t="shared" si="4032"/>
        <v>175000</v>
      </c>
      <c r="K7189" s="63">
        <f t="shared" si="4033"/>
        <v>0.7</v>
      </c>
      <c r="L7189" s="1212" t="s">
        <v>4194</v>
      </c>
      <c r="M7189" s="468"/>
      <c r="N7189" s="1192">
        <f t="shared" si="4041"/>
        <v>45555</v>
      </c>
      <c r="O7189" s="71" t="s">
        <v>994</v>
      </c>
      <c r="P7189" s="103" t="str">
        <f t="shared" si="4042"/>
        <v>콤푸레샤 에어필터</v>
      </c>
      <c r="Q7189" s="71">
        <f t="shared" si="4034"/>
        <v>1</v>
      </c>
      <c r="R7189" s="102">
        <v>75000</v>
      </c>
      <c r="S7189" s="102">
        <f t="shared" si="4039"/>
        <v>82500</v>
      </c>
      <c r="T7189" s="102">
        <f t="shared" si="4040"/>
        <v>75000</v>
      </c>
      <c r="U7189" s="71" t="str">
        <f t="shared" ref="U7189" si="4044">IF(J7189=W7189,"O", "X")</f>
        <v>O</v>
      </c>
      <c r="V7189" s="71"/>
      <c r="W7189" s="474">
        <f>(G7189-T7189)</f>
        <v>175000</v>
      </c>
      <c r="X7189" s="71"/>
      <c r="Y7189" s="71"/>
    </row>
    <row r="7190" spans="1:25" ht="30" hidden="1" customHeight="1" x14ac:dyDescent="0.25">
      <c r="A7190" s="1145">
        <v>45555</v>
      </c>
      <c r="B7190" s="664" t="s">
        <v>545</v>
      </c>
      <c r="C7190" s="71" t="s">
        <v>4202</v>
      </c>
      <c r="D7190" s="71">
        <v>48</v>
      </c>
      <c r="E7190" s="102">
        <v>35000</v>
      </c>
      <c r="F7190" s="102">
        <f t="shared" si="4030"/>
        <v>1848000.0000000002</v>
      </c>
      <c r="G7190" s="102">
        <f t="shared" si="4031"/>
        <v>1680000</v>
      </c>
      <c r="H7190" s="1223" t="s">
        <v>173</v>
      </c>
      <c r="I7190" s="71" t="s">
        <v>3385</v>
      </c>
      <c r="J7190" s="53">
        <f t="shared" si="4032"/>
        <v>672000</v>
      </c>
      <c r="K7190" s="63">
        <f t="shared" si="4033"/>
        <v>0.39999999999999997</v>
      </c>
      <c r="L7190" s="1212" t="s">
        <v>4194</v>
      </c>
      <c r="M7190" s="468"/>
      <c r="N7190" s="1192">
        <f t="shared" si="4041"/>
        <v>45555</v>
      </c>
      <c r="O7190" s="71" t="s">
        <v>4204</v>
      </c>
      <c r="P7190" s="103" t="str">
        <f t="shared" si="4042"/>
        <v>Lucas chain oil</v>
      </c>
      <c r="Q7190" s="71">
        <f t="shared" si="4034"/>
        <v>48</v>
      </c>
      <c r="R7190" s="147">
        <v>21000</v>
      </c>
      <c r="S7190" s="102">
        <f t="shared" si="4039"/>
        <v>1108800</v>
      </c>
      <c r="T7190" s="102">
        <f t="shared" si="4040"/>
        <v>1008000</v>
      </c>
      <c r="U7190" s="71"/>
      <c r="V7190" s="71"/>
      <c r="W7190" s="474"/>
      <c r="X7190" s="71"/>
      <c r="Y7190" s="71"/>
    </row>
    <row r="7191" spans="1:25" s="209" customFormat="1" ht="30" hidden="1" customHeight="1" x14ac:dyDescent="0.25">
      <c r="A7191" s="1145">
        <v>45534</v>
      </c>
      <c r="B7191" s="664" t="s">
        <v>411</v>
      </c>
      <c r="C7191" s="71" t="s">
        <v>3413</v>
      </c>
      <c r="D7191" s="71">
        <v>10</v>
      </c>
      <c r="E7191" s="102">
        <v>80000</v>
      </c>
      <c r="F7191" s="102">
        <f t="shared" si="4030"/>
        <v>880000.00000000012</v>
      </c>
      <c r="G7191" s="102">
        <f t="shared" si="4031"/>
        <v>800000</v>
      </c>
      <c r="H7191" s="690" t="s">
        <v>2029</v>
      </c>
      <c r="I7191" s="71" t="s">
        <v>3385</v>
      </c>
      <c r="J7191" s="53">
        <f t="shared" si="4032"/>
        <v>300000</v>
      </c>
      <c r="K7191" s="63">
        <f t="shared" si="4033"/>
        <v>0.37499999999999994</v>
      </c>
      <c r="L7191" s="1212" t="s">
        <v>4194</v>
      </c>
      <c r="M7191" s="468"/>
      <c r="N7191" s="1192">
        <f t="shared" si="4041"/>
        <v>45534</v>
      </c>
      <c r="O7191" s="71" t="s">
        <v>190</v>
      </c>
      <c r="P7191" s="103" t="str">
        <f t="shared" si="4042"/>
        <v>아스테이지(국전)</v>
      </c>
      <c r="Q7191" s="71">
        <f t="shared" si="4034"/>
        <v>10</v>
      </c>
      <c r="R7191" s="102">
        <v>50000</v>
      </c>
      <c r="S7191" s="102">
        <f t="shared" si="4039"/>
        <v>550000</v>
      </c>
      <c r="T7191" s="102">
        <f t="shared" si="4040"/>
        <v>500000</v>
      </c>
      <c r="U7191" s="71" t="str">
        <f t="shared" ref="U7191" si="4045">IF(J7191=W7191,"O", "X")</f>
        <v>X</v>
      </c>
      <c r="V7191" s="71"/>
      <c r="W7191" s="474">
        <v>500000</v>
      </c>
      <c r="X7191" s="71"/>
      <c r="Y7191" s="71"/>
    </row>
    <row r="7192" spans="1:25" ht="30" hidden="1" customHeight="1" x14ac:dyDescent="0.25">
      <c r="A7192" s="1145"/>
      <c r="B7192" s="664" t="s">
        <v>3824</v>
      </c>
      <c r="C7192" s="71" t="s">
        <v>114</v>
      </c>
      <c r="D7192" s="71">
        <v>50</v>
      </c>
      <c r="E7192" s="102">
        <v>18000</v>
      </c>
      <c r="F7192" s="102">
        <f t="shared" si="4030"/>
        <v>990000.00000000012</v>
      </c>
      <c r="G7192" s="102">
        <f t="shared" si="4031"/>
        <v>900000</v>
      </c>
      <c r="H7192" s="1223" t="s">
        <v>1431</v>
      </c>
      <c r="I7192" s="1224" t="s">
        <v>1431</v>
      </c>
      <c r="J7192" s="53">
        <f t="shared" si="4032"/>
        <v>297800</v>
      </c>
      <c r="K7192" s="63">
        <f t="shared" si="4033"/>
        <v>0.33088888888888884</v>
      </c>
      <c r="L7192" s="1212" t="s">
        <v>4194</v>
      </c>
      <c r="M7192" s="468"/>
      <c r="N7192" s="1192"/>
      <c r="O7192" s="71"/>
      <c r="P7192" s="103" t="str">
        <f t="shared" si="4042"/>
        <v>스트리퍼</v>
      </c>
      <c r="Q7192" s="71">
        <f t="shared" si="4034"/>
        <v>50</v>
      </c>
      <c r="R7192" s="147">
        <v>12044</v>
      </c>
      <c r="S7192" s="102">
        <f t="shared" si="4039"/>
        <v>662420</v>
      </c>
      <c r="T7192" s="102">
        <f t="shared" si="4040"/>
        <v>602200</v>
      </c>
      <c r="U7192" s="71"/>
      <c r="V7192" s="71"/>
      <c r="W7192" s="474"/>
      <c r="X7192" s="71"/>
      <c r="Y7192" s="71"/>
    </row>
    <row r="7193" spans="1:25" ht="30" hidden="1" customHeight="1" x14ac:dyDescent="0.25">
      <c r="A7193" s="1145"/>
      <c r="B7193" s="664" t="s">
        <v>546</v>
      </c>
      <c r="C7193" s="71" t="s">
        <v>1148</v>
      </c>
      <c r="D7193" s="71">
        <v>8</v>
      </c>
      <c r="E7193" s="102">
        <v>350000</v>
      </c>
      <c r="F7193" s="102">
        <f t="shared" si="4030"/>
        <v>3080000.0000000005</v>
      </c>
      <c r="G7193" s="102">
        <f t="shared" si="4031"/>
        <v>2800000</v>
      </c>
      <c r="H7193" s="1223" t="s">
        <v>1431</v>
      </c>
      <c r="I7193" s="1224" t="s">
        <v>1431</v>
      </c>
      <c r="J7193" s="53">
        <f t="shared" si="4032"/>
        <v>800000</v>
      </c>
      <c r="K7193" s="63">
        <f t="shared" si="4033"/>
        <v>0.28571428571428564</v>
      </c>
      <c r="L7193" s="1212" t="s">
        <v>4194</v>
      </c>
      <c r="M7193" s="102"/>
      <c r="N7193" s="1192"/>
      <c r="O7193" s="71"/>
      <c r="P7193" s="103" t="str">
        <f t="shared" si="4042"/>
        <v>브레이크 라이닝</v>
      </c>
      <c r="Q7193" s="71">
        <f t="shared" si="4034"/>
        <v>8</v>
      </c>
      <c r="R7193" s="102">
        <v>250000</v>
      </c>
      <c r="S7193" s="102">
        <f t="shared" si="4039"/>
        <v>2200000</v>
      </c>
      <c r="T7193" s="102">
        <f t="shared" si="4040"/>
        <v>2000000</v>
      </c>
      <c r="U7193" s="71"/>
      <c r="V7193" s="71"/>
      <c r="W7193" s="474"/>
      <c r="X7193" s="71"/>
      <c r="Y7193" s="71"/>
    </row>
    <row r="7194" spans="1:25" ht="30" hidden="1" customHeight="1" x14ac:dyDescent="0.25">
      <c r="A7194" s="1145"/>
      <c r="B7194" s="664" t="s">
        <v>546</v>
      </c>
      <c r="C7194" s="71" t="s">
        <v>1121</v>
      </c>
      <c r="D7194" s="71">
        <v>10</v>
      </c>
      <c r="E7194" s="102">
        <v>80000</v>
      </c>
      <c r="F7194" s="102">
        <f t="shared" si="4030"/>
        <v>880000.00000000012</v>
      </c>
      <c r="G7194" s="102">
        <f t="shared" si="4031"/>
        <v>800000</v>
      </c>
      <c r="H7194" s="1223" t="s">
        <v>1431</v>
      </c>
      <c r="I7194" s="1224" t="s">
        <v>1431</v>
      </c>
      <c r="J7194" s="53">
        <f t="shared" si="4032"/>
        <v>400000</v>
      </c>
      <c r="K7194" s="63">
        <f t="shared" si="4033"/>
        <v>0.49999999999999994</v>
      </c>
      <c r="L7194" s="1212" t="s">
        <v>4194</v>
      </c>
      <c r="M7194" s="468"/>
      <c r="N7194" s="1192"/>
      <c r="O7194" s="71"/>
      <c r="P7194" s="103" t="str">
        <f t="shared" si="4042"/>
        <v>포텐시오미터</v>
      </c>
      <c r="Q7194" s="71">
        <f t="shared" si="4034"/>
        <v>10</v>
      </c>
      <c r="R7194" s="147">
        <v>40000</v>
      </c>
      <c r="S7194" s="102">
        <f t="shared" si="4039"/>
        <v>440000.00000000006</v>
      </c>
      <c r="T7194" s="102">
        <f t="shared" si="4040"/>
        <v>400000</v>
      </c>
      <c r="U7194" s="71"/>
      <c r="V7194" s="71"/>
      <c r="W7194" s="474"/>
      <c r="X7194" s="71"/>
      <c r="Y7194" s="71"/>
    </row>
    <row r="7195" spans="1:25" ht="30" customHeight="1" x14ac:dyDescent="0.25">
      <c r="A7195" s="1145">
        <v>45560</v>
      </c>
      <c r="B7195" s="664" t="s">
        <v>641</v>
      </c>
      <c r="C7195" s="71" t="s">
        <v>3293</v>
      </c>
      <c r="D7195" s="71">
        <v>60</v>
      </c>
      <c r="E7195" s="102">
        <v>84000</v>
      </c>
      <c r="F7195" s="102">
        <f t="shared" si="4030"/>
        <v>5544000</v>
      </c>
      <c r="G7195" s="102">
        <f t="shared" si="4031"/>
        <v>5040000</v>
      </c>
      <c r="H7195" s="690" t="s">
        <v>172</v>
      </c>
      <c r="I7195" s="71" t="s">
        <v>38</v>
      </c>
      <c r="J7195" s="53">
        <f t="shared" si="4032"/>
        <v>1980000</v>
      </c>
      <c r="K7195" s="63">
        <f t="shared" si="4033"/>
        <v>0.39285714285714285</v>
      </c>
      <c r="L7195" s="1212" t="s">
        <v>4194</v>
      </c>
      <c r="M7195" s="468"/>
      <c r="N7195" s="1192">
        <f t="shared" ref="N7195:N7200" si="4046">A7195</f>
        <v>45560</v>
      </c>
      <c r="O7195" s="71" t="s">
        <v>3291</v>
      </c>
      <c r="P7195" s="103" t="str">
        <f t="shared" si="4042"/>
        <v>GOSS 신문윤전 습식세정포</v>
      </c>
      <c r="Q7195" s="71">
        <f t="shared" si="4034"/>
        <v>60</v>
      </c>
      <c r="R7195" s="102">
        <v>51000</v>
      </c>
      <c r="S7195" s="102">
        <f t="shared" si="4039"/>
        <v>3366000.0000000005</v>
      </c>
      <c r="T7195" s="102">
        <f t="shared" si="4040"/>
        <v>3060000</v>
      </c>
      <c r="U7195" s="71" t="str">
        <f>IF(J7195=W7195,"O", "X")</f>
        <v>X</v>
      </c>
      <c r="V7195" s="71"/>
      <c r="W7195" s="474"/>
      <c r="X7195" s="71"/>
      <c r="Y7195" s="71"/>
    </row>
    <row r="7196" spans="1:25" ht="30" hidden="1" customHeight="1" x14ac:dyDescent="0.25">
      <c r="A7196" s="1210" t="s">
        <v>4208</v>
      </c>
      <c r="B7196" s="1211" t="s">
        <v>544</v>
      </c>
      <c r="C7196" s="960"/>
      <c r="D7196" s="960"/>
      <c r="E7196" s="952"/>
      <c r="F7196" s="952"/>
      <c r="G7196" s="952"/>
      <c r="H7196" s="1206"/>
      <c r="I7196" s="960"/>
      <c r="J7196" s="952"/>
      <c r="K7196" s="953"/>
      <c r="L7196" s="1212" t="s">
        <v>4210</v>
      </c>
      <c r="M7196" s="1207"/>
      <c r="N7196" s="1208" t="str">
        <f t="shared" si="4046"/>
        <v>2024,10</v>
      </c>
      <c r="O7196" s="960"/>
      <c r="P7196" s="1209"/>
      <c r="Q7196" s="960"/>
      <c r="R7196" s="952"/>
      <c r="S7196" s="952"/>
      <c r="T7196" s="952"/>
      <c r="U7196" s="960"/>
      <c r="V7196" s="960"/>
      <c r="W7196" s="474">
        <f>(G7196-T7196)</f>
        <v>0</v>
      </c>
      <c r="X7196" s="71"/>
      <c r="Y7196" s="71"/>
    </row>
    <row r="7197" spans="1:25" ht="30" hidden="1" customHeight="1" x14ac:dyDescent="0.25">
      <c r="A7197" s="1145">
        <v>45569</v>
      </c>
      <c r="B7197" s="664" t="s">
        <v>2261</v>
      </c>
      <c r="C7197" s="760" t="s">
        <v>181</v>
      </c>
      <c r="D7197" s="71">
        <v>10</v>
      </c>
      <c r="E7197" s="102">
        <v>193000</v>
      </c>
      <c r="F7197" s="102">
        <f t="shared" ref="F7197:F7200" si="4047">(E7197*D7197)*1.1</f>
        <v>2123000</v>
      </c>
      <c r="G7197" s="102">
        <f t="shared" ref="G7197:G7200" si="4048">(E7197*D7197)</f>
        <v>1930000</v>
      </c>
      <c r="H7197" s="690" t="s">
        <v>2029</v>
      </c>
      <c r="I7197" s="71" t="s">
        <v>182</v>
      </c>
      <c r="J7197" s="53">
        <f t="shared" ref="J7197:J7200" si="4049">G7197-T7197</f>
        <v>690000</v>
      </c>
      <c r="K7197" s="63">
        <f t="shared" ref="K7197:K7200" si="4050">(J7197/(F7197/11*10))</f>
        <v>0.35751295336787564</v>
      </c>
      <c r="L7197" s="1212" t="s">
        <v>4210</v>
      </c>
      <c r="M7197" s="468"/>
      <c r="N7197" s="1192">
        <f t="shared" si="4046"/>
        <v>45569</v>
      </c>
      <c r="O7197" s="71" t="s">
        <v>2030</v>
      </c>
      <c r="P7197" s="103" t="str">
        <f t="shared" ref="P7197:P7198" si="4051">(C7197)</f>
        <v>Fount Web 551AF</v>
      </c>
      <c r="Q7197" s="71">
        <f t="shared" ref="Q7197:Q7198" si="4052">D7197</f>
        <v>10</v>
      </c>
      <c r="R7197" s="102">
        <v>124000</v>
      </c>
      <c r="S7197" s="102">
        <f t="shared" ref="S7197:S7200" si="4053">R7197*Q7197*1.1</f>
        <v>1364000</v>
      </c>
      <c r="T7197" s="102">
        <f t="shared" ref="T7197:T7200" si="4054">R7197*Q7197</f>
        <v>1240000</v>
      </c>
      <c r="U7197" s="71" t="str">
        <f>IF(J7197=W7197,"O", "X")</f>
        <v>X</v>
      </c>
      <c r="V7197" s="71"/>
      <c r="W7197" s="474">
        <v>640000</v>
      </c>
      <c r="X7197" s="71"/>
      <c r="Y7197" s="71"/>
    </row>
    <row r="7198" spans="1:25" ht="30" hidden="1" customHeight="1" x14ac:dyDescent="0.25">
      <c r="A7198" s="1145">
        <v>45569</v>
      </c>
      <c r="B7198" s="664" t="s">
        <v>2261</v>
      </c>
      <c r="C7198" s="71" t="s">
        <v>277</v>
      </c>
      <c r="D7198" s="71">
        <v>10</v>
      </c>
      <c r="E7198" s="102">
        <v>172000</v>
      </c>
      <c r="F7198" s="102">
        <f t="shared" si="4047"/>
        <v>1892000.0000000002</v>
      </c>
      <c r="G7198" s="102">
        <f t="shared" si="4048"/>
        <v>1720000</v>
      </c>
      <c r="H7198" s="690" t="s">
        <v>172</v>
      </c>
      <c r="I7198" s="71" t="s">
        <v>108</v>
      </c>
      <c r="J7198" s="53">
        <f t="shared" si="4049"/>
        <v>390000</v>
      </c>
      <c r="K7198" s="63">
        <f t="shared" si="4050"/>
        <v>0.22674418604651159</v>
      </c>
      <c r="L7198" s="1212" t="s">
        <v>4209</v>
      </c>
      <c r="M7198" s="468"/>
      <c r="N7198" s="1192">
        <f t="shared" si="4046"/>
        <v>45569</v>
      </c>
      <c r="O7198" s="71" t="s">
        <v>662</v>
      </c>
      <c r="P7198" s="103" t="str">
        <f t="shared" si="4051"/>
        <v>윤전용 세척제(Web 504)</v>
      </c>
      <c r="Q7198" s="71">
        <f t="shared" si="4052"/>
        <v>10</v>
      </c>
      <c r="R7198" s="102">
        <v>133000</v>
      </c>
      <c r="S7198" s="102">
        <f t="shared" si="4053"/>
        <v>1463000.0000000002</v>
      </c>
      <c r="T7198" s="102">
        <f t="shared" si="4054"/>
        <v>1330000</v>
      </c>
      <c r="U7198" s="71" t="str">
        <f>IF(J7198=W7198,"O", "X")</f>
        <v>X</v>
      </c>
      <c r="V7198" s="71"/>
      <c r="W7198" s="474"/>
      <c r="X7198" s="71"/>
      <c r="Y7198" s="71"/>
    </row>
    <row r="7199" spans="1:25" ht="30" hidden="1" customHeight="1" x14ac:dyDescent="0.25">
      <c r="A7199" s="1145">
        <v>45569</v>
      </c>
      <c r="B7199" s="664" t="s">
        <v>2261</v>
      </c>
      <c r="C7199" s="71" t="s">
        <v>3299</v>
      </c>
      <c r="D7199" s="71">
        <v>10</v>
      </c>
      <c r="E7199" s="102">
        <v>52000</v>
      </c>
      <c r="F7199" s="102">
        <f t="shared" si="4047"/>
        <v>572000</v>
      </c>
      <c r="G7199" s="102">
        <f t="shared" si="4048"/>
        <v>520000</v>
      </c>
      <c r="H7199" s="690" t="s">
        <v>172</v>
      </c>
      <c r="I7199" s="71" t="s">
        <v>180</v>
      </c>
      <c r="J7199" s="53">
        <f t="shared" si="4049"/>
        <v>45000</v>
      </c>
      <c r="K7199" s="63">
        <f t="shared" si="4050"/>
        <v>8.6538461538461536E-2</v>
      </c>
      <c r="L7199" s="1212" t="s">
        <v>4209</v>
      </c>
      <c r="M7199" s="468" t="s">
        <v>3835</v>
      </c>
      <c r="N7199" s="1192">
        <f t="shared" si="4046"/>
        <v>45569</v>
      </c>
      <c r="O7199" s="71" t="s">
        <v>175</v>
      </c>
      <c r="P7199" s="103" t="str">
        <f t="shared" ref="P7199:P7262" si="4055">(C7199)</f>
        <v>매엽용 세척제(Wash k11)</v>
      </c>
      <c r="Q7199" s="71">
        <f t="shared" ref="Q7199:Q7262" si="4056">D7199</f>
        <v>10</v>
      </c>
      <c r="R7199" s="102">
        <v>47500</v>
      </c>
      <c r="S7199" s="102">
        <f t="shared" si="4053"/>
        <v>522500.00000000006</v>
      </c>
      <c r="T7199" s="102">
        <f t="shared" si="4054"/>
        <v>475000</v>
      </c>
      <c r="U7199" s="71" t="s">
        <v>859</v>
      </c>
      <c r="V7199" s="71"/>
      <c r="W7199" s="474"/>
      <c r="X7199" s="71"/>
      <c r="Y7199" s="71"/>
    </row>
    <row r="7200" spans="1:25" s="209" customFormat="1" ht="31.15" hidden="1" customHeight="1" x14ac:dyDescent="0.2">
      <c r="A7200" s="1145">
        <v>45569</v>
      </c>
      <c r="B7200" s="664" t="s">
        <v>3289</v>
      </c>
      <c r="C7200" s="71" t="s">
        <v>3387</v>
      </c>
      <c r="D7200" s="71">
        <v>10</v>
      </c>
      <c r="E7200" s="102">
        <v>130000</v>
      </c>
      <c r="F7200" s="102">
        <f t="shared" si="4047"/>
        <v>1430000</v>
      </c>
      <c r="G7200" s="102">
        <f t="shared" si="4048"/>
        <v>1300000</v>
      </c>
      <c r="H7200" s="165" t="s">
        <v>172</v>
      </c>
      <c r="I7200" s="71" t="s">
        <v>184</v>
      </c>
      <c r="J7200" s="53">
        <f t="shared" si="4049"/>
        <v>180000</v>
      </c>
      <c r="K7200" s="63">
        <f t="shared" si="4050"/>
        <v>0.13846153846153847</v>
      </c>
      <c r="L7200" s="1212" t="s">
        <v>4209</v>
      </c>
      <c r="M7200" s="468"/>
      <c r="N7200" s="1192">
        <f t="shared" si="4046"/>
        <v>45569</v>
      </c>
      <c r="O7200" s="71" t="s">
        <v>189</v>
      </c>
      <c r="P7200" s="103" t="str">
        <f t="shared" si="4055"/>
        <v>Blanket(990*725)</v>
      </c>
      <c r="Q7200" s="71">
        <f t="shared" si="4056"/>
        <v>10</v>
      </c>
      <c r="R7200" s="102">
        <v>112000</v>
      </c>
      <c r="S7200" s="102">
        <f t="shared" si="4053"/>
        <v>1232000</v>
      </c>
      <c r="T7200" s="102">
        <f t="shared" si="4054"/>
        <v>1120000</v>
      </c>
      <c r="U7200" s="71" t="str">
        <f>IF(J7200=W7200,"O", "X")</f>
        <v>X</v>
      </c>
      <c r="V7200" s="71"/>
      <c r="W7200" s="474">
        <v>80000</v>
      </c>
      <c r="X7200" s="71"/>
      <c r="Y7200" s="71"/>
    </row>
    <row r="7201" spans="1:25" ht="30" hidden="1" customHeight="1" x14ac:dyDescent="0.25">
      <c r="A7201" s="1145">
        <v>45576</v>
      </c>
      <c r="B7201" s="664" t="s">
        <v>2261</v>
      </c>
      <c r="C7201" s="760" t="s">
        <v>181</v>
      </c>
      <c r="D7201" s="71">
        <v>5</v>
      </c>
      <c r="E7201" s="102">
        <v>193000</v>
      </c>
      <c r="F7201" s="102">
        <f t="shared" ref="F7201:F7206" si="4057">(E7201*D7201)*1.1</f>
        <v>1061500</v>
      </c>
      <c r="G7201" s="102">
        <f t="shared" ref="G7201:G7206" si="4058">(E7201*D7201)</f>
        <v>965000</v>
      </c>
      <c r="H7201" s="690" t="s">
        <v>2029</v>
      </c>
      <c r="I7201" s="71" t="s">
        <v>182</v>
      </c>
      <c r="J7201" s="53">
        <f t="shared" ref="J7201:J7206" si="4059">G7201-T7201</f>
        <v>345000</v>
      </c>
      <c r="K7201" s="63">
        <f t="shared" ref="K7201:K7206" si="4060">(J7201/(F7201/11*10))</f>
        <v>0.35751295336787564</v>
      </c>
      <c r="L7201" s="1212" t="s">
        <v>4209</v>
      </c>
      <c r="M7201" s="468"/>
      <c r="N7201" s="1192">
        <f t="shared" ref="N7201:N7206" si="4061">A7201</f>
        <v>45576</v>
      </c>
      <c r="O7201" s="71" t="s">
        <v>2030</v>
      </c>
      <c r="P7201" s="103" t="str">
        <f t="shared" si="4055"/>
        <v>Fount Web 551AF</v>
      </c>
      <c r="Q7201" s="71">
        <f t="shared" si="4056"/>
        <v>5</v>
      </c>
      <c r="R7201" s="102">
        <v>124000</v>
      </c>
      <c r="S7201" s="102">
        <f t="shared" ref="S7201:S7206" si="4062">R7201*Q7201*1.1</f>
        <v>682000</v>
      </c>
      <c r="T7201" s="102">
        <f t="shared" ref="T7201:T7206" si="4063">R7201*Q7201</f>
        <v>620000</v>
      </c>
      <c r="U7201" s="71" t="str">
        <f>IF(J7201=W7201,"O", "X")</f>
        <v>X</v>
      </c>
      <c r="V7201" s="71"/>
      <c r="W7201" s="474">
        <v>640000</v>
      </c>
      <c r="X7201" s="71"/>
      <c r="Y7201" s="71"/>
    </row>
    <row r="7202" spans="1:25" ht="30" hidden="1" customHeight="1" x14ac:dyDescent="0.25">
      <c r="A7202" s="1145">
        <v>45576</v>
      </c>
      <c r="B7202" s="664" t="s">
        <v>2261</v>
      </c>
      <c r="C7202" s="71" t="s">
        <v>277</v>
      </c>
      <c r="D7202" s="71">
        <v>5</v>
      </c>
      <c r="E7202" s="102">
        <v>172000</v>
      </c>
      <c r="F7202" s="102">
        <f t="shared" si="4057"/>
        <v>946000.00000000012</v>
      </c>
      <c r="G7202" s="102">
        <f t="shared" si="4058"/>
        <v>860000</v>
      </c>
      <c r="H7202" s="690" t="s">
        <v>172</v>
      </c>
      <c r="I7202" s="71" t="s">
        <v>108</v>
      </c>
      <c r="J7202" s="53">
        <f t="shared" si="4059"/>
        <v>195000</v>
      </c>
      <c r="K7202" s="63">
        <f t="shared" si="4060"/>
        <v>0.22674418604651159</v>
      </c>
      <c r="L7202" s="1212" t="s">
        <v>4209</v>
      </c>
      <c r="M7202" s="468"/>
      <c r="N7202" s="1192">
        <f t="shared" si="4061"/>
        <v>45576</v>
      </c>
      <c r="O7202" s="71" t="s">
        <v>662</v>
      </c>
      <c r="P7202" s="103" t="str">
        <f t="shared" si="4055"/>
        <v>윤전용 세척제(Web 504)</v>
      </c>
      <c r="Q7202" s="71">
        <f t="shared" si="4056"/>
        <v>5</v>
      </c>
      <c r="R7202" s="102">
        <v>133000</v>
      </c>
      <c r="S7202" s="102">
        <f t="shared" si="4062"/>
        <v>731500.00000000012</v>
      </c>
      <c r="T7202" s="102">
        <f t="shared" si="4063"/>
        <v>665000</v>
      </c>
      <c r="U7202" s="71" t="str">
        <f>IF(J7202=W7202,"O", "X")</f>
        <v>X</v>
      </c>
      <c r="V7202" s="71"/>
      <c r="W7202" s="474"/>
      <c r="X7202" s="71"/>
      <c r="Y7202" s="71"/>
    </row>
    <row r="7203" spans="1:25" ht="30" hidden="1" customHeight="1" x14ac:dyDescent="0.25">
      <c r="A7203" s="1145">
        <v>45576</v>
      </c>
      <c r="B7203" s="664" t="s">
        <v>2261</v>
      </c>
      <c r="C7203" s="71" t="s">
        <v>3299</v>
      </c>
      <c r="D7203" s="71">
        <v>10</v>
      </c>
      <c r="E7203" s="102">
        <v>52000</v>
      </c>
      <c r="F7203" s="102">
        <f t="shared" si="4057"/>
        <v>572000</v>
      </c>
      <c r="G7203" s="102">
        <f t="shared" si="4058"/>
        <v>520000</v>
      </c>
      <c r="H7203" s="690" t="s">
        <v>172</v>
      </c>
      <c r="I7203" s="71" t="s">
        <v>180</v>
      </c>
      <c r="J7203" s="53">
        <f t="shared" si="4059"/>
        <v>45000</v>
      </c>
      <c r="K7203" s="63">
        <f t="shared" si="4060"/>
        <v>8.6538461538461536E-2</v>
      </c>
      <c r="L7203" s="1212" t="s">
        <v>4209</v>
      </c>
      <c r="M7203" s="468" t="s">
        <v>3835</v>
      </c>
      <c r="N7203" s="1192">
        <f t="shared" si="4061"/>
        <v>45576</v>
      </c>
      <c r="O7203" s="71" t="s">
        <v>175</v>
      </c>
      <c r="P7203" s="103" t="str">
        <f t="shared" si="4055"/>
        <v>매엽용 세척제(Wash k11)</v>
      </c>
      <c r="Q7203" s="71">
        <f t="shared" si="4056"/>
        <v>10</v>
      </c>
      <c r="R7203" s="102">
        <v>47500</v>
      </c>
      <c r="S7203" s="102">
        <f t="shared" si="4062"/>
        <v>522500.00000000006</v>
      </c>
      <c r="T7203" s="102">
        <f t="shared" si="4063"/>
        <v>475000</v>
      </c>
      <c r="U7203" s="71" t="s">
        <v>859</v>
      </c>
      <c r="V7203" s="71"/>
      <c r="W7203" s="474"/>
      <c r="X7203" s="71"/>
      <c r="Y7203" s="71"/>
    </row>
    <row r="7204" spans="1:25" ht="30" hidden="1" customHeight="1" x14ac:dyDescent="0.25">
      <c r="A7204" s="1145">
        <v>45586</v>
      </c>
      <c r="B7204" s="664" t="s">
        <v>2261</v>
      </c>
      <c r="C7204" s="760" t="s">
        <v>181</v>
      </c>
      <c r="D7204" s="71">
        <v>5</v>
      </c>
      <c r="E7204" s="102">
        <v>193000</v>
      </c>
      <c r="F7204" s="102">
        <f t="shared" si="4057"/>
        <v>1061500</v>
      </c>
      <c r="G7204" s="102">
        <f t="shared" si="4058"/>
        <v>965000</v>
      </c>
      <c r="H7204" s="690" t="s">
        <v>2029</v>
      </c>
      <c r="I7204" s="71" t="s">
        <v>182</v>
      </c>
      <c r="J7204" s="53">
        <f t="shared" si="4059"/>
        <v>345000</v>
      </c>
      <c r="K7204" s="63">
        <f t="shared" si="4060"/>
        <v>0.35751295336787564</v>
      </c>
      <c r="L7204" s="1212" t="s">
        <v>4209</v>
      </c>
      <c r="M7204" s="468"/>
      <c r="N7204" s="1192">
        <f t="shared" si="4061"/>
        <v>45586</v>
      </c>
      <c r="O7204" s="71" t="s">
        <v>2030</v>
      </c>
      <c r="P7204" s="103" t="str">
        <f t="shared" si="4055"/>
        <v>Fount Web 551AF</v>
      </c>
      <c r="Q7204" s="71">
        <f t="shared" si="4056"/>
        <v>5</v>
      </c>
      <c r="R7204" s="102">
        <v>124000</v>
      </c>
      <c r="S7204" s="102">
        <f t="shared" si="4062"/>
        <v>682000</v>
      </c>
      <c r="T7204" s="102">
        <f t="shared" si="4063"/>
        <v>620000</v>
      </c>
      <c r="U7204" s="71" t="str">
        <f>IF(J7204=W7204,"O", "X")</f>
        <v>X</v>
      </c>
      <c r="V7204" s="71"/>
      <c r="W7204" s="474">
        <v>640000</v>
      </c>
      <c r="X7204" s="71"/>
      <c r="Y7204" s="71"/>
    </row>
    <row r="7205" spans="1:25" ht="30" hidden="1" customHeight="1" x14ac:dyDescent="0.25">
      <c r="A7205" s="1145">
        <v>45586</v>
      </c>
      <c r="B7205" s="664" t="s">
        <v>2261</v>
      </c>
      <c r="C7205" s="71" t="s">
        <v>277</v>
      </c>
      <c r="D7205" s="71">
        <v>10</v>
      </c>
      <c r="E7205" s="102">
        <v>172000</v>
      </c>
      <c r="F7205" s="102">
        <f t="shared" si="4057"/>
        <v>1892000.0000000002</v>
      </c>
      <c r="G7205" s="102">
        <f t="shared" si="4058"/>
        <v>1720000</v>
      </c>
      <c r="H7205" s="690" t="s">
        <v>172</v>
      </c>
      <c r="I7205" s="71" t="s">
        <v>108</v>
      </c>
      <c r="J7205" s="53">
        <f t="shared" si="4059"/>
        <v>390000</v>
      </c>
      <c r="K7205" s="63">
        <f t="shared" si="4060"/>
        <v>0.22674418604651159</v>
      </c>
      <c r="L7205" s="1212" t="s">
        <v>4209</v>
      </c>
      <c r="M7205" s="468"/>
      <c r="N7205" s="1192">
        <f t="shared" si="4061"/>
        <v>45586</v>
      </c>
      <c r="O7205" s="71" t="s">
        <v>662</v>
      </c>
      <c r="P7205" s="103" t="str">
        <f t="shared" si="4055"/>
        <v>윤전용 세척제(Web 504)</v>
      </c>
      <c r="Q7205" s="71">
        <f t="shared" si="4056"/>
        <v>10</v>
      </c>
      <c r="R7205" s="102">
        <v>133000</v>
      </c>
      <c r="S7205" s="102">
        <f t="shared" si="4062"/>
        <v>1463000.0000000002</v>
      </c>
      <c r="T7205" s="102">
        <f t="shared" si="4063"/>
        <v>1330000</v>
      </c>
      <c r="U7205" s="71" t="str">
        <f>IF(J7205=W7205,"O", "X")</f>
        <v>X</v>
      </c>
      <c r="V7205" s="71"/>
      <c r="W7205" s="474"/>
      <c r="X7205" s="71"/>
      <c r="Y7205" s="71"/>
    </row>
    <row r="7206" spans="1:25" ht="30" hidden="1" customHeight="1" x14ac:dyDescent="0.25">
      <c r="A7206" s="1145">
        <v>45586</v>
      </c>
      <c r="B7206" s="664" t="s">
        <v>2261</v>
      </c>
      <c r="C7206" s="71" t="s">
        <v>3299</v>
      </c>
      <c r="D7206" s="71">
        <v>10</v>
      </c>
      <c r="E7206" s="102">
        <v>52000</v>
      </c>
      <c r="F7206" s="102">
        <f t="shared" si="4057"/>
        <v>572000</v>
      </c>
      <c r="G7206" s="102">
        <f t="shared" si="4058"/>
        <v>520000</v>
      </c>
      <c r="H7206" s="690" t="s">
        <v>172</v>
      </c>
      <c r="I7206" s="71" t="s">
        <v>180</v>
      </c>
      <c r="J7206" s="53">
        <f t="shared" si="4059"/>
        <v>45000</v>
      </c>
      <c r="K7206" s="63">
        <f t="shared" si="4060"/>
        <v>8.6538461538461536E-2</v>
      </c>
      <c r="L7206" s="1212" t="s">
        <v>4209</v>
      </c>
      <c r="M7206" s="468" t="s">
        <v>3835</v>
      </c>
      <c r="N7206" s="1192">
        <f t="shared" si="4061"/>
        <v>45586</v>
      </c>
      <c r="O7206" s="71" t="s">
        <v>175</v>
      </c>
      <c r="P7206" s="103" t="str">
        <f t="shared" si="4055"/>
        <v>매엽용 세척제(Wash k11)</v>
      </c>
      <c r="Q7206" s="71">
        <f t="shared" si="4056"/>
        <v>10</v>
      </c>
      <c r="R7206" s="102">
        <v>47500</v>
      </c>
      <c r="S7206" s="102">
        <f t="shared" si="4062"/>
        <v>522500.00000000006</v>
      </c>
      <c r="T7206" s="102">
        <f t="shared" si="4063"/>
        <v>475000</v>
      </c>
      <c r="U7206" s="71" t="s">
        <v>859</v>
      </c>
      <c r="V7206" s="71"/>
      <c r="W7206" s="474"/>
      <c r="X7206" s="71"/>
      <c r="Y7206" s="71"/>
    </row>
    <row r="7207" spans="1:25" ht="30" hidden="1" customHeight="1" x14ac:dyDescent="0.25">
      <c r="A7207" s="1145">
        <v>45595</v>
      </c>
      <c r="B7207" s="664" t="s">
        <v>2261</v>
      </c>
      <c r="C7207" s="760" t="s">
        <v>181</v>
      </c>
      <c r="D7207" s="71">
        <v>5</v>
      </c>
      <c r="E7207" s="102">
        <v>193000</v>
      </c>
      <c r="F7207" s="102">
        <f t="shared" ref="F7207:F7217" si="4064">(E7207*D7207)*1.1</f>
        <v>1061500</v>
      </c>
      <c r="G7207" s="102">
        <f t="shared" ref="G7207:G7216" si="4065">(E7207*D7207)</f>
        <v>965000</v>
      </c>
      <c r="H7207" s="690" t="s">
        <v>2029</v>
      </c>
      <c r="I7207" s="71" t="s">
        <v>182</v>
      </c>
      <c r="J7207" s="53">
        <f t="shared" ref="J7207:J7218" si="4066">G7207-T7207</f>
        <v>345000</v>
      </c>
      <c r="K7207" s="63">
        <f t="shared" ref="K7207:K7216" si="4067">(J7207/(F7207/11*10))</f>
        <v>0.35751295336787564</v>
      </c>
      <c r="L7207" s="1212" t="s">
        <v>4209</v>
      </c>
      <c r="M7207" s="468"/>
      <c r="N7207" s="1192">
        <f t="shared" ref="N7207:N7214" si="4068">A7207</f>
        <v>45595</v>
      </c>
      <c r="O7207" s="71" t="s">
        <v>2030</v>
      </c>
      <c r="P7207" s="103" t="str">
        <f t="shared" si="4055"/>
        <v>Fount Web 551AF</v>
      </c>
      <c r="Q7207" s="71">
        <f t="shared" si="4056"/>
        <v>5</v>
      </c>
      <c r="R7207" s="102">
        <v>124000</v>
      </c>
      <c r="S7207" s="102">
        <f t="shared" si="4039"/>
        <v>682000</v>
      </c>
      <c r="T7207" s="102">
        <f t="shared" si="4040"/>
        <v>620000</v>
      </c>
      <c r="U7207" s="71" t="str">
        <f>IF(J7207=W7207,"O", "X")</f>
        <v>X</v>
      </c>
      <c r="V7207" s="71"/>
      <c r="W7207" s="474">
        <v>640000</v>
      </c>
      <c r="X7207" s="71"/>
      <c r="Y7207" s="71"/>
    </row>
    <row r="7208" spans="1:25" ht="30" hidden="1" customHeight="1" x14ac:dyDescent="0.25">
      <c r="A7208" s="1145">
        <v>45595</v>
      </c>
      <c r="B7208" s="664" t="s">
        <v>2261</v>
      </c>
      <c r="C7208" s="71" t="s">
        <v>277</v>
      </c>
      <c r="D7208" s="71">
        <v>10</v>
      </c>
      <c r="E7208" s="102">
        <v>172000</v>
      </c>
      <c r="F7208" s="102">
        <f t="shared" si="4064"/>
        <v>1892000.0000000002</v>
      </c>
      <c r="G7208" s="102">
        <f t="shared" si="4065"/>
        <v>1720000</v>
      </c>
      <c r="H7208" s="690" t="s">
        <v>172</v>
      </c>
      <c r="I7208" s="71" t="s">
        <v>108</v>
      </c>
      <c r="J7208" s="53">
        <f t="shared" si="4066"/>
        <v>390000</v>
      </c>
      <c r="K7208" s="63">
        <f t="shared" si="4067"/>
        <v>0.22674418604651159</v>
      </c>
      <c r="L7208" s="1212" t="s">
        <v>4209</v>
      </c>
      <c r="M7208" s="468"/>
      <c r="N7208" s="1192">
        <f t="shared" si="4068"/>
        <v>45595</v>
      </c>
      <c r="O7208" s="71" t="s">
        <v>662</v>
      </c>
      <c r="P7208" s="103" t="str">
        <f t="shared" si="4055"/>
        <v>윤전용 세척제(Web 504)</v>
      </c>
      <c r="Q7208" s="71">
        <f t="shared" si="4056"/>
        <v>10</v>
      </c>
      <c r="R7208" s="102">
        <v>133000</v>
      </c>
      <c r="S7208" s="102">
        <f t="shared" si="4039"/>
        <v>1463000.0000000002</v>
      </c>
      <c r="T7208" s="102">
        <f t="shared" si="4040"/>
        <v>1330000</v>
      </c>
      <c r="U7208" s="71" t="str">
        <f>IF(J7208=W7208,"O", "X")</f>
        <v>X</v>
      </c>
      <c r="V7208" s="71"/>
      <c r="W7208" s="474"/>
      <c r="X7208" s="71"/>
      <c r="Y7208" s="71"/>
    </row>
    <row r="7209" spans="1:25" ht="30" hidden="1" customHeight="1" x14ac:dyDescent="0.25">
      <c r="A7209" s="1145">
        <v>45595</v>
      </c>
      <c r="B7209" s="664" t="s">
        <v>2261</v>
      </c>
      <c r="C7209" s="71" t="s">
        <v>3299</v>
      </c>
      <c r="D7209" s="71">
        <v>5</v>
      </c>
      <c r="E7209" s="102">
        <v>52000</v>
      </c>
      <c r="F7209" s="102">
        <f t="shared" si="4064"/>
        <v>286000</v>
      </c>
      <c r="G7209" s="102">
        <f t="shared" si="4065"/>
        <v>260000</v>
      </c>
      <c r="H7209" s="690" t="s">
        <v>172</v>
      </c>
      <c r="I7209" s="71" t="s">
        <v>180</v>
      </c>
      <c r="J7209" s="53">
        <f t="shared" si="4066"/>
        <v>22500</v>
      </c>
      <c r="K7209" s="63">
        <f t="shared" si="4067"/>
        <v>8.6538461538461536E-2</v>
      </c>
      <c r="L7209" s="1212" t="s">
        <v>4209</v>
      </c>
      <c r="M7209" s="468" t="s">
        <v>3835</v>
      </c>
      <c r="N7209" s="1192">
        <f t="shared" si="4068"/>
        <v>45595</v>
      </c>
      <c r="O7209" s="71" t="s">
        <v>175</v>
      </c>
      <c r="P7209" s="103" t="str">
        <f t="shared" si="4055"/>
        <v>매엽용 세척제(Wash k11)</v>
      </c>
      <c r="Q7209" s="71">
        <f t="shared" si="4056"/>
        <v>5</v>
      </c>
      <c r="R7209" s="102">
        <v>47500</v>
      </c>
      <c r="S7209" s="102">
        <f t="shared" si="4039"/>
        <v>261250.00000000003</v>
      </c>
      <c r="T7209" s="102">
        <f t="shared" si="4040"/>
        <v>237500</v>
      </c>
      <c r="U7209" s="71" t="s">
        <v>859</v>
      </c>
      <c r="V7209" s="71"/>
      <c r="W7209" s="474"/>
      <c r="X7209" s="71"/>
      <c r="Y7209" s="71"/>
    </row>
    <row r="7210" spans="1:25" s="209" customFormat="1" ht="31.15" hidden="1" customHeight="1" x14ac:dyDescent="0.2">
      <c r="A7210" s="1145">
        <v>45595</v>
      </c>
      <c r="B7210" s="664" t="s">
        <v>3289</v>
      </c>
      <c r="C7210" s="71" t="s">
        <v>3387</v>
      </c>
      <c r="D7210" s="71">
        <v>10</v>
      </c>
      <c r="E7210" s="102">
        <v>130000</v>
      </c>
      <c r="F7210" s="102">
        <f t="shared" si="4064"/>
        <v>1430000</v>
      </c>
      <c r="G7210" s="102">
        <f t="shared" si="4065"/>
        <v>1300000</v>
      </c>
      <c r="H7210" s="165" t="s">
        <v>172</v>
      </c>
      <c r="I7210" s="71" t="s">
        <v>184</v>
      </c>
      <c r="J7210" s="53">
        <f t="shared" si="4066"/>
        <v>180000</v>
      </c>
      <c r="K7210" s="63">
        <f t="shared" si="4067"/>
        <v>0.13846153846153847</v>
      </c>
      <c r="L7210" s="1212" t="s">
        <v>4209</v>
      </c>
      <c r="M7210" s="468"/>
      <c r="N7210" s="1192">
        <f t="shared" si="4068"/>
        <v>45595</v>
      </c>
      <c r="O7210" s="71" t="s">
        <v>189</v>
      </c>
      <c r="P7210" s="103" t="str">
        <f t="shared" si="4055"/>
        <v>Blanket(990*725)</v>
      </c>
      <c r="Q7210" s="71">
        <f t="shared" si="4056"/>
        <v>10</v>
      </c>
      <c r="R7210" s="102">
        <v>112000</v>
      </c>
      <c r="S7210" s="102">
        <f t="shared" si="4039"/>
        <v>1232000</v>
      </c>
      <c r="T7210" s="102">
        <f t="shared" si="4040"/>
        <v>1120000</v>
      </c>
      <c r="U7210" s="71" t="str">
        <f>IF(J7210=W7210,"O", "X")</f>
        <v>X</v>
      </c>
      <c r="V7210" s="71"/>
      <c r="W7210" s="474">
        <v>80000</v>
      </c>
      <c r="X7210" s="71"/>
      <c r="Y7210" s="71"/>
    </row>
    <row r="7211" spans="1:25" ht="30" hidden="1" customHeight="1" x14ac:dyDescent="0.25">
      <c r="A7211" s="1145">
        <v>45580</v>
      </c>
      <c r="B7211" s="664" t="s">
        <v>4059</v>
      </c>
      <c r="C7211" s="71" t="s">
        <v>4060</v>
      </c>
      <c r="D7211" s="71">
        <v>10</v>
      </c>
      <c r="E7211" s="102">
        <v>187000</v>
      </c>
      <c r="F7211" s="102">
        <f t="shared" si="4064"/>
        <v>2057000.0000000002</v>
      </c>
      <c r="G7211" s="102">
        <f t="shared" si="4065"/>
        <v>1870000</v>
      </c>
      <c r="H7211" s="690" t="s">
        <v>2029</v>
      </c>
      <c r="I7211" s="71" t="s">
        <v>109</v>
      </c>
      <c r="J7211" s="53">
        <f t="shared" si="4066"/>
        <v>170000</v>
      </c>
      <c r="K7211" s="63">
        <f t="shared" si="4067"/>
        <v>9.0909090909090898E-2</v>
      </c>
      <c r="L7211" s="1212" t="s">
        <v>4209</v>
      </c>
      <c r="M7211" s="102"/>
      <c r="N7211" s="1192">
        <f t="shared" si="4068"/>
        <v>45580</v>
      </c>
      <c r="O7211" s="71" t="s">
        <v>189</v>
      </c>
      <c r="P7211" s="103" t="str">
        <f t="shared" si="4055"/>
        <v>미쯔비시 윤전용 블랑켓 1155*910</v>
      </c>
      <c r="Q7211" s="71">
        <f t="shared" si="4056"/>
        <v>10</v>
      </c>
      <c r="R7211" s="102">
        <v>170000</v>
      </c>
      <c r="S7211" s="102">
        <f t="shared" si="4039"/>
        <v>1870000.0000000002</v>
      </c>
      <c r="T7211" s="102">
        <f t="shared" si="4040"/>
        <v>1700000</v>
      </c>
      <c r="U7211" s="71"/>
      <c r="V7211" s="71"/>
      <c r="W7211" s="474"/>
      <c r="X7211" s="71"/>
      <c r="Y7211" s="71"/>
    </row>
    <row r="7212" spans="1:25" s="209" customFormat="1" ht="31.5" hidden="1" customHeight="1" x14ac:dyDescent="0.2">
      <c r="A7212" s="1145">
        <v>45582</v>
      </c>
      <c r="B7212" s="664" t="s">
        <v>4059</v>
      </c>
      <c r="C7212" s="71" t="s">
        <v>4061</v>
      </c>
      <c r="D7212" s="71">
        <v>10</v>
      </c>
      <c r="E7212" s="102">
        <v>130000</v>
      </c>
      <c r="F7212" s="102">
        <f t="shared" si="4064"/>
        <v>1430000</v>
      </c>
      <c r="G7212" s="102">
        <f t="shared" si="4065"/>
        <v>1300000</v>
      </c>
      <c r="H7212" s="165" t="s">
        <v>172</v>
      </c>
      <c r="I7212" s="71" t="s">
        <v>184</v>
      </c>
      <c r="J7212" s="53">
        <f t="shared" si="4066"/>
        <v>180000</v>
      </c>
      <c r="K7212" s="63">
        <f t="shared" si="4067"/>
        <v>0.13846153846153847</v>
      </c>
      <c r="L7212" s="1212" t="s">
        <v>4209</v>
      </c>
      <c r="M7212" s="468"/>
      <c r="N7212" s="1192">
        <f t="shared" si="4068"/>
        <v>45582</v>
      </c>
      <c r="O7212" s="71" t="s">
        <v>189</v>
      </c>
      <c r="P7212" s="103" t="str">
        <f t="shared" si="4055"/>
        <v>M600 Blanket(990*725)</v>
      </c>
      <c r="Q7212" s="71">
        <f t="shared" si="4056"/>
        <v>10</v>
      </c>
      <c r="R7212" s="102">
        <v>112000</v>
      </c>
      <c r="S7212" s="102">
        <f t="shared" si="4039"/>
        <v>1232000</v>
      </c>
      <c r="T7212" s="102">
        <f t="shared" si="4040"/>
        <v>1120000</v>
      </c>
      <c r="U7212" s="71" t="str">
        <f>IF(J7212=W7212,"O", "X")</f>
        <v>X</v>
      </c>
      <c r="V7212" s="71"/>
      <c r="W7212" s="474">
        <v>80000</v>
      </c>
      <c r="X7212" s="71"/>
      <c r="Y7212" s="71"/>
    </row>
    <row r="7213" spans="1:25" ht="30" hidden="1" customHeight="1" x14ac:dyDescent="0.25">
      <c r="A7213" s="1145">
        <v>45567</v>
      </c>
      <c r="B7213" s="664" t="s">
        <v>3296</v>
      </c>
      <c r="C7213" s="71" t="s">
        <v>3297</v>
      </c>
      <c r="D7213" s="71">
        <v>20</v>
      </c>
      <c r="E7213" s="102">
        <v>162500</v>
      </c>
      <c r="F7213" s="102">
        <f t="shared" si="4064"/>
        <v>3575000.0000000005</v>
      </c>
      <c r="G7213" s="102">
        <f t="shared" si="4065"/>
        <v>3250000</v>
      </c>
      <c r="H7213" s="690" t="s">
        <v>172</v>
      </c>
      <c r="I7213" s="71" t="s">
        <v>3295</v>
      </c>
      <c r="J7213" s="53">
        <f t="shared" si="4066"/>
        <v>850000</v>
      </c>
      <c r="K7213" s="63">
        <f t="shared" si="4067"/>
        <v>0.2615384615384615</v>
      </c>
      <c r="L7213" s="1212" t="s">
        <v>4209</v>
      </c>
      <c r="M7213" s="468"/>
      <c r="N7213" s="1192">
        <f t="shared" si="4068"/>
        <v>45567</v>
      </c>
      <c r="O7213" s="71" t="s">
        <v>662</v>
      </c>
      <c r="P7213" s="103" t="str">
        <f t="shared" si="4055"/>
        <v>실리콘 에멀전</v>
      </c>
      <c r="Q7213" s="71">
        <f t="shared" si="4056"/>
        <v>20</v>
      </c>
      <c r="R7213" s="102">
        <v>120000</v>
      </c>
      <c r="S7213" s="102">
        <f t="shared" si="4039"/>
        <v>2640000</v>
      </c>
      <c r="T7213" s="102">
        <f t="shared" si="4040"/>
        <v>2400000</v>
      </c>
      <c r="U7213" s="71" t="str">
        <f t="shared" ref="U7213:U7214" si="4069">IF(J7213=W7213,"O", "X")</f>
        <v>X</v>
      </c>
      <c r="V7213" s="71"/>
      <c r="W7213" s="474"/>
      <c r="X7213" s="71"/>
      <c r="Y7213" s="71"/>
    </row>
    <row r="7214" spans="1:25" ht="30" hidden="1" customHeight="1" x14ac:dyDescent="0.25">
      <c r="A7214" s="1145">
        <v>45576</v>
      </c>
      <c r="B7214" s="664" t="s">
        <v>3296</v>
      </c>
      <c r="C7214" s="71" t="s">
        <v>3297</v>
      </c>
      <c r="D7214" s="71">
        <v>20</v>
      </c>
      <c r="E7214" s="102">
        <v>162500</v>
      </c>
      <c r="F7214" s="102">
        <f t="shared" si="4064"/>
        <v>3575000.0000000005</v>
      </c>
      <c r="G7214" s="102">
        <f t="shared" si="4065"/>
        <v>3250000</v>
      </c>
      <c r="H7214" s="690" t="s">
        <v>172</v>
      </c>
      <c r="I7214" s="71" t="s">
        <v>3295</v>
      </c>
      <c r="J7214" s="53">
        <f t="shared" si="4066"/>
        <v>850000</v>
      </c>
      <c r="K7214" s="63">
        <f t="shared" si="4067"/>
        <v>0.2615384615384615</v>
      </c>
      <c r="L7214" s="1212" t="s">
        <v>4209</v>
      </c>
      <c r="M7214" s="468"/>
      <c r="N7214" s="1192">
        <f t="shared" si="4068"/>
        <v>45576</v>
      </c>
      <c r="O7214" s="71" t="s">
        <v>662</v>
      </c>
      <c r="P7214" s="103" t="str">
        <f t="shared" si="4055"/>
        <v>실리콘 에멀전</v>
      </c>
      <c r="Q7214" s="71">
        <f t="shared" si="4056"/>
        <v>20</v>
      </c>
      <c r="R7214" s="102">
        <v>120000</v>
      </c>
      <c r="S7214" s="102">
        <f t="shared" si="4039"/>
        <v>2640000</v>
      </c>
      <c r="T7214" s="102">
        <f t="shared" si="4040"/>
        <v>2400000</v>
      </c>
      <c r="U7214" s="71" t="str">
        <f t="shared" si="4069"/>
        <v>X</v>
      </c>
      <c r="V7214" s="71"/>
      <c r="W7214" s="474"/>
      <c r="X7214" s="71"/>
      <c r="Y7214" s="71"/>
    </row>
    <row r="7215" spans="1:25" ht="30" hidden="1" customHeight="1" x14ac:dyDescent="0.25">
      <c r="A7215" s="1145">
        <v>45573</v>
      </c>
      <c r="B7215" s="664" t="s">
        <v>1155</v>
      </c>
      <c r="C7215" s="71" t="s">
        <v>4211</v>
      </c>
      <c r="D7215" s="71">
        <v>1</v>
      </c>
      <c r="E7215" s="102">
        <v>2200000</v>
      </c>
      <c r="F7215" s="102">
        <f t="shared" si="4064"/>
        <v>2420000</v>
      </c>
      <c r="G7215" s="102">
        <f t="shared" si="4065"/>
        <v>2200000</v>
      </c>
      <c r="H7215" s="690" t="s">
        <v>94</v>
      </c>
      <c r="I7215" s="71" t="s">
        <v>94</v>
      </c>
      <c r="J7215" s="53">
        <f t="shared" si="4066"/>
        <v>577819</v>
      </c>
      <c r="K7215" s="63">
        <f t="shared" si="4067"/>
        <v>0.26264500000000002</v>
      </c>
      <c r="L7215" s="1212" t="s">
        <v>4209</v>
      </c>
      <c r="M7215" s="102"/>
      <c r="N7215" s="1192"/>
      <c r="O7215" s="71" t="s">
        <v>94</v>
      </c>
      <c r="P7215" s="103" t="str">
        <f t="shared" si="4055"/>
        <v>도져 Technotrans</v>
      </c>
      <c r="Q7215" s="71">
        <f t="shared" si="4056"/>
        <v>1</v>
      </c>
      <c r="R7215" s="102">
        <v>1622181</v>
      </c>
      <c r="S7215" s="102">
        <f t="shared" ref="S7215:S7276" si="4070">R7215*Q7215*1.1</f>
        <v>1784399.1</v>
      </c>
      <c r="T7215" s="102">
        <f t="shared" ref="T7215:T7276" si="4071">R7215*Q7215</f>
        <v>1622181</v>
      </c>
      <c r="U7215" s="71"/>
      <c r="V7215" s="71"/>
      <c r="W7215" s="474"/>
      <c r="X7215" s="71"/>
      <c r="Y7215" s="71"/>
    </row>
    <row r="7216" spans="1:25" s="209" customFormat="1" ht="30" hidden="1" customHeight="1" x14ac:dyDescent="0.25">
      <c r="A7216" s="1145">
        <v>45580</v>
      </c>
      <c r="B7216" s="664" t="s">
        <v>746</v>
      </c>
      <c r="C7216" s="71" t="s">
        <v>2648</v>
      </c>
      <c r="D7216" s="71">
        <v>10</v>
      </c>
      <c r="E7216" s="102">
        <v>38000</v>
      </c>
      <c r="F7216" s="102">
        <f t="shared" si="4064"/>
        <v>418000.00000000006</v>
      </c>
      <c r="G7216" s="102">
        <f t="shared" si="4065"/>
        <v>380000</v>
      </c>
      <c r="H7216" s="690" t="s">
        <v>94</v>
      </c>
      <c r="I7216" s="71" t="s">
        <v>94</v>
      </c>
      <c r="J7216" s="53">
        <f t="shared" si="4066"/>
        <v>160000</v>
      </c>
      <c r="K7216" s="63">
        <f t="shared" si="4067"/>
        <v>0.42105263157894729</v>
      </c>
      <c r="L7216" s="1212" t="s">
        <v>4209</v>
      </c>
      <c r="M7216" s="468"/>
      <c r="N7216" s="1192">
        <f t="shared" ref="N7216" si="4072">A7216</f>
        <v>45580</v>
      </c>
      <c r="O7216" s="71" t="s">
        <v>94</v>
      </c>
      <c r="P7216" s="103" t="str">
        <f t="shared" si="4055"/>
        <v>주머니 필터백</v>
      </c>
      <c r="Q7216" s="71">
        <f t="shared" si="4056"/>
        <v>10</v>
      </c>
      <c r="R7216" s="102">
        <v>22000</v>
      </c>
      <c r="S7216" s="102">
        <f t="shared" si="4070"/>
        <v>242000.00000000003</v>
      </c>
      <c r="T7216" s="102">
        <f t="shared" si="4071"/>
        <v>220000</v>
      </c>
      <c r="U7216" s="71"/>
      <c r="V7216" s="71"/>
      <c r="W7216" s="474"/>
      <c r="X7216" s="71"/>
      <c r="Y7216" s="71"/>
    </row>
    <row r="7217" spans="1:25" ht="30" hidden="1" customHeight="1" x14ac:dyDescent="0.25">
      <c r="A7217" s="1145">
        <v>45567</v>
      </c>
      <c r="B7217" s="664" t="s">
        <v>26</v>
      </c>
      <c r="C7217" s="71" t="s">
        <v>2087</v>
      </c>
      <c r="D7217" s="71">
        <v>10</v>
      </c>
      <c r="E7217" s="102">
        <v>65000</v>
      </c>
      <c r="F7217" s="102">
        <f t="shared" si="4064"/>
        <v>715000</v>
      </c>
      <c r="G7217" s="102">
        <f t="shared" ref="G7217:G7219" si="4073">(E7217*D7217)</f>
        <v>650000</v>
      </c>
      <c r="H7217" s="690" t="s">
        <v>172</v>
      </c>
      <c r="I7217" s="71" t="s">
        <v>3295</v>
      </c>
      <c r="J7217" s="53">
        <f t="shared" si="4066"/>
        <v>400000</v>
      </c>
      <c r="K7217" s="63">
        <v>0.23076923076923078</v>
      </c>
      <c r="L7217" s="1212" t="s">
        <v>4209</v>
      </c>
      <c r="M7217" s="468"/>
      <c r="N7217" s="1192">
        <v>45467</v>
      </c>
      <c r="O7217" s="71" t="s">
        <v>152</v>
      </c>
      <c r="P7217" s="103" t="str">
        <f t="shared" si="4055"/>
        <v>아스테이지(국전)</v>
      </c>
      <c r="Q7217" s="71">
        <f t="shared" si="4056"/>
        <v>10</v>
      </c>
      <c r="R7217" s="102">
        <v>50000</v>
      </c>
      <c r="S7217" s="102">
        <f t="shared" si="4070"/>
        <v>550000</v>
      </c>
      <c r="T7217" s="102">
        <v>250000</v>
      </c>
      <c r="U7217" s="71" t="s">
        <v>1915</v>
      </c>
      <c r="V7217" s="71"/>
      <c r="W7217" s="474">
        <v>150000</v>
      </c>
      <c r="X7217" s="71"/>
      <c r="Y7217" s="71"/>
    </row>
    <row r="7218" spans="1:25" s="209" customFormat="1" ht="30" hidden="1" customHeight="1" x14ac:dyDescent="0.25">
      <c r="A7218" s="1145">
        <v>45581</v>
      </c>
      <c r="B7218" s="664" t="s">
        <v>567</v>
      </c>
      <c r="C7218" s="71" t="s">
        <v>123</v>
      </c>
      <c r="D7218" s="71">
        <v>10</v>
      </c>
      <c r="E7218" s="102">
        <v>50000</v>
      </c>
      <c r="F7218" s="102">
        <f t="shared" ref="F7218" si="4074">(E7218*D7218)*1.1</f>
        <v>550000</v>
      </c>
      <c r="G7218" s="102">
        <f t="shared" si="4073"/>
        <v>500000</v>
      </c>
      <c r="H7218" s="690" t="s">
        <v>94</v>
      </c>
      <c r="I7218" s="71" t="s">
        <v>94</v>
      </c>
      <c r="J7218" s="53">
        <f t="shared" si="4066"/>
        <v>260000</v>
      </c>
      <c r="K7218" s="63">
        <f t="shared" ref="K7218" si="4075">(J7218/(F7218/11*10))</f>
        <v>0.52</v>
      </c>
      <c r="L7218" s="1212" t="s">
        <v>4209</v>
      </c>
      <c r="M7218" s="468"/>
      <c r="N7218" s="1192">
        <f t="shared" ref="N7218" si="4076">A7218</f>
        <v>45581</v>
      </c>
      <c r="O7218" s="71" t="s">
        <v>94</v>
      </c>
      <c r="P7218" s="103" t="str">
        <f t="shared" si="4055"/>
        <v>필터백</v>
      </c>
      <c r="Q7218" s="71">
        <f t="shared" si="4056"/>
        <v>10</v>
      </c>
      <c r="R7218" s="102">
        <v>24000</v>
      </c>
      <c r="S7218" s="102">
        <f t="shared" si="4070"/>
        <v>264000</v>
      </c>
      <c r="T7218" s="102">
        <f t="shared" ref="T7218" si="4077">R7218*Q7218</f>
        <v>240000</v>
      </c>
      <c r="U7218" s="71"/>
      <c r="V7218" s="71"/>
      <c r="W7218" s="474"/>
      <c r="X7218" s="71"/>
      <c r="Y7218" s="71"/>
    </row>
    <row r="7219" spans="1:25" ht="30" hidden="1" customHeight="1" x14ac:dyDescent="0.25">
      <c r="A7219" s="1145">
        <v>45590</v>
      </c>
      <c r="B7219" s="664" t="s">
        <v>26</v>
      </c>
      <c r="C7219" s="71" t="s">
        <v>2087</v>
      </c>
      <c r="D7219" s="71">
        <v>5</v>
      </c>
      <c r="E7219" s="102">
        <v>65000</v>
      </c>
      <c r="F7219" s="102">
        <f t="shared" ref="F7219:F7259" si="4078">(E7219*D7219)*1.1</f>
        <v>357500</v>
      </c>
      <c r="G7219" s="102">
        <f t="shared" si="4073"/>
        <v>325000</v>
      </c>
      <c r="H7219" s="690" t="s">
        <v>172</v>
      </c>
      <c r="I7219" s="71" t="s">
        <v>3295</v>
      </c>
      <c r="J7219" s="53">
        <f t="shared" ref="J7219:J7259" si="4079">G7219-T7219</f>
        <v>75000</v>
      </c>
      <c r="K7219" s="63">
        <v>0.23076923076923078</v>
      </c>
      <c r="L7219" s="1212" t="s">
        <v>4209</v>
      </c>
      <c r="M7219" s="468"/>
      <c r="N7219" s="1192">
        <v>45467</v>
      </c>
      <c r="O7219" s="71" t="s">
        <v>152</v>
      </c>
      <c r="P7219" s="103" t="str">
        <f t="shared" si="4055"/>
        <v>아스테이지(국전)</v>
      </c>
      <c r="Q7219" s="71">
        <f t="shared" si="4056"/>
        <v>5</v>
      </c>
      <c r="R7219" s="102">
        <v>50000</v>
      </c>
      <c r="S7219" s="102">
        <f t="shared" si="4070"/>
        <v>275000</v>
      </c>
      <c r="T7219" s="102">
        <v>250000</v>
      </c>
      <c r="U7219" s="71" t="s">
        <v>1915</v>
      </c>
      <c r="V7219" s="71"/>
      <c r="W7219" s="474">
        <v>150000</v>
      </c>
      <c r="X7219" s="71"/>
      <c r="Y7219" s="71"/>
    </row>
    <row r="7220" spans="1:25" ht="30" hidden="1" customHeight="1" x14ac:dyDescent="0.25">
      <c r="A7220" s="1145">
        <v>45576</v>
      </c>
      <c r="B7220" s="664" t="s">
        <v>442</v>
      </c>
      <c r="C7220" s="71" t="s">
        <v>3299</v>
      </c>
      <c r="D7220" s="71">
        <v>15</v>
      </c>
      <c r="E7220" s="102">
        <v>69000</v>
      </c>
      <c r="F7220" s="102">
        <f t="shared" si="4078"/>
        <v>1138500</v>
      </c>
      <c r="G7220" s="102">
        <f t="shared" ref="G7220:G7222" si="4080">(E7220*D7220)</f>
        <v>1035000</v>
      </c>
      <c r="H7220" s="690" t="s">
        <v>172</v>
      </c>
      <c r="I7220" s="71" t="s">
        <v>180</v>
      </c>
      <c r="J7220" s="53">
        <f t="shared" si="4079"/>
        <v>322500</v>
      </c>
      <c r="K7220" s="63">
        <f t="shared" ref="K7220:K7259" si="4081">(J7220/(F7220/11*10))</f>
        <v>0.31159420289855072</v>
      </c>
      <c r="L7220" s="1212" t="s">
        <v>4209</v>
      </c>
      <c r="M7220" s="468" t="s">
        <v>3304</v>
      </c>
      <c r="N7220" s="1192">
        <f t="shared" ref="N7220:N7222" si="4082">A7220</f>
        <v>45576</v>
      </c>
      <c r="O7220" s="71" t="s">
        <v>175</v>
      </c>
      <c r="P7220" s="103" t="str">
        <f t="shared" si="4055"/>
        <v>매엽용 세척제(Wash k11)</v>
      </c>
      <c r="Q7220" s="71">
        <f t="shared" si="4056"/>
        <v>15</v>
      </c>
      <c r="R7220" s="102">
        <v>47500</v>
      </c>
      <c r="S7220" s="102">
        <f t="shared" si="4070"/>
        <v>783750.00000000012</v>
      </c>
      <c r="T7220" s="102">
        <f t="shared" ref="T7220:T7224" si="4083">R7220*Q7220</f>
        <v>712500</v>
      </c>
      <c r="U7220" s="71" t="s">
        <v>859</v>
      </c>
      <c r="V7220" s="71"/>
      <c r="W7220" s="474"/>
      <c r="X7220" s="71"/>
      <c r="Y7220" s="71"/>
    </row>
    <row r="7221" spans="1:25" s="209" customFormat="1" ht="30" hidden="1" customHeight="1" x14ac:dyDescent="0.25">
      <c r="A7221" s="1145">
        <v>45582</v>
      </c>
      <c r="B7221" s="664" t="s">
        <v>442</v>
      </c>
      <c r="C7221" s="71" t="s">
        <v>3833</v>
      </c>
      <c r="D7221" s="71">
        <v>1000</v>
      </c>
      <c r="E7221" s="102">
        <v>4250</v>
      </c>
      <c r="F7221" s="102">
        <f t="shared" si="4078"/>
        <v>4675000</v>
      </c>
      <c r="G7221" s="102">
        <f t="shared" si="4080"/>
        <v>4250000</v>
      </c>
      <c r="H7221" s="690" t="s">
        <v>2029</v>
      </c>
      <c r="I7221" s="71" t="s">
        <v>2230</v>
      </c>
      <c r="J7221" s="53">
        <f t="shared" si="4079"/>
        <v>800000</v>
      </c>
      <c r="K7221" s="63">
        <f t="shared" si="4081"/>
        <v>0.18823529411764706</v>
      </c>
      <c r="L7221" s="1212" t="s">
        <v>4209</v>
      </c>
      <c r="M7221" s="468"/>
      <c r="N7221" s="1192">
        <f t="shared" si="4082"/>
        <v>45582</v>
      </c>
      <c r="O7221" s="71" t="s">
        <v>2030</v>
      </c>
      <c r="P7221" s="103" t="str">
        <f t="shared" si="4055"/>
        <v>CTP 판 1030*790</v>
      </c>
      <c r="Q7221" s="71">
        <f t="shared" si="4056"/>
        <v>1000</v>
      </c>
      <c r="R7221" s="102">
        <v>3450</v>
      </c>
      <c r="S7221" s="102">
        <f t="shared" si="4070"/>
        <v>3795000.0000000005</v>
      </c>
      <c r="T7221" s="102">
        <f t="shared" si="4083"/>
        <v>3450000</v>
      </c>
      <c r="U7221" s="71"/>
      <c r="V7221" s="71"/>
      <c r="W7221" s="474"/>
      <c r="X7221" s="71"/>
      <c r="Y7221" s="71"/>
    </row>
    <row r="7222" spans="1:25" ht="30" hidden="1" customHeight="1" x14ac:dyDescent="0.25">
      <c r="A7222" s="1145">
        <v>45582</v>
      </c>
      <c r="B7222" s="664" t="s">
        <v>442</v>
      </c>
      <c r="C7222" s="71" t="s">
        <v>3834</v>
      </c>
      <c r="D7222" s="71">
        <v>6</v>
      </c>
      <c r="E7222" s="102">
        <v>57000</v>
      </c>
      <c r="F7222" s="102">
        <f t="shared" si="4078"/>
        <v>376200.00000000006</v>
      </c>
      <c r="G7222" s="102">
        <f t="shared" si="4080"/>
        <v>342000</v>
      </c>
      <c r="H7222" s="690" t="s">
        <v>2029</v>
      </c>
      <c r="I7222" s="71" t="s">
        <v>2230</v>
      </c>
      <c r="J7222" s="53">
        <f t="shared" si="4079"/>
        <v>104040</v>
      </c>
      <c r="K7222" s="63">
        <f t="shared" si="4081"/>
        <v>0.30421052631578943</v>
      </c>
      <c r="L7222" s="1212" t="s">
        <v>4209</v>
      </c>
      <c r="M7222" s="468"/>
      <c r="N7222" s="1192">
        <f t="shared" si="4082"/>
        <v>45582</v>
      </c>
      <c r="O7222" s="71" t="s">
        <v>2030</v>
      </c>
      <c r="P7222" s="103" t="str">
        <f t="shared" si="4055"/>
        <v>CTP 현상액</v>
      </c>
      <c r="Q7222" s="71">
        <f t="shared" si="4056"/>
        <v>6</v>
      </c>
      <c r="R7222" s="102">
        <v>39660</v>
      </c>
      <c r="S7222" s="102">
        <f t="shared" si="4070"/>
        <v>261756.00000000003</v>
      </c>
      <c r="T7222" s="102">
        <f t="shared" si="4083"/>
        <v>237960</v>
      </c>
      <c r="U7222" s="71"/>
      <c r="V7222" s="71"/>
      <c r="W7222" s="474"/>
      <c r="X7222" s="71"/>
      <c r="Y7222" s="71"/>
    </row>
    <row r="7223" spans="1:25" ht="30" hidden="1" customHeight="1" x14ac:dyDescent="0.25">
      <c r="A7223" s="1145">
        <v>45582</v>
      </c>
      <c r="B7223" s="664" t="s">
        <v>2</v>
      </c>
      <c r="C7223" s="71" t="s">
        <v>2075</v>
      </c>
      <c r="D7223" s="71">
        <v>1</v>
      </c>
      <c r="E7223" s="102">
        <v>98000</v>
      </c>
      <c r="F7223" s="102">
        <f t="shared" si="4078"/>
        <v>107800.00000000001</v>
      </c>
      <c r="G7223" s="102">
        <f>(E7223*D7223)</f>
        <v>98000</v>
      </c>
      <c r="H7223" s="690" t="s">
        <v>2029</v>
      </c>
      <c r="I7223" s="71" t="s">
        <v>2230</v>
      </c>
      <c r="J7223" s="53">
        <f t="shared" si="4079"/>
        <v>6000</v>
      </c>
      <c r="K7223" s="63">
        <f t="shared" si="4081"/>
        <v>6.1224489795918359E-2</v>
      </c>
      <c r="L7223" s="1212" t="s">
        <v>4209</v>
      </c>
      <c r="M7223" s="468"/>
      <c r="N7223" s="1192">
        <f>A7223</f>
        <v>45582</v>
      </c>
      <c r="O7223" s="71" t="s">
        <v>150</v>
      </c>
      <c r="P7223" s="103" t="str">
        <f t="shared" si="4055"/>
        <v>CTP 고무액</v>
      </c>
      <c r="Q7223" s="71">
        <f t="shared" si="4056"/>
        <v>1</v>
      </c>
      <c r="R7223" s="102">
        <v>92000</v>
      </c>
      <c r="S7223" s="102">
        <f t="shared" si="4070"/>
        <v>101200.00000000001</v>
      </c>
      <c r="T7223" s="102">
        <f t="shared" si="4083"/>
        <v>92000</v>
      </c>
      <c r="U7223" s="71" t="str">
        <f>IF(J7223=W7223,"O", "X")</f>
        <v>X</v>
      </c>
      <c r="V7223" s="71"/>
      <c r="W7223" s="474"/>
      <c r="X7223" s="71"/>
      <c r="Y7223" s="71"/>
    </row>
    <row r="7224" spans="1:25" ht="30" hidden="1" customHeight="1" x14ac:dyDescent="0.25">
      <c r="A7224" s="1145">
        <v>45583</v>
      </c>
      <c r="B7224" s="664" t="s">
        <v>442</v>
      </c>
      <c r="C7224" s="71" t="s">
        <v>773</v>
      </c>
      <c r="D7224" s="71">
        <v>6</v>
      </c>
      <c r="E7224" s="102">
        <v>215000</v>
      </c>
      <c r="F7224" s="102">
        <f t="shared" si="4078"/>
        <v>1419000</v>
      </c>
      <c r="G7224" s="102">
        <f t="shared" ref="G7224:G7259" si="4084">(E7224*D7224)</f>
        <v>1290000</v>
      </c>
      <c r="H7224" s="690" t="s">
        <v>173</v>
      </c>
      <c r="I7224" s="71" t="s">
        <v>109</v>
      </c>
      <c r="J7224" s="53">
        <f t="shared" si="4079"/>
        <v>150000</v>
      </c>
      <c r="K7224" s="63">
        <f t="shared" si="4081"/>
        <v>0.11627906976744186</v>
      </c>
      <c r="L7224" s="1212" t="s">
        <v>4209</v>
      </c>
      <c r="M7224" s="468"/>
      <c r="N7224" s="1192">
        <f t="shared" ref="N7224:N7259" si="4085">A7224</f>
        <v>45583</v>
      </c>
      <c r="O7224" s="71" t="s">
        <v>151</v>
      </c>
      <c r="P7224" s="103" t="str">
        <f t="shared" si="4055"/>
        <v>로랜드 전지 블랑켓(1460*1165)bar</v>
      </c>
      <c r="Q7224" s="71">
        <f t="shared" si="4056"/>
        <v>6</v>
      </c>
      <c r="R7224" s="102">
        <v>190000</v>
      </c>
      <c r="S7224" s="102">
        <f t="shared" si="4070"/>
        <v>1254000</v>
      </c>
      <c r="T7224" s="102">
        <f t="shared" si="4083"/>
        <v>1140000</v>
      </c>
      <c r="U7224" s="71" t="s">
        <v>859</v>
      </c>
      <c r="V7224" s="71"/>
      <c r="W7224" s="474">
        <v>120000</v>
      </c>
      <c r="X7224" s="71"/>
      <c r="Y7224" s="71"/>
    </row>
    <row r="7225" spans="1:25" ht="30" hidden="1" customHeight="1" x14ac:dyDescent="0.25">
      <c r="A7225" s="1145">
        <v>45582</v>
      </c>
      <c r="B7225" s="664" t="s">
        <v>442</v>
      </c>
      <c r="C7225" s="71" t="s">
        <v>4212</v>
      </c>
      <c r="D7225" s="71">
        <v>1</v>
      </c>
      <c r="E7225" s="102">
        <v>250000</v>
      </c>
      <c r="F7225" s="102">
        <f t="shared" si="4078"/>
        <v>275000</v>
      </c>
      <c r="G7225" s="102">
        <f t="shared" si="4084"/>
        <v>250000</v>
      </c>
      <c r="H7225" s="690" t="s">
        <v>2029</v>
      </c>
      <c r="I7225" s="71" t="s">
        <v>2230</v>
      </c>
      <c r="J7225" s="53">
        <f t="shared" si="4079"/>
        <v>30000</v>
      </c>
      <c r="K7225" s="63">
        <f t="shared" si="4081"/>
        <v>0.12</v>
      </c>
      <c r="L7225" s="1212" t="s">
        <v>4209</v>
      </c>
      <c r="M7225" s="102"/>
      <c r="N7225" s="1192">
        <f t="shared" si="4085"/>
        <v>45582</v>
      </c>
      <c r="O7225" s="71" t="s">
        <v>3710</v>
      </c>
      <c r="P7225" s="103" t="str">
        <f t="shared" si="4055"/>
        <v>Agfa CTP 서비스</v>
      </c>
      <c r="Q7225" s="71">
        <f t="shared" si="4056"/>
        <v>1</v>
      </c>
      <c r="R7225" s="102">
        <v>220000</v>
      </c>
      <c r="S7225" s="102">
        <f t="shared" si="4070"/>
        <v>242000.00000000003</v>
      </c>
      <c r="T7225" s="102">
        <f t="shared" si="4071"/>
        <v>220000</v>
      </c>
      <c r="U7225" s="71"/>
      <c r="V7225" s="71"/>
      <c r="W7225" s="474"/>
      <c r="X7225" s="71"/>
      <c r="Y7225" s="71"/>
    </row>
    <row r="7226" spans="1:25" ht="30" hidden="1" customHeight="1" x14ac:dyDescent="0.25">
      <c r="A7226" s="1145">
        <v>45595</v>
      </c>
      <c r="B7226" s="664" t="s">
        <v>3830</v>
      </c>
      <c r="C7226" s="71" t="s">
        <v>3667</v>
      </c>
      <c r="D7226" s="71">
        <v>2186</v>
      </c>
      <c r="E7226" s="102">
        <v>1550</v>
      </c>
      <c r="F7226" s="102">
        <f t="shared" si="4078"/>
        <v>3727130.0000000005</v>
      </c>
      <c r="G7226" s="102">
        <f t="shared" si="4084"/>
        <v>3388300</v>
      </c>
      <c r="H7226" s="690" t="s">
        <v>2029</v>
      </c>
      <c r="I7226" s="71" t="s">
        <v>2230</v>
      </c>
      <c r="J7226" s="53">
        <f t="shared" si="4079"/>
        <v>3388300</v>
      </c>
      <c r="K7226" s="63">
        <f t="shared" si="4081"/>
        <v>0.99999999999999989</v>
      </c>
      <c r="L7226" s="1212" t="s">
        <v>4209</v>
      </c>
      <c r="M7226" s="468"/>
      <c r="N7226" s="1192">
        <f t="shared" si="4085"/>
        <v>45595</v>
      </c>
      <c r="O7226" s="71"/>
      <c r="P7226" s="103" t="str">
        <f t="shared" si="4055"/>
        <v>폐판</v>
      </c>
      <c r="Q7226" s="71">
        <f t="shared" si="4056"/>
        <v>2186</v>
      </c>
      <c r="R7226" s="147"/>
      <c r="S7226" s="102">
        <f t="shared" si="4070"/>
        <v>0</v>
      </c>
      <c r="T7226" s="102">
        <f t="shared" si="4071"/>
        <v>0</v>
      </c>
      <c r="U7226" s="71"/>
      <c r="V7226" s="71"/>
      <c r="W7226" s="474"/>
      <c r="X7226" s="71"/>
      <c r="Y7226" s="71"/>
    </row>
    <row r="7227" spans="1:25" ht="30" hidden="1" customHeight="1" x14ac:dyDescent="0.25">
      <c r="A7227" s="1145">
        <v>45573</v>
      </c>
      <c r="B7227" s="664" t="s">
        <v>444</v>
      </c>
      <c r="C7227" s="71" t="s">
        <v>3399</v>
      </c>
      <c r="D7227" s="71">
        <v>10</v>
      </c>
      <c r="E7227" s="102">
        <v>195000</v>
      </c>
      <c r="F7227" s="102">
        <f t="shared" si="4078"/>
        <v>2145000</v>
      </c>
      <c r="G7227" s="102">
        <f t="shared" si="4084"/>
        <v>1950000</v>
      </c>
      <c r="H7227" s="690" t="s">
        <v>2029</v>
      </c>
      <c r="I7227" s="71" t="s">
        <v>180</v>
      </c>
      <c r="J7227" s="53">
        <f t="shared" si="4079"/>
        <v>450000</v>
      </c>
      <c r="K7227" s="63">
        <f t="shared" si="4081"/>
        <v>0.23076923076923078</v>
      </c>
      <c r="L7227" s="1212" t="s">
        <v>4209</v>
      </c>
      <c r="M7227" s="468"/>
      <c r="N7227" s="1192">
        <f t="shared" si="4085"/>
        <v>45573</v>
      </c>
      <c r="O7227" s="71" t="s">
        <v>191</v>
      </c>
      <c r="P7227" s="103" t="str">
        <f t="shared" si="4055"/>
        <v>UV wash offset UV</v>
      </c>
      <c r="Q7227" s="71">
        <f t="shared" si="4056"/>
        <v>10</v>
      </c>
      <c r="R7227" s="102">
        <v>150000</v>
      </c>
      <c r="S7227" s="102">
        <f t="shared" si="4070"/>
        <v>1650000.0000000002</v>
      </c>
      <c r="T7227" s="102">
        <f t="shared" si="4071"/>
        <v>1500000</v>
      </c>
      <c r="U7227" s="71"/>
      <c r="V7227" s="71"/>
      <c r="W7227" s="474"/>
      <c r="X7227" s="71"/>
      <c r="Y7227" s="71"/>
    </row>
    <row r="7228" spans="1:25" ht="30" hidden="1" customHeight="1" x14ac:dyDescent="0.25">
      <c r="A7228" s="1145">
        <v>45594</v>
      </c>
      <c r="B7228" s="664" t="s">
        <v>2798</v>
      </c>
      <c r="C7228" s="71" t="s">
        <v>167</v>
      </c>
      <c r="D7228" s="71">
        <v>10</v>
      </c>
      <c r="E7228" s="102">
        <v>138000</v>
      </c>
      <c r="F7228" s="102">
        <f t="shared" si="4078"/>
        <v>1518000.0000000002</v>
      </c>
      <c r="G7228" s="102">
        <f t="shared" si="4084"/>
        <v>1380000</v>
      </c>
      <c r="H7228" s="690" t="s">
        <v>172</v>
      </c>
      <c r="I7228" s="71" t="s">
        <v>33</v>
      </c>
      <c r="J7228" s="53">
        <f t="shared" si="4079"/>
        <v>460000</v>
      </c>
      <c r="K7228" s="63">
        <f t="shared" si="4081"/>
        <v>0.33333333333333326</v>
      </c>
      <c r="L7228" s="1212" t="s">
        <v>4209</v>
      </c>
      <c r="M7228" s="468" t="s">
        <v>4114</v>
      </c>
      <c r="N7228" s="1192">
        <f t="shared" si="4085"/>
        <v>45594</v>
      </c>
      <c r="O7228" s="71" t="s">
        <v>146</v>
      </c>
      <c r="P7228" s="103" t="str">
        <f t="shared" si="4055"/>
        <v>Blanket(1060*860)</v>
      </c>
      <c r="Q7228" s="71">
        <f t="shared" si="4056"/>
        <v>10</v>
      </c>
      <c r="R7228" s="102">
        <v>92000</v>
      </c>
      <c r="S7228" s="102">
        <f t="shared" si="4070"/>
        <v>1012000.0000000001</v>
      </c>
      <c r="T7228" s="102">
        <f t="shared" si="4071"/>
        <v>920000</v>
      </c>
      <c r="U7228" s="71" t="str">
        <f t="shared" ref="U7228" si="4086">IF(J7228=W7228,"O", "X")</f>
        <v>X</v>
      </c>
      <c r="V7228" s="71"/>
      <c r="W7228" s="474"/>
      <c r="X7228" s="71"/>
      <c r="Y7228" s="71"/>
    </row>
    <row r="7229" spans="1:25" ht="30" hidden="1" customHeight="1" x14ac:dyDescent="0.25">
      <c r="A7229" s="1145">
        <v>45594</v>
      </c>
      <c r="B7229" s="664" t="s">
        <v>4213</v>
      </c>
      <c r="C7229" s="71" t="s">
        <v>4214</v>
      </c>
      <c r="D7229" s="71">
        <v>1</v>
      </c>
      <c r="E7229" s="102">
        <v>7000000</v>
      </c>
      <c r="F7229" s="102">
        <f t="shared" si="4078"/>
        <v>7700000.0000000009</v>
      </c>
      <c r="G7229" s="102">
        <f t="shared" si="4084"/>
        <v>7000000</v>
      </c>
      <c r="H7229" s="690" t="s">
        <v>2029</v>
      </c>
      <c r="I7229" s="71" t="s">
        <v>2231</v>
      </c>
      <c r="J7229" s="53">
        <f t="shared" si="4079"/>
        <v>1000000</v>
      </c>
      <c r="K7229" s="63">
        <f t="shared" si="4081"/>
        <v>0.14285714285714285</v>
      </c>
      <c r="L7229" s="1212" t="s">
        <v>4209</v>
      </c>
      <c r="M7229" s="102"/>
      <c r="N7229" s="1192">
        <f t="shared" si="4085"/>
        <v>45594</v>
      </c>
      <c r="O7229" s="71" t="s">
        <v>3635</v>
      </c>
      <c r="P7229" s="103" t="str">
        <f t="shared" si="4055"/>
        <v>X-rite i1iSis A4</v>
      </c>
      <c r="Q7229" s="71">
        <f t="shared" si="4056"/>
        <v>1</v>
      </c>
      <c r="R7229" s="102">
        <v>6000000</v>
      </c>
      <c r="S7229" s="102">
        <f t="shared" si="4070"/>
        <v>6600000.0000000009</v>
      </c>
      <c r="T7229" s="102">
        <f t="shared" si="4071"/>
        <v>6000000</v>
      </c>
      <c r="U7229" s="71"/>
      <c r="V7229" s="71"/>
      <c r="W7229" s="474"/>
      <c r="X7229" s="71"/>
      <c r="Y7229" s="71"/>
    </row>
    <row r="7230" spans="1:25" s="209" customFormat="1" ht="30" hidden="1" customHeight="1" x14ac:dyDescent="0.25">
      <c r="A7230" s="1145">
        <v>45579</v>
      </c>
      <c r="B7230" s="664" t="s">
        <v>411</v>
      </c>
      <c r="C7230" s="71" t="s">
        <v>3413</v>
      </c>
      <c r="D7230" s="71">
        <v>10</v>
      </c>
      <c r="E7230" s="102">
        <v>80000</v>
      </c>
      <c r="F7230" s="102">
        <f t="shared" si="4078"/>
        <v>880000.00000000012</v>
      </c>
      <c r="G7230" s="102">
        <f t="shared" si="4084"/>
        <v>800000</v>
      </c>
      <c r="H7230" s="690" t="s">
        <v>2029</v>
      </c>
      <c r="I7230" s="71" t="s">
        <v>3385</v>
      </c>
      <c r="J7230" s="53">
        <f t="shared" si="4079"/>
        <v>300000</v>
      </c>
      <c r="K7230" s="63">
        <f t="shared" si="4081"/>
        <v>0.37499999999999994</v>
      </c>
      <c r="L7230" s="1212" t="s">
        <v>4209</v>
      </c>
      <c r="M7230" s="468"/>
      <c r="N7230" s="1192">
        <f t="shared" si="4085"/>
        <v>45579</v>
      </c>
      <c r="O7230" s="71" t="s">
        <v>190</v>
      </c>
      <c r="P7230" s="103" t="str">
        <f t="shared" si="4055"/>
        <v>아스테이지(국전)</v>
      </c>
      <c r="Q7230" s="71">
        <f t="shared" si="4056"/>
        <v>10</v>
      </c>
      <c r="R7230" s="102">
        <v>50000</v>
      </c>
      <c r="S7230" s="102">
        <f t="shared" si="4070"/>
        <v>550000</v>
      </c>
      <c r="T7230" s="102">
        <f t="shared" si="4071"/>
        <v>500000</v>
      </c>
      <c r="U7230" s="71" t="str">
        <f t="shared" ref="U7230" si="4087">IF(J7230=W7230,"O", "X")</f>
        <v>X</v>
      </c>
      <c r="V7230" s="71"/>
      <c r="W7230" s="474">
        <v>500000</v>
      </c>
      <c r="X7230" s="71"/>
      <c r="Y7230" s="71"/>
    </row>
    <row r="7231" spans="1:25" ht="30" hidden="1" customHeight="1" x14ac:dyDescent="0.25">
      <c r="A7231" s="1145">
        <v>45590</v>
      </c>
      <c r="B7231" s="664" t="s">
        <v>1060</v>
      </c>
      <c r="C7231" s="71" t="s">
        <v>3908</v>
      </c>
      <c r="D7231" s="71">
        <v>1100</v>
      </c>
      <c r="E7231" s="102">
        <v>5710</v>
      </c>
      <c r="F7231" s="102">
        <f t="shared" si="4078"/>
        <v>6909100.0000000009</v>
      </c>
      <c r="G7231" s="102">
        <f t="shared" si="4084"/>
        <v>6281000</v>
      </c>
      <c r="H7231" s="690" t="s">
        <v>142</v>
      </c>
      <c r="I7231" s="71" t="s">
        <v>179</v>
      </c>
      <c r="J7231" s="53">
        <f t="shared" si="4079"/>
        <v>1975600</v>
      </c>
      <c r="K7231" s="63">
        <f t="shared" si="4081"/>
        <v>0.31453590192644476</v>
      </c>
      <c r="L7231" s="1212" t="s">
        <v>4209</v>
      </c>
      <c r="M7231" s="102" t="s">
        <v>3964</v>
      </c>
      <c r="N7231" s="1192">
        <f t="shared" si="4085"/>
        <v>45590</v>
      </c>
      <c r="O7231" s="71" t="s">
        <v>662</v>
      </c>
      <c r="P7231" s="103" t="str">
        <f t="shared" si="4055"/>
        <v>Saphira CTP 판 1030 x 790</v>
      </c>
      <c r="Q7231" s="71">
        <f t="shared" si="4056"/>
        <v>1100</v>
      </c>
      <c r="R7231" s="102">
        <v>3914</v>
      </c>
      <c r="S7231" s="102">
        <f t="shared" si="4070"/>
        <v>4735940</v>
      </c>
      <c r="T7231" s="102">
        <f t="shared" si="4071"/>
        <v>4305400</v>
      </c>
      <c r="U7231" s="71" t="s">
        <v>859</v>
      </c>
      <c r="V7231" s="71"/>
      <c r="W7231" s="474">
        <v>942000</v>
      </c>
      <c r="X7231" s="71"/>
      <c r="Y7231" s="71"/>
    </row>
    <row r="7232" spans="1:25" ht="30" hidden="1" customHeight="1" x14ac:dyDescent="0.25">
      <c r="A7232" s="1145">
        <v>45590</v>
      </c>
      <c r="B7232" s="664" t="s">
        <v>1060</v>
      </c>
      <c r="C7232" s="71" t="s">
        <v>3909</v>
      </c>
      <c r="D7232" s="71">
        <v>1900</v>
      </c>
      <c r="E7232" s="102">
        <v>3610</v>
      </c>
      <c r="F7232" s="102">
        <f t="shared" si="4078"/>
        <v>7544900.0000000009</v>
      </c>
      <c r="G7232" s="102">
        <f t="shared" si="4084"/>
        <v>6859000</v>
      </c>
      <c r="H7232" s="690" t="s">
        <v>36</v>
      </c>
      <c r="I7232" s="71" t="s">
        <v>2529</v>
      </c>
      <c r="J7232" s="53">
        <f t="shared" si="4079"/>
        <v>2162200</v>
      </c>
      <c r="K7232" s="63">
        <f t="shared" si="4081"/>
        <v>0.31523545706371187</v>
      </c>
      <c r="L7232" s="1212" t="s">
        <v>4209</v>
      </c>
      <c r="M7232" s="102" t="s">
        <v>3964</v>
      </c>
      <c r="N7232" s="1192">
        <f t="shared" si="4085"/>
        <v>45590</v>
      </c>
      <c r="O7232" s="71" t="s">
        <v>662</v>
      </c>
      <c r="P7232" s="103" t="str">
        <f t="shared" si="4055"/>
        <v>Saphira CTP 판 900 x 571</v>
      </c>
      <c r="Q7232" s="71">
        <f t="shared" si="4056"/>
        <v>1900</v>
      </c>
      <c r="R7232" s="102">
        <v>2472</v>
      </c>
      <c r="S7232" s="102">
        <f t="shared" si="4070"/>
        <v>5166480</v>
      </c>
      <c r="T7232" s="102">
        <f t="shared" si="4071"/>
        <v>4696800</v>
      </c>
      <c r="U7232" s="71" t="s">
        <v>859</v>
      </c>
      <c r="V7232" s="71"/>
      <c r="W7232" s="474">
        <v>1274000</v>
      </c>
      <c r="X7232" s="71"/>
      <c r="Y7232" s="71"/>
    </row>
    <row r="7233" spans="1:25" ht="30" hidden="1" customHeight="1" x14ac:dyDescent="0.25">
      <c r="A7233" s="1145">
        <v>45590</v>
      </c>
      <c r="B7233" s="664" t="s">
        <v>1060</v>
      </c>
      <c r="C7233" s="71" t="s">
        <v>3910</v>
      </c>
      <c r="D7233" s="71">
        <v>2100</v>
      </c>
      <c r="E7233" s="102">
        <v>3410</v>
      </c>
      <c r="F7233" s="102">
        <f t="shared" si="4078"/>
        <v>7877100.0000000009</v>
      </c>
      <c r="G7233" s="102">
        <f t="shared" si="4084"/>
        <v>7161000</v>
      </c>
      <c r="H7233" s="690" t="s">
        <v>36</v>
      </c>
      <c r="I7233" s="71" t="s">
        <v>2529</v>
      </c>
      <c r="J7233" s="53">
        <f t="shared" si="4079"/>
        <v>2230200</v>
      </c>
      <c r="K7233" s="63">
        <f t="shared" si="4081"/>
        <v>0.31143695014662753</v>
      </c>
      <c r="L7233" s="1212" t="s">
        <v>4209</v>
      </c>
      <c r="M7233" s="102" t="s">
        <v>3964</v>
      </c>
      <c r="N7233" s="1192">
        <f t="shared" si="4085"/>
        <v>45590</v>
      </c>
      <c r="O7233" s="71" t="s">
        <v>662</v>
      </c>
      <c r="P7233" s="103" t="str">
        <f t="shared" si="4055"/>
        <v>Saphira CTP 판 883 x 552</v>
      </c>
      <c r="Q7233" s="71">
        <f t="shared" si="4056"/>
        <v>2100</v>
      </c>
      <c r="R7233" s="102">
        <v>2348</v>
      </c>
      <c r="S7233" s="102">
        <f t="shared" si="4070"/>
        <v>5423880</v>
      </c>
      <c r="T7233" s="102">
        <f t="shared" si="4071"/>
        <v>4930800</v>
      </c>
      <c r="U7233" s="71" t="s">
        <v>859</v>
      </c>
      <c r="V7233" s="71"/>
      <c r="W7233" s="474">
        <v>3325000</v>
      </c>
      <c r="X7233" s="71"/>
      <c r="Y7233" s="71"/>
    </row>
    <row r="7234" spans="1:25" ht="30" hidden="1" customHeight="1" x14ac:dyDescent="0.25">
      <c r="A7234" s="1145">
        <v>45590</v>
      </c>
      <c r="B7234" s="664" t="s">
        <v>1060</v>
      </c>
      <c r="C7234" s="71" t="s">
        <v>3911</v>
      </c>
      <c r="D7234" s="71">
        <v>400</v>
      </c>
      <c r="E7234" s="102">
        <v>5790</v>
      </c>
      <c r="F7234" s="102">
        <f t="shared" si="4078"/>
        <v>2547600</v>
      </c>
      <c r="G7234" s="102">
        <f t="shared" si="4084"/>
        <v>2316000</v>
      </c>
      <c r="H7234" s="690" t="s">
        <v>36</v>
      </c>
      <c r="I7234" s="71" t="s">
        <v>2529</v>
      </c>
      <c r="J7234" s="53">
        <f t="shared" si="4079"/>
        <v>729600</v>
      </c>
      <c r="K7234" s="63">
        <f t="shared" si="4081"/>
        <v>0.31502590673575132</v>
      </c>
      <c r="L7234" s="1212" t="s">
        <v>4209</v>
      </c>
      <c r="M7234" s="102" t="s">
        <v>3964</v>
      </c>
      <c r="N7234" s="1192">
        <f t="shared" si="4085"/>
        <v>45590</v>
      </c>
      <c r="O7234" s="71" t="s">
        <v>662</v>
      </c>
      <c r="P7234" s="103" t="str">
        <f t="shared" si="4055"/>
        <v>Saphira CTP 판 1030 x 800</v>
      </c>
      <c r="Q7234" s="71">
        <f t="shared" si="4056"/>
        <v>400</v>
      </c>
      <c r="R7234" s="102">
        <v>3966</v>
      </c>
      <c r="S7234" s="102">
        <f t="shared" si="4070"/>
        <v>1745040.0000000002</v>
      </c>
      <c r="T7234" s="102">
        <f t="shared" si="4071"/>
        <v>1586400</v>
      </c>
      <c r="U7234" s="71" t="s">
        <v>859</v>
      </c>
      <c r="V7234" s="71"/>
      <c r="W7234" s="474">
        <v>636000</v>
      </c>
      <c r="X7234" s="71"/>
      <c r="Y7234" s="71"/>
    </row>
    <row r="7235" spans="1:25" ht="30" hidden="1" customHeight="1" x14ac:dyDescent="0.25">
      <c r="A7235" s="1145">
        <v>45590</v>
      </c>
      <c r="B7235" s="664" t="s">
        <v>1060</v>
      </c>
      <c r="C7235" s="71" t="s">
        <v>3912</v>
      </c>
      <c r="D7235" s="71">
        <v>1100</v>
      </c>
      <c r="E7235" s="102">
        <v>6010</v>
      </c>
      <c r="F7235" s="102">
        <f t="shared" si="4078"/>
        <v>7272100.0000000009</v>
      </c>
      <c r="G7235" s="102">
        <f t="shared" si="4084"/>
        <v>6611000</v>
      </c>
      <c r="H7235" s="690" t="s">
        <v>36</v>
      </c>
      <c r="I7235" s="71" t="s">
        <v>2529</v>
      </c>
      <c r="J7235" s="53">
        <f t="shared" si="4079"/>
        <v>2079000</v>
      </c>
      <c r="K7235" s="63">
        <f t="shared" si="4081"/>
        <v>0.31447587354409312</v>
      </c>
      <c r="L7235" s="1212" t="s">
        <v>4209</v>
      </c>
      <c r="M7235" s="102" t="s">
        <v>3964</v>
      </c>
      <c r="N7235" s="1192">
        <f t="shared" si="4085"/>
        <v>45590</v>
      </c>
      <c r="O7235" s="71" t="s">
        <v>662</v>
      </c>
      <c r="P7235" s="103" t="str">
        <f t="shared" si="4055"/>
        <v>Saphira CTP 판 1055 x 811</v>
      </c>
      <c r="Q7235" s="71">
        <f t="shared" si="4056"/>
        <v>1100</v>
      </c>
      <c r="R7235" s="102">
        <v>4120</v>
      </c>
      <c r="S7235" s="102">
        <f t="shared" si="4070"/>
        <v>4985200</v>
      </c>
      <c r="T7235" s="102">
        <f t="shared" si="4071"/>
        <v>4532000</v>
      </c>
      <c r="U7235" s="71" t="s">
        <v>859</v>
      </c>
      <c r="V7235" s="71"/>
      <c r="W7235" s="474">
        <v>1476000</v>
      </c>
      <c r="X7235" s="71"/>
      <c r="Y7235" s="71"/>
    </row>
    <row r="7236" spans="1:25" ht="30" hidden="1" customHeight="1" x14ac:dyDescent="0.25">
      <c r="A7236" s="1145">
        <v>45590</v>
      </c>
      <c r="B7236" s="664" t="s">
        <v>1060</v>
      </c>
      <c r="C7236" s="71" t="s">
        <v>3913</v>
      </c>
      <c r="D7236" s="71">
        <v>600</v>
      </c>
      <c r="E7236" s="102">
        <v>4280</v>
      </c>
      <c r="F7236" s="102">
        <f t="shared" si="4078"/>
        <v>2824800</v>
      </c>
      <c r="G7236" s="102">
        <f t="shared" si="4084"/>
        <v>2568000</v>
      </c>
      <c r="H7236" s="690" t="s">
        <v>36</v>
      </c>
      <c r="I7236" s="71" t="s">
        <v>2529</v>
      </c>
      <c r="J7236" s="53">
        <f t="shared" si="4079"/>
        <v>806400</v>
      </c>
      <c r="K7236" s="63">
        <f t="shared" si="4081"/>
        <v>0.31401869158878504</v>
      </c>
      <c r="L7236" s="1212" t="s">
        <v>4209</v>
      </c>
      <c r="M7236" s="102" t="s">
        <v>3964</v>
      </c>
      <c r="N7236" s="1192">
        <f t="shared" si="4085"/>
        <v>45590</v>
      </c>
      <c r="O7236" s="71" t="s">
        <v>662</v>
      </c>
      <c r="P7236" s="103" t="str">
        <f t="shared" si="4055"/>
        <v>Saphira CTP 판 968 x 631</v>
      </c>
      <c r="Q7236" s="71">
        <f t="shared" si="4056"/>
        <v>600</v>
      </c>
      <c r="R7236" s="102">
        <v>2936</v>
      </c>
      <c r="S7236" s="102">
        <f t="shared" si="4070"/>
        <v>1937760.0000000002</v>
      </c>
      <c r="T7236" s="102">
        <f t="shared" si="4071"/>
        <v>1761600</v>
      </c>
      <c r="U7236" s="71" t="s">
        <v>859</v>
      </c>
      <c r="V7236" s="71"/>
      <c r="W7236" s="474">
        <v>1416000</v>
      </c>
      <c r="X7236" s="71"/>
      <c r="Y7236" s="71"/>
    </row>
    <row r="7237" spans="1:25" ht="30" hidden="1" customHeight="1" x14ac:dyDescent="0.25">
      <c r="A7237" s="1145">
        <v>45590</v>
      </c>
      <c r="B7237" s="664" t="s">
        <v>1060</v>
      </c>
      <c r="C7237" s="71" t="s">
        <v>3914</v>
      </c>
      <c r="D7237" s="71">
        <v>25</v>
      </c>
      <c r="E7237" s="102">
        <v>51920</v>
      </c>
      <c r="F7237" s="102">
        <f t="shared" si="4078"/>
        <v>1427800</v>
      </c>
      <c r="G7237" s="102">
        <f t="shared" si="4084"/>
        <v>1298000</v>
      </c>
      <c r="H7237" s="690" t="s">
        <v>36</v>
      </c>
      <c r="I7237" s="71" t="s">
        <v>2529</v>
      </c>
      <c r="J7237" s="53">
        <f t="shared" si="4079"/>
        <v>268000</v>
      </c>
      <c r="K7237" s="63">
        <f t="shared" si="4081"/>
        <v>0.20647149460708783</v>
      </c>
      <c r="L7237" s="1212" t="s">
        <v>4209</v>
      </c>
      <c r="M7237" s="468"/>
      <c r="N7237" s="1192">
        <f t="shared" si="4085"/>
        <v>45590</v>
      </c>
      <c r="O7237" s="71" t="s">
        <v>662</v>
      </c>
      <c r="P7237" s="103" t="str">
        <f t="shared" si="4055"/>
        <v>사피라 현상액</v>
      </c>
      <c r="Q7237" s="71">
        <f t="shared" si="4056"/>
        <v>25</v>
      </c>
      <c r="R7237" s="102">
        <v>41200</v>
      </c>
      <c r="S7237" s="102">
        <f t="shared" si="4070"/>
        <v>1133000</v>
      </c>
      <c r="T7237" s="102">
        <f t="shared" si="4071"/>
        <v>1030000</v>
      </c>
      <c r="U7237" s="71" t="s">
        <v>859</v>
      </c>
      <c r="V7237" s="71"/>
      <c r="W7237" s="474">
        <v>978750</v>
      </c>
      <c r="X7237" s="71"/>
      <c r="Y7237" s="71"/>
    </row>
    <row r="7238" spans="1:25" ht="30" hidden="1" customHeight="1" x14ac:dyDescent="0.25">
      <c r="A7238" s="1145">
        <v>45590</v>
      </c>
      <c r="B7238" s="664" t="s">
        <v>1061</v>
      </c>
      <c r="C7238" s="71" t="s">
        <v>3319</v>
      </c>
      <c r="D7238" s="71">
        <v>400</v>
      </c>
      <c r="E7238" s="102">
        <v>6328</v>
      </c>
      <c r="F7238" s="102">
        <f t="shared" si="4078"/>
        <v>2784320</v>
      </c>
      <c r="G7238" s="102">
        <f t="shared" si="4084"/>
        <v>2531200</v>
      </c>
      <c r="H7238" s="690" t="s">
        <v>36</v>
      </c>
      <c r="I7238" s="71" t="s">
        <v>3320</v>
      </c>
      <c r="J7238" s="53">
        <f t="shared" si="4079"/>
        <v>191200</v>
      </c>
      <c r="K7238" s="63">
        <f t="shared" si="4081"/>
        <v>7.5537294563843241E-2</v>
      </c>
      <c r="L7238" s="1212" t="s">
        <v>4209</v>
      </c>
      <c r="M7238" s="468"/>
      <c r="N7238" s="1192">
        <f t="shared" si="4085"/>
        <v>45590</v>
      </c>
      <c r="O7238" s="71" t="s">
        <v>146</v>
      </c>
      <c r="P7238" s="103" t="str">
        <f t="shared" si="4055"/>
        <v>프리미어(먹)</v>
      </c>
      <c r="Q7238" s="71">
        <f t="shared" si="4056"/>
        <v>400</v>
      </c>
      <c r="R7238" s="102">
        <v>5850</v>
      </c>
      <c r="S7238" s="102">
        <f t="shared" si="4070"/>
        <v>2574000</v>
      </c>
      <c r="T7238" s="102">
        <f t="shared" si="4071"/>
        <v>2340000</v>
      </c>
      <c r="U7238" s="71" t="s">
        <v>859</v>
      </c>
      <c r="V7238" s="71"/>
      <c r="W7238" s="474">
        <v>411200</v>
      </c>
      <c r="X7238" s="71"/>
      <c r="Y7238" s="71"/>
    </row>
    <row r="7239" spans="1:25" ht="30" hidden="1" customHeight="1" x14ac:dyDescent="0.25">
      <c r="A7239" s="1145">
        <v>45590</v>
      </c>
      <c r="B7239" s="664" t="s">
        <v>1061</v>
      </c>
      <c r="C7239" s="71" t="s">
        <v>3321</v>
      </c>
      <c r="D7239" s="71">
        <v>400</v>
      </c>
      <c r="E7239" s="102">
        <v>6780</v>
      </c>
      <c r="F7239" s="102">
        <f t="shared" si="4078"/>
        <v>2983200.0000000005</v>
      </c>
      <c r="G7239" s="102">
        <f t="shared" si="4084"/>
        <v>2712000</v>
      </c>
      <c r="H7239" s="690" t="s">
        <v>36</v>
      </c>
      <c r="I7239" s="71" t="s">
        <v>3320</v>
      </c>
      <c r="J7239" s="53">
        <f t="shared" si="4079"/>
        <v>200000</v>
      </c>
      <c r="K7239" s="63">
        <f t="shared" si="4081"/>
        <v>7.3746312684365767E-2</v>
      </c>
      <c r="L7239" s="1212" t="s">
        <v>4209</v>
      </c>
      <c r="M7239" s="468"/>
      <c r="N7239" s="1192">
        <f t="shared" si="4085"/>
        <v>45590</v>
      </c>
      <c r="O7239" s="71" t="s">
        <v>146</v>
      </c>
      <c r="P7239" s="103" t="str">
        <f t="shared" si="4055"/>
        <v>프리미어(적)</v>
      </c>
      <c r="Q7239" s="71">
        <f t="shared" si="4056"/>
        <v>400</v>
      </c>
      <c r="R7239" s="102">
        <v>6280</v>
      </c>
      <c r="S7239" s="102">
        <f t="shared" si="4070"/>
        <v>2763200</v>
      </c>
      <c r="T7239" s="102">
        <f t="shared" si="4071"/>
        <v>2512000</v>
      </c>
      <c r="U7239" s="71" t="s">
        <v>859</v>
      </c>
      <c r="V7239" s="71"/>
      <c r="W7239" s="474">
        <v>292000</v>
      </c>
      <c r="X7239" s="71"/>
      <c r="Y7239" s="71"/>
    </row>
    <row r="7240" spans="1:25" ht="30" hidden="1" customHeight="1" x14ac:dyDescent="0.25">
      <c r="A7240" s="1145">
        <v>45590</v>
      </c>
      <c r="B7240" s="664" t="s">
        <v>1061</v>
      </c>
      <c r="C7240" s="71" t="s">
        <v>1289</v>
      </c>
      <c r="D7240" s="71">
        <v>600</v>
      </c>
      <c r="E7240" s="102">
        <v>6498</v>
      </c>
      <c r="F7240" s="102">
        <f t="shared" si="4078"/>
        <v>4288680</v>
      </c>
      <c r="G7240" s="102">
        <f t="shared" si="4084"/>
        <v>3898800</v>
      </c>
      <c r="H7240" s="690" t="s">
        <v>36</v>
      </c>
      <c r="I7240" s="71" t="s">
        <v>3320</v>
      </c>
      <c r="J7240" s="53">
        <f t="shared" si="4079"/>
        <v>286800</v>
      </c>
      <c r="K7240" s="63">
        <f t="shared" si="4081"/>
        <v>7.3561095721760547E-2</v>
      </c>
      <c r="L7240" s="1212" t="s">
        <v>4209</v>
      </c>
      <c r="M7240" s="468"/>
      <c r="N7240" s="1192">
        <f t="shared" si="4085"/>
        <v>45590</v>
      </c>
      <c r="O7240" s="71" t="s">
        <v>146</v>
      </c>
      <c r="P7240" s="103" t="str">
        <f t="shared" si="4055"/>
        <v>프리미어(황)</v>
      </c>
      <c r="Q7240" s="71">
        <f t="shared" si="4056"/>
        <v>600</v>
      </c>
      <c r="R7240" s="102">
        <v>6020</v>
      </c>
      <c r="S7240" s="102">
        <f t="shared" si="4070"/>
        <v>3973200.0000000005</v>
      </c>
      <c r="T7240" s="102">
        <f t="shared" si="4071"/>
        <v>3612000</v>
      </c>
      <c r="U7240" s="71" t="s">
        <v>859</v>
      </c>
      <c r="V7240" s="71"/>
      <c r="W7240" s="474">
        <v>640800</v>
      </c>
      <c r="X7240" s="71"/>
      <c r="Y7240" s="71"/>
    </row>
    <row r="7241" spans="1:25" ht="30" hidden="1" customHeight="1" x14ac:dyDescent="0.25">
      <c r="A7241" s="1145">
        <v>45590</v>
      </c>
      <c r="B7241" s="664" t="s">
        <v>1061</v>
      </c>
      <c r="C7241" s="71" t="s">
        <v>1290</v>
      </c>
      <c r="D7241" s="71">
        <v>400</v>
      </c>
      <c r="E7241" s="102">
        <v>7910</v>
      </c>
      <c r="F7241" s="102">
        <f t="shared" si="4078"/>
        <v>3480400.0000000005</v>
      </c>
      <c r="G7241" s="102">
        <f t="shared" si="4084"/>
        <v>3164000</v>
      </c>
      <c r="H7241" s="690" t="s">
        <v>36</v>
      </c>
      <c r="I7241" s="71" t="s">
        <v>3320</v>
      </c>
      <c r="J7241" s="53">
        <f t="shared" si="4079"/>
        <v>240000</v>
      </c>
      <c r="K7241" s="63">
        <f t="shared" si="4081"/>
        <v>7.5853350189633365E-2</v>
      </c>
      <c r="L7241" s="1212" t="s">
        <v>4209</v>
      </c>
      <c r="M7241" s="468"/>
      <c r="N7241" s="1192">
        <f t="shared" si="4085"/>
        <v>45590</v>
      </c>
      <c r="O7241" s="71" t="s">
        <v>146</v>
      </c>
      <c r="P7241" s="103" t="str">
        <f t="shared" si="4055"/>
        <v>프리미어(청)</v>
      </c>
      <c r="Q7241" s="71">
        <f t="shared" si="4056"/>
        <v>400</v>
      </c>
      <c r="R7241" s="102">
        <v>7310</v>
      </c>
      <c r="S7241" s="102">
        <f t="shared" si="4070"/>
        <v>3216400.0000000005</v>
      </c>
      <c r="T7241" s="102">
        <f t="shared" si="4071"/>
        <v>2924000</v>
      </c>
      <c r="U7241" s="71" t="s">
        <v>859</v>
      </c>
      <c r="V7241" s="71"/>
      <c r="W7241" s="474">
        <v>846000</v>
      </c>
      <c r="X7241" s="71"/>
      <c r="Y7241" s="71"/>
    </row>
    <row r="7242" spans="1:25" ht="30" hidden="1" customHeight="1" x14ac:dyDescent="0.25">
      <c r="A7242" s="1145">
        <v>45590</v>
      </c>
      <c r="B7242" s="664" t="s">
        <v>1061</v>
      </c>
      <c r="C7242" s="71" t="s">
        <v>3322</v>
      </c>
      <c r="D7242" s="71"/>
      <c r="E7242" s="102">
        <v>7150</v>
      </c>
      <c r="F7242" s="102">
        <f t="shared" si="4078"/>
        <v>0</v>
      </c>
      <c r="G7242" s="102">
        <f t="shared" si="4084"/>
        <v>0</v>
      </c>
      <c r="H7242" s="690" t="s">
        <v>36</v>
      </c>
      <c r="I7242" s="71" t="s">
        <v>3320</v>
      </c>
      <c r="J7242" s="53">
        <f t="shared" si="4079"/>
        <v>0</v>
      </c>
      <c r="K7242" s="63" t="e">
        <f t="shared" si="4081"/>
        <v>#DIV/0!</v>
      </c>
      <c r="L7242" s="1212" t="s">
        <v>4209</v>
      </c>
      <c r="M7242" s="468"/>
      <c r="N7242" s="1192">
        <f t="shared" si="4085"/>
        <v>45590</v>
      </c>
      <c r="O7242" s="71" t="s">
        <v>3323</v>
      </c>
      <c r="P7242" s="103" t="str">
        <f t="shared" si="4055"/>
        <v>한특 잉크(적)</v>
      </c>
      <c r="Q7242" s="71">
        <f t="shared" si="4056"/>
        <v>0</v>
      </c>
      <c r="R7242" s="102">
        <v>6500</v>
      </c>
      <c r="S7242" s="102">
        <f t="shared" si="4070"/>
        <v>0</v>
      </c>
      <c r="T7242" s="102">
        <f t="shared" si="4071"/>
        <v>0</v>
      </c>
      <c r="U7242" s="71" t="s">
        <v>859</v>
      </c>
      <c r="V7242" s="71"/>
      <c r="W7242" s="474">
        <v>0</v>
      </c>
      <c r="X7242" s="71"/>
      <c r="Y7242" s="71"/>
    </row>
    <row r="7243" spans="1:25" ht="30" hidden="1" customHeight="1" x14ac:dyDescent="0.25">
      <c r="A7243" s="1145">
        <v>45590</v>
      </c>
      <c r="B7243" s="664" t="s">
        <v>1061</v>
      </c>
      <c r="C7243" s="71" t="s">
        <v>3324</v>
      </c>
      <c r="D7243" s="71"/>
      <c r="E7243" s="102">
        <v>6900</v>
      </c>
      <c r="F7243" s="102">
        <f t="shared" si="4078"/>
        <v>0</v>
      </c>
      <c r="G7243" s="102">
        <f t="shared" si="4084"/>
        <v>0</v>
      </c>
      <c r="H7243" s="690" t="s">
        <v>36</v>
      </c>
      <c r="I7243" s="71" t="s">
        <v>3320</v>
      </c>
      <c r="J7243" s="53">
        <f t="shared" si="4079"/>
        <v>0</v>
      </c>
      <c r="K7243" s="63" t="e">
        <f t="shared" si="4081"/>
        <v>#DIV/0!</v>
      </c>
      <c r="L7243" s="1212" t="s">
        <v>4209</v>
      </c>
      <c r="M7243" s="468"/>
      <c r="N7243" s="1192">
        <f t="shared" si="4085"/>
        <v>45590</v>
      </c>
      <c r="O7243" s="71" t="s">
        <v>3323</v>
      </c>
      <c r="P7243" s="103" t="str">
        <f t="shared" si="4055"/>
        <v>한특 잉크(황)</v>
      </c>
      <c r="Q7243" s="71">
        <f t="shared" si="4056"/>
        <v>0</v>
      </c>
      <c r="R7243" s="102">
        <v>6200</v>
      </c>
      <c r="S7243" s="102">
        <f t="shared" si="4070"/>
        <v>0</v>
      </c>
      <c r="T7243" s="102">
        <f t="shared" si="4071"/>
        <v>0</v>
      </c>
      <c r="U7243" s="71" t="s">
        <v>859</v>
      </c>
      <c r="V7243" s="71"/>
      <c r="W7243" s="474">
        <v>0</v>
      </c>
      <c r="X7243" s="71"/>
      <c r="Y7243" s="71"/>
    </row>
    <row r="7244" spans="1:25" ht="28.5" hidden="1" customHeight="1" x14ac:dyDescent="0.25">
      <c r="A7244" s="1145">
        <v>45590</v>
      </c>
      <c r="B7244" s="664" t="s">
        <v>1061</v>
      </c>
      <c r="C7244" s="71" t="s">
        <v>3325</v>
      </c>
      <c r="D7244" s="71"/>
      <c r="E7244" s="102">
        <v>7500</v>
      </c>
      <c r="F7244" s="102">
        <f t="shared" si="4078"/>
        <v>0</v>
      </c>
      <c r="G7244" s="102">
        <f t="shared" si="4084"/>
        <v>0</v>
      </c>
      <c r="H7244" s="690" t="s">
        <v>36</v>
      </c>
      <c r="I7244" s="71" t="s">
        <v>3320</v>
      </c>
      <c r="J7244" s="53">
        <f t="shared" si="4079"/>
        <v>0</v>
      </c>
      <c r="K7244" s="63" t="e">
        <f t="shared" si="4081"/>
        <v>#DIV/0!</v>
      </c>
      <c r="L7244" s="1212" t="s">
        <v>4209</v>
      </c>
      <c r="M7244" s="468"/>
      <c r="N7244" s="1192">
        <f t="shared" si="4085"/>
        <v>45590</v>
      </c>
      <c r="O7244" s="71" t="s">
        <v>3323</v>
      </c>
      <c r="P7244" s="103" t="str">
        <f t="shared" si="4055"/>
        <v>한특 잉크(청)</v>
      </c>
      <c r="Q7244" s="71">
        <f t="shared" si="4056"/>
        <v>0</v>
      </c>
      <c r="R7244" s="102">
        <v>6600</v>
      </c>
      <c r="S7244" s="102">
        <f t="shared" si="4070"/>
        <v>0</v>
      </c>
      <c r="T7244" s="102">
        <f t="shared" si="4071"/>
        <v>0</v>
      </c>
      <c r="U7244" s="71" t="s">
        <v>859</v>
      </c>
      <c r="V7244" s="71"/>
      <c r="W7244" s="474">
        <v>0</v>
      </c>
      <c r="X7244" s="71"/>
      <c r="Y7244" s="71"/>
    </row>
    <row r="7245" spans="1:25" ht="30" hidden="1" customHeight="1" x14ac:dyDescent="0.25">
      <c r="A7245" s="1145">
        <v>45590</v>
      </c>
      <c r="B7245" s="664" t="s">
        <v>1061</v>
      </c>
      <c r="C7245" s="71" t="s">
        <v>3326</v>
      </c>
      <c r="D7245" s="71"/>
      <c r="E7245" s="102">
        <v>6450</v>
      </c>
      <c r="F7245" s="102">
        <f t="shared" si="4078"/>
        <v>0</v>
      </c>
      <c r="G7245" s="102">
        <f t="shared" si="4084"/>
        <v>0</v>
      </c>
      <c r="H7245" s="690" t="s">
        <v>36</v>
      </c>
      <c r="I7245" s="71" t="s">
        <v>3320</v>
      </c>
      <c r="J7245" s="53">
        <f t="shared" si="4079"/>
        <v>0</v>
      </c>
      <c r="K7245" s="63" t="e">
        <f t="shared" si="4081"/>
        <v>#DIV/0!</v>
      </c>
      <c r="L7245" s="1212" t="s">
        <v>4209</v>
      </c>
      <c r="M7245" s="468"/>
      <c r="N7245" s="1192">
        <f t="shared" si="4085"/>
        <v>45590</v>
      </c>
      <c r="O7245" s="71" t="s">
        <v>3323</v>
      </c>
      <c r="P7245" s="103" t="str">
        <f t="shared" si="4055"/>
        <v>한특 잉크(먹)</v>
      </c>
      <c r="Q7245" s="71">
        <f t="shared" si="4056"/>
        <v>0</v>
      </c>
      <c r="R7245" s="102">
        <v>5700</v>
      </c>
      <c r="S7245" s="102">
        <f t="shared" si="4070"/>
        <v>0</v>
      </c>
      <c r="T7245" s="102">
        <f t="shared" si="4071"/>
        <v>0</v>
      </c>
      <c r="U7245" s="71" t="s">
        <v>859</v>
      </c>
      <c r="V7245" s="71"/>
      <c r="W7245" s="474">
        <v>0</v>
      </c>
      <c r="X7245" s="71"/>
      <c r="Y7245" s="71"/>
    </row>
    <row r="7246" spans="1:25" ht="30" hidden="1" customHeight="1" x14ac:dyDescent="0.25">
      <c r="A7246" s="1145">
        <v>45590</v>
      </c>
      <c r="B7246" s="664" t="s">
        <v>1061</v>
      </c>
      <c r="C7246" s="71" t="s">
        <v>4215</v>
      </c>
      <c r="D7246" s="71">
        <v>120</v>
      </c>
      <c r="E7246" s="102">
        <v>33500</v>
      </c>
      <c r="F7246" s="102">
        <f t="shared" si="4078"/>
        <v>4422000</v>
      </c>
      <c r="G7246" s="102">
        <f t="shared" si="4084"/>
        <v>4020000</v>
      </c>
      <c r="H7246" s="690" t="s">
        <v>36</v>
      </c>
      <c r="I7246" s="71" t="s">
        <v>3320</v>
      </c>
      <c r="J7246" s="53">
        <f t="shared" si="4079"/>
        <v>300000</v>
      </c>
      <c r="K7246" s="63">
        <f t="shared" si="4081"/>
        <v>7.4626865671641784E-2</v>
      </c>
      <c r="L7246" s="1212" t="s">
        <v>4209</v>
      </c>
      <c r="M7246" s="468"/>
      <c r="N7246" s="1192">
        <f t="shared" si="4085"/>
        <v>45590</v>
      </c>
      <c r="O7246" s="71" t="s">
        <v>2459</v>
      </c>
      <c r="P7246" s="103" t="str">
        <f t="shared" si="4055"/>
        <v>별색 - 프린피아 PT-803</v>
      </c>
      <c r="Q7246" s="71">
        <f t="shared" si="4056"/>
        <v>120</v>
      </c>
      <c r="R7246" s="102">
        <v>31000</v>
      </c>
      <c r="S7246" s="102">
        <f t="shared" si="4070"/>
        <v>4092000.0000000005</v>
      </c>
      <c r="T7246" s="102">
        <f t="shared" si="4071"/>
        <v>3720000</v>
      </c>
      <c r="U7246" s="71"/>
      <c r="V7246" s="71"/>
      <c r="W7246" s="474"/>
      <c r="X7246" s="71"/>
      <c r="Y7246" s="71"/>
    </row>
    <row r="7247" spans="1:25" ht="30" hidden="1" customHeight="1" x14ac:dyDescent="0.25">
      <c r="A7247" s="1145">
        <v>45590</v>
      </c>
      <c r="B7247" s="664" t="s">
        <v>1061</v>
      </c>
      <c r="C7247" s="71" t="s">
        <v>4123</v>
      </c>
      <c r="D7247" s="71">
        <v>0</v>
      </c>
      <c r="E7247" s="102">
        <v>12500</v>
      </c>
      <c r="F7247" s="102">
        <f t="shared" si="4078"/>
        <v>0</v>
      </c>
      <c r="G7247" s="102">
        <f t="shared" si="4084"/>
        <v>0</v>
      </c>
      <c r="H7247" s="690" t="s">
        <v>36</v>
      </c>
      <c r="I7247" s="71" t="s">
        <v>3320</v>
      </c>
      <c r="J7247" s="53">
        <f t="shared" si="4079"/>
        <v>0</v>
      </c>
      <c r="K7247" s="63" t="e">
        <f t="shared" si="4081"/>
        <v>#DIV/0!</v>
      </c>
      <c r="L7247" s="1212" t="s">
        <v>4209</v>
      </c>
      <c r="M7247" s="468"/>
      <c r="N7247" s="1192">
        <f t="shared" si="4085"/>
        <v>45590</v>
      </c>
      <c r="O7247" s="71" t="s">
        <v>3323</v>
      </c>
      <c r="P7247" s="103" t="str">
        <f t="shared" si="4055"/>
        <v>별색 - P 2370</v>
      </c>
      <c r="Q7247" s="71">
        <f t="shared" si="4056"/>
        <v>0</v>
      </c>
      <c r="R7247" s="102">
        <v>11700</v>
      </c>
      <c r="S7247" s="102">
        <f t="shared" si="4070"/>
        <v>0</v>
      </c>
      <c r="T7247" s="102">
        <f t="shared" si="4071"/>
        <v>0</v>
      </c>
      <c r="U7247" s="71"/>
      <c r="V7247" s="71"/>
      <c r="W7247" s="474"/>
      <c r="X7247" s="71"/>
      <c r="Y7247" s="71"/>
    </row>
    <row r="7248" spans="1:25" ht="30" hidden="1" customHeight="1" x14ac:dyDescent="0.25">
      <c r="A7248" s="1145">
        <v>45590</v>
      </c>
      <c r="B7248" s="664" t="s">
        <v>3307</v>
      </c>
      <c r="C7248" s="71" t="s">
        <v>3916</v>
      </c>
      <c r="D7248" s="71">
        <v>8</v>
      </c>
      <c r="E7248" s="102">
        <v>218000</v>
      </c>
      <c r="F7248" s="102">
        <f t="shared" si="4078"/>
        <v>1918400.0000000002</v>
      </c>
      <c r="G7248" s="102">
        <f t="shared" si="4084"/>
        <v>1744000</v>
      </c>
      <c r="H7248" s="690" t="s">
        <v>172</v>
      </c>
      <c r="I7248" s="71" t="s">
        <v>33</v>
      </c>
      <c r="J7248" s="53">
        <f t="shared" si="4079"/>
        <v>412000</v>
      </c>
      <c r="K7248" s="63">
        <f t="shared" si="4081"/>
        <v>0.23623853211009171</v>
      </c>
      <c r="L7248" s="1212" t="s">
        <v>4209</v>
      </c>
      <c r="M7248" s="468" t="s">
        <v>3965</v>
      </c>
      <c r="N7248" s="1192">
        <f t="shared" si="4085"/>
        <v>45590</v>
      </c>
      <c r="O7248" s="71" t="s">
        <v>662</v>
      </c>
      <c r="P7248" s="103" t="str">
        <f t="shared" si="4055"/>
        <v>윤전 블랑켓</v>
      </c>
      <c r="Q7248" s="71">
        <f t="shared" si="4056"/>
        <v>8</v>
      </c>
      <c r="R7248" s="102">
        <v>166500</v>
      </c>
      <c r="S7248" s="102">
        <f t="shared" si="4070"/>
        <v>1465200.0000000002</v>
      </c>
      <c r="T7248" s="102">
        <f t="shared" si="4071"/>
        <v>1332000</v>
      </c>
      <c r="U7248" s="71" t="s">
        <v>859</v>
      </c>
      <c r="V7248" s="71" t="s">
        <v>728</v>
      </c>
      <c r="W7248" s="474">
        <v>464000</v>
      </c>
      <c r="X7248" s="71"/>
      <c r="Y7248" s="71"/>
    </row>
    <row r="7249" spans="1:25" ht="30" hidden="1" customHeight="1" x14ac:dyDescent="0.25">
      <c r="A7249" s="1145">
        <v>45590</v>
      </c>
      <c r="B7249" s="664" t="s">
        <v>3307</v>
      </c>
      <c r="C7249" s="71" t="s">
        <v>3918</v>
      </c>
      <c r="D7249" s="71">
        <v>1</v>
      </c>
      <c r="E7249" s="102">
        <v>2350000</v>
      </c>
      <c r="F7249" s="102">
        <f t="shared" si="4078"/>
        <v>2585000</v>
      </c>
      <c r="G7249" s="102">
        <f t="shared" si="4084"/>
        <v>2350000</v>
      </c>
      <c r="H7249" s="690" t="s">
        <v>36</v>
      </c>
      <c r="I7249" s="690" t="s">
        <v>36</v>
      </c>
      <c r="J7249" s="53">
        <f t="shared" si="4079"/>
        <v>600000</v>
      </c>
      <c r="K7249" s="63">
        <f t="shared" si="4081"/>
        <v>0.25531914893617019</v>
      </c>
      <c r="L7249" s="1212" t="s">
        <v>4209</v>
      </c>
      <c r="M7249" s="468"/>
      <c r="N7249" s="1192">
        <f t="shared" si="4085"/>
        <v>45590</v>
      </c>
      <c r="O7249" s="71" t="s">
        <v>3298</v>
      </c>
      <c r="P7249" s="103" t="str">
        <f t="shared" si="4055"/>
        <v>10월분 Apogee 사용료</v>
      </c>
      <c r="Q7249" s="71">
        <f t="shared" si="4056"/>
        <v>1</v>
      </c>
      <c r="R7249" s="147">
        <v>1750000</v>
      </c>
      <c r="S7249" s="102">
        <f t="shared" si="4070"/>
        <v>1925000.0000000002</v>
      </c>
      <c r="T7249" s="102">
        <f t="shared" si="4071"/>
        <v>1750000</v>
      </c>
      <c r="U7249" s="71"/>
      <c r="V7249" s="71"/>
      <c r="W7249" s="474"/>
      <c r="X7249" s="71"/>
      <c r="Y7249" s="71"/>
    </row>
    <row r="7250" spans="1:25" ht="30" hidden="1" customHeight="1" x14ac:dyDescent="0.25">
      <c r="A7250" s="1145">
        <v>45590</v>
      </c>
      <c r="B7250" s="664" t="s">
        <v>575</v>
      </c>
      <c r="C7250" s="71" t="s">
        <v>4058</v>
      </c>
      <c r="D7250" s="71">
        <v>0</v>
      </c>
      <c r="E7250" s="102">
        <v>27000</v>
      </c>
      <c r="F7250" s="102">
        <f t="shared" si="4078"/>
        <v>0</v>
      </c>
      <c r="G7250" s="102">
        <f t="shared" si="4084"/>
        <v>0</v>
      </c>
      <c r="H7250" s="690" t="s">
        <v>179</v>
      </c>
      <c r="I7250" s="71" t="s">
        <v>142</v>
      </c>
      <c r="J7250" s="53">
        <f t="shared" si="4079"/>
        <v>0</v>
      </c>
      <c r="K7250" s="63" t="e">
        <f t="shared" si="4081"/>
        <v>#DIV/0!</v>
      </c>
      <c r="L7250" s="1212" t="s">
        <v>4209</v>
      </c>
      <c r="M7250" s="468"/>
      <c r="N7250" s="1192">
        <f t="shared" si="4085"/>
        <v>45590</v>
      </c>
      <c r="O7250" s="71" t="s">
        <v>151</v>
      </c>
      <c r="P7250" s="103" t="str">
        <f t="shared" si="4055"/>
        <v>국전 블랑켓 패킹지</v>
      </c>
      <c r="Q7250" s="71">
        <f t="shared" si="4056"/>
        <v>0</v>
      </c>
      <c r="R7250" s="147">
        <v>22600</v>
      </c>
      <c r="S7250" s="102">
        <f t="shared" si="4070"/>
        <v>0</v>
      </c>
      <c r="T7250" s="102">
        <f t="shared" si="4071"/>
        <v>0</v>
      </c>
      <c r="U7250" s="71"/>
      <c r="V7250" s="71"/>
      <c r="W7250" s="474"/>
      <c r="X7250" s="71"/>
      <c r="Y7250" s="71"/>
    </row>
    <row r="7251" spans="1:25" ht="30" customHeight="1" x14ac:dyDescent="0.25">
      <c r="A7251" s="1145">
        <v>45590</v>
      </c>
      <c r="B7251" s="664" t="s">
        <v>641</v>
      </c>
      <c r="C7251" s="71" t="s">
        <v>3293</v>
      </c>
      <c r="D7251" s="71">
        <v>40</v>
      </c>
      <c r="E7251" s="102">
        <v>84000</v>
      </c>
      <c r="F7251" s="102">
        <f t="shared" si="4078"/>
        <v>3696000.0000000005</v>
      </c>
      <c r="G7251" s="102">
        <f t="shared" si="4084"/>
        <v>3360000</v>
      </c>
      <c r="H7251" s="690" t="s">
        <v>172</v>
      </c>
      <c r="I7251" s="71" t="s">
        <v>38</v>
      </c>
      <c r="J7251" s="53">
        <f t="shared" si="4079"/>
        <v>1320000</v>
      </c>
      <c r="K7251" s="63">
        <f t="shared" si="4081"/>
        <v>0.39285714285714279</v>
      </c>
      <c r="L7251" s="1212" t="s">
        <v>4209</v>
      </c>
      <c r="M7251" s="468"/>
      <c r="N7251" s="1192">
        <f t="shared" si="4085"/>
        <v>45590</v>
      </c>
      <c r="O7251" s="71" t="s">
        <v>3291</v>
      </c>
      <c r="P7251" s="103" t="str">
        <f t="shared" si="4055"/>
        <v>GOSS 신문윤전 습식세정포</v>
      </c>
      <c r="Q7251" s="71">
        <f t="shared" si="4056"/>
        <v>40</v>
      </c>
      <c r="R7251" s="102">
        <v>51000</v>
      </c>
      <c r="S7251" s="102">
        <f t="shared" si="4070"/>
        <v>2244000</v>
      </c>
      <c r="T7251" s="102">
        <f t="shared" si="4071"/>
        <v>2040000</v>
      </c>
      <c r="U7251" s="71" t="str">
        <f>IF(J7251=W7251,"O", "X")</f>
        <v>X</v>
      </c>
      <c r="V7251" s="71"/>
      <c r="W7251" s="474"/>
      <c r="X7251" s="71"/>
      <c r="Y7251" s="71"/>
    </row>
    <row r="7252" spans="1:25" ht="30" customHeight="1" x14ac:dyDescent="0.25">
      <c r="A7252" s="1145">
        <v>45583</v>
      </c>
      <c r="B7252" s="664" t="s">
        <v>641</v>
      </c>
      <c r="C7252" s="71" t="s">
        <v>3722</v>
      </c>
      <c r="D7252" s="71">
        <v>30</v>
      </c>
      <c r="E7252" s="102">
        <v>255300</v>
      </c>
      <c r="F7252" s="102">
        <f t="shared" si="4078"/>
        <v>8424900</v>
      </c>
      <c r="G7252" s="102">
        <f t="shared" si="4084"/>
        <v>7659000</v>
      </c>
      <c r="H7252" s="690" t="s">
        <v>142</v>
      </c>
      <c r="I7252" s="71" t="s">
        <v>142</v>
      </c>
      <c r="J7252" s="53">
        <f t="shared" si="4079"/>
        <v>7659000</v>
      </c>
      <c r="K7252" s="63">
        <f t="shared" si="4081"/>
        <v>1</v>
      </c>
      <c r="L7252" s="1212" t="s">
        <v>4209</v>
      </c>
      <c r="M7252" s="468"/>
      <c r="N7252" s="1192">
        <f t="shared" si="4085"/>
        <v>45583</v>
      </c>
      <c r="O7252" s="71" t="s">
        <v>1431</v>
      </c>
      <c r="P7252" s="103" t="str">
        <f t="shared" si="4055"/>
        <v>고무 롤러 유압 실린더</v>
      </c>
      <c r="Q7252" s="71">
        <f t="shared" si="4056"/>
        <v>30</v>
      </c>
      <c r="R7252" s="147"/>
      <c r="S7252" s="102">
        <f t="shared" si="4070"/>
        <v>0</v>
      </c>
      <c r="T7252" s="102">
        <f t="shared" si="4071"/>
        <v>0</v>
      </c>
      <c r="U7252" s="71"/>
      <c r="V7252" s="71"/>
      <c r="W7252" s="474"/>
      <c r="X7252" s="71"/>
      <c r="Y7252" s="71"/>
    </row>
    <row r="7253" spans="1:25" ht="30" customHeight="1" x14ac:dyDescent="0.25">
      <c r="A7253" s="1145">
        <v>45587</v>
      </c>
      <c r="B7253" s="664" t="s">
        <v>2352</v>
      </c>
      <c r="C7253" s="71" t="s">
        <v>3836</v>
      </c>
      <c r="D7253" s="71">
        <v>64</v>
      </c>
      <c r="E7253" s="102">
        <v>18500</v>
      </c>
      <c r="F7253" s="102">
        <f t="shared" si="4078"/>
        <v>1302400</v>
      </c>
      <c r="G7253" s="102">
        <f t="shared" si="4084"/>
        <v>1184000</v>
      </c>
      <c r="H7253" s="690" t="s">
        <v>179</v>
      </c>
      <c r="I7253" s="71" t="s">
        <v>179</v>
      </c>
      <c r="J7253" s="53">
        <f t="shared" si="4079"/>
        <v>474624</v>
      </c>
      <c r="K7253" s="63">
        <f t="shared" si="4081"/>
        <v>0.40086486486486489</v>
      </c>
      <c r="L7253" s="1212" t="s">
        <v>4209</v>
      </c>
      <c r="M7253" s="468"/>
      <c r="N7253" s="1192">
        <f t="shared" si="4085"/>
        <v>45587</v>
      </c>
      <c r="O7253" s="71"/>
      <c r="P7253" s="103" t="str">
        <f t="shared" si="4055"/>
        <v>고모리 윤전 블랑켓 건식 세정포 - 국전용</v>
      </c>
      <c r="Q7253" s="71">
        <f t="shared" si="4056"/>
        <v>64</v>
      </c>
      <c r="R7253" s="102">
        <v>11084</v>
      </c>
      <c r="S7253" s="102">
        <f t="shared" si="4070"/>
        <v>780313.60000000009</v>
      </c>
      <c r="T7253" s="102">
        <f t="shared" si="4071"/>
        <v>709376</v>
      </c>
      <c r="U7253" s="71"/>
      <c r="V7253" s="71"/>
      <c r="W7253" s="474"/>
      <c r="X7253" s="71"/>
      <c r="Y7253" s="71"/>
    </row>
    <row r="7254" spans="1:25" ht="30" customHeight="1" x14ac:dyDescent="0.25">
      <c r="A7254" s="1145">
        <v>45587</v>
      </c>
      <c r="B7254" s="664" t="s">
        <v>2536</v>
      </c>
      <c r="C7254" s="71" t="s">
        <v>3590</v>
      </c>
      <c r="D7254" s="71">
        <v>100</v>
      </c>
      <c r="E7254" s="102">
        <v>24000</v>
      </c>
      <c r="F7254" s="102">
        <f t="shared" si="4078"/>
        <v>2640000</v>
      </c>
      <c r="G7254" s="102">
        <f t="shared" si="4084"/>
        <v>2400000</v>
      </c>
      <c r="H7254" s="690" t="s">
        <v>142</v>
      </c>
      <c r="I7254" s="71" t="s">
        <v>179</v>
      </c>
      <c r="J7254" s="53">
        <f t="shared" si="4079"/>
        <v>760000</v>
      </c>
      <c r="K7254" s="63">
        <f t="shared" si="4081"/>
        <v>0.31666666666666665</v>
      </c>
      <c r="L7254" s="1212" t="s">
        <v>4209</v>
      </c>
      <c r="M7254" s="468"/>
      <c r="N7254" s="1192">
        <f t="shared" si="4085"/>
        <v>45587</v>
      </c>
      <c r="O7254" s="71" t="s">
        <v>3709</v>
      </c>
      <c r="P7254" s="103" t="str">
        <f t="shared" si="4055"/>
        <v>3M 양면 테이프</v>
      </c>
      <c r="Q7254" s="71">
        <f t="shared" si="4056"/>
        <v>100</v>
      </c>
      <c r="R7254" s="102">
        <v>16400</v>
      </c>
      <c r="S7254" s="102">
        <f t="shared" si="4070"/>
        <v>1804000.0000000002</v>
      </c>
      <c r="T7254" s="102">
        <f t="shared" si="4071"/>
        <v>1640000</v>
      </c>
      <c r="U7254" s="71"/>
      <c r="V7254" s="71"/>
      <c r="W7254" s="474"/>
      <c r="X7254" s="71"/>
      <c r="Y7254" s="71"/>
    </row>
    <row r="7255" spans="1:25" ht="30" hidden="1" customHeight="1" x14ac:dyDescent="0.25">
      <c r="A7255" s="1145">
        <v>45575</v>
      </c>
      <c r="B7255" s="664" t="s">
        <v>2579</v>
      </c>
      <c r="C7255" s="71" t="s">
        <v>3738</v>
      </c>
      <c r="D7255" s="71">
        <v>15</v>
      </c>
      <c r="E7255" s="102">
        <v>130000</v>
      </c>
      <c r="F7255" s="102">
        <f t="shared" si="4078"/>
        <v>2145000</v>
      </c>
      <c r="G7255" s="102">
        <f t="shared" si="4084"/>
        <v>1950000</v>
      </c>
      <c r="H7255" s="690" t="s">
        <v>142</v>
      </c>
      <c r="I7255" s="71" t="s">
        <v>142</v>
      </c>
      <c r="J7255" s="53">
        <f t="shared" si="4079"/>
        <v>508500</v>
      </c>
      <c r="K7255" s="63">
        <f t="shared" si="4081"/>
        <v>0.26076923076923075</v>
      </c>
      <c r="L7255" s="1212" t="s">
        <v>4209</v>
      </c>
      <c r="M7255" s="468"/>
      <c r="N7255" s="1192">
        <f t="shared" si="4085"/>
        <v>45575</v>
      </c>
      <c r="O7255" s="71" t="s">
        <v>147</v>
      </c>
      <c r="P7255" s="103" t="str">
        <f t="shared" si="4055"/>
        <v>블랑켓 - 고모리 용 (1040*920)</v>
      </c>
      <c r="Q7255" s="71">
        <f t="shared" si="4056"/>
        <v>15</v>
      </c>
      <c r="R7255" s="102">
        <v>96100</v>
      </c>
      <c r="S7255" s="102">
        <f t="shared" si="4070"/>
        <v>1585650.0000000002</v>
      </c>
      <c r="T7255" s="102">
        <f t="shared" si="4071"/>
        <v>1441500</v>
      </c>
      <c r="U7255" s="71"/>
      <c r="V7255" s="71"/>
      <c r="W7255" s="474"/>
      <c r="X7255" s="71"/>
      <c r="Y7255" s="71"/>
    </row>
    <row r="7256" spans="1:25" s="209" customFormat="1" ht="30" hidden="1" customHeight="1" x14ac:dyDescent="0.25">
      <c r="A7256" s="1145">
        <v>45575</v>
      </c>
      <c r="B7256" s="664" t="s">
        <v>2353</v>
      </c>
      <c r="C7256" s="71" t="s">
        <v>130</v>
      </c>
      <c r="D7256" s="71">
        <v>15</v>
      </c>
      <c r="E7256" s="102">
        <v>148000</v>
      </c>
      <c r="F7256" s="102">
        <f t="shared" si="4078"/>
        <v>2442000</v>
      </c>
      <c r="G7256" s="102">
        <f t="shared" si="4084"/>
        <v>2220000</v>
      </c>
      <c r="H7256" s="690" t="s">
        <v>142</v>
      </c>
      <c r="I7256" s="71" t="s">
        <v>179</v>
      </c>
      <c r="J7256" s="53">
        <f t="shared" si="4079"/>
        <v>540000</v>
      </c>
      <c r="K7256" s="63">
        <f t="shared" si="4081"/>
        <v>0.24324324324324326</v>
      </c>
      <c r="L7256" s="1212" t="s">
        <v>4209</v>
      </c>
      <c r="M7256" s="468" t="s">
        <v>2050</v>
      </c>
      <c r="N7256" s="1192">
        <f t="shared" si="4085"/>
        <v>45575</v>
      </c>
      <c r="O7256" s="71" t="s">
        <v>3383</v>
      </c>
      <c r="P7256" s="103" t="str">
        <f t="shared" si="4055"/>
        <v>XL106 Blanket(1077*885)</v>
      </c>
      <c r="Q7256" s="71">
        <f t="shared" si="4056"/>
        <v>15</v>
      </c>
      <c r="R7256" s="102">
        <v>112000</v>
      </c>
      <c r="S7256" s="102">
        <f t="shared" si="4070"/>
        <v>1848000.0000000002</v>
      </c>
      <c r="T7256" s="102">
        <f t="shared" si="4071"/>
        <v>1680000</v>
      </c>
      <c r="U7256" s="71" t="s">
        <v>859</v>
      </c>
      <c r="V7256" s="71"/>
      <c r="W7256" s="474">
        <v>260000</v>
      </c>
      <c r="X7256" s="71"/>
      <c r="Y7256" s="71"/>
    </row>
    <row r="7257" spans="1:25" ht="30" hidden="1" customHeight="1" x14ac:dyDescent="0.25">
      <c r="A7257" s="1145">
        <v>45575</v>
      </c>
      <c r="B7257" s="664" t="s">
        <v>2353</v>
      </c>
      <c r="C7257" s="71" t="s">
        <v>129</v>
      </c>
      <c r="D7257" s="71">
        <v>7</v>
      </c>
      <c r="E7257" s="102">
        <v>325000</v>
      </c>
      <c r="F7257" s="102">
        <f t="shared" si="4078"/>
        <v>2502500</v>
      </c>
      <c r="G7257" s="102">
        <f t="shared" si="4084"/>
        <v>2275000</v>
      </c>
      <c r="H7257" s="690" t="s">
        <v>142</v>
      </c>
      <c r="I7257" s="71" t="s">
        <v>179</v>
      </c>
      <c r="J7257" s="53">
        <f t="shared" si="4079"/>
        <v>636440</v>
      </c>
      <c r="K7257" s="63">
        <f t="shared" si="4081"/>
        <v>0.27975384615384613</v>
      </c>
      <c r="L7257" s="1212" t="s">
        <v>4209</v>
      </c>
      <c r="M7257" s="468" t="s">
        <v>2050</v>
      </c>
      <c r="N7257" s="1192">
        <f t="shared" si="4085"/>
        <v>45575</v>
      </c>
      <c r="O7257" s="71" t="s">
        <v>149</v>
      </c>
      <c r="P7257" s="103" t="str">
        <f t="shared" si="4055"/>
        <v>세정포-XL106</v>
      </c>
      <c r="Q7257" s="71">
        <f t="shared" si="4056"/>
        <v>7</v>
      </c>
      <c r="R7257" s="102">
        <v>234080</v>
      </c>
      <c r="S7257" s="102">
        <f t="shared" si="4070"/>
        <v>1802416.0000000002</v>
      </c>
      <c r="T7257" s="102">
        <f t="shared" si="4071"/>
        <v>1638560</v>
      </c>
      <c r="U7257" s="71" t="str">
        <f>IF(J7257=W7257,"O", "X")</f>
        <v>O</v>
      </c>
      <c r="V7257" s="71"/>
      <c r="W7257" s="474">
        <f>(G7257-T7257)</f>
        <v>636440</v>
      </c>
      <c r="X7257" s="71"/>
      <c r="Y7257" s="71"/>
    </row>
    <row r="7258" spans="1:25" s="209" customFormat="1" ht="30" hidden="1" customHeight="1" x14ac:dyDescent="0.25">
      <c r="A7258" s="1145">
        <v>45575</v>
      </c>
      <c r="B7258" s="664" t="s">
        <v>2353</v>
      </c>
      <c r="C7258" s="71" t="s">
        <v>3299</v>
      </c>
      <c r="D7258" s="71">
        <v>10</v>
      </c>
      <c r="E7258" s="102">
        <v>83000</v>
      </c>
      <c r="F7258" s="102">
        <f t="shared" si="4078"/>
        <v>913000.00000000012</v>
      </c>
      <c r="G7258" s="102">
        <f t="shared" si="4084"/>
        <v>830000</v>
      </c>
      <c r="H7258" s="690" t="s">
        <v>142</v>
      </c>
      <c r="I7258" s="71" t="s">
        <v>179</v>
      </c>
      <c r="J7258" s="53">
        <f t="shared" si="4079"/>
        <v>355000</v>
      </c>
      <c r="K7258" s="63">
        <f t="shared" si="4081"/>
        <v>0.42771084337349391</v>
      </c>
      <c r="L7258" s="1212" t="s">
        <v>4209</v>
      </c>
      <c r="M7258" s="468" t="s">
        <v>2214</v>
      </c>
      <c r="N7258" s="1192">
        <f t="shared" si="4085"/>
        <v>45575</v>
      </c>
      <c r="O7258" s="71" t="s">
        <v>3383</v>
      </c>
      <c r="P7258" s="103" t="str">
        <f t="shared" si="4055"/>
        <v>매엽용 세척제(Wash k11)</v>
      </c>
      <c r="Q7258" s="71">
        <f t="shared" si="4056"/>
        <v>10</v>
      </c>
      <c r="R7258" s="102">
        <v>47500</v>
      </c>
      <c r="S7258" s="102">
        <f t="shared" si="4070"/>
        <v>522500.00000000006</v>
      </c>
      <c r="T7258" s="102">
        <f t="shared" si="4071"/>
        <v>475000</v>
      </c>
      <c r="U7258" s="71" t="s">
        <v>859</v>
      </c>
      <c r="V7258" s="71"/>
      <c r="W7258" s="474">
        <v>136000</v>
      </c>
      <c r="X7258" s="71"/>
      <c r="Y7258" s="71"/>
    </row>
    <row r="7259" spans="1:25" s="209" customFormat="1" ht="30" hidden="1" customHeight="1" x14ac:dyDescent="0.25">
      <c r="A7259" s="1145">
        <v>45575</v>
      </c>
      <c r="B7259" s="664" t="s">
        <v>2353</v>
      </c>
      <c r="C7259" s="71" t="s">
        <v>3843</v>
      </c>
      <c r="D7259" s="71">
        <v>4</v>
      </c>
      <c r="E7259" s="102">
        <v>180000</v>
      </c>
      <c r="F7259" s="102">
        <f t="shared" si="4078"/>
        <v>792000.00000000012</v>
      </c>
      <c r="G7259" s="102">
        <f t="shared" si="4084"/>
        <v>720000</v>
      </c>
      <c r="H7259" s="690" t="s">
        <v>179</v>
      </c>
      <c r="I7259" s="71" t="s">
        <v>179</v>
      </c>
      <c r="J7259" s="53">
        <f t="shared" si="4079"/>
        <v>192000</v>
      </c>
      <c r="K7259" s="63">
        <f t="shared" si="4081"/>
        <v>0.26666666666666661</v>
      </c>
      <c r="L7259" s="1212" t="s">
        <v>4209</v>
      </c>
      <c r="M7259" s="468"/>
      <c r="N7259" s="1192">
        <f t="shared" si="4085"/>
        <v>45575</v>
      </c>
      <c r="O7259" s="71" t="s">
        <v>3383</v>
      </c>
      <c r="P7259" s="103" t="str">
        <f t="shared" si="4055"/>
        <v>수이보 세척액(습수액 클리너)</v>
      </c>
      <c r="Q7259" s="71">
        <f t="shared" si="4056"/>
        <v>4</v>
      </c>
      <c r="R7259" s="102">
        <f>11000*12</f>
        <v>132000</v>
      </c>
      <c r="S7259" s="102">
        <f t="shared" si="4070"/>
        <v>580800</v>
      </c>
      <c r="T7259" s="102">
        <f t="shared" si="4071"/>
        <v>528000</v>
      </c>
      <c r="U7259" s="71"/>
      <c r="V7259" s="71"/>
      <c r="W7259" s="474"/>
      <c r="X7259" s="71"/>
      <c r="Y7259" s="71"/>
    </row>
    <row r="7260" spans="1:25" ht="30" hidden="1" customHeight="1" x14ac:dyDescent="0.25">
      <c r="A7260" s="1145">
        <v>45588</v>
      </c>
      <c r="B7260" s="664" t="s">
        <v>2353</v>
      </c>
      <c r="C7260" s="71" t="s">
        <v>129</v>
      </c>
      <c r="D7260" s="71">
        <v>7</v>
      </c>
      <c r="E7260" s="102">
        <v>325000</v>
      </c>
      <c r="F7260" s="102">
        <f t="shared" ref="F7260:F7269" si="4088">(E7260*D7260)*1.1</f>
        <v>2502500</v>
      </c>
      <c r="G7260" s="102">
        <f t="shared" ref="G7260:G7269" si="4089">(E7260*D7260)</f>
        <v>2275000</v>
      </c>
      <c r="H7260" s="690" t="s">
        <v>142</v>
      </c>
      <c r="I7260" s="71" t="s">
        <v>179</v>
      </c>
      <c r="J7260" s="53">
        <f t="shared" ref="J7260:J7270" si="4090">G7260-T7260</f>
        <v>636440</v>
      </c>
      <c r="K7260" s="63">
        <f t="shared" ref="K7260:K7270" si="4091">(J7260/(F7260/11*10))</f>
        <v>0.27975384615384613</v>
      </c>
      <c r="L7260" s="1212" t="s">
        <v>4209</v>
      </c>
      <c r="M7260" s="468" t="s">
        <v>2050</v>
      </c>
      <c r="N7260" s="1192">
        <f t="shared" ref="N7260:N7273" si="4092">A7260</f>
        <v>45588</v>
      </c>
      <c r="O7260" s="71" t="s">
        <v>149</v>
      </c>
      <c r="P7260" s="103" t="str">
        <f t="shared" si="4055"/>
        <v>세정포-XL106</v>
      </c>
      <c r="Q7260" s="71">
        <f t="shared" si="4056"/>
        <v>7</v>
      </c>
      <c r="R7260" s="102">
        <v>234080</v>
      </c>
      <c r="S7260" s="102">
        <f t="shared" ref="S7260:S7263" si="4093">R7260*Q7260*1.1</f>
        <v>1802416.0000000002</v>
      </c>
      <c r="T7260" s="102">
        <f t="shared" ref="T7260:T7263" si="4094">R7260*Q7260</f>
        <v>1638560</v>
      </c>
      <c r="U7260" s="71" t="str">
        <f>IF(J7260=W7260,"O", "X")</f>
        <v>O</v>
      </c>
      <c r="V7260" s="71"/>
      <c r="W7260" s="474">
        <f>(G7260-T7260)</f>
        <v>636440</v>
      </c>
      <c r="X7260" s="71"/>
      <c r="Y7260" s="71"/>
    </row>
    <row r="7261" spans="1:25" s="209" customFormat="1" ht="30" hidden="1" customHeight="1" x14ac:dyDescent="0.25">
      <c r="A7261" s="1145">
        <v>45588</v>
      </c>
      <c r="B7261" s="664" t="s">
        <v>2353</v>
      </c>
      <c r="C7261" s="71" t="s">
        <v>3299</v>
      </c>
      <c r="D7261" s="71">
        <v>10</v>
      </c>
      <c r="E7261" s="102">
        <v>83000</v>
      </c>
      <c r="F7261" s="102">
        <f t="shared" si="4088"/>
        <v>913000.00000000012</v>
      </c>
      <c r="G7261" s="102">
        <f t="shared" si="4089"/>
        <v>830000</v>
      </c>
      <c r="H7261" s="690" t="s">
        <v>142</v>
      </c>
      <c r="I7261" s="71" t="s">
        <v>179</v>
      </c>
      <c r="J7261" s="53">
        <f t="shared" si="4090"/>
        <v>355000</v>
      </c>
      <c r="K7261" s="63">
        <f t="shared" si="4091"/>
        <v>0.42771084337349391</v>
      </c>
      <c r="L7261" s="1212" t="s">
        <v>4209</v>
      </c>
      <c r="M7261" s="468" t="s">
        <v>2214</v>
      </c>
      <c r="N7261" s="1192">
        <f t="shared" si="4092"/>
        <v>45588</v>
      </c>
      <c r="O7261" s="71" t="s">
        <v>3383</v>
      </c>
      <c r="P7261" s="103" t="str">
        <f t="shared" si="4055"/>
        <v>매엽용 세척제(Wash k11)</v>
      </c>
      <c r="Q7261" s="71">
        <f t="shared" si="4056"/>
        <v>10</v>
      </c>
      <c r="R7261" s="102">
        <v>47500</v>
      </c>
      <c r="S7261" s="102">
        <f t="shared" si="4093"/>
        <v>522500.00000000006</v>
      </c>
      <c r="T7261" s="102">
        <f t="shared" si="4094"/>
        <v>475000</v>
      </c>
      <c r="U7261" s="71" t="s">
        <v>859</v>
      </c>
      <c r="V7261" s="71"/>
      <c r="W7261" s="474">
        <v>136000</v>
      </c>
      <c r="X7261" s="71"/>
      <c r="Y7261" s="71"/>
    </row>
    <row r="7262" spans="1:25" s="209" customFormat="1" ht="30" hidden="1" customHeight="1" x14ac:dyDescent="0.25">
      <c r="A7262" s="1145">
        <v>45588</v>
      </c>
      <c r="B7262" s="664" t="s">
        <v>2353</v>
      </c>
      <c r="C7262" s="71" t="s">
        <v>130</v>
      </c>
      <c r="D7262" s="71">
        <v>15</v>
      </c>
      <c r="E7262" s="102">
        <v>148000</v>
      </c>
      <c r="F7262" s="102">
        <f t="shared" si="4088"/>
        <v>2442000</v>
      </c>
      <c r="G7262" s="102">
        <f t="shared" si="4089"/>
        <v>2220000</v>
      </c>
      <c r="H7262" s="690" t="s">
        <v>142</v>
      </c>
      <c r="I7262" s="71" t="s">
        <v>179</v>
      </c>
      <c r="J7262" s="53">
        <f t="shared" si="4090"/>
        <v>540000</v>
      </c>
      <c r="K7262" s="63">
        <f t="shared" si="4091"/>
        <v>0.24324324324324326</v>
      </c>
      <c r="L7262" s="1212" t="s">
        <v>4209</v>
      </c>
      <c r="M7262" s="468" t="s">
        <v>2050</v>
      </c>
      <c r="N7262" s="1192">
        <f t="shared" si="4092"/>
        <v>45588</v>
      </c>
      <c r="O7262" s="71" t="s">
        <v>3383</v>
      </c>
      <c r="P7262" s="103" t="str">
        <f t="shared" si="4055"/>
        <v>XL106 Blanket(1077*885)</v>
      </c>
      <c r="Q7262" s="71">
        <f t="shared" si="4056"/>
        <v>15</v>
      </c>
      <c r="R7262" s="102">
        <v>112000</v>
      </c>
      <c r="S7262" s="102">
        <f t="shared" si="4093"/>
        <v>1848000.0000000002</v>
      </c>
      <c r="T7262" s="102">
        <f t="shared" si="4094"/>
        <v>1680000</v>
      </c>
      <c r="U7262" s="71" t="s">
        <v>859</v>
      </c>
      <c r="V7262" s="71"/>
      <c r="W7262" s="474">
        <v>260000</v>
      </c>
      <c r="X7262" s="71"/>
      <c r="Y7262" s="71"/>
    </row>
    <row r="7263" spans="1:25" ht="28.5" hidden="1" customHeight="1" x14ac:dyDescent="0.25">
      <c r="A7263" s="1145">
        <v>45588</v>
      </c>
      <c r="B7263" s="664" t="s">
        <v>2353</v>
      </c>
      <c r="C7263" s="71" t="s">
        <v>2648</v>
      </c>
      <c r="D7263" s="71">
        <v>4</v>
      </c>
      <c r="E7263" s="102">
        <v>50000</v>
      </c>
      <c r="F7263" s="102">
        <f t="shared" si="4088"/>
        <v>220000.00000000003</v>
      </c>
      <c r="G7263" s="102">
        <f t="shared" si="4089"/>
        <v>200000</v>
      </c>
      <c r="H7263" s="690" t="s">
        <v>179</v>
      </c>
      <c r="I7263" s="690" t="s">
        <v>179</v>
      </c>
      <c r="J7263" s="53">
        <f t="shared" si="4090"/>
        <v>104000</v>
      </c>
      <c r="K7263" s="63">
        <f t="shared" si="4091"/>
        <v>0.51999999999999991</v>
      </c>
      <c r="L7263" s="1212" t="s">
        <v>4209</v>
      </c>
      <c r="M7263" s="468"/>
      <c r="N7263" s="1192">
        <f t="shared" si="4092"/>
        <v>45588</v>
      </c>
      <c r="O7263" s="71" t="s">
        <v>94</v>
      </c>
      <c r="P7263" s="103" t="str">
        <f t="shared" ref="P7263:P7270" si="4095">(C7263)</f>
        <v>주머니 필터백</v>
      </c>
      <c r="Q7263" s="71">
        <f t="shared" ref="Q7263:Q7270" si="4096">D7263</f>
        <v>4</v>
      </c>
      <c r="R7263" s="102">
        <v>24000</v>
      </c>
      <c r="S7263" s="102">
        <f t="shared" si="4093"/>
        <v>105600.00000000001</v>
      </c>
      <c r="T7263" s="102">
        <f t="shared" si="4094"/>
        <v>96000</v>
      </c>
      <c r="U7263" s="71"/>
      <c r="V7263" s="71"/>
      <c r="W7263" s="474"/>
      <c r="X7263" s="71"/>
      <c r="Y7263" s="71"/>
    </row>
    <row r="7264" spans="1:25" ht="30" hidden="1" customHeight="1" x14ac:dyDescent="0.25">
      <c r="A7264" s="1145">
        <v>45588</v>
      </c>
      <c r="B7264" s="664" t="s">
        <v>2353</v>
      </c>
      <c r="C7264" s="71" t="s">
        <v>4216</v>
      </c>
      <c r="D7264" s="71">
        <v>1</v>
      </c>
      <c r="E7264" s="102">
        <v>29000</v>
      </c>
      <c r="F7264" s="102">
        <f t="shared" si="4088"/>
        <v>31900.000000000004</v>
      </c>
      <c r="G7264" s="102">
        <f t="shared" si="4089"/>
        <v>29000</v>
      </c>
      <c r="H7264" s="690" t="s">
        <v>179</v>
      </c>
      <c r="I7264" s="690" t="s">
        <v>179</v>
      </c>
      <c r="J7264" s="53">
        <f t="shared" si="4090"/>
        <v>0</v>
      </c>
      <c r="K7264" s="63">
        <f t="shared" si="4091"/>
        <v>0</v>
      </c>
      <c r="L7264" s="1212" t="s">
        <v>4209</v>
      </c>
      <c r="M7264" s="468"/>
      <c r="N7264" s="1192">
        <f t="shared" si="4092"/>
        <v>45588</v>
      </c>
      <c r="O7264" s="71" t="s">
        <v>150</v>
      </c>
      <c r="P7264" s="103" t="str">
        <f t="shared" si="4095"/>
        <v>배지부 형광등</v>
      </c>
      <c r="Q7264" s="71">
        <f t="shared" si="4096"/>
        <v>1</v>
      </c>
      <c r="R7264" s="147">
        <v>29000</v>
      </c>
      <c r="S7264" s="102">
        <f t="shared" si="4070"/>
        <v>31900.000000000004</v>
      </c>
      <c r="T7264" s="102">
        <f t="shared" si="4071"/>
        <v>29000</v>
      </c>
      <c r="U7264" s="71"/>
      <c r="V7264" s="71"/>
      <c r="W7264" s="474"/>
      <c r="X7264" s="71"/>
      <c r="Y7264" s="71"/>
    </row>
    <row r="7265" spans="1:25" ht="30" hidden="1" customHeight="1" x14ac:dyDescent="0.25">
      <c r="A7265" s="1145">
        <v>45595</v>
      </c>
      <c r="B7265" s="664" t="s">
        <v>2353</v>
      </c>
      <c r="C7265" s="71" t="s">
        <v>4217</v>
      </c>
      <c r="D7265" s="71">
        <v>3</v>
      </c>
      <c r="E7265" s="102">
        <v>270000</v>
      </c>
      <c r="F7265" s="102">
        <f t="shared" si="4088"/>
        <v>891000.00000000012</v>
      </c>
      <c r="G7265" s="102">
        <f t="shared" si="4089"/>
        <v>810000</v>
      </c>
      <c r="H7265" s="690" t="s">
        <v>179</v>
      </c>
      <c r="I7265" s="690" t="s">
        <v>179</v>
      </c>
      <c r="J7265" s="53">
        <f t="shared" si="4090"/>
        <v>90000</v>
      </c>
      <c r="K7265" s="63">
        <f t="shared" si="4091"/>
        <v>0.11111111111111109</v>
      </c>
      <c r="L7265" s="1212" t="s">
        <v>4209</v>
      </c>
      <c r="M7265" s="102"/>
      <c r="N7265" s="1192">
        <f t="shared" si="4092"/>
        <v>45595</v>
      </c>
      <c r="O7265" s="71"/>
      <c r="P7265" s="103" t="str">
        <f t="shared" si="4095"/>
        <v>팬톤 칼라북</v>
      </c>
      <c r="Q7265" s="71">
        <f t="shared" si="4096"/>
        <v>3</v>
      </c>
      <c r="R7265" s="102">
        <v>240000</v>
      </c>
      <c r="S7265" s="102">
        <f t="shared" si="4070"/>
        <v>792000.00000000012</v>
      </c>
      <c r="T7265" s="102">
        <f t="shared" si="4071"/>
        <v>720000</v>
      </c>
      <c r="U7265" s="71"/>
      <c r="V7265" s="71"/>
      <c r="W7265" s="474"/>
      <c r="X7265" s="71"/>
      <c r="Y7265" s="71"/>
    </row>
    <row r="7266" spans="1:25" ht="30" hidden="1" customHeight="1" x14ac:dyDescent="0.25">
      <c r="A7266" s="1145">
        <v>45595</v>
      </c>
      <c r="B7266" s="664" t="s">
        <v>3571</v>
      </c>
      <c r="C7266" s="1020" t="s">
        <v>4218</v>
      </c>
      <c r="D7266" s="71">
        <v>1</v>
      </c>
      <c r="E7266" s="102">
        <v>151200000</v>
      </c>
      <c r="F7266" s="102">
        <f t="shared" si="4088"/>
        <v>166320000</v>
      </c>
      <c r="G7266" s="102">
        <f t="shared" si="4089"/>
        <v>151200000</v>
      </c>
      <c r="H7266" s="690" t="s">
        <v>1431</v>
      </c>
      <c r="I7266" s="690" t="s">
        <v>1431</v>
      </c>
      <c r="J7266" s="53"/>
      <c r="K7266" s="63"/>
      <c r="L7266" s="1212" t="s">
        <v>4209</v>
      </c>
      <c r="M7266" s="468"/>
      <c r="N7266" s="1192">
        <f t="shared" si="4092"/>
        <v>45595</v>
      </c>
      <c r="O7266" s="71"/>
      <c r="P7266" s="103" t="str">
        <f t="shared" si="4095"/>
        <v>주안 Rotoman 방문 점검 인건비 및 부품비 잔금 70%</v>
      </c>
      <c r="Q7266" s="71">
        <f t="shared" si="4096"/>
        <v>1</v>
      </c>
      <c r="R7266" s="147"/>
      <c r="S7266" s="102">
        <f t="shared" si="4070"/>
        <v>0</v>
      </c>
      <c r="T7266" s="102">
        <f t="shared" si="4071"/>
        <v>0</v>
      </c>
      <c r="U7266" s="71"/>
      <c r="V7266" s="71"/>
      <c r="W7266" s="474"/>
      <c r="X7266" s="71"/>
      <c r="Y7266" s="71"/>
    </row>
    <row r="7267" spans="1:25" ht="30" hidden="1" customHeight="1" x14ac:dyDescent="0.25">
      <c r="A7267" s="1145">
        <v>45595</v>
      </c>
      <c r="B7267" s="664" t="s">
        <v>3571</v>
      </c>
      <c r="C7267" s="71" t="s">
        <v>4219</v>
      </c>
      <c r="D7267" s="71">
        <v>1</v>
      </c>
      <c r="E7267" s="102">
        <v>16500000</v>
      </c>
      <c r="F7267" s="102">
        <f t="shared" si="4088"/>
        <v>18150000</v>
      </c>
      <c r="G7267" s="102">
        <f t="shared" si="4089"/>
        <v>16500000</v>
      </c>
      <c r="H7267" s="690" t="s">
        <v>1431</v>
      </c>
      <c r="I7267" s="690" t="s">
        <v>1431</v>
      </c>
      <c r="J7267" s="53"/>
      <c r="K7267" s="63"/>
      <c r="L7267" s="1212" t="s">
        <v>4209</v>
      </c>
      <c r="M7267" s="102"/>
      <c r="N7267" s="1192">
        <f t="shared" si="4092"/>
        <v>45595</v>
      </c>
      <c r="O7267" s="71"/>
      <c r="P7267" s="103" t="str">
        <f t="shared" si="4095"/>
        <v xml:space="preserve">	주안 Rotoman 잉크 파운틴 롤러 교체 선금 30%</v>
      </c>
      <c r="Q7267" s="71">
        <f t="shared" si="4096"/>
        <v>1</v>
      </c>
      <c r="R7267" s="102"/>
      <c r="S7267" s="102">
        <f t="shared" si="4070"/>
        <v>0</v>
      </c>
      <c r="T7267" s="102">
        <f t="shared" si="4071"/>
        <v>0</v>
      </c>
      <c r="U7267" s="71"/>
      <c r="V7267" s="71"/>
      <c r="W7267" s="474"/>
      <c r="X7267" s="71"/>
      <c r="Y7267" s="71"/>
    </row>
    <row r="7268" spans="1:25" ht="30" hidden="1" customHeight="1" x14ac:dyDescent="0.25">
      <c r="A7268" s="1145">
        <v>45595</v>
      </c>
      <c r="B7268" s="664" t="s">
        <v>3571</v>
      </c>
      <c r="C7268" s="71" t="s">
        <v>4220</v>
      </c>
      <c r="D7268" s="71">
        <v>1</v>
      </c>
      <c r="E7268" s="102">
        <v>14000000</v>
      </c>
      <c r="F7268" s="102">
        <f t="shared" si="4088"/>
        <v>15400000.000000002</v>
      </c>
      <c r="G7268" s="102">
        <f t="shared" si="4089"/>
        <v>14000000</v>
      </c>
      <c r="H7268" s="690" t="s">
        <v>1431</v>
      </c>
      <c r="I7268" s="690" t="s">
        <v>1431</v>
      </c>
      <c r="J7268" s="53"/>
      <c r="K7268" s="63"/>
      <c r="L7268" s="1212" t="s">
        <v>4209</v>
      </c>
      <c r="M7268" s="468"/>
      <c r="N7268" s="1192">
        <f t="shared" si="4092"/>
        <v>45595</v>
      </c>
      <c r="O7268" s="71"/>
      <c r="P7268" s="103" t="str">
        <f t="shared" si="4095"/>
        <v>주안 Rotoman 외국엔지니어 방문 점검 추가 인건비</v>
      </c>
      <c r="Q7268" s="71">
        <f t="shared" si="4096"/>
        <v>1</v>
      </c>
      <c r="R7268" s="147"/>
      <c r="S7268" s="102">
        <f t="shared" si="4070"/>
        <v>0</v>
      </c>
      <c r="T7268" s="102">
        <f t="shared" si="4071"/>
        <v>0</v>
      </c>
      <c r="U7268" s="71"/>
      <c r="V7268" s="71"/>
      <c r="W7268" s="474"/>
      <c r="X7268" s="71"/>
      <c r="Y7268" s="71"/>
    </row>
    <row r="7269" spans="1:25" ht="30" hidden="1" customHeight="1" x14ac:dyDescent="0.25">
      <c r="A7269" s="1145">
        <v>45595</v>
      </c>
      <c r="B7269" s="664" t="s">
        <v>591</v>
      </c>
      <c r="C7269" s="71" t="s">
        <v>3645</v>
      </c>
      <c r="D7269" s="71">
        <v>1</v>
      </c>
      <c r="E7269" s="102">
        <v>9449000</v>
      </c>
      <c r="F7269" s="102">
        <f t="shared" si="4088"/>
        <v>10393900</v>
      </c>
      <c r="G7269" s="102">
        <f t="shared" si="4089"/>
        <v>9449000</v>
      </c>
      <c r="H7269" s="690" t="s">
        <v>2029</v>
      </c>
      <c r="I7269" s="71" t="s">
        <v>143</v>
      </c>
      <c r="J7269" s="53">
        <f t="shared" si="4090"/>
        <v>1774000</v>
      </c>
      <c r="K7269" s="63">
        <f t="shared" si="4091"/>
        <v>0.18774473489258123</v>
      </c>
      <c r="L7269" s="1212" t="s">
        <v>4209</v>
      </c>
      <c r="M7269" s="102"/>
      <c r="N7269" s="1192">
        <f t="shared" si="4092"/>
        <v>45595</v>
      </c>
      <c r="O7269" s="71" t="s">
        <v>612</v>
      </c>
      <c r="P7269" s="103" t="str">
        <f t="shared" si="4095"/>
        <v>매엽 롤러 세트</v>
      </c>
      <c r="Q7269" s="71">
        <f t="shared" si="4096"/>
        <v>1</v>
      </c>
      <c r="R7269" s="102">
        <v>7675000</v>
      </c>
      <c r="S7269" s="102">
        <f t="shared" si="4070"/>
        <v>8442500</v>
      </c>
      <c r="T7269" s="102">
        <f t="shared" si="4071"/>
        <v>7675000</v>
      </c>
      <c r="U7269" s="71"/>
      <c r="V7269" s="71"/>
      <c r="W7269" s="474"/>
      <c r="X7269" s="71"/>
      <c r="Y7269" s="71"/>
    </row>
    <row r="7270" spans="1:25" ht="30" hidden="1" customHeight="1" x14ac:dyDescent="0.25">
      <c r="A7270" s="1145">
        <v>45595</v>
      </c>
      <c r="B7270" s="664" t="s">
        <v>575</v>
      </c>
      <c r="C7270" s="71" t="s">
        <v>4221</v>
      </c>
      <c r="D7270" s="71">
        <v>1</v>
      </c>
      <c r="E7270" s="102">
        <v>2625000</v>
      </c>
      <c r="F7270" s="102">
        <f t="shared" ref="F7270" si="4097">(E7270*D7270)*1.1</f>
        <v>2887500.0000000005</v>
      </c>
      <c r="G7270" s="102">
        <f t="shared" ref="G7270" si="4098">(E7270*D7270)</f>
        <v>2625000</v>
      </c>
      <c r="H7270" s="690" t="s">
        <v>281</v>
      </c>
      <c r="I7270" s="71" t="s">
        <v>281</v>
      </c>
      <c r="J7270" s="53">
        <f t="shared" si="4090"/>
        <v>2625000</v>
      </c>
      <c r="K7270" s="63">
        <f t="shared" si="4091"/>
        <v>0.99999999999999978</v>
      </c>
      <c r="L7270" s="1212" t="s">
        <v>4209</v>
      </c>
      <c r="M7270" s="468"/>
      <c r="N7270" s="1192">
        <f t="shared" si="4092"/>
        <v>45595</v>
      </c>
      <c r="O7270" s="71"/>
      <c r="P7270" s="103" t="str">
        <f t="shared" si="4095"/>
        <v>M600 서비스 비용 4회차</v>
      </c>
      <c r="Q7270" s="71">
        <f t="shared" si="4096"/>
        <v>1</v>
      </c>
      <c r="R7270" s="147"/>
      <c r="S7270" s="102">
        <f t="shared" si="4070"/>
        <v>0</v>
      </c>
      <c r="T7270" s="102">
        <f t="shared" si="4071"/>
        <v>0</v>
      </c>
      <c r="U7270" s="71"/>
      <c r="V7270" s="71"/>
      <c r="W7270" s="474"/>
      <c r="X7270" s="71"/>
      <c r="Y7270" s="71"/>
    </row>
    <row r="7271" spans="1:25" ht="30" hidden="1" customHeight="1" x14ac:dyDescent="0.25">
      <c r="A7271" s="1210" t="s">
        <v>4229</v>
      </c>
      <c r="B7271" s="1211" t="s">
        <v>544</v>
      </c>
      <c r="C7271" s="960"/>
      <c r="D7271" s="960"/>
      <c r="E7271" s="952"/>
      <c r="F7271" s="952"/>
      <c r="G7271" s="952"/>
      <c r="H7271" s="1206"/>
      <c r="I7271" s="960"/>
      <c r="J7271" s="952"/>
      <c r="K7271" s="953"/>
      <c r="L7271" s="1212" t="s">
        <v>4228</v>
      </c>
      <c r="M7271" s="1207"/>
      <c r="N7271" s="1208" t="str">
        <f t="shared" si="4092"/>
        <v>2024,11</v>
      </c>
      <c r="O7271" s="960"/>
      <c r="P7271" s="1209"/>
      <c r="Q7271" s="960"/>
      <c r="R7271" s="952"/>
      <c r="S7271" s="952"/>
      <c r="T7271" s="952"/>
      <c r="U7271" s="960"/>
      <c r="V7271" s="960"/>
      <c r="W7271" s="474">
        <f>(G7271-T7271)</f>
        <v>0</v>
      </c>
      <c r="X7271" s="71"/>
      <c r="Y7271" s="71"/>
    </row>
    <row r="7272" spans="1:25" ht="30" customHeight="1" x14ac:dyDescent="0.25">
      <c r="A7272" s="1145">
        <v>45602</v>
      </c>
      <c r="B7272" s="664" t="s">
        <v>2352</v>
      </c>
      <c r="C7272" s="71" t="s">
        <v>3836</v>
      </c>
      <c r="D7272" s="71">
        <v>48</v>
      </c>
      <c r="E7272" s="102">
        <v>18500</v>
      </c>
      <c r="F7272" s="102">
        <f t="shared" ref="F7272:F7273" si="4099">(E7272*D7272)*1.1</f>
        <v>976800.00000000012</v>
      </c>
      <c r="G7272" s="102">
        <f t="shared" ref="G7272:G7273" si="4100">(E7272*D7272)</f>
        <v>888000</v>
      </c>
      <c r="H7272" s="690" t="s">
        <v>179</v>
      </c>
      <c r="I7272" s="71" t="s">
        <v>179</v>
      </c>
      <c r="J7272" s="53">
        <f t="shared" ref="J7272:J7273" si="4101">G7272-T7272</f>
        <v>355968</v>
      </c>
      <c r="K7272" s="63">
        <f t="shared" ref="K7272:K7273" si="4102">(J7272/(F7272/11*10))</f>
        <v>0.40086486486486483</v>
      </c>
      <c r="L7272" s="1212" t="s">
        <v>4228</v>
      </c>
      <c r="M7272" s="468"/>
      <c r="N7272" s="1192">
        <f t="shared" si="4092"/>
        <v>45602</v>
      </c>
      <c r="O7272" s="71"/>
      <c r="P7272" s="103" t="str">
        <f t="shared" ref="P7272:P7273" si="4103">(C7272)</f>
        <v>고모리 윤전 블랑켓 건식 세정포 - 국전용</v>
      </c>
      <c r="Q7272" s="71">
        <f t="shared" ref="Q7272:Q7273" si="4104">D7272</f>
        <v>48</v>
      </c>
      <c r="R7272" s="102">
        <v>11084</v>
      </c>
      <c r="S7272" s="102">
        <f t="shared" ref="S7272:S7273" si="4105">R7272*Q7272*1.1</f>
        <v>585235.20000000007</v>
      </c>
      <c r="T7272" s="102">
        <f t="shared" ref="T7272:T7273" si="4106">R7272*Q7272</f>
        <v>532032</v>
      </c>
      <c r="U7272" s="71"/>
      <c r="V7272" s="71"/>
      <c r="W7272" s="474"/>
      <c r="X7272" s="71"/>
      <c r="Y7272" s="71"/>
    </row>
    <row r="7273" spans="1:25" ht="30" customHeight="1" x14ac:dyDescent="0.25">
      <c r="A7273" s="1145">
        <v>45602</v>
      </c>
      <c r="B7273" s="664" t="s">
        <v>2352</v>
      </c>
      <c r="C7273" s="71" t="s">
        <v>3837</v>
      </c>
      <c r="D7273" s="71">
        <v>48</v>
      </c>
      <c r="E7273" s="102">
        <v>13500</v>
      </c>
      <c r="F7273" s="102">
        <f t="shared" si="4099"/>
        <v>712800</v>
      </c>
      <c r="G7273" s="102">
        <f t="shared" si="4100"/>
        <v>648000</v>
      </c>
      <c r="H7273" s="690" t="s">
        <v>179</v>
      </c>
      <c r="I7273" s="71" t="s">
        <v>179</v>
      </c>
      <c r="J7273" s="53">
        <f t="shared" si="4101"/>
        <v>246480</v>
      </c>
      <c r="K7273" s="63">
        <f t="shared" si="4102"/>
        <v>0.38037037037037036</v>
      </c>
      <c r="L7273" s="1212" t="s">
        <v>4227</v>
      </c>
      <c r="M7273" s="468"/>
      <c r="N7273" s="1192">
        <f t="shared" si="4092"/>
        <v>45602</v>
      </c>
      <c r="O7273" s="71"/>
      <c r="P7273" s="103" t="str">
        <f t="shared" si="4103"/>
        <v>고모리 윤전 블랑켓 건식 세정포 - 4x6용</v>
      </c>
      <c r="Q7273" s="71">
        <f t="shared" si="4104"/>
        <v>48</v>
      </c>
      <c r="R7273" s="102">
        <v>8365</v>
      </c>
      <c r="S7273" s="102">
        <f t="shared" si="4105"/>
        <v>441672.00000000006</v>
      </c>
      <c r="T7273" s="102">
        <f t="shared" si="4106"/>
        <v>401520</v>
      </c>
      <c r="U7273" s="71"/>
      <c r="V7273" s="71"/>
      <c r="W7273" s="474"/>
      <c r="X7273" s="71"/>
      <c r="Y7273" s="71"/>
    </row>
    <row r="7274" spans="1:25" ht="30" customHeight="1" x14ac:dyDescent="0.25">
      <c r="A7274" s="1145">
        <v>45611</v>
      </c>
      <c r="B7274" s="664" t="s">
        <v>2352</v>
      </c>
      <c r="C7274" s="71" t="s">
        <v>3836</v>
      </c>
      <c r="D7274" s="71">
        <v>48</v>
      </c>
      <c r="E7274" s="102">
        <v>18500</v>
      </c>
      <c r="F7274" s="102">
        <f t="shared" ref="F7274:F7276" si="4107">(E7274*D7274)*1.1</f>
        <v>976800.00000000012</v>
      </c>
      <c r="G7274" s="102">
        <f t="shared" ref="G7274:G7276" si="4108">(E7274*D7274)</f>
        <v>888000</v>
      </c>
      <c r="H7274" s="690" t="s">
        <v>179</v>
      </c>
      <c r="I7274" s="71" t="s">
        <v>179</v>
      </c>
      <c r="J7274" s="53">
        <f t="shared" ref="J7274:J7275" si="4109">G7274-T7274</f>
        <v>355968</v>
      </c>
      <c r="K7274" s="63">
        <f t="shared" ref="K7274:K7275" si="4110">(J7274/(F7274/11*10))</f>
        <v>0.40086486486486483</v>
      </c>
      <c r="L7274" s="1212" t="s">
        <v>4227</v>
      </c>
      <c r="M7274" s="468"/>
      <c r="N7274" s="1192">
        <f t="shared" ref="N7274:N7276" si="4111">A7274</f>
        <v>45611</v>
      </c>
      <c r="O7274" s="71"/>
      <c r="P7274" s="103" t="str">
        <f t="shared" ref="P7274:P7276" si="4112">(C7274)</f>
        <v>고모리 윤전 블랑켓 건식 세정포 - 국전용</v>
      </c>
      <c r="Q7274" s="71">
        <f t="shared" ref="Q7274:Q7337" si="4113">D7274</f>
        <v>48</v>
      </c>
      <c r="R7274" s="102">
        <v>11084</v>
      </c>
      <c r="S7274" s="102">
        <f t="shared" ref="S7274:S7275" si="4114">R7274*Q7274*1.1</f>
        <v>585235.20000000007</v>
      </c>
      <c r="T7274" s="102">
        <f t="shared" ref="T7274:T7275" si="4115">R7274*Q7274</f>
        <v>532032</v>
      </c>
      <c r="U7274" s="71"/>
      <c r="V7274" s="71"/>
      <c r="W7274" s="474"/>
      <c r="X7274" s="71"/>
      <c r="Y7274" s="71"/>
    </row>
    <row r="7275" spans="1:25" ht="30" customHeight="1" x14ac:dyDescent="0.25">
      <c r="A7275" s="1145">
        <v>45624</v>
      </c>
      <c r="B7275" s="664" t="s">
        <v>2352</v>
      </c>
      <c r="C7275" s="71" t="s">
        <v>3836</v>
      </c>
      <c r="D7275" s="71">
        <v>48</v>
      </c>
      <c r="E7275" s="102">
        <v>18500</v>
      </c>
      <c r="F7275" s="102">
        <f t="shared" si="4107"/>
        <v>976800.00000000012</v>
      </c>
      <c r="G7275" s="102">
        <f t="shared" si="4108"/>
        <v>888000</v>
      </c>
      <c r="H7275" s="690" t="s">
        <v>179</v>
      </c>
      <c r="I7275" s="71" t="s">
        <v>179</v>
      </c>
      <c r="J7275" s="53">
        <f t="shared" si="4109"/>
        <v>355968</v>
      </c>
      <c r="K7275" s="63">
        <f t="shared" si="4110"/>
        <v>0.40086486486486483</v>
      </c>
      <c r="L7275" s="1212" t="s">
        <v>4227</v>
      </c>
      <c r="M7275" s="468"/>
      <c r="N7275" s="1192">
        <f t="shared" si="4111"/>
        <v>45624</v>
      </c>
      <c r="O7275" s="71"/>
      <c r="P7275" s="103" t="str">
        <f t="shared" si="4112"/>
        <v>고모리 윤전 블랑켓 건식 세정포 - 국전용</v>
      </c>
      <c r="Q7275" s="71">
        <f t="shared" si="4113"/>
        <v>48</v>
      </c>
      <c r="R7275" s="102">
        <v>11084</v>
      </c>
      <c r="S7275" s="102">
        <f t="shared" si="4114"/>
        <v>585235.20000000007</v>
      </c>
      <c r="T7275" s="102">
        <f t="shared" si="4115"/>
        <v>532032</v>
      </c>
      <c r="U7275" s="71"/>
      <c r="V7275" s="71"/>
      <c r="W7275" s="474"/>
      <c r="X7275" s="71"/>
      <c r="Y7275" s="71"/>
    </row>
    <row r="7276" spans="1:25" ht="30" customHeight="1" x14ac:dyDescent="0.25">
      <c r="A7276" s="1145">
        <v>45621</v>
      </c>
      <c r="B7276" s="664" t="s">
        <v>2352</v>
      </c>
      <c r="C7276" s="71" t="s">
        <v>2639</v>
      </c>
      <c r="D7276" s="71">
        <v>1</v>
      </c>
      <c r="E7276" s="102">
        <v>500000</v>
      </c>
      <c r="F7276" s="102">
        <f t="shared" si="4107"/>
        <v>550000</v>
      </c>
      <c r="G7276" s="102">
        <f t="shared" si="4108"/>
        <v>500000</v>
      </c>
      <c r="H7276" s="690" t="s">
        <v>1431</v>
      </c>
      <c r="I7276" s="71" t="s">
        <v>1431</v>
      </c>
      <c r="J7276" s="53">
        <f t="shared" ref="J7276:J7339" si="4116">G7276-T7276</f>
        <v>105500</v>
      </c>
      <c r="K7276" s="63">
        <f t="shared" ref="K7276:K7339" si="4117">(J7276/(F7276/11*10))</f>
        <v>0.21099999999999999</v>
      </c>
      <c r="L7276" s="1212" t="s">
        <v>4227</v>
      </c>
      <c r="M7276" s="468"/>
      <c r="N7276" s="1192">
        <f t="shared" si="4111"/>
        <v>45621</v>
      </c>
      <c r="O7276" s="71" t="s">
        <v>1431</v>
      </c>
      <c r="P7276" s="103" t="str">
        <f t="shared" si="4112"/>
        <v>통신 케이블</v>
      </c>
      <c r="Q7276" s="71">
        <f t="shared" si="4113"/>
        <v>1</v>
      </c>
      <c r="R7276" s="147">
        <v>394500</v>
      </c>
      <c r="S7276" s="102">
        <f t="shared" si="4070"/>
        <v>433950.00000000006</v>
      </c>
      <c r="T7276" s="102">
        <f t="shared" si="4071"/>
        <v>394500</v>
      </c>
      <c r="U7276" s="71"/>
      <c r="V7276" s="71"/>
      <c r="W7276" s="474"/>
      <c r="X7276" s="71"/>
      <c r="Y7276" s="71"/>
    </row>
    <row r="7277" spans="1:25" ht="30" hidden="1" customHeight="1" x14ac:dyDescent="0.25">
      <c r="A7277" s="1145">
        <v>45602</v>
      </c>
      <c r="B7277" s="664" t="s">
        <v>2579</v>
      </c>
      <c r="C7277" s="71" t="s">
        <v>3738</v>
      </c>
      <c r="D7277" s="71">
        <v>15</v>
      </c>
      <c r="E7277" s="102">
        <v>130000</v>
      </c>
      <c r="F7277" s="102">
        <f t="shared" ref="F7277:F7307" si="4118">(E7277*D7277)*1.1</f>
        <v>2145000</v>
      </c>
      <c r="G7277" s="102">
        <f t="shared" ref="G7277:G7307" si="4119">(E7277*D7277)</f>
        <v>1950000</v>
      </c>
      <c r="H7277" s="690" t="s">
        <v>142</v>
      </c>
      <c r="I7277" s="71" t="s">
        <v>142</v>
      </c>
      <c r="J7277" s="53">
        <f t="shared" si="4116"/>
        <v>508500</v>
      </c>
      <c r="K7277" s="63">
        <f t="shared" si="4117"/>
        <v>0.26076923076923075</v>
      </c>
      <c r="L7277" s="1212" t="s">
        <v>4227</v>
      </c>
      <c r="M7277" s="468"/>
      <c r="N7277" s="1192">
        <f t="shared" ref="N7277:N7284" si="4120">A7277</f>
        <v>45602</v>
      </c>
      <c r="O7277" s="71" t="s">
        <v>147</v>
      </c>
      <c r="P7277" s="103" t="str">
        <f t="shared" ref="P7277:P7284" si="4121">(C7277)</f>
        <v>블랑켓 - 고모리 용 (1040*920)</v>
      </c>
      <c r="Q7277" s="71">
        <f t="shared" si="4113"/>
        <v>15</v>
      </c>
      <c r="R7277" s="102">
        <v>96100</v>
      </c>
      <c r="S7277" s="102">
        <f t="shared" ref="S7277" si="4122">R7277*Q7277*1.1</f>
        <v>1585650.0000000002</v>
      </c>
      <c r="T7277" s="102">
        <f t="shared" ref="T7277" si="4123">R7277*Q7277</f>
        <v>1441500</v>
      </c>
      <c r="U7277" s="71"/>
      <c r="V7277" s="71"/>
      <c r="W7277" s="474"/>
      <c r="X7277" s="71"/>
      <c r="Y7277" s="71"/>
    </row>
    <row r="7278" spans="1:25" ht="30" hidden="1" customHeight="1" x14ac:dyDescent="0.25">
      <c r="A7278" s="1145">
        <v>45602</v>
      </c>
      <c r="B7278" s="664" t="s">
        <v>2353</v>
      </c>
      <c r="C7278" s="71" t="s">
        <v>129</v>
      </c>
      <c r="D7278" s="71">
        <v>7</v>
      </c>
      <c r="E7278" s="102">
        <v>325000</v>
      </c>
      <c r="F7278" s="102">
        <f t="shared" si="4118"/>
        <v>2502500</v>
      </c>
      <c r="G7278" s="102">
        <f t="shared" si="4119"/>
        <v>2275000</v>
      </c>
      <c r="H7278" s="690" t="s">
        <v>142</v>
      </c>
      <c r="I7278" s="71" t="s">
        <v>179</v>
      </c>
      <c r="J7278" s="53">
        <f t="shared" si="4116"/>
        <v>636440</v>
      </c>
      <c r="K7278" s="63">
        <f t="shared" si="4117"/>
        <v>0.27975384615384613</v>
      </c>
      <c r="L7278" s="1212" t="s">
        <v>4227</v>
      </c>
      <c r="M7278" s="468" t="s">
        <v>2050</v>
      </c>
      <c r="N7278" s="1192">
        <f t="shared" si="4120"/>
        <v>45602</v>
      </c>
      <c r="O7278" s="71" t="s">
        <v>149</v>
      </c>
      <c r="P7278" s="103" t="str">
        <f t="shared" si="4121"/>
        <v>세정포-XL106</v>
      </c>
      <c r="Q7278" s="71">
        <f t="shared" si="4113"/>
        <v>7</v>
      </c>
      <c r="R7278" s="102">
        <v>234080</v>
      </c>
      <c r="S7278" s="102">
        <f t="shared" ref="S7278:S7341" si="4124">R7278*Q7278*1.1</f>
        <v>1802416.0000000002</v>
      </c>
      <c r="T7278" s="102">
        <f t="shared" ref="T7278:T7341" si="4125">R7278*Q7278</f>
        <v>1638560</v>
      </c>
      <c r="U7278" s="71" t="str">
        <f>IF(J7278=W7278,"O", "X")</f>
        <v>O</v>
      </c>
      <c r="V7278" s="71"/>
      <c r="W7278" s="474">
        <f>(G7278-T7278)</f>
        <v>636440</v>
      </c>
      <c r="X7278" s="71"/>
      <c r="Y7278" s="71"/>
    </row>
    <row r="7279" spans="1:25" ht="30" hidden="1" customHeight="1" x14ac:dyDescent="0.25">
      <c r="A7279" s="1145">
        <v>45615</v>
      </c>
      <c r="B7279" s="664" t="s">
        <v>2353</v>
      </c>
      <c r="C7279" s="71" t="s">
        <v>129</v>
      </c>
      <c r="D7279" s="71">
        <v>7</v>
      </c>
      <c r="E7279" s="102">
        <v>325000</v>
      </c>
      <c r="F7279" s="102">
        <f t="shared" si="4118"/>
        <v>2502500</v>
      </c>
      <c r="G7279" s="102">
        <f t="shared" si="4119"/>
        <v>2275000</v>
      </c>
      <c r="H7279" s="690" t="s">
        <v>142</v>
      </c>
      <c r="I7279" s="71" t="s">
        <v>179</v>
      </c>
      <c r="J7279" s="53">
        <f t="shared" si="4116"/>
        <v>636440</v>
      </c>
      <c r="K7279" s="63">
        <f t="shared" si="4117"/>
        <v>0.27975384615384613</v>
      </c>
      <c r="L7279" s="1212" t="s">
        <v>4227</v>
      </c>
      <c r="M7279" s="468" t="s">
        <v>2050</v>
      </c>
      <c r="N7279" s="1192">
        <f t="shared" si="4120"/>
        <v>45615</v>
      </c>
      <c r="O7279" s="71" t="s">
        <v>149</v>
      </c>
      <c r="P7279" s="103" t="str">
        <f t="shared" si="4121"/>
        <v>세정포-XL106</v>
      </c>
      <c r="Q7279" s="71">
        <f t="shared" si="4113"/>
        <v>7</v>
      </c>
      <c r="R7279" s="102">
        <v>234080</v>
      </c>
      <c r="S7279" s="102">
        <f t="shared" si="4124"/>
        <v>1802416.0000000002</v>
      </c>
      <c r="T7279" s="102">
        <f t="shared" si="4125"/>
        <v>1638560</v>
      </c>
      <c r="U7279" s="71" t="str">
        <f>IF(J7279=W7279,"O", "X")</f>
        <v>O</v>
      </c>
      <c r="V7279" s="71"/>
      <c r="W7279" s="474">
        <f>(G7279-T7279)</f>
        <v>636440</v>
      </c>
      <c r="X7279" s="71"/>
      <c r="Y7279" s="71"/>
    </row>
    <row r="7280" spans="1:25" s="209" customFormat="1" ht="30" hidden="1" customHeight="1" x14ac:dyDescent="0.25">
      <c r="A7280" s="1145">
        <v>45615</v>
      </c>
      <c r="B7280" s="664" t="s">
        <v>2353</v>
      </c>
      <c r="C7280" s="71" t="s">
        <v>3299</v>
      </c>
      <c r="D7280" s="71">
        <v>15</v>
      </c>
      <c r="E7280" s="102">
        <v>83000</v>
      </c>
      <c r="F7280" s="102">
        <f t="shared" si="4118"/>
        <v>1369500</v>
      </c>
      <c r="G7280" s="102">
        <f t="shared" si="4119"/>
        <v>1245000</v>
      </c>
      <c r="H7280" s="690" t="s">
        <v>142</v>
      </c>
      <c r="I7280" s="71" t="s">
        <v>179</v>
      </c>
      <c r="J7280" s="53">
        <f t="shared" si="4116"/>
        <v>532500</v>
      </c>
      <c r="K7280" s="63">
        <f t="shared" si="4117"/>
        <v>0.42771084337349397</v>
      </c>
      <c r="L7280" s="1212" t="s">
        <v>4227</v>
      </c>
      <c r="M7280" s="468" t="s">
        <v>2214</v>
      </c>
      <c r="N7280" s="1192">
        <f t="shared" si="4120"/>
        <v>45615</v>
      </c>
      <c r="O7280" s="71" t="s">
        <v>3383</v>
      </c>
      <c r="P7280" s="103" t="str">
        <f t="shared" si="4121"/>
        <v>매엽용 세척제(Wash k11)</v>
      </c>
      <c r="Q7280" s="71">
        <f t="shared" si="4113"/>
        <v>15</v>
      </c>
      <c r="R7280" s="102">
        <v>47500</v>
      </c>
      <c r="S7280" s="102">
        <f t="shared" si="4124"/>
        <v>783750.00000000012</v>
      </c>
      <c r="T7280" s="102">
        <f t="shared" si="4125"/>
        <v>712500</v>
      </c>
      <c r="U7280" s="71" t="s">
        <v>859</v>
      </c>
      <c r="V7280" s="71"/>
      <c r="W7280" s="474">
        <v>136000</v>
      </c>
      <c r="X7280" s="71"/>
      <c r="Y7280" s="71"/>
    </row>
    <row r="7281" spans="1:25" s="209" customFormat="1" ht="30" hidden="1" customHeight="1" x14ac:dyDescent="0.25">
      <c r="A7281" s="1145">
        <v>45615</v>
      </c>
      <c r="B7281" s="664" t="s">
        <v>2353</v>
      </c>
      <c r="C7281" s="71" t="s">
        <v>130</v>
      </c>
      <c r="D7281" s="71">
        <v>15</v>
      </c>
      <c r="E7281" s="102">
        <v>148000</v>
      </c>
      <c r="F7281" s="102">
        <f t="shared" si="4118"/>
        <v>2442000</v>
      </c>
      <c r="G7281" s="102">
        <f t="shared" si="4119"/>
        <v>2220000</v>
      </c>
      <c r="H7281" s="690" t="s">
        <v>142</v>
      </c>
      <c r="I7281" s="71" t="s">
        <v>179</v>
      </c>
      <c r="J7281" s="53">
        <f t="shared" si="4116"/>
        <v>540000</v>
      </c>
      <c r="K7281" s="63">
        <f t="shared" si="4117"/>
        <v>0.24324324324324326</v>
      </c>
      <c r="L7281" s="1212" t="s">
        <v>4227</v>
      </c>
      <c r="M7281" s="468" t="s">
        <v>2050</v>
      </c>
      <c r="N7281" s="1192">
        <f t="shared" si="4120"/>
        <v>45615</v>
      </c>
      <c r="O7281" s="71" t="s">
        <v>3383</v>
      </c>
      <c r="P7281" s="103" t="str">
        <f t="shared" si="4121"/>
        <v>XL106 Blanket(1077*885)</v>
      </c>
      <c r="Q7281" s="71">
        <f t="shared" si="4113"/>
        <v>15</v>
      </c>
      <c r="R7281" s="102">
        <v>112000</v>
      </c>
      <c r="S7281" s="102">
        <f t="shared" si="4124"/>
        <v>1848000.0000000002</v>
      </c>
      <c r="T7281" s="102">
        <f t="shared" si="4125"/>
        <v>1680000</v>
      </c>
      <c r="U7281" s="71" t="s">
        <v>859</v>
      </c>
      <c r="V7281" s="71"/>
      <c r="W7281" s="474">
        <v>260000</v>
      </c>
      <c r="X7281" s="71"/>
      <c r="Y7281" s="71"/>
    </row>
    <row r="7282" spans="1:25" ht="30" hidden="1" customHeight="1" x14ac:dyDescent="0.25">
      <c r="A7282" s="1145">
        <v>45615</v>
      </c>
      <c r="B7282" s="664" t="s">
        <v>2579</v>
      </c>
      <c r="C7282" s="71" t="s">
        <v>3738</v>
      </c>
      <c r="D7282" s="71">
        <v>10</v>
      </c>
      <c r="E7282" s="102">
        <v>130000</v>
      </c>
      <c r="F7282" s="102">
        <f t="shared" si="4118"/>
        <v>1430000</v>
      </c>
      <c r="G7282" s="102">
        <f t="shared" si="4119"/>
        <v>1300000</v>
      </c>
      <c r="H7282" s="690" t="s">
        <v>142</v>
      </c>
      <c r="I7282" s="71" t="s">
        <v>142</v>
      </c>
      <c r="J7282" s="53">
        <f t="shared" si="4116"/>
        <v>339000</v>
      </c>
      <c r="K7282" s="63">
        <f t="shared" si="4117"/>
        <v>0.26076923076923075</v>
      </c>
      <c r="L7282" s="1212" t="s">
        <v>4227</v>
      </c>
      <c r="M7282" s="468"/>
      <c r="N7282" s="1192">
        <f t="shared" si="4120"/>
        <v>45615</v>
      </c>
      <c r="O7282" s="71" t="s">
        <v>147</v>
      </c>
      <c r="P7282" s="103" t="str">
        <f t="shared" si="4121"/>
        <v>블랑켓 - 고모리 용 (1040*920)</v>
      </c>
      <c r="Q7282" s="71">
        <f t="shared" si="4113"/>
        <v>10</v>
      </c>
      <c r="R7282" s="102">
        <v>96100</v>
      </c>
      <c r="S7282" s="102">
        <f t="shared" si="4124"/>
        <v>1057100</v>
      </c>
      <c r="T7282" s="102">
        <f t="shared" si="4125"/>
        <v>961000</v>
      </c>
      <c r="U7282" s="71"/>
      <c r="V7282" s="71"/>
      <c r="W7282" s="474"/>
      <c r="X7282" s="71"/>
      <c r="Y7282" s="71"/>
    </row>
    <row r="7283" spans="1:25" ht="27" hidden="1" customHeight="1" x14ac:dyDescent="0.25">
      <c r="A7283" s="1145">
        <v>45615</v>
      </c>
      <c r="B7283" s="664" t="s">
        <v>2353</v>
      </c>
      <c r="C7283" s="71" t="s">
        <v>2648</v>
      </c>
      <c r="D7283" s="71">
        <v>4</v>
      </c>
      <c r="E7283" s="102">
        <v>50000</v>
      </c>
      <c r="F7283" s="102">
        <f t="shared" si="4118"/>
        <v>220000.00000000003</v>
      </c>
      <c r="G7283" s="102">
        <f t="shared" si="4119"/>
        <v>200000</v>
      </c>
      <c r="H7283" s="690" t="s">
        <v>179</v>
      </c>
      <c r="I7283" s="690" t="s">
        <v>179</v>
      </c>
      <c r="J7283" s="53">
        <f t="shared" si="4116"/>
        <v>104000</v>
      </c>
      <c r="K7283" s="63">
        <f t="shared" si="4117"/>
        <v>0.51999999999999991</v>
      </c>
      <c r="L7283" s="1212" t="s">
        <v>4227</v>
      </c>
      <c r="M7283" s="468"/>
      <c r="N7283" s="1192">
        <f t="shared" si="4120"/>
        <v>45615</v>
      </c>
      <c r="O7283" s="71" t="s">
        <v>94</v>
      </c>
      <c r="P7283" s="103" t="str">
        <f t="shared" si="4121"/>
        <v>주머니 필터백</v>
      </c>
      <c r="Q7283" s="71">
        <f t="shared" si="4113"/>
        <v>4</v>
      </c>
      <c r="R7283" s="102">
        <v>24000</v>
      </c>
      <c r="S7283" s="102">
        <f t="shared" si="4124"/>
        <v>105600.00000000001</v>
      </c>
      <c r="T7283" s="102">
        <f t="shared" si="4125"/>
        <v>96000</v>
      </c>
      <c r="U7283" s="71"/>
      <c r="V7283" s="71"/>
      <c r="W7283" s="474"/>
      <c r="X7283" s="71"/>
      <c r="Y7283" s="71"/>
    </row>
    <row r="7284" spans="1:25" ht="30" customHeight="1" x14ac:dyDescent="0.25">
      <c r="A7284" s="1145">
        <v>45621</v>
      </c>
      <c r="B7284" s="664" t="s">
        <v>641</v>
      </c>
      <c r="C7284" s="71" t="s">
        <v>3293</v>
      </c>
      <c r="D7284" s="71">
        <v>60</v>
      </c>
      <c r="E7284" s="102">
        <v>84000</v>
      </c>
      <c r="F7284" s="102">
        <f t="shared" si="4118"/>
        <v>5544000</v>
      </c>
      <c r="G7284" s="102">
        <f t="shared" si="4119"/>
        <v>5040000</v>
      </c>
      <c r="H7284" s="690" t="s">
        <v>172</v>
      </c>
      <c r="I7284" s="71" t="s">
        <v>38</v>
      </c>
      <c r="J7284" s="53">
        <f t="shared" si="4116"/>
        <v>1980000</v>
      </c>
      <c r="K7284" s="63">
        <f t="shared" si="4117"/>
        <v>0.39285714285714285</v>
      </c>
      <c r="L7284" s="1212" t="s">
        <v>4227</v>
      </c>
      <c r="M7284" s="468"/>
      <c r="N7284" s="1192">
        <f t="shared" si="4120"/>
        <v>45621</v>
      </c>
      <c r="O7284" s="71" t="s">
        <v>3291</v>
      </c>
      <c r="P7284" s="103" t="str">
        <f t="shared" si="4121"/>
        <v>GOSS 신문윤전 습식세정포</v>
      </c>
      <c r="Q7284" s="71">
        <f t="shared" si="4113"/>
        <v>60</v>
      </c>
      <c r="R7284" s="102">
        <v>51000</v>
      </c>
      <c r="S7284" s="102">
        <f t="shared" si="4124"/>
        <v>3366000.0000000005</v>
      </c>
      <c r="T7284" s="102">
        <f t="shared" si="4125"/>
        <v>3060000</v>
      </c>
      <c r="U7284" s="71" t="str">
        <f>IF(J7284=W7284,"O", "X")</f>
        <v>X</v>
      </c>
      <c r="V7284" s="71"/>
      <c r="W7284" s="474"/>
      <c r="X7284" s="71"/>
      <c r="Y7284" s="71"/>
    </row>
    <row r="7285" spans="1:25" ht="30" hidden="1" customHeight="1" x14ac:dyDescent="0.25">
      <c r="A7285" s="1145">
        <v>45621</v>
      </c>
      <c r="B7285" s="664" t="s">
        <v>1060</v>
      </c>
      <c r="C7285" s="71" t="s">
        <v>3908</v>
      </c>
      <c r="D7285" s="71">
        <v>1000</v>
      </c>
      <c r="E7285" s="102">
        <v>5810</v>
      </c>
      <c r="F7285" s="102">
        <f t="shared" si="4118"/>
        <v>6391000.0000000009</v>
      </c>
      <c r="G7285" s="102">
        <f t="shared" si="4119"/>
        <v>5810000</v>
      </c>
      <c r="H7285" s="690" t="s">
        <v>142</v>
      </c>
      <c r="I7285" s="71" t="s">
        <v>179</v>
      </c>
      <c r="J7285" s="53">
        <f t="shared" si="4116"/>
        <v>1896000</v>
      </c>
      <c r="K7285" s="63">
        <f t="shared" si="4117"/>
        <v>0.32633390705679854</v>
      </c>
      <c r="L7285" s="1212" t="s">
        <v>4227</v>
      </c>
      <c r="M7285" s="102" t="s">
        <v>3964</v>
      </c>
      <c r="N7285" s="1192">
        <v>45590</v>
      </c>
      <c r="O7285" s="71" t="s">
        <v>662</v>
      </c>
      <c r="P7285" s="103" t="s">
        <v>3908</v>
      </c>
      <c r="Q7285" s="71">
        <f t="shared" si="4113"/>
        <v>1000</v>
      </c>
      <c r="R7285" s="102">
        <v>3914</v>
      </c>
      <c r="S7285" s="102">
        <f t="shared" si="4124"/>
        <v>4305400</v>
      </c>
      <c r="T7285" s="102">
        <f t="shared" si="4125"/>
        <v>3914000</v>
      </c>
      <c r="U7285" s="71" t="s">
        <v>859</v>
      </c>
      <c r="V7285" s="71"/>
      <c r="W7285" s="474">
        <v>942000</v>
      </c>
      <c r="X7285" s="71"/>
      <c r="Y7285" s="71"/>
    </row>
    <row r="7286" spans="1:25" ht="30" hidden="1" customHeight="1" x14ac:dyDescent="0.25">
      <c r="A7286" s="1145">
        <v>45621</v>
      </c>
      <c r="B7286" s="664" t="s">
        <v>1060</v>
      </c>
      <c r="C7286" s="71" t="s">
        <v>3909</v>
      </c>
      <c r="D7286" s="71">
        <v>2800</v>
      </c>
      <c r="E7286" s="102">
        <v>3670</v>
      </c>
      <c r="F7286" s="102">
        <f t="shared" si="4118"/>
        <v>11303600</v>
      </c>
      <c r="G7286" s="102">
        <f t="shared" si="4119"/>
        <v>10276000</v>
      </c>
      <c r="H7286" s="690" t="s">
        <v>36</v>
      </c>
      <c r="I7286" s="71" t="s">
        <v>2529</v>
      </c>
      <c r="J7286" s="53">
        <f t="shared" si="4116"/>
        <v>3354400</v>
      </c>
      <c r="K7286" s="63">
        <f t="shared" si="4117"/>
        <v>0.32643051771117165</v>
      </c>
      <c r="L7286" s="1212" t="s">
        <v>4227</v>
      </c>
      <c r="M7286" s="102" t="s">
        <v>3964</v>
      </c>
      <c r="N7286" s="1192">
        <v>45590</v>
      </c>
      <c r="O7286" s="71" t="s">
        <v>662</v>
      </c>
      <c r="P7286" s="103" t="s">
        <v>3909</v>
      </c>
      <c r="Q7286" s="71">
        <f t="shared" si="4113"/>
        <v>2800</v>
      </c>
      <c r="R7286" s="102">
        <v>2472</v>
      </c>
      <c r="S7286" s="102">
        <f t="shared" si="4124"/>
        <v>7613760.0000000009</v>
      </c>
      <c r="T7286" s="102">
        <f t="shared" si="4125"/>
        <v>6921600</v>
      </c>
      <c r="U7286" s="71" t="s">
        <v>859</v>
      </c>
      <c r="V7286" s="71"/>
      <c r="W7286" s="474">
        <v>1274000</v>
      </c>
      <c r="X7286" s="71"/>
      <c r="Y7286" s="71"/>
    </row>
    <row r="7287" spans="1:25" ht="30" hidden="1" customHeight="1" x14ac:dyDescent="0.25">
      <c r="A7287" s="1145">
        <v>45621</v>
      </c>
      <c r="B7287" s="664" t="s">
        <v>1060</v>
      </c>
      <c r="C7287" s="71" t="s">
        <v>3910</v>
      </c>
      <c r="D7287" s="71">
        <v>1700</v>
      </c>
      <c r="E7287" s="102">
        <v>3470</v>
      </c>
      <c r="F7287" s="102">
        <f t="shared" si="4118"/>
        <v>6488900.0000000009</v>
      </c>
      <c r="G7287" s="102">
        <f t="shared" si="4119"/>
        <v>5899000</v>
      </c>
      <c r="H7287" s="690" t="s">
        <v>36</v>
      </c>
      <c r="I7287" s="71" t="s">
        <v>2529</v>
      </c>
      <c r="J7287" s="53">
        <f t="shared" si="4116"/>
        <v>1907400</v>
      </c>
      <c r="K7287" s="63">
        <f t="shared" si="4117"/>
        <v>0.32334293948126797</v>
      </c>
      <c r="L7287" s="1212" t="s">
        <v>4227</v>
      </c>
      <c r="M7287" s="102" t="s">
        <v>3964</v>
      </c>
      <c r="N7287" s="1192">
        <v>45590</v>
      </c>
      <c r="O7287" s="71" t="s">
        <v>662</v>
      </c>
      <c r="P7287" s="103" t="s">
        <v>3910</v>
      </c>
      <c r="Q7287" s="71">
        <f t="shared" si="4113"/>
        <v>1700</v>
      </c>
      <c r="R7287" s="102">
        <v>2348</v>
      </c>
      <c r="S7287" s="102">
        <f t="shared" si="4124"/>
        <v>4390760</v>
      </c>
      <c r="T7287" s="102">
        <f t="shared" si="4125"/>
        <v>3991600</v>
      </c>
      <c r="U7287" s="71" t="s">
        <v>859</v>
      </c>
      <c r="V7287" s="71"/>
      <c r="W7287" s="474">
        <v>3325000</v>
      </c>
      <c r="X7287" s="71"/>
      <c r="Y7287" s="71"/>
    </row>
    <row r="7288" spans="1:25" ht="30" hidden="1" customHeight="1" x14ac:dyDescent="0.25">
      <c r="A7288" s="1145">
        <v>45621</v>
      </c>
      <c r="B7288" s="664" t="s">
        <v>1060</v>
      </c>
      <c r="C7288" s="71" t="s">
        <v>3911</v>
      </c>
      <c r="D7288" s="71">
        <v>1400</v>
      </c>
      <c r="E7288" s="102">
        <v>5890</v>
      </c>
      <c r="F7288" s="102">
        <f t="shared" si="4118"/>
        <v>9070600</v>
      </c>
      <c r="G7288" s="102">
        <f t="shared" si="4119"/>
        <v>8246000</v>
      </c>
      <c r="H7288" s="690" t="s">
        <v>36</v>
      </c>
      <c r="I7288" s="71" t="s">
        <v>2529</v>
      </c>
      <c r="J7288" s="53">
        <f t="shared" si="4116"/>
        <v>2693600</v>
      </c>
      <c r="K7288" s="63">
        <f t="shared" si="4117"/>
        <v>0.32665534804753821</v>
      </c>
      <c r="L7288" s="1212" t="s">
        <v>4227</v>
      </c>
      <c r="M7288" s="102" t="s">
        <v>3964</v>
      </c>
      <c r="N7288" s="1192">
        <v>45590</v>
      </c>
      <c r="O7288" s="71" t="s">
        <v>662</v>
      </c>
      <c r="P7288" s="103" t="s">
        <v>3911</v>
      </c>
      <c r="Q7288" s="71">
        <f t="shared" si="4113"/>
        <v>1400</v>
      </c>
      <c r="R7288" s="102">
        <v>3966</v>
      </c>
      <c r="S7288" s="102">
        <f t="shared" si="4124"/>
        <v>6107640.0000000009</v>
      </c>
      <c r="T7288" s="102">
        <f t="shared" si="4125"/>
        <v>5552400</v>
      </c>
      <c r="U7288" s="71" t="s">
        <v>859</v>
      </c>
      <c r="V7288" s="71"/>
      <c r="W7288" s="474">
        <v>636000</v>
      </c>
      <c r="X7288" s="71"/>
      <c r="Y7288" s="71"/>
    </row>
    <row r="7289" spans="1:25" ht="30" hidden="1" customHeight="1" x14ac:dyDescent="0.25">
      <c r="A7289" s="1145">
        <v>45621</v>
      </c>
      <c r="B7289" s="664" t="s">
        <v>1060</v>
      </c>
      <c r="C7289" s="71" t="s">
        <v>3912</v>
      </c>
      <c r="D7289" s="71">
        <v>700</v>
      </c>
      <c r="E7289" s="102">
        <v>6110</v>
      </c>
      <c r="F7289" s="102">
        <f t="shared" si="4118"/>
        <v>4704700</v>
      </c>
      <c r="G7289" s="102">
        <f t="shared" si="4119"/>
        <v>4277000</v>
      </c>
      <c r="H7289" s="690" t="s">
        <v>36</v>
      </c>
      <c r="I7289" s="71" t="s">
        <v>2529</v>
      </c>
      <c r="J7289" s="53">
        <f t="shared" si="4116"/>
        <v>1393000</v>
      </c>
      <c r="K7289" s="63">
        <f t="shared" si="4117"/>
        <v>0.32569558101472995</v>
      </c>
      <c r="L7289" s="1212" t="s">
        <v>4227</v>
      </c>
      <c r="M7289" s="102" t="s">
        <v>3964</v>
      </c>
      <c r="N7289" s="1192">
        <v>45590</v>
      </c>
      <c r="O7289" s="71" t="s">
        <v>662</v>
      </c>
      <c r="P7289" s="103" t="s">
        <v>3912</v>
      </c>
      <c r="Q7289" s="71">
        <f t="shared" si="4113"/>
        <v>700</v>
      </c>
      <c r="R7289" s="102">
        <v>4120</v>
      </c>
      <c r="S7289" s="102">
        <f t="shared" si="4124"/>
        <v>3172400.0000000005</v>
      </c>
      <c r="T7289" s="102">
        <f t="shared" si="4125"/>
        <v>2884000</v>
      </c>
      <c r="U7289" s="71" t="s">
        <v>859</v>
      </c>
      <c r="V7289" s="71"/>
      <c r="W7289" s="474">
        <v>1476000</v>
      </c>
      <c r="X7289" s="71"/>
      <c r="Y7289" s="71"/>
    </row>
    <row r="7290" spans="1:25" ht="30" hidden="1" customHeight="1" x14ac:dyDescent="0.25">
      <c r="A7290" s="1145">
        <v>45621</v>
      </c>
      <c r="B7290" s="664" t="s">
        <v>1060</v>
      </c>
      <c r="C7290" s="71" t="s">
        <v>3913</v>
      </c>
      <c r="D7290" s="71">
        <v>1500</v>
      </c>
      <c r="E7290" s="102">
        <v>4360</v>
      </c>
      <c r="F7290" s="102">
        <f t="shared" si="4118"/>
        <v>7194000.0000000009</v>
      </c>
      <c r="G7290" s="102">
        <f t="shared" si="4119"/>
        <v>6540000</v>
      </c>
      <c r="H7290" s="690" t="s">
        <v>36</v>
      </c>
      <c r="I7290" s="71" t="s">
        <v>2529</v>
      </c>
      <c r="J7290" s="53">
        <f t="shared" si="4116"/>
        <v>2136000</v>
      </c>
      <c r="K7290" s="63">
        <f t="shared" si="4117"/>
        <v>0.32660550458715593</v>
      </c>
      <c r="L7290" s="1212" t="s">
        <v>4227</v>
      </c>
      <c r="M7290" s="102" t="s">
        <v>3964</v>
      </c>
      <c r="N7290" s="1192">
        <v>45590</v>
      </c>
      <c r="O7290" s="71" t="s">
        <v>662</v>
      </c>
      <c r="P7290" s="103" t="s">
        <v>3913</v>
      </c>
      <c r="Q7290" s="71">
        <f t="shared" si="4113"/>
        <v>1500</v>
      </c>
      <c r="R7290" s="102">
        <v>2936</v>
      </c>
      <c r="S7290" s="102">
        <f t="shared" si="4124"/>
        <v>4844400</v>
      </c>
      <c r="T7290" s="102">
        <f t="shared" si="4125"/>
        <v>4404000</v>
      </c>
      <c r="U7290" s="71" t="s">
        <v>859</v>
      </c>
      <c r="V7290" s="71"/>
      <c r="W7290" s="474">
        <v>1416000</v>
      </c>
      <c r="X7290" s="71"/>
      <c r="Y7290" s="71"/>
    </row>
    <row r="7291" spans="1:25" ht="30" hidden="1" customHeight="1" x14ac:dyDescent="0.25">
      <c r="A7291" s="1145">
        <v>45621</v>
      </c>
      <c r="B7291" s="664" t="s">
        <v>1060</v>
      </c>
      <c r="C7291" s="71" t="s">
        <v>3914</v>
      </c>
      <c r="D7291" s="71">
        <v>35</v>
      </c>
      <c r="E7291" s="102">
        <v>52800</v>
      </c>
      <c r="F7291" s="102">
        <f t="shared" si="4118"/>
        <v>2032800.0000000002</v>
      </c>
      <c r="G7291" s="102">
        <f t="shared" si="4119"/>
        <v>1848000</v>
      </c>
      <c r="H7291" s="690" t="s">
        <v>36</v>
      </c>
      <c r="I7291" s="71" t="s">
        <v>2529</v>
      </c>
      <c r="J7291" s="53">
        <f t="shared" si="4116"/>
        <v>406000</v>
      </c>
      <c r="K7291" s="63">
        <f t="shared" si="4117"/>
        <v>0.21969696969696967</v>
      </c>
      <c r="L7291" s="1212" t="s">
        <v>4227</v>
      </c>
      <c r="M7291" s="468"/>
      <c r="N7291" s="1192">
        <v>45590</v>
      </c>
      <c r="O7291" s="71" t="s">
        <v>662</v>
      </c>
      <c r="P7291" s="103" t="s">
        <v>3914</v>
      </c>
      <c r="Q7291" s="71">
        <f t="shared" si="4113"/>
        <v>35</v>
      </c>
      <c r="R7291" s="102">
        <v>41200</v>
      </c>
      <c r="S7291" s="102">
        <f t="shared" si="4124"/>
        <v>1586200.0000000002</v>
      </c>
      <c r="T7291" s="102">
        <f t="shared" si="4125"/>
        <v>1442000</v>
      </c>
      <c r="U7291" s="71" t="s">
        <v>859</v>
      </c>
      <c r="V7291" s="71"/>
      <c r="W7291" s="474">
        <v>978750</v>
      </c>
      <c r="X7291" s="71"/>
      <c r="Y7291" s="71"/>
    </row>
    <row r="7292" spans="1:25" ht="30" hidden="1" customHeight="1" x14ac:dyDescent="0.25">
      <c r="A7292" s="1145">
        <v>45621</v>
      </c>
      <c r="B7292" s="664" t="s">
        <v>1061</v>
      </c>
      <c r="C7292" s="71" t="s">
        <v>3319</v>
      </c>
      <c r="D7292" s="71">
        <v>200</v>
      </c>
      <c r="E7292" s="102">
        <v>6328</v>
      </c>
      <c r="F7292" s="102">
        <f t="shared" si="4118"/>
        <v>1392160</v>
      </c>
      <c r="G7292" s="102">
        <f t="shared" si="4119"/>
        <v>1265600</v>
      </c>
      <c r="H7292" s="690" t="s">
        <v>36</v>
      </c>
      <c r="I7292" s="71" t="s">
        <v>3320</v>
      </c>
      <c r="J7292" s="53">
        <f t="shared" si="4116"/>
        <v>95600</v>
      </c>
      <c r="K7292" s="63">
        <f t="shared" si="4117"/>
        <v>7.5537294563843241E-2</v>
      </c>
      <c r="L7292" s="1212" t="s">
        <v>4227</v>
      </c>
      <c r="M7292" s="468"/>
      <c r="N7292" s="1192">
        <v>45590</v>
      </c>
      <c r="O7292" s="71" t="s">
        <v>146</v>
      </c>
      <c r="P7292" s="103" t="s">
        <v>3319</v>
      </c>
      <c r="Q7292" s="71">
        <f t="shared" si="4113"/>
        <v>200</v>
      </c>
      <c r="R7292" s="102">
        <v>5850</v>
      </c>
      <c r="S7292" s="102">
        <f t="shared" si="4124"/>
        <v>1287000</v>
      </c>
      <c r="T7292" s="102">
        <f t="shared" si="4125"/>
        <v>1170000</v>
      </c>
      <c r="U7292" s="71" t="s">
        <v>859</v>
      </c>
      <c r="V7292" s="71"/>
      <c r="W7292" s="474">
        <v>411200</v>
      </c>
      <c r="X7292" s="71"/>
      <c r="Y7292" s="71"/>
    </row>
    <row r="7293" spans="1:25" ht="30" hidden="1" customHeight="1" x14ac:dyDescent="0.25">
      <c r="A7293" s="1145">
        <v>45621</v>
      </c>
      <c r="B7293" s="664" t="s">
        <v>1061</v>
      </c>
      <c r="C7293" s="71" t="s">
        <v>3321</v>
      </c>
      <c r="D7293" s="71">
        <v>400</v>
      </c>
      <c r="E7293" s="102">
        <v>6780</v>
      </c>
      <c r="F7293" s="102">
        <f t="shared" si="4118"/>
        <v>2983200.0000000005</v>
      </c>
      <c r="G7293" s="102">
        <f t="shared" si="4119"/>
        <v>2712000</v>
      </c>
      <c r="H7293" s="690" t="s">
        <v>36</v>
      </c>
      <c r="I7293" s="71" t="s">
        <v>3320</v>
      </c>
      <c r="J7293" s="53">
        <f t="shared" si="4116"/>
        <v>200000</v>
      </c>
      <c r="K7293" s="63">
        <f t="shared" si="4117"/>
        <v>7.3746312684365767E-2</v>
      </c>
      <c r="L7293" s="1212" t="s">
        <v>4227</v>
      </c>
      <c r="M7293" s="468"/>
      <c r="N7293" s="1192">
        <v>45590</v>
      </c>
      <c r="O7293" s="71" t="s">
        <v>146</v>
      </c>
      <c r="P7293" s="103" t="s">
        <v>3321</v>
      </c>
      <c r="Q7293" s="71">
        <f t="shared" si="4113"/>
        <v>400</v>
      </c>
      <c r="R7293" s="102">
        <v>6280</v>
      </c>
      <c r="S7293" s="102">
        <f t="shared" si="4124"/>
        <v>2763200</v>
      </c>
      <c r="T7293" s="102">
        <f t="shared" si="4125"/>
        <v>2512000</v>
      </c>
      <c r="U7293" s="71" t="s">
        <v>859</v>
      </c>
      <c r="V7293" s="71"/>
      <c r="W7293" s="474">
        <v>292000</v>
      </c>
      <c r="X7293" s="71"/>
      <c r="Y7293" s="71"/>
    </row>
    <row r="7294" spans="1:25" ht="30" hidden="1" customHeight="1" x14ac:dyDescent="0.25">
      <c r="A7294" s="1145">
        <v>45621</v>
      </c>
      <c r="B7294" s="664" t="s">
        <v>1061</v>
      </c>
      <c r="C7294" s="71" t="s">
        <v>1289</v>
      </c>
      <c r="D7294" s="71">
        <v>600</v>
      </c>
      <c r="E7294" s="102">
        <v>6498</v>
      </c>
      <c r="F7294" s="102">
        <f t="shared" si="4118"/>
        <v>4288680</v>
      </c>
      <c r="G7294" s="102">
        <f t="shared" si="4119"/>
        <v>3898800</v>
      </c>
      <c r="H7294" s="690" t="s">
        <v>36</v>
      </c>
      <c r="I7294" s="71" t="s">
        <v>3320</v>
      </c>
      <c r="J7294" s="53">
        <f t="shared" si="4116"/>
        <v>286800</v>
      </c>
      <c r="K7294" s="63">
        <f t="shared" si="4117"/>
        <v>7.3561095721760547E-2</v>
      </c>
      <c r="L7294" s="1212" t="s">
        <v>4227</v>
      </c>
      <c r="M7294" s="468"/>
      <c r="N7294" s="1192">
        <v>45590</v>
      </c>
      <c r="O7294" s="71" t="s">
        <v>146</v>
      </c>
      <c r="P7294" s="103" t="s">
        <v>1289</v>
      </c>
      <c r="Q7294" s="71">
        <f t="shared" si="4113"/>
        <v>600</v>
      </c>
      <c r="R7294" s="102">
        <v>6020</v>
      </c>
      <c r="S7294" s="102">
        <f t="shared" si="4124"/>
        <v>3973200.0000000005</v>
      </c>
      <c r="T7294" s="102">
        <f t="shared" si="4125"/>
        <v>3612000</v>
      </c>
      <c r="U7294" s="71" t="s">
        <v>859</v>
      </c>
      <c r="V7294" s="71"/>
      <c r="W7294" s="474">
        <v>640800</v>
      </c>
      <c r="X7294" s="71"/>
      <c r="Y7294" s="71"/>
    </row>
    <row r="7295" spans="1:25" ht="30" hidden="1" customHeight="1" x14ac:dyDescent="0.25">
      <c r="A7295" s="1145">
        <v>45621</v>
      </c>
      <c r="B7295" s="664" t="s">
        <v>1061</v>
      </c>
      <c r="C7295" s="71" t="s">
        <v>1290</v>
      </c>
      <c r="D7295" s="71">
        <v>600</v>
      </c>
      <c r="E7295" s="102">
        <v>7910</v>
      </c>
      <c r="F7295" s="102">
        <f t="shared" si="4118"/>
        <v>5220600</v>
      </c>
      <c r="G7295" s="102">
        <f t="shared" si="4119"/>
        <v>4746000</v>
      </c>
      <c r="H7295" s="690" t="s">
        <v>36</v>
      </c>
      <c r="I7295" s="71" t="s">
        <v>3320</v>
      </c>
      <c r="J7295" s="53">
        <f t="shared" si="4116"/>
        <v>360000</v>
      </c>
      <c r="K7295" s="63">
        <f t="shared" si="4117"/>
        <v>7.5853350189633378E-2</v>
      </c>
      <c r="L7295" s="1212" t="s">
        <v>4227</v>
      </c>
      <c r="M7295" s="468"/>
      <c r="N7295" s="1192">
        <v>45590</v>
      </c>
      <c r="O7295" s="71" t="s">
        <v>146</v>
      </c>
      <c r="P7295" s="103" t="s">
        <v>1290</v>
      </c>
      <c r="Q7295" s="71">
        <f t="shared" si="4113"/>
        <v>600</v>
      </c>
      <c r="R7295" s="102">
        <v>7310</v>
      </c>
      <c r="S7295" s="102">
        <f t="shared" si="4124"/>
        <v>4824600</v>
      </c>
      <c r="T7295" s="102">
        <f t="shared" si="4125"/>
        <v>4386000</v>
      </c>
      <c r="U7295" s="71" t="s">
        <v>859</v>
      </c>
      <c r="V7295" s="71"/>
      <c r="W7295" s="474">
        <v>846000</v>
      </c>
      <c r="X7295" s="71"/>
      <c r="Y7295" s="71"/>
    </row>
    <row r="7296" spans="1:25" ht="30" hidden="1" customHeight="1" x14ac:dyDescent="0.25">
      <c r="A7296" s="1145">
        <v>45621</v>
      </c>
      <c r="B7296" s="664" t="s">
        <v>1061</v>
      </c>
      <c r="C7296" s="71" t="s">
        <v>3322</v>
      </c>
      <c r="D7296" s="71"/>
      <c r="E7296" s="102">
        <v>7150</v>
      </c>
      <c r="F7296" s="102">
        <f t="shared" si="4118"/>
        <v>0</v>
      </c>
      <c r="G7296" s="102">
        <f t="shared" si="4119"/>
        <v>0</v>
      </c>
      <c r="H7296" s="690" t="s">
        <v>36</v>
      </c>
      <c r="I7296" s="71" t="s">
        <v>3320</v>
      </c>
      <c r="J7296" s="53">
        <f t="shared" si="4116"/>
        <v>0</v>
      </c>
      <c r="K7296" s="63" t="e">
        <f t="shared" si="4117"/>
        <v>#DIV/0!</v>
      </c>
      <c r="L7296" s="1212" t="s">
        <v>4227</v>
      </c>
      <c r="M7296" s="468"/>
      <c r="N7296" s="1192">
        <v>45590</v>
      </c>
      <c r="O7296" s="71" t="s">
        <v>3323</v>
      </c>
      <c r="P7296" s="103" t="s">
        <v>3322</v>
      </c>
      <c r="Q7296" s="71">
        <f t="shared" si="4113"/>
        <v>0</v>
      </c>
      <c r="R7296" s="102">
        <v>6500</v>
      </c>
      <c r="S7296" s="102">
        <f t="shared" si="4124"/>
        <v>0</v>
      </c>
      <c r="T7296" s="102">
        <f t="shared" si="4125"/>
        <v>0</v>
      </c>
      <c r="U7296" s="71" t="s">
        <v>859</v>
      </c>
      <c r="V7296" s="71"/>
      <c r="W7296" s="474">
        <v>0</v>
      </c>
      <c r="X7296" s="71"/>
      <c r="Y7296" s="71"/>
    </row>
    <row r="7297" spans="1:25" ht="30" hidden="1" customHeight="1" x14ac:dyDescent="0.25">
      <c r="A7297" s="1145">
        <v>45621</v>
      </c>
      <c r="B7297" s="664" t="s">
        <v>1061</v>
      </c>
      <c r="C7297" s="71" t="s">
        <v>3324</v>
      </c>
      <c r="D7297" s="71"/>
      <c r="E7297" s="102">
        <v>6900</v>
      </c>
      <c r="F7297" s="102">
        <f t="shared" si="4118"/>
        <v>0</v>
      </c>
      <c r="G7297" s="102">
        <f t="shared" si="4119"/>
        <v>0</v>
      </c>
      <c r="H7297" s="690" t="s">
        <v>36</v>
      </c>
      <c r="I7297" s="71" t="s">
        <v>3320</v>
      </c>
      <c r="J7297" s="53">
        <f t="shared" si="4116"/>
        <v>0</v>
      </c>
      <c r="K7297" s="63" t="e">
        <f t="shared" si="4117"/>
        <v>#DIV/0!</v>
      </c>
      <c r="L7297" s="1212" t="s">
        <v>4227</v>
      </c>
      <c r="M7297" s="468"/>
      <c r="N7297" s="1192">
        <v>45590</v>
      </c>
      <c r="O7297" s="71" t="s">
        <v>3323</v>
      </c>
      <c r="P7297" s="103" t="s">
        <v>3324</v>
      </c>
      <c r="Q7297" s="71">
        <f t="shared" si="4113"/>
        <v>0</v>
      </c>
      <c r="R7297" s="102">
        <v>6200</v>
      </c>
      <c r="S7297" s="102">
        <f t="shared" si="4124"/>
        <v>0</v>
      </c>
      <c r="T7297" s="102">
        <f t="shared" si="4125"/>
        <v>0</v>
      </c>
      <c r="U7297" s="71" t="s">
        <v>859</v>
      </c>
      <c r="V7297" s="71"/>
      <c r="W7297" s="474">
        <v>0</v>
      </c>
      <c r="X7297" s="71"/>
      <c r="Y7297" s="71"/>
    </row>
    <row r="7298" spans="1:25" ht="28.5" hidden="1" customHeight="1" x14ac:dyDescent="0.25">
      <c r="A7298" s="1145">
        <v>45621</v>
      </c>
      <c r="B7298" s="664" t="s">
        <v>1061</v>
      </c>
      <c r="C7298" s="71" t="s">
        <v>3325</v>
      </c>
      <c r="D7298" s="71"/>
      <c r="E7298" s="102">
        <v>7500</v>
      </c>
      <c r="F7298" s="102">
        <f t="shared" si="4118"/>
        <v>0</v>
      </c>
      <c r="G7298" s="102">
        <f t="shared" si="4119"/>
        <v>0</v>
      </c>
      <c r="H7298" s="690" t="s">
        <v>36</v>
      </c>
      <c r="I7298" s="71" t="s">
        <v>3320</v>
      </c>
      <c r="J7298" s="53">
        <f t="shared" si="4116"/>
        <v>0</v>
      </c>
      <c r="K7298" s="63" t="e">
        <f t="shared" si="4117"/>
        <v>#DIV/0!</v>
      </c>
      <c r="L7298" s="1212" t="s">
        <v>4227</v>
      </c>
      <c r="M7298" s="468"/>
      <c r="N7298" s="1192">
        <v>45590</v>
      </c>
      <c r="O7298" s="71" t="s">
        <v>3323</v>
      </c>
      <c r="P7298" s="103" t="s">
        <v>3325</v>
      </c>
      <c r="Q7298" s="71">
        <f t="shared" si="4113"/>
        <v>0</v>
      </c>
      <c r="R7298" s="102">
        <v>6600</v>
      </c>
      <c r="S7298" s="102">
        <f t="shared" si="4124"/>
        <v>0</v>
      </c>
      <c r="T7298" s="102">
        <f t="shared" si="4125"/>
        <v>0</v>
      </c>
      <c r="U7298" s="71" t="s">
        <v>859</v>
      </c>
      <c r="V7298" s="71"/>
      <c r="W7298" s="474">
        <v>0</v>
      </c>
      <c r="X7298" s="71"/>
      <c r="Y7298" s="71"/>
    </row>
    <row r="7299" spans="1:25" ht="30" hidden="1" customHeight="1" x14ac:dyDescent="0.25">
      <c r="A7299" s="1145">
        <v>45621</v>
      </c>
      <c r="B7299" s="664" t="s">
        <v>1061</v>
      </c>
      <c r="C7299" s="71" t="s">
        <v>3326</v>
      </c>
      <c r="D7299" s="71"/>
      <c r="E7299" s="102">
        <v>6450</v>
      </c>
      <c r="F7299" s="102">
        <f t="shared" si="4118"/>
        <v>0</v>
      </c>
      <c r="G7299" s="102">
        <f t="shared" si="4119"/>
        <v>0</v>
      </c>
      <c r="H7299" s="690" t="s">
        <v>36</v>
      </c>
      <c r="I7299" s="71" t="s">
        <v>3320</v>
      </c>
      <c r="J7299" s="53">
        <f t="shared" si="4116"/>
        <v>0</v>
      </c>
      <c r="K7299" s="63" t="e">
        <f t="shared" si="4117"/>
        <v>#DIV/0!</v>
      </c>
      <c r="L7299" s="1212" t="s">
        <v>4227</v>
      </c>
      <c r="M7299" s="468"/>
      <c r="N7299" s="1192">
        <v>45590</v>
      </c>
      <c r="O7299" s="71" t="s">
        <v>3323</v>
      </c>
      <c r="P7299" s="103" t="s">
        <v>3326</v>
      </c>
      <c r="Q7299" s="71">
        <f t="shared" si="4113"/>
        <v>0</v>
      </c>
      <c r="R7299" s="102">
        <v>5700</v>
      </c>
      <c r="S7299" s="102">
        <f t="shared" si="4124"/>
        <v>0</v>
      </c>
      <c r="T7299" s="102">
        <f t="shared" si="4125"/>
        <v>0</v>
      </c>
      <c r="U7299" s="71" t="s">
        <v>859</v>
      </c>
      <c r="V7299" s="71"/>
      <c r="W7299" s="474">
        <v>0</v>
      </c>
      <c r="X7299" s="71"/>
      <c r="Y7299" s="71"/>
    </row>
    <row r="7300" spans="1:25" ht="30" hidden="1" customHeight="1" x14ac:dyDescent="0.25">
      <c r="A7300" s="1145">
        <v>45621</v>
      </c>
      <c r="B7300" s="664" t="s">
        <v>1061</v>
      </c>
      <c r="C7300" s="71" t="s">
        <v>4233</v>
      </c>
      <c r="D7300" s="71">
        <v>120</v>
      </c>
      <c r="E7300" s="102">
        <v>24900</v>
      </c>
      <c r="F7300" s="102">
        <f t="shared" si="4118"/>
        <v>3286800.0000000005</v>
      </c>
      <c r="G7300" s="102">
        <f t="shared" si="4119"/>
        <v>2988000</v>
      </c>
      <c r="H7300" s="690" t="s">
        <v>36</v>
      </c>
      <c r="I7300" s="71" t="s">
        <v>3320</v>
      </c>
      <c r="J7300" s="53">
        <f t="shared" si="4116"/>
        <v>-732000</v>
      </c>
      <c r="K7300" s="63">
        <f t="shared" si="4117"/>
        <v>-0.24497991967871482</v>
      </c>
      <c r="L7300" s="1212" t="s">
        <v>4227</v>
      </c>
      <c r="M7300" s="468"/>
      <c r="N7300" s="1192">
        <v>45590</v>
      </c>
      <c r="O7300" s="71" t="s">
        <v>2459</v>
      </c>
      <c r="P7300" s="103" t="s">
        <v>4230</v>
      </c>
      <c r="Q7300" s="71">
        <f t="shared" si="4113"/>
        <v>120</v>
      </c>
      <c r="R7300" s="102">
        <v>31000</v>
      </c>
      <c r="S7300" s="102">
        <f t="shared" si="4124"/>
        <v>4092000.0000000005</v>
      </c>
      <c r="T7300" s="102">
        <f t="shared" si="4125"/>
        <v>3720000</v>
      </c>
      <c r="U7300" s="71"/>
      <c r="V7300" s="71"/>
      <c r="W7300" s="474"/>
      <c r="X7300" s="71"/>
      <c r="Y7300" s="71"/>
    </row>
    <row r="7301" spans="1:25" ht="30" hidden="1" customHeight="1" x14ac:dyDescent="0.25">
      <c r="A7301" s="1145">
        <v>45621</v>
      </c>
      <c r="B7301" s="664" t="s">
        <v>1061</v>
      </c>
      <c r="C7301" s="71" t="s">
        <v>4123</v>
      </c>
      <c r="D7301" s="71">
        <v>0</v>
      </c>
      <c r="E7301" s="102">
        <v>12500</v>
      </c>
      <c r="F7301" s="102">
        <f t="shared" si="4118"/>
        <v>0</v>
      </c>
      <c r="G7301" s="102">
        <f t="shared" si="4119"/>
        <v>0</v>
      </c>
      <c r="H7301" s="690" t="s">
        <v>36</v>
      </c>
      <c r="I7301" s="71" t="s">
        <v>3320</v>
      </c>
      <c r="J7301" s="53">
        <f t="shared" si="4116"/>
        <v>0</v>
      </c>
      <c r="K7301" s="63" t="e">
        <f t="shared" si="4117"/>
        <v>#DIV/0!</v>
      </c>
      <c r="L7301" s="1212" t="s">
        <v>4227</v>
      </c>
      <c r="M7301" s="468"/>
      <c r="N7301" s="1192">
        <v>45590</v>
      </c>
      <c r="O7301" s="71" t="s">
        <v>3323</v>
      </c>
      <c r="P7301" s="103" t="s">
        <v>4177</v>
      </c>
      <c r="Q7301" s="71">
        <f t="shared" si="4113"/>
        <v>0</v>
      </c>
      <c r="R7301" s="102">
        <v>11700</v>
      </c>
      <c r="S7301" s="102">
        <f t="shared" si="4124"/>
        <v>0</v>
      </c>
      <c r="T7301" s="102">
        <f t="shared" si="4125"/>
        <v>0</v>
      </c>
      <c r="U7301" s="71"/>
      <c r="V7301" s="71"/>
      <c r="W7301" s="474"/>
      <c r="X7301" s="71"/>
      <c r="Y7301" s="71"/>
    </row>
    <row r="7302" spans="1:25" ht="30" hidden="1" customHeight="1" x14ac:dyDescent="0.25">
      <c r="A7302" s="1145">
        <v>45621</v>
      </c>
      <c r="B7302" s="664" t="s">
        <v>3307</v>
      </c>
      <c r="C7302" s="71" t="s">
        <v>3916</v>
      </c>
      <c r="D7302" s="71">
        <v>8</v>
      </c>
      <c r="E7302" s="102">
        <v>218000</v>
      </c>
      <c r="F7302" s="102">
        <f t="shared" si="4118"/>
        <v>1918400.0000000002</v>
      </c>
      <c r="G7302" s="102">
        <f t="shared" si="4119"/>
        <v>1744000</v>
      </c>
      <c r="H7302" s="690" t="s">
        <v>172</v>
      </c>
      <c r="I7302" s="71" t="s">
        <v>33</v>
      </c>
      <c r="J7302" s="53">
        <f t="shared" si="4116"/>
        <v>412000</v>
      </c>
      <c r="K7302" s="63">
        <f t="shared" si="4117"/>
        <v>0.23623853211009171</v>
      </c>
      <c r="L7302" s="1212" t="s">
        <v>4227</v>
      </c>
      <c r="M7302" s="468" t="s">
        <v>3965</v>
      </c>
      <c r="N7302" s="1192">
        <v>45590</v>
      </c>
      <c r="O7302" s="71" t="s">
        <v>662</v>
      </c>
      <c r="P7302" s="103" t="s">
        <v>3916</v>
      </c>
      <c r="Q7302" s="71">
        <f t="shared" si="4113"/>
        <v>8</v>
      </c>
      <c r="R7302" s="102">
        <v>166500</v>
      </c>
      <c r="S7302" s="102">
        <f t="shared" si="4124"/>
        <v>1465200.0000000002</v>
      </c>
      <c r="T7302" s="102">
        <f t="shared" si="4125"/>
        <v>1332000</v>
      </c>
      <c r="U7302" s="71" t="s">
        <v>859</v>
      </c>
      <c r="V7302" s="71" t="s">
        <v>728</v>
      </c>
      <c r="W7302" s="474">
        <v>464000</v>
      </c>
      <c r="X7302" s="71"/>
      <c r="Y7302" s="71"/>
    </row>
    <row r="7303" spans="1:25" ht="30" hidden="1" customHeight="1" x14ac:dyDescent="0.25">
      <c r="A7303" s="1145">
        <v>45621</v>
      </c>
      <c r="B7303" s="664" t="s">
        <v>3307</v>
      </c>
      <c r="C7303" s="71" t="s">
        <v>3611</v>
      </c>
      <c r="D7303" s="71">
        <v>1</v>
      </c>
      <c r="E7303" s="102">
        <v>2350000</v>
      </c>
      <c r="F7303" s="102">
        <f t="shared" si="4118"/>
        <v>2585000</v>
      </c>
      <c r="G7303" s="102">
        <f t="shared" si="4119"/>
        <v>2350000</v>
      </c>
      <c r="H7303" s="690" t="s">
        <v>36</v>
      </c>
      <c r="I7303" s="690" t="s">
        <v>36</v>
      </c>
      <c r="J7303" s="53">
        <f t="shared" si="4116"/>
        <v>600000</v>
      </c>
      <c r="K7303" s="63">
        <f t="shared" si="4117"/>
        <v>0.25531914893617019</v>
      </c>
      <c r="L7303" s="1212" t="s">
        <v>4227</v>
      </c>
      <c r="M7303" s="468"/>
      <c r="N7303" s="1192">
        <v>45590</v>
      </c>
      <c r="O7303" s="71" t="s">
        <v>3298</v>
      </c>
      <c r="P7303" s="103" t="s">
        <v>4231</v>
      </c>
      <c r="Q7303" s="71">
        <f t="shared" si="4113"/>
        <v>1</v>
      </c>
      <c r="R7303" s="147">
        <v>1750000</v>
      </c>
      <c r="S7303" s="102">
        <f t="shared" si="4124"/>
        <v>1925000.0000000002</v>
      </c>
      <c r="T7303" s="102">
        <f t="shared" si="4125"/>
        <v>1750000</v>
      </c>
      <c r="U7303" s="71"/>
      <c r="V7303" s="71"/>
      <c r="W7303" s="474"/>
      <c r="X7303" s="71"/>
      <c r="Y7303" s="71"/>
    </row>
    <row r="7304" spans="1:25" ht="30" hidden="1" customHeight="1" x14ac:dyDescent="0.25">
      <c r="A7304" s="1145">
        <v>45621</v>
      </c>
      <c r="B7304" s="664" t="s">
        <v>575</v>
      </c>
      <c r="C7304" s="71" t="s">
        <v>4058</v>
      </c>
      <c r="D7304" s="71">
        <v>0</v>
      </c>
      <c r="E7304" s="102">
        <v>27000</v>
      </c>
      <c r="F7304" s="102">
        <f t="shared" si="4118"/>
        <v>0</v>
      </c>
      <c r="G7304" s="102">
        <f t="shared" si="4119"/>
        <v>0</v>
      </c>
      <c r="H7304" s="690" t="s">
        <v>179</v>
      </c>
      <c r="I7304" s="71" t="s">
        <v>142</v>
      </c>
      <c r="J7304" s="53">
        <f t="shared" si="4116"/>
        <v>0</v>
      </c>
      <c r="K7304" s="63" t="e">
        <f t="shared" si="4117"/>
        <v>#DIV/0!</v>
      </c>
      <c r="L7304" s="1212" t="s">
        <v>4227</v>
      </c>
      <c r="M7304" s="468"/>
      <c r="N7304" s="1192"/>
      <c r="O7304" s="71" t="s">
        <v>151</v>
      </c>
      <c r="P7304" s="103" t="s">
        <v>4232</v>
      </c>
      <c r="Q7304" s="71">
        <f t="shared" si="4113"/>
        <v>0</v>
      </c>
      <c r="R7304" s="147">
        <v>22600</v>
      </c>
      <c r="S7304" s="102">
        <f t="shared" si="4124"/>
        <v>0</v>
      </c>
      <c r="T7304" s="102">
        <f t="shared" si="4125"/>
        <v>0</v>
      </c>
      <c r="U7304" s="71"/>
      <c r="V7304" s="71"/>
      <c r="W7304" s="474"/>
      <c r="X7304" s="71"/>
      <c r="Y7304" s="71"/>
    </row>
    <row r="7305" spans="1:25" ht="30" hidden="1" customHeight="1" x14ac:dyDescent="0.25">
      <c r="A7305" s="1145">
        <v>45601</v>
      </c>
      <c r="B7305" s="664" t="s">
        <v>2261</v>
      </c>
      <c r="C7305" s="71" t="s">
        <v>3299</v>
      </c>
      <c r="D7305" s="71">
        <v>10</v>
      </c>
      <c r="E7305" s="102">
        <v>52000</v>
      </c>
      <c r="F7305" s="102">
        <f t="shared" si="4118"/>
        <v>572000</v>
      </c>
      <c r="G7305" s="102">
        <f t="shared" si="4119"/>
        <v>520000</v>
      </c>
      <c r="H7305" s="690" t="s">
        <v>172</v>
      </c>
      <c r="I7305" s="71" t="s">
        <v>180</v>
      </c>
      <c r="J7305" s="53">
        <f t="shared" si="4116"/>
        <v>45000</v>
      </c>
      <c r="K7305" s="63">
        <f t="shared" si="4117"/>
        <v>8.6538461538461536E-2</v>
      </c>
      <c r="L7305" s="1212" t="s">
        <v>4227</v>
      </c>
      <c r="M7305" s="468" t="s">
        <v>3835</v>
      </c>
      <c r="N7305" s="1192">
        <f t="shared" ref="N7305:N7307" si="4126">A7305</f>
        <v>45601</v>
      </c>
      <c r="O7305" s="71" t="s">
        <v>175</v>
      </c>
      <c r="P7305" s="103" t="str">
        <f t="shared" ref="P7305:P7307" si="4127">(C7305)</f>
        <v>매엽용 세척제(Wash k11)</v>
      </c>
      <c r="Q7305" s="71">
        <f t="shared" si="4113"/>
        <v>10</v>
      </c>
      <c r="R7305" s="102">
        <v>47500</v>
      </c>
      <c r="S7305" s="102">
        <f t="shared" si="4124"/>
        <v>522500.00000000006</v>
      </c>
      <c r="T7305" s="102">
        <f t="shared" si="4125"/>
        <v>475000</v>
      </c>
      <c r="U7305" s="71" t="s">
        <v>859</v>
      </c>
      <c r="V7305" s="71"/>
      <c r="W7305" s="474"/>
      <c r="X7305" s="71"/>
      <c r="Y7305" s="71"/>
    </row>
    <row r="7306" spans="1:25" ht="30" hidden="1" customHeight="1" x14ac:dyDescent="0.25">
      <c r="A7306" s="1145">
        <v>45603</v>
      </c>
      <c r="B7306" s="664" t="s">
        <v>2261</v>
      </c>
      <c r="C7306" s="760" t="s">
        <v>181</v>
      </c>
      <c r="D7306" s="71">
        <v>10</v>
      </c>
      <c r="E7306" s="102">
        <v>193000</v>
      </c>
      <c r="F7306" s="102">
        <f t="shared" si="4118"/>
        <v>2123000</v>
      </c>
      <c r="G7306" s="102">
        <f t="shared" si="4119"/>
        <v>1930000</v>
      </c>
      <c r="H7306" s="690" t="s">
        <v>2029</v>
      </c>
      <c r="I7306" s="71" t="s">
        <v>182</v>
      </c>
      <c r="J7306" s="53">
        <f t="shared" si="4116"/>
        <v>690000</v>
      </c>
      <c r="K7306" s="63">
        <f t="shared" si="4117"/>
        <v>0.35751295336787564</v>
      </c>
      <c r="L7306" s="1212" t="s">
        <v>4227</v>
      </c>
      <c r="M7306" s="468"/>
      <c r="N7306" s="1192">
        <f t="shared" si="4126"/>
        <v>45603</v>
      </c>
      <c r="O7306" s="71" t="s">
        <v>2030</v>
      </c>
      <c r="P7306" s="103" t="str">
        <f t="shared" si="4127"/>
        <v>Fount Web 551AF</v>
      </c>
      <c r="Q7306" s="71">
        <f t="shared" si="4113"/>
        <v>10</v>
      </c>
      <c r="R7306" s="102">
        <v>124000</v>
      </c>
      <c r="S7306" s="102">
        <f t="shared" si="4124"/>
        <v>1364000</v>
      </c>
      <c r="T7306" s="102">
        <f t="shared" si="4125"/>
        <v>1240000</v>
      </c>
      <c r="U7306" s="71" t="str">
        <f>IF(J7306=W7306,"O", "X")</f>
        <v>X</v>
      </c>
      <c r="V7306" s="71"/>
      <c r="W7306" s="474">
        <v>640000</v>
      </c>
      <c r="X7306" s="71"/>
      <c r="Y7306" s="71"/>
    </row>
    <row r="7307" spans="1:25" ht="30" hidden="1" customHeight="1" x14ac:dyDescent="0.25">
      <c r="A7307" s="1145">
        <v>45603</v>
      </c>
      <c r="B7307" s="664" t="s">
        <v>2261</v>
      </c>
      <c r="C7307" s="71" t="s">
        <v>277</v>
      </c>
      <c r="D7307" s="71">
        <v>10</v>
      </c>
      <c r="E7307" s="102">
        <v>172000</v>
      </c>
      <c r="F7307" s="102">
        <f t="shared" si="4118"/>
        <v>1892000.0000000002</v>
      </c>
      <c r="G7307" s="102">
        <f t="shared" si="4119"/>
        <v>1720000</v>
      </c>
      <c r="H7307" s="690" t="s">
        <v>172</v>
      </c>
      <c r="I7307" s="71" t="s">
        <v>108</v>
      </c>
      <c r="J7307" s="53">
        <f t="shared" si="4116"/>
        <v>390000</v>
      </c>
      <c r="K7307" s="63">
        <f t="shared" si="4117"/>
        <v>0.22674418604651159</v>
      </c>
      <c r="L7307" s="1212" t="s">
        <v>4227</v>
      </c>
      <c r="M7307" s="468"/>
      <c r="N7307" s="1192">
        <f t="shared" si="4126"/>
        <v>45603</v>
      </c>
      <c r="O7307" s="71" t="s">
        <v>662</v>
      </c>
      <c r="P7307" s="103" t="str">
        <f t="shared" si="4127"/>
        <v>윤전용 세척제(Web 504)</v>
      </c>
      <c r="Q7307" s="71">
        <f t="shared" si="4113"/>
        <v>10</v>
      </c>
      <c r="R7307" s="102">
        <v>133000</v>
      </c>
      <c r="S7307" s="102">
        <f t="shared" si="4124"/>
        <v>1463000.0000000002</v>
      </c>
      <c r="T7307" s="102">
        <f t="shared" si="4125"/>
        <v>1330000</v>
      </c>
      <c r="U7307" s="71" t="str">
        <f>IF(J7307=W7307,"O", "X")</f>
        <v>X</v>
      </c>
      <c r="V7307" s="71"/>
      <c r="W7307" s="474"/>
      <c r="X7307" s="71"/>
      <c r="Y7307" s="71"/>
    </row>
    <row r="7308" spans="1:25" ht="30" hidden="1" customHeight="1" x14ac:dyDescent="0.25">
      <c r="A7308" s="1145">
        <v>45603</v>
      </c>
      <c r="B7308" s="664" t="s">
        <v>2261</v>
      </c>
      <c r="C7308" s="71" t="s">
        <v>3299</v>
      </c>
      <c r="D7308" s="71">
        <v>10</v>
      </c>
      <c r="E7308" s="102">
        <v>52000</v>
      </c>
      <c r="F7308" s="102">
        <f t="shared" ref="F7308:F7312" si="4128">(E7308*D7308)*1.1</f>
        <v>572000</v>
      </c>
      <c r="G7308" s="102">
        <f t="shared" ref="G7308:G7312" si="4129">(E7308*D7308)</f>
        <v>520000</v>
      </c>
      <c r="H7308" s="690" t="s">
        <v>172</v>
      </c>
      <c r="I7308" s="71" t="s">
        <v>180</v>
      </c>
      <c r="J7308" s="53">
        <f t="shared" si="4116"/>
        <v>45000</v>
      </c>
      <c r="K7308" s="63">
        <f t="shared" si="4117"/>
        <v>8.6538461538461536E-2</v>
      </c>
      <c r="L7308" s="1212" t="s">
        <v>4227</v>
      </c>
      <c r="M7308" s="468" t="s">
        <v>3835</v>
      </c>
      <c r="N7308" s="1192">
        <f t="shared" ref="N7308:N7312" si="4130">A7308</f>
        <v>45603</v>
      </c>
      <c r="O7308" s="71" t="s">
        <v>175</v>
      </c>
      <c r="P7308" s="103" t="str">
        <f t="shared" ref="P7308:P7312" si="4131">(C7308)</f>
        <v>매엽용 세척제(Wash k11)</v>
      </c>
      <c r="Q7308" s="71">
        <f t="shared" si="4113"/>
        <v>10</v>
      </c>
      <c r="R7308" s="102">
        <v>47500</v>
      </c>
      <c r="S7308" s="102">
        <f t="shared" si="4124"/>
        <v>522500.00000000006</v>
      </c>
      <c r="T7308" s="102">
        <f t="shared" si="4125"/>
        <v>475000</v>
      </c>
      <c r="U7308" s="71" t="s">
        <v>859</v>
      </c>
      <c r="V7308" s="71"/>
      <c r="W7308" s="474"/>
      <c r="X7308" s="71"/>
      <c r="Y7308" s="71"/>
    </row>
    <row r="7309" spans="1:25" ht="30" hidden="1" customHeight="1" x14ac:dyDescent="0.25">
      <c r="A7309" s="1145">
        <v>45615</v>
      </c>
      <c r="B7309" s="664" t="s">
        <v>2261</v>
      </c>
      <c r="C7309" s="760" t="s">
        <v>181</v>
      </c>
      <c r="D7309" s="71">
        <v>10</v>
      </c>
      <c r="E7309" s="102">
        <v>193000</v>
      </c>
      <c r="F7309" s="102">
        <f t="shared" si="4128"/>
        <v>2123000</v>
      </c>
      <c r="G7309" s="102">
        <f t="shared" si="4129"/>
        <v>1930000</v>
      </c>
      <c r="H7309" s="690" t="s">
        <v>2029</v>
      </c>
      <c r="I7309" s="71" t="s">
        <v>182</v>
      </c>
      <c r="J7309" s="53">
        <f t="shared" si="4116"/>
        <v>690000</v>
      </c>
      <c r="K7309" s="63">
        <f t="shared" si="4117"/>
        <v>0.35751295336787564</v>
      </c>
      <c r="L7309" s="1212" t="s">
        <v>4227</v>
      </c>
      <c r="M7309" s="468"/>
      <c r="N7309" s="1192">
        <f t="shared" si="4130"/>
        <v>45615</v>
      </c>
      <c r="O7309" s="71" t="s">
        <v>2030</v>
      </c>
      <c r="P7309" s="103" t="str">
        <f t="shared" si="4131"/>
        <v>Fount Web 551AF</v>
      </c>
      <c r="Q7309" s="71">
        <f t="shared" si="4113"/>
        <v>10</v>
      </c>
      <c r="R7309" s="102">
        <v>124000</v>
      </c>
      <c r="S7309" s="102">
        <f t="shared" si="4124"/>
        <v>1364000</v>
      </c>
      <c r="T7309" s="102">
        <f t="shared" si="4125"/>
        <v>1240000</v>
      </c>
      <c r="U7309" s="71" t="str">
        <f>IF(J7309=W7309,"O", "X")</f>
        <v>X</v>
      </c>
      <c r="V7309" s="71"/>
      <c r="W7309" s="474">
        <v>640000</v>
      </c>
      <c r="X7309" s="71"/>
      <c r="Y7309" s="71"/>
    </row>
    <row r="7310" spans="1:25" ht="30" hidden="1" customHeight="1" x14ac:dyDescent="0.25">
      <c r="A7310" s="1145">
        <v>45615</v>
      </c>
      <c r="B7310" s="664" t="s">
        <v>2261</v>
      </c>
      <c r="C7310" s="71" t="s">
        <v>277</v>
      </c>
      <c r="D7310" s="71">
        <v>10</v>
      </c>
      <c r="E7310" s="102">
        <v>172000</v>
      </c>
      <c r="F7310" s="102">
        <f t="shared" si="4128"/>
        <v>1892000.0000000002</v>
      </c>
      <c r="G7310" s="102">
        <f t="shared" si="4129"/>
        <v>1720000</v>
      </c>
      <c r="H7310" s="690" t="s">
        <v>172</v>
      </c>
      <c r="I7310" s="71" t="s">
        <v>108</v>
      </c>
      <c r="J7310" s="53">
        <f t="shared" si="4116"/>
        <v>390000</v>
      </c>
      <c r="K7310" s="63">
        <f t="shared" si="4117"/>
        <v>0.22674418604651159</v>
      </c>
      <c r="L7310" s="1212" t="s">
        <v>4227</v>
      </c>
      <c r="M7310" s="468"/>
      <c r="N7310" s="1192">
        <f t="shared" si="4130"/>
        <v>45615</v>
      </c>
      <c r="O7310" s="71" t="s">
        <v>662</v>
      </c>
      <c r="P7310" s="103" t="str">
        <f t="shared" si="4131"/>
        <v>윤전용 세척제(Web 504)</v>
      </c>
      <c r="Q7310" s="71">
        <f t="shared" si="4113"/>
        <v>10</v>
      </c>
      <c r="R7310" s="102">
        <v>133000</v>
      </c>
      <c r="S7310" s="102">
        <f t="shared" si="4124"/>
        <v>1463000.0000000002</v>
      </c>
      <c r="T7310" s="102">
        <f t="shared" si="4125"/>
        <v>1330000</v>
      </c>
      <c r="U7310" s="71" t="str">
        <f>IF(J7310=W7310,"O", "X")</f>
        <v>X</v>
      </c>
      <c r="V7310" s="71"/>
      <c r="W7310" s="474"/>
      <c r="X7310" s="71"/>
      <c r="Y7310" s="71"/>
    </row>
    <row r="7311" spans="1:25" ht="30" hidden="1" customHeight="1" x14ac:dyDescent="0.25">
      <c r="A7311" s="1145">
        <v>45615</v>
      </c>
      <c r="B7311" s="664" t="s">
        <v>2261</v>
      </c>
      <c r="C7311" s="71" t="s">
        <v>3299</v>
      </c>
      <c r="D7311" s="71">
        <v>10</v>
      </c>
      <c r="E7311" s="102">
        <v>52000</v>
      </c>
      <c r="F7311" s="102">
        <f t="shared" si="4128"/>
        <v>572000</v>
      </c>
      <c r="G7311" s="102">
        <f t="shared" si="4129"/>
        <v>520000</v>
      </c>
      <c r="H7311" s="690" t="s">
        <v>172</v>
      </c>
      <c r="I7311" s="71" t="s">
        <v>180</v>
      </c>
      <c r="J7311" s="53">
        <f t="shared" si="4116"/>
        <v>45000</v>
      </c>
      <c r="K7311" s="63">
        <f t="shared" si="4117"/>
        <v>8.6538461538461536E-2</v>
      </c>
      <c r="L7311" s="1212" t="s">
        <v>4227</v>
      </c>
      <c r="M7311" s="468" t="s">
        <v>3835</v>
      </c>
      <c r="N7311" s="1192">
        <f t="shared" si="4130"/>
        <v>45615</v>
      </c>
      <c r="O7311" s="71" t="s">
        <v>175</v>
      </c>
      <c r="P7311" s="103" t="str">
        <f t="shared" si="4131"/>
        <v>매엽용 세척제(Wash k11)</v>
      </c>
      <c r="Q7311" s="71">
        <f t="shared" si="4113"/>
        <v>10</v>
      </c>
      <c r="R7311" s="102">
        <v>47500</v>
      </c>
      <c r="S7311" s="102">
        <f t="shared" si="4124"/>
        <v>522500.00000000006</v>
      </c>
      <c r="T7311" s="102">
        <f t="shared" si="4125"/>
        <v>475000</v>
      </c>
      <c r="U7311" s="71" t="s">
        <v>859</v>
      </c>
      <c r="V7311" s="71"/>
      <c r="W7311" s="474"/>
      <c r="X7311" s="71"/>
      <c r="Y7311" s="71"/>
    </row>
    <row r="7312" spans="1:25" s="209" customFormat="1" ht="31.15" hidden="1" customHeight="1" x14ac:dyDescent="0.2">
      <c r="A7312" s="1145">
        <v>45615</v>
      </c>
      <c r="B7312" s="664" t="s">
        <v>3289</v>
      </c>
      <c r="C7312" s="71" t="s">
        <v>3387</v>
      </c>
      <c r="D7312" s="71">
        <v>10</v>
      </c>
      <c r="E7312" s="102">
        <v>130000</v>
      </c>
      <c r="F7312" s="102">
        <f t="shared" si="4128"/>
        <v>1430000</v>
      </c>
      <c r="G7312" s="102">
        <f t="shared" si="4129"/>
        <v>1300000</v>
      </c>
      <c r="H7312" s="165" t="s">
        <v>172</v>
      </c>
      <c r="I7312" s="71" t="s">
        <v>184</v>
      </c>
      <c r="J7312" s="53">
        <f t="shared" si="4116"/>
        <v>180000</v>
      </c>
      <c r="K7312" s="63">
        <f t="shared" si="4117"/>
        <v>0.13846153846153847</v>
      </c>
      <c r="L7312" s="1212" t="s">
        <v>4227</v>
      </c>
      <c r="M7312" s="468"/>
      <c r="N7312" s="1192">
        <f t="shared" si="4130"/>
        <v>45615</v>
      </c>
      <c r="O7312" s="71" t="s">
        <v>189</v>
      </c>
      <c r="P7312" s="103" t="str">
        <f t="shared" si="4131"/>
        <v>Blanket(990*725)</v>
      </c>
      <c r="Q7312" s="71">
        <f t="shared" si="4113"/>
        <v>10</v>
      </c>
      <c r="R7312" s="102">
        <v>112000</v>
      </c>
      <c r="S7312" s="102">
        <f t="shared" si="4124"/>
        <v>1232000</v>
      </c>
      <c r="T7312" s="102">
        <f t="shared" si="4125"/>
        <v>1120000</v>
      </c>
      <c r="U7312" s="71" t="str">
        <f>IF(J7312=W7312,"O", "X")</f>
        <v>X</v>
      </c>
      <c r="V7312" s="71"/>
      <c r="W7312" s="474">
        <v>80000</v>
      </c>
      <c r="X7312" s="71"/>
      <c r="Y7312" s="71"/>
    </row>
    <row r="7313" spans="1:25" ht="30" hidden="1" customHeight="1" x14ac:dyDescent="0.25">
      <c r="A7313" s="1145">
        <v>45624</v>
      </c>
      <c r="B7313" s="664" t="s">
        <v>2261</v>
      </c>
      <c r="C7313" s="760" t="s">
        <v>181</v>
      </c>
      <c r="D7313" s="71">
        <v>5</v>
      </c>
      <c r="E7313" s="102">
        <v>193000</v>
      </c>
      <c r="F7313" s="102">
        <f t="shared" ref="F7313:F7327" si="4132">(E7313*D7313)*1.1</f>
        <v>1061500</v>
      </c>
      <c r="G7313" s="102">
        <f t="shared" ref="G7313:G7327" si="4133">(E7313*D7313)</f>
        <v>965000</v>
      </c>
      <c r="H7313" s="690" t="s">
        <v>2029</v>
      </c>
      <c r="I7313" s="71" t="s">
        <v>182</v>
      </c>
      <c r="J7313" s="53">
        <f t="shared" si="4116"/>
        <v>345000</v>
      </c>
      <c r="K7313" s="63">
        <f t="shared" si="4117"/>
        <v>0.35751295336787564</v>
      </c>
      <c r="L7313" s="1212" t="s">
        <v>4227</v>
      </c>
      <c r="M7313" s="468"/>
      <c r="N7313" s="1192">
        <f t="shared" ref="N7313:N7324" si="4134">A7313</f>
        <v>45624</v>
      </c>
      <c r="O7313" s="71" t="s">
        <v>2030</v>
      </c>
      <c r="P7313" s="103" t="str">
        <f t="shared" ref="P7313:P7327" si="4135">(C7313)</f>
        <v>Fount Web 551AF</v>
      </c>
      <c r="Q7313" s="71">
        <f t="shared" si="4113"/>
        <v>5</v>
      </c>
      <c r="R7313" s="102">
        <v>124000</v>
      </c>
      <c r="S7313" s="102">
        <f t="shared" si="4124"/>
        <v>682000</v>
      </c>
      <c r="T7313" s="102">
        <f t="shared" si="4125"/>
        <v>620000</v>
      </c>
      <c r="U7313" s="71" t="str">
        <f>IF(J7313=W7313,"O", "X")</f>
        <v>X</v>
      </c>
      <c r="V7313" s="71"/>
      <c r="W7313" s="474">
        <v>640000</v>
      </c>
      <c r="X7313" s="71"/>
      <c r="Y7313" s="71"/>
    </row>
    <row r="7314" spans="1:25" ht="30" hidden="1" customHeight="1" x14ac:dyDescent="0.25">
      <c r="A7314" s="1145">
        <v>45624</v>
      </c>
      <c r="B7314" s="664" t="s">
        <v>2261</v>
      </c>
      <c r="C7314" s="71" t="s">
        <v>277</v>
      </c>
      <c r="D7314" s="71">
        <v>5</v>
      </c>
      <c r="E7314" s="102">
        <v>172000</v>
      </c>
      <c r="F7314" s="102">
        <f t="shared" si="4132"/>
        <v>946000.00000000012</v>
      </c>
      <c r="G7314" s="102">
        <f t="shared" si="4133"/>
        <v>860000</v>
      </c>
      <c r="H7314" s="690" t="s">
        <v>172</v>
      </c>
      <c r="I7314" s="71" t="s">
        <v>108</v>
      </c>
      <c r="J7314" s="53">
        <f t="shared" si="4116"/>
        <v>195000</v>
      </c>
      <c r="K7314" s="63">
        <f t="shared" si="4117"/>
        <v>0.22674418604651159</v>
      </c>
      <c r="L7314" s="1212" t="s">
        <v>4227</v>
      </c>
      <c r="M7314" s="468"/>
      <c r="N7314" s="1192">
        <f t="shared" si="4134"/>
        <v>45624</v>
      </c>
      <c r="O7314" s="71" t="s">
        <v>662</v>
      </c>
      <c r="P7314" s="103" t="str">
        <f t="shared" si="4135"/>
        <v>윤전용 세척제(Web 504)</v>
      </c>
      <c r="Q7314" s="71">
        <f t="shared" si="4113"/>
        <v>5</v>
      </c>
      <c r="R7314" s="102">
        <v>133000</v>
      </c>
      <c r="S7314" s="102">
        <f t="shared" si="4124"/>
        <v>731500.00000000012</v>
      </c>
      <c r="T7314" s="102">
        <f t="shared" si="4125"/>
        <v>665000</v>
      </c>
      <c r="U7314" s="71" t="str">
        <f>IF(J7314=W7314,"O", "X")</f>
        <v>X</v>
      </c>
      <c r="V7314" s="71"/>
      <c r="W7314" s="474"/>
      <c r="X7314" s="71"/>
      <c r="Y7314" s="71"/>
    </row>
    <row r="7315" spans="1:25" ht="30" hidden="1" customHeight="1" x14ac:dyDescent="0.25">
      <c r="A7315" s="1145">
        <v>45624</v>
      </c>
      <c r="B7315" s="664" t="s">
        <v>2261</v>
      </c>
      <c r="C7315" s="71" t="s">
        <v>3299</v>
      </c>
      <c r="D7315" s="71">
        <v>10</v>
      </c>
      <c r="E7315" s="102">
        <v>52000</v>
      </c>
      <c r="F7315" s="102">
        <f t="shared" si="4132"/>
        <v>572000</v>
      </c>
      <c r="G7315" s="102">
        <f t="shared" si="4133"/>
        <v>520000</v>
      </c>
      <c r="H7315" s="690" t="s">
        <v>172</v>
      </c>
      <c r="I7315" s="71" t="s">
        <v>180</v>
      </c>
      <c r="J7315" s="53">
        <f t="shared" si="4116"/>
        <v>45000</v>
      </c>
      <c r="K7315" s="63">
        <f t="shared" si="4117"/>
        <v>8.6538461538461536E-2</v>
      </c>
      <c r="L7315" s="1212" t="s">
        <v>4227</v>
      </c>
      <c r="M7315" s="468" t="s">
        <v>3835</v>
      </c>
      <c r="N7315" s="1192">
        <f t="shared" si="4134"/>
        <v>45624</v>
      </c>
      <c r="O7315" s="71" t="s">
        <v>175</v>
      </c>
      <c r="P7315" s="103" t="str">
        <f t="shared" si="4135"/>
        <v>매엽용 세척제(Wash k11)</v>
      </c>
      <c r="Q7315" s="71">
        <f t="shared" si="4113"/>
        <v>10</v>
      </c>
      <c r="R7315" s="102">
        <v>47500</v>
      </c>
      <c r="S7315" s="102">
        <f t="shared" si="4124"/>
        <v>522500.00000000006</v>
      </c>
      <c r="T7315" s="102">
        <f t="shared" si="4125"/>
        <v>475000</v>
      </c>
      <c r="U7315" s="71" t="s">
        <v>859</v>
      </c>
      <c r="V7315" s="71"/>
      <c r="W7315" s="474"/>
      <c r="X7315" s="71"/>
      <c r="Y7315" s="71"/>
    </row>
    <row r="7316" spans="1:25" s="209" customFormat="1" ht="31.5" hidden="1" customHeight="1" x14ac:dyDescent="0.2">
      <c r="A7316" s="1145">
        <v>45597</v>
      </c>
      <c r="B7316" s="664" t="s">
        <v>4059</v>
      </c>
      <c r="C7316" s="71" t="s">
        <v>4061</v>
      </c>
      <c r="D7316" s="71">
        <v>10</v>
      </c>
      <c r="E7316" s="102">
        <v>130000</v>
      </c>
      <c r="F7316" s="102">
        <f t="shared" si="4132"/>
        <v>1430000</v>
      </c>
      <c r="G7316" s="102">
        <f t="shared" si="4133"/>
        <v>1300000</v>
      </c>
      <c r="H7316" s="165" t="s">
        <v>172</v>
      </c>
      <c r="I7316" s="71" t="s">
        <v>184</v>
      </c>
      <c r="J7316" s="53">
        <f t="shared" si="4116"/>
        <v>180000</v>
      </c>
      <c r="K7316" s="63">
        <f t="shared" si="4117"/>
        <v>0.13846153846153847</v>
      </c>
      <c r="L7316" s="1212" t="s">
        <v>4227</v>
      </c>
      <c r="M7316" s="468"/>
      <c r="N7316" s="1192">
        <f t="shared" si="4134"/>
        <v>45597</v>
      </c>
      <c r="O7316" s="71" t="s">
        <v>189</v>
      </c>
      <c r="P7316" s="103" t="str">
        <f t="shared" si="4135"/>
        <v>M600 Blanket(990*725)</v>
      </c>
      <c r="Q7316" s="71">
        <f t="shared" si="4113"/>
        <v>10</v>
      </c>
      <c r="R7316" s="102">
        <v>112000</v>
      </c>
      <c r="S7316" s="102">
        <f t="shared" si="4124"/>
        <v>1232000</v>
      </c>
      <c r="T7316" s="102">
        <f t="shared" si="4125"/>
        <v>1120000</v>
      </c>
      <c r="U7316" s="71" t="str">
        <f>IF(J7316=W7316,"O", "X")</f>
        <v>X</v>
      </c>
      <c r="V7316" s="71"/>
      <c r="W7316" s="474">
        <v>80000</v>
      </c>
      <c r="X7316" s="71"/>
      <c r="Y7316" s="71"/>
    </row>
    <row r="7317" spans="1:25" s="209" customFormat="1" ht="31.5" hidden="1" customHeight="1" x14ac:dyDescent="0.2">
      <c r="A7317" s="1145">
        <v>45608</v>
      </c>
      <c r="B7317" s="664" t="s">
        <v>4059</v>
      </c>
      <c r="C7317" s="71" t="s">
        <v>4061</v>
      </c>
      <c r="D7317" s="71">
        <v>10</v>
      </c>
      <c r="E7317" s="102">
        <v>130000</v>
      </c>
      <c r="F7317" s="102">
        <f t="shared" si="4132"/>
        <v>1430000</v>
      </c>
      <c r="G7317" s="102">
        <f t="shared" si="4133"/>
        <v>1300000</v>
      </c>
      <c r="H7317" s="165" t="s">
        <v>172</v>
      </c>
      <c r="I7317" s="71" t="s">
        <v>184</v>
      </c>
      <c r="J7317" s="53">
        <f t="shared" si="4116"/>
        <v>180000</v>
      </c>
      <c r="K7317" s="63">
        <f t="shared" si="4117"/>
        <v>0.13846153846153847</v>
      </c>
      <c r="L7317" s="1212" t="s">
        <v>4227</v>
      </c>
      <c r="M7317" s="468"/>
      <c r="N7317" s="1192">
        <f t="shared" si="4134"/>
        <v>45608</v>
      </c>
      <c r="O7317" s="71" t="s">
        <v>189</v>
      </c>
      <c r="P7317" s="103" t="str">
        <f t="shared" si="4135"/>
        <v>M600 Blanket(990*725)</v>
      </c>
      <c r="Q7317" s="71">
        <f t="shared" si="4113"/>
        <v>10</v>
      </c>
      <c r="R7317" s="102">
        <v>112000</v>
      </c>
      <c r="S7317" s="102">
        <f t="shared" si="4124"/>
        <v>1232000</v>
      </c>
      <c r="T7317" s="102">
        <f t="shared" si="4125"/>
        <v>1120000</v>
      </c>
      <c r="U7317" s="71" t="str">
        <f>IF(J7317=W7317,"O", "X")</f>
        <v>X</v>
      </c>
      <c r="V7317" s="71"/>
      <c r="W7317" s="474">
        <v>80000</v>
      </c>
      <c r="X7317" s="71"/>
      <c r="Y7317" s="71"/>
    </row>
    <row r="7318" spans="1:25" ht="30" hidden="1" customHeight="1" x14ac:dyDescent="0.25">
      <c r="A7318" s="1145">
        <v>45596</v>
      </c>
      <c r="B7318" s="664" t="s">
        <v>442</v>
      </c>
      <c r="C7318" s="71" t="s">
        <v>3299</v>
      </c>
      <c r="D7318" s="71">
        <v>25</v>
      </c>
      <c r="E7318" s="102">
        <v>69000</v>
      </c>
      <c r="F7318" s="102">
        <f t="shared" si="4132"/>
        <v>1897500.0000000002</v>
      </c>
      <c r="G7318" s="102">
        <f t="shared" si="4133"/>
        <v>1725000</v>
      </c>
      <c r="H7318" s="690" t="s">
        <v>172</v>
      </c>
      <c r="I7318" s="71" t="s">
        <v>180</v>
      </c>
      <c r="J7318" s="53">
        <f t="shared" si="4116"/>
        <v>537500</v>
      </c>
      <c r="K7318" s="63">
        <f t="shared" si="4117"/>
        <v>0.31159420289855067</v>
      </c>
      <c r="L7318" s="1212" t="s">
        <v>4227</v>
      </c>
      <c r="M7318" s="468" t="s">
        <v>3304</v>
      </c>
      <c r="N7318" s="1192">
        <f t="shared" si="4134"/>
        <v>45596</v>
      </c>
      <c r="O7318" s="71" t="s">
        <v>175</v>
      </c>
      <c r="P7318" s="103" t="str">
        <f t="shared" si="4135"/>
        <v>매엽용 세척제(Wash k11)</v>
      </c>
      <c r="Q7318" s="71">
        <f t="shared" si="4113"/>
        <v>25</v>
      </c>
      <c r="R7318" s="102">
        <v>47500</v>
      </c>
      <c r="S7318" s="102">
        <f t="shared" si="4124"/>
        <v>1306250</v>
      </c>
      <c r="T7318" s="102">
        <f t="shared" si="4125"/>
        <v>1187500</v>
      </c>
      <c r="U7318" s="71" t="s">
        <v>859</v>
      </c>
      <c r="V7318" s="71"/>
      <c r="W7318" s="474"/>
      <c r="X7318" s="71"/>
      <c r="Y7318" s="71"/>
    </row>
    <row r="7319" spans="1:25" ht="30" hidden="1" customHeight="1" x14ac:dyDescent="0.25">
      <c r="A7319" s="1145">
        <v>45604</v>
      </c>
      <c r="B7319" s="664" t="s">
        <v>442</v>
      </c>
      <c r="C7319" s="71" t="s">
        <v>3433</v>
      </c>
      <c r="D7319" s="71">
        <v>6</v>
      </c>
      <c r="E7319" s="102">
        <v>115000</v>
      </c>
      <c r="F7319" s="102">
        <f t="shared" si="4132"/>
        <v>759000.00000000012</v>
      </c>
      <c r="G7319" s="102">
        <f t="shared" si="4133"/>
        <v>690000</v>
      </c>
      <c r="H7319" s="690" t="s">
        <v>2029</v>
      </c>
      <c r="I7319" s="71" t="s">
        <v>3385</v>
      </c>
      <c r="J7319" s="53">
        <f t="shared" si="4116"/>
        <v>169200</v>
      </c>
      <c r="K7319" s="63">
        <f t="shared" si="4117"/>
        <v>0.24521739130434778</v>
      </c>
      <c r="L7319" s="1212" t="s">
        <v>4227</v>
      </c>
      <c r="M7319" s="468"/>
      <c r="N7319" s="1192">
        <f t="shared" si="4134"/>
        <v>45604</v>
      </c>
      <c r="O7319" s="71" t="s">
        <v>147</v>
      </c>
      <c r="P7319" s="164" t="str">
        <f t="shared" si="4135"/>
        <v>블랑켓-하이델베르그 국전용</v>
      </c>
      <c r="Q7319" s="71">
        <f t="shared" si="4113"/>
        <v>6</v>
      </c>
      <c r="R7319" s="102">
        <v>86800</v>
      </c>
      <c r="S7319" s="102">
        <f t="shared" si="4124"/>
        <v>572880</v>
      </c>
      <c r="T7319" s="102">
        <f t="shared" si="4125"/>
        <v>520800</v>
      </c>
      <c r="U7319" s="71"/>
      <c r="V7319" s="71"/>
      <c r="W7319" s="474"/>
      <c r="X7319" s="71"/>
      <c r="Y7319" s="71"/>
    </row>
    <row r="7320" spans="1:25" ht="30" hidden="1" customHeight="1" x14ac:dyDescent="0.25">
      <c r="A7320" s="1145">
        <v>45607</v>
      </c>
      <c r="B7320" s="664" t="s">
        <v>442</v>
      </c>
      <c r="C7320" s="71" t="s">
        <v>206</v>
      </c>
      <c r="D7320" s="71">
        <v>3</v>
      </c>
      <c r="E7320" s="102">
        <v>493770</v>
      </c>
      <c r="F7320" s="102">
        <f t="shared" si="4132"/>
        <v>1629441.0000000002</v>
      </c>
      <c r="G7320" s="102">
        <f t="shared" si="4133"/>
        <v>1481310</v>
      </c>
      <c r="H7320" s="690" t="s">
        <v>2029</v>
      </c>
      <c r="I7320" s="71" t="s">
        <v>195</v>
      </c>
      <c r="J7320" s="53">
        <f t="shared" si="4116"/>
        <v>163680</v>
      </c>
      <c r="K7320" s="63">
        <f t="shared" si="4117"/>
        <v>0.11049679000344288</v>
      </c>
      <c r="L7320" s="1212" t="s">
        <v>4227</v>
      </c>
      <c r="M7320" s="468"/>
      <c r="N7320" s="1192">
        <f t="shared" si="4134"/>
        <v>45607</v>
      </c>
      <c r="O7320" s="71" t="s">
        <v>4245</v>
      </c>
      <c r="P7320" s="103" t="str">
        <f t="shared" si="4135"/>
        <v>Agfa Film(24inch)</v>
      </c>
      <c r="Q7320" s="71">
        <f t="shared" si="4113"/>
        <v>3</v>
      </c>
      <c r="R7320" s="102">
        <v>439210</v>
      </c>
      <c r="S7320" s="102">
        <f t="shared" si="4124"/>
        <v>1449393.0000000002</v>
      </c>
      <c r="T7320" s="102">
        <f t="shared" si="4125"/>
        <v>1317630</v>
      </c>
      <c r="U7320" s="71" t="s">
        <v>859</v>
      </c>
      <c r="V7320" s="71"/>
      <c r="W7320" s="474">
        <v>144640</v>
      </c>
      <c r="X7320" s="71"/>
      <c r="Y7320" s="71"/>
    </row>
    <row r="7321" spans="1:25" ht="30" hidden="1" customHeight="1" x14ac:dyDescent="0.25">
      <c r="A7321" s="1145">
        <v>45607</v>
      </c>
      <c r="B7321" s="664" t="s">
        <v>442</v>
      </c>
      <c r="C7321" s="71" t="s">
        <v>207</v>
      </c>
      <c r="D7321" s="71">
        <v>3</v>
      </c>
      <c r="E7321" s="102">
        <v>608220</v>
      </c>
      <c r="F7321" s="102">
        <f t="shared" si="4132"/>
        <v>2007126.0000000002</v>
      </c>
      <c r="G7321" s="102">
        <f t="shared" si="4133"/>
        <v>1824660</v>
      </c>
      <c r="H7321" s="690" t="s">
        <v>2029</v>
      </c>
      <c r="I7321" s="71" t="s">
        <v>195</v>
      </c>
      <c r="J7321" s="53">
        <f t="shared" si="4116"/>
        <v>327600</v>
      </c>
      <c r="K7321" s="63">
        <f t="shared" si="4117"/>
        <v>0.17954029791851631</v>
      </c>
      <c r="L7321" s="1212" t="s">
        <v>4227</v>
      </c>
      <c r="M7321" s="468"/>
      <c r="N7321" s="1192">
        <f t="shared" si="4134"/>
        <v>45607</v>
      </c>
      <c r="O7321" s="71" t="s">
        <v>4245</v>
      </c>
      <c r="P7321" s="103" t="str">
        <f t="shared" si="4135"/>
        <v>Agfa Film(28inch)</v>
      </c>
      <c r="Q7321" s="71">
        <f t="shared" si="4113"/>
        <v>3</v>
      </c>
      <c r="R7321" s="102">
        <v>499020</v>
      </c>
      <c r="S7321" s="102">
        <f t="shared" si="4124"/>
        <v>1646766.0000000002</v>
      </c>
      <c r="T7321" s="102">
        <f t="shared" si="4125"/>
        <v>1497060</v>
      </c>
      <c r="U7321" s="71" t="s">
        <v>859</v>
      </c>
      <c r="V7321" s="71"/>
      <c r="W7321" s="474">
        <v>228480</v>
      </c>
      <c r="X7321" s="71"/>
      <c r="Y7321" s="71"/>
    </row>
    <row r="7322" spans="1:25" ht="30" hidden="1" customHeight="1" x14ac:dyDescent="0.25">
      <c r="A7322" s="1145">
        <v>45607</v>
      </c>
      <c r="B7322" s="664" t="s">
        <v>442</v>
      </c>
      <c r="C7322" s="71" t="s">
        <v>208</v>
      </c>
      <c r="D7322" s="71">
        <v>3</v>
      </c>
      <c r="E7322" s="102">
        <v>680160</v>
      </c>
      <c r="F7322" s="102">
        <f t="shared" si="4132"/>
        <v>2244528</v>
      </c>
      <c r="G7322" s="102">
        <f t="shared" si="4133"/>
        <v>2040480</v>
      </c>
      <c r="H7322" s="690" t="s">
        <v>2029</v>
      </c>
      <c r="I7322" s="71" t="s">
        <v>195</v>
      </c>
      <c r="J7322" s="53">
        <f t="shared" si="4116"/>
        <v>229950</v>
      </c>
      <c r="K7322" s="63">
        <f t="shared" si="4117"/>
        <v>0.1126940719830628</v>
      </c>
      <c r="L7322" s="1212" t="s">
        <v>4227</v>
      </c>
      <c r="M7322" s="468"/>
      <c r="N7322" s="1192">
        <f t="shared" si="4134"/>
        <v>45607</v>
      </c>
      <c r="O7322" s="71" t="s">
        <v>4245</v>
      </c>
      <c r="P7322" s="103" t="str">
        <f t="shared" si="4135"/>
        <v>Agfa Film(32inch)</v>
      </c>
      <c r="Q7322" s="71">
        <f t="shared" si="4113"/>
        <v>3</v>
      </c>
      <c r="R7322" s="102">
        <v>603510</v>
      </c>
      <c r="S7322" s="102">
        <f t="shared" si="4124"/>
        <v>1991583.0000000002</v>
      </c>
      <c r="T7322" s="102">
        <f t="shared" si="4125"/>
        <v>1810530</v>
      </c>
      <c r="U7322" s="71" t="s">
        <v>859</v>
      </c>
      <c r="V7322" s="71"/>
      <c r="W7322" s="474">
        <v>201820</v>
      </c>
      <c r="X7322" s="71"/>
      <c r="Y7322" s="71"/>
    </row>
    <row r="7323" spans="1:25" ht="30" hidden="1" customHeight="1" x14ac:dyDescent="0.2">
      <c r="A7323" s="1145">
        <v>45607</v>
      </c>
      <c r="B7323" s="664" t="s">
        <v>442</v>
      </c>
      <c r="C7323" s="71" t="s">
        <v>648</v>
      </c>
      <c r="D7323" s="71">
        <v>2</v>
      </c>
      <c r="E7323" s="102">
        <v>93000</v>
      </c>
      <c r="F7323" s="102">
        <f t="shared" si="4132"/>
        <v>204600.00000000003</v>
      </c>
      <c r="G7323" s="102">
        <f t="shared" si="4133"/>
        <v>186000</v>
      </c>
      <c r="H7323" s="165" t="s">
        <v>172</v>
      </c>
      <c r="I7323" s="71" t="s">
        <v>195</v>
      </c>
      <c r="J7323" s="53">
        <f t="shared" si="4116"/>
        <v>30280</v>
      </c>
      <c r="K7323" s="63">
        <f t="shared" si="4117"/>
        <v>0.16279569892473117</v>
      </c>
      <c r="L7323" s="1212" t="s">
        <v>4227</v>
      </c>
      <c r="M7323" s="468"/>
      <c r="N7323" s="1192">
        <f t="shared" si="4134"/>
        <v>45607</v>
      </c>
      <c r="O7323" s="71" t="s">
        <v>4245</v>
      </c>
      <c r="P7323" s="103" t="str">
        <f t="shared" si="4135"/>
        <v>Agfa 정착액 G333C(20L)</v>
      </c>
      <c r="Q7323" s="71">
        <f t="shared" si="4113"/>
        <v>2</v>
      </c>
      <c r="R7323" s="102">
        <v>77860</v>
      </c>
      <c r="S7323" s="102">
        <f t="shared" si="4124"/>
        <v>171292</v>
      </c>
      <c r="T7323" s="102">
        <f t="shared" si="4125"/>
        <v>155720</v>
      </c>
      <c r="U7323" s="71" t="s">
        <v>859</v>
      </c>
      <c r="V7323" s="71"/>
      <c r="W7323" s="474">
        <v>27000</v>
      </c>
      <c r="X7323" s="71"/>
      <c r="Y7323" s="71"/>
    </row>
    <row r="7324" spans="1:25" ht="30" hidden="1" customHeight="1" x14ac:dyDescent="0.2">
      <c r="A7324" s="1145">
        <v>45607</v>
      </c>
      <c r="B7324" s="664" t="s">
        <v>442</v>
      </c>
      <c r="C7324" s="71" t="s">
        <v>4235</v>
      </c>
      <c r="D7324" s="71">
        <v>16</v>
      </c>
      <c r="E7324" s="102">
        <v>50000</v>
      </c>
      <c r="F7324" s="102">
        <f t="shared" si="4132"/>
        <v>880000.00000000012</v>
      </c>
      <c r="G7324" s="102">
        <f t="shared" si="4133"/>
        <v>800000</v>
      </c>
      <c r="H7324" s="165" t="s">
        <v>172</v>
      </c>
      <c r="I7324" s="71" t="s">
        <v>195</v>
      </c>
      <c r="J7324" s="53">
        <f t="shared" si="4116"/>
        <v>280960</v>
      </c>
      <c r="K7324" s="63">
        <f t="shared" si="4117"/>
        <v>0.35119999999999996</v>
      </c>
      <c r="L7324" s="1212" t="s">
        <v>4227</v>
      </c>
      <c r="M7324" s="102"/>
      <c r="N7324" s="1192">
        <f t="shared" si="4134"/>
        <v>45607</v>
      </c>
      <c r="O7324" s="71" t="s">
        <v>4245</v>
      </c>
      <c r="P7324" s="103" t="str">
        <f t="shared" si="4135"/>
        <v>필름 현상액</v>
      </c>
      <c r="Q7324" s="71">
        <f t="shared" si="4113"/>
        <v>16</v>
      </c>
      <c r="R7324" s="102">
        <v>32440</v>
      </c>
      <c r="S7324" s="102">
        <f t="shared" si="4124"/>
        <v>570944</v>
      </c>
      <c r="T7324" s="102">
        <f t="shared" si="4125"/>
        <v>519040</v>
      </c>
      <c r="U7324" s="71"/>
      <c r="V7324" s="71"/>
      <c r="W7324" s="474"/>
      <c r="X7324" s="71"/>
      <c r="Y7324" s="71"/>
    </row>
    <row r="7325" spans="1:25" s="209" customFormat="1" ht="30" hidden="1" customHeight="1" x14ac:dyDescent="0.25">
      <c r="A7325" s="1145">
        <v>45607</v>
      </c>
      <c r="B7325" s="664" t="s">
        <v>442</v>
      </c>
      <c r="C7325" s="71" t="s">
        <v>3833</v>
      </c>
      <c r="D7325" s="71">
        <v>1000</v>
      </c>
      <c r="E7325" s="102">
        <v>4250</v>
      </c>
      <c r="F7325" s="102">
        <f t="shared" si="4132"/>
        <v>4675000</v>
      </c>
      <c r="G7325" s="102">
        <f t="shared" si="4133"/>
        <v>4250000</v>
      </c>
      <c r="H7325" s="690" t="s">
        <v>2029</v>
      </c>
      <c r="I7325" s="71" t="s">
        <v>2230</v>
      </c>
      <c r="J7325" s="53">
        <f t="shared" si="4116"/>
        <v>800000</v>
      </c>
      <c r="K7325" s="63">
        <f t="shared" si="4117"/>
        <v>0.18823529411764706</v>
      </c>
      <c r="L7325" s="1212" t="s">
        <v>4227</v>
      </c>
      <c r="M7325" s="468"/>
      <c r="N7325" s="1192">
        <f t="shared" ref="N7325:N7327" si="4136">A7325</f>
        <v>45607</v>
      </c>
      <c r="O7325" s="71" t="s">
        <v>2030</v>
      </c>
      <c r="P7325" s="103" t="str">
        <f t="shared" si="4135"/>
        <v>CTP 판 1030*790</v>
      </c>
      <c r="Q7325" s="71">
        <f t="shared" si="4113"/>
        <v>1000</v>
      </c>
      <c r="R7325" s="102">
        <v>3450</v>
      </c>
      <c r="S7325" s="102">
        <f t="shared" si="4124"/>
        <v>3795000.0000000005</v>
      </c>
      <c r="T7325" s="102">
        <f t="shared" si="4125"/>
        <v>3450000</v>
      </c>
      <c r="U7325" s="71"/>
      <c r="V7325" s="71"/>
      <c r="W7325" s="474"/>
      <c r="X7325" s="71"/>
      <c r="Y7325" s="71"/>
    </row>
    <row r="7326" spans="1:25" ht="30" hidden="1" customHeight="1" x14ac:dyDescent="0.25">
      <c r="A7326" s="1145">
        <v>45607</v>
      </c>
      <c r="B7326" s="664" t="s">
        <v>442</v>
      </c>
      <c r="C7326" s="71" t="s">
        <v>3834</v>
      </c>
      <c r="D7326" s="71">
        <v>5</v>
      </c>
      <c r="E7326" s="102">
        <v>57000</v>
      </c>
      <c r="F7326" s="102">
        <f t="shared" si="4132"/>
        <v>313500</v>
      </c>
      <c r="G7326" s="102">
        <f t="shared" si="4133"/>
        <v>285000</v>
      </c>
      <c r="H7326" s="690" t="s">
        <v>2029</v>
      </c>
      <c r="I7326" s="71" t="s">
        <v>2230</v>
      </c>
      <c r="J7326" s="53">
        <f t="shared" si="4116"/>
        <v>86700</v>
      </c>
      <c r="K7326" s="63">
        <f t="shared" si="4117"/>
        <v>0.30421052631578949</v>
      </c>
      <c r="L7326" s="1212" t="s">
        <v>4227</v>
      </c>
      <c r="M7326" s="468"/>
      <c r="N7326" s="1192">
        <f t="shared" si="4136"/>
        <v>45607</v>
      </c>
      <c r="O7326" s="71" t="s">
        <v>2030</v>
      </c>
      <c r="P7326" s="103" t="str">
        <f t="shared" si="4135"/>
        <v>CTP 현상액</v>
      </c>
      <c r="Q7326" s="71">
        <f t="shared" si="4113"/>
        <v>5</v>
      </c>
      <c r="R7326" s="102">
        <v>39660</v>
      </c>
      <c r="S7326" s="102">
        <f t="shared" si="4124"/>
        <v>218130.00000000003</v>
      </c>
      <c r="T7326" s="102">
        <f t="shared" si="4125"/>
        <v>198300</v>
      </c>
      <c r="U7326" s="71"/>
      <c r="V7326" s="71"/>
      <c r="W7326" s="474"/>
      <c r="X7326" s="71"/>
      <c r="Y7326" s="71"/>
    </row>
    <row r="7327" spans="1:25" ht="30" hidden="1" customHeight="1" x14ac:dyDescent="0.25">
      <c r="A7327" s="1145">
        <v>45608</v>
      </c>
      <c r="B7327" s="664" t="s">
        <v>442</v>
      </c>
      <c r="C7327" s="71" t="s">
        <v>4236</v>
      </c>
      <c r="D7327" s="71">
        <v>10</v>
      </c>
      <c r="E7327" s="102">
        <v>50000</v>
      </c>
      <c r="F7327" s="102">
        <f t="shared" si="4132"/>
        <v>550000</v>
      </c>
      <c r="G7327" s="102">
        <f t="shared" si="4133"/>
        <v>500000</v>
      </c>
      <c r="H7327" s="690" t="s">
        <v>94</v>
      </c>
      <c r="I7327" s="71" t="s">
        <v>94</v>
      </c>
      <c r="J7327" s="53">
        <f t="shared" si="4116"/>
        <v>500000</v>
      </c>
      <c r="K7327" s="63">
        <f t="shared" si="4117"/>
        <v>1</v>
      </c>
      <c r="L7327" s="1212" t="s">
        <v>4227</v>
      </c>
      <c r="M7327" s="468"/>
      <c r="N7327" s="1192">
        <f t="shared" si="4136"/>
        <v>45608</v>
      </c>
      <c r="O7327" s="71"/>
      <c r="P7327" s="103" t="str">
        <f t="shared" si="4135"/>
        <v>흰색 소형 주머니 필터백</v>
      </c>
      <c r="Q7327" s="71">
        <f t="shared" si="4113"/>
        <v>10</v>
      </c>
      <c r="R7327" s="147"/>
      <c r="S7327" s="102">
        <f t="shared" si="4124"/>
        <v>0</v>
      </c>
      <c r="T7327" s="102">
        <f t="shared" si="4125"/>
        <v>0</v>
      </c>
      <c r="U7327" s="71"/>
      <c r="V7327" s="71"/>
      <c r="W7327" s="474"/>
      <c r="X7327" s="71"/>
      <c r="Y7327" s="71"/>
    </row>
    <row r="7328" spans="1:25" ht="30" hidden="1" customHeight="1" x14ac:dyDescent="0.25">
      <c r="A7328" s="1145">
        <v>45617</v>
      </c>
      <c r="B7328" s="664" t="s">
        <v>442</v>
      </c>
      <c r="C7328" s="71" t="s">
        <v>3299</v>
      </c>
      <c r="D7328" s="71">
        <v>10</v>
      </c>
      <c r="E7328" s="102">
        <v>69000</v>
      </c>
      <c r="F7328" s="102">
        <f t="shared" ref="F7328" si="4137">(E7328*D7328)*1.1</f>
        <v>759000.00000000012</v>
      </c>
      <c r="G7328" s="102">
        <f t="shared" ref="G7328" si="4138">(E7328*D7328)</f>
        <v>690000</v>
      </c>
      <c r="H7328" s="690" t="s">
        <v>172</v>
      </c>
      <c r="I7328" s="71" t="s">
        <v>180</v>
      </c>
      <c r="J7328" s="53">
        <f t="shared" si="4116"/>
        <v>215000</v>
      </c>
      <c r="K7328" s="63">
        <f t="shared" si="4117"/>
        <v>0.31159420289855067</v>
      </c>
      <c r="L7328" s="1212" t="s">
        <v>4227</v>
      </c>
      <c r="M7328" s="468" t="s">
        <v>3304</v>
      </c>
      <c r="N7328" s="1192">
        <f t="shared" ref="N7328:N7331" si="4139">A7328</f>
        <v>45617</v>
      </c>
      <c r="O7328" s="71" t="s">
        <v>175</v>
      </c>
      <c r="P7328" s="103" t="str">
        <f t="shared" ref="P7328:P7332" si="4140">(C7328)</f>
        <v>매엽용 세척제(Wash k11)</v>
      </c>
      <c r="Q7328" s="71">
        <f t="shared" si="4113"/>
        <v>10</v>
      </c>
      <c r="R7328" s="102">
        <v>47500</v>
      </c>
      <c r="S7328" s="102">
        <f t="shared" si="4124"/>
        <v>522500.00000000006</v>
      </c>
      <c r="T7328" s="102">
        <f t="shared" si="4125"/>
        <v>475000</v>
      </c>
      <c r="U7328" s="71" t="s">
        <v>859</v>
      </c>
      <c r="V7328" s="71"/>
      <c r="W7328" s="474"/>
      <c r="X7328" s="71"/>
      <c r="Y7328" s="71"/>
    </row>
    <row r="7329" spans="1:25" ht="30" hidden="1" customHeight="1" x14ac:dyDescent="0.25">
      <c r="A7329" s="1145">
        <v>45573</v>
      </c>
      <c r="B7329" s="664" t="s">
        <v>548</v>
      </c>
      <c r="C7329" s="71" t="s">
        <v>3384</v>
      </c>
      <c r="D7329" s="71">
        <v>400</v>
      </c>
      <c r="E7329" s="102">
        <v>500</v>
      </c>
      <c r="F7329" s="102">
        <f>(E7329*D7329)*1.1</f>
        <v>220000.00000000003</v>
      </c>
      <c r="G7329" s="102">
        <f>(E7329*D7329)</f>
        <v>200000</v>
      </c>
      <c r="H7329" s="690" t="s">
        <v>2029</v>
      </c>
      <c r="I7329" s="71" t="s">
        <v>3385</v>
      </c>
      <c r="J7329" s="53">
        <f t="shared" si="4116"/>
        <v>72000</v>
      </c>
      <c r="K7329" s="63">
        <f t="shared" si="4117"/>
        <v>0.35999999999999993</v>
      </c>
      <c r="L7329" s="1212" t="s">
        <v>4227</v>
      </c>
      <c r="M7329" s="468"/>
      <c r="N7329" s="1192">
        <f t="shared" si="4139"/>
        <v>45573</v>
      </c>
      <c r="O7329" s="71" t="s">
        <v>2030</v>
      </c>
      <c r="P7329" s="103" t="str">
        <f t="shared" si="4140"/>
        <v>고무사카 빨간색</v>
      </c>
      <c r="Q7329" s="71">
        <f t="shared" si="4113"/>
        <v>400</v>
      </c>
      <c r="R7329" s="102">
        <v>320</v>
      </c>
      <c r="S7329" s="102">
        <f t="shared" si="4124"/>
        <v>140800</v>
      </c>
      <c r="T7329" s="102">
        <f t="shared" si="4125"/>
        <v>128000</v>
      </c>
      <c r="U7329" s="71"/>
      <c r="V7329" s="71"/>
      <c r="W7329" s="474"/>
      <c r="X7329" s="71"/>
      <c r="Y7329" s="71"/>
    </row>
    <row r="7330" spans="1:25" ht="30" hidden="1" customHeight="1" x14ac:dyDescent="0.25">
      <c r="A7330" s="1145">
        <v>45573</v>
      </c>
      <c r="B7330" s="664" t="s">
        <v>548</v>
      </c>
      <c r="C7330" s="71" t="s">
        <v>3382</v>
      </c>
      <c r="D7330" s="71">
        <v>1</v>
      </c>
      <c r="E7330" s="102">
        <v>168000</v>
      </c>
      <c r="F7330" s="102">
        <f t="shared" ref="F7330:F7332" si="4141">(E7330*D7330)*1.1</f>
        <v>184800.00000000003</v>
      </c>
      <c r="G7330" s="102">
        <f t="shared" ref="G7330:G7332" si="4142">(E7330*D7330)</f>
        <v>168000</v>
      </c>
      <c r="H7330" s="690" t="s">
        <v>2029</v>
      </c>
      <c r="I7330" s="71" t="s">
        <v>180</v>
      </c>
      <c r="J7330" s="53">
        <f t="shared" si="4116"/>
        <v>48000</v>
      </c>
      <c r="K7330" s="63">
        <f t="shared" si="4117"/>
        <v>0.28571428571428564</v>
      </c>
      <c r="L7330" s="1212" t="s">
        <v>4227</v>
      </c>
      <c r="M7330" s="468"/>
      <c r="N7330" s="1192">
        <f t="shared" si="4139"/>
        <v>45573</v>
      </c>
      <c r="O7330" s="71" t="s">
        <v>3383</v>
      </c>
      <c r="P7330" s="103" t="str">
        <f t="shared" si="4140"/>
        <v>판 클리너(12개)</v>
      </c>
      <c r="Q7330" s="71">
        <f t="shared" si="4113"/>
        <v>1</v>
      </c>
      <c r="R7330" s="102">
        <v>120000</v>
      </c>
      <c r="S7330" s="102">
        <f t="shared" si="4124"/>
        <v>132000</v>
      </c>
      <c r="T7330" s="102">
        <f t="shared" si="4125"/>
        <v>120000</v>
      </c>
      <c r="U7330" s="71" t="str">
        <f>IF(J7330=W7330,"O", "X")</f>
        <v>X</v>
      </c>
      <c r="V7330" s="71"/>
      <c r="W7330" s="474"/>
      <c r="X7330" s="71"/>
      <c r="Y7330" s="71"/>
    </row>
    <row r="7331" spans="1:25" ht="30" hidden="1" customHeight="1" x14ac:dyDescent="0.25">
      <c r="A7331" s="1145">
        <v>45573</v>
      </c>
      <c r="B7331" s="664" t="s">
        <v>548</v>
      </c>
      <c r="C7331" s="71" t="s">
        <v>4237</v>
      </c>
      <c r="D7331" s="71">
        <v>4</v>
      </c>
      <c r="E7331" s="102">
        <v>260000</v>
      </c>
      <c r="F7331" s="102">
        <f t="shared" si="4141"/>
        <v>1144000</v>
      </c>
      <c r="G7331" s="102">
        <f t="shared" si="4142"/>
        <v>1040000</v>
      </c>
      <c r="H7331" s="690" t="s">
        <v>94</v>
      </c>
      <c r="I7331" s="71" t="s">
        <v>94</v>
      </c>
      <c r="J7331" s="53">
        <f t="shared" si="4116"/>
        <v>385040</v>
      </c>
      <c r="K7331" s="63">
        <f t="shared" si="4117"/>
        <v>0.37023076923076925</v>
      </c>
      <c r="L7331" s="1212" t="s">
        <v>4227</v>
      </c>
      <c r="M7331" s="102"/>
      <c r="N7331" s="1192">
        <f t="shared" si="4139"/>
        <v>45573</v>
      </c>
      <c r="O7331" s="71" t="s">
        <v>94</v>
      </c>
      <c r="P7331" s="103" t="str">
        <f t="shared" si="4140"/>
        <v>inner filter - technotrans</v>
      </c>
      <c r="Q7331" s="71">
        <f t="shared" si="4113"/>
        <v>4</v>
      </c>
      <c r="R7331" s="102">
        <v>163740</v>
      </c>
      <c r="S7331" s="102">
        <f t="shared" si="4124"/>
        <v>720456</v>
      </c>
      <c r="T7331" s="102">
        <f t="shared" si="4125"/>
        <v>654960</v>
      </c>
      <c r="U7331" s="71"/>
      <c r="V7331" s="71"/>
      <c r="W7331" s="474"/>
      <c r="X7331" s="71"/>
      <c r="Y7331" s="71"/>
    </row>
    <row r="7332" spans="1:25" ht="30" hidden="1" customHeight="1" x14ac:dyDescent="0.25">
      <c r="A7332" s="1145">
        <v>45580</v>
      </c>
      <c r="B7332" s="664" t="s">
        <v>18</v>
      </c>
      <c r="C7332" s="71" t="s">
        <v>2070</v>
      </c>
      <c r="D7332" s="71">
        <v>10</v>
      </c>
      <c r="E7332" s="102">
        <v>115000</v>
      </c>
      <c r="F7332" s="102">
        <f t="shared" si="4141"/>
        <v>1265000</v>
      </c>
      <c r="G7332" s="102">
        <f t="shared" si="4142"/>
        <v>1150000</v>
      </c>
      <c r="H7332" s="690" t="s">
        <v>172</v>
      </c>
      <c r="I7332" s="71" t="s">
        <v>33</v>
      </c>
      <c r="J7332" s="53">
        <f t="shared" si="4116"/>
        <v>168000</v>
      </c>
      <c r="K7332" s="63">
        <f t="shared" si="4117"/>
        <v>0.14608695652173914</v>
      </c>
      <c r="L7332" s="1212" t="s">
        <v>4227</v>
      </c>
      <c r="M7332" s="468"/>
      <c r="N7332" s="1192">
        <f t="shared" ref="N7332:N7334" si="4143">A7332</f>
        <v>45580</v>
      </c>
      <c r="O7332" s="71" t="s">
        <v>146</v>
      </c>
      <c r="P7332" s="103" t="str">
        <f t="shared" si="4140"/>
        <v>Blanket(1050*840)</v>
      </c>
      <c r="Q7332" s="71">
        <f t="shared" si="4113"/>
        <v>10</v>
      </c>
      <c r="R7332" s="102">
        <v>98200</v>
      </c>
      <c r="S7332" s="102">
        <f t="shared" si="4124"/>
        <v>1080200</v>
      </c>
      <c r="T7332" s="102">
        <f t="shared" si="4125"/>
        <v>982000</v>
      </c>
      <c r="U7332" s="71" t="s">
        <v>859</v>
      </c>
      <c r="V7332" s="71"/>
      <c r="W7332" s="474"/>
      <c r="X7332" s="71"/>
      <c r="Y7332" s="71"/>
    </row>
    <row r="7333" spans="1:25" ht="30" hidden="1" customHeight="1" x14ac:dyDescent="0.25">
      <c r="A7333" s="1145">
        <v>45604</v>
      </c>
      <c r="B7333" s="664" t="s">
        <v>548</v>
      </c>
      <c r="C7333" s="71" t="s">
        <v>3384</v>
      </c>
      <c r="D7333" s="71">
        <v>400</v>
      </c>
      <c r="E7333" s="102">
        <v>500</v>
      </c>
      <c r="F7333" s="102">
        <f>(E7333*D7333)*1.1</f>
        <v>220000.00000000003</v>
      </c>
      <c r="G7333" s="102">
        <f>(E7333*D7333)</f>
        <v>200000</v>
      </c>
      <c r="H7333" s="690" t="s">
        <v>2029</v>
      </c>
      <c r="I7333" s="71" t="s">
        <v>3385</v>
      </c>
      <c r="J7333" s="53">
        <f t="shared" si="4116"/>
        <v>72000</v>
      </c>
      <c r="K7333" s="63">
        <f t="shared" si="4117"/>
        <v>0.35999999999999993</v>
      </c>
      <c r="L7333" s="1212" t="s">
        <v>4227</v>
      </c>
      <c r="M7333" s="468"/>
      <c r="N7333" s="1192">
        <f t="shared" si="4143"/>
        <v>45604</v>
      </c>
      <c r="O7333" s="71" t="s">
        <v>2030</v>
      </c>
      <c r="P7333" s="103" t="str">
        <f t="shared" ref="P7333:P7334" si="4144">(C7333)</f>
        <v>고무사카 빨간색</v>
      </c>
      <c r="Q7333" s="71">
        <f t="shared" si="4113"/>
        <v>400</v>
      </c>
      <c r="R7333" s="102">
        <v>320</v>
      </c>
      <c r="S7333" s="102">
        <f t="shared" si="4124"/>
        <v>140800</v>
      </c>
      <c r="T7333" s="102">
        <f t="shared" si="4125"/>
        <v>128000</v>
      </c>
      <c r="U7333" s="71"/>
      <c r="V7333" s="71"/>
      <c r="W7333" s="474"/>
      <c r="X7333" s="71"/>
      <c r="Y7333" s="71"/>
    </row>
    <row r="7334" spans="1:25" ht="30" hidden="1" customHeight="1" x14ac:dyDescent="0.25">
      <c r="A7334" s="1145">
        <v>45604</v>
      </c>
      <c r="B7334" s="664" t="s">
        <v>548</v>
      </c>
      <c r="C7334" s="71" t="s">
        <v>3382</v>
      </c>
      <c r="D7334" s="71">
        <v>1</v>
      </c>
      <c r="E7334" s="102">
        <v>168000</v>
      </c>
      <c r="F7334" s="102">
        <f t="shared" ref="F7334:F7336" si="4145">(E7334*D7334)*1.1</f>
        <v>184800.00000000003</v>
      </c>
      <c r="G7334" s="102">
        <f t="shared" ref="G7334:G7336" si="4146">(E7334*D7334)</f>
        <v>168000</v>
      </c>
      <c r="H7334" s="690" t="s">
        <v>2029</v>
      </c>
      <c r="I7334" s="71" t="s">
        <v>180</v>
      </c>
      <c r="J7334" s="53">
        <f t="shared" si="4116"/>
        <v>48000</v>
      </c>
      <c r="K7334" s="63">
        <f t="shared" si="4117"/>
        <v>0.28571428571428564</v>
      </c>
      <c r="L7334" s="1212" t="s">
        <v>4227</v>
      </c>
      <c r="M7334" s="468"/>
      <c r="N7334" s="1192">
        <f t="shared" si="4143"/>
        <v>45604</v>
      </c>
      <c r="O7334" s="71" t="s">
        <v>3383</v>
      </c>
      <c r="P7334" s="103" t="str">
        <f t="shared" si="4144"/>
        <v>판 클리너(12개)</v>
      </c>
      <c r="Q7334" s="71">
        <f t="shared" si="4113"/>
        <v>1</v>
      </c>
      <c r="R7334" s="102">
        <v>120000</v>
      </c>
      <c r="S7334" s="102">
        <f t="shared" si="4124"/>
        <v>132000</v>
      </c>
      <c r="T7334" s="102">
        <f t="shared" si="4125"/>
        <v>120000</v>
      </c>
      <c r="U7334" s="71" t="str">
        <f>IF(J7334=W7334,"O", "X")</f>
        <v>X</v>
      </c>
      <c r="V7334" s="71"/>
      <c r="W7334" s="474"/>
      <c r="X7334" s="71"/>
      <c r="Y7334" s="71"/>
    </row>
    <row r="7335" spans="1:25" ht="30" hidden="1" customHeight="1" x14ac:dyDescent="0.25">
      <c r="A7335" s="1145">
        <v>45604</v>
      </c>
      <c r="B7335" s="664" t="s">
        <v>18</v>
      </c>
      <c r="C7335" s="71" t="s">
        <v>3305</v>
      </c>
      <c r="D7335" s="71">
        <v>15</v>
      </c>
      <c r="E7335" s="102">
        <v>86000</v>
      </c>
      <c r="F7335" s="102">
        <f t="shared" si="4145"/>
        <v>1419000</v>
      </c>
      <c r="G7335" s="102">
        <f t="shared" si="4146"/>
        <v>1290000</v>
      </c>
      <c r="H7335" s="690" t="s">
        <v>172</v>
      </c>
      <c r="I7335" s="71" t="s">
        <v>3295</v>
      </c>
      <c r="J7335" s="53">
        <f t="shared" si="4116"/>
        <v>240000</v>
      </c>
      <c r="K7335" s="63">
        <f t="shared" si="4117"/>
        <v>0.18604651162790697</v>
      </c>
      <c r="L7335" s="1212" t="s">
        <v>4227</v>
      </c>
      <c r="M7335" s="468" t="s">
        <v>3306</v>
      </c>
      <c r="N7335" s="1192">
        <v>45231</v>
      </c>
      <c r="O7335" s="71" t="s">
        <v>146</v>
      </c>
      <c r="P7335" s="103" t="s">
        <v>3305</v>
      </c>
      <c r="Q7335" s="71">
        <f t="shared" si="4113"/>
        <v>15</v>
      </c>
      <c r="R7335" s="102">
        <v>70000</v>
      </c>
      <c r="S7335" s="102">
        <f t="shared" si="4124"/>
        <v>1155000</v>
      </c>
      <c r="T7335" s="102">
        <f t="shared" si="4125"/>
        <v>1050000</v>
      </c>
      <c r="U7335" s="71" t="s">
        <v>1915</v>
      </c>
      <c r="V7335" s="71"/>
      <c r="W7335" s="474"/>
      <c r="X7335" s="71"/>
      <c r="Y7335" s="71"/>
    </row>
    <row r="7336" spans="1:25" ht="30" hidden="1" customHeight="1" x14ac:dyDescent="0.25">
      <c r="A7336" s="1145">
        <v>45618</v>
      </c>
      <c r="B7336" s="664" t="s">
        <v>809</v>
      </c>
      <c r="C7336" s="71" t="s">
        <v>4028</v>
      </c>
      <c r="D7336" s="71">
        <v>15</v>
      </c>
      <c r="E7336" s="102">
        <v>125000</v>
      </c>
      <c r="F7336" s="102">
        <f t="shared" si="4145"/>
        <v>2062500.0000000002</v>
      </c>
      <c r="G7336" s="102">
        <f t="shared" si="4146"/>
        <v>1875000</v>
      </c>
      <c r="H7336" s="690" t="s">
        <v>172</v>
      </c>
      <c r="I7336" s="71" t="s">
        <v>33</v>
      </c>
      <c r="J7336" s="53">
        <f t="shared" si="4116"/>
        <v>295500</v>
      </c>
      <c r="K7336" s="63">
        <f t="shared" si="4117"/>
        <v>0.15759999999999999</v>
      </c>
      <c r="L7336" s="1212" t="s">
        <v>4227</v>
      </c>
      <c r="M7336" s="102"/>
      <c r="N7336" s="1192"/>
      <c r="O7336" s="71" t="s">
        <v>147</v>
      </c>
      <c r="P7336" s="103" t="str">
        <f t="shared" ref="P7336" si="4147">(C7336)</f>
        <v>Blanket(1077*885)</v>
      </c>
      <c r="Q7336" s="71">
        <f t="shared" si="4113"/>
        <v>15</v>
      </c>
      <c r="R7336" s="102">
        <v>105300</v>
      </c>
      <c r="S7336" s="102">
        <f t="shared" si="4124"/>
        <v>1737450.0000000002</v>
      </c>
      <c r="T7336" s="102">
        <f t="shared" si="4125"/>
        <v>1579500</v>
      </c>
      <c r="U7336" s="71"/>
      <c r="V7336" s="71"/>
      <c r="W7336" s="474"/>
      <c r="X7336" s="71"/>
      <c r="Y7336" s="71"/>
    </row>
    <row r="7337" spans="1:25" ht="30" hidden="1" customHeight="1" x14ac:dyDescent="0.25">
      <c r="A7337" s="1145">
        <v>45618</v>
      </c>
      <c r="B7337" s="664" t="s">
        <v>18</v>
      </c>
      <c r="C7337" s="71" t="s">
        <v>2070</v>
      </c>
      <c r="D7337" s="71">
        <v>10</v>
      </c>
      <c r="E7337" s="102">
        <v>115000</v>
      </c>
      <c r="F7337" s="102">
        <f t="shared" ref="F7337" si="4148">(E7337*D7337)*1.1</f>
        <v>1265000</v>
      </c>
      <c r="G7337" s="102">
        <f t="shared" ref="G7337" si="4149">(E7337*D7337)</f>
        <v>1150000</v>
      </c>
      <c r="H7337" s="690" t="s">
        <v>172</v>
      </c>
      <c r="I7337" s="71" t="s">
        <v>33</v>
      </c>
      <c r="J7337" s="53">
        <f t="shared" si="4116"/>
        <v>168000</v>
      </c>
      <c r="K7337" s="63">
        <f t="shared" si="4117"/>
        <v>0.14608695652173914</v>
      </c>
      <c r="L7337" s="1212" t="s">
        <v>4227</v>
      </c>
      <c r="M7337" s="468"/>
      <c r="N7337" s="1192">
        <f t="shared" ref="N7337:N7340" si="4150">A7337</f>
        <v>45618</v>
      </c>
      <c r="O7337" s="71" t="s">
        <v>146</v>
      </c>
      <c r="P7337" s="103" t="str">
        <f t="shared" ref="P7337:P7345" si="4151">(C7337)</f>
        <v>Blanket(1050*840)</v>
      </c>
      <c r="Q7337" s="71">
        <f t="shared" si="4113"/>
        <v>10</v>
      </c>
      <c r="R7337" s="102">
        <v>98200</v>
      </c>
      <c r="S7337" s="102">
        <f t="shared" si="4124"/>
        <v>1080200</v>
      </c>
      <c r="T7337" s="102">
        <f t="shared" si="4125"/>
        <v>982000</v>
      </c>
      <c r="U7337" s="71" t="s">
        <v>859</v>
      </c>
      <c r="V7337" s="71"/>
      <c r="W7337" s="474"/>
      <c r="X7337" s="71"/>
      <c r="Y7337" s="71"/>
    </row>
    <row r="7338" spans="1:25" ht="30" hidden="1" customHeight="1" x14ac:dyDescent="0.2">
      <c r="A7338" s="1145">
        <v>45618</v>
      </c>
      <c r="B7338" s="664" t="s">
        <v>548</v>
      </c>
      <c r="C7338" s="71" t="s">
        <v>236</v>
      </c>
      <c r="D7338" s="71">
        <v>3</v>
      </c>
      <c r="E7338" s="102">
        <v>110000</v>
      </c>
      <c r="F7338" s="163">
        <f>(E7338*D7338)*1.1</f>
        <v>363000.00000000006</v>
      </c>
      <c r="G7338" s="102">
        <f>(E7338*D7338)</f>
        <v>330000</v>
      </c>
      <c r="H7338" s="690" t="s">
        <v>173</v>
      </c>
      <c r="I7338" s="71" t="s">
        <v>2231</v>
      </c>
      <c r="J7338" s="53">
        <f t="shared" si="4116"/>
        <v>75000</v>
      </c>
      <c r="K7338" s="63">
        <f t="shared" si="4117"/>
        <v>0.22727272727272724</v>
      </c>
      <c r="L7338" s="1212" t="s">
        <v>4227</v>
      </c>
      <c r="M7338" s="468"/>
      <c r="N7338" s="1192">
        <f t="shared" si="4150"/>
        <v>45618</v>
      </c>
      <c r="O7338" s="71" t="s">
        <v>150</v>
      </c>
      <c r="P7338" s="103" t="str">
        <f t="shared" si="4151"/>
        <v>아스테이지(국전)</v>
      </c>
      <c r="Q7338" s="71">
        <f t="shared" ref="Q7338:Q7354" si="4152">D7338</f>
        <v>3</v>
      </c>
      <c r="R7338" s="102">
        <v>85000</v>
      </c>
      <c r="S7338" s="102">
        <f t="shared" si="4124"/>
        <v>280500</v>
      </c>
      <c r="T7338" s="102">
        <f t="shared" si="4125"/>
        <v>255000</v>
      </c>
      <c r="U7338" s="71" t="str">
        <f>IF(J7338=W7338,"O", "X")</f>
        <v>X</v>
      </c>
      <c r="V7338" s="71"/>
      <c r="W7338" s="474"/>
      <c r="X7338" s="71"/>
      <c r="Y7338" s="71"/>
    </row>
    <row r="7339" spans="1:25" s="209" customFormat="1" ht="30" hidden="1" customHeight="1" x14ac:dyDescent="0.25">
      <c r="A7339" s="1145">
        <v>45603</v>
      </c>
      <c r="B7339" s="664" t="s">
        <v>411</v>
      </c>
      <c r="C7339" s="71" t="s">
        <v>3413</v>
      </c>
      <c r="D7339" s="71">
        <v>10</v>
      </c>
      <c r="E7339" s="102">
        <v>90000</v>
      </c>
      <c r="F7339" s="102">
        <f t="shared" ref="F7339:F7345" si="4153">(E7339*D7339)*1.1</f>
        <v>990000.00000000012</v>
      </c>
      <c r="G7339" s="102">
        <f t="shared" ref="G7339:G7345" si="4154">(E7339*D7339)</f>
        <v>900000</v>
      </c>
      <c r="H7339" s="690" t="s">
        <v>2029</v>
      </c>
      <c r="I7339" s="71" t="s">
        <v>3385</v>
      </c>
      <c r="J7339" s="53">
        <f t="shared" si="4116"/>
        <v>400000</v>
      </c>
      <c r="K7339" s="63">
        <f t="shared" si="4117"/>
        <v>0.44444444444444436</v>
      </c>
      <c r="L7339" s="1212" t="s">
        <v>4227</v>
      </c>
      <c r="M7339" s="468"/>
      <c r="N7339" s="1192">
        <f t="shared" si="4150"/>
        <v>45603</v>
      </c>
      <c r="O7339" s="71" t="s">
        <v>190</v>
      </c>
      <c r="P7339" s="103" t="str">
        <f t="shared" si="4151"/>
        <v>아스테이지(국전)</v>
      </c>
      <c r="Q7339" s="71">
        <f t="shared" si="4152"/>
        <v>10</v>
      </c>
      <c r="R7339" s="102">
        <v>50000</v>
      </c>
      <c r="S7339" s="102">
        <f t="shared" si="4124"/>
        <v>550000</v>
      </c>
      <c r="T7339" s="102">
        <f t="shared" si="4125"/>
        <v>500000</v>
      </c>
      <c r="U7339" s="71" t="str">
        <f t="shared" ref="U7339" si="4155">IF(J7339=W7339,"O", "X")</f>
        <v>X</v>
      </c>
      <c r="V7339" s="71"/>
      <c r="W7339" s="474">
        <v>500000</v>
      </c>
      <c r="X7339" s="71"/>
      <c r="Y7339" s="71"/>
    </row>
    <row r="7340" spans="1:25" ht="30" hidden="1" customHeight="1" x14ac:dyDescent="0.25">
      <c r="A7340" s="1145">
        <v>45608</v>
      </c>
      <c r="B7340" s="664" t="s">
        <v>2798</v>
      </c>
      <c r="C7340" s="71" t="s">
        <v>4238</v>
      </c>
      <c r="D7340" s="71">
        <v>10</v>
      </c>
      <c r="E7340" s="102">
        <v>162000</v>
      </c>
      <c r="F7340" s="102">
        <f t="shared" si="4153"/>
        <v>1782000.0000000002</v>
      </c>
      <c r="G7340" s="102">
        <f t="shared" si="4154"/>
        <v>1620000</v>
      </c>
      <c r="H7340" s="690" t="s">
        <v>173</v>
      </c>
      <c r="I7340" s="71" t="s">
        <v>109</v>
      </c>
      <c r="J7340" s="53">
        <f t="shared" ref="J7340:J7354" si="4156">G7340-T7340</f>
        <v>243000</v>
      </c>
      <c r="K7340" s="63">
        <f t="shared" ref="K7340:K7354" si="4157">(J7340/(F7340/11*10))</f>
        <v>0.14999999999999997</v>
      </c>
      <c r="L7340" s="1212" t="s">
        <v>4227</v>
      </c>
      <c r="M7340" s="468"/>
      <c r="N7340" s="1192">
        <f t="shared" si="4150"/>
        <v>45608</v>
      </c>
      <c r="O7340" s="71" t="s">
        <v>150</v>
      </c>
      <c r="P7340" s="103" t="str">
        <f t="shared" si="4151"/>
        <v>TUV 블랑켓 하이델 XL용</v>
      </c>
      <c r="Q7340" s="71">
        <f t="shared" si="4152"/>
        <v>10</v>
      </c>
      <c r="R7340" s="147">
        <v>137700</v>
      </c>
      <c r="S7340" s="102">
        <f t="shared" si="4124"/>
        <v>1514700.0000000002</v>
      </c>
      <c r="T7340" s="102">
        <f t="shared" si="4125"/>
        <v>1377000</v>
      </c>
      <c r="U7340" s="71"/>
      <c r="V7340" s="71"/>
      <c r="W7340" s="474"/>
      <c r="X7340" s="71"/>
      <c r="Y7340" s="71"/>
    </row>
    <row r="7341" spans="1:25" ht="30" hidden="1" customHeight="1" x14ac:dyDescent="0.25">
      <c r="A7341" s="1145">
        <v>45608</v>
      </c>
      <c r="B7341" s="664" t="s">
        <v>2798</v>
      </c>
      <c r="C7341" s="71" t="s">
        <v>4239</v>
      </c>
      <c r="D7341" s="71">
        <v>4</v>
      </c>
      <c r="E7341" s="102">
        <v>252000</v>
      </c>
      <c r="F7341" s="102">
        <f t="shared" si="4153"/>
        <v>1108800</v>
      </c>
      <c r="G7341" s="102">
        <f t="shared" si="4154"/>
        <v>1008000</v>
      </c>
      <c r="H7341" s="690" t="s">
        <v>173</v>
      </c>
      <c r="I7341" s="71" t="s">
        <v>180</v>
      </c>
      <c r="J7341" s="53">
        <f t="shared" si="4156"/>
        <v>258000</v>
      </c>
      <c r="K7341" s="63">
        <f t="shared" si="4157"/>
        <v>0.25595238095238093</v>
      </c>
      <c r="L7341" s="1212" t="s">
        <v>4227</v>
      </c>
      <c r="M7341" s="102"/>
      <c r="N7341" s="1192"/>
      <c r="O7341" s="71" t="s">
        <v>150</v>
      </c>
      <c r="P7341" s="103" t="str">
        <f t="shared" si="4151"/>
        <v>Saphira 건식 세정포 하이델 XL용</v>
      </c>
      <c r="Q7341" s="71">
        <f t="shared" si="4152"/>
        <v>4</v>
      </c>
      <c r="R7341" s="102">
        <v>187500</v>
      </c>
      <c r="S7341" s="102">
        <f t="shared" si="4124"/>
        <v>825000.00000000012</v>
      </c>
      <c r="T7341" s="102">
        <f t="shared" si="4125"/>
        <v>750000</v>
      </c>
      <c r="U7341" s="71"/>
      <c r="V7341" s="71"/>
      <c r="W7341" s="474"/>
      <c r="X7341" s="71"/>
      <c r="Y7341" s="71"/>
    </row>
    <row r="7342" spans="1:25" ht="31.5" hidden="1" customHeight="1" x14ac:dyDescent="0.25">
      <c r="A7342" s="1145">
        <v>45616</v>
      </c>
      <c r="B7342" s="664" t="s">
        <v>545</v>
      </c>
      <c r="C7342" s="71" t="s">
        <v>911</v>
      </c>
      <c r="D7342" s="71">
        <v>1</v>
      </c>
      <c r="E7342" s="102">
        <v>250000</v>
      </c>
      <c r="F7342" s="102">
        <f t="shared" si="4153"/>
        <v>275000</v>
      </c>
      <c r="G7342" s="102">
        <f t="shared" si="4154"/>
        <v>250000</v>
      </c>
      <c r="H7342" s="690" t="s">
        <v>173</v>
      </c>
      <c r="I7342" s="71" t="s">
        <v>2231</v>
      </c>
      <c r="J7342" s="53">
        <f t="shared" si="4156"/>
        <v>175000</v>
      </c>
      <c r="K7342" s="63">
        <f t="shared" si="4157"/>
        <v>0.7</v>
      </c>
      <c r="L7342" s="1212" t="s">
        <v>4227</v>
      </c>
      <c r="M7342" s="468"/>
      <c r="N7342" s="1192">
        <f t="shared" ref="N7342:N7345" si="4158">A7342</f>
        <v>45616</v>
      </c>
      <c r="O7342" s="71" t="s">
        <v>994</v>
      </c>
      <c r="P7342" s="103" t="str">
        <f t="shared" si="4151"/>
        <v>콤푸레샤 에어필터</v>
      </c>
      <c r="Q7342" s="71">
        <f t="shared" si="4152"/>
        <v>1</v>
      </c>
      <c r="R7342" s="102">
        <v>75000</v>
      </c>
      <c r="S7342" s="102">
        <f t="shared" ref="S7342:S7354" si="4159">R7342*Q7342*1.1</f>
        <v>82500</v>
      </c>
      <c r="T7342" s="102">
        <f t="shared" ref="T7342:T7354" si="4160">R7342*Q7342</f>
        <v>75000</v>
      </c>
      <c r="U7342" s="71" t="str">
        <f t="shared" ref="U7342" si="4161">IF(J7342=W7342,"O", "X")</f>
        <v>O</v>
      </c>
      <c r="V7342" s="71"/>
      <c r="W7342" s="474">
        <f>(G7342-T7342)</f>
        <v>175000</v>
      </c>
      <c r="X7342" s="71"/>
      <c r="Y7342" s="71"/>
    </row>
    <row r="7343" spans="1:25" ht="30" hidden="1" customHeight="1" x14ac:dyDescent="0.25">
      <c r="A7343" s="1145">
        <v>45623</v>
      </c>
      <c r="B7343" s="664" t="s">
        <v>444</v>
      </c>
      <c r="C7343" s="71" t="s">
        <v>3399</v>
      </c>
      <c r="D7343" s="71">
        <v>10</v>
      </c>
      <c r="E7343" s="102">
        <v>195000</v>
      </c>
      <c r="F7343" s="102">
        <f t="shared" si="4153"/>
        <v>2145000</v>
      </c>
      <c r="G7343" s="102">
        <f t="shared" si="4154"/>
        <v>1950000</v>
      </c>
      <c r="H7343" s="690" t="s">
        <v>2029</v>
      </c>
      <c r="I7343" s="71" t="s">
        <v>180</v>
      </c>
      <c r="J7343" s="53">
        <f t="shared" si="4156"/>
        <v>450000</v>
      </c>
      <c r="K7343" s="63">
        <f t="shared" si="4157"/>
        <v>0.23076923076923078</v>
      </c>
      <c r="L7343" s="1212" t="s">
        <v>4227</v>
      </c>
      <c r="M7343" s="468"/>
      <c r="N7343" s="1192">
        <f t="shared" si="4158"/>
        <v>45623</v>
      </c>
      <c r="O7343" s="71" t="s">
        <v>191</v>
      </c>
      <c r="P7343" s="103" t="str">
        <f t="shared" si="4151"/>
        <v>UV wash offset UV</v>
      </c>
      <c r="Q7343" s="71">
        <f t="shared" si="4152"/>
        <v>10</v>
      </c>
      <c r="R7343" s="102">
        <v>150000</v>
      </c>
      <c r="S7343" s="102">
        <f t="shared" si="4159"/>
        <v>1650000.0000000002</v>
      </c>
      <c r="T7343" s="102">
        <f t="shared" si="4160"/>
        <v>1500000</v>
      </c>
      <c r="U7343" s="71"/>
      <c r="V7343" s="71"/>
      <c r="W7343" s="474"/>
      <c r="X7343" s="71"/>
      <c r="Y7343" s="71"/>
    </row>
    <row r="7344" spans="1:25" ht="31.5" hidden="1" customHeight="1" x14ac:dyDescent="0.25">
      <c r="A7344" s="1145">
        <v>45623</v>
      </c>
      <c r="B7344" s="664" t="s">
        <v>2798</v>
      </c>
      <c r="C7344" s="71" t="s">
        <v>3290</v>
      </c>
      <c r="D7344" s="71">
        <v>1</v>
      </c>
      <c r="E7344" s="102">
        <v>780000</v>
      </c>
      <c r="F7344" s="102">
        <f t="shared" si="4153"/>
        <v>858000.00000000012</v>
      </c>
      <c r="G7344" s="102">
        <f t="shared" si="4154"/>
        <v>780000</v>
      </c>
      <c r="H7344" s="690" t="s">
        <v>172</v>
      </c>
      <c r="I7344" s="71" t="s">
        <v>38</v>
      </c>
      <c r="J7344" s="53">
        <f t="shared" si="4156"/>
        <v>318000</v>
      </c>
      <c r="K7344" s="63">
        <f t="shared" si="4157"/>
        <v>0.40769230769230763</v>
      </c>
      <c r="L7344" s="1212" t="s">
        <v>4227</v>
      </c>
      <c r="M7344" s="468"/>
      <c r="N7344" s="1192">
        <f t="shared" si="4158"/>
        <v>45623</v>
      </c>
      <c r="O7344" s="71" t="s">
        <v>3291</v>
      </c>
      <c r="P7344" s="103" t="str">
        <f t="shared" si="4151"/>
        <v>점보롤 세정포</v>
      </c>
      <c r="Q7344" s="71">
        <f t="shared" si="4152"/>
        <v>1</v>
      </c>
      <c r="R7344" s="102">
        <v>462000</v>
      </c>
      <c r="S7344" s="102">
        <f t="shared" si="4159"/>
        <v>508200.00000000006</v>
      </c>
      <c r="T7344" s="102">
        <f t="shared" si="4160"/>
        <v>462000</v>
      </c>
      <c r="U7344" s="71" t="str">
        <f>IF(J7344=W7344,"O", "X")</f>
        <v>O</v>
      </c>
      <c r="V7344" s="71" t="s">
        <v>3292</v>
      </c>
      <c r="W7344" s="474">
        <f>(G7344-T7344)</f>
        <v>318000</v>
      </c>
      <c r="X7344" s="71"/>
      <c r="Y7344" s="71"/>
    </row>
    <row r="7345" spans="1:25" ht="30" hidden="1" customHeight="1" x14ac:dyDescent="0.25">
      <c r="A7345" s="1145">
        <v>45623</v>
      </c>
      <c r="B7345" s="664" t="s">
        <v>2798</v>
      </c>
      <c r="C7345" s="71" t="s">
        <v>4240</v>
      </c>
      <c r="D7345" s="71">
        <v>10</v>
      </c>
      <c r="E7345" s="102">
        <v>133000</v>
      </c>
      <c r="F7345" s="102">
        <f t="shared" si="4153"/>
        <v>1463000.0000000002</v>
      </c>
      <c r="G7345" s="102">
        <f t="shared" si="4154"/>
        <v>1330000</v>
      </c>
      <c r="H7345" s="690" t="s">
        <v>173</v>
      </c>
      <c r="I7345" s="71" t="s">
        <v>109</v>
      </c>
      <c r="J7345" s="53">
        <f t="shared" si="4156"/>
        <v>0</v>
      </c>
      <c r="K7345" s="63">
        <f t="shared" si="4157"/>
        <v>0</v>
      </c>
      <c r="L7345" s="1212" t="s">
        <v>4227</v>
      </c>
      <c r="M7345" s="102"/>
      <c r="N7345" s="1192">
        <f t="shared" si="4158"/>
        <v>45623</v>
      </c>
      <c r="O7345" s="71" t="s">
        <v>150</v>
      </c>
      <c r="P7345" s="103" t="str">
        <f t="shared" si="4151"/>
        <v>5MX 블랑켓 XL용</v>
      </c>
      <c r="Q7345" s="71">
        <f t="shared" si="4152"/>
        <v>10</v>
      </c>
      <c r="R7345" s="102">
        <v>133000</v>
      </c>
      <c r="S7345" s="102">
        <f t="shared" si="4159"/>
        <v>1463000.0000000002</v>
      </c>
      <c r="T7345" s="102">
        <f t="shared" si="4160"/>
        <v>1330000</v>
      </c>
      <c r="U7345" s="71"/>
      <c r="V7345" s="71"/>
      <c r="W7345" s="474"/>
      <c r="X7345" s="71"/>
      <c r="Y7345" s="71"/>
    </row>
    <row r="7346" spans="1:25" ht="30" hidden="1" customHeight="1" x14ac:dyDescent="0.25">
      <c r="A7346" s="1145">
        <v>45601</v>
      </c>
      <c r="B7346" s="664" t="s">
        <v>1155</v>
      </c>
      <c r="C7346" s="760" t="s">
        <v>2648</v>
      </c>
      <c r="D7346" s="71">
        <v>10</v>
      </c>
      <c r="E7346" s="102">
        <v>37000</v>
      </c>
      <c r="F7346" s="102">
        <f>(E7346*D7346)*1.1</f>
        <v>407000.00000000006</v>
      </c>
      <c r="G7346" s="102">
        <f>(E7346*D7346)</f>
        <v>370000</v>
      </c>
      <c r="H7346" s="690" t="s">
        <v>94</v>
      </c>
      <c r="I7346" s="71" t="s">
        <v>94</v>
      </c>
      <c r="J7346" s="53">
        <f t="shared" si="4156"/>
        <v>129300</v>
      </c>
      <c r="K7346" s="63">
        <f t="shared" si="4157"/>
        <v>0.34945945945945939</v>
      </c>
      <c r="L7346" s="1212" t="s">
        <v>4227</v>
      </c>
      <c r="M7346" s="468"/>
      <c r="N7346" s="1192">
        <f>A7346</f>
        <v>45601</v>
      </c>
      <c r="O7346" s="71" t="s">
        <v>94</v>
      </c>
      <c r="P7346" s="103" t="str">
        <f>(C7346)</f>
        <v>주머니 필터백</v>
      </c>
      <c r="Q7346" s="71">
        <f t="shared" si="4152"/>
        <v>10</v>
      </c>
      <c r="R7346" s="102">
        <v>24070</v>
      </c>
      <c r="S7346" s="102">
        <f t="shared" si="4159"/>
        <v>264770</v>
      </c>
      <c r="T7346" s="102">
        <f t="shared" si="4160"/>
        <v>240700</v>
      </c>
      <c r="U7346" s="71"/>
      <c r="V7346" s="71"/>
      <c r="W7346" s="474"/>
      <c r="X7346" s="71"/>
      <c r="Y7346" s="71"/>
    </row>
    <row r="7347" spans="1:25" ht="30" hidden="1" customHeight="1" x14ac:dyDescent="0.25">
      <c r="A7347" s="1145">
        <v>45597</v>
      </c>
      <c r="B7347" s="664" t="s">
        <v>3296</v>
      </c>
      <c r="C7347" s="71" t="s">
        <v>3297</v>
      </c>
      <c r="D7347" s="71">
        <v>20</v>
      </c>
      <c r="E7347" s="102">
        <v>162500</v>
      </c>
      <c r="F7347" s="102">
        <f t="shared" ref="F7347:F7354" si="4162">(E7347*D7347)*1.1</f>
        <v>3575000.0000000005</v>
      </c>
      <c r="G7347" s="102">
        <f t="shared" ref="G7347:G7354" si="4163">(E7347*D7347)</f>
        <v>3250000</v>
      </c>
      <c r="H7347" s="690" t="s">
        <v>172</v>
      </c>
      <c r="I7347" s="71" t="s">
        <v>3295</v>
      </c>
      <c r="J7347" s="53">
        <f t="shared" si="4156"/>
        <v>850000</v>
      </c>
      <c r="K7347" s="63">
        <f t="shared" si="4157"/>
        <v>0.2615384615384615</v>
      </c>
      <c r="L7347" s="1212" t="s">
        <v>4227</v>
      </c>
      <c r="M7347" s="468"/>
      <c r="N7347" s="1192">
        <f t="shared" ref="N7347:N7360" si="4164">A7347</f>
        <v>45597</v>
      </c>
      <c r="O7347" s="71" t="s">
        <v>662</v>
      </c>
      <c r="P7347" s="103" t="str">
        <f t="shared" ref="P7347:P7354" si="4165">(C7347)</f>
        <v>실리콘 에멀전</v>
      </c>
      <c r="Q7347" s="71">
        <f t="shared" si="4152"/>
        <v>20</v>
      </c>
      <c r="R7347" s="102">
        <v>120000</v>
      </c>
      <c r="S7347" s="102">
        <f t="shared" si="4159"/>
        <v>2640000</v>
      </c>
      <c r="T7347" s="102">
        <f t="shared" si="4160"/>
        <v>2400000</v>
      </c>
      <c r="U7347" s="71" t="str">
        <f t="shared" ref="U7347:U7348" si="4166">IF(J7347=W7347,"O", "X")</f>
        <v>X</v>
      </c>
      <c r="V7347" s="71"/>
      <c r="W7347" s="474"/>
      <c r="X7347" s="71"/>
      <c r="Y7347" s="71"/>
    </row>
    <row r="7348" spans="1:25" ht="30" hidden="1" customHeight="1" x14ac:dyDescent="0.25">
      <c r="A7348" s="1145">
        <v>45614</v>
      </c>
      <c r="B7348" s="664" t="s">
        <v>3296</v>
      </c>
      <c r="C7348" s="71" t="s">
        <v>3297</v>
      </c>
      <c r="D7348" s="71">
        <v>20</v>
      </c>
      <c r="E7348" s="102">
        <v>162500</v>
      </c>
      <c r="F7348" s="102">
        <f t="shared" si="4162"/>
        <v>3575000.0000000005</v>
      </c>
      <c r="G7348" s="102">
        <f t="shared" si="4163"/>
        <v>3250000</v>
      </c>
      <c r="H7348" s="690" t="s">
        <v>172</v>
      </c>
      <c r="I7348" s="71" t="s">
        <v>3295</v>
      </c>
      <c r="J7348" s="53">
        <f t="shared" si="4156"/>
        <v>850000</v>
      </c>
      <c r="K7348" s="63">
        <f t="shared" si="4157"/>
        <v>0.2615384615384615</v>
      </c>
      <c r="L7348" s="1212" t="s">
        <v>4227</v>
      </c>
      <c r="M7348" s="468"/>
      <c r="N7348" s="1192">
        <f t="shared" si="4164"/>
        <v>45614</v>
      </c>
      <c r="O7348" s="71" t="s">
        <v>662</v>
      </c>
      <c r="P7348" s="103" t="str">
        <f t="shared" si="4165"/>
        <v>실리콘 에멀전</v>
      </c>
      <c r="Q7348" s="71">
        <f t="shared" si="4152"/>
        <v>20</v>
      </c>
      <c r="R7348" s="102">
        <v>120000</v>
      </c>
      <c r="S7348" s="102">
        <f t="shared" si="4159"/>
        <v>2640000</v>
      </c>
      <c r="T7348" s="102">
        <f t="shared" si="4160"/>
        <v>2400000</v>
      </c>
      <c r="U7348" s="71" t="str">
        <f t="shared" si="4166"/>
        <v>X</v>
      </c>
      <c r="V7348" s="71"/>
      <c r="W7348" s="474"/>
      <c r="X7348" s="71"/>
      <c r="Y7348" s="71"/>
    </row>
    <row r="7349" spans="1:25" ht="30" hidden="1" customHeight="1" x14ac:dyDescent="0.25">
      <c r="A7349" s="1145">
        <v>45625</v>
      </c>
      <c r="B7349" s="664" t="s">
        <v>2155</v>
      </c>
      <c r="C7349" s="71" t="s">
        <v>114</v>
      </c>
      <c r="D7349" s="71">
        <v>50</v>
      </c>
      <c r="E7349" s="102">
        <v>18000</v>
      </c>
      <c r="F7349" s="102">
        <f t="shared" si="4162"/>
        <v>990000.00000000012</v>
      </c>
      <c r="G7349" s="102">
        <f t="shared" si="4163"/>
        <v>900000</v>
      </c>
      <c r="H7349" s="690" t="s">
        <v>1431</v>
      </c>
      <c r="I7349" s="71" t="s">
        <v>1431</v>
      </c>
      <c r="J7349" s="53">
        <f t="shared" si="4156"/>
        <v>360000</v>
      </c>
      <c r="K7349" s="63">
        <f t="shared" si="4157"/>
        <v>0.39999999999999997</v>
      </c>
      <c r="L7349" s="1212" t="s">
        <v>4227</v>
      </c>
      <c r="M7349" s="102"/>
      <c r="N7349" s="1192">
        <f t="shared" si="4164"/>
        <v>45625</v>
      </c>
      <c r="O7349" s="71" t="s">
        <v>1431</v>
      </c>
      <c r="P7349" s="103" t="str">
        <f t="shared" si="4165"/>
        <v>스트리퍼</v>
      </c>
      <c r="Q7349" s="71">
        <f t="shared" si="4152"/>
        <v>50</v>
      </c>
      <c r="R7349" s="102">
        <v>10800</v>
      </c>
      <c r="S7349" s="102">
        <f t="shared" si="4159"/>
        <v>594000</v>
      </c>
      <c r="T7349" s="102">
        <f t="shared" si="4160"/>
        <v>540000</v>
      </c>
      <c r="U7349" s="71"/>
      <c r="V7349" s="71"/>
      <c r="W7349" s="474"/>
      <c r="X7349" s="71"/>
      <c r="Y7349" s="71"/>
    </row>
    <row r="7350" spans="1:25" ht="30" hidden="1" customHeight="1" x14ac:dyDescent="0.25">
      <c r="A7350" s="1145">
        <v>45625</v>
      </c>
      <c r="B7350" s="664" t="s">
        <v>3571</v>
      </c>
      <c r="C7350" s="71" t="s">
        <v>4241</v>
      </c>
      <c r="D7350" s="71">
        <v>1</v>
      </c>
      <c r="E7350" s="102">
        <v>27500000</v>
      </c>
      <c r="F7350" s="102">
        <f t="shared" si="4162"/>
        <v>30250000.000000004</v>
      </c>
      <c r="G7350" s="102">
        <f t="shared" si="4163"/>
        <v>27500000</v>
      </c>
      <c r="H7350" s="690" t="s">
        <v>1431</v>
      </c>
      <c r="I7350" s="71" t="s">
        <v>1431</v>
      </c>
      <c r="J7350" s="53"/>
      <c r="K7350" s="63"/>
      <c r="L7350" s="1212" t="s">
        <v>4227</v>
      </c>
      <c r="M7350" s="468"/>
      <c r="N7350" s="1192">
        <f t="shared" si="4164"/>
        <v>45625</v>
      </c>
      <c r="O7350" s="71" t="s">
        <v>1431</v>
      </c>
      <c r="P7350" s="103" t="str">
        <f t="shared" si="4165"/>
        <v xml:space="preserve">	주안 Rotoman 잉크 파운틴 롤러 교체 중도금 50%</v>
      </c>
      <c r="Q7350" s="71">
        <f t="shared" si="4152"/>
        <v>1</v>
      </c>
      <c r="R7350" s="147"/>
      <c r="S7350" s="102">
        <f t="shared" si="4159"/>
        <v>0</v>
      </c>
      <c r="T7350" s="102">
        <f t="shared" si="4160"/>
        <v>0</v>
      </c>
      <c r="U7350" s="71"/>
      <c r="V7350" s="71"/>
      <c r="W7350" s="474"/>
      <c r="X7350" s="71"/>
      <c r="Y7350" s="71"/>
    </row>
    <row r="7351" spans="1:25" ht="30" hidden="1" customHeight="1" x14ac:dyDescent="0.25">
      <c r="A7351" s="1145">
        <v>45614</v>
      </c>
      <c r="B7351" s="664" t="s">
        <v>1178</v>
      </c>
      <c r="C7351" s="71" t="s">
        <v>4066</v>
      </c>
      <c r="D7351" s="71">
        <v>150</v>
      </c>
      <c r="E7351" s="102">
        <v>24000</v>
      </c>
      <c r="F7351" s="102">
        <f t="shared" si="4162"/>
        <v>3960000.0000000005</v>
      </c>
      <c r="G7351" s="102">
        <f t="shared" si="4163"/>
        <v>3600000</v>
      </c>
      <c r="H7351" s="690" t="s">
        <v>142</v>
      </c>
      <c r="I7351" s="71" t="s">
        <v>142</v>
      </c>
      <c r="J7351" s="53">
        <f t="shared" si="4156"/>
        <v>2167500</v>
      </c>
      <c r="K7351" s="63">
        <f t="shared" si="4157"/>
        <v>0.6020833333333333</v>
      </c>
      <c r="L7351" s="1212" t="s">
        <v>4227</v>
      </c>
      <c r="M7351" s="102"/>
      <c r="N7351" s="1192">
        <f t="shared" si="4164"/>
        <v>45614</v>
      </c>
      <c r="O7351" s="71" t="s">
        <v>2224</v>
      </c>
      <c r="P7351" s="103" t="str">
        <f t="shared" si="4165"/>
        <v>플렉소 엔드씰</v>
      </c>
      <c r="Q7351" s="71">
        <f t="shared" si="4152"/>
        <v>150</v>
      </c>
      <c r="R7351" s="102">
        <v>9550</v>
      </c>
      <c r="S7351" s="102">
        <f t="shared" si="4159"/>
        <v>1575750.0000000002</v>
      </c>
      <c r="T7351" s="102">
        <f t="shared" si="4160"/>
        <v>1432500</v>
      </c>
      <c r="U7351" s="71"/>
      <c r="V7351" s="71"/>
      <c r="W7351" s="474"/>
      <c r="X7351" s="71"/>
      <c r="Y7351" s="71"/>
    </row>
    <row r="7352" spans="1:25" ht="30" hidden="1" customHeight="1" x14ac:dyDescent="0.25">
      <c r="A7352" s="1145">
        <v>45614</v>
      </c>
      <c r="B7352" s="664" t="s">
        <v>1178</v>
      </c>
      <c r="C7352" s="71" t="s">
        <v>4242</v>
      </c>
      <c r="D7352" s="71">
        <v>3</v>
      </c>
      <c r="E7352" s="102">
        <v>850000</v>
      </c>
      <c r="F7352" s="102">
        <f t="shared" si="4162"/>
        <v>2805000</v>
      </c>
      <c r="G7352" s="102">
        <f t="shared" si="4163"/>
        <v>2550000</v>
      </c>
      <c r="H7352" s="690" t="s">
        <v>142</v>
      </c>
      <c r="I7352" s="71" t="s">
        <v>142</v>
      </c>
      <c r="J7352" s="53">
        <f t="shared" si="4156"/>
        <v>1080000</v>
      </c>
      <c r="K7352" s="63">
        <f t="shared" si="4157"/>
        <v>0.42352941176470588</v>
      </c>
      <c r="L7352" s="1212" t="s">
        <v>4227</v>
      </c>
      <c r="M7352" s="468"/>
      <c r="N7352" s="1192">
        <f t="shared" si="4164"/>
        <v>45614</v>
      </c>
      <c r="O7352" s="71" t="s">
        <v>2224</v>
      </c>
      <c r="P7352" s="103" t="str">
        <f t="shared" si="4165"/>
        <v>플렉소 나이프 Plasteel</v>
      </c>
      <c r="Q7352" s="71">
        <f t="shared" si="4152"/>
        <v>3</v>
      </c>
      <c r="R7352" s="147">
        <v>490000</v>
      </c>
      <c r="S7352" s="102">
        <f t="shared" si="4159"/>
        <v>1617000.0000000002</v>
      </c>
      <c r="T7352" s="102">
        <f t="shared" si="4160"/>
        <v>1470000</v>
      </c>
      <c r="U7352" s="71"/>
      <c r="V7352" s="71"/>
      <c r="W7352" s="474"/>
      <c r="X7352" s="71"/>
      <c r="Y7352" s="71"/>
    </row>
    <row r="7353" spans="1:25" ht="30" hidden="1" customHeight="1" x14ac:dyDescent="0.25">
      <c r="A7353" s="1145">
        <v>45614</v>
      </c>
      <c r="B7353" s="664" t="s">
        <v>1178</v>
      </c>
      <c r="C7353" s="71" t="s">
        <v>4243</v>
      </c>
      <c r="D7353" s="71">
        <v>3</v>
      </c>
      <c r="E7353" s="102">
        <v>950000</v>
      </c>
      <c r="F7353" s="102">
        <f t="shared" si="4162"/>
        <v>3135000.0000000005</v>
      </c>
      <c r="G7353" s="102">
        <f t="shared" si="4163"/>
        <v>2850000</v>
      </c>
      <c r="H7353" s="690" t="s">
        <v>142</v>
      </c>
      <c r="I7353" s="71" t="s">
        <v>142</v>
      </c>
      <c r="J7353" s="53">
        <f t="shared" si="4156"/>
        <v>1380000</v>
      </c>
      <c r="K7353" s="63">
        <f t="shared" si="4157"/>
        <v>0.48421052631578937</v>
      </c>
      <c r="L7353" s="1212" t="s">
        <v>4227</v>
      </c>
      <c r="M7353" s="102"/>
      <c r="N7353" s="1192">
        <f t="shared" si="4164"/>
        <v>45614</v>
      </c>
      <c r="O7353" s="71" t="s">
        <v>2224</v>
      </c>
      <c r="P7353" s="103" t="str">
        <f t="shared" si="4165"/>
        <v>플렉소 나이프 Blade, DuraPoint</v>
      </c>
      <c r="Q7353" s="71">
        <f t="shared" si="4152"/>
        <v>3</v>
      </c>
      <c r="R7353" s="102">
        <v>490000</v>
      </c>
      <c r="S7353" s="102">
        <f t="shared" si="4159"/>
        <v>1617000.0000000002</v>
      </c>
      <c r="T7353" s="102">
        <f t="shared" si="4160"/>
        <v>1470000</v>
      </c>
      <c r="U7353" s="71"/>
      <c r="V7353" s="71"/>
      <c r="W7353" s="474"/>
      <c r="X7353" s="71"/>
      <c r="Y7353" s="71"/>
    </row>
    <row r="7354" spans="1:25" ht="30" hidden="1" customHeight="1" x14ac:dyDescent="0.25">
      <c r="A7354" s="1145">
        <v>45625</v>
      </c>
      <c r="B7354" s="664" t="s">
        <v>1155</v>
      </c>
      <c r="C7354" s="71" t="s">
        <v>4244</v>
      </c>
      <c r="D7354" s="71">
        <v>1</v>
      </c>
      <c r="E7354" s="102">
        <v>9750000</v>
      </c>
      <c r="F7354" s="102">
        <f t="shared" si="4162"/>
        <v>10725000</v>
      </c>
      <c r="G7354" s="102">
        <f t="shared" si="4163"/>
        <v>9750000</v>
      </c>
      <c r="H7354" s="690" t="s">
        <v>1431</v>
      </c>
      <c r="I7354" s="71" t="s">
        <v>1431</v>
      </c>
      <c r="J7354" s="53">
        <f t="shared" si="4156"/>
        <v>2519859.2000000002</v>
      </c>
      <c r="K7354" s="63">
        <f t="shared" si="4157"/>
        <v>0.25844709743589744</v>
      </c>
      <c r="L7354" s="1212" t="s">
        <v>4227</v>
      </c>
      <c r="M7354" s="468"/>
      <c r="N7354" s="1192">
        <f t="shared" si="4164"/>
        <v>45625</v>
      </c>
      <c r="O7354" s="71" t="s">
        <v>1431</v>
      </c>
      <c r="P7354" s="103" t="str">
        <f t="shared" si="4165"/>
        <v>실리콘 롤러, 실리콘 혼합 유리, 밀봉제</v>
      </c>
      <c r="Q7354" s="71">
        <f t="shared" si="4152"/>
        <v>1</v>
      </c>
      <c r="R7354" s="147">
        <v>7230140.7999999998</v>
      </c>
      <c r="S7354" s="102">
        <f t="shared" si="4159"/>
        <v>7953154.8800000008</v>
      </c>
      <c r="T7354" s="102">
        <f t="shared" si="4160"/>
        <v>7230140.7999999998</v>
      </c>
      <c r="U7354" s="71"/>
      <c r="V7354" s="71"/>
      <c r="W7354" s="474"/>
      <c r="X7354" s="71"/>
      <c r="Y7354" s="71"/>
    </row>
    <row r="7355" spans="1:25" ht="30" hidden="1" customHeight="1" x14ac:dyDescent="0.25">
      <c r="A7355" s="1210" t="s">
        <v>4248</v>
      </c>
      <c r="B7355" s="1211" t="s">
        <v>544</v>
      </c>
      <c r="C7355" s="960"/>
      <c r="D7355" s="960"/>
      <c r="E7355" s="952"/>
      <c r="F7355" s="952"/>
      <c r="G7355" s="952"/>
      <c r="H7355" s="1206"/>
      <c r="I7355" s="960"/>
      <c r="J7355" s="952"/>
      <c r="K7355" s="953"/>
      <c r="L7355" s="1212" t="s">
        <v>4247</v>
      </c>
      <c r="M7355" s="1207"/>
      <c r="N7355" s="1208" t="str">
        <f t="shared" si="4164"/>
        <v>2024,12</v>
      </c>
      <c r="O7355" s="960"/>
      <c r="P7355" s="1209"/>
      <c r="Q7355" s="960"/>
      <c r="R7355" s="952"/>
      <c r="S7355" s="952"/>
      <c r="T7355" s="952"/>
      <c r="U7355" s="960"/>
      <c r="V7355" s="960"/>
      <c r="W7355" s="474">
        <f>(G7355-T7355)</f>
        <v>0</v>
      </c>
      <c r="X7355" s="71"/>
      <c r="Y7355" s="71"/>
    </row>
    <row r="7356" spans="1:25" s="209" customFormat="1" ht="30" hidden="1" customHeight="1" x14ac:dyDescent="0.25">
      <c r="A7356" s="1145">
        <v>45629</v>
      </c>
      <c r="B7356" s="664" t="s">
        <v>2353</v>
      </c>
      <c r="C7356" s="71" t="s">
        <v>130</v>
      </c>
      <c r="D7356" s="71">
        <v>10</v>
      </c>
      <c r="E7356" s="102">
        <v>148000</v>
      </c>
      <c r="F7356" s="102">
        <f t="shared" ref="F7356:F7360" si="4167">(E7356*D7356)*1.1</f>
        <v>1628000.0000000002</v>
      </c>
      <c r="G7356" s="102">
        <f t="shared" ref="G7356:G7360" si="4168">(E7356*D7356)</f>
        <v>1480000</v>
      </c>
      <c r="H7356" s="690" t="s">
        <v>142</v>
      </c>
      <c r="I7356" s="71" t="s">
        <v>179</v>
      </c>
      <c r="J7356" s="53">
        <f t="shared" ref="J7356:J7360" si="4169">G7356-T7356</f>
        <v>360000</v>
      </c>
      <c r="K7356" s="63">
        <f t="shared" ref="K7356:K7360" si="4170">(J7356/(F7356/11*10))</f>
        <v>0.2432432432432432</v>
      </c>
      <c r="L7356" s="1212" t="s">
        <v>4247</v>
      </c>
      <c r="M7356" s="468" t="s">
        <v>2050</v>
      </c>
      <c r="N7356" s="1192">
        <f t="shared" si="4164"/>
        <v>45629</v>
      </c>
      <c r="O7356" s="71" t="s">
        <v>3383</v>
      </c>
      <c r="P7356" s="103" t="str">
        <f t="shared" ref="P7356:P7360" si="4171">(C7356)</f>
        <v>XL106 Blanket(1077*885)</v>
      </c>
      <c r="Q7356" s="71">
        <f t="shared" ref="Q7356:Q7359" si="4172">D7356</f>
        <v>10</v>
      </c>
      <c r="R7356" s="102">
        <v>112000</v>
      </c>
      <c r="S7356" s="102">
        <f t="shared" ref="S7356:S7360" si="4173">R7356*Q7356*1.1</f>
        <v>1232000</v>
      </c>
      <c r="T7356" s="102">
        <f t="shared" ref="T7356:T7360" si="4174">R7356*Q7356</f>
        <v>1120000</v>
      </c>
      <c r="U7356" s="71" t="s">
        <v>859</v>
      </c>
      <c r="V7356" s="71"/>
      <c r="W7356" s="474">
        <v>260000</v>
      </c>
      <c r="X7356" s="71"/>
      <c r="Y7356" s="71"/>
    </row>
    <row r="7357" spans="1:25" ht="30" hidden="1" customHeight="1" x14ac:dyDescent="0.25">
      <c r="A7357" s="1145">
        <v>45629</v>
      </c>
      <c r="B7357" s="664" t="s">
        <v>2353</v>
      </c>
      <c r="C7357" s="71" t="s">
        <v>129</v>
      </c>
      <c r="D7357" s="71">
        <v>7</v>
      </c>
      <c r="E7357" s="102">
        <v>325000</v>
      </c>
      <c r="F7357" s="102">
        <f t="shared" si="4167"/>
        <v>2502500</v>
      </c>
      <c r="G7357" s="102">
        <f t="shared" si="4168"/>
        <v>2275000</v>
      </c>
      <c r="H7357" s="690" t="s">
        <v>142</v>
      </c>
      <c r="I7357" s="71" t="s">
        <v>179</v>
      </c>
      <c r="J7357" s="53">
        <f t="shared" si="4169"/>
        <v>636440</v>
      </c>
      <c r="K7357" s="63">
        <f t="shared" si="4170"/>
        <v>0.27975384615384613</v>
      </c>
      <c r="L7357" s="1212" t="s">
        <v>4246</v>
      </c>
      <c r="M7357" s="468" t="s">
        <v>2050</v>
      </c>
      <c r="N7357" s="1192">
        <f t="shared" si="4164"/>
        <v>45629</v>
      </c>
      <c r="O7357" s="71" t="s">
        <v>149</v>
      </c>
      <c r="P7357" s="103" t="str">
        <f t="shared" si="4171"/>
        <v>세정포-XL106</v>
      </c>
      <c r="Q7357" s="71">
        <f t="shared" si="4172"/>
        <v>7</v>
      </c>
      <c r="R7357" s="102">
        <v>234080</v>
      </c>
      <c r="S7357" s="102">
        <f t="shared" si="4173"/>
        <v>1802416.0000000002</v>
      </c>
      <c r="T7357" s="102">
        <f t="shared" si="4174"/>
        <v>1638560</v>
      </c>
      <c r="U7357" s="71" t="str">
        <f>IF(J7357=W7357,"O", "X")</f>
        <v>O</v>
      </c>
      <c r="V7357" s="71"/>
      <c r="W7357" s="474">
        <f>(G7357-T7357)</f>
        <v>636440</v>
      </c>
      <c r="X7357" s="71"/>
      <c r="Y7357" s="71"/>
    </row>
    <row r="7358" spans="1:25" s="209" customFormat="1" ht="30" hidden="1" customHeight="1" x14ac:dyDescent="0.25">
      <c r="A7358" s="1145">
        <v>45629</v>
      </c>
      <c r="B7358" s="664" t="s">
        <v>2353</v>
      </c>
      <c r="C7358" s="71" t="s">
        <v>3843</v>
      </c>
      <c r="D7358" s="71">
        <v>7</v>
      </c>
      <c r="E7358" s="102">
        <v>180000</v>
      </c>
      <c r="F7358" s="102">
        <f t="shared" si="4167"/>
        <v>1386000</v>
      </c>
      <c r="G7358" s="102">
        <f t="shared" si="4168"/>
        <v>1260000</v>
      </c>
      <c r="H7358" s="690" t="s">
        <v>179</v>
      </c>
      <c r="I7358" s="71" t="s">
        <v>179</v>
      </c>
      <c r="J7358" s="53">
        <f t="shared" si="4169"/>
        <v>336000</v>
      </c>
      <c r="K7358" s="63">
        <f t="shared" si="4170"/>
        <v>0.26666666666666666</v>
      </c>
      <c r="L7358" s="1212" t="s">
        <v>4246</v>
      </c>
      <c r="M7358" s="468"/>
      <c r="N7358" s="1192">
        <f t="shared" si="4164"/>
        <v>45629</v>
      </c>
      <c r="O7358" s="71" t="s">
        <v>3383</v>
      </c>
      <c r="P7358" s="103" t="str">
        <f t="shared" si="4171"/>
        <v>수이보 세척액(습수액 클리너)</v>
      </c>
      <c r="Q7358" s="71">
        <f t="shared" si="4172"/>
        <v>7</v>
      </c>
      <c r="R7358" s="102">
        <f>11000*12</f>
        <v>132000</v>
      </c>
      <c r="S7358" s="102">
        <f t="shared" si="4173"/>
        <v>1016400.0000000001</v>
      </c>
      <c r="T7358" s="102">
        <f t="shared" si="4174"/>
        <v>924000</v>
      </c>
      <c r="U7358" s="71"/>
      <c r="V7358" s="71"/>
      <c r="W7358" s="474"/>
      <c r="X7358" s="71"/>
      <c r="Y7358" s="71"/>
    </row>
    <row r="7359" spans="1:25" ht="30" hidden="1" customHeight="1" x14ac:dyDescent="0.25">
      <c r="A7359" s="1145">
        <v>45629</v>
      </c>
      <c r="B7359" s="664" t="s">
        <v>2353</v>
      </c>
      <c r="C7359" s="71" t="s">
        <v>3727</v>
      </c>
      <c r="D7359" s="71">
        <v>5</v>
      </c>
      <c r="E7359" s="102">
        <v>225000</v>
      </c>
      <c r="F7359" s="102">
        <f t="shared" si="4167"/>
        <v>1237500</v>
      </c>
      <c r="G7359" s="102">
        <f t="shared" si="4168"/>
        <v>1125000</v>
      </c>
      <c r="H7359" s="690" t="s">
        <v>142</v>
      </c>
      <c r="I7359" s="71" t="s">
        <v>142</v>
      </c>
      <c r="J7359" s="53">
        <f t="shared" si="4169"/>
        <v>500000</v>
      </c>
      <c r="K7359" s="63">
        <f t="shared" si="4170"/>
        <v>0.44444444444444442</v>
      </c>
      <c r="L7359" s="1212" t="s">
        <v>4246</v>
      </c>
      <c r="M7359" s="468"/>
      <c r="N7359" s="1192">
        <f t="shared" si="4164"/>
        <v>45629</v>
      </c>
      <c r="O7359" s="71" t="s">
        <v>189</v>
      </c>
      <c r="P7359" s="103" t="str">
        <f t="shared" si="4171"/>
        <v>압통 코팅제 - 퀵 프린트</v>
      </c>
      <c r="Q7359" s="71">
        <f t="shared" si="4172"/>
        <v>5</v>
      </c>
      <c r="R7359" s="102">
        <f>25000*5</f>
        <v>125000</v>
      </c>
      <c r="S7359" s="102">
        <f t="shared" si="4173"/>
        <v>687500</v>
      </c>
      <c r="T7359" s="102">
        <f t="shared" si="4174"/>
        <v>625000</v>
      </c>
      <c r="U7359" s="71"/>
      <c r="V7359" s="71"/>
      <c r="W7359" s="474"/>
      <c r="X7359" s="71"/>
      <c r="Y7359" s="71"/>
    </row>
    <row r="7360" spans="1:25" ht="30" hidden="1" customHeight="1" x14ac:dyDescent="0.25">
      <c r="A7360" s="1145">
        <v>45629</v>
      </c>
      <c r="B7360" s="664" t="s">
        <v>2353</v>
      </c>
      <c r="C7360" s="71" t="s">
        <v>3728</v>
      </c>
      <c r="D7360" s="71">
        <v>40</v>
      </c>
      <c r="E7360" s="102">
        <v>35000</v>
      </c>
      <c r="F7360" s="102">
        <f t="shared" si="4167"/>
        <v>1540000.0000000002</v>
      </c>
      <c r="G7360" s="102">
        <f t="shared" si="4168"/>
        <v>1400000</v>
      </c>
      <c r="H7360" s="690" t="s">
        <v>142</v>
      </c>
      <c r="I7360" s="71" t="s">
        <v>142</v>
      </c>
      <c r="J7360" s="53">
        <f t="shared" si="4169"/>
        <v>212500</v>
      </c>
      <c r="K7360" s="63">
        <f t="shared" si="4170"/>
        <v>0.15178571428571427</v>
      </c>
      <c r="L7360" s="1212" t="s">
        <v>4246</v>
      </c>
      <c r="M7360" s="468" t="s">
        <v>3907</v>
      </c>
      <c r="N7360" s="1192">
        <f t="shared" si="4164"/>
        <v>45629</v>
      </c>
      <c r="O7360" s="71" t="s">
        <v>149</v>
      </c>
      <c r="P7360" s="103" t="str">
        <f t="shared" si="4171"/>
        <v>고모리 자동 세척액</v>
      </c>
      <c r="Q7360" s="71">
        <v>25</v>
      </c>
      <c r="R7360" s="102">
        <v>47500</v>
      </c>
      <c r="S7360" s="102">
        <f t="shared" si="4173"/>
        <v>1306250</v>
      </c>
      <c r="T7360" s="102">
        <f t="shared" si="4174"/>
        <v>1187500</v>
      </c>
      <c r="U7360" s="71"/>
      <c r="V7360" s="71"/>
      <c r="W7360" s="474"/>
      <c r="X7360" s="71"/>
      <c r="Y7360" s="71"/>
    </row>
    <row r="7361" spans="1:25" s="209" customFormat="1" ht="30" hidden="1" customHeight="1" x14ac:dyDescent="0.25">
      <c r="A7361" s="1145">
        <v>45642</v>
      </c>
      <c r="B7361" s="664" t="s">
        <v>2353</v>
      </c>
      <c r="C7361" s="71" t="s">
        <v>130</v>
      </c>
      <c r="D7361" s="71">
        <v>20</v>
      </c>
      <c r="E7361" s="102">
        <v>148000</v>
      </c>
      <c r="F7361" s="102">
        <f t="shared" ref="F7361:F7369" si="4175">(E7361*D7361)*1.1</f>
        <v>3256000.0000000005</v>
      </c>
      <c r="G7361" s="102">
        <f t="shared" ref="G7361:G7369" si="4176">(E7361*D7361)</f>
        <v>2960000</v>
      </c>
      <c r="H7361" s="690" t="s">
        <v>142</v>
      </c>
      <c r="I7361" s="71" t="s">
        <v>179</v>
      </c>
      <c r="J7361" s="53">
        <f t="shared" ref="J7361:J7369" si="4177">G7361-T7361</f>
        <v>720000</v>
      </c>
      <c r="K7361" s="63">
        <f t="shared" ref="K7361:K7369" si="4178">(J7361/(F7361/11*10))</f>
        <v>0.2432432432432432</v>
      </c>
      <c r="L7361" s="1212" t="s">
        <v>4246</v>
      </c>
      <c r="M7361" s="468" t="s">
        <v>2050</v>
      </c>
      <c r="N7361" s="1192">
        <f t="shared" ref="N7361:N7424" si="4179">A7361</f>
        <v>45642</v>
      </c>
      <c r="O7361" s="71" t="s">
        <v>3383</v>
      </c>
      <c r="P7361" s="103" t="str">
        <f t="shared" ref="P7361:P7369" si="4180">(C7361)</f>
        <v>XL106 Blanket(1077*885)</v>
      </c>
      <c r="Q7361" s="71">
        <f t="shared" ref="Q7361:Q7369" si="4181">D7361</f>
        <v>20</v>
      </c>
      <c r="R7361" s="102">
        <v>112000</v>
      </c>
      <c r="S7361" s="102">
        <f t="shared" ref="S7361:S7365" si="4182">R7361*Q7361*1.1</f>
        <v>2464000</v>
      </c>
      <c r="T7361" s="102">
        <f t="shared" ref="T7361:T7365" si="4183">R7361*Q7361</f>
        <v>2240000</v>
      </c>
      <c r="U7361" s="71" t="s">
        <v>859</v>
      </c>
      <c r="V7361" s="71"/>
      <c r="W7361" s="474">
        <v>260000</v>
      </c>
      <c r="X7361" s="71"/>
      <c r="Y7361" s="71"/>
    </row>
    <row r="7362" spans="1:25" ht="30" hidden="1" customHeight="1" x14ac:dyDescent="0.25">
      <c r="A7362" s="1145">
        <v>45642</v>
      </c>
      <c r="B7362" s="664" t="s">
        <v>2353</v>
      </c>
      <c r="C7362" s="71" t="s">
        <v>129</v>
      </c>
      <c r="D7362" s="71">
        <v>7</v>
      </c>
      <c r="E7362" s="102">
        <v>325000</v>
      </c>
      <c r="F7362" s="102">
        <f t="shared" si="4175"/>
        <v>2502500</v>
      </c>
      <c r="G7362" s="102">
        <f t="shared" si="4176"/>
        <v>2275000</v>
      </c>
      <c r="H7362" s="690" t="s">
        <v>142</v>
      </c>
      <c r="I7362" s="71" t="s">
        <v>179</v>
      </c>
      <c r="J7362" s="53">
        <f t="shared" si="4177"/>
        <v>636440</v>
      </c>
      <c r="K7362" s="63">
        <f t="shared" si="4178"/>
        <v>0.27975384615384613</v>
      </c>
      <c r="L7362" s="1212" t="s">
        <v>4246</v>
      </c>
      <c r="M7362" s="468" t="s">
        <v>2050</v>
      </c>
      <c r="N7362" s="1192">
        <f t="shared" si="4179"/>
        <v>45642</v>
      </c>
      <c r="O7362" s="71" t="s">
        <v>149</v>
      </c>
      <c r="P7362" s="103" t="str">
        <f t="shared" si="4180"/>
        <v>세정포-XL106</v>
      </c>
      <c r="Q7362" s="71">
        <f t="shared" si="4181"/>
        <v>7</v>
      </c>
      <c r="R7362" s="102">
        <v>234080</v>
      </c>
      <c r="S7362" s="102">
        <f t="shared" si="4182"/>
        <v>1802416.0000000002</v>
      </c>
      <c r="T7362" s="102">
        <f t="shared" si="4183"/>
        <v>1638560</v>
      </c>
      <c r="U7362" s="71" t="str">
        <f>IF(J7362=W7362,"O", "X")</f>
        <v>O</v>
      </c>
      <c r="V7362" s="71"/>
      <c r="W7362" s="474">
        <f>(G7362-T7362)</f>
        <v>636440</v>
      </c>
      <c r="X7362" s="71"/>
      <c r="Y7362" s="71"/>
    </row>
    <row r="7363" spans="1:25" s="209" customFormat="1" ht="30" hidden="1" customHeight="1" x14ac:dyDescent="0.25">
      <c r="A7363" s="1145">
        <v>45642</v>
      </c>
      <c r="B7363" s="664" t="s">
        <v>2353</v>
      </c>
      <c r="C7363" s="71" t="s">
        <v>3299</v>
      </c>
      <c r="D7363" s="71">
        <v>10</v>
      </c>
      <c r="E7363" s="102">
        <v>83000</v>
      </c>
      <c r="F7363" s="102">
        <f t="shared" si="4175"/>
        <v>913000.00000000012</v>
      </c>
      <c r="G7363" s="102">
        <f t="shared" si="4176"/>
        <v>830000</v>
      </c>
      <c r="H7363" s="690" t="s">
        <v>142</v>
      </c>
      <c r="I7363" s="71" t="s">
        <v>179</v>
      </c>
      <c r="J7363" s="53">
        <f t="shared" si="4177"/>
        <v>355000</v>
      </c>
      <c r="K7363" s="63">
        <f t="shared" si="4178"/>
        <v>0.42771084337349391</v>
      </c>
      <c r="L7363" s="1212" t="s">
        <v>4246</v>
      </c>
      <c r="M7363" s="468" t="s">
        <v>2214</v>
      </c>
      <c r="N7363" s="1192">
        <f t="shared" si="4179"/>
        <v>45642</v>
      </c>
      <c r="O7363" s="71" t="s">
        <v>3383</v>
      </c>
      <c r="P7363" s="103" t="str">
        <f t="shared" si="4180"/>
        <v>매엽용 세척제(Wash k11)</v>
      </c>
      <c r="Q7363" s="71">
        <f t="shared" si="4181"/>
        <v>10</v>
      </c>
      <c r="R7363" s="102">
        <v>47500</v>
      </c>
      <c r="S7363" s="102">
        <f t="shared" si="4182"/>
        <v>522500.00000000006</v>
      </c>
      <c r="T7363" s="102">
        <f t="shared" si="4183"/>
        <v>475000</v>
      </c>
      <c r="U7363" s="71" t="s">
        <v>859</v>
      </c>
      <c r="V7363" s="71"/>
      <c r="W7363" s="474">
        <v>136000</v>
      </c>
      <c r="X7363" s="71"/>
      <c r="Y7363" s="71"/>
    </row>
    <row r="7364" spans="1:25" ht="30" hidden="1" customHeight="1" x14ac:dyDescent="0.25">
      <c r="A7364" s="1145">
        <v>45642</v>
      </c>
      <c r="B7364" s="664" t="s">
        <v>2579</v>
      </c>
      <c r="C7364" s="71" t="s">
        <v>3738</v>
      </c>
      <c r="D7364" s="71">
        <v>20</v>
      </c>
      <c r="E7364" s="102">
        <v>130000</v>
      </c>
      <c r="F7364" s="102">
        <f t="shared" si="4175"/>
        <v>2860000</v>
      </c>
      <c r="G7364" s="102">
        <f t="shared" si="4176"/>
        <v>2600000</v>
      </c>
      <c r="H7364" s="690" t="s">
        <v>142</v>
      </c>
      <c r="I7364" s="71" t="s">
        <v>142</v>
      </c>
      <c r="J7364" s="53">
        <f t="shared" si="4177"/>
        <v>678000</v>
      </c>
      <c r="K7364" s="63">
        <f t="shared" si="4178"/>
        <v>0.26076923076923075</v>
      </c>
      <c r="L7364" s="1212" t="s">
        <v>4246</v>
      </c>
      <c r="M7364" s="468"/>
      <c r="N7364" s="1192">
        <f t="shared" si="4179"/>
        <v>45642</v>
      </c>
      <c r="O7364" s="71" t="s">
        <v>147</v>
      </c>
      <c r="P7364" s="103" t="str">
        <f t="shared" si="4180"/>
        <v>블랑켓 - 고모리 용 (1040*920)</v>
      </c>
      <c r="Q7364" s="71">
        <f t="shared" si="4181"/>
        <v>20</v>
      </c>
      <c r="R7364" s="102">
        <v>96100</v>
      </c>
      <c r="S7364" s="102">
        <f t="shared" si="4182"/>
        <v>2114200</v>
      </c>
      <c r="T7364" s="102">
        <f t="shared" si="4183"/>
        <v>1922000</v>
      </c>
      <c r="U7364" s="71"/>
      <c r="V7364" s="71"/>
      <c r="W7364" s="474"/>
      <c r="X7364" s="71"/>
      <c r="Y7364" s="71"/>
    </row>
    <row r="7365" spans="1:25" ht="30" hidden="1" customHeight="1" x14ac:dyDescent="0.25">
      <c r="A7365" s="1145">
        <v>45642</v>
      </c>
      <c r="B7365" s="664" t="s">
        <v>2579</v>
      </c>
      <c r="C7365" s="71" t="s">
        <v>3382</v>
      </c>
      <c r="D7365" s="71">
        <v>4</v>
      </c>
      <c r="E7365" s="102">
        <v>180000</v>
      </c>
      <c r="F7365" s="102">
        <f t="shared" si="4175"/>
        <v>792000.00000000012</v>
      </c>
      <c r="G7365" s="102">
        <f t="shared" si="4176"/>
        <v>720000</v>
      </c>
      <c r="H7365" s="690" t="s">
        <v>179</v>
      </c>
      <c r="I7365" s="690" t="s">
        <v>179</v>
      </c>
      <c r="J7365" s="53">
        <f t="shared" si="4177"/>
        <v>240000</v>
      </c>
      <c r="K7365" s="63">
        <f t="shared" si="4178"/>
        <v>0.33333333333333326</v>
      </c>
      <c r="L7365" s="1212" t="s">
        <v>4246</v>
      </c>
      <c r="M7365" s="468"/>
      <c r="N7365" s="1192">
        <f t="shared" si="4179"/>
        <v>45642</v>
      </c>
      <c r="O7365" s="71" t="s">
        <v>3383</v>
      </c>
      <c r="P7365" s="103" t="str">
        <f t="shared" si="4180"/>
        <v>판 클리너(12개)</v>
      </c>
      <c r="Q7365" s="71">
        <f t="shared" si="4181"/>
        <v>4</v>
      </c>
      <c r="R7365" s="102">
        <v>120000</v>
      </c>
      <c r="S7365" s="102">
        <f t="shared" si="4182"/>
        <v>528000</v>
      </c>
      <c r="T7365" s="102">
        <f t="shared" si="4183"/>
        <v>480000</v>
      </c>
      <c r="U7365" s="71"/>
      <c r="V7365" s="71"/>
      <c r="W7365" s="474"/>
      <c r="X7365" s="71"/>
      <c r="Y7365" s="71"/>
    </row>
    <row r="7366" spans="1:25" ht="30" hidden="1" customHeight="1" x14ac:dyDescent="0.25">
      <c r="A7366" s="1145">
        <v>45642</v>
      </c>
      <c r="B7366" s="664" t="s">
        <v>2579</v>
      </c>
      <c r="C7366" s="71" t="s">
        <v>4249</v>
      </c>
      <c r="D7366" s="71">
        <v>5</v>
      </c>
      <c r="E7366" s="102">
        <v>29000</v>
      </c>
      <c r="F7366" s="102">
        <f t="shared" si="4175"/>
        <v>159500</v>
      </c>
      <c r="G7366" s="102">
        <f t="shared" si="4176"/>
        <v>145000</v>
      </c>
      <c r="H7366" s="690" t="s">
        <v>179</v>
      </c>
      <c r="I7366" s="690" t="s">
        <v>179</v>
      </c>
      <c r="J7366" s="53">
        <f t="shared" si="4177"/>
        <v>10250</v>
      </c>
      <c r="K7366" s="63">
        <f t="shared" si="4178"/>
        <v>7.0689655172413796E-2</v>
      </c>
      <c r="L7366" s="1212" t="s">
        <v>4246</v>
      </c>
      <c r="M7366" s="468"/>
      <c r="N7366" s="1192">
        <f t="shared" si="4179"/>
        <v>45642</v>
      </c>
      <c r="O7366" s="71" t="s">
        <v>189</v>
      </c>
      <c r="P7366" s="103" t="str">
        <f t="shared" si="4180"/>
        <v>고모리 브랑켓트 패킹지 0.18mm</v>
      </c>
      <c r="Q7366" s="71">
        <f t="shared" si="4181"/>
        <v>5</v>
      </c>
      <c r="R7366" s="147">
        <v>26950</v>
      </c>
      <c r="S7366" s="102">
        <f t="shared" ref="S7366:S7387" si="4184">R7366*Q7366*1.1</f>
        <v>148225</v>
      </c>
      <c r="T7366" s="102">
        <f t="shared" ref="T7366:T7387" si="4185">R7366*Q7366</f>
        <v>134750</v>
      </c>
      <c r="U7366" s="71"/>
      <c r="V7366" s="71"/>
      <c r="W7366" s="474"/>
      <c r="X7366" s="71"/>
      <c r="Y7366" s="71"/>
    </row>
    <row r="7367" spans="1:25" ht="30" hidden="1" customHeight="1" x14ac:dyDescent="0.25">
      <c r="A7367" s="1145">
        <v>45642</v>
      </c>
      <c r="B7367" s="664" t="s">
        <v>2579</v>
      </c>
      <c r="C7367" s="71" t="s">
        <v>4250</v>
      </c>
      <c r="D7367" s="71">
        <v>5</v>
      </c>
      <c r="E7367" s="102">
        <v>30000</v>
      </c>
      <c r="F7367" s="102">
        <f t="shared" si="4175"/>
        <v>165000</v>
      </c>
      <c r="G7367" s="102">
        <f t="shared" si="4176"/>
        <v>150000</v>
      </c>
      <c r="H7367" s="690" t="s">
        <v>179</v>
      </c>
      <c r="I7367" s="690" t="s">
        <v>179</v>
      </c>
      <c r="J7367" s="53">
        <f t="shared" si="4177"/>
        <v>15250</v>
      </c>
      <c r="K7367" s="63">
        <f t="shared" si="4178"/>
        <v>0.10166666666666667</v>
      </c>
      <c r="L7367" s="1212" t="s">
        <v>4246</v>
      </c>
      <c r="M7367" s="102"/>
      <c r="N7367" s="1192">
        <f t="shared" si="4179"/>
        <v>45642</v>
      </c>
      <c r="O7367" s="71" t="s">
        <v>189</v>
      </c>
      <c r="P7367" s="103" t="str">
        <f t="shared" si="4180"/>
        <v>고모리 브랑켓트 패킹지 0.20mm</v>
      </c>
      <c r="Q7367" s="71">
        <f t="shared" si="4181"/>
        <v>5</v>
      </c>
      <c r="R7367" s="102">
        <v>26950</v>
      </c>
      <c r="S7367" s="102">
        <f t="shared" si="4184"/>
        <v>148225</v>
      </c>
      <c r="T7367" s="102">
        <f t="shared" si="4185"/>
        <v>134750</v>
      </c>
      <c r="U7367" s="71"/>
      <c r="V7367" s="71"/>
      <c r="W7367" s="474"/>
      <c r="X7367" s="71"/>
      <c r="Y7367" s="71"/>
    </row>
    <row r="7368" spans="1:25" ht="30" hidden="1" customHeight="1" x14ac:dyDescent="0.25">
      <c r="A7368" s="1145">
        <v>45629</v>
      </c>
      <c r="B7368" s="664" t="s">
        <v>2353</v>
      </c>
      <c r="C7368" s="71" t="s">
        <v>584</v>
      </c>
      <c r="D7368" s="71">
        <v>4</v>
      </c>
      <c r="E7368" s="102">
        <v>270000</v>
      </c>
      <c r="F7368" s="102">
        <f t="shared" si="4175"/>
        <v>1188000</v>
      </c>
      <c r="G7368" s="102">
        <f t="shared" si="4176"/>
        <v>1080000</v>
      </c>
      <c r="H7368" s="690" t="s">
        <v>142</v>
      </c>
      <c r="I7368" s="71" t="s">
        <v>179</v>
      </c>
      <c r="J7368" s="53">
        <f t="shared" si="4177"/>
        <v>328000</v>
      </c>
      <c r="K7368" s="63">
        <f t="shared" si="4178"/>
        <v>0.3037037037037037</v>
      </c>
      <c r="L7368" s="1212" t="s">
        <v>4246</v>
      </c>
      <c r="M7368" s="468"/>
      <c r="N7368" s="1192">
        <f t="shared" si="4179"/>
        <v>45629</v>
      </c>
      <c r="O7368" s="71" t="s">
        <v>150</v>
      </c>
      <c r="P7368" s="103" t="str">
        <f t="shared" si="4180"/>
        <v>데리바리 석션벨트</v>
      </c>
      <c r="Q7368" s="71">
        <f t="shared" si="4181"/>
        <v>4</v>
      </c>
      <c r="R7368" s="102">
        <v>188000</v>
      </c>
      <c r="S7368" s="102">
        <f t="shared" si="4184"/>
        <v>827200.00000000012</v>
      </c>
      <c r="T7368" s="102">
        <f t="shared" si="4185"/>
        <v>752000</v>
      </c>
      <c r="U7368" s="71" t="str">
        <f>IF(J7368=W7368,"O", "X")</f>
        <v>O</v>
      </c>
      <c r="V7368" s="71"/>
      <c r="W7368" s="474">
        <f>(G7368-T7368)</f>
        <v>328000</v>
      </c>
      <c r="X7368" s="71"/>
      <c r="Y7368" s="71"/>
    </row>
    <row r="7369" spans="1:25" ht="27" hidden="1" customHeight="1" x14ac:dyDescent="0.25">
      <c r="A7369" s="1145">
        <v>46007</v>
      </c>
      <c r="B7369" s="664" t="s">
        <v>2353</v>
      </c>
      <c r="C7369" s="71" t="s">
        <v>2648</v>
      </c>
      <c r="D7369" s="71">
        <v>4</v>
      </c>
      <c r="E7369" s="102">
        <v>50000</v>
      </c>
      <c r="F7369" s="102">
        <f t="shared" si="4175"/>
        <v>220000.00000000003</v>
      </c>
      <c r="G7369" s="102">
        <f t="shared" si="4176"/>
        <v>200000</v>
      </c>
      <c r="H7369" s="690" t="s">
        <v>179</v>
      </c>
      <c r="I7369" s="690" t="s">
        <v>179</v>
      </c>
      <c r="J7369" s="53">
        <f t="shared" si="4177"/>
        <v>104000</v>
      </c>
      <c r="K7369" s="63">
        <f t="shared" si="4178"/>
        <v>0.51999999999999991</v>
      </c>
      <c r="L7369" s="1212" t="s">
        <v>4246</v>
      </c>
      <c r="M7369" s="468"/>
      <c r="N7369" s="1192">
        <f t="shared" si="4179"/>
        <v>46007</v>
      </c>
      <c r="O7369" s="71" t="s">
        <v>94</v>
      </c>
      <c r="P7369" s="103" t="str">
        <f t="shared" si="4180"/>
        <v>주머니 필터백</v>
      </c>
      <c r="Q7369" s="71">
        <f t="shared" si="4181"/>
        <v>4</v>
      </c>
      <c r="R7369" s="102">
        <v>24000</v>
      </c>
      <c r="S7369" s="102">
        <f t="shared" si="4184"/>
        <v>105600.00000000001</v>
      </c>
      <c r="T7369" s="102">
        <f t="shared" si="4185"/>
        <v>96000</v>
      </c>
      <c r="U7369" s="71"/>
      <c r="V7369" s="71"/>
      <c r="W7369" s="474"/>
      <c r="X7369" s="71"/>
      <c r="Y7369" s="71"/>
    </row>
    <row r="7370" spans="1:25" ht="30" hidden="1" customHeight="1" x14ac:dyDescent="0.25">
      <c r="A7370" s="1145">
        <v>46007</v>
      </c>
      <c r="B7370" s="664" t="s">
        <v>2353</v>
      </c>
      <c r="C7370" s="71" t="s">
        <v>584</v>
      </c>
      <c r="D7370" s="71">
        <v>5</v>
      </c>
      <c r="E7370" s="102">
        <v>270000</v>
      </c>
      <c r="F7370" s="102">
        <f t="shared" ref="F7370:F7372" si="4186">(E7370*D7370)*1.1</f>
        <v>1485000.0000000002</v>
      </c>
      <c r="G7370" s="102">
        <f t="shared" ref="G7370:G7372" si="4187">(E7370*D7370)</f>
        <v>1350000</v>
      </c>
      <c r="H7370" s="690" t="s">
        <v>142</v>
      </c>
      <c r="I7370" s="71" t="s">
        <v>179</v>
      </c>
      <c r="J7370" s="53">
        <f t="shared" ref="J7370:J7372" si="4188">G7370-T7370</f>
        <v>410000</v>
      </c>
      <c r="K7370" s="63">
        <f t="shared" ref="K7370:K7372" si="4189">(J7370/(F7370/11*10))</f>
        <v>0.30370370370370364</v>
      </c>
      <c r="L7370" s="1212" t="s">
        <v>4246</v>
      </c>
      <c r="M7370" s="468"/>
      <c r="N7370" s="1192">
        <f t="shared" si="4179"/>
        <v>46007</v>
      </c>
      <c r="O7370" s="71" t="s">
        <v>150</v>
      </c>
      <c r="P7370" s="103" t="str">
        <f t="shared" ref="P7370:P7372" si="4190">(C7370)</f>
        <v>데리바리 석션벨트</v>
      </c>
      <c r="Q7370" s="71">
        <f t="shared" ref="Q7370:Q7372" si="4191">D7370</f>
        <v>5</v>
      </c>
      <c r="R7370" s="102">
        <v>188000</v>
      </c>
      <c r="S7370" s="102">
        <f t="shared" si="4184"/>
        <v>1034000.0000000001</v>
      </c>
      <c r="T7370" s="102">
        <f t="shared" si="4185"/>
        <v>940000</v>
      </c>
      <c r="U7370" s="71" t="str">
        <f>IF(J7370=W7370,"O", "X")</f>
        <v>O</v>
      </c>
      <c r="V7370" s="71"/>
      <c r="W7370" s="474">
        <f>(G7370-T7370)</f>
        <v>410000</v>
      </c>
      <c r="X7370" s="71"/>
      <c r="Y7370" s="71"/>
    </row>
    <row r="7371" spans="1:25" ht="30" customHeight="1" x14ac:dyDescent="0.25">
      <c r="A7371" s="1145">
        <v>46003</v>
      </c>
      <c r="B7371" s="664" t="s">
        <v>2352</v>
      </c>
      <c r="C7371" s="71" t="s">
        <v>3836</v>
      </c>
      <c r="D7371" s="71">
        <v>48</v>
      </c>
      <c r="E7371" s="102">
        <v>18500</v>
      </c>
      <c r="F7371" s="102">
        <f t="shared" si="4186"/>
        <v>976800.00000000012</v>
      </c>
      <c r="G7371" s="102">
        <f t="shared" si="4187"/>
        <v>888000</v>
      </c>
      <c r="H7371" s="690" t="s">
        <v>179</v>
      </c>
      <c r="I7371" s="71" t="s">
        <v>179</v>
      </c>
      <c r="J7371" s="53">
        <f t="shared" si="4188"/>
        <v>355968</v>
      </c>
      <c r="K7371" s="63">
        <f t="shared" si="4189"/>
        <v>0.40086486486486483</v>
      </c>
      <c r="L7371" s="1212" t="s">
        <v>4246</v>
      </c>
      <c r="M7371" s="468"/>
      <c r="N7371" s="1192">
        <f t="shared" si="4179"/>
        <v>46003</v>
      </c>
      <c r="O7371" s="71"/>
      <c r="P7371" s="103" t="str">
        <f t="shared" si="4190"/>
        <v>고모리 윤전 블랑켓 건식 세정포 - 국전용</v>
      </c>
      <c r="Q7371" s="71">
        <f t="shared" si="4191"/>
        <v>48</v>
      </c>
      <c r="R7371" s="102">
        <v>11084</v>
      </c>
      <c r="S7371" s="102">
        <f t="shared" si="4184"/>
        <v>585235.20000000007</v>
      </c>
      <c r="T7371" s="102">
        <f t="shared" si="4185"/>
        <v>532032</v>
      </c>
      <c r="U7371" s="71"/>
      <c r="V7371" s="71"/>
      <c r="W7371" s="474"/>
      <c r="X7371" s="71"/>
      <c r="Y7371" s="71"/>
    </row>
    <row r="7372" spans="1:25" ht="30" customHeight="1" x14ac:dyDescent="0.25">
      <c r="A7372" s="1145">
        <v>46003</v>
      </c>
      <c r="B7372" s="664" t="s">
        <v>2352</v>
      </c>
      <c r="C7372" s="71" t="s">
        <v>3837</v>
      </c>
      <c r="D7372" s="71">
        <v>48</v>
      </c>
      <c r="E7372" s="102">
        <v>13500</v>
      </c>
      <c r="F7372" s="102">
        <f t="shared" si="4186"/>
        <v>712800</v>
      </c>
      <c r="G7372" s="102">
        <f t="shared" si="4187"/>
        <v>648000</v>
      </c>
      <c r="H7372" s="690" t="s">
        <v>179</v>
      </c>
      <c r="I7372" s="71" t="s">
        <v>179</v>
      </c>
      <c r="J7372" s="53">
        <f t="shared" si="4188"/>
        <v>246480</v>
      </c>
      <c r="K7372" s="63">
        <f t="shared" si="4189"/>
        <v>0.38037037037037036</v>
      </c>
      <c r="L7372" s="1212" t="s">
        <v>4246</v>
      </c>
      <c r="M7372" s="468"/>
      <c r="N7372" s="1192">
        <f t="shared" si="4179"/>
        <v>46003</v>
      </c>
      <c r="O7372" s="71"/>
      <c r="P7372" s="103" t="str">
        <f t="shared" si="4190"/>
        <v>고모리 윤전 블랑켓 건식 세정포 - 4x6용</v>
      </c>
      <c r="Q7372" s="71">
        <f t="shared" si="4191"/>
        <v>48</v>
      </c>
      <c r="R7372" s="102">
        <v>8365</v>
      </c>
      <c r="S7372" s="102">
        <f t="shared" si="4184"/>
        <v>441672.00000000006</v>
      </c>
      <c r="T7372" s="102">
        <f t="shared" si="4185"/>
        <v>401520</v>
      </c>
      <c r="U7372" s="71"/>
      <c r="V7372" s="71"/>
      <c r="W7372" s="474"/>
      <c r="X7372" s="71"/>
      <c r="Y7372" s="71"/>
    </row>
    <row r="7373" spans="1:25" ht="30" customHeight="1" x14ac:dyDescent="0.25">
      <c r="A7373" s="1145">
        <v>46016</v>
      </c>
      <c r="B7373" s="664" t="s">
        <v>2352</v>
      </c>
      <c r="C7373" s="71" t="s">
        <v>3836</v>
      </c>
      <c r="D7373" s="71">
        <v>48</v>
      </c>
      <c r="E7373" s="102">
        <v>18500</v>
      </c>
      <c r="F7373" s="102">
        <f t="shared" ref="F7373:F7374" si="4192">(E7373*D7373)*1.1</f>
        <v>976800.00000000012</v>
      </c>
      <c r="G7373" s="102">
        <f t="shared" ref="G7373:G7374" si="4193">(E7373*D7373)</f>
        <v>888000</v>
      </c>
      <c r="H7373" s="690" t="s">
        <v>179</v>
      </c>
      <c r="I7373" s="71" t="s">
        <v>179</v>
      </c>
      <c r="J7373" s="53">
        <f t="shared" ref="J7373:J7374" si="4194">G7373-T7373</f>
        <v>355968</v>
      </c>
      <c r="K7373" s="63">
        <f t="shared" ref="K7373:K7374" si="4195">(J7373/(F7373/11*10))</f>
        <v>0.40086486486486483</v>
      </c>
      <c r="L7373" s="1212" t="s">
        <v>4246</v>
      </c>
      <c r="M7373" s="468"/>
      <c r="N7373" s="1192">
        <f t="shared" si="4179"/>
        <v>46016</v>
      </c>
      <c r="O7373" s="71"/>
      <c r="P7373" s="103" t="str">
        <f t="shared" ref="P7373:P7374" si="4196">(C7373)</f>
        <v>고모리 윤전 블랑켓 건식 세정포 - 국전용</v>
      </c>
      <c r="Q7373" s="71">
        <f t="shared" ref="Q7373:Q7374" si="4197">D7373</f>
        <v>48</v>
      </c>
      <c r="R7373" s="102">
        <v>11084</v>
      </c>
      <c r="S7373" s="102">
        <f t="shared" si="4184"/>
        <v>585235.20000000007</v>
      </c>
      <c r="T7373" s="102">
        <f t="shared" si="4185"/>
        <v>532032</v>
      </c>
      <c r="U7373" s="71"/>
      <c r="V7373" s="71"/>
      <c r="W7373" s="474"/>
      <c r="X7373" s="71"/>
      <c r="Y7373" s="71"/>
    </row>
    <row r="7374" spans="1:25" ht="30" customHeight="1" x14ac:dyDescent="0.25">
      <c r="A7374" s="1145">
        <v>46016</v>
      </c>
      <c r="B7374" s="664" t="s">
        <v>2352</v>
      </c>
      <c r="C7374" s="71" t="s">
        <v>3838</v>
      </c>
      <c r="D7374" s="71">
        <v>10</v>
      </c>
      <c r="E7374" s="102">
        <v>20000</v>
      </c>
      <c r="F7374" s="102">
        <f t="shared" si="4192"/>
        <v>220000.00000000003</v>
      </c>
      <c r="G7374" s="102">
        <f t="shared" si="4193"/>
        <v>200000</v>
      </c>
      <c r="H7374" s="690" t="s">
        <v>179</v>
      </c>
      <c r="I7374" s="71" t="s">
        <v>179</v>
      </c>
      <c r="J7374" s="53">
        <f t="shared" si="4194"/>
        <v>185000</v>
      </c>
      <c r="K7374" s="63">
        <f t="shared" si="4195"/>
        <v>0.92499999999999982</v>
      </c>
      <c r="L7374" s="1212" t="s">
        <v>4246</v>
      </c>
      <c r="M7374" s="468"/>
      <c r="N7374" s="1192">
        <f t="shared" si="4179"/>
        <v>46016</v>
      </c>
      <c r="O7374" s="71" t="s">
        <v>4264</v>
      </c>
      <c r="P7374" s="103" t="str">
        <f t="shared" si="4196"/>
        <v>센서 테이프 - 흑색</v>
      </c>
      <c r="Q7374" s="71">
        <f t="shared" si="4197"/>
        <v>10</v>
      </c>
      <c r="R7374" s="102">
        <v>1500</v>
      </c>
      <c r="S7374" s="102">
        <f t="shared" si="4184"/>
        <v>16500</v>
      </c>
      <c r="T7374" s="102">
        <f t="shared" si="4185"/>
        <v>15000</v>
      </c>
      <c r="U7374" s="71"/>
      <c r="V7374" s="71"/>
      <c r="W7374" s="474"/>
      <c r="X7374" s="71"/>
      <c r="Y7374" s="71"/>
    </row>
    <row r="7375" spans="1:25" ht="30" customHeight="1" x14ac:dyDescent="0.25">
      <c r="A7375" s="1145">
        <v>46016</v>
      </c>
      <c r="B7375" s="664" t="s">
        <v>2536</v>
      </c>
      <c r="C7375" s="71" t="s">
        <v>3590</v>
      </c>
      <c r="D7375" s="71">
        <v>100</v>
      </c>
      <c r="E7375" s="102">
        <v>24000</v>
      </c>
      <c r="F7375" s="102">
        <f t="shared" ref="F7375:F7380" si="4198">(E7375*D7375)*1.1</f>
        <v>2640000</v>
      </c>
      <c r="G7375" s="102">
        <f t="shared" ref="G7375:G7380" si="4199">(E7375*D7375)</f>
        <v>2400000</v>
      </c>
      <c r="H7375" s="690" t="s">
        <v>142</v>
      </c>
      <c r="I7375" s="71" t="s">
        <v>179</v>
      </c>
      <c r="J7375" s="53">
        <f t="shared" ref="J7375:J7380" si="4200">G7375-T7375</f>
        <v>760000</v>
      </c>
      <c r="K7375" s="63">
        <f t="shared" ref="K7375:K7380" si="4201">(J7375/(F7375/11*10))</f>
        <v>0.31666666666666665</v>
      </c>
      <c r="L7375" s="1212" t="s">
        <v>4246</v>
      </c>
      <c r="M7375" s="468"/>
      <c r="N7375" s="1192">
        <f t="shared" si="4179"/>
        <v>46016</v>
      </c>
      <c r="O7375" s="71" t="s">
        <v>3709</v>
      </c>
      <c r="P7375" s="103" t="str">
        <f t="shared" ref="P7375:P7380" si="4202">(C7375)</f>
        <v>3M 양면 테이프</v>
      </c>
      <c r="Q7375" s="71">
        <f t="shared" ref="Q7375:Q7380" si="4203">D7375</f>
        <v>100</v>
      </c>
      <c r="R7375" s="102">
        <v>16400</v>
      </c>
      <c r="S7375" s="102">
        <f t="shared" si="4184"/>
        <v>1804000.0000000002</v>
      </c>
      <c r="T7375" s="102">
        <f t="shared" si="4185"/>
        <v>1640000</v>
      </c>
      <c r="U7375" s="71"/>
      <c r="V7375" s="71"/>
      <c r="W7375" s="474"/>
      <c r="X7375" s="71"/>
      <c r="Y7375" s="71"/>
    </row>
    <row r="7376" spans="1:25" ht="30" customHeight="1" x14ac:dyDescent="0.25">
      <c r="A7376" s="1145">
        <v>46004</v>
      </c>
      <c r="B7376" s="664" t="s">
        <v>2536</v>
      </c>
      <c r="C7376" s="1020" t="s">
        <v>4251</v>
      </c>
      <c r="D7376" s="71">
        <v>2</v>
      </c>
      <c r="E7376" s="102">
        <v>2200000</v>
      </c>
      <c r="F7376" s="102">
        <f t="shared" si="4198"/>
        <v>4840000</v>
      </c>
      <c r="G7376" s="102">
        <f t="shared" si="4199"/>
        <v>4400000</v>
      </c>
      <c r="H7376" s="690" t="s">
        <v>142</v>
      </c>
      <c r="I7376" s="71" t="s">
        <v>142</v>
      </c>
      <c r="J7376" s="53">
        <f t="shared" si="4200"/>
        <v>320000</v>
      </c>
      <c r="K7376" s="63">
        <f t="shared" si="4201"/>
        <v>7.2727272727272724E-2</v>
      </c>
      <c r="L7376" s="1212" t="s">
        <v>4246</v>
      </c>
      <c r="M7376" s="468"/>
      <c r="N7376" s="1192">
        <f t="shared" si="4179"/>
        <v>46004</v>
      </c>
      <c r="O7376" s="71" t="s">
        <v>1431</v>
      </c>
      <c r="P7376" s="103" t="str">
        <f t="shared" si="4202"/>
        <v>M600 Lenze 드라이브 소프트웨어</v>
      </c>
      <c r="Q7376" s="71">
        <f t="shared" si="4203"/>
        <v>2</v>
      </c>
      <c r="R7376" s="147">
        <v>2040000</v>
      </c>
      <c r="S7376" s="102">
        <f t="shared" si="4184"/>
        <v>4488000</v>
      </c>
      <c r="T7376" s="102">
        <f t="shared" si="4185"/>
        <v>4080000</v>
      </c>
      <c r="U7376" s="71"/>
      <c r="V7376" s="71"/>
      <c r="W7376" s="474"/>
      <c r="X7376" s="71"/>
      <c r="Y7376" s="71"/>
    </row>
    <row r="7377" spans="1:25" ht="30" customHeight="1" x14ac:dyDescent="0.25">
      <c r="A7377" s="1145">
        <v>45992</v>
      </c>
      <c r="B7377" s="664" t="s">
        <v>2536</v>
      </c>
      <c r="C7377" s="1020" t="s">
        <v>4252</v>
      </c>
      <c r="D7377" s="71">
        <v>1</v>
      </c>
      <c r="E7377" s="102">
        <v>2370000</v>
      </c>
      <c r="F7377" s="102">
        <f t="shared" si="4198"/>
        <v>2607000</v>
      </c>
      <c r="G7377" s="102">
        <f t="shared" si="4199"/>
        <v>2370000</v>
      </c>
      <c r="H7377" s="690" t="s">
        <v>142</v>
      </c>
      <c r="I7377" s="71" t="s">
        <v>142</v>
      </c>
      <c r="J7377" s="53">
        <f t="shared" si="4200"/>
        <v>570000</v>
      </c>
      <c r="K7377" s="63">
        <f t="shared" si="4201"/>
        <v>0.24050632911392406</v>
      </c>
      <c r="L7377" s="1212" t="s">
        <v>4246</v>
      </c>
      <c r="M7377" s="102"/>
      <c r="N7377" s="1192">
        <f t="shared" si="4179"/>
        <v>45992</v>
      </c>
      <c r="O7377" s="71" t="s">
        <v>1431</v>
      </c>
      <c r="P7377" s="103" t="str">
        <f t="shared" si="4202"/>
        <v>Mark Gennissen M600 점검 건</v>
      </c>
      <c r="Q7377" s="71">
        <f t="shared" si="4203"/>
        <v>1</v>
      </c>
      <c r="R7377" s="102">
        <v>1800000</v>
      </c>
      <c r="S7377" s="102">
        <f t="shared" si="4184"/>
        <v>1980000.0000000002</v>
      </c>
      <c r="T7377" s="102">
        <f t="shared" si="4185"/>
        <v>1800000</v>
      </c>
      <c r="U7377" s="71"/>
      <c r="V7377" s="71"/>
      <c r="W7377" s="474"/>
      <c r="X7377" s="71"/>
      <c r="Y7377" s="71"/>
    </row>
    <row r="7378" spans="1:25" ht="30" customHeight="1" x14ac:dyDescent="0.25">
      <c r="A7378" s="1145">
        <v>46004</v>
      </c>
      <c r="B7378" s="664" t="s">
        <v>2536</v>
      </c>
      <c r="C7378" s="71" t="s">
        <v>4253</v>
      </c>
      <c r="D7378" s="71">
        <v>1</v>
      </c>
      <c r="E7378" s="102">
        <v>390000</v>
      </c>
      <c r="F7378" s="102">
        <f t="shared" si="4198"/>
        <v>429000.00000000006</v>
      </c>
      <c r="G7378" s="102">
        <f t="shared" si="4199"/>
        <v>390000</v>
      </c>
      <c r="H7378" s="690" t="s">
        <v>281</v>
      </c>
      <c r="I7378" s="71" t="s">
        <v>281</v>
      </c>
      <c r="J7378" s="53"/>
      <c r="K7378" s="63"/>
      <c r="L7378" s="1212" t="s">
        <v>4246</v>
      </c>
      <c r="M7378" s="468"/>
      <c r="N7378" s="1192">
        <f t="shared" si="4179"/>
        <v>46004</v>
      </c>
      <c r="O7378" s="71"/>
      <c r="P7378" s="103" t="str">
        <f t="shared" si="4202"/>
        <v>M600 스플라이서 점검</v>
      </c>
      <c r="Q7378" s="71">
        <f t="shared" si="4203"/>
        <v>1</v>
      </c>
      <c r="R7378" s="147"/>
      <c r="S7378" s="102">
        <f t="shared" si="4184"/>
        <v>0</v>
      </c>
      <c r="T7378" s="102">
        <f t="shared" si="4185"/>
        <v>0</v>
      </c>
      <c r="U7378" s="71"/>
      <c r="V7378" s="71"/>
      <c r="W7378" s="474"/>
      <c r="X7378" s="71"/>
      <c r="Y7378" s="71"/>
    </row>
    <row r="7379" spans="1:25" ht="30" customHeight="1" x14ac:dyDescent="0.25">
      <c r="A7379" s="1145">
        <v>45651</v>
      </c>
      <c r="B7379" s="664" t="s">
        <v>641</v>
      </c>
      <c r="C7379" s="71" t="s">
        <v>3293</v>
      </c>
      <c r="D7379" s="71">
        <v>80</v>
      </c>
      <c r="E7379" s="102">
        <v>84000</v>
      </c>
      <c r="F7379" s="102">
        <f t="shared" si="4198"/>
        <v>7392000.0000000009</v>
      </c>
      <c r="G7379" s="102">
        <f t="shared" si="4199"/>
        <v>6720000</v>
      </c>
      <c r="H7379" s="690" t="s">
        <v>172</v>
      </c>
      <c r="I7379" s="71" t="s">
        <v>38</v>
      </c>
      <c r="J7379" s="53">
        <f t="shared" si="4200"/>
        <v>2640000</v>
      </c>
      <c r="K7379" s="63">
        <f t="shared" si="4201"/>
        <v>0.39285714285714279</v>
      </c>
      <c r="L7379" s="1212" t="s">
        <v>4246</v>
      </c>
      <c r="M7379" s="468"/>
      <c r="N7379" s="1192">
        <f t="shared" si="4179"/>
        <v>45651</v>
      </c>
      <c r="O7379" s="71" t="s">
        <v>3291</v>
      </c>
      <c r="P7379" s="103" t="str">
        <f t="shared" si="4202"/>
        <v>GOSS 신문윤전 습식세정포</v>
      </c>
      <c r="Q7379" s="71">
        <f t="shared" si="4203"/>
        <v>80</v>
      </c>
      <c r="R7379" s="102">
        <v>51000</v>
      </c>
      <c r="S7379" s="102">
        <f t="shared" si="4184"/>
        <v>4488000</v>
      </c>
      <c r="T7379" s="102">
        <f t="shared" si="4185"/>
        <v>4080000</v>
      </c>
      <c r="U7379" s="71" t="str">
        <f>IF(J7379=W7379,"O", "X")</f>
        <v>X</v>
      </c>
      <c r="V7379" s="71"/>
      <c r="W7379" s="474"/>
      <c r="X7379" s="71"/>
      <c r="Y7379" s="71"/>
    </row>
    <row r="7380" spans="1:25" ht="30" hidden="1" customHeight="1" x14ac:dyDescent="0.25">
      <c r="A7380" s="1145">
        <v>45989</v>
      </c>
      <c r="B7380" s="664" t="s">
        <v>4059</v>
      </c>
      <c r="C7380" s="71" t="s">
        <v>4060</v>
      </c>
      <c r="D7380" s="71">
        <v>10</v>
      </c>
      <c r="E7380" s="102">
        <v>187000</v>
      </c>
      <c r="F7380" s="102">
        <f t="shared" si="4198"/>
        <v>2057000.0000000002</v>
      </c>
      <c r="G7380" s="102">
        <f t="shared" si="4199"/>
        <v>1870000</v>
      </c>
      <c r="H7380" s="690" t="s">
        <v>2029</v>
      </c>
      <c r="I7380" s="71" t="s">
        <v>109</v>
      </c>
      <c r="J7380" s="53">
        <f t="shared" si="4200"/>
        <v>170000</v>
      </c>
      <c r="K7380" s="63">
        <f t="shared" si="4201"/>
        <v>9.0909090909090898E-2</v>
      </c>
      <c r="L7380" s="1212" t="s">
        <v>4246</v>
      </c>
      <c r="M7380" s="102"/>
      <c r="N7380" s="1192">
        <f t="shared" si="4179"/>
        <v>45989</v>
      </c>
      <c r="O7380" s="71" t="s">
        <v>189</v>
      </c>
      <c r="P7380" s="103" t="str">
        <f t="shared" si="4202"/>
        <v>미쯔비시 윤전용 블랑켓 1155*910</v>
      </c>
      <c r="Q7380" s="71">
        <f t="shared" si="4203"/>
        <v>10</v>
      </c>
      <c r="R7380" s="102">
        <v>170000</v>
      </c>
      <c r="S7380" s="102">
        <f t="shared" si="4184"/>
        <v>1870000.0000000002</v>
      </c>
      <c r="T7380" s="102">
        <f t="shared" si="4185"/>
        <v>1700000</v>
      </c>
      <c r="U7380" s="71"/>
      <c r="V7380" s="71"/>
      <c r="W7380" s="474"/>
      <c r="X7380" s="71"/>
      <c r="Y7380" s="71"/>
    </row>
    <row r="7381" spans="1:25" s="209" customFormat="1" ht="31.5" hidden="1" customHeight="1" x14ac:dyDescent="0.2">
      <c r="A7381" s="1145">
        <v>45989</v>
      </c>
      <c r="B7381" s="664" t="s">
        <v>4059</v>
      </c>
      <c r="C7381" s="71" t="s">
        <v>4061</v>
      </c>
      <c r="D7381" s="71">
        <v>10</v>
      </c>
      <c r="E7381" s="102">
        <v>130000</v>
      </c>
      <c r="F7381" s="102">
        <f t="shared" ref="F7381:F7387" si="4204">(E7381*D7381)*1.1</f>
        <v>1430000</v>
      </c>
      <c r="G7381" s="102">
        <f t="shared" ref="G7381:G7387" si="4205">(E7381*D7381)</f>
        <v>1300000</v>
      </c>
      <c r="H7381" s="165" t="s">
        <v>172</v>
      </c>
      <c r="I7381" s="71" t="s">
        <v>184</v>
      </c>
      <c r="J7381" s="53">
        <f t="shared" ref="J7381:J7387" si="4206">G7381-T7381</f>
        <v>180000</v>
      </c>
      <c r="K7381" s="63">
        <f t="shared" ref="K7381:K7387" si="4207">(J7381/(F7381/11*10))</f>
        <v>0.13846153846153847</v>
      </c>
      <c r="L7381" s="1212" t="s">
        <v>4246</v>
      </c>
      <c r="M7381" s="468"/>
      <c r="N7381" s="1192">
        <f t="shared" si="4179"/>
        <v>45989</v>
      </c>
      <c r="O7381" s="71" t="s">
        <v>189</v>
      </c>
      <c r="P7381" s="103" t="str">
        <f t="shared" ref="P7381:P7387" si="4208">(C7381)</f>
        <v>M600 Blanket(990*725)</v>
      </c>
      <c r="Q7381" s="71">
        <f t="shared" ref="Q7381:Q7387" si="4209">D7381</f>
        <v>10</v>
      </c>
      <c r="R7381" s="102">
        <v>112000</v>
      </c>
      <c r="S7381" s="102">
        <f t="shared" si="4184"/>
        <v>1232000</v>
      </c>
      <c r="T7381" s="102">
        <f t="shared" si="4185"/>
        <v>1120000</v>
      </c>
      <c r="U7381" s="71" t="str">
        <f t="shared" ref="U7381:U7386" si="4210">IF(J7381=W7381,"O", "X")</f>
        <v>X</v>
      </c>
      <c r="V7381" s="71"/>
      <c r="W7381" s="474">
        <v>80000</v>
      </c>
      <c r="X7381" s="71"/>
      <c r="Y7381" s="71"/>
    </row>
    <row r="7382" spans="1:25" s="209" customFormat="1" ht="31.5" hidden="1" customHeight="1" x14ac:dyDescent="0.2">
      <c r="A7382" s="1145">
        <v>46011</v>
      </c>
      <c r="B7382" s="664" t="s">
        <v>4059</v>
      </c>
      <c r="C7382" s="71" t="s">
        <v>4061</v>
      </c>
      <c r="D7382" s="71">
        <v>10</v>
      </c>
      <c r="E7382" s="102">
        <v>130000</v>
      </c>
      <c r="F7382" s="102">
        <f t="shared" si="4204"/>
        <v>1430000</v>
      </c>
      <c r="G7382" s="102">
        <f t="shared" si="4205"/>
        <v>1300000</v>
      </c>
      <c r="H7382" s="165" t="s">
        <v>172</v>
      </c>
      <c r="I7382" s="71" t="s">
        <v>184</v>
      </c>
      <c r="J7382" s="53">
        <f t="shared" si="4206"/>
        <v>180000</v>
      </c>
      <c r="K7382" s="63">
        <f t="shared" si="4207"/>
        <v>0.13846153846153847</v>
      </c>
      <c r="L7382" s="1212" t="s">
        <v>4246</v>
      </c>
      <c r="M7382" s="468"/>
      <c r="N7382" s="1192">
        <f t="shared" si="4179"/>
        <v>46011</v>
      </c>
      <c r="O7382" s="71" t="s">
        <v>189</v>
      </c>
      <c r="P7382" s="103" t="str">
        <f t="shared" si="4208"/>
        <v>M600 Blanket(990*725)</v>
      </c>
      <c r="Q7382" s="71">
        <f t="shared" si="4209"/>
        <v>10</v>
      </c>
      <c r="R7382" s="102">
        <v>112000</v>
      </c>
      <c r="S7382" s="102">
        <f t="shared" si="4184"/>
        <v>1232000</v>
      </c>
      <c r="T7382" s="102">
        <f t="shared" si="4185"/>
        <v>1120000</v>
      </c>
      <c r="U7382" s="71" t="str">
        <f t="shared" si="4210"/>
        <v>X</v>
      </c>
      <c r="V7382" s="71"/>
      <c r="W7382" s="474">
        <v>80000</v>
      </c>
      <c r="X7382" s="71"/>
      <c r="Y7382" s="71"/>
    </row>
    <row r="7383" spans="1:25" ht="30" hidden="1" customHeight="1" x14ac:dyDescent="0.25">
      <c r="A7383" s="1145">
        <v>45994</v>
      </c>
      <c r="B7383" s="664" t="s">
        <v>3289</v>
      </c>
      <c r="C7383" s="71" t="s">
        <v>2070</v>
      </c>
      <c r="D7383" s="71">
        <v>10</v>
      </c>
      <c r="E7383" s="102">
        <v>110000</v>
      </c>
      <c r="F7383" s="102">
        <f t="shared" si="4204"/>
        <v>1210000</v>
      </c>
      <c r="G7383" s="102">
        <f t="shared" si="4205"/>
        <v>1100000</v>
      </c>
      <c r="H7383" s="690" t="s">
        <v>172</v>
      </c>
      <c r="I7383" s="71" t="s">
        <v>33</v>
      </c>
      <c r="J7383" s="53">
        <f t="shared" si="4206"/>
        <v>206000</v>
      </c>
      <c r="K7383" s="63">
        <f t="shared" si="4207"/>
        <v>0.18727272727272729</v>
      </c>
      <c r="L7383" s="1212" t="s">
        <v>4246</v>
      </c>
      <c r="M7383" s="468" t="s">
        <v>4114</v>
      </c>
      <c r="N7383" s="1192">
        <f t="shared" si="4179"/>
        <v>45994</v>
      </c>
      <c r="O7383" s="71" t="s">
        <v>146</v>
      </c>
      <c r="P7383" s="103" t="str">
        <f t="shared" si="4208"/>
        <v>Blanket(1050*840)</v>
      </c>
      <c r="Q7383" s="71">
        <f t="shared" si="4209"/>
        <v>10</v>
      </c>
      <c r="R7383" s="102">
        <v>89400</v>
      </c>
      <c r="S7383" s="102">
        <f t="shared" si="4184"/>
        <v>983400.00000000012</v>
      </c>
      <c r="T7383" s="102">
        <f t="shared" si="4185"/>
        <v>894000</v>
      </c>
      <c r="U7383" s="71" t="str">
        <f t="shared" si="4210"/>
        <v>X</v>
      </c>
      <c r="V7383" s="71"/>
      <c r="W7383" s="474">
        <v>275000</v>
      </c>
      <c r="X7383" s="71"/>
      <c r="Y7383" s="71"/>
    </row>
    <row r="7384" spans="1:25" s="209" customFormat="1" ht="31.5" hidden="1" customHeight="1" x14ac:dyDescent="0.2">
      <c r="A7384" s="1145">
        <v>45994</v>
      </c>
      <c r="B7384" s="664" t="s">
        <v>4059</v>
      </c>
      <c r="C7384" s="71" t="s">
        <v>4061</v>
      </c>
      <c r="D7384" s="71">
        <v>2</v>
      </c>
      <c r="E7384" s="102">
        <v>130000</v>
      </c>
      <c r="F7384" s="102">
        <f t="shared" si="4204"/>
        <v>286000</v>
      </c>
      <c r="G7384" s="102">
        <f t="shared" si="4205"/>
        <v>260000</v>
      </c>
      <c r="H7384" s="165" t="s">
        <v>172</v>
      </c>
      <c r="I7384" s="71" t="s">
        <v>184</v>
      </c>
      <c r="J7384" s="53">
        <f t="shared" si="4206"/>
        <v>36000</v>
      </c>
      <c r="K7384" s="63">
        <f t="shared" si="4207"/>
        <v>0.13846153846153847</v>
      </c>
      <c r="L7384" s="1212" t="s">
        <v>4246</v>
      </c>
      <c r="M7384" s="468"/>
      <c r="N7384" s="1192">
        <f t="shared" si="4179"/>
        <v>45994</v>
      </c>
      <c r="O7384" s="71" t="s">
        <v>189</v>
      </c>
      <c r="P7384" s="103" t="str">
        <f t="shared" si="4208"/>
        <v>M600 Blanket(990*725)</v>
      </c>
      <c r="Q7384" s="71">
        <f t="shared" si="4209"/>
        <v>2</v>
      </c>
      <c r="R7384" s="102">
        <v>112000</v>
      </c>
      <c r="S7384" s="102">
        <f t="shared" si="4184"/>
        <v>246400.00000000003</v>
      </c>
      <c r="T7384" s="102">
        <f t="shared" si="4185"/>
        <v>224000</v>
      </c>
      <c r="U7384" s="71" t="str">
        <f t="shared" si="4210"/>
        <v>X</v>
      </c>
      <c r="V7384" s="71"/>
      <c r="W7384" s="474">
        <v>80000</v>
      </c>
      <c r="X7384" s="71"/>
      <c r="Y7384" s="71"/>
    </row>
    <row r="7385" spans="1:25" ht="30" hidden="1" customHeight="1" x14ac:dyDescent="0.25">
      <c r="A7385" s="1145">
        <v>45995</v>
      </c>
      <c r="B7385" s="664" t="s">
        <v>2261</v>
      </c>
      <c r="C7385" s="760" t="s">
        <v>181</v>
      </c>
      <c r="D7385" s="71">
        <v>5</v>
      </c>
      <c r="E7385" s="102">
        <v>193000</v>
      </c>
      <c r="F7385" s="102">
        <f t="shared" si="4204"/>
        <v>1061500</v>
      </c>
      <c r="G7385" s="102">
        <f t="shared" si="4205"/>
        <v>965000</v>
      </c>
      <c r="H7385" s="690" t="s">
        <v>2029</v>
      </c>
      <c r="I7385" s="71" t="s">
        <v>182</v>
      </c>
      <c r="J7385" s="53">
        <f t="shared" si="4206"/>
        <v>345000</v>
      </c>
      <c r="K7385" s="63">
        <f t="shared" si="4207"/>
        <v>0.35751295336787564</v>
      </c>
      <c r="L7385" s="1212" t="s">
        <v>4246</v>
      </c>
      <c r="M7385" s="468"/>
      <c r="N7385" s="1192">
        <f t="shared" si="4179"/>
        <v>45995</v>
      </c>
      <c r="O7385" s="71" t="s">
        <v>2030</v>
      </c>
      <c r="P7385" s="103" t="str">
        <f t="shared" si="4208"/>
        <v>Fount Web 551AF</v>
      </c>
      <c r="Q7385" s="71">
        <f t="shared" si="4209"/>
        <v>5</v>
      </c>
      <c r="R7385" s="102">
        <v>124000</v>
      </c>
      <c r="S7385" s="102">
        <f t="shared" si="4184"/>
        <v>682000</v>
      </c>
      <c r="T7385" s="102">
        <f t="shared" si="4185"/>
        <v>620000</v>
      </c>
      <c r="U7385" s="71" t="str">
        <f t="shared" si="4210"/>
        <v>X</v>
      </c>
      <c r="V7385" s="71"/>
      <c r="W7385" s="474">
        <v>640000</v>
      </c>
      <c r="X7385" s="71"/>
      <c r="Y7385" s="71"/>
    </row>
    <row r="7386" spans="1:25" ht="30" hidden="1" customHeight="1" x14ac:dyDescent="0.25">
      <c r="A7386" s="1145">
        <v>45995</v>
      </c>
      <c r="B7386" s="664" t="s">
        <v>2261</v>
      </c>
      <c r="C7386" s="71" t="s">
        <v>277</v>
      </c>
      <c r="D7386" s="71">
        <v>5</v>
      </c>
      <c r="E7386" s="102">
        <v>172000</v>
      </c>
      <c r="F7386" s="102">
        <f t="shared" si="4204"/>
        <v>946000.00000000012</v>
      </c>
      <c r="G7386" s="102">
        <f t="shared" si="4205"/>
        <v>860000</v>
      </c>
      <c r="H7386" s="690" t="s">
        <v>172</v>
      </c>
      <c r="I7386" s="71" t="s">
        <v>108</v>
      </c>
      <c r="J7386" s="53">
        <f t="shared" si="4206"/>
        <v>195000</v>
      </c>
      <c r="K7386" s="63">
        <f t="shared" si="4207"/>
        <v>0.22674418604651159</v>
      </c>
      <c r="L7386" s="1212" t="s">
        <v>4246</v>
      </c>
      <c r="M7386" s="468"/>
      <c r="N7386" s="1192">
        <f t="shared" si="4179"/>
        <v>45995</v>
      </c>
      <c r="O7386" s="71" t="s">
        <v>662</v>
      </c>
      <c r="P7386" s="103" t="str">
        <f t="shared" si="4208"/>
        <v>윤전용 세척제(Web 504)</v>
      </c>
      <c r="Q7386" s="71">
        <f t="shared" si="4209"/>
        <v>5</v>
      </c>
      <c r="R7386" s="102">
        <v>133000</v>
      </c>
      <c r="S7386" s="102">
        <f t="shared" si="4184"/>
        <v>731500.00000000012</v>
      </c>
      <c r="T7386" s="102">
        <f t="shared" si="4185"/>
        <v>665000</v>
      </c>
      <c r="U7386" s="71" t="str">
        <f t="shared" si="4210"/>
        <v>X</v>
      </c>
      <c r="V7386" s="71"/>
      <c r="W7386" s="474"/>
      <c r="X7386" s="71"/>
      <c r="Y7386" s="71"/>
    </row>
    <row r="7387" spans="1:25" ht="30" hidden="1" customHeight="1" x14ac:dyDescent="0.25">
      <c r="A7387" s="1145">
        <v>45995</v>
      </c>
      <c r="B7387" s="664" t="s">
        <v>2261</v>
      </c>
      <c r="C7387" s="71" t="s">
        <v>3299</v>
      </c>
      <c r="D7387" s="71">
        <v>10</v>
      </c>
      <c r="E7387" s="102">
        <v>52000</v>
      </c>
      <c r="F7387" s="102">
        <f t="shared" si="4204"/>
        <v>572000</v>
      </c>
      <c r="G7387" s="102">
        <f t="shared" si="4205"/>
        <v>520000</v>
      </c>
      <c r="H7387" s="690" t="s">
        <v>172</v>
      </c>
      <c r="I7387" s="71" t="s">
        <v>180</v>
      </c>
      <c r="J7387" s="53">
        <f t="shared" si="4206"/>
        <v>45000</v>
      </c>
      <c r="K7387" s="63">
        <f t="shared" si="4207"/>
        <v>8.6538461538461536E-2</v>
      </c>
      <c r="L7387" s="1212" t="s">
        <v>4246</v>
      </c>
      <c r="M7387" s="468" t="s">
        <v>3835</v>
      </c>
      <c r="N7387" s="1192">
        <f t="shared" si="4179"/>
        <v>45995</v>
      </c>
      <c r="O7387" s="71" t="s">
        <v>175</v>
      </c>
      <c r="P7387" s="103" t="str">
        <f t="shared" si="4208"/>
        <v>매엽용 세척제(Wash k11)</v>
      </c>
      <c r="Q7387" s="71">
        <f t="shared" si="4209"/>
        <v>10</v>
      </c>
      <c r="R7387" s="102">
        <v>47500</v>
      </c>
      <c r="S7387" s="102">
        <f t="shared" si="4184"/>
        <v>522500.00000000006</v>
      </c>
      <c r="T7387" s="102">
        <f t="shared" si="4185"/>
        <v>475000</v>
      </c>
      <c r="U7387" s="71" t="s">
        <v>859</v>
      </c>
      <c r="V7387" s="71"/>
      <c r="W7387" s="474"/>
      <c r="X7387" s="71"/>
      <c r="Y7387" s="71"/>
    </row>
    <row r="7388" spans="1:25" s="209" customFormat="1" ht="31.5" hidden="1" customHeight="1" x14ac:dyDescent="0.2">
      <c r="A7388" s="1145">
        <v>46001</v>
      </c>
      <c r="B7388" s="664" t="s">
        <v>4059</v>
      </c>
      <c r="C7388" s="71" t="s">
        <v>4061</v>
      </c>
      <c r="D7388" s="71">
        <v>8</v>
      </c>
      <c r="E7388" s="102">
        <v>130000</v>
      </c>
      <c r="F7388" s="102">
        <f t="shared" ref="F7388:F7395" si="4211">(E7388*D7388)*1.1</f>
        <v>1144000</v>
      </c>
      <c r="G7388" s="102">
        <f t="shared" ref="G7388:G7395" si="4212">(E7388*D7388)</f>
        <v>1040000</v>
      </c>
      <c r="H7388" s="165" t="s">
        <v>172</v>
      </c>
      <c r="I7388" s="71" t="s">
        <v>184</v>
      </c>
      <c r="J7388" s="53">
        <f t="shared" ref="J7388:J7395" si="4213">G7388-T7388</f>
        <v>144000</v>
      </c>
      <c r="K7388" s="63">
        <f t="shared" ref="K7388:K7395" si="4214">(J7388/(F7388/11*10))</f>
        <v>0.13846153846153847</v>
      </c>
      <c r="L7388" s="1212" t="s">
        <v>4246</v>
      </c>
      <c r="M7388" s="468"/>
      <c r="N7388" s="1192">
        <f t="shared" si="4179"/>
        <v>46001</v>
      </c>
      <c r="O7388" s="71" t="s">
        <v>189</v>
      </c>
      <c r="P7388" s="103" t="str">
        <f t="shared" ref="P7388:P7394" si="4215">(C7388)</f>
        <v>M600 Blanket(990*725)</v>
      </c>
      <c r="Q7388" s="71">
        <f t="shared" ref="Q7388:Q7395" si="4216">D7388</f>
        <v>8</v>
      </c>
      <c r="R7388" s="102">
        <v>112000</v>
      </c>
      <c r="S7388" s="102">
        <f t="shared" ref="S7388:S7395" si="4217">R7388*Q7388*1.1</f>
        <v>985600.00000000012</v>
      </c>
      <c r="T7388" s="102">
        <f t="shared" ref="T7388:T7395" si="4218">R7388*Q7388</f>
        <v>896000</v>
      </c>
      <c r="U7388" s="71" t="str">
        <f>IF(J7388=W7388,"O", "X")</f>
        <v>X</v>
      </c>
      <c r="V7388" s="71"/>
      <c r="W7388" s="474">
        <v>80000</v>
      </c>
      <c r="X7388" s="71"/>
      <c r="Y7388" s="71"/>
    </row>
    <row r="7389" spans="1:25" ht="30" hidden="1" customHeight="1" x14ac:dyDescent="0.25">
      <c r="A7389" s="1145">
        <v>46003</v>
      </c>
      <c r="B7389" s="664" t="s">
        <v>2261</v>
      </c>
      <c r="C7389" s="760" t="s">
        <v>181</v>
      </c>
      <c r="D7389" s="71">
        <v>10</v>
      </c>
      <c r="E7389" s="102">
        <v>193000</v>
      </c>
      <c r="F7389" s="102">
        <f t="shared" si="4211"/>
        <v>2123000</v>
      </c>
      <c r="G7389" s="102">
        <f t="shared" si="4212"/>
        <v>1930000</v>
      </c>
      <c r="H7389" s="690" t="s">
        <v>2029</v>
      </c>
      <c r="I7389" s="71" t="s">
        <v>182</v>
      </c>
      <c r="J7389" s="53">
        <f t="shared" si="4213"/>
        <v>690000</v>
      </c>
      <c r="K7389" s="63">
        <f t="shared" si="4214"/>
        <v>0.35751295336787564</v>
      </c>
      <c r="L7389" s="1212" t="s">
        <v>4246</v>
      </c>
      <c r="M7389" s="468"/>
      <c r="N7389" s="1192">
        <f t="shared" si="4179"/>
        <v>46003</v>
      </c>
      <c r="O7389" s="71" t="s">
        <v>2030</v>
      </c>
      <c r="P7389" s="103" t="str">
        <f t="shared" si="4215"/>
        <v>Fount Web 551AF</v>
      </c>
      <c r="Q7389" s="71">
        <f t="shared" si="4216"/>
        <v>10</v>
      </c>
      <c r="R7389" s="102">
        <v>124000</v>
      </c>
      <c r="S7389" s="102">
        <f t="shared" si="4217"/>
        <v>1364000</v>
      </c>
      <c r="T7389" s="102">
        <f t="shared" si="4218"/>
        <v>1240000</v>
      </c>
      <c r="U7389" s="71" t="str">
        <f>IF(J7389=W7389,"O", "X")</f>
        <v>X</v>
      </c>
      <c r="V7389" s="71"/>
      <c r="W7389" s="474">
        <v>640000</v>
      </c>
      <c r="X7389" s="71"/>
      <c r="Y7389" s="71"/>
    </row>
    <row r="7390" spans="1:25" ht="30" hidden="1" customHeight="1" x14ac:dyDescent="0.25">
      <c r="A7390" s="1145">
        <v>46003</v>
      </c>
      <c r="B7390" s="664" t="s">
        <v>2261</v>
      </c>
      <c r="C7390" s="71" t="s">
        <v>277</v>
      </c>
      <c r="D7390" s="71">
        <v>10</v>
      </c>
      <c r="E7390" s="102">
        <v>172000</v>
      </c>
      <c r="F7390" s="102">
        <f t="shared" si="4211"/>
        <v>1892000.0000000002</v>
      </c>
      <c r="G7390" s="102">
        <f t="shared" si="4212"/>
        <v>1720000</v>
      </c>
      <c r="H7390" s="690" t="s">
        <v>172</v>
      </c>
      <c r="I7390" s="71" t="s">
        <v>108</v>
      </c>
      <c r="J7390" s="53">
        <f t="shared" si="4213"/>
        <v>390000</v>
      </c>
      <c r="K7390" s="63">
        <f t="shared" si="4214"/>
        <v>0.22674418604651159</v>
      </c>
      <c r="L7390" s="1212" t="s">
        <v>4246</v>
      </c>
      <c r="M7390" s="468"/>
      <c r="N7390" s="1192">
        <f t="shared" si="4179"/>
        <v>46003</v>
      </c>
      <c r="O7390" s="71" t="s">
        <v>662</v>
      </c>
      <c r="P7390" s="103" t="str">
        <f t="shared" si="4215"/>
        <v>윤전용 세척제(Web 504)</v>
      </c>
      <c r="Q7390" s="71">
        <f t="shared" si="4216"/>
        <v>10</v>
      </c>
      <c r="R7390" s="102">
        <v>133000</v>
      </c>
      <c r="S7390" s="102">
        <f t="shared" si="4217"/>
        <v>1463000.0000000002</v>
      </c>
      <c r="T7390" s="102">
        <f t="shared" si="4218"/>
        <v>1330000</v>
      </c>
      <c r="U7390" s="71" t="str">
        <f>IF(J7390=W7390,"O", "X")</f>
        <v>X</v>
      </c>
      <c r="V7390" s="71"/>
      <c r="W7390" s="474"/>
      <c r="X7390" s="71"/>
      <c r="Y7390" s="71"/>
    </row>
    <row r="7391" spans="1:25" ht="30" hidden="1" customHeight="1" x14ac:dyDescent="0.25">
      <c r="A7391" s="1145">
        <v>46003</v>
      </c>
      <c r="B7391" s="664" t="s">
        <v>2261</v>
      </c>
      <c r="C7391" s="71" t="s">
        <v>3299</v>
      </c>
      <c r="D7391" s="71">
        <v>10</v>
      </c>
      <c r="E7391" s="102">
        <v>52000</v>
      </c>
      <c r="F7391" s="102">
        <f t="shared" si="4211"/>
        <v>572000</v>
      </c>
      <c r="G7391" s="102">
        <f t="shared" si="4212"/>
        <v>520000</v>
      </c>
      <c r="H7391" s="690" t="s">
        <v>172</v>
      </c>
      <c r="I7391" s="71" t="s">
        <v>180</v>
      </c>
      <c r="J7391" s="53">
        <f t="shared" si="4213"/>
        <v>45000</v>
      </c>
      <c r="K7391" s="63">
        <f t="shared" si="4214"/>
        <v>8.6538461538461536E-2</v>
      </c>
      <c r="L7391" s="1212" t="s">
        <v>4246</v>
      </c>
      <c r="M7391" s="468" t="s">
        <v>3835</v>
      </c>
      <c r="N7391" s="1192">
        <f t="shared" si="4179"/>
        <v>46003</v>
      </c>
      <c r="O7391" s="71" t="s">
        <v>175</v>
      </c>
      <c r="P7391" s="103" t="str">
        <f t="shared" si="4215"/>
        <v>매엽용 세척제(Wash k11)</v>
      </c>
      <c r="Q7391" s="71">
        <f t="shared" si="4216"/>
        <v>10</v>
      </c>
      <c r="R7391" s="102">
        <v>47500</v>
      </c>
      <c r="S7391" s="102">
        <f t="shared" si="4217"/>
        <v>522500.00000000006</v>
      </c>
      <c r="T7391" s="102">
        <f t="shared" si="4218"/>
        <v>475000</v>
      </c>
      <c r="U7391" s="71" t="s">
        <v>859</v>
      </c>
      <c r="V7391" s="71"/>
      <c r="W7391" s="474"/>
      <c r="X7391" s="71"/>
      <c r="Y7391" s="71"/>
    </row>
    <row r="7392" spans="1:25" ht="30" hidden="1" customHeight="1" x14ac:dyDescent="0.25">
      <c r="A7392" s="1145">
        <v>46011</v>
      </c>
      <c r="B7392" s="664" t="s">
        <v>2261</v>
      </c>
      <c r="C7392" s="760" t="s">
        <v>181</v>
      </c>
      <c r="D7392" s="71">
        <v>5</v>
      </c>
      <c r="E7392" s="102">
        <v>193000</v>
      </c>
      <c r="F7392" s="102">
        <f t="shared" si="4211"/>
        <v>1061500</v>
      </c>
      <c r="G7392" s="102">
        <f t="shared" si="4212"/>
        <v>965000</v>
      </c>
      <c r="H7392" s="690" t="s">
        <v>2029</v>
      </c>
      <c r="I7392" s="71" t="s">
        <v>182</v>
      </c>
      <c r="J7392" s="53">
        <f t="shared" si="4213"/>
        <v>345000</v>
      </c>
      <c r="K7392" s="63">
        <f t="shared" si="4214"/>
        <v>0.35751295336787564</v>
      </c>
      <c r="L7392" s="1212" t="s">
        <v>4246</v>
      </c>
      <c r="M7392" s="468"/>
      <c r="N7392" s="1192">
        <f t="shared" si="4179"/>
        <v>46011</v>
      </c>
      <c r="O7392" s="71" t="s">
        <v>2030</v>
      </c>
      <c r="P7392" s="103" t="str">
        <f t="shared" si="4215"/>
        <v>Fount Web 551AF</v>
      </c>
      <c r="Q7392" s="71">
        <f t="shared" si="4216"/>
        <v>5</v>
      </c>
      <c r="R7392" s="102">
        <v>124000</v>
      </c>
      <c r="S7392" s="102">
        <f t="shared" si="4217"/>
        <v>682000</v>
      </c>
      <c r="T7392" s="102">
        <f t="shared" si="4218"/>
        <v>620000</v>
      </c>
      <c r="U7392" s="71" t="str">
        <f>IF(J7392=W7392,"O", "X")</f>
        <v>X</v>
      </c>
      <c r="V7392" s="71"/>
      <c r="W7392" s="474">
        <v>640000</v>
      </c>
      <c r="X7392" s="71"/>
      <c r="Y7392" s="71"/>
    </row>
    <row r="7393" spans="1:25" ht="30" hidden="1" customHeight="1" x14ac:dyDescent="0.25">
      <c r="A7393" s="1145">
        <v>46011</v>
      </c>
      <c r="B7393" s="664" t="s">
        <v>2261</v>
      </c>
      <c r="C7393" s="71" t="s">
        <v>277</v>
      </c>
      <c r="D7393" s="71">
        <v>5</v>
      </c>
      <c r="E7393" s="102">
        <v>172000</v>
      </c>
      <c r="F7393" s="102">
        <f t="shared" si="4211"/>
        <v>946000.00000000012</v>
      </c>
      <c r="G7393" s="102">
        <f t="shared" si="4212"/>
        <v>860000</v>
      </c>
      <c r="H7393" s="690" t="s">
        <v>172</v>
      </c>
      <c r="I7393" s="71" t="s">
        <v>108</v>
      </c>
      <c r="J7393" s="53">
        <f t="shared" si="4213"/>
        <v>195000</v>
      </c>
      <c r="K7393" s="63">
        <f t="shared" si="4214"/>
        <v>0.22674418604651159</v>
      </c>
      <c r="L7393" s="1212" t="s">
        <v>4246</v>
      </c>
      <c r="M7393" s="468"/>
      <c r="N7393" s="1192">
        <f t="shared" si="4179"/>
        <v>46011</v>
      </c>
      <c r="O7393" s="71" t="s">
        <v>662</v>
      </c>
      <c r="P7393" s="103" t="str">
        <f t="shared" si="4215"/>
        <v>윤전용 세척제(Web 504)</v>
      </c>
      <c r="Q7393" s="71">
        <f t="shared" si="4216"/>
        <v>5</v>
      </c>
      <c r="R7393" s="102">
        <v>133000</v>
      </c>
      <c r="S7393" s="102">
        <f t="shared" si="4217"/>
        <v>731500.00000000012</v>
      </c>
      <c r="T7393" s="102">
        <f t="shared" si="4218"/>
        <v>665000</v>
      </c>
      <c r="U7393" s="71" t="str">
        <f>IF(J7393=W7393,"O", "X")</f>
        <v>X</v>
      </c>
      <c r="V7393" s="71"/>
      <c r="W7393" s="474"/>
      <c r="X7393" s="71"/>
      <c r="Y7393" s="71"/>
    </row>
    <row r="7394" spans="1:25" ht="30" hidden="1" customHeight="1" x14ac:dyDescent="0.25">
      <c r="A7394" s="1145">
        <v>46011</v>
      </c>
      <c r="B7394" s="664" t="s">
        <v>2261</v>
      </c>
      <c r="C7394" s="71" t="s">
        <v>3299</v>
      </c>
      <c r="D7394" s="71">
        <v>10</v>
      </c>
      <c r="E7394" s="102">
        <v>52000</v>
      </c>
      <c r="F7394" s="102">
        <f t="shared" si="4211"/>
        <v>572000</v>
      </c>
      <c r="G7394" s="102">
        <f t="shared" si="4212"/>
        <v>520000</v>
      </c>
      <c r="H7394" s="690" t="s">
        <v>172</v>
      </c>
      <c r="I7394" s="71" t="s">
        <v>180</v>
      </c>
      <c r="J7394" s="53">
        <f t="shared" si="4213"/>
        <v>45000</v>
      </c>
      <c r="K7394" s="63">
        <f t="shared" si="4214"/>
        <v>8.6538461538461536E-2</v>
      </c>
      <c r="L7394" s="1212" t="s">
        <v>4246</v>
      </c>
      <c r="M7394" s="468" t="s">
        <v>3835</v>
      </c>
      <c r="N7394" s="1192">
        <f t="shared" si="4179"/>
        <v>46011</v>
      </c>
      <c r="O7394" s="71" t="s">
        <v>175</v>
      </c>
      <c r="P7394" s="103" t="str">
        <f t="shared" si="4215"/>
        <v>매엽용 세척제(Wash k11)</v>
      </c>
      <c r="Q7394" s="71">
        <f t="shared" si="4216"/>
        <v>10</v>
      </c>
      <c r="R7394" s="102">
        <v>47500</v>
      </c>
      <c r="S7394" s="102">
        <f t="shared" si="4217"/>
        <v>522500.00000000006</v>
      </c>
      <c r="T7394" s="102">
        <f t="shared" si="4218"/>
        <v>475000</v>
      </c>
      <c r="U7394" s="71" t="s">
        <v>859</v>
      </c>
      <c r="V7394" s="71"/>
      <c r="W7394" s="474"/>
      <c r="X7394" s="71"/>
      <c r="Y7394" s="71"/>
    </row>
    <row r="7395" spans="1:25" ht="30" hidden="1" customHeight="1" x14ac:dyDescent="0.25">
      <c r="A7395" s="1145">
        <v>46016</v>
      </c>
      <c r="B7395" s="664" t="s">
        <v>1060</v>
      </c>
      <c r="C7395" s="71" t="s">
        <v>3908</v>
      </c>
      <c r="D7395" s="71">
        <v>1000</v>
      </c>
      <c r="E7395" s="102">
        <v>5900</v>
      </c>
      <c r="F7395" s="102">
        <f t="shared" si="4211"/>
        <v>6490000.0000000009</v>
      </c>
      <c r="G7395" s="102">
        <f t="shared" si="4212"/>
        <v>5900000</v>
      </c>
      <c r="H7395" s="690" t="s">
        <v>142</v>
      </c>
      <c r="I7395" s="71" t="s">
        <v>179</v>
      </c>
      <c r="J7395" s="53">
        <f t="shared" si="4213"/>
        <v>1986000</v>
      </c>
      <c r="K7395" s="63">
        <f t="shared" si="4214"/>
        <v>0.33661016949152539</v>
      </c>
      <c r="L7395" s="1212" t="s">
        <v>4246</v>
      </c>
      <c r="M7395" s="102" t="s">
        <v>3964</v>
      </c>
      <c r="N7395" s="1192">
        <f t="shared" si="4179"/>
        <v>46016</v>
      </c>
      <c r="O7395" s="71" t="s">
        <v>662</v>
      </c>
      <c r="P7395" s="103" t="s">
        <v>3908</v>
      </c>
      <c r="Q7395" s="71">
        <f t="shared" si="4216"/>
        <v>1000</v>
      </c>
      <c r="R7395" s="102">
        <v>3914</v>
      </c>
      <c r="S7395" s="102">
        <f t="shared" si="4217"/>
        <v>4305400</v>
      </c>
      <c r="T7395" s="102">
        <f t="shared" si="4218"/>
        <v>3914000</v>
      </c>
      <c r="U7395" s="71" t="s">
        <v>859</v>
      </c>
      <c r="V7395" s="71"/>
      <c r="W7395" s="474">
        <v>942000</v>
      </c>
      <c r="X7395" s="71"/>
      <c r="Y7395" s="71"/>
    </row>
    <row r="7396" spans="1:25" ht="30" hidden="1" customHeight="1" x14ac:dyDescent="0.25">
      <c r="A7396" s="1145">
        <v>45651</v>
      </c>
      <c r="B7396" s="664" t="s">
        <v>1060</v>
      </c>
      <c r="C7396" s="71" t="s">
        <v>3909</v>
      </c>
      <c r="D7396" s="71">
        <v>3700</v>
      </c>
      <c r="E7396" s="102">
        <v>3730</v>
      </c>
      <c r="F7396" s="102">
        <f t="shared" ref="F7396:F7428" si="4219">(E7396*D7396)*1.1</f>
        <v>15181100.000000002</v>
      </c>
      <c r="G7396" s="102">
        <f t="shared" ref="G7396:G7428" si="4220">(E7396*D7396)</f>
        <v>13801000</v>
      </c>
      <c r="H7396" s="690" t="s">
        <v>36</v>
      </c>
      <c r="I7396" s="71" t="s">
        <v>2529</v>
      </c>
      <c r="J7396" s="53">
        <f t="shared" ref="J7396:J7434" si="4221">G7396-T7396</f>
        <v>4654600</v>
      </c>
      <c r="K7396" s="63">
        <f t="shared" ref="K7396:K7430" si="4222">(J7396/(F7396/11*10))</f>
        <v>0.33726541554959782</v>
      </c>
      <c r="L7396" s="1212" t="s">
        <v>4246</v>
      </c>
      <c r="M7396" s="102" t="s">
        <v>3964</v>
      </c>
      <c r="N7396" s="1192">
        <f t="shared" si="4179"/>
        <v>45651</v>
      </c>
      <c r="O7396" s="71" t="s">
        <v>662</v>
      </c>
      <c r="P7396" s="103" t="s">
        <v>3909</v>
      </c>
      <c r="Q7396" s="71">
        <f t="shared" ref="Q7396:Q7452" si="4223">D7396</f>
        <v>3700</v>
      </c>
      <c r="R7396" s="102">
        <v>2472</v>
      </c>
      <c r="S7396" s="102">
        <f t="shared" ref="S7396:S7434" si="4224">R7396*Q7396*1.1</f>
        <v>10061040</v>
      </c>
      <c r="T7396" s="102">
        <f t="shared" ref="T7396:T7430" si="4225">R7396*Q7396</f>
        <v>9146400</v>
      </c>
      <c r="U7396" s="71" t="s">
        <v>859</v>
      </c>
      <c r="V7396" s="71"/>
      <c r="W7396" s="474">
        <v>1274000</v>
      </c>
      <c r="X7396" s="71"/>
      <c r="Y7396" s="71"/>
    </row>
    <row r="7397" spans="1:25" ht="30" hidden="1" customHeight="1" x14ac:dyDescent="0.25">
      <c r="A7397" s="1145">
        <v>45651</v>
      </c>
      <c r="B7397" s="664" t="s">
        <v>1060</v>
      </c>
      <c r="C7397" s="71" t="s">
        <v>3910</v>
      </c>
      <c r="D7397" s="71">
        <v>2200</v>
      </c>
      <c r="E7397" s="102">
        <v>3530</v>
      </c>
      <c r="F7397" s="102">
        <f t="shared" si="4219"/>
        <v>8542600</v>
      </c>
      <c r="G7397" s="102">
        <f t="shared" si="4220"/>
        <v>7766000</v>
      </c>
      <c r="H7397" s="690" t="s">
        <v>36</v>
      </c>
      <c r="I7397" s="71" t="s">
        <v>2529</v>
      </c>
      <c r="J7397" s="53">
        <f t="shared" si="4221"/>
        <v>2600400</v>
      </c>
      <c r="K7397" s="63">
        <f t="shared" si="4222"/>
        <v>0.33484419263456089</v>
      </c>
      <c r="L7397" s="1212" t="s">
        <v>4246</v>
      </c>
      <c r="M7397" s="102" t="s">
        <v>3964</v>
      </c>
      <c r="N7397" s="1192">
        <f t="shared" si="4179"/>
        <v>45651</v>
      </c>
      <c r="O7397" s="71" t="s">
        <v>662</v>
      </c>
      <c r="P7397" s="103" t="s">
        <v>3910</v>
      </c>
      <c r="Q7397" s="71">
        <f t="shared" si="4223"/>
        <v>2200</v>
      </c>
      <c r="R7397" s="102">
        <v>2348</v>
      </c>
      <c r="S7397" s="102">
        <f t="shared" si="4224"/>
        <v>5682160</v>
      </c>
      <c r="T7397" s="102">
        <f t="shared" si="4225"/>
        <v>5165600</v>
      </c>
      <c r="U7397" s="71" t="s">
        <v>859</v>
      </c>
      <c r="V7397" s="71"/>
      <c r="W7397" s="474">
        <v>3325000</v>
      </c>
      <c r="X7397" s="71"/>
      <c r="Y7397" s="71"/>
    </row>
    <row r="7398" spans="1:25" ht="30" hidden="1" customHeight="1" x14ac:dyDescent="0.25">
      <c r="A7398" s="1145">
        <v>45651</v>
      </c>
      <c r="B7398" s="664" t="s">
        <v>1060</v>
      </c>
      <c r="C7398" s="71" t="s">
        <v>3911</v>
      </c>
      <c r="D7398" s="71">
        <v>200</v>
      </c>
      <c r="E7398" s="102">
        <v>5990</v>
      </c>
      <c r="F7398" s="102">
        <f t="shared" si="4219"/>
        <v>1317800</v>
      </c>
      <c r="G7398" s="102">
        <f t="shared" si="4220"/>
        <v>1198000</v>
      </c>
      <c r="H7398" s="690" t="s">
        <v>36</v>
      </c>
      <c r="I7398" s="71" t="s">
        <v>2529</v>
      </c>
      <c r="J7398" s="53">
        <f t="shared" si="4221"/>
        <v>404800</v>
      </c>
      <c r="K7398" s="63">
        <f t="shared" si="4222"/>
        <v>0.33789649415692824</v>
      </c>
      <c r="L7398" s="1212" t="s">
        <v>4246</v>
      </c>
      <c r="M7398" s="102" t="s">
        <v>3964</v>
      </c>
      <c r="N7398" s="1192">
        <f t="shared" si="4179"/>
        <v>45651</v>
      </c>
      <c r="O7398" s="71" t="s">
        <v>662</v>
      </c>
      <c r="P7398" s="103" t="s">
        <v>3911</v>
      </c>
      <c r="Q7398" s="71">
        <f t="shared" si="4223"/>
        <v>200</v>
      </c>
      <c r="R7398" s="102">
        <v>3966</v>
      </c>
      <c r="S7398" s="102">
        <f t="shared" si="4224"/>
        <v>872520.00000000012</v>
      </c>
      <c r="T7398" s="102">
        <f t="shared" si="4225"/>
        <v>793200</v>
      </c>
      <c r="U7398" s="71" t="s">
        <v>859</v>
      </c>
      <c r="V7398" s="71"/>
      <c r="W7398" s="474">
        <v>636000</v>
      </c>
      <c r="X7398" s="71"/>
      <c r="Y7398" s="71"/>
    </row>
    <row r="7399" spans="1:25" ht="30" hidden="1" customHeight="1" x14ac:dyDescent="0.25">
      <c r="A7399" s="1145">
        <v>45651</v>
      </c>
      <c r="B7399" s="664" t="s">
        <v>1060</v>
      </c>
      <c r="C7399" s="71" t="s">
        <v>3912</v>
      </c>
      <c r="D7399" s="71">
        <v>1800</v>
      </c>
      <c r="E7399" s="102">
        <v>6210</v>
      </c>
      <c r="F7399" s="102">
        <f t="shared" si="4219"/>
        <v>12295800.000000002</v>
      </c>
      <c r="G7399" s="102">
        <f t="shared" si="4220"/>
        <v>11178000</v>
      </c>
      <c r="H7399" s="690" t="s">
        <v>36</v>
      </c>
      <c r="I7399" s="71" t="s">
        <v>2529</v>
      </c>
      <c r="J7399" s="53">
        <f t="shared" si="4221"/>
        <v>3762000</v>
      </c>
      <c r="K7399" s="63">
        <f t="shared" si="4222"/>
        <v>0.33655394524959736</v>
      </c>
      <c r="L7399" s="1212" t="s">
        <v>4246</v>
      </c>
      <c r="M7399" s="102" t="s">
        <v>3964</v>
      </c>
      <c r="N7399" s="1192">
        <f t="shared" si="4179"/>
        <v>45651</v>
      </c>
      <c r="O7399" s="71" t="s">
        <v>662</v>
      </c>
      <c r="P7399" s="103" t="s">
        <v>3912</v>
      </c>
      <c r="Q7399" s="71">
        <f t="shared" si="4223"/>
        <v>1800</v>
      </c>
      <c r="R7399" s="102">
        <v>4120</v>
      </c>
      <c r="S7399" s="102">
        <f t="shared" si="4224"/>
        <v>8157600.0000000009</v>
      </c>
      <c r="T7399" s="102">
        <f t="shared" si="4225"/>
        <v>7416000</v>
      </c>
      <c r="U7399" s="71" t="s">
        <v>859</v>
      </c>
      <c r="V7399" s="71"/>
      <c r="W7399" s="474">
        <v>1476000</v>
      </c>
      <c r="X7399" s="71"/>
      <c r="Y7399" s="71"/>
    </row>
    <row r="7400" spans="1:25" ht="30" hidden="1" customHeight="1" x14ac:dyDescent="0.25">
      <c r="A7400" s="1145">
        <v>45651</v>
      </c>
      <c r="B7400" s="664" t="s">
        <v>1060</v>
      </c>
      <c r="C7400" s="71" t="s">
        <v>3913</v>
      </c>
      <c r="D7400" s="71">
        <v>500</v>
      </c>
      <c r="E7400" s="102">
        <v>4430</v>
      </c>
      <c r="F7400" s="102">
        <f t="shared" si="4219"/>
        <v>2436500</v>
      </c>
      <c r="G7400" s="102">
        <f t="shared" si="4220"/>
        <v>2215000</v>
      </c>
      <c r="H7400" s="690" t="s">
        <v>36</v>
      </c>
      <c r="I7400" s="71" t="s">
        <v>2529</v>
      </c>
      <c r="J7400" s="53">
        <f t="shared" si="4221"/>
        <v>747000</v>
      </c>
      <c r="K7400" s="63">
        <f t="shared" si="4222"/>
        <v>0.33724604966139954</v>
      </c>
      <c r="L7400" s="1212" t="s">
        <v>4246</v>
      </c>
      <c r="M7400" s="102" t="s">
        <v>3964</v>
      </c>
      <c r="N7400" s="1192">
        <f t="shared" si="4179"/>
        <v>45651</v>
      </c>
      <c r="O7400" s="71" t="s">
        <v>662</v>
      </c>
      <c r="P7400" s="103" t="s">
        <v>3913</v>
      </c>
      <c r="Q7400" s="71">
        <f t="shared" si="4223"/>
        <v>500</v>
      </c>
      <c r="R7400" s="102">
        <v>2936</v>
      </c>
      <c r="S7400" s="102">
        <f t="shared" si="4224"/>
        <v>1614800.0000000002</v>
      </c>
      <c r="T7400" s="102">
        <f t="shared" si="4225"/>
        <v>1468000</v>
      </c>
      <c r="U7400" s="71" t="s">
        <v>859</v>
      </c>
      <c r="V7400" s="71"/>
      <c r="W7400" s="474">
        <v>1416000</v>
      </c>
      <c r="X7400" s="71"/>
      <c r="Y7400" s="71"/>
    </row>
    <row r="7401" spans="1:25" ht="30" hidden="1" customHeight="1" x14ac:dyDescent="0.25">
      <c r="A7401" s="1145">
        <v>45651</v>
      </c>
      <c r="B7401" s="664" t="s">
        <v>1060</v>
      </c>
      <c r="C7401" s="71" t="s">
        <v>3914</v>
      </c>
      <c r="D7401" s="71">
        <v>35</v>
      </c>
      <c r="E7401" s="102">
        <v>53680</v>
      </c>
      <c r="F7401" s="102">
        <f t="shared" si="4219"/>
        <v>2066680.0000000002</v>
      </c>
      <c r="G7401" s="102">
        <f t="shared" si="4220"/>
        <v>1878800</v>
      </c>
      <c r="H7401" s="690" t="s">
        <v>36</v>
      </c>
      <c r="I7401" s="71" t="s">
        <v>2529</v>
      </c>
      <c r="J7401" s="53">
        <f t="shared" si="4221"/>
        <v>436800</v>
      </c>
      <c r="K7401" s="63">
        <f t="shared" si="4222"/>
        <v>0.23248882265275705</v>
      </c>
      <c r="L7401" s="1212" t="s">
        <v>4246</v>
      </c>
      <c r="M7401" s="468"/>
      <c r="N7401" s="1192">
        <f t="shared" si="4179"/>
        <v>45651</v>
      </c>
      <c r="O7401" s="71" t="s">
        <v>662</v>
      </c>
      <c r="P7401" s="103" t="s">
        <v>3914</v>
      </c>
      <c r="Q7401" s="71">
        <f t="shared" si="4223"/>
        <v>35</v>
      </c>
      <c r="R7401" s="102">
        <v>41200</v>
      </c>
      <c r="S7401" s="102">
        <f t="shared" si="4224"/>
        <v>1586200.0000000002</v>
      </c>
      <c r="T7401" s="102">
        <f t="shared" si="4225"/>
        <v>1442000</v>
      </c>
      <c r="U7401" s="71" t="s">
        <v>859</v>
      </c>
      <c r="V7401" s="71"/>
      <c r="W7401" s="474">
        <v>978750</v>
      </c>
      <c r="X7401" s="71"/>
      <c r="Y7401" s="71"/>
    </row>
    <row r="7402" spans="1:25" ht="30" hidden="1" customHeight="1" x14ac:dyDescent="0.25">
      <c r="A7402" s="1145">
        <v>45651</v>
      </c>
      <c r="B7402" s="664" t="s">
        <v>1061</v>
      </c>
      <c r="C7402" s="71" t="s">
        <v>3319</v>
      </c>
      <c r="D7402" s="71">
        <v>200</v>
      </c>
      <c r="E7402" s="102">
        <v>6328</v>
      </c>
      <c r="F7402" s="102">
        <f t="shared" si="4219"/>
        <v>1392160</v>
      </c>
      <c r="G7402" s="102">
        <f t="shared" si="4220"/>
        <v>1265600</v>
      </c>
      <c r="H7402" s="690" t="s">
        <v>36</v>
      </c>
      <c r="I7402" s="71" t="s">
        <v>3320</v>
      </c>
      <c r="J7402" s="53">
        <f t="shared" si="4221"/>
        <v>95600</v>
      </c>
      <c r="K7402" s="63">
        <f t="shared" si="4222"/>
        <v>7.5537294563843241E-2</v>
      </c>
      <c r="L7402" s="1212" t="s">
        <v>4246</v>
      </c>
      <c r="M7402" s="468"/>
      <c r="N7402" s="1192">
        <f t="shared" si="4179"/>
        <v>45651</v>
      </c>
      <c r="O7402" s="71" t="s">
        <v>146</v>
      </c>
      <c r="P7402" s="103" t="s">
        <v>3319</v>
      </c>
      <c r="Q7402" s="71">
        <f t="shared" si="4223"/>
        <v>200</v>
      </c>
      <c r="R7402" s="102">
        <v>5850</v>
      </c>
      <c r="S7402" s="102">
        <f t="shared" si="4224"/>
        <v>1287000</v>
      </c>
      <c r="T7402" s="102">
        <f t="shared" si="4225"/>
        <v>1170000</v>
      </c>
      <c r="U7402" s="71" t="s">
        <v>859</v>
      </c>
      <c r="V7402" s="71"/>
      <c r="W7402" s="474">
        <v>411200</v>
      </c>
      <c r="X7402" s="71"/>
      <c r="Y7402" s="71"/>
    </row>
    <row r="7403" spans="1:25" ht="30" hidden="1" customHeight="1" x14ac:dyDescent="0.25">
      <c r="A7403" s="1145">
        <v>45651</v>
      </c>
      <c r="B7403" s="664" t="s">
        <v>1061</v>
      </c>
      <c r="C7403" s="71" t="s">
        <v>3321</v>
      </c>
      <c r="D7403" s="71">
        <v>400</v>
      </c>
      <c r="E7403" s="102">
        <v>6780</v>
      </c>
      <c r="F7403" s="102">
        <f t="shared" si="4219"/>
        <v>2983200.0000000005</v>
      </c>
      <c r="G7403" s="102">
        <f t="shared" si="4220"/>
        <v>2712000</v>
      </c>
      <c r="H7403" s="690" t="s">
        <v>36</v>
      </c>
      <c r="I7403" s="71" t="s">
        <v>3320</v>
      </c>
      <c r="J7403" s="53">
        <f t="shared" si="4221"/>
        <v>200000</v>
      </c>
      <c r="K7403" s="63">
        <f t="shared" si="4222"/>
        <v>7.3746312684365767E-2</v>
      </c>
      <c r="L7403" s="1212" t="s">
        <v>4246</v>
      </c>
      <c r="M7403" s="468"/>
      <c r="N7403" s="1192">
        <f t="shared" si="4179"/>
        <v>45651</v>
      </c>
      <c r="O7403" s="71" t="s">
        <v>146</v>
      </c>
      <c r="P7403" s="103" t="s">
        <v>3321</v>
      </c>
      <c r="Q7403" s="71">
        <f t="shared" si="4223"/>
        <v>400</v>
      </c>
      <c r="R7403" s="102">
        <v>6280</v>
      </c>
      <c r="S7403" s="102">
        <f t="shared" si="4224"/>
        <v>2763200</v>
      </c>
      <c r="T7403" s="102">
        <f t="shared" si="4225"/>
        <v>2512000</v>
      </c>
      <c r="U7403" s="71" t="s">
        <v>859</v>
      </c>
      <c r="V7403" s="71"/>
      <c r="W7403" s="474">
        <v>292000</v>
      </c>
      <c r="X7403" s="71"/>
      <c r="Y7403" s="71"/>
    </row>
    <row r="7404" spans="1:25" ht="30" hidden="1" customHeight="1" x14ac:dyDescent="0.25">
      <c r="A7404" s="1145">
        <v>45651</v>
      </c>
      <c r="B7404" s="664" t="s">
        <v>1061</v>
      </c>
      <c r="C7404" s="71" t="s">
        <v>1289</v>
      </c>
      <c r="D7404" s="71">
        <v>600</v>
      </c>
      <c r="E7404" s="102">
        <v>6498</v>
      </c>
      <c r="F7404" s="102">
        <f t="shared" si="4219"/>
        <v>4288680</v>
      </c>
      <c r="G7404" s="102">
        <f t="shared" si="4220"/>
        <v>3898800</v>
      </c>
      <c r="H7404" s="690" t="s">
        <v>36</v>
      </c>
      <c r="I7404" s="71" t="s">
        <v>3320</v>
      </c>
      <c r="J7404" s="53">
        <f t="shared" si="4221"/>
        <v>286800</v>
      </c>
      <c r="K7404" s="63">
        <f t="shared" si="4222"/>
        <v>7.3561095721760547E-2</v>
      </c>
      <c r="L7404" s="1212" t="s">
        <v>4246</v>
      </c>
      <c r="M7404" s="468"/>
      <c r="N7404" s="1192">
        <f t="shared" si="4179"/>
        <v>45651</v>
      </c>
      <c r="O7404" s="71" t="s">
        <v>146</v>
      </c>
      <c r="P7404" s="103" t="s">
        <v>1289</v>
      </c>
      <c r="Q7404" s="71">
        <f t="shared" si="4223"/>
        <v>600</v>
      </c>
      <c r="R7404" s="102">
        <v>6020</v>
      </c>
      <c r="S7404" s="102">
        <f t="shared" si="4224"/>
        <v>3973200.0000000005</v>
      </c>
      <c r="T7404" s="102">
        <f t="shared" si="4225"/>
        <v>3612000</v>
      </c>
      <c r="U7404" s="71" t="s">
        <v>859</v>
      </c>
      <c r="V7404" s="71"/>
      <c r="W7404" s="474">
        <v>640800</v>
      </c>
      <c r="X7404" s="71"/>
      <c r="Y7404" s="71"/>
    </row>
    <row r="7405" spans="1:25" ht="30" hidden="1" customHeight="1" x14ac:dyDescent="0.25">
      <c r="A7405" s="1145">
        <v>45651</v>
      </c>
      <c r="B7405" s="664" t="s">
        <v>1061</v>
      </c>
      <c r="C7405" s="71" t="s">
        <v>1290</v>
      </c>
      <c r="D7405" s="71">
        <v>400</v>
      </c>
      <c r="E7405" s="102">
        <v>7910</v>
      </c>
      <c r="F7405" s="102">
        <f t="shared" si="4219"/>
        <v>3480400.0000000005</v>
      </c>
      <c r="G7405" s="102">
        <f t="shared" si="4220"/>
        <v>3164000</v>
      </c>
      <c r="H7405" s="690" t="s">
        <v>36</v>
      </c>
      <c r="I7405" s="71" t="s">
        <v>3320</v>
      </c>
      <c r="J7405" s="53">
        <f t="shared" si="4221"/>
        <v>240000</v>
      </c>
      <c r="K7405" s="63">
        <f t="shared" si="4222"/>
        <v>7.5853350189633365E-2</v>
      </c>
      <c r="L7405" s="1212" t="s">
        <v>4246</v>
      </c>
      <c r="M7405" s="468"/>
      <c r="N7405" s="1192">
        <f t="shared" si="4179"/>
        <v>45651</v>
      </c>
      <c r="O7405" s="71" t="s">
        <v>146</v>
      </c>
      <c r="P7405" s="103" t="s">
        <v>1290</v>
      </c>
      <c r="Q7405" s="71">
        <f t="shared" si="4223"/>
        <v>400</v>
      </c>
      <c r="R7405" s="102">
        <v>7310</v>
      </c>
      <c r="S7405" s="102">
        <f t="shared" si="4224"/>
        <v>3216400.0000000005</v>
      </c>
      <c r="T7405" s="102">
        <f t="shared" si="4225"/>
        <v>2924000</v>
      </c>
      <c r="U7405" s="71" t="s">
        <v>859</v>
      </c>
      <c r="V7405" s="71"/>
      <c r="W7405" s="474">
        <v>846000</v>
      </c>
      <c r="X7405" s="71"/>
      <c r="Y7405" s="71"/>
    </row>
    <row r="7406" spans="1:25" ht="30" hidden="1" customHeight="1" x14ac:dyDescent="0.25">
      <c r="A7406" s="1145">
        <v>45651</v>
      </c>
      <c r="B7406" s="664" t="s">
        <v>1061</v>
      </c>
      <c r="C7406" s="71" t="s">
        <v>3322</v>
      </c>
      <c r="D7406" s="71"/>
      <c r="E7406" s="102">
        <v>7150</v>
      </c>
      <c r="F7406" s="102">
        <f t="shared" si="4219"/>
        <v>0</v>
      </c>
      <c r="G7406" s="102">
        <f t="shared" si="4220"/>
        <v>0</v>
      </c>
      <c r="H7406" s="690" t="s">
        <v>36</v>
      </c>
      <c r="I7406" s="71" t="s">
        <v>3320</v>
      </c>
      <c r="J7406" s="53">
        <f t="shared" si="4221"/>
        <v>0</v>
      </c>
      <c r="K7406" s="63" t="e">
        <f t="shared" si="4222"/>
        <v>#DIV/0!</v>
      </c>
      <c r="L7406" s="1212" t="s">
        <v>4246</v>
      </c>
      <c r="M7406" s="468"/>
      <c r="N7406" s="1192">
        <f t="shared" si="4179"/>
        <v>45651</v>
      </c>
      <c r="O7406" s="71" t="s">
        <v>3323</v>
      </c>
      <c r="P7406" s="103" t="s">
        <v>3322</v>
      </c>
      <c r="Q7406" s="71">
        <f t="shared" si="4223"/>
        <v>0</v>
      </c>
      <c r="R7406" s="102">
        <v>6500</v>
      </c>
      <c r="S7406" s="102">
        <f t="shared" si="4224"/>
        <v>0</v>
      </c>
      <c r="T7406" s="102">
        <f t="shared" si="4225"/>
        <v>0</v>
      </c>
      <c r="U7406" s="71" t="s">
        <v>859</v>
      </c>
      <c r="V7406" s="71"/>
      <c r="W7406" s="474">
        <v>0</v>
      </c>
      <c r="X7406" s="71"/>
      <c r="Y7406" s="71"/>
    </row>
    <row r="7407" spans="1:25" ht="30" hidden="1" customHeight="1" x14ac:dyDescent="0.25">
      <c r="A7407" s="1145">
        <v>45651</v>
      </c>
      <c r="B7407" s="664" t="s">
        <v>1061</v>
      </c>
      <c r="C7407" s="71" t="s">
        <v>3324</v>
      </c>
      <c r="D7407" s="71"/>
      <c r="E7407" s="102">
        <v>6900</v>
      </c>
      <c r="F7407" s="102">
        <f t="shared" si="4219"/>
        <v>0</v>
      </c>
      <c r="G7407" s="102">
        <f t="shared" si="4220"/>
        <v>0</v>
      </c>
      <c r="H7407" s="690" t="s">
        <v>36</v>
      </c>
      <c r="I7407" s="71" t="s">
        <v>3320</v>
      </c>
      <c r="J7407" s="53">
        <f t="shared" si="4221"/>
        <v>0</v>
      </c>
      <c r="K7407" s="63" t="e">
        <f t="shared" si="4222"/>
        <v>#DIV/0!</v>
      </c>
      <c r="L7407" s="1212" t="s">
        <v>4246</v>
      </c>
      <c r="M7407" s="468"/>
      <c r="N7407" s="1192">
        <f t="shared" si="4179"/>
        <v>45651</v>
      </c>
      <c r="O7407" s="71" t="s">
        <v>3323</v>
      </c>
      <c r="P7407" s="103" t="s">
        <v>3324</v>
      </c>
      <c r="Q7407" s="71">
        <f t="shared" si="4223"/>
        <v>0</v>
      </c>
      <c r="R7407" s="102">
        <v>6200</v>
      </c>
      <c r="S7407" s="102">
        <f t="shared" si="4224"/>
        <v>0</v>
      </c>
      <c r="T7407" s="102">
        <f t="shared" si="4225"/>
        <v>0</v>
      </c>
      <c r="U7407" s="71" t="s">
        <v>859</v>
      </c>
      <c r="V7407" s="71"/>
      <c r="W7407" s="474">
        <v>0</v>
      </c>
      <c r="X7407" s="71"/>
      <c r="Y7407" s="71"/>
    </row>
    <row r="7408" spans="1:25" ht="28.5" hidden="1" customHeight="1" x14ac:dyDescent="0.25">
      <c r="A7408" s="1145">
        <v>45651</v>
      </c>
      <c r="B7408" s="664" t="s">
        <v>1061</v>
      </c>
      <c r="C7408" s="71" t="s">
        <v>3325</v>
      </c>
      <c r="D7408" s="71"/>
      <c r="E7408" s="102">
        <v>7500</v>
      </c>
      <c r="F7408" s="102">
        <f t="shared" si="4219"/>
        <v>0</v>
      </c>
      <c r="G7408" s="102">
        <f t="shared" si="4220"/>
        <v>0</v>
      </c>
      <c r="H7408" s="690" t="s">
        <v>36</v>
      </c>
      <c r="I7408" s="71" t="s">
        <v>3320</v>
      </c>
      <c r="J7408" s="53">
        <f t="shared" si="4221"/>
        <v>0</v>
      </c>
      <c r="K7408" s="63" t="e">
        <f t="shared" si="4222"/>
        <v>#DIV/0!</v>
      </c>
      <c r="L7408" s="1212" t="s">
        <v>4246</v>
      </c>
      <c r="M7408" s="468"/>
      <c r="N7408" s="1192">
        <f t="shared" si="4179"/>
        <v>45651</v>
      </c>
      <c r="O7408" s="71" t="s">
        <v>3323</v>
      </c>
      <c r="P7408" s="103" t="s">
        <v>3325</v>
      </c>
      <c r="Q7408" s="71">
        <f t="shared" si="4223"/>
        <v>0</v>
      </c>
      <c r="R7408" s="102">
        <v>6600</v>
      </c>
      <c r="S7408" s="102">
        <f t="shared" si="4224"/>
        <v>0</v>
      </c>
      <c r="T7408" s="102">
        <f t="shared" si="4225"/>
        <v>0</v>
      </c>
      <c r="U7408" s="71" t="s">
        <v>859</v>
      </c>
      <c r="V7408" s="71"/>
      <c r="W7408" s="474">
        <v>0</v>
      </c>
      <c r="X7408" s="71"/>
      <c r="Y7408" s="71"/>
    </row>
    <row r="7409" spans="1:25" ht="30" hidden="1" customHeight="1" x14ac:dyDescent="0.25">
      <c r="A7409" s="1145">
        <v>45651</v>
      </c>
      <c r="B7409" s="664" t="s">
        <v>1061</v>
      </c>
      <c r="C7409" s="71" t="s">
        <v>3326</v>
      </c>
      <c r="D7409" s="71"/>
      <c r="E7409" s="102">
        <v>6450</v>
      </c>
      <c r="F7409" s="102">
        <f t="shared" si="4219"/>
        <v>0</v>
      </c>
      <c r="G7409" s="102">
        <f t="shared" si="4220"/>
        <v>0</v>
      </c>
      <c r="H7409" s="690" t="s">
        <v>36</v>
      </c>
      <c r="I7409" s="71" t="s">
        <v>3320</v>
      </c>
      <c r="J7409" s="53">
        <f t="shared" si="4221"/>
        <v>0</v>
      </c>
      <c r="K7409" s="63" t="e">
        <f t="shared" si="4222"/>
        <v>#DIV/0!</v>
      </c>
      <c r="L7409" s="1212" t="s">
        <v>4246</v>
      </c>
      <c r="M7409" s="468"/>
      <c r="N7409" s="1192">
        <f t="shared" si="4179"/>
        <v>45651</v>
      </c>
      <c r="O7409" s="71" t="s">
        <v>3323</v>
      </c>
      <c r="P7409" s="103" t="s">
        <v>3326</v>
      </c>
      <c r="Q7409" s="71">
        <f t="shared" si="4223"/>
        <v>0</v>
      </c>
      <c r="R7409" s="102">
        <v>5700</v>
      </c>
      <c r="S7409" s="102">
        <f t="shared" si="4224"/>
        <v>0</v>
      </c>
      <c r="T7409" s="102">
        <f t="shared" si="4225"/>
        <v>0</v>
      </c>
      <c r="U7409" s="71" t="s">
        <v>859</v>
      </c>
      <c r="V7409" s="71"/>
      <c r="W7409" s="474">
        <v>0</v>
      </c>
      <c r="X7409" s="71"/>
      <c r="Y7409" s="71"/>
    </row>
    <row r="7410" spans="1:25" ht="30" hidden="1" customHeight="1" x14ac:dyDescent="0.25">
      <c r="A7410" s="1145">
        <v>45651</v>
      </c>
      <c r="B7410" s="664" t="s">
        <v>1061</v>
      </c>
      <c r="C7410" s="71" t="s">
        <v>4233</v>
      </c>
      <c r="D7410" s="71">
        <v>0</v>
      </c>
      <c r="E7410" s="102">
        <v>24900</v>
      </c>
      <c r="F7410" s="102">
        <f t="shared" si="4219"/>
        <v>0</v>
      </c>
      <c r="G7410" s="102">
        <f t="shared" si="4220"/>
        <v>0</v>
      </c>
      <c r="H7410" s="690" t="s">
        <v>36</v>
      </c>
      <c r="I7410" s="71" t="s">
        <v>3320</v>
      </c>
      <c r="J7410" s="53">
        <f t="shared" si="4221"/>
        <v>0</v>
      </c>
      <c r="K7410" s="63" t="e">
        <f t="shared" si="4222"/>
        <v>#DIV/0!</v>
      </c>
      <c r="L7410" s="1212" t="s">
        <v>4246</v>
      </c>
      <c r="M7410" s="468"/>
      <c r="N7410" s="1192">
        <f t="shared" si="4179"/>
        <v>45651</v>
      </c>
      <c r="O7410" s="71" t="s">
        <v>2459</v>
      </c>
      <c r="P7410" s="103" t="s">
        <v>4230</v>
      </c>
      <c r="Q7410" s="71">
        <f t="shared" si="4223"/>
        <v>0</v>
      </c>
      <c r="R7410" s="102">
        <v>31000</v>
      </c>
      <c r="S7410" s="102">
        <f t="shared" si="4224"/>
        <v>0</v>
      </c>
      <c r="T7410" s="102">
        <f t="shared" si="4225"/>
        <v>0</v>
      </c>
      <c r="U7410" s="71"/>
      <c r="V7410" s="71"/>
      <c r="W7410" s="474"/>
      <c r="X7410" s="71"/>
      <c r="Y7410" s="71"/>
    </row>
    <row r="7411" spans="1:25" ht="30" hidden="1" customHeight="1" x14ac:dyDescent="0.25">
      <c r="A7411" s="1145">
        <v>45651</v>
      </c>
      <c r="B7411" s="664" t="s">
        <v>1061</v>
      </c>
      <c r="C7411" s="71" t="s">
        <v>4123</v>
      </c>
      <c r="D7411" s="71">
        <v>0</v>
      </c>
      <c r="E7411" s="102">
        <v>12500</v>
      </c>
      <c r="F7411" s="102">
        <f t="shared" si="4219"/>
        <v>0</v>
      </c>
      <c r="G7411" s="102">
        <f t="shared" si="4220"/>
        <v>0</v>
      </c>
      <c r="H7411" s="690" t="s">
        <v>36</v>
      </c>
      <c r="I7411" s="71" t="s">
        <v>3320</v>
      </c>
      <c r="J7411" s="53">
        <f t="shared" si="4221"/>
        <v>0</v>
      </c>
      <c r="K7411" s="63" t="e">
        <f t="shared" si="4222"/>
        <v>#DIV/0!</v>
      </c>
      <c r="L7411" s="1212" t="s">
        <v>4246</v>
      </c>
      <c r="M7411" s="468"/>
      <c r="N7411" s="1192">
        <f t="shared" si="4179"/>
        <v>45651</v>
      </c>
      <c r="O7411" s="71" t="s">
        <v>3323</v>
      </c>
      <c r="P7411" s="103" t="s">
        <v>4177</v>
      </c>
      <c r="Q7411" s="71">
        <f t="shared" si="4223"/>
        <v>0</v>
      </c>
      <c r="R7411" s="102">
        <v>11700</v>
      </c>
      <c r="S7411" s="102">
        <f t="shared" si="4224"/>
        <v>0</v>
      </c>
      <c r="T7411" s="102">
        <f t="shared" si="4225"/>
        <v>0</v>
      </c>
      <c r="U7411" s="71"/>
      <c r="V7411" s="71"/>
      <c r="W7411" s="474"/>
      <c r="X7411" s="71"/>
      <c r="Y7411" s="71"/>
    </row>
    <row r="7412" spans="1:25" ht="30" hidden="1" customHeight="1" x14ac:dyDescent="0.25">
      <c r="A7412" s="1145">
        <v>45651</v>
      </c>
      <c r="B7412" s="664" t="s">
        <v>3307</v>
      </c>
      <c r="C7412" s="71" t="s">
        <v>3916</v>
      </c>
      <c r="D7412" s="71">
        <v>0</v>
      </c>
      <c r="E7412" s="102">
        <v>218000</v>
      </c>
      <c r="F7412" s="102">
        <f t="shared" si="4219"/>
        <v>0</v>
      </c>
      <c r="G7412" s="102">
        <f t="shared" si="4220"/>
        <v>0</v>
      </c>
      <c r="H7412" s="690" t="s">
        <v>172</v>
      </c>
      <c r="I7412" s="71" t="s">
        <v>33</v>
      </c>
      <c r="J7412" s="53">
        <f t="shared" si="4221"/>
        <v>0</v>
      </c>
      <c r="K7412" s="63" t="e">
        <f t="shared" si="4222"/>
        <v>#DIV/0!</v>
      </c>
      <c r="L7412" s="1212" t="s">
        <v>4246</v>
      </c>
      <c r="M7412" s="468" t="s">
        <v>3965</v>
      </c>
      <c r="N7412" s="1192">
        <f t="shared" si="4179"/>
        <v>45651</v>
      </c>
      <c r="O7412" s="71" t="s">
        <v>662</v>
      </c>
      <c r="P7412" s="103" t="s">
        <v>3916</v>
      </c>
      <c r="Q7412" s="71">
        <f t="shared" si="4223"/>
        <v>0</v>
      </c>
      <c r="R7412" s="102">
        <v>166500</v>
      </c>
      <c r="S7412" s="102">
        <f t="shared" si="4224"/>
        <v>0</v>
      </c>
      <c r="T7412" s="102">
        <f t="shared" si="4225"/>
        <v>0</v>
      </c>
      <c r="U7412" s="71" t="s">
        <v>859</v>
      </c>
      <c r="V7412" s="71" t="s">
        <v>728</v>
      </c>
      <c r="W7412" s="474">
        <v>464000</v>
      </c>
      <c r="X7412" s="71"/>
      <c r="Y7412" s="71"/>
    </row>
    <row r="7413" spans="1:25" ht="30" hidden="1" customHeight="1" x14ac:dyDescent="0.25">
      <c r="A7413" s="1145">
        <v>45651</v>
      </c>
      <c r="B7413" s="664" t="s">
        <v>3307</v>
      </c>
      <c r="C7413" s="71" t="s">
        <v>3632</v>
      </c>
      <c r="D7413" s="71">
        <v>1</v>
      </c>
      <c r="E7413" s="102">
        <v>2350000</v>
      </c>
      <c r="F7413" s="102">
        <f t="shared" si="4219"/>
        <v>2585000</v>
      </c>
      <c r="G7413" s="102">
        <f t="shared" si="4220"/>
        <v>2350000</v>
      </c>
      <c r="H7413" s="690" t="s">
        <v>36</v>
      </c>
      <c r="I7413" s="690" t="s">
        <v>36</v>
      </c>
      <c r="J7413" s="53">
        <f t="shared" si="4221"/>
        <v>600000</v>
      </c>
      <c r="K7413" s="63">
        <f t="shared" si="4222"/>
        <v>0.25531914893617019</v>
      </c>
      <c r="L7413" s="1212" t="s">
        <v>4246</v>
      </c>
      <c r="M7413" s="468"/>
      <c r="N7413" s="1192">
        <f t="shared" si="4179"/>
        <v>45651</v>
      </c>
      <c r="O7413" s="71" t="s">
        <v>3298</v>
      </c>
      <c r="P7413" s="103" t="s">
        <v>4231</v>
      </c>
      <c r="Q7413" s="71">
        <f t="shared" si="4223"/>
        <v>1</v>
      </c>
      <c r="R7413" s="147">
        <v>1750000</v>
      </c>
      <c r="S7413" s="102">
        <f t="shared" si="4224"/>
        <v>1925000.0000000002</v>
      </c>
      <c r="T7413" s="102">
        <f t="shared" si="4225"/>
        <v>1750000</v>
      </c>
      <c r="U7413" s="71"/>
      <c r="V7413" s="71"/>
      <c r="W7413" s="474"/>
      <c r="X7413" s="71"/>
      <c r="Y7413" s="71"/>
    </row>
    <row r="7414" spans="1:25" ht="30" hidden="1" customHeight="1" x14ac:dyDescent="0.25">
      <c r="A7414" s="1145">
        <v>45651</v>
      </c>
      <c r="B7414" s="664" t="s">
        <v>575</v>
      </c>
      <c r="C7414" s="71" t="s">
        <v>4058</v>
      </c>
      <c r="D7414" s="71">
        <v>0</v>
      </c>
      <c r="E7414" s="102">
        <v>27000</v>
      </c>
      <c r="F7414" s="102">
        <f t="shared" si="4219"/>
        <v>0</v>
      </c>
      <c r="G7414" s="102">
        <f t="shared" si="4220"/>
        <v>0</v>
      </c>
      <c r="H7414" s="690" t="s">
        <v>179</v>
      </c>
      <c r="I7414" s="71" t="s">
        <v>142</v>
      </c>
      <c r="J7414" s="53">
        <f t="shared" si="4221"/>
        <v>0</v>
      </c>
      <c r="K7414" s="63" t="e">
        <f t="shared" si="4222"/>
        <v>#DIV/0!</v>
      </c>
      <c r="L7414" s="1212" t="s">
        <v>4246</v>
      </c>
      <c r="M7414" s="468"/>
      <c r="N7414" s="1192">
        <f t="shared" si="4179"/>
        <v>45651</v>
      </c>
      <c r="O7414" s="71" t="s">
        <v>151</v>
      </c>
      <c r="P7414" s="103" t="s">
        <v>4232</v>
      </c>
      <c r="Q7414" s="71">
        <f t="shared" si="4223"/>
        <v>0</v>
      </c>
      <c r="R7414" s="147">
        <v>22600</v>
      </c>
      <c r="S7414" s="102">
        <f t="shared" si="4224"/>
        <v>0</v>
      </c>
      <c r="T7414" s="102">
        <f t="shared" si="4225"/>
        <v>0</v>
      </c>
      <c r="U7414" s="71"/>
      <c r="V7414" s="71"/>
      <c r="W7414" s="474"/>
      <c r="X7414" s="71"/>
      <c r="Y7414" s="71"/>
    </row>
    <row r="7415" spans="1:25" s="209" customFormat="1" ht="29.45" hidden="1" customHeight="1" x14ac:dyDescent="0.2">
      <c r="A7415" s="1145">
        <v>46011</v>
      </c>
      <c r="B7415" s="664" t="s">
        <v>4059</v>
      </c>
      <c r="C7415" s="71" t="s">
        <v>4061</v>
      </c>
      <c r="D7415" s="71">
        <v>10</v>
      </c>
      <c r="E7415" s="102">
        <v>130000</v>
      </c>
      <c r="F7415" s="102">
        <f t="shared" si="4219"/>
        <v>1430000</v>
      </c>
      <c r="G7415" s="102">
        <f t="shared" si="4220"/>
        <v>1300000</v>
      </c>
      <c r="H7415" s="165" t="s">
        <v>172</v>
      </c>
      <c r="I7415" s="71" t="s">
        <v>184</v>
      </c>
      <c r="J7415" s="53">
        <f t="shared" si="4221"/>
        <v>180000</v>
      </c>
      <c r="K7415" s="63">
        <f t="shared" si="4222"/>
        <v>0.13846153846153847</v>
      </c>
      <c r="L7415" s="1212" t="s">
        <v>4246</v>
      </c>
      <c r="M7415" s="468"/>
      <c r="N7415" s="1192">
        <f t="shared" si="4179"/>
        <v>46011</v>
      </c>
      <c r="O7415" s="71" t="s">
        <v>189</v>
      </c>
      <c r="P7415" s="103" t="str">
        <f t="shared" ref="P7415:P7429" si="4226">(C7415)</f>
        <v>M600 Blanket(990*725)</v>
      </c>
      <c r="Q7415" s="71">
        <f t="shared" si="4223"/>
        <v>10</v>
      </c>
      <c r="R7415" s="102">
        <v>112000</v>
      </c>
      <c r="S7415" s="102">
        <f t="shared" si="4224"/>
        <v>1232000</v>
      </c>
      <c r="T7415" s="102">
        <f t="shared" si="4225"/>
        <v>1120000</v>
      </c>
      <c r="U7415" s="71" t="str">
        <f>IF(J7415=W7415,"O", "X")</f>
        <v>X</v>
      </c>
      <c r="V7415" s="71"/>
      <c r="W7415" s="474">
        <v>80000</v>
      </c>
      <c r="X7415" s="71"/>
      <c r="Y7415" s="71"/>
    </row>
    <row r="7416" spans="1:25" ht="30" hidden="1" customHeight="1" x14ac:dyDescent="0.25">
      <c r="A7416" s="1145">
        <v>46017</v>
      </c>
      <c r="B7416" s="664" t="s">
        <v>2261</v>
      </c>
      <c r="C7416" s="760" t="s">
        <v>181</v>
      </c>
      <c r="D7416" s="71">
        <v>10</v>
      </c>
      <c r="E7416" s="102">
        <v>193000</v>
      </c>
      <c r="F7416" s="102">
        <f t="shared" si="4219"/>
        <v>2123000</v>
      </c>
      <c r="G7416" s="102">
        <f t="shared" si="4220"/>
        <v>1930000</v>
      </c>
      <c r="H7416" s="690" t="s">
        <v>2029</v>
      </c>
      <c r="I7416" s="71" t="s">
        <v>182</v>
      </c>
      <c r="J7416" s="53">
        <f t="shared" si="4221"/>
        <v>690000</v>
      </c>
      <c r="K7416" s="63">
        <f t="shared" si="4222"/>
        <v>0.35751295336787564</v>
      </c>
      <c r="L7416" s="1212" t="s">
        <v>4246</v>
      </c>
      <c r="M7416" s="468"/>
      <c r="N7416" s="1192">
        <f t="shared" si="4179"/>
        <v>46017</v>
      </c>
      <c r="O7416" s="71" t="s">
        <v>2030</v>
      </c>
      <c r="P7416" s="103" t="str">
        <f t="shared" si="4226"/>
        <v>Fount Web 551AF</v>
      </c>
      <c r="Q7416" s="71">
        <f t="shared" si="4223"/>
        <v>10</v>
      </c>
      <c r="R7416" s="102">
        <v>124000</v>
      </c>
      <c r="S7416" s="102">
        <f t="shared" si="4224"/>
        <v>1364000</v>
      </c>
      <c r="T7416" s="102">
        <f t="shared" si="4225"/>
        <v>1240000</v>
      </c>
      <c r="U7416" s="71" t="str">
        <f>IF(J7416=W7416,"O", "X")</f>
        <v>X</v>
      </c>
      <c r="V7416" s="71"/>
      <c r="W7416" s="474">
        <v>640000</v>
      </c>
      <c r="X7416" s="71"/>
      <c r="Y7416" s="71"/>
    </row>
    <row r="7417" spans="1:25" ht="30" hidden="1" customHeight="1" x14ac:dyDescent="0.25">
      <c r="A7417" s="1145">
        <v>46017</v>
      </c>
      <c r="B7417" s="664" t="s">
        <v>2261</v>
      </c>
      <c r="C7417" s="71" t="s">
        <v>277</v>
      </c>
      <c r="D7417" s="71">
        <v>10</v>
      </c>
      <c r="E7417" s="102">
        <v>172000</v>
      </c>
      <c r="F7417" s="102">
        <f t="shared" si="4219"/>
        <v>1892000.0000000002</v>
      </c>
      <c r="G7417" s="102">
        <f t="shared" si="4220"/>
        <v>1720000</v>
      </c>
      <c r="H7417" s="690" t="s">
        <v>172</v>
      </c>
      <c r="I7417" s="71" t="s">
        <v>108</v>
      </c>
      <c r="J7417" s="53">
        <f t="shared" si="4221"/>
        <v>390000</v>
      </c>
      <c r="K7417" s="63">
        <f t="shared" si="4222"/>
        <v>0.22674418604651159</v>
      </c>
      <c r="L7417" s="1212" t="s">
        <v>4246</v>
      </c>
      <c r="M7417" s="468"/>
      <c r="N7417" s="1192">
        <f t="shared" si="4179"/>
        <v>46017</v>
      </c>
      <c r="O7417" s="71" t="s">
        <v>662</v>
      </c>
      <c r="P7417" s="103" t="str">
        <f t="shared" si="4226"/>
        <v>윤전용 세척제(Web 504)</v>
      </c>
      <c r="Q7417" s="71">
        <f t="shared" si="4223"/>
        <v>10</v>
      </c>
      <c r="R7417" s="102">
        <v>133000</v>
      </c>
      <c r="S7417" s="102">
        <f t="shared" si="4224"/>
        <v>1463000.0000000002</v>
      </c>
      <c r="T7417" s="102">
        <f t="shared" si="4225"/>
        <v>1330000</v>
      </c>
      <c r="U7417" s="71" t="str">
        <f>IF(J7417=W7417,"O", "X")</f>
        <v>X</v>
      </c>
      <c r="V7417" s="71"/>
      <c r="W7417" s="474"/>
      <c r="X7417" s="71"/>
      <c r="Y7417" s="71"/>
    </row>
    <row r="7418" spans="1:25" ht="30" hidden="1" customHeight="1" x14ac:dyDescent="0.25">
      <c r="A7418" s="1145">
        <v>46017</v>
      </c>
      <c r="B7418" s="664" t="s">
        <v>2261</v>
      </c>
      <c r="C7418" s="71" t="s">
        <v>3299</v>
      </c>
      <c r="D7418" s="71">
        <v>10</v>
      </c>
      <c r="E7418" s="102">
        <v>52000</v>
      </c>
      <c r="F7418" s="102">
        <f t="shared" si="4219"/>
        <v>572000</v>
      </c>
      <c r="G7418" s="102">
        <f t="shared" si="4220"/>
        <v>520000</v>
      </c>
      <c r="H7418" s="690" t="s">
        <v>172</v>
      </c>
      <c r="I7418" s="71" t="s">
        <v>180</v>
      </c>
      <c r="J7418" s="53">
        <f t="shared" si="4221"/>
        <v>45000</v>
      </c>
      <c r="K7418" s="63">
        <f t="shared" si="4222"/>
        <v>8.6538461538461536E-2</v>
      </c>
      <c r="L7418" s="1212" t="s">
        <v>4246</v>
      </c>
      <c r="M7418" s="468" t="s">
        <v>3835</v>
      </c>
      <c r="N7418" s="1192">
        <f t="shared" si="4179"/>
        <v>46017</v>
      </c>
      <c r="O7418" s="71" t="s">
        <v>175</v>
      </c>
      <c r="P7418" s="103" t="str">
        <f t="shared" si="4226"/>
        <v>매엽용 세척제(Wash k11)</v>
      </c>
      <c r="Q7418" s="71">
        <f t="shared" si="4223"/>
        <v>10</v>
      </c>
      <c r="R7418" s="102">
        <v>47500</v>
      </c>
      <c r="S7418" s="102">
        <f t="shared" si="4224"/>
        <v>522500.00000000006</v>
      </c>
      <c r="T7418" s="102">
        <f t="shared" si="4225"/>
        <v>475000</v>
      </c>
      <c r="U7418" s="71" t="s">
        <v>859</v>
      </c>
      <c r="V7418" s="71"/>
      <c r="W7418" s="474"/>
      <c r="X7418" s="71"/>
      <c r="Y7418" s="71"/>
    </row>
    <row r="7419" spans="1:25" ht="30" hidden="1" customHeight="1" x14ac:dyDescent="0.25">
      <c r="A7419" s="1145">
        <v>46017</v>
      </c>
      <c r="B7419" s="664" t="s">
        <v>3289</v>
      </c>
      <c r="C7419" s="71" t="s">
        <v>2070</v>
      </c>
      <c r="D7419" s="71">
        <v>10</v>
      </c>
      <c r="E7419" s="102">
        <v>110000</v>
      </c>
      <c r="F7419" s="102">
        <f t="shared" si="4219"/>
        <v>1210000</v>
      </c>
      <c r="G7419" s="102">
        <f t="shared" si="4220"/>
        <v>1100000</v>
      </c>
      <c r="H7419" s="690" t="s">
        <v>172</v>
      </c>
      <c r="I7419" s="71" t="s">
        <v>33</v>
      </c>
      <c r="J7419" s="53">
        <f t="shared" si="4221"/>
        <v>206000</v>
      </c>
      <c r="K7419" s="63">
        <f t="shared" si="4222"/>
        <v>0.18727272727272729</v>
      </c>
      <c r="L7419" s="1212" t="s">
        <v>4246</v>
      </c>
      <c r="M7419" s="468" t="s">
        <v>4114</v>
      </c>
      <c r="N7419" s="1192">
        <f t="shared" si="4179"/>
        <v>46017</v>
      </c>
      <c r="O7419" s="71" t="s">
        <v>146</v>
      </c>
      <c r="P7419" s="103" t="str">
        <f t="shared" si="4226"/>
        <v>Blanket(1050*840)</v>
      </c>
      <c r="Q7419" s="71">
        <f t="shared" si="4223"/>
        <v>10</v>
      </c>
      <c r="R7419" s="102">
        <v>89400</v>
      </c>
      <c r="S7419" s="102">
        <f t="shared" si="4224"/>
        <v>983400.00000000012</v>
      </c>
      <c r="T7419" s="102">
        <f t="shared" si="4225"/>
        <v>894000</v>
      </c>
      <c r="U7419" s="71" t="str">
        <f>IF(J7419=W7419,"O", "X")</f>
        <v>X</v>
      </c>
      <c r="V7419" s="71"/>
      <c r="W7419" s="474">
        <v>275000</v>
      </c>
      <c r="X7419" s="71"/>
      <c r="Y7419" s="71"/>
    </row>
    <row r="7420" spans="1:25" s="209" customFormat="1" ht="30" hidden="1" customHeight="1" x14ac:dyDescent="0.25">
      <c r="A7420" s="1145">
        <v>45632</v>
      </c>
      <c r="B7420" s="664" t="s">
        <v>442</v>
      </c>
      <c r="C7420" s="71" t="s">
        <v>3833</v>
      </c>
      <c r="D7420" s="71">
        <v>1000</v>
      </c>
      <c r="E7420" s="102">
        <v>4250</v>
      </c>
      <c r="F7420" s="102">
        <f t="shared" si="4219"/>
        <v>4675000</v>
      </c>
      <c r="G7420" s="102">
        <f t="shared" si="4220"/>
        <v>4250000</v>
      </c>
      <c r="H7420" s="690" t="s">
        <v>2029</v>
      </c>
      <c r="I7420" s="71" t="s">
        <v>2230</v>
      </c>
      <c r="J7420" s="53">
        <f t="shared" si="4221"/>
        <v>800000</v>
      </c>
      <c r="K7420" s="63">
        <f t="shared" si="4222"/>
        <v>0.18823529411764706</v>
      </c>
      <c r="L7420" s="1212" t="s">
        <v>4246</v>
      </c>
      <c r="M7420" s="468"/>
      <c r="N7420" s="1192">
        <f t="shared" si="4179"/>
        <v>45632</v>
      </c>
      <c r="O7420" s="71" t="s">
        <v>2030</v>
      </c>
      <c r="P7420" s="103" t="str">
        <f t="shared" si="4226"/>
        <v>CTP 판 1030*790</v>
      </c>
      <c r="Q7420" s="71">
        <f t="shared" si="4223"/>
        <v>1000</v>
      </c>
      <c r="R7420" s="102">
        <v>3450</v>
      </c>
      <c r="S7420" s="102">
        <f t="shared" si="4224"/>
        <v>3795000.0000000005</v>
      </c>
      <c r="T7420" s="102">
        <f t="shared" si="4225"/>
        <v>3450000</v>
      </c>
      <c r="U7420" s="71"/>
      <c r="V7420" s="71"/>
      <c r="W7420" s="474"/>
      <c r="X7420" s="71"/>
      <c r="Y7420" s="71"/>
    </row>
    <row r="7421" spans="1:25" ht="30" hidden="1" customHeight="1" x14ac:dyDescent="0.25">
      <c r="A7421" s="1145">
        <v>45997</v>
      </c>
      <c r="B7421" s="664" t="s">
        <v>442</v>
      </c>
      <c r="C7421" s="71" t="s">
        <v>3834</v>
      </c>
      <c r="D7421" s="71">
        <v>8</v>
      </c>
      <c r="E7421" s="102">
        <v>57000</v>
      </c>
      <c r="F7421" s="102">
        <f t="shared" si="4219"/>
        <v>501600.00000000006</v>
      </c>
      <c r="G7421" s="102">
        <f t="shared" si="4220"/>
        <v>456000</v>
      </c>
      <c r="H7421" s="690" t="s">
        <v>2029</v>
      </c>
      <c r="I7421" s="71" t="s">
        <v>2230</v>
      </c>
      <c r="J7421" s="53">
        <f t="shared" si="4221"/>
        <v>138720</v>
      </c>
      <c r="K7421" s="63">
        <f t="shared" si="4222"/>
        <v>0.30421052631578943</v>
      </c>
      <c r="L7421" s="1212" t="s">
        <v>4246</v>
      </c>
      <c r="M7421" s="468"/>
      <c r="N7421" s="1192">
        <f t="shared" si="4179"/>
        <v>45997</v>
      </c>
      <c r="O7421" s="71" t="s">
        <v>2030</v>
      </c>
      <c r="P7421" s="103" t="str">
        <f t="shared" si="4226"/>
        <v>CTP 현상액</v>
      </c>
      <c r="Q7421" s="71">
        <f t="shared" si="4223"/>
        <v>8</v>
      </c>
      <c r="R7421" s="102">
        <v>39660</v>
      </c>
      <c r="S7421" s="102">
        <f t="shared" si="4224"/>
        <v>349008</v>
      </c>
      <c r="T7421" s="102">
        <f t="shared" si="4225"/>
        <v>317280</v>
      </c>
      <c r="U7421" s="71"/>
      <c r="V7421" s="71"/>
      <c r="W7421" s="474"/>
      <c r="X7421" s="71"/>
      <c r="Y7421" s="71"/>
    </row>
    <row r="7422" spans="1:25" ht="30" hidden="1" customHeight="1" x14ac:dyDescent="0.25">
      <c r="A7422" s="1145">
        <v>46004</v>
      </c>
      <c r="B7422" s="664" t="s">
        <v>442</v>
      </c>
      <c r="C7422" s="71" t="s">
        <v>3299</v>
      </c>
      <c r="D7422" s="71">
        <v>15</v>
      </c>
      <c r="E7422" s="102">
        <v>69000</v>
      </c>
      <c r="F7422" s="102">
        <f t="shared" si="4219"/>
        <v>1138500</v>
      </c>
      <c r="G7422" s="102">
        <f t="shared" si="4220"/>
        <v>1035000</v>
      </c>
      <c r="H7422" s="690" t="s">
        <v>172</v>
      </c>
      <c r="I7422" s="71" t="s">
        <v>180</v>
      </c>
      <c r="J7422" s="53">
        <f t="shared" si="4221"/>
        <v>322500</v>
      </c>
      <c r="K7422" s="63">
        <f t="shared" si="4222"/>
        <v>0.31159420289855072</v>
      </c>
      <c r="L7422" s="1212" t="s">
        <v>4246</v>
      </c>
      <c r="M7422" s="468" t="s">
        <v>3304</v>
      </c>
      <c r="N7422" s="1192">
        <f t="shared" si="4179"/>
        <v>46004</v>
      </c>
      <c r="O7422" s="71" t="s">
        <v>175</v>
      </c>
      <c r="P7422" s="103" t="str">
        <f t="shared" si="4226"/>
        <v>매엽용 세척제(Wash k11)</v>
      </c>
      <c r="Q7422" s="71">
        <f t="shared" si="4223"/>
        <v>15</v>
      </c>
      <c r="R7422" s="102">
        <v>47500</v>
      </c>
      <c r="S7422" s="102">
        <f t="shared" si="4224"/>
        <v>783750.00000000012</v>
      </c>
      <c r="T7422" s="102">
        <f t="shared" si="4225"/>
        <v>712500</v>
      </c>
      <c r="U7422" s="71" t="s">
        <v>859</v>
      </c>
      <c r="V7422" s="71"/>
      <c r="W7422" s="474"/>
      <c r="X7422" s="71"/>
      <c r="Y7422" s="71"/>
    </row>
    <row r="7423" spans="1:25" ht="30" hidden="1" customHeight="1" x14ac:dyDescent="0.25">
      <c r="A7423" s="1145">
        <v>46002</v>
      </c>
      <c r="B7423" s="664" t="s">
        <v>442</v>
      </c>
      <c r="C7423" s="71" t="s">
        <v>4254</v>
      </c>
      <c r="D7423" s="71">
        <v>1</v>
      </c>
      <c r="E7423" s="102">
        <v>250000</v>
      </c>
      <c r="F7423" s="102">
        <f t="shared" si="4219"/>
        <v>275000</v>
      </c>
      <c r="G7423" s="102">
        <f t="shared" si="4220"/>
        <v>250000</v>
      </c>
      <c r="H7423" s="690" t="s">
        <v>2029</v>
      </c>
      <c r="I7423" s="71" t="s">
        <v>2230</v>
      </c>
      <c r="J7423" s="53">
        <f t="shared" si="4221"/>
        <v>50000</v>
      </c>
      <c r="K7423" s="63">
        <f t="shared" si="4222"/>
        <v>0.2</v>
      </c>
      <c r="L7423" s="1212" t="s">
        <v>4246</v>
      </c>
      <c r="M7423" s="468"/>
      <c r="N7423" s="1192">
        <f t="shared" si="4179"/>
        <v>46002</v>
      </c>
      <c r="O7423" s="71" t="s">
        <v>3710</v>
      </c>
      <c r="P7423" s="103" t="str">
        <f t="shared" si="4226"/>
        <v>CTP 아포지 기술지원서비스</v>
      </c>
      <c r="Q7423" s="71">
        <f t="shared" si="4223"/>
        <v>1</v>
      </c>
      <c r="R7423" s="147">
        <v>200000</v>
      </c>
      <c r="S7423" s="102">
        <f t="shared" si="4224"/>
        <v>220000.00000000003</v>
      </c>
      <c r="T7423" s="102">
        <f t="shared" si="4225"/>
        <v>200000</v>
      </c>
      <c r="U7423" s="71"/>
      <c r="V7423" s="71"/>
      <c r="W7423" s="474"/>
      <c r="X7423" s="71"/>
      <c r="Y7423" s="71"/>
    </row>
    <row r="7424" spans="1:25" ht="30" hidden="1" customHeight="1" x14ac:dyDescent="0.25">
      <c r="A7424" s="1145">
        <v>46007</v>
      </c>
      <c r="B7424" s="664" t="s">
        <v>442</v>
      </c>
      <c r="C7424" s="71" t="s">
        <v>4255</v>
      </c>
      <c r="D7424" s="71">
        <v>1</v>
      </c>
      <c r="E7424" s="102">
        <v>300000</v>
      </c>
      <c r="F7424" s="102">
        <f t="shared" si="4219"/>
        <v>330000</v>
      </c>
      <c r="G7424" s="102">
        <f t="shared" si="4220"/>
        <v>300000</v>
      </c>
      <c r="H7424" s="690" t="s">
        <v>2029</v>
      </c>
      <c r="I7424" s="71" t="s">
        <v>2230</v>
      </c>
      <c r="J7424" s="53">
        <f t="shared" si="4221"/>
        <v>-50000</v>
      </c>
      <c r="K7424" s="63">
        <f t="shared" si="4222"/>
        <v>-0.16666666666666666</v>
      </c>
      <c r="L7424" s="1212" t="s">
        <v>4246</v>
      </c>
      <c r="M7424" s="102"/>
      <c r="N7424" s="1192">
        <f t="shared" si="4179"/>
        <v>46007</v>
      </c>
      <c r="O7424" s="71" t="s">
        <v>4265</v>
      </c>
      <c r="P7424" s="103" t="str">
        <f t="shared" si="4226"/>
        <v>소부기 출장비 및 기술료</v>
      </c>
      <c r="Q7424" s="71">
        <f t="shared" si="4223"/>
        <v>1</v>
      </c>
      <c r="R7424" s="102">
        <v>350000</v>
      </c>
      <c r="S7424" s="102">
        <f t="shared" si="4224"/>
        <v>385000.00000000006</v>
      </c>
      <c r="T7424" s="102">
        <f t="shared" si="4225"/>
        <v>350000</v>
      </c>
      <c r="U7424" s="71"/>
      <c r="V7424" s="71"/>
      <c r="W7424" s="474"/>
      <c r="X7424" s="71"/>
      <c r="Y7424" s="71"/>
    </row>
    <row r="7425" spans="1:25" ht="30" hidden="1" customHeight="1" x14ac:dyDescent="0.25">
      <c r="A7425" s="1145">
        <v>46007</v>
      </c>
      <c r="B7425" s="664" t="s">
        <v>442</v>
      </c>
      <c r="C7425" s="71" t="s">
        <v>4256</v>
      </c>
      <c r="D7425" s="71">
        <v>1</v>
      </c>
      <c r="E7425" s="102">
        <v>200000</v>
      </c>
      <c r="F7425" s="102">
        <f t="shared" si="4219"/>
        <v>220000.00000000003</v>
      </c>
      <c r="G7425" s="102">
        <f t="shared" si="4220"/>
        <v>200000</v>
      </c>
      <c r="H7425" s="690" t="s">
        <v>2029</v>
      </c>
      <c r="I7425" s="71" t="s">
        <v>2230</v>
      </c>
      <c r="J7425" s="53">
        <f t="shared" si="4221"/>
        <v>-50000</v>
      </c>
      <c r="K7425" s="63">
        <f t="shared" si="4222"/>
        <v>-0.24999999999999997</v>
      </c>
      <c r="L7425" s="1212" t="s">
        <v>4246</v>
      </c>
      <c r="M7425" s="468"/>
      <c r="N7425" s="1192">
        <f t="shared" ref="N7425:N7454" si="4227">A7425</f>
        <v>46007</v>
      </c>
      <c r="O7425" s="71" t="s">
        <v>4265</v>
      </c>
      <c r="P7425" s="103" t="str">
        <f t="shared" si="4226"/>
        <v>소부기 램프샷다모터</v>
      </c>
      <c r="Q7425" s="71">
        <f t="shared" si="4223"/>
        <v>1</v>
      </c>
      <c r="R7425" s="147">
        <v>250000</v>
      </c>
      <c r="S7425" s="102">
        <f t="shared" si="4224"/>
        <v>275000</v>
      </c>
      <c r="T7425" s="102">
        <f t="shared" si="4225"/>
        <v>250000</v>
      </c>
      <c r="U7425" s="71"/>
      <c r="V7425" s="71"/>
      <c r="W7425" s="474"/>
      <c r="X7425" s="71"/>
      <c r="Y7425" s="71"/>
    </row>
    <row r="7426" spans="1:25" ht="30" hidden="1" customHeight="1" x14ac:dyDescent="0.25">
      <c r="A7426" s="1145">
        <v>46007</v>
      </c>
      <c r="B7426" s="664" t="s">
        <v>442</v>
      </c>
      <c r="C7426" s="71" t="s">
        <v>4257</v>
      </c>
      <c r="D7426" s="71">
        <v>1</v>
      </c>
      <c r="E7426" s="102">
        <v>800000</v>
      </c>
      <c r="F7426" s="102">
        <f t="shared" si="4219"/>
        <v>880000.00000000012</v>
      </c>
      <c r="G7426" s="102">
        <f t="shared" si="4220"/>
        <v>800000</v>
      </c>
      <c r="H7426" s="690" t="s">
        <v>2029</v>
      </c>
      <c r="I7426" s="71" t="s">
        <v>2230</v>
      </c>
      <c r="J7426" s="53">
        <f t="shared" si="4221"/>
        <v>0</v>
      </c>
      <c r="K7426" s="63">
        <f t="shared" si="4222"/>
        <v>0</v>
      </c>
      <c r="L7426" s="1212" t="s">
        <v>4246</v>
      </c>
      <c r="M7426" s="102"/>
      <c r="N7426" s="1192">
        <f t="shared" si="4227"/>
        <v>46007</v>
      </c>
      <c r="O7426" s="71" t="s">
        <v>4265</v>
      </c>
      <c r="P7426" s="103" t="str">
        <f t="shared" si="4226"/>
        <v>소부기 램프트랜스</v>
      </c>
      <c r="Q7426" s="71">
        <f t="shared" si="4223"/>
        <v>1</v>
      </c>
      <c r="R7426" s="102">
        <v>800000</v>
      </c>
      <c r="S7426" s="102">
        <f t="shared" si="4224"/>
        <v>880000.00000000012</v>
      </c>
      <c r="T7426" s="102">
        <f t="shared" si="4225"/>
        <v>800000</v>
      </c>
      <c r="U7426" s="71"/>
      <c r="V7426" s="71"/>
      <c r="W7426" s="474"/>
      <c r="X7426" s="71"/>
      <c r="Y7426" s="71"/>
    </row>
    <row r="7427" spans="1:25" ht="30" hidden="1" customHeight="1" x14ac:dyDescent="0.25">
      <c r="A7427" s="1145">
        <v>45993</v>
      </c>
      <c r="B7427" s="664" t="s">
        <v>3296</v>
      </c>
      <c r="C7427" s="71" t="s">
        <v>3297</v>
      </c>
      <c r="D7427" s="71">
        <v>20</v>
      </c>
      <c r="E7427" s="102">
        <v>162500</v>
      </c>
      <c r="F7427" s="102">
        <f t="shared" si="4219"/>
        <v>3575000.0000000005</v>
      </c>
      <c r="G7427" s="102">
        <f t="shared" si="4220"/>
        <v>3250000</v>
      </c>
      <c r="H7427" s="690" t="s">
        <v>172</v>
      </c>
      <c r="I7427" s="71" t="s">
        <v>3295</v>
      </c>
      <c r="J7427" s="53">
        <f t="shared" si="4221"/>
        <v>850000</v>
      </c>
      <c r="K7427" s="63">
        <f t="shared" si="4222"/>
        <v>0.2615384615384615</v>
      </c>
      <c r="L7427" s="1212" t="s">
        <v>4246</v>
      </c>
      <c r="M7427" s="468"/>
      <c r="N7427" s="1192">
        <f t="shared" si="4227"/>
        <v>45993</v>
      </c>
      <c r="O7427" s="71" t="s">
        <v>662</v>
      </c>
      <c r="P7427" s="103" t="str">
        <f t="shared" si="4226"/>
        <v>실리콘 에멀전</v>
      </c>
      <c r="Q7427" s="71">
        <f t="shared" si="4223"/>
        <v>20</v>
      </c>
      <c r="R7427" s="102">
        <v>120000</v>
      </c>
      <c r="S7427" s="102">
        <f t="shared" si="4224"/>
        <v>2640000</v>
      </c>
      <c r="T7427" s="102">
        <f t="shared" si="4225"/>
        <v>2400000</v>
      </c>
      <c r="U7427" s="71" t="str">
        <f t="shared" ref="U7427:U7428" si="4228">IF(J7427=W7427,"O", "X")</f>
        <v>X</v>
      </c>
      <c r="V7427" s="71"/>
      <c r="W7427" s="474"/>
      <c r="X7427" s="71"/>
      <c r="Y7427" s="71"/>
    </row>
    <row r="7428" spans="1:25" ht="30" hidden="1" customHeight="1" x14ac:dyDescent="0.25">
      <c r="A7428" s="1145">
        <v>46010</v>
      </c>
      <c r="B7428" s="664" t="s">
        <v>3296</v>
      </c>
      <c r="C7428" s="71" t="s">
        <v>3297</v>
      </c>
      <c r="D7428" s="71">
        <v>20</v>
      </c>
      <c r="E7428" s="102">
        <v>162500</v>
      </c>
      <c r="F7428" s="102">
        <f t="shared" si="4219"/>
        <v>3575000.0000000005</v>
      </c>
      <c r="G7428" s="102">
        <f t="shared" si="4220"/>
        <v>3250000</v>
      </c>
      <c r="H7428" s="690" t="s">
        <v>172</v>
      </c>
      <c r="I7428" s="71" t="s">
        <v>3295</v>
      </c>
      <c r="J7428" s="53">
        <f t="shared" si="4221"/>
        <v>850000</v>
      </c>
      <c r="K7428" s="63">
        <f t="shared" si="4222"/>
        <v>0.2615384615384615</v>
      </c>
      <c r="L7428" s="1212" t="s">
        <v>4246</v>
      </c>
      <c r="M7428" s="468"/>
      <c r="N7428" s="1192">
        <f t="shared" si="4227"/>
        <v>46010</v>
      </c>
      <c r="O7428" s="71" t="s">
        <v>662</v>
      </c>
      <c r="P7428" s="103" t="str">
        <f t="shared" si="4226"/>
        <v>실리콘 에멀전</v>
      </c>
      <c r="Q7428" s="71">
        <f t="shared" si="4223"/>
        <v>20</v>
      </c>
      <c r="R7428" s="102">
        <v>120000</v>
      </c>
      <c r="S7428" s="102">
        <f t="shared" si="4224"/>
        <v>2640000</v>
      </c>
      <c r="T7428" s="102">
        <f t="shared" si="4225"/>
        <v>2400000</v>
      </c>
      <c r="U7428" s="71" t="str">
        <f t="shared" si="4228"/>
        <v>X</v>
      </c>
      <c r="V7428" s="71"/>
      <c r="W7428" s="474"/>
      <c r="X7428" s="71"/>
      <c r="Y7428" s="71"/>
    </row>
    <row r="7429" spans="1:25" ht="30" hidden="1" customHeight="1" x14ac:dyDescent="0.25">
      <c r="A7429" s="1145">
        <v>46014</v>
      </c>
      <c r="B7429" s="664" t="s">
        <v>548</v>
      </c>
      <c r="C7429" s="71" t="s">
        <v>3384</v>
      </c>
      <c r="D7429" s="71">
        <v>400</v>
      </c>
      <c r="E7429" s="102">
        <v>550</v>
      </c>
      <c r="F7429" s="102">
        <f>(E7429*D7429)*1.1</f>
        <v>242000.00000000003</v>
      </c>
      <c r="G7429" s="102">
        <f>(E7429*D7429)</f>
        <v>220000</v>
      </c>
      <c r="H7429" s="690" t="s">
        <v>2029</v>
      </c>
      <c r="I7429" s="71" t="s">
        <v>3385</v>
      </c>
      <c r="J7429" s="53">
        <f t="shared" si="4221"/>
        <v>92000</v>
      </c>
      <c r="K7429" s="63">
        <f t="shared" si="4222"/>
        <v>0.4181818181818181</v>
      </c>
      <c r="L7429" s="1212" t="s">
        <v>4246</v>
      </c>
      <c r="M7429" s="468"/>
      <c r="N7429" s="1192">
        <f t="shared" si="4227"/>
        <v>46014</v>
      </c>
      <c r="O7429" s="71" t="s">
        <v>2030</v>
      </c>
      <c r="P7429" s="103" t="str">
        <f t="shared" si="4226"/>
        <v>고무사카 빨간색</v>
      </c>
      <c r="Q7429" s="71">
        <f t="shared" si="4223"/>
        <v>400</v>
      </c>
      <c r="R7429" s="102">
        <v>320</v>
      </c>
      <c r="S7429" s="102">
        <f t="shared" si="4224"/>
        <v>140800</v>
      </c>
      <c r="T7429" s="102">
        <f t="shared" si="4225"/>
        <v>128000</v>
      </c>
      <c r="U7429" s="71"/>
      <c r="V7429" s="71"/>
      <c r="W7429" s="474"/>
      <c r="X7429" s="71"/>
      <c r="Y7429" s="71"/>
    </row>
    <row r="7430" spans="1:25" ht="30" hidden="1" customHeight="1" x14ac:dyDescent="0.25">
      <c r="A7430" s="1145">
        <v>46014</v>
      </c>
      <c r="B7430" s="664" t="s">
        <v>18</v>
      </c>
      <c r="C7430" s="71" t="s">
        <v>3305</v>
      </c>
      <c r="D7430" s="71">
        <v>10</v>
      </c>
      <c r="E7430" s="102">
        <v>86000</v>
      </c>
      <c r="F7430" s="102">
        <f t="shared" ref="F7430:F7434" si="4229">(E7430*D7430)*1.1</f>
        <v>946000.00000000012</v>
      </c>
      <c r="G7430" s="102">
        <f t="shared" ref="G7430:G7434" si="4230">(E7430*D7430)</f>
        <v>860000</v>
      </c>
      <c r="H7430" s="690" t="s">
        <v>172</v>
      </c>
      <c r="I7430" s="71" t="s">
        <v>3295</v>
      </c>
      <c r="J7430" s="53">
        <f t="shared" si="4221"/>
        <v>160000</v>
      </c>
      <c r="K7430" s="63">
        <f t="shared" si="4222"/>
        <v>0.18604651162790695</v>
      </c>
      <c r="L7430" s="1212" t="s">
        <v>4246</v>
      </c>
      <c r="M7430" s="468" t="s">
        <v>3306</v>
      </c>
      <c r="N7430" s="1192">
        <f t="shared" si="4227"/>
        <v>46014</v>
      </c>
      <c r="O7430" s="71" t="s">
        <v>146</v>
      </c>
      <c r="P7430" s="103" t="s">
        <v>3305</v>
      </c>
      <c r="Q7430" s="71">
        <f t="shared" si="4223"/>
        <v>10</v>
      </c>
      <c r="R7430" s="102">
        <v>70000</v>
      </c>
      <c r="S7430" s="102">
        <f t="shared" si="4224"/>
        <v>770000.00000000012</v>
      </c>
      <c r="T7430" s="102">
        <f t="shared" si="4225"/>
        <v>700000</v>
      </c>
      <c r="U7430" s="71" t="s">
        <v>1915</v>
      </c>
      <c r="V7430" s="71"/>
      <c r="W7430" s="474"/>
      <c r="X7430" s="71"/>
      <c r="Y7430" s="71"/>
    </row>
    <row r="7431" spans="1:25" ht="30" hidden="1" customHeight="1" x14ac:dyDescent="0.25">
      <c r="A7431" s="1145">
        <v>46002</v>
      </c>
      <c r="B7431" s="664" t="s">
        <v>26</v>
      </c>
      <c r="C7431" s="71" t="s">
        <v>2087</v>
      </c>
      <c r="D7431" s="71">
        <v>10</v>
      </c>
      <c r="E7431" s="102">
        <v>65000</v>
      </c>
      <c r="F7431" s="102">
        <f t="shared" si="4229"/>
        <v>715000</v>
      </c>
      <c r="G7431" s="102">
        <f t="shared" si="4230"/>
        <v>650000</v>
      </c>
      <c r="H7431" s="690" t="s">
        <v>172</v>
      </c>
      <c r="I7431" s="71" t="s">
        <v>3295</v>
      </c>
      <c r="J7431" s="53">
        <f t="shared" si="4221"/>
        <v>400000</v>
      </c>
      <c r="K7431" s="63">
        <v>0.23076923076923078</v>
      </c>
      <c r="L7431" s="1212" t="s">
        <v>4246</v>
      </c>
      <c r="M7431" s="468"/>
      <c r="N7431" s="1192">
        <f t="shared" si="4227"/>
        <v>46002</v>
      </c>
      <c r="O7431" s="71" t="s">
        <v>152</v>
      </c>
      <c r="P7431" s="103" t="str">
        <f t="shared" ref="P7431:P7434" si="4231">(C7431)</f>
        <v>아스테이지(국전)</v>
      </c>
      <c r="Q7431" s="71">
        <f t="shared" si="4223"/>
        <v>10</v>
      </c>
      <c r="R7431" s="102">
        <v>50000</v>
      </c>
      <c r="S7431" s="102">
        <f t="shared" si="4224"/>
        <v>550000</v>
      </c>
      <c r="T7431" s="102">
        <v>250000</v>
      </c>
      <c r="U7431" s="71" t="s">
        <v>1915</v>
      </c>
      <c r="V7431" s="71"/>
      <c r="W7431" s="474">
        <v>150000</v>
      </c>
      <c r="X7431" s="71"/>
      <c r="Y7431" s="71"/>
    </row>
    <row r="7432" spans="1:25" ht="30" hidden="1" customHeight="1" x14ac:dyDescent="0.25">
      <c r="A7432" s="1145">
        <v>46004</v>
      </c>
      <c r="B7432" s="664" t="s">
        <v>2798</v>
      </c>
      <c r="C7432" s="71" t="s">
        <v>4238</v>
      </c>
      <c r="D7432" s="71">
        <v>10</v>
      </c>
      <c r="E7432" s="102">
        <v>162000</v>
      </c>
      <c r="F7432" s="102">
        <f t="shared" si="4229"/>
        <v>1782000.0000000002</v>
      </c>
      <c r="G7432" s="102">
        <f t="shared" si="4230"/>
        <v>1620000</v>
      </c>
      <c r="H7432" s="690" t="s">
        <v>173</v>
      </c>
      <c r="I7432" s="71" t="s">
        <v>109</v>
      </c>
      <c r="J7432" s="53">
        <f t="shared" si="4221"/>
        <v>243000</v>
      </c>
      <c r="K7432" s="63">
        <f t="shared" ref="K7432:K7434" si="4232">(J7432/(F7432/11*10))</f>
        <v>0.14999999999999997</v>
      </c>
      <c r="L7432" s="1212" t="s">
        <v>4246</v>
      </c>
      <c r="M7432" s="468"/>
      <c r="N7432" s="1192">
        <f t="shared" si="4227"/>
        <v>46004</v>
      </c>
      <c r="O7432" s="71" t="s">
        <v>150</v>
      </c>
      <c r="P7432" s="103" t="str">
        <f t="shared" si="4231"/>
        <v>TUV 블랑켓 하이델 XL용</v>
      </c>
      <c r="Q7432" s="71">
        <f t="shared" si="4223"/>
        <v>10</v>
      </c>
      <c r="R7432" s="147">
        <v>137700</v>
      </c>
      <c r="S7432" s="102">
        <f t="shared" si="4224"/>
        <v>1514700.0000000002</v>
      </c>
      <c r="T7432" s="102">
        <f t="shared" ref="T7432:T7434" si="4233">R7432*Q7432</f>
        <v>1377000</v>
      </c>
      <c r="U7432" s="71"/>
      <c r="V7432" s="71"/>
      <c r="W7432" s="474"/>
      <c r="X7432" s="71"/>
      <c r="Y7432" s="71"/>
    </row>
    <row r="7433" spans="1:25" ht="30" hidden="1" customHeight="1" x14ac:dyDescent="0.25">
      <c r="A7433" s="1145">
        <v>46004</v>
      </c>
      <c r="B7433" s="664" t="s">
        <v>2798</v>
      </c>
      <c r="C7433" s="71" t="s">
        <v>4240</v>
      </c>
      <c r="D7433" s="71">
        <v>10</v>
      </c>
      <c r="E7433" s="102">
        <v>133000</v>
      </c>
      <c r="F7433" s="102">
        <f t="shared" si="4229"/>
        <v>1463000.0000000002</v>
      </c>
      <c r="G7433" s="102">
        <f t="shared" si="4230"/>
        <v>1330000</v>
      </c>
      <c r="H7433" s="690" t="s">
        <v>173</v>
      </c>
      <c r="I7433" s="71" t="s">
        <v>109</v>
      </c>
      <c r="J7433" s="53">
        <f t="shared" si="4221"/>
        <v>210000</v>
      </c>
      <c r="K7433" s="63">
        <f t="shared" si="4232"/>
        <v>0.15789473684210523</v>
      </c>
      <c r="L7433" s="1212" t="s">
        <v>4246</v>
      </c>
      <c r="M7433" s="102"/>
      <c r="N7433" s="1192">
        <f t="shared" si="4227"/>
        <v>46004</v>
      </c>
      <c r="O7433" s="71" t="s">
        <v>150</v>
      </c>
      <c r="P7433" s="103" t="str">
        <f t="shared" si="4231"/>
        <v>5MX 블랑켓 XL용</v>
      </c>
      <c r="Q7433" s="71">
        <f t="shared" si="4223"/>
        <v>10</v>
      </c>
      <c r="R7433" s="102">
        <v>112000</v>
      </c>
      <c r="S7433" s="102">
        <f t="shared" si="4224"/>
        <v>1232000</v>
      </c>
      <c r="T7433" s="102">
        <f t="shared" si="4233"/>
        <v>1120000</v>
      </c>
      <c r="U7433" s="71"/>
      <c r="V7433" s="71"/>
      <c r="W7433" s="474"/>
      <c r="X7433" s="71"/>
      <c r="Y7433" s="71"/>
    </row>
    <row r="7434" spans="1:25" ht="30" hidden="1" customHeight="1" x14ac:dyDescent="0.25">
      <c r="A7434" s="1145">
        <v>46004</v>
      </c>
      <c r="B7434" s="664" t="s">
        <v>2798</v>
      </c>
      <c r="C7434" s="71" t="s">
        <v>4239</v>
      </c>
      <c r="D7434" s="71">
        <v>2</v>
      </c>
      <c r="E7434" s="102">
        <v>252000</v>
      </c>
      <c r="F7434" s="102">
        <f t="shared" si="4229"/>
        <v>554400</v>
      </c>
      <c r="G7434" s="102">
        <f t="shared" si="4230"/>
        <v>504000</v>
      </c>
      <c r="H7434" s="690" t="s">
        <v>173</v>
      </c>
      <c r="I7434" s="71" t="s">
        <v>180</v>
      </c>
      <c r="J7434" s="53">
        <f t="shared" si="4221"/>
        <v>129000</v>
      </c>
      <c r="K7434" s="63">
        <f t="shared" si="4232"/>
        <v>0.25595238095238093</v>
      </c>
      <c r="L7434" s="1212" t="s">
        <v>4246</v>
      </c>
      <c r="M7434" s="102"/>
      <c r="N7434" s="1192">
        <f t="shared" si="4227"/>
        <v>46004</v>
      </c>
      <c r="O7434" s="71" t="s">
        <v>150</v>
      </c>
      <c r="P7434" s="103" t="str">
        <f t="shared" si="4231"/>
        <v>Saphira 건식 세정포 하이델 XL용</v>
      </c>
      <c r="Q7434" s="71">
        <f t="shared" si="4223"/>
        <v>2</v>
      </c>
      <c r="R7434" s="102">
        <v>187500</v>
      </c>
      <c r="S7434" s="102">
        <f t="shared" si="4224"/>
        <v>412500.00000000006</v>
      </c>
      <c r="T7434" s="102">
        <f t="shared" si="4233"/>
        <v>375000</v>
      </c>
      <c r="U7434" s="71"/>
      <c r="V7434" s="71"/>
      <c r="W7434" s="474"/>
      <c r="X7434" s="71"/>
      <c r="Y7434" s="71"/>
    </row>
    <row r="7435" spans="1:25" ht="30" hidden="1" customHeight="1" x14ac:dyDescent="0.25">
      <c r="A7435" s="1145">
        <v>46010</v>
      </c>
      <c r="B7435" s="664" t="s">
        <v>2798</v>
      </c>
      <c r="C7435" s="71" t="s">
        <v>4240</v>
      </c>
      <c r="D7435" s="71">
        <v>10</v>
      </c>
      <c r="E7435" s="102">
        <v>133000</v>
      </c>
      <c r="F7435" s="102">
        <f t="shared" ref="F7435:F7452" si="4234">(E7435*D7435)*1.1</f>
        <v>1463000.0000000002</v>
      </c>
      <c r="G7435" s="102">
        <f t="shared" ref="G7435:G7452" si="4235">(E7435*D7435)</f>
        <v>1330000</v>
      </c>
      <c r="H7435" s="690" t="s">
        <v>173</v>
      </c>
      <c r="I7435" s="71" t="s">
        <v>109</v>
      </c>
      <c r="J7435" s="53">
        <f t="shared" ref="J7435:J7447" si="4236">G7435-T7435</f>
        <v>210000</v>
      </c>
      <c r="K7435" s="63">
        <f t="shared" ref="K7435:K7452" si="4237">(J7435/(F7435/11*10))</f>
        <v>0.15789473684210523</v>
      </c>
      <c r="L7435" s="1212" t="s">
        <v>4246</v>
      </c>
      <c r="M7435" s="102"/>
      <c r="N7435" s="1192">
        <f t="shared" si="4227"/>
        <v>46010</v>
      </c>
      <c r="O7435" s="71" t="s">
        <v>150</v>
      </c>
      <c r="P7435" s="103" t="str">
        <f t="shared" ref="P7435:P7452" si="4238">(C7435)</f>
        <v>5MX 블랑켓 XL용</v>
      </c>
      <c r="Q7435" s="71">
        <f t="shared" si="4223"/>
        <v>10</v>
      </c>
      <c r="R7435" s="102">
        <v>112000</v>
      </c>
      <c r="S7435" s="102">
        <f t="shared" ref="S7435:S7438" si="4239">R7435*Q7435*1.1</f>
        <v>1232000</v>
      </c>
      <c r="T7435" s="102">
        <f t="shared" ref="T7435:T7438" si="4240">R7435*Q7435</f>
        <v>1120000</v>
      </c>
      <c r="U7435" s="71"/>
      <c r="V7435" s="71"/>
      <c r="W7435" s="474"/>
      <c r="X7435" s="71"/>
      <c r="Y7435" s="71"/>
    </row>
    <row r="7436" spans="1:25" ht="30" hidden="1" customHeight="1" x14ac:dyDescent="0.25">
      <c r="A7436" s="1145">
        <v>46010</v>
      </c>
      <c r="B7436" s="664" t="s">
        <v>2798</v>
      </c>
      <c r="C7436" s="71" t="s">
        <v>4239</v>
      </c>
      <c r="D7436" s="71">
        <v>2</v>
      </c>
      <c r="E7436" s="102">
        <v>252000</v>
      </c>
      <c r="F7436" s="102">
        <f t="shared" si="4234"/>
        <v>554400</v>
      </c>
      <c r="G7436" s="102">
        <f t="shared" si="4235"/>
        <v>504000</v>
      </c>
      <c r="H7436" s="690" t="s">
        <v>173</v>
      </c>
      <c r="I7436" s="71" t="s">
        <v>180</v>
      </c>
      <c r="J7436" s="53">
        <f t="shared" si="4236"/>
        <v>129000</v>
      </c>
      <c r="K7436" s="63">
        <f t="shared" si="4237"/>
        <v>0.25595238095238093</v>
      </c>
      <c r="L7436" s="1212" t="s">
        <v>4246</v>
      </c>
      <c r="M7436" s="102"/>
      <c r="N7436" s="1192">
        <f t="shared" si="4227"/>
        <v>46010</v>
      </c>
      <c r="O7436" s="71" t="s">
        <v>150</v>
      </c>
      <c r="P7436" s="103" t="str">
        <f t="shared" si="4238"/>
        <v>Saphira 건식 세정포 하이델 XL용</v>
      </c>
      <c r="Q7436" s="71">
        <f t="shared" si="4223"/>
        <v>2</v>
      </c>
      <c r="R7436" s="102">
        <v>187500</v>
      </c>
      <c r="S7436" s="102">
        <f t="shared" si="4239"/>
        <v>412500.00000000006</v>
      </c>
      <c r="T7436" s="102">
        <f t="shared" si="4240"/>
        <v>375000</v>
      </c>
      <c r="U7436" s="71"/>
      <c r="V7436" s="71"/>
      <c r="W7436" s="474"/>
      <c r="X7436" s="71"/>
      <c r="Y7436" s="71"/>
    </row>
    <row r="7437" spans="1:25" ht="30" hidden="1" customHeight="1" x14ac:dyDescent="0.25">
      <c r="A7437" s="1145">
        <v>46022</v>
      </c>
      <c r="B7437" s="664" t="s">
        <v>2798</v>
      </c>
      <c r="C7437" s="71" t="s">
        <v>167</v>
      </c>
      <c r="D7437" s="71">
        <v>10</v>
      </c>
      <c r="E7437" s="102">
        <v>138000</v>
      </c>
      <c r="F7437" s="102">
        <f t="shared" si="4234"/>
        <v>1518000.0000000002</v>
      </c>
      <c r="G7437" s="102">
        <f t="shared" si="4235"/>
        <v>1380000</v>
      </c>
      <c r="H7437" s="690" t="s">
        <v>172</v>
      </c>
      <c r="I7437" s="71" t="s">
        <v>33</v>
      </c>
      <c r="J7437" s="53">
        <f t="shared" si="4236"/>
        <v>460000</v>
      </c>
      <c r="K7437" s="63">
        <f t="shared" si="4237"/>
        <v>0.33333333333333326</v>
      </c>
      <c r="L7437" s="1212" t="s">
        <v>4246</v>
      </c>
      <c r="M7437" s="468" t="s">
        <v>4114</v>
      </c>
      <c r="N7437" s="1192">
        <f t="shared" si="4227"/>
        <v>46022</v>
      </c>
      <c r="O7437" s="71" t="s">
        <v>146</v>
      </c>
      <c r="P7437" s="103" t="str">
        <f t="shared" si="4238"/>
        <v>Blanket(1060*860)</v>
      </c>
      <c r="Q7437" s="71">
        <f t="shared" si="4223"/>
        <v>10</v>
      </c>
      <c r="R7437" s="102">
        <v>92000</v>
      </c>
      <c r="S7437" s="102">
        <f t="shared" si="4239"/>
        <v>1012000.0000000001</v>
      </c>
      <c r="T7437" s="102">
        <f t="shared" si="4240"/>
        <v>920000</v>
      </c>
      <c r="U7437" s="71" t="str">
        <f t="shared" ref="U7437" si="4241">IF(J7437=W7437,"O", "X")</f>
        <v>X</v>
      </c>
      <c r="V7437" s="71"/>
      <c r="W7437" s="474"/>
      <c r="X7437" s="71"/>
      <c r="Y7437" s="71"/>
    </row>
    <row r="7438" spans="1:25" ht="30" hidden="1" customHeight="1" x14ac:dyDescent="0.25">
      <c r="A7438" s="1145">
        <v>46022</v>
      </c>
      <c r="B7438" s="664" t="s">
        <v>2798</v>
      </c>
      <c r="C7438" s="71" t="s">
        <v>4238</v>
      </c>
      <c r="D7438" s="71">
        <v>10</v>
      </c>
      <c r="E7438" s="102">
        <v>162000</v>
      </c>
      <c r="F7438" s="102">
        <f t="shared" si="4234"/>
        <v>1782000.0000000002</v>
      </c>
      <c r="G7438" s="102">
        <f t="shared" si="4235"/>
        <v>1620000</v>
      </c>
      <c r="H7438" s="690" t="s">
        <v>173</v>
      </c>
      <c r="I7438" s="71" t="s">
        <v>109</v>
      </c>
      <c r="J7438" s="53">
        <f t="shared" si="4236"/>
        <v>243000</v>
      </c>
      <c r="K7438" s="63">
        <f t="shared" si="4237"/>
        <v>0.14999999999999997</v>
      </c>
      <c r="L7438" s="1212" t="s">
        <v>4246</v>
      </c>
      <c r="M7438" s="468"/>
      <c r="N7438" s="1192">
        <f t="shared" si="4227"/>
        <v>46022</v>
      </c>
      <c r="O7438" s="71" t="s">
        <v>150</v>
      </c>
      <c r="P7438" s="103" t="str">
        <f t="shared" si="4238"/>
        <v>TUV 블랑켓 하이델 XL용</v>
      </c>
      <c r="Q7438" s="71">
        <f t="shared" si="4223"/>
        <v>10</v>
      </c>
      <c r="R7438" s="147">
        <v>137700</v>
      </c>
      <c r="S7438" s="102">
        <f t="shared" si="4239"/>
        <v>1514700.0000000002</v>
      </c>
      <c r="T7438" s="102">
        <f t="shared" si="4240"/>
        <v>1377000</v>
      </c>
      <c r="U7438" s="71"/>
      <c r="V7438" s="71"/>
      <c r="W7438" s="474"/>
      <c r="X7438" s="71"/>
      <c r="Y7438" s="71"/>
    </row>
    <row r="7439" spans="1:25" ht="30" hidden="1" customHeight="1" x14ac:dyDescent="0.25">
      <c r="A7439" s="1145">
        <v>46021</v>
      </c>
      <c r="B7439" s="664" t="s">
        <v>3830</v>
      </c>
      <c r="C7439" s="71" t="s">
        <v>2577</v>
      </c>
      <c r="D7439" s="71">
        <v>2430</v>
      </c>
      <c r="E7439" s="102">
        <v>1650</v>
      </c>
      <c r="F7439" s="102">
        <f t="shared" si="4234"/>
        <v>4410450</v>
      </c>
      <c r="G7439" s="102">
        <f t="shared" si="4235"/>
        <v>4009500</v>
      </c>
      <c r="H7439" s="690" t="s">
        <v>2029</v>
      </c>
      <c r="I7439" s="71" t="s">
        <v>2230</v>
      </c>
      <c r="J7439" s="53">
        <f t="shared" si="4236"/>
        <v>4009500</v>
      </c>
      <c r="K7439" s="63">
        <f t="shared" si="4237"/>
        <v>1</v>
      </c>
      <c r="L7439" s="1212" t="s">
        <v>4246</v>
      </c>
      <c r="M7439" s="468"/>
      <c r="N7439" s="1192">
        <f t="shared" si="4227"/>
        <v>46021</v>
      </c>
      <c r="O7439" s="71"/>
      <c r="P7439" s="103" t="str">
        <f t="shared" si="4238"/>
        <v>CTP 폐판</v>
      </c>
      <c r="Q7439" s="71">
        <f t="shared" si="4223"/>
        <v>2430</v>
      </c>
      <c r="R7439" s="147"/>
      <c r="S7439" s="102">
        <f t="shared" ref="S7439:S7452" si="4242">R7439*Q7439*1.1</f>
        <v>0</v>
      </c>
      <c r="T7439" s="102">
        <f t="shared" ref="T7439:T7452" si="4243">R7439*Q7439</f>
        <v>0</v>
      </c>
      <c r="U7439" s="71"/>
      <c r="V7439" s="71"/>
      <c r="W7439" s="474"/>
      <c r="X7439" s="71"/>
      <c r="Y7439" s="71"/>
    </row>
    <row r="7440" spans="1:25" s="209" customFormat="1" ht="30" hidden="1" customHeight="1" x14ac:dyDescent="0.25">
      <c r="A7440" s="1145">
        <v>46001</v>
      </c>
      <c r="B7440" s="664" t="s">
        <v>411</v>
      </c>
      <c r="C7440" s="71" t="s">
        <v>3413</v>
      </c>
      <c r="D7440" s="71">
        <v>10</v>
      </c>
      <c r="E7440" s="102">
        <v>90000</v>
      </c>
      <c r="F7440" s="102">
        <f t="shared" si="4234"/>
        <v>990000.00000000012</v>
      </c>
      <c r="G7440" s="102">
        <f t="shared" si="4235"/>
        <v>900000</v>
      </c>
      <c r="H7440" s="690" t="s">
        <v>2029</v>
      </c>
      <c r="I7440" s="71" t="s">
        <v>3385</v>
      </c>
      <c r="J7440" s="53">
        <f t="shared" si="4236"/>
        <v>400000</v>
      </c>
      <c r="K7440" s="63">
        <f t="shared" si="4237"/>
        <v>0.44444444444444436</v>
      </c>
      <c r="L7440" s="1212" t="s">
        <v>4246</v>
      </c>
      <c r="M7440" s="468"/>
      <c r="N7440" s="1192">
        <f t="shared" si="4227"/>
        <v>46001</v>
      </c>
      <c r="O7440" s="71" t="s">
        <v>190</v>
      </c>
      <c r="P7440" s="103" t="str">
        <f t="shared" si="4238"/>
        <v>아스테이지(국전)</v>
      </c>
      <c r="Q7440" s="71">
        <f t="shared" si="4223"/>
        <v>10</v>
      </c>
      <c r="R7440" s="102">
        <v>50000</v>
      </c>
      <c r="S7440" s="102">
        <f t="shared" si="4242"/>
        <v>550000</v>
      </c>
      <c r="T7440" s="102">
        <f t="shared" si="4243"/>
        <v>500000</v>
      </c>
      <c r="U7440" s="71" t="str">
        <f t="shared" ref="U7440" si="4244">IF(J7440=W7440,"O", "X")</f>
        <v>X</v>
      </c>
      <c r="V7440" s="71"/>
      <c r="W7440" s="474">
        <v>500000</v>
      </c>
      <c r="X7440" s="71"/>
      <c r="Y7440" s="71"/>
    </row>
    <row r="7441" spans="1:25" ht="30" hidden="1" customHeight="1" x14ac:dyDescent="0.25">
      <c r="A7441" s="1145">
        <v>46001</v>
      </c>
      <c r="B7441" s="664" t="s">
        <v>575</v>
      </c>
      <c r="C7441" s="71" t="s">
        <v>4258</v>
      </c>
      <c r="D7441" s="71">
        <v>6</v>
      </c>
      <c r="E7441" s="102">
        <v>80000</v>
      </c>
      <c r="F7441" s="102">
        <f t="shared" si="4234"/>
        <v>528000</v>
      </c>
      <c r="G7441" s="102">
        <f t="shared" si="4235"/>
        <v>480000</v>
      </c>
      <c r="H7441" s="690" t="s">
        <v>1431</v>
      </c>
      <c r="I7441" s="71" t="s">
        <v>1431</v>
      </c>
      <c r="J7441" s="53">
        <f t="shared" si="4236"/>
        <v>300000</v>
      </c>
      <c r="K7441" s="63">
        <f t="shared" si="4237"/>
        <v>0.625</v>
      </c>
      <c r="L7441" s="1212" t="s">
        <v>4246</v>
      </c>
      <c r="M7441" s="468"/>
      <c r="N7441" s="1192">
        <f t="shared" si="4227"/>
        <v>46001</v>
      </c>
      <c r="O7441" s="71" t="s">
        <v>2122</v>
      </c>
      <c r="P7441" s="103" t="str">
        <f t="shared" si="4238"/>
        <v>인버터 팬 퓨즈</v>
      </c>
      <c r="Q7441" s="71">
        <f t="shared" si="4223"/>
        <v>6</v>
      </c>
      <c r="R7441" s="147">
        <v>30000</v>
      </c>
      <c r="S7441" s="102">
        <f t="shared" si="4242"/>
        <v>198000.00000000003</v>
      </c>
      <c r="T7441" s="102">
        <f t="shared" si="4243"/>
        <v>180000</v>
      </c>
      <c r="U7441" s="71"/>
      <c r="V7441" s="71"/>
      <c r="W7441" s="474"/>
      <c r="X7441" s="71"/>
      <c r="Y7441" s="71"/>
    </row>
    <row r="7442" spans="1:25" ht="30" hidden="1" customHeight="1" x14ac:dyDescent="0.25">
      <c r="A7442" s="1145">
        <v>46001</v>
      </c>
      <c r="B7442" s="664" t="s">
        <v>575</v>
      </c>
      <c r="C7442" s="71" t="s">
        <v>4259</v>
      </c>
      <c r="D7442" s="71">
        <v>5</v>
      </c>
      <c r="E7442" s="102">
        <v>75000</v>
      </c>
      <c r="F7442" s="102">
        <f t="shared" ref="F7442:F7443" si="4245">(E7442*D7442)*1.1</f>
        <v>412500.00000000006</v>
      </c>
      <c r="G7442" s="102">
        <f t="shared" ref="G7442:G7443" si="4246">(E7442*D7442)</f>
        <v>375000</v>
      </c>
      <c r="H7442" s="690" t="s">
        <v>1431</v>
      </c>
      <c r="I7442" s="71" t="s">
        <v>1431</v>
      </c>
      <c r="J7442" s="53">
        <f t="shared" si="4236"/>
        <v>215000</v>
      </c>
      <c r="K7442" s="63">
        <f t="shared" si="4237"/>
        <v>0.57333333333333325</v>
      </c>
      <c r="L7442" s="1212" t="s">
        <v>4246</v>
      </c>
      <c r="M7442" s="102"/>
      <c r="N7442" s="1192">
        <f t="shared" si="4227"/>
        <v>46001</v>
      </c>
      <c r="O7442" s="71" t="s">
        <v>2122</v>
      </c>
      <c r="P7442" s="103" t="str">
        <f t="shared" si="4238"/>
        <v>인버터 팬 콘덴서</v>
      </c>
      <c r="Q7442" s="71">
        <f t="shared" si="4223"/>
        <v>5</v>
      </c>
      <c r="R7442" s="102">
        <v>32000</v>
      </c>
      <c r="S7442" s="102">
        <f t="shared" si="4242"/>
        <v>176000</v>
      </c>
      <c r="T7442" s="102">
        <f t="shared" si="4243"/>
        <v>160000</v>
      </c>
      <c r="U7442" s="71"/>
      <c r="V7442" s="71"/>
      <c r="W7442" s="474"/>
      <c r="X7442" s="71"/>
      <c r="Y7442" s="71"/>
    </row>
    <row r="7443" spans="1:25" ht="30" hidden="1" customHeight="1" x14ac:dyDescent="0.25">
      <c r="A7443" s="1145">
        <v>46001</v>
      </c>
      <c r="B7443" s="664" t="s">
        <v>575</v>
      </c>
      <c r="C7443" s="71" t="s">
        <v>4260</v>
      </c>
      <c r="D7443" s="71">
        <v>1</v>
      </c>
      <c r="E7443" s="102">
        <v>2700000</v>
      </c>
      <c r="F7443" s="102">
        <f t="shared" si="4245"/>
        <v>2970000.0000000005</v>
      </c>
      <c r="G7443" s="102">
        <f t="shared" si="4246"/>
        <v>2700000</v>
      </c>
      <c r="H7443" s="690" t="s">
        <v>1431</v>
      </c>
      <c r="I7443" s="71" t="s">
        <v>1431</v>
      </c>
      <c r="J7443" s="53">
        <f t="shared" si="4236"/>
        <v>500000</v>
      </c>
      <c r="K7443" s="63">
        <f t="shared" si="4237"/>
        <v>0.18518518518518515</v>
      </c>
      <c r="L7443" s="1212" t="s">
        <v>4246</v>
      </c>
      <c r="M7443" s="468"/>
      <c r="N7443" s="1192">
        <f t="shared" si="4227"/>
        <v>46001</v>
      </c>
      <c r="O7443" s="71" t="s">
        <v>1130</v>
      </c>
      <c r="P7443" s="103" t="str">
        <f t="shared" si="4238"/>
        <v>드라이어 팬 제작</v>
      </c>
      <c r="Q7443" s="71">
        <f t="shared" si="4223"/>
        <v>1</v>
      </c>
      <c r="R7443" s="147">
        <v>2200000</v>
      </c>
      <c r="S7443" s="102">
        <f t="shared" si="4242"/>
        <v>2420000</v>
      </c>
      <c r="T7443" s="102">
        <f t="shared" si="4243"/>
        <v>2200000</v>
      </c>
      <c r="U7443" s="71"/>
      <c r="V7443" s="71"/>
      <c r="W7443" s="474"/>
      <c r="X7443" s="71"/>
      <c r="Y7443" s="71"/>
    </row>
    <row r="7444" spans="1:25" ht="30" hidden="1" customHeight="1" x14ac:dyDescent="0.25">
      <c r="A7444" s="1145">
        <v>46001</v>
      </c>
      <c r="B7444" s="664" t="s">
        <v>546</v>
      </c>
      <c r="C7444" s="71" t="s">
        <v>4261</v>
      </c>
      <c r="D7444" s="71">
        <v>1</v>
      </c>
      <c r="E7444" s="102">
        <v>3800000</v>
      </c>
      <c r="F7444" s="102">
        <f t="shared" si="4234"/>
        <v>4180000.0000000005</v>
      </c>
      <c r="G7444" s="102">
        <f t="shared" si="4235"/>
        <v>3800000</v>
      </c>
      <c r="H7444" s="690" t="s">
        <v>1431</v>
      </c>
      <c r="I7444" s="71" t="s">
        <v>1431</v>
      </c>
      <c r="J7444" s="53"/>
      <c r="K7444" s="63"/>
      <c r="L7444" s="1212" t="s">
        <v>4246</v>
      </c>
      <c r="M7444" s="102"/>
      <c r="N7444" s="1192">
        <f t="shared" si="4227"/>
        <v>46001</v>
      </c>
      <c r="O7444" s="71"/>
      <c r="P7444" s="103" t="str">
        <f t="shared" si="4238"/>
        <v>m600 수리 서비스 인건비</v>
      </c>
      <c r="Q7444" s="71">
        <f t="shared" si="4223"/>
        <v>1</v>
      </c>
      <c r="R7444" s="102"/>
      <c r="S7444" s="102">
        <f t="shared" si="4242"/>
        <v>0</v>
      </c>
      <c r="T7444" s="102">
        <f t="shared" si="4243"/>
        <v>0</v>
      </c>
      <c r="U7444" s="71"/>
      <c r="V7444" s="71"/>
      <c r="W7444" s="474"/>
      <c r="X7444" s="71"/>
      <c r="Y7444" s="71"/>
    </row>
    <row r="7445" spans="1:25" ht="30" hidden="1" customHeight="1" x14ac:dyDescent="0.25">
      <c r="A7445" s="1145">
        <v>46001</v>
      </c>
      <c r="B7445" s="664" t="s">
        <v>546</v>
      </c>
      <c r="C7445" s="71" t="s">
        <v>114</v>
      </c>
      <c r="D7445" s="71">
        <v>50</v>
      </c>
      <c r="E7445" s="102">
        <v>18000</v>
      </c>
      <c r="F7445" s="102">
        <f t="shared" si="4234"/>
        <v>990000.00000000012</v>
      </c>
      <c r="G7445" s="102">
        <f t="shared" si="4235"/>
        <v>900000</v>
      </c>
      <c r="H7445" s="690" t="s">
        <v>1431</v>
      </c>
      <c r="I7445" s="71" t="s">
        <v>1431</v>
      </c>
      <c r="J7445" s="53">
        <f t="shared" si="4236"/>
        <v>350000</v>
      </c>
      <c r="K7445" s="63">
        <f t="shared" si="4237"/>
        <v>0.38888888888888884</v>
      </c>
      <c r="L7445" s="1212" t="s">
        <v>4246</v>
      </c>
      <c r="M7445" s="468"/>
      <c r="N7445" s="1192">
        <f t="shared" si="4227"/>
        <v>46001</v>
      </c>
      <c r="O7445" s="71" t="s">
        <v>1431</v>
      </c>
      <c r="P7445" s="103" t="str">
        <f t="shared" si="4238"/>
        <v>스트리퍼</v>
      </c>
      <c r="Q7445" s="71">
        <f t="shared" si="4223"/>
        <v>50</v>
      </c>
      <c r="R7445" s="147">
        <v>11000</v>
      </c>
      <c r="S7445" s="102">
        <f t="shared" si="4242"/>
        <v>605000</v>
      </c>
      <c r="T7445" s="102">
        <f t="shared" si="4243"/>
        <v>550000</v>
      </c>
      <c r="U7445" s="71"/>
      <c r="V7445" s="71"/>
      <c r="W7445" s="474"/>
      <c r="X7445" s="71"/>
      <c r="Y7445" s="71"/>
    </row>
    <row r="7446" spans="1:25" ht="30" hidden="1" customHeight="1" x14ac:dyDescent="0.25">
      <c r="A7446" s="1145">
        <v>46001</v>
      </c>
      <c r="B7446" s="664" t="s">
        <v>546</v>
      </c>
      <c r="C7446" s="71" t="s">
        <v>1918</v>
      </c>
      <c r="D7446" s="71">
        <v>30</v>
      </c>
      <c r="E7446" s="102">
        <v>27000</v>
      </c>
      <c r="F7446" s="102">
        <f t="shared" si="4234"/>
        <v>891000.00000000012</v>
      </c>
      <c r="G7446" s="102">
        <f t="shared" si="4235"/>
        <v>810000</v>
      </c>
      <c r="H7446" s="690" t="s">
        <v>1431</v>
      </c>
      <c r="I7446" s="71" t="s">
        <v>1431</v>
      </c>
      <c r="J7446" s="53">
        <f t="shared" si="4236"/>
        <v>270000</v>
      </c>
      <c r="K7446" s="63">
        <f t="shared" si="4237"/>
        <v>0.33333333333333326</v>
      </c>
      <c r="L7446" s="1212" t="s">
        <v>4246</v>
      </c>
      <c r="M7446" s="102"/>
      <c r="N7446" s="1192">
        <f t="shared" si="4227"/>
        <v>46001</v>
      </c>
      <c r="O7446" s="71" t="s">
        <v>1431</v>
      </c>
      <c r="P7446" s="103" t="str">
        <f t="shared" si="4238"/>
        <v>브러쉬</v>
      </c>
      <c r="Q7446" s="71">
        <f t="shared" si="4223"/>
        <v>30</v>
      </c>
      <c r="R7446" s="102">
        <v>18000</v>
      </c>
      <c r="S7446" s="102">
        <f t="shared" si="4242"/>
        <v>594000</v>
      </c>
      <c r="T7446" s="102">
        <f t="shared" si="4243"/>
        <v>540000</v>
      </c>
      <c r="U7446" s="71"/>
      <c r="V7446" s="71"/>
      <c r="W7446" s="474"/>
      <c r="X7446" s="71"/>
      <c r="Y7446" s="71"/>
    </row>
    <row r="7447" spans="1:25" ht="30" hidden="1" customHeight="1" x14ac:dyDescent="0.25">
      <c r="A7447" s="1145">
        <v>46001</v>
      </c>
      <c r="B7447" s="664" t="s">
        <v>591</v>
      </c>
      <c r="C7447" s="71" t="s">
        <v>4262</v>
      </c>
      <c r="D7447" s="71">
        <v>1</v>
      </c>
      <c r="E7447" s="102">
        <v>7733000</v>
      </c>
      <c r="F7447" s="102">
        <f t="shared" ref="F7447" si="4247">(E7447*D7447)*1.1</f>
        <v>8506300</v>
      </c>
      <c r="G7447" s="102">
        <f t="shared" ref="G7447" si="4248">(E7447*D7447)</f>
        <v>7733000</v>
      </c>
      <c r="H7447" s="690" t="s">
        <v>173</v>
      </c>
      <c r="I7447" s="71" t="s">
        <v>143</v>
      </c>
      <c r="J7447" s="53">
        <f t="shared" si="4236"/>
        <v>2228000</v>
      </c>
      <c r="K7447" s="63">
        <f t="shared" si="4237"/>
        <v>0.2881158670632355</v>
      </c>
      <c r="L7447" s="1212" t="s">
        <v>4246</v>
      </c>
      <c r="M7447" s="468"/>
      <c r="N7447" s="1192">
        <f t="shared" si="4227"/>
        <v>46001</v>
      </c>
      <c r="O7447" s="71" t="s">
        <v>612</v>
      </c>
      <c r="P7447" s="103" t="str">
        <f t="shared" si="4238"/>
        <v>롤러 세트 납품건</v>
      </c>
      <c r="Q7447" s="71">
        <f t="shared" si="4223"/>
        <v>1</v>
      </c>
      <c r="R7447" s="147">
        <v>5505000</v>
      </c>
      <c r="S7447" s="102">
        <f t="shared" si="4242"/>
        <v>6055500.0000000009</v>
      </c>
      <c r="T7447" s="102">
        <f t="shared" si="4243"/>
        <v>5505000</v>
      </c>
      <c r="U7447" s="71"/>
      <c r="V7447" s="71"/>
      <c r="W7447" s="474"/>
      <c r="X7447" s="71"/>
      <c r="Y7447" s="71"/>
    </row>
    <row r="7448" spans="1:25" ht="30" hidden="1" customHeight="1" x14ac:dyDescent="0.25">
      <c r="A7448" s="1145">
        <v>45992</v>
      </c>
      <c r="B7448" s="664" t="s">
        <v>3410</v>
      </c>
      <c r="C7448" s="71" t="s">
        <v>2974</v>
      </c>
      <c r="D7448" s="71">
        <v>2</v>
      </c>
      <c r="E7448" s="102">
        <v>650000</v>
      </c>
      <c r="F7448" s="102">
        <f t="shared" si="4234"/>
        <v>1430000</v>
      </c>
      <c r="G7448" s="102">
        <f t="shared" si="4235"/>
        <v>1300000</v>
      </c>
      <c r="H7448" s="690" t="s">
        <v>142</v>
      </c>
      <c r="I7448" s="690" t="s">
        <v>142</v>
      </c>
      <c r="J7448" s="53">
        <f>G7448-T7448</f>
        <v>853130</v>
      </c>
      <c r="K7448" s="63">
        <f t="shared" si="4237"/>
        <v>0.65625384615384619</v>
      </c>
      <c r="L7448" s="1212" t="s">
        <v>4246</v>
      </c>
      <c r="M7448" s="468"/>
      <c r="N7448" s="1192">
        <f t="shared" si="4227"/>
        <v>45992</v>
      </c>
      <c r="O7448" s="71" t="s">
        <v>3412</v>
      </c>
      <c r="P7448" s="103" t="str">
        <f t="shared" si="4238"/>
        <v>Baldwin UV 램프 국전</v>
      </c>
      <c r="Q7448" s="71">
        <f t="shared" si="4223"/>
        <v>2</v>
      </c>
      <c r="R7448" s="102">
        <v>223435</v>
      </c>
      <c r="S7448" s="102">
        <f>R7448*Q7448*1.1</f>
        <v>491557.00000000006</v>
      </c>
      <c r="T7448" s="102">
        <f>R7448*Q7448</f>
        <v>446870</v>
      </c>
      <c r="U7448" s="71"/>
      <c r="V7448" s="71"/>
      <c r="W7448" s="474"/>
      <c r="X7448" s="71"/>
      <c r="Y7448" s="71"/>
    </row>
    <row r="7449" spans="1:25" ht="30" hidden="1" customHeight="1" x14ac:dyDescent="0.25">
      <c r="A7449" s="1145">
        <v>46001</v>
      </c>
      <c r="B7449" s="664" t="s">
        <v>3572</v>
      </c>
      <c r="C7449" s="71" t="s">
        <v>4263</v>
      </c>
      <c r="D7449" s="71">
        <v>1</v>
      </c>
      <c r="E7449" s="102">
        <v>22800000</v>
      </c>
      <c r="F7449" s="102">
        <f t="shared" si="4234"/>
        <v>25080000.000000004</v>
      </c>
      <c r="G7449" s="102">
        <f t="shared" si="4235"/>
        <v>22800000</v>
      </c>
      <c r="H7449" s="690" t="s">
        <v>1431</v>
      </c>
      <c r="I7449" s="71" t="s">
        <v>1431</v>
      </c>
      <c r="J7449" s="53"/>
      <c r="K7449" s="63"/>
      <c r="L7449" s="1212" t="s">
        <v>4246</v>
      </c>
      <c r="M7449" s="468"/>
      <c r="N7449" s="1192">
        <f t="shared" si="4227"/>
        <v>46001</v>
      </c>
      <c r="O7449" s="71"/>
      <c r="P7449" s="103" t="str">
        <f t="shared" si="4238"/>
        <v xml:space="preserve"> m600 판걸이튜브 세트 계약금 30%</v>
      </c>
      <c r="Q7449" s="71">
        <f t="shared" si="4223"/>
        <v>1</v>
      </c>
      <c r="R7449" s="147"/>
      <c r="S7449" s="102">
        <f t="shared" si="4242"/>
        <v>0</v>
      </c>
      <c r="T7449" s="102">
        <f t="shared" si="4243"/>
        <v>0</v>
      </c>
      <c r="U7449" s="71"/>
      <c r="V7449" s="71"/>
      <c r="W7449" s="474"/>
      <c r="X7449" s="71"/>
      <c r="Y7449" s="71"/>
    </row>
    <row r="7450" spans="1:25" ht="30" hidden="1" customHeight="1" x14ac:dyDescent="0.25">
      <c r="A7450" s="1145">
        <v>46001</v>
      </c>
      <c r="B7450" s="664" t="s">
        <v>2155</v>
      </c>
      <c r="C7450" s="71" t="s">
        <v>114</v>
      </c>
      <c r="D7450" s="71">
        <v>10</v>
      </c>
      <c r="E7450" s="102">
        <v>18000</v>
      </c>
      <c r="F7450" s="102">
        <f t="shared" si="4234"/>
        <v>198000.00000000003</v>
      </c>
      <c r="G7450" s="102">
        <f t="shared" si="4235"/>
        <v>180000</v>
      </c>
      <c r="H7450" s="690" t="s">
        <v>1431</v>
      </c>
      <c r="I7450" s="71" t="s">
        <v>1431</v>
      </c>
      <c r="J7450" s="53">
        <f>G7450-T7450</f>
        <v>70000</v>
      </c>
      <c r="K7450" s="63">
        <f t="shared" si="4237"/>
        <v>0.38888888888888884</v>
      </c>
      <c r="L7450" s="1212" t="s">
        <v>4246</v>
      </c>
      <c r="M7450" s="102"/>
      <c r="N7450" s="1192">
        <f t="shared" si="4227"/>
        <v>46001</v>
      </c>
      <c r="O7450" s="71" t="s">
        <v>1431</v>
      </c>
      <c r="P7450" s="103" t="str">
        <f t="shared" si="4238"/>
        <v>스트리퍼</v>
      </c>
      <c r="Q7450" s="71">
        <f t="shared" si="4223"/>
        <v>10</v>
      </c>
      <c r="R7450" s="102">
        <v>11000</v>
      </c>
      <c r="S7450" s="102">
        <f t="shared" si="4242"/>
        <v>121000.00000000001</v>
      </c>
      <c r="T7450" s="102">
        <f t="shared" si="4243"/>
        <v>110000</v>
      </c>
      <c r="U7450" s="71"/>
      <c r="V7450" s="71"/>
      <c r="W7450" s="474"/>
      <c r="X7450" s="71"/>
      <c r="Y7450" s="71"/>
    </row>
    <row r="7451" spans="1:25" ht="30" hidden="1" customHeight="1" x14ac:dyDescent="0.25">
      <c r="A7451" s="1145">
        <v>46001</v>
      </c>
      <c r="B7451" s="664" t="s">
        <v>2155</v>
      </c>
      <c r="C7451" s="71" t="s">
        <v>853</v>
      </c>
      <c r="D7451" s="71">
        <v>2</v>
      </c>
      <c r="E7451" s="102">
        <v>370000</v>
      </c>
      <c r="F7451" s="102">
        <f t="shared" si="4234"/>
        <v>814000.00000000012</v>
      </c>
      <c r="G7451" s="102">
        <f t="shared" si="4235"/>
        <v>740000</v>
      </c>
      <c r="H7451" s="690" t="s">
        <v>1431</v>
      </c>
      <c r="I7451" s="71" t="s">
        <v>1431</v>
      </c>
      <c r="J7451" s="53">
        <f>G7451-T7451</f>
        <v>340000</v>
      </c>
      <c r="K7451" s="63">
        <f t="shared" si="4237"/>
        <v>0.45945945945945937</v>
      </c>
      <c r="L7451" s="1212" t="s">
        <v>4246</v>
      </c>
      <c r="M7451" s="468"/>
      <c r="N7451" s="1192">
        <f t="shared" si="4227"/>
        <v>46001</v>
      </c>
      <c r="O7451" s="71" t="s">
        <v>1431</v>
      </c>
      <c r="P7451" s="103" t="str">
        <f t="shared" si="4238"/>
        <v>잉크키 보호 필름</v>
      </c>
      <c r="Q7451" s="71">
        <f t="shared" si="4223"/>
        <v>2</v>
      </c>
      <c r="R7451" s="147">
        <v>200000</v>
      </c>
      <c r="S7451" s="102">
        <f t="shared" si="4242"/>
        <v>440000.00000000006</v>
      </c>
      <c r="T7451" s="102">
        <f t="shared" si="4243"/>
        <v>400000</v>
      </c>
      <c r="U7451" s="71"/>
      <c r="V7451" s="71"/>
      <c r="W7451" s="474"/>
      <c r="X7451" s="71"/>
      <c r="Y7451" s="71"/>
    </row>
    <row r="7452" spans="1:25" ht="30" hidden="1" customHeight="1" x14ac:dyDescent="0.25">
      <c r="A7452" s="1145">
        <v>46001</v>
      </c>
      <c r="B7452" s="664" t="s">
        <v>2155</v>
      </c>
      <c r="C7452" s="71" t="s">
        <v>1121</v>
      </c>
      <c r="D7452" s="71">
        <v>10</v>
      </c>
      <c r="E7452" s="102">
        <v>80000</v>
      </c>
      <c r="F7452" s="102">
        <f t="shared" si="4234"/>
        <v>880000.00000000012</v>
      </c>
      <c r="G7452" s="102">
        <f t="shared" si="4235"/>
        <v>800000</v>
      </c>
      <c r="H7452" s="690" t="s">
        <v>1431</v>
      </c>
      <c r="I7452" s="71" t="s">
        <v>1431</v>
      </c>
      <c r="J7452" s="53">
        <f>G7452-T7452</f>
        <v>250000</v>
      </c>
      <c r="K7452" s="63">
        <f t="shared" si="4237"/>
        <v>0.31249999999999994</v>
      </c>
      <c r="L7452" s="1212" t="s">
        <v>4246</v>
      </c>
      <c r="M7452" s="102"/>
      <c r="N7452" s="1192">
        <f t="shared" si="4227"/>
        <v>46001</v>
      </c>
      <c r="O7452" s="71" t="s">
        <v>1431</v>
      </c>
      <c r="P7452" s="103" t="str">
        <f t="shared" si="4238"/>
        <v>포텐시오미터</v>
      </c>
      <c r="Q7452" s="71">
        <f t="shared" si="4223"/>
        <v>10</v>
      </c>
      <c r="R7452" s="102">
        <v>55000</v>
      </c>
      <c r="S7452" s="102">
        <f t="shared" si="4242"/>
        <v>605000</v>
      </c>
      <c r="T7452" s="102">
        <f t="shared" si="4243"/>
        <v>550000</v>
      </c>
      <c r="U7452" s="71"/>
      <c r="V7452" s="71"/>
      <c r="W7452" s="474"/>
      <c r="X7452" s="71"/>
      <c r="Y7452" s="71"/>
    </row>
    <row r="7453" spans="1:25" ht="30" hidden="1" customHeight="1" x14ac:dyDescent="0.25">
      <c r="A7453" s="1210" t="s">
        <v>4274</v>
      </c>
      <c r="B7453" s="1211" t="s">
        <v>544</v>
      </c>
      <c r="C7453" s="960"/>
      <c r="D7453" s="960"/>
      <c r="E7453" s="952"/>
      <c r="F7453" s="952"/>
      <c r="G7453" s="952"/>
      <c r="H7453" s="1206"/>
      <c r="I7453" s="960"/>
      <c r="J7453" s="952"/>
      <c r="K7453" s="953"/>
      <c r="L7453" s="1212" t="s">
        <v>4276</v>
      </c>
      <c r="M7453" s="1207"/>
      <c r="N7453" s="1208" t="str">
        <f t="shared" si="4227"/>
        <v>2025,1</v>
      </c>
      <c r="O7453" s="960"/>
      <c r="P7453" s="1209"/>
      <c r="Q7453" s="960"/>
      <c r="R7453" s="952"/>
      <c r="S7453" s="952"/>
      <c r="T7453" s="952"/>
      <c r="U7453" s="960"/>
      <c r="V7453" s="960"/>
      <c r="W7453" s="474">
        <f>(G7453-T7453)</f>
        <v>0</v>
      </c>
      <c r="X7453" s="71"/>
      <c r="Y7453" s="71"/>
    </row>
    <row r="7454" spans="1:25" ht="30" hidden="1" customHeight="1" x14ac:dyDescent="0.25">
      <c r="A7454" s="1145">
        <v>45673</v>
      </c>
      <c r="B7454" s="664" t="s">
        <v>2353</v>
      </c>
      <c r="C7454" s="71" t="s">
        <v>129</v>
      </c>
      <c r="D7454" s="71">
        <v>7</v>
      </c>
      <c r="E7454" s="102">
        <v>325000</v>
      </c>
      <c r="F7454" s="102">
        <f t="shared" ref="F7454:F7476" si="4249">(E7454*D7454)*1.1</f>
        <v>2502500</v>
      </c>
      <c r="G7454" s="102">
        <f t="shared" ref="G7454:G7476" si="4250">(E7454*D7454)</f>
        <v>2275000</v>
      </c>
      <c r="H7454" s="690" t="s">
        <v>142</v>
      </c>
      <c r="I7454" s="71" t="s">
        <v>179</v>
      </c>
      <c r="J7454" s="53">
        <f t="shared" ref="J7454:J7466" si="4251">G7454-T7454</f>
        <v>636440</v>
      </c>
      <c r="K7454" s="63">
        <f t="shared" ref="K7454:K7466" si="4252">(J7454/(F7454/11*10))</f>
        <v>0.27975384615384613</v>
      </c>
      <c r="L7454" s="1212" t="s">
        <v>4276</v>
      </c>
      <c r="M7454" s="468" t="s">
        <v>2050</v>
      </c>
      <c r="N7454" s="1192">
        <f t="shared" si="4227"/>
        <v>45673</v>
      </c>
      <c r="O7454" s="71" t="s">
        <v>149</v>
      </c>
      <c r="P7454" s="103" t="str">
        <f t="shared" ref="P7454:P7485" si="4253">(C7454)</f>
        <v>세정포-XL106</v>
      </c>
      <c r="Q7454" s="71">
        <f t="shared" ref="Q7454:Q7456" si="4254">D7454</f>
        <v>7</v>
      </c>
      <c r="R7454" s="102">
        <v>234080</v>
      </c>
      <c r="S7454" s="102">
        <f t="shared" ref="S7454" si="4255">R7454*Q7454*1.1</f>
        <v>1802416.0000000002</v>
      </c>
      <c r="T7454" s="102">
        <f t="shared" ref="T7454" si="4256">R7454*Q7454</f>
        <v>1638560</v>
      </c>
      <c r="U7454" s="71" t="str">
        <f>IF(J7454=W7454,"O", "X")</f>
        <v>O</v>
      </c>
      <c r="V7454" s="71"/>
      <c r="W7454" s="474">
        <f>(G7454-T7454)</f>
        <v>636440</v>
      </c>
      <c r="X7454" s="71"/>
      <c r="Y7454" s="71"/>
    </row>
    <row r="7455" spans="1:25" ht="30" hidden="1" customHeight="1" x14ac:dyDescent="0.25">
      <c r="A7455" s="1145">
        <v>45673</v>
      </c>
      <c r="B7455" s="664" t="s">
        <v>2353</v>
      </c>
      <c r="C7455" s="71" t="s">
        <v>2137</v>
      </c>
      <c r="D7455" s="71">
        <v>3</v>
      </c>
      <c r="E7455" s="102">
        <v>125000</v>
      </c>
      <c r="F7455" s="102">
        <f t="shared" si="4249"/>
        <v>412500.00000000006</v>
      </c>
      <c r="G7455" s="102">
        <f t="shared" si="4250"/>
        <v>375000</v>
      </c>
      <c r="H7455" s="690" t="s">
        <v>142</v>
      </c>
      <c r="I7455" s="71" t="s">
        <v>142</v>
      </c>
      <c r="J7455" s="53">
        <f t="shared" si="4251"/>
        <v>105000</v>
      </c>
      <c r="K7455" s="63">
        <f t="shared" si="4252"/>
        <v>0.27999999999999997</v>
      </c>
      <c r="L7455" s="1212" t="s">
        <v>4275</v>
      </c>
      <c r="M7455" s="468"/>
      <c r="N7455" s="1192">
        <f>A7455</f>
        <v>45673</v>
      </c>
      <c r="O7455" s="71" t="s">
        <v>150</v>
      </c>
      <c r="P7455" s="103" t="str">
        <f t="shared" si="4253"/>
        <v>잉크집 아스테이지</v>
      </c>
      <c r="Q7455" s="71">
        <f t="shared" si="4254"/>
        <v>3</v>
      </c>
      <c r="R7455" s="102">
        <v>90000</v>
      </c>
      <c r="S7455" s="102">
        <f t="shared" ref="S7455:S7518" si="4257">R7455*Q7455*1.1</f>
        <v>297000</v>
      </c>
      <c r="T7455" s="102">
        <f t="shared" ref="T7455:T7518" si="4258">R7455*Q7455</f>
        <v>270000</v>
      </c>
      <c r="U7455" s="71"/>
      <c r="V7455" s="71"/>
      <c r="W7455" s="474"/>
      <c r="X7455" s="71"/>
      <c r="Y7455" s="71"/>
    </row>
    <row r="7456" spans="1:25" ht="30" hidden="1" customHeight="1" x14ac:dyDescent="0.25">
      <c r="A7456" s="1145">
        <v>45673</v>
      </c>
      <c r="B7456" s="664" t="s">
        <v>2579</v>
      </c>
      <c r="C7456" s="71" t="s">
        <v>3738</v>
      </c>
      <c r="D7456" s="71">
        <v>20</v>
      </c>
      <c r="E7456" s="102">
        <v>130000</v>
      </c>
      <c r="F7456" s="102">
        <f t="shared" si="4249"/>
        <v>2860000</v>
      </c>
      <c r="G7456" s="102">
        <f t="shared" si="4250"/>
        <v>2600000</v>
      </c>
      <c r="H7456" s="690" t="s">
        <v>142</v>
      </c>
      <c r="I7456" s="71" t="s">
        <v>142</v>
      </c>
      <c r="J7456" s="53">
        <f t="shared" si="4251"/>
        <v>678000</v>
      </c>
      <c r="K7456" s="63">
        <f t="shared" si="4252"/>
        <v>0.26076923076923075</v>
      </c>
      <c r="L7456" s="1212" t="s">
        <v>4275</v>
      </c>
      <c r="M7456" s="468"/>
      <c r="N7456" s="1192">
        <f t="shared" ref="N7456:N7457" si="4259">A7456</f>
        <v>45673</v>
      </c>
      <c r="O7456" s="71" t="s">
        <v>147</v>
      </c>
      <c r="P7456" s="103" t="str">
        <f t="shared" si="4253"/>
        <v>블랑켓 - 고모리 용 (1040*920)</v>
      </c>
      <c r="Q7456" s="71">
        <f t="shared" si="4254"/>
        <v>20</v>
      </c>
      <c r="R7456" s="102">
        <v>96100</v>
      </c>
      <c r="S7456" s="102">
        <f t="shared" si="4257"/>
        <v>2114200</v>
      </c>
      <c r="T7456" s="102">
        <f t="shared" si="4258"/>
        <v>1922000</v>
      </c>
      <c r="U7456" s="71"/>
      <c r="V7456" s="71"/>
      <c r="W7456" s="474"/>
      <c r="X7456" s="71"/>
      <c r="Y7456" s="71"/>
    </row>
    <row r="7457" spans="1:25" ht="30" hidden="1" customHeight="1" x14ac:dyDescent="0.25">
      <c r="A7457" s="1145">
        <v>45673</v>
      </c>
      <c r="B7457" s="664" t="s">
        <v>2353</v>
      </c>
      <c r="C7457" s="71" t="s">
        <v>3728</v>
      </c>
      <c r="D7457" s="71">
        <v>30</v>
      </c>
      <c r="E7457" s="102">
        <v>35000</v>
      </c>
      <c r="F7457" s="102">
        <f t="shared" si="4249"/>
        <v>1155000</v>
      </c>
      <c r="G7457" s="102">
        <f t="shared" si="4250"/>
        <v>1050000</v>
      </c>
      <c r="H7457" s="690" t="s">
        <v>142</v>
      </c>
      <c r="I7457" s="71" t="s">
        <v>142</v>
      </c>
      <c r="J7457" s="53">
        <f t="shared" si="4251"/>
        <v>337500</v>
      </c>
      <c r="K7457" s="63">
        <f t="shared" si="4252"/>
        <v>0.32142857142857145</v>
      </c>
      <c r="L7457" s="1212" t="s">
        <v>4275</v>
      </c>
      <c r="M7457" s="468" t="s">
        <v>3907</v>
      </c>
      <c r="N7457" s="1192">
        <f t="shared" si="4259"/>
        <v>45673</v>
      </c>
      <c r="O7457" s="71" t="s">
        <v>149</v>
      </c>
      <c r="P7457" s="103" t="str">
        <f t="shared" si="4253"/>
        <v>고모리 자동 세척액</v>
      </c>
      <c r="Q7457" s="71">
        <v>15</v>
      </c>
      <c r="R7457" s="102">
        <v>47500</v>
      </c>
      <c r="S7457" s="102">
        <f t="shared" si="4257"/>
        <v>783750.00000000012</v>
      </c>
      <c r="T7457" s="102">
        <f t="shared" si="4258"/>
        <v>712500</v>
      </c>
      <c r="U7457" s="71"/>
      <c r="V7457" s="71"/>
      <c r="W7457" s="474"/>
      <c r="X7457" s="71"/>
      <c r="Y7457" s="71"/>
    </row>
    <row r="7458" spans="1:25" ht="30" hidden="1" customHeight="1" x14ac:dyDescent="0.25">
      <c r="A7458" s="1145">
        <v>45673</v>
      </c>
      <c r="B7458" s="664" t="s">
        <v>2579</v>
      </c>
      <c r="C7458" s="71" t="s">
        <v>4277</v>
      </c>
      <c r="D7458" s="71">
        <v>30</v>
      </c>
      <c r="E7458" s="102">
        <v>3000</v>
      </c>
      <c r="F7458" s="102">
        <f t="shared" si="4249"/>
        <v>99000.000000000015</v>
      </c>
      <c r="G7458" s="102">
        <f t="shared" si="4250"/>
        <v>90000</v>
      </c>
      <c r="H7458" s="690" t="s">
        <v>142</v>
      </c>
      <c r="I7458" s="71" t="s">
        <v>142</v>
      </c>
      <c r="J7458" s="53">
        <f t="shared" si="4251"/>
        <v>30000</v>
      </c>
      <c r="K7458" s="63">
        <f t="shared" si="4252"/>
        <v>0.33333333333333326</v>
      </c>
      <c r="L7458" s="1212" t="s">
        <v>4275</v>
      </c>
      <c r="M7458" s="102"/>
      <c r="N7458" s="1192">
        <f t="shared" ref="N7458:N7466" si="4260">A7458</f>
        <v>45673</v>
      </c>
      <c r="O7458" s="71" t="s">
        <v>150</v>
      </c>
      <c r="P7458" s="103" t="str">
        <f t="shared" si="4253"/>
        <v>잉크폼 스트립</v>
      </c>
      <c r="Q7458" s="71">
        <f t="shared" ref="Q7458:Q7525" si="4261">D7458</f>
        <v>30</v>
      </c>
      <c r="R7458" s="102">
        <v>2000</v>
      </c>
      <c r="S7458" s="102">
        <f t="shared" si="4257"/>
        <v>66000</v>
      </c>
      <c r="T7458" s="102">
        <f t="shared" si="4258"/>
        <v>60000</v>
      </c>
      <c r="U7458" s="71"/>
      <c r="V7458" s="71"/>
      <c r="W7458" s="474"/>
      <c r="X7458" s="71"/>
      <c r="Y7458" s="71"/>
    </row>
    <row r="7459" spans="1:25" ht="30" hidden="1" customHeight="1" x14ac:dyDescent="0.25">
      <c r="A7459" s="1145">
        <v>45673</v>
      </c>
      <c r="B7459" s="664" t="s">
        <v>2579</v>
      </c>
      <c r="C7459" s="71" t="s">
        <v>4278</v>
      </c>
      <c r="D7459" s="71">
        <v>8</v>
      </c>
      <c r="E7459" s="102">
        <v>35000</v>
      </c>
      <c r="F7459" s="102">
        <f t="shared" si="4249"/>
        <v>308000</v>
      </c>
      <c r="G7459" s="102">
        <f t="shared" si="4250"/>
        <v>280000</v>
      </c>
      <c r="H7459" s="690" t="s">
        <v>142</v>
      </c>
      <c r="I7459" s="71" t="s">
        <v>142</v>
      </c>
      <c r="J7459" s="53">
        <f t="shared" si="4251"/>
        <v>60000</v>
      </c>
      <c r="K7459" s="63">
        <f t="shared" si="4252"/>
        <v>0.21428571428571427</v>
      </c>
      <c r="L7459" s="1212" t="s">
        <v>4275</v>
      </c>
      <c r="M7459" s="468"/>
      <c r="N7459" s="1192">
        <f t="shared" si="4260"/>
        <v>45673</v>
      </c>
      <c r="O7459" s="71" t="s">
        <v>150</v>
      </c>
      <c r="P7459" s="103" t="str">
        <f t="shared" si="4253"/>
        <v>흡입 싸카통</v>
      </c>
      <c r="Q7459" s="71">
        <f t="shared" si="4261"/>
        <v>8</v>
      </c>
      <c r="R7459" s="147">
        <v>27500</v>
      </c>
      <c r="S7459" s="102">
        <f t="shared" si="4257"/>
        <v>242000.00000000003</v>
      </c>
      <c r="T7459" s="102">
        <f t="shared" si="4258"/>
        <v>220000</v>
      </c>
      <c r="U7459" s="71"/>
      <c r="V7459" s="71"/>
      <c r="W7459" s="474"/>
      <c r="X7459" s="71"/>
      <c r="Y7459" s="71"/>
    </row>
    <row r="7460" spans="1:25" ht="30" hidden="1" customHeight="1" x14ac:dyDescent="0.25">
      <c r="A7460" s="1145">
        <v>45673</v>
      </c>
      <c r="B7460" s="664" t="s">
        <v>2579</v>
      </c>
      <c r="C7460" s="71" t="s">
        <v>3192</v>
      </c>
      <c r="D7460" s="71">
        <v>8</v>
      </c>
      <c r="E7460" s="102">
        <v>25000</v>
      </c>
      <c r="F7460" s="102">
        <f t="shared" si="4249"/>
        <v>220000.00000000003</v>
      </c>
      <c r="G7460" s="102">
        <f t="shared" si="4250"/>
        <v>200000</v>
      </c>
      <c r="H7460" s="690" t="s">
        <v>142</v>
      </c>
      <c r="I7460" s="71" t="s">
        <v>142</v>
      </c>
      <c r="J7460" s="53">
        <f t="shared" si="4251"/>
        <v>0</v>
      </c>
      <c r="K7460" s="63">
        <f t="shared" si="4252"/>
        <v>0</v>
      </c>
      <c r="L7460" s="1212" t="s">
        <v>4275</v>
      </c>
      <c r="M7460" s="102"/>
      <c r="N7460" s="1192">
        <f t="shared" si="4260"/>
        <v>45673</v>
      </c>
      <c r="O7460" s="71" t="s">
        <v>150</v>
      </c>
      <c r="P7460" s="103" t="str">
        <f t="shared" si="4253"/>
        <v>마름모 강판</v>
      </c>
      <c r="Q7460" s="71">
        <f t="shared" si="4261"/>
        <v>8</v>
      </c>
      <c r="R7460" s="102">
        <v>25000</v>
      </c>
      <c r="S7460" s="102">
        <f t="shared" si="4257"/>
        <v>220000.00000000003</v>
      </c>
      <c r="T7460" s="102">
        <f t="shared" si="4258"/>
        <v>200000</v>
      </c>
      <c r="U7460" s="71"/>
      <c r="V7460" s="71"/>
      <c r="W7460" s="474"/>
      <c r="X7460" s="71"/>
      <c r="Y7460" s="71"/>
    </row>
    <row r="7461" spans="1:25" ht="30" hidden="1" customHeight="1" x14ac:dyDescent="0.25">
      <c r="A7461" s="1145">
        <v>45673</v>
      </c>
      <c r="B7461" s="664" t="s">
        <v>2579</v>
      </c>
      <c r="C7461" s="71" t="s">
        <v>4279</v>
      </c>
      <c r="D7461" s="71">
        <v>8</v>
      </c>
      <c r="E7461" s="102">
        <v>26000</v>
      </c>
      <c r="F7461" s="102">
        <f t="shared" si="4249"/>
        <v>228800.00000000003</v>
      </c>
      <c r="G7461" s="102">
        <f t="shared" si="4250"/>
        <v>208000</v>
      </c>
      <c r="H7461" s="690" t="s">
        <v>142</v>
      </c>
      <c r="I7461" s="71" t="s">
        <v>142</v>
      </c>
      <c r="J7461" s="53">
        <f t="shared" si="4251"/>
        <v>-12000</v>
      </c>
      <c r="K7461" s="63">
        <f t="shared" si="4252"/>
        <v>-5.7692307692307682E-2</v>
      </c>
      <c r="L7461" s="1212" t="s">
        <v>4275</v>
      </c>
      <c r="M7461" s="468"/>
      <c r="N7461" s="1192">
        <f t="shared" si="4260"/>
        <v>45673</v>
      </c>
      <c r="O7461" s="71" t="s">
        <v>150</v>
      </c>
      <c r="P7461" s="103" t="str">
        <f t="shared" si="4253"/>
        <v>4각1겹 강판</v>
      </c>
      <c r="Q7461" s="71">
        <f t="shared" si="4261"/>
        <v>8</v>
      </c>
      <c r="R7461" s="147">
        <v>27500</v>
      </c>
      <c r="S7461" s="102">
        <f t="shared" si="4257"/>
        <v>242000.00000000003</v>
      </c>
      <c r="T7461" s="102">
        <f t="shared" si="4258"/>
        <v>220000</v>
      </c>
      <c r="U7461" s="71"/>
      <c r="V7461" s="71"/>
      <c r="W7461" s="474"/>
      <c r="X7461" s="71"/>
      <c r="Y7461" s="71"/>
    </row>
    <row r="7462" spans="1:25" ht="30" customHeight="1" x14ac:dyDescent="0.25">
      <c r="A7462" s="1145">
        <v>45672</v>
      </c>
      <c r="B7462" s="664" t="s">
        <v>2352</v>
      </c>
      <c r="C7462" s="71" t="s">
        <v>3836</v>
      </c>
      <c r="D7462" s="71">
        <v>80</v>
      </c>
      <c r="E7462" s="102">
        <v>18500</v>
      </c>
      <c r="F7462" s="102">
        <f t="shared" si="4249"/>
        <v>1628000.0000000002</v>
      </c>
      <c r="G7462" s="102">
        <f t="shared" si="4250"/>
        <v>1480000</v>
      </c>
      <c r="H7462" s="690" t="s">
        <v>179</v>
      </c>
      <c r="I7462" s="71" t="s">
        <v>179</v>
      </c>
      <c r="J7462" s="53">
        <f t="shared" si="4251"/>
        <v>593280</v>
      </c>
      <c r="K7462" s="63">
        <f t="shared" si="4252"/>
        <v>0.40086486486486478</v>
      </c>
      <c r="L7462" s="1212" t="s">
        <v>4275</v>
      </c>
      <c r="M7462" s="468"/>
      <c r="N7462" s="1192">
        <f t="shared" si="4260"/>
        <v>45672</v>
      </c>
      <c r="O7462" s="71"/>
      <c r="P7462" s="103" t="str">
        <f t="shared" si="4253"/>
        <v>고모리 윤전 블랑켓 건식 세정포 - 국전용</v>
      </c>
      <c r="Q7462" s="71">
        <f t="shared" si="4261"/>
        <v>80</v>
      </c>
      <c r="R7462" s="102">
        <v>11084</v>
      </c>
      <c r="S7462" s="102">
        <f t="shared" si="4257"/>
        <v>975392.00000000012</v>
      </c>
      <c r="T7462" s="102">
        <f t="shared" si="4258"/>
        <v>886720</v>
      </c>
      <c r="U7462" s="71"/>
      <c r="V7462" s="71"/>
      <c r="W7462" s="474"/>
      <c r="X7462" s="71"/>
      <c r="Y7462" s="71"/>
    </row>
    <row r="7463" spans="1:25" ht="30" customHeight="1" x14ac:dyDescent="0.25">
      <c r="A7463" s="1145">
        <v>45672</v>
      </c>
      <c r="B7463" s="664" t="s">
        <v>2352</v>
      </c>
      <c r="C7463" s="71" t="s">
        <v>3837</v>
      </c>
      <c r="D7463" s="71">
        <v>48</v>
      </c>
      <c r="E7463" s="102">
        <v>13500</v>
      </c>
      <c r="F7463" s="102">
        <f t="shared" si="4249"/>
        <v>712800</v>
      </c>
      <c r="G7463" s="102">
        <f t="shared" si="4250"/>
        <v>648000</v>
      </c>
      <c r="H7463" s="690" t="s">
        <v>179</v>
      </c>
      <c r="I7463" s="71" t="s">
        <v>179</v>
      </c>
      <c r="J7463" s="53">
        <f t="shared" si="4251"/>
        <v>246480</v>
      </c>
      <c r="K7463" s="63">
        <f t="shared" si="4252"/>
        <v>0.38037037037037036</v>
      </c>
      <c r="L7463" s="1212" t="s">
        <v>4275</v>
      </c>
      <c r="M7463" s="468"/>
      <c r="N7463" s="1192">
        <f t="shared" si="4260"/>
        <v>45672</v>
      </c>
      <c r="O7463" s="71"/>
      <c r="P7463" s="103" t="str">
        <f t="shared" si="4253"/>
        <v>고모리 윤전 블랑켓 건식 세정포 - 4x6용</v>
      </c>
      <c r="Q7463" s="71">
        <f t="shared" si="4261"/>
        <v>48</v>
      </c>
      <c r="R7463" s="102">
        <v>8365</v>
      </c>
      <c r="S7463" s="102">
        <f t="shared" si="4257"/>
        <v>441672.00000000006</v>
      </c>
      <c r="T7463" s="102">
        <f t="shared" si="4258"/>
        <v>401520</v>
      </c>
      <c r="U7463" s="71"/>
      <c r="V7463" s="71"/>
      <c r="W7463" s="474"/>
      <c r="X7463" s="71"/>
      <c r="Y7463" s="71"/>
    </row>
    <row r="7464" spans="1:25" ht="30" customHeight="1" x14ac:dyDescent="0.25">
      <c r="A7464" s="1145">
        <v>45678</v>
      </c>
      <c r="B7464" s="664" t="s">
        <v>2536</v>
      </c>
      <c r="C7464" s="71" t="s">
        <v>3382</v>
      </c>
      <c r="D7464" s="71">
        <v>5</v>
      </c>
      <c r="E7464" s="102">
        <v>180000</v>
      </c>
      <c r="F7464" s="102">
        <f t="shared" si="4249"/>
        <v>990000.00000000012</v>
      </c>
      <c r="G7464" s="102">
        <f t="shared" si="4250"/>
        <v>900000</v>
      </c>
      <c r="H7464" s="690" t="s">
        <v>179</v>
      </c>
      <c r="I7464" s="71" t="s">
        <v>142</v>
      </c>
      <c r="J7464" s="53">
        <f t="shared" si="4251"/>
        <v>300000</v>
      </c>
      <c r="K7464" s="63">
        <f t="shared" si="4252"/>
        <v>0.33333333333333331</v>
      </c>
      <c r="L7464" s="1212" t="s">
        <v>4275</v>
      </c>
      <c r="M7464" s="468"/>
      <c r="N7464" s="1192">
        <f t="shared" si="4260"/>
        <v>45678</v>
      </c>
      <c r="O7464" s="71" t="s">
        <v>149</v>
      </c>
      <c r="P7464" s="103" t="str">
        <f t="shared" si="4253"/>
        <v>판 클리너(12개)</v>
      </c>
      <c r="Q7464" s="71">
        <f t="shared" si="4261"/>
        <v>5</v>
      </c>
      <c r="R7464" s="102">
        <v>120000</v>
      </c>
      <c r="S7464" s="102">
        <f t="shared" si="4257"/>
        <v>660000</v>
      </c>
      <c r="T7464" s="102">
        <f t="shared" si="4258"/>
        <v>600000</v>
      </c>
      <c r="U7464" s="71"/>
      <c r="V7464" s="71"/>
      <c r="W7464" s="474"/>
      <c r="X7464" s="71"/>
      <c r="Y7464" s="71"/>
    </row>
    <row r="7465" spans="1:25" ht="30" customHeight="1" x14ac:dyDescent="0.25">
      <c r="A7465" s="1145">
        <v>45679</v>
      </c>
      <c r="B7465" s="664" t="s">
        <v>641</v>
      </c>
      <c r="C7465" s="71" t="s">
        <v>3293</v>
      </c>
      <c r="D7465" s="71">
        <v>60</v>
      </c>
      <c r="E7465" s="102">
        <v>84000</v>
      </c>
      <c r="F7465" s="102">
        <f t="shared" si="4249"/>
        <v>5544000</v>
      </c>
      <c r="G7465" s="102">
        <f t="shared" si="4250"/>
        <v>5040000</v>
      </c>
      <c r="H7465" s="690" t="s">
        <v>172</v>
      </c>
      <c r="I7465" s="71" t="s">
        <v>38</v>
      </c>
      <c r="J7465" s="53">
        <f t="shared" si="4251"/>
        <v>1980000</v>
      </c>
      <c r="K7465" s="63">
        <f t="shared" si="4252"/>
        <v>0.39285714285714285</v>
      </c>
      <c r="L7465" s="1212" t="s">
        <v>4275</v>
      </c>
      <c r="M7465" s="468"/>
      <c r="N7465" s="1192">
        <f t="shared" si="4260"/>
        <v>45679</v>
      </c>
      <c r="O7465" s="71" t="s">
        <v>3291</v>
      </c>
      <c r="P7465" s="103" t="str">
        <f t="shared" si="4253"/>
        <v>GOSS 신문윤전 습식세정포</v>
      </c>
      <c r="Q7465" s="71">
        <f t="shared" si="4261"/>
        <v>60</v>
      </c>
      <c r="R7465" s="102">
        <v>51000</v>
      </c>
      <c r="S7465" s="102">
        <f t="shared" si="4257"/>
        <v>3366000.0000000005</v>
      </c>
      <c r="T7465" s="102">
        <f t="shared" si="4258"/>
        <v>3060000</v>
      </c>
      <c r="U7465" s="71" t="str">
        <f>IF(J7465=W7465,"O", "X")</f>
        <v>X</v>
      </c>
      <c r="V7465" s="71"/>
      <c r="W7465" s="474"/>
      <c r="X7465" s="71"/>
      <c r="Y7465" s="71"/>
    </row>
    <row r="7466" spans="1:25" ht="30" hidden="1" customHeight="1" x14ac:dyDescent="0.25">
      <c r="A7466" s="1145">
        <v>45682</v>
      </c>
      <c r="B7466" s="664" t="s">
        <v>1060</v>
      </c>
      <c r="C7466" s="71" t="s">
        <v>3908</v>
      </c>
      <c r="D7466" s="71">
        <v>1200</v>
      </c>
      <c r="E7466" s="102">
        <v>6000</v>
      </c>
      <c r="F7466" s="102">
        <f t="shared" si="4249"/>
        <v>7920000.0000000009</v>
      </c>
      <c r="G7466" s="102">
        <f t="shared" si="4250"/>
        <v>7200000</v>
      </c>
      <c r="H7466" s="690" t="s">
        <v>142</v>
      </c>
      <c r="I7466" s="71" t="s">
        <v>179</v>
      </c>
      <c r="J7466" s="53">
        <f t="shared" si="4251"/>
        <v>2503200</v>
      </c>
      <c r="K7466" s="63">
        <f t="shared" si="4252"/>
        <v>0.34766666666666662</v>
      </c>
      <c r="L7466" s="1212" t="s">
        <v>4275</v>
      </c>
      <c r="M7466" s="102" t="s">
        <v>3964</v>
      </c>
      <c r="N7466" s="1192">
        <f t="shared" si="4260"/>
        <v>45682</v>
      </c>
      <c r="O7466" s="71" t="s">
        <v>662</v>
      </c>
      <c r="P7466" s="103" t="str">
        <f t="shared" si="4253"/>
        <v>Saphira CTP 판 1030 x 790</v>
      </c>
      <c r="Q7466" s="71">
        <f t="shared" si="4261"/>
        <v>1200</v>
      </c>
      <c r="R7466" s="102">
        <v>3914</v>
      </c>
      <c r="S7466" s="102">
        <f t="shared" si="4257"/>
        <v>5166480</v>
      </c>
      <c r="T7466" s="102">
        <f t="shared" si="4258"/>
        <v>4696800</v>
      </c>
      <c r="U7466" s="71" t="s">
        <v>859</v>
      </c>
      <c r="V7466" s="71"/>
      <c r="W7466" s="474">
        <v>942000</v>
      </c>
      <c r="X7466" s="71"/>
      <c r="Y7466" s="71"/>
    </row>
    <row r="7467" spans="1:25" ht="30" hidden="1" customHeight="1" x14ac:dyDescent="0.25">
      <c r="A7467" s="1145">
        <v>45682</v>
      </c>
      <c r="B7467" s="664" t="s">
        <v>1060</v>
      </c>
      <c r="C7467" s="71" t="s">
        <v>3909</v>
      </c>
      <c r="D7467" s="71">
        <v>2300</v>
      </c>
      <c r="E7467" s="102">
        <v>3790</v>
      </c>
      <c r="F7467" s="102">
        <f t="shared" si="4249"/>
        <v>9588700</v>
      </c>
      <c r="G7467" s="102">
        <f t="shared" si="4250"/>
        <v>8717000</v>
      </c>
      <c r="H7467" s="690" t="s">
        <v>36</v>
      </c>
      <c r="I7467" s="71" t="s">
        <v>2529</v>
      </c>
      <c r="J7467" s="53">
        <v>4654600</v>
      </c>
      <c r="K7467" s="63">
        <v>0.33726541554959782</v>
      </c>
      <c r="L7467" s="1212" t="s">
        <v>4275</v>
      </c>
      <c r="M7467" s="102" t="s">
        <v>3964</v>
      </c>
      <c r="N7467" s="1192">
        <v>45651</v>
      </c>
      <c r="O7467" s="71" t="s">
        <v>662</v>
      </c>
      <c r="P7467" s="103" t="str">
        <f t="shared" si="4253"/>
        <v>Saphira CTP 판 900 x 571</v>
      </c>
      <c r="Q7467" s="71">
        <f t="shared" si="4261"/>
        <v>2300</v>
      </c>
      <c r="R7467" s="102">
        <v>2472</v>
      </c>
      <c r="S7467" s="102">
        <f t="shared" si="4257"/>
        <v>6254160.0000000009</v>
      </c>
      <c r="T7467" s="102">
        <f t="shared" si="4258"/>
        <v>5685600</v>
      </c>
      <c r="U7467" s="71" t="s">
        <v>859</v>
      </c>
      <c r="V7467" s="71"/>
      <c r="W7467" s="474">
        <v>1274000</v>
      </c>
      <c r="X7467" s="71"/>
      <c r="Y7467" s="71"/>
    </row>
    <row r="7468" spans="1:25" ht="30" hidden="1" customHeight="1" x14ac:dyDescent="0.25">
      <c r="A7468" s="1145">
        <v>45682</v>
      </c>
      <c r="B7468" s="664" t="s">
        <v>1060</v>
      </c>
      <c r="C7468" s="71" t="s">
        <v>3910</v>
      </c>
      <c r="D7468" s="71">
        <v>1700</v>
      </c>
      <c r="E7468" s="102">
        <v>3580</v>
      </c>
      <c r="F7468" s="102">
        <f t="shared" si="4249"/>
        <v>6694600.0000000009</v>
      </c>
      <c r="G7468" s="102">
        <f t="shared" si="4250"/>
        <v>6086000</v>
      </c>
      <c r="H7468" s="690" t="s">
        <v>36</v>
      </c>
      <c r="I7468" s="71" t="s">
        <v>2529</v>
      </c>
      <c r="J7468" s="53">
        <v>2600400</v>
      </c>
      <c r="K7468" s="63">
        <v>0.33484419263456089</v>
      </c>
      <c r="L7468" s="1212" t="s">
        <v>4275</v>
      </c>
      <c r="M7468" s="102" t="s">
        <v>3964</v>
      </c>
      <c r="N7468" s="1192">
        <v>45651</v>
      </c>
      <c r="O7468" s="71" t="s">
        <v>662</v>
      </c>
      <c r="P7468" s="103" t="str">
        <f t="shared" si="4253"/>
        <v>Saphira CTP 판 883 x 552</v>
      </c>
      <c r="Q7468" s="71">
        <f t="shared" si="4261"/>
        <v>1700</v>
      </c>
      <c r="R7468" s="102">
        <v>2348</v>
      </c>
      <c r="S7468" s="102">
        <f t="shared" si="4257"/>
        <v>4390760</v>
      </c>
      <c r="T7468" s="102">
        <f t="shared" si="4258"/>
        <v>3991600</v>
      </c>
      <c r="U7468" s="71" t="s">
        <v>859</v>
      </c>
      <c r="V7468" s="71"/>
      <c r="W7468" s="474">
        <v>3325000</v>
      </c>
      <c r="X7468" s="71"/>
      <c r="Y7468" s="71"/>
    </row>
    <row r="7469" spans="1:25" ht="30" hidden="1" customHeight="1" x14ac:dyDescent="0.25">
      <c r="A7469" s="1145">
        <v>45682</v>
      </c>
      <c r="B7469" s="664" t="s">
        <v>1060</v>
      </c>
      <c r="C7469" s="71" t="s">
        <v>3911</v>
      </c>
      <c r="D7469" s="71">
        <v>1000</v>
      </c>
      <c r="E7469" s="102">
        <v>6090</v>
      </c>
      <c r="F7469" s="102">
        <f t="shared" si="4249"/>
        <v>6699000.0000000009</v>
      </c>
      <c r="G7469" s="102">
        <f t="shared" si="4250"/>
        <v>6090000</v>
      </c>
      <c r="H7469" s="690" t="s">
        <v>36</v>
      </c>
      <c r="I7469" s="71" t="s">
        <v>2529</v>
      </c>
      <c r="J7469" s="53">
        <v>404800</v>
      </c>
      <c r="K7469" s="63">
        <v>0.33789649415692824</v>
      </c>
      <c r="L7469" s="1212" t="s">
        <v>4275</v>
      </c>
      <c r="M7469" s="102" t="s">
        <v>3964</v>
      </c>
      <c r="N7469" s="1192">
        <v>45651</v>
      </c>
      <c r="O7469" s="71" t="s">
        <v>662</v>
      </c>
      <c r="P7469" s="103" t="str">
        <f t="shared" si="4253"/>
        <v>Saphira CTP 판 1030 x 800</v>
      </c>
      <c r="Q7469" s="71">
        <f t="shared" si="4261"/>
        <v>1000</v>
      </c>
      <c r="R7469" s="102">
        <v>3966</v>
      </c>
      <c r="S7469" s="102">
        <f t="shared" si="4257"/>
        <v>4362600</v>
      </c>
      <c r="T7469" s="102">
        <f t="shared" si="4258"/>
        <v>3966000</v>
      </c>
      <c r="U7469" s="71" t="s">
        <v>859</v>
      </c>
      <c r="V7469" s="71"/>
      <c r="W7469" s="474">
        <v>636000</v>
      </c>
      <c r="X7469" s="71"/>
      <c r="Y7469" s="71"/>
    </row>
    <row r="7470" spans="1:25" ht="30" hidden="1" customHeight="1" x14ac:dyDescent="0.25">
      <c r="A7470" s="1145">
        <v>45682</v>
      </c>
      <c r="B7470" s="664" t="s">
        <v>1060</v>
      </c>
      <c r="C7470" s="71" t="s">
        <v>3912</v>
      </c>
      <c r="D7470" s="71">
        <v>1500</v>
      </c>
      <c r="E7470" s="102">
        <v>6310</v>
      </c>
      <c r="F7470" s="102">
        <f t="shared" si="4249"/>
        <v>10411500</v>
      </c>
      <c r="G7470" s="102">
        <f t="shared" si="4250"/>
        <v>9465000</v>
      </c>
      <c r="H7470" s="690" t="s">
        <v>36</v>
      </c>
      <c r="I7470" s="71" t="s">
        <v>2529</v>
      </c>
      <c r="J7470" s="53">
        <v>3762000</v>
      </c>
      <c r="K7470" s="63">
        <v>0.33655394524959736</v>
      </c>
      <c r="L7470" s="1212" t="s">
        <v>4275</v>
      </c>
      <c r="M7470" s="102" t="s">
        <v>3964</v>
      </c>
      <c r="N7470" s="1192">
        <v>45651</v>
      </c>
      <c r="O7470" s="71" t="s">
        <v>662</v>
      </c>
      <c r="P7470" s="103" t="str">
        <f t="shared" si="4253"/>
        <v>Saphira CTP 판 1055 x 811</v>
      </c>
      <c r="Q7470" s="71">
        <f t="shared" si="4261"/>
        <v>1500</v>
      </c>
      <c r="R7470" s="102">
        <v>4120</v>
      </c>
      <c r="S7470" s="102">
        <f t="shared" si="4257"/>
        <v>6798000.0000000009</v>
      </c>
      <c r="T7470" s="102">
        <f t="shared" si="4258"/>
        <v>6180000</v>
      </c>
      <c r="U7470" s="71" t="s">
        <v>859</v>
      </c>
      <c r="V7470" s="71"/>
      <c r="W7470" s="474">
        <v>1476000</v>
      </c>
      <c r="X7470" s="71"/>
      <c r="Y7470" s="71"/>
    </row>
    <row r="7471" spans="1:25" ht="30" hidden="1" customHeight="1" x14ac:dyDescent="0.25">
      <c r="A7471" s="1145">
        <v>45682</v>
      </c>
      <c r="B7471" s="664" t="s">
        <v>1060</v>
      </c>
      <c r="C7471" s="71" t="s">
        <v>3913</v>
      </c>
      <c r="D7471" s="71">
        <v>400</v>
      </c>
      <c r="E7471" s="102">
        <v>4500</v>
      </c>
      <c r="F7471" s="102">
        <f t="shared" si="4249"/>
        <v>1980000.0000000002</v>
      </c>
      <c r="G7471" s="102">
        <f t="shared" si="4250"/>
        <v>1800000</v>
      </c>
      <c r="H7471" s="690" t="s">
        <v>36</v>
      </c>
      <c r="I7471" s="71" t="s">
        <v>2529</v>
      </c>
      <c r="J7471" s="53">
        <v>747000</v>
      </c>
      <c r="K7471" s="63">
        <v>0.33724604966139954</v>
      </c>
      <c r="L7471" s="1212" t="s">
        <v>4275</v>
      </c>
      <c r="M7471" s="102" t="s">
        <v>3964</v>
      </c>
      <c r="N7471" s="1192">
        <v>45651</v>
      </c>
      <c r="O7471" s="71" t="s">
        <v>662</v>
      </c>
      <c r="P7471" s="103" t="str">
        <f t="shared" si="4253"/>
        <v>Saphira CTP 판 968 x 631</v>
      </c>
      <c r="Q7471" s="71">
        <f t="shared" si="4261"/>
        <v>400</v>
      </c>
      <c r="R7471" s="102">
        <v>2936</v>
      </c>
      <c r="S7471" s="102">
        <f t="shared" si="4257"/>
        <v>1291840</v>
      </c>
      <c r="T7471" s="102">
        <f t="shared" si="4258"/>
        <v>1174400</v>
      </c>
      <c r="U7471" s="71" t="s">
        <v>859</v>
      </c>
      <c r="V7471" s="71"/>
      <c r="W7471" s="474">
        <v>1416000</v>
      </c>
      <c r="X7471" s="71"/>
      <c r="Y7471" s="71"/>
    </row>
    <row r="7472" spans="1:25" ht="30" hidden="1" customHeight="1" x14ac:dyDescent="0.25">
      <c r="A7472" s="1145">
        <v>45682</v>
      </c>
      <c r="B7472" s="664" t="s">
        <v>1060</v>
      </c>
      <c r="C7472" s="71" t="s">
        <v>3914</v>
      </c>
      <c r="D7472" s="71">
        <v>35</v>
      </c>
      <c r="E7472" s="102">
        <v>54560</v>
      </c>
      <c r="F7472" s="102">
        <f t="shared" si="4249"/>
        <v>2100560</v>
      </c>
      <c r="G7472" s="102">
        <f t="shared" si="4250"/>
        <v>1909600</v>
      </c>
      <c r="H7472" s="690" t="s">
        <v>36</v>
      </c>
      <c r="I7472" s="71" t="s">
        <v>2529</v>
      </c>
      <c r="J7472" s="53">
        <v>436800</v>
      </c>
      <c r="K7472" s="63">
        <v>0.23248882265275705</v>
      </c>
      <c r="L7472" s="1212" t="s">
        <v>4275</v>
      </c>
      <c r="M7472" s="468"/>
      <c r="N7472" s="1192">
        <v>45651</v>
      </c>
      <c r="O7472" s="71" t="s">
        <v>662</v>
      </c>
      <c r="P7472" s="103" t="str">
        <f t="shared" si="4253"/>
        <v>사피라 현상액</v>
      </c>
      <c r="Q7472" s="71">
        <f t="shared" si="4261"/>
        <v>35</v>
      </c>
      <c r="R7472" s="102">
        <v>41200</v>
      </c>
      <c r="S7472" s="102">
        <f t="shared" si="4257"/>
        <v>1586200.0000000002</v>
      </c>
      <c r="T7472" s="102">
        <f t="shared" si="4258"/>
        <v>1442000</v>
      </c>
      <c r="U7472" s="71" t="s">
        <v>859</v>
      </c>
      <c r="V7472" s="71"/>
      <c r="W7472" s="474">
        <v>978750</v>
      </c>
      <c r="X7472" s="71"/>
      <c r="Y7472" s="71"/>
    </row>
    <row r="7473" spans="1:25" ht="30" hidden="1" customHeight="1" x14ac:dyDescent="0.25">
      <c r="A7473" s="1145">
        <v>45682</v>
      </c>
      <c r="B7473" s="664" t="s">
        <v>1061</v>
      </c>
      <c r="C7473" s="71" t="s">
        <v>3319</v>
      </c>
      <c r="D7473" s="71">
        <v>400</v>
      </c>
      <c r="E7473" s="102">
        <v>6328</v>
      </c>
      <c r="F7473" s="102">
        <f t="shared" si="4249"/>
        <v>2784320</v>
      </c>
      <c r="G7473" s="102">
        <f t="shared" si="4250"/>
        <v>2531200</v>
      </c>
      <c r="H7473" s="690" t="s">
        <v>36</v>
      </c>
      <c r="I7473" s="71" t="s">
        <v>3320</v>
      </c>
      <c r="J7473" s="53">
        <v>95600</v>
      </c>
      <c r="K7473" s="63">
        <v>7.5537294563843241E-2</v>
      </c>
      <c r="L7473" s="1212" t="s">
        <v>4275</v>
      </c>
      <c r="M7473" s="468"/>
      <c r="N7473" s="1192">
        <v>45651</v>
      </c>
      <c r="O7473" s="71" t="s">
        <v>146</v>
      </c>
      <c r="P7473" s="103" t="str">
        <f t="shared" si="4253"/>
        <v>프리미어(먹)</v>
      </c>
      <c r="Q7473" s="71">
        <f t="shared" si="4261"/>
        <v>400</v>
      </c>
      <c r="R7473" s="102">
        <v>5850</v>
      </c>
      <c r="S7473" s="102">
        <f t="shared" si="4257"/>
        <v>2574000</v>
      </c>
      <c r="T7473" s="102">
        <f t="shared" si="4258"/>
        <v>2340000</v>
      </c>
      <c r="U7473" s="71" t="s">
        <v>859</v>
      </c>
      <c r="V7473" s="71"/>
      <c r="W7473" s="474">
        <v>411200</v>
      </c>
      <c r="X7473" s="71"/>
      <c r="Y7473" s="71"/>
    </row>
    <row r="7474" spans="1:25" ht="30" hidden="1" customHeight="1" x14ac:dyDescent="0.25">
      <c r="A7474" s="1145">
        <v>45682</v>
      </c>
      <c r="B7474" s="664" t="s">
        <v>1061</v>
      </c>
      <c r="C7474" s="71" t="s">
        <v>3321</v>
      </c>
      <c r="D7474" s="71">
        <v>400</v>
      </c>
      <c r="E7474" s="102">
        <v>6780</v>
      </c>
      <c r="F7474" s="102">
        <f t="shared" si="4249"/>
        <v>2983200.0000000005</v>
      </c>
      <c r="G7474" s="102">
        <f t="shared" si="4250"/>
        <v>2712000</v>
      </c>
      <c r="H7474" s="690" t="s">
        <v>36</v>
      </c>
      <c r="I7474" s="71" t="s">
        <v>3320</v>
      </c>
      <c r="J7474" s="53">
        <v>200000</v>
      </c>
      <c r="K7474" s="63">
        <v>7.3746312684365767E-2</v>
      </c>
      <c r="L7474" s="1212" t="s">
        <v>4275</v>
      </c>
      <c r="M7474" s="468"/>
      <c r="N7474" s="1192">
        <v>45651</v>
      </c>
      <c r="O7474" s="71" t="s">
        <v>146</v>
      </c>
      <c r="P7474" s="103" t="str">
        <f t="shared" si="4253"/>
        <v>프리미어(적)</v>
      </c>
      <c r="Q7474" s="71">
        <f t="shared" si="4261"/>
        <v>400</v>
      </c>
      <c r="R7474" s="102">
        <v>6280</v>
      </c>
      <c r="S7474" s="102">
        <f t="shared" si="4257"/>
        <v>2763200</v>
      </c>
      <c r="T7474" s="102">
        <f t="shared" si="4258"/>
        <v>2512000</v>
      </c>
      <c r="U7474" s="71" t="s">
        <v>859</v>
      </c>
      <c r="V7474" s="71"/>
      <c r="W7474" s="474">
        <v>292000</v>
      </c>
      <c r="X7474" s="71"/>
      <c r="Y7474" s="71"/>
    </row>
    <row r="7475" spans="1:25" ht="30" hidden="1" customHeight="1" x14ac:dyDescent="0.25">
      <c r="A7475" s="1145">
        <v>45682</v>
      </c>
      <c r="B7475" s="664" t="s">
        <v>1061</v>
      </c>
      <c r="C7475" s="71" t="s">
        <v>1289</v>
      </c>
      <c r="D7475" s="71">
        <v>600</v>
      </c>
      <c r="E7475" s="102">
        <v>6498</v>
      </c>
      <c r="F7475" s="102">
        <f t="shared" si="4249"/>
        <v>4288680</v>
      </c>
      <c r="G7475" s="102">
        <f t="shared" si="4250"/>
        <v>3898800</v>
      </c>
      <c r="H7475" s="690" t="s">
        <v>36</v>
      </c>
      <c r="I7475" s="71" t="s">
        <v>3320</v>
      </c>
      <c r="J7475" s="53">
        <v>286800</v>
      </c>
      <c r="K7475" s="63">
        <v>7.3561095721760547E-2</v>
      </c>
      <c r="L7475" s="1212" t="s">
        <v>4275</v>
      </c>
      <c r="M7475" s="468"/>
      <c r="N7475" s="1192">
        <v>45651</v>
      </c>
      <c r="O7475" s="71" t="s">
        <v>146</v>
      </c>
      <c r="P7475" s="103" t="str">
        <f t="shared" si="4253"/>
        <v>프리미어(황)</v>
      </c>
      <c r="Q7475" s="71">
        <f t="shared" si="4261"/>
        <v>600</v>
      </c>
      <c r="R7475" s="102">
        <v>6020</v>
      </c>
      <c r="S7475" s="102">
        <f t="shared" si="4257"/>
        <v>3973200.0000000005</v>
      </c>
      <c r="T7475" s="102">
        <f t="shared" si="4258"/>
        <v>3612000</v>
      </c>
      <c r="U7475" s="71" t="s">
        <v>859</v>
      </c>
      <c r="V7475" s="71"/>
      <c r="W7475" s="474">
        <v>640800</v>
      </c>
      <c r="X7475" s="71"/>
      <c r="Y7475" s="71"/>
    </row>
    <row r="7476" spans="1:25" ht="30" hidden="1" customHeight="1" x14ac:dyDescent="0.25">
      <c r="A7476" s="1145">
        <v>45682</v>
      </c>
      <c r="B7476" s="664" t="s">
        <v>1061</v>
      </c>
      <c r="C7476" s="71" t="s">
        <v>1290</v>
      </c>
      <c r="D7476" s="71">
        <v>400</v>
      </c>
      <c r="E7476" s="102">
        <v>7910</v>
      </c>
      <c r="F7476" s="102">
        <f t="shared" si="4249"/>
        <v>3480400.0000000005</v>
      </c>
      <c r="G7476" s="102">
        <f t="shared" si="4250"/>
        <v>3164000</v>
      </c>
      <c r="H7476" s="690" t="s">
        <v>36</v>
      </c>
      <c r="I7476" s="71" t="s">
        <v>3320</v>
      </c>
      <c r="J7476" s="53">
        <v>240000</v>
      </c>
      <c r="K7476" s="63">
        <v>7.5853350189633365E-2</v>
      </c>
      <c r="L7476" s="1212" t="s">
        <v>4275</v>
      </c>
      <c r="M7476" s="468"/>
      <c r="N7476" s="1192">
        <v>45651</v>
      </c>
      <c r="O7476" s="71" t="s">
        <v>146</v>
      </c>
      <c r="P7476" s="103" t="str">
        <f t="shared" si="4253"/>
        <v>프리미어(청)</v>
      </c>
      <c r="Q7476" s="71">
        <f t="shared" si="4261"/>
        <v>400</v>
      </c>
      <c r="R7476" s="102">
        <v>7310</v>
      </c>
      <c r="S7476" s="102">
        <f t="shared" si="4257"/>
        <v>3216400.0000000005</v>
      </c>
      <c r="T7476" s="102">
        <f t="shared" si="4258"/>
        <v>2924000</v>
      </c>
      <c r="U7476" s="71" t="s">
        <v>859</v>
      </c>
      <c r="V7476" s="71"/>
      <c r="W7476" s="474">
        <v>846000</v>
      </c>
      <c r="X7476" s="71"/>
      <c r="Y7476" s="71"/>
    </row>
    <row r="7477" spans="1:25" ht="30" hidden="1" customHeight="1" x14ac:dyDescent="0.25">
      <c r="A7477" s="1145">
        <v>45682</v>
      </c>
      <c r="B7477" s="664" t="s">
        <v>1061</v>
      </c>
      <c r="C7477" s="71" t="s">
        <v>3322</v>
      </c>
      <c r="D7477" s="71"/>
      <c r="E7477" s="102">
        <v>7150</v>
      </c>
      <c r="F7477" s="102">
        <f t="shared" ref="F7477:F7482" si="4262">(E7477*D7477)*1.1</f>
        <v>0</v>
      </c>
      <c r="G7477" s="102">
        <f t="shared" ref="G7477:G7482" si="4263">(E7477*D7477)</f>
        <v>0</v>
      </c>
      <c r="H7477" s="690" t="s">
        <v>36</v>
      </c>
      <c r="I7477" s="71" t="s">
        <v>3320</v>
      </c>
      <c r="J7477" s="53">
        <v>0</v>
      </c>
      <c r="K7477" s="63" t="e">
        <v>#DIV/0!</v>
      </c>
      <c r="L7477" s="1212" t="s">
        <v>4275</v>
      </c>
      <c r="M7477" s="468"/>
      <c r="N7477" s="1192">
        <v>45651</v>
      </c>
      <c r="O7477" s="71" t="s">
        <v>3323</v>
      </c>
      <c r="P7477" s="103" t="str">
        <f t="shared" si="4253"/>
        <v>한특 잉크(적)</v>
      </c>
      <c r="Q7477" s="71">
        <f t="shared" si="4261"/>
        <v>0</v>
      </c>
      <c r="R7477" s="102">
        <v>6500</v>
      </c>
      <c r="S7477" s="102">
        <f t="shared" si="4257"/>
        <v>0</v>
      </c>
      <c r="T7477" s="102">
        <f t="shared" si="4258"/>
        <v>0</v>
      </c>
      <c r="U7477" s="71" t="s">
        <v>859</v>
      </c>
      <c r="V7477" s="71"/>
      <c r="W7477" s="474">
        <v>0</v>
      </c>
      <c r="X7477" s="71"/>
      <c r="Y7477" s="71"/>
    </row>
    <row r="7478" spans="1:25" ht="30" hidden="1" customHeight="1" x14ac:dyDescent="0.25">
      <c r="A7478" s="1145">
        <v>45682</v>
      </c>
      <c r="B7478" s="664" t="s">
        <v>1061</v>
      </c>
      <c r="C7478" s="71" t="s">
        <v>3324</v>
      </c>
      <c r="D7478" s="71"/>
      <c r="E7478" s="102">
        <v>6900</v>
      </c>
      <c r="F7478" s="102">
        <f t="shared" si="4262"/>
        <v>0</v>
      </c>
      <c r="G7478" s="102">
        <f t="shared" si="4263"/>
        <v>0</v>
      </c>
      <c r="H7478" s="690" t="s">
        <v>36</v>
      </c>
      <c r="I7478" s="71" t="s">
        <v>3320</v>
      </c>
      <c r="J7478" s="53">
        <v>0</v>
      </c>
      <c r="K7478" s="63" t="e">
        <v>#DIV/0!</v>
      </c>
      <c r="L7478" s="1212" t="s">
        <v>4275</v>
      </c>
      <c r="M7478" s="468"/>
      <c r="N7478" s="1192">
        <v>45651</v>
      </c>
      <c r="O7478" s="71" t="s">
        <v>3323</v>
      </c>
      <c r="P7478" s="103" t="str">
        <f t="shared" si="4253"/>
        <v>한특 잉크(황)</v>
      </c>
      <c r="Q7478" s="71">
        <f t="shared" si="4261"/>
        <v>0</v>
      </c>
      <c r="R7478" s="102">
        <v>6200</v>
      </c>
      <c r="S7478" s="102">
        <f t="shared" si="4257"/>
        <v>0</v>
      </c>
      <c r="T7478" s="102">
        <f t="shared" si="4258"/>
        <v>0</v>
      </c>
      <c r="U7478" s="71" t="s">
        <v>859</v>
      </c>
      <c r="V7478" s="71"/>
      <c r="W7478" s="474">
        <v>0</v>
      </c>
      <c r="X7478" s="71"/>
      <c r="Y7478" s="71"/>
    </row>
    <row r="7479" spans="1:25" ht="28.5" hidden="1" customHeight="1" x14ac:dyDescent="0.25">
      <c r="A7479" s="1145">
        <v>45682</v>
      </c>
      <c r="B7479" s="664" t="s">
        <v>1061</v>
      </c>
      <c r="C7479" s="71" t="s">
        <v>3325</v>
      </c>
      <c r="D7479" s="71"/>
      <c r="E7479" s="102">
        <v>7500</v>
      </c>
      <c r="F7479" s="102">
        <f t="shared" si="4262"/>
        <v>0</v>
      </c>
      <c r="G7479" s="102">
        <f t="shared" si="4263"/>
        <v>0</v>
      </c>
      <c r="H7479" s="690" t="s">
        <v>36</v>
      </c>
      <c r="I7479" s="71" t="s">
        <v>3320</v>
      </c>
      <c r="J7479" s="53">
        <v>0</v>
      </c>
      <c r="K7479" s="63" t="e">
        <v>#DIV/0!</v>
      </c>
      <c r="L7479" s="1212" t="s">
        <v>4275</v>
      </c>
      <c r="M7479" s="468"/>
      <c r="N7479" s="1192">
        <v>45651</v>
      </c>
      <c r="O7479" s="71" t="s">
        <v>3323</v>
      </c>
      <c r="P7479" s="103" t="str">
        <f t="shared" si="4253"/>
        <v>한특 잉크(청)</v>
      </c>
      <c r="Q7479" s="71">
        <f t="shared" si="4261"/>
        <v>0</v>
      </c>
      <c r="R7479" s="102">
        <v>6600</v>
      </c>
      <c r="S7479" s="102">
        <f t="shared" si="4257"/>
        <v>0</v>
      </c>
      <c r="T7479" s="102">
        <f t="shared" si="4258"/>
        <v>0</v>
      </c>
      <c r="U7479" s="71" t="s">
        <v>859</v>
      </c>
      <c r="V7479" s="71"/>
      <c r="W7479" s="474">
        <v>0</v>
      </c>
      <c r="X7479" s="71"/>
      <c r="Y7479" s="71"/>
    </row>
    <row r="7480" spans="1:25" ht="30" hidden="1" customHeight="1" x14ac:dyDescent="0.25">
      <c r="A7480" s="1145">
        <v>45682</v>
      </c>
      <c r="B7480" s="664" t="s">
        <v>1061</v>
      </c>
      <c r="C7480" s="71" t="s">
        <v>3326</v>
      </c>
      <c r="D7480" s="71"/>
      <c r="E7480" s="102">
        <v>6450</v>
      </c>
      <c r="F7480" s="102">
        <f t="shared" si="4262"/>
        <v>0</v>
      </c>
      <c r="G7480" s="102">
        <f t="shared" si="4263"/>
        <v>0</v>
      </c>
      <c r="H7480" s="690" t="s">
        <v>36</v>
      </c>
      <c r="I7480" s="71" t="s">
        <v>3320</v>
      </c>
      <c r="J7480" s="53">
        <v>0</v>
      </c>
      <c r="K7480" s="63" t="e">
        <v>#DIV/0!</v>
      </c>
      <c r="L7480" s="1212" t="s">
        <v>4275</v>
      </c>
      <c r="M7480" s="468"/>
      <c r="N7480" s="1192">
        <v>45651</v>
      </c>
      <c r="O7480" s="71" t="s">
        <v>3323</v>
      </c>
      <c r="P7480" s="103" t="str">
        <f t="shared" si="4253"/>
        <v>한특 잉크(먹)</v>
      </c>
      <c r="Q7480" s="71">
        <f t="shared" si="4261"/>
        <v>0</v>
      </c>
      <c r="R7480" s="102">
        <v>5700</v>
      </c>
      <c r="S7480" s="102">
        <f t="shared" si="4257"/>
        <v>0</v>
      </c>
      <c r="T7480" s="102">
        <f t="shared" si="4258"/>
        <v>0</v>
      </c>
      <c r="U7480" s="71" t="s">
        <v>859</v>
      </c>
      <c r="V7480" s="71"/>
      <c r="W7480" s="474">
        <v>0</v>
      </c>
      <c r="X7480" s="71"/>
      <c r="Y7480" s="71"/>
    </row>
    <row r="7481" spans="1:25" ht="30" hidden="1" customHeight="1" x14ac:dyDescent="0.25">
      <c r="A7481" s="1145">
        <v>45682</v>
      </c>
      <c r="B7481" s="664" t="s">
        <v>1061</v>
      </c>
      <c r="C7481" s="71" t="s">
        <v>4233</v>
      </c>
      <c r="D7481" s="71">
        <v>0</v>
      </c>
      <c r="E7481" s="102">
        <v>24900</v>
      </c>
      <c r="F7481" s="102">
        <f t="shared" si="4262"/>
        <v>0</v>
      </c>
      <c r="G7481" s="102">
        <f t="shared" si="4263"/>
        <v>0</v>
      </c>
      <c r="H7481" s="690" t="s">
        <v>36</v>
      </c>
      <c r="I7481" s="71" t="s">
        <v>3320</v>
      </c>
      <c r="J7481" s="53">
        <v>0</v>
      </c>
      <c r="K7481" s="63" t="e">
        <v>#DIV/0!</v>
      </c>
      <c r="L7481" s="1212" t="s">
        <v>4275</v>
      </c>
      <c r="M7481" s="468"/>
      <c r="N7481" s="1192">
        <v>45651</v>
      </c>
      <c r="O7481" s="71" t="s">
        <v>2459</v>
      </c>
      <c r="P7481" s="103" t="str">
        <f t="shared" si="4253"/>
        <v>별색 - 프린피아 PT-812</v>
      </c>
      <c r="Q7481" s="71">
        <f t="shared" si="4261"/>
        <v>0</v>
      </c>
      <c r="R7481" s="102">
        <v>31000</v>
      </c>
      <c r="S7481" s="102">
        <f t="shared" si="4257"/>
        <v>0</v>
      </c>
      <c r="T7481" s="102">
        <f t="shared" si="4258"/>
        <v>0</v>
      </c>
      <c r="U7481" s="71"/>
      <c r="V7481" s="71"/>
      <c r="W7481" s="474"/>
      <c r="X7481" s="71"/>
      <c r="Y7481" s="71"/>
    </row>
    <row r="7482" spans="1:25" ht="30" hidden="1" customHeight="1" x14ac:dyDescent="0.25">
      <c r="A7482" s="1145">
        <v>45682</v>
      </c>
      <c r="B7482" s="664" t="s">
        <v>1061</v>
      </c>
      <c r="C7482" s="71" t="s">
        <v>4280</v>
      </c>
      <c r="D7482" s="71">
        <v>25</v>
      </c>
      <c r="E7482" s="102">
        <v>9860</v>
      </c>
      <c r="F7482" s="102">
        <f t="shared" si="4262"/>
        <v>271150</v>
      </c>
      <c r="G7482" s="102">
        <f t="shared" si="4263"/>
        <v>246500</v>
      </c>
      <c r="H7482" s="690" t="s">
        <v>36</v>
      </c>
      <c r="I7482" s="71" t="s">
        <v>3320</v>
      </c>
      <c r="J7482" s="53">
        <v>0</v>
      </c>
      <c r="K7482" s="63" t="e">
        <v>#DIV/0!</v>
      </c>
      <c r="L7482" s="1212" t="s">
        <v>4275</v>
      </c>
      <c r="M7482" s="468"/>
      <c r="N7482" s="1192">
        <v>45651</v>
      </c>
      <c r="O7482" s="71" t="s">
        <v>3323</v>
      </c>
      <c r="P7482" s="103" t="str">
        <f t="shared" si="4253"/>
        <v>별색 - H/S DIC 370</v>
      </c>
      <c r="Q7482" s="71">
        <f t="shared" si="4261"/>
        <v>25</v>
      </c>
      <c r="R7482" s="102">
        <v>11700</v>
      </c>
      <c r="S7482" s="102">
        <f t="shared" si="4257"/>
        <v>321750</v>
      </c>
      <c r="T7482" s="102">
        <f t="shared" si="4258"/>
        <v>292500</v>
      </c>
      <c r="U7482" s="71"/>
      <c r="V7482" s="71"/>
      <c r="W7482" s="474"/>
      <c r="X7482" s="71"/>
      <c r="Y7482" s="71"/>
    </row>
    <row r="7483" spans="1:25" ht="30" hidden="1" customHeight="1" x14ac:dyDescent="0.25">
      <c r="A7483" s="1145">
        <v>45682</v>
      </c>
      <c r="B7483" s="664" t="s">
        <v>3307</v>
      </c>
      <c r="C7483" s="71" t="s">
        <v>3916</v>
      </c>
      <c r="D7483" s="71">
        <v>16</v>
      </c>
      <c r="E7483" s="102">
        <v>218000</v>
      </c>
      <c r="F7483" s="102">
        <f t="shared" ref="F7483:F7485" si="4264">(E7483*D7483)*1.1</f>
        <v>3836800.0000000005</v>
      </c>
      <c r="G7483" s="102">
        <f t="shared" ref="G7483:G7485" si="4265">(E7483*D7483)</f>
        <v>3488000</v>
      </c>
      <c r="H7483" s="690" t="s">
        <v>172</v>
      </c>
      <c r="I7483" s="71" t="s">
        <v>33</v>
      </c>
      <c r="J7483" s="53">
        <f t="shared" ref="J7483" si="4266">G7483-T7483</f>
        <v>824000</v>
      </c>
      <c r="K7483" s="63">
        <f t="shared" ref="K7483" si="4267">(J7483/(F7483/11*10))</f>
        <v>0.23623853211009171</v>
      </c>
      <c r="L7483" s="1212" t="s">
        <v>4275</v>
      </c>
      <c r="M7483" s="468" t="s">
        <v>3965</v>
      </c>
      <c r="N7483" s="1192">
        <f t="shared" ref="N7483" si="4268">A7483</f>
        <v>45682</v>
      </c>
      <c r="O7483" s="71" t="s">
        <v>662</v>
      </c>
      <c r="P7483" s="103" t="s">
        <v>3916</v>
      </c>
      <c r="Q7483" s="71">
        <f t="shared" si="4261"/>
        <v>16</v>
      </c>
      <c r="R7483" s="102">
        <v>166500</v>
      </c>
      <c r="S7483" s="102">
        <f t="shared" si="4257"/>
        <v>2930400.0000000005</v>
      </c>
      <c r="T7483" s="102">
        <f t="shared" si="4258"/>
        <v>2664000</v>
      </c>
      <c r="U7483" s="71" t="s">
        <v>859</v>
      </c>
      <c r="V7483" s="71" t="s">
        <v>728</v>
      </c>
      <c r="W7483" s="474">
        <v>464000</v>
      </c>
      <c r="X7483" s="71"/>
      <c r="Y7483" s="71"/>
    </row>
    <row r="7484" spans="1:25" ht="30" hidden="1" customHeight="1" x14ac:dyDescent="0.25">
      <c r="A7484" s="1145">
        <v>45682</v>
      </c>
      <c r="B7484" s="664" t="s">
        <v>3307</v>
      </c>
      <c r="C7484" s="71" t="s">
        <v>3632</v>
      </c>
      <c r="D7484" s="71">
        <v>1</v>
      </c>
      <c r="E7484" s="102">
        <v>2350000</v>
      </c>
      <c r="F7484" s="102">
        <f t="shared" si="4264"/>
        <v>2585000</v>
      </c>
      <c r="G7484" s="102">
        <f t="shared" si="4265"/>
        <v>2350000</v>
      </c>
      <c r="H7484" s="690" t="s">
        <v>36</v>
      </c>
      <c r="I7484" s="690" t="s">
        <v>36</v>
      </c>
      <c r="J7484" s="53">
        <v>600000</v>
      </c>
      <c r="K7484" s="63">
        <v>0.25531914893617019</v>
      </c>
      <c r="L7484" s="1212" t="s">
        <v>4275</v>
      </c>
      <c r="M7484" s="468"/>
      <c r="N7484" s="1192">
        <v>45651</v>
      </c>
      <c r="O7484" s="71" t="s">
        <v>3298</v>
      </c>
      <c r="P7484" s="103" t="str">
        <f t="shared" si="4253"/>
        <v>12월분 Apogee 사용료</v>
      </c>
      <c r="Q7484" s="71">
        <f t="shared" si="4261"/>
        <v>1</v>
      </c>
      <c r="R7484" s="147">
        <v>1750000</v>
      </c>
      <c r="S7484" s="102">
        <f t="shared" si="4257"/>
        <v>1925000.0000000002</v>
      </c>
      <c r="T7484" s="102">
        <f t="shared" si="4258"/>
        <v>1750000</v>
      </c>
      <c r="U7484" s="71"/>
      <c r="V7484" s="71"/>
      <c r="W7484" s="474"/>
      <c r="X7484" s="71"/>
      <c r="Y7484" s="71"/>
    </row>
    <row r="7485" spans="1:25" ht="30" hidden="1" customHeight="1" x14ac:dyDescent="0.25">
      <c r="A7485" s="1145">
        <v>45682</v>
      </c>
      <c r="B7485" s="664" t="s">
        <v>575</v>
      </c>
      <c r="C7485" s="71" t="s">
        <v>4058</v>
      </c>
      <c r="D7485" s="71">
        <v>10</v>
      </c>
      <c r="E7485" s="102">
        <v>27000</v>
      </c>
      <c r="F7485" s="102">
        <f t="shared" si="4264"/>
        <v>297000</v>
      </c>
      <c r="G7485" s="102">
        <f t="shared" si="4265"/>
        <v>270000</v>
      </c>
      <c r="H7485" s="690" t="s">
        <v>179</v>
      </c>
      <c r="I7485" s="71" t="s">
        <v>142</v>
      </c>
      <c r="J7485" s="53">
        <v>0</v>
      </c>
      <c r="K7485" s="63" t="e">
        <v>#DIV/0!</v>
      </c>
      <c r="L7485" s="1212" t="s">
        <v>4275</v>
      </c>
      <c r="M7485" s="468"/>
      <c r="N7485" s="1192">
        <v>45651</v>
      </c>
      <c r="O7485" s="71" t="s">
        <v>151</v>
      </c>
      <c r="P7485" s="103" t="str">
        <f t="shared" si="4253"/>
        <v>국전 블랑켓 패킹지</v>
      </c>
      <c r="Q7485" s="71">
        <f t="shared" si="4261"/>
        <v>10</v>
      </c>
      <c r="R7485" s="147">
        <v>22600</v>
      </c>
      <c r="S7485" s="102">
        <f t="shared" si="4257"/>
        <v>248600.00000000003</v>
      </c>
      <c r="T7485" s="102">
        <f t="shared" si="4258"/>
        <v>226000</v>
      </c>
      <c r="U7485" s="71"/>
      <c r="V7485" s="71"/>
      <c r="W7485" s="474"/>
      <c r="X7485" s="71"/>
      <c r="Y7485" s="71"/>
    </row>
    <row r="7486" spans="1:25" ht="30" hidden="1" customHeight="1" x14ac:dyDescent="0.25">
      <c r="A7486" s="1145">
        <v>45675</v>
      </c>
      <c r="B7486" s="664" t="s">
        <v>2798</v>
      </c>
      <c r="C7486" s="71" t="s">
        <v>167</v>
      </c>
      <c r="D7486" s="71">
        <v>10</v>
      </c>
      <c r="E7486" s="102">
        <v>138000</v>
      </c>
      <c r="F7486" s="102">
        <f t="shared" ref="F7486:F7497" si="4269">(E7486*D7486)*1.1</f>
        <v>1518000.0000000002</v>
      </c>
      <c r="G7486" s="102">
        <f t="shared" ref="G7486:G7497" si="4270">(E7486*D7486)</f>
        <v>1380000</v>
      </c>
      <c r="H7486" s="690" t="s">
        <v>172</v>
      </c>
      <c r="I7486" s="71" t="s">
        <v>33</v>
      </c>
      <c r="J7486" s="53">
        <f t="shared" ref="J7486:J7497" si="4271">G7486-T7486</f>
        <v>460000</v>
      </c>
      <c r="K7486" s="63">
        <f t="shared" ref="K7486:K7489" si="4272">(J7486/(F7486/11*10))</f>
        <v>0.33333333333333326</v>
      </c>
      <c r="L7486" s="1212" t="s">
        <v>4275</v>
      </c>
      <c r="M7486" s="468" t="s">
        <v>4114</v>
      </c>
      <c r="N7486" s="1192">
        <f t="shared" ref="N7486:N7522" si="4273">A7486</f>
        <v>45675</v>
      </c>
      <c r="O7486" s="71" t="s">
        <v>146</v>
      </c>
      <c r="P7486" s="103" t="str">
        <f t="shared" ref="P7486:P7498" si="4274">(C7486)</f>
        <v>Blanket(1060*860)</v>
      </c>
      <c r="Q7486" s="71">
        <f t="shared" si="4261"/>
        <v>10</v>
      </c>
      <c r="R7486" s="102">
        <v>92000</v>
      </c>
      <c r="S7486" s="102">
        <f t="shared" si="4257"/>
        <v>1012000.0000000001</v>
      </c>
      <c r="T7486" s="102">
        <f t="shared" si="4258"/>
        <v>920000</v>
      </c>
      <c r="U7486" s="71" t="str">
        <f t="shared" ref="U7486" si="4275">IF(J7486=W7486,"O", "X")</f>
        <v>X</v>
      </c>
      <c r="V7486" s="71"/>
      <c r="W7486" s="474"/>
      <c r="X7486" s="71"/>
      <c r="Y7486" s="71"/>
    </row>
    <row r="7487" spans="1:25" ht="30" hidden="1" customHeight="1" x14ac:dyDescent="0.25">
      <c r="A7487" s="1145">
        <v>45679</v>
      </c>
      <c r="B7487" s="664" t="s">
        <v>444</v>
      </c>
      <c r="C7487" s="71" t="s">
        <v>3399</v>
      </c>
      <c r="D7487" s="71">
        <v>5</v>
      </c>
      <c r="E7487" s="102">
        <v>195000</v>
      </c>
      <c r="F7487" s="102">
        <f t="shared" si="4269"/>
        <v>1072500</v>
      </c>
      <c r="G7487" s="102">
        <f t="shared" si="4270"/>
        <v>975000</v>
      </c>
      <c r="H7487" s="690" t="s">
        <v>2029</v>
      </c>
      <c r="I7487" s="71" t="s">
        <v>180</v>
      </c>
      <c r="J7487" s="53">
        <f t="shared" si="4271"/>
        <v>225000</v>
      </c>
      <c r="K7487" s="63">
        <f t="shared" si="4272"/>
        <v>0.23076923076923078</v>
      </c>
      <c r="L7487" s="1212" t="s">
        <v>4275</v>
      </c>
      <c r="M7487" s="468"/>
      <c r="N7487" s="1192">
        <f t="shared" si="4273"/>
        <v>45679</v>
      </c>
      <c r="O7487" s="71" t="s">
        <v>191</v>
      </c>
      <c r="P7487" s="103" t="str">
        <f t="shared" si="4274"/>
        <v>UV wash offset UV</v>
      </c>
      <c r="Q7487" s="71">
        <f t="shared" si="4261"/>
        <v>5</v>
      </c>
      <c r="R7487" s="102">
        <v>150000</v>
      </c>
      <c r="S7487" s="102">
        <f t="shared" si="4257"/>
        <v>825000.00000000012</v>
      </c>
      <c r="T7487" s="102">
        <f t="shared" si="4258"/>
        <v>750000</v>
      </c>
      <c r="U7487" s="71"/>
      <c r="V7487" s="71"/>
      <c r="W7487" s="474"/>
      <c r="X7487" s="71"/>
      <c r="Y7487" s="71"/>
    </row>
    <row r="7488" spans="1:25" ht="30" hidden="1" customHeight="1" x14ac:dyDescent="0.25">
      <c r="A7488" s="1145">
        <v>45679</v>
      </c>
      <c r="B7488" s="664" t="s">
        <v>2798</v>
      </c>
      <c r="C7488" s="71" t="s">
        <v>4239</v>
      </c>
      <c r="D7488" s="71">
        <v>2</v>
      </c>
      <c r="E7488" s="102">
        <v>252000</v>
      </c>
      <c r="F7488" s="102">
        <f t="shared" si="4269"/>
        <v>554400</v>
      </c>
      <c r="G7488" s="102">
        <f t="shared" si="4270"/>
        <v>504000</v>
      </c>
      <c r="H7488" s="690" t="s">
        <v>173</v>
      </c>
      <c r="I7488" s="71" t="s">
        <v>180</v>
      </c>
      <c r="J7488" s="53">
        <f t="shared" si="4271"/>
        <v>129000</v>
      </c>
      <c r="K7488" s="63">
        <f t="shared" si="4272"/>
        <v>0.25595238095238093</v>
      </c>
      <c r="L7488" s="1212" t="s">
        <v>4275</v>
      </c>
      <c r="M7488" s="102"/>
      <c r="N7488" s="1192">
        <f t="shared" si="4273"/>
        <v>45679</v>
      </c>
      <c r="O7488" s="71" t="s">
        <v>150</v>
      </c>
      <c r="P7488" s="103" t="str">
        <f t="shared" si="4274"/>
        <v>Saphira 건식 세정포 하이델 XL용</v>
      </c>
      <c r="Q7488" s="71">
        <f t="shared" si="4261"/>
        <v>2</v>
      </c>
      <c r="R7488" s="102">
        <v>187500</v>
      </c>
      <c r="S7488" s="102">
        <f t="shared" si="4257"/>
        <v>412500.00000000006</v>
      </c>
      <c r="T7488" s="102">
        <f t="shared" si="4258"/>
        <v>375000</v>
      </c>
      <c r="U7488" s="71"/>
      <c r="V7488" s="71"/>
      <c r="W7488" s="474"/>
      <c r="X7488" s="71"/>
      <c r="Y7488" s="71"/>
    </row>
    <row r="7489" spans="1:25" ht="30" hidden="1" customHeight="1" x14ac:dyDescent="0.25">
      <c r="A7489" s="1145">
        <v>45679</v>
      </c>
      <c r="B7489" s="664" t="s">
        <v>2798</v>
      </c>
      <c r="C7489" s="71" t="s">
        <v>4240</v>
      </c>
      <c r="D7489" s="71">
        <v>10</v>
      </c>
      <c r="E7489" s="102">
        <v>133000</v>
      </c>
      <c r="F7489" s="102">
        <f t="shared" si="4269"/>
        <v>1463000.0000000002</v>
      </c>
      <c r="G7489" s="102">
        <f t="shared" si="4270"/>
        <v>1330000</v>
      </c>
      <c r="H7489" s="690" t="s">
        <v>173</v>
      </c>
      <c r="I7489" s="71" t="s">
        <v>109</v>
      </c>
      <c r="J7489" s="53">
        <f t="shared" si="4271"/>
        <v>210000</v>
      </c>
      <c r="K7489" s="63">
        <f t="shared" si="4272"/>
        <v>0.15789473684210523</v>
      </c>
      <c r="L7489" s="1212" t="s">
        <v>4275</v>
      </c>
      <c r="M7489" s="102"/>
      <c r="N7489" s="1192">
        <f t="shared" si="4273"/>
        <v>45679</v>
      </c>
      <c r="O7489" s="71" t="s">
        <v>150</v>
      </c>
      <c r="P7489" s="103" t="str">
        <f t="shared" si="4274"/>
        <v>5MX 블랑켓 XL용</v>
      </c>
      <c r="Q7489" s="71">
        <f t="shared" si="4261"/>
        <v>10</v>
      </c>
      <c r="R7489" s="102">
        <v>112000</v>
      </c>
      <c r="S7489" s="102">
        <f t="shared" si="4257"/>
        <v>1232000</v>
      </c>
      <c r="T7489" s="102">
        <f t="shared" si="4258"/>
        <v>1120000</v>
      </c>
      <c r="U7489" s="71"/>
      <c r="V7489" s="71"/>
      <c r="W7489" s="474"/>
      <c r="X7489" s="71"/>
      <c r="Y7489" s="71"/>
    </row>
    <row r="7490" spans="1:25" ht="30" hidden="1" customHeight="1" x14ac:dyDescent="0.25">
      <c r="A7490" s="1145">
        <v>45660</v>
      </c>
      <c r="B7490" s="664" t="s">
        <v>26</v>
      </c>
      <c r="C7490" s="71" t="s">
        <v>2087</v>
      </c>
      <c r="D7490" s="71">
        <v>5</v>
      </c>
      <c r="E7490" s="102">
        <v>65000</v>
      </c>
      <c r="F7490" s="102">
        <f t="shared" si="4269"/>
        <v>357500</v>
      </c>
      <c r="G7490" s="102">
        <f t="shared" si="4270"/>
        <v>325000</v>
      </c>
      <c r="H7490" s="690" t="s">
        <v>172</v>
      </c>
      <c r="I7490" s="71" t="s">
        <v>3295</v>
      </c>
      <c r="J7490" s="53">
        <f t="shared" si="4271"/>
        <v>75000</v>
      </c>
      <c r="K7490" s="63">
        <v>0.23076923076923078</v>
      </c>
      <c r="L7490" s="1212" t="s">
        <v>4275</v>
      </c>
      <c r="M7490" s="468"/>
      <c r="N7490" s="1192">
        <f t="shared" si="4273"/>
        <v>45660</v>
      </c>
      <c r="O7490" s="71" t="s">
        <v>152</v>
      </c>
      <c r="P7490" s="103" t="str">
        <f t="shared" si="4274"/>
        <v>아스테이지(국전)</v>
      </c>
      <c r="Q7490" s="71">
        <f t="shared" si="4261"/>
        <v>5</v>
      </c>
      <c r="R7490" s="102">
        <v>50000</v>
      </c>
      <c r="S7490" s="102">
        <f t="shared" si="4257"/>
        <v>275000</v>
      </c>
      <c r="T7490" s="102">
        <f t="shared" si="4258"/>
        <v>250000</v>
      </c>
      <c r="U7490" s="71" t="s">
        <v>1915</v>
      </c>
      <c r="V7490" s="71"/>
      <c r="W7490" s="474">
        <v>150000</v>
      </c>
      <c r="X7490" s="71"/>
      <c r="Y7490" s="71"/>
    </row>
    <row r="7491" spans="1:25" s="209" customFormat="1" ht="30" hidden="1" customHeight="1" x14ac:dyDescent="0.25">
      <c r="A7491" s="1145">
        <v>45674</v>
      </c>
      <c r="B7491" s="664" t="s">
        <v>411</v>
      </c>
      <c r="C7491" s="71" t="s">
        <v>3413</v>
      </c>
      <c r="D7491" s="71">
        <v>10</v>
      </c>
      <c r="E7491" s="102">
        <v>90000</v>
      </c>
      <c r="F7491" s="102">
        <f t="shared" si="4269"/>
        <v>990000.00000000012</v>
      </c>
      <c r="G7491" s="102">
        <f t="shared" si="4270"/>
        <v>900000</v>
      </c>
      <c r="H7491" s="690" t="s">
        <v>2029</v>
      </c>
      <c r="I7491" s="71" t="s">
        <v>3385</v>
      </c>
      <c r="J7491" s="53">
        <f t="shared" si="4271"/>
        <v>400000</v>
      </c>
      <c r="K7491" s="63">
        <f t="shared" ref="K7491:K7497" si="4276">(J7491/(F7491/11*10))</f>
        <v>0.44444444444444436</v>
      </c>
      <c r="L7491" s="1212" t="s">
        <v>4275</v>
      </c>
      <c r="M7491" s="468"/>
      <c r="N7491" s="1192">
        <f t="shared" si="4273"/>
        <v>45674</v>
      </c>
      <c r="O7491" s="71" t="s">
        <v>190</v>
      </c>
      <c r="P7491" s="103" t="str">
        <f t="shared" si="4274"/>
        <v>아스테이지(국전)</v>
      </c>
      <c r="Q7491" s="71">
        <f t="shared" si="4261"/>
        <v>10</v>
      </c>
      <c r="R7491" s="102">
        <v>50000</v>
      </c>
      <c r="S7491" s="102">
        <f t="shared" si="4257"/>
        <v>550000</v>
      </c>
      <c r="T7491" s="102">
        <f t="shared" si="4258"/>
        <v>500000</v>
      </c>
      <c r="U7491" s="71" t="str">
        <f t="shared" ref="U7491" si="4277">IF(J7491=W7491,"O", "X")</f>
        <v>X</v>
      </c>
      <c r="V7491" s="71"/>
      <c r="W7491" s="474">
        <v>500000</v>
      </c>
      <c r="X7491" s="71"/>
      <c r="Y7491" s="71"/>
    </row>
    <row r="7492" spans="1:25" ht="30" hidden="1" customHeight="1" x14ac:dyDescent="0.25">
      <c r="A7492" s="1145">
        <v>46017</v>
      </c>
      <c r="B7492" s="664" t="s">
        <v>442</v>
      </c>
      <c r="C7492" s="71" t="s">
        <v>206</v>
      </c>
      <c r="D7492" s="71">
        <v>4</v>
      </c>
      <c r="E7492" s="102">
        <v>493770</v>
      </c>
      <c r="F7492" s="102">
        <f t="shared" si="4269"/>
        <v>2172588</v>
      </c>
      <c r="G7492" s="102">
        <f t="shared" si="4270"/>
        <v>1975080</v>
      </c>
      <c r="H7492" s="690" t="s">
        <v>2029</v>
      </c>
      <c r="I7492" s="71" t="s">
        <v>195</v>
      </c>
      <c r="J7492" s="53">
        <f t="shared" si="4271"/>
        <v>218240</v>
      </c>
      <c r="K7492" s="63">
        <f t="shared" si="4276"/>
        <v>0.1104967900034429</v>
      </c>
      <c r="L7492" s="1212" t="s">
        <v>4275</v>
      </c>
      <c r="M7492" s="468"/>
      <c r="N7492" s="1192">
        <f t="shared" si="4273"/>
        <v>46017</v>
      </c>
      <c r="O7492" s="71" t="s">
        <v>4245</v>
      </c>
      <c r="P7492" s="103" t="str">
        <f t="shared" si="4274"/>
        <v>Agfa Film(24inch)</v>
      </c>
      <c r="Q7492" s="71">
        <f t="shared" si="4261"/>
        <v>4</v>
      </c>
      <c r="R7492" s="102">
        <v>439210</v>
      </c>
      <c r="S7492" s="102">
        <f t="shared" si="4257"/>
        <v>1932524.0000000002</v>
      </c>
      <c r="T7492" s="102">
        <f t="shared" si="4258"/>
        <v>1756840</v>
      </c>
      <c r="U7492" s="71" t="s">
        <v>859</v>
      </c>
      <c r="V7492" s="71"/>
      <c r="W7492" s="474">
        <v>144640</v>
      </c>
      <c r="X7492" s="71"/>
      <c r="Y7492" s="71"/>
    </row>
    <row r="7493" spans="1:25" ht="30" hidden="1" customHeight="1" x14ac:dyDescent="0.25">
      <c r="A7493" s="1145">
        <v>46017</v>
      </c>
      <c r="B7493" s="664" t="s">
        <v>442</v>
      </c>
      <c r="C7493" s="71" t="s">
        <v>207</v>
      </c>
      <c r="D7493" s="71">
        <v>2</v>
      </c>
      <c r="E7493" s="102">
        <v>608220</v>
      </c>
      <c r="F7493" s="102">
        <f t="shared" si="4269"/>
        <v>1338084</v>
      </c>
      <c r="G7493" s="102">
        <f t="shared" si="4270"/>
        <v>1216440</v>
      </c>
      <c r="H7493" s="690" t="s">
        <v>2029</v>
      </c>
      <c r="I7493" s="71" t="s">
        <v>195</v>
      </c>
      <c r="J7493" s="53">
        <f t="shared" si="4271"/>
        <v>218400</v>
      </c>
      <c r="K7493" s="63">
        <f t="shared" si="4276"/>
        <v>0.17954029791851633</v>
      </c>
      <c r="L7493" s="1212" t="s">
        <v>4275</v>
      </c>
      <c r="M7493" s="468"/>
      <c r="N7493" s="1192">
        <f t="shared" si="4273"/>
        <v>46017</v>
      </c>
      <c r="O7493" s="71" t="s">
        <v>4245</v>
      </c>
      <c r="P7493" s="103" t="str">
        <f t="shared" si="4274"/>
        <v>Agfa Film(28inch)</v>
      </c>
      <c r="Q7493" s="71">
        <f t="shared" si="4261"/>
        <v>2</v>
      </c>
      <c r="R7493" s="102">
        <v>499020</v>
      </c>
      <c r="S7493" s="102">
        <f t="shared" si="4257"/>
        <v>1097844</v>
      </c>
      <c r="T7493" s="102">
        <f t="shared" si="4258"/>
        <v>998040</v>
      </c>
      <c r="U7493" s="71" t="s">
        <v>859</v>
      </c>
      <c r="V7493" s="71"/>
      <c r="W7493" s="474">
        <v>228480</v>
      </c>
      <c r="X7493" s="71"/>
      <c r="Y7493" s="71"/>
    </row>
    <row r="7494" spans="1:25" ht="30" hidden="1" customHeight="1" x14ac:dyDescent="0.25">
      <c r="A7494" s="1145">
        <v>46017</v>
      </c>
      <c r="B7494" s="664" t="s">
        <v>442</v>
      </c>
      <c r="C7494" s="71" t="s">
        <v>208</v>
      </c>
      <c r="D7494" s="71">
        <v>2</v>
      </c>
      <c r="E7494" s="102">
        <v>680160</v>
      </c>
      <c r="F7494" s="102">
        <f t="shared" si="4269"/>
        <v>1496352.0000000002</v>
      </c>
      <c r="G7494" s="102">
        <f t="shared" si="4270"/>
        <v>1360320</v>
      </c>
      <c r="H7494" s="690" t="s">
        <v>2029</v>
      </c>
      <c r="I7494" s="71" t="s">
        <v>195</v>
      </c>
      <c r="J7494" s="53">
        <f t="shared" si="4271"/>
        <v>153300</v>
      </c>
      <c r="K7494" s="63">
        <f t="shared" si="4276"/>
        <v>0.11269407198306279</v>
      </c>
      <c r="L7494" s="1212" t="s">
        <v>4275</v>
      </c>
      <c r="M7494" s="468"/>
      <c r="N7494" s="1192">
        <f t="shared" si="4273"/>
        <v>46017</v>
      </c>
      <c r="O7494" s="71" t="s">
        <v>4245</v>
      </c>
      <c r="P7494" s="103" t="str">
        <f t="shared" si="4274"/>
        <v>Agfa Film(32inch)</v>
      </c>
      <c r="Q7494" s="71">
        <f t="shared" si="4261"/>
        <v>2</v>
      </c>
      <c r="R7494" s="102">
        <v>603510</v>
      </c>
      <c r="S7494" s="102">
        <f t="shared" si="4257"/>
        <v>1327722</v>
      </c>
      <c r="T7494" s="102">
        <f t="shared" si="4258"/>
        <v>1207020</v>
      </c>
      <c r="U7494" s="71" t="s">
        <v>859</v>
      </c>
      <c r="V7494" s="71"/>
      <c r="W7494" s="474">
        <v>201820</v>
      </c>
      <c r="X7494" s="71"/>
      <c r="Y7494" s="71"/>
    </row>
    <row r="7495" spans="1:25" s="209" customFormat="1" ht="30" hidden="1" customHeight="1" x14ac:dyDescent="0.25">
      <c r="A7495" s="1145">
        <v>45656</v>
      </c>
      <c r="B7495" s="664" t="s">
        <v>442</v>
      </c>
      <c r="C7495" s="71" t="s">
        <v>3833</v>
      </c>
      <c r="D7495" s="71">
        <v>1000</v>
      </c>
      <c r="E7495" s="102">
        <v>4250</v>
      </c>
      <c r="F7495" s="102">
        <f t="shared" si="4269"/>
        <v>4675000</v>
      </c>
      <c r="G7495" s="102">
        <f t="shared" si="4270"/>
        <v>4250000</v>
      </c>
      <c r="H7495" s="690" t="s">
        <v>2029</v>
      </c>
      <c r="I7495" s="71" t="s">
        <v>2230</v>
      </c>
      <c r="J7495" s="53">
        <f t="shared" si="4271"/>
        <v>800000</v>
      </c>
      <c r="K7495" s="63">
        <f t="shared" si="4276"/>
        <v>0.18823529411764706</v>
      </c>
      <c r="L7495" s="1212" t="s">
        <v>4275</v>
      </c>
      <c r="M7495" s="468"/>
      <c r="N7495" s="1192">
        <f t="shared" si="4273"/>
        <v>45656</v>
      </c>
      <c r="O7495" s="71" t="s">
        <v>2030</v>
      </c>
      <c r="P7495" s="103" t="str">
        <f t="shared" si="4274"/>
        <v>CTP 판 1030*790</v>
      </c>
      <c r="Q7495" s="71">
        <f t="shared" si="4261"/>
        <v>1000</v>
      </c>
      <c r="R7495" s="102">
        <v>3450</v>
      </c>
      <c r="S7495" s="102">
        <f t="shared" si="4257"/>
        <v>3795000.0000000005</v>
      </c>
      <c r="T7495" s="102">
        <f t="shared" si="4258"/>
        <v>3450000</v>
      </c>
      <c r="U7495" s="71"/>
      <c r="V7495" s="71"/>
      <c r="W7495" s="474"/>
      <c r="X7495" s="71"/>
      <c r="Y7495" s="71"/>
    </row>
    <row r="7496" spans="1:25" ht="30" hidden="1" customHeight="1" x14ac:dyDescent="0.25">
      <c r="A7496" s="1145">
        <v>46021</v>
      </c>
      <c r="B7496" s="664" t="s">
        <v>442</v>
      </c>
      <c r="C7496" s="71" t="s">
        <v>3834</v>
      </c>
      <c r="D7496" s="71">
        <v>8</v>
      </c>
      <c r="E7496" s="102">
        <v>57000</v>
      </c>
      <c r="F7496" s="102">
        <f t="shared" si="4269"/>
        <v>501600.00000000006</v>
      </c>
      <c r="G7496" s="102">
        <f t="shared" si="4270"/>
        <v>456000</v>
      </c>
      <c r="H7496" s="690" t="s">
        <v>2029</v>
      </c>
      <c r="I7496" s="71" t="s">
        <v>2230</v>
      </c>
      <c r="J7496" s="53">
        <f t="shared" si="4271"/>
        <v>138720</v>
      </c>
      <c r="K7496" s="63">
        <f t="shared" si="4276"/>
        <v>0.30421052631578943</v>
      </c>
      <c r="L7496" s="1212" t="s">
        <v>4275</v>
      </c>
      <c r="M7496" s="468"/>
      <c r="N7496" s="1192">
        <f t="shared" si="4273"/>
        <v>46021</v>
      </c>
      <c r="O7496" s="71" t="s">
        <v>2030</v>
      </c>
      <c r="P7496" s="103" t="str">
        <f t="shared" si="4274"/>
        <v>CTP 현상액</v>
      </c>
      <c r="Q7496" s="71">
        <f t="shared" si="4261"/>
        <v>8</v>
      </c>
      <c r="R7496" s="102">
        <v>39660</v>
      </c>
      <c r="S7496" s="102">
        <f t="shared" si="4257"/>
        <v>349008</v>
      </c>
      <c r="T7496" s="102">
        <f t="shared" si="4258"/>
        <v>317280</v>
      </c>
      <c r="U7496" s="71"/>
      <c r="V7496" s="71"/>
      <c r="W7496" s="474"/>
      <c r="X7496" s="71"/>
      <c r="Y7496" s="71"/>
    </row>
    <row r="7497" spans="1:25" ht="30" hidden="1" customHeight="1" x14ac:dyDescent="0.25">
      <c r="A7497" s="1145">
        <v>45666</v>
      </c>
      <c r="B7497" s="664" t="s">
        <v>442</v>
      </c>
      <c r="C7497" s="71" t="s">
        <v>3299</v>
      </c>
      <c r="D7497" s="71">
        <v>25</v>
      </c>
      <c r="E7497" s="102">
        <v>69000</v>
      </c>
      <c r="F7497" s="102">
        <f t="shared" si="4269"/>
        <v>1897500.0000000002</v>
      </c>
      <c r="G7497" s="102">
        <f t="shared" si="4270"/>
        <v>1725000</v>
      </c>
      <c r="H7497" s="690" t="s">
        <v>172</v>
      </c>
      <c r="I7497" s="71" t="s">
        <v>180</v>
      </c>
      <c r="J7497" s="53">
        <f t="shared" si="4271"/>
        <v>537500</v>
      </c>
      <c r="K7497" s="63">
        <f t="shared" si="4276"/>
        <v>0.31159420289855067</v>
      </c>
      <c r="L7497" s="1212" t="s">
        <v>4275</v>
      </c>
      <c r="M7497" s="468" t="s">
        <v>3304</v>
      </c>
      <c r="N7497" s="1192">
        <f t="shared" si="4273"/>
        <v>45666</v>
      </c>
      <c r="O7497" s="71" t="s">
        <v>175</v>
      </c>
      <c r="P7497" s="103" t="str">
        <f t="shared" si="4274"/>
        <v>매엽용 세척제(Wash k11)</v>
      </c>
      <c r="Q7497" s="71">
        <f t="shared" si="4261"/>
        <v>25</v>
      </c>
      <c r="R7497" s="102">
        <v>47500</v>
      </c>
      <c r="S7497" s="102">
        <f t="shared" si="4257"/>
        <v>1306250</v>
      </c>
      <c r="T7497" s="102">
        <f t="shared" si="4258"/>
        <v>1187500</v>
      </c>
      <c r="U7497" s="71" t="s">
        <v>859</v>
      </c>
      <c r="V7497" s="71"/>
      <c r="W7497" s="474"/>
      <c r="X7497" s="71"/>
      <c r="Y7497" s="71"/>
    </row>
    <row r="7498" spans="1:25" ht="30" hidden="1" customHeight="1" x14ac:dyDescent="0.25">
      <c r="A7498" s="1145">
        <v>45666</v>
      </c>
      <c r="B7498" s="664" t="s">
        <v>2</v>
      </c>
      <c r="C7498" s="71" t="s">
        <v>3359</v>
      </c>
      <c r="D7498" s="71">
        <v>2</v>
      </c>
      <c r="E7498" s="102">
        <v>172000</v>
      </c>
      <c r="F7498" s="102">
        <f>(E7498*D7498)*1.1</f>
        <v>378400.00000000006</v>
      </c>
      <c r="G7498" s="102">
        <f>(E7498*D7498)</f>
        <v>344000</v>
      </c>
      <c r="H7498" s="690" t="s">
        <v>172</v>
      </c>
      <c r="I7498" s="71" t="s">
        <v>38</v>
      </c>
      <c r="J7498" s="53">
        <f>G7498-T7498</f>
        <v>124590</v>
      </c>
      <c r="K7498" s="63">
        <f>(J7498/(F7498/11*10))</f>
        <v>0.36218023255813947</v>
      </c>
      <c r="L7498" s="1212" t="s">
        <v>4275</v>
      </c>
      <c r="M7498" s="468" t="s">
        <v>3769</v>
      </c>
      <c r="N7498" s="1192">
        <f t="shared" si="4273"/>
        <v>45666</v>
      </c>
      <c r="O7498" s="71" t="s">
        <v>150</v>
      </c>
      <c r="P7498" s="164" t="str">
        <f t="shared" si="4274"/>
        <v>매엽 습수약물</v>
      </c>
      <c r="Q7498" s="71">
        <f t="shared" si="4261"/>
        <v>2</v>
      </c>
      <c r="R7498" s="102">
        <f>97000+12705</f>
        <v>109705</v>
      </c>
      <c r="S7498" s="102">
        <f t="shared" si="4257"/>
        <v>241351.00000000003</v>
      </c>
      <c r="T7498" s="102">
        <f t="shared" si="4258"/>
        <v>219410</v>
      </c>
      <c r="U7498" s="71" t="str">
        <f>IF(J7498=W7498,"O", "X")</f>
        <v>X</v>
      </c>
      <c r="V7498" s="71"/>
      <c r="W7498" s="474"/>
      <c r="X7498" s="71"/>
      <c r="Y7498" s="71"/>
    </row>
    <row r="7499" spans="1:25" ht="30" hidden="1" customHeight="1" x14ac:dyDescent="0.25">
      <c r="A7499" s="1145">
        <v>45666</v>
      </c>
      <c r="B7499" s="664" t="s">
        <v>442</v>
      </c>
      <c r="C7499" s="71" t="s">
        <v>3431</v>
      </c>
      <c r="D7499" s="71">
        <v>2</v>
      </c>
      <c r="E7499" s="102">
        <v>142000</v>
      </c>
      <c r="F7499" s="102">
        <f t="shared" ref="F7499:F7504" si="4278">(E7499*D7499)*1.1</f>
        <v>312400</v>
      </c>
      <c r="G7499" s="102">
        <f t="shared" ref="G7499:G7501" si="4279">(E7499*D7499)</f>
        <v>284000</v>
      </c>
      <c r="H7499" s="690" t="s">
        <v>2029</v>
      </c>
      <c r="I7499" s="71" t="s">
        <v>195</v>
      </c>
      <c r="J7499" s="53">
        <f t="shared" ref="J7499:J7504" si="4280">G7499-T7499</f>
        <v>104000</v>
      </c>
      <c r="K7499" s="63">
        <f t="shared" ref="K7499:K7504" si="4281">(J7499/(F7499/11*10))</f>
        <v>0.36619718309859156</v>
      </c>
      <c r="L7499" s="1212" t="s">
        <v>4275</v>
      </c>
      <c r="M7499" s="468"/>
      <c r="N7499" s="1192">
        <f t="shared" si="4273"/>
        <v>45666</v>
      </c>
      <c r="O7499" s="71" t="s">
        <v>2030</v>
      </c>
      <c r="P7499" s="164" t="str">
        <f>(C7499)</f>
        <v>닥터호일 아스테이지</v>
      </c>
      <c r="Q7499" s="71">
        <f t="shared" si="4261"/>
        <v>2</v>
      </c>
      <c r="R7499" s="102">
        <v>90000</v>
      </c>
      <c r="S7499" s="102">
        <f t="shared" si="4257"/>
        <v>198000.00000000003</v>
      </c>
      <c r="T7499" s="102">
        <f t="shared" si="4258"/>
        <v>180000</v>
      </c>
      <c r="U7499" s="71" t="str">
        <f>IF(J7499=W7499,"O", "X")</f>
        <v>O</v>
      </c>
      <c r="V7499" s="71"/>
      <c r="W7499" s="474">
        <f>(G7499-T7499)</f>
        <v>104000</v>
      </c>
      <c r="X7499" s="71"/>
      <c r="Y7499" s="71"/>
    </row>
    <row r="7500" spans="1:25" s="209" customFormat="1" ht="30" hidden="1" customHeight="1" x14ac:dyDescent="0.25">
      <c r="A7500" s="1145">
        <v>45679</v>
      </c>
      <c r="B7500" s="664" t="s">
        <v>442</v>
      </c>
      <c r="C7500" s="71" t="s">
        <v>3833</v>
      </c>
      <c r="D7500" s="71">
        <v>1000</v>
      </c>
      <c r="E7500" s="102">
        <v>4250</v>
      </c>
      <c r="F7500" s="102">
        <f t="shared" si="4278"/>
        <v>4675000</v>
      </c>
      <c r="G7500" s="102">
        <f t="shared" si="4279"/>
        <v>4250000</v>
      </c>
      <c r="H7500" s="690" t="s">
        <v>2029</v>
      </c>
      <c r="I7500" s="71" t="s">
        <v>2230</v>
      </c>
      <c r="J7500" s="53">
        <f t="shared" si="4280"/>
        <v>800000</v>
      </c>
      <c r="K7500" s="63">
        <f t="shared" si="4281"/>
        <v>0.18823529411764706</v>
      </c>
      <c r="L7500" s="1212" t="s">
        <v>4275</v>
      </c>
      <c r="M7500" s="468"/>
      <c r="N7500" s="1192">
        <f t="shared" si="4273"/>
        <v>45679</v>
      </c>
      <c r="O7500" s="71" t="s">
        <v>2030</v>
      </c>
      <c r="P7500" s="103" t="str">
        <f t="shared" ref="P7500:P7504" si="4282">(C7500)</f>
        <v>CTP 판 1030*790</v>
      </c>
      <c r="Q7500" s="71">
        <f t="shared" si="4261"/>
        <v>1000</v>
      </c>
      <c r="R7500" s="102">
        <v>3450</v>
      </c>
      <c r="S7500" s="102">
        <f t="shared" si="4257"/>
        <v>3795000.0000000005</v>
      </c>
      <c r="T7500" s="102">
        <f t="shared" si="4258"/>
        <v>3450000</v>
      </c>
      <c r="U7500" s="71"/>
      <c r="V7500" s="71"/>
      <c r="W7500" s="474"/>
      <c r="X7500" s="71"/>
      <c r="Y7500" s="71"/>
    </row>
    <row r="7501" spans="1:25" ht="30" hidden="1" customHeight="1" x14ac:dyDescent="0.25">
      <c r="A7501" s="1145">
        <v>45679</v>
      </c>
      <c r="B7501" s="664" t="s">
        <v>442</v>
      </c>
      <c r="C7501" s="71" t="s">
        <v>3834</v>
      </c>
      <c r="D7501" s="71">
        <v>3</v>
      </c>
      <c r="E7501" s="102">
        <v>57000</v>
      </c>
      <c r="F7501" s="102">
        <f t="shared" si="4278"/>
        <v>188100.00000000003</v>
      </c>
      <c r="G7501" s="102">
        <f t="shared" si="4279"/>
        <v>171000</v>
      </c>
      <c r="H7501" s="690" t="s">
        <v>2029</v>
      </c>
      <c r="I7501" s="71" t="s">
        <v>2230</v>
      </c>
      <c r="J7501" s="53">
        <f t="shared" si="4280"/>
        <v>43167</v>
      </c>
      <c r="K7501" s="63">
        <f t="shared" si="4281"/>
        <v>0.25243859649122802</v>
      </c>
      <c r="L7501" s="1212" t="s">
        <v>4275</v>
      </c>
      <c r="M7501" s="468"/>
      <c r="N7501" s="1192">
        <f t="shared" si="4273"/>
        <v>45679</v>
      </c>
      <c r="O7501" s="71" t="s">
        <v>2030</v>
      </c>
      <c r="P7501" s="103" t="str">
        <f t="shared" si="4282"/>
        <v>CTP 현상액</v>
      </c>
      <c r="Q7501" s="71">
        <f t="shared" si="4261"/>
        <v>3</v>
      </c>
      <c r="R7501" s="102">
        <v>42611</v>
      </c>
      <c r="S7501" s="102">
        <f t="shared" si="4257"/>
        <v>140616.30000000002</v>
      </c>
      <c r="T7501" s="102">
        <f t="shared" si="4258"/>
        <v>127833</v>
      </c>
      <c r="U7501" s="71"/>
      <c r="V7501" s="71"/>
      <c r="W7501" s="474"/>
      <c r="X7501" s="71"/>
      <c r="Y7501" s="71"/>
    </row>
    <row r="7502" spans="1:25" ht="30" hidden="1" customHeight="1" x14ac:dyDescent="0.25">
      <c r="A7502" s="1145">
        <v>45679</v>
      </c>
      <c r="B7502" s="664" t="s">
        <v>2</v>
      </c>
      <c r="C7502" s="71" t="s">
        <v>2075</v>
      </c>
      <c r="D7502" s="71">
        <v>1</v>
      </c>
      <c r="E7502" s="102">
        <v>98000</v>
      </c>
      <c r="F7502" s="102">
        <f t="shared" si="4278"/>
        <v>107800.00000000001</v>
      </c>
      <c r="G7502" s="102">
        <f>(E7502*D7502)</f>
        <v>98000</v>
      </c>
      <c r="H7502" s="690" t="s">
        <v>2029</v>
      </c>
      <c r="I7502" s="71" t="s">
        <v>2230</v>
      </c>
      <c r="J7502" s="53">
        <f t="shared" si="4280"/>
        <v>6000</v>
      </c>
      <c r="K7502" s="63">
        <f t="shared" si="4281"/>
        <v>6.1224489795918359E-2</v>
      </c>
      <c r="L7502" s="1212" t="s">
        <v>4275</v>
      </c>
      <c r="M7502" s="468"/>
      <c r="N7502" s="1192">
        <f t="shared" si="4273"/>
        <v>45679</v>
      </c>
      <c r="O7502" s="71" t="s">
        <v>150</v>
      </c>
      <c r="P7502" s="103" t="str">
        <f t="shared" si="4282"/>
        <v>CTP 고무액</v>
      </c>
      <c r="Q7502" s="71">
        <f t="shared" si="4261"/>
        <v>1</v>
      </c>
      <c r="R7502" s="102">
        <v>92000</v>
      </c>
      <c r="S7502" s="102">
        <f t="shared" si="4257"/>
        <v>101200.00000000001</v>
      </c>
      <c r="T7502" s="102">
        <f t="shared" si="4258"/>
        <v>92000</v>
      </c>
      <c r="U7502" s="71" t="str">
        <f>IF(J7502=W7502,"O", "X")</f>
        <v>X</v>
      </c>
      <c r="V7502" s="71"/>
      <c r="W7502" s="474"/>
      <c r="X7502" s="71"/>
      <c r="Y7502" s="71"/>
    </row>
    <row r="7503" spans="1:25" ht="29.45" hidden="1" customHeight="1" x14ac:dyDescent="0.25">
      <c r="A7503" s="1145">
        <v>45659</v>
      </c>
      <c r="B7503" s="664" t="s">
        <v>3296</v>
      </c>
      <c r="C7503" s="71" t="s">
        <v>3297</v>
      </c>
      <c r="D7503" s="71">
        <v>20</v>
      </c>
      <c r="E7503" s="102">
        <v>162500</v>
      </c>
      <c r="F7503" s="102">
        <f t="shared" si="4278"/>
        <v>3575000.0000000005</v>
      </c>
      <c r="G7503" s="102">
        <f t="shared" ref="G7503:G7504" si="4283">(E7503*D7503)</f>
        <v>3250000</v>
      </c>
      <c r="H7503" s="690" t="s">
        <v>172</v>
      </c>
      <c r="I7503" s="71" t="s">
        <v>3295</v>
      </c>
      <c r="J7503" s="53">
        <f t="shared" si="4280"/>
        <v>850000</v>
      </c>
      <c r="K7503" s="63">
        <f t="shared" si="4281"/>
        <v>0.2615384615384615</v>
      </c>
      <c r="L7503" s="1212" t="s">
        <v>4275</v>
      </c>
      <c r="M7503" s="468"/>
      <c r="N7503" s="1192">
        <f t="shared" si="4273"/>
        <v>45659</v>
      </c>
      <c r="O7503" s="71" t="s">
        <v>662</v>
      </c>
      <c r="P7503" s="103" t="str">
        <f t="shared" si="4282"/>
        <v>실리콘 에멀전</v>
      </c>
      <c r="Q7503" s="71">
        <f t="shared" si="4261"/>
        <v>20</v>
      </c>
      <c r="R7503" s="102">
        <v>120000</v>
      </c>
      <c r="S7503" s="102">
        <f t="shared" si="4257"/>
        <v>2640000</v>
      </c>
      <c r="T7503" s="102">
        <f t="shared" si="4258"/>
        <v>2400000</v>
      </c>
      <c r="U7503" s="71" t="str">
        <f t="shared" ref="U7503:U7504" si="4284">IF(J7503=W7503,"O", "X")</f>
        <v>X</v>
      </c>
      <c r="V7503" s="71"/>
      <c r="W7503" s="474"/>
      <c r="X7503" s="71"/>
      <c r="Y7503" s="71"/>
    </row>
    <row r="7504" spans="1:25" ht="29.45" hidden="1" customHeight="1" x14ac:dyDescent="0.25">
      <c r="A7504" s="1145">
        <v>45666</v>
      </c>
      <c r="B7504" s="664" t="s">
        <v>3296</v>
      </c>
      <c r="C7504" s="71" t="s">
        <v>3297</v>
      </c>
      <c r="D7504" s="71">
        <v>20</v>
      </c>
      <c r="E7504" s="102">
        <v>162500</v>
      </c>
      <c r="F7504" s="102">
        <f t="shared" si="4278"/>
        <v>3575000.0000000005</v>
      </c>
      <c r="G7504" s="102">
        <f t="shared" si="4283"/>
        <v>3250000</v>
      </c>
      <c r="H7504" s="690" t="s">
        <v>172</v>
      </c>
      <c r="I7504" s="71" t="s">
        <v>3295</v>
      </c>
      <c r="J7504" s="53">
        <f t="shared" si="4280"/>
        <v>850000</v>
      </c>
      <c r="K7504" s="63">
        <f t="shared" si="4281"/>
        <v>0.2615384615384615</v>
      </c>
      <c r="L7504" s="1212" t="s">
        <v>4275</v>
      </c>
      <c r="M7504" s="468"/>
      <c r="N7504" s="1192">
        <f t="shared" si="4273"/>
        <v>45666</v>
      </c>
      <c r="O7504" s="71" t="s">
        <v>662</v>
      </c>
      <c r="P7504" s="103" t="str">
        <f t="shared" si="4282"/>
        <v>실리콘 에멀전</v>
      </c>
      <c r="Q7504" s="71">
        <f t="shared" si="4261"/>
        <v>20</v>
      </c>
      <c r="R7504" s="102">
        <v>120000</v>
      </c>
      <c r="S7504" s="102">
        <f t="shared" si="4257"/>
        <v>2640000</v>
      </c>
      <c r="T7504" s="102">
        <f t="shared" si="4258"/>
        <v>2400000</v>
      </c>
      <c r="U7504" s="71" t="str">
        <f t="shared" si="4284"/>
        <v>X</v>
      </c>
      <c r="V7504" s="71"/>
      <c r="W7504" s="474"/>
      <c r="X7504" s="71"/>
      <c r="Y7504" s="71"/>
    </row>
    <row r="7505" spans="1:25" ht="29.45" hidden="1" customHeight="1" x14ac:dyDescent="0.25">
      <c r="A7505" s="1145">
        <v>45678</v>
      </c>
      <c r="B7505" s="664" t="s">
        <v>3296</v>
      </c>
      <c r="C7505" s="71" t="s">
        <v>3297</v>
      </c>
      <c r="D7505" s="71">
        <v>20</v>
      </c>
      <c r="E7505" s="102">
        <v>162500</v>
      </c>
      <c r="F7505" s="102">
        <f t="shared" ref="F7505:F7512" si="4285">(E7505*D7505)*1.1</f>
        <v>3575000.0000000005</v>
      </c>
      <c r="G7505" s="102">
        <f t="shared" ref="G7505:G7512" si="4286">(E7505*D7505)</f>
        <v>3250000</v>
      </c>
      <c r="H7505" s="690" t="s">
        <v>172</v>
      </c>
      <c r="I7505" s="71" t="s">
        <v>3295</v>
      </c>
      <c r="J7505" s="53">
        <f t="shared" ref="J7505:J7512" si="4287">G7505-T7505</f>
        <v>850000</v>
      </c>
      <c r="K7505" s="63">
        <f t="shared" ref="K7505:K7512" si="4288">(J7505/(F7505/11*10))</f>
        <v>0.2615384615384615</v>
      </c>
      <c r="L7505" s="1212" t="s">
        <v>4275</v>
      </c>
      <c r="M7505" s="468"/>
      <c r="N7505" s="1192">
        <f t="shared" si="4273"/>
        <v>45678</v>
      </c>
      <c r="O7505" s="71" t="s">
        <v>662</v>
      </c>
      <c r="P7505" s="103" t="str">
        <f t="shared" ref="P7505:P7507" si="4289">(C7505)</f>
        <v>실리콘 에멀전</v>
      </c>
      <c r="Q7505" s="71">
        <f t="shared" si="4261"/>
        <v>20</v>
      </c>
      <c r="R7505" s="102">
        <v>120000</v>
      </c>
      <c r="S7505" s="102">
        <f t="shared" si="4257"/>
        <v>2640000</v>
      </c>
      <c r="T7505" s="102">
        <f t="shared" si="4258"/>
        <v>2400000</v>
      </c>
      <c r="U7505" s="71" t="str">
        <f t="shared" ref="U7505" si="4290">IF(J7505=W7505,"O", "X")</f>
        <v>X</v>
      </c>
      <c r="V7505" s="71"/>
      <c r="W7505" s="474"/>
      <c r="X7505" s="71"/>
      <c r="Y7505" s="71"/>
    </row>
    <row r="7506" spans="1:25" ht="30" hidden="1" customHeight="1" x14ac:dyDescent="0.25">
      <c r="A7506" s="1145">
        <v>45663</v>
      </c>
      <c r="B7506" s="664" t="s">
        <v>809</v>
      </c>
      <c r="C7506" s="71" t="s">
        <v>4028</v>
      </c>
      <c r="D7506" s="71">
        <v>20</v>
      </c>
      <c r="E7506" s="102">
        <v>125000</v>
      </c>
      <c r="F7506" s="102">
        <f t="shared" si="4285"/>
        <v>2750000</v>
      </c>
      <c r="G7506" s="102">
        <f t="shared" si="4286"/>
        <v>2500000</v>
      </c>
      <c r="H7506" s="690" t="s">
        <v>172</v>
      </c>
      <c r="I7506" s="71" t="s">
        <v>33</v>
      </c>
      <c r="J7506" s="53">
        <f t="shared" si="4287"/>
        <v>394000</v>
      </c>
      <c r="K7506" s="63">
        <f t="shared" si="4288"/>
        <v>0.15759999999999999</v>
      </c>
      <c r="L7506" s="1212" t="s">
        <v>4275</v>
      </c>
      <c r="M7506" s="102"/>
      <c r="N7506" s="1192">
        <f t="shared" si="4273"/>
        <v>45663</v>
      </c>
      <c r="O7506" s="71" t="s">
        <v>147</v>
      </c>
      <c r="P7506" s="103" t="str">
        <f t="shared" si="4289"/>
        <v>Blanket(1077*885)</v>
      </c>
      <c r="Q7506" s="71">
        <f t="shared" si="4261"/>
        <v>20</v>
      </c>
      <c r="R7506" s="102">
        <v>105300</v>
      </c>
      <c r="S7506" s="102">
        <f t="shared" si="4257"/>
        <v>2316600</v>
      </c>
      <c r="T7506" s="102">
        <f t="shared" si="4258"/>
        <v>2106000</v>
      </c>
      <c r="U7506" s="71"/>
      <c r="V7506" s="71"/>
      <c r="W7506" s="474"/>
      <c r="X7506" s="71"/>
      <c r="Y7506" s="71"/>
    </row>
    <row r="7507" spans="1:25" ht="30" hidden="1" customHeight="1" x14ac:dyDescent="0.25">
      <c r="A7507" s="1145">
        <v>45663</v>
      </c>
      <c r="B7507" s="664" t="s">
        <v>18</v>
      </c>
      <c r="C7507" s="71" t="s">
        <v>2070</v>
      </c>
      <c r="D7507" s="71">
        <v>10</v>
      </c>
      <c r="E7507" s="102">
        <v>115000</v>
      </c>
      <c r="F7507" s="102">
        <f t="shared" si="4285"/>
        <v>1265000</v>
      </c>
      <c r="G7507" s="102">
        <f t="shared" si="4286"/>
        <v>1150000</v>
      </c>
      <c r="H7507" s="690" t="s">
        <v>172</v>
      </c>
      <c r="I7507" s="71" t="s">
        <v>33</v>
      </c>
      <c r="J7507" s="53">
        <f t="shared" si="4287"/>
        <v>168000</v>
      </c>
      <c r="K7507" s="63">
        <f t="shared" si="4288"/>
        <v>0.14608695652173914</v>
      </c>
      <c r="L7507" s="1212" t="s">
        <v>4275</v>
      </c>
      <c r="M7507" s="468"/>
      <c r="N7507" s="1192">
        <f t="shared" si="4273"/>
        <v>45663</v>
      </c>
      <c r="O7507" s="71" t="s">
        <v>146</v>
      </c>
      <c r="P7507" s="103" t="str">
        <f t="shared" si="4289"/>
        <v>Blanket(1050*840)</v>
      </c>
      <c r="Q7507" s="71">
        <f t="shared" si="4261"/>
        <v>10</v>
      </c>
      <c r="R7507" s="102">
        <v>98200</v>
      </c>
      <c r="S7507" s="102">
        <f t="shared" si="4257"/>
        <v>1080200</v>
      </c>
      <c r="T7507" s="102">
        <f t="shared" si="4258"/>
        <v>982000</v>
      </c>
      <c r="U7507" s="71" t="s">
        <v>859</v>
      </c>
      <c r="V7507" s="71"/>
      <c r="W7507" s="474"/>
      <c r="X7507" s="71"/>
      <c r="Y7507" s="71"/>
    </row>
    <row r="7508" spans="1:25" ht="30" hidden="1" customHeight="1" x14ac:dyDescent="0.25">
      <c r="A7508" s="1145">
        <v>45663</v>
      </c>
      <c r="B7508" s="664" t="s">
        <v>18</v>
      </c>
      <c r="C7508" s="71" t="s">
        <v>3305</v>
      </c>
      <c r="D7508" s="71">
        <v>15</v>
      </c>
      <c r="E7508" s="102">
        <v>86000</v>
      </c>
      <c r="F7508" s="102">
        <f t="shared" si="4285"/>
        <v>1419000</v>
      </c>
      <c r="G7508" s="102">
        <f t="shared" si="4286"/>
        <v>1290000</v>
      </c>
      <c r="H7508" s="690" t="s">
        <v>172</v>
      </c>
      <c r="I7508" s="71" t="s">
        <v>3295</v>
      </c>
      <c r="J7508" s="53">
        <f t="shared" si="4287"/>
        <v>240000</v>
      </c>
      <c r="K7508" s="63">
        <f t="shared" si="4288"/>
        <v>0.18604651162790697</v>
      </c>
      <c r="L7508" s="1212" t="s">
        <v>4275</v>
      </c>
      <c r="M7508" s="468" t="s">
        <v>3306</v>
      </c>
      <c r="N7508" s="1192">
        <f t="shared" si="4273"/>
        <v>45663</v>
      </c>
      <c r="O7508" s="71" t="s">
        <v>146</v>
      </c>
      <c r="P7508" s="103" t="s">
        <v>3305</v>
      </c>
      <c r="Q7508" s="71">
        <f t="shared" si="4261"/>
        <v>15</v>
      </c>
      <c r="R7508" s="102">
        <v>70000</v>
      </c>
      <c r="S7508" s="102">
        <f t="shared" si="4257"/>
        <v>1155000</v>
      </c>
      <c r="T7508" s="102">
        <f t="shared" si="4258"/>
        <v>1050000</v>
      </c>
      <c r="U7508" s="71" t="s">
        <v>1915</v>
      </c>
      <c r="V7508" s="71"/>
      <c r="W7508" s="474"/>
      <c r="X7508" s="71"/>
      <c r="Y7508" s="71"/>
    </row>
    <row r="7509" spans="1:25" ht="30" hidden="1" customHeight="1" x14ac:dyDescent="0.25">
      <c r="A7509" s="1145">
        <v>45663</v>
      </c>
      <c r="B7509" s="664" t="s">
        <v>2261</v>
      </c>
      <c r="C7509" s="760" t="s">
        <v>181</v>
      </c>
      <c r="D7509" s="71">
        <v>5</v>
      </c>
      <c r="E7509" s="102">
        <v>193000</v>
      </c>
      <c r="F7509" s="102">
        <f t="shared" si="4285"/>
        <v>1061500</v>
      </c>
      <c r="G7509" s="102">
        <f t="shared" si="4286"/>
        <v>965000</v>
      </c>
      <c r="H7509" s="690" t="s">
        <v>2029</v>
      </c>
      <c r="I7509" s="71" t="s">
        <v>182</v>
      </c>
      <c r="J7509" s="53">
        <f t="shared" si="4287"/>
        <v>345000</v>
      </c>
      <c r="K7509" s="63">
        <f t="shared" si="4288"/>
        <v>0.35751295336787564</v>
      </c>
      <c r="L7509" s="1212" t="s">
        <v>4275</v>
      </c>
      <c r="M7509" s="468"/>
      <c r="N7509" s="1192">
        <f t="shared" si="4273"/>
        <v>45663</v>
      </c>
      <c r="O7509" s="71" t="s">
        <v>2030</v>
      </c>
      <c r="P7509" s="103" t="str">
        <f t="shared" ref="P7509:P7512" si="4291">(C7509)</f>
        <v>Fount Web 551AF</v>
      </c>
      <c r="Q7509" s="71">
        <f t="shared" si="4261"/>
        <v>5</v>
      </c>
      <c r="R7509" s="102">
        <v>124000</v>
      </c>
      <c r="S7509" s="102">
        <f t="shared" si="4257"/>
        <v>682000</v>
      </c>
      <c r="T7509" s="102">
        <f t="shared" si="4258"/>
        <v>620000</v>
      </c>
      <c r="U7509" s="71" t="str">
        <f>IF(J7509=W7509,"O", "X")</f>
        <v>X</v>
      </c>
      <c r="V7509" s="71"/>
      <c r="W7509" s="474">
        <v>640000</v>
      </c>
      <c r="X7509" s="71"/>
      <c r="Y7509" s="71"/>
    </row>
    <row r="7510" spans="1:25" ht="30" hidden="1" customHeight="1" x14ac:dyDescent="0.25">
      <c r="A7510" s="1145">
        <v>45663</v>
      </c>
      <c r="B7510" s="664" t="s">
        <v>2261</v>
      </c>
      <c r="C7510" s="71" t="s">
        <v>277</v>
      </c>
      <c r="D7510" s="71">
        <v>5</v>
      </c>
      <c r="E7510" s="102">
        <v>172000</v>
      </c>
      <c r="F7510" s="102">
        <f t="shared" si="4285"/>
        <v>946000.00000000012</v>
      </c>
      <c r="G7510" s="102">
        <f t="shared" si="4286"/>
        <v>860000</v>
      </c>
      <c r="H7510" s="690" t="s">
        <v>172</v>
      </c>
      <c r="I7510" s="71" t="s">
        <v>108</v>
      </c>
      <c r="J7510" s="53">
        <f t="shared" si="4287"/>
        <v>215000</v>
      </c>
      <c r="K7510" s="63">
        <f t="shared" si="4288"/>
        <v>0.24999999999999997</v>
      </c>
      <c r="L7510" s="1212" t="s">
        <v>4275</v>
      </c>
      <c r="M7510" s="468"/>
      <c r="N7510" s="1192">
        <f t="shared" si="4273"/>
        <v>45663</v>
      </c>
      <c r="O7510" s="71" t="s">
        <v>662</v>
      </c>
      <c r="P7510" s="103" t="str">
        <f t="shared" si="4291"/>
        <v>윤전용 세척제(Web 504)</v>
      </c>
      <c r="Q7510" s="71">
        <f t="shared" si="4261"/>
        <v>5</v>
      </c>
      <c r="R7510" s="102">
        <v>129000</v>
      </c>
      <c r="S7510" s="102">
        <f t="shared" si="4257"/>
        <v>709500</v>
      </c>
      <c r="T7510" s="102">
        <f t="shared" si="4258"/>
        <v>645000</v>
      </c>
      <c r="U7510" s="71" t="str">
        <f>IF(J7510=W7510,"O", "X")</f>
        <v>X</v>
      </c>
      <c r="V7510" s="71"/>
      <c r="W7510" s="474"/>
      <c r="X7510" s="71"/>
      <c r="Y7510" s="71"/>
    </row>
    <row r="7511" spans="1:25" ht="30" hidden="1" customHeight="1" x14ac:dyDescent="0.25">
      <c r="A7511" s="1145">
        <v>45663</v>
      </c>
      <c r="B7511" s="664" t="s">
        <v>2261</v>
      </c>
      <c r="C7511" s="71" t="s">
        <v>3299</v>
      </c>
      <c r="D7511" s="71">
        <v>10</v>
      </c>
      <c r="E7511" s="102">
        <v>52000</v>
      </c>
      <c r="F7511" s="102">
        <f t="shared" si="4285"/>
        <v>572000</v>
      </c>
      <c r="G7511" s="102">
        <f t="shared" si="4286"/>
        <v>520000</v>
      </c>
      <c r="H7511" s="690" t="s">
        <v>172</v>
      </c>
      <c r="I7511" s="71" t="s">
        <v>180</v>
      </c>
      <c r="J7511" s="53">
        <f t="shared" si="4287"/>
        <v>45000</v>
      </c>
      <c r="K7511" s="63">
        <f t="shared" si="4288"/>
        <v>8.6538461538461536E-2</v>
      </c>
      <c r="L7511" s="1212" t="s">
        <v>4275</v>
      </c>
      <c r="M7511" s="468" t="s">
        <v>3835</v>
      </c>
      <c r="N7511" s="1192">
        <f t="shared" si="4273"/>
        <v>45663</v>
      </c>
      <c r="O7511" s="71" t="s">
        <v>175</v>
      </c>
      <c r="P7511" s="103" t="str">
        <f t="shared" si="4291"/>
        <v>매엽용 세척제(Wash k11)</v>
      </c>
      <c r="Q7511" s="71">
        <f t="shared" si="4261"/>
        <v>10</v>
      </c>
      <c r="R7511" s="102">
        <v>47500</v>
      </c>
      <c r="S7511" s="102">
        <f t="shared" si="4257"/>
        <v>522500.00000000006</v>
      </c>
      <c r="T7511" s="102">
        <f t="shared" si="4258"/>
        <v>475000</v>
      </c>
      <c r="U7511" s="71" t="s">
        <v>859</v>
      </c>
      <c r="V7511" s="71"/>
      <c r="W7511" s="474"/>
      <c r="X7511" s="71"/>
      <c r="Y7511" s="71"/>
    </row>
    <row r="7512" spans="1:25" s="209" customFormat="1" ht="31.15" hidden="1" customHeight="1" x14ac:dyDescent="0.2">
      <c r="A7512" s="1145">
        <v>45666</v>
      </c>
      <c r="B7512" s="664" t="s">
        <v>3289</v>
      </c>
      <c r="C7512" s="71" t="s">
        <v>3387</v>
      </c>
      <c r="D7512" s="71">
        <v>10</v>
      </c>
      <c r="E7512" s="102">
        <v>130000</v>
      </c>
      <c r="F7512" s="102">
        <f t="shared" si="4285"/>
        <v>1430000</v>
      </c>
      <c r="G7512" s="102">
        <f t="shared" si="4286"/>
        <v>1300000</v>
      </c>
      <c r="H7512" s="165" t="s">
        <v>172</v>
      </c>
      <c r="I7512" s="71" t="s">
        <v>184</v>
      </c>
      <c r="J7512" s="53">
        <f t="shared" si="4287"/>
        <v>180000</v>
      </c>
      <c r="K7512" s="63">
        <f t="shared" si="4288"/>
        <v>0.13846153846153847</v>
      </c>
      <c r="L7512" s="1212" t="s">
        <v>4275</v>
      </c>
      <c r="M7512" s="468"/>
      <c r="N7512" s="1192">
        <f t="shared" si="4273"/>
        <v>45666</v>
      </c>
      <c r="O7512" s="71" t="s">
        <v>189</v>
      </c>
      <c r="P7512" s="103" t="str">
        <f t="shared" si="4291"/>
        <v>Blanket(990*725)</v>
      </c>
      <c r="Q7512" s="71">
        <f t="shared" si="4261"/>
        <v>10</v>
      </c>
      <c r="R7512" s="102">
        <v>112000</v>
      </c>
      <c r="S7512" s="102">
        <f t="shared" si="4257"/>
        <v>1232000</v>
      </c>
      <c r="T7512" s="102">
        <f t="shared" si="4258"/>
        <v>1120000</v>
      </c>
      <c r="U7512" s="71" t="str">
        <f>IF(J7512=W7512,"O", "X")</f>
        <v>X</v>
      </c>
      <c r="V7512" s="71"/>
      <c r="W7512" s="474">
        <v>80000</v>
      </c>
      <c r="X7512" s="71"/>
      <c r="Y7512" s="71"/>
    </row>
    <row r="7513" spans="1:25" ht="30" hidden="1" customHeight="1" x14ac:dyDescent="0.25">
      <c r="A7513" s="1145">
        <v>45667</v>
      </c>
      <c r="B7513" s="664" t="s">
        <v>2261</v>
      </c>
      <c r="C7513" s="760" t="s">
        <v>181</v>
      </c>
      <c r="D7513" s="71">
        <v>5</v>
      </c>
      <c r="E7513" s="102">
        <v>193000</v>
      </c>
      <c r="F7513" s="102">
        <f t="shared" ref="F7513:F7515" si="4292">(E7513*D7513)*1.1</f>
        <v>1061500</v>
      </c>
      <c r="G7513" s="102">
        <f t="shared" ref="G7513:G7515" si="4293">(E7513*D7513)</f>
        <v>965000</v>
      </c>
      <c r="H7513" s="690" t="s">
        <v>2029</v>
      </c>
      <c r="I7513" s="71" t="s">
        <v>182</v>
      </c>
      <c r="J7513" s="53">
        <f t="shared" ref="J7513:J7515" si="4294">G7513-T7513</f>
        <v>363500</v>
      </c>
      <c r="K7513" s="63">
        <f t="shared" ref="K7513:K7515" si="4295">(J7513/(F7513/11*10))</f>
        <v>0.37668393782383419</v>
      </c>
      <c r="L7513" s="1212" t="s">
        <v>4275</v>
      </c>
      <c r="M7513" s="468"/>
      <c r="N7513" s="1192">
        <f t="shared" si="4273"/>
        <v>45667</v>
      </c>
      <c r="O7513" s="71" t="s">
        <v>2030</v>
      </c>
      <c r="P7513" s="103" t="str">
        <f t="shared" ref="P7513:P7515" si="4296">(C7513)</f>
        <v>Fount Web 551AF</v>
      </c>
      <c r="Q7513" s="71">
        <f t="shared" si="4261"/>
        <v>5</v>
      </c>
      <c r="R7513" s="102">
        <v>120300</v>
      </c>
      <c r="S7513" s="102">
        <f t="shared" si="4257"/>
        <v>661650</v>
      </c>
      <c r="T7513" s="102">
        <f t="shared" si="4258"/>
        <v>601500</v>
      </c>
      <c r="U7513" s="71" t="str">
        <f>IF(J7513=W7513,"O", "X")</f>
        <v>X</v>
      </c>
      <c r="V7513" s="71"/>
      <c r="W7513" s="474">
        <v>640000</v>
      </c>
      <c r="X7513" s="71"/>
      <c r="Y7513" s="71"/>
    </row>
    <row r="7514" spans="1:25" ht="30" hidden="1" customHeight="1" x14ac:dyDescent="0.25">
      <c r="A7514" s="1145">
        <v>45667</v>
      </c>
      <c r="B7514" s="664" t="s">
        <v>2261</v>
      </c>
      <c r="C7514" s="71" t="s">
        <v>277</v>
      </c>
      <c r="D7514" s="71">
        <v>5</v>
      </c>
      <c r="E7514" s="102">
        <v>172000</v>
      </c>
      <c r="F7514" s="102">
        <f t="shared" si="4292"/>
        <v>946000.00000000012</v>
      </c>
      <c r="G7514" s="102">
        <f t="shared" si="4293"/>
        <v>860000</v>
      </c>
      <c r="H7514" s="690" t="s">
        <v>172</v>
      </c>
      <c r="I7514" s="71" t="s">
        <v>108</v>
      </c>
      <c r="J7514" s="53">
        <f t="shared" si="4294"/>
        <v>215000</v>
      </c>
      <c r="K7514" s="63">
        <f t="shared" si="4295"/>
        <v>0.24999999999999997</v>
      </c>
      <c r="L7514" s="1212" t="s">
        <v>4275</v>
      </c>
      <c r="M7514" s="468"/>
      <c r="N7514" s="1192">
        <f t="shared" si="4273"/>
        <v>45667</v>
      </c>
      <c r="O7514" s="71" t="s">
        <v>662</v>
      </c>
      <c r="P7514" s="103" t="str">
        <f t="shared" si="4296"/>
        <v>윤전용 세척제(Web 504)</v>
      </c>
      <c r="Q7514" s="71">
        <f t="shared" si="4261"/>
        <v>5</v>
      </c>
      <c r="R7514" s="102">
        <v>129000</v>
      </c>
      <c r="S7514" s="102">
        <f t="shared" si="4257"/>
        <v>709500</v>
      </c>
      <c r="T7514" s="102">
        <f t="shared" si="4258"/>
        <v>645000</v>
      </c>
      <c r="U7514" s="71" t="str">
        <f>IF(J7514=W7514,"O", "X")</f>
        <v>X</v>
      </c>
      <c r="V7514" s="71"/>
      <c r="W7514" s="474"/>
      <c r="X7514" s="71"/>
      <c r="Y7514" s="71"/>
    </row>
    <row r="7515" spans="1:25" ht="30" hidden="1" customHeight="1" x14ac:dyDescent="0.25">
      <c r="A7515" s="1145">
        <v>45667</v>
      </c>
      <c r="B7515" s="664" t="s">
        <v>2261</v>
      </c>
      <c r="C7515" s="71" t="s">
        <v>3299</v>
      </c>
      <c r="D7515" s="71">
        <v>10</v>
      </c>
      <c r="E7515" s="102">
        <v>52000</v>
      </c>
      <c r="F7515" s="102">
        <f t="shared" si="4292"/>
        <v>572000</v>
      </c>
      <c r="G7515" s="102">
        <f t="shared" si="4293"/>
        <v>520000</v>
      </c>
      <c r="H7515" s="690" t="s">
        <v>172</v>
      </c>
      <c r="I7515" s="71" t="s">
        <v>180</v>
      </c>
      <c r="J7515" s="53">
        <f t="shared" si="4294"/>
        <v>45000</v>
      </c>
      <c r="K7515" s="63">
        <f t="shared" si="4295"/>
        <v>8.6538461538461536E-2</v>
      </c>
      <c r="L7515" s="1212" t="s">
        <v>4275</v>
      </c>
      <c r="M7515" s="468" t="s">
        <v>3835</v>
      </c>
      <c r="N7515" s="1192">
        <f t="shared" si="4273"/>
        <v>45667</v>
      </c>
      <c r="O7515" s="71" t="s">
        <v>175</v>
      </c>
      <c r="P7515" s="103" t="str">
        <f t="shared" si="4296"/>
        <v>매엽용 세척제(Wash k11)</v>
      </c>
      <c r="Q7515" s="71">
        <f t="shared" si="4261"/>
        <v>10</v>
      </c>
      <c r="R7515" s="102">
        <v>47500</v>
      </c>
      <c r="S7515" s="102">
        <f t="shared" si="4257"/>
        <v>522500.00000000006</v>
      </c>
      <c r="T7515" s="102">
        <f t="shared" si="4258"/>
        <v>475000</v>
      </c>
      <c r="U7515" s="71" t="s">
        <v>859</v>
      </c>
      <c r="V7515" s="71"/>
      <c r="W7515" s="474"/>
      <c r="X7515" s="71"/>
      <c r="Y7515" s="71"/>
    </row>
    <row r="7516" spans="1:25" ht="30" hidden="1" customHeight="1" x14ac:dyDescent="0.25">
      <c r="A7516" s="1145">
        <v>45674</v>
      </c>
      <c r="B7516" s="664" t="s">
        <v>2261</v>
      </c>
      <c r="C7516" s="71" t="s">
        <v>3299</v>
      </c>
      <c r="D7516" s="71">
        <v>10</v>
      </c>
      <c r="E7516" s="102">
        <v>52000</v>
      </c>
      <c r="F7516" s="102">
        <f t="shared" ref="F7516:F7520" si="4297">(E7516*D7516)*1.1</f>
        <v>572000</v>
      </c>
      <c r="G7516" s="102">
        <f t="shared" ref="G7516:G7520" si="4298">(E7516*D7516)</f>
        <v>520000</v>
      </c>
      <c r="H7516" s="690" t="s">
        <v>172</v>
      </c>
      <c r="I7516" s="71" t="s">
        <v>180</v>
      </c>
      <c r="J7516" s="53">
        <f t="shared" ref="J7516:J7520" si="4299">G7516-T7516</f>
        <v>45000</v>
      </c>
      <c r="K7516" s="63">
        <f t="shared" ref="K7516:K7520" si="4300">(J7516/(F7516/11*10))</f>
        <v>8.6538461538461536E-2</v>
      </c>
      <c r="L7516" s="1212" t="s">
        <v>4275</v>
      </c>
      <c r="M7516" s="468" t="s">
        <v>3835</v>
      </c>
      <c r="N7516" s="1192">
        <f t="shared" si="4273"/>
        <v>45674</v>
      </c>
      <c r="O7516" s="71" t="s">
        <v>175</v>
      </c>
      <c r="P7516" s="103" t="str">
        <f t="shared" ref="P7516:P7520" si="4301">(C7516)</f>
        <v>매엽용 세척제(Wash k11)</v>
      </c>
      <c r="Q7516" s="71">
        <f t="shared" si="4261"/>
        <v>10</v>
      </c>
      <c r="R7516" s="102">
        <v>47500</v>
      </c>
      <c r="S7516" s="102">
        <f t="shared" si="4257"/>
        <v>522500.00000000006</v>
      </c>
      <c r="T7516" s="102">
        <f t="shared" si="4258"/>
        <v>475000</v>
      </c>
      <c r="U7516" s="71" t="s">
        <v>859</v>
      </c>
      <c r="V7516" s="71"/>
      <c r="W7516" s="474"/>
      <c r="X7516" s="71"/>
      <c r="Y7516" s="71"/>
    </row>
    <row r="7517" spans="1:25" ht="30" hidden="1" customHeight="1" x14ac:dyDescent="0.25">
      <c r="A7517" s="1145">
        <v>45679</v>
      </c>
      <c r="B7517" s="664" t="s">
        <v>2261</v>
      </c>
      <c r="C7517" s="760" t="s">
        <v>181</v>
      </c>
      <c r="D7517" s="71">
        <v>10</v>
      </c>
      <c r="E7517" s="102">
        <v>193000</v>
      </c>
      <c r="F7517" s="102">
        <f t="shared" si="4297"/>
        <v>2123000</v>
      </c>
      <c r="G7517" s="102">
        <f t="shared" si="4298"/>
        <v>1930000</v>
      </c>
      <c r="H7517" s="690" t="s">
        <v>2029</v>
      </c>
      <c r="I7517" s="71" t="s">
        <v>182</v>
      </c>
      <c r="J7517" s="53">
        <f t="shared" si="4299"/>
        <v>690000</v>
      </c>
      <c r="K7517" s="63">
        <f t="shared" si="4300"/>
        <v>0.35751295336787564</v>
      </c>
      <c r="L7517" s="1212" t="s">
        <v>4275</v>
      </c>
      <c r="M7517" s="468"/>
      <c r="N7517" s="1192">
        <f t="shared" si="4273"/>
        <v>45679</v>
      </c>
      <c r="O7517" s="71" t="s">
        <v>2030</v>
      </c>
      <c r="P7517" s="103" t="str">
        <f t="shared" si="4301"/>
        <v>Fount Web 551AF</v>
      </c>
      <c r="Q7517" s="71">
        <f t="shared" si="4261"/>
        <v>10</v>
      </c>
      <c r="R7517" s="102">
        <v>124000</v>
      </c>
      <c r="S7517" s="102">
        <f t="shared" si="4257"/>
        <v>1364000</v>
      </c>
      <c r="T7517" s="102">
        <f t="shared" si="4258"/>
        <v>1240000</v>
      </c>
      <c r="U7517" s="71" t="str">
        <f>IF(J7517=W7517,"O", "X")</f>
        <v>X</v>
      </c>
      <c r="V7517" s="71"/>
      <c r="W7517" s="474">
        <v>640000</v>
      </c>
      <c r="X7517" s="71"/>
      <c r="Y7517" s="71"/>
    </row>
    <row r="7518" spans="1:25" ht="30" hidden="1" customHeight="1" x14ac:dyDescent="0.25">
      <c r="A7518" s="1145">
        <v>45679</v>
      </c>
      <c r="B7518" s="664" t="s">
        <v>2261</v>
      </c>
      <c r="C7518" s="71" t="s">
        <v>277</v>
      </c>
      <c r="D7518" s="71">
        <v>10</v>
      </c>
      <c r="E7518" s="102">
        <v>172000</v>
      </c>
      <c r="F7518" s="102">
        <f t="shared" si="4297"/>
        <v>1892000.0000000002</v>
      </c>
      <c r="G7518" s="102">
        <f t="shared" si="4298"/>
        <v>1720000</v>
      </c>
      <c r="H7518" s="690" t="s">
        <v>172</v>
      </c>
      <c r="I7518" s="71" t="s">
        <v>108</v>
      </c>
      <c r="J7518" s="53">
        <f t="shared" si="4299"/>
        <v>430000</v>
      </c>
      <c r="K7518" s="63">
        <f t="shared" si="4300"/>
        <v>0.24999999999999997</v>
      </c>
      <c r="L7518" s="1212" t="s">
        <v>4275</v>
      </c>
      <c r="M7518" s="468"/>
      <c r="N7518" s="1192">
        <f t="shared" si="4273"/>
        <v>45679</v>
      </c>
      <c r="O7518" s="71" t="s">
        <v>662</v>
      </c>
      <c r="P7518" s="103" t="str">
        <f t="shared" si="4301"/>
        <v>윤전용 세척제(Web 504)</v>
      </c>
      <c r="Q7518" s="71">
        <f t="shared" si="4261"/>
        <v>10</v>
      </c>
      <c r="R7518" s="102">
        <v>129000</v>
      </c>
      <c r="S7518" s="102">
        <f t="shared" si="4257"/>
        <v>1419000</v>
      </c>
      <c r="T7518" s="102">
        <f t="shared" si="4258"/>
        <v>1290000</v>
      </c>
      <c r="U7518" s="71" t="str">
        <f>IF(J7518=W7518,"O", "X")</f>
        <v>X</v>
      </c>
      <c r="V7518" s="71"/>
      <c r="W7518" s="474"/>
      <c r="X7518" s="71"/>
      <c r="Y7518" s="71"/>
    </row>
    <row r="7519" spans="1:25" s="209" customFormat="1" ht="31.15" hidden="1" customHeight="1" x14ac:dyDescent="0.2">
      <c r="A7519" s="1145">
        <v>45679</v>
      </c>
      <c r="B7519" s="664" t="s">
        <v>3289</v>
      </c>
      <c r="C7519" s="71" t="s">
        <v>3387</v>
      </c>
      <c r="D7519" s="71">
        <v>10</v>
      </c>
      <c r="E7519" s="102">
        <v>130000</v>
      </c>
      <c r="F7519" s="102">
        <f t="shared" si="4297"/>
        <v>1430000</v>
      </c>
      <c r="G7519" s="102">
        <f t="shared" si="4298"/>
        <v>1300000</v>
      </c>
      <c r="H7519" s="165" t="s">
        <v>172</v>
      </c>
      <c r="I7519" s="71" t="s">
        <v>184</v>
      </c>
      <c r="J7519" s="53">
        <f t="shared" si="4299"/>
        <v>180000</v>
      </c>
      <c r="K7519" s="63">
        <f t="shared" si="4300"/>
        <v>0.13846153846153847</v>
      </c>
      <c r="L7519" s="1212" t="s">
        <v>4275</v>
      </c>
      <c r="M7519" s="468"/>
      <c r="N7519" s="1192">
        <f t="shared" si="4273"/>
        <v>45679</v>
      </c>
      <c r="O7519" s="71" t="s">
        <v>189</v>
      </c>
      <c r="P7519" s="103" t="str">
        <f t="shared" si="4301"/>
        <v>Blanket(990*725)</v>
      </c>
      <c r="Q7519" s="71">
        <f t="shared" si="4261"/>
        <v>10</v>
      </c>
      <c r="R7519" s="102">
        <v>112000</v>
      </c>
      <c r="S7519" s="102">
        <f t="shared" ref="S7519:S7536" si="4302">R7519*Q7519*1.1</f>
        <v>1232000</v>
      </c>
      <c r="T7519" s="102">
        <f t="shared" ref="T7519:T7536" si="4303">R7519*Q7519</f>
        <v>1120000</v>
      </c>
      <c r="U7519" s="71" t="str">
        <f>IF(J7519=W7519,"O", "X")</f>
        <v>X</v>
      </c>
      <c r="V7519" s="71"/>
      <c r="W7519" s="474">
        <v>80000</v>
      </c>
      <c r="X7519" s="71"/>
      <c r="Y7519" s="71"/>
    </row>
    <row r="7520" spans="1:25" ht="30" hidden="1" customHeight="1" x14ac:dyDescent="0.25">
      <c r="A7520" s="1145">
        <v>45679</v>
      </c>
      <c r="B7520" s="664" t="s">
        <v>3289</v>
      </c>
      <c r="C7520" s="71" t="s">
        <v>2070</v>
      </c>
      <c r="D7520" s="71">
        <v>10</v>
      </c>
      <c r="E7520" s="102">
        <v>110000</v>
      </c>
      <c r="F7520" s="102">
        <f t="shared" si="4297"/>
        <v>1210000</v>
      </c>
      <c r="G7520" s="102">
        <f t="shared" si="4298"/>
        <v>1100000</v>
      </c>
      <c r="H7520" s="690" t="s">
        <v>172</v>
      </c>
      <c r="I7520" s="71" t="s">
        <v>33</v>
      </c>
      <c r="J7520" s="53">
        <f t="shared" si="4299"/>
        <v>206000</v>
      </c>
      <c r="K7520" s="63">
        <f t="shared" si="4300"/>
        <v>0.18727272727272729</v>
      </c>
      <c r="L7520" s="1212" t="s">
        <v>4275</v>
      </c>
      <c r="M7520" s="468" t="s">
        <v>4114</v>
      </c>
      <c r="N7520" s="1192">
        <f t="shared" si="4273"/>
        <v>45679</v>
      </c>
      <c r="O7520" s="71" t="s">
        <v>146</v>
      </c>
      <c r="P7520" s="103" t="str">
        <f t="shared" si="4301"/>
        <v>Blanket(1050*840)</v>
      </c>
      <c r="Q7520" s="71">
        <f t="shared" si="4261"/>
        <v>10</v>
      </c>
      <c r="R7520" s="102">
        <v>89400</v>
      </c>
      <c r="S7520" s="102">
        <f t="shared" si="4302"/>
        <v>983400.00000000012</v>
      </c>
      <c r="T7520" s="102">
        <f t="shared" si="4303"/>
        <v>894000</v>
      </c>
      <c r="U7520" s="71" t="str">
        <f>IF(J7520=W7520,"O", "X")</f>
        <v>X</v>
      </c>
      <c r="V7520" s="71"/>
      <c r="W7520" s="474">
        <v>275000</v>
      </c>
      <c r="X7520" s="71"/>
      <c r="Y7520" s="71"/>
    </row>
    <row r="7521" spans="1:25" ht="30" hidden="1" customHeight="1" x14ac:dyDescent="0.25">
      <c r="A7521" s="1145">
        <v>45680</v>
      </c>
      <c r="B7521" s="664" t="s">
        <v>2261</v>
      </c>
      <c r="C7521" s="71" t="s">
        <v>3299</v>
      </c>
      <c r="D7521" s="71">
        <v>10</v>
      </c>
      <c r="E7521" s="102">
        <v>52000</v>
      </c>
      <c r="F7521" s="102">
        <f t="shared" ref="F7521:F7536" si="4304">(E7521*D7521)*1.1</f>
        <v>572000</v>
      </c>
      <c r="G7521" s="102">
        <f t="shared" ref="G7521:G7536" si="4305">(E7521*D7521)</f>
        <v>520000</v>
      </c>
      <c r="H7521" s="690" t="s">
        <v>172</v>
      </c>
      <c r="I7521" s="71" t="s">
        <v>180</v>
      </c>
      <c r="J7521" s="53">
        <f t="shared" ref="J7521:J7536" si="4306">G7521-T7521</f>
        <v>45000</v>
      </c>
      <c r="K7521" s="63">
        <f t="shared" ref="K7521:K7536" si="4307">(J7521/(F7521/11*10))</f>
        <v>8.6538461538461536E-2</v>
      </c>
      <c r="L7521" s="1212" t="s">
        <v>4275</v>
      </c>
      <c r="M7521" s="468" t="s">
        <v>3835</v>
      </c>
      <c r="N7521" s="1192">
        <f t="shared" si="4273"/>
        <v>45680</v>
      </c>
      <c r="O7521" s="71" t="s">
        <v>175</v>
      </c>
      <c r="P7521" s="103" t="str">
        <f t="shared" ref="P7521:P7526" si="4308">(C7521)</f>
        <v>매엽용 세척제(Wash k11)</v>
      </c>
      <c r="Q7521" s="71">
        <f t="shared" si="4261"/>
        <v>10</v>
      </c>
      <c r="R7521" s="102">
        <v>47500</v>
      </c>
      <c r="S7521" s="102">
        <f t="shared" si="4302"/>
        <v>522500.00000000006</v>
      </c>
      <c r="T7521" s="102">
        <f t="shared" si="4303"/>
        <v>475000</v>
      </c>
      <c r="U7521" s="71" t="s">
        <v>859</v>
      </c>
      <c r="V7521" s="71"/>
      <c r="W7521" s="474"/>
      <c r="X7521" s="71"/>
      <c r="Y7521" s="71"/>
    </row>
    <row r="7522" spans="1:25" s="209" customFormat="1" ht="29.45" hidden="1" customHeight="1" x14ac:dyDescent="0.2">
      <c r="A7522" s="1145">
        <v>45667</v>
      </c>
      <c r="B7522" s="664" t="s">
        <v>4059</v>
      </c>
      <c r="C7522" s="71" t="s">
        <v>4061</v>
      </c>
      <c r="D7522" s="71">
        <v>10</v>
      </c>
      <c r="E7522" s="102">
        <v>130000</v>
      </c>
      <c r="F7522" s="102">
        <f t="shared" si="4304"/>
        <v>1430000</v>
      </c>
      <c r="G7522" s="102">
        <f t="shared" si="4305"/>
        <v>1300000</v>
      </c>
      <c r="H7522" s="165" t="s">
        <v>172</v>
      </c>
      <c r="I7522" s="71" t="s">
        <v>184</v>
      </c>
      <c r="J7522" s="53">
        <f t="shared" si="4306"/>
        <v>180000</v>
      </c>
      <c r="K7522" s="63">
        <f t="shared" si="4307"/>
        <v>0.13846153846153847</v>
      </c>
      <c r="L7522" s="1212" t="s">
        <v>4275</v>
      </c>
      <c r="M7522" s="468"/>
      <c r="N7522" s="1192">
        <f t="shared" si="4273"/>
        <v>45667</v>
      </c>
      <c r="O7522" s="71" t="s">
        <v>189</v>
      </c>
      <c r="P7522" s="103" t="str">
        <f t="shared" si="4308"/>
        <v>M600 Blanket(990*725)</v>
      </c>
      <c r="Q7522" s="71">
        <f t="shared" si="4261"/>
        <v>10</v>
      </c>
      <c r="R7522" s="102">
        <v>112000</v>
      </c>
      <c r="S7522" s="102">
        <f t="shared" si="4302"/>
        <v>1232000</v>
      </c>
      <c r="T7522" s="102">
        <f t="shared" si="4303"/>
        <v>1120000</v>
      </c>
      <c r="U7522" s="71" t="str">
        <f>IF(J7522=W7522,"O", "X")</f>
        <v>X</v>
      </c>
      <c r="V7522" s="71"/>
      <c r="W7522" s="474">
        <v>80000</v>
      </c>
      <c r="X7522" s="71"/>
      <c r="Y7522" s="71"/>
    </row>
    <row r="7523" spans="1:25" ht="30" hidden="1" customHeight="1" x14ac:dyDescent="0.25">
      <c r="A7523" s="1145">
        <v>45682</v>
      </c>
      <c r="B7523" s="664" t="s">
        <v>546</v>
      </c>
      <c r="C7523" s="71" t="s">
        <v>1148</v>
      </c>
      <c r="D7523" s="71">
        <v>8</v>
      </c>
      <c r="E7523" s="102">
        <v>450000</v>
      </c>
      <c r="F7523" s="102">
        <f t="shared" si="4304"/>
        <v>3960000.0000000005</v>
      </c>
      <c r="G7523" s="102">
        <f t="shared" si="4305"/>
        <v>3600000</v>
      </c>
      <c r="H7523" s="690" t="s">
        <v>1431</v>
      </c>
      <c r="I7523" s="71" t="s">
        <v>1431</v>
      </c>
      <c r="J7523" s="53">
        <f t="shared" si="4306"/>
        <v>3600000</v>
      </c>
      <c r="K7523" s="63">
        <f t="shared" si="4307"/>
        <v>0.99999999999999989</v>
      </c>
      <c r="L7523" s="1212" t="s">
        <v>4275</v>
      </c>
      <c r="M7523" s="102"/>
      <c r="N7523" s="1192">
        <f t="shared" ref="N7523:N7524" si="4309">A7523</f>
        <v>45682</v>
      </c>
      <c r="O7523" s="71"/>
      <c r="P7523" s="103" t="str">
        <f t="shared" si="4308"/>
        <v>브레이크 라이닝</v>
      </c>
      <c r="Q7523" s="71">
        <f t="shared" si="4261"/>
        <v>8</v>
      </c>
      <c r="R7523" s="102"/>
      <c r="S7523" s="102">
        <f t="shared" si="4302"/>
        <v>0</v>
      </c>
      <c r="T7523" s="102">
        <f t="shared" si="4303"/>
        <v>0</v>
      </c>
      <c r="U7523" s="71"/>
      <c r="V7523" s="71"/>
      <c r="W7523" s="474"/>
      <c r="X7523" s="71"/>
      <c r="Y7523" s="71"/>
    </row>
    <row r="7524" spans="1:25" ht="30" hidden="1" customHeight="1" x14ac:dyDescent="0.25">
      <c r="A7524" s="1145">
        <v>45682</v>
      </c>
      <c r="B7524" s="664" t="s">
        <v>546</v>
      </c>
      <c r="C7524" s="71" t="s">
        <v>4281</v>
      </c>
      <c r="D7524" s="71">
        <v>10</v>
      </c>
      <c r="E7524" s="102">
        <v>238000</v>
      </c>
      <c r="F7524" s="102">
        <f t="shared" si="4304"/>
        <v>2618000</v>
      </c>
      <c r="G7524" s="102">
        <f t="shared" si="4305"/>
        <v>2380000</v>
      </c>
      <c r="H7524" s="690" t="s">
        <v>1431</v>
      </c>
      <c r="I7524" s="71" t="s">
        <v>1431</v>
      </c>
      <c r="J7524" s="53">
        <f t="shared" si="4306"/>
        <v>2380000</v>
      </c>
      <c r="K7524" s="63">
        <f t="shared" si="4307"/>
        <v>1</v>
      </c>
      <c r="L7524" s="1212" t="s">
        <v>4275</v>
      </c>
      <c r="M7524" s="468"/>
      <c r="N7524" s="1192">
        <f t="shared" si="4309"/>
        <v>45682</v>
      </c>
      <c r="O7524" s="71"/>
      <c r="P7524" s="103" t="str">
        <f t="shared" si="4308"/>
        <v>Flockband H=3 B=130</v>
      </c>
      <c r="Q7524" s="71">
        <f t="shared" si="4261"/>
        <v>10</v>
      </c>
      <c r="R7524" s="147"/>
      <c r="S7524" s="102">
        <f t="shared" si="4302"/>
        <v>0</v>
      </c>
      <c r="T7524" s="102">
        <f t="shared" si="4303"/>
        <v>0</v>
      </c>
      <c r="U7524" s="71"/>
      <c r="V7524" s="71"/>
      <c r="W7524" s="474"/>
      <c r="X7524" s="71"/>
      <c r="Y7524" s="71"/>
    </row>
    <row r="7525" spans="1:25" ht="30" hidden="1" customHeight="1" x14ac:dyDescent="0.25">
      <c r="A7525" s="1145">
        <v>45682</v>
      </c>
      <c r="B7525" s="664" t="s">
        <v>546</v>
      </c>
      <c r="C7525" s="71" t="s">
        <v>4282</v>
      </c>
      <c r="D7525" s="71">
        <v>16</v>
      </c>
      <c r="E7525" s="102">
        <v>20000</v>
      </c>
      <c r="F7525" s="102">
        <f t="shared" si="4304"/>
        <v>352000</v>
      </c>
      <c r="G7525" s="102">
        <f t="shared" si="4305"/>
        <v>320000</v>
      </c>
      <c r="H7525" s="690" t="s">
        <v>1431</v>
      </c>
      <c r="I7525" s="71" t="s">
        <v>1431</v>
      </c>
      <c r="J7525" s="53">
        <f t="shared" si="4306"/>
        <v>67840</v>
      </c>
      <c r="K7525" s="63">
        <f t="shared" si="4307"/>
        <v>0.21199999999999999</v>
      </c>
      <c r="L7525" s="1212" t="s">
        <v>4275</v>
      </c>
      <c r="M7525" s="102"/>
      <c r="N7525" s="1192"/>
      <c r="O7525" s="71" t="s">
        <v>1431</v>
      </c>
      <c r="P7525" s="103" t="str">
        <f t="shared" si="4308"/>
        <v xml:space="preserve">	잉크 파운틴 호일</v>
      </c>
      <c r="Q7525" s="71">
        <f t="shared" si="4261"/>
        <v>16</v>
      </c>
      <c r="R7525" s="102">
        <v>15760</v>
      </c>
      <c r="S7525" s="102">
        <f t="shared" si="4302"/>
        <v>277376</v>
      </c>
      <c r="T7525" s="102">
        <f t="shared" si="4303"/>
        <v>252160</v>
      </c>
      <c r="U7525" s="71"/>
      <c r="V7525" s="71"/>
      <c r="W7525" s="474"/>
      <c r="X7525" s="71"/>
      <c r="Y7525" s="71"/>
    </row>
    <row r="7526" spans="1:25" ht="30" hidden="1" customHeight="1" x14ac:dyDescent="0.25">
      <c r="A7526" s="1145">
        <v>45682</v>
      </c>
      <c r="B7526" s="664" t="s">
        <v>2155</v>
      </c>
      <c r="C7526" s="71" t="s">
        <v>4252</v>
      </c>
      <c r="D7526" s="71">
        <v>1</v>
      </c>
      <c r="E7526" s="102">
        <v>2423600</v>
      </c>
      <c r="F7526" s="102">
        <f t="shared" si="4304"/>
        <v>2665960</v>
      </c>
      <c r="G7526" s="102">
        <f t="shared" si="4305"/>
        <v>2423600</v>
      </c>
      <c r="H7526" s="690" t="s">
        <v>1431</v>
      </c>
      <c r="I7526" s="71" t="s">
        <v>1431</v>
      </c>
      <c r="J7526" s="53">
        <f t="shared" si="4306"/>
        <v>2423600</v>
      </c>
      <c r="K7526" s="63">
        <f t="shared" si="4307"/>
        <v>1</v>
      </c>
      <c r="L7526" s="1212" t="s">
        <v>4275</v>
      </c>
      <c r="M7526" s="468"/>
      <c r="N7526" s="1192"/>
      <c r="O7526" s="71"/>
      <c r="P7526" s="103" t="str">
        <f t="shared" si="4308"/>
        <v>Mark Gennissen M600 점검 건</v>
      </c>
      <c r="Q7526" s="71">
        <f t="shared" ref="Q7526:Q7536" si="4310">D7526</f>
        <v>1</v>
      </c>
      <c r="R7526" s="147"/>
      <c r="S7526" s="102">
        <f t="shared" si="4302"/>
        <v>0</v>
      </c>
      <c r="T7526" s="102">
        <f t="shared" si="4303"/>
        <v>0</v>
      </c>
      <c r="U7526" s="71"/>
      <c r="V7526" s="71"/>
      <c r="W7526" s="474"/>
      <c r="X7526" s="71"/>
      <c r="Y7526" s="71"/>
    </row>
    <row r="7527" spans="1:25" ht="30" hidden="1" customHeight="1" x14ac:dyDescent="0.25">
      <c r="A7527" s="1145">
        <v>45682</v>
      </c>
      <c r="B7527" s="664" t="s">
        <v>575</v>
      </c>
      <c r="C7527" s="71" t="s">
        <v>4252</v>
      </c>
      <c r="D7527" s="71">
        <v>1</v>
      </c>
      <c r="E7527" s="102">
        <v>2490000</v>
      </c>
      <c r="F7527" s="102">
        <f t="shared" si="4304"/>
        <v>2739000</v>
      </c>
      <c r="G7527" s="102">
        <f t="shared" si="4305"/>
        <v>2490000</v>
      </c>
      <c r="H7527" s="690" t="s">
        <v>1431</v>
      </c>
      <c r="I7527" s="71" t="s">
        <v>1431</v>
      </c>
      <c r="J7527" s="53">
        <f t="shared" si="4306"/>
        <v>2490000</v>
      </c>
      <c r="K7527" s="63">
        <f t="shared" si="4307"/>
        <v>1</v>
      </c>
      <c r="L7527" s="1212" t="s">
        <v>4275</v>
      </c>
      <c r="M7527" s="102"/>
      <c r="N7527" s="1192"/>
      <c r="O7527" s="71"/>
      <c r="P7527" s="103"/>
      <c r="Q7527" s="71">
        <f t="shared" si="4310"/>
        <v>1</v>
      </c>
      <c r="R7527" s="102"/>
      <c r="S7527" s="102">
        <f t="shared" si="4302"/>
        <v>0</v>
      </c>
      <c r="T7527" s="102">
        <f t="shared" si="4303"/>
        <v>0</v>
      </c>
      <c r="U7527" s="71"/>
      <c r="V7527" s="71"/>
      <c r="W7527" s="474"/>
      <c r="X7527" s="71"/>
      <c r="Y7527" s="71"/>
    </row>
    <row r="7528" spans="1:25" ht="30" hidden="1" customHeight="1" x14ac:dyDescent="0.25">
      <c r="A7528" s="1145">
        <v>45682</v>
      </c>
      <c r="B7528" s="664" t="s">
        <v>1178</v>
      </c>
      <c r="C7528" s="71" t="s">
        <v>4283</v>
      </c>
      <c r="D7528" s="71">
        <v>30</v>
      </c>
      <c r="E7528" s="102">
        <v>58000</v>
      </c>
      <c r="F7528" s="102">
        <f t="shared" si="4304"/>
        <v>1914000.0000000002</v>
      </c>
      <c r="G7528" s="102">
        <f t="shared" si="4305"/>
        <v>1740000</v>
      </c>
      <c r="H7528" s="690" t="s">
        <v>142</v>
      </c>
      <c r="I7528" s="71" t="s">
        <v>140</v>
      </c>
      <c r="J7528" s="53">
        <f t="shared" si="4306"/>
        <v>300000</v>
      </c>
      <c r="K7528" s="63">
        <f t="shared" si="4307"/>
        <v>0.17241379310344826</v>
      </c>
      <c r="L7528" s="1212" t="s">
        <v>4275</v>
      </c>
      <c r="M7528" s="468"/>
      <c r="N7528" s="1192">
        <v>45651</v>
      </c>
      <c r="O7528" s="71" t="s">
        <v>145</v>
      </c>
      <c r="P7528" s="103" t="str">
        <f t="shared" ref="P7528:P7530" si="4311">(C7528)</f>
        <v>Agfa 현상보충액</v>
      </c>
      <c r="Q7528" s="71">
        <f t="shared" si="4310"/>
        <v>30</v>
      </c>
      <c r="R7528" s="147">
        <v>48000</v>
      </c>
      <c r="S7528" s="102">
        <f>R7528*Q7528*1.1</f>
        <v>1584000.0000000002</v>
      </c>
      <c r="T7528" s="102">
        <f>R7528*Q7528</f>
        <v>1440000</v>
      </c>
      <c r="U7528" s="71"/>
      <c r="V7528" s="71"/>
      <c r="W7528" s="474"/>
      <c r="X7528" s="71"/>
      <c r="Y7528" s="71"/>
    </row>
    <row r="7529" spans="1:25" ht="30" hidden="1" customHeight="1" x14ac:dyDescent="0.25">
      <c r="A7529" s="1145">
        <v>45682</v>
      </c>
      <c r="B7529" s="664" t="s">
        <v>1178</v>
      </c>
      <c r="C7529" s="71" t="s">
        <v>4284</v>
      </c>
      <c r="D7529" s="71">
        <v>1</v>
      </c>
      <c r="E7529" s="102">
        <v>6363636</v>
      </c>
      <c r="F7529" s="102">
        <f t="shared" si="4304"/>
        <v>6999999.6000000006</v>
      </c>
      <c r="G7529" s="102">
        <f t="shared" si="4305"/>
        <v>6363636</v>
      </c>
      <c r="H7529" s="690" t="s">
        <v>142</v>
      </c>
      <c r="I7529" s="71" t="s">
        <v>140</v>
      </c>
      <c r="J7529" s="53">
        <f t="shared" si="4306"/>
        <v>863636</v>
      </c>
      <c r="K7529" s="63">
        <f t="shared" si="4307"/>
        <v>0.13571423632652777</v>
      </c>
      <c r="L7529" s="1212" t="s">
        <v>4275</v>
      </c>
      <c r="M7529" s="102"/>
      <c r="N7529" s="1192">
        <v>45651</v>
      </c>
      <c r="O7529" s="71" t="s">
        <v>145</v>
      </c>
      <c r="P7529" s="103" t="str">
        <f t="shared" si="4311"/>
        <v>Engage 27 850*780mm 1250매</v>
      </c>
      <c r="Q7529" s="71">
        <f t="shared" si="4310"/>
        <v>1</v>
      </c>
      <c r="R7529" s="102">
        <v>5500000</v>
      </c>
      <c r="S7529" s="102">
        <f>R7529*Q7529*1.1</f>
        <v>6050000.0000000009</v>
      </c>
      <c r="T7529" s="102">
        <f>R7529*Q7529</f>
        <v>5500000</v>
      </c>
      <c r="U7529" s="71"/>
      <c r="V7529" s="71"/>
      <c r="W7529" s="474"/>
      <c r="X7529" s="71"/>
      <c r="Y7529" s="71"/>
    </row>
    <row r="7530" spans="1:25" ht="30" hidden="1" customHeight="1" x14ac:dyDescent="0.25">
      <c r="A7530" s="1145">
        <v>45682</v>
      </c>
      <c r="B7530" s="664" t="s">
        <v>3410</v>
      </c>
      <c r="C7530" s="71" t="s">
        <v>123</v>
      </c>
      <c r="D7530" s="71">
        <v>15</v>
      </c>
      <c r="E7530" s="102">
        <v>34000</v>
      </c>
      <c r="F7530" s="102">
        <f t="shared" si="4304"/>
        <v>561000</v>
      </c>
      <c r="G7530" s="102">
        <f t="shared" si="4305"/>
        <v>510000</v>
      </c>
      <c r="H7530" s="690" t="s">
        <v>142</v>
      </c>
      <c r="I7530" s="71" t="s">
        <v>94</v>
      </c>
      <c r="J7530" s="53">
        <f t="shared" si="4306"/>
        <v>210000</v>
      </c>
      <c r="K7530" s="63">
        <f t="shared" si="4307"/>
        <v>0.41176470588235292</v>
      </c>
      <c r="L7530" s="1212" t="s">
        <v>4275</v>
      </c>
      <c r="M7530" s="468"/>
      <c r="N7530" s="1192">
        <v>45651</v>
      </c>
      <c r="O7530" s="71" t="s">
        <v>1432</v>
      </c>
      <c r="P7530" s="103" t="str">
        <f t="shared" si="4311"/>
        <v>필터백</v>
      </c>
      <c r="Q7530" s="71">
        <f t="shared" si="4310"/>
        <v>15</v>
      </c>
      <c r="R7530" s="147">
        <v>20000</v>
      </c>
      <c r="S7530" s="102">
        <f t="shared" si="4302"/>
        <v>330000</v>
      </c>
      <c r="T7530" s="102">
        <f t="shared" si="4303"/>
        <v>300000</v>
      </c>
      <c r="U7530" s="71"/>
      <c r="V7530" s="71"/>
      <c r="W7530" s="474"/>
      <c r="X7530" s="71"/>
      <c r="Y7530" s="71"/>
    </row>
    <row r="7531" spans="1:25" ht="30" hidden="1" customHeight="1" x14ac:dyDescent="0.25">
      <c r="A7531" s="1145">
        <v>45682</v>
      </c>
      <c r="B7531" s="664" t="s">
        <v>3571</v>
      </c>
      <c r="C7531" s="71" t="s">
        <v>4285</v>
      </c>
      <c r="D7531" s="71">
        <v>1</v>
      </c>
      <c r="E7531" s="102">
        <v>11000000</v>
      </c>
      <c r="F7531" s="102">
        <f t="shared" si="4304"/>
        <v>12100000.000000002</v>
      </c>
      <c r="G7531" s="102">
        <f t="shared" si="4305"/>
        <v>11000000</v>
      </c>
      <c r="H7531" s="690" t="s">
        <v>1431</v>
      </c>
      <c r="I7531" s="71" t="s">
        <v>1431</v>
      </c>
      <c r="J7531" s="53">
        <f t="shared" si="4306"/>
        <v>11000000</v>
      </c>
      <c r="K7531" s="63">
        <f t="shared" si="4307"/>
        <v>0.99999999999999978</v>
      </c>
      <c r="L7531" s="1212" t="s">
        <v>4275</v>
      </c>
      <c r="M7531" s="102"/>
      <c r="N7531" s="1192"/>
      <c r="O7531" s="71"/>
      <c r="P7531" s="103"/>
      <c r="Q7531" s="71">
        <f t="shared" si="4310"/>
        <v>1</v>
      </c>
      <c r="R7531" s="102"/>
      <c r="S7531" s="102">
        <f t="shared" si="4302"/>
        <v>0</v>
      </c>
      <c r="T7531" s="102">
        <f t="shared" si="4303"/>
        <v>0</v>
      </c>
      <c r="U7531" s="71"/>
      <c r="V7531" s="71"/>
      <c r="W7531" s="474"/>
      <c r="X7531" s="71"/>
      <c r="Y7531" s="71"/>
    </row>
    <row r="7532" spans="1:25" ht="30" hidden="1" customHeight="1" x14ac:dyDescent="0.25">
      <c r="A7532" s="1145">
        <v>45682</v>
      </c>
      <c r="B7532" s="664" t="s">
        <v>3571</v>
      </c>
      <c r="C7532" s="71" t="s">
        <v>4286</v>
      </c>
      <c r="D7532" s="71">
        <v>1</v>
      </c>
      <c r="E7532" s="102">
        <v>6700000</v>
      </c>
      <c r="F7532" s="102">
        <f t="shared" si="4304"/>
        <v>7370000.0000000009</v>
      </c>
      <c r="G7532" s="102">
        <f t="shared" si="4305"/>
        <v>6700000</v>
      </c>
      <c r="H7532" s="690" t="s">
        <v>1431</v>
      </c>
      <c r="I7532" s="71" t="s">
        <v>1431</v>
      </c>
      <c r="J7532" s="53">
        <f t="shared" si="4306"/>
        <v>6700000</v>
      </c>
      <c r="K7532" s="63">
        <f t="shared" si="4307"/>
        <v>0.99999999999999989</v>
      </c>
      <c r="L7532" s="1212" t="s">
        <v>4275</v>
      </c>
      <c r="M7532" s="468"/>
      <c r="N7532" s="1192"/>
      <c r="O7532" s="71"/>
      <c r="P7532" s="103"/>
      <c r="Q7532" s="71">
        <f t="shared" si="4310"/>
        <v>1</v>
      </c>
      <c r="R7532" s="147"/>
      <c r="S7532" s="102">
        <f t="shared" si="4302"/>
        <v>0</v>
      </c>
      <c r="T7532" s="102">
        <f t="shared" si="4303"/>
        <v>0</v>
      </c>
      <c r="U7532" s="71"/>
      <c r="V7532" s="71"/>
      <c r="W7532" s="474"/>
      <c r="X7532" s="71"/>
      <c r="Y7532" s="71"/>
    </row>
    <row r="7533" spans="1:25" ht="30" hidden="1" customHeight="1" x14ac:dyDescent="0.25">
      <c r="A7533" s="1145">
        <v>45682</v>
      </c>
      <c r="B7533" s="664" t="s">
        <v>575</v>
      </c>
      <c r="C7533" s="71" t="s">
        <v>1230</v>
      </c>
      <c r="D7533" s="71">
        <v>100</v>
      </c>
      <c r="E7533" s="102">
        <v>2500</v>
      </c>
      <c r="F7533" s="102">
        <f t="shared" si="4304"/>
        <v>275000</v>
      </c>
      <c r="G7533" s="102">
        <f t="shared" si="4305"/>
        <v>250000</v>
      </c>
      <c r="H7533" s="690" t="s">
        <v>1431</v>
      </c>
      <c r="I7533" s="71" t="s">
        <v>1431</v>
      </c>
      <c r="J7533" s="53">
        <f t="shared" si="4306"/>
        <v>250000</v>
      </c>
      <c r="K7533" s="63">
        <f t="shared" si="4307"/>
        <v>1</v>
      </c>
      <c r="L7533" s="1212" t="s">
        <v>4275</v>
      </c>
      <c r="M7533" s="102"/>
      <c r="N7533" s="1192"/>
      <c r="O7533" s="71"/>
      <c r="P7533" s="103"/>
      <c r="Q7533" s="71">
        <f t="shared" si="4310"/>
        <v>100</v>
      </c>
      <c r="R7533" s="102"/>
      <c r="S7533" s="102">
        <f t="shared" si="4302"/>
        <v>0</v>
      </c>
      <c r="T7533" s="102">
        <f t="shared" si="4303"/>
        <v>0</v>
      </c>
      <c r="U7533" s="71"/>
      <c r="V7533" s="71"/>
      <c r="W7533" s="474"/>
      <c r="X7533" s="71"/>
      <c r="Y7533" s="71"/>
    </row>
    <row r="7534" spans="1:25" ht="30" hidden="1" customHeight="1" x14ac:dyDescent="0.25">
      <c r="A7534" s="1145">
        <v>45682</v>
      </c>
      <c r="B7534" s="664" t="s">
        <v>575</v>
      </c>
      <c r="C7534" s="71" t="s">
        <v>4287</v>
      </c>
      <c r="D7534" s="71">
        <v>2</v>
      </c>
      <c r="E7534" s="102">
        <v>4500000</v>
      </c>
      <c r="F7534" s="102">
        <f t="shared" si="4304"/>
        <v>9900000</v>
      </c>
      <c r="G7534" s="102">
        <f t="shared" si="4305"/>
        <v>9000000</v>
      </c>
      <c r="H7534" s="690" t="s">
        <v>1431</v>
      </c>
      <c r="I7534" s="71" t="s">
        <v>1431</v>
      </c>
      <c r="J7534" s="53">
        <f t="shared" si="4306"/>
        <v>9000000</v>
      </c>
      <c r="K7534" s="63">
        <f t="shared" si="4307"/>
        <v>1</v>
      </c>
      <c r="L7534" s="1212" t="s">
        <v>4275</v>
      </c>
      <c r="M7534" s="468"/>
      <c r="N7534" s="1192"/>
      <c r="O7534" s="71"/>
      <c r="P7534" s="103"/>
      <c r="Q7534" s="71">
        <f t="shared" si="4310"/>
        <v>2</v>
      </c>
      <c r="R7534" s="147"/>
      <c r="S7534" s="102">
        <f t="shared" si="4302"/>
        <v>0</v>
      </c>
      <c r="T7534" s="102">
        <f t="shared" si="4303"/>
        <v>0</v>
      </c>
      <c r="U7534" s="71"/>
      <c r="V7534" s="71"/>
      <c r="W7534" s="474"/>
      <c r="X7534" s="71"/>
      <c r="Y7534" s="71"/>
    </row>
    <row r="7535" spans="1:25" ht="30" hidden="1" customHeight="1" x14ac:dyDescent="0.25">
      <c r="A7535" s="1145">
        <v>45682</v>
      </c>
      <c r="B7535" s="664" t="s">
        <v>4288</v>
      </c>
      <c r="C7535" s="71" t="s">
        <v>2137</v>
      </c>
      <c r="D7535" s="71">
        <v>1</v>
      </c>
      <c r="E7535" s="102">
        <v>500000</v>
      </c>
      <c r="F7535" s="102">
        <f t="shared" si="4304"/>
        <v>550000</v>
      </c>
      <c r="G7535" s="102">
        <f t="shared" si="4305"/>
        <v>500000</v>
      </c>
      <c r="H7535" s="690" t="s">
        <v>1431</v>
      </c>
      <c r="I7535" s="71" t="s">
        <v>1431</v>
      </c>
      <c r="J7535" s="53">
        <f t="shared" si="4306"/>
        <v>500000</v>
      </c>
      <c r="K7535" s="63">
        <f t="shared" si="4307"/>
        <v>1</v>
      </c>
      <c r="L7535" s="1212" t="s">
        <v>4275</v>
      </c>
      <c r="M7535" s="102"/>
      <c r="N7535" s="1192"/>
      <c r="O7535" s="71"/>
      <c r="P7535" s="103"/>
      <c r="Q7535" s="71">
        <f t="shared" si="4310"/>
        <v>1</v>
      </c>
      <c r="R7535" s="102"/>
      <c r="S7535" s="102">
        <f t="shared" si="4302"/>
        <v>0</v>
      </c>
      <c r="T7535" s="102">
        <f t="shared" si="4303"/>
        <v>0</v>
      </c>
      <c r="U7535" s="71"/>
      <c r="V7535" s="71"/>
      <c r="W7535" s="474"/>
      <c r="X7535" s="71"/>
      <c r="Y7535" s="71"/>
    </row>
    <row r="7536" spans="1:25" ht="30" hidden="1" customHeight="1" x14ac:dyDescent="0.25">
      <c r="A7536" s="1145">
        <v>45682</v>
      </c>
      <c r="B7536" s="664" t="s">
        <v>4288</v>
      </c>
      <c r="C7536" s="71" t="s">
        <v>4289</v>
      </c>
      <c r="D7536" s="71">
        <v>1</v>
      </c>
      <c r="E7536" s="102">
        <v>400000</v>
      </c>
      <c r="F7536" s="102">
        <f t="shared" si="4304"/>
        <v>440000.00000000006</v>
      </c>
      <c r="G7536" s="102">
        <f t="shared" si="4305"/>
        <v>400000</v>
      </c>
      <c r="H7536" s="690" t="s">
        <v>1431</v>
      </c>
      <c r="I7536" s="71" t="s">
        <v>1431</v>
      </c>
      <c r="J7536" s="53">
        <f t="shared" si="4306"/>
        <v>400000</v>
      </c>
      <c r="K7536" s="63">
        <f t="shared" si="4307"/>
        <v>0.99999999999999989</v>
      </c>
      <c r="L7536" s="1212" t="s">
        <v>4275</v>
      </c>
      <c r="M7536" s="468"/>
      <c r="N7536" s="1192"/>
      <c r="O7536" s="71"/>
      <c r="P7536" s="103"/>
      <c r="Q7536" s="71">
        <f t="shared" si="4310"/>
        <v>1</v>
      </c>
      <c r="R7536" s="147"/>
      <c r="S7536" s="102">
        <f t="shared" si="4302"/>
        <v>0</v>
      </c>
      <c r="T7536" s="102">
        <f t="shared" si="4303"/>
        <v>0</v>
      </c>
      <c r="U7536" s="71"/>
      <c r="V7536" s="71"/>
      <c r="W7536" s="474"/>
      <c r="X7536" s="71"/>
      <c r="Y7536" s="71"/>
    </row>
    <row r="7537" spans="1:25" ht="30" hidden="1" customHeight="1" x14ac:dyDescent="0.25">
      <c r="A7537" s="1210" t="s">
        <v>4295</v>
      </c>
      <c r="B7537" s="1211" t="s">
        <v>544</v>
      </c>
      <c r="C7537" s="960"/>
      <c r="D7537" s="960"/>
      <c r="E7537" s="952"/>
      <c r="F7537" s="952"/>
      <c r="G7537" s="952"/>
      <c r="H7537" s="1206"/>
      <c r="I7537" s="960"/>
      <c r="J7537" s="952"/>
      <c r="K7537" s="953"/>
      <c r="L7537" s="1212" t="s">
        <v>4294</v>
      </c>
      <c r="M7537" s="1207"/>
      <c r="N7537" s="1208" t="str">
        <f t="shared" ref="N7537:N7538" si="4312">A7537</f>
        <v>2025,2</v>
      </c>
      <c r="O7537" s="960"/>
      <c r="P7537" s="1209"/>
      <c r="Q7537" s="960"/>
      <c r="R7537" s="952"/>
      <c r="S7537" s="952"/>
      <c r="T7537" s="952"/>
      <c r="U7537" s="960"/>
      <c r="V7537" s="960"/>
      <c r="W7537" s="474">
        <f>(G7537-T7537)</f>
        <v>0</v>
      </c>
      <c r="X7537" s="71"/>
      <c r="Y7537" s="71"/>
    </row>
    <row r="7538" spans="1:25" s="209" customFormat="1" ht="30" hidden="1" customHeight="1" x14ac:dyDescent="0.25">
      <c r="A7538" s="1145">
        <v>45692</v>
      </c>
      <c r="B7538" s="664" t="s">
        <v>2353</v>
      </c>
      <c r="C7538" s="71" t="s">
        <v>130</v>
      </c>
      <c r="D7538" s="71">
        <v>20</v>
      </c>
      <c r="E7538" s="102">
        <v>148000</v>
      </c>
      <c r="F7538" s="102">
        <f t="shared" ref="F7538" si="4313">(E7538*D7538)*1.1</f>
        <v>3256000.0000000005</v>
      </c>
      <c r="G7538" s="102">
        <f t="shared" ref="G7538" si="4314">(E7538*D7538)</f>
        <v>2960000</v>
      </c>
      <c r="H7538" s="690" t="s">
        <v>142</v>
      </c>
      <c r="I7538" s="71" t="s">
        <v>179</v>
      </c>
      <c r="J7538" s="53">
        <f t="shared" ref="J7538" si="4315">G7538-T7538</f>
        <v>720000</v>
      </c>
      <c r="K7538" s="63">
        <f t="shared" ref="K7538" si="4316">(J7538/(F7538/11*10))</f>
        <v>0.2432432432432432</v>
      </c>
      <c r="L7538" s="1212" t="s">
        <v>4294</v>
      </c>
      <c r="M7538" s="468" t="s">
        <v>2050</v>
      </c>
      <c r="N7538" s="1192">
        <f t="shared" si="4312"/>
        <v>45692</v>
      </c>
      <c r="O7538" s="71" t="s">
        <v>3383</v>
      </c>
      <c r="P7538" s="103" t="str">
        <f t="shared" ref="P7538" si="4317">(C7538)</f>
        <v>XL106 Blanket(1077*885)</v>
      </c>
      <c r="Q7538" s="71">
        <f t="shared" ref="Q7538" si="4318">D7538</f>
        <v>20</v>
      </c>
      <c r="R7538" s="102">
        <v>112000</v>
      </c>
      <c r="S7538" s="102">
        <f t="shared" ref="S7538" si="4319">R7538*Q7538*1.1</f>
        <v>2464000</v>
      </c>
      <c r="T7538" s="102">
        <f t="shared" ref="T7538" si="4320">R7538*Q7538</f>
        <v>2240000</v>
      </c>
      <c r="U7538" s="71" t="s">
        <v>859</v>
      </c>
      <c r="V7538" s="71"/>
      <c r="W7538" s="474">
        <v>260000</v>
      </c>
      <c r="X7538" s="71"/>
      <c r="Y7538" s="71"/>
    </row>
    <row r="7539" spans="1:25" ht="30" hidden="1" customHeight="1" x14ac:dyDescent="0.25">
      <c r="A7539" s="1145">
        <v>45692</v>
      </c>
      <c r="B7539" s="664" t="s">
        <v>2353</v>
      </c>
      <c r="C7539" s="71" t="s">
        <v>129</v>
      </c>
      <c r="D7539" s="71">
        <v>7</v>
      </c>
      <c r="E7539" s="102">
        <v>325000</v>
      </c>
      <c r="F7539" s="102">
        <f t="shared" ref="F7539:F7541" si="4321">(E7539*D7539)*1.1</f>
        <v>2502500</v>
      </c>
      <c r="G7539" s="102">
        <f t="shared" ref="G7539:G7541" si="4322">(E7539*D7539)</f>
        <v>2275000</v>
      </c>
      <c r="H7539" s="690" t="s">
        <v>142</v>
      </c>
      <c r="I7539" s="71" t="s">
        <v>179</v>
      </c>
      <c r="J7539" s="53">
        <f t="shared" ref="J7539:J7541" si="4323">G7539-T7539</f>
        <v>636440</v>
      </c>
      <c r="K7539" s="63">
        <f t="shared" ref="K7539:K7541" si="4324">(J7539/(F7539/11*10))</f>
        <v>0.27975384615384613</v>
      </c>
      <c r="L7539" s="1212" t="s">
        <v>4293</v>
      </c>
      <c r="M7539" s="468" t="s">
        <v>2050</v>
      </c>
      <c r="N7539" s="1192">
        <f t="shared" ref="N7539:N7541" si="4325">A7539</f>
        <v>45692</v>
      </c>
      <c r="O7539" s="71" t="s">
        <v>149</v>
      </c>
      <c r="P7539" s="103" t="str">
        <f t="shared" ref="P7539:P7541" si="4326">(C7539)</f>
        <v>세정포-XL106</v>
      </c>
      <c r="Q7539" s="71">
        <f t="shared" ref="Q7539:Q7541" si="4327">D7539</f>
        <v>7</v>
      </c>
      <c r="R7539" s="102">
        <v>234080</v>
      </c>
      <c r="S7539" s="102">
        <f t="shared" ref="S7539:S7541" si="4328">R7539*Q7539*1.1</f>
        <v>1802416.0000000002</v>
      </c>
      <c r="T7539" s="102">
        <f t="shared" ref="T7539:T7541" si="4329">R7539*Q7539</f>
        <v>1638560</v>
      </c>
      <c r="U7539" s="71" t="str">
        <f>IF(J7539=W7539,"O", "X")</f>
        <v>O</v>
      </c>
      <c r="V7539" s="71"/>
      <c r="W7539" s="474">
        <f>(G7539-T7539)</f>
        <v>636440</v>
      </c>
      <c r="X7539" s="71"/>
      <c r="Y7539" s="71"/>
    </row>
    <row r="7540" spans="1:25" s="209" customFormat="1" ht="30" hidden="1" customHeight="1" x14ac:dyDescent="0.25">
      <c r="A7540" s="1145">
        <v>45692</v>
      </c>
      <c r="B7540" s="664" t="s">
        <v>2353</v>
      </c>
      <c r="C7540" s="71" t="s">
        <v>3299</v>
      </c>
      <c r="D7540" s="71">
        <v>10</v>
      </c>
      <c r="E7540" s="102">
        <v>83000</v>
      </c>
      <c r="F7540" s="102">
        <f t="shared" si="4321"/>
        <v>913000.00000000012</v>
      </c>
      <c r="G7540" s="102">
        <f t="shared" si="4322"/>
        <v>830000</v>
      </c>
      <c r="H7540" s="690" t="s">
        <v>142</v>
      </c>
      <c r="I7540" s="71" t="s">
        <v>179</v>
      </c>
      <c r="J7540" s="53">
        <f t="shared" si="4323"/>
        <v>355000</v>
      </c>
      <c r="K7540" s="63">
        <f t="shared" si="4324"/>
        <v>0.42771084337349391</v>
      </c>
      <c r="L7540" s="1212" t="s">
        <v>4293</v>
      </c>
      <c r="M7540" s="468" t="s">
        <v>2214</v>
      </c>
      <c r="N7540" s="1192">
        <f t="shared" si="4325"/>
        <v>45692</v>
      </c>
      <c r="O7540" s="71" t="s">
        <v>3383</v>
      </c>
      <c r="P7540" s="103" t="str">
        <f t="shared" si="4326"/>
        <v>매엽용 세척제(Wash k11)</v>
      </c>
      <c r="Q7540" s="71">
        <f t="shared" si="4327"/>
        <v>10</v>
      </c>
      <c r="R7540" s="102">
        <v>47500</v>
      </c>
      <c r="S7540" s="102">
        <f t="shared" si="4328"/>
        <v>522500.00000000006</v>
      </c>
      <c r="T7540" s="102">
        <f t="shared" si="4329"/>
        <v>475000</v>
      </c>
      <c r="U7540" s="71" t="s">
        <v>859</v>
      </c>
      <c r="V7540" s="71"/>
      <c r="W7540" s="474">
        <v>136000</v>
      </c>
      <c r="X7540" s="71"/>
      <c r="Y7540" s="71"/>
    </row>
    <row r="7541" spans="1:25" s="209" customFormat="1" ht="30" hidden="1" customHeight="1" x14ac:dyDescent="0.25">
      <c r="A7541" s="1145">
        <v>45692</v>
      </c>
      <c r="B7541" s="664" t="s">
        <v>2353</v>
      </c>
      <c r="C7541" s="71" t="s">
        <v>3843</v>
      </c>
      <c r="D7541" s="71">
        <v>7</v>
      </c>
      <c r="E7541" s="102">
        <v>180000</v>
      </c>
      <c r="F7541" s="102">
        <f t="shared" si="4321"/>
        <v>1386000</v>
      </c>
      <c r="G7541" s="102">
        <f t="shared" si="4322"/>
        <v>1260000</v>
      </c>
      <c r="H7541" s="690" t="s">
        <v>179</v>
      </c>
      <c r="I7541" s="71" t="s">
        <v>179</v>
      </c>
      <c r="J7541" s="53">
        <f t="shared" si="4323"/>
        <v>336000</v>
      </c>
      <c r="K7541" s="63">
        <f t="shared" si="4324"/>
        <v>0.26666666666666666</v>
      </c>
      <c r="L7541" s="1212" t="s">
        <v>4293</v>
      </c>
      <c r="M7541" s="468"/>
      <c r="N7541" s="1192">
        <f t="shared" si="4325"/>
        <v>45692</v>
      </c>
      <c r="O7541" s="71" t="s">
        <v>3383</v>
      </c>
      <c r="P7541" s="103" t="str">
        <f t="shared" si="4326"/>
        <v>수이보 세척액(습수액 클리너)</v>
      </c>
      <c r="Q7541" s="71">
        <f t="shared" si="4327"/>
        <v>7</v>
      </c>
      <c r="R7541" s="102">
        <f>11000*12</f>
        <v>132000</v>
      </c>
      <c r="S7541" s="102">
        <f t="shared" si="4328"/>
        <v>1016400.0000000001</v>
      </c>
      <c r="T7541" s="102">
        <f t="shared" si="4329"/>
        <v>924000</v>
      </c>
      <c r="U7541" s="71"/>
      <c r="V7541" s="71"/>
      <c r="W7541" s="474"/>
      <c r="X7541" s="71"/>
      <c r="Y7541" s="71"/>
    </row>
    <row r="7542" spans="1:25" ht="30" hidden="1" customHeight="1" x14ac:dyDescent="0.25">
      <c r="A7542" s="1145">
        <v>45702</v>
      </c>
      <c r="B7542" s="664" t="s">
        <v>2353</v>
      </c>
      <c r="C7542" s="71" t="s">
        <v>129</v>
      </c>
      <c r="D7542" s="71">
        <v>7</v>
      </c>
      <c r="E7542" s="102">
        <v>325000</v>
      </c>
      <c r="F7542" s="102">
        <f t="shared" ref="F7542:F7583" si="4330">(E7542*D7542)*1.1</f>
        <v>2502500</v>
      </c>
      <c r="G7542" s="102">
        <f t="shared" ref="G7542:G7583" si="4331">(E7542*D7542)</f>
        <v>2275000</v>
      </c>
      <c r="H7542" s="690" t="s">
        <v>142</v>
      </c>
      <c r="I7542" s="71" t="s">
        <v>179</v>
      </c>
      <c r="J7542" s="53">
        <f t="shared" ref="J7542:J7551" si="4332">G7542-T7542</f>
        <v>636440</v>
      </c>
      <c r="K7542" s="63">
        <f t="shared" ref="K7542:K7551" si="4333">(J7542/(F7542/11*10))</f>
        <v>0.27975384615384613</v>
      </c>
      <c r="L7542" s="1212" t="s">
        <v>4293</v>
      </c>
      <c r="M7542" s="468" t="s">
        <v>2050</v>
      </c>
      <c r="N7542" s="1192">
        <f t="shared" ref="N7542:N7551" si="4334">A7542</f>
        <v>45702</v>
      </c>
      <c r="O7542" s="71" t="s">
        <v>149</v>
      </c>
      <c r="P7542" s="103" t="str">
        <f t="shared" ref="P7542:P7551" si="4335">(C7542)</f>
        <v>세정포-XL106</v>
      </c>
      <c r="Q7542" s="71">
        <f t="shared" ref="Q7542:Q7543" si="4336">D7542</f>
        <v>7</v>
      </c>
      <c r="R7542" s="102">
        <v>234080</v>
      </c>
      <c r="S7542" s="102">
        <f t="shared" ref="S7542:S7551" si="4337">R7542*Q7542*1.1</f>
        <v>1802416.0000000002</v>
      </c>
      <c r="T7542" s="102">
        <f t="shared" ref="T7542:T7551" si="4338">R7542*Q7542</f>
        <v>1638560</v>
      </c>
      <c r="U7542" s="71" t="str">
        <f>IF(J7542=W7542,"O", "X")</f>
        <v>O</v>
      </c>
      <c r="V7542" s="71"/>
      <c r="W7542" s="474">
        <f>(G7542-T7542)</f>
        <v>636440</v>
      </c>
      <c r="X7542" s="71"/>
      <c r="Y7542" s="71"/>
    </row>
    <row r="7543" spans="1:25" ht="30" hidden="1" customHeight="1" x14ac:dyDescent="0.25">
      <c r="A7543" s="1145">
        <v>45702</v>
      </c>
      <c r="B7543" s="664" t="s">
        <v>2579</v>
      </c>
      <c r="C7543" s="71" t="s">
        <v>3738</v>
      </c>
      <c r="D7543" s="71">
        <v>20</v>
      </c>
      <c r="E7543" s="102">
        <v>130000</v>
      </c>
      <c r="F7543" s="102">
        <f t="shared" si="4330"/>
        <v>2860000</v>
      </c>
      <c r="G7543" s="102">
        <f t="shared" si="4331"/>
        <v>2600000</v>
      </c>
      <c r="H7543" s="690" t="s">
        <v>142</v>
      </c>
      <c r="I7543" s="71" t="s">
        <v>142</v>
      </c>
      <c r="J7543" s="53">
        <f t="shared" si="4332"/>
        <v>678000</v>
      </c>
      <c r="K7543" s="63">
        <f t="shared" si="4333"/>
        <v>0.26076923076923075</v>
      </c>
      <c r="L7543" s="1212" t="s">
        <v>4293</v>
      </c>
      <c r="M7543" s="468"/>
      <c r="N7543" s="1192">
        <f t="shared" si="4334"/>
        <v>45702</v>
      </c>
      <c r="O7543" s="71" t="s">
        <v>147</v>
      </c>
      <c r="P7543" s="103" t="str">
        <f t="shared" si="4335"/>
        <v>블랑켓 - 고모리 용 (1040*920)</v>
      </c>
      <c r="Q7543" s="71">
        <f t="shared" si="4336"/>
        <v>20</v>
      </c>
      <c r="R7543" s="102">
        <v>96100</v>
      </c>
      <c r="S7543" s="102">
        <f t="shared" si="4337"/>
        <v>2114200</v>
      </c>
      <c r="T7543" s="102">
        <f t="shared" si="4338"/>
        <v>1922000</v>
      </c>
      <c r="U7543" s="71"/>
      <c r="V7543" s="71"/>
      <c r="W7543" s="474"/>
      <c r="X7543" s="71"/>
      <c r="Y7543" s="71"/>
    </row>
    <row r="7544" spans="1:25" ht="30" hidden="1" customHeight="1" x14ac:dyDescent="0.25">
      <c r="A7544" s="1145">
        <v>45702</v>
      </c>
      <c r="B7544" s="664" t="s">
        <v>2353</v>
      </c>
      <c r="C7544" s="71" t="s">
        <v>3728</v>
      </c>
      <c r="D7544" s="71">
        <v>40</v>
      </c>
      <c r="E7544" s="102">
        <v>35000</v>
      </c>
      <c r="F7544" s="102">
        <f t="shared" si="4330"/>
        <v>1540000.0000000002</v>
      </c>
      <c r="G7544" s="102">
        <f t="shared" si="4331"/>
        <v>1400000</v>
      </c>
      <c r="H7544" s="690" t="s">
        <v>142</v>
      </c>
      <c r="I7544" s="71" t="s">
        <v>142</v>
      </c>
      <c r="J7544" s="53">
        <f t="shared" si="4332"/>
        <v>450000</v>
      </c>
      <c r="K7544" s="63">
        <f t="shared" si="4333"/>
        <v>0.3214285714285714</v>
      </c>
      <c r="L7544" s="1212" t="s">
        <v>4293</v>
      </c>
      <c r="M7544" s="468" t="s">
        <v>3907</v>
      </c>
      <c r="N7544" s="1192">
        <f t="shared" si="4334"/>
        <v>45702</v>
      </c>
      <c r="O7544" s="71" t="s">
        <v>149</v>
      </c>
      <c r="P7544" s="103" t="str">
        <f t="shared" si="4335"/>
        <v>고모리 자동 세척액</v>
      </c>
      <c r="Q7544" s="71">
        <v>20</v>
      </c>
      <c r="R7544" s="102">
        <v>47500</v>
      </c>
      <c r="S7544" s="102">
        <f t="shared" si="4337"/>
        <v>1045000.0000000001</v>
      </c>
      <c r="T7544" s="102">
        <f t="shared" si="4338"/>
        <v>950000</v>
      </c>
      <c r="U7544" s="71"/>
      <c r="V7544" s="71"/>
      <c r="W7544" s="474"/>
      <c r="X7544" s="71"/>
      <c r="Y7544" s="71"/>
    </row>
    <row r="7545" spans="1:25" ht="28.9" hidden="1" customHeight="1" x14ac:dyDescent="0.25">
      <c r="A7545" s="1145">
        <v>45715</v>
      </c>
      <c r="B7545" s="664" t="s">
        <v>2353</v>
      </c>
      <c r="C7545" s="71" t="s">
        <v>129</v>
      </c>
      <c r="D7545" s="71">
        <v>7</v>
      </c>
      <c r="E7545" s="102">
        <v>325000</v>
      </c>
      <c r="F7545" s="102">
        <f t="shared" si="4330"/>
        <v>2502500</v>
      </c>
      <c r="G7545" s="102">
        <f t="shared" si="4331"/>
        <v>2275000</v>
      </c>
      <c r="H7545" s="690" t="s">
        <v>142</v>
      </c>
      <c r="I7545" s="71" t="s">
        <v>179</v>
      </c>
      <c r="J7545" s="53">
        <f t="shared" si="4332"/>
        <v>636440</v>
      </c>
      <c r="K7545" s="63">
        <f t="shared" si="4333"/>
        <v>0.27975384615384613</v>
      </c>
      <c r="L7545" s="1212" t="s">
        <v>4293</v>
      </c>
      <c r="M7545" s="468" t="s">
        <v>2050</v>
      </c>
      <c r="N7545" s="1192">
        <f t="shared" si="4334"/>
        <v>45715</v>
      </c>
      <c r="O7545" s="71" t="s">
        <v>149</v>
      </c>
      <c r="P7545" s="103" t="str">
        <f t="shared" si="4335"/>
        <v>세정포-XL106</v>
      </c>
      <c r="Q7545" s="71">
        <f t="shared" ref="Q7545:Q7551" si="4339">D7545</f>
        <v>7</v>
      </c>
      <c r="R7545" s="102">
        <v>234080</v>
      </c>
      <c r="S7545" s="102">
        <f t="shared" si="4337"/>
        <v>1802416.0000000002</v>
      </c>
      <c r="T7545" s="102">
        <f t="shared" si="4338"/>
        <v>1638560</v>
      </c>
      <c r="U7545" s="71" t="str">
        <f>IF(J7545=W7545,"O", "X")</f>
        <v>O</v>
      </c>
      <c r="V7545" s="71"/>
      <c r="W7545" s="474">
        <f>(G7545-T7545)</f>
        <v>636440</v>
      </c>
      <c r="X7545" s="71"/>
      <c r="Y7545" s="71"/>
    </row>
    <row r="7546" spans="1:25" s="209" customFormat="1" ht="30" hidden="1" customHeight="1" x14ac:dyDescent="0.25">
      <c r="A7546" s="1145">
        <v>45715</v>
      </c>
      <c r="B7546" s="664" t="s">
        <v>2353</v>
      </c>
      <c r="C7546" s="71" t="s">
        <v>130</v>
      </c>
      <c r="D7546" s="71">
        <v>20</v>
      </c>
      <c r="E7546" s="102">
        <v>148000</v>
      </c>
      <c r="F7546" s="102">
        <f t="shared" si="4330"/>
        <v>3256000.0000000005</v>
      </c>
      <c r="G7546" s="102">
        <f t="shared" si="4331"/>
        <v>2960000</v>
      </c>
      <c r="H7546" s="690" t="s">
        <v>142</v>
      </c>
      <c r="I7546" s="71" t="s">
        <v>179</v>
      </c>
      <c r="J7546" s="53">
        <f t="shared" si="4332"/>
        <v>720000</v>
      </c>
      <c r="K7546" s="63">
        <f t="shared" si="4333"/>
        <v>0.2432432432432432</v>
      </c>
      <c r="L7546" s="1212" t="s">
        <v>4293</v>
      </c>
      <c r="M7546" s="468" t="s">
        <v>2050</v>
      </c>
      <c r="N7546" s="1192">
        <f t="shared" si="4334"/>
        <v>45715</v>
      </c>
      <c r="O7546" s="71" t="s">
        <v>3383</v>
      </c>
      <c r="P7546" s="103" t="str">
        <f t="shared" si="4335"/>
        <v>XL106 Blanket(1077*885)</v>
      </c>
      <c r="Q7546" s="71">
        <f t="shared" si="4339"/>
        <v>20</v>
      </c>
      <c r="R7546" s="102">
        <v>112000</v>
      </c>
      <c r="S7546" s="102">
        <f t="shared" si="4337"/>
        <v>2464000</v>
      </c>
      <c r="T7546" s="102">
        <f t="shared" si="4338"/>
        <v>2240000</v>
      </c>
      <c r="U7546" s="71" t="s">
        <v>859</v>
      </c>
      <c r="V7546" s="71"/>
      <c r="W7546" s="474">
        <v>260000</v>
      </c>
      <c r="X7546" s="71"/>
      <c r="Y7546" s="71"/>
    </row>
    <row r="7547" spans="1:25" s="209" customFormat="1" ht="30" hidden="1" customHeight="1" x14ac:dyDescent="0.25">
      <c r="A7547" s="1145">
        <v>45715</v>
      </c>
      <c r="B7547" s="664" t="s">
        <v>2353</v>
      </c>
      <c r="C7547" s="71" t="s">
        <v>3299</v>
      </c>
      <c r="D7547" s="71">
        <v>10</v>
      </c>
      <c r="E7547" s="102">
        <v>83000</v>
      </c>
      <c r="F7547" s="102">
        <f t="shared" si="4330"/>
        <v>913000.00000000012</v>
      </c>
      <c r="G7547" s="102">
        <f t="shared" si="4331"/>
        <v>830000</v>
      </c>
      <c r="H7547" s="690" t="s">
        <v>142</v>
      </c>
      <c r="I7547" s="71" t="s">
        <v>179</v>
      </c>
      <c r="J7547" s="53">
        <f t="shared" si="4332"/>
        <v>355000</v>
      </c>
      <c r="K7547" s="63">
        <f t="shared" si="4333"/>
        <v>0.42771084337349391</v>
      </c>
      <c r="L7547" s="1212" t="s">
        <v>4293</v>
      </c>
      <c r="M7547" s="468" t="s">
        <v>2214</v>
      </c>
      <c r="N7547" s="1192">
        <f t="shared" si="4334"/>
        <v>45715</v>
      </c>
      <c r="O7547" s="71" t="s">
        <v>3383</v>
      </c>
      <c r="P7547" s="103" t="str">
        <f t="shared" si="4335"/>
        <v>매엽용 세척제(Wash k11)</v>
      </c>
      <c r="Q7547" s="71">
        <f t="shared" si="4339"/>
        <v>10</v>
      </c>
      <c r="R7547" s="102">
        <v>47500</v>
      </c>
      <c r="S7547" s="102">
        <f t="shared" si="4337"/>
        <v>522500.00000000006</v>
      </c>
      <c r="T7547" s="102">
        <f t="shared" si="4338"/>
        <v>475000</v>
      </c>
      <c r="U7547" s="71" t="s">
        <v>859</v>
      </c>
      <c r="V7547" s="71"/>
      <c r="W7547" s="474">
        <v>136000</v>
      </c>
      <c r="X7547" s="71"/>
      <c r="Y7547" s="71"/>
    </row>
    <row r="7548" spans="1:25" ht="27" hidden="1" customHeight="1" x14ac:dyDescent="0.25">
      <c r="A7548" s="1145">
        <v>45716</v>
      </c>
      <c r="B7548" s="664" t="s">
        <v>2353</v>
      </c>
      <c r="C7548" s="71" t="s">
        <v>2648</v>
      </c>
      <c r="D7548" s="71">
        <v>4</v>
      </c>
      <c r="E7548" s="102">
        <v>50000</v>
      </c>
      <c r="F7548" s="102">
        <f t="shared" si="4330"/>
        <v>220000.00000000003</v>
      </c>
      <c r="G7548" s="102">
        <f t="shared" si="4331"/>
        <v>200000</v>
      </c>
      <c r="H7548" s="690" t="s">
        <v>179</v>
      </c>
      <c r="I7548" s="690" t="s">
        <v>179</v>
      </c>
      <c r="J7548" s="53">
        <f t="shared" si="4332"/>
        <v>104000</v>
      </c>
      <c r="K7548" s="63">
        <f t="shared" si="4333"/>
        <v>0.51999999999999991</v>
      </c>
      <c r="L7548" s="1212" t="s">
        <v>4293</v>
      </c>
      <c r="M7548" s="468"/>
      <c r="N7548" s="1192">
        <f t="shared" si="4334"/>
        <v>45716</v>
      </c>
      <c r="O7548" s="71" t="s">
        <v>94</v>
      </c>
      <c r="P7548" s="103" t="str">
        <f t="shared" si="4335"/>
        <v>주머니 필터백</v>
      </c>
      <c r="Q7548" s="71">
        <f t="shared" si="4339"/>
        <v>4</v>
      </c>
      <c r="R7548" s="102">
        <v>24000</v>
      </c>
      <c r="S7548" s="102">
        <f t="shared" si="4337"/>
        <v>105600.00000000001</v>
      </c>
      <c r="T7548" s="102">
        <f t="shared" si="4338"/>
        <v>96000</v>
      </c>
      <c r="U7548" s="71"/>
      <c r="V7548" s="71"/>
      <c r="W7548" s="474"/>
      <c r="X7548" s="71"/>
      <c r="Y7548" s="71"/>
    </row>
    <row r="7549" spans="1:25" ht="30" hidden="1" customHeight="1" x14ac:dyDescent="0.25">
      <c r="A7549" s="1145">
        <v>45716</v>
      </c>
      <c r="B7549" s="664" t="s">
        <v>2353</v>
      </c>
      <c r="C7549" s="71" t="s">
        <v>3384</v>
      </c>
      <c r="D7549" s="71">
        <v>100</v>
      </c>
      <c r="E7549" s="102">
        <v>500</v>
      </c>
      <c r="F7549" s="102">
        <f t="shared" si="4330"/>
        <v>55000.000000000007</v>
      </c>
      <c r="G7549" s="102">
        <f t="shared" si="4331"/>
        <v>50000</v>
      </c>
      <c r="H7549" s="690" t="s">
        <v>142</v>
      </c>
      <c r="I7549" s="71" t="s">
        <v>179</v>
      </c>
      <c r="J7549" s="53">
        <f t="shared" si="4332"/>
        <v>10000</v>
      </c>
      <c r="K7549" s="63">
        <f t="shared" si="4333"/>
        <v>0.19999999999999998</v>
      </c>
      <c r="L7549" s="1212" t="s">
        <v>4293</v>
      </c>
      <c r="M7549" s="468"/>
      <c r="N7549" s="1192">
        <f t="shared" si="4334"/>
        <v>45716</v>
      </c>
      <c r="O7549" s="71"/>
      <c r="P7549" s="164" t="str">
        <f t="shared" si="4335"/>
        <v>고무사카 빨간색</v>
      </c>
      <c r="Q7549" s="71">
        <f t="shared" si="4339"/>
        <v>100</v>
      </c>
      <c r="R7549" s="690">
        <v>400</v>
      </c>
      <c r="S7549" s="102">
        <f t="shared" si="4337"/>
        <v>44000</v>
      </c>
      <c r="T7549" s="102">
        <f t="shared" si="4338"/>
        <v>40000</v>
      </c>
      <c r="U7549" s="71"/>
      <c r="V7549" s="71"/>
      <c r="W7549" s="474"/>
      <c r="X7549" s="71"/>
      <c r="Y7549" s="71"/>
    </row>
    <row r="7550" spans="1:25" ht="30" customHeight="1" x14ac:dyDescent="0.25">
      <c r="A7550" s="1145">
        <v>45712</v>
      </c>
      <c r="B7550" s="664" t="s">
        <v>641</v>
      </c>
      <c r="C7550" s="71" t="s">
        <v>3293</v>
      </c>
      <c r="D7550" s="71">
        <v>60</v>
      </c>
      <c r="E7550" s="102">
        <v>84000</v>
      </c>
      <c r="F7550" s="102">
        <f t="shared" si="4330"/>
        <v>5544000</v>
      </c>
      <c r="G7550" s="102">
        <f t="shared" si="4331"/>
        <v>5040000</v>
      </c>
      <c r="H7550" s="690" t="s">
        <v>172</v>
      </c>
      <c r="I7550" s="71" t="s">
        <v>38</v>
      </c>
      <c r="J7550" s="53">
        <f t="shared" si="4332"/>
        <v>1980000</v>
      </c>
      <c r="K7550" s="63">
        <f t="shared" si="4333"/>
        <v>0.39285714285714285</v>
      </c>
      <c r="L7550" s="1212" t="s">
        <v>4293</v>
      </c>
      <c r="M7550" s="468"/>
      <c r="N7550" s="1192">
        <f t="shared" si="4334"/>
        <v>45712</v>
      </c>
      <c r="O7550" s="71" t="s">
        <v>3291</v>
      </c>
      <c r="P7550" s="103" t="str">
        <f t="shared" si="4335"/>
        <v>GOSS 신문윤전 습식세정포</v>
      </c>
      <c r="Q7550" s="71">
        <f t="shared" si="4339"/>
        <v>60</v>
      </c>
      <c r="R7550" s="102">
        <v>51000</v>
      </c>
      <c r="S7550" s="102">
        <f t="shared" si="4337"/>
        <v>3366000.0000000005</v>
      </c>
      <c r="T7550" s="102">
        <f t="shared" si="4338"/>
        <v>3060000</v>
      </c>
      <c r="U7550" s="71" t="str">
        <f>IF(J7550=W7550,"O", "X")</f>
        <v>X</v>
      </c>
      <c r="V7550" s="71"/>
      <c r="W7550" s="474"/>
      <c r="X7550" s="71"/>
      <c r="Y7550" s="71"/>
    </row>
    <row r="7551" spans="1:25" ht="30" customHeight="1" x14ac:dyDescent="0.25">
      <c r="A7551" s="1145">
        <v>45702</v>
      </c>
      <c r="B7551" s="664" t="s">
        <v>2352</v>
      </c>
      <c r="C7551" s="71" t="s">
        <v>3836</v>
      </c>
      <c r="D7551" s="71">
        <v>64</v>
      </c>
      <c r="E7551" s="102">
        <v>18500</v>
      </c>
      <c r="F7551" s="102">
        <f t="shared" si="4330"/>
        <v>1302400</v>
      </c>
      <c r="G7551" s="102">
        <f t="shared" si="4331"/>
        <v>1184000</v>
      </c>
      <c r="H7551" s="690" t="s">
        <v>179</v>
      </c>
      <c r="I7551" s="71" t="s">
        <v>179</v>
      </c>
      <c r="J7551" s="53">
        <f t="shared" si="4332"/>
        <v>474624</v>
      </c>
      <c r="K7551" s="63">
        <f t="shared" si="4333"/>
        <v>0.40086486486486489</v>
      </c>
      <c r="L7551" s="1212" t="s">
        <v>4293</v>
      </c>
      <c r="M7551" s="468"/>
      <c r="N7551" s="1192">
        <f t="shared" si="4334"/>
        <v>45702</v>
      </c>
      <c r="O7551" s="71"/>
      <c r="P7551" s="103" t="str">
        <f t="shared" si="4335"/>
        <v>고모리 윤전 블랑켓 건식 세정포 - 국전용</v>
      </c>
      <c r="Q7551" s="71">
        <f t="shared" si="4339"/>
        <v>64</v>
      </c>
      <c r="R7551" s="102">
        <v>11084</v>
      </c>
      <c r="S7551" s="102">
        <f t="shared" si="4337"/>
        <v>780313.60000000009</v>
      </c>
      <c r="T7551" s="102">
        <f t="shared" si="4338"/>
        <v>709376</v>
      </c>
      <c r="U7551" s="71"/>
      <c r="V7551" s="71"/>
      <c r="W7551" s="474"/>
      <c r="X7551" s="71"/>
      <c r="Y7551" s="71"/>
    </row>
    <row r="7552" spans="1:25" ht="30" hidden="1" customHeight="1" x14ac:dyDescent="0.25">
      <c r="A7552" s="1145">
        <v>45713</v>
      </c>
      <c r="B7552" s="664" t="s">
        <v>1060</v>
      </c>
      <c r="C7552" s="71" t="s">
        <v>3908</v>
      </c>
      <c r="D7552" s="71">
        <v>200</v>
      </c>
      <c r="E7552" s="102">
        <v>6050</v>
      </c>
      <c r="F7552" s="102">
        <f t="shared" si="4330"/>
        <v>1331000</v>
      </c>
      <c r="G7552" s="102">
        <f t="shared" si="4331"/>
        <v>1210000</v>
      </c>
      <c r="H7552" s="690" t="s">
        <v>142</v>
      </c>
      <c r="I7552" s="71" t="s">
        <v>179</v>
      </c>
      <c r="J7552" s="53">
        <v>2503200</v>
      </c>
      <c r="K7552" s="63">
        <v>0.34766666666666662</v>
      </c>
      <c r="L7552" s="1212" t="s">
        <v>4293</v>
      </c>
      <c r="M7552" s="102" t="s">
        <v>3964</v>
      </c>
      <c r="N7552" s="1192">
        <v>45682</v>
      </c>
      <c r="O7552" s="71" t="s">
        <v>662</v>
      </c>
      <c r="P7552" s="103" t="s">
        <v>3908</v>
      </c>
      <c r="Q7552" s="71">
        <v>1200</v>
      </c>
      <c r="R7552" s="102">
        <v>3914</v>
      </c>
      <c r="S7552" s="102">
        <v>5166480</v>
      </c>
      <c r="T7552" s="102">
        <v>4696800</v>
      </c>
      <c r="U7552" s="71" t="s">
        <v>859</v>
      </c>
      <c r="V7552" s="71"/>
      <c r="W7552" s="474">
        <v>942000</v>
      </c>
      <c r="X7552" s="71"/>
      <c r="Y7552" s="71"/>
    </row>
    <row r="7553" spans="1:25" ht="30" hidden="1" customHeight="1" x14ac:dyDescent="0.25">
      <c r="A7553" s="1145">
        <v>45713</v>
      </c>
      <c r="B7553" s="664" t="s">
        <v>1060</v>
      </c>
      <c r="C7553" s="71" t="s">
        <v>3909</v>
      </c>
      <c r="D7553" s="71">
        <v>3100</v>
      </c>
      <c r="E7553" s="102">
        <v>3830</v>
      </c>
      <c r="F7553" s="102">
        <f t="shared" si="4330"/>
        <v>13060300.000000002</v>
      </c>
      <c r="G7553" s="102">
        <f t="shared" si="4331"/>
        <v>11873000</v>
      </c>
      <c r="H7553" s="690" t="s">
        <v>36</v>
      </c>
      <c r="I7553" s="71" t="s">
        <v>2529</v>
      </c>
      <c r="J7553" s="53">
        <v>4654600</v>
      </c>
      <c r="K7553" s="63">
        <v>0.33726541554959782</v>
      </c>
      <c r="L7553" s="1212" t="s">
        <v>4293</v>
      </c>
      <c r="M7553" s="102" t="s">
        <v>3964</v>
      </c>
      <c r="N7553" s="1192">
        <v>45651</v>
      </c>
      <c r="O7553" s="71" t="s">
        <v>662</v>
      </c>
      <c r="P7553" s="103" t="s">
        <v>3909</v>
      </c>
      <c r="Q7553" s="71">
        <v>2300</v>
      </c>
      <c r="R7553" s="102">
        <v>2472</v>
      </c>
      <c r="S7553" s="102">
        <v>6254160.0000000009</v>
      </c>
      <c r="T7553" s="102">
        <v>5685600</v>
      </c>
      <c r="U7553" s="71" t="s">
        <v>859</v>
      </c>
      <c r="V7553" s="71"/>
      <c r="W7553" s="474">
        <v>1274000</v>
      </c>
      <c r="X7553" s="71"/>
      <c r="Y7553" s="71"/>
    </row>
    <row r="7554" spans="1:25" ht="30" hidden="1" customHeight="1" x14ac:dyDescent="0.25">
      <c r="A7554" s="1145">
        <v>45713</v>
      </c>
      <c r="B7554" s="664" t="s">
        <v>1060</v>
      </c>
      <c r="C7554" s="71" t="s">
        <v>3910</v>
      </c>
      <c r="D7554" s="71">
        <v>3000</v>
      </c>
      <c r="E7554" s="102">
        <v>3610</v>
      </c>
      <c r="F7554" s="102">
        <f t="shared" si="4330"/>
        <v>11913000.000000002</v>
      </c>
      <c r="G7554" s="102">
        <f t="shared" si="4331"/>
        <v>10830000</v>
      </c>
      <c r="H7554" s="690" t="s">
        <v>36</v>
      </c>
      <c r="I7554" s="71" t="s">
        <v>2529</v>
      </c>
      <c r="J7554" s="53">
        <v>2600400</v>
      </c>
      <c r="K7554" s="63">
        <v>0.33484419263456089</v>
      </c>
      <c r="L7554" s="1212" t="s">
        <v>4293</v>
      </c>
      <c r="M7554" s="102" t="s">
        <v>3964</v>
      </c>
      <c r="N7554" s="1192">
        <v>45651</v>
      </c>
      <c r="O7554" s="71" t="s">
        <v>662</v>
      </c>
      <c r="P7554" s="103" t="s">
        <v>3910</v>
      </c>
      <c r="Q7554" s="71">
        <v>1700</v>
      </c>
      <c r="R7554" s="102">
        <v>2348</v>
      </c>
      <c r="S7554" s="102">
        <v>4390760</v>
      </c>
      <c r="T7554" s="102">
        <v>3991600</v>
      </c>
      <c r="U7554" s="71" t="s">
        <v>859</v>
      </c>
      <c r="V7554" s="71"/>
      <c r="W7554" s="474">
        <v>3325000</v>
      </c>
      <c r="X7554" s="71"/>
      <c r="Y7554" s="71"/>
    </row>
    <row r="7555" spans="1:25" ht="30" hidden="1" customHeight="1" x14ac:dyDescent="0.25">
      <c r="A7555" s="1145">
        <v>45713</v>
      </c>
      <c r="B7555" s="664" t="s">
        <v>1060</v>
      </c>
      <c r="C7555" s="71" t="s">
        <v>3911</v>
      </c>
      <c r="D7555" s="71">
        <v>1000</v>
      </c>
      <c r="E7555" s="102">
        <v>6140</v>
      </c>
      <c r="F7555" s="102">
        <f t="shared" si="4330"/>
        <v>6754000.0000000009</v>
      </c>
      <c r="G7555" s="102">
        <f t="shared" si="4331"/>
        <v>6140000</v>
      </c>
      <c r="H7555" s="690" t="s">
        <v>36</v>
      </c>
      <c r="I7555" s="71" t="s">
        <v>2529</v>
      </c>
      <c r="J7555" s="53">
        <v>404800</v>
      </c>
      <c r="K7555" s="63">
        <v>0.33789649415692824</v>
      </c>
      <c r="L7555" s="1212" t="s">
        <v>4293</v>
      </c>
      <c r="M7555" s="102" t="s">
        <v>3964</v>
      </c>
      <c r="N7555" s="1192">
        <v>45651</v>
      </c>
      <c r="O7555" s="71" t="s">
        <v>662</v>
      </c>
      <c r="P7555" s="103" t="s">
        <v>3911</v>
      </c>
      <c r="Q7555" s="71">
        <v>1000</v>
      </c>
      <c r="R7555" s="102">
        <v>3966</v>
      </c>
      <c r="S7555" s="102">
        <v>4362600</v>
      </c>
      <c r="T7555" s="102">
        <v>3966000</v>
      </c>
      <c r="U7555" s="71" t="s">
        <v>859</v>
      </c>
      <c r="V7555" s="71"/>
      <c r="W7555" s="474">
        <v>636000</v>
      </c>
      <c r="X7555" s="71"/>
      <c r="Y7555" s="71"/>
    </row>
    <row r="7556" spans="1:25" ht="30" hidden="1" customHeight="1" x14ac:dyDescent="0.25">
      <c r="A7556" s="1145">
        <v>45713</v>
      </c>
      <c r="B7556" s="664" t="s">
        <v>1060</v>
      </c>
      <c r="C7556" s="71" t="s">
        <v>3912</v>
      </c>
      <c r="D7556" s="71">
        <v>1500</v>
      </c>
      <c r="E7556" s="102">
        <v>6360</v>
      </c>
      <c r="F7556" s="102">
        <f t="shared" si="4330"/>
        <v>10494000</v>
      </c>
      <c r="G7556" s="102">
        <f t="shared" si="4331"/>
        <v>9540000</v>
      </c>
      <c r="H7556" s="690" t="s">
        <v>36</v>
      </c>
      <c r="I7556" s="71" t="s">
        <v>2529</v>
      </c>
      <c r="J7556" s="53">
        <v>3762000</v>
      </c>
      <c r="K7556" s="63">
        <v>0.33655394524959736</v>
      </c>
      <c r="L7556" s="1212" t="s">
        <v>4293</v>
      </c>
      <c r="M7556" s="102" t="s">
        <v>3964</v>
      </c>
      <c r="N7556" s="1192">
        <v>45651</v>
      </c>
      <c r="O7556" s="71" t="s">
        <v>662</v>
      </c>
      <c r="P7556" s="103" t="s">
        <v>3912</v>
      </c>
      <c r="Q7556" s="71">
        <v>1500</v>
      </c>
      <c r="R7556" s="102">
        <v>4120</v>
      </c>
      <c r="S7556" s="102">
        <v>6798000.0000000009</v>
      </c>
      <c r="T7556" s="102">
        <v>6180000</v>
      </c>
      <c r="U7556" s="71" t="s">
        <v>859</v>
      </c>
      <c r="V7556" s="71"/>
      <c r="W7556" s="474">
        <v>1476000</v>
      </c>
      <c r="X7556" s="71"/>
      <c r="Y7556" s="71"/>
    </row>
    <row r="7557" spans="1:25" ht="30" hidden="1" customHeight="1" x14ac:dyDescent="0.25">
      <c r="A7557" s="1145">
        <v>45713</v>
      </c>
      <c r="B7557" s="664" t="s">
        <v>1060</v>
      </c>
      <c r="C7557" s="71" t="s">
        <v>3913</v>
      </c>
      <c r="D7557" s="71">
        <v>200</v>
      </c>
      <c r="E7557" s="102">
        <v>4540</v>
      </c>
      <c r="F7557" s="102">
        <f t="shared" si="4330"/>
        <v>998800.00000000012</v>
      </c>
      <c r="G7557" s="102">
        <f t="shared" si="4331"/>
        <v>908000</v>
      </c>
      <c r="H7557" s="690" t="s">
        <v>36</v>
      </c>
      <c r="I7557" s="71" t="s">
        <v>2529</v>
      </c>
      <c r="J7557" s="53">
        <v>747000</v>
      </c>
      <c r="K7557" s="63">
        <v>0.33724604966139954</v>
      </c>
      <c r="L7557" s="1212" t="s">
        <v>4293</v>
      </c>
      <c r="M7557" s="102" t="s">
        <v>3964</v>
      </c>
      <c r="N7557" s="1192">
        <v>45651</v>
      </c>
      <c r="O7557" s="71" t="s">
        <v>662</v>
      </c>
      <c r="P7557" s="103" t="s">
        <v>3913</v>
      </c>
      <c r="Q7557" s="71">
        <v>400</v>
      </c>
      <c r="R7557" s="102">
        <v>2936</v>
      </c>
      <c r="S7557" s="102">
        <v>1291840</v>
      </c>
      <c r="T7557" s="102">
        <v>1174400</v>
      </c>
      <c r="U7557" s="71" t="s">
        <v>859</v>
      </c>
      <c r="V7557" s="71"/>
      <c r="W7557" s="474">
        <v>1416000</v>
      </c>
      <c r="X7557" s="71"/>
      <c r="Y7557" s="71"/>
    </row>
    <row r="7558" spans="1:25" ht="30" hidden="1" customHeight="1" x14ac:dyDescent="0.25">
      <c r="A7558" s="1145">
        <v>45713</v>
      </c>
      <c r="B7558" s="664" t="s">
        <v>1060</v>
      </c>
      <c r="C7558" s="71" t="s">
        <v>3914</v>
      </c>
      <c r="D7558" s="71">
        <v>30</v>
      </c>
      <c r="E7558" s="102">
        <v>55000</v>
      </c>
      <c r="F7558" s="102">
        <f t="shared" si="4330"/>
        <v>1815000.0000000002</v>
      </c>
      <c r="G7558" s="102">
        <f t="shared" si="4331"/>
        <v>1650000</v>
      </c>
      <c r="H7558" s="690" t="s">
        <v>36</v>
      </c>
      <c r="I7558" s="71" t="s">
        <v>2529</v>
      </c>
      <c r="J7558" s="53">
        <v>436800</v>
      </c>
      <c r="K7558" s="63">
        <v>0.23248882265275705</v>
      </c>
      <c r="L7558" s="1212" t="s">
        <v>4293</v>
      </c>
      <c r="M7558" s="468"/>
      <c r="N7558" s="1192">
        <v>45651</v>
      </c>
      <c r="O7558" s="71" t="s">
        <v>662</v>
      </c>
      <c r="P7558" s="103" t="s">
        <v>3914</v>
      </c>
      <c r="Q7558" s="71">
        <v>35</v>
      </c>
      <c r="R7558" s="102">
        <v>41200</v>
      </c>
      <c r="S7558" s="102">
        <v>1586200.0000000002</v>
      </c>
      <c r="T7558" s="102">
        <v>1442000</v>
      </c>
      <c r="U7558" s="71" t="s">
        <v>859</v>
      </c>
      <c r="V7558" s="71"/>
      <c r="W7558" s="474">
        <v>978750</v>
      </c>
      <c r="X7558" s="71"/>
      <c r="Y7558" s="71"/>
    </row>
    <row r="7559" spans="1:25" ht="30" hidden="1" customHeight="1" x14ac:dyDescent="0.25">
      <c r="A7559" s="1145">
        <v>45713</v>
      </c>
      <c r="B7559" s="664" t="s">
        <v>1061</v>
      </c>
      <c r="C7559" s="71" t="s">
        <v>3319</v>
      </c>
      <c r="D7559" s="71">
        <v>200</v>
      </c>
      <c r="E7559" s="102">
        <v>6328</v>
      </c>
      <c r="F7559" s="102">
        <f t="shared" si="4330"/>
        <v>1392160</v>
      </c>
      <c r="G7559" s="102">
        <f t="shared" si="4331"/>
        <v>1265600</v>
      </c>
      <c r="H7559" s="690" t="s">
        <v>36</v>
      </c>
      <c r="I7559" s="71" t="s">
        <v>3320</v>
      </c>
      <c r="J7559" s="53">
        <v>95600</v>
      </c>
      <c r="K7559" s="63">
        <v>7.5537294563843241E-2</v>
      </c>
      <c r="L7559" s="1212" t="s">
        <v>4293</v>
      </c>
      <c r="M7559" s="468"/>
      <c r="N7559" s="1192">
        <v>45651</v>
      </c>
      <c r="O7559" s="71" t="s">
        <v>146</v>
      </c>
      <c r="P7559" s="103" t="s">
        <v>3319</v>
      </c>
      <c r="Q7559" s="71">
        <v>400</v>
      </c>
      <c r="R7559" s="102">
        <v>5850</v>
      </c>
      <c r="S7559" s="102">
        <v>2574000</v>
      </c>
      <c r="T7559" s="102">
        <v>2340000</v>
      </c>
      <c r="U7559" s="71" t="s">
        <v>859</v>
      </c>
      <c r="V7559" s="71"/>
      <c r="W7559" s="474">
        <v>411200</v>
      </c>
      <c r="X7559" s="71"/>
      <c r="Y7559" s="71"/>
    </row>
    <row r="7560" spans="1:25" ht="30" hidden="1" customHeight="1" x14ac:dyDescent="0.25">
      <c r="A7560" s="1145">
        <v>45713</v>
      </c>
      <c r="B7560" s="664" t="s">
        <v>1061</v>
      </c>
      <c r="C7560" s="71" t="s">
        <v>3321</v>
      </c>
      <c r="D7560" s="71">
        <v>400</v>
      </c>
      <c r="E7560" s="102">
        <v>6780</v>
      </c>
      <c r="F7560" s="102">
        <f t="shared" si="4330"/>
        <v>2983200.0000000005</v>
      </c>
      <c r="G7560" s="102">
        <f t="shared" si="4331"/>
        <v>2712000</v>
      </c>
      <c r="H7560" s="690" t="s">
        <v>36</v>
      </c>
      <c r="I7560" s="71" t="s">
        <v>3320</v>
      </c>
      <c r="J7560" s="53">
        <v>200000</v>
      </c>
      <c r="K7560" s="63">
        <v>7.3746312684365767E-2</v>
      </c>
      <c r="L7560" s="1212" t="s">
        <v>4293</v>
      </c>
      <c r="M7560" s="468"/>
      <c r="N7560" s="1192">
        <v>45651</v>
      </c>
      <c r="O7560" s="71" t="s">
        <v>146</v>
      </c>
      <c r="P7560" s="103" t="s">
        <v>3321</v>
      </c>
      <c r="Q7560" s="71">
        <v>400</v>
      </c>
      <c r="R7560" s="102">
        <v>6280</v>
      </c>
      <c r="S7560" s="102">
        <v>2763200</v>
      </c>
      <c r="T7560" s="102">
        <v>2512000</v>
      </c>
      <c r="U7560" s="71" t="s">
        <v>859</v>
      </c>
      <c r="V7560" s="71"/>
      <c r="W7560" s="474">
        <v>292000</v>
      </c>
      <c r="X7560" s="71"/>
      <c r="Y7560" s="71"/>
    </row>
    <row r="7561" spans="1:25" ht="30" hidden="1" customHeight="1" x14ac:dyDescent="0.25">
      <c r="A7561" s="1145">
        <v>45713</v>
      </c>
      <c r="B7561" s="664" t="s">
        <v>1061</v>
      </c>
      <c r="C7561" s="71" t="s">
        <v>1289</v>
      </c>
      <c r="D7561" s="71">
        <v>600</v>
      </c>
      <c r="E7561" s="102">
        <v>6498</v>
      </c>
      <c r="F7561" s="102">
        <f t="shared" si="4330"/>
        <v>4288680</v>
      </c>
      <c r="G7561" s="102">
        <f t="shared" si="4331"/>
        <v>3898800</v>
      </c>
      <c r="H7561" s="690" t="s">
        <v>36</v>
      </c>
      <c r="I7561" s="71" t="s">
        <v>3320</v>
      </c>
      <c r="J7561" s="53">
        <v>286800</v>
      </c>
      <c r="K7561" s="63">
        <v>7.3561095721760547E-2</v>
      </c>
      <c r="L7561" s="1212" t="s">
        <v>4293</v>
      </c>
      <c r="M7561" s="468"/>
      <c r="N7561" s="1192">
        <v>45651</v>
      </c>
      <c r="O7561" s="71" t="s">
        <v>146</v>
      </c>
      <c r="P7561" s="103" t="s">
        <v>1289</v>
      </c>
      <c r="Q7561" s="71">
        <v>600</v>
      </c>
      <c r="R7561" s="102">
        <v>6020</v>
      </c>
      <c r="S7561" s="102">
        <v>3973200.0000000005</v>
      </c>
      <c r="T7561" s="102">
        <v>3612000</v>
      </c>
      <c r="U7561" s="71" t="s">
        <v>859</v>
      </c>
      <c r="V7561" s="71"/>
      <c r="W7561" s="474">
        <v>640800</v>
      </c>
      <c r="X7561" s="71"/>
      <c r="Y7561" s="71"/>
    </row>
    <row r="7562" spans="1:25" ht="30" hidden="1" customHeight="1" x14ac:dyDescent="0.25">
      <c r="A7562" s="1145">
        <v>45713</v>
      </c>
      <c r="B7562" s="664" t="s">
        <v>1061</v>
      </c>
      <c r="C7562" s="71" t="s">
        <v>1290</v>
      </c>
      <c r="D7562" s="71">
        <v>600</v>
      </c>
      <c r="E7562" s="102">
        <v>7910</v>
      </c>
      <c r="F7562" s="102">
        <f t="shared" si="4330"/>
        <v>5220600</v>
      </c>
      <c r="G7562" s="102">
        <f t="shared" si="4331"/>
        <v>4746000</v>
      </c>
      <c r="H7562" s="690" t="s">
        <v>36</v>
      </c>
      <c r="I7562" s="71" t="s">
        <v>3320</v>
      </c>
      <c r="J7562" s="53">
        <v>240000</v>
      </c>
      <c r="K7562" s="63">
        <v>7.5853350189633365E-2</v>
      </c>
      <c r="L7562" s="1212" t="s">
        <v>4293</v>
      </c>
      <c r="M7562" s="468"/>
      <c r="N7562" s="1192">
        <v>45651</v>
      </c>
      <c r="O7562" s="71" t="s">
        <v>146</v>
      </c>
      <c r="P7562" s="103" t="s">
        <v>1290</v>
      </c>
      <c r="Q7562" s="71">
        <v>400</v>
      </c>
      <c r="R7562" s="102">
        <v>7310</v>
      </c>
      <c r="S7562" s="102">
        <v>3216400.0000000005</v>
      </c>
      <c r="T7562" s="102">
        <v>2924000</v>
      </c>
      <c r="U7562" s="71" t="s">
        <v>859</v>
      </c>
      <c r="V7562" s="71"/>
      <c r="W7562" s="474">
        <v>846000</v>
      </c>
      <c r="X7562" s="71"/>
      <c r="Y7562" s="71"/>
    </row>
    <row r="7563" spans="1:25" ht="30" hidden="1" customHeight="1" x14ac:dyDescent="0.25">
      <c r="A7563" s="1145">
        <v>45713</v>
      </c>
      <c r="B7563" s="664" t="s">
        <v>1061</v>
      </c>
      <c r="C7563" s="71" t="s">
        <v>3322</v>
      </c>
      <c r="D7563" s="71"/>
      <c r="E7563" s="102">
        <v>7150</v>
      </c>
      <c r="F7563" s="102">
        <f t="shared" si="4330"/>
        <v>0</v>
      </c>
      <c r="G7563" s="102">
        <f t="shared" si="4331"/>
        <v>0</v>
      </c>
      <c r="H7563" s="690" t="s">
        <v>36</v>
      </c>
      <c r="I7563" s="71" t="s">
        <v>3320</v>
      </c>
      <c r="J7563" s="53">
        <v>0</v>
      </c>
      <c r="K7563" s="63" t="e">
        <v>#DIV/0!</v>
      </c>
      <c r="L7563" s="1212" t="s">
        <v>4293</v>
      </c>
      <c r="M7563" s="468"/>
      <c r="N7563" s="1192">
        <v>45651</v>
      </c>
      <c r="O7563" s="71" t="s">
        <v>3323</v>
      </c>
      <c r="P7563" s="103" t="s">
        <v>3322</v>
      </c>
      <c r="Q7563" s="71">
        <v>0</v>
      </c>
      <c r="R7563" s="102">
        <v>6500</v>
      </c>
      <c r="S7563" s="102">
        <v>0</v>
      </c>
      <c r="T7563" s="102">
        <v>0</v>
      </c>
      <c r="U7563" s="71" t="s">
        <v>859</v>
      </c>
      <c r="V7563" s="71"/>
      <c r="W7563" s="474">
        <v>0</v>
      </c>
      <c r="X7563" s="71"/>
      <c r="Y7563" s="71"/>
    </row>
    <row r="7564" spans="1:25" ht="30" hidden="1" customHeight="1" x14ac:dyDescent="0.25">
      <c r="A7564" s="1145">
        <v>45713</v>
      </c>
      <c r="B7564" s="664" t="s">
        <v>1061</v>
      </c>
      <c r="C7564" s="71" t="s">
        <v>3324</v>
      </c>
      <c r="D7564" s="71"/>
      <c r="E7564" s="102">
        <v>6900</v>
      </c>
      <c r="F7564" s="102">
        <f t="shared" si="4330"/>
        <v>0</v>
      </c>
      <c r="G7564" s="102">
        <f t="shared" si="4331"/>
        <v>0</v>
      </c>
      <c r="H7564" s="690" t="s">
        <v>36</v>
      </c>
      <c r="I7564" s="71" t="s">
        <v>3320</v>
      </c>
      <c r="J7564" s="53">
        <v>0</v>
      </c>
      <c r="K7564" s="63" t="e">
        <v>#DIV/0!</v>
      </c>
      <c r="L7564" s="1212" t="s">
        <v>4293</v>
      </c>
      <c r="M7564" s="468"/>
      <c r="N7564" s="1192">
        <v>45651</v>
      </c>
      <c r="O7564" s="71" t="s">
        <v>3323</v>
      </c>
      <c r="P7564" s="103" t="s">
        <v>3324</v>
      </c>
      <c r="Q7564" s="71">
        <v>0</v>
      </c>
      <c r="R7564" s="102">
        <v>6200</v>
      </c>
      <c r="S7564" s="102">
        <v>0</v>
      </c>
      <c r="T7564" s="102">
        <v>0</v>
      </c>
      <c r="U7564" s="71" t="s">
        <v>859</v>
      </c>
      <c r="V7564" s="71"/>
      <c r="W7564" s="474">
        <v>0</v>
      </c>
      <c r="X7564" s="71"/>
      <c r="Y7564" s="71"/>
    </row>
    <row r="7565" spans="1:25" ht="28.5" hidden="1" customHeight="1" x14ac:dyDescent="0.25">
      <c r="A7565" s="1145">
        <v>45713</v>
      </c>
      <c r="B7565" s="664" t="s">
        <v>1061</v>
      </c>
      <c r="C7565" s="71" t="s">
        <v>3325</v>
      </c>
      <c r="D7565" s="71"/>
      <c r="E7565" s="102">
        <v>7500</v>
      </c>
      <c r="F7565" s="102">
        <f t="shared" si="4330"/>
        <v>0</v>
      </c>
      <c r="G7565" s="102">
        <f t="shared" si="4331"/>
        <v>0</v>
      </c>
      <c r="H7565" s="690" t="s">
        <v>36</v>
      </c>
      <c r="I7565" s="71" t="s">
        <v>3320</v>
      </c>
      <c r="J7565" s="53">
        <v>0</v>
      </c>
      <c r="K7565" s="63" t="e">
        <v>#DIV/0!</v>
      </c>
      <c r="L7565" s="1212" t="s">
        <v>4293</v>
      </c>
      <c r="M7565" s="468"/>
      <c r="N7565" s="1192">
        <v>45651</v>
      </c>
      <c r="O7565" s="71" t="s">
        <v>3323</v>
      </c>
      <c r="P7565" s="103" t="s">
        <v>3325</v>
      </c>
      <c r="Q7565" s="71">
        <v>0</v>
      </c>
      <c r="R7565" s="102">
        <v>6600</v>
      </c>
      <c r="S7565" s="102">
        <v>0</v>
      </c>
      <c r="T7565" s="102">
        <v>0</v>
      </c>
      <c r="U7565" s="71" t="s">
        <v>859</v>
      </c>
      <c r="V7565" s="71"/>
      <c r="W7565" s="474">
        <v>0</v>
      </c>
      <c r="X7565" s="71"/>
      <c r="Y7565" s="71"/>
    </row>
    <row r="7566" spans="1:25" ht="30" hidden="1" customHeight="1" x14ac:dyDescent="0.25">
      <c r="A7566" s="1145">
        <v>45713</v>
      </c>
      <c r="B7566" s="664" t="s">
        <v>1061</v>
      </c>
      <c r="C7566" s="71" t="s">
        <v>3326</v>
      </c>
      <c r="D7566" s="71"/>
      <c r="E7566" s="102">
        <v>6450</v>
      </c>
      <c r="F7566" s="102">
        <f t="shared" si="4330"/>
        <v>0</v>
      </c>
      <c r="G7566" s="102">
        <f t="shared" si="4331"/>
        <v>0</v>
      </c>
      <c r="H7566" s="690" t="s">
        <v>36</v>
      </c>
      <c r="I7566" s="71" t="s">
        <v>3320</v>
      </c>
      <c r="J7566" s="53">
        <v>0</v>
      </c>
      <c r="K7566" s="63" t="e">
        <v>#DIV/0!</v>
      </c>
      <c r="L7566" s="1212" t="s">
        <v>4293</v>
      </c>
      <c r="M7566" s="468"/>
      <c r="N7566" s="1192">
        <v>45651</v>
      </c>
      <c r="O7566" s="71" t="s">
        <v>3323</v>
      </c>
      <c r="P7566" s="103" t="s">
        <v>3326</v>
      </c>
      <c r="Q7566" s="71">
        <v>0</v>
      </c>
      <c r="R7566" s="102">
        <v>5700</v>
      </c>
      <c r="S7566" s="102">
        <v>0</v>
      </c>
      <c r="T7566" s="102">
        <v>0</v>
      </c>
      <c r="U7566" s="71" t="s">
        <v>859</v>
      </c>
      <c r="V7566" s="71"/>
      <c r="W7566" s="474">
        <v>0</v>
      </c>
      <c r="X7566" s="71"/>
      <c r="Y7566" s="71"/>
    </row>
    <row r="7567" spans="1:25" ht="30" hidden="1" customHeight="1" x14ac:dyDescent="0.25">
      <c r="A7567" s="1145">
        <v>45713</v>
      </c>
      <c r="B7567" s="664" t="s">
        <v>1061</v>
      </c>
      <c r="C7567" s="71" t="s">
        <v>4233</v>
      </c>
      <c r="D7567" s="71">
        <v>0</v>
      </c>
      <c r="E7567" s="102">
        <v>24900</v>
      </c>
      <c r="F7567" s="102">
        <f t="shared" si="4330"/>
        <v>0</v>
      </c>
      <c r="G7567" s="102">
        <f t="shared" si="4331"/>
        <v>0</v>
      </c>
      <c r="H7567" s="690" t="s">
        <v>36</v>
      </c>
      <c r="I7567" s="71" t="s">
        <v>3320</v>
      </c>
      <c r="J7567" s="53">
        <v>0</v>
      </c>
      <c r="K7567" s="63" t="e">
        <v>#DIV/0!</v>
      </c>
      <c r="L7567" s="1212" t="s">
        <v>4293</v>
      </c>
      <c r="M7567" s="468"/>
      <c r="N7567" s="1192">
        <v>45651</v>
      </c>
      <c r="O7567" s="71" t="s">
        <v>2459</v>
      </c>
      <c r="P7567" s="103" t="s">
        <v>4296</v>
      </c>
      <c r="Q7567" s="71">
        <v>0</v>
      </c>
      <c r="R7567" s="102">
        <v>31000</v>
      </c>
      <c r="S7567" s="102">
        <v>0</v>
      </c>
      <c r="T7567" s="102">
        <v>0</v>
      </c>
      <c r="U7567" s="71"/>
      <c r="V7567" s="71"/>
      <c r="W7567" s="474"/>
      <c r="X7567" s="71"/>
      <c r="Y7567" s="71"/>
    </row>
    <row r="7568" spans="1:25" ht="30" hidden="1" customHeight="1" x14ac:dyDescent="0.25">
      <c r="A7568" s="1145">
        <v>45713</v>
      </c>
      <c r="B7568" s="664" t="s">
        <v>1061</v>
      </c>
      <c r="C7568" s="71" t="s">
        <v>4299</v>
      </c>
      <c r="D7568" s="71">
        <v>30</v>
      </c>
      <c r="E7568" s="102">
        <v>10660</v>
      </c>
      <c r="F7568" s="102">
        <f t="shared" si="4330"/>
        <v>351780</v>
      </c>
      <c r="G7568" s="102">
        <f t="shared" si="4331"/>
        <v>319800</v>
      </c>
      <c r="H7568" s="690" t="s">
        <v>36</v>
      </c>
      <c r="I7568" s="71" t="s">
        <v>3320</v>
      </c>
      <c r="J7568" s="53">
        <v>0</v>
      </c>
      <c r="K7568" s="63" t="e">
        <v>#DIV/0!</v>
      </c>
      <c r="L7568" s="1212" t="s">
        <v>4293</v>
      </c>
      <c r="M7568" s="468"/>
      <c r="N7568" s="1192">
        <v>45651</v>
      </c>
      <c r="O7568" s="71" t="s">
        <v>3323</v>
      </c>
      <c r="P7568" s="103" t="s">
        <v>4297</v>
      </c>
      <c r="Q7568" s="71">
        <v>25</v>
      </c>
      <c r="R7568" s="102">
        <v>11700</v>
      </c>
      <c r="S7568" s="102">
        <v>321750</v>
      </c>
      <c r="T7568" s="102">
        <v>292500</v>
      </c>
      <c r="U7568" s="71"/>
      <c r="V7568" s="71"/>
      <c r="W7568" s="474"/>
      <c r="X7568" s="71"/>
      <c r="Y7568" s="71"/>
    </row>
    <row r="7569" spans="1:25" ht="30" hidden="1" customHeight="1" x14ac:dyDescent="0.25">
      <c r="A7569" s="1145">
        <v>45713</v>
      </c>
      <c r="B7569" s="664" t="s">
        <v>3307</v>
      </c>
      <c r="C7569" s="71" t="s">
        <v>3916</v>
      </c>
      <c r="D7569" s="71">
        <v>0</v>
      </c>
      <c r="E7569" s="102">
        <v>218000</v>
      </c>
      <c r="F7569" s="102">
        <f t="shared" si="4330"/>
        <v>0</v>
      </c>
      <c r="G7569" s="102">
        <f t="shared" si="4331"/>
        <v>0</v>
      </c>
      <c r="H7569" s="690" t="s">
        <v>172</v>
      </c>
      <c r="I7569" s="71" t="s">
        <v>33</v>
      </c>
      <c r="J7569" s="53">
        <v>824000</v>
      </c>
      <c r="K7569" s="63">
        <v>0.23623853211009171</v>
      </c>
      <c r="L7569" s="1212" t="s">
        <v>4293</v>
      </c>
      <c r="M7569" s="468" t="s">
        <v>3965</v>
      </c>
      <c r="N7569" s="1192">
        <v>45682</v>
      </c>
      <c r="O7569" s="71" t="s">
        <v>662</v>
      </c>
      <c r="P7569" s="103" t="s">
        <v>3916</v>
      </c>
      <c r="Q7569" s="71">
        <v>16</v>
      </c>
      <c r="R7569" s="102">
        <v>166500</v>
      </c>
      <c r="S7569" s="102">
        <v>2930400.0000000005</v>
      </c>
      <c r="T7569" s="102">
        <v>2664000</v>
      </c>
      <c r="U7569" s="71" t="s">
        <v>859</v>
      </c>
      <c r="V7569" s="71" t="s">
        <v>728</v>
      </c>
      <c r="W7569" s="474">
        <v>464000</v>
      </c>
      <c r="X7569" s="71"/>
      <c r="Y7569" s="71"/>
    </row>
    <row r="7570" spans="1:25" ht="30" hidden="1" customHeight="1" x14ac:dyDescent="0.25">
      <c r="A7570" s="1145">
        <v>45713</v>
      </c>
      <c r="B7570" s="664" t="s">
        <v>3307</v>
      </c>
      <c r="C7570" s="71" t="s">
        <v>3632</v>
      </c>
      <c r="D7570" s="71">
        <v>1</v>
      </c>
      <c r="E7570" s="102">
        <v>2350000</v>
      </c>
      <c r="F7570" s="102">
        <f t="shared" si="4330"/>
        <v>2585000</v>
      </c>
      <c r="G7570" s="102">
        <f t="shared" si="4331"/>
        <v>2350000</v>
      </c>
      <c r="H7570" s="690" t="s">
        <v>36</v>
      </c>
      <c r="I7570" s="690" t="s">
        <v>36</v>
      </c>
      <c r="J7570" s="53">
        <v>600000</v>
      </c>
      <c r="K7570" s="63">
        <v>0.25531914893617019</v>
      </c>
      <c r="L7570" s="1212" t="s">
        <v>4293</v>
      </c>
      <c r="M7570" s="468"/>
      <c r="N7570" s="1192">
        <v>45651</v>
      </c>
      <c r="O7570" s="71" t="s">
        <v>3298</v>
      </c>
      <c r="P7570" s="103" t="s">
        <v>4298</v>
      </c>
      <c r="Q7570" s="71">
        <v>1</v>
      </c>
      <c r="R7570" s="147">
        <v>1750000</v>
      </c>
      <c r="S7570" s="102">
        <v>1925000.0000000002</v>
      </c>
      <c r="T7570" s="102">
        <v>1750000</v>
      </c>
      <c r="U7570" s="71"/>
      <c r="V7570" s="71"/>
      <c r="W7570" s="474"/>
      <c r="X7570" s="71"/>
      <c r="Y7570" s="71"/>
    </row>
    <row r="7571" spans="1:25" s="209" customFormat="1" ht="29.45" hidden="1" customHeight="1" x14ac:dyDescent="0.2">
      <c r="A7571" s="1145">
        <v>45692</v>
      </c>
      <c r="B7571" s="664" t="s">
        <v>4059</v>
      </c>
      <c r="C7571" s="71" t="s">
        <v>4061</v>
      </c>
      <c r="D7571" s="71">
        <v>10</v>
      </c>
      <c r="E7571" s="102">
        <v>130000</v>
      </c>
      <c r="F7571" s="102">
        <f t="shared" si="4330"/>
        <v>1430000</v>
      </c>
      <c r="G7571" s="102">
        <f t="shared" si="4331"/>
        <v>1300000</v>
      </c>
      <c r="H7571" s="165" t="s">
        <v>172</v>
      </c>
      <c r="I7571" s="71" t="s">
        <v>184</v>
      </c>
      <c r="J7571" s="53">
        <f t="shared" ref="J7571:J7589" si="4340">G7571-T7571</f>
        <v>180000</v>
      </c>
      <c r="K7571" s="63">
        <f t="shared" ref="K7571:K7586" si="4341">(J7571/(F7571/11*10))</f>
        <v>0.13846153846153847</v>
      </c>
      <c r="L7571" s="1212" t="s">
        <v>4293</v>
      </c>
      <c r="M7571" s="468"/>
      <c r="N7571" s="1192">
        <f t="shared" ref="N7571:N7581" si="4342">A7571</f>
        <v>45692</v>
      </c>
      <c r="O7571" s="71" t="s">
        <v>189</v>
      </c>
      <c r="P7571" s="103" t="str">
        <f t="shared" ref="P7571:P7589" si="4343">(C7571)</f>
        <v>M600 Blanket(990*725)</v>
      </c>
      <c r="Q7571" s="71">
        <f t="shared" ref="Q7571:Q7589" si="4344">D7571</f>
        <v>10</v>
      </c>
      <c r="R7571" s="102">
        <v>112000</v>
      </c>
      <c r="S7571" s="102">
        <f t="shared" ref="S7571:S7588" si="4345">R7571*Q7571*1.1</f>
        <v>1232000</v>
      </c>
      <c r="T7571" s="102">
        <f t="shared" ref="T7571:T7588" si="4346">R7571*Q7571</f>
        <v>1120000</v>
      </c>
      <c r="U7571" s="71" t="str">
        <f>IF(J7571=W7571,"O", "X")</f>
        <v>X</v>
      </c>
      <c r="V7571" s="71"/>
      <c r="W7571" s="474">
        <v>80000</v>
      </c>
      <c r="X7571" s="71"/>
      <c r="Y7571" s="71"/>
    </row>
    <row r="7572" spans="1:25" ht="30" hidden="1" customHeight="1" x14ac:dyDescent="0.25">
      <c r="A7572" s="1145">
        <v>45692</v>
      </c>
      <c r="B7572" s="664" t="s">
        <v>4059</v>
      </c>
      <c r="C7572" s="71" t="s">
        <v>4060</v>
      </c>
      <c r="D7572" s="71">
        <v>10</v>
      </c>
      <c r="E7572" s="102">
        <v>187000</v>
      </c>
      <c r="F7572" s="102">
        <f t="shared" si="4330"/>
        <v>2057000.0000000002</v>
      </c>
      <c r="G7572" s="102">
        <f t="shared" si="4331"/>
        <v>1870000</v>
      </c>
      <c r="H7572" s="690" t="s">
        <v>2029</v>
      </c>
      <c r="I7572" s="71" t="s">
        <v>109</v>
      </c>
      <c r="J7572" s="53">
        <f t="shared" si="4340"/>
        <v>170000</v>
      </c>
      <c r="K7572" s="63">
        <f t="shared" si="4341"/>
        <v>9.0909090909090898E-2</v>
      </c>
      <c r="L7572" s="1212" t="s">
        <v>4293</v>
      </c>
      <c r="M7572" s="102"/>
      <c r="N7572" s="1192">
        <f t="shared" si="4342"/>
        <v>45692</v>
      </c>
      <c r="O7572" s="71" t="s">
        <v>189</v>
      </c>
      <c r="P7572" s="103" t="str">
        <f t="shared" si="4343"/>
        <v>미쯔비시 윤전용 블랑켓 1155*910</v>
      </c>
      <c r="Q7572" s="71">
        <f t="shared" si="4344"/>
        <v>10</v>
      </c>
      <c r="R7572" s="102">
        <v>170000</v>
      </c>
      <c r="S7572" s="102">
        <f t="shared" si="4345"/>
        <v>1870000.0000000002</v>
      </c>
      <c r="T7572" s="102">
        <f t="shared" si="4346"/>
        <v>1700000</v>
      </c>
      <c r="U7572" s="71"/>
      <c r="V7572" s="71"/>
      <c r="W7572" s="474"/>
      <c r="X7572" s="71"/>
      <c r="Y7572" s="71"/>
    </row>
    <row r="7573" spans="1:25" ht="30" hidden="1" customHeight="1" x14ac:dyDescent="0.25">
      <c r="A7573" s="1145">
        <v>45693</v>
      </c>
      <c r="B7573" s="664" t="s">
        <v>2261</v>
      </c>
      <c r="C7573" s="760" t="s">
        <v>181</v>
      </c>
      <c r="D7573" s="71">
        <v>10</v>
      </c>
      <c r="E7573" s="102">
        <v>193000</v>
      </c>
      <c r="F7573" s="102">
        <f t="shared" si="4330"/>
        <v>2123000</v>
      </c>
      <c r="G7573" s="102">
        <f t="shared" si="4331"/>
        <v>1930000</v>
      </c>
      <c r="H7573" s="690" t="s">
        <v>2029</v>
      </c>
      <c r="I7573" s="71" t="s">
        <v>182</v>
      </c>
      <c r="J7573" s="53">
        <f t="shared" si="4340"/>
        <v>690000</v>
      </c>
      <c r="K7573" s="63">
        <f t="shared" si="4341"/>
        <v>0.35751295336787564</v>
      </c>
      <c r="L7573" s="1212" t="s">
        <v>4293</v>
      </c>
      <c r="M7573" s="468"/>
      <c r="N7573" s="1192">
        <f t="shared" si="4342"/>
        <v>45693</v>
      </c>
      <c r="O7573" s="71" t="s">
        <v>2030</v>
      </c>
      <c r="P7573" s="103" t="str">
        <f t="shared" si="4343"/>
        <v>Fount Web 551AF</v>
      </c>
      <c r="Q7573" s="71">
        <f t="shared" si="4344"/>
        <v>10</v>
      </c>
      <c r="R7573" s="102">
        <v>124000</v>
      </c>
      <c r="S7573" s="102">
        <f t="shared" si="4345"/>
        <v>1364000</v>
      </c>
      <c r="T7573" s="102">
        <f t="shared" si="4346"/>
        <v>1240000</v>
      </c>
      <c r="U7573" s="71" t="str">
        <f>IF(J7573=W7573,"O", "X")</f>
        <v>X</v>
      </c>
      <c r="V7573" s="71"/>
      <c r="W7573" s="474">
        <v>640000</v>
      </c>
      <c r="X7573" s="71"/>
      <c r="Y7573" s="71"/>
    </row>
    <row r="7574" spans="1:25" ht="30" hidden="1" customHeight="1" x14ac:dyDescent="0.25">
      <c r="A7574" s="1145">
        <v>45694</v>
      </c>
      <c r="B7574" s="664" t="s">
        <v>2261</v>
      </c>
      <c r="C7574" s="71" t="s">
        <v>277</v>
      </c>
      <c r="D7574" s="71">
        <v>10</v>
      </c>
      <c r="E7574" s="102">
        <v>172000</v>
      </c>
      <c r="F7574" s="102">
        <f t="shared" si="4330"/>
        <v>1892000.0000000002</v>
      </c>
      <c r="G7574" s="102">
        <f t="shared" si="4331"/>
        <v>1720000</v>
      </c>
      <c r="H7574" s="690" t="s">
        <v>172</v>
      </c>
      <c r="I7574" s="71" t="s">
        <v>108</v>
      </c>
      <c r="J7574" s="53">
        <f t="shared" si="4340"/>
        <v>430000</v>
      </c>
      <c r="K7574" s="63">
        <f t="shared" si="4341"/>
        <v>0.24999999999999997</v>
      </c>
      <c r="L7574" s="1212" t="s">
        <v>4293</v>
      </c>
      <c r="M7574" s="468"/>
      <c r="N7574" s="1192">
        <f t="shared" si="4342"/>
        <v>45694</v>
      </c>
      <c r="O7574" s="71" t="s">
        <v>662</v>
      </c>
      <c r="P7574" s="103" t="str">
        <f t="shared" si="4343"/>
        <v>윤전용 세척제(Web 504)</v>
      </c>
      <c r="Q7574" s="71">
        <f t="shared" si="4344"/>
        <v>10</v>
      </c>
      <c r="R7574" s="102">
        <v>129000</v>
      </c>
      <c r="S7574" s="102">
        <f t="shared" si="4345"/>
        <v>1419000</v>
      </c>
      <c r="T7574" s="102">
        <f t="shared" si="4346"/>
        <v>1290000</v>
      </c>
      <c r="U7574" s="71" t="str">
        <f>IF(J7574=W7574,"O", "X")</f>
        <v>X</v>
      </c>
      <c r="V7574" s="71"/>
      <c r="W7574" s="474"/>
      <c r="X7574" s="71"/>
      <c r="Y7574" s="71"/>
    </row>
    <row r="7575" spans="1:25" ht="30" hidden="1" customHeight="1" x14ac:dyDescent="0.25">
      <c r="A7575" s="1145">
        <v>45694</v>
      </c>
      <c r="B7575" s="664" t="s">
        <v>2261</v>
      </c>
      <c r="C7575" s="71" t="s">
        <v>3299</v>
      </c>
      <c r="D7575" s="71">
        <v>10</v>
      </c>
      <c r="E7575" s="102">
        <v>52000</v>
      </c>
      <c r="F7575" s="102">
        <f t="shared" si="4330"/>
        <v>572000</v>
      </c>
      <c r="G7575" s="102">
        <f t="shared" si="4331"/>
        <v>520000</v>
      </c>
      <c r="H7575" s="690" t="s">
        <v>172</v>
      </c>
      <c r="I7575" s="71" t="s">
        <v>180</v>
      </c>
      <c r="J7575" s="53">
        <f t="shared" si="4340"/>
        <v>45000</v>
      </c>
      <c r="K7575" s="63">
        <f t="shared" si="4341"/>
        <v>8.6538461538461536E-2</v>
      </c>
      <c r="L7575" s="1212" t="s">
        <v>4293</v>
      </c>
      <c r="M7575" s="468" t="s">
        <v>3835</v>
      </c>
      <c r="N7575" s="1192">
        <f t="shared" si="4342"/>
        <v>45694</v>
      </c>
      <c r="O7575" s="71" t="s">
        <v>175</v>
      </c>
      <c r="P7575" s="103" t="str">
        <f t="shared" si="4343"/>
        <v>매엽용 세척제(Wash k11)</v>
      </c>
      <c r="Q7575" s="71">
        <f t="shared" si="4344"/>
        <v>10</v>
      </c>
      <c r="R7575" s="102">
        <v>47500</v>
      </c>
      <c r="S7575" s="102">
        <f t="shared" si="4345"/>
        <v>522500.00000000006</v>
      </c>
      <c r="T7575" s="102">
        <f t="shared" si="4346"/>
        <v>475000</v>
      </c>
      <c r="U7575" s="71" t="s">
        <v>859</v>
      </c>
      <c r="V7575" s="71"/>
      <c r="W7575" s="474"/>
      <c r="X7575" s="71"/>
      <c r="Y7575" s="71"/>
    </row>
    <row r="7576" spans="1:25" ht="30" hidden="1" customHeight="1" x14ac:dyDescent="0.25">
      <c r="A7576" s="1145">
        <v>45701</v>
      </c>
      <c r="B7576" s="664" t="s">
        <v>2261</v>
      </c>
      <c r="C7576" s="71" t="s">
        <v>3299</v>
      </c>
      <c r="D7576" s="71">
        <v>10</v>
      </c>
      <c r="E7576" s="102">
        <v>52000</v>
      </c>
      <c r="F7576" s="102">
        <f t="shared" si="4330"/>
        <v>572000</v>
      </c>
      <c r="G7576" s="102">
        <f t="shared" si="4331"/>
        <v>520000</v>
      </c>
      <c r="H7576" s="690" t="s">
        <v>172</v>
      </c>
      <c r="I7576" s="71" t="s">
        <v>180</v>
      </c>
      <c r="J7576" s="53">
        <f t="shared" si="4340"/>
        <v>45000</v>
      </c>
      <c r="K7576" s="63">
        <f t="shared" si="4341"/>
        <v>8.6538461538461536E-2</v>
      </c>
      <c r="L7576" s="1212" t="s">
        <v>4293</v>
      </c>
      <c r="M7576" s="468" t="s">
        <v>3835</v>
      </c>
      <c r="N7576" s="1192">
        <f t="shared" si="4342"/>
        <v>45701</v>
      </c>
      <c r="O7576" s="71" t="s">
        <v>175</v>
      </c>
      <c r="P7576" s="103" t="str">
        <f t="shared" si="4343"/>
        <v>매엽용 세척제(Wash k11)</v>
      </c>
      <c r="Q7576" s="71">
        <f t="shared" si="4344"/>
        <v>10</v>
      </c>
      <c r="R7576" s="102">
        <v>47500</v>
      </c>
      <c r="S7576" s="102">
        <f t="shared" si="4345"/>
        <v>522500.00000000006</v>
      </c>
      <c r="T7576" s="102">
        <f t="shared" si="4346"/>
        <v>475000</v>
      </c>
      <c r="U7576" s="71" t="s">
        <v>859</v>
      </c>
      <c r="V7576" s="71"/>
      <c r="W7576" s="474"/>
      <c r="X7576" s="71"/>
      <c r="Y7576" s="71"/>
    </row>
    <row r="7577" spans="1:25" ht="30" hidden="1" customHeight="1" x14ac:dyDescent="0.25">
      <c r="A7577" s="1145">
        <v>45707</v>
      </c>
      <c r="B7577" s="664" t="s">
        <v>2261</v>
      </c>
      <c r="C7577" s="760" t="s">
        <v>181</v>
      </c>
      <c r="D7577" s="71">
        <v>5</v>
      </c>
      <c r="E7577" s="102">
        <v>193000</v>
      </c>
      <c r="F7577" s="102">
        <f t="shared" si="4330"/>
        <v>1061500</v>
      </c>
      <c r="G7577" s="102">
        <f t="shared" si="4331"/>
        <v>965000</v>
      </c>
      <c r="H7577" s="690" t="s">
        <v>2029</v>
      </c>
      <c r="I7577" s="71" t="s">
        <v>182</v>
      </c>
      <c r="J7577" s="53">
        <f t="shared" si="4340"/>
        <v>345000</v>
      </c>
      <c r="K7577" s="63">
        <f t="shared" si="4341"/>
        <v>0.35751295336787564</v>
      </c>
      <c r="L7577" s="1212" t="s">
        <v>4293</v>
      </c>
      <c r="M7577" s="468"/>
      <c r="N7577" s="1192">
        <f t="shared" si="4342"/>
        <v>45707</v>
      </c>
      <c r="O7577" s="71" t="s">
        <v>2030</v>
      </c>
      <c r="P7577" s="103" t="str">
        <f t="shared" si="4343"/>
        <v>Fount Web 551AF</v>
      </c>
      <c r="Q7577" s="71">
        <f t="shared" si="4344"/>
        <v>5</v>
      </c>
      <c r="R7577" s="102">
        <v>124000</v>
      </c>
      <c r="S7577" s="102">
        <f t="shared" si="4345"/>
        <v>682000</v>
      </c>
      <c r="T7577" s="102">
        <f t="shared" si="4346"/>
        <v>620000</v>
      </c>
      <c r="U7577" s="71" t="str">
        <f>IF(J7577=W7577,"O", "X")</f>
        <v>X</v>
      </c>
      <c r="V7577" s="71"/>
      <c r="W7577" s="474">
        <v>640000</v>
      </c>
      <c r="X7577" s="71"/>
      <c r="Y7577" s="71"/>
    </row>
    <row r="7578" spans="1:25" ht="30" hidden="1" customHeight="1" x14ac:dyDescent="0.25">
      <c r="A7578" s="1145">
        <v>45707</v>
      </c>
      <c r="B7578" s="664" t="s">
        <v>2261</v>
      </c>
      <c r="C7578" s="71" t="s">
        <v>277</v>
      </c>
      <c r="D7578" s="71">
        <v>10</v>
      </c>
      <c r="E7578" s="102">
        <v>172000</v>
      </c>
      <c r="F7578" s="102">
        <f t="shared" si="4330"/>
        <v>1892000.0000000002</v>
      </c>
      <c r="G7578" s="102">
        <f t="shared" si="4331"/>
        <v>1720000</v>
      </c>
      <c r="H7578" s="690" t="s">
        <v>172</v>
      </c>
      <c r="I7578" s="71" t="s">
        <v>108</v>
      </c>
      <c r="J7578" s="53">
        <f t="shared" si="4340"/>
        <v>430000</v>
      </c>
      <c r="K7578" s="63">
        <f t="shared" si="4341"/>
        <v>0.24999999999999997</v>
      </c>
      <c r="L7578" s="1212" t="s">
        <v>4293</v>
      </c>
      <c r="M7578" s="468"/>
      <c r="N7578" s="1192">
        <f t="shared" si="4342"/>
        <v>45707</v>
      </c>
      <c r="O7578" s="71" t="s">
        <v>662</v>
      </c>
      <c r="P7578" s="103" t="str">
        <f t="shared" si="4343"/>
        <v>윤전용 세척제(Web 504)</v>
      </c>
      <c r="Q7578" s="71">
        <f t="shared" si="4344"/>
        <v>10</v>
      </c>
      <c r="R7578" s="102">
        <v>129000</v>
      </c>
      <c r="S7578" s="102">
        <f t="shared" si="4345"/>
        <v>1419000</v>
      </c>
      <c r="T7578" s="102">
        <f t="shared" si="4346"/>
        <v>1290000</v>
      </c>
      <c r="U7578" s="71" t="str">
        <f>IF(J7578=W7578,"O", "X")</f>
        <v>X</v>
      </c>
      <c r="V7578" s="71"/>
      <c r="W7578" s="474"/>
      <c r="X7578" s="71"/>
      <c r="Y7578" s="71"/>
    </row>
    <row r="7579" spans="1:25" ht="30" hidden="1" customHeight="1" x14ac:dyDescent="0.25">
      <c r="A7579" s="1145">
        <v>45707</v>
      </c>
      <c r="B7579" s="664" t="s">
        <v>2261</v>
      </c>
      <c r="C7579" s="71" t="s">
        <v>3299</v>
      </c>
      <c r="D7579" s="71">
        <v>10</v>
      </c>
      <c r="E7579" s="102">
        <v>52000</v>
      </c>
      <c r="F7579" s="102">
        <f t="shared" si="4330"/>
        <v>572000</v>
      </c>
      <c r="G7579" s="102">
        <f t="shared" si="4331"/>
        <v>520000</v>
      </c>
      <c r="H7579" s="690" t="s">
        <v>172</v>
      </c>
      <c r="I7579" s="71" t="s">
        <v>180</v>
      </c>
      <c r="J7579" s="53">
        <f t="shared" si="4340"/>
        <v>45000</v>
      </c>
      <c r="K7579" s="63">
        <f t="shared" si="4341"/>
        <v>8.6538461538461536E-2</v>
      </c>
      <c r="L7579" s="1212" t="s">
        <v>4293</v>
      </c>
      <c r="M7579" s="468" t="s">
        <v>3835</v>
      </c>
      <c r="N7579" s="1192">
        <f t="shared" si="4342"/>
        <v>45707</v>
      </c>
      <c r="O7579" s="71" t="s">
        <v>175</v>
      </c>
      <c r="P7579" s="103" t="str">
        <f t="shared" si="4343"/>
        <v>매엽용 세척제(Wash k11)</v>
      </c>
      <c r="Q7579" s="71">
        <f t="shared" si="4344"/>
        <v>10</v>
      </c>
      <c r="R7579" s="102">
        <v>47500</v>
      </c>
      <c r="S7579" s="102">
        <f t="shared" si="4345"/>
        <v>522500.00000000006</v>
      </c>
      <c r="T7579" s="102">
        <f t="shared" si="4346"/>
        <v>475000</v>
      </c>
      <c r="U7579" s="71" t="s">
        <v>859</v>
      </c>
      <c r="V7579" s="71"/>
      <c r="W7579" s="474"/>
      <c r="X7579" s="71"/>
      <c r="Y7579" s="71"/>
    </row>
    <row r="7580" spans="1:25" ht="30" hidden="1" customHeight="1" x14ac:dyDescent="0.25">
      <c r="A7580" s="1145">
        <v>45707</v>
      </c>
      <c r="B7580" s="664" t="s">
        <v>3289</v>
      </c>
      <c r="C7580" s="71" t="s">
        <v>2070</v>
      </c>
      <c r="D7580" s="71">
        <v>10</v>
      </c>
      <c r="E7580" s="102">
        <v>110000</v>
      </c>
      <c r="F7580" s="102">
        <f t="shared" si="4330"/>
        <v>1210000</v>
      </c>
      <c r="G7580" s="102">
        <f t="shared" si="4331"/>
        <v>1100000</v>
      </c>
      <c r="H7580" s="690" t="s">
        <v>172</v>
      </c>
      <c r="I7580" s="71" t="s">
        <v>33</v>
      </c>
      <c r="J7580" s="53">
        <f t="shared" si="4340"/>
        <v>206000</v>
      </c>
      <c r="K7580" s="63">
        <f t="shared" si="4341"/>
        <v>0.18727272727272729</v>
      </c>
      <c r="L7580" s="1212" t="s">
        <v>4293</v>
      </c>
      <c r="M7580" s="468" t="s">
        <v>4114</v>
      </c>
      <c r="N7580" s="1192">
        <f t="shared" si="4342"/>
        <v>45707</v>
      </c>
      <c r="O7580" s="71" t="s">
        <v>146</v>
      </c>
      <c r="P7580" s="103" t="str">
        <f t="shared" si="4343"/>
        <v>Blanket(1050*840)</v>
      </c>
      <c r="Q7580" s="71">
        <f t="shared" si="4344"/>
        <v>10</v>
      </c>
      <c r="R7580" s="102">
        <v>89400</v>
      </c>
      <c r="S7580" s="102">
        <f t="shared" si="4345"/>
        <v>983400.00000000012</v>
      </c>
      <c r="T7580" s="102">
        <f t="shared" si="4346"/>
        <v>894000</v>
      </c>
      <c r="U7580" s="71" t="str">
        <f>IF(J7580=W7580,"O", "X")</f>
        <v>X</v>
      </c>
      <c r="V7580" s="71"/>
      <c r="W7580" s="474">
        <v>275000</v>
      </c>
      <c r="X7580" s="71"/>
      <c r="Y7580" s="71"/>
    </row>
    <row r="7581" spans="1:25" ht="29.45" hidden="1" customHeight="1" x14ac:dyDescent="0.25">
      <c r="A7581" s="1145">
        <v>45705</v>
      </c>
      <c r="B7581" s="664" t="s">
        <v>3296</v>
      </c>
      <c r="C7581" s="71" t="s">
        <v>3297</v>
      </c>
      <c r="D7581" s="71">
        <v>20</v>
      </c>
      <c r="E7581" s="102">
        <v>162500</v>
      </c>
      <c r="F7581" s="102">
        <f t="shared" si="4330"/>
        <v>3575000.0000000005</v>
      </c>
      <c r="G7581" s="102">
        <f t="shared" si="4331"/>
        <v>3250000</v>
      </c>
      <c r="H7581" s="690" t="s">
        <v>172</v>
      </c>
      <c r="I7581" s="71" t="s">
        <v>3295</v>
      </c>
      <c r="J7581" s="53">
        <f t="shared" si="4340"/>
        <v>850000</v>
      </c>
      <c r="K7581" s="63">
        <f t="shared" si="4341"/>
        <v>0.2615384615384615</v>
      </c>
      <c r="L7581" s="1212" t="s">
        <v>4293</v>
      </c>
      <c r="M7581" s="468"/>
      <c r="N7581" s="1192">
        <f t="shared" si="4342"/>
        <v>45705</v>
      </c>
      <c r="O7581" s="71" t="s">
        <v>662</v>
      </c>
      <c r="P7581" s="103" t="str">
        <f t="shared" si="4343"/>
        <v>실리콘 에멀전</v>
      </c>
      <c r="Q7581" s="71">
        <f t="shared" si="4344"/>
        <v>20</v>
      </c>
      <c r="R7581" s="102">
        <v>120000</v>
      </c>
      <c r="S7581" s="102">
        <f t="shared" si="4345"/>
        <v>2640000</v>
      </c>
      <c r="T7581" s="102">
        <f t="shared" si="4346"/>
        <v>2400000</v>
      </c>
      <c r="U7581" s="71" t="str">
        <f t="shared" ref="U7581" si="4347">IF(J7581=W7581,"O", "X")</f>
        <v>X</v>
      </c>
      <c r="V7581" s="71"/>
      <c r="W7581" s="474"/>
      <c r="X7581" s="71"/>
      <c r="Y7581" s="71"/>
    </row>
    <row r="7582" spans="1:25" ht="30" hidden="1" customHeight="1" x14ac:dyDescent="0.25">
      <c r="A7582" s="1145">
        <v>45692</v>
      </c>
      <c r="B7582" s="664" t="s">
        <v>809</v>
      </c>
      <c r="C7582" s="71" t="s">
        <v>4028</v>
      </c>
      <c r="D7582" s="71">
        <v>15</v>
      </c>
      <c r="E7582" s="102">
        <v>125000</v>
      </c>
      <c r="F7582" s="102">
        <f t="shared" si="4330"/>
        <v>2062500.0000000002</v>
      </c>
      <c r="G7582" s="102">
        <f t="shared" si="4331"/>
        <v>1875000</v>
      </c>
      <c r="H7582" s="690" t="s">
        <v>172</v>
      </c>
      <c r="I7582" s="71" t="s">
        <v>33</v>
      </c>
      <c r="J7582" s="53">
        <f t="shared" si="4340"/>
        <v>295500</v>
      </c>
      <c r="K7582" s="63">
        <f t="shared" si="4341"/>
        <v>0.15759999999999999</v>
      </c>
      <c r="L7582" s="1212" t="s">
        <v>4293</v>
      </c>
      <c r="M7582" s="102"/>
      <c r="N7582" s="1192"/>
      <c r="O7582" s="71" t="s">
        <v>147</v>
      </c>
      <c r="P7582" s="103" t="str">
        <f t="shared" si="4343"/>
        <v>Blanket(1077*885)</v>
      </c>
      <c r="Q7582" s="71">
        <f t="shared" si="4344"/>
        <v>15</v>
      </c>
      <c r="R7582" s="102">
        <v>105300</v>
      </c>
      <c r="S7582" s="102">
        <f t="shared" si="4345"/>
        <v>1737450.0000000002</v>
      </c>
      <c r="T7582" s="102">
        <f t="shared" si="4346"/>
        <v>1579500</v>
      </c>
      <c r="U7582" s="71"/>
      <c r="V7582" s="71"/>
      <c r="W7582" s="474"/>
      <c r="X7582" s="71"/>
      <c r="Y7582" s="71"/>
    </row>
    <row r="7583" spans="1:25" ht="30" hidden="1" customHeight="1" x14ac:dyDescent="0.25">
      <c r="A7583" s="1145">
        <v>45692</v>
      </c>
      <c r="B7583" s="664" t="s">
        <v>18</v>
      </c>
      <c r="C7583" s="71" t="s">
        <v>2070</v>
      </c>
      <c r="D7583" s="71">
        <v>10</v>
      </c>
      <c r="E7583" s="102">
        <v>115000</v>
      </c>
      <c r="F7583" s="102">
        <f t="shared" si="4330"/>
        <v>1265000</v>
      </c>
      <c r="G7583" s="102">
        <f t="shared" si="4331"/>
        <v>1150000</v>
      </c>
      <c r="H7583" s="690" t="s">
        <v>172</v>
      </c>
      <c r="I7583" s="71" t="s">
        <v>33</v>
      </c>
      <c r="J7583" s="53">
        <f t="shared" si="4340"/>
        <v>168000</v>
      </c>
      <c r="K7583" s="63">
        <f t="shared" si="4341"/>
        <v>0.14608695652173914</v>
      </c>
      <c r="L7583" s="1212" t="s">
        <v>4293</v>
      </c>
      <c r="M7583" s="468"/>
      <c r="N7583" s="1192">
        <f t="shared" ref="N7583:N7589" si="4348">A7583</f>
        <v>45692</v>
      </c>
      <c r="O7583" s="71" t="s">
        <v>146</v>
      </c>
      <c r="P7583" s="103" t="str">
        <f t="shared" si="4343"/>
        <v>Blanket(1050*840)</v>
      </c>
      <c r="Q7583" s="71">
        <f t="shared" si="4344"/>
        <v>10</v>
      </c>
      <c r="R7583" s="102">
        <v>98200</v>
      </c>
      <c r="S7583" s="102">
        <f t="shared" si="4345"/>
        <v>1080200</v>
      </c>
      <c r="T7583" s="102">
        <f t="shared" si="4346"/>
        <v>982000</v>
      </c>
      <c r="U7583" s="71" t="s">
        <v>859</v>
      </c>
      <c r="V7583" s="71"/>
      <c r="W7583" s="474"/>
      <c r="X7583" s="71"/>
      <c r="Y7583" s="71"/>
    </row>
    <row r="7584" spans="1:25" ht="30" hidden="1" customHeight="1" x14ac:dyDescent="0.2">
      <c r="A7584" s="1145">
        <v>45692</v>
      </c>
      <c r="B7584" s="664" t="s">
        <v>548</v>
      </c>
      <c r="C7584" s="71" t="s">
        <v>236</v>
      </c>
      <c r="D7584" s="71">
        <v>3</v>
      </c>
      <c r="E7584" s="102">
        <v>110000</v>
      </c>
      <c r="F7584" s="163">
        <f>(E7584*D7584)*1.1</f>
        <v>363000.00000000006</v>
      </c>
      <c r="G7584" s="102">
        <f>(E7584*D7584)</f>
        <v>330000</v>
      </c>
      <c r="H7584" s="690" t="s">
        <v>173</v>
      </c>
      <c r="I7584" s="71" t="s">
        <v>2231</v>
      </c>
      <c r="J7584" s="53">
        <f t="shared" si="4340"/>
        <v>75000</v>
      </c>
      <c r="K7584" s="63">
        <f t="shared" si="4341"/>
        <v>0.22727272727272724</v>
      </c>
      <c r="L7584" s="1212" t="s">
        <v>4293</v>
      </c>
      <c r="M7584" s="468"/>
      <c r="N7584" s="1192">
        <f t="shared" si="4348"/>
        <v>45692</v>
      </c>
      <c r="O7584" s="71" t="s">
        <v>150</v>
      </c>
      <c r="P7584" s="103" t="str">
        <f t="shared" si="4343"/>
        <v>아스테이지(국전)</v>
      </c>
      <c r="Q7584" s="71">
        <f t="shared" si="4344"/>
        <v>3</v>
      </c>
      <c r="R7584" s="102">
        <v>85000</v>
      </c>
      <c r="S7584" s="102">
        <f t="shared" si="4345"/>
        <v>280500</v>
      </c>
      <c r="T7584" s="102">
        <f t="shared" si="4346"/>
        <v>255000</v>
      </c>
      <c r="U7584" s="71" t="str">
        <f>IF(J7584=W7584,"O", "X")</f>
        <v>X</v>
      </c>
      <c r="V7584" s="71"/>
      <c r="W7584" s="474"/>
      <c r="X7584" s="71"/>
      <c r="Y7584" s="71"/>
    </row>
    <row r="7585" spans="1:25" ht="30" hidden="1" customHeight="1" x14ac:dyDescent="0.25">
      <c r="A7585" s="1145">
        <v>45692</v>
      </c>
      <c r="B7585" s="664" t="s">
        <v>548</v>
      </c>
      <c r="C7585" s="71" t="s">
        <v>3382</v>
      </c>
      <c r="D7585" s="71">
        <v>1</v>
      </c>
      <c r="E7585" s="102">
        <v>168000</v>
      </c>
      <c r="F7585" s="102">
        <f t="shared" ref="F7585:F7589" si="4349">(E7585*D7585)*1.1</f>
        <v>184800.00000000003</v>
      </c>
      <c r="G7585" s="102">
        <f t="shared" ref="G7585:G7589" si="4350">(E7585*D7585)</f>
        <v>168000</v>
      </c>
      <c r="H7585" s="690" t="s">
        <v>2029</v>
      </c>
      <c r="I7585" s="71" t="s">
        <v>180</v>
      </c>
      <c r="J7585" s="53">
        <f t="shared" si="4340"/>
        <v>48000</v>
      </c>
      <c r="K7585" s="63">
        <f t="shared" si="4341"/>
        <v>0.28571428571428564</v>
      </c>
      <c r="L7585" s="1212" t="s">
        <v>4293</v>
      </c>
      <c r="M7585" s="468"/>
      <c r="N7585" s="1192">
        <f t="shared" si="4348"/>
        <v>45692</v>
      </c>
      <c r="O7585" s="71" t="s">
        <v>3383</v>
      </c>
      <c r="P7585" s="103" t="str">
        <f t="shared" si="4343"/>
        <v>판 클리너(12개)</v>
      </c>
      <c r="Q7585" s="71">
        <f t="shared" si="4344"/>
        <v>1</v>
      </c>
      <c r="R7585" s="102">
        <v>120000</v>
      </c>
      <c r="S7585" s="102">
        <f t="shared" si="4345"/>
        <v>132000</v>
      </c>
      <c r="T7585" s="102">
        <f t="shared" si="4346"/>
        <v>120000</v>
      </c>
      <c r="U7585" s="71" t="str">
        <f>IF(J7585=W7585,"O", "X")</f>
        <v>X</v>
      </c>
      <c r="V7585" s="71"/>
      <c r="W7585" s="474"/>
      <c r="X7585" s="71"/>
      <c r="Y7585" s="71"/>
    </row>
    <row r="7586" spans="1:25" s="209" customFormat="1" ht="30" hidden="1" customHeight="1" x14ac:dyDescent="0.25">
      <c r="A7586" s="1145">
        <v>45713</v>
      </c>
      <c r="B7586" s="664" t="s">
        <v>746</v>
      </c>
      <c r="C7586" s="71" t="s">
        <v>2648</v>
      </c>
      <c r="D7586" s="71">
        <v>10</v>
      </c>
      <c r="E7586" s="102">
        <v>38000</v>
      </c>
      <c r="F7586" s="102">
        <f t="shared" si="4349"/>
        <v>418000.00000000006</v>
      </c>
      <c r="G7586" s="102">
        <f t="shared" si="4350"/>
        <v>380000</v>
      </c>
      <c r="H7586" s="690" t="s">
        <v>94</v>
      </c>
      <c r="I7586" s="71" t="s">
        <v>94</v>
      </c>
      <c r="J7586" s="53">
        <f t="shared" si="4340"/>
        <v>160000</v>
      </c>
      <c r="K7586" s="63">
        <f t="shared" si="4341"/>
        <v>0.42105263157894729</v>
      </c>
      <c r="L7586" s="1212" t="s">
        <v>4293</v>
      </c>
      <c r="M7586" s="468"/>
      <c r="N7586" s="1192">
        <f t="shared" si="4348"/>
        <v>45713</v>
      </c>
      <c r="O7586" s="71" t="s">
        <v>94</v>
      </c>
      <c r="P7586" s="103" t="str">
        <f t="shared" si="4343"/>
        <v>주머니 필터백</v>
      </c>
      <c r="Q7586" s="71">
        <f t="shared" si="4344"/>
        <v>10</v>
      </c>
      <c r="R7586" s="102">
        <v>22000</v>
      </c>
      <c r="S7586" s="102">
        <f t="shared" si="4345"/>
        <v>242000.00000000003</v>
      </c>
      <c r="T7586" s="102">
        <f t="shared" si="4346"/>
        <v>220000</v>
      </c>
      <c r="U7586" s="71"/>
      <c r="V7586" s="71"/>
      <c r="W7586" s="474"/>
      <c r="X7586" s="71"/>
      <c r="Y7586" s="71"/>
    </row>
    <row r="7587" spans="1:25" ht="30" hidden="1" customHeight="1" x14ac:dyDescent="0.25">
      <c r="A7587" s="1145">
        <v>45693</v>
      </c>
      <c r="B7587" s="664" t="s">
        <v>26</v>
      </c>
      <c r="C7587" s="71" t="s">
        <v>2087</v>
      </c>
      <c r="D7587" s="71">
        <v>10</v>
      </c>
      <c r="E7587" s="102">
        <v>65000</v>
      </c>
      <c r="F7587" s="102">
        <f t="shared" si="4349"/>
        <v>715000</v>
      </c>
      <c r="G7587" s="102">
        <f t="shared" si="4350"/>
        <v>650000</v>
      </c>
      <c r="H7587" s="690" t="s">
        <v>172</v>
      </c>
      <c r="I7587" s="71" t="s">
        <v>3295</v>
      </c>
      <c r="J7587" s="53">
        <f t="shared" si="4340"/>
        <v>150000</v>
      </c>
      <c r="K7587" s="63">
        <v>0.23076923076923078</v>
      </c>
      <c r="L7587" s="1212" t="s">
        <v>4293</v>
      </c>
      <c r="M7587" s="468"/>
      <c r="N7587" s="1192">
        <f t="shared" si="4348"/>
        <v>45693</v>
      </c>
      <c r="O7587" s="71" t="s">
        <v>152</v>
      </c>
      <c r="P7587" s="103" t="str">
        <f t="shared" si="4343"/>
        <v>아스테이지(국전)</v>
      </c>
      <c r="Q7587" s="71">
        <f t="shared" si="4344"/>
        <v>10</v>
      </c>
      <c r="R7587" s="102">
        <v>50000</v>
      </c>
      <c r="S7587" s="102">
        <f t="shared" si="4345"/>
        <v>550000</v>
      </c>
      <c r="T7587" s="102">
        <f t="shared" si="4346"/>
        <v>500000</v>
      </c>
      <c r="U7587" s="71" t="s">
        <v>1915</v>
      </c>
      <c r="V7587" s="71"/>
      <c r="W7587" s="474">
        <v>150000</v>
      </c>
      <c r="X7587" s="71"/>
      <c r="Y7587" s="71"/>
    </row>
    <row r="7588" spans="1:25" ht="30" hidden="1" customHeight="1" x14ac:dyDescent="0.25">
      <c r="A7588" s="1145">
        <v>45695</v>
      </c>
      <c r="B7588" s="664" t="s">
        <v>26</v>
      </c>
      <c r="C7588" s="71" t="s">
        <v>2087</v>
      </c>
      <c r="D7588" s="71">
        <v>5</v>
      </c>
      <c r="E7588" s="102">
        <v>65000</v>
      </c>
      <c r="F7588" s="102">
        <f t="shared" si="4349"/>
        <v>357500</v>
      </c>
      <c r="G7588" s="102">
        <f t="shared" si="4350"/>
        <v>325000</v>
      </c>
      <c r="H7588" s="690" t="s">
        <v>172</v>
      </c>
      <c r="I7588" s="71" t="s">
        <v>3295</v>
      </c>
      <c r="J7588" s="53">
        <f t="shared" si="4340"/>
        <v>75000</v>
      </c>
      <c r="K7588" s="63">
        <v>0.23076923076923078</v>
      </c>
      <c r="L7588" s="1212" t="s">
        <v>4293</v>
      </c>
      <c r="M7588" s="468"/>
      <c r="N7588" s="1192">
        <f t="shared" si="4348"/>
        <v>45695</v>
      </c>
      <c r="O7588" s="71" t="s">
        <v>152</v>
      </c>
      <c r="P7588" s="103" t="str">
        <f t="shared" si="4343"/>
        <v>아스테이지(국전)</v>
      </c>
      <c r="Q7588" s="71">
        <f t="shared" si="4344"/>
        <v>5</v>
      </c>
      <c r="R7588" s="102">
        <v>50000</v>
      </c>
      <c r="S7588" s="102">
        <f t="shared" si="4345"/>
        <v>275000</v>
      </c>
      <c r="T7588" s="102">
        <f t="shared" si="4346"/>
        <v>250000</v>
      </c>
      <c r="U7588" s="71" t="s">
        <v>1915</v>
      </c>
      <c r="V7588" s="71"/>
      <c r="W7588" s="474">
        <v>150000</v>
      </c>
      <c r="X7588" s="71"/>
      <c r="Y7588" s="71"/>
    </row>
    <row r="7589" spans="1:25" ht="30" hidden="1" customHeight="1" x14ac:dyDescent="0.25">
      <c r="A7589" s="1145">
        <v>45698</v>
      </c>
      <c r="B7589" s="664" t="s">
        <v>26</v>
      </c>
      <c r="C7589" s="71" t="s">
        <v>4316</v>
      </c>
      <c r="D7589" s="71">
        <v>10</v>
      </c>
      <c r="E7589" s="102">
        <v>930000</v>
      </c>
      <c r="F7589" s="102">
        <f t="shared" si="4349"/>
        <v>10230000</v>
      </c>
      <c r="G7589" s="102">
        <f t="shared" si="4350"/>
        <v>9300000</v>
      </c>
      <c r="H7589" s="690" t="s">
        <v>173</v>
      </c>
      <c r="I7589" s="71" t="s">
        <v>2184</v>
      </c>
      <c r="J7589" s="53">
        <f t="shared" si="4340"/>
        <v>2215580</v>
      </c>
      <c r="K7589" s="63">
        <f t="shared" ref="K7589" si="4351">(J7589/(F7589/11*10))</f>
        <v>0.23823440860215053</v>
      </c>
      <c r="L7589" s="1212" t="s">
        <v>4293</v>
      </c>
      <c r="M7589" s="102"/>
      <c r="N7589" s="1192">
        <f t="shared" si="4348"/>
        <v>45698</v>
      </c>
      <c r="O7589" s="71" t="s">
        <v>1459</v>
      </c>
      <c r="P7589" s="103" t="str">
        <f t="shared" si="4343"/>
        <v>IST UV Lamp I-1080-NA-3-210</v>
      </c>
      <c r="Q7589" s="71">
        <f t="shared" si="4344"/>
        <v>10</v>
      </c>
      <c r="R7589" s="102">
        <v>708442</v>
      </c>
      <c r="S7589" s="102">
        <f t="shared" ref="S7589:S7613" si="4352">R7589*Q7589*1.1</f>
        <v>7792862.0000000009</v>
      </c>
      <c r="T7589" s="102">
        <f t="shared" ref="T7589:T7613" si="4353">R7589*Q7589</f>
        <v>7084420</v>
      </c>
      <c r="U7589" s="71"/>
      <c r="V7589" s="71"/>
      <c r="W7589" s="474"/>
      <c r="X7589" s="71"/>
      <c r="Y7589" s="71"/>
    </row>
    <row r="7590" spans="1:25" s="209" customFormat="1" ht="30" hidden="1" customHeight="1" x14ac:dyDescent="0.25">
      <c r="A7590" s="1145">
        <v>45706</v>
      </c>
      <c r="B7590" s="664" t="s">
        <v>567</v>
      </c>
      <c r="C7590" s="71" t="s">
        <v>123</v>
      </c>
      <c r="D7590" s="71">
        <v>10</v>
      </c>
      <c r="E7590" s="102">
        <v>50000</v>
      </c>
      <c r="F7590" s="102">
        <f t="shared" ref="F7590:F7598" si="4354">(E7590*D7590)*1.1</f>
        <v>550000</v>
      </c>
      <c r="G7590" s="102">
        <f t="shared" ref="G7590:G7598" si="4355">(E7590*D7590)</f>
        <v>500000</v>
      </c>
      <c r="H7590" s="690" t="s">
        <v>94</v>
      </c>
      <c r="I7590" s="71" t="s">
        <v>94</v>
      </c>
      <c r="J7590" s="53">
        <f t="shared" ref="J7590:J7598" si="4356">G7590-T7590</f>
        <v>260000</v>
      </c>
      <c r="K7590" s="63">
        <f t="shared" ref="K7590" si="4357">(J7590/(F7590/11*10))</f>
        <v>0.52</v>
      </c>
      <c r="L7590" s="1212" t="s">
        <v>4293</v>
      </c>
      <c r="M7590" s="468"/>
      <c r="N7590" s="1192">
        <f t="shared" ref="N7590:N7598" si="4358">A7590</f>
        <v>45706</v>
      </c>
      <c r="O7590" s="71" t="s">
        <v>94</v>
      </c>
      <c r="P7590" s="103" t="str">
        <f t="shared" ref="P7590:P7596" si="4359">(C7590)</f>
        <v>필터백</v>
      </c>
      <c r="Q7590" s="71">
        <f t="shared" ref="Q7590:Q7598" si="4360">D7590</f>
        <v>10</v>
      </c>
      <c r="R7590" s="102">
        <v>24000</v>
      </c>
      <c r="S7590" s="102">
        <f t="shared" si="4352"/>
        <v>264000</v>
      </c>
      <c r="T7590" s="102">
        <f t="shared" si="4353"/>
        <v>240000</v>
      </c>
      <c r="U7590" s="71"/>
      <c r="V7590" s="71"/>
      <c r="W7590" s="474"/>
      <c r="X7590" s="71"/>
      <c r="Y7590" s="71"/>
    </row>
    <row r="7591" spans="1:25" ht="30" hidden="1" customHeight="1" x14ac:dyDescent="0.25">
      <c r="A7591" s="1145">
        <v>45714</v>
      </c>
      <c r="B7591" s="664" t="s">
        <v>26</v>
      </c>
      <c r="C7591" s="71" t="s">
        <v>2087</v>
      </c>
      <c r="D7591" s="71">
        <v>5</v>
      </c>
      <c r="E7591" s="102">
        <v>65000</v>
      </c>
      <c r="F7591" s="102">
        <f t="shared" si="4354"/>
        <v>357500</v>
      </c>
      <c r="G7591" s="102">
        <f t="shared" si="4355"/>
        <v>325000</v>
      </c>
      <c r="H7591" s="690" t="s">
        <v>172</v>
      </c>
      <c r="I7591" s="71" t="s">
        <v>3295</v>
      </c>
      <c r="J7591" s="53">
        <f t="shared" si="4356"/>
        <v>75000</v>
      </c>
      <c r="K7591" s="63">
        <v>0.23076923076923078</v>
      </c>
      <c r="L7591" s="1212" t="s">
        <v>4293</v>
      </c>
      <c r="M7591" s="468"/>
      <c r="N7591" s="1192">
        <f t="shared" si="4358"/>
        <v>45714</v>
      </c>
      <c r="O7591" s="71" t="s">
        <v>152</v>
      </c>
      <c r="P7591" s="103" t="str">
        <f t="shared" si="4359"/>
        <v>아스테이지(국전)</v>
      </c>
      <c r="Q7591" s="71">
        <f t="shared" si="4360"/>
        <v>5</v>
      </c>
      <c r="R7591" s="102">
        <v>50000</v>
      </c>
      <c r="S7591" s="102">
        <f t="shared" si="4352"/>
        <v>275000</v>
      </c>
      <c r="T7591" s="102">
        <f t="shared" si="4353"/>
        <v>250000</v>
      </c>
      <c r="U7591" s="71" t="s">
        <v>1915</v>
      </c>
      <c r="V7591" s="71"/>
      <c r="W7591" s="474">
        <v>150000</v>
      </c>
      <c r="X7591" s="71"/>
      <c r="Y7591" s="71"/>
    </row>
    <row r="7592" spans="1:25" ht="30" hidden="1" customHeight="1" x14ac:dyDescent="0.25">
      <c r="A7592" s="1145">
        <v>45693</v>
      </c>
      <c r="B7592" s="664" t="s">
        <v>442</v>
      </c>
      <c r="C7592" s="71" t="s">
        <v>3433</v>
      </c>
      <c r="D7592" s="71">
        <v>6</v>
      </c>
      <c r="E7592" s="102">
        <v>115000</v>
      </c>
      <c r="F7592" s="102">
        <f t="shared" si="4354"/>
        <v>759000.00000000012</v>
      </c>
      <c r="G7592" s="102">
        <f t="shared" si="4355"/>
        <v>690000</v>
      </c>
      <c r="H7592" s="690" t="s">
        <v>2029</v>
      </c>
      <c r="I7592" s="71" t="s">
        <v>3385</v>
      </c>
      <c r="J7592" s="53">
        <f t="shared" si="4356"/>
        <v>169200</v>
      </c>
      <c r="K7592" s="63">
        <f t="shared" ref="K7592:K7598" si="4361">(J7592/(F7592/11*10))</f>
        <v>0.24521739130434778</v>
      </c>
      <c r="L7592" s="1212" t="s">
        <v>4293</v>
      </c>
      <c r="M7592" s="468"/>
      <c r="N7592" s="1192">
        <f t="shared" si="4358"/>
        <v>45693</v>
      </c>
      <c r="O7592" s="71" t="s">
        <v>147</v>
      </c>
      <c r="P7592" s="164" t="str">
        <f t="shared" si="4359"/>
        <v>블랑켓-하이델베르그 국전용</v>
      </c>
      <c r="Q7592" s="71">
        <f t="shared" si="4360"/>
        <v>6</v>
      </c>
      <c r="R7592" s="102">
        <v>86800</v>
      </c>
      <c r="S7592" s="102">
        <f t="shared" si="4352"/>
        <v>572880</v>
      </c>
      <c r="T7592" s="102">
        <f t="shared" si="4353"/>
        <v>520800</v>
      </c>
      <c r="U7592" s="71"/>
      <c r="V7592" s="71"/>
      <c r="W7592" s="474"/>
      <c r="X7592" s="71"/>
      <c r="Y7592" s="71"/>
    </row>
    <row r="7593" spans="1:25" s="209" customFormat="1" ht="30" hidden="1" customHeight="1" x14ac:dyDescent="0.25">
      <c r="A7593" s="1145">
        <v>45701</v>
      </c>
      <c r="B7593" s="664" t="s">
        <v>442</v>
      </c>
      <c r="C7593" s="71" t="s">
        <v>3833</v>
      </c>
      <c r="D7593" s="71">
        <v>1000</v>
      </c>
      <c r="E7593" s="102">
        <v>4250</v>
      </c>
      <c r="F7593" s="102">
        <f t="shared" si="4354"/>
        <v>4675000</v>
      </c>
      <c r="G7593" s="102">
        <f t="shared" si="4355"/>
        <v>4250000</v>
      </c>
      <c r="H7593" s="690" t="s">
        <v>2029</v>
      </c>
      <c r="I7593" s="71" t="s">
        <v>2230</v>
      </c>
      <c r="J7593" s="53">
        <f t="shared" si="4356"/>
        <v>800000</v>
      </c>
      <c r="K7593" s="63">
        <f t="shared" si="4361"/>
        <v>0.18823529411764706</v>
      </c>
      <c r="L7593" s="1212" t="s">
        <v>4293</v>
      </c>
      <c r="M7593" s="468"/>
      <c r="N7593" s="1192">
        <f t="shared" si="4358"/>
        <v>45701</v>
      </c>
      <c r="O7593" s="71" t="s">
        <v>2030</v>
      </c>
      <c r="P7593" s="103" t="str">
        <f t="shared" si="4359"/>
        <v>CTP 판 1030*790</v>
      </c>
      <c r="Q7593" s="71">
        <f t="shared" si="4360"/>
        <v>1000</v>
      </c>
      <c r="R7593" s="102">
        <v>3450</v>
      </c>
      <c r="S7593" s="102">
        <f t="shared" si="4352"/>
        <v>3795000.0000000005</v>
      </c>
      <c r="T7593" s="102">
        <f t="shared" si="4353"/>
        <v>3450000</v>
      </c>
      <c r="U7593" s="71"/>
      <c r="V7593" s="71"/>
      <c r="W7593" s="474"/>
      <c r="X7593" s="71"/>
      <c r="Y7593" s="71"/>
    </row>
    <row r="7594" spans="1:25" ht="30" hidden="1" customHeight="1" x14ac:dyDescent="0.25">
      <c r="A7594" s="1145">
        <v>45701</v>
      </c>
      <c r="B7594" s="664" t="s">
        <v>442</v>
      </c>
      <c r="C7594" s="71" t="s">
        <v>3834</v>
      </c>
      <c r="D7594" s="71">
        <v>5</v>
      </c>
      <c r="E7594" s="102">
        <v>57000</v>
      </c>
      <c r="F7594" s="102">
        <f t="shared" si="4354"/>
        <v>313500</v>
      </c>
      <c r="G7594" s="102">
        <f t="shared" si="4355"/>
        <v>285000</v>
      </c>
      <c r="H7594" s="690" t="s">
        <v>2029</v>
      </c>
      <c r="I7594" s="71" t="s">
        <v>2230</v>
      </c>
      <c r="J7594" s="53">
        <f t="shared" si="4356"/>
        <v>71945</v>
      </c>
      <c r="K7594" s="63">
        <f t="shared" si="4361"/>
        <v>0.25243859649122807</v>
      </c>
      <c r="L7594" s="1212" t="s">
        <v>4293</v>
      </c>
      <c r="M7594" s="468"/>
      <c r="N7594" s="1192">
        <f t="shared" si="4358"/>
        <v>45701</v>
      </c>
      <c r="O7594" s="71" t="s">
        <v>2030</v>
      </c>
      <c r="P7594" s="103" t="str">
        <f t="shared" si="4359"/>
        <v>CTP 현상액</v>
      </c>
      <c r="Q7594" s="71">
        <f t="shared" si="4360"/>
        <v>5</v>
      </c>
      <c r="R7594" s="102">
        <v>42611</v>
      </c>
      <c r="S7594" s="102">
        <f t="shared" si="4352"/>
        <v>234360.50000000003</v>
      </c>
      <c r="T7594" s="102">
        <f t="shared" si="4353"/>
        <v>213055</v>
      </c>
      <c r="U7594" s="71"/>
      <c r="V7594" s="71"/>
      <c r="W7594" s="474"/>
      <c r="X7594" s="71"/>
      <c r="Y7594" s="71"/>
    </row>
    <row r="7595" spans="1:25" ht="30" hidden="1" customHeight="1" x14ac:dyDescent="0.25">
      <c r="A7595" s="1145">
        <v>45712</v>
      </c>
      <c r="B7595" s="664" t="s">
        <v>442</v>
      </c>
      <c r="C7595" s="71" t="s">
        <v>3299</v>
      </c>
      <c r="D7595" s="71">
        <v>25</v>
      </c>
      <c r="E7595" s="102">
        <v>69000</v>
      </c>
      <c r="F7595" s="102">
        <f t="shared" si="4354"/>
        <v>1897500.0000000002</v>
      </c>
      <c r="G7595" s="102">
        <f t="shared" si="4355"/>
        <v>1725000</v>
      </c>
      <c r="H7595" s="690" t="s">
        <v>172</v>
      </c>
      <c r="I7595" s="71" t="s">
        <v>180</v>
      </c>
      <c r="J7595" s="53">
        <f t="shared" si="4356"/>
        <v>537500</v>
      </c>
      <c r="K7595" s="63">
        <f t="shared" si="4361"/>
        <v>0.31159420289855067</v>
      </c>
      <c r="L7595" s="1212" t="s">
        <v>4293</v>
      </c>
      <c r="M7595" s="468" t="s">
        <v>3304</v>
      </c>
      <c r="N7595" s="1192">
        <f t="shared" si="4358"/>
        <v>45712</v>
      </c>
      <c r="O7595" s="71" t="s">
        <v>175</v>
      </c>
      <c r="P7595" s="103" t="str">
        <f t="shared" si="4359"/>
        <v>매엽용 세척제(Wash k11)</v>
      </c>
      <c r="Q7595" s="71">
        <f t="shared" si="4360"/>
        <v>25</v>
      </c>
      <c r="R7595" s="102">
        <v>47500</v>
      </c>
      <c r="S7595" s="102">
        <f t="shared" si="4352"/>
        <v>1306250</v>
      </c>
      <c r="T7595" s="102">
        <f t="shared" si="4353"/>
        <v>1187500</v>
      </c>
      <c r="U7595" s="71" t="s">
        <v>859</v>
      </c>
      <c r="V7595" s="71"/>
      <c r="W7595" s="474"/>
      <c r="X7595" s="71"/>
      <c r="Y7595" s="71"/>
    </row>
    <row r="7596" spans="1:25" ht="30" hidden="1" customHeight="1" x14ac:dyDescent="0.25">
      <c r="A7596" s="1145">
        <v>45716</v>
      </c>
      <c r="B7596" s="664" t="s">
        <v>591</v>
      </c>
      <c r="C7596" s="71" t="s">
        <v>4262</v>
      </c>
      <c r="D7596" s="71">
        <v>1</v>
      </c>
      <c r="E7596" s="102">
        <v>4400000</v>
      </c>
      <c r="F7596" s="102">
        <f t="shared" si="4354"/>
        <v>4840000</v>
      </c>
      <c r="G7596" s="102">
        <f t="shared" si="4355"/>
        <v>4400000</v>
      </c>
      <c r="H7596" s="690" t="s">
        <v>173</v>
      </c>
      <c r="I7596" s="71" t="s">
        <v>143</v>
      </c>
      <c r="J7596" s="53">
        <f t="shared" si="4356"/>
        <v>1135000</v>
      </c>
      <c r="K7596" s="63">
        <f t="shared" si="4361"/>
        <v>0.25795454545454544</v>
      </c>
      <c r="L7596" s="1212" t="s">
        <v>4293</v>
      </c>
      <c r="M7596" s="468"/>
      <c r="N7596" s="1192">
        <f t="shared" si="4358"/>
        <v>45716</v>
      </c>
      <c r="O7596" s="71" t="s">
        <v>612</v>
      </c>
      <c r="P7596" s="103" t="str">
        <f t="shared" si="4359"/>
        <v>롤러 세트 납품건</v>
      </c>
      <c r="Q7596" s="71">
        <f t="shared" si="4360"/>
        <v>1</v>
      </c>
      <c r="R7596" s="147">
        <v>3265000</v>
      </c>
      <c r="S7596" s="102">
        <f t="shared" si="4352"/>
        <v>3591500.0000000005</v>
      </c>
      <c r="T7596" s="102">
        <f t="shared" si="4353"/>
        <v>3265000</v>
      </c>
      <c r="U7596" s="71"/>
      <c r="V7596" s="71"/>
      <c r="W7596" s="474"/>
      <c r="X7596" s="71"/>
      <c r="Y7596" s="71"/>
    </row>
    <row r="7597" spans="1:25" ht="30" hidden="1" customHeight="1" x14ac:dyDescent="0.25">
      <c r="A7597" s="1145">
        <v>45703</v>
      </c>
      <c r="B7597" s="664" t="s">
        <v>2798</v>
      </c>
      <c r="C7597" s="71" t="s">
        <v>4239</v>
      </c>
      <c r="D7597" s="71">
        <v>2</v>
      </c>
      <c r="E7597" s="102">
        <v>252000</v>
      </c>
      <c r="F7597" s="102">
        <f t="shared" si="4354"/>
        <v>554400</v>
      </c>
      <c r="G7597" s="102">
        <f t="shared" si="4355"/>
        <v>504000</v>
      </c>
      <c r="H7597" s="690" t="s">
        <v>173</v>
      </c>
      <c r="I7597" s="71" t="s">
        <v>180</v>
      </c>
      <c r="J7597" s="53">
        <f t="shared" si="4356"/>
        <v>129000</v>
      </c>
      <c r="K7597" s="63">
        <f t="shared" si="4361"/>
        <v>0.25595238095238093</v>
      </c>
      <c r="L7597" s="1212" t="s">
        <v>4293</v>
      </c>
      <c r="M7597" s="102"/>
      <c r="N7597" s="1192">
        <f t="shared" si="4358"/>
        <v>45703</v>
      </c>
      <c r="O7597" s="71" t="s">
        <v>150</v>
      </c>
      <c r="P7597" s="103" t="str">
        <f t="shared" ref="P7597:P7598" si="4362">(C7597)</f>
        <v>Saphira 건식 세정포 하이델 XL용</v>
      </c>
      <c r="Q7597" s="71">
        <f t="shared" si="4360"/>
        <v>2</v>
      </c>
      <c r="R7597" s="102">
        <v>187500</v>
      </c>
      <c r="S7597" s="102">
        <f t="shared" si="4352"/>
        <v>412500.00000000006</v>
      </c>
      <c r="T7597" s="102">
        <f t="shared" si="4353"/>
        <v>375000</v>
      </c>
      <c r="U7597" s="71"/>
      <c r="V7597" s="71"/>
      <c r="W7597" s="474"/>
      <c r="X7597" s="71"/>
      <c r="Y7597" s="71"/>
    </row>
    <row r="7598" spans="1:25" ht="30" hidden="1" customHeight="1" x14ac:dyDescent="0.25">
      <c r="A7598" s="1145">
        <v>45708</v>
      </c>
      <c r="B7598" s="664" t="s">
        <v>2798</v>
      </c>
      <c r="C7598" s="71" t="s">
        <v>4238</v>
      </c>
      <c r="D7598" s="71">
        <v>10</v>
      </c>
      <c r="E7598" s="102">
        <v>162000</v>
      </c>
      <c r="F7598" s="102">
        <f t="shared" si="4354"/>
        <v>1782000.0000000002</v>
      </c>
      <c r="G7598" s="102">
        <f t="shared" si="4355"/>
        <v>1620000</v>
      </c>
      <c r="H7598" s="690" t="s">
        <v>173</v>
      </c>
      <c r="I7598" s="71" t="s">
        <v>109</v>
      </c>
      <c r="J7598" s="53">
        <f t="shared" si="4356"/>
        <v>243000</v>
      </c>
      <c r="K7598" s="63">
        <f t="shared" si="4361"/>
        <v>0.14999999999999997</v>
      </c>
      <c r="L7598" s="1212" t="s">
        <v>4293</v>
      </c>
      <c r="M7598" s="468"/>
      <c r="N7598" s="1192">
        <f t="shared" si="4358"/>
        <v>45708</v>
      </c>
      <c r="O7598" s="71" t="s">
        <v>150</v>
      </c>
      <c r="P7598" s="103" t="str">
        <f t="shared" si="4362"/>
        <v>TUV 블랑켓 하이델 XL용</v>
      </c>
      <c r="Q7598" s="71">
        <f t="shared" si="4360"/>
        <v>10</v>
      </c>
      <c r="R7598" s="147">
        <v>137700</v>
      </c>
      <c r="S7598" s="102">
        <f t="shared" si="4352"/>
        <v>1514700.0000000002</v>
      </c>
      <c r="T7598" s="102">
        <f t="shared" si="4353"/>
        <v>1377000</v>
      </c>
      <c r="U7598" s="71"/>
      <c r="V7598" s="71"/>
      <c r="W7598" s="474"/>
      <c r="X7598" s="71"/>
      <c r="Y7598" s="71"/>
    </row>
    <row r="7599" spans="1:25" ht="30" hidden="1" customHeight="1" x14ac:dyDescent="0.25">
      <c r="A7599" s="1145">
        <v>45708</v>
      </c>
      <c r="B7599" s="664" t="s">
        <v>2798</v>
      </c>
      <c r="C7599" s="71" t="s">
        <v>4239</v>
      </c>
      <c r="D7599" s="71">
        <v>2</v>
      </c>
      <c r="E7599" s="102">
        <v>252000</v>
      </c>
      <c r="F7599" s="102">
        <f t="shared" ref="F7599:F7603" si="4363">(E7599*D7599)*1.1</f>
        <v>554400</v>
      </c>
      <c r="G7599" s="102">
        <f t="shared" ref="G7599:G7603" si="4364">(E7599*D7599)</f>
        <v>504000</v>
      </c>
      <c r="H7599" s="690" t="s">
        <v>173</v>
      </c>
      <c r="I7599" s="71" t="s">
        <v>180</v>
      </c>
      <c r="J7599" s="53">
        <f t="shared" ref="J7599:J7624" si="4365">G7599-T7599</f>
        <v>129000</v>
      </c>
      <c r="K7599" s="63">
        <f t="shared" ref="K7599:K7624" si="4366">(J7599/(F7599/11*10))</f>
        <v>0.25595238095238093</v>
      </c>
      <c r="L7599" s="1212" t="s">
        <v>4293</v>
      </c>
      <c r="M7599" s="102"/>
      <c r="N7599" s="1192">
        <f t="shared" ref="N7599:N7622" si="4367">A7599</f>
        <v>45708</v>
      </c>
      <c r="O7599" s="71" t="s">
        <v>150</v>
      </c>
      <c r="P7599" s="103" t="str">
        <f t="shared" ref="P7599:P7624" si="4368">(C7599)</f>
        <v>Saphira 건식 세정포 하이델 XL용</v>
      </c>
      <c r="Q7599" s="71">
        <f t="shared" ref="Q7599:Q7624" si="4369">D7599</f>
        <v>2</v>
      </c>
      <c r="R7599" s="102">
        <v>187500</v>
      </c>
      <c r="S7599" s="102">
        <f t="shared" ref="S7599:S7602" si="4370">R7599*Q7599*1.1</f>
        <v>412500.00000000006</v>
      </c>
      <c r="T7599" s="102">
        <f t="shared" ref="T7599:T7602" si="4371">R7599*Q7599</f>
        <v>375000</v>
      </c>
      <c r="U7599" s="71"/>
      <c r="V7599" s="71"/>
      <c r="W7599" s="474"/>
      <c r="X7599" s="71"/>
      <c r="Y7599" s="71"/>
    </row>
    <row r="7600" spans="1:25" ht="30" hidden="1" customHeight="1" x14ac:dyDescent="0.25">
      <c r="A7600" s="1145">
        <v>45713</v>
      </c>
      <c r="B7600" s="664" t="s">
        <v>2798</v>
      </c>
      <c r="C7600" s="71" t="s">
        <v>167</v>
      </c>
      <c r="D7600" s="71">
        <v>10</v>
      </c>
      <c r="E7600" s="102">
        <v>138000</v>
      </c>
      <c r="F7600" s="102">
        <f t="shared" si="4363"/>
        <v>1518000.0000000002</v>
      </c>
      <c r="G7600" s="102">
        <f t="shared" si="4364"/>
        <v>1380000</v>
      </c>
      <c r="H7600" s="690" t="s">
        <v>172</v>
      </c>
      <c r="I7600" s="71" t="s">
        <v>33</v>
      </c>
      <c r="J7600" s="53">
        <f t="shared" si="4365"/>
        <v>460000</v>
      </c>
      <c r="K7600" s="63">
        <f t="shared" si="4366"/>
        <v>0.33333333333333326</v>
      </c>
      <c r="L7600" s="1212" t="s">
        <v>4293</v>
      </c>
      <c r="M7600" s="468" t="s">
        <v>4114</v>
      </c>
      <c r="N7600" s="1192">
        <f t="shared" si="4367"/>
        <v>45713</v>
      </c>
      <c r="O7600" s="71" t="s">
        <v>146</v>
      </c>
      <c r="P7600" s="103" t="str">
        <f t="shared" si="4368"/>
        <v>Blanket(1060*860)</v>
      </c>
      <c r="Q7600" s="71">
        <f t="shared" si="4369"/>
        <v>10</v>
      </c>
      <c r="R7600" s="102">
        <v>92000</v>
      </c>
      <c r="S7600" s="102">
        <f t="shared" si="4370"/>
        <v>1012000.0000000001</v>
      </c>
      <c r="T7600" s="102">
        <f t="shared" si="4371"/>
        <v>920000</v>
      </c>
      <c r="U7600" s="71" t="str">
        <f t="shared" ref="U7600" si="4372">IF(J7600=W7600,"O", "X")</f>
        <v>X</v>
      </c>
      <c r="V7600" s="71"/>
      <c r="W7600" s="474"/>
      <c r="X7600" s="71"/>
      <c r="Y7600" s="71"/>
    </row>
    <row r="7601" spans="1:25" ht="30" hidden="1" customHeight="1" x14ac:dyDescent="0.25">
      <c r="A7601" s="1145">
        <v>45714</v>
      </c>
      <c r="B7601" s="664" t="s">
        <v>2798</v>
      </c>
      <c r="C7601" s="71" t="s">
        <v>4240</v>
      </c>
      <c r="D7601" s="71">
        <v>10</v>
      </c>
      <c r="E7601" s="102">
        <v>133000</v>
      </c>
      <c r="F7601" s="102">
        <f t="shared" si="4363"/>
        <v>1463000.0000000002</v>
      </c>
      <c r="G7601" s="102">
        <f t="shared" si="4364"/>
        <v>1330000</v>
      </c>
      <c r="H7601" s="690" t="s">
        <v>173</v>
      </c>
      <c r="I7601" s="71" t="s">
        <v>109</v>
      </c>
      <c r="J7601" s="53">
        <f t="shared" si="4365"/>
        <v>210000</v>
      </c>
      <c r="K7601" s="63">
        <f t="shared" si="4366"/>
        <v>0.15789473684210523</v>
      </c>
      <c r="L7601" s="1212" t="s">
        <v>4293</v>
      </c>
      <c r="M7601" s="102"/>
      <c r="N7601" s="1192">
        <f t="shared" si="4367"/>
        <v>45714</v>
      </c>
      <c r="O7601" s="71" t="s">
        <v>150</v>
      </c>
      <c r="P7601" s="103" t="str">
        <f t="shared" si="4368"/>
        <v>5MX 블랑켓 XL용</v>
      </c>
      <c r="Q7601" s="71">
        <f t="shared" si="4369"/>
        <v>10</v>
      </c>
      <c r="R7601" s="102">
        <v>112000</v>
      </c>
      <c r="S7601" s="102">
        <f t="shared" si="4370"/>
        <v>1232000</v>
      </c>
      <c r="T7601" s="102">
        <f t="shared" si="4371"/>
        <v>1120000</v>
      </c>
      <c r="U7601" s="71"/>
      <c r="V7601" s="71"/>
      <c r="W7601" s="474"/>
      <c r="X7601" s="71"/>
      <c r="Y7601" s="71"/>
    </row>
    <row r="7602" spans="1:25" ht="30" hidden="1" customHeight="1" x14ac:dyDescent="0.25">
      <c r="A7602" s="1145">
        <v>45715</v>
      </c>
      <c r="B7602" s="664" t="s">
        <v>3830</v>
      </c>
      <c r="C7602" s="71" t="s">
        <v>2577</v>
      </c>
      <c r="D7602" s="71">
        <v>2832</v>
      </c>
      <c r="E7602" s="102">
        <v>1950</v>
      </c>
      <c r="F7602" s="102">
        <f t="shared" si="4363"/>
        <v>6074640.0000000009</v>
      </c>
      <c r="G7602" s="102">
        <f t="shared" si="4364"/>
        <v>5522400</v>
      </c>
      <c r="H7602" s="690" t="s">
        <v>2029</v>
      </c>
      <c r="I7602" s="71" t="s">
        <v>2230</v>
      </c>
      <c r="J7602" s="53">
        <f t="shared" si="4365"/>
        <v>5522400</v>
      </c>
      <c r="K7602" s="63">
        <f t="shared" si="4366"/>
        <v>0.99999999999999978</v>
      </c>
      <c r="L7602" s="1212" t="s">
        <v>4293</v>
      </c>
      <c r="M7602" s="468"/>
      <c r="N7602" s="1192">
        <f t="shared" si="4367"/>
        <v>45715</v>
      </c>
      <c r="O7602" s="71"/>
      <c r="P7602" s="103" t="str">
        <f t="shared" si="4368"/>
        <v>CTP 폐판</v>
      </c>
      <c r="Q7602" s="71">
        <f t="shared" si="4369"/>
        <v>2832</v>
      </c>
      <c r="R7602" s="147"/>
      <c r="S7602" s="102">
        <f t="shared" si="4370"/>
        <v>0</v>
      </c>
      <c r="T7602" s="102">
        <f t="shared" si="4371"/>
        <v>0</v>
      </c>
      <c r="U7602" s="71"/>
      <c r="V7602" s="71"/>
      <c r="W7602" s="474"/>
      <c r="X7602" s="71"/>
      <c r="Y7602" s="71"/>
    </row>
    <row r="7603" spans="1:25" ht="30" hidden="1" customHeight="1" x14ac:dyDescent="0.25">
      <c r="A7603" s="1145">
        <v>45705</v>
      </c>
      <c r="B7603" s="664" t="s">
        <v>3085</v>
      </c>
      <c r="C7603" s="71" t="s">
        <v>4300</v>
      </c>
      <c r="D7603" s="71">
        <v>10</v>
      </c>
      <c r="E7603" s="102">
        <v>900000</v>
      </c>
      <c r="F7603" s="102">
        <f t="shared" si="4363"/>
        <v>9900000</v>
      </c>
      <c r="G7603" s="102">
        <f t="shared" si="4364"/>
        <v>9000000</v>
      </c>
      <c r="H7603" s="690" t="s">
        <v>2029</v>
      </c>
      <c r="I7603" s="71" t="s">
        <v>2184</v>
      </c>
      <c r="J7603" s="53">
        <f t="shared" si="4365"/>
        <v>1753070</v>
      </c>
      <c r="K7603" s="63">
        <f t="shared" si="4366"/>
        <v>0.19478555555555555</v>
      </c>
      <c r="L7603" s="1212" t="s">
        <v>4293</v>
      </c>
      <c r="M7603" s="102"/>
      <c r="N7603" s="1192">
        <f t="shared" si="4367"/>
        <v>45705</v>
      </c>
      <c r="O7603" s="71" t="s">
        <v>1459</v>
      </c>
      <c r="P7603" s="103" t="str">
        <f t="shared" si="4368"/>
        <v>IST 램프 델리바리 소켓타입</v>
      </c>
      <c r="Q7603" s="71">
        <f t="shared" si="4369"/>
        <v>10</v>
      </c>
      <c r="R7603" s="102">
        <v>724693</v>
      </c>
      <c r="S7603" s="102">
        <f t="shared" si="4352"/>
        <v>7971623.0000000009</v>
      </c>
      <c r="T7603" s="102">
        <f t="shared" si="4353"/>
        <v>7246930</v>
      </c>
      <c r="U7603" s="71"/>
      <c r="V7603" s="71"/>
      <c r="W7603" s="474"/>
      <c r="X7603" s="71"/>
      <c r="Y7603" s="71"/>
    </row>
    <row r="7604" spans="1:25" ht="30" hidden="1" customHeight="1" x14ac:dyDescent="0.25">
      <c r="A7604" s="1145">
        <v>45705</v>
      </c>
      <c r="B7604" s="664" t="s">
        <v>3085</v>
      </c>
      <c r="C7604" s="71" t="s">
        <v>4301</v>
      </c>
      <c r="D7604" s="71">
        <v>2</v>
      </c>
      <c r="E7604" s="102">
        <v>900000</v>
      </c>
      <c r="F7604" s="102">
        <f t="shared" ref="F7604:F7624" si="4373">(E7604*D7604)*1.1</f>
        <v>1980000.0000000002</v>
      </c>
      <c r="G7604" s="102">
        <f t="shared" ref="G7604:G7624" si="4374">(E7604*D7604)</f>
        <v>1800000</v>
      </c>
      <c r="H7604" s="690" t="s">
        <v>2029</v>
      </c>
      <c r="I7604" s="71" t="s">
        <v>2184</v>
      </c>
      <c r="J7604" s="53">
        <f t="shared" si="4365"/>
        <v>371696</v>
      </c>
      <c r="K7604" s="63">
        <f t="shared" si="4366"/>
        <v>0.20649777777777775</v>
      </c>
      <c r="L7604" s="1212" t="s">
        <v>4293</v>
      </c>
      <c r="M7604" s="468"/>
      <c r="N7604" s="1192">
        <f t="shared" si="4367"/>
        <v>45705</v>
      </c>
      <c r="O7604" s="71" t="s">
        <v>1459</v>
      </c>
      <c r="P7604" s="103" t="str">
        <f t="shared" si="4368"/>
        <v>IST 램프 인터덱 전선타입</v>
      </c>
      <c r="Q7604" s="71">
        <f t="shared" si="4369"/>
        <v>2</v>
      </c>
      <c r="R7604" s="147">
        <v>714152</v>
      </c>
      <c r="S7604" s="102">
        <f t="shared" si="4352"/>
        <v>1571134.4000000001</v>
      </c>
      <c r="T7604" s="102">
        <f t="shared" si="4353"/>
        <v>1428304</v>
      </c>
      <c r="U7604" s="71"/>
      <c r="V7604" s="71"/>
      <c r="W7604" s="474"/>
      <c r="X7604" s="71"/>
      <c r="Y7604" s="71"/>
    </row>
    <row r="7605" spans="1:25" ht="30" hidden="1" customHeight="1" x14ac:dyDescent="0.25">
      <c r="A7605" s="1145">
        <v>45695</v>
      </c>
      <c r="B7605" s="664" t="s">
        <v>1155</v>
      </c>
      <c r="C7605" s="71" t="s">
        <v>114</v>
      </c>
      <c r="D7605" s="71">
        <v>40</v>
      </c>
      <c r="E7605" s="102">
        <v>22000</v>
      </c>
      <c r="F7605" s="102">
        <f t="shared" si="4373"/>
        <v>968000.00000000012</v>
      </c>
      <c r="G7605" s="102">
        <f t="shared" si="4374"/>
        <v>880000</v>
      </c>
      <c r="H7605" s="690" t="s">
        <v>1431</v>
      </c>
      <c r="I7605" s="71" t="s">
        <v>1431</v>
      </c>
      <c r="J7605" s="53">
        <f t="shared" si="4365"/>
        <v>400000</v>
      </c>
      <c r="K7605" s="63">
        <f t="shared" si="4366"/>
        <v>0.45454545454545447</v>
      </c>
      <c r="L7605" s="1212" t="s">
        <v>4293</v>
      </c>
      <c r="M7605" s="102"/>
      <c r="N7605" s="1192">
        <f t="shared" si="4367"/>
        <v>45695</v>
      </c>
      <c r="O7605" s="71" t="s">
        <v>1431</v>
      </c>
      <c r="P7605" s="103" t="str">
        <f t="shared" si="4368"/>
        <v>스트리퍼</v>
      </c>
      <c r="Q7605" s="71">
        <f t="shared" si="4369"/>
        <v>40</v>
      </c>
      <c r="R7605" s="102">
        <v>12000</v>
      </c>
      <c r="S7605" s="102">
        <f t="shared" si="4352"/>
        <v>528000</v>
      </c>
      <c r="T7605" s="102">
        <f t="shared" si="4353"/>
        <v>480000</v>
      </c>
      <c r="U7605" s="71"/>
      <c r="V7605" s="71"/>
      <c r="W7605" s="474"/>
      <c r="X7605" s="71"/>
      <c r="Y7605" s="71"/>
    </row>
    <row r="7606" spans="1:25" ht="30" hidden="1" customHeight="1" x14ac:dyDescent="0.25">
      <c r="A7606" s="1145">
        <v>45689</v>
      </c>
      <c r="B7606" s="664" t="s">
        <v>1178</v>
      </c>
      <c r="C7606" s="71" t="s">
        <v>4302</v>
      </c>
      <c r="D7606" s="71">
        <v>1</v>
      </c>
      <c r="E7606" s="102">
        <v>1800000</v>
      </c>
      <c r="F7606" s="102">
        <f t="shared" si="4373"/>
        <v>1980000.0000000002</v>
      </c>
      <c r="G7606" s="102">
        <f t="shared" si="4374"/>
        <v>1800000</v>
      </c>
      <c r="H7606" s="690" t="s">
        <v>142</v>
      </c>
      <c r="I7606" s="690" t="s">
        <v>142</v>
      </c>
      <c r="J7606" s="53">
        <f t="shared" si="4365"/>
        <v>276000</v>
      </c>
      <c r="K7606" s="63">
        <f t="shared" si="4366"/>
        <v>0.15333333333333332</v>
      </c>
      <c r="L7606" s="1212" t="s">
        <v>4293</v>
      </c>
      <c r="M7606" s="468"/>
      <c r="N7606" s="1192">
        <f t="shared" si="4367"/>
        <v>45689</v>
      </c>
      <c r="O7606" s="71" t="s">
        <v>145</v>
      </c>
      <c r="P7606" s="103" t="str">
        <f t="shared" si="4368"/>
        <v>Agfa CTP 부품 5종</v>
      </c>
      <c r="Q7606" s="71">
        <f t="shared" si="4369"/>
        <v>1</v>
      </c>
      <c r="R7606" s="147">
        <v>1524000</v>
      </c>
      <c r="S7606" s="102">
        <f t="shared" si="4352"/>
        <v>1676400.0000000002</v>
      </c>
      <c r="T7606" s="102">
        <f t="shared" si="4353"/>
        <v>1524000</v>
      </c>
      <c r="U7606" s="71"/>
      <c r="V7606" s="71"/>
      <c r="W7606" s="474"/>
      <c r="X7606" s="71"/>
      <c r="Y7606" s="71"/>
    </row>
    <row r="7607" spans="1:25" ht="30" hidden="1" customHeight="1" x14ac:dyDescent="0.25">
      <c r="A7607" s="1145">
        <v>45689</v>
      </c>
      <c r="B7607" s="664" t="s">
        <v>1178</v>
      </c>
      <c r="C7607" s="71" t="s">
        <v>4303</v>
      </c>
      <c r="D7607" s="71">
        <v>1</v>
      </c>
      <c r="E7607" s="102">
        <v>18000000</v>
      </c>
      <c r="F7607" s="102">
        <f t="shared" si="4373"/>
        <v>19800000</v>
      </c>
      <c r="G7607" s="102">
        <f t="shared" si="4374"/>
        <v>18000000</v>
      </c>
      <c r="H7607" s="690" t="s">
        <v>1431</v>
      </c>
      <c r="I7607" s="71" t="s">
        <v>1431</v>
      </c>
      <c r="J7607" s="53">
        <f t="shared" ref="J7607" si="4375">G7607-T7607</f>
        <v>1725000</v>
      </c>
      <c r="K7607" s="63">
        <f t="shared" ref="K7607" si="4376">(J7607/(F7607/11*10))</f>
        <v>9.583333333333334E-2</v>
      </c>
      <c r="L7607" s="1212" t="s">
        <v>4293</v>
      </c>
      <c r="M7607" s="102"/>
      <c r="N7607" s="1192">
        <f t="shared" si="4367"/>
        <v>45689</v>
      </c>
      <c r="O7607" s="71" t="s">
        <v>1431</v>
      </c>
      <c r="P7607" s="103" t="str">
        <f t="shared" si="4368"/>
        <v>Vpak 엔지니어 John 방문 점검 서비스</v>
      </c>
      <c r="Q7607" s="71">
        <f t="shared" si="4369"/>
        <v>1</v>
      </c>
      <c r="R7607" s="102">
        <v>16275000</v>
      </c>
      <c r="S7607" s="102">
        <f t="shared" si="4352"/>
        <v>17902500</v>
      </c>
      <c r="T7607" s="102">
        <f t="shared" si="4353"/>
        <v>16275000</v>
      </c>
      <c r="U7607" s="71"/>
      <c r="V7607" s="71"/>
      <c r="W7607" s="474"/>
      <c r="X7607" s="71"/>
      <c r="Y7607" s="71"/>
    </row>
    <row r="7608" spans="1:25" ht="30" hidden="1" customHeight="1" x14ac:dyDescent="0.25">
      <c r="A7608" s="1145">
        <v>45689</v>
      </c>
      <c r="B7608" s="664" t="s">
        <v>1593</v>
      </c>
      <c r="C7608" s="71" t="s">
        <v>4304</v>
      </c>
      <c r="D7608" s="71">
        <v>1</v>
      </c>
      <c r="E7608" s="102">
        <v>110600000</v>
      </c>
      <c r="F7608" s="102">
        <f t="shared" si="4373"/>
        <v>121660000.00000001</v>
      </c>
      <c r="G7608" s="102">
        <f t="shared" si="4374"/>
        <v>110600000</v>
      </c>
      <c r="H7608" s="690" t="s">
        <v>142</v>
      </c>
      <c r="I7608" s="690" t="s">
        <v>142</v>
      </c>
      <c r="J7608" s="53">
        <f t="shared" si="4365"/>
        <v>7338161.599999994</v>
      </c>
      <c r="K7608" s="63">
        <f t="shared" si="4366"/>
        <v>6.6348658227848037E-2</v>
      </c>
      <c r="L7608" s="1212" t="s">
        <v>4293</v>
      </c>
      <c r="M7608" s="468"/>
      <c r="N7608" s="1192">
        <f t="shared" si="4367"/>
        <v>45689</v>
      </c>
      <c r="O7608" s="71" t="s">
        <v>94</v>
      </c>
      <c r="P7608" s="103" t="str">
        <f t="shared" si="4368"/>
        <v>신문윤전기용 Technotrans 잉크 펌프 잔금 70%</v>
      </c>
      <c r="Q7608" s="71">
        <f t="shared" si="4369"/>
        <v>1</v>
      </c>
      <c r="R7608" s="147">
        <v>103261838.40000001</v>
      </c>
      <c r="S7608" s="102">
        <f t="shared" si="4352"/>
        <v>113588022.24000001</v>
      </c>
      <c r="T7608" s="102">
        <f t="shared" si="4353"/>
        <v>103261838.40000001</v>
      </c>
      <c r="U7608" s="71"/>
      <c r="V7608" s="71"/>
      <c r="W7608" s="474"/>
      <c r="X7608" s="71"/>
      <c r="Y7608" s="71"/>
    </row>
    <row r="7609" spans="1:25" ht="30" hidden="1" customHeight="1" x14ac:dyDescent="0.25">
      <c r="A7609" s="1145">
        <v>45709</v>
      </c>
      <c r="B7609" s="664" t="s">
        <v>4305</v>
      </c>
      <c r="C7609" s="71" t="s">
        <v>4306</v>
      </c>
      <c r="D7609" s="71">
        <v>10</v>
      </c>
      <c r="E7609" s="102">
        <v>75000</v>
      </c>
      <c r="F7609" s="102">
        <f t="shared" si="4373"/>
        <v>825000.00000000012</v>
      </c>
      <c r="G7609" s="102">
        <f t="shared" si="4374"/>
        <v>750000</v>
      </c>
      <c r="H7609" s="690" t="s">
        <v>1431</v>
      </c>
      <c r="I7609" s="71" t="s">
        <v>1431</v>
      </c>
      <c r="J7609" s="53">
        <f t="shared" si="4365"/>
        <v>360000</v>
      </c>
      <c r="K7609" s="63">
        <f t="shared" si="4366"/>
        <v>0.47999999999999993</v>
      </c>
      <c r="L7609" s="1212" t="s">
        <v>4293</v>
      </c>
      <c r="M7609" s="102"/>
      <c r="N7609" s="1192">
        <f t="shared" si="4367"/>
        <v>45709</v>
      </c>
      <c r="O7609" s="71" t="s">
        <v>1431</v>
      </c>
      <c r="P7609" s="103" t="str">
        <f t="shared" si="4368"/>
        <v>SLITER KNIFE</v>
      </c>
      <c r="Q7609" s="71">
        <f t="shared" si="4369"/>
        <v>10</v>
      </c>
      <c r="R7609" s="102">
        <v>39000</v>
      </c>
      <c r="S7609" s="102">
        <f t="shared" si="4352"/>
        <v>429000.00000000006</v>
      </c>
      <c r="T7609" s="102">
        <f t="shared" si="4353"/>
        <v>390000</v>
      </c>
      <c r="U7609" s="71"/>
      <c r="V7609" s="71"/>
      <c r="W7609" s="474"/>
      <c r="X7609" s="71"/>
      <c r="Y7609" s="71"/>
    </row>
    <row r="7610" spans="1:25" ht="30" hidden="1" customHeight="1" x14ac:dyDescent="0.25">
      <c r="A7610" s="1145">
        <v>45716</v>
      </c>
      <c r="B7610" s="664" t="s">
        <v>4059</v>
      </c>
      <c r="C7610" s="71" t="s">
        <v>114</v>
      </c>
      <c r="D7610" s="71">
        <v>50</v>
      </c>
      <c r="E7610" s="102">
        <v>18000</v>
      </c>
      <c r="F7610" s="102">
        <f t="shared" si="4373"/>
        <v>990000.00000000012</v>
      </c>
      <c r="G7610" s="102">
        <f t="shared" si="4374"/>
        <v>900000</v>
      </c>
      <c r="H7610" s="690" t="s">
        <v>1431</v>
      </c>
      <c r="I7610" s="71" t="s">
        <v>1431</v>
      </c>
      <c r="J7610" s="53">
        <f t="shared" si="4365"/>
        <v>400000</v>
      </c>
      <c r="K7610" s="63">
        <f t="shared" si="4366"/>
        <v>0.44444444444444436</v>
      </c>
      <c r="L7610" s="1212" t="s">
        <v>4293</v>
      </c>
      <c r="M7610" s="468"/>
      <c r="N7610" s="1192"/>
      <c r="O7610" s="71" t="s">
        <v>1431</v>
      </c>
      <c r="P7610" s="103" t="str">
        <f t="shared" si="4368"/>
        <v>스트리퍼</v>
      </c>
      <c r="Q7610" s="71">
        <f t="shared" si="4369"/>
        <v>50</v>
      </c>
      <c r="R7610" s="147">
        <v>10000</v>
      </c>
      <c r="S7610" s="102">
        <f t="shared" si="4352"/>
        <v>550000</v>
      </c>
      <c r="T7610" s="102">
        <f t="shared" si="4353"/>
        <v>500000</v>
      </c>
      <c r="U7610" s="71"/>
      <c r="V7610" s="71"/>
      <c r="W7610" s="474"/>
      <c r="X7610" s="71"/>
      <c r="Y7610" s="71"/>
    </row>
    <row r="7611" spans="1:25" ht="30" hidden="1" customHeight="1" x14ac:dyDescent="0.25">
      <c r="A7611" s="1145">
        <v>45716</v>
      </c>
      <c r="B7611" s="664" t="s">
        <v>546</v>
      </c>
      <c r="C7611" s="71" t="s">
        <v>4307</v>
      </c>
      <c r="D7611" s="71">
        <v>10</v>
      </c>
      <c r="E7611" s="102">
        <v>12000</v>
      </c>
      <c r="F7611" s="102">
        <f t="shared" si="4373"/>
        <v>132000</v>
      </c>
      <c r="G7611" s="102">
        <f t="shared" si="4374"/>
        <v>120000</v>
      </c>
      <c r="H7611" s="690" t="s">
        <v>1431</v>
      </c>
      <c r="I7611" s="71" t="s">
        <v>1431</v>
      </c>
      <c r="J7611" s="53">
        <f t="shared" si="4365"/>
        <v>50990.41278295606</v>
      </c>
      <c r="K7611" s="63">
        <f t="shared" si="4366"/>
        <v>0.42492010652463386</v>
      </c>
      <c r="L7611" s="1212" t="s">
        <v>4293</v>
      </c>
      <c r="M7611" s="102"/>
      <c r="N7611" s="1192">
        <f t="shared" si="4367"/>
        <v>45716</v>
      </c>
      <c r="O7611" s="71" t="s">
        <v>1431</v>
      </c>
      <c r="P7611" s="103" t="str">
        <f t="shared" si="4368"/>
        <v>Pneumatic</v>
      </c>
      <c r="Q7611" s="71">
        <f t="shared" si="4369"/>
        <v>10</v>
      </c>
      <c r="R7611" s="102">
        <v>6900.9587217043945</v>
      </c>
      <c r="S7611" s="102">
        <f t="shared" si="4352"/>
        <v>75910.545938748342</v>
      </c>
      <c r="T7611" s="102">
        <f t="shared" si="4353"/>
        <v>69009.58721704394</v>
      </c>
      <c r="U7611" s="71"/>
      <c r="V7611" s="71"/>
      <c r="W7611" s="474"/>
      <c r="X7611" s="71"/>
      <c r="Y7611" s="71"/>
    </row>
    <row r="7612" spans="1:25" ht="30" hidden="1" customHeight="1" x14ac:dyDescent="0.25">
      <c r="A7612" s="1145">
        <v>45716</v>
      </c>
      <c r="B7612" s="664" t="s">
        <v>546</v>
      </c>
      <c r="C7612" s="71" t="s">
        <v>4308</v>
      </c>
      <c r="D7612" s="71">
        <v>30</v>
      </c>
      <c r="E7612" s="102">
        <v>20000</v>
      </c>
      <c r="F7612" s="102">
        <f t="shared" si="4373"/>
        <v>660000</v>
      </c>
      <c r="G7612" s="102">
        <f t="shared" si="4374"/>
        <v>600000</v>
      </c>
      <c r="H7612" s="690" t="s">
        <v>1431</v>
      </c>
      <c r="I7612" s="71" t="s">
        <v>1431</v>
      </c>
      <c r="J7612" s="53">
        <f t="shared" si="4365"/>
        <v>205427.53661784291</v>
      </c>
      <c r="K7612" s="63">
        <f t="shared" si="4366"/>
        <v>0.34237922769640483</v>
      </c>
      <c r="L7612" s="1212" t="s">
        <v>4293</v>
      </c>
      <c r="M7612" s="468"/>
      <c r="N7612" s="1192">
        <f t="shared" si="4367"/>
        <v>45716</v>
      </c>
      <c r="O7612" s="71" t="s">
        <v>1431</v>
      </c>
      <c r="P7612" s="103" t="str">
        <f t="shared" si="4368"/>
        <v>Pin Contact</v>
      </c>
      <c r="Q7612" s="71">
        <f t="shared" si="4369"/>
        <v>30</v>
      </c>
      <c r="R7612" s="147">
        <v>13152.415446071904</v>
      </c>
      <c r="S7612" s="102">
        <f t="shared" si="4352"/>
        <v>434029.70972037286</v>
      </c>
      <c r="T7612" s="102">
        <f t="shared" si="4353"/>
        <v>394572.46338215709</v>
      </c>
      <c r="U7612" s="71"/>
      <c r="V7612" s="71"/>
      <c r="W7612" s="474"/>
      <c r="X7612" s="71"/>
      <c r="Y7612" s="71"/>
    </row>
    <row r="7613" spans="1:25" ht="30" hidden="1" customHeight="1" x14ac:dyDescent="0.25">
      <c r="A7613" s="1145">
        <v>45716</v>
      </c>
      <c r="B7613" s="664" t="s">
        <v>546</v>
      </c>
      <c r="C7613" s="71" t="s">
        <v>694</v>
      </c>
      <c r="D7613" s="71">
        <v>1</v>
      </c>
      <c r="E7613" s="102">
        <v>320000</v>
      </c>
      <c r="F7613" s="102">
        <f t="shared" si="4373"/>
        <v>352000</v>
      </c>
      <c r="G7613" s="102">
        <f t="shared" si="4374"/>
        <v>320000</v>
      </c>
      <c r="H7613" s="690" t="s">
        <v>1431</v>
      </c>
      <c r="I7613" s="71" t="s">
        <v>1431</v>
      </c>
      <c r="J7613" s="53">
        <f t="shared" si="4365"/>
        <v>137794.39280958721</v>
      </c>
      <c r="K7613" s="63">
        <f t="shared" si="4366"/>
        <v>0.43060747752996004</v>
      </c>
      <c r="L7613" s="1212" t="s">
        <v>4293</v>
      </c>
      <c r="M7613" s="102"/>
      <c r="N7613" s="1192">
        <f t="shared" si="4367"/>
        <v>45716</v>
      </c>
      <c r="O7613" s="71" t="s">
        <v>1431</v>
      </c>
      <c r="P7613" s="103" t="str">
        <f t="shared" si="4368"/>
        <v>Solenoid Valve</v>
      </c>
      <c r="Q7613" s="71">
        <f t="shared" si="4369"/>
        <v>1</v>
      </c>
      <c r="R7613" s="102">
        <v>182205.60719041279</v>
      </c>
      <c r="S7613" s="102">
        <f t="shared" si="4352"/>
        <v>200426.16790945409</v>
      </c>
      <c r="T7613" s="102">
        <f t="shared" si="4353"/>
        <v>182205.60719041279</v>
      </c>
      <c r="U7613" s="71"/>
      <c r="V7613" s="71"/>
      <c r="W7613" s="474"/>
      <c r="X7613" s="71"/>
      <c r="Y7613" s="71"/>
    </row>
    <row r="7614" spans="1:25" ht="30" hidden="1" customHeight="1" x14ac:dyDescent="0.25">
      <c r="A7614" s="1145">
        <v>45716</v>
      </c>
      <c r="B7614" s="664" t="s">
        <v>546</v>
      </c>
      <c r="C7614" s="71" t="s">
        <v>4309</v>
      </c>
      <c r="D7614" s="71">
        <v>1</v>
      </c>
      <c r="E7614" s="102">
        <v>450000</v>
      </c>
      <c r="F7614" s="102">
        <f t="shared" si="4373"/>
        <v>495000.00000000006</v>
      </c>
      <c r="G7614" s="102">
        <f t="shared" si="4374"/>
        <v>450000</v>
      </c>
      <c r="H7614" s="690" t="s">
        <v>1431</v>
      </c>
      <c r="I7614" s="71" t="s">
        <v>1431</v>
      </c>
      <c r="J7614" s="53">
        <f t="shared" si="4365"/>
        <v>170409.68708388816</v>
      </c>
      <c r="K7614" s="63">
        <f t="shared" si="4366"/>
        <v>0.37868819351975141</v>
      </c>
      <c r="L7614" s="1212" t="s">
        <v>4293</v>
      </c>
      <c r="M7614" s="468"/>
      <c r="N7614" s="1192">
        <f t="shared" si="4367"/>
        <v>45716</v>
      </c>
      <c r="O7614" s="71" t="s">
        <v>1431</v>
      </c>
      <c r="P7614" s="103" t="str">
        <f t="shared" si="4368"/>
        <v>Multi way Valve</v>
      </c>
      <c r="Q7614" s="71">
        <f t="shared" si="4369"/>
        <v>1</v>
      </c>
      <c r="R7614" s="147">
        <v>279590.31291611184</v>
      </c>
      <c r="S7614" s="102">
        <f t="shared" ref="S7614:S7619" si="4377">R7614*Q7614*1.1</f>
        <v>307549.34420772304</v>
      </c>
      <c r="T7614" s="102">
        <f t="shared" ref="T7614:T7619" si="4378">R7614*Q7614</f>
        <v>279590.31291611184</v>
      </c>
      <c r="U7614" s="71"/>
      <c r="V7614" s="71"/>
      <c r="W7614" s="474"/>
      <c r="X7614" s="71"/>
      <c r="Y7614" s="71"/>
    </row>
    <row r="7615" spans="1:25" ht="30" hidden="1" customHeight="1" x14ac:dyDescent="0.25">
      <c r="A7615" s="1145">
        <v>45716</v>
      </c>
      <c r="B7615" s="664" t="s">
        <v>546</v>
      </c>
      <c r="C7615" s="71" t="s">
        <v>3557</v>
      </c>
      <c r="D7615" s="71">
        <v>12</v>
      </c>
      <c r="E7615" s="102">
        <v>85000</v>
      </c>
      <c r="F7615" s="102">
        <f>G7615*1.1</f>
        <v>1254000</v>
      </c>
      <c r="G7615" s="102">
        <v>1140000</v>
      </c>
      <c r="H7615" s="690" t="s">
        <v>1431</v>
      </c>
      <c r="I7615" s="71" t="s">
        <v>1431</v>
      </c>
      <c r="J7615" s="53">
        <f t="shared" si="4365"/>
        <v>603852</v>
      </c>
      <c r="K7615" s="63">
        <f t="shared" si="4366"/>
        <v>0.52969473684210522</v>
      </c>
      <c r="L7615" s="1212" t="s">
        <v>4293</v>
      </c>
      <c r="M7615" s="102"/>
      <c r="N7615" s="1192">
        <f t="shared" si="4367"/>
        <v>45716</v>
      </c>
      <c r="O7615" s="71" t="s">
        <v>1431</v>
      </c>
      <c r="P7615" s="103" t="str">
        <f t="shared" si="4368"/>
        <v>Slow down finger blue</v>
      </c>
      <c r="Q7615" s="71">
        <f t="shared" si="4369"/>
        <v>12</v>
      </c>
      <c r="R7615" s="102">
        <v>44679</v>
      </c>
      <c r="S7615" s="102">
        <f t="shared" si="4377"/>
        <v>589762.80000000005</v>
      </c>
      <c r="T7615" s="102">
        <f t="shared" si="4378"/>
        <v>536148</v>
      </c>
      <c r="U7615" s="71"/>
      <c r="V7615" s="71"/>
      <c r="W7615" s="474"/>
      <c r="X7615" s="71"/>
      <c r="Y7615" s="71"/>
    </row>
    <row r="7616" spans="1:25" ht="30" hidden="1" customHeight="1" x14ac:dyDescent="0.25">
      <c r="A7616" s="1145">
        <v>45716</v>
      </c>
      <c r="B7616" s="664" t="s">
        <v>546</v>
      </c>
      <c r="C7616" s="71" t="s">
        <v>4310</v>
      </c>
      <c r="D7616" s="71">
        <v>4</v>
      </c>
      <c r="E7616" s="102">
        <v>75000</v>
      </c>
      <c r="F7616" s="102">
        <f>G7616*1.1</f>
        <v>330000</v>
      </c>
      <c r="G7616" s="102">
        <v>300000</v>
      </c>
      <c r="H7616" s="690" t="s">
        <v>1431</v>
      </c>
      <c r="I7616" s="71" t="s">
        <v>1431</v>
      </c>
      <c r="J7616" s="53">
        <f t="shared" si="4365"/>
        <v>221864</v>
      </c>
      <c r="K7616" s="63">
        <f t="shared" si="4366"/>
        <v>0.73954666666666669</v>
      </c>
      <c r="L7616" s="1212" t="s">
        <v>4293</v>
      </c>
      <c r="M7616" s="468"/>
      <c r="N7616" s="1192">
        <f t="shared" si="4367"/>
        <v>45716</v>
      </c>
      <c r="O7616" s="71" t="s">
        <v>1431</v>
      </c>
      <c r="P7616" s="103" t="str">
        <f t="shared" si="4368"/>
        <v>Formed Vulkollan bar</v>
      </c>
      <c r="Q7616" s="71">
        <f t="shared" si="4369"/>
        <v>4</v>
      </c>
      <c r="R7616" s="147">
        <v>19534</v>
      </c>
      <c r="S7616" s="102">
        <f t="shared" si="4377"/>
        <v>85949.6</v>
      </c>
      <c r="T7616" s="102">
        <f t="shared" si="4378"/>
        <v>78136</v>
      </c>
      <c r="U7616" s="71"/>
      <c r="V7616" s="71"/>
      <c r="W7616" s="474"/>
      <c r="X7616" s="71"/>
      <c r="Y7616" s="71"/>
    </row>
    <row r="7617" spans="1:25" ht="30" hidden="1" customHeight="1" x14ac:dyDescent="0.25">
      <c r="A7617" s="1145">
        <v>45716</v>
      </c>
      <c r="B7617" s="664" t="s">
        <v>546</v>
      </c>
      <c r="C7617" s="71" t="s">
        <v>4315</v>
      </c>
      <c r="D7617" s="71">
        <v>3</v>
      </c>
      <c r="E7617" s="102">
        <v>42000</v>
      </c>
      <c r="F7617" s="102">
        <f t="shared" si="4373"/>
        <v>138600</v>
      </c>
      <c r="G7617" s="102">
        <f t="shared" si="4374"/>
        <v>126000</v>
      </c>
      <c r="H7617" s="690" t="s">
        <v>1431</v>
      </c>
      <c r="I7617" s="71" t="s">
        <v>1431</v>
      </c>
      <c r="J7617" s="53">
        <f t="shared" si="4365"/>
        <v>34650</v>
      </c>
      <c r="K7617" s="63">
        <f t="shared" si="4366"/>
        <v>0.27500000000000002</v>
      </c>
      <c r="L7617" s="1212" t="s">
        <v>4293</v>
      </c>
      <c r="M7617" s="102"/>
      <c r="N7617" s="1192">
        <f t="shared" si="4367"/>
        <v>45716</v>
      </c>
      <c r="O7617" s="71" t="s">
        <v>1431</v>
      </c>
      <c r="P7617" s="103" t="str">
        <f t="shared" si="4368"/>
        <v>Turker blade 0017</v>
      </c>
      <c r="Q7617" s="71">
        <f t="shared" si="4369"/>
        <v>3</v>
      </c>
      <c r="R7617" s="102">
        <v>30450</v>
      </c>
      <c r="S7617" s="102">
        <f t="shared" si="4377"/>
        <v>100485.00000000001</v>
      </c>
      <c r="T7617" s="102">
        <f t="shared" si="4378"/>
        <v>91350</v>
      </c>
      <c r="U7617" s="71"/>
      <c r="V7617" s="71"/>
      <c r="W7617" s="474"/>
      <c r="X7617" s="71"/>
      <c r="Y7617" s="71"/>
    </row>
    <row r="7618" spans="1:25" ht="30" hidden="1" customHeight="1" x14ac:dyDescent="0.25">
      <c r="A7618" s="1145">
        <v>45716</v>
      </c>
      <c r="B7618" s="664" t="s">
        <v>546</v>
      </c>
      <c r="C7618" s="71" t="s">
        <v>4313</v>
      </c>
      <c r="D7618" s="71">
        <v>30</v>
      </c>
      <c r="E7618" s="102">
        <v>16000</v>
      </c>
      <c r="F7618" s="102">
        <f t="shared" si="4373"/>
        <v>528000</v>
      </c>
      <c r="G7618" s="102">
        <f t="shared" si="4374"/>
        <v>480000</v>
      </c>
      <c r="H7618" s="690" t="s">
        <v>1431</v>
      </c>
      <c r="I7618" s="71" t="s">
        <v>1431</v>
      </c>
      <c r="J7618" s="53">
        <f t="shared" si="4365"/>
        <v>84510</v>
      </c>
      <c r="K7618" s="63">
        <f t="shared" si="4366"/>
        <v>0.17606250000000001</v>
      </c>
      <c r="L7618" s="1212" t="s">
        <v>4293</v>
      </c>
      <c r="M7618" s="468"/>
      <c r="N7618" s="1192">
        <f t="shared" si="4367"/>
        <v>45716</v>
      </c>
      <c r="O7618" s="71" t="s">
        <v>1431</v>
      </c>
      <c r="P7618" s="103" t="str">
        <f t="shared" si="4368"/>
        <v>Vulkollan bar 1818</v>
      </c>
      <c r="Q7618" s="71">
        <f t="shared" si="4369"/>
        <v>30</v>
      </c>
      <c r="R7618" s="147">
        <v>13183</v>
      </c>
      <c r="S7618" s="102">
        <f t="shared" si="4377"/>
        <v>435039.00000000006</v>
      </c>
      <c r="T7618" s="102">
        <f t="shared" si="4378"/>
        <v>395490</v>
      </c>
      <c r="U7618" s="71"/>
      <c r="V7618" s="71"/>
      <c r="W7618" s="474"/>
      <c r="X7618" s="71"/>
      <c r="Y7618" s="71"/>
    </row>
    <row r="7619" spans="1:25" ht="30" hidden="1" customHeight="1" x14ac:dyDescent="0.25">
      <c r="A7619" s="1145">
        <v>45716</v>
      </c>
      <c r="B7619" s="664" t="s">
        <v>546</v>
      </c>
      <c r="C7619" s="71" t="s">
        <v>4311</v>
      </c>
      <c r="D7619" s="71">
        <v>5</v>
      </c>
      <c r="E7619" s="102">
        <v>75000</v>
      </c>
      <c r="F7619" s="102">
        <f t="shared" si="4373"/>
        <v>412500.00000000006</v>
      </c>
      <c r="G7619" s="102">
        <f t="shared" si="4374"/>
        <v>375000</v>
      </c>
      <c r="H7619" s="690" t="s">
        <v>1431</v>
      </c>
      <c r="I7619" s="71" t="s">
        <v>1431</v>
      </c>
      <c r="J7619" s="53">
        <f t="shared" si="4365"/>
        <v>275220</v>
      </c>
      <c r="K7619" s="63">
        <f t="shared" si="4366"/>
        <v>0.73391999999999991</v>
      </c>
      <c r="L7619" s="1212" t="s">
        <v>4293</v>
      </c>
      <c r="M7619" s="102"/>
      <c r="N7619" s="1192">
        <f t="shared" si="4367"/>
        <v>45716</v>
      </c>
      <c r="O7619" s="71" t="s">
        <v>1431</v>
      </c>
      <c r="P7619" s="103" t="str">
        <f t="shared" si="4368"/>
        <v>Cut off blade</v>
      </c>
      <c r="Q7619" s="71">
        <f t="shared" si="4369"/>
        <v>5</v>
      </c>
      <c r="R7619" s="102">
        <v>19956</v>
      </c>
      <c r="S7619" s="102">
        <f t="shared" si="4377"/>
        <v>109758.00000000001</v>
      </c>
      <c r="T7619" s="102">
        <f t="shared" si="4378"/>
        <v>99780</v>
      </c>
      <c r="U7619" s="71"/>
      <c r="V7619" s="71"/>
      <c r="W7619" s="474"/>
      <c r="X7619" s="71"/>
      <c r="Y7619" s="71"/>
    </row>
    <row r="7620" spans="1:25" ht="30" hidden="1" customHeight="1" x14ac:dyDescent="0.25">
      <c r="A7620" s="1145">
        <v>45716</v>
      </c>
      <c r="B7620" s="664" t="s">
        <v>546</v>
      </c>
      <c r="C7620" s="71" t="s">
        <v>4312</v>
      </c>
      <c r="D7620" s="71">
        <v>3</v>
      </c>
      <c r="E7620" s="102">
        <v>90000</v>
      </c>
      <c r="F7620" s="102">
        <f t="shared" si="4373"/>
        <v>297000</v>
      </c>
      <c r="G7620" s="102">
        <f t="shared" si="4374"/>
        <v>270000</v>
      </c>
      <c r="H7620" s="690" t="s">
        <v>1431</v>
      </c>
      <c r="I7620" s="71" t="s">
        <v>1431</v>
      </c>
      <c r="J7620" s="53">
        <f t="shared" si="4365"/>
        <v>43764</v>
      </c>
      <c r="K7620" s="63">
        <f t="shared" si="4366"/>
        <v>0.16208888888888889</v>
      </c>
      <c r="L7620" s="1212" t="s">
        <v>4293</v>
      </c>
      <c r="M7620" s="468"/>
      <c r="N7620" s="1192">
        <f t="shared" si="4367"/>
        <v>45716</v>
      </c>
      <c r="O7620" s="71" t="s">
        <v>1431</v>
      </c>
      <c r="P7620" s="103" t="str">
        <f t="shared" si="4368"/>
        <v>Vulkollan bar 2583</v>
      </c>
      <c r="Q7620" s="71">
        <f t="shared" si="4369"/>
        <v>3</v>
      </c>
      <c r="R7620" s="147">
        <v>75412</v>
      </c>
      <c r="S7620" s="102">
        <f t="shared" ref="S7620:S7624" si="4379">R7620*Q7620*1.1</f>
        <v>248859.6</v>
      </c>
      <c r="T7620" s="102">
        <f t="shared" ref="T7620:T7624" si="4380">R7620*Q7620</f>
        <v>226236</v>
      </c>
      <c r="U7620" s="71"/>
      <c r="V7620" s="71"/>
      <c r="W7620" s="474"/>
      <c r="X7620" s="71"/>
      <c r="Y7620" s="71"/>
    </row>
    <row r="7621" spans="1:25" ht="30" hidden="1" customHeight="1" x14ac:dyDescent="0.25">
      <c r="A7621" s="1145">
        <v>45716</v>
      </c>
      <c r="B7621" s="664" t="s">
        <v>546</v>
      </c>
      <c r="C7621" s="71" t="s">
        <v>3121</v>
      </c>
      <c r="D7621" s="71">
        <v>4</v>
      </c>
      <c r="E7621" s="102">
        <v>90000</v>
      </c>
      <c r="F7621" s="102">
        <f t="shared" si="4373"/>
        <v>396000.00000000006</v>
      </c>
      <c r="G7621" s="102">
        <f t="shared" si="4374"/>
        <v>360000</v>
      </c>
      <c r="H7621" s="690" t="s">
        <v>1431</v>
      </c>
      <c r="I7621" s="71" t="s">
        <v>1431</v>
      </c>
      <c r="J7621" s="53">
        <f t="shared" si="4365"/>
        <v>213948</v>
      </c>
      <c r="K7621" s="63">
        <f t="shared" si="4366"/>
        <v>0.59429999999999994</v>
      </c>
      <c r="L7621" s="1212" t="s">
        <v>4293</v>
      </c>
      <c r="M7621" s="102"/>
      <c r="N7621" s="1192">
        <f t="shared" si="4367"/>
        <v>45716</v>
      </c>
      <c r="O7621" s="71" t="s">
        <v>1431</v>
      </c>
      <c r="P7621" s="103" t="str">
        <f t="shared" si="4368"/>
        <v>Cutting knife</v>
      </c>
      <c r="Q7621" s="71">
        <f t="shared" si="4369"/>
        <v>4</v>
      </c>
      <c r="R7621" s="102">
        <v>36513</v>
      </c>
      <c r="S7621" s="102">
        <f t="shared" si="4379"/>
        <v>160657.20000000001</v>
      </c>
      <c r="T7621" s="102">
        <f t="shared" si="4380"/>
        <v>146052</v>
      </c>
      <c r="U7621" s="71"/>
      <c r="V7621" s="71"/>
      <c r="W7621" s="474"/>
      <c r="X7621" s="71"/>
      <c r="Y7621" s="71"/>
    </row>
    <row r="7622" spans="1:25" ht="30" hidden="1" customHeight="1" x14ac:dyDescent="0.25">
      <c r="A7622" s="1145">
        <v>45716</v>
      </c>
      <c r="B7622" s="664" t="s">
        <v>546</v>
      </c>
      <c r="C7622" s="71" t="s">
        <v>4314</v>
      </c>
      <c r="D7622" s="71">
        <v>9</v>
      </c>
      <c r="E7622" s="102">
        <v>60000</v>
      </c>
      <c r="F7622" s="102">
        <f t="shared" si="4373"/>
        <v>594000</v>
      </c>
      <c r="G7622" s="102">
        <f t="shared" si="4374"/>
        <v>540000</v>
      </c>
      <c r="H7622" s="690" t="s">
        <v>1431</v>
      </c>
      <c r="I7622" s="71" t="s">
        <v>1431</v>
      </c>
      <c r="J7622" s="53">
        <f t="shared" si="4365"/>
        <v>278568</v>
      </c>
      <c r="K7622" s="63">
        <f t="shared" si="4366"/>
        <v>0.5158666666666667</v>
      </c>
      <c r="L7622" s="1212" t="s">
        <v>4293</v>
      </c>
      <c r="M7622" s="468"/>
      <c r="N7622" s="1192">
        <f t="shared" si="4367"/>
        <v>45716</v>
      </c>
      <c r="O7622" s="71" t="s">
        <v>1431</v>
      </c>
      <c r="P7622" s="103" t="str">
        <f t="shared" si="4368"/>
        <v>Tucker blade 0526</v>
      </c>
      <c r="Q7622" s="71">
        <f t="shared" si="4369"/>
        <v>9</v>
      </c>
      <c r="R7622" s="147">
        <v>29048</v>
      </c>
      <c r="S7622" s="102">
        <f t="shared" si="4379"/>
        <v>287575.2</v>
      </c>
      <c r="T7622" s="102">
        <f t="shared" si="4380"/>
        <v>261432</v>
      </c>
      <c r="U7622" s="71"/>
      <c r="V7622" s="71"/>
      <c r="W7622" s="474"/>
      <c r="X7622" s="71"/>
      <c r="Y7622" s="71"/>
    </row>
    <row r="7623" spans="1:25" ht="30" hidden="1" customHeight="1" x14ac:dyDescent="0.25">
      <c r="A7623" s="1145">
        <v>45716</v>
      </c>
      <c r="B7623" s="664" t="s">
        <v>546</v>
      </c>
      <c r="C7623" s="71" t="s">
        <v>114</v>
      </c>
      <c r="D7623" s="71">
        <v>50</v>
      </c>
      <c r="E7623" s="102">
        <v>18000</v>
      </c>
      <c r="F7623" s="102">
        <f t="shared" si="4373"/>
        <v>990000.00000000012</v>
      </c>
      <c r="G7623" s="102">
        <f t="shared" si="4374"/>
        <v>900000</v>
      </c>
      <c r="H7623" s="690" t="s">
        <v>1431</v>
      </c>
      <c r="I7623" s="71" t="s">
        <v>1431</v>
      </c>
      <c r="J7623" s="53">
        <f t="shared" si="4365"/>
        <v>400000</v>
      </c>
      <c r="K7623" s="63">
        <f t="shared" si="4366"/>
        <v>0.44444444444444436</v>
      </c>
      <c r="L7623" s="1212" t="s">
        <v>4293</v>
      </c>
      <c r="M7623" s="102"/>
      <c r="N7623" s="1192"/>
      <c r="O7623" s="71" t="s">
        <v>1431</v>
      </c>
      <c r="P7623" s="103" t="str">
        <f t="shared" si="4368"/>
        <v>스트리퍼</v>
      </c>
      <c r="Q7623" s="71">
        <f t="shared" si="4369"/>
        <v>50</v>
      </c>
      <c r="R7623" s="102">
        <v>10000</v>
      </c>
      <c r="S7623" s="102">
        <f t="shared" si="4379"/>
        <v>550000</v>
      </c>
      <c r="T7623" s="102">
        <f t="shared" si="4380"/>
        <v>500000</v>
      </c>
      <c r="U7623" s="71"/>
      <c r="V7623" s="71"/>
      <c r="W7623" s="474"/>
      <c r="X7623" s="71"/>
      <c r="Y7623" s="71"/>
    </row>
    <row r="7624" spans="1:25" ht="30" hidden="1" customHeight="1" x14ac:dyDescent="0.25">
      <c r="A7624" s="1145">
        <v>45716</v>
      </c>
      <c r="B7624" s="664" t="s">
        <v>545</v>
      </c>
      <c r="C7624" s="71" t="s">
        <v>4316</v>
      </c>
      <c r="D7624" s="71">
        <v>20</v>
      </c>
      <c r="E7624" s="102">
        <v>910000</v>
      </c>
      <c r="F7624" s="102">
        <f t="shared" si="4373"/>
        <v>20020000</v>
      </c>
      <c r="G7624" s="102">
        <f t="shared" si="4374"/>
        <v>18200000</v>
      </c>
      <c r="H7624" s="690" t="s">
        <v>2029</v>
      </c>
      <c r="I7624" s="71" t="s">
        <v>2184</v>
      </c>
      <c r="J7624" s="53">
        <f t="shared" si="4365"/>
        <v>4031160</v>
      </c>
      <c r="K7624" s="63">
        <f t="shared" si="4366"/>
        <v>0.22149230769230768</v>
      </c>
      <c r="L7624" s="1212" t="s">
        <v>4293</v>
      </c>
      <c r="M7624" s="468"/>
      <c r="N7624" s="1192">
        <f t="shared" ref="N7624:N7625" si="4381">A7624</f>
        <v>45716</v>
      </c>
      <c r="O7624" s="71" t="s">
        <v>1431</v>
      </c>
      <c r="P7624" s="103" t="str">
        <f t="shared" si="4368"/>
        <v>IST UV Lamp I-1080-NA-3-210</v>
      </c>
      <c r="Q7624" s="71">
        <f t="shared" si="4369"/>
        <v>20</v>
      </c>
      <c r="R7624" s="147">
        <v>708442</v>
      </c>
      <c r="S7624" s="102">
        <f t="shared" si="4379"/>
        <v>15585724.000000002</v>
      </c>
      <c r="T7624" s="102">
        <f t="shared" si="4380"/>
        <v>14168840</v>
      </c>
      <c r="U7624" s="71"/>
      <c r="V7624" s="71"/>
      <c r="W7624" s="474"/>
      <c r="X7624" s="71"/>
      <c r="Y7624" s="71"/>
    </row>
    <row r="7625" spans="1:25" ht="30" hidden="1" customHeight="1" x14ac:dyDescent="0.25">
      <c r="A7625" s="1210" t="s">
        <v>4330</v>
      </c>
      <c r="B7625" s="1211" t="s">
        <v>544</v>
      </c>
      <c r="C7625" s="960"/>
      <c r="D7625" s="960"/>
      <c r="E7625" s="952"/>
      <c r="F7625" s="952"/>
      <c r="G7625" s="952"/>
      <c r="H7625" s="1206"/>
      <c r="I7625" s="960"/>
      <c r="J7625" s="952"/>
      <c r="K7625" s="953"/>
      <c r="L7625" s="1212" t="s">
        <v>4334</v>
      </c>
      <c r="M7625" s="1207"/>
      <c r="N7625" s="1208" t="str">
        <f t="shared" si="4381"/>
        <v>2025,3</v>
      </c>
      <c r="O7625" s="960"/>
      <c r="P7625" s="1209"/>
      <c r="Q7625" s="960"/>
      <c r="R7625" s="952"/>
      <c r="S7625" s="952"/>
      <c r="T7625" s="952"/>
      <c r="U7625" s="960"/>
      <c r="V7625" s="960"/>
      <c r="W7625" s="474">
        <f>(G7625-T7625)</f>
        <v>0</v>
      </c>
      <c r="X7625" s="71"/>
      <c r="Y7625" s="71"/>
    </row>
    <row r="7626" spans="1:25" ht="30" hidden="1" customHeight="1" x14ac:dyDescent="0.25">
      <c r="A7626" s="1145">
        <v>45713</v>
      </c>
      <c r="B7626" s="664" t="s">
        <v>1060</v>
      </c>
      <c r="C7626" s="71" t="s">
        <v>3908</v>
      </c>
      <c r="D7626" s="71">
        <v>600</v>
      </c>
      <c r="E7626" s="102">
        <v>6050</v>
      </c>
      <c r="F7626" s="102">
        <f t="shared" ref="F7626:F7658" si="4382">(E7626*D7626)*1.1</f>
        <v>3993000.0000000005</v>
      </c>
      <c r="G7626" s="102">
        <f t="shared" ref="G7626:G7658" si="4383">(E7626*D7626)</f>
        <v>3630000</v>
      </c>
      <c r="H7626" s="690" t="s">
        <v>142</v>
      </c>
      <c r="I7626" s="71" t="s">
        <v>179</v>
      </c>
      <c r="J7626" s="53">
        <v>2503200</v>
      </c>
      <c r="K7626" s="63">
        <v>0.34766666666666662</v>
      </c>
      <c r="L7626" s="1212" t="s">
        <v>4333</v>
      </c>
      <c r="M7626" s="102" t="s">
        <v>3964</v>
      </c>
      <c r="N7626" s="1192">
        <v>45682</v>
      </c>
      <c r="O7626" s="71" t="s">
        <v>662</v>
      </c>
      <c r="P7626" s="103" t="s">
        <v>3908</v>
      </c>
      <c r="Q7626" s="71">
        <v>1200</v>
      </c>
      <c r="R7626" s="102">
        <v>3914</v>
      </c>
      <c r="S7626" s="102">
        <v>5166480</v>
      </c>
      <c r="T7626" s="102">
        <v>4696800</v>
      </c>
      <c r="U7626" s="71" t="s">
        <v>859</v>
      </c>
      <c r="V7626" s="71"/>
      <c r="W7626" s="474">
        <v>942000</v>
      </c>
      <c r="X7626" s="71"/>
      <c r="Y7626" s="71"/>
    </row>
    <row r="7627" spans="1:25" ht="30" hidden="1" customHeight="1" x14ac:dyDescent="0.25">
      <c r="A7627" s="1145">
        <v>45713</v>
      </c>
      <c r="B7627" s="664" t="s">
        <v>1060</v>
      </c>
      <c r="C7627" s="71" t="s">
        <v>3909</v>
      </c>
      <c r="D7627" s="71">
        <v>3250</v>
      </c>
      <c r="E7627" s="102">
        <v>3830</v>
      </c>
      <c r="F7627" s="102">
        <f t="shared" si="4382"/>
        <v>13692250.000000002</v>
      </c>
      <c r="G7627" s="102">
        <f t="shared" si="4383"/>
        <v>12447500</v>
      </c>
      <c r="H7627" s="690" t="s">
        <v>36</v>
      </c>
      <c r="I7627" s="71" t="s">
        <v>2529</v>
      </c>
      <c r="J7627" s="53">
        <v>4654600</v>
      </c>
      <c r="K7627" s="63">
        <v>0.33726541554959782</v>
      </c>
      <c r="L7627" s="1212" t="s">
        <v>4332</v>
      </c>
      <c r="M7627" s="102" t="s">
        <v>3964</v>
      </c>
      <c r="N7627" s="1192">
        <v>45651</v>
      </c>
      <c r="O7627" s="71" t="s">
        <v>662</v>
      </c>
      <c r="P7627" s="103" t="s">
        <v>3909</v>
      </c>
      <c r="Q7627" s="71">
        <v>2300</v>
      </c>
      <c r="R7627" s="102">
        <v>2472</v>
      </c>
      <c r="S7627" s="102">
        <v>6254160.0000000009</v>
      </c>
      <c r="T7627" s="102">
        <v>5685600</v>
      </c>
      <c r="U7627" s="71" t="s">
        <v>859</v>
      </c>
      <c r="V7627" s="71"/>
      <c r="W7627" s="474">
        <v>1274000</v>
      </c>
      <c r="X7627" s="71"/>
      <c r="Y7627" s="71"/>
    </row>
    <row r="7628" spans="1:25" ht="30" hidden="1" customHeight="1" x14ac:dyDescent="0.25">
      <c r="A7628" s="1145">
        <v>45713</v>
      </c>
      <c r="B7628" s="664" t="s">
        <v>1060</v>
      </c>
      <c r="C7628" s="71" t="s">
        <v>3910</v>
      </c>
      <c r="D7628" s="71">
        <v>2000</v>
      </c>
      <c r="E7628" s="102">
        <v>3610</v>
      </c>
      <c r="F7628" s="102">
        <f t="shared" si="4382"/>
        <v>7942000.0000000009</v>
      </c>
      <c r="G7628" s="102">
        <f t="shared" si="4383"/>
        <v>7220000</v>
      </c>
      <c r="H7628" s="690" t="s">
        <v>36</v>
      </c>
      <c r="I7628" s="71" t="s">
        <v>2529</v>
      </c>
      <c r="J7628" s="53">
        <v>2600400</v>
      </c>
      <c r="K7628" s="63">
        <v>0.33484419263456089</v>
      </c>
      <c r="L7628" s="1212" t="s">
        <v>4332</v>
      </c>
      <c r="M7628" s="102" t="s">
        <v>3964</v>
      </c>
      <c r="N7628" s="1192">
        <v>45651</v>
      </c>
      <c r="O7628" s="71" t="s">
        <v>662</v>
      </c>
      <c r="P7628" s="103" t="s">
        <v>3910</v>
      </c>
      <c r="Q7628" s="71">
        <v>1700</v>
      </c>
      <c r="R7628" s="102">
        <v>2348</v>
      </c>
      <c r="S7628" s="102">
        <v>4390760</v>
      </c>
      <c r="T7628" s="102">
        <v>3991600</v>
      </c>
      <c r="U7628" s="71" t="s">
        <v>859</v>
      </c>
      <c r="V7628" s="71"/>
      <c r="W7628" s="474">
        <v>3325000</v>
      </c>
      <c r="X7628" s="71"/>
      <c r="Y7628" s="71"/>
    </row>
    <row r="7629" spans="1:25" ht="30" hidden="1" customHeight="1" x14ac:dyDescent="0.25">
      <c r="A7629" s="1145">
        <v>45713</v>
      </c>
      <c r="B7629" s="664" t="s">
        <v>1060</v>
      </c>
      <c r="C7629" s="71" t="s">
        <v>3911</v>
      </c>
      <c r="D7629" s="71">
        <v>900</v>
      </c>
      <c r="E7629" s="102">
        <v>6140</v>
      </c>
      <c r="F7629" s="102">
        <f t="shared" si="4382"/>
        <v>6078600.0000000009</v>
      </c>
      <c r="G7629" s="102">
        <f t="shared" si="4383"/>
        <v>5526000</v>
      </c>
      <c r="H7629" s="690" t="s">
        <v>36</v>
      </c>
      <c r="I7629" s="71" t="s">
        <v>2529</v>
      </c>
      <c r="J7629" s="53">
        <v>404800</v>
      </c>
      <c r="K7629" s="63">
        <v>0.33789649415692824</v>
      </c>
      <c r="L7629" s="1212" t="s">
        <v>4332</v>
      </c>
      <c r="M7629" s="102" t="s">
        <v>3964</v>
      </c>
      <c r="N7629" s="1192">
        <v>45651</v>
      </c>
      <c r="O7629" s="71" t="s">
        <v>662</v>
      </c>
      <c r="P7629" s="103" t="s">
        <v>3911</v>
      </c>
      <c r="Q7629" s="71">
        <v>1000</v>
      </c>
      <c r="R7629" s="102">
        <v>3966</v>
      </c>
      <c r="S7629" s="102">
        <v>4362600</v>
      </c>
      <c r="T7629" s="102">
        <v>3966000</v>
      </c>
      <c r="U7629" s="71" t="s">
        <v>859</v>
      </c>
      <c r="V7629" s="71"/>
      <c r="W7629" s="474">
        <v>636000</v>
      </c>
      <c r="X7629" s="71"/>
      <c r="Y7629" s="71"/>
    </row>
    <row r="7630" spans="1:25" ht="30" hidden="1" customHeight="1" x14ac:dyDescent="0.25">
      <c r="A7630" s="1145">
        <v>45713</v>
      </c>
      <c r="B7630" s="664" t="s">
        <v>1060</v>
      </c>
      <c r="C7630" s="71" t="s">
        <v>3912</v>
      </c>
      <c r="D7630" s="71">
        <v>1100</v>
      </c>
      <c r="E7630" s="102">
        <v>6360</v>
      </c>
      <c r="F7630" s="102">
        <f t="shared" si="4382"/>
        <v>7695600.0000000009</v>
      </c>
      <c r="G7630" s="102">
        <f t="shared" si="4383"/>
        <v>6996000</v>
      </c>
      <c r="H7630" s="690" t="s">
        <v>36</v>
      </c>
      <c r="I7630" s="71" t="s">
        <v>2529</v>
      </c>
      <c r="J7630" s="53">
        <v>3762000</v>
      </c>
      <c r="K7630" s="63">
        <v>0.33655394524959736</v>
      </c>
      <c r="L7630" s="1212" t="s">
        <v>4332</v>
      </c>
      <c r="M7630" s="102" t="s">
        <v>3964</v>
      </c>
      <c r="N7630" s="1192">
        <v>45651</v>
      </c>
      <c r="O7630" s="71" t="s">
        <v>662</v>
      </c>
      <c r="P7630" s="103" t="s">
        <v>3912</v>
      </c>
      <c r="Q7630" s="71">
        <v>1500</v>
      </c>
      <c r="R7630" s="102">
        <v>4120</v>
      </c>
      <c r="S7630" s="102">
        <v>6798000.0000000009</v>
      </c>
      <c r="T7630" s="102">
        <v>6180000</v>
      </c>
      <c r="U7630" s="71" t="s">
        <v>859</v>
      </c>
      <c r="V7630" s="71"/>
      <c r="W7630" s="474">
        <v>1476000</v>
      </c>
      <c r="X7630" s="71"/>
      <c r="Y7630" s="71"/>
    </row>
    <row r="7631" spans="1:25" ht="30" hidden="1" customHeight="1" x14ac:dyDescent="0.25">
      <c r="A7631" s="1145">
        <v>45713</v>
      </c>
      <c r="B7631" s="664" t="s">
        <v>1060</v>
      </c>
      <c r="C7631" s="71" t="s">
        <v>3913</v>
      </c>
      <c r="D7631" s="71">
        <v>700</v>
      </c>
      <c r="E7631" s="102">
        <v>4540</v>
      </c>
      <c r="F7631" s="102">
        <f t="shared" si="4382"/>
        <v>3495800.0000000005</v>
      </c>
      <c r="G7631" s="102">
        <f t="shared" si="4383"/>
        <v>3178000</v>
      </c>
      <c r="H7631" s="690" t="s">
        <v>36</v>
      </c>
      <c r="I7631" s="71" t="s">
        <v>2529</v>
      </c>
      <c r="J7631" s="53">
        <v>747000</v>
      </c>
      <c r="K7631" s="63">
        <v>0.33724604966139954</v>
      </c>
      <c r="L7631" s="1212" t="s">
        <v>4332</v>
      </c>
      <c r="M7631" s="102" t="s">
        <v>3964</v>
      </c>
      <c r="N7631" s="1192">
        <v>45651</v>
      </c>
      <c r="O7631" s="71" t="s">
        <v>662</v>
      </c>
      <c r="P7631" s="103" t="s">
        <v>3913</v>
      </c>
      <c r="Q7631" s="71">
        <v>400</v>
      </c>
      <c r="R7631" s="102">
        <v>2936</v>
      </c>
      <c r="S7631" s="102">
        <v>1291840</v>
      </c>
      <c r="T7631" s="102">
        <v>1174400</v>
      </c>
      <c r="U7631" s="71" t="s">
        <v>859</v>
      </c>
      <c r="V7631" s="71"/>
      <c r="W7631" s="474">
        <v>1416000</v>
      </c>
      <c r="X7631" s="71"/>
      <c r="Y7631" s="71"/>
    </row>
    <row r="7632" spans="1:25" ht="30" hidden="1" customHeight="1" x14ac:dyDescent="0.25">
      <c r="A7632" s="1145">
        <v>45713</v>
      </c>
      <c r="B7632" s="664" t="s">
        <v>1060</v>
      </c>
      <c r="C7632" s="71" t="s">
        <v>3914</v>
      </c>
      <c r="D7632" s="71">
        <v>30</v>
      </c>
      <c r="E7632" s="102">
        <v>55000</v>
      </c>
      <c r="F7632" s="102">
        <f t="shared" si="4382"/>
        <v>1815000.0000000002</v>
      </c>
      <c r="G7632" s="102">
        <f t="shared" si="4383"/>
        <v>1650000</v>
      </c>
      <c r="H7632" s="690" t="s">
        <v>36</v>
      </c>
      <c r="I7632" s="71" t="s">
        <v>2529</v>
      </c>
      <c r="J7632" s="53">
        <v>436800</v>
      </c>
      <c r="K7632" s="63">
        <v>0.23248882265275705</v>
      </c>
      <c r="L7632" s="1212" t="s">
        <v>4332</v>
      </c>
      <c r="M7632" s="468"/>
      <c r="N7632" s="1192">
        <v>45651</v>
      </c>
      <c r="O7632" s="71" t="s">
        <v>662</v>
      </c>
      <c r="P7632" s="103" t="s">
        <v>3914</v>
      </c>
      <c r="Q7632" s="71">
        <v>35</v>
      </c>
      <c r="R7632" s="102">
        <v>41200</v>
      </c>
      <c r="S7632" s="102">
        <v>1586200.0000000002</v>
      </c>
      <c r="T7632" s="102">
        <v>1442000</v>
      </c>
      <c r="U7632" s="71" t="s">
        <v>859</v>
      </c>
      <c r="V7632" s="71"/>
      <c r="W7632" s="474">
        <v>978750</v>
      </c>
      <c r="X7632" s="71"/>
      <c r="Y7632" s="71"/>
    </row>
    <row r="7633" spans="1:25" ht="30" hidden="1" customHeight="1" x14ac:dyDescent="0.25">
      <c r="A7633" s="1145">
        <v>45713</v>
      </c>
      <c r="B7633" s="664" t="s">
        <v>1061</v>
      </c>
      <c r="C7633" s="71" t="s">
        <v>3319</v>
      </c>
      <c r="D7633" s="71">
        <v>200</v>
      </c>
      <c r="E7633" s="102">
        <v>6328</v>
      </c>
      <c r="F7633" s="102">
        <f t="shared" si="4382"/>
        <v>1392160</v>
      </c>
      <c r="G7633" s="102">
        <f t="shared" si="4383"/>
        <v>1265600</v>
      </c>
      <c r="H7633" s="690" t="s">
        <v>36</v>
      </c>
      <c r="I7633" s="71" t="s">
        <v>3320</v>
      </c>
      <c r="J7633" s="53">
        <v>95600</v>
      </c>
      <c r="K7633" s="63">
        <v>7.5537294563843241E-2</v>
      </c>
      <c r="L7633" s="1212" t="s">
        <v>4332</v>
      </c>
      <c r="M7633" s="468"/>
      <c r="N7633" s="1192">
        <v>45651</v>
      </c>
      <c r="O7633" s="71" t="s">
        <v>146</v>
      </c>
      <c r="P7633" s="103" t="s">
        <v>3319</v>
      </c>
      <c r="Q7633" s="71">
        <v>400</v>
      </c>
      <c r="R7633" s="102">
        <v>5850</v>
      </c>
      <c r="S7633" s="102">
        <v>2574000</v>
      </c>
      <c r="T7633" s="102">
        <v>2340000</v>
      </c>
      <c r="U7633" s="71" t="s">
        <v>859</v>
      </c>
      <c r="V7633" s="71"/>
      <c r="W7633" s="474">
        <v>411200</v>
      </c>
      <c r="X7633" s="71"/>
      <c r="Y7633" s="71"/>
    </row>
    <row r="7634" spans="1:25" ht="30" hidden="1" customHeight="1" x14ac:dyDescent="0.25">
      <c r="A7634" s="1145">
        <v>45713</v>
      </c>
      <c r="B7634" s="664" t="s">
        <v>1061</v>
      </c>
      <c r="C7634" s="71" t="s">
        <v>3321</v>
      </c>
      <c r="D7634" s="71">
        <v>200</v>
      </c>
      <c r="E7634" s="102">
        <v>6780</v>
      </c>
      <c r="F7634" s="102">
        <f t="shared" si="4382"/>
        <v>1491600.0000000002</v>
      </c>
      <c r="G7634" s="102">
        <f t="shared" si="4383"/>
        <v>1356000</v>
      </c>
      <c r="H7634" s="690" t="s">
        <v>36</v>
      </c>
      <c r="I7634" s="71" t="s">
        <v>3320</v>
      </c>
      <c r="J7634" s="53">
        <v>200000</v>
      </c>
      <c r="K7634" s="63">
        <v>7.3746312684365767E-2</v>
      </c>
      <c r="L7634" s="1212" t="s">
        <v>4332</v>
      </c>
      <c r="M7634" s="468"/>
      <c r="N7634" s="1192">
        <v>45651</v>
      </c>
      <c r="O7634" s="71" t="s">
        <v>146</v>
      </c>
      <c r="P7634" s="103" t="s">
        <v>3321</v>
      </c>
      <c r="Q7634" s="71">
        <v>400</v>
      </c>
      <c r="R7634" s="102">
        <v>6280</v>
      </c>
      <c r="S7634" s="102">
        <v>2763200</v>
      </c>
      <c r="T7634" s="102">
        <v>2512000</v>
      </c>
      <c r="U7634" s="71" t="s">
        <v>859</v>
      </c>
      <c r="V7634" s="71"/>
      <c r="W7634" s="474">
        <v>292000</v>
      </c>
      <c r="X7634" s="71"/>
      <c r="Y7634" s="71"/>
    </row>
    <row r="7635" spans="1:25" ht="30" hidden="1" customHeight="1" x14ac:dyDescent="0.25">
      <c r="A7635" s="1145">
        <v>45713</v>
      </c>
      <c r="B7635" s="664" t="s">
        <v>1061</v>
      </c>
      <c r="C7635" s="71" t="s">
        <v>1289</v>
      </c>
      <c r="D7635" s="71">
        <v>400</v>
      </c>
      <c r="E7635" s="102">
        <v>6498</v>
      </c>
      <c r="F7635" s="102">
        <f t="shared" si="4382"/>
        <v>2859120</v>
      </c>
      <c r="G7635" s="102">
        <f t="shared" si="4383"/>
        <v>2599200</v>
      </c>
      <c r="H7635" s="690" t="s">
        <v>36</v>
      </c>
      <c r="I7635" s="71" t="s">
        <v>3320</v>
      </c>
      <c r="J7635" s="53">
        <v>286800</v>
      </c>
      <c r="K7635" s="63">
        <v>7.3561095721760547E-2</v>
      </c>
      <c r="L7635" s="1212" t="s">
        <v>4332</v>
      </c>
      <c r="M7635" s="468"/>
      <c r="N7635" s="1192">
        <v>45651</v>
      </c>
      <c r="O7635" s="71" t="s">
        <v>146</v>
      </c>
      <c r="P7635" s="103" t="s">
        <v>1289</v>
      </c>
      <c r="Q7635" s="71">
        <v>600</v>
      </c>
      <c r="R7635" s="102">
        <v>6020</v>
      </c>
      <c r="S7635" s="102">
        <v>3973200.0000000005</v>
      </c>
      <c r="T7635" s="102">
        <v>3612000</v>
      </c>
      <c r="U7635" s="71" t="s">
        <v>859</v>
      </c>
      <c r="V7635" s="71"/>
      <c r="W7635" s="474">
        <v>640800</v>
      </c>
      <c r="X7635" s="71"/>
      <c r="Y7635" s="71"/>
    </row>
    <row r="7636" spans="1:25" ht="30" hidden="1" customHeight="1" x14ac:dyDescent="0.25">
      <c r="A7636" s="1145">
        <v>45713</v>
      </c>
      <c r="B7636" s="664" t="s">
        <v>1061</v>
      </c>
      <c r="C7636" s="71" t="s">
        <v>1290</v>
      </c>
      <c r="D7636" s="71">
        <v>200</v>
      </c>
      <c r="E7636" s="102">
        <v>7910</v>
      </c>
      <c r="F7636" s="102">
        <f t="shared" si="4382"/>
        <v>1740200.0000000002</v>
      </c>
      <c r="G7636" s="102">
        <f t="shared" si="4383"/>
        <v>1582000</v>
      </c>
      <c r="H7636" s="690" t="s">
        <v>36</v>
      </c>
      <c r="I7636" s="71" t="s">
        <v>3320</v>
      </c>
      <c r="J7636" s="53">
        <v>240000</v>
      </c>
      <c r="K7636" s="63">
        <v>7.5853350189633365E-2</v>
      </c>
      <c r="L7636" s="1212" t="s">
        <v>4332</v>
      </c>
      <c r="M7636" s="468"/>
      <c r="N7636" s="1192">
        <v>45651</v>
      </c>
      <c r="O7636" s="71" t="s">
        <v>146</v>
      </c>
      <c r="P7636" s="103" t="s">
        <v>1290</v>
      </c>
      <c r="Q7636" s="71">
        <v>400</v>
      </c>
      <c r="R7636" s="102">
        <v>7310</v>
      </c>
      <c r="S7636" s="102">
        <v>3216400.0000000005</v>
      </c>
      <c r="T7636" s="102">
        <v>2924000</v>
      </c>
      <c r="U7636" s="71" t="s">
        <v>859</v>
      </c>
      <c r="V7636" s="71"/>
      <c r="W7636" s="474">
        <v>846000</v>
      </c>
      <c r="X7636" s="71"/>
      <c r="Y7636" s="71"/>
    </row>
    <row r="7637" spans="1:25" ht="30" hidden="1" customHeight="1" x14ac:dyDescent="0.25">
      <c r="A7637" s="1145">
        <v>45713</v>
      </c>
      <c r="B7637" s="664" t="s">
        <v>1061</v>
      </c>
      <c r="C7637" s="71" t="s">
        <v>3322</v>
      </c>
      <c r="D7637" s="71"/>
      <c r="E7637" s="102">
        <v>7150</v>
      </c>
      <c r="F7637" s="102">
        <f t="shared" si="4382"/>
        <v>0</v>
      </c>
      <c r="G7637" s="102">
        <f t="shared" si="4383"/>
        <v>0</v>
      </c>
      <c r="H7637" s="690" t="s">
        <v>36</v>
      </c>
      <c r="I7637" s="71" t="s">
        <v>3320</v>
      </c>
      <c r="J7637" s="53">
        <v>0</v>
      </c>
      <c r="K7637" s="63" t="e">
        <v>#DIV/0!</v>
      </c>
      <c r="L7637" s="1212" t="s">
        <v>4332</v>
      </c>
      <c r="M7637" s="468"/>
      <c r="N7637" s="1192">
        <v>45651</v>
      </c>
      <c r="O7637" s="71" t="s">
        <v>3323</v>
      </c>
      <c r="P7637" s="103" t="s">
        <v>3322</v>
      </c>
      <c r="Q7637" s="71">
        <v>0</v>
      </c>
      <c r="R7637" s="102">
        <v>6500</v>
      </c>
      <c r="S7637" s="102">
        <v>0</v>
      </c>
      <c r="T7637" s="102">
        <v>0</v>
      </c>
      <c r="U7637" s="71" t="s">
        <v>859</v>
      </c>
      <c r="V7637" s="71"/>
      <c r="W7637" s="474">
        <v>0</v>
      </c>
      <c r="X7637" s="71"/>
      <c r="Y7637" s="71"/>
    </row>
    <row r="7638" spans="1:25" ht="30" hidden="1" customHeight="1" x14ac:dyDescent="0.25">
      <c r="A7638" s="1145">
        <v>45713</v>
      </c>
      <c r="B7638" s="664" t="s">
        <v>1061</v>
      </c>
      <c r="C7638" s="71" t="s">
        <v>3324</v>
      </c>
      <c r="D7638" s="71"/>
      <c r="E7638" s="102">
        <v>6900</v>
      </c>
      <c r="F7638" s="102">
        <f t="shared" si="4382"/>
        <v>0</v>
      </c>
      <c r="G7638" s="102">
        <f t="shared" si="4383"/>
        <v>0</v>
      </c>
      <c r="H7638" s="690" t="s">
        <v>36</v>
      </c>
      <c r="I7638" s="71" t="s">
        <v>3320</v>
      </c>
      <c r="J7638" s="53">
        <v>0</v>
      </c>
      <c r="K7638" s="63" t="e">
        <v>#DIV/0!</v>
      </c>
      <c r="L7638" s="1212" t="s">
        <v>4332</v>
      </c>
      <c r="M7638" s="468"/>
      <c r="N7638" s="1192">
        <v>45651</v>
      </c>
      <c r="O7638" s="71" t="s">
        <v>3323</v>
      </c>
      <c r="P7638" s="103" t="s">
        <v>3324</v>
      </c>
      <c r="Q7638" s="71">
        <v>0</v>
      </c>
      <c r="R7638" s="102">
        <v>6200</v>
      </c>
      <c r="S7638" s="102">
        <v>0</v>
      </c>
      <c r="T7638" s="102">
        <v>0</v>
      </c>
      <c r="U7638" s="71" t="s">
        <v>859</v>
      </c>
      <c r="V7638" s="71"/>
      <c r="W7638" s="474">
        <v>0</v>
      </c>
      <c r="X7638" s="71"/>
      <c r="Y7638" s="71"/>
    </row>
    <row r="7639" spans="1:25" ht="28.5" hidden="1" customHeight="1" x14ac:dyDescent="0.25">
      <c r="A7639" s="1145">
        <v>45713</v>
      </c>
      <c r="B7639" s="664" t="s">
        <v>1061</v>
      </c>
      <c r="C7639" s="71" t="s">
        <v>3325</v>
      </c>
      <c r="D7639" s="71"/>
      <c r="E7639" s="102">
        <v>7500</v>
      </c>
      <c r="F7639" s="102">
        <f t="shared" si="4382"/>
        <v>0</v>
      </c>
      <c r="G7639" s="102">
        <f t="shared" si="4383"/>
        <v>0</v>
      </c>
      <c r="H7639" s="690" t="s">
        <v>36</v>
      </c>
      <c r="I7639" s="71" t="s">
        <v>3320</v>
      </c>
      <c r="J7639" s="53">
        <v>0</v>
      </c>
      <c r="K7639" s="63" t="e">
        <v>#DIV/0!</v>
      </c>
      <c r="L7639" s="1212" t="s">
        <v>4332</v>
      </c>
      <c r="M7639" s="468"/>
      <c r="N7639" s="1192">
        <v>45651</v>
      </c>
      <c r="O7639" s="71" t="s">
        <v>3323</v>
      </c>
      <c r="P7639" s="103" t="s">
        <v>3325</v>
      </c>
      <c r="Q7639" s="71">
        <v>0</v>
      </c>
      <c r="R7639" s="102">
        <v>6600</v>
      </c>
      <c r="S7639" s="102">
        <v>0</v>
      </c>
      <c r="T7639" s="102">
        <v>0</v>
      </c>
      <c r="U7639" s="71" t="s">
        <v>859</v>
      </c>
      <c r="V7639" s="71"/>
      <c r="W7639" s="474">
        <v>0</v>
      </c>
      <c r="X7639" s="71"/>
      <c r="Y7639" s="71"/>
    </row>
    <row r="7640" spans="1:25" ht="30" hidden="1" customHeight="1" x14ac:dyDescent="0.25">
      <c r="A7640" s="1145">
        <v>45713</v>
      </c>
      <c r="B7640" s="664" t="s">
        <v>1061</v>
      </c>
      <c r="C7640" s="71" t="s">
        <v>3326</v>
      </c>
      <c r="D7640" s="71"/>
      <c r="E7640" s="102">
        <v>6450</v>
      </c>
      <c r="F7640" s="102">
        <f t="shared" si="4382"/>
        <v>0</v>
      </c>
      <c r="G7640" s="102">
        <f t="shared" si="4383"/>
        <v>0</v>
      </c>
      <c r="H7640" s="690" t="s">
        <v>36</v>
      </c>
      <c r="I7640" s="71" t="s">
        <v>3320</v>
      </c>
      <c r="J7640" s="53">
        <v>0</v>
      </c>
      <c r="K7640" s="63" t="e">
        <v>#DIV/0!</v>
      </c>
      <c r="L7640" s="1212" t="s">
        <v>4332</v>
      </c>
      <c r="M7640" s="468"/>
      <c r="N7640" s="1192">
        <v>45651</v>
      </c>
      <c r="O7640" s="71" t="s">
        <v>3323</v>
      </c>
      <c r="P7640" s="103" t="s">
        <v>3326</v>
      </c>
      <c r="Q7640" s="71">
        <v>0</v>
      </c>
      <c r="R7640" s="102">
        <v>5700</v>
      </c>
      <c r="S7640" s="102">
        <v>0</v>
      </c>
      <c r="T7640" s="102">
        <v>0</v>
      </c>
      <c r="U7640" s="71" t="s">
        <v>859</v>
      </c>
      <c r="V7640" s="71"/>
      <c r="W7640" s="474">
        <v>0</v>
      </c>
      <c r="X7640" s="71"/>
      <c r="Y7640" s="71"/>
    </row>
    <row r="7641" spans="1:25" ht="30" hidden="1" customHeight="1" x14ac:dyDescent="0.25">
      <c r="A7641" s="1145">
        <v>45713</v>
      </c>
      <c r="B7641" s="664" t="s">
        <v>1061</v>
      </c>
      <c r="C7641" s="71" t="s">
        <v>4233</v>
      </c>
      <c r="D7641" s="71">
        <v>0</v>
      </c>
      <c r="E7641" s="102">
        <v>24900</v>
      </c>
      <c r="F7641" s="102">
        <f t="shared" si="4382"/>
        <v>0</v>
      </c>
      <c r="G7641" s="102">
        <f t="shared" si="4383"/>
        <v>0</v>
      </c>
      <c r="H7641" s="690" t="s">
        <v>36</v>
      </c>
      <c r="I7641" s="71" t="s">
        <v>3320</v>
      </c>
      <c r="J7641" s="53">
        <v>0</v>
      </c>
      <c r="K7641" s="63" t="e">
        <v>#DIV/0!</v>
      </c>
      <c r="L7641" s="1212" t="s">
        <v>4332</v>
      </c>
      <c r="M7641" s="468"/>
      <c r="N7641" s="1192">
        <v>45651</v>
      </c>
      <c r="O7641" s="71" t="s">
        <v>2459</v>
      </c>
      <c r="P7641" s="103" t="s">
        <v>4296</v>
      </c>
      <c r="Q7641" s="71">
        <v>0</v>
      </c>
      <c r="R7641" s="102">
        <v>31000</v>
      </c>
      <c r="S7641" s="102">
        <v>0</v>
      </c>
      <c r="T7641" s="102">
        <v>0</v>
      </c>
      <c r="U7641" s="71"/>
      <c r="V7641" s="71"/>
      <c r="W7641" s="474"/>
      <c r="X7641" s="71"/>
      <c r="Y7641" s="71"/>
    </row>
    <row r="7642" spans="1:25" ht="30" hidden="1" customHeight="1" x14ac:dyDescent="0.25">
      <c r="A7642" s="1145">
        <v>45713</v>
      </c>
      <c r="B7642" s="664" t="s">
        <v>1061</v>
      </c>
      <c r="C7642" s="71" t="s">
        <v>4299</v>
      </c>
      <c r="D7642" s="71">
        <v>0</v>
      </c>
      <c r="E7642" s="102">
        <v>10660</v>
      </c>
      <c r="F7642" s="102">
        <f t="shared" si="4382"/>
        <v>0</v>
      </c>
      <c r="G7642" s="102">
        <f t="shared" si="4383"/>
        <v>0</v>
      </c>
      <c r="H7642" s="690" t="s">
        <v>36</v>
      </c>
      <c r="I7642" s="71" t="s">
        <v>3320</v>
      </c>
      <c r="J7642" s="53">
        <v>0</v>
      </c>
      <c r="K7642" s="63" t="e">
        <v>#DIV/0!</v>
      </c>
      <c r="L7642" s="1212" t="s">
        <v>4332</v>
      </c>
      <c r="M7642" s="468"/>
      <c r="N7642" s="1192">
        <v>45651</v>
      </c>
      <c r="O7642" s="71" t="s">
        <v>3323</v>
      </c>
      <c r="P7642" s="103" t="s">
        <v>4297</v>
      </c>
      <c r="Q7642" s="71">
        <v>25</v>
      </c>
      <c r="R7642" s="102">
        <v>11700</v>
      </c>
      <c r="S7642" s="102">
        <v>321750</v>
      </c>
      <c r="T7642" s="102">
        <v>292500</v>
      </c>
      <c r="U7642" s="71"/>
      <c r="V7642" s="71"/>
      <c r="W7642" s="474"/>
      <c r="X7642" s="71"/>
      <c r="Y7642" s="71"/>
    </row>
    <row r="7643" spans="1:25" ht="30" hidden="1" customHeight="1" x14ac:dyDescent="0.25">
      <c r="A7643" s="1145">
        <v>45713</v>
      </c>
      <c r="B7643" s="664" t="s">
        <v>3307</v>
      </c>
      <c r="C7643" s="71" t="s">
        <v>3916</v>
      </c>
      <c r="D7643" s="71">
        <v>8</v>
      </c>
      <c r="E7643" s="102">
        <v>218000</v>
      </c>
      <c r="F7643" s="102">
        <f t="shared" si="4382"/>
        <v>1918400.0000000002</v>
      </c>
      <c r="G7643" s="102">
        <f t="shared" si="4383"/>
        <v>1744000</v>
      </c>
      <c r="H7643" s="690" t="s">
        <v>172</v>
      </c>
      <c r="I7643" s="71" t="s">
        <v>33</v>
      </c>
      <c r="J7643" s="53">
        <v>824000</v>
      </c>
      <c r="K7643" s="63">
        <v>0.23623853211009171</v>
      </c>
      <c r="L7643" s="1212" t="s">
        <v>4332</v>
      </c>
      <c r="M7643" s="468" t="s">
        <v>3965</v>
      </c>
      <c r="N7643" s="1192">
        <v>45682</v>
      </c>
      <c r="O7643" s="71" t="s">
        <v>662</v>
      </c>
      <c r="P7643" s="103" t="s">
        <v>3916</v>
      </c>
      <c r="Q7643" s="71">
        <v>16</v>
      </c>
      <c r="R7643" s="102">
        <v>166500</v>
      </c>
      <c r="S7643" s="102">
        <v>2930400.0000000005</v>
      </c>
      <c r="T7643" s="102">
        <v>2664000</v>
      </c>
      <c r="U7643" s="71" t="s">
        <v>859</v>
      </c>
      <c r="V7643" s="71" t="s">
        <v>728</v>
      </c>
      <c r="W7643" s="474">
        <v>464000</v>
      </c>
      <c r="X7643" s="71"/>
      <c r="Y7643" s="71"/>
    </row>
    <row r="7644" spans="1:25" ht="30" hidden="1" customHeight="1" x14ac:dyDescent="0.25">
      <c r="A7644" s="1145">
        <v>45713</v>
      </c>
      <c r="B7644" s="664" t="s">
        <v>3307</v>
      </c>
      <c r="C7644" s="71" t="s">
        <v>3703</v>
      </c>
      <c r="D7644" s="71">
        <v>1</v>
      </c>
      <c r="E7644" s="102">
        <v>2350000</v>
      </c>
      <c r="F7644" s="102">
        <f t="shared" si="4382"/>
        <v>2585000</v>
      </c>
      <c r="G7644" s="102">
        <f t="shared" si="4383"/>
        <v>2350000</v>
      </c>
      <c r="H7644" s="690" t="s">
        <v>36</v>
      </c>
      <c r="I7644" s="690" t="s">
        <v>36</v>
      </c>
      <c r="J7644" s="53">
        <v>600000</v>
      </c>
      <c r="K7644" s="63">
        <v>0.25531914893617019</v>
      </c>
      <c r="L7644" s="1212" t="s">
        <v>4332</v>
      </c>
      <c r="M7644" s="468"/>
      <c r="N7644" s="1192">
        <v>45651</v>
      </c>
      <c r="O7644" s="71" t="s">
        <v>3298</v>
      </c>
      <c r="P7644" s="103" t="s">
        <v>4298</v>
      </c>
      <c r="Q7644" s="71">
        <v>1</v>
      </c>
      <c r="R7644" s="147">
        <v>1750000</v>
      </c>
      <c r="S7644" s="102">
        <v>1925000.0000000002</v>
      </c>
      <c r="T7644" s="102">
        <v>1750000</v>
      </c>
      <c r="U7644" s="71"/>
      <c r="V7644" s="71"/>
      <c r="W7644" s="474"/>
      <c r="X7644" s="71"/>
      <c r="Y7644" s="71"/>
    </row>
    <row r="7645" spans="1:25" s="209" customFormat="1" ht="30" hidden="1" customHeight="1" x14ac:dyDescent="0.25">
      <c r="A7645" s="1145">
        <v>45733</v>
      </c>
      <c r="B7645" s="664" t="s">
        <v>2353</v>
      </c>
      <c r="C7645" s="71" t="s">
        <v>130</v>
      </c>
      <c r="D7645" s="71">
        <v>10</v>
      </c>
      <c r="E7645" s="102">
        <v>148000</v>
      </c>
      <c r="F7645" s="102">
        <f t="shared" si="4382"/>
        <v>1628000.0000000002</v>
      </c>
      <c r="G7645" s="102">
        <f t="shared" si="4383"/>
        <v>1480000</v>
      </c>
      <c r="H7645" s="690" t="s">
        <v>142</v>
      </c>
      <c r="I7645" s="71" t="s">
        <v>179</v>
      </c>
      <c r="J7645" s="53">
        <f t="shared" ref="J7645:J7653" si="4384">G7645-T7645</f>
        <v>360000</v>
      </c>
      <c r="K7645" s="63">
        <f t="shared" ref="K7645:K7653" si="4385">(J7645/(F7645/11*10))</f>
        <v>0.2432432432432432</v>
      </c>
      <c r="L7645" s="1212" t="s">
        <v>4332</v>
      </c>
      <c r="M7645" s="468" t="s">
        <v>2050</v>
      </c>
      <c r="N7645" s="1192">
        <f t="shared" ref="N7645:N7659" si="4386">A7645</f>
        <v>45733</v>
      </c>
      <c r="O7645" s="71" t="s">
        <v>3383</v>
      </c>
      <c r="P7645" s="103" t="str">
        <f t="shared" ref="P7645:P7667" si="4387">(C7645)</f>
        <v>XL106 Blanket(1077*885)</v>
      </c>
      <c r="Q7645" s="71">
        <f t="shared" ref="Q7645:Q7658" si="4388">D7645</f>
        <v>10</v>
      </c>
      <c r="R7645" s="102">
        <v>112000</v>
      </c>
      <c r="S7645" s="102">
        <f t="shared" ref="S7645:S7652" si="4389">R7645*Q7645*1.1</f>
        <v>1232000</v>
      </c>
      <c r="T7645" s="102">
        <f t="shared" ref="T7645:T7652" si="4390">R7645*Q7645</f>
        <v>1120000</v>
      </c>
      <c r="U7645" s="71" t="s">
        <v>859</v>
      </c>
      <c r="V7645" s="71"/>
      <c r="W7645" s="474">
        <v>260000</v>
      </c>
      <c r="X7645" s="71"/>
      <c r="Y7645" s="71"/>
    </row>
    <row r="7646" spans="1:25" ht="28.9" hidden="1" customHeight="1" x14ac:dyDescent="0.25">
      <c r="A7646" s="1145">
        <v>45733</v>
      </c>
      <c r="B7646" s="664" t="s">
        <v>2353</v>
      </c>
      <c r="C7646" s="71" t="s">
        <v>129</v>
      </c>
      <c r="D7646" s="71">
        <v>7</v>
      </c>
      <c r="E7646" s="102">
        <v>325000</v>
      </c>
      <c r="F7646" s="102">
        <f t="shared" si="4382"/>
        <v>2502500</v>
      </c>
      <c r="G7646" s="102">
        <f t="shared" si="4383"/>
        <v>2275000</v>
      </c>
      <c r="H7646" s="690" t="s">
        <v>142</v>
      </c>
      <c r="I7646" s="71" t="s">
        <v>179</v>
      </c>
      <c r="J7646" s="53">
        <f t="shared" si="4384"/>
        <v>636440</v>
      </c>
      <c r="K7646" s="63">
        <f t="shared" si="4385"/>
        <v>0.27975384615384613</v>
      </c>
      <c r="L7646" s="1212" t="s">
        <v>4332</v>
      </c>
      <c r="M7646" s="468" t="s">
        <v>2050</v>
      </c>
      <c r="N7646" s="1192">
        <f t="shared" si="4386"/>
        <v>45733</v>
      </c>
      <c r="O7646" s="71" t="s">
        <v>149</v>
      </c>
      <c r="P7646" s="103" t="str">
        <f t="shared" si="4387"/>
        <v>세정포-XL106</v>
      </c>
      <c r="Q7646" s="71">
        <f t="shared" si="4388"/>
        <v>7</v>
      </c>
      <c r="R7646" s="102">
        <v>234080</v>
      </c>
      <c r="S7646" s="102">
        <f t="shared" si="4389"/>
        <v>1802416.0000000002</v>
      </c>
      <c r="T7646" s="102">
        <f t="shared" si="4390"/>
        <v>1638560</v>
      </c>
      <c r="U7646" s="71" t="str">
        <f>IF(J7646=W7646,"O", "X")</f>
        <v>O</v>
      </c>
      <c r="V7646" s="71"/>
      <c r="W7646" s="474">
        <f>(G7646-T7646)</f>
        <v>636440</v>
      </c>
      <c r="X7646" s="71"/>
      <c r="Y7646" s="71"/>
    </row>
    <row r="7647" spans="1:25" s="209" customFormat="1" ht="30" hidden="1" customHeight="1" x14ac:dyDescent="0.25">
      <c r="A7647" s="1145">
        <v>45733</v>
      </c>
      <c r="B7647" s="664" t="s">
        <v>2353</v>
      </c>
      <c r="C7647" s="71" t="s">
        <v>3299</v>
      </c>
      <c r="D7647" s="71">
        <v>10</v>
      </c>
      <c r="E7647" s="102">
        <v>83000</v>
      </c>
      <c r="F7647" s="102">
        <f t="shared" si="4382"/>
        <v>913000.00000000012</v>
      </c>
      <c r="G7647" s="102">
        <f t="shared" si="4383"/>
        <v>830000</v>
      </c>
      <c r="H7647" s="690" t="s">
        <v>142</v>
      </c>
      <c r="I7647" s="71" t="s">
        <v>179</v>
      </c>
      <c r="J7647" s="53">
        <f t="shared" si="4384"/>
        <v>355000</v>
      </c>
      <c r="K7647" s="63">
        <f t="shared" si="4385"/>
        <v>0.42771084337349391</v>
      </c>
      <c r="L7647" s="1212" t="s">
        <v>4332</v>
      </c>
      <c r="M7647" s="468" t="s">
        <v>2214</v>
      </c>
      <c r="N7647" s="1192">
        <f t="shared" si="4386"/>
        <v>45733</v>
      </c>
      <c r="O7647" s="71" t="s">
        <v>3383</v>
      </c>
      <c r="P7647" s="103" t="str">
        <f t="shared" si="4387"/>
        <v>매엽용 세척제(Wash k11)</v>
      </c>
      <c r="Q7647" s="71">
        <f t="shared" si="4388"/>
        <v>10</v>
      </c>
      <c r="R7647" s="102">
        <v>47500</v>
      </c>
      <c r="S7647" s="102">
        <f t="shared" si="4389"/>
        <v>522500.00000000006</v>
      </c>
      <c r="T7647" s="102">
        <f t="shared" si="4390"/>
        <v>475000</v>
      </c>
      <c r="U7647" s="71" t="s">
        <v>859</v>
      </c>
      <c r="V7647" s="71"/>
      <c r="W7647" s="474">
        <v>136000</v>
      </c>
      <c r="X7647" s="71"/>
      <c r="Y7647" s="71"/>
    </row>
    <row r="7648" spans="1:25" s="209" customFormat="1" ht="30" hidden="1" customHeight="1" x14ac:dyDescent="0.25">
      <c r="A7648" s="1145">
        <v>45733</v>
      </c>
      <c r="B7648" s="664" t="s">
        <v>2353</v>
      </c>
      <c r="C7648" s="71" t="s">
        <v>3843</v>
      </c>
      <c r="D7648" s="71">
        <v>7</v>
      </c>
      <c r="E7648" s="102">
        <v>180000</v>
      </c>
      <c r="F7648" s="102">
        <f t="shared" si="4382"/>
        <v>1386000</v>
      </c>
      <c r="G7648" s="102">
        <f t="shared" si="4383"/>
        <v>1260000</v>
      </c>
      <c r="H7648" s="690" t="s">
        <v>179</v>
      </c>
      <c r="I7648" s="71" t="s">
        <v>179</v>
      </c>
      <c r="J7648" s="53">
        <f t="shared" si="4384"/>
        <v>336000</v>
      </c>
      <c r="K7648" s="63">
        <f t="shared" si="4385"/>
        <v>0.26666666666666666</v>
      </c>
      <c r="L7648" s="1212" t="s">
        <v>4332</v>
      </c>
      <c r="M7648" s="468"/>
      <c r="N7648" s="1192">
        <f t="shared" si="4386"/>
        <v>45733</v>
      </c>
      <c r="O7648" s="71" t="s">
        <v>3383</v>
      </c>
      <c r="P7648" s="103" t="str">
        <f t="shared" si="4387"/>
        <v>수이보 세척액(습수액 클리너)</v>
      </c>
      <c r="Q7648" s="71">
        <f t="shared" si="4388"/>
        <v>7</v>
      </c>
      <c r="R7648" s="102">
        <f>11000*12</f>
        <v>132000</v>
      </c>
      <c r="S7648" s="102">
        <f t="shared" si="4389"/>
        <v>1016400.0000000001</v>
      </c>
      <c r="T7648" s="102">
        <f t="shared" si="4390"/>
        <v>924000</v>
      </c>
      <c r="U7648" s="71"/>
      <c r="V7648" s="71"/>
      <c r="W7648" s="474"/>
      <c r="X7648" s="71"/>
      <c r="Y7648" s="71"/>
    </row>
    <row r="7649" spans="1:25" ht="30" hidden="1" customHeight="1" x14ac:dyDescent="0.25">
      <c r="A7649" s="1145">
        <v>45733</v>
      </c>
      <c r="B7649" s="664" t="s">
        <v>2579</v>
      </c>
      <c r="C7649" s="71" t="s">
        <v>3738</v>
      </c>
      <c r="D7649" s="71">
        <v>20</v>
      </c>
      <c r="E7649" s="102">
        <v>130000</v>
      </c>
      <c r="F7649" s="102">
        <f t="shared" si="4382"/>
        <v>2860000</v>
      </c>
      <c r="G7649" s="102">
        <f t="shared" si="4383"/>
        <v>2600000</v>
      </c>
      <c r="H7649" s="690" t="s">
        <v>142</v>
      </c>
      <c r="I7649" s="71" t="s">
        <v>142</v>
      </c>
      <c r="J7649" s="53">
        <f t="shared" si="4384"/>
        <v>678000</v>
      </c>
      <c r="K7649" s="63">
        <f t="shared" si="4385"/>
        <v>0.26076923076923075</v>
      </c>
      <c r="L7649" s="1212" t="s">
        <v>4332</v>
      </c>
      <c r="M7649" s="468"/>
      <c r="N7649" s="1192">
        <f t="shared" si="4386"/>
        <v>45733</v>
      </c>
      <c r="O7649" s="71" t="s">
        <v>147</v>
      </c>
      <c r="P7649" s="103" t="str">
        <f t="shared" si="4387"/>
        <v>블랑켓 - 고모리 용 (1040*920)</v>
      </c>
      <c r="Q7649" s="71">
        <f t="shared" si="4388"/>
        <v>20</v>
      </c>
      <c r="R7649" s="102">
        <v>96100</v>
      </c>
      <c r="S7649" s="102">
        <f t="shared" si="4389"/>
        <v>2114200</v>
      </c>
      <c r="T7649" s="102">
        <f t="shared" si="4390"/>
        <v>1922000</v>
      </c>
      <c r="U7649" s="71"/>
      <c r="V7649" s="71"/>
      <c r="W7649" s="474"/>
      <c r="X7649" s="71"/>
      <c r="Y7649" s="71"/>
    </row>
    <row r="7650" spans="1:25" ht="30" customHeight="1" x14ac:dyDescent="0.25">
      <c r="A7650" s="1145">
        <v>45729</v>
      </c>
      <c r="B7650" s="664" t="s">
        <v>2352</v>
      </c>
      <c r="C7650" s="760" t="s">
        <v>218</v>
      </c>
      <c r="D7650" s="71">
        <v>3</v>
      </c>
      <c r="E7650" s="102">
        <v>286000</v>
      </c>
      <c r="F7650" s="102">
        <f t="shared" si="4382"/>
        <v>943800.00000000012</v>
      </c>
      <c r="G7650" s="102">
        <f t="shared" si="4383"/>
        <v>858000</v>
      </c>
      <c r="H7650" s="690" t="s">
        <v>142</v>
      </c>
      <c r="I7650" s="71" t="s">
        <v>179</v>
      </c>
      <c r="J7650" s="53">
        <f t="shared" si="4384"/>
        <v>486000</v>
      </c>
      <c r="K7650" s="63">
        <f t="shared" si="4385"/>
        <v>0.56643356643356635</v>
      </c>
      <c r="L7650" s="1212" t="s">
        <v>4332</v>
      </c>
      <c r="M7650" s="468" t="s">
        <v>2053</v>
      </c>
      <c r="N7650" s="1192">
        <f t="shared" si="4386"/>
        <v>45729</v>
      </c>
      <c r="O7650" s="71" t="s">
        <v>150</v>
      </c>
      <c r="P7650" s="103" t="str">
        <f t="shared" si="4387"/>
        <v>Fount Web 551AF</v>
      </c>
      <c r="Q7650" s="71">
        <f t="shared" si="4388"/>
        <v>3</v>
      </c>
      <c r="R7650" s="102">
        <v>124000</v>
      </c>
      <c r="S7650" s="102">
        <f t="shared" si="4389"/>
        <v>409200.00000000006</v>
      </c>
      <c r="T7650" s="102">
        <f t="shared" si="4390"/>
        <v>372000</v>
      </c>
      <c r="U7650" s="71" t="str">
        <f>IF(J7650=W7650,"O", "X")</f>
        <v>O</v>
      </c>
      <c r="V7650" s="71"/>
      <c r="W7650" s="474">
        <f>(G7650-T7650)</f>
        <v>486000</v>
      </c>
      <c r="X7650" s="71"/>
      <c r="Y7650" s="71"/>
    </row>
    <row r="7651" spans="1:25" ht="30" customHeight="1" x14ac:dyDescent="0.25">
      <c r="A7651" s="1145">
        <v>45729</v>
      </c>
      <c r="B7651" s="664" t="s">
        <v>2352</v>
      </c>
      <c r="C7651" s="71" t="s">
        <v>692</v>
      </c>
      <c r="D7651" s="71">
        <v>6</v>
      </c>
      <c r="E7651" s="102">
        <v>264000</v>
      </c>
      <c r="F7651" s="102">
        <f t="shared" si="4382"/>
        <v>1742400.0000000002</v>
      </c>
      <c r="G7651" s="102">
        <f t="shared" si="4383"/>
        <v>1584000</v>
      </c>
      <c r="H7651" s="690" t="s">
        <v>142</v>
      </c>
      <c r="I7651" s="71" t="s">
        <v>179</v>
      </c>
      <c r="J7651" s="53">
        <f t="shared" si="4384"/>
        <v>585000</v>
      </c>
      <c r="K7651" s="63">
        <f t="shared" si="4385"/>
        <v>0.36931818181818177</v>
      </c>
      <c r="L7651" s="1212" t="s">
        <v>4332</v>
      </c>
      <c r="M7651" s="468" t="s">
        <v>2052</v>
      </c>
      <c r="N7651" s="1192">
        <f t="shared" si="4386"/>
        <v>45729</v>
      </c>
      <c r="O7651" s="71" t="s">
        <v>150</v>
      </c>
      <c r="P7651" s="103" t="str">
        <f t="shared" si="4387"/>
        <v>윤전 블랑켓</v>
      </c>
      <c r="Q7651" s="71">
        <f t="shared" si="4388"/>
        <v>6</v>
      </c>
      <c r="R7651" s="102">
        <v>166500</v>
      </c>
      <c r="S7651" s="102">
        <f t="shared" si="4389"/>
        <v>1098900</v>
      </c>
      <c r="T7651" s="102">
        <f t="shared" si="4390"/>
        <v>999000</v>
      </c>
      <c r="U7651" s="71" t="str">
        <f>IF(J7651=W7651,"O", "X")</f>
        <v>O</v>
      </c>
      <c r="V7651" s="71" t="s">
        <v>784</v>
      </c>
      <c r="W7651" s="474">
        <f>(G7651-T7651)</f>
        <v>585000</v>
      </c>
      <c r="X7651" s="71"/>
      <c r="Y7651" s="71"/>
    </row>
    <row r="7652" spans="1:25" ht="30" customHeight="1" x14ac:dyDescent="0.25">
      <c r="A7652" s="1145">
        <v>45743</v>
      </c>
      <c r="B7652" s="664" t="s">
        <v>2352</v>
      </c>
      <c r="C7652" s="71" t="s">
        <v>3838</v>
      </c>
      <c r="D7652" s="71">
        <v>20</v>
      </c>
      <c r="E7652" s="102">
        <v>20000</v>
      </c>
      <c r="F7652" s="102">
        <f t="shared" si="4382"/>
        <v>440000.00000000006</v>
      </c>
      <c r="G7652" s="102">
        <f t="shared" si="4383"/>
        <v>400000</v>
      </c>
      <c r="H7652" s="690" t="s">
        <v>179</v>
      </c>
      <c r="I7652" s="71" t="s">
        <v>179</v>
      </c>
      <c r="J7652" s="53">
        <f t="shared" si="4384"/>
        <v>370000</v>
      </c>
      <c r="K7652" s="63">
        <f t="shared" si="4385"/>
        <v>0.92499999999999982</v>
      </c>
      <c r="L7652" s="1212" t="s">
        <v>4332</v>
      </c>
      <c r="M7652" s="468"/>
      <c r="N7652" s="1192">
        <f t="shared" si="4386"/>
        <v>45743</v>
      </c>
      <c r="O7652" s="71" t="s">
        <v>4264</v>
      </c>
      <c r="P7652" s="103" t="str">
        <f t="shared" si="4387"/>
        <v>센서 테이프 - 흑색</v>
      </c>
      <c r="Q7652" s="71">
        <f t="shared" si="4388"/>
        <v>20</v>
      </c>
      <c r="R7652" s="102">
        <v>1500</v>
      </c>
      <c r="S7652" s="102">
        <f t="shared" si="4389"/>
        <v>33000</v>
      </c>
      <c r="T7652" s="102">
        <f t="shared" si="4390"/>
        <v>30000</v>
      </c>
      <c r="U7652" s="71"/>
      <c r="V7652" s="71"/>
      <c r="W7652" s="474"/>
      <c r="X7652" s="71"/>
      <c r="Y7652" s="71"/>
    </row>
    <row r="7653" spans="1:25" ht="30" customHeight="1" x14ac:dyDescent="0.25">
      <c r="A7653" s="1145">
        <v>45720</v>
      </c>
      <c r="B7653" s="664" t="s">
        <v>2352</v>
      </c>
      <c r="C7653" s="71" t="s">
        <v>114</v>
      </c>
      <c r="D7653" s="71">
        <v>40</v>
      </c>
      <c r="E7653" s="102">
        <v>22000</v>
      </c>
      <c r="F7653" s="102">
        <f t="shared" si="4382"/>
        <v>968000.00000000012</v>
      </c>
      <c r="G7653" s="102">
        <f t="shared" si="4383"/>
        <v>880000</v>
      </c>
      <c r="H7653" s="690" t="s">
        <v>1431</v>
      </c>
      <c r="I7653" s="71" t="s">
        <v>1431</v>
      </c>
      <c r="J7653" s="53">
        <f t="shared" si="4384"/>
        <v>400000</v>
      </c>
      <c r="K7653" s="63">
        <f t="shared" si="4385"/>
        <v>0.45454545454545447</v>
      </c>
      <c r="L7653" s="1212" t="s">
        <v>4332</v>
      </c>
      <c r="M7653" s="102"/>
      <c r="N7653" s="1192">
        <f t="shared" si="4386"/>
        <v>45720</v>
      </c>
      <c r="O7653" s="71" t="s">
        <v>1431</v>
      </c>
      <c r="P7653" s="103" t="str">
        <f t="shared" si="4387"/>
        <v>스트리퍼</v>
      </c>
      <c r="Q7653" s="71">
        <f t="shared" si="4388"/>
        <v>40</v>
      </c>
      <c r="R7653" s="102">
        <v>12000</v>
      </c>
      <c r="S7653" s="102">
        <f t="shared" ref="S7653:S7655" si="4391">R7653*Q7653*1.1</f>
        <v>528000</v>
      </c>
      <c r="T7653" s="102">
        <f t="shared" ref="T7653:T7655" si="4392">R7653*Q7653</f>
        <v>480000</v>
      </c>
      <c r="U7653" s="71"/>
      <c r="V7653" s="71"/>
      <c r="W7653" s="474"/>
      <c r="X7653" s="71"/>
      <c r="Y7653" s="71"/>
    </row>
    <row r="7654" spans="1:25" ht="30" customHeight="1" x14ac:dyDescent="0.25">
      <c r="A7654" s="1145">
        <v>45720</v>
      </c>
      <c r="B7654" s="664" t="s">
        <v>2352</v>
      </c>
      <c r="C7654" s="71" t="s">
        <v>3460</v>
      </c>
      <c r="D7654" s="71">
        <v>1</v>
      </c>
      <c r="E7654" s="102">
        <v>300000</v>
      </c>
      <c r="F7654" s="102">
        <f t="shared" si="4382"/>
        <v>330000</v>
      </c>
      <c r="G7654" s="102">
        <f t="shared" si="4383"/>
        <v>300000</v>
      </c>
      <c r="H7654" s="690" t="s">
        <v>1431</v>
      </c>
      <c r="I7654" s="71" t="s">
        <v>1431</v>
      </c>
      <c r="J7654" s="53"/>
      <c r="K7654" s="63"/>
      <c r="L7654" s="1212" t="s">
        <v>4332</v>
      </c>
      <c r="M7654" s="468"/>
      <c r="N7654" s="1192">
        <f t="shared" si="4386"/>
        <v>45720</v>
      </c>
      <c r="O7654" s="71" t="s">
        <v>1431</v>
      </c>
      <c r="P7654" s="103" t="str">
        <f t="shared" si="4387"/>
        <v>마이크로 스위치</v>
      </c>
      <c r="Q7654" s="71">
        <f t="shared" si="4388"/>
        <v>1</v>
      </c>
      <c r="R7654" s="147"/>
      <c r="S7654" s="102">
        <f t="shared" si="4391"/>
        <v>0</v>
      </c>
      <c r="T7654" s="102">
        <f t="shared" si="4392"/>
        <v>0</v>
      </c>
      <c r="U7654" s="71"/>
      <c r="V7654" s="71"/>
      <c r="W7654" s="474"/>
      <c r="X7654" s="71"/>
      <c r="Y7654" s="71"/>
    </row>
    <row r="7655" spans="1:25" ht="30" customHeight="1" x14ac:dyDescent="0.25">
      <c r="A7655" s="1145">
        <v>45720</v>
      </c>
      <c r="B7655" s="664" t="s">
        <v>2352</v>
      </c>
      <c r="C7655" s="71" t="s">
        <v>891</v>
      </c>
      <c r="D7655" s="71">
        <v>2</v>
      </c>
      <c r="E7655" s="102">
        <v>1250000</v>
      </c>
      <c r="F7655" s="102">
        <f t="shared" si="4382"/>
        <v>2750000</v>
      </c>
      <c r="G7655" s="102">
        <f t="shared" si="4383"/>
        <v>2500000</v>
      </c>
      <c r="H7655" s="690" t="s">
        <v>1431</v>
      </c>
      <c r="I7655" s="71" t="s">
        <v>1431</v>
      </c>
      <c r="J7655" s="53"/>
      <c r="K7655" s="63"/>
      <c r="L7655" s="1212" t="s">
        <v>4332</v>
      </c>
      <c r="M7655" s="102"/>
      <c r="N7655" s="1192">
        <f t="shared" si="4386"/>
        <v>45720</v>
      </c>
      <c r="O7655" s="71" t="s">
        <v>1431</v>
      </c>
      <c r="P7655" s="103" t="str">
        <f t="shared" si="4387"/>
        <v>온도 센서</v>
      </c>
      <c r="Q7655" s="71">
        <f t="shared" si="4388"/>
        <v>2</v>
      </c>
      <c r="R7655" s="102"/>
      <c r="S7655" s="102">
        <f t="shared" si="4391"/>
        <v>0</v>
      </c>
      <c r="T7655" s="102">
        <f t="shared" si="4392"/>
        <v>0</v>
      </c>
      <c r="U7655" s="71"/>
      <c r="V7655" s="71"/>
      <c r="W7655" s="474"/>
      <c r="X7655" s="71"/>
      <c r="Y7655" s="71"/>
    </row>
    <row r="7656" spans="1:25" ht="30" customHeight="1" x14ac:dyDescent="0.25">
      <c r="A7656" s="1145">
        <v>45720</v>
      </c>
      <c r="B7656" s="664" t="s">
        <v>2352</v>
      </c>
      <c r="C7656" s="71" t="s">
        <v>891</v>
      </c>
      <c r="D7656" s="71">
        <v>2</v>
      </c>
      <c r="E7656" s="102">
        <v>1150000</v>
      </c>
      <c r="F7656" s="102">
        <f t="shared" si="4382"/>
        <v>2530000</v>
      </c>
      <c r="G7656" s="102">
        <f t="shared" si="4383"/>
        <v>2300000</v>
      </c>
      <c r="H7656" s="690" t="s">
        <v>1431</v>
      </c>
      <c r="I7656" s="71" t="s">
        <v>1431</v>
      </c>
      <c r="J7656" s="53"/>
      <c r="K7656" s="63"/>
      <c r="L7656" s="1212" t="s">
        <v>4332</v>
      </c>
      <c r="M7656" s="468"/>
      <c r="N7656" s="1192">
        <f t="shared" si="4386"/>
        <v>45720</v>
      </c>
      <c r="O7656" s="71" t="s">
        <v>1431</v>
      </c>
      <c r="P7656" s="103" t="str">
        <f t="shared" si="4387"/>
        <v>온도 센서</v>
      </c>
      <c r="Q7656" s="71">
        <f t="shared" si="4388"/>
        <v>2</v>
      </c>
      <c r="R7656" s="147"/>
      <c r="S7656" s="102">
        <f t="shared" ref="S7656:S7716" si="4393">R7656*Q7656*1.1</f>
        <v>0</v>
      </c>
      <c r="T7656" s="102">
        <f t="shared" ref="T7656:T7716" si="4394">R7656*Q7656</f>
        <v>0</v>
      </c>
      <c r="U7656" s="71"/>
      <c r="V7656" s="71"/>
      <c r="W7656" s="474"/>
      <c r="X7656" s="71"/>
      <c r="Y7656" s="71"/>
    </row>
    <row r="7657" spans="1:25" ht="30" customHeight="1" x14ac:dyDescent="0.25">
      <c r="A7657" s="1145">
        <v>45720</v>
      </c>
      <c r="B7657" s="664" t="s">
        <v>2352</v>
      </c>
      <c r="C7657" s="71" t="s">
        <v>960</v>
      </c>
      <c r="D7657" s="71">
        <v>4</v>
      </c>
      <c r="E7657" s="102">
        <v>320000</v>
      </c>
      <c r="F7657" s="102">
        <f t="shared" si="4382"/>
        <v>1408000</v>
      </c>
      <c r="G7657" s="102">
        <f t="shared" si="4383"/>
        <v>1280000</v>
      </c>
      <c r="H7657" s="690" t="s">
        <v>1431</v>
      </c>
      <c r="I7657" s="71" t="s">
        <v>1431</v>
      </c>
      <c r="J7657" s="53"/>
      <c r="K7657" s="63"/>
      <c r="L7657" s="1212" t="s">
        <v>4332</v>
      </c>
      <c r="M7657" s="102"/>
      <c r="N7657" s="1192">
        <f t="shared" si="4386"/>
        <v>45720</v>
      </c>
      <c r="O7657" s="71" t="s">
        <v>1431</v>
      </c>
      <c r="P7657" s="103" t="str">
        <f t="shared" si="4387"/>
        <v>파이프</v>
      </c>
      <c r="Q7657" s="71">
        <f t="shared" si="4388"/>
        <v>4</v>
      </c>
      <c r="R7657" s="102"/>
      <c r="S7657" s="102">
        <f t="shared" si="4393"/>
        <v>0</v>
      </c>
      <c r="T7657" s="102">
        <f t="shared" si="4394"/>
        <v>0</v>
      </c>
      <c r="U7657" s="71"/>
      <c r="V7657" s="71"/>
      <c r="W7657" s="474"/>
      <c r="X7657" s="71"/>
      <c r="Y7657" s="71"/>
    </row>
    <row r="7658" spans="1:25" ht="30" customHeight="1" x14ac:dyDescent="0.25">
      <c r="A7658" s="1145">
        <v>45720</v>
      </c>
      <c r="B7658" s="664" t="s">
        <v>2352</v>
      </c>
      <c r="C7658" s="71" t="s">
        <v>4331</v>
      </c>
      <c r="D7658" s="71">
        <v>1</v>
      </c>
      <c r="E7658" s="102">
        <v>1500000</v>
      </c>
      <c r="F7658" s="102">
        <f t="shared" si="4382"/>
        <v>1650000.0000000002</v>
      </c>
      <c r="G7658" s="102">
        <f t="shared" si="4383"/>
        <v>1500000</v>
      </c>
      <c r="H7658" s="690" t="s">
        <v>1431</v>
      </c>
      <c r="I7658" s="71" t="s">
        <v>1431</v>
      </c>
      <c r="J7658" s="53"/>
      <c r="K7658" s="63"/>
      <c r="L7658" s="1212" t="s">
        <v>4332</v>
      </c>
      <c r="M7658" s="468"/>
      <c r="N7658" s="1192">
        <f t="shared" si="4386"/>
        <v>45720</v>
      </c>
      <c r="O7658" s="71" t="s">
        <v>1431</v>
      </c>
      <c r="P7658" s="103" t="str">
        <f t="shared" si="4387"/>
        <v>압력 컨버터</v>
      </c>
      <c r="Q7658" s="71">
        <f t="shared" si="4388"/>
        <v>1</v>
      </c>
      <c r="R7658" s="147"/>
      <c r="S7658" s="102">
        <f t="shared" si="4393"/>
        <v>0</v>
      </c>
      <c r="T7658" s="102">
        <f t="shared" si="4394"/>
        <v>0</v>
      </c>
      <c r="U7658" s="71"/>
      <c r="V7658" s="71"/>
      <c r="W7658" s="474"/>
      <c r="X7658" s="71"/>
      <c r="Y7658" s="71"/>
    </row>
    <row r="7659" spans="1:25" ht="30" customHeight="1" x14ac:dyDescent="0.25">
      <c r="A7659" s="1145">
        <v>45728</v>
      </c>
      <c r="B7659" s="664" t="s">
        <v>2352</v>
      </c>
      <c r="C7659" s="71" t="s">
        <v>1297</v>
      </c>
      <c r="D7659" s="71">
        <v>1</v>
      </c>
      <c r="E7659" s="102">
        <v>1500000</v>
      </c>
      <c r="F7659" s="102">
        <f t="shared" ref="F7659:F7667" si="4395">(E7659*D7659)*1.1</f>
        <v>1650000.0000000002</v>
      </c>
      <c r="G7659" s="102">
        <f t="shared" ref="G7659:G7667" si="4396">(E7659*D7659)</f>
        <v>1500000</v>
      </c>
      <c r="H7659" s="690" t="s">
        <v>1431</v>
      </c>
      <c r="I7659" s="71" t="s">
        <v>1431</v>
      </c>
      <c r="J7659" s="53"/>
      <c r="K7659" s="63"/>
      <c r="L7659" s="1212" t="s">
        <v>4332</v>
      </c>
      <c r="M7659" s="102"/>
      <c r="N7659" s="1192">
        <f t="shared" si="4386"/>
        <v>45728</v>
      </c>
      <c r="O7659" s="71" t="s">
        <v>1431</v>
      </c>
      <c r="P7659" s="103" t="str">
        <f t="shared" si="4387"/>
        <v>잉크집 호일</v>
      </c>
      <c r="Q7659" s="71"/>
      <c r="R7659" s="102"/>
      <c r="S7659" s="102">
        <f t="shared" si="4393"/>
        <v>0</v>
      </c>
      <c r="T7659" s="102">
        <f t="shared" si="4394"/>
        <v>0</v>
      </c>
      <c r="U7659" s="71"/>
      <c r="V7659" s="71"/>
      <c r="W7659" s="474"/>
      <c r="X7659" s="71"/>
      <c r="Y7659" s="71"/>
    </row>
    <row r="7660" spans="1:25" s="209" customFormat="1" ht="29.45" hidden="1" customHeight="1" x14ac:dyDescent="0.2">
      <c r="A7660" s="1145">
        <v>45729</v>
      </c>
      <c r="B7660" s="664" t="s">
        <v>4059</v>
      </c>
      <c r="C7660" s="71" t="s">
        <v>4061</v>
      </c>
      <c r="D7660" s="71">
        <v>10</v>
      </c>
      <c r="E7660" s="102">
        <v>130000</v>
      </c>
      <c r="F7660" s="102">
        <f t="shared" si="4395"/>
        <v>1430000</v>
      </c>
      <c r="G7660" s="102">
        <f t="shared" si="4396"/>
        <v>1300000</v>
      </c>
      <c r="H7660" s="165" t="s">
        <v>172</v>
      </c>
      <c r="I7660" s="71" t="s">
        <v>184</v>
      </c>
      <c r="J7660" s="53">
        <f t="shared" ref="J7660:J7667" si="4397">G7660-T7660</f>
        <v>180000</v>
      </c>
      <c r="K7660" s="63">
        <f t="shared" ref="K7660:K7667" si="4398">(J7660/(F7660/11*10))</f>
        <v>0.13846153846153847</v>
      </c>
      <c r="L7660" s="1212" t="s">
        <v>4332</v>
      </c>
      <c r="M7660" s="468"/>
      <c r="N7660" s="1192">
        <f t="shared" ref="N7660:N7667" si="4399">A7660</f>
        <v>45729</v>
      </c>
      <c r="O7660" s="71" t="s">
        <v>189</v>
      </c>
      <c r="P7660" s="103" t="str">
        <f t="shared" si="4387"/>
        <v>M600 Blanket(990*725)</v>
      </c>
      <c r="Q7660" s="71">
        <f t="shared" ref="Q7660:Q7667" si="4400">D7660</f>
        <v>10</v>
      </c>
      <c r="R7660" s="102">
        <v>112000</v>
      </c>
      <c r="S7660" s="102">
        <f t="shared" si="4393"/>
        <v>1232000</v>
      </c>
      <c r="T7660" s="102">
        <f t="shared" si="4394"/>
        <v>1120000</v>
      </c>
      <c r="U7660" s="71" t="str">
        <f>IF(J7660=W7660,"O", "X")</f>
        <v>X</v>
      </c>
      <c r="V7660" s="71"/>
      <c r="W7660" s="474">
        <v>80000</v>
      </c>
      <c r="X7660" s="71"/>
      <c r="Y7660" s="71"/>
    </row>
    <row r="7661" spans="1:25" ht="30" hidden="1" customHeight="1" x14ac:dyDescent="0.25">
      <c r="A7661" s="1145">
        <v>45716</v>
      </c>
      <c r="B7661" s="664" t="s">
        <v>2261</v>
      </c>
      <c r="C7661" s="760" t="s">
        <v>181</v>
      </c>
      <c r="D7661" s="71">
        <v>5</v>
      </c>
      <c r="E7661" s="102">
        <v>193000</v>
      </c>
      <c r="F7661" s="102">
        <f t="shared" si="4395"/>
        <v>1061500</v>
      </c>
      <c r="G7661" s="102">
        <f t="shared" si="4396"/>
        <v>965000</v>
      </c>
      <c r="H7661" s="690" t="s">
        <v>2029</v>
      </c>
      <c r="I7661" s="71" t="s">
        <v>182</v>
      </c>
      <c r="J7661" s="53">
        <f t="shared" si="4397"/>
        <v>345000</v>
      </c>
      <c r="K7661" s="63">
        <f t="shared" si="4398"/>
        <v>0.35751295336787564</v>
      </c>
      <c r="L7661" s="1212" t="s">
        <v>4332</v>
      </c>
      <c r="M7661" s="468"/>
      <c r="N7661" s="1192">
        <f t="shared" si="4399"/>
        <v>45716</v>
      </c>
      <c r="O7661" s="71" t="s">
        <v>2030</v>
      </c>
      <c r="P7661" s="103" t="str">
        <f t="shared" si="4387"/>
        <v>Fount Web 551AF</v>
      </c>
      <c r="Q7661" s="71">
        <f t="shared" si="4400"/>
        <v>5</v>
      </c>
      <c r="R7661" s="102">
        <v>124000</v>
      </c>
      <c r="S7661" s="102">
        <f t="shared" si="4393"/>
        <v>682000</v>
      </c>
      <c r="T7661" s="102">
        <f t="shared" si="4394"/>
        <v>620000</v>
      </c>
      <c r="U7661" s="71" t="str">
        <f>IF(J7661=W7661,"O", "X")</f>
        <v>X</v>
      </c>
      <c r="V7661" s="71"/>
      <c r="W7661" s="474">
        <v>640000</v>
      </c>
      <c r="X7661" s="71"/>
      <c r="Y7661" s="71"/>
    </row>
    <row r="7662" spans="1:25" ht="30" hidden="1" customHeight="1" x14ac:dyDescent="0.25">
      <c r="A7662" s="1145">
        <v>45716</v>
      </c>
      <c r="B7662" s="664" t="s">
        <v>2261</v>
      </c>
      <c r="C7662" s="71" t="s">
        <v>277</v>
      </c>
      <c r="D7662" s="71">
        <v>10</v>
      </c>
      <c r="E7662" s="102">
        <v>172000</v>
      </c>
      <c r="F7662" s="102">
        <f t="shared" si="4395"/>
        <v>1892000.0000000002</v>
      </c>
      <c r="G7662" s="102">
        <f t="shared" si="4396"/>
        <v>1720000</v>
      </c>
      <c r="H7662" s="690" t="s">
        <v>172</v>
      </c>
      <c r="I7662" s="71" t="s">
        <v>108</v>
      </c>
      <c r="J7662" s="53">
        <f t="shared" si="4397"/>
        <v>430000</v>
      </c>
      <c r="K7662" s="63">
        <f t="shared" si="4398"/>
        <v>0.24999999999999997</v>
      </c>
      <c r="L7662" s="1212" t="s">
        <v>4332</v>
      </c>
      <c r="M7662" s="468"/>
      <c r="N7662" s="1192">
        <f t="shared" si="4399"/>
        <v>45716</v>
      </c>
      <c r="O7662" s="71" t="s">
        <v>662</v>
      </c>
      <c r="P7662" s="103" t="str">
        <f t="shared" si="4387"/>
        <v>윤전용 세척제(Web 504)</v>
      </c>
      <c r="Q7662" s="71">
        <f t="shared" si="4400"/>
        <v>10</v>
      </c>
      <c r="R7662" s="102">
        <v>129000</v>
      </c>
      <c r="S7662" s="102">
        <f t="shared" si="4393"/>
        <v>1419000</v>
      </c>
      <c r="T7662" s="102">
        <f t="shared" si="4394"/>
        <v>1290000</v>
      </c>
      <c r="U7662" s="71" t="str">
        <f>IF(J7662=W7662,"O", "X")</f>
        <v>X</v>
      </c>
      <c r="V7662" s="71"/>
      <c r="W7662" s="474"/>
      <c r="X7662" s="71"/>
      <c r="Y7662" s="71"/>
    </row>
    <row r="7663" spans="1:25" ht="30" hidden="1" customHeight="1" x14ac:dyDescent="0.25">
      <c r="A7663" s="1145">
        <v>45716</v>
      </c>
      <c r="B7663" s="664" t="s">
        <v>2261</v>
      </c>
      <c r="C7663" s="71" t="s">
        <v>3299</v>
      </c>
      <c r="D7663" s="71">
        <v>10</v>
      </c>
      <c r="E7663" s="102">
        <v>52000</v>
      </c>
      <c r="F7663" s="102">
        <f t="shared" si="4395"/>
        <v>572000</v>
      </c>
      <c r="G7663" s="102">
        <f t="shared" si="4396"/>
        <v>520000</v>
      </c>
      <c r="H7663" s="690" t="s">
        <v>172</v>
      </c>
      <c r="I7663" s="71" t="s">
        <v>180</v>
      </c>
      <c r="J7663" s="53">
        <f t="shared" si="4397"/>
        <v>45000</v>
      </c>
      <c r="K7663" s="63">
        <f t="shared" si="4398"/>
        <v>8.6538461538461536E-2</v>
      </c>
      <c r="L7663" s="1212" t="s">
        <v>4332</v>
      </c>
      <c r="M7663" s="468" t="s">
        <v>3835</v>
      </c>
      <c r="N7663" s="1192">
        <f t="shared" si="4399"/>
        <v>45716</v>
      </c>
      <c r="O7663" s="71" t="s">
        <v>175</v>
      </c>
      <c r="P7663" s="103" t="str">
        <f t="shared" si="4387"/>
        <v>매엽용 세척제(Wash k11)</v>
      </c>
      <c r="Q7663" s="71">
        <f t="shared" si="4400"/>
        <v>10</v>
      </c>
      <c r="R7663" s="102">
        <v>47500</v>
      </c>
      <c r="S7663" s="102">
        <f t="shared" si="4393"/>
        <v>522500.00000000006</v>
      </c>
      <c r="T7663" s="102">
        <f t="shared" si="4394"/>
        <v>475000</v>
      </c>
      <c r="U7663" s="71" t="s">
        <v>859</v>
      </c>
      <c r="V7663" s="71"/>
      <c r="W7663" s="474"/>
      <c r="X7663" s="71"/>
      <c r="Y7663" s="71"/>
    </row>
    <row r="7664" spans="1:25" ht="30" hidden="1" customHeight="1" x14ac:dyDescent="0.25">
      <c r="A7664" s="1145">
        <v>45723</v>
      </c>
      <c r="B7664" s="664" t="s">
        <v>2261</v>
      </c>
      <c r="C7664" s="760" t="s">
        <v>181</v>
      </c>
      <c r="D7664" s="71">
        <v>5</v>
      </c>
      <c r="E7664" s="102">
        <v>193000</v>
      </c>
      <c r="F7664" s="102">
        <f t="shared" si="4395"/>
        <v>1061500</v>
      </c>
      <c r="G7664" s="102">
        <f t="shared" si="4396"/>
        <v>965000</v>
      </c>
      <c r="H7664" s="690" t="s">
        <v>2029</v>
      </c>
      <c r="I7664" s="71" t="s">
        <v>182</v>
      </c>
      <c r="J7664" s="53">
        <f t="shared" si="4397"/>
        <v>345000</v>
      </c>
      <c r="K7664" s="63">
        <f t="shared" si="4398"/>
        <v>0.35751295336787564</v>
      </c>
      <c r="L7664" s="1212" t="s">
        <v>4332</v>
      </c>
      <c r="M7664" s="468"/>
      <c r="N7664" s="1192">
        <f t="shared" si="4399"/>
        <v>45723</v>
      </c>
      <c r="O7664" s="71" t="s">
        <v>2030</v>
      </c>
      <c r="P7664" s="103" t="str">
        <f t="shared" si="4387"/>
        <v>Fount Web 551AF</v>
      </c>
      <c r="Q7664" s="71">
        <f t="shared" si="4400"/>
        <v>5</v>
      </c>
      <c r="R7664" s="102">
        <v>124000</v>
      </c>
      <c r="S7664" s="102">
        <f t="shared" si="4393"/>
        <v>682000</v>
      </c>
      <c r="T7664" s="102">
        <f t="shared" si="4394"/>
        <v>620000</v>
      </c>
      <c r="U7664" s="71" t="str">
        <f>IF(J7664=W7664,"O", "X")</f>
        <v>X</v>
      </c>
      <c r="V7664" s="71"/>
      <c r="W7664" s="474">
        <v>640000</v>
      </c>
      <c r="X7664" s="71"/>
      <c r="Y7664" s="71"/>
    </row>
    <row r="7665" spans="1:25" ht="30" hidden="1" customHeight="1" x14ac:dyDescent="0.25">
      <c r="A7665" s="1145">
        <v>45723</v>
      </c>
      <c r="B7665" s="664" t="s">
        <v>2261</v>
      </c>
      <c r="C7665" s="71" t="s">
        <v>3299</v>
      </c>
      <c r="D7665" s="71">
        <v>10</v>
      </c>
      <c r="E7665" s="102">
        <v>52000</v>
      </c>
      <c r="F7665" s="102">
        <f t="shared" si="4395"/>
        <v>572000</v>
      </c>
      <c r="G7665" s="102">
        <f t="shared" si="4396"/>
        <v>520000</v>
      </c>
      <c r="H7665" s="690" t="s">
        <v>172</v>
      </c>
      <c r="I7665" s="71" t="s">
        <v>180</v>
      </c>
      <c r="J7665" s="53">
        <f t="shared" si="4397"/>
        <v>45000</v>
      </c>
      <c r="K7665" s="63">
        <f t="shared" si="4398"/>
        <v>8.6538461538461536E-2</v>
      </c>
      <c r="L7665" s="1212" t="s">
        <v>4332</v>
      </c>
      <c r="M7665" s="468" t="s">
        <v>3835</v>
      </c>
      <c r="N7665" s="1192">
        <f t="shared" si="4399"/>
        <v>45723</v>
      </c>
      <c r="O7665" s="71" t="s">
        <v>175</v>
      </c>
      <c r="P7665" s="103" t="str">
        <f t="shared" si="4387"/>
        <v>매엽용 세척제(Wash k11)</v>
      </c>
      <c r="Q7665" s="71">
        <f t="shared" si="4400"/>
        <v>10</v>
      </c>
      <c r="R7665" s="102">
        <v>47500</v>
      </c>
      <c r="S7665" s="102">
        <f t="shared" si="4393"/>
        <v>522500.00000000006</v>
      </c>
      <c r="T7665" s="102">
        <f t="shared" si="4394"/>
        <v>475000</v>
      </c>
      <c r="U7665" s="71" t="s">
        <v>859</v>
      </c>
      <c r="V7665" s="71"/>
      <c r="W7665" s="474"/>
      <c r="X7665" s="71"/>
      <c r="Y7665" s="71"/>
    </row>
    <row r="7666" spans="1:25" ht="30" hidden="1" customHeight="1" x14ac:dyDescent="0.25">
      <c r="A7666" s="1145">
        <v>45729</v>
      </c>
      <c r="B7666" s="664" t="s">
        <v>2261</v>
      </c>
      <c r="C7666" s="71" t="s">
        <v>277</v>
      </c>
      <c r="D7666" s="71">
        <v>10</v>
      </c>
      <c r="E7666" s="102">
        <v>172000</v>
      </c>
      <c r="F7666" s="102">
        <f t="shared" si="4395"/>
        <v>1892000.0000000002</v>
      </c>
      <c r="G7666" s="102">
        <f t="shared" si="4396"/>
        <v>1720000</v>
      </c>
      <c r="H7666" s="690" t="s">
        <v>172</v>
      </c>
      <c r="I7666" s="71" t="s">
        <v>108</v>
      </c>
      <c r="J7666" s="53">
        <f t="shared" si="4397"/>
        <v>430000</v>
      </c>
      <c r="K7666" s="63">
        <f t="shared" si="4398"/>
        <v>0.24999999999999997</v>
      </c>
      <c r="L7666" s="1212" t="s">
        <v>4332</v>
      </c>
      <c r="M7666" s="468"/>
      <c r="N7666" s="1192">
        <f t="shared" si="4399"/>
        <v>45729</v>
      </c>
      <c r="O7666" s="71" t="s">
        <v>662</v>
      </c>
      <c r="P7666" s="103" t="str">
        <f t="shared" si="4387"/>
        <v>윤전용 세척제(Web 504)</v>
      </c>
      <c r="Q7666" s="71">
        <f t="shared" si="4400"/>
        <v>10</v>
      </c>
      <c r="R7666" s="102">
        <v>129000</v>
      </c>
      <c r="S7666" s="102">
        <f t="shared" si="4393"/>
        <v>1419000</v>
      </c>
      <c r="T7666" s="102">
        <f t="shared" si="4394"/>
        <v>1290000</v>
      </c>
      <c r="U7666" s="71" t="str">
        <f>IF(J7666=W7666,"O", "X")</f>
        <v>X</v>
      </c>
      <c r="V7666" s="71"/>
      <c r="W7666" s="474"/>
      <c r="X7666" s="71"/>
      <c r="Y7666" s="71"/>
    </row>
    <row r="7667" spans="1:25" ht="30" hidden="1" customHeight="1" x14ac:dyDescent="0.25">
      <c r="A7667" s="1145">
        <v>45729</v>
      </c>
      <c r="B7667" s="664" t="s">
        <v>2261</v>
      </c>
      <c r="C7667" s="71" t="s">
        <v>3299</v>
      </c>
      <c r="D7667" s="71">
        <v>10</v>
      </c>
      <c r="E7667" s="102">
        <v>52000</v>
      </c>
      <c r="F7667" s="102">
        <f t="shared" si="4395"/>
        <v>572000</v>
      </c>
      <c r="G7667" s="102">
        <f t="shared" si="4396"/>
        <v>520000</v>
      </c>
      <c r="H7667" s="690" t="s">
        <v>172</v>
      </c>
      <c r="I7667" s="71" t="s">
        <v>180</v>
      </c>
      <c r="J7667" s="53">
        <f t="shared" si="4397"/>
        <v>45000</v>
      </c>
      <c r="K7667" s="63">
        <f t="shared" si="4398"/>
        <v>8.6538461538461536E-2</v>
      </c>
      <c r="L7667" s="1212" t="s">
        <v>4332</v>
      </c>
      <c r="M7667" s="468" t="s">
        <v>3835</v>
      </c>
      <c r="N7667" s="1192">
        <f t="shared" si="4399"/>
        <v>45729</v>
      </c>
      <c r="O7667" s="71" t="s">
        <v>175</v>
      </c>
      <c r="P7667" s="103" t="str">
        <f t="shared" si="4387"/>
        <v>매엽용 세척제(Wash k11)</v>
      </c>
      <c r="Q7667" s="71">
        <f t="shared" si="4400"/>
        <v>10</v>
      </c>
      <c r="R7667" s="102">
        <v>47500</v>
      </c>
      <c r="S7667" s="102">
        <f t="shared" si="4393"/>
        <v>522500.00000000006</v>
      </c>
      <c r="T7667" s="102">
        <f t="shared" si="4394"/>
        <v>475000</v>
      </c>
      <c r="U7667" s="71" t="s">
        <v>859</v>
      </c>
      <c r="V7667" s="71"/>
      <c r="W7667" s="474"/>
      <c r="X7667" s="71"/>
      <c r="Y7667" s="71"/>
    </row>
    <row r="7668" spans="1:25" ht="30" hidden="1" customHeight="1" x14ac:dyDescent="0.25">
      <c r="A7668" s="1145">
        <v>45730</v>
      </c>
      <c r="B7668" s="664" t="s">
        <v>2261</v>
      </c>
      <c r="C7668" s="760" t="s">
        <v>181</v>
      </c>
      <c r="D7668" s="71">
        <v>5</v>
      </c>
      <c r="E7668" s="102">
        <v>193000</v>
      </c>
      <c r="F7668" s="102">
        <f t="shared" ref="F7668:F7672" si="4401">(E7668*D7668)*1.1</f>
        <v>1061500</v>
      </c>
      <c r="G7668" s="102">
        <f t="shared" ref="G7668:G7672" si="4402">(E7668*D7668)</f>
        <v>965000</v>
      </c>
      <c r="H7668" s="690" t="s">
        <v>2029</v>
      </c>
      <c r="I7668" s="71" t="s">
        <v>182</v>
      </c>
      <c r="J7668" s="53">
        <f t="shared" ref="J7668:J7672" si="4403">G7668-T7668</f>
        <v>345000</v>
      </c>
      <c r="K7668" s="63">
        <f t="shared" ref="K7668:K7672" si="4404">(J7668/(F7668/11*10))</f>
        <v>0.35751295336787564</v>
      </c>
      <c r="L7668" s="1212" t="s">
        <v>4332</v>
      </c>
      <c r="M7668" s="468"/>
      <c r="N7668" s="1192">
        <f t="shared" ref="N7668:N7672" si="4405">A7668</f>
        <v>45730</v>
      </c>
      <c r="O7668" s="71" t="s">
        <v>2030</v>
      </c>
      <c r="P7668" s="103" t="str">
        <f t="shared" ref="P7668:P7672" si="4406">(C7668)</f>
        <v>Fount Web 551AF</v>
      </c>
      <c r="Q7668" s="71">
        <f t="shared" ref="Q7668:Q7672" si="4407">D7668</f>
        <v>5</v>
      </c>
      <c r="R7668" s="102">
        <v>124000</v>
      </c>
      <c r="S7668" s="102">
        <f t="shared" ref="S7668:S7672" si="4408">R7668*Q7668*1.1</f>
        <v>682000</v>
      </c>
      <c r="T7668" s="102">
        <f t="shared" ref="T7668:T7672" si="4409">R7668*Q7668</f>
        <v>620000</v>
      </c>
      <c r="U7668" s="71" t="str">
        <f>IF(J7668=W7668,"O", "X")</f>
        <v>X</v>
      </c>
      <c r="V7668" s="71"/>
      <c r="W7668" s="474">
        <v>640000</v>
      </c>
      <c r="X7668" s="71"/>
      <c r="Y7668" s="71"/>
    </row>
    <row r="7669" spans="1:25" ht="30" hidden="1" customHeight="1" x14ac:dyDescent="0.25">
      <c r="A7669" s="1145">
        <v>45730</v>
      </c>
      <c r="B7669" s="664" t="s">
        <v>3289</v>
      </c>
      <c r="C7669" s="71" t="s">
        <v>2070</v>
      </c>
      <c r="D7669" s="71">
        <v>10</v>
      </c>
      <c r="E7669" s="102">
        <v>110000</v>
      </c>
      <c r="F7669" s="102">
        <f t="shared" si="4401"/>
        <v>1210000</v>
      </c>
      <c r="G7669" s="102">
        <f t="shared" si="4402"/>
        <v>1100000</v>
      </c>
      <c r="H7669" s="690" t="s">
        <v>172</v>
      </c>
      <c r="I7669" s="71" t="s">
        <v>33</v>
      </c>
      <c r="J7669" s="53">
        <f t="shared" si="4403"/>
        <v>206000</v>
      </c>
      <c r="K7669" s="63">
        <f t="shared" si="4404"/>
        <v>0.18727272727272729</v>
      </c>
      <c r="L7669" s="1212" t="s">
        <v>4332</v>
      </c>
      <c r="M7669" s="468" t="s">
        <v>4114</v>
      </c>
      <c r="N7669" s="1192">
        <f t="shared" si="4405"/>
        <v>45730</v>
      </c>
      <c r="O7669" s="71" t="s">
        <v>146</v>
      </c>
      <c r="P7669" s="103" t="str">
        <f t="shared" si="4406"/>
        <v>Blanket(1050*840)</v>
      </c>
      <c r="Q7669" s="71">
        <f t="shared" si="4407"/>
        <v>10</v>
      </c>
      <c r="R7669" s="102">
        <v>89400</v>
      </c>
      <c r="S7669" s="102">
        <f t="shared" si="4408"/>
        <v>983400.00000000012</v>
      </c>
      <c r="T7669" s="102">
        <f t="shared" si="4409"/>
        <v>894000</v>
      </c>
      <c r="U7669" s="71" t="str">
        <f>IF(J7669=W7669,"O", "X")</f>
        <v>X</v>
      </c>
      <c r="V7669" s="71"/>
      <c r="W7669" s="474">
        <v>275000</v>
      </c>
      <c r="X7669" s="71"/>
      <c r="Y7669" s="71"/>
    </row>
    <row r="7670" spans="1:25" ht="30" hidden="1" customHeight="1" x14ac:dyDescent="0.25">
      <c r="A7670" s="1145">
        <v>45741</v>
      </c>
      <c r="B7670" s="664" t="s">
        <v>2261</v>
      </c>
      <c r="C7670" s="71" t="s">
        <v>277</v>
      </c>
      <c r="D7670" s="71">
        <v>10</v>
      </c>
      <c r="E7670" s="102">
        <v>172000</v>
      </c>
      <c r="F7670" s="102">
        <f t="shared" si="4401"/>
        <v>1892000.0000000002</v>
      </c>
      <c r="G7670" s="102">
        <f t="shared" si="4402"/>
        <v>1720000</v>
      </c>
      <c r="H7670" s="690" t="s">
        <v>172</v>
      </c>
      <c r="I7670" s="71" t="s">
        <v>108</v>
      </c>
      <c r="J7670" s="53">
        <f t="shared" si="4403"/>
        <v>430000</v>
      </c>
      <c r="K7670" s="63">
        <f t="shared" si="4404"/>
        <v>0.24999999999999997</v>
      </c>
      <c r="L7670" s="1212" t="s">
        <v>4332</v>
      </c>
      <c r="M7670" s="468"/>
      <c r="N7670" s="1192">
        <f t="shared" si="4405"/>
        <v>45741</v>
      </c>
      <c r="O7670" s="71" t="s">
        <v>662</v>
      </c>
      <c r="P7670" s="103" t="str">
        <f t="shared" si="4406"/>
        <v>윤전용 세척제(Web 504)</v>
      </c>
      <c r="Q7670" s="71">
        <f t="shared" si="4407"/>
        <v>10</v>
      </c>
      <c r="R7670" s="102">
        <v>129000</v>
      </c>
      <c r="S7670" s="102">
        <f t="shared" si="4408"/>
        <v>1419000</v>
      </c>
      <c r="T7670" s="102">
        <f t="shared" si="4409"/>
        <v>1290000</v>
      </c>
      <c r="U7670" s="71" t="str">
        <f>IF(J7670=W7670,"O", "X")</f>
        <v>X</v>
      </c>
      <c r="V7670" s="71"/>
      <c r="W7670" s="474"/>
      <c r="X7670" s="71"/>
      <c r="Y7670" s="71"/>
    </row>
    <row r="7671" spans="1:25" ht="30" hidden="1" customHeight="1" x14ac:dyDescent="0.25">
      <c r="A7671" s="1145">
        <v>45741</v>
      </c>
      <c r="B7671" s="664" t="s">
        <v>2261</v>
      </c>
      <c r="C7671" s="71" t="s">
        <v>3299</v>
      </c>
      <c r="D7671" s="71">
        <v>10</v>
      </c>
      <c r="E7671" s="102">
        <v>52000</v>
      </c>
      <c r="F7671" s="102">
        <f t="shared" si="4401"/>
        <v>572000</v>
      </c>
      <c r="G7671" s="102">
        <f t="shared" si="4402"/>
        <v>520000</v>
      </c>
      <c r="H7671" s="690" t="s">
        <v>172</v>
      </c>
      <c r="I7671" s="71" t="s">
        <v>180</v>
      </c>
      <c r="J7671" s="53">
        <f t="shared" si="4403"/>
        <v>45000</v>
      </c>
      <c r="K7671" s="63">
        <f t="shared" si="4404"/>
        <v>8.6538461538461536E-2</v>
      </c>
      <c r="L7671" s="1212" t="s">
        <v>4332</v>
      </c>
      <c r="M7671" s="468" t="s">
        <v>3835</v>
      </c>
      <c r="N7671" s="1192">
        <f t="shared" si="4405"/>
        <v>45741</v>
      </c>
      <c r="O7671" s="71" t="s">
        <v>175</v>
      </c>
      <c r="P7671" s="103" t="str">
        <f t="shared" si="4406"/>
        <v>매엽용 세척제(Wash k11)</v>
      </c>
      <c r="Q7671" s="71">
        <f t="shared" si="4407"/>
        <v>10</v>
      </c>
      <c r="R7671" s="102">
        <v>47500</v>
      </c>
      <c r="S7671" s="102">
        <f t="shared" si="4408"/>
        <v>522500.00000000006</v>
      </c>
      <c r="T7671" s="102">
        <f t="shared" si="4409"/>
        <v>475000</v>
      </c>
      <c r="U7671" s="71" t="s">
        <v>859</v>
      </c>
      <c r="V7671" s="71"/>
      <c r="W7671" s="474"/>
      <c r="X7671" s="71"/>
      <c r="Y7671" s="71"/>
    </row>
    <row r="7672" spans="1:25" s="209" customFormat="1" ht="31.15" hidden="1" customHeight="1" x14ac:dyDescent="0.2">
      <c r="A7672" s="1145">
        <v>45741</v>
      </c>
      <c r="B7672" s="664" t="s">
        <v>3289</v>
      </c>
      <c r="C7672" s="71" t="s">
        <v>3387</v>
      </c>
      <c r="D7672" s="71">
        <v>10</v>
      </c>
      <c r="E7672" s="102">
        <v>130000</v>
      </c>
      <c r="F7672" s="102">
        <f t="shared" si="4401"/>
        <v>1430000</v>
      </c>
      <c r="G7672" s="102">
        <f t="shared" si="4402"/>
        <v>1300000</v>
      </c>
      <c r="H7672" s="165" t="s">
        <v>172</v>
      </c>
      <c r="I7672" s="71" t="s">
        <v>184</v>
      </c>
      <c r="J7672" s="53">
        <f t="shared" si="4403"/>
        <v>180000</v>
      </c>
      <c r="K7672" s="63">
        <f t="shared" si="4404"/>
        <v>0.13846153846153847</v>
      </c>
      <c r="L7672" s="1212" t="s">
        <v>4332</v>
      </c>
      <c r="M7672" s="468"/>
      <c r="N7672" s="1192">
        <f t="shared" si="4405"/>
        <v>45741</v>
      </c>
      <c r="O7672" s="71" t="s">
        <v>189</v>
      </c>
      <c r="P7672" s="103" t="str">
        <f t="shared" si="4406"/>
        <v>Blanket(990*725)</v>
      </c>
      <c r="Q7672" s="71">
        <f t="shared" si="4407"/>
        <v>10</v>
      </c>
      <c r="R7672" s="102">
        <v>112000</v>
      </c>
      <c r="S7672" s="102">
        <f t="shared" si="4408"/>
        <v>1232000</v>
      </c>
      <c r="T7672" s="102">
        <f t="shared" si="4409"/>
        <v>1120000</v>
      </c>
      <c r="U7672" s="71" t="str">
        <f>IF(J7672=W7672,"O", "X")</f>
        <v>X</v>
      </c>
      <c r="V7672" s="71"/>
      <c r="W7672" s="474">
        <v>80000</v>
      </c>
      <c r="X7672" s="71"/>
      <c r="Y7672" s="71"/>
    </row>
    <row r="7673" spans="1:25" ht="30" hidden="1" customHeight="1" x14ac:dyDescent="0.25">
      <c r="A7673" s="1145">
        <v>45741</v>
      </c>
      <c r="B7673" s="664" t="s">
        <v>3289</v>
      </c>
      <c r="C7673" s="71" t="s">
        <v>2070</v>
      </c>
      <c r="D7673" s="71">
        <v>10</v>
      </c>
      <c r="E7673" s="102">
        <v>110000</v>
      </c>
      <c r="F7673" s="102">
        <f t="shared" ref="F7673:F7676" si="4410">(E7673*D7673)*1.1</f>
        <v>1210000</v>
      </c>
      <c r="G7673" s="102">
        <f t="shared" ref="G7673:G7676" si="4411">(E7673*D7673)</f>
        <v>1100000</v>
      </c>
      <c r="H7673" s="690" t="s">
        <v>172</v>
      </c>
      <c r="I7673" s="71" t="s">
        <v>33</v>
      </c>
      <c r="J7673" s="53">
        <f t="shared" ref="J7673:J7682" si="4412">G7673-T7673</f>
        <v>206000</v>
      </c>
      <c r="K7673" s="63">
        <f t="shared" ref="K7673:K7682" si="4413">(J7673/(F7673/11*10))</f>
        <v>0.18727272727272729</v>
      </c>
      <c r="L7673" s="1212" t="s">
        <v>4332</v>
      </c>
      <c r="M7673" s="468" t="s">
        <v>4114</v>
      </c>
      <c r="N7673" s="1192">
        <f t="shared" ref="N7673:N7682" si="4414">A7673</f>
        <v>45741</v>
      </c>
      <c r="O7673" s="71" t="s">
        <v>146</v>
      </c>
      <c r="P7673" s="103" t="str">
        <f t="shared" ref="P7673:P7675" si="4415">(C7673)</f>
        <v>Blanket(1050*840)</v>
      </c>
      <c r="Q7673" s="71">
        <f t="shared" ref="Q7673:Q7682" si="4416">D7673</f>
        <v>10</v>
      </c>
      <c r="R7673" s="102">
        <v>89400</v>
      </c>
      <c r="S7673" s="102">
        <f t="shared" si="4393"/>
        <v>983400.00000000012</v>
      </c>
      <c r="T7673" s="102">
        <f t="shared" si="4394"/>
        <v>894000</v>
      </c>
      <c r="U7673" s="71" t="str">
        <f>IF(J7673=W7673,"O", "X")</f>
        <v>X</v>
      </c>
      <c r="V7673" s="71"/>
      <c r="W7673" s="474">
        <v>275000</v>
      </c>
      <c r="X7673" s="71"/>
      <c r="Y7673" s="71"/>
    </row>
    <row r="7674" spans="1:25" ht="30" hidden="1" customHeight="1" x14ac:dyDescent="0.25">
      <c r="A7674" s="1145">
        <v>45744</v>
      </c>
      <c r="B7674" s="664" t="s">
        <v>2261</v>
      </c>
      <c r="C7674" s="760" t="s">
        <v>181</v>
      </c>
      <c r="D7674" s="71">
        <v>5</v>
      </c>
      <c r="E7674" s="102">
        <v>193000</v>
      </c>
      <c r="F7674" s="102">
        <f t="shared" si="4410"/>
        <v>1061500</v>
      </c>
      <c r="G7674" s="102">
        <f t="shared" si="4411"/>
        <v>965000</v>
      </c>
      <c r="H7674" s="690" t="s">
        <v>2029</v>
      </c>
      <c r="I7674" s="71" t="s">
        <v>182</v>
      </c>
      <c r="J7674" s="53">
        <f t="shared" si="4412"/>
        <v>345000</v>
      </c>
      <c r="K7674" s="63">
        <f t="shared" si="4413"/>
        <v>0.35751295336787564</v>
      </c>
      <c r="L7674" s="1212" t="s">
        <v>4332</v>
      </c>
      <c r="M7674" s="468"/>
      <c r="N7674" s="1192">
        <f t="shared" si="4414"/>
        <v>45744</v>
      </c>
      <c r="O7674" s="71" t="s">
        <v>2030</v>
      </c>
      <c r="P7674" s="103" t="str">
        <f t="shared" si="4415"/>
        <v>Fount Web 551AF</v>
      </c>
      <c r="Q7674" s="71">
        <f t="shared" si="4416"/>
        <v>5</v>
      </c>
      <c r="R7674" s="102">
        <v>124000</v>
      </c>
      <c r="S7674" s="102">
        <f t="shared" ref="S7674:S7682" si="4417">R7674*Q7674*1.1</f>
        <v>682000</v>
      </c>
      <c r="T7674" s="102">
        <f t="shared" ref="T7674:T7682" si="4418">R7674*Q7674</f>
        <v>620000</v>
      </c>
      <c r="U7674" s="71" t="str">
        <f>IF(J7674=W7674,"O", "X")</f>
        <v>X</v>
      </c>
      <c r="V7674" s="71"/>
      <c r="W7674" s="474">
        <v>640000</v>
      </c>
      <c r="X7674" s="71"/>
      <c r="Y7674" s="71"/>
    </row>
    <row r="7675" spans="1:25" ht="30" hidden="1" customHeight="1" x14ac:dyDescent="0.25">
      <c r="A7675" s="1145">
        <v>45744</v>
      </c>
      <c r="B7675" s="664" t="s">
        <v>2261</v>
      </c>
      <c r="C7675" s="71" t="s">
        <v>3299</v>
      </c>
      <c r="D7675" s="71">
        <v>10</v>
      </c>
      <c r="E7675" s="102">
        <v>52000</v>
      </c>
      <c r="F7675" s="102">
        <f t="shared" si="4410"/>
        <v>572000</v>
      </c>
      <c r="G7675" s="102">
        <f t="shared" si="4411"/>
        <v>520000</v>
      </c>
      <c r="H7675" s="690" t="s">
        <v>172</v>
      </c>
      <c r="I7675" s="71" t="s">
        <v>180</v>
      </c>
      <c r="J7675" s="53">
        <f t="shared" si="4412"/>
        <v>45000</v>
      </c>
      <c r="K7675" s="63">
        <f t="shared" si="4413"/>
        <v>8.6538461538461536E-2</v>
      </c>
      <c r="L7675" s="1212" t="s">
        <v>4332</v>
      </c>
      <c r="M7675" s="468" t="s">
        <v>3835</v>
      </c>
      <c r="N7675" s="1192">
        <f t="shared" si="4414"/>
        <v>45744</v>
      </c>
      <c r="O7675" s="71" t="s">
        <v>175</v>
      </c>
      <c r="P7675" s="103" t="str">
        <f t="shared" si="4415"/>
        <v>매엽용 세척제(Wash k11)</v>
      </c>
      <c r="Q7675" s="71">
        <f t="shared" si="4416"/>
        <v>10</v>
      </c>
      <c r="R7675" s="102">
        <v>47500</v>
      </c>
      <c r="S7675" s="102">
        <f t="shared" si="4417"/>
        <v>522500.00000000006</v>
      </c>
      <c r="T7675" s="102">
        <f t="shared" si="4418"/>
        <v>475000</v>
      </c>
      <c r="U7675" s="71" t="s">
        <v>859</v>
      </c>
      <c r="V7675" s="71"/>
      <c r="W7675" s="474"/>
      <c r="X7675" s="71"/>
      <c r="Y7675" s="71"/>
    </row>
    <row r="7676" spans="1:25" ht="30" hidden="1" customHeight="1" x14ac:dyDescent="0.25">
      <c r="A7676" s="1145">
        <v>45720</v>
      </c>
      <c r="B7676" s="664" t="s">
        <v>18</v>
      </c>
      <c r="C7676" s="71" t="s">
        <v>3305</v>
      </c>
      <c r="D7676" s="71">
        <v>20</v>
      </c>
      <c r="E7676" s="102">
        <v>86000</v>
      </c>
      <c r="F7676" s="102">
        <f t="shared" si="4410"/>
        <v>1892000.0000000002</v>
      </c>
      <c r="G7676" s="102">
        <f t="shared" si="4411"/>
        <v>1720000</v>
      </c>
      <c r="H7676" s="690" t="s">
        <v>172</v>
      </c>
      <c r="I7676" s="71" t="s">
        <v>3295</v>
      </c>
      <c r="J7676" s="53">
        <f t="shared" si="4412"/>
        <v>320000</v>
      </c>
      <c r="K7676" s="63">
        <f t="shared" si="4413"/>
        <v>0.18604651162790695</v>
      </c>
      <c r="L7676" s="1212" t="s">
        <v>4332</v>
      </c>
      <c r="M7676" s="468" t="s">
        <v>3306</v>
      </c>
      <c r="N7676" s="1192">
        <f t="shared" si="4414"/>
        <v>45720</v>
      </c>
      <c r="O7676" s="71" t="s">
        <v>146</v>
      </c>
      <c r="P7676" s="103" t="s">
        <v>3305</v>
      </c>
      <c r="Q7676" s="71">
        <f t="shared" si="4416"/>
        <v>20</v>
      </c>
      <c r="R7676" s="102">
        <v>70000</v>
      </c>
      <c r="S7676" s="102">
        <f t="shared" si="4417"/>
        <v>1540000.0000000002</v>
      </c>
      <c r="T7676" s="102">
        <f t="shared" si="4418"/>
        <v>1400000</v>
      </c>
      <c r="U7676" s="71" t="s">
        <v>1915</v>
      </c>
      <c r="V7676" s="71"/>
      <c r="W7676" s="474"/>
      <c r="X7676" s="71"/>
      <c r="Y7676" s="71"/>
    </row>
    <row r="7677" spans="1:25" ht="30" hidden="1" customHeight="1" x14ac:dyDescent="0.25">
      <c r="A7677" s="1145">
        <v>45721</v>
      </c>
      <c r="B7677" s="664" t="s">
        <v>548</v>
      </c>
      <c r="C7677" s="71" t="s">
        <v>3384</v>
      </c>
      <c r="D7677" s="71">
        <v>500</v>
      </c>
      <c r="E7677" s="102">
        <v>550</v>
      </c>
      <c r="F7677" s="102">
        <f>(E7677*D7677)*1.1</f>
        <v>302500</v>
      </c>
      <c r="G7677" s="102">
        <f>(E7677*D7677)</f>
        <v>275000</v>
      </c>
      <c r="H7677" s="690" t="s">
        <v>2029</v>
      </c>
      <c r="I7677" s="71" t="s">
        <v>3385</v>
      </c>
      <c r="J7677" s="53">
        <f t="shared" si="4412"/>
        <v>115000</v>
      </c>
      <c r="K7677" s="63">
        <f t="shared" si="4413"/>
        <v>0.41818181818181815</v>
      </c>
      <c r="L7677" s="1212" t="s">
        <v>4332</v>
      </c>
      <c r="M7677" s="468"/>
      <c r="N7677" s="1192">
        <f t="shared" si="4414"/>
        <v>45721</v>
      </c>
      <c r="O7677" s="71" t="s">
        <v>2030</v>
      </c>
      <c r="P7677" s="103" t="str">
        <f t="shared" ref="P7677:P7682" si="4419">(C7677)</f>
        <v>고무사카 빨간색</v>
      </c>
      <c r="Q7677" s="71">
        <f t="shared" si="4416"/>
        <v>500</v>
      </c>
      <c r="R7677" s="102">
        <v>320</v>
      </c>
      <c r="S7677" s="102">
        <f t="shared" si="4417"/>
        <v>176000</v>
      </c>
      <c r="T7677" s="102">
        <f t="shared" si="4418"/>
        <v>160000</v>
      </c>
      <c r="U7677" s="71"/>
      <c r="V7677" s="71"/>
      <c r="W7677" s="474"/>
      <c r="X7677" s="71"/>
      <c r="Y7677" s="71"/>
    </row>
    <row r="7678" spans="1:25" ht="29.45" hidden="1" customHeight="1" x14ac:dyDescent="0.25">
      <c r="A7678" s="1145">
        <v>45727</v>
      </c>
      <c r="B7678" s="664" t="s">
        <v>3296</v>
      </c>
      <c r="C7678" s="71" t="s">
        <v>3297</v>
      </c>
      <c r="D7678" s="71">
        <v>20</v>
      </c>
      <c r="E7678" s="102">
        <v>162500</v>
      </c>
      <c r="F7678" s="102">
        <f t="shared" ref="F7678:F7682" si="4420">(E7678*D7678)*1.1</f>
        <v>3575000.0000000005</v>
      </c>
      <c r="G7678" s="102">
        <f t="shared" ref="G7678:G7681" si="4421">(E7678*D7678)</f>
        <v>3250000</v>
      </c>
      <c r="H7678" s="690" t="s">
        <v>172</v>
      </c>
      <c r="I7678" s="71" t="s">
        <v>3295</v>
      </c>
      <c r="J7678" s="53">
        <f t="shared" si="4412"/>
        <v>850000</v>
      </c>
      <c r="K7678" s="63">
        <f t="shared" si="4413"/>
        <v>0.2615384615384615</v>
      </c>
      <c r="L7678" s="1212" t="s">
        <v>4332</v>
      </c>
      <c r="M7678" s="468"/>
      <c r="N7678" s="1192">
        <f t="shared" si="4414"/>
        <v>45727</v>
      </c>
      <c r="O7678" s="71" t="s">
        <v>662</v>
      </c>
      <c r="P7678" s="103" t="str">
        <f t="shared" si="4419"/>
        <v>실리콘 에멀전</v>
      </c>
      <c r="Q7678" s="71">
        <f t="shared" si="4416"/>
        <v>20</v>
      </c>
      <c r="R7678" s="102">
        <v>120000</v>
      </c>
      <c r="S7678" s="102">
        <f t="shared" si="4417"/>
        <v>2640000</v>
      </c>
      <c r="T7678" s="102">
        <f t="shared" si="4418"/>
        <v>2400000</v>
      </c>
      <c r="U7678" s="71" t="str">
        <f t="shared" ref="U7678:U7679" si="4422">IF(J7678=W7678,"O", "X")</f>
        <v>X</v>
      </c>
      <c r="V7678" s="71"/>
      <c r="W7678" s="474"/>
      <c r="X7678" s="71"/>
      <c r="Y7678" s="71"/>
    </row>
    <row r="7679" spans="1:25" ht="29.45" hidden="1" customHeight="1" x14ac:dyDescent="0.25">
      <c r="A7679" s="1145">
        <v>45741</v>
      </c>
      <c r="B7679" s="664" t="s">
        <v>3296</v>
      </c>
      <c r="C7679" s="71" t="s">
        <v>3297</v>
      </c>
      <c r="D7679" s="71">
        <v>20</v>
      </c>
      <c r="E7679" s="102">
        <v>162500</v>
      </c>
      <c r="F7679" s="102">
        <f t="shared" si="4420"/>
        <v>3575000.0000000005</v>
      </c>
      <c r="G7679" s="102">
        <f t="shared" si="4421"/>
        <v>3250000</v>
      </c>
      <c r="H7679" s="690" t="s">
        <v>172</v>
      </c>
      <c r="I7679" s="71" t="s">
        <v>3295</v>
      </c>
      <c r="J7679" s="53">
        <f t="shared" si="4412"/>
        <v>850000</v>
      </c>
      <c r="K7679" s="63">
        <f t="shared" si="4413"/>
        <v>0.2615384615384615</v>
      </c>
      <c r="L7679" s="1212" t="s">
        <v>4332</v>
      </c>
      <c r="M7679" s="468"/>
      <c r="N7679" s="1192">
        <f t="shared" si="4414"/>
        <v>45741</v>
      </c>
      <c r="O7679" s="71" t="s">
        <v>662</v>
      </c>
      <c r="P7679" s="103" t="str">
        <f t="shared" si="4419"/>
        <v>실리콘 에멀전</v>
      </c>
      <c r="Q7679" s="71">
        <f t="shared" si="4416"/>
        <v>20</v>
      </c>
      <c r="R7679" s="102">
        <v>120000</v>
      </c>
      <c r="S7679" s="102">
        <f t="shared" si="4417"/>
        <v>2640000</v>
      </c>
      <c r="T7679" s="102">
        <f t="shared" si="4418"/>
        <v>2400000</v>
      </c>
      <c r="U7679" s="71" t="str">
        <f t="shared" si="4422"/>
        <v>X</v>
      </c>
      <c r="V7679" s="71"/>
      <c r="W7679" s="474"/>
      <c r="X7679" s="71"/>
      <c r="Y7679" s="71"/>
    </row>
    <row r="7680" spans="1:25" s="209" customFormat="1" ht="30" hidden="1" customHeight="1" x14ac:dyDescent="0.25">
      <c r="A7680" s="1145">
        <v>45715</v>
      </c>
      <c r="B7680" s="664" t="s">
        <v>442</v>
      </c>
      <c r="C7680" s="71" t="s">
        <v>3833</v>
      </c>
      <c r="D7680" s="71">
        <v>1000</v>
      </c>
      <c r="E7680" s="102">
        <v>4250</v>
      </c>
      <c r="F7680" s="102">
        <f t="shared" si="4420"/>
        <v>4675000</v>
      </c>
      <c r="G7680" s="102">
        <f t="shared" si="4421"/>
        <v>4250000</v>
      </c>
      <c r="H7680" s="690" t="s">
        <v>2029</v>
      </c>
      <c r="I7680" s="71" t="s">
        <v>2230</v>
      </c>
      <c r="J7680" s="53">
        <f t="shared" si="4412"/>
        <v>800000</v>
      </c>
      <c r="K7680" s="63">
        <f t="shared" si="4413"/>
        <v>0.18823529411764706</v>
      </c>
      <c r="L7680" s="1212" t="s">
        <v>4332</v>
      </c>
      <c r="M7680" s="468"/>
      <c r="N7680" s="1192">
        <f t="shared" si="4414"/>
        <v>45715</v>
      </c>
      <c r="O7680" s="71" t="s">
        <v>2030</v>
      </c>
      <c r="P7680" s="103" t="str">
        <f t="shared" si="4419"/>
        <v>CTP 판 1030*790</v>
      </c>
      <c r="Q7680" s="71">
        <f t="shared" si="4416"/>
        <v>1000</v>
      </c>
      <c r="R7680" s="102">
        <v>3450</v>
      </c>
      <c r="S7680" s="102">
        <f t="shared" si="4417"/>
        <v>3795000.0000000005</v>
      </c>
      <c r="T7680" s="102">
        <f t="shared" si="4418"/>
        <v>3450000</v>
      </c>
      <c r="U7680" s="71"/>
      <c r="V7680" s="71"/>
      <c r="W7680" s="474"/>
      <c r="X7680" s="71"/>
      <c r="Y7680" s="71"/>
    </row>
    <row r="7681" spans="1:25" ht="30" hidden="1" customHeight="1" x14ac:dyDescent="0.25">
      <c r="A7681" s="1145">
        <v>45715</v>
      </c>
      <c r="B7681" s="664" t="s">
        <v>442</v>
      </c>
      <c r="C7681" s="71" t="s">
        <v>3834</v>
      </c>
      <c r="D7681" s="71">
        <v>10</v>
      </c>
      <c r="E7681" s="102">
        <v>57000</v>
      </c>
      <c r="F7681" s="102">
        <f t="shared" si="4420"/>
        <v>627000</v>
      </c>
      <c r="G7681" s="102">
        <f t="shared" si="4421"/>
        <v>570000</v>
      </c>
      <c r="H7681" s="690" t="s">
        <v>2029</v>
      </c>
      <c r="I7681" s="71" t="s">
        <v>2230</v>
      </c>
      <c r="J7681" s="53">
        <f t="shared" si="4412"/>
        <v>143890</v>
      </c>
      <c r="K7681" s="63">
        <f t="shared" si="4413"/>
        <v>0.25243859649122807</v>
      </c>
      <c r="L7681" s="1212" t="s">
        <v>4332</v>
      </c>
      <c r="M7681" s="468"/>
      <c r="N7681" s="1192">
        <f t="shared" si="4414"/>
        <v>45715</v>
      </c>
      <c r="O7681" s="71" t="s">
        <v>2030</v>
      </c>
      <c r="P7681" s="103" t="str">
        <f t="shared" si="4419"/>
        <v>CTP 현상액</v>
      </c>
      <c r="Q7681" s="71">
        <f t="shared" si="4416"/>
        <v>10</v>
      </c>
      <c r="R7681" s="102">
        <v>42611</v>
      </c>
      <c r="S7681" s="102">
        <f t="shared" si="4417"/>
        <v>468721.00000000006</v>
      </c>
      <c r="T7681" s="102">
        <f t="shared" si="4418"/>
        <v>426110</v>
      </c>
      <c r="U7681" s="71"/>
      <c r="V7681" s="71"/>
      <c r="W7681" s="474"/>
      <c r="X7681" s="71"/>
      <c r="Y7681" s="71"/>
    </row>
    <row r="7682" spans="1:25" ht="30" hidden="1" customHeight="1" x14ac:dyDescent="0.25">
      <c r="A7682" s="1145">
        <v>45715</v>
      </c>
      <c r="B7682" s="664" t="s">
        <v>2</v>
      </c>
      <c r="C7682" s="71" t="s">
        <v>2075</v>
      </c>
      <c r="D7682" s="71">
        <v>1</v>
      </c>
      <c r="E7682" s="102">
        <v>98000</v>
      </c>
      <c r="F7682" s="102">
        <f t="shared" si="4420"/>
        <v>107800.00000000001</v>
      </c>
      <c r="G7682" s="102">
        <f>(E7682*D7682)</f>
        <v>98000</v>
      </c>
      <c r="H7682" s="690" t="s">
        <v>2029</v>
      </c>
      <c r="I7682" s="71" t="s">
        <v>2230</v>
      </c>
      <c r="J7682" s="53">
        <f t="shared" si="4412"/>
        <v>6000</v>
      </c>
      <c r="K7682" s="63">
        <f t="shared" si="4413"/>
        <v>6.1224489795918359E-2</v>
      </c>
      <c r="L7682" s="1212" t="s">
        <v>4332</v>
      </c>
      <c r="M7682" s="468"/>
      <c r="N7682" s="1192">
        <f t="shared" si="4414"/>
        <v>45715</v>
      </c>
      <c r="O7682" s="71" t="s">
        <v>150</v>
      </c>
      <c r="P7682" s="103" t="str">
        <f t="shared" si="4419"/>
        <v>CTP 고무액</v>
      </c>
      <c r="Q7682" s="71">
        <f t="shared" si="4416"/>
        <v>1</v>
      </c>
      <c r="R7682" s="102">
        <v>92000</v>
      </c>
      <c r="S7682" s="102">
        <f t="shared" si="4417"/>
        <v>101200.00000000001</v>
      </c>
      <c r="T7682" s="102">
        <f t="shared" si="4418"/>
        <v>92000</v>
      </c>
      <c r="U7682" s="71" t="str">
        <f>IF(J7682=W7682,"O", "X")</f>
        <v>X</v>
      </c>
      <c r="V7682" s="71"/>
      <c r="W7682" s="474"/>
      <c r="X7682" s="71"/>
      <c r="Y7682" s="71"/>
    </row>
    <row r="7683" spans="1:25" s="209" customFormat="1" ht="30" hidden="1" customHeight="1" x14ac:dyDescent="0.25">
      <c r="A7683" s="1145">
        <v>45735</v>
      </c>
      <c r="B7683" s="664" t="s">
        <v>442</v>
      </c>
      <c r="C7683" s="71" t="s">
        <v>3833</v>
      </c>
      <c r="D7683" s="71">
        <v>500</v>
      </c>
      <c r="E7683" s="102">
        <v>4250</v>
      </c>
      <c r="F7683" s="102">
        <f t="shared" ref="F7683:F7690" si="4423">(E7683*D7683)*1.1</f>
        <v>2337500</v>
      </c>
      <c r="G7683" s="102">
        <f t="shared" ref="G7683:G7690" si="4424">(E7683*D7683)</f>
        <v>2125000</v>
      </c>
      <c r="H7683" s="690" t="s">
        <v>2029</v>
      </c>
      <c r="I7683" s="71" t="s">
        <v>2230</v>
      </c>
      <c r="J7683" s="53">
        <f t="shared" ref="J7683:J7690" si="4425">G7683-T7683</f>
        <v>400000</v>
      </c>
      <c r="K7683" s="63">
        <f t="shared" ref="K7683:K7690" si="4426">(J7683/(F7683/11*10))</f>
        <v>0.18823529411764706</v>
      </c>
      <c r="L7683" s="1212" t="s">
        <v>4332</v>
      </c>
      <c r="M7683" s="468"/>
      <c r="N7683" s="1192">
        <f t="shared" ref="N7683:N7690" si="4427">A7683</f>
        <v>45735</v>
      </c>
      <c r="O7683" s="71" t="s">
        <v>2030</v>
      </c>
      <c r="P7683" s="103" t="str">
        <f t="shared" ref="P7683:P7690" si="4428">(C7683)</f>
        <v>CTP 판 1030*790</v>
      </c>
      <c r="Q7683" s="71">
        <f t="shared" ref="Q7683:Q7690" si="4429">D7683</f>
        <v>500</v>
      </c>
      <c r="R7683" s="102">
        <v>3450</v>
      </c>
      <c r="S7683" s="102">
        <f t="shared" ref="S7683:S7690" si="4430">R7683*Q7683*1.1</f>
        <v>1897500.0000000002</v>
      </c>
      <c r="T7683" s="102">
        <f t="shared" ref="T7683:T7690" si="4431">R7683*Q7683</f>
        <v>1725000</v>
      </c>
      <c r="U7683" s="71"/>
      <c r="V7683" s="71"/>
      <c r="W7683" s="474"/>
      <c r="X7683" s="71"/>
      <c r="Y7683" s="71"/>
    </row>
    <row r="7684" spans="1:25" ht="30" hidden="1" customHeight="1" x14ac:dyDescent="0.25">
      <c r="A7684" s="1145">
        <v>45735</v>
      </c>
      <c r="B7684" s="664" t="s">
        <v>442</v>
      </c>
      <c r="C7684" s="71" t="s">
        <v>3834</v>
      </c>
      <c r="D7684" s="71">
        <v>7</v>
      </c>
      <c r="E7684" s="102">
        <v>57000</v>
      </c>
      <c r="F7684" s="102">
        <f t="shared" si="4423"/>
        <v>438900.00000000006</v>
      </c>
      <c r="G7684" s="102">
        <f t="shared" si="4424"/>
        <v>399000</v>
      </c>
      <c r="H7684" s="690" t="s">
        <v>2029</v>
      </c>
      <c r="I7684" s="71" t="s">
        <v>2230</v>
      </c>
      <c r="J7684" s="53">
        <f t="shared" si="4425"/>
        <v>100723</v>
      </c>
      <c r="K7684" s="63">
        <f t="shared" si="4426"/>
        <v>0.25243859649122802</v>
      </c>
      <c r="L7684" s="1212" t="s">
        <v>4332</v>
      </c>
      <c r="M7684" s="468"/>
      <c r="N7684" s="1192">
        <f t="shared" si="4427"/>
        <v>45735</v>
      </c>
      <c r="O7684" s="71" t="s">
        <v>2030</v>
      </c>
      <c r="P7684" s="103" t="str">
        <f t="shared" si="4428"/>
        <v>CTP 현상액</v>
      </c>
      <c r="Q7684" s="71">
        <f t="shared" si="4429"/>
        <v>7</v>
      </c>
      <c r="R7684" s="102">
        <v>42611</v>
      </c>
      <c r="S7684" s="102">
        <f t="shared" si="4430"/>
        <v>328104.7</v>
      </c>
      <c r="T7684" s="102">
        <f t="shared" si="4431"/>
        <v>298277</v>
      </c>
      <c r="U7684" s="71"/>
      <c r="V7684" s="71"/>
      <c r="W7684" s="474"/>
      <c r="X7684" s="71"/>
      <c r="Y7684" s="71"/>
    </row>
    <row r="7685" spans="1:25" ht="30" hidden="1" customHeight="1" x14ac:dyDescent="0.25">
      <c r="A7685" s="1145">
        <v>45736</v>
      </c>
      <c r="B7685" s="664" t="s">
        <v>442</v>
      </c>
      <c r="C7685" s="71" t="s">
        <v>206</v>
      </c>
      <c r="D7685" s="71">
        <v>4</v>
      </c>
      <c r="E7685" s="102">
        <v>493770</v>
      </c>
      <c r="F7685" s="102">
        <f t="shared" si="4423"/>
        <v>2172588</v>
      </c>
      <c r="G7685" s="102">
        <f t="shared" si="4424"/>
        <v>1975080</v>
      </c>
      <c r="H7685" s="690" t="s">
        <v>2029</v>
      </c>
      <c r="I7685" s="71" t="s">
        <v>195</v>
      </c>
      <c r="J7685" s="53">
        <f t="shared" si="4425"/>
        <v>218240</v>
      </c>
      <c r="K7685" s="63">
        <f t="shared" si="4426"/>
        <v>0.1104967900034429</v>
      </c>
      <c r="L7685" s="1212" t="s">
        <v>4332</v>
      </c>
      <c r="M7685" s="468"/>
      <c r="N7685" s="1192">
        <f t="shared" si="4427"/>
        <v>45736</v>
      </c>
      <c r="O7685" s="71" t="s">
        <v>4245</v>
      </c>
      <c r="P7685" s="103" t="str">
        <f t="shared" si="4428"/>
        <v>Agfa Film(24inch)</v>
      </c>
      <c r="Q7685" s="71">
        <f t="shared" si="4429"/>
        <v>4</v>
      </c>
      <c r="R7685" s="102">
        <v>439210</v>
      </c>
      <c r="S7685" s="102">
        <f t="shared" si="4430"/>
        <v>1932524.0000000002</v>
      </c>
      <c r="T7685" s="102">
        <f t="shared" si="4431"/>
        <v>1756840</v>
      </c>
      <c r="U7685" s="71" t="s">
        <v>859</v>
      </c>
      <c r="V7685" s="71"/>
      <c r="W7685" s="474">
        <v>144640</v>
      </c>
      <c r="X7685" s="71"/>
      <c r="Y7685" s="71"/>
    </row>
    <row r="7686" spans="1:25" ht="30" hidden="1" customHeight="1" x14ac:dyDescent="0.25">
      <c r="A7686" s="1145">
        <v>45736</v>
      </c>
      <c r="B7686" s="664" t="s">
        <v>442</v>
      </c>
      <c r="C7686" s="71" t="s">
        <v>207</v>
      </c>
      <c r="D7686" s="71">
        <v>4</v>
      </c>
      <c r="E7686" s="102">
        <v>608220</v>
      </c>
      <c r="F7686" s="102">
        <f t="shared" si="4423"/>
        <v>2676168</v>
      </c>
      <c r="G7686" s="102">
        <f t="shared" si="4424"/>
        <v>2432880</v>
      </c>
      <c r="H7686" s="690" t="s">
        <v>2029</v>
      </c>
      <c r="I7686" s="71" t="s">
        <v>195</v>
      </c>
      <c r="J7686" s="53">
        <f t="shared" si="4425"/>
        <v>436800</v>
      </c>
      <c r="K7686" s="63">
        <f t="shared" si="4426"/>
        <v>0.17954029791851633</v>
      </c>
      <c r="L7686" s="1212" t="s">
        <v>4332</v>
      </c>
      <c r="M7686" s="468"/>
      <c r="N7686" s="1192">
        <f t="shared" si="4427"/>
        <v>45736</v>
      </c>
      <c r="O7686" s="71" t="s">
        <v>4245</v>
      </c>
      <c r="P7686" s="103" t="str">
        <f t="shared" si="4428"/>
        <v>Agfa Film(28inch)</v>
      </c>
      <c r="Q7686" s="71">
        <f t="shared" si="4429"/>
        <v>4</v>
      </c>
      <c r="R7686" s="102">
        <v>499020</v>
      </c>
      <c r="S7686" s="102">
        <f t="shared" si="4430"/>
        <v>2195688</v>
      </c>
      <c r="T7686" s="102">
        <f t="shared" si="4431"/>
        <v>1996080</v>
      </c>
      <c r="U7686" s="71" t="s">
        <v>859</v>
      </c>
      <c r="V7686" s="71"/>
      <c r="W7686" s="474">
        <v>228480</v>
      </c>
      <c r="X7686" s="71"/>
      <c r="Y7686" s="71"/>
    </row>
    <row r="7687" spans="1:25" ht="30" hidden="1" customHeight="1" x14ac:dyDescent="0.25">
      <c r="A7687" s="1145">
        <v>45736</v>
      </c>
      <c r="B7687" s="664" t="s">
        <v>442</v>
      </c>
      <c r="C7687" s="71" t="s">
        <v>208</v>
      </c>
      <c r="D7687" s="71">
        <v>4</v>
      </c>
      <c r="E7687" s="102">
        <v>680160</v>
      </c>
      <c r="F7687" s="102">
        <f t="shared" si="4423"/>
        <v>2992704.0000000005</v>
      </c>
      <c r="G7687" s="102">
        <f t="shared" si="4424"/>
        <v>2720640</v>
      </c>
      <c r="H7687" s="690" t="s">
        <v>2029</v>
      </c>
      <c r="I7687" s="71" t="s">
        <v>195</v>
      </c>
      <c r="J7687" s="53">
        <f t="shared" si="4425"/>
        <v>306600</v>
      </c>
      <c r="K7687" s="63">
        <f t="shared" si="4426"/>
        <v>0.11269407198306279</v>
      </c>
      <c r="L7687" s="1212" t="s">
        <v>4332</v>
      </c>
      <c r="M7687" s="468"/>
      <c r="N7687" s="1192">
        <f t="shared" si="4427"/>
        <v>45736</v>
      </c>
      <c r="O7687" s="71" t="s">
        <v>4245</v>
      </c>
      <c r="P7687" s="103" t="str">
        <f t="shared" si="4428"/>
        <v>Agfa Film(32inch)</v>
      </c>
      <c r="Q7687" s="71">
        <f t="shared" si="4429"/>
        <v>4</v>
      </c>
      <c r="R7687" s="102">
        <v>603510</v>
      </c>
      <c r="S7687" s="102">
        <f t="shared" si="4430"/>
        <v>2655444</v>
      </c>
      <c r="T7687" s="102">
        <f t="shared" si="4431"/>
        <v>2414040</v>
      </c>
      <c r="U7687" s="71" t="s">
        <v>859</v>
      </c>
      <c r="V7687" s="71"/>
      <c r="W7687" s="474">
        <v>201820</v>
      </c>
      <c r="X7687" s="71"/>
      <c r="Y7687" s="71"/>
    </row>
    <row r="7688" spans="1:25" ht="30" hidden="1" customHeight="1" x14ac:dyDescent="0.2">
      <c r="A7688" s="1145">
        <v>45736</v>
      </c>
      <c r="B7688" s="664" t="s">
        <v>442</v>
      </c>
      <c r="C7688" s="71" t="s">
        <v>648</v>
      </c>
      <c r="D7688" s="71">
        <v>4</v>
      </c>
      <c r="E7688" s="102">
        <v>93000</v>
      </c>
      <c r="F7688" s="102">
        <f t="shared" si="4423"/>
        <v>409200.00000000006</v>
      </c>
      <c r="G7688" s="102">
        <f t="shared" si="4424"/>
        <v>372000</v>
      </c>
      <c r="H7688" s="165" t="s">
        <v>172</v>
      </c>
      <c r="I7688" s="71" t="s">
        <v>195</v>
      </c>
      <c r="J7688" s="53">
        <f t="shared" si="4425"/>
        <v>60560</v>
      </c>
      <c r="K7688" s="63">
        <f t="shared" si="4426"/>
        <v>0.16279569892473117</v>
      </c>
      <c r="L7688" s="1212" t="s">
        <v>4332</v>
      </c>
      <c r="M7688" s="468"/>
      <c r="N7688" s="1192">
        <f t="shared" si="4427"/>
        <v>45736</v>
      </c>
      <c r="O7688" s="71" t="s">
        <v>4245</v>
      </c>
      <c r="P7688" s="103" t="str">
        <f t="shared" si="4428"/>
        <v>Agfa 정착액 G333C(20L)</v>
      </c>
      <c r="Q7688" s="71">
        <f t="shared" si="4429"/>
        <v>4</v>
      </c>
      <c r="R7688" s="102">
        <v>77860</v>
      </c>
      <c r="S7688" s="102">
        <f t="shared" si="4430"/>
        <v>342584</v>
      </c>
      <c r="T7688" s="102">
        <f t="shared" si="4431"/>
        <v>311440</v>
      </c>
      <c r="U7688" s="71" t="s">
        <v>859</v>
      </c>
      <c r="V7688" s="71"/>
      <c r="W7688" s="474">
        <v>27000</v>
      </c>
      <c r="X7688" s="71"/>
      <c r="Y7688" s="71"/>
    </row>
    <row r="7689" spans="1:25" ht="30" hidden="1" customHeight="1" x14ac:dyDescent="0.2">
      <c r="A7689" s="1145">
        <v>45736</v>
      </c>
      <c r="B7689" s="664" t="s">
        <v>442</v>
      </c>
      <c r="C7689" s="71" t="s">
        <v>4235</v>
      </c>
      <c r="D7689" s="71">
        <v>12</v>
      </c>
      <c r="E7689" s="102">
        <v>50000</v>
      </c>
      <c r="F7689" s="102">
        <f t="shared" si="4423"/>
        <v>660000</v>
      </c>
      <c r="G7689" s="102">
        <f t="shared" si="4424"/>
        <v>600000</v>
      </c>
      <c r="H7689" s="165" t="s">
        <v>172</v>
      </c>
      <c r="I7689" s="71" t="s">
        <v>195</v>
      </c>
      <c r="J7689" s="53">
        <f t="shared" si="4425"/>
        <v>210720</v>
      </c>
      <c r="K7689" s="63">
        <f t="shared" si="4426"/>
        <v>0.35120000000000001</v>
      </c>
      <c r="L7689" s="1212" t="s">
        <v>4332</v>
      </c>
      <c r="M7689" s="102"/>
      <c r="N7689" s="1192">
        <f t="shared" si="4427"/>
        <v>45736</v>
      </c>
      <c r="O7689" s="71" t="s">
        <v>4245</v>
      </c>
      <c r="P7689" s="103" t="str">
        <f t="shared" si="4428"/>
        <v>필름 현상액</v>
      </c>
      <c r="Q7689" s="71">
        <f t="shared" si="4429"/>
        <v>12</v>
      </c>
      <c r="R7689" s="102">
        <v>32440</v>
      </c>
      <c r="S7689" s="102">
        <f t="shared" si="4430"/>
        <v>428208.00000000006</v>
      </c>
      <c r="T7689" s="102">
        <f t="shared" si="4431"/>
        <v>389280</v>
      </c>
      <c r="U7689" s="71"/>
      <c r="V7689" s="71"/>
      <c r="W7689" s="474"/>
      <c r="X7689" s="71"/>
      <c r="Y7689" s="71"/>
    </row>
    <row r="7690" spans="1:25" ht="30" hidden="1" customHeight="1" x14ac:dyDescent="0.25">
      <c r="A7690" s="1145">
        <v>45737</v>
      </c>
      <c r="B7690" s="664" t="s">
        <v>442</v>
      </c>
      <c r="C7690" s="71" t="s">
        <v>773</v>
      </c>
      <c r="D7690" s="71">
        <v>6</v>
      </c>
      <c r="E7690" s="102">
        <v>215000</v>
      </c>
      <c r="F7690" s="102">
        <f t="shared" si="4423"/>
        <v>1419000</v>
      </c>
      <c r="G7690" s="102">
        <f t="shared" si="4424"/>
        <v>1290000</v>
      </c>
      <c r="H7690" s="690" t="s">
        <v>173</v>
      </c>
      <c r="I7690" s="71" t="s">
        <v>109</v>
      </c>
      <c r="J7690" s="53">
        <f t="shared" si="4425"/>
        <v>150000</v>
      </c>
      <c r="K7690" s="63">
        <f t="shared" si="4426"/>
        <v>0.11627906976744186</v>
      </c>
      <c r="L7690" s="1212" t="s">
        <v>4332</v>
      </c>
      <c r="M7690" s="468"/>
      <c r="N7690" s="1192">
        <f t="shared" si="4427"/>
        <v>45737</v>
      </c>
      <c r="O7690" s="71" t="s">
        <v>151</v>
      </c>
      <c r="P7690" s="103" t="str">
        <f t="shared" si="4428"/>
        <v>로랜드 전지 블랑켓(1460*1165)bar</v>
      </c>
      <c r="Q7690" s="71">
        <f t="shared" si="4429"/>
        <v>6</v>
      </c>
      <c r="R7690" s="102">
        <v>190000</v>
      </c>
      <c r="S7690" s="102">
        <f t="shared" si="4430"/>
        <v>1254000</v>
      </c>
      <c r="T7690" s="102">
        <f t="shared" si="4431"/>
        <v>1140000</v>
      </c>
      <c r="U7690" s="71" t="s">
        <v>859</v>
      </c>
      <c r="V7690" s="71"/>
      <c r="W7690" s="474">
        <v>120000</v>
      </c>
      <c r="X7690" s="71"/>
      <c r="Y7690" s="71"/>
    </row>
    <row r="7691" spans="1:25" s="209" customFormat="1" ht="30" hidden="1" customHeight="1" x14ac:dyDescent="0.25">
      <c r="A7691" s="1145">
        <v>45740</v>
      </c>
      <c r="B7691" s="664" t="s">
        <v>442</v>
      </c>
      <c r="C7691" s="71" t="s">
        <v>3833</v>
      </c>
      <c r="D7691" s="71">
        <v>500</v>
      </c>
      <c r="E7691" s="102">
        <v>4250</v>
      </c>
      <c r="F7691" s="102">
        <f t="shared" ref="F7691:F7693" si="4432">(E7691*D7691)*1.1</f>
        <v>2337500</v>
      </c>
      <c r="G7691" s="102">
        <f t="shared" ref="G7691:G7693" si="4433">(E7691*D7691)</f>
        <v>2125000</v>
      </c>
      <c r="H7691" s="690" t="s">
        <v>2029</v>
      </c>
      <c r="I7691" s="71" t="s">
        <v>2230</v>
      </c>
      <c r="J7691" s="53">
        <f t="shared" ref="J7691:J7693" si="4434">G7691-T7691</f>
        <v>400000</v>
      </c>
      <c r="K7691" s="63">
        <f t="shared" ref="K7691" si="4435">(J7691/(F7691/11*10))</f>
        <v>0.18823529411764706</v>
      </c>
      <c r="L7691" s="1212" t="s">
        <v>4332</v>
      </c>
      <c r="M7691" s="468"/>
      <c r="N7691" s="1192">
        <f t="shared" ref="N7691:N7693" si="4436">A7691</f>
        <v>45740</v>
      </c>
      <c r="O7691" s="71" t="s">
        <v>2030</v>
      </c>
      <c r="P7691" s="103" t="str">
        <f t="shared" ref="P7691:P7693" si="4437">(C7691)</f>
        <v>CTP 판 1030*790</v>
      </c>
      <c r="Q7691" s="71">
        <f t="shared" ref="Q7691:Q7693" si="4438">D7691</f>
        <v>500</v>
      </c>
      <c r="R7691" s="102">
        <v>3450</v>
      </c>
      <c r="S7691" s="102">
        <f t="shared" ref="S7691:S7693" si="4439">R7691*Q7691*1.1</f>
        <v>1897500.0000000002</v>
      </c>
      <c r="T7691" s="102">
        <f t="shared" ref="T7691:T7693" si="4440">R7691*Q7691</f>
        <v>1725000</v>
      </c>
      <c r="U7691" s="71"/>
      <c r="V7691" s="71"/>
      <c r="W7691" s="474"/>
      <c r="X7691" s="71"/>
      <c r="Y7691" s="71"/>
    </row>
    <row r="7692" spans="1:25" ht="30" hidden="1" customHeight="1" x14ac:dyDescent="0.25">
      <c r="A7692" s="1145">
        <v>45723</v>
      </c>
      <c r="B7692" s="664" t="s">
        <v>26</v>
      </c>
      <c r="C7692" s="71" t="s">
        <v>2087</v>
      </c>
      <c r="D7692" s="71">
        <v>5</v>
      </c>
      <c r="E7692" s="102">
        <v>65000</v>
      </c>
      <c r="F7692" s="102">
        <f t="shared" si="4432"/>
        <v>357500</v>
      </c>
      <c r="G7692" s="102">
        <f t="shared" si="4433"/>
        <v>325000</v>
      </c>
      <c r="H7692" s="690" t="s">
        <v>172</v>
      </c>
      <c r="I7692" s="71" t="s">
        <v>3295</v>
      </c>
      <c r="J7692" s="53">
        <f t="shared" si="4434"/>
        <v>75000</v>
      </c>
      <c r="K7692" s="63">
        <v>0.23076923076923078</v>
      </c>
      <c r="L7692" s="1212" t="s">
        <v>4332</v>
      </c>
      <c r="M7692" s="468"/>
      <c r="N7692" s="1192">
        <f t="shared" si="4436"/>
        <v>45723</v>
      </c>
      <c r="O7692" s="71" t="s">
        <v>152</v>
      </c>
      <c r="P7692" s="103" t="str">
        <f t="shared" si="4437"/>
        <v>아스테이지(국전)</v>
      </c>
      <c r="Q7692" s="71">
        <f t="shared" si="4438"/>
        <v>5</v>
      </c>
      <c r="R7692" s="102">
        <v>50000</v>
      </c>
      <c r="S7692" s="102">
        <f t="shared" si="4439"/>
        <v>275000</v>
      </c>
      <c r="T7692" s="102">
        <f t="shared" si="4440"/>
        <v>250000</v>
      </c>
      <c r="U7692" s="71" t="s">
        <v>1915</v>
      </c>
      <c r="V7692" s="71"/>
      <c r="W7692" s="474">
        <v>150000</v>
      </c>
      <c r="X7692" s="71"/>
      <c r="Y7692" s="71"/>
    </row>
    <row r="7693" spans="1:25" ht="30" hidden="1" customHeight="1" x14ac:dyDescent="0.25">
      <c r="A7693" s="1145">
        <v>45737</v>
      </c>
      <c r="B7693" s="664" t="s">
        <v>26</v>
      </c>
      <c r="C7693" s="71" t="s">
        <v>2087</v>
      </c>
      <c r="D7693" s="71">
        <v>5</v>
      </c>
      <c r="E7693" s="102">
        <v>65000</v>
      </c>
      <c r="F7693" s="102">
        <f t="shared" si="4432"/>
        <v>357500</v>
      </c>
      <c r="G7693" s="102">
        <f t="shared" si="4433"/>
        <v>325000</v>
      </c>
      <c r="H7693" s="690" t="s">
        <v>172</v>
      </c>
      <c r="I7693" s="71" t="s">
        <v>3295</v>
      </c>
      <c r="J7693" s="53">
        <f t="shared" si="4434"/>
        <v>75000</v>
      </c>
      <c r="K7693" s="63">
        <v>0.23076923076923078</v>
      </c>
      <c r="L7693" s="1212" t="s">
        <v>4332</v>
      </c>
      <c r="M7693" s="468"/>
      <c r="N7693" s="1192">
        <f t="shared" si="4436"/>
        <v>45737</v>
      </c>
      <c r="O7693" s="71" t="s">
        <v>152</v>
      </c>
      <c r="P7693" s="103" t="str">
        <f t="shared" si="4437"/>
        <v>아스테이지(국전)</v>
      </c>
      <c r="Q7693" s="71">
        <f t="shared" si="4438"/>
        <v>5</v>
      </c>
      <c r="R7693" s="102">
        <v>50000</v>
      </c>
      <c r="S7693" s="102">
        <f t="shared" si="4439"/>
        <v>275000</v>
      </c>
      <c r="T7693" s="102">
        <f t="shared" si="4440"/>
        <v>250000</v>
      </c>
      <c r="U7693" s="71" t="s">
        <v>1915</v>
      </c>
      <c r="V7693" s="71"/>
      <c r="W7693" s="474">
        <v>150000</v>
      </c>
      <c r="X7693" s="71"/>
      <c r="Y7693" s="71"/>
    </row>
    <row r="7694" spans="1:25" ht="30" hidden="1" customHeight="1" x14ac:dyDescent="0.25">
      <c r="A7694" s="1145">
        <v>45741</v>
      </c>
      <c r="B7694" s="664" t="s">
        <v>1155</v>
      </c>
      <c r="C7694" s="760" t="s">
        <v>2648</v>
      </c>
      <c r="D7694" s="71">
        <v>15</v>
      </c>
      <c r="E7694" s="102">
        <v>37000</v>
      </c>
      <c r="F7694" s="102">
        <f>(E7694*D7694)*1.1</f>
        <v>610500</v>
      </c>
      <c r="G7694" s="102">
        <f>(E7694*D7694)</f>
        <v>555000</v>
      </c>
      <c r="H7694" s="690" t="s">
        <v>94</v>
      </c>
      <c r="I7694" s="71" t="s">
        <v>94</v>
      </c>
      <c r="J7694" s="53">
        <f>G7694-T7694</f>
        <v>193950</v>
      </c>
      <c r="K7694" s="63">
        <f>(J7694/(F7694/11*10))</f>
        <v>0.34945945945945944</v>
      </c>
      <c r="L7694" s="1212" t="s">
        <v>4332</v>
      </c>
      <c r="M7694" s="468"/>
      <c r="N7694" s="1192">
        <f>A7694</f>
        <v>45741</v>
      </c>
      <c r="O7694" s="71" t="s">
        <v>94</v>
      </c>
      <c r="P7694" s="103" t="str">
        <f>(C7694)</f>
        <v>주머니 필터백</v>
      </c>
      <c r="Q7694" s="71">
        <f>D7694</f>
        <v>15</v>
      </c>
      <c r="R7694" s="102">
        <v>24070</v>
      </c>
      <c r="S7694" s="102">
        <f>R7694*Q7694*1.1</f>
        <v>397155.00000000006</v>
      </c>
      <c r="T7694" s="102">
        <f>R7694*Q7694</f>
        <v>361050</v>
      </c>
      <c r="U7694" s="71"/>
      <c r="V7694" s="71"/>
      <c r="W7694" s="474"/>
      <c r="X7694" s="71"/>
      <c r="Y7694" s="71"/>
    </row>
    <row r="7695" spans="1:25" ht="30" hidden="1" customHeight="1" x14ac:dyDescent="0.25">
      <c r="A7695" s="1145">
        <v>45747</v>
      </c>
      <c r="B7695" s="664" t="s">
        <v>3830</v>
      </c>
      <c r="C7695" s="71" t="s">
        <v>3667</v>
      </c>
      <c r="D7695" s="71">
        <v>1730</v>
      </c>
      <c r="E7695" s="102">
        <v>1950</v>
      </c>
      <c r="F7695" s="102">
        <f>(E7695*D7695)*1.1</f>
        <v>3710850.0000000005</v>
      </c>
      <c r="G7695" s="102">
        <f>(E7695*D7695)</f>
        <v>3373500</v>
      </c>
      <c r="H7695" s="690" t="s">
        <v>173</v>
      </c>
      <c r="I7695" s="71" t="s">
        <v>2230</v>
      </c>
      <c r="J7695" s="53">
        <f>G7695-T7695</f>
        <v>3373500</v>
      </c>
      <c r="K7695" s="63">
        <f>(J7695/(F7695/11*10))</f>
        <v>0.99999999999999989</v>
      </c>
      <c r="L7695" s="1212" t="s">
        <v>4332</v>
      </c>
      <c r="M7695" s="468"/>
      <c r="N7695" s="1192">
        <f>A7695</f>
        <v>45747</v>
      </c>
      <c r="O7695" s="71"/>
      <c r="P7695" s="103" t="str">
        <f>(C7695)</f>
        <v>폐판</v>
      </c>
      <c r="Q7695" s="71">
        <f>D7695</f>
        <v>1730</v>
      </c>
      <c r="R7695" s="147"/>
      <c r="S7695" s="102">
        <f t="shared" si="4393"/>
        <v>0</v>
      </c>
      <c r="T7695" s="102">
        <f t="shared" si="4394"/>
        <v>0</v>
      </c>
      <c r="U7695" s="71"/>
      <c r="V7695" s="71"/>
      <c r="W7695" s="474"/>
      <c r="X7695" s="71"/>
      <c r="Y7695" s="71"/>
    </row>
    <row r="7696" spans="1:25" s="209" customFormat="1" ht="30" hidden="1" customHeight="1" x14ac:dyDescent="0.25">
      <c r="A7696" s="1145">
        <v>45720</v>
      </c>
      <c r="B7696" s="664" t="s">
        <v>411</v>
      </c>
      <c r="C7696" s="71" t="s">
        <v>3413</v>
      </c>
      <c r="D7696" s="71">
        <v>10</v>
      </c>
      <c r="E7696" s="102">
        <v>80000</v>
      </c>
      <c r="F7696" s="102">
        <f t="shared" ref="F7696:F7704" si="4441">(E7696*D7696)*1.1</f>
        <v>880000.00000000012</v>
      </c>
      <c r="G7696" s="102">
        <f t="shared" ref="G7696:G7704" si="4442">(E7696*D7696)</f>
        <v>800000</v>
      </c>
      <c r="H7696" s="690" t="s">
        <v>2029</v>
      </c>
      <c r="I7696" s="71" t="s">
        <v>3385</v>
      </c>
      <c r="J7696" s="53">
        <f t="shared" ref="J7696:J7702" si="4443">G7696-T7696</f>
        <v>300000</v>
      </c>
      <c r="K7696" s="63">
        <f t="shared" ref="K7696:K7702" si="4444">(J7696/(F7696/11*10))</f>
        <v>0.37499999999999994</v>
      </c>
      <c r="L7696" s="1212" t="s">
        <v>4332</v>
      </c>
      <c r="M7696" s="468"/>
      <c r="N7696" s="1192">
        <f t="shared" ref="N7696:N7704" si="4445">A7696</f>
        <v>45720</v>
      </c>
      <c r="O7696" s="71" t="s">
        <v>190</v>
      </c>
      <c r="P7696" s="103" t="str">
        <f t="shared" ref="P7696:P7704" si="4446">(C7696)</f>
        <v>아스테이지(국전)</v>
      </c>
      <c r="Q7696" s="71">
        <f t="shared" ref="Q7696:Q7704" si="4447">D7696</f>
        <v>10</v>
      </c>
      <c r="R7696" s="102">
        <v>50000</v>
      </c>
      <c r="S7696" s="102">
        <f t="shared" si="4393"/>
        <v>550000</v>
      </c>
      <c r="T7696" s="102">
        <f t="shared" si="4394"/>
        <v>500000</v>
      </c>
      <c r="U7696" s="71" t="str">
        <f t="shared" ref="U7696" si="4448">IF(J7696=W7696,"O", "X")</f>
        <v>X</v>
      </c>
      <c r="V7696" s="71"/>
      <c r="W7696" s="474">
        <v>500000</v>
      </c>
      <c r="X7696" s="71"/>
      <c r="Y7696" s="71"/>
    </row>
    <row r="7697" spans="1:25" ht="30" hidden="1" customHeight="1" x14ac:dyDescent="0.25">
      <c r="A7697" s="1145">
        <v>45721</v>
      </c>
      <c r="B7697" s="664" t="s">
        <v>2798</v>
      </c>
      <c r="C7697" s="71" t="s">
        <v>4238</v>
      </c>
      <c r="D7697" s="71">
        <v>10</v>
      </c>
      <c r="E7697" s="102">
        <v>162000</v>
      </c>
      <c r="F7697" s="102">
        <f t="shared" si="4441"/>
        <v>1782000.0000000002</v>
      </c>
      <c r="G7697" s="102">
        <f t="shared" si="4442"/>
        <v>1620000</v>
      </c>
      <c r="H7697" s="690" t="s">
        <v>173</v>
      </c>
      <c r="I7697" s="71" t="s">
        <v>109</v>
      </c>
      <c r="J7697" s="53">
        <f t="shared" si="4443"/>
        <v>243000</v>
      </c>
      <c r="K7697" s="63">
        <f t="shared" si="4444"/>
        <v>0.14999999999999997</v>
      </c>
      <c r="L7697" s="1212" t="s">
        <v>4332</v>
      </c>
      <c r="M7697" s="468"/>
      <c r="N7697" s="1192">
        <f t="shared" si="4445"/>
        <v>45721</v>
      </c>
      <c r="O7697" s="71" t="s">
        <v>150</v>
      </c>
      <c r="P7697" s="103" t="str">
        <f t="shared" si="4446"/>
        <v>TUV 블랑켓 하이델 XL용</v>
      </c>
      <c r="Q7697" s="71">
        <f t="shared" si="4447"/>
        <v>10</v>
      </c>
      <c r="R7697" s="147">
        <v>137700</v>
      </c>
      <c r="S7697" s="102">
        <f t="shared" si="4393"/>
        <v>1514700.0000000002</v>
      </c>
      <c r="T7697" s="102">
        <f t="shared" si="4394"/>
        <v>1377000</v>
      </c>
      <c r="U7697" s="71"/>
      <c r="V7697" s="71"/>
      <c r="W7697" s="474"/>
      <c r="X7697" s="71"/>
      <c r="Y7697" s="71"/>
    </row>
    <row r="7698" spans="1:25" ht="31.5" hidden="1" customHeight="1" x14ac:dyDescent="0.25">
      <c r="A7698" s="1145">
        <v>45721</v>
      </c>
      <c r="B7698" s="664" t="s">
        <v>545</v>
      </c>
      <c r="C7698" s="71" t="s">
        <v>911</v>
      </c>
      <c r="D7698" s="71">
        <v>1</v>
      </c>
      <c r="E7698" s="102">
        <v>250000</v>
      </c>
      <c r="F7698" s="102">
        <f t="shared" si="4441"/>
        <v>275000</v>
      </c>
      <c r="G7698" s="102">
        <f t="shared" si="4442"/>
        <v>250000</v>
      </c>
      <c r="H7698" s="690" t="s">
        <v>173</v>
      </c>
      <c r="I7698" s="71" t="s">
        <v>2231</v>
      </c>
      <c r="J7698" s="53">
        <f t="shared" si="4443"/>
        <v>175000</v>
      </c>
      <c r="K7698" s="63">
        <f t="shared" si="4444"/>
        <v>0.7</v>
      </c>
      <c r="L7698" s="1212" t="s">
        <v>4332</v>
      </c>
      <c r="M7698" s="468"/>
      <c r="N7698" s="1192">
        <f t="shared" si="4445"/>
        <v>45721</v>
      </c>
      <c r="O7698" s="71" t="s">
        <v>994</v>
      </c>
      <c r="P7698" s="103" t="str">
        <f t="shared" si="4446"/>
        <v>콤푸레샤 에어필터</v>
      </c>
      <c r="Q7698" s="71">
        <f t="shared" si="4447"/>
        <v>1</v>
      </c>
      <c r="R7698" s="102">
        <v>75000</v>
      </c>
      <c r="S7698" s="102">
        <f t="shared" si="4393"/>
        <v>82500</v>
      </c>
      <c r="T7698" s="102">
        <f t="shared" si="4394"/>
        <v>75000</v>
      </c>
      <c r="U7698" s="71" t="str">
        <f t="shared" ref="U7698" si="4449">IF(J7698=W7698,"O", "X")</f>
        <v>O</v>
      </c>
      <c r="V7698" s="71"/>
      <c r="W7698" s="474">
        <f>(G7698-T7698)</f>
        <v>175000</v>
      </c>
      <c r="X7698" s="71"/>
      <c r="Y7698" s="71"/>
    </row>
    <row r="7699" spans="1:25" ht="30" hidden="1" customHeight="1" x14ac:dyDescent="0.25">
      <c r="A7699" s="1145">
        <v>45722</v>
      </c>
      <c r="B7699" s="664" t="s">
        <v>444</v>
      </c>
      <c r="C7699" s="71" t="s">
        <v>3399</v>
      </c>
      <c r="D7699" s="71">
        <v>10</v>
      </c>
      <c r="E7699" s="102">
        <v>195000</v>
      </c>
      <c r="F7699" s="102">
        <f t="shared" si="4441"/>
        <v>2145000</v>
      </c>
      <c r="G7699" s="102">
        <f t="shared" si="4442"/>
        <v>1950000</v>
      </c>
      <c r="H7699" s="690" t="s">
        <v>2029</v>
      </c>
      <c r="I7699" s="71" t="s">
        <v>180</v>
      </c>
      <c r="J7699" s="53">
        <f t="shared" si="4443"/>
        <v>450000</v>
      </c>
      <c r="K7699" s="63">
        <f t="shared" si="4444"/>
        <v>0.23076923076923078</v>
      </c>
      <c r="L7699" s="1212" t="s">
        <v>4332</v>
      </c>
      <c r="M7699" s="468"/>
      <c r="N7699" s="1192">
        <f t="shared" si="4445"/>
        <v>45722</v>
      </c>
      <c r="O7699" s="71" t="s">
        <v>191</v>
      </c>
      <c r="P7699" s="103" t="str">
        <f t="shared" si="4446"/>
        <v>UV wash offset UV</v>
      </c>
      <c r="Q7699" s="71">
        <f t="shared" si="4447"/>
        <v>10</v>
      </c>
      <c r="R7699" s="102">
        <v>150000</v>
      </c>
      <c r="S7699" s="102">
        <f t="shared" si="4393"/>
        <v>1650000.0000000002</v>
      </c>
      <c r="T7699" s="102">
        <f t="shared" si="4394"/>
        <v>1500000</v>
      </c>
      <c r="U7699" s="71"/>
      <c r="V7699" s="71"/>
      <c r="W7699" s="474"/>
      <c r="X7699" s="71"/>
      <c r="Y7699" s="71"/>
    </row>
    <row r="7700" spans="1:25" ht="30" hidden="1" customHeight="1" x14ac:dyDescent="0.25">
      <c r="A7700" s="1145">
        <v>45722</v>
      </c>
      <c r="B7700" s="664" t="s">
        <v>2798</v>
      </c>
      <c r="C7700" s="71" t="s">
        <v>4239</v>
      </c>
      <c r="D7700" s="71">
        <v>2</v>
      </c>
      <c r="E7700" s="102">
        <v>252000</v>
      </c>
      <c r="F7700" s="102">
        <f t="shared" si="4441"/>
        <v>554400</v>
      </c>
      <c r="G7700" s="102">
        <f t="shared" si="4442"/>
        <v>504000</v>
      </c>
      <c r="H7700" s="690" t="s">
        <v>173</v>
      </c>
      <c r="I7700" s="71" t="s">
        <v>180</v>
      </c>
      <c r="J7700" s="53">
        <f t="shared" si="4443"/>
        <v>129000</v>
      </c>
      <c r="K7700" s="63">
        <f t="shared" si="4444"/>
        <v>0.25595238095238093</v>
      </c>
      <c r="L7700" s="1212" t="s">
        <v>4332</v>
      </c>
      <c r="M7700" s="102"/>
      <c r="N7700" s="1192">
        <f t="shared" si="4445"/>
        <v>45722</v>
      </c>
      <c r="O7700" s="71" t="s">
        <v>150</v>
      </c>
      <c r="P7700" s="103" t="str">
        <f t="shared" si="4446"/>
        <v>Saphira 건식 세정포 하이델 XL용</v>
      </c>
      <c r="Q7700" s="71">
        <f t="shared" si="4447"/>
        <v>2</v>
      </c>
      <c r="R7700" s="102">
        <v>187500</v>
      </c>
      <c r="S7700" s="102">
        <f t="shared" si="4393"/>
        <v>412500.00000000006</v>
      </c>
      <c r="T7700" s="102">
        <f t="shared" si="4394"/>
        <v>375000</v>
      </c>
      <c r="U7700" s="71"/>
      <c r="V7700" s="71"/>
      <c r="W7700" s="474"/>
      <c r="X7700" s="71"/>
      <c r="Y7700" s="71"/>
    </row>
    <row r="7701" spans="1:25" ht="30" hidden="1" customHeight="1" x14ac:dyDescent="0.25">
      <c r="A7701" s="1145">
        <v>45728</v>
      </c>
      <c r="B7701" s="664" t="s">
        <v>2798</v>
      </c>
      <c r="C7701" s="71" t="s">
        <v>4240</v>
      </c>
      <c r="D7701" s="71">
        <v>10</v>
      </c>
      <c r="E7701" s="102">
        <v>133000</v>
      </c>
      <c r="F7701" s="102">
        <f t="shared" si="4441"/>
        <v>1463000.0000000002</v>
      </c>
      <c r="G7701" s="102">
        <f t="shared" si="4442"/>
        <v>1330000</v>
      </c>
      <c r="H7701" s="690" t="s">
        <v>173</v>
      </c>
      <c r="I7701" s="71" t="s">
        <v>109</v>
      </c>
      <c r="J7701" s="53">
        <f t="shared" si="4443"/>
        <v>210000</v>
      </c>
      <c r="K7701" s="63">
        <f t="shared" si="4444"/>
        <v>0.15789473684210523</v>
      </c>
      <c r="L7701" s="1212" t="s">
        <v>4332</v>
      </c>
      <c r="M7701" s="102"/>
      <c r="N7701" s="1192">
        <f t="shared" si="4445"/>
        <v>45728</v>
      </c>
      <c r="O7701" s="71" t="s">
        <v>150</v>
      </c>
      <c r="P7701" s="103" t="str">
        <f t="shared" si="4446"/>
        <v>5MX 블랑켓 XL용</v>
      </c>
      <c r="Q7701" s="71">
        <f t="shared" si="4447"/>
        <v>10</v>
      </c>
      <c r="R7701" s="102">
        <v>112000</v>
      </c>
      <c r="S7701" s="102">
        <f t="shared" si="4393"/>
        <v>1232000</v>
      </c>
      <c r="T7701" s="102">
        <f t="shared" si="4394"/>
        <v>1120000</v>
      </c>
      <c r="U7701" s="71"/>
      <c r="V7701" s="71"/>
      <c r="W7701" s="474"/>
      <c r="X7701" s="71"/>
      <c r="Y7701" s="71"/>
    </row>
    <row r="7702" spans="1:25" ht="30" hidden="1" customHeight="1" x14ac:dyDescent="0.25">
      <c r="A7702" s="1145">
        <v>45728</v>
      </c>
      <c r="B7702" s="664" t="s">
        <v>2798</v>
      </c>
      <c r="C7702" s="71" t="s">
        <v>3474</v>
      </c>
      <c r="D7702" s="71">
        <v>6</v>
      </c>
      <c r="E7702" s="102">
        <v>900000</v>
      </c>
      <c r="F7702" s="102">
        <f t="shared" si="4441"/>
        <v>5940000.0000000009</v>
      </c>
      <c r="G7702" s="102">
        <f t="shared" si="4442"/>
        <v>5400000</v>
      </c>
      <c r="H7702" s="690" t="s">
        <v>172</v>
      </c>
      <c r="I7702" s="71" t="s">
        <v>33</v>
      </c>
      <c r="J7702" s="53">
        <f t="shared" si="4443"/>
        <v>2777400</v>
      </c>
      <c r="K7702" s="63">
        <f t="shared" si="4444"/>
        <v>0.5143333333333332</v>
      </c>
      <c r="L7702" s="1212" t="s">
        <v>4332</v>
      </c>
      <c r="M7702" s="468"/>
      <c r="N7702" s="1192">
        <f t="shared" si="4445"/>
        <v>45728</v>
      </c>
      <c r="O7702" s="71" t="s">
        <v>3490</v>
      </c>
      <c r="P7702" s="103" t="str">
        <f t="shared" si="4446"/>
        <v>UV Lamp - KBA 전선타입</v>
      </c>
      <c r="Q7702" s="71">
        <f t="shared" si="4447"/>
        <v>6</v>
      </c>
      <c r="R7702" s="102">
        <v>437100</v>
      </c>
      <c r="S7702" s="102">
        <f t="shared" si="4393"/>
        <v>2884860</v>
      </c>
      <c r="T7702" s="102">
        <f t="shared" si="4394"/>
        <v>2622600</v>
      </c>
      <c r="U7702" s="71" t="str">
        <f t="shared" ref="U7702:U7704" si="4450">IF(J7702=W7702,"O", "X")</f>
        <v>X</v>
      </c>
      <c r="V7702" s="71"/>
      <c r="W7702" s="474"/>
      <c r="X7702" s="71"/>
      <c r="Y7702" s="71"/>
    </row>
    <row r="7703" spans="1:25" ht="30" hidden="1" customHeight="1" x14ac:dyDescent="0.25">
      <c r="A7703" s="1145">
        <v>45728</v>
      </c>
      <c r="B7703" s="664" t="s">
        <v>2798</v>
      </c>
      <c r="C7703" s="71" t="s">
        <v>3475</v>
      </c>
      <c r="D7703" s="71">
        <v>4</v>
      </c>
      <c r="E7703" s="102">
        <v>700000</v>
      </c>
      <c r="F7703" s="102">
        <f t="shared" si="4441"/>
        <v>3080000.0000000005</v>
      </c>
      <c r="G7703" s="102">
        <f t="shared" si="4442"/>
        <v>2800000</v>
      </c>
      <c r="H7703" s="690" t="s">
        <v>172</v>
      </c>
      <c r="I7703" s="71" t="s">
        <v>38</v>
      </c>
      <c r="J7703" s="53">
        <f>G7703-T7703</f>
        <v>960000</v>
      </c>
      <c r="K7703" s="63">
        <f>(J7703/(F7703/11*10))</f>
        <v>0.3428571428571428</v>
      </c>
      <c r="L7703" s="1212" t="s">
        <v>4332</v>
      </c>
      <c r="M7703" s="468"/>
      <c r="N7703" s="1192">
        <f t="shared" si="4445"/>
        <v>45728</v>
      </c>
      <c r="O7703" s="71" t="s">
        <v>3490</v>
      </c>
      <c r="P7703" s="103" t="str">
        <f t="shared" si="4446"/>
        <v>UV Lamp - KBA 똑딱이타입</v>
      </c>
      <c r="Q7703" s="71">
        <f t="shared" si="4447"/>
        <v>4</v>
      </c>
      <c r="R7703" s="102">
        <v>460000</v>
      </c>
      <c r="S7703" s="102">
        <f>R7703*Q7703*1.1</f>
        <v>2024000.0000000002</v>
      </c>
      <c r="T7703" s="102">
        <f>R7703*Q7703</f>
        <v>1840000</v>
      </c>
      <c r="U7703" s="71" t="str">
        <f t="shared" si="4450"/>
        <v>O</v>
      </c>
      <c r="V7703" s="71" t="s">
        <v>3292</v>
      </c>
      <c r="W7703" s="474">
        <f>(G7703-T7703)</f>
        <v>960000</v>
      </c>
      <c r="X7703" s="71"/>
      <c r="Y7703" s="71"/>
    </row>
    <row r="7704" spans="1:25" ht="30" hidden="1" customHeight="1" x14ac:dyDescent="0.25">
      <c r="A7704" s="1145">
        <v>45734</v>
      </c>
      <c r="B7704" s="664" t="s">
        <v>2798</v>
      </c>
      <c r="C7704" s="71" t="s">
        <v>167</v>
      </c>
      <c r="D7704" s="71">
        <v>10</v>
      </c>
      <c r="E7704" s="102">
        <v>138000</v>
      </c>
      <c r="F7704" s="102">
        <f t="shared" si="4441"/>
        <v>1518000.0000000002</v>
      </c>
      <c r="G7704" s="102">
        <f t="shared" si="4442"/>
        <v>1380000</v>
      </c>
      <c r="H7704" s="690" t="s">
        <v>172</v>
      </c>
      <c r="I7704" s="71" t="s">
        <v>33</v>
      </c>
      <c r="J7704" s="53">
        <f t="shared" ref="J7704:J7705" si="4451">G7704-T7704</f>
        <v>460000</v>
      </c>
      <c r="K7704" s="63">
        <f t="shared" ref="K7704:K7705" si="4452">(J7704/(F7704/11*10))</f>
        <v>0.33333333333333326</v>
      </c>
      <c r="L7704" s="1212" t="s">
        <v>4332</v>
      </c>
      <c r="M7704" s="468" t="s">
        <v>4114</v>
      </c>
      <c r="N7704" s="1192">
        <f t="shared" si="4445"/>
        <v>45734</v>
      </c>
      <c r="O7704" s="71" t="s">
        <v>146</v>
      </c>
      <c r="P7704" s="103" t="str">
        <f t="shared" si="4446"/>
        <v>Blanket(1060*860)</v>
      </c>
      <c r="Q7704" s="71">
        <f t="shared" si="4447"/>
        <v>10</v>
      </c>
      <c r="R7704" s="102">
        <v>92000</v>
      </c>
      <c r="S7704" s="102">
        <f t="shared" ref="S7704:S7705" si="4453">R7704*Q7704*1.1</f>
        <v>1012000.0000000001</v>
      </c>
      <c r="T7704" s="102">
        <f t="shared" ref="T7704:T7705" si="4454">R7704*Q7704</f>
        <v>920000</v>
      </c>
      <c r="U7704" s="71" t="str">
        <f t="shared" si="4450"/>
        <v>X</v>
      </c>
      <c r="V7704" s="71"/>
      <c r="W7704" s="474"/>
      <c r="X7704" s="71"/>
      <c r="Y7704" s="71"/>
    </row>
    <row r="7705" spans="1:25" ht="30" hidden="1" customHeight="1" x14ac:dyDescent="0.25">
      <c r="A7705" s="1145">
        <v>45741</v>
      </c>
      <c r="B7705" s="664" t="s">
        <v>2798</v>
      </c>
      <c r="C7705" s="71" t="s">
        <v>4240</v>
      </c>
      <c r="D7705" s="71">
        <v>10</v>
      </c>
      <c r="E7705" s="102">
        <v>133000</v>
      </c>
      <c r="F7705" s="102">
        <f t="shared" ref="F7705" si="4455">(E7705*D7705)*1.1</f>
        <v>1463000.0000000002</v>
      </c>
      <c r="G7705" s="102">
        <f t="shared" ref="G7705" si="4456">(E7705*D7705)</f>
        <v>1330000</v>
      </c>
      <c r="H7705" s="690" t="s">
        <v>173</v>
      </c>
      <c r="I7705" s="71" t="s">
        <v>109</v>
      </c>
      <c r="J7705" s="53">
        <f t="shared" si="4451"/>
        <v>210000</v>
      </c>
      <c r="K7705" s="63">
        <f t="shared" si="4452"/>
        <v>0.15789473684210523</v>
      </c>
      <c r="L7705" s="1212" t="s">
        <v>4332</v>
      </c>
      <c r="M7705" s="102"/>
      <c r="N7705" s="1192">
        <f t="shared" ref="N7705" si="4457">A7705</f>
        <v>45741</v>
      </c>
      <c r="O7705" s="71" t="s">
        <v>150</v>
      </c>
      <c r="P7705" s="103" t="str">
        <f t="shared" ref="P7705" si="4458">(C7705)</f>
        <v>5MX 블랑켓 XL용</v>
      </c>
      <c r="Q7705" s="71">
        <f t="shared" ref="Q7705" si="4459">D7705</f>
        <v>10</v>
      </c>
      <c r="R7705" s="102">
        <v>112000</v>
      </c>
      <c r="S7705" s="102">
        <f t="shared" si="4453"/>
        <v>1232000</v>
      </c>
      <c r="T7705" s="102">
        <f t="shared" si="4454"/>
        <v>1120000</v>
      </c>
      <c r="U7705" s="71"/>
      <c r="V7705" s="71"/>
      <c r="W7705" s="474"/>
      <c r="X7705" s="71"/>
      <c r="Y7705" s="71"/>
    </row>
    <row r="7706" spans="1:25" ht="30" hidden="1" customHeight="1" x14ac:dyDescent="0.25">
      <c r="A7706" s="1145">
        <v>45741</v>
      </c>
      <c r="B7706" s="664" t="s">
        <v>2798</v>
      </c>
      <c r="C7706" s="71" t="s">
        <v>167</v>
      </c>
      <c r="D7706" s="71">
        <v>10</v>
      </c>
      <c r="E7706" s="102">
        <v>138000</v>
      </c>
      <c r="F7706" s="102">
        <f t="shared" ref="F7706:F7716" si="4460">(E7706*D7706)*1.1</f>
        <v>1518000.0000000002</v>
      </c>
      <c r="G7706" s="102">
        <f t="shared" ref="G7706:G7716" si="4461">(E7706*D7706)</f>
        <v>1380000</v>
      </c>
      <c r="H7706" s="690" t="s">
        <v>172</v>
      </c>
      <c r="I7706" s="71" t="s">
        <v>33</v>
      </c>
      <c r="J7706" s="53">
        <f t="shared" ref="J7706:J7716" si="4462">G7706-T7706</f>
        <v>460000</v>
      </c>
      <c r="K7706" s="63">
        <f t="shared" ref="K7706:K7716" si="4463">(J7706/(F7706/11*10))</f>
        <v>0.33333333333333326</v>
      </c>
      <c r="L7706" s="1212" t="s">
        <v>4332</v>
      </c>
      <c r="M7706" s="468" t="s">
        <v>4114</v>
      </c>
      <c r="N7706" s="1192">
        <f t="shared" ref="N7706:N7715" si="4464">A7706</f>
        <v>45741</v>
      </c>
      <c r="O7706" s="71" t="s">
        <v>146</v>
      </c>
      <c r="P7706" s="103" t="str">
        <f t="shared" ref="P7706:P7716" si="4465">(C7706)</f>
        <v>Blanket(1060*860)</v>
      </c>
      <c r="Q7706" s="71">
        <f t="shared" ref="Q7706:Q7716" si="4466">D7706</f>
        <v>10</v>
      </c>
      <c r="R7706" s="102">
        <v>92000</v>
      </c>
      <c r="S7706" s="102">
        <f t="shared" si="4393"/>
        <v>1012000.0000000001</v>
      </c>
      <c r="T7706" s="102">
        <f t="shared" si="4394"/>
        <v>920000</v>
      </c>
      <c r="U7706" s="71" t="str">
        <f t="shared" ref="U7706:U7715" si="4467">IF(J7706=W7706,"O", "X")</f>
        <v>X</v>
      </c>
      <c r="V7706" s="71"/>
      <c r="W7706" s="474"/>
      <c r="X7706" s="71"/>
      <c r="Y7706" s="71"/>
    </row>
    <row r="7707" spans="1:25" ht="30" hidden="1" customHeight="1" x14ac:dyDescent="0.25">
      <c r="A7707" s="1145">
        <v>45747</v>
      </c>
      <c r="B7707" s="664" t="s">
        <v>3824</v>
      </c>
      <c r="C7707" s="71" t="s">
        <v>2137</v>
      </c>
      <c r="D7707" s="71">
        <v>1</v>
      </c>
      <c r="E7707" s="102">
        <v>550000</v>
      </c>
      <c r="F7707" s="102">
        <f t="shared" si="4460"/>
        <v>605000</v>
      </c>
      <c r="G7707" s="102">
        <f t="shared" si="4461"/>
        <v>550000</v>
      </c>
      <c r="H7707" s="690" t="s">
        <v>1431</v>
      </c>
      <c r="I7707" s="71" t="s">
        <v>1431</v>
      </c>
      <c r="J7707" s="53"/>
      <c r="K7707" s="63"/>
      <c r="L7707" s="1212" t="s">
        <v>4332</v>
      </c>
      <c r="M7707" s="102"/>
      <c r="N7707" s="1192">
        <f t="shared" si="4464"/>
        <v>45747</v>
      </c>
      <c r="O7707" s="71" t="s">
        <v>1431</v>
      </c>
      <c r="P7707" s="103" t="str">
        <f t="shared" si="4465"/>
        <v>잉크집 아스테이지</v>
      </c>
      <c r="Q7707" s="71">
        <f t="shared" si="4466"/>
        <v>1</v>
      </c>
      <c r="R7707" s="102"/>
      <c r="S7707" s="102">
        <f t="shared" si="4393"/>
        <v>0</v>
      </c>
      <c r="T7707" s="102">
        <f t="shared" si="4394"/>
        <v>0</v>
      </c>
      <c r="U7707" s="71" t="str">
        <f t="shared" si="4467"/>
        <v>O</v>
      </c>
      <c r="V7707" s="71"/>
      <c r="W7707" s="474"/>
      <c r="X7707" s="71"/>
      <c r="Y7707" s="71"/>
    </row>
    <row r="7708" spans="1:25" ht="30" hidden="1" customHeight="1" x14ac:dyDescent="0.25">
      <c r="A7708" s="1145">
        <v>45747</v>
      </c>
      <c r="B7708" s="664" t="s">
        <v>575</v>
      </c>
      <c r="C7708" s="71" t="s">
        <v>4335</v>
      </c>
      <c r="D7708" s="71">
        <v>1</v>
      </c>
      <c r="E7708" s="102">
        <v>750000</v>
      </c>
      <c r="F7708" s="102">
        <f t="shared" si="4460"/>
        <v>825000.00000000012</v>
      </c>
      <c r="G7708" s="102">
        <f t="shared" si="4461"/>
        <v>750000</v>
      </c>
      <c r="H7708" s="690" t="s">
        <v>1431</v>
      </c>
      <c r="I7708" s="71" t="s">
        <v>1431</v>
      </c>
      <c r="J7708" s="53"/>
      <c r="K7708" s="63"/>
      <c r="L7708" s="1212" t="s">
        <v>4332</v>
      </c>
      <c r="M7708" s="468"/>
      <c r="N7708" s="1192">
        <f t="shared" si="4464"/>
        <v>45747</v>
      </c>
      <c r="O7708" s="71" t="s">
        <v>1431</v>
      </c>
      <c r="P7708" s="103" t="str">
        <f t="shared" si="4465"/>
        <v>커플링</v>
      </c>
      <c r="Q7708" s="71">
        <f t="shared" si="4466"/>
        <v>1</v>
      </c>
      <c r="R7708" s="147"/>
      <c r="S7708" s="102">
        <f t="shared" si="4393"/>
        <v>0</v>
      </c>
      <c r="T7708" s="102">
        <f t="shared" si="4394"/>
        <v>0</v>
      </c>
      <c r="U7708" s="71" t="str">
        <f t="shared" si="4467"/>
        <v>O</v>
      </c>
      <c r="V7708" s="71"/>
      <c r="W7708" s="474"/>
      <c r="X7708" s="71"/>
      <c r="Y7708" s="71"/>
    </row>
    <row r="7709" spans="1:25" ht="30" hidden="1" customHeight="1" x14ac:dyDescent="0.25">
      <c r="A7709" s="1145">
        <v>45747</v>
      </c>
      <c r="B7709" s="664" t="s">
        <v>3410</v>
      </c>
      <c r="C7709" s="71" t="s">
        <v>4336</v>
      </c>
      <c r="D7709" s="71">
        <v>7</v>
      </c>
      <c r="E7709" s="102">
        <v>820000</v>
      </c>
      <c r="F7709" s="102">
        <f t="shared" si="4460"/>
        <v>6314000.0000000009</v>
      </c>
      <c r="G7709" s="102">
        <f t="shared" si="4461"/>
        <v>5740000</v>
      </c>
      <c r="H7709" s="690" t="s">
        <v>179</v>
      </c>
      <c r="I7709" s="71" t="s">
        <v>142</v>
      </c>
      <c r="J7709" s="53">
        <f t="shared" ref="J7709" si="4468">G7709-T7709</f>
        <v>1128316</v>
      </c>
      <c r="K7709" s="63">
        <f t="shared" ref="K7709" si="4469">(J7709/(F7709/11*10))</f>
        <v>0.19657073170731704</v>
      </c>
      <c r="L7709" s="1212" t="s">
        <v>4332</v>
      </c>
      <c r="M7709" s="102"/>
      <c r="N7709" s="1192">
        <f t="shared" si="4464"/>
        <v>45747</v>
      </c>
      <c r="O7709" s="71" t="s">
        <v>1459</v>
      </c>
      <c r="P7709" s="103" t="str">
        <f t="shared" si="4465"/>
        <v>IST 정품 UV Lamp T-3절용</v>
      </c>
      <c r="Q7709" s="71">
        <f t="shared" si="4466"/>
        <v>7</v>
      </c>
      <c r="R7709" s="102">
        <v>658812</v>
      </c>
      <c r="S7709" s="102">
        <f t="shared" si="4393"/>
        <v>5072852.4000000004</v>
      </c>
      <c r="T7709" s="102">
        <f t="shared" si="4394"/>
        <v>4611684</v>
      </c>
      <c r="U7709" s="71" t="str">
        <f t="shared" si="4467"/>
        <v>X</v>
      </c>
      <c r="V7709" s="71"/>
      <c r="W7709" s="474"/>
      <c r="X7709" s="71"/>
      <c r="Y7709" s="71"/>
    </row>
    <row r="7710" spans="1:25" ht="30" hidden="1" customHeight="1" x14ac:dyDescent="0.25">
      <c r="A7710" s="1145">
        <v>45747</v>
      </c>
      <c r="B7710" s="664" t="s">
        <v>627</v>
      </c>
      <c r="C7710" s="71" t="s">
        <v>114</v>
      </c>
      <c r="D7710" s="71">
        <v>20</v>
      </c>
      <c r="E7710" s="102">
        <v>22000</v>
      </c>
      <c r="F7710" s="102">
        <f t="shared" si="4460"/>
        <v>484000.00000000006</v>
      </c>
      <c r="G7710" s="102">
        <f t="shared" si="4461"/>
        <v>440000</v>
      </c>
      <c r="H7710" s="690" t="s">
        <v>1431</v>
      </c>
      <c r="I7710" s="71" t="s">
        <v>1431</v>
      </c>
      <c r="J7710" s="53">
        <f t="shared" ref="J7710" si="4470">G7710-T7710</f>
        <v>200000</v>
      </c>
      <c r="K7710" s="63">
        <f t="shared" ref="K7710" si="4471">(J7710/(F7710/11*10))</f>
        <v>0.45454545454545447</v>
      </c>
      <c r="L7710" s="1212" t="s">
        <v>4332</v>
      </c>
      <c r="M7710" s="468"/>
      <c r="N7710" s="1192">
        <f t="shared" si="4464"/>
        <v>45747</v>
      </c>
      <c r="O7710" s="71" t="s">
        <v>1431</v>
      </c>
      <c r="P7710" s="103" t="str">
        <f t="shared" si="4465"/>
        <v>스트리퍼</v>
      </c>
      <c r="Q7710" s="71">
        <f t="shared" si="4466"/>
        <v>20</v>
      </c>
      <c r="R7710" s="102">
        <v>12000</v>
      </c>
      <c r="S7710" s="102">
        <f t="shared" si="4393"/>
        <v>264000</v>
      </c>
      <c r="T7710" s="102">
        <f t="shared" si="4394"/>
        <v>240000</v>
      </c>
      <c r="U7710" s="71" t="str">
        <f t="shared" si="4467"/>
        <v>X</v>
      </c>
      <c r="V7710" s="71"/>
      <c r="W7710" s="474"/>
      <c r="X7710" s="71"/>
      <c r="Y7710" s="71"/>
    </row>
    <row r="7711" spans="1:25" ht="30" hidden="1" customHeight="1" x14ac:dyDescent="0.25">
      <c r="A7711" s="1145">
        <v>45723</v>
      </c>
      <c r="B7711" s="664" t="s">
        <v>546</v>
      </c>
      <c r="C7711" s="71" t="s">
        <v>4337</v>
      </c>
      <c r="D7711" s="71">
        <v>1</v>
      </c>
      <c r="E7711" s="102">
        <v>36600000</v>
      </c>
      <c r="F7711" s="102">
        <f t="shared" si="4460"/>
        <v>40260000</v>
      </c>
      <c r="G7711" s="102">
        <f t="shared" si="4461"/>
        <v>36600000</v>
      </c>
      <c r="H7711" s="690" t="s">
        <v>1431</v>
      </c>
      <c r="I7711" s="71" t="s">
        <v>1431</v>
      </c>
      <c r="J7711" s="53"/>
      <c r="K7711" s="63"/>
      <c r="L7711" s="1212" t="s">
        <v>4332</v>
      </c>
      <c r="M7711" s="102"/>
      <c r="N7711" s="1192">
        <f t="shared" si="4464"/>
        <v>45723</v>
      </c>
      <c r="O7711" s="71"/>
      <c r="P7711" s="103" t="str">
        <f t="shared" si="4465"/>
        <v>주안 Rotoman 수리작업 계약금</v>
      </c>
      <c r="Q7711" s="71">
        <f t="shared" si="4466"/>
        <v>1</v>
      </c>
      <c r="R7711" s="102"/>
      <c r="S7711" s="102">
        <f t="shared" si="4393"/>
        <v>0</v>
      </c>
      <c r="T7711" s="102">
        <f t="shared" si="4394"/>
        <v>0</v>
      </c>
      <c r="U7711" s="71" t="str">
        <f t="shared" si="4467"/>
        <v>O</v>
      </c>
      <c r="V7711" s="71"/>
      <c r="W7711" s="474"/>
      <c r="X7711" s="71"/>
      <c r="Y7711" s="71"/>
    </row>
    <row r="7712" spans="1:25" ht="30" hidden="1" customHeight="1" x14ac:dyDescent="0.25">
      <c r="A7712" s="1145">
        <v>45733</v>
      </c>
      <c r="B7712" s="664" t="s">
        <v>575</v>
      </c>
      <c r="C7712" s="71" t="s">
        <v>4338</v>
      </c>
      <c r="D7712" s="71">
        <v>100</v>
      </c>
      <c r="E7712" s="102">
        <v>22000</v>
      </c>
      <c r="F7712" s="102">
        <f t="shared" si="4460"/>
        <v>2420000</v>
      </c>
      <c r="G7712" s="102">
        <f t="shared" si="4461"/>
        <v>2200000</v>
      </c>
      <c r="H7712" s="690" t="s">
        <v>1431</v>
      </c>
      <c r="I7712" s="71" t="s">
        <v>1431</v>
      </c>
      <c r="J7712" s="53"/>
      <c r="K7712" s="63"/>
      <c r="L7712" s="1212" t="s">
        <v>4332</v>
      </c>
      <c r="M7712" s="468"/>
      <c r="N7712" s="1192">
        <f t="shared" si="4464"/>
        <v>45733</v>
      </c>
      <c r="O7712" s="71" t="s">
        <v>1431</v>
      </c>
      <c r="P7712" s="103" t="str">
        <f t="shared" si="4465"/>
        <v>벨트(25mm)</v>
      </c>
      <c r="Q7712" s="71">
        <f t="shared" si="4466"/>
        <v>100</v>
      </c>
      <c r="R7712" s="147"/>
      <c r="S7712" s="102">
        <f t="shared" si="4393"/>
        <v>0</v>
      </c>
      <c r="T7712" s="102">
        <f t="shared" si="4394"/>
        <v>0</v>
      </c>
      <c r="U7712" s="71" t="str">
        <f t="shared" si="4467"/>
        <v>O</v>
      </c>
      <c r="V7712" s="71"/>
      <c r="W7712" s="474"/>
      <c r="X7712" s="71"/>
      <c r="Y7712" s="71"/>
    </row>
    <row r="7713" spans="1:25" ht="30" hidden="1" customHeight="1" x14ac:dyDescent="0.25">
      <c r="A7713" s="1145">
        <v>45733</v>
      </c>
      <c r="B7713" s="664" t="s">
        <v>575</v>
      </c>
      <c r="C7713" s="71" t="s">
        <v>4339</v>
      </c>
      <c r="D7713" s="71">
        <v>50</v>
      </c>
      <c r="E7713" s="102">
        <v>16000</v>
      </c>
      <c r="F7713" s="102">
        <f t="shared" si="4460"/>
        <v>880000.00000000012</v>
      </c>
      <c r="G7713" s="102">
        <f t="shared" si="4461"/>
        <v>800000</v>
      </c>
      <c r="H7713" s="690" t="s">
        <v>1431</v>
      </c>
      <c r="I7713" s="71" t="s">
        <v>1431</v>
      </c>
      <c r="J7713" s="53"/>
      <c r="K7713" s="63"/>
      <c r="L7713" s="1212" t="s">
        <v>4332</v>
      </c>
      <c r="M7713" s="102"/>
      <c r="N7713" s="1192">
        <f t="shared" si="4464"/>
        <v>45733</v>
      </c>
      <c r="O7713" s="71" t="s">
        <v>1431</v>
      </c>
      <c r="P7713" s="103" t="str">
        <f t="shared" si="4465"/>
        <v>벨트(14mm)</v>
      </c>
      <c r="Q7713" s="71">
        <f t="shared" si="4466"/>
        <v>50</v>
      </c>
      <c r="R7713" s="102"/>
      <c r="S7713" s="102">
        <f t="shared" si="4393"/>
        <v>0</v>
      </c>
      <c r="T7713" s="102">
        <f t="shared" si="4394"/>
        <v>0</v>
      </c>
      <c r="U7713" s="71" t="str">
        <f t="shared" si="4467"/>
        <v>O</v>
      </c>
      <c r="V7713" s="71"/>
      <c r="W7713" s="474"/>
      <c r="X7713" s="71"/>
      <c r="Y7713" s="71"/>
    </row>
    <row r="7714" spans="1:25" ht="30" hidden="1" customHeight="1" x14ac:dyDescent="0.25">
      <c r="A7714" s="1145">
        <v>45733</v>
      </c>
      <c r="B7714" s="664" t="s">
        <v>575</v>
      </c>
      <c r="C7714" s="71" t="s">
        <v>114</v>
      </c>
      <c r="D7714" s="71">
        <v>130</v>
      </c>
      <c r="E7714" s="102">
        <v>19000</v>
      </c>
      <c r="F7714" s="102">
        <f t="shared" si="4460"/>
        <v>2717000</v>
      </c>
      <c r="G7714" s="102">
        <f t="shared" si="4461"/>
        <v>2470000</v>
      </c>
      <c r="H7714" s="690" t="s">
        <v>1431</v>
      </c>
      <c r="I7714" s="71" t="s">
        <v>1431</v>
      </c>
      <c r="J7714" s="53">
        <f t="shared" ref="J7714" si="4472">G7714-T7714</f>
        <v>910000</v>
      </c>
      <c r="K7714" s="63">
        <f t="shared" ref="K7714" si="4473">(J7714/(F7714/11*10))</f>
        <v>0.36842105263157893</v>
      </c>
      <c r="L7714" s="1212" t="s">
        <v>4332</v>
      </c>
      <c r="M7714" s="468"/>
      <c r="N7714" s="1192">
        <f t="shared" si="4464"/>
        <v>45733</v>
      </c>
      <c r="O7714" s="71" t="s">
        <v>1431</v>
      </c>
      <c r="P7714" s="103" t="str">
        <f t="shared" si="4465"/>
        <v>스트리퍼</v>
      </c>
      <c r="Q7714" s="71">
        <f t="shared" si="4466"/>
        <v>130</v>
      </c>
      <c r="R7714" s="102">
        <v>12000</v>
      </c>
      <c r="S7714" s="102">
        <f t="shared" si="4393"/>
        <v>1716000.0000000002</v>
      </c>
      <c r="T7714" s="102">
        <f t="shared" si="4394"/>
        <v>1560000</v>
      </c>
      <c r="U7714" s="71" t="str">
        <f t="shared" si="4467"/>
        <v>X</v>
      </c>
      <c r="V7714" s="71"/>
      <c r="W7714" s="474"/>
      <c r="X7714" s="71"/>
      <c r="Y7714" s="71"/>
    </row>
    <row r="7715" spans="1:25" ht="30" hidden="1" customHeight="1" x14ac:dyDescent="0.25">
      <c r="A7715" s="1145">
        <v>45733</v>
      </c>
      <c r="B7715" s="664" t="s">
        <v>575</v>
      </c>
      <c r="C7715" s="71" t="s">
        <v>2317</v>
      </c>
      <c r="D7715" s="71">
        <v>5</v>
      </c>
      <c r="E7715" s="102">
        <v>380000</v>
      </c>
      <c r="F7715" s="102">
        <f t="shared" si="4460"/>
        <v>2090000.0000000002</v>
      </c>
      <c r="G7715" s="102">
        <f t="shared" si="4461"/>
        <v>1900000</v>
      </c>
      <c r="H7715" s="690" t="s">
        <v>1431</v>
      </c>
      <c r="I7715" s="71" t="s">
        <v>1431</v>
      </c>
      <c r="J7715" s="53"/>
      <c r="K7715" s="63"/>
      <c r="L7715" s="1212" t="s">
        <v>4332</v>
      </c>
      <c r="M7715" s="102"/>
      <c r="N7715" s="1192">
        <f t="shared" si="4464"/>
        <v>45733</v>
      </c>
      <c r="O7715" s="71" t="s">
        <v>1431</v>
      </c>
      <c r="P7715" s="103" t="str">
        <f t="shared" si="4465"/>
        <v>물 센서</v>
      </c>
      <c r="Q7715" s="71">
        <f t="shared" si="4466"/>
        <v>5</v>
      </c>
      <c r="R7715" s="102"/>
      <c r="S7715" s="102">
        <f t="shared" si="4393"/>
        <v>0</v>
      </c>
      <c r="T7715" s="102">
        <f t="shared" si="4394"/>
        <v>0</v>
      </c>
      <c r="U7715" s="71" t="str">
        <f t="shared" si="4467"/>
        <v>O</v>
      </c>
      <c r="V7715" s="71"/>
      <c r="W7715" s="474"/>
      <c r="X7715" s="71"/>
      <c r="Y7715" s="71"/>
    </row>
    <row r="7716" spans="1:25" ht="30" customHeight="1" x14ac:dyDescent="0.25">
      <c r="A7716" s="1145">
        <v>45741</v>
      </c>
      <c r="B7716" s="664" t="s">
        <v>641</v>
      </c>
      <c r="C7716" s="71" t="s">
        <v>3293</v>
      </c>
      <c r="D7716" s="71">
        <v>60</v>
      </c>
      <c r="E7716" s="102">
        <v>84000</v>
      </c>
      <c r="F7716" s="102">
        <f t="shared" si="4460"/>
        <v>5544000</v>
      </c>
      <c r="G7716" s="102">
        <f t="shared" si="4461"/>
        <v>5040000</v>
      </c>
      <c r="H7716" s="690" t="s">
        <v>172</v>
      </c>
      <c r="I7716" s="71" t="s">
        <v>38</v>
      </c>
      <c r="J7716" s="53">
        <f t="shared" si="4462"/>
        <v>1980000</v>
      </c>
      <c r="K7716" s="63">
        <f t="shared" si="4463"/>
        <v>0.39285714285714285</v>
      </c>
      <c r="L7716" s="1212" t="s">
        <v>4333</v>
      </c>
      <c r="M7716" s="468"/>
      <c r="N7716" s="1192">
        <f t="shared" ref="N7716:N7717" si="4474">A7716</f>
        <v>45741</v>
      </c>
      <c r="O7716" s="71" t="s">
        <v>3291</v>
      </c>
      <c r="P7716" s="103" t="str">
        <f t="shared" si="4465"/>
        <v>GOSS 신문윤전 습식세정포</v>
      </c>
      <c r="Q7716" s="71">
        <f t="shared" si="4466"/>
        <v>60</v>
      </c>
      <c r="R7716" s="102">
        <v>51000</v>
      </c>
      <c r="S7716" s="102">
        <f t="shared" si="4393"/>
        <v>3366000.0000000005</v>
      </c>
      <c r="T7716" s="102">
        <f t="shared" si="4394"/>
        <v>3060000</v>
      </c>
      <c r="U7716" s="71" t="str">
        <f>IF(J7716=W7716,"O", "X")</f>
        <v>X</v>
      </c>
      <c r="V7716" s="71"/>
      <c r="W7716" s="474"/>
      <c r="X7716" s="71"/>
      <c r="Y7716" s="71"/>
    </row>
    <row r="7717" spans="1:25" ht="30" hidden="1" customHeight="1" x14ac:dyDescent="0.25">
      <c r="A7717" s="1210" t="s">
        <v>4346</v>
      </c>
      <c r="B7717" s="1211" t="s">
        <v>544</v>
      </c>
      <c r="C7717" s="960"/>
      <c r="D7717" s="960"/>
      <c r="E7717" s="952"/>
      <c r="F7717" s="952"/>
      <c r="G7717" s="952"/>
      <c r="H7717" s="1206"/>
      <c r="I7717" s="960"/>
      <c r="J7717" s="952"/>
      <c r="K7717" s="953"/>
      <c r="L7717" s="1212" t="s">
        <v>4348</v>
      </c>
      <c r="M7717" s="1207"/>
      <c r="N7717" s="1208" t="str">
        <f t="shared" si="4474"/>
        <v>2025,4</v>
      </c>
      <c r="O7717" s="960"/>
      <c r="P7717" s="1209"/>
      <c r="Q7717" s="960"/>
      <c r="R7717" s="952"/>
      <c r="S7717" s="952"/>
      <c r="T7717" s="952"/>
      <c r="U7717" s="960"/>
      <c r="V7717" s="960"/>
      <c r="W7717" s="474">
        <f>(G7717-T7717)</f>
        <v>0</v>
      </c>
      <c r="X7717" s="71"/>
      <c r="Y7717" s="71"/>
    </row>
    <row r="7718" spans="1:25" ht="30" hidden="1" customHeight="1" x14ac:dyDescent="0.25">
      <c r="A7718" s="1145">
        <v>45772</v>
      </c>
      <c r="B7718" s="664" t="s">
        <v>1060</v>
      </c>
      <c r="C7718" s="71" t="s">
        <v>3908</v>
      </c>
      <c r="D7718" s="71">
        <v>400</v>
      </c>
      <c r="E7718" s="102">
        <v>6050</v>
      </c>
      <c r="F7718" s="102">
        <f t="shared" ref="F7718:F7748" si="4475">(E7718*D7718)*1.1</f>
        <v>2662000</v>
      </c>
      <c r="G7718" s="102">
        <f t="shared" ref="G7718:G7748" si="4476">(E7718*D7718)</f>
        <v>2420000</v>
      </c>
      <c r="H7718" s="690" t="s">
        <v>142</v>
      </c>
      <c r="I7718" s="71" t="s">
        <v>179</v>
      </c>
      <c r="J7718" s="53">
        <v>2503200</v>
      </c>
      <c r="K7718" s="63">
        <v>0.34766666666666662</v>
      </c>
      <c r="L7718" s="1212" t="s">
        <v>4348</v>
      </c>
      <c r="M7718" s="102" t="s">
        <v>3964</v>
      </c>
      <c r="N7718" s="1192">
        <v>45682</v>
      </c>
      <c r="O7718" s="71" t="s">
        <v>662</v>
      </c>
      <c r="P7718" s="103" t="s">
        <v>3908</v>
      </c>
      <c r="Q7718" s="71">
        <v>1200</v>
      </c>
      <c r="R7718" s="102">
        <v>3914</v>
      </c>
      <c r="S7718" s="102">
        <v>5166480</v>
      </c>
      <c r="T7718" s="102">
        <v>4696800</v>
      </c>
      <c r="U7718" s="71" t="s">
        <v>859</v>
      </c>
      <c r="V7718" s="71"/>
      <c r="W7718" s="474">
        <v>942000</v>
      </c>
      <c r="X7718" s="71"/>
      <c r="Y7718" s="71"/>
    </row>
    <row r="7719" spans="1:25" ht="30" hidden="1" customHeight="1" x14ac:dyDescent="0.25">
      <c r="A7719" s="1145">
        <v>45772</v>
      </c>
      <c r="B7719" s="664" t="s">
        <v>1060</v>
      </c>
      <c r="C7719" s="71" t="s">
        <v>3909</v>
      </c>
      <c r="D7719" s="71">
        <v>2400</v>
      </c>
      <c r="E7719" s="102">
        <v>3830</v>
      </c>
      <c r="F7719" s="102">
        <f t="shared" si="4475"/>
        <v>10111200</v>
      </c>
      <c r="G7719" s="102">
        <f t="shared" si="4476"/>
        <v>9192000</v>
      </c>
      <c r="H7719" s="690" t="s">
        <v>36</v>
      </c>
      <c r="I7719" s="71" t="s">
        <v>2529</v>
      </c>
      <c r="J7719" s="53">
        <v>4654600</v>
      </c>
      <c r="K7719" s="63">
        <v>0.33726541554959782</v>
      </c>
      <c r="L7719" s="1212" t="s">
        <v>4347</v>
      </c>
      <c r="M7719" s="102" t="s">
        <v>3964</v>
      </c>
      <c r="N7719" s="1192">
        <v>45651</v>
      </c>
      <c r="O7719" s="71" t="s">
        <v>662</v>
      </c>
      <c r="P7719" s="103" t="s">
        <v>3909</v>
      </c>
      <c r="Q7719" s="71">
        <v>2300</v>
      </c>
      <c r="R7719" s="102">
        <v>2472</v>
      </c>
      <c r="S7719" s="102">
        <v>6254160.0000000009</v>
      </c>
      <c r="T7719" s="102">
        <v>5685600</v>
      </c>
      <c r="U7719" s="71" t="s">
        <v>859</v>
      </c>
      <c r="V7719" s="71"/>
      <c r="W7719" s="474">
        <v>1274000</v>
      </c>
      <c r="X7719" s="71"/>
      <c r="Y7719" s="71"/>
    </row>
    <row r="7720" spans="1:25" ht="30" hidden="1" customHeight="1" x14ac:dyDescent="0.25">
      <c r="A7720" s="1145">
        <v>45772</v>
      </c>
      <c r="B7720" s="664" t="s">
        <v>1060</v>
      </c>
      <c r="C7720" s="71" t="s">
        <v>3910</v>
      </c>
      <c r="D7720" s="71">
        <v>1300</v>
      </c>
      <c r="E7720" s="102">
        <v>3610</v>
      </c>
      <c r="F7720" s="102">
        <f t="shared" si="4475"/>
        <v>5162300</v>
      </c>
      <c r="G7720" s="102">
        <f t="shared" si="4476"/>
        <v>4693000</v>
      </c>
      <c r="H7720" s="690" t="s">
        <v>36</v>
      </c>
      <c r="I7720" s="71" t="s">
        <v>2529</v>
      </c>
      <c r="J7720" s="53">
        <v>2600400</v>
      </c>
      <c r="K7720" s="63">
        <v>0.33484419263456089</v>
      </c>
      <c r="L7720" s="1212" t="s">
        <v>4347</v>
      </c>
      <c r="M7720" s="102" t="s">
        <v>3964</v>
      </c>
      <c r="N7720" s="1192">
        <v>45651</v>
      </c>
      <c r="O7720" s="71" t="s">
        <v>662</v>
      </c>
      <c r="P7720" s="103" t="s">
        <v>3910</v>
      </c>
      <c r="Q7720" s="71">
        <v>1700</v>
      </c>
      <c r="R7720" s="102">
        <v>2348</v>
      </c>
      <c r="S7720" s="102">
        <v>4390760</v>
      </c>
      <c r="T7720" s="102">
        <v>3991600</v>
      </c>
      <c r="U7720" s="71" t="s">
        <v>859</v>
      </c>
      <c r="V7720" s="71"/>
      <c r="W7720" s="474">
        <v>3325000</v>
      </c>
      <c r="X7720" s="71"/>
      <c r="Y7720" s="71"/>
    </row>
    <row r="7721" spans="1:25" ht="30" hidden="1" customHeight="1" x14ac:dyDescent="0.25">
      <c r="A7721" s="1145">
        <v>45772</v>
      </c>
      <c r="B7721" s="664" t="s">
        <v>1060</v>
      </c>
      <c r="C7721" s="71" t="s">
        <v>3911</v>
      </c>
      <c r="D7721" s="71">
        <v>1000</v>
      </c>
      <c r="E7721" s="102">
        <v>6140</v>
      </c>
      <c r="F7721" s="102">
        <f t="shared" si="4475"/>
        <v>6754000.0000000009</v>
      </c>
      <c r="G7721" s="102">
        <f t="shared" si="4476"/>
        <v>6140000</v>
      </c>
      <c r="H7721" s="690" t="s">
        <v>36</v>
      </c>
      <c r="I7721" s="71" t="s">
        <v>2529</v>
      </c>
      <c r="J7721" s="53">
        <v>404800</v>
      </c>
      <c r="K7721" s="63">
        <v>0.33789649415692824</v>
      </c>
      <c r="L7721" s="1212" t="s">
        <v>4347</v>
      </c>
      <c r="M7721" s="102" t="s">
        <v>3964</v>
      </c>
      <c r="N7721" s="1192">
        <v>45651</v>
      </c>
      <c r="O7721" s="71" t="s">
        <v>662</v>
      </c>
      <c r="P7721" s="103" t="s">
        <v>3911</v>
      </c>
      <c r="Q7721" s="71">
        <v>1000</v>
      </c>
      <c r="R7721" s="102">
        <v>3966</v>
      </c>
      <c r="S7721" s="102">
        <v>4362600</v>
      </c>
      <c r="T7721" s="102">
        <v>3966000</v>
      </c>
      <c r="U7721" s="71" t="s">
        <v>859</v>
      </c>
      <c r="V7721" s="71"/>
      <c r="W7721" s="474">
        <v>636000</v>
      </c>
      <c r="X7721" s="71"/>
      <c r="Y7721" s="71"/>
    </row>
    <row r="7722" spans="1:25" ht="30" hidden="1" customHeight="1" x14ac:dyDescent="0.25">
      <c r="A7722" s="1145">
        <v>45772</v>
      </c>
      <c r="B7722" s="664" t="s">
        <v>1060</v>
      </c>
      <c r="C7722" s="71" t="s">
        <v>3912</v>
      </c>
      <c r="D7722" s="71">
        <v>700</v>
      </c>
      <c r="E7722" s="102">
        <v>6360</v>
      </c>
      <c r="F7722" s="102">
        <f t="shared" si="4475"/>
        <v>4897200</v>
      </c>
      <c r="G7722" s="102">
        <f t="shared" si="4476"/>
        <v>4452000</v>
      </c>
      <c r="H7722" s="690" t="s">
        <v>36</v>
      </c>
      <c r="I7722" s="71" t="s">
        <v>2529</v>
      </c>
      <c r="J7722" s="53">
        <v>3762000</v>
      </c>
      <c r="K7722" s="63">
        <v>0.33655394524959736</v>
      </c>
      <c r="L7722" s="1212" t="s">
        <v>4347</v>
      </c>
      <c r="M7722" s="102" t="s">
        <v>3964</v>
      </c>
      <c r="N7722" s="1192">
        <v>45651</v>
      </c>
      <c r="O7722" s="71" t="s">
        <v>662</v>
      </c>
      <c r="P7722" s="103" t="s">
        <v>3912</v>
      </c>
      <c r="Q7722" s="71">
        <v>1500</v>
      </c>
      <c r="R7722" s="102">
        <v>4120</v>
      </c>
      <c r="S7722" s="102">
        <v>6798000.0000000009</v>
      </c>
      <c r="T7722" s="102">
        <v>6180000</v>
      </c>
      <c r="U7722" s="71" t="s">
        <v>859</v>
      </c>
      <c r="V7722" s="71"/>
      <c r="W7722" s="474">
        <v>1476000</v>
      </c>
      <c r="X7722" s="71"/>
      <c r="Y7722" s="71"/>
    </row>
    <row r="7723" spans="1:25" ht="30" hidden="1" customHeight="1" x14ac:dyDescent="0.25">
      <c r="A7723" s="1145">
        <v>45772</v>
      </c>
      <c r="B7723" s="664" t="s">
        <v>1060</v>
      </c>
      <c r="C7723" s="71" t="s">
        <v>3913</v>
      </c>
      <c r="D7723" s="71">
        <v>300</v>
      </c>
      <c r="E7723" s="102">
        <v>4540</v>
      </c>
      <c r="F7723" s="102">
        <f t="shared" si="4475"/>
        <v>1498200.0000000002</v>
      </c>
      <c r="G7723" s="102">
        <f t="shared" si="4476"/>
        <v>1362000</v>
      </c>
      <c r="H7723" s="690" t="s">
        <v>36</v>
      </c>
      <c r="I7723" s="71" t="s">
        <v>2529</v>
      </c>
      <c r="J7723" s="53">
        <v>747000</v>
      </c>
      <c r="K7723" s="63">
        <v>0.33724604966139954</v>
      </c>
      <c r="L7723" s="1212" t="s">
        <v>4347</v>
      </c>
      <c r="M7723" s="102" t="s">
        <v>3964</v>
      </c>
      <c r="N7723" s="1192">
        <v>45651</v>
      </c>
      <c r="O7723" s="71" t="s">
        <v>662</v>
      </c>
      <c r="P7723" s="103" t="s">
        <v>3913</v>
      </c>
      <c r="Q7723" s="71">
        <v>400</v>
      </c>
      <c r="R7723" s="102">
        <v>2936</v>
      </c>
      <c r="S7723" s="102">
        <v>1291840</v>
      </c>
      <c r="T7723" s="102">
        <v>1174400</v>
      </c>
      <c r="U7723" s="71" t="s">
        <v>859</v>
      </c>
      <c r="V7723" s="71"/>
      <c r="W7723" s="474">
        <v>1416000</v>
      </c>
      <c r="X7723" s="71"/>
      <c r="Y7723" s="71"/>
    </row>
    <row r="7724" spans="1:25" ht="30" hidden="1" customHeight="1" x14ac:dyDescent="0.25">
      <c r="A7724" s="1145">
        <v>45772</v>
      </c>
      <c r="B7724" s="664" t="s">
        <v>1060</v>
      </c>
      <c r="C7724" s="71" t="s">
        <v>3914</v>
      </c>
      <c r="D7724" s="71">
        <v>25</v>
      </c>
      <c r="E7724" s="102">
        <v>55000</v>
      </c>
      <c r="F7724" s="102">
        <f t="shared" si="4475"/>
        <v>1512500.0000000002</v>
      </c>
      <c r="G7724" s="102">
        <f t="shared" si="4476"/>
        <v>1375000</v>
      </c>
      <c r="H7724" s="690" t="s">
        <v>36</v>
      </c>
      <c r="I7724" s="71" t="s">
        <v>2529</v>
      </c>
      <c r="J7724" s="53">
        <v>436800</v>
      </c>
      <c r="K7724" s="63">
        <v>0.23248882265275705</v>
      </c>
      <c r="L7724" s="1212" t="s">
        <v>4347</v>
      </c>
      <c r="M7724" s="468"/>
      <c r="N7724" s="1192">
        <v>45651</v>
      </c>
      <c r="O7724" s="71" t="s">
        <v>662</v>
      </c>
      <c r="P7724" s="103" t="s">
        <v>3914</v>
      </c>
      <c r="Q7724" s="71">
        <v>35</v>
      </c>
      <c r="R7724" s="102">
        <v>41200</v>
      </c>
      <c r="S7724" s="102">
        <v>1586200.0000000002</v>
      </c>
      <c r="T7724" s="102">
        <v>1442000</v>
      </c>
      <c r="U7724" s="71" t="s">
        <v>859</v>
      </c>
      <c r="V7724" s="71"/>
      <c r="W7724" s="474">
        <v>978750</v>
      </c>
      <c r="X7724" s="71"/>
      <c r="Y7724" s="71"/>
    </row>
    <row r="7725" spans="1:25" ht="30" hidden="1" customHeight="1" x14ac:dyDescent="0.25">
      <c r="A7725" s="1145">
        <v>45772</v>
      </c>
      <c r="B7725" s="664" t="s">
        <v>1061</v>
      </c>
      <c r="C7725" s="71" t="s">
        <v>3319</v>
      </c>
      <c r="D7725" s="71">
        <v>400</v>
      </c>
      <c r="E7725" s="102">
        <v>6328</v>
      </c>
      <c r="F7725" s="102">
        <f t="shared" si="4475"/>
        <v>2784320</v>
      </c>
      <c r="G7725" s="102">
        <f t="shared" si="4476"/>
        <v>2531200</v>
      </c>
      <c r="H7725" s="690" t="s">
        <v>36</v>
      </c>
      <c r="I7725" s="71" t="s">
        <v>3320</v>
      </c>
      <c r="J7725" s="53">
        <v>95600</v>
      </c>
      <c r="K7725" s="63">
        <v>7.5537294563843241E-2</v>
      </c>
      <c r="L7725" s="1212" t="s">
        <v>4347</v>
      </c>
      <c r="M7725" s="468"/>
      <c r="N7725" s="1192">
        <v>45651</v>
      </c>
      <c r="O7725" s="71" t="s">
        <v>146</v>
      </c>
      <c r="P7725" s="103" t="s">
        <v>3319</v>
      </c>
      <c r="Q7725" s="71">
        <v>400</v>
      </c>
      <c r="R7725" s="102">
        <v>5850</v>
      </c>
      <c r="S7725" s="102">
        <v>2574000</v>
      </c>
      <c r="T7725" s="102">
        <v>2340000</v>
      </c>
      <c r="U7725" s="71" t="s">
        <v>859</v>
      </c>
      <c r="V7725" s="71"/>
      <c r="W7725" s="474">
        <v>411200</v>
      </c>
      <c r="X7725" s="71"/>
      <c r="Y7725" s="71"/>
    </row>
    <row r="7726" spans="1:25" ht="30" hidden="1" customHeight="1" x14ac:dyDescent="0.25">
      <c r="A7726" s="1145">
        <v>45772</v>
      </c>
      <c r="B7726" s="664" t="s">
        <v>1061</v>
      </c>
      <c r="C7726" s="71" t="s">
        <v>3321</v>
      </c>
      <c r="D7726" s="71">
        <v>200</v>
      </c>
      <c r="E7726" s="102">
        <v>6780</v>
      </c>
      <c r="F7726" s="102">
        <f t="shared" si="4475"/>
        <v>1491600.0000000002</v>
      </c>
      <c r="G7726" s="102">
        <f t="shared" si="4476"/>
        <v>1356000</v>
      </c>
      <c r="H7726" s="690" t="s">
        <v>36</v>
      </c>
      <c r="I7726" s="71" t="s">
        <v>3320</v>
      </c>
      <c r="J7726" s="53">
        <v>200000</v>
      </c>
      <c r="K7726" s="63">
        <v>7.3746312684365767E-2</v>
      </c>
      <c r="L7726" s="1212" t="s">
        <v>4347</v>
      </c>
      <c r="M7726" s="468"/>
      <c r="N7726" s="1192">
        <v>45651</v>
      </c>
      <c r="O7726" s="71" t="s">
        <v>146</v>
      </c>
      <c r="P7726" s="103" t="s">
        <v>3321</v>
      </c>
      <c r="Q7726" s="71">
        <v>400</v>
      </c>
      <c r="R7726" s="102">
        <v>6280</v>
      </c>
      <c r="S7726" s="102">
        <v>2763200</v>
      </c>
      <c r="T7726" s="102">
        <v>2512000</v>
      </c>
      <c r="U7726" s="71" t="s">
        <v>859</v>
      </c>
      <c r="V7726" s="71"/>
      <c r="W7726" s="474">
        <v>292000</v>
      </c>
      <c r="X7726" s="71"/>
      <c r="Y7726" s="71"/>
    </row>
    <row r="7727" spans="1:25" ht="30" hidden="1" customHeight="1" x14ac:dyDescent="0.25">
      <c r="A7727" s="1145">
        <v>45772</v>
      </c>
      <c r="B7727" s="664" t="s">
        <v>1061</v>
      </c>
      <c r="C7727" s="71" t="s">
        <v>1289</v>
      </c>
      <c r="D7727" s="71">
        <v>600</v>
      </c>
      <c r="E7727" s="102">
        <v>6498</v>
      </c>
      <c r="F7727" s="102">
        <f t="shared" si="4475"/>
        <v>4288680</v>
      </c>
      <c r="G7727" s="102">
        <f t="shared" si="4476"/>
        <v>3898800</v>
      </c>
      <c r="H7727" s="690" t="s">
        <v>36</v>
      </c>
      <c r="I7727" s="71" t="s">
        <v>3320</v>
      </c>
      <c r="J7727" s="53">
        <v>286800</v>
      </c>
      <c r="K7727" s="63">
        <v>7.3561095721760547E-2</v>
      </c>
      <c r="L7727" s="1212" t="s">
        <v>4347</v>
      </c>
      <c r="M7727" s="468"/>
      <c r="N7727" s="1192">
        <v>45651</v>
      </c>
      <c r="O7727" s="71" t="s">
        <v>146</v>
      </c>
      <c r="P7727" s="103" t="s">
        <v>1289</v>
      </c>
      <c r="Q7727" s="71">
        <v>600</v>
      </c>
      <c r="R7727" s="102">
        <v>6020</v>
      </c>
      <c r="S7727" s="102">
        <v>3973200.0000000005</v>
      </c>
      <c r="T7727" s="102">
        <v>3612000</v>
      </c>
      <c r="U7727" s="71" t="s">
        <v>859</v>
      </c>
      <c r="V7727" s="71"/>
      <c r="W7727" s="474">
        <v>640800</v>
      </c>
      <c r="X7727" s="71"/>
      <c r="Y7727" s="71"/>
    </row>
    <row r="7728" spans="1:25" ht="30" hidden="1" customHeight="1" x14ac:dyDescent="0.25">
      <c r="A7728" s="1145">
        <v>45772</v>
      </c>
      <c r="B7728" s="664" t="s">
        <v>1061</v>
      </c>
      <c r="C7728" s="71" t="s">
        <v>1290</v>
      </c>
      <c r="D7728" s="71">
        <v>200</v>
      </c>
      <c r="E7728" s="102">
        <v>7910</v>
      </c>
      <c r="F7728" s="102">
        <f t="shared" si="4475"/>
        <v>1740200.0000000002</v>
      </c>
      <c r="G7728" s="102">
        <f t="shared" si="4476"/>
        <v>1582000</v>
      </c>
      <c r="H7728" s="690" t="s">
        <v>36</v>
      </c>
      <c r="I7728" s="71" t="s">
        <v>3320</v>
      </c>
      <c r="J7728" s="53">
        <v>240000</v>
      </c>
      <c r="K7728" s="63">
        <v>7.5853350189633365E-2</v>
      </c>
      <c r="L7728" s="1212" t="s">
        <v>4347</v>
      </c>
      <c r="M7728" s="468"/>
      <c r="N7728" s="1192">
        <v>45651</v>
      </c>
      <c r="O7728" s="71" t="s">
        <v>146</v>
      </c>
      <c r="P7728" s="103" t="s">
        <v>1290</v>
      </c>
      <c r="Q7728" s="71">
        <v>400</v>
      </c>
      <c r="R7728" s="102">
        <v>7310</v>
      </c>
      <c r="S7728" s="102">
        <v>3216400.0000000005</v>
      </c>
      <c r="T7728" s="102">
        <v>2924000</v>
      </c>
      <c r="U7728" s="71" t="s">
        <v>859</v>
      </c>
      <c r="V7728" s="71"/>
      <c r="W7728" s="474">
        <v>846000</v>
      </c>
      <c r="X7728" s="71"/>
      <c r="Y7728" s="71"/>
    </row>
    <row r="7729" spans="1:25" ht="30" hidden="1" customHeight="1" x14ac:dyDescent="0.25">
      <c r="A7729" s="1145">
        <v>45772</v>
      </c>
      <c r="B7729" s="664" t="s">
        <v>1061</v>
      </c>
      <c r="C7729" s="71" t="s">
        <v>3322</v>
      </c>
      <c r="D7729" s="71"/>
      <c r="E7729" s="102">
        <v>7150</v>
      </c>
      <c r="F7729" s="102">
        <f t="shared" si="4475"/>
        <v>0</v>
      </c>
      <c r="G7729" s="102">
        <f t="shared" si="4476"/>
        <v>0</v>
      </c>
      <c r="H7729" s="690" t="s">
        <v>36</v>
      </c>
      <c r="I7729" s="71" t="s">
        <v>3320</v>
      </c>
      <c r="J7729" s="53">
        <v>0</v>
      </c>
      <c r="K7729" s="63" t="e">
        <v>#DIV/0!</v>
      </c>
      <c r="L7729" s="1212" t="s">
        <v>4347</v>
      </c>
      <c r="M7729" s="468"/>
      <c r="N7729" s="1192">
        <v>45651</v>
      </c>
      <c r="O7729" s="71" t="s">
        <v>3323</v>
      </c>
      <c r="P7729" s="103" t="s">
        <v>3322</v>
      </c>
      <c r="Q7729" s="71">
        <v>0</v>
      </c>
      <c r="R7729" s="102">
        <v>6500</v>
      </c>
      <c r="S7729" s="102">
        <v>0</v>
      </c>
      <c r="T7729" s="102">
        <v>0</v>
      </c>
      <c r="U7729" s="71" t="s">
        <v>859</v>
      </c>
      <c r="V7729" s="71"/>
      <c r="W7729" s="474">
        <v>0</v>
      </c>
      <c r="X7729" s="71"/>
      <c r="Y7729" s="71"/>
    </row>
    <row r="7730" spans="1:25" ht="30" hidden="1" customHeight="1" x14ac:dyDescent="0.25">
      <c r="A7730" s="1145">
        <v>45772</v>
      </c>
      <c r="B7730" s="664" t="s">
        <v>1061</v>
      </c>
      <c r="C7730" s="71" t="s">
        <v>3324</v>
      </c>
      <c r="D7730" s="71"/>
      <c r="E7730" s="102">
        <v>6900</v>
      </c>
      <c r="F7730" s="102">
        <f t="shared" si="4475"/>
        <v>0</v>
      </c>
      <c r="G7730" s="102">
        <f t="shared" si="4476"/>
        <v>0</v>
      </c>
      <c r="H7730" s="690" t="s">
        <v>36</v>
      </c>
      <c r="I7730" s="71" t="s">
        <v>3320</v>
      </c>
      <c r="J7730" s="53">
        <v>0</v>
      </c>
      <c r="K7730" s="63" t="e">
        <v>#DIV/0!</v>
      </c>
      <c r="L7730" s="1212" t="s">
        <v>4347</v>
      </c>
      <c r="M7730" s="468"/>
      <c r="N7730" s="1192">
        <v>45651</v>
      </c>
      <c r="O7730" s="71" t="s">
        <v>3323</v>
      </c>
      <c r="P7730" s="103" t="s">
        <v>3324</v>
      </c>
      <c r="Q7730" s="71">
        <v>0</v>
      </c>
      <c r="R7730" s="102">
        <v>6200</v>
      </c>
      <c r="S7730" s="102">
        <v>0</v>
      </c>
      <c r="T7730" s="102">
        <v>0</v>
      </c>
      <c r="U7730" s="71" t="s">
        <v>859</v>
      </c>
      <c r="V7730" s="71"/>
      <c r="W7730" s="474">
        <v>0</v>
      </c>
      <c r="X7730" s="71"/>
      <c r="Y7730" s="71"/>
    </row>
    <row r="7731" spans="1:25" ht="28.5" hidden="1" customHeight="1" x14ac:dyDescent="0.25">
      <c r="A7731" s="1145">
        <v>45772</v>
      </c>
      <c r="B7731" s="664" t="s">
        <v>1061</v>
      </c>
      <c r="C7731" s="71" t="s">
        <v>3325</v>
      </c>
      <c r="D7731" s="71"/>
      <c r="E7731" s="102">
        <v>7500</v>
      </c>
      <c r="F7731" s="102">
        <f t="shared" si="4475"/>
        <v>0</v>
      </c>
      <c r="G7731" s="102">
        <f t="shared" si="4476"/>
        <v>0</v>
      </c>
      <c r="H7731" s="690" t="s">
        <v>36</v>
      </c>
      <c r="I7731" s="71" t="s">
        <v>3320</v>
      </c>
      <c r="J7731" s="53">
        <v>0</v>
      </c>
      <c r="K7731" s="63" t="e">
        <v>#DIV/0!</v>
      </c>
      <c r="L7731" s="1212" t="s">
        <v>4347</v>
      </c>
      <c r="M7731" s="468"/>
      <c r="N7731" s="1192">
        <v>45651</v>
      </c>
      <c r="O7731" s="71" t="s">
        <v>3323</v>
      </c>
      <c r="P7731" s="103" t="s">
        <v>3325</v>
      </c>
      <c r="Q7731" s="71">
        <v>0</v>
      </c>
      <c r="R7731" s="102">
        <v>6600</v>
      </c>
      <c r="S7731" s="102">
        <v>0</v>
      </c>
      <c r="T7731" s="102">
        <v>0</v>
      </c>
      <c r="U7731" s="71" t="s">
        <v>859</v>
      </c>
      <c r="V7731" s="71"/>
      <c r="W7731" s="474">
        <v>0</v>
      </c>
      <c r="X7731" s="71"/>
      <c r="Y7731" s="71"/>
    </row>
    <row r="7732" spans="1:25" ht="30" hidden="1" customHeight="1" x14ac:dyDescent="0.25">
      <c r="A7732" s="1145">
        <v>45772</v>
      </c>
      <c r="B7732" s="664" t="s">
        <v>1061</v>
      </c>
      <c r="C7732" s="71" t="s">
        <v>3326</v>
      </c>
      <c r="D7732" s="71"/>
      <c r="E7732" s="102">
        <v>6450</v>
      </c>
      <c r="F7732" s="102">
        <f t="shared" si="4475"/>
        <v>0</v>
      </c>
      <c r="G7732" s="102">
        <f t="shared" si="4476"/>
        <v>0</v>
      </c>
      <c r="H7732" s="690" t="s">
        <v>36</v>
      </c>
      <c r="I7732" s="71" t="s">
        <v>3320</v>
      </c>
      <c r="J7732" s="53">
        <v>0</v>
      </c>
      <c r="K7732" s="63" t="e">
        <v>#DIV/0!</v>
      </c>
      <c r="L7732" s="1212" t="s">
        <v>4347</v>
      </c>
      <c r="M7732" s="468"/>
      <c r="N7732" s="1192">
        <v>45651</v>
      </c>
      <c r="O7732" s="71" t="s">
        <v>3323</v>
      </c>
      <c r="P7732" s="103" t="s">
        <v>3326</v>
      </c>
      <c r="Q7732" s="71">
        <v>0</v>
      </c>
      <c r="R7732" s="102">
        <v>5700</v>
      </c>
      <c r="S7732" s="102">
        <v>0</v>
      </c>
      <c r="T7732" s="102">
        <v>0</v>
      </c>
      <c r="U7732" s="71" t="s">
        <v>859</v>
      </c>
      <c r="V7732" s="71"/>
      <c r="W7732" s="474">
        <v>0</v>
      </c>
      <c r="X7732" s="71"/>
      <c r="Y7732" s="71"/>
    </row>
    <row r="7733" spans="1:25" ht="30" hidden="1" customHeight="1" x14ac:dyDescent="0.25">
      <c r="A7733" s="1145">
        <v>45772</v>
      </c>
      <c r="B7733" s="664" t="s">
        <v>1061</v>
      </c>
      <c r="C7733" s="71" t="s">
        <v>4233</v>
      </c>
      <c r="D7733" s="71">
        <v>0</v>
      </c>
      <c r="E7733" s="102">
        <v>24900</v>
      </c>
      <c r="F7733" s="102">
        <f t="shared" si="4475"/>
        <v>0</v>
      </c>
      <c r="G7733" s="102">
        <f t="shared" si="4476"/>
        <v>0</v>
      </c>
      <c r="H7733" s="690" t="s">
        <v>36</v>
      </c>
      <c r="I7733" s="71" t="s">
        <v>3320</v>
      </c>
      <c r="J7733" s="53">
        <v>0</v>
      </c>
      <c r="K7733" s="63" t="e">
        <v>#DIV/0!</v>
      </c>
      <c r="L7733" s="1212" t="s">
        <v>4347</v>
      </c>
      <c r="M7733" s="468"/>
      <c r="N7733" s="1192">
        <v>45651</v>
      </c>
      <c r="O7733" s="71" t="s">
        <v>2459</v>
      </c>
      <c r="P7733" s="103" t="s">
        <v>4296</v>
      </c>
      <c r="Q7733" s="71">
        <v>0</v>
      </c>
      <c r="R7733" s="102">
        <v>31000</v>
      </c>
      <c r="S7733" s="102">
        <v>0</v>
      </c>
      <c r="T7733" s="102">
        <v>0</v>
      </c>
      <c r="U7733" s="71"/>
      <c r="V7733" s="71"/>
      <c r="W7733" s="474"/>
      <c r="X7733" s="71"/>
      <c r="Y7733" s="71"/>
    </row>
    <row r="7734" spans="1:25" ht="30" hidden="1" customHeight="1" x14ac:dyDescent="0.25">
      <c r="A7734" s="1145">
        <v>45772</v>
      </c>
      <c r="B7734" s="664" t="s">
        <v>1061</v>
      </c>
      <c r="C7734" s="71" t="s">
        <v>4299</v>
      </c>
      <c r="D7734" s="71">
        <v>0</v>
      </c>
      <c r="E7734" s="102">
        <v>10660</v>
      </c>
      <c r="F7734" s="102">
        <f t="shared" si="4475"/>
        <v>0</v>
      </c>
      <c r="G7734" s="102">
        <f t="shared" si="4476"/>
        <v>0</v>
      </c>
      <c r="H7734" s="690" t="s">
        <v>36</v>
      </c>
      <c r="I7734" s="71" t="s">
        <v>3320</v>
      </c>
      <c r="J7734" s="53">
        <v>0</v>
      </c>
      <c r="K7734" s="63" t="e">
        <v>#DIV/0!</v>
      </c>
      <c r="L7734" s="1212" t="s">
        <v>4347</v>
      </c>
      <c r="M7734" s="468"/>
      <c r="N7734" s="1192">
        <v>45651</v>
      </c>
      <c r="O7734" s="71" t="s">
        <v>3323</v>
      </c>
      <c r="P7734" s="103" t="s">
        <v>4297</v>
      </c>
      <c r="Q7734" s="71">
        <v>25</v>
      </c>
      <c r="R7734" s="102">
        <v>11700</v>
      </c>
      <c r="S7734" s="102">
        <v>321750</v>
      </c>
      <c r="T7734" s="102">
        <v>292500</v>
      </c>
      <c r="U7734" s="71"/>
      <c r="V7734" s="71"/>
      <c r="W7734" s="474"/>
      <c r="X7734" s="71"/>
      <c r="Y7734" s="71"/>
    </row>
    <row r="7735" spans="1:25" ht="30" hidden="1" customHeight="1" x14ac:dyDescent="0.25">
      <c r="A7735" s="1145">
        <v>45772</v>
      </c>
      <c r="B7735" s="664" t="s">
        <v>3307</v>
      </c>
      <c r="C7735" s="71" t="s">
        <v>3916</v>
      </c>
      <c r="D7735" s="71">
        <v>0</v>
      </c>
      <c r="E7735" s="102">
        <v>218000</v>
      </c>
      <c r="F7735" s="102">
        <f t="shared" si="4475"/>
        <v>0</v>
      </c>
      <c r="G7735" s="102">
        <f t="shared" si="4476"/>
        <v>0</v>
      </c>
      <c r="H7735" s="690" t="s">
        <v>172</v>
      </c>
      <c r="I7735" s="71" t="s">
        <v>33</v>
      </c>
      <c r="J7735" s="53">
        <v>824000</v>
      </c>
      <c r="K7735" s="63">
        <v>0.23623853211009171</v>
      </c>
      <c r="L7735" s="1212" t="s">
        <v>4347</v>
      </c>
      <c r="M7735" s="468" t="s">
        <v>3965</v>
      </c>
      <c r="N7735" s="1192">
        <v>45682</v>
      </c>
      <c r="O7735" s="71" t="s">
        <v>662</v>
      </c>
      <c r="P7735" s="103" t="s">
        <v>3916</v>
      </c>
      <c r="Q7735" s="71">
        <v>16</v>
      </c>
      <c r="R7735" s="102">
        <v>166500</v>
      </c>
      <c r="S7735" s="102">
        <v>2930400.0000000005</v>
      </c>
      <c r="T7735" s="102">
        <v>2664000</v>
      </c>
      <c r="U7735" s="71" t="s">
        <v>859</v>
      </c>
      <c r="V7735" s="71" t="s">
        <v>728</v>
      </c>
      <c r="W7735" s="474">
        <v>464000</v>
      </c>
      <c r="X7735" s="71"/>
      <c r="Y7735" s="71"/>
    </row>
    <row r="7736" spans="1:25" ht="30" hidden="1" customHeight="1" x14ac:dyDescent="0.25">
      <c r="A7736" s="1145">
        <v>45772</v>
      </c>
      <c r="B7736" s="664" t="s">
        <v>3307</v>
      </c>
      <c r="C7736" s="71" t="s">
        <v>3730</v>
      </c>
      <c r="D7736" s="71">
        <v>1</v>
      </c>
      <c r="E7736" s="102">
        <v>2350000</v>
      </c>
      <c r="F7736" s="102">
        <f t="shared" si="4475"/>
        <v>2585000</v>
      </c>
      <c r="G7736" s="102">
        <f t="shared" si="4476"/>
        <v>2350000</v>
      </c>
      <c r="H7736" s="690" t="s">
        <v>36</v>
      </c>
      <c r="I7736" s="690" t="s">
        <v>36</v>
      </c>
      <c r="J7736" s="53">
        <v>600000</v>
      </c>
      <c r="K7736" s="63">
        <v>0.25531914893617019</v>
      </c>
      <c r="L7736" s="1212" t="s">
        <v>4349</v>
      </c>
      <c r="M7736" s="468"/>
      <c r="N7736" s="1192">
        <v>45651</v>
      </c>
      <c r="O7736" s="71" t="s">
        <v>3298</v>
      </c>
      <c r="P7736" s="103" t="s">
        <v>4298</v>
      </c>
      <c r="Q7736" s="71">
        <v>1</v>
      </c>
      <c r="R7736" s="147">
        <v>1750000</v>
      </c>
      <c r="S7736" s="102">
        <v>1925000.0000000002</v>
      </c>
      <c r="T7736" s="102">
        <v>1750000</v>
      </c>
      <c r="U7736" s="71"/>
      <c r="V7736" s="71"/>
      <c r="W7736" s="474"/>
      <c r="X7736" s="71"/>
      <c r="Y7736" s="71"/>
    </row>
    <row r="7737" spans="1:25" ht="30" customHeight="1" x14ac:dyDescent="0.25">
      <c r="A7737" s="1145">
        <v>45772</v>
      </c>
      <c r="B7737" s="664" t="s">
        <v>641</v>
      </c>
      <c r="C7737" s="71" t="s">
        <v>3293</v>
      </c>
      <c r="D7737" s="71">
        <v>60</v>
      </c>
      <c r="E7737" s="102">
        <v>84000</v>
      </c>
      <c r="F7737" s="102">
        <f t="shared" si="4475"/>
        <v>5544000</v>
      </c>
      <c r="G7737" s="102">
        <f t="shared" si="4476"/>
        <v>5040000</v>
      </c>
      <c r="H7737" s="690" t="s">
        <v>172</v>
      </c>
      <c r="I7737" s="71" t="s">
        <v>38</v>
      </c>
      <c r="J7737" s="53">
        <f t="shared" ref="J7737:J7748" si="4477">G7737-T7737</f>
        <v>1980000</v>
      </c>
      <c r="K7737" s="63">
        <f t="shared" ref="K7737:K7748" si="4478">(J7737/(F7737/11*10))</f>
        <v>0.39285714285714285</v>
      </c>
      <c r="L7737" s="1212" t="s">
        <v>4347</v>
      </c>
      <c r="M7737" s="468"/>
      <c r="N7737" s="1192">
        <f t="shared" ref="N7737:N7748" si="4479">A7737</f>
        <v>45772</v>
      </c>
      <c r="O7737" s="71" t="s">
        <v>3291</v>
      </c>
      <c r="P7737" s="103" t="str">
        <f t="shared" ref="P7737:P7748" si="4480">(C7737)</f>
        <v>GOSS 신문윤전 습식세정포</v>
      </c>
      <c r="Q7737" s="71">
        <f t="shared" ref="Q7737:Q7748" si="4481">D7737</f>
        <v>60</v>
      </c>
      <c r="R7737" s="102">
        <v>51000</v>
      </c>
      <c r="S7737" s="102">
        <f t="shared" ref="S7737:S7748" si="4482">R7737*Q7737*1.1</f>
        <v>3366000.0000000005</v>
      </c>
      <c r="T7737" s="102">
        <f t="shared" ref="T7737:T7748" si="4483">R7737*Q7737</f>
        <v>3060000</v>
      </c>
      <c r="U7737" s="71" t="str">
        <f>IF(J7737=W7737,"O", "X")</f>
        <v>X</v>
      </c>
      <c r="V7737" s="71"/>
      <c r="W7737" s="474"/>
      <c r="X7737" s="71"/>
      <c r="Y7737" s="71"/>
    </row>
    <row r="7738" spans="1:25" ht="28.9" hidden="1" customHeight="1" x14ac:dyDescent="0.25">
      <c r="A7738" s="1145">
        <v>45769</v>
      </c>
      <c r="B7738" s="664" t="s">
        <v>2353</v>
      </c>
      <c r="C7738" s="71" t="s">
        <v>129</v>
      </c>
      <c r="D7738" s="71">
        <v>7</v>
      </c>
      <c r="E7738" s="102">
        <v>325000</v>
      </c>
      <c r="F7738" s="102">
        <f t="shared" si="4475"/>
        <v>2502500</v>
      </c>
      <c r="G7738" s="102">
        <f t="shared" si="4476"/>
        <v>2275000</v>
      </c>
      <c r="H7738" s="690" t="s">
        <v>142</v>
      </c>
      <c r="I7738" s="71" t="s">
        <v>179</v>
      </c>
      <c r="J7738" s="53">
        <f t="shared" si="4477"/>
        <v>636440</v>
      </c>
      <c r="K7738" s="63">
        <f t="shared" si="4478"/>
        <v>0.27975384615384613</v>
      </c>
      <c r="L7738" s="1212" t="s">
        <v>4347</v>
      </c>
      <c r="M7738" s="468" t="s">
        <v>2050</v>
      </c>
      <c r="N7738" s="1192">
        <f t="shared" si="4479"/>
        <v>45769</v>
      </c>
      <c r="O7738" s="71" t="s">
        <v>149</v>
      </c>
      <c r="P7738" s="103" t="str">
        <f t="shared" si="4480"/>
        <v>세정포-XL106</v>
      </c>
      <c r="Q7738" s="71">
        <f t="shared" si="4481"/>
        <v>7</v>
      </c>
      <c r="R7738" s="102">
        <v>234080</v>
      </c>
      <c r="S7738" s="102">
        <f t="shared" si="4482"/>
        <v>1802416.0000000002</v>
      </c>
      <c r="T7738" s="102">
        <f t="shared" si="4483"/>
        <v>1638560</v>
      </c>
      <c r="U7738" s="71" t="str">
        <f>IF(J7738=W7738,"O", "X")</f>
        <v>O</v>
      </c>
      <c r="V7738" s="71"/>
      <c r="W7738" s="474">
        <f>(G7738-T7738)</f>
        <v>636440</v>
      </c>
      <c r="X7738" s="71"/>
      <c r="Y7738" s="71"/>
    </row>
    <row r="7739" spans="1:25" s="209" customFormat="1" ht="30" hidden="1" customHeight="1" x14ac:dyDescent="0.25">
      <c r="A7739" s="1145">
        <v>45769</v>
      </c>
      <c r="B7739" s="664" t="s">
        <v>2353</v>
      </c>
      <c r="C7739" s="71" t="s">
        <v>3299</v>
      </c>
      <c r="D7739" s="71">
        <v>10</v>
      </c>
      <c r="E7739" s="102">
        <v>83000</v>
      </c>
      <c r="F7739" s="102">
        <f t="shared" si="4475"/>
        <v>913000.00000000012</v>
      </c>
      <c r="G7739" s="102">
        <f t="shared" si="4476"/>
        <v>830000</v>
      </c>
      <c r="H7739" s="690" t="s">
        <v>142</v>
      </c>
      <c r="I7739" s="71" t="s">
        <v>179</v>
      </c>
      <c r="J7739" s="53">
        <f t="shared" si="4477"/>
        <v>355000</v>
      </c>
      <c r="K7739" s="63">
        <f t="shared" si="4478"/>
        <v>0.42771084337349391</v>
      </c>
      <c r="L7739" s="1212" t="s">
        <v>4347</v>
      </c>
      <c r="M7739" s="468" t="s">
        <v>2214</v>
      </c>
      <c r="N7739" s="1192">
        <f t="shared" si="4479"/>
        <v>45769</v>
      </c>
      <c r="O7739" s="71" t="s">
        <v>3383</v>
      </c>
      <c r="P7739" s="103" t="str">
        <f t="shared" si="4480"/>
        <v>매엽용 세척제(Wash k11)</v>
      </c>
      <c r="Q7739" s="71">
        <f t="shared" si="4481"/>
        <v>10</v>
      </c>
      <c r="R7739" s="102">
        <v>47500</v>
      </c>
      <c r="S7739" s="102">
        <f t="shared" si="4482"/>
        <v>522500.00000000006</v>
      </c>
      <c r="T7739" s="102">
        <f t="shared" si="4483"/>
        <v>475000</v>
      </c>
      <c r="U7739" s="71" t="s">
        <v>859</v>
      </c>
      <c r="V7739" s="71"/>
      <c r="W7739" s="474">
        <v>136000</v>
      </c>
      <c r="X7739" s="71"/>
      <c r="Y7739" s="71"/>
    </row>
    <row r="7740" spans="1:25" ht="30" hidden="1" customHeight="1" x14ac:dyDescent="0.25">
      <c r="A7740" s="1145">
        <v>45769</v>
      </c>
      <c r="B7740" s="664" t="s">
        <v>2353</v>
      </c>
      <c r="C7740" s="71" t="s">
        <v>3727</v>
      </c>
      <c r="D7740" s="71">
        <v>5</v>
      </c>
      <c r="E7740" s="102">
        <v>225000</v>
      </c>
      <c r="F7740" s="102">
        <f t="shared" si="4475"/>
        <v>1237500</v>
      </c>
      <c r="G7740" s="102">
        <f t="shared" si="4476"/>
        <v>1125000</v>
      </c>
      <c r="H7740" s="690" t="s">
        <v>142</v>
      </c>
      <c r="I7740" s="71" t="s">
        <v>142</v>
      </c>
      <c r="J7740" s="53">
        <f t="shared" si="4477"/>
        <v>500000</v>
      </c>
      <c r="K7740" s="63">
        <f t="shared" si="4478"/>
        <v>0.44444444444444442</v>
      </c>
      <c r="L7740" s="1212" t="s">
        <v>4347</v>
      </c>
      <c r="M7740" s="468"/>
      <c r="N7740" s="1192">
        <f t="shared" si="4479"/>
        <v>45769</v>
      </c>
      <c r="O7740" s="71" t="s">
        <v>189</v>
      </c>
      <c r="P7740" s="103" t="str">
        <f t="shared" si="4480"/>
        <v>압통 코팅제 - 퀵 프린트</v>
      </c>
      <c r="Q7740" s="71">
        <f t="shared" si="4481"/>
        <v>5</v>
      </c>
      <c r="R7740" s="102">
        <f>25000*5</f>
        <v>125000</v>
      </c>
      <c r="S7740" s="102">
        <f t="shared" si="4482"/>
        <v>687500</v>
      </c>
      <c r="T7740" s="102">
        <f t="shared" si="4483"/>
        <v>625000</v>
      </c>
      <c r="U7740" s="71"/>
      <c r="V7740" s="71"/>
      <c r="W7740" s="474"/>
      <c r="X7740" s="71"/>
      <c r="Y7740" s="71"/>
    </row>
    <row r="7741" spans="1:25" ht="30" hidden="1" customHeight="1" x14ac:dyDescent="0.25">
      <c r="A7741" s="1145">
        <v>45769</v>
      </c>
      <c r="B7741" s="664" t="s">
        <v>2579</v>
      </c>
      <c r="C7741" s="71" t="s">
        <v>3738</v>
      </c>
      <c r="D7741" s="71">
        <v>10</v>
      </c>
      <c r="E7741" s="102">
        <v>130000</v>
      </c>
      <c r="F7741" s="102">
        <f t="shared" si="4475"/>
        <v>1430000</v>
      </c>
      <c r="G7741" s="102">
        <f t="shared" si="4476"/>
        <v>1300000</v>
      </c>
      <c r="H7741" s="690" t="s">
        <v>142</v>
      </c>
      <c r="I7741" s="71" t="s">
        <v>142</v>
      </c>
      <c r="J7741" s="53">
        <f t="shared" si="4477"/>
        <v>339000</v>
      </c>
      <c r="K7741" s="63">
        <f t="shared" si="4478"/>
        <v>0.26076923076923075</v>
      </c>
      <c r="L7741" s="1212" t="s">
        <v>4347</v>
      </c>
      <c r="M7741" s="468"/>
      <c r="N7741" s="1192">
        <f t="shared" si="4479"/>
        <v>45769</v>
      </c>
      <c r="O7741" s="71" t="s">
        <v>147</v>
      </c>
      <c r="P7741" s="103" t="str">
        <f t="shared" si="4480"/>
        <v>블랑켓 - 고모리 용 (1040*920)</v>
      </c>
      <c r="Q7741" s="71">
        <f t="shared" si="4481"/>
        <v>10</v>
      </c>
      <c r="R7741" s="102">
        <v>96100</v>
      </c>
      <c r="S7741" s="102">
        <f t="shared" si="4482"/>
        <v>1057100</v>
      </c>
      <c r="T7741" s="102">
        <f t="shared" si="4483"/>
        <v>961000</v>
      </c>
      <c r="U7741" s="71"/>
      <c r="V7741" s="71"/>
      <c r="W7741" s="474"/>
      <c r="X7741" s="71"/>
      <c r="Y7741" s="71"/>
    </row>
    <row r="7742" spans="1:25" ht="30" customHeight="1" x14ac:dyDescent="0.25">
      <c r="A7742" s="1145">
        <v>45755</v>
      </c>
      <c r="B7742" s="664" t="s">
        <v>2352</v>
      </c>
      <c r="C7742" s="71" t="s">
        <v>3836</v>
      </c>
      <c r="D7742" s="71">
        <v>32</v>
      </c>
      <c r="E7742" s="102">
        <v>18500</v>
      </c>
      <c r="F7742" s="102">
        <f t="shared" si="4475"/>
        <v>651200</v>
      </c>
      <c r="G7742" s="102">
        <f t="shared" si="4476"/>
        <v>592000</v>
      </c>
      <c r="H7742" s="690" t="s">
        <v>179</v>
      </c>
      <c r="I7742" s="71" t="s">
        <v>179</v>
      </c>
      <c r="J7742" s="53">
        <f t="shared" si="4477"/>
        <v>237312</v>
      </c>
      <c r="K7742" s="63">
        <f t="shared" si="4478"/>
        <v>0.40086486486486489</v>
      </c>
      <c r="L7742" s="1212" t="s">
        <v>4347</v>
      </c>
      <c r="M7742" s="468"/>
      <c r="N7742" s="1192">
        <f t="shared" si="4479"/>
        <v>45755</v>
      </c>
      <c r="O7742" s="71"/>
      <c r="P7742" s="103" t="str">
        <f t="shared" si="4480"/>
        <v>고모리 윤전 블랑켓 건식 세정포 - 국전용</v>
      </c>
      <c r="Q7742" s="71">
        <f t="shared" si="4481"/>
        <v>32</v>
      </c>
      <c r="R7742" s="102">
        <v>11084</v>
      </c>
      <c r="S7742" s="102">
        <f t="shared" si="4482"/>
        <v>390156.80000000005</v>
      </c>
      <c r="T7742" s="102">
        <f t="shared" si="4483"/>
        <v>354688</v>
      </c>
      <c r="U7742" s="71"/>
      <c r="V7742" s="71"/>
      <c r="W7742" s="474"/>
      <c r="X7742" s="71"/>
      <c r="Y7742" s="71"/>
    </row>
    <row r="7743" spans="1:25" ht="30" customHeight="1" x14ac:dyDescent="0.25">
      <c r="A7743" s="1145">
        <v>45755</v>
      </c>
      <c r="B7743" s="664" t="s">
        <v>2352</v>
      </c>
      <c r="C7743" s="71" t="s">
        <v>3837</v>
      </c>
      <c r="D7743" s="71">
        <v>48</v>
      </c>
      <c r="E7743" s="102">
        <v>13500</v>
      </c>
      <c r="F7743" s="102">
        <f t="shared" si="4475"/>
        <v>712800</v>
      </c>
      <c r="G7743" s="102">
        <f t="shared" si="4476"/>
        <v>648000</v>
      </c>
      <c r="H7743" s="690" t="s">
        <v>179</v>
      </c>
      <c r="I7743" s="71" t="s">
        <v>179</v>
      </c>
      <c r="J7743" s="53">
        <f t="shared" si="4477"/>
        <v>246480</v>
      </c>
      <c r="K7743" s="63">
        <f t="shared" si="4478"/>
        <v>0.38037037037037036</v>
      </c>
      <c r="L7743" s="1212" t="s">
        <v>4347</v>
      </c>
      <c r="M7743" s="468"/>
      <c r="N7743" s="1192">
        <f t="shared" si="4479"/>
        <v>45755</v>
      </c>
      <c r="O7743" s="71"/>
      <c r="P7743" s="103" t="str">
        <f t="shared" si="4480"/>
        <v>고모리 윤전 블랑켓 건식 세정포 - 4x6용</v>
      </c>
      <c r="Q7743" s="71">
        <f t="shared" si="4481"/>
        <v>48</v>
      </c>
      <c r="R7743" s="102">
        <v>8365</v>
      </c>
      <c r="S7743" s="102">
        <f t="shared" si="4482"/>
        <v>441672.00000000006</v>
      </c>
      <c r="T7743" s="102">
        <f t="shared" si="4483"/>
        <v>401520</v>
      </c>
      <c r="U7743" s="71"/>
      <c r="V7743" s="71"/>
      <c r="W7743" s="474"/>
      <c r="X7743" s="71"/>
      <c r="Y7743" s="71"/>
    </row>
    <row r="7744" spans="1:25" s="209" customFormat="1" ht="29.45" hidden="1" customHeight="1" x14ac:dyDescent="0.2">
      <c r="A7744" s="1145">
        <v>45757</v>
      </c>
      <c r="B7744" s="664" t="s">
        <v>4059</v>
      </c>
      <c r="C7744" s="71" t="s">
        <v>4061</v>
      </c>
      <c r="D7744" s="71">
        <v>10</v>
      </c>
      <c r="E7744" s="102">
        <v>130000</v>
      </c>
      <c r="F7744" s="102">
        <f t="shared" si="4475"/>
        <v>1430000</v>
      </c>
      <c r="G7744" s="102">
        <f t="shared" si="4476"/>
        <v>1300000</v>
      </c>
      <c r="H7744" s="165" t="s">
        <v>172</v>
      </c>
      <c r="I7744" s="71" t="s">
        <v>184</v>
      </c>
      <c r="J7744" s="53">
        <f t="shared" si="4477"/>
        <v>180000</v>
      </c>
      <c r="K7744" s="63">
        <f t="shared" si="4478"/>
        <v>0.13846153846153847</v>
      </c>
      <c r="L7744" s="1212" t="s">
        <v>4347</v>
      </c>
      <c r="M7744" s="468"/>
      <c r="N7744" s="1192">
        <f t="shared" si="4479"/>
        <v>45757</v>
      </c>
      <c r="O7744" s="71" t="s">
        <v>189</v>
      </c>
      <c r="P7744" s="103" t="str">
        <f t="shared" si="4480"/>
        <v>M600 Blanket(990*725)</v>
      </c>
      <c r="Q7744" s="71">
        <f t="shared" si="4481"/>
        <v>10</v>
      </c>
      <c r="R7744" s="102">
        <v>112000</v>
      </c>
      <c r="S7744" s="102">
        <f t="shared" si="4482"/>
        <v>1232000</v>
      </c>
      <c r="T7744" s="102">
        <f t="shared" si="4483"/>
        <v>1120000</v>
      </c>
      <c r="U7744" s="71" t="str">
        <f>IF(J7744=W7744,"O", "X")</f>
        <v>X</v>
      </c>
      <c r="V7744" s="71"/>
      <c r="W7744" s="474">
        <v>80000</v>
      </c>
      <c r="X7744" s="71"/>
      <c r="Y7744" s="71"/>
    </row>
    <row r="7745" spans="1:25" ht="30" hidden="1" customHeight="1" x14ac:dyDescent="0.25">
      <c r="A7745" s="1145">
        <v>45750</v>
      </c>
      <c r="B7745" s="664" t="s">
        <v>2261</v>
      </c>
      <c r="C7745" s="71" t="s">
        <v>3299</v>
      </c>
      <c r="D7745" s="71">
        <v>10</v>
      </c>
      <c r="E7745" s="102">
        <v>52000</v>
      </c>
      <c r="F7745" s="102">
        <f t="shared" si="4475"/>
        <v>572000</v>
      </c>
      <c r="G7745" s="102">
        <f t="shared" si="4476"/>
        <v>520000</v>
      </c>
      <c r="H7745" s="690" t="s">
        <v>172</v>
      </c>
      <c r="I7745" s="71" t="s">
        <v>180</v>
      </c>
      <c r="J7745" s="53">
        <f t="shared" si="4477"/>
        <v>45000</v>
      </c>
      <c r="K7745" s="63">
        <f t="shared" si="4478"/>
        <v>8.6538461538461536E-2</v>
      </c>
      <c r="L7745" s="1212" t="s">
        <v>4347</v>
      </c>
      <c r="M7745" s="468" t="s">
        <v>3835</v>
      </c>
      <c r="N7745" s="1192">
        <f t="shared" si="4479"/>
        <v>45750</v>
      </c>
      <c r="O7745" s="71" t="s">
        <v>175</v>
      </c>
      <c r="P7745" s="103" t="str">
        <f t="shared" si="4480"/>
        <v>매엽용 세척제(Wash k11)</v>
      </c>
      <c r="Q7745" s="71">
        <f t="shared" si="4481"/>
        <v>10</v>
      </c>
      <c r="R7745" s="102">
        <v>47500</v>
      </c>
      <c r="S7745" s="102">
        <f t="shared" si="4482"/>
        <v>522500.00000000006</v>
      </c>
      <c r="T7745" s="102">
        <f t="shared" si="4483"/>
        <v>475000</v>
      </c>
      <c r="U7745" s="71" t="s">
        <v>859</v>
      </c>
      <c r="V7745" s="71"/>
      <c r="W7745" s="474"/>
      <c r="X7745" s="71"/>
      <c r="Y7745" s="71"/>
    </row>
    <row r="7746" spans="1:25" s="209" customFormat="1" ht="31.15" hidden="1" customHeight="1" x14ac:dyDescent="0.2">
      <c r="A7746" s="1145">
        <v>45750</v>
      </c>
      <c r="B7746" s="664" t="s">
        <v>3289</v>
      </c>
      <c r="C7746" s="71" t="s">
        <v>3387</v>
      </c>
      <c r="D7746" s="71">
        <v>10</v>
      </c>
      <c r="E7746" s="102">
        <v>130000</v>
      </c>
      <c r="F7746" s="102">
        <f t="shared" si="4475"/>
        <v>1430000</v>
      </c>
      <c r="G7746" s="102">
        <f t="shared" si="4476"/>
        <v>1300000</v>
      </c>
      <c r="H7746" s="165" t="s">
        <v>172</v>
      </c>
      <c r="I7746" s="71" t="s">
        <v>184</v>
      </c>
      <c r="J7746" s="53">
        <f t="shared" si="4477"/>
        <v>180000</v>
      </c>
      <c r="K7746" s="63">
        <f t="shared" si="4478"/>
        <v>0.13846153846153847</v>
      </c>
      <c r="L7746" s="1212" t="s">
        <v>4347</v>
      </c>
      <c r="M7746" s="468"/>
      <c r="N7746" s="1192">
        <f t="shared" si="4479"/>
        <v>45750</v>
      </c>
      <c r="O7746" s="71" t="s">
        <v>189</v>
      </c>
      <c r="P7746" s="103" t="str">
        <f t="shared" si="4480"/>
        <v>Blanket(990*725)</v>
      </c>
      <c r="Q7746" s="71">
        <f t="shared" si="4481"/>
        <v>10</v>
      </c>
      <c r="R7746" s="102">
        <v>112000</v>
      </c>
      <c r="S7746" s="102">
        <f t="shared" si="4482"/>
        <v>1232000</v>
      </c>
      <c r="T7746" s="102">
        <f t="shared" si="4483"/>
        <v>1120000</v>
      </c>
      <c r="U7746" s="71" t="str">
        <f>IF(J7746=W7746,"O", "X")</f>
        <v>X</v>
      </c>
      <c r="V7746" s="71"/>
      <c r="W7746" s="474">
        <v>80000</v>
      </c>
      <c r="X7746" s="71"/>
      <c r="Y7746" s="71"/>
    </row>
    <row r="7747" spans="1:25" ht="30" hidden="1" customHeight="1" x14ac:dyDescent="0.25">
      <c r="A7747" s="1145">
        <v>45754</v>
      </c>
      <c r="B7747" s="664" t="s">
        <v>2261</v>
      </c>
      <c r="C7747" s="760" t="s">
        <v>181</v>
      </c>
      <c r="D7747" s="71">
        <v>5</v>
      </c>
      <c r="E7747" s="102">
        <v>193000</v>
      </c>
      <c r="F7747" s="102">
        <f t="shared" si="4475"/>
        <v>1061500</v>
      </c>
      <c r="G7747" s="102">
        <f t="shared" si="4476"/>
        <v>965000</v>
      </c>
      <c r="H7747" s="690" t="s">
        <v>2029</v>
      </c>
      <c r="I7747" s="71" t="s">
        <v>182</v>
      </c>
      <c r="J7747" s="53">
        <f t="shared" si="4477"/>
        <v>345000</v>
      </c>
      <c r="K7747" s="63">
        <f t="shared" si="4478"/>
        <v>0.35751295336787564</v>
      </c>
      <c r="L7747" s="1212" t="s">
        <v>4347</v>
      </c>
      <c r="M7747" s="468"/>
      <c r="N7747" s="1192">
        <f t="shared" si="4479"/>
        <v>45754</v>
      </c>
      <c r="O7747" s="71" t="s">
        <v>2030</v>
      </c>
      <c r="P7747" s="103" t="str">
        <f t="shared" si="4480"/>
        <v>Fount Web 551AF</v>
      </c>
      <c r="Q7747" s="71">
        <f t="shared" si="4481"/>
        <v>5</v>
      </c>
      <c r="R7747" s="102">
        <v>124000</v>
      </c>
      <c r="S7747" s="102">
        <f t="shared" si="4482"/>
        <v>682000</v>
      </c>
      <c r="T7747" s="102">
        <f t="shared" si="4483"/>
        <v>620000</v>
      </c>
      <c r="U7747" s="71" t="str">
        <f>IF(J7747=W7747,"O", "X")</f>
        <v>X</v>
      </c>
      <c r="V7747" s="71"/>
      <c r="W7747" s="474">
        <v>640000</v>
      </c>
      <c r="X7747" s="71"/>
      <c r="Y7747" s="71"/>
    </row>
    <row r="7748" spans="1:25" ht="30" hidden="1" customHeight="1" x14ac:dyDescent="0.25">
      <c r="A7748" s="1145">
        <v>45754</v>
      </c>
      <c r="B7748" s="664" t="s">
        <v>2261</v>
      </c>
      <c r="C7748" s="71" t="s">
        <v>277</v>
      </c>
      <c r="D7748" s="71">
        <v>10</v>
      </c>
      <c r="E7748" s="102">
        <v>172000</v>
      </c>
      <c r="F7748" s="102">
        <f t="shared" si="4475"/>
        <v>1892000.0000000002</v>
      </c>
      <c r="G7748" s="102">
        <f t="shared" si="4476"/>
        <v>1720000</v>
      </c>
      <c r="H7748" s="690" t="s">
        <v>172</v>
      </c>
      <c r="I7748" s="71" t="s">
        <v>108</v>
      </c>
      <c r="J7748" s="53">
        <f t="shared" si="4477"/>
        <v>430000</v>
      </c>
      <c r="K7748" s="63">
        <f t="shared" si="4478"/>
        <v>0.24999999999999997</v>
      </c>
      <c r="L7748" s="1212" t="s">
        <v>4347</v>
      </c>
      <c r="M7748" s="468"/>
      <c r="N7748" s="1192">
        <f t="shared" si="4479"/>
        <v>45754</v>
      </c>
      <c r="O7748" s="71" t="s">
        <v>662</v>
      </c>
      <c r="P7748" s="103" t="str">
        <f t="shared" si="4480"/>
        <v>윤전용 세척제(Web 504)</v>
      </c>
      <c r="Q7748" s="71">
        <f t="shared" si="4481"/>
        <v>10</v>
      </c>
      <c r="R7748" s="102">
        <v>129000</v>
      </c>
      <c r="S7748" s="102">
        <f t="shared" si="4482"/>
        <v>1419000</v>
      </c>
      <c r="T7748" s="102">
        <f t="shared" si="4483"/>
        <v>1290000</v>
      </c>
      <c r="U7748" s="71" t="str">
        <f>IF(J7748=W7748,"O", "X")</f>
        <v>X</v>
      </c>
      <c r="V7748" s="71"/>
      <c r="W7748" s="474"/>
      <c r="X7748" s="71"/>
      <c r="Y7748" s="71"/>
    </row>
    <row r="7749" spans="1:25" ht="30" hidden="1" customHeight="1" x14ac:dyDescent="0.25">
      <c r="A7749" s="1145">
        <v>45757</v>
      </c>
      <c r="B7749" s="664" t="s">
        <v>2261</v>
      </c>
      <c r="C7749" s="760" t="s">
        <v>181</v>
      </c>
      <c r="D7749" s="71">
        <v>5</v>
      </c>
      <c r="E7749" s="102">
        <v>193000</v>
      </c>
      <c r="F7749" s="102">
        <f t="shared" ref="F7749:F7754" si="4484">(E7749*D7749)*1.1</f>
        <v>1061500</v>
      </c>
      <c r="G7749" s="102">
        <f t="shared" ref="G7749:G7754" si="4485">(E7749*D7749)</f>
        <v>965000</v>
      </c>
      <c r="H7749" s="690" t="s">
        <v>2029</v>
      </c>
      <c r="I7749" s="71" t="s">
        <v>182</v>
      </c>
      <c r="J7749" s="53">
        <f t="shared" ref="J7749:J7754" si="4486">G7749-T7749</f>
        <v>345000</v>
      </c>
      <c r="K7749" s="63">
        <f t="shared" ref="K7749:K7754" si="4487">(J7749/(F7749/11*10))</f>
        <v>0.35751295336787564</v>
      </c>
      <c r="L7749" s="1212" t="s">
        <v>4347</v>
      </c>
      <c r="M7749" s="468"/>
      <c r="N7749" s="1192">
        <f t="shared" ref="N7749:N7754" si="4488">A7749</f>
        <v>45757</v>
      </c>
      <c r="O7749" s="71" t="s">
        <v>2030</v>
      </c>
      <c r="P7749" s="103" t="str">
        <f t="shared" ref="P7749:P7754" si="4489">(C7749)</f>
        <v>Fount Web 551AF</v>
      </c>
      <c r="Q7749" s="71">
        <f t="shared" ref="Q7749:Q7754" si="4490">D7749</f>
        <v>5</v>
      </c>
      <c r="R7749" s="102">
        <v>124000</v>
      </c>
      <c r="S7749" s="102">
        <f t="shared" ref="S7749:S7754" si="4491">R7749*Q7749*1.1</f>
        <v>682000</v>
      </c>
      <c r="T7749" s="102">
        <f t="shared" ref="T7749:T7754" si="4492">R7749*Q7749</f>
        <v>620000</v>
      </c>
      <c r="U7749" s="71" t="str">
        <f>IF(J7749=W7749,"O", "X")</f>
        <v>X</v>
      </c>
      <c r="V7749" s="71"/>
      <c r="W7749" s="474">
        <v>640000</v>
      </c>
      <c r="X7749" s="71"/>
      <c r="Y7749" s="71"/>
    </row>
    <row r="7750" spans="1:25" ht="30" hidden="1" customHeight="1" x14ac:dyDescent="0.25">
      <c r="A7750" s="1145">
        <v>45757</v>
      </c>
      <c r="B7750" s="664" t="s">
        <v>2261</v>
      </c>
      <c r="C7750" s="71" t="s">
        <v>3299</v>
      </c>
      <c r="D7750" s="71">
        <v>10</v>
      </c>
      <c r="E7750" s="102">
        <v>52000</v>
      </c>
      <c r="F7750" s="102">
        <f t="shared" si="4484"/>
        <v>572000</v>
      </c>
      <c r="G7750" s="102">
        <f t="shared" si="4485"/>
        <v>520000</v>
      </c>
      <c r="H7750" s="690" t="s">
        <v>172</v>
      </c>
      <c r="I7750" s="71" t="s">
        <v>180</v>
      </c>
      <c r="J7750" s="53">
        <f t="shared" si="4486"/>
        <v>45000</v>
      </c>
      <c r="K7750" s="63">
        <f t="shared" si="4487"/>
        <v>8.6538461538461536E-2</v>
      </c>
      <c r="L7750" s="1212" t="s">
        <v>4347</v>
      </c>
      <c r="M7750" s="468" t="s">
        <v>3835</v>
      </c>
      <c r="N7750" s="1192">
        <f t="shared" si="4488"/>
        <v>45757</v>
      </c>
      <c r="O7750" s="71" t="s">
        <v>175</v>
      </c>
      <c r="P7750" s="103" t="str">
        <f t="shared" si="4489"/>
        <v>매엽용 세척제(Wash k11)</v>
      </c>
      <c r="Q7750" s="71">
        <f t="shared" si="4490"/>
        <v>10</v>
      </c>
      <c r="R7750" s="102">
        <v>47500</v>
      </c>
      <c r="S7750" s="102">
        <f t="shared" si="4491"/>
        <v>522500.00000000006</v>
      </c>
      <c r="T7750" s="102">
        <f t="shared" si="4492"/>
        <v>475000</v>
      </c>
      <c r="U7750" s="71" t="s">
        <v>859</v>
      </c>
      <c r="V7750" s="71"/>
      <c r="W7750" s="474"/>
      <c r="X7750" s="71"/>
      <c r="Y7750" s="71"/>
    </row>
    <row r="7751" spans="1:25" ht="30" hidden="1" customHeight="1" x14ac:dyDescent="0.25">
      <c r="A7751" s="1145">
        <v>45762</v>
      </c>
      <c r="B7751" s="664" t="s">
        <v>2261</v>
      </c>
      <c r="C7751" s="71" t="s">
        <v>3299</v>
      </c>
      <c r="D7751" s="71">
        <v>10</v>
      </c>
      <c r="E7751" s="102">
        <v>52000</v>
      </c>
      <c r="F7751" s="102">
        <f t="shared" si="4484"/>
        <v>572000</v>
      </c>
      <c r="G7751" s="102">
        <f t="shared" si="4485"/>
        <v>520000</v>
      </c>
      <c r="H7751" s="690" t="s">
        <v>172</v>
      </c>
      <c r="I7751" s="71" t="s">
        <v>180</v>
      </c>
      <c r="J7751" s="53">
        <f t="shared" si="4486"/>
        <v>45000</v>
      </c>
      <c r="K7751" s="63">
        <f t="shared" si="4487"/>
        <v>8.6538461538461536E-2</v>
      </c>
      <c r="L7751" s="1212" t="s">
        <v>4347</v>
      </c>
      <c r="M7751" s="468" t="s">
        <v>3835</v>
      </c>
      <c r="N7751" s="1192">
        <f t="shared" si="4488"/>
        <v>45762</v>
      </c>
      <c r="O7751" s="71" t="s">
        <v>175</v>
      </c>
      <c r="P7751" s="103" t="str">
        <f t="shared" si="4489"/>
        <v>매엽용 세척제(Wash k11)</v>
      </c>
      <c r="Q7751" s="71">
        <f t="shared" si="4490"/>
        <v>10</v>
      </c>
      <c r="R7751" s="102">
        <v>47500</v>
      </c>
      <c r="S7751" s="102">
        <f t="shared" si="4491"/>
        <v>522500.00000000006</v>
      </c>
      <c r="T7751" s="102">
        <f t="shared" si="4492"/>
        <v>475000</v>
      </c>
      <c r="U7751" s="71" t="s">
        <v>859</v>
      </c>
      <c r="V7751" s="71"/>
      <c r="W7751" s="474"/>
      <c r="X7751" s="71"/>
      <c r="Y7751" s="71"/>
    </row>
    <row r="7752" spans="1:25" ht="30" hidden="1" customHeight="1" x14ac:dyDescent="0.25">
      <c r="A7752" s="1145">
        <v>45765</v>
      </c>
      <c r="B7752" s="664" t="s">
        <v>2261</v>
      </c>
      <c r="C7752" s="760" t="s">
        <v>181</v>
      </c>
      <c r="D7752" s="71">
        <v>5</v>
      </c>
      <c r="E7752" s="102">
        <v>193000</v>
      </c>
      <c r="F7752" s="102">
        <f t="shared" si="4484"/>
        <v>1061500</v>
      </c>
      <c r="G7752" s="102">
        <f t="shared" si="4485"/>
        <v>965000</v>
      </c>
      <c r="H7752" s="690" t="s">
        <v>2029</v>
      </c>
      <c r="I7752" s="71" t="s">
        <v>182</v>
      </c>
      <c r="J7752" s="53">
        <f t="shared" si="4486"/>
        <v>345000</v>
      </c>
      <c r="K7752" s="63">
        <f t="shared" si="4487"/>
        <v>0.35751295336787564</v>
      </c>
      <c r="L7752" s="1212" t="s">
        <v>4347</v>
      </c>
      <c r="M7752" s="468"/>
      <c r="N7752" s="1192">
        <f t="shared" si="4488"/>
        <v>45765</v>
      </c>
      <c r="O7752" s="71" t="s">
        <v>2030</v>
      </c>
      <c r="P7752" s="103" t="str">
        <f t="shared" si="4489"/>
        <v>Fount Web 551AF</v>
      </c>
      <c r="Q7752" s="71">
        <f t="shared" si="4490"/>
        <v>5</v>
      </c>
      <c r="R7752" s="102">
        <v>124000</v>
      </c>
      <c r="S7752" s="102">
        <f t="shared" si="4491"/>
        <v>682000</v>
      </c>
      <c r="T7752" s="102">
        <f t="shared" si="4492"/>
        <v>620000</v>
      </c>
      <c r="U7752" s="71" t="str">
        <f>IF(J7752=W7752,"O", "X")</f>
        <v>X</v>
      </c>
      <c r="V7752" s="71"/>
      <c r="W7752" s="474">
        <v>640000</v>
      </c>
      <c r="X7752" s="71"/>
      <c r="Y7752" s="71"/>
    </row>
    <row r="7753" spans="1:25" ht="30" hidden="1" customHeight="1" x14ac:dyDescent="0.25">
      <c r="A7753" s="1145">
        <v>45765</v>
      </c>
      <c r="B7753" s="664" t="s">
        <v>2261</v>
      </c>
      <c r="C7753" s="71" t="s">
        <v>277</v>
      </c>
      <c r="D7753" s="71">
        <v>10</v>
      </c>
      <c r="E7753" s="102">
        <v>172000</v>
      </c>
      <c r="F7753" s="102">
        <f t="shared" si="4484"/>
        <v>1892000.0000000002</v>
      </c>
      <c r="G7753" s="102">
        <f t="shared" si="4485"/>
        <v>1720000</v>
      </c>
      <c r="H7753" s="690" t="s">
        <v>172</v>
      </c>
      <c r="I7753" s="71" t="s">
        <v>108</v>
      </c>
      <c r="J7753" s="53">
        <f t="shared" si="4486"/>
        <v>430000</v>
      </c>
      <c r="K7753" s="63">
        <f t="shared" si="4487"/>
        <v>0.24999999999999997</v>
      </c>
      <c r="L7753" s="1212" t="s">
        <v>4347</v>
      </c>
      <c r="M7753" s="468"/>
      <c r="N7753" s="1192">
        <f t="shared" si="4488"/>
        <v>45765</v>
      </c>
      <c r="O7753" s="71" t="s">
        <v>662</v>
      </c>
      <c r="P7753" s="103" t="str">
        <f t="shared" si="4489"/>
        <v>윤전용 세척제(Web 504)</v>
      </c>
      <c r="Q7753" s="71">
        <f t="shared" si="4490"/>
        <v>10</v>
      </c>
      <c r="R7753" s="102">
        <v>129000</v>
      </c>
      <c r="S7753" s="102">
        <f t="shared" si="4491"/>
        <v>1419000</v>
      </c>
      <c r="T7753" s="102">
        <f t="shared" si="4492"/>
        <v>1290000</v>
      </c>
      <c r="U7753" s="71" t="str">
        <f>IF(J7753=W7753,"O", "X")</f>
        <v>X</v>
      </c>
      <c r="V7753" s="71"/>
      <c r="W7753" s="474"/>
      <c r="X7753" s="71"/>
      <c r="Y7753" s="71"/>
    </row>
    <row r="7754" spans="1:25" ht="30" hidden="1" customHeight="1" x14ac:dyDescent="0.25">
      <c r="A7754" s="1145">
        <v>45765</v>
      </c>
      <c r="B7754" s="664" t="s">
        <v>3289</v>
      </c>
      <c r="C7754" s="71" t="s">
        <v>2070</v>
      </c>
      <c r="D7754" s="71">
        <v>10</v>
      </c>
      <c r="E7754" s="102">
        <v>110000</v>
      </c>
      <c r="F7754" s="102">
        <f t="shared" si="4484"/>
        <v>1210000</v>
      </c>
      <c r="G7754" s="102">
        <f t="shared" si="4485"/>
        <v>1100000</v>
      </c>
      <c r="H7754" s="690" t="s">
        <v>172</v>
      </c>
      <c r="I7754" s="71" t="s">
        <v>33</v>
      </c>
      <c r="J7754" s="53">
        <f t="shared" si="4486"/>
        <v>206000</v>
      </c>
      <c r="K7754" s="63">
        <f t="shared" si="4487"/>
        <v>0.18727272727272729</v>
      </c>
      <c r="L7754" s="1212" t="s">
        <v>4347</v>
      </c>
      <c r="M7754" s="468" t="s">
        <v>4114</v>
      </c>
      <c r="N7754" s="1192">
        <f t="shared" si="4488"/>
        <v>45765</v>
      </c>
      <c r="O7754" s="71" t="s">
        <v>146</v>
      </c>
      <c r="P7754" s="103" t="str">
        <f t="shared" si="4489"/>
        <v>Blanket(1050*840)</v>
      </c>
      <c r="Q7754" s="71">
        <f t="shared" si="4490"/>
        <v>10</v>
      </c>
      <c r="R7754" s="102">
        <v>89400</v>
      </c>
      <c r="S7754" s="102">
        <f t="shared" si="4491"/>
        <v>983400.00000000012</v>
      </c>
      <c r="T7754" s="102">
        <f t="shared" si="4492"/>
        <v>894000</v>
      </c>
      <c r="U7754" s="71" t="str">
        <f>IF(J7754=W7754,"O", "X")</f>
        <v>X</v>
      </c>
      <c r="V7754" s="71"/>
      <c r="W7754" s="474">
        <v>275000</v>
      </c>
      <c r="X7754" s="71"/>
      <c r="Y7754" s="71"/>
    </row>
    <row r="7755" spans="1:25" ht="30" hidden="1" customHeight="1" x14ac:dyDescent="0.25">
      <c r="A7755" s="1145">
        <v>45772</v>
      </c>
      <c r="B7755" s="664" t="s">
        <v>2261</v>
      </c>
      <c r="C7755" s="71" t="s">
        <v>3299</v>
      </c>
      <c r="D7755" s="71">
        <v>10</v>
      </c>
      <c r="E7755" s="102">
        <v>52000</v>
      </c>
      <c r="F7755" s="102">
        <f t="shared" ref="F7755:F7757" si="4493">(E7755*D7755)*1.1</f>
        <v>572000</v>
      </c>
      <c r="G7755" s="102">
        <f t="shared" ref="G7755:G7757" si="4494">(E7755*D7755)</f>
        <v>520000</v>
      </c>
      <c r="H7755" s="690" t="s">
        <v>172</v>
      </c>
      <c r="I7755" s="71" t="s">
        <v>180</v>
      </c>
      <c r="J7755" s="53">
        <f t="shared" ref="J7755:J7766" si="4495">G7755-T7755</f>
        <v>45000</v>
      </c>
      <c r="K7755" s="63">
        <f t="shared" ref="K7755:K7766" si="4496">(J7755/(F7755/11*10))</f>
        <v>8.6538461538461536E-2</v>
      </c>
      <c r="L7755" s="1212" t="s">
        <v>4347</v>
      </c>
      <c r="M7755" s="468" t="s">
        <v>3835</v>
      </c>
      <c r="N7755" s="1192">
        <f t="shared" ref="N7755:N7764" si="4497">A7755</f>
        <v>45772</v>
      </c>
      <c r="O7755" s="71" t="s">
        <v>175</v>
      </c>
      <c r="P7755" s="103" t="str">
        <f t="shared" ref="P7755" si="4498">(C7755)</f>
        <v>매엽용 세척제(Wash k11)</v>
      </c>
      <c r="Q7755" s="71">
        <f t="shared" ref="Q7755:Q7766" si="4499">D7755</f>
        <v>10</v>
      </c>
      <c r="R7755" s="102">
        <v>47500</v>
      </c>
      <c r="S7755" s="102">
        <f t="shared" ref="S7755:S7763" si="4500">R7755*Q7755*1.1</f>
        <v>522500.00000000006</v>
      </c>
      <c r="T7755" s="102">
        <f t="shared" ref="T7755:T7763" si="4501">R7755*Q7755</f>
        <v>475000</v>
      </c>
      <c r="U7755" s="71" t="s">
        <v>859</v>
      </c>
      <c r="V7755" s="71"/>
      <c r="W7755" s="474"/>
      <c r="X7755" s="71"/>
      <c r="Y7755" s="71"/>
    </row>
    <row r="7756" spans="1:25" ht="30" hidden="1" customHeight="1" x14ac:dyDescent="0.25">
      <c r="A7756" s="1145">
        <v>45748</v>
      </c>
      <c r="B7756" s="664" t="s">
        <v>18</v>
      </c>
      <c r="C7756" s="71" t="s">
        <v>3305</v>
      </c>
      <c r="D7756" s="71">
        <v>25</v>
      </c>
      <c r="E7756" s="102">
        <v>86000</v>
      </c>
      <c r="F7756" s="102">
        <f t="shared" si="4493"/>
        <v>2365000</v>
      </c>
      <c r="G7756" s="102">
        <f t="shared" si="4494"/>
        <v>2150000</v>
      </c>
      <c r="H7756" s="690" t="s">
        <v>172</v>
      </c>
      <c r="I7756" s="71" t="s">
        <v>3295</v>
      </c>
      <c r="J7756" s="53">
        <f t="shared" si="4495"/>
        <v>400000</v>
      </c>
      <c r="K7756" s="63">
        <f t="shared" si="4496"/>
        <v>0.18604651162790697</v>
      </c>
      <c r="L7756" s="1212" t="s">
        <v>4347</v>
      </c>
      <c r="M7756" s="468" t="s">
        <v>3306</v>
      </c>
      <c r="N7756" s="1192">
        <f t="shared" si="4497"/>
        <v>45748</v>
      </c>
      <c r="O7756" s="71" t="s">
        <v>146</v>
      </c>
      <c r="P7756" s="103" t="s">
        <v>3305</v>
      </c>
      <c r="Q7756" s="71">
        <f t="shared" si="4499"/>
        <v>25</v>
      </c>
      <c r="R7756" s="102">
        <v>70000</v>
      </c>
      <c r="S7756" s="102">
        <f t="shared" si="4500"/>
        <v>1925000.0000000002</v>
      </c>
      <c r="T7756" s="102">
        <f t="shared" si="4501"/>
        <v>1750000</v>
      </c>
      <c r="U7756" s="71" t="s">
        <v>1915</v>
      </c>
      <c r="V7756" s="71"/>
      <c r="W7756" s="474"/>
      <c r="X7756" s="71"/>
      <c r="Y7756" s="71"/>
    </row>
    <row r="7757" spans="1:25" ht="30" hidden="1" customHeight="1" x14ac:dyDescent="0.25">
      <c r="A7757" s="1145">
        <v>45748</v>
      </c>
      <c r="B7757" s="664" t="s">
        <v>809</v>
      </c>
      <c r="C7757" s="71" t="s">
        <v>4028</v>
      </c>
      <c r="D7757" s="71">
        <v>20</v>
      </c>
      <c r="E7757" s="102">
        <v>125000</v>
      </c>
      <c r="F7757" s="102">
        <f t="shared" si="4493"/>
        <v>2750000</v>
      </c>
      <c r="G7757" s="102">
        <f t="shared" si="4494"/>
        <v>2500000</v>
      </c>
      <c r="H7757" s="690" t="s">
        <v>172</v>
      </c>
      <c r="I7757" s="71" t="s">
        <v>33</v>
      </c>
      <c r="J7757" s="53">
        <f t="shared" si="4495"/>
        <v>394000</v>
      </c>
      <c r="K7757" s="63">
        <f t="shared" si="4496"/>
        <v>0.15759999999999999</v>
      </c>
      <c r="L7757" s="1212" t="s">
        <v>4347</v>
      </c>
      <c r="M7757" s="102"/>
      <c r="N7757" s="1192">
        <f t="shared" si="4497"/>
        <v>45748</v>
      </c>
      <c r="O7757" s="71" t="s">
        <v>147</v>
      </c>
      <c r="P7757" s="103" t="str">
        <f t="shared" ref="P7757:P7764" si="4502">(C7757)</f>
        <v>Blanket(1077*885)</v>
      </c>
      <c r="Q7757" s="71">
        <f t="shared" si="4499"/>
        <v>20</v>
      </c>
      <c r="R7757" s="102">
        <v>105300</v>
      </c>
      <c r="S7757" s="102">
        <f t="shared" si="4500"/>
        <v>2316600</v>
      </c>
      <c r="T7757" s="102">
        <f t="shared" si="4501"/>
        <v>2106000</v>
      </c>
      <c r="U7757" s="71"/>
      <c r="V7757" s="71"/>
      <c r="W7757" s="474"/>
      <c r="X7757" s="71"/>
      <c r="Y7757" s="71"/>
    </row>
    <row r="7758" spans="1:25" ht="30" hidden="1" customHeight="1" x14ac:dyDescent="0.2">
      <c r="A7758" s="1145">
        <v>45748</v>
      </c>
      <c r="B7758" s="664" t="s">
        <v>548</v>
      </c>
      <c r="C7758" s="71" t="s">
        <v>236</v>
      </c>
      <c r="D7758" s="71">
        <v>3</v>
      </c>
      <c r="E7758" s="102">
        <v>110000</v>
      </c>
      <c r="F7758" s="163">
        <f>(E7758*D7758)*1.1</f>
        <v>363000.00000000006</v>
      </c>
      <c r="G7758" s="102">
        <f>(E7758*D7758)</f>
        <v>330000</v>
      </c>
      <c r="H7758" s="690" t="s">
        <v>173</v>
      </c>
      <c r="I7758" s="71" t="s">
        <v>2231</v>
      </c>
      <c r="J7758" s="53">
        <f t="shared" si="4495"/>
        <v>75000</v>
      </c>
      <c r="K7758" s="63">
        <f t="shared" si="4496"/>
        <v>0.22727272727272724</v>
      </c>
      <c r="L7758" s="1212" t="s">
        <v>4347</v>
      </c>
      <c r="M7758" s="468"/>
      <c r="N7758" s="1192">
        <f t="shared" si="4497"/>
        <v>45748</v>
      </c>
      <c r="O7758" s="71" t="s">
        <v>150</v>
      </c>
      <c r="P7758" s="103" t="str">
        <f t="shared" si="4502"/>
        <v>아스테이지(국전)</v>
      </c>
      <c r="Q7758" s="71">
        <f t="shared" si="4499"/>
        <v>3</v>
      </c>
      <c r="R7758" s="102">
        <v>85000</v>
      </c>
      <c r="S7758" s="102">
        <f t="shared" si="4500"/>
        <v>280500</v>
      </c>
      <c r="T7758" s="102">
        <f t="shared" si="4501"/>
        <v>255000</v>
      </c>
      <c r="U7758" s="71" t="str">
        <f>IF(J7758=W7758,"O", "X")</f>
        <v>X</v>
      </c>
      <c r="V7758" s="71"/>
      <c r="W7758" s="474"/>
      <c r="X7758" s="71"/>
      <c r="Y7758" s="71"/>
    </row>
    <row r="7759" spans="1:25" ht="30" hidden="1" customHeight="1" x14ac:dyDescent="0.25">
      <c r="A7759" s="1145">
        <v>45748</v>
      </c>
      <c r="B7759" s="664" t="s">
        <v>548</v>
      </c>
      <c r="C7759" s="71" t="s">
        <v>3384</v>
      </c>
      <c r="D7759" s="71">
        <v>400</v>
      </c>
      <c r="E7759" s="102">
        <v>550</v>
      </c>
      <c r="F7759" s="102">
        <f>(E7759*D7759)*1.1</f>
        <v>242000.00000000003</v>
      </c>
      <c r="G7759" s="102">
        <f>(E7759*D7759)</f>
        <v>220000</v>
      </c>
      <c r="H7759" s="690" t="s">
        <v>2029</v>
      </c>
      <c r="I7759" s="71" t="s">
        <v>3385</v>
      </c>
      <c r="J7759" s="53">
        <f t="shared" si="4495"/>
        <v>92000</v>
      </c>
      <c r="K7759" s="63">
        <f t="shared" si="4496"/>
        <v>0.4181818181818181</v>
      </c>
      <c r="L7759" s="1212" t="s">
        <v>4347</v>
      </c>
      <c r="M7759" s="468"/>
      <c r="N7759" s="1192">
        <f t="shared" si="4497"/>
        <v>45748</v>
      </c>
      <c r="O7759" s="71" t="s">
        <v>2030</v>
      </c>
      <c r="P7759" s="103" t="str">
        <f t="shared" si="4502"/>
        <v>고무사카 빨간색</v>
      </c>
      <c r="Q7759" s="71">
        <f t="shared" si="4499"/>
        <v>400</v>
      </c>
      <c r="R7759" s="102">
        <v>320</v>
      </c>
      <c r="S7759" s="102">
        <f t="shared" si="4500"/>
        <v>140800</v>
      </c>
      <c r="T7759" s="102">
        <f t="shared" si="4501"/>
        <v>128000</v>
      </c>
      <c r="U7759" s="71"/>
      <c r="V7759" s="71"/>
      <c r="W7759" s="474"/>
      <c r="X7759" s="71"/>
      <c r="Y7759" s="71"/>
    </row>
    <row r="7760" spans="1:25" ht="30" hidden="1" customHeight="1" x14ac:dyDescent="0.25">
      <c r="A7760" s="1145">
        <v>45776</v>
      </c>
      <c r="B7760" s="664" t="s">
        <v>18</v>
      </c>
      <c r="C7760" s="71" t="s">
        <v>2070</v>
      </c>
      <c r="D7760" s="71">
        <v>10</v>
      </c>
      <c r="E7760" s="102">
        <v>115000</v>
      </c>
      <c r="F7760" s="102">
        <f t="shared" ref="F7760:F7766" si="4503">(E7760*D7760)*1.1</f>
        <v>1265000</v>
      </c>
      <c r="G7760" s="102">
        <f t="shared" ref="G7760:G7766" si="4504">(E7760*D7760)</f>
        <v>1150000</v>
      </c>
      <c r="H7760" s="690" t="s">
        <v>172</v>
      </c>
      <c r="I7760" s="71" t="s">
        <v>33</v>
      </c>
      <c r="J7760" s="53">
        <f t="shared" si="4495"/>
        <v>168000</v>
      </c>
      <c r="K7760" s="63">
        <f t="shared" si="4496"/>
        <v>0.14608695652173914</v>
      </c>
      <c r="L7760" s="1212" t="s">
        <v>4347</v>
      </c>
      <c r="M7760" s="468"/>
      <c r="N7760" s="1192">
        <f t="shared" si="4497"/>
        <v>45776</v>
      </c>
      <c r="O7760" s="71" t="s">
        <v>146</v>
      </c>
      <c r="P7760" s="103" t="str">
        <f t="shared" si="4502"/>
        <v>Blanket(1050*840)</v>
      </c>
      <c r="Q7760" s="71">
        <f t="shared" si="4499"/>
        <v>10</v>
      </c>
      <c r="R7760" s="102">
        <v>98200</v>
      </c>
      <c r="S7760" s="102">
        <f t="shared" si="4500"/>
        <v>1080200</v>
      </c>
      <c r="T7760" s="102">
        <f t="shared" si="4501"/>
        <v>982000</v>
      </c>
      <c r="U7760" s="71" t="s">
        <v>859</v>
      </c>
      <c r="V7760" s="71"/>
      <c r="W7760" s="474"/>
      <c r="X7760" s="71"/>
      <c r="Y7760" s="71"/>
    </row>
    <row r="7761" spans="1:25" ht="30" hidden="1" customHeight="1" x14ac:dyDescent="0.25">
      <c r="A7761" s="1145">
        <v>45754</v>
      </c>
      <c r="B7761" s="664" t="s">
        <v>442</v>
      </c>
      <c r="C7761" s="71" t="s">
        <v>3299</v>
      </c>
      <c r="D7761" s="71">
        <v>25</v>
      </c>
      <c r="E7761" s="102">
        <v>69000</v>
      </c>
      <c r="F7761" s="102">
        <f t="shared" si="4503"/>
        <v>1897500.0000000002</v>
      </c>
      <c r="G7761" s="102">
        <f t="shared" si="4504"/>
        <v>1725000</v>
      </c>
      <c r="H7761" s="690" t="s">
        <v>172</v>
      </c>
      <c r="I7761" s="71" t="s">
        <v>180</v>
      </c>
      <c r="J7761" s="53">
        <f t="shared" si="4495"/>
        <v>537500</v>
      </c>
      <c r="K7761" s="63">
        <f t="shared" si="4496"/>
        <v>0.31159420289855067</v>
      </c>
      <c r="L7761" s="1212" t="s">
        <v>4347</v>
      </c>
      <c r="M7761" s="468" t="s">
        <v>3304</v>
      </c>
      <c r="N7761" s="1192">
        <f t="shared" si="4497"/>
        <v>45754</v>
      </c>
      <c r="O7761" s="71" t="s">
        <v>175</v>
      </c>
      <c r="P7761" s="103" t="str">
        <f t="shared" si="4502"/>
        <v>매엽용 세척제(Wash k11)</v>
      </c>
      <c r="Q7761" s="71">
        <f t="shared" si="4499"/>
        <v>25</v>
      </c>
      <c r="R7761" s="102">
        <v>47500</v>
      </c>
      <c r="S7761" s="102">
        <f t="shared" si="4500"/>
        <v>1306250</v>
      </c>
      <c r="T7761" s="102">
        <f t="shared" si="4501"/>
        <v>1187500</v>
      </c>
      <c r="U7761" s="71" t="s">
        <v>859</v>
      </c>
      <c r="V7761" s="71"/>
      <c r="W7761" s="474"/>
      <c r="X7761" s="71"/>
      <c r="Y7761" s="71"/>
    </row>
    <row r="7762" spans="1:25" s="209" customFormat="1" ht="30" hidden="1" customHeight="1" x14ac:dyDescent="0.25">
      <c r="A7762" s="1145">
        <v>45754</v>
      </c>
      <c r="B7762" s="664" t="s">
        <v>442</v>
      </c>
      <c r="C7762" s="71" t="s">
        <v>3833</v>
      </c>
      <c r="D7762" s="71">
        <v>1000</v>
      </c>
      <c r="E7762" s="102">
        <v>3850</v>
      </c>
      <c r="F7762" s="102">
        <f t="shared" si="4503"/>
        <v>4235000</v>
      </c>
      <c r="G7762" s="102">
        <f t="shared" si="4504"/>
        <v>3850000</v>
      </c>
      <c r="H7762" s="690" t="s">
        <v>2029</v>
      </c>
      <c r="I7762" s="71" t="s">
        <v>2230</v>
      </c>
      <c r="J7762" s="53">
        <f t="shared" si="4495"/>
        <v>400000</v>
      </c>
      <c r="K7762" s="63">
        <f t="shared" si="4496"/>
        <v>0.1038961038961039</v>
      </c>
      <c r="L7762" s="1212" t="s">
        <v>4347</v>
      </c>
      <c r="M7762" s="468"/>
      <c r="N7762" s="1192">
        <f t="shared" si="4497"/>
        <v>45754</v>
      </c>
      <c r="O7762" s="71" t="s">
        <v>2030</v>
      </c>
      <c r="P7762" s="103" t="str">
        <f t="shared" si="4502"/>
        <v>CTP 판 1030*790</v>
      </c>
      <c r="Q7762" s="71">
        <f t="shared" si="4499"/>
        <v>1000</v>
      </c>
      <c r="R7762" s="102">
        <v>3450</v>
      </c>
      <c r="S7762" s="102">
        <f t="shared" si="4500"/>
        <v>3795000.0000000005</v>
      </c>
      <c r="T7762" s="102">
        <f t="shared" si="4501"/>
        <v>3450000</v>
      </c>
      <c r="U7762" s="71"/>
      <c r="V7762" s="71"/>
      <c r="W7762" s="474"/>
      <c r="X7762" s="71"/>
      <c r="Y7762" s="71"/>
    </row>
    <row r="7763" spans="1:25" ht="30" hidden="1" customHeight="1" x14ac:dyDescent="0.25">
      <c r="A7763" s="1145">
        <v>45754</v>
      </c>
      <c r="B7763" s="664" t="s">
        <v>442</v>
      </c>
      <c r="C7763" s="71" t="s">
        <v>3834</v>
      </c>
      <c r="D7763" s="71">
        <v>7</v>
      </c>
      <c r="E7763" s="102">
        <v>57000</v>
      </c>
      <c r="F7763" s="102">
        <f t="shared" si="4503"/>
        <v>438900.00000000006</v>
      </c>
      <c r="G7763" s="102">
        <f t="shared" si="4504"/>
        <v>399000</v>
      </c>
      <c r="H7763" s="690" t="s">
        <v>2029</v>
      </c>
      <c r="I7763" s="71" t="s">
        <v>2230</v>
      </c>
      <c r="J7763" s="53">
        <f t="shared" si="4495"/>
        <v>100723</v>
      </c>
      <c r="K7763" s="63">
        <f t="shared" si="4496"/>
        <v>0.25243859649122802</v>
      </c>
      <c r="L7763" s="1212" t="s">
        <v>4347</v>
      </c>
      <c r="M7763" s="468"/>
      <c r="N7763" s="1192">
        <f t="shared" si="4497"/>
        <v>45754</v>
      </c>
      <c r="O7763" s="71" t="s">
        <v>2030</v>
      </c>
      <c r="P7763" s="103" t="str">
        <f t="shared" si="4502"/>
        <v>CTP 현상액</v>
      </c>
      <c r="Q7763" s="71">
        <f t="shared" si="4499"/>
        <v>7</v>
      </c>
      <c r="R7763" s="102">
        <v>42611</v>
      </c>
      <c r="S7763" s="102">
        <f t="shared" si="4500"/>
        <v>328104.7</v>
      </c>
      <c r="T7763" s="102">
        <f t="shared" si="4501"/>
        <v>298277</v>
      </c>
      <c r="U7763" s="71"/>
      <c r="V7763" s="71"/>
      <c r="W7763" s="474"/>
      <c r="X7763" s="71"/>
      <c r="Y7763" s="71"/>
    </row>
    <row r="7764" spans="1:25" ht="30" hidden="1" customHeight="1" x14ac:dyDescent="0.25">
      <c r="A7764" s="1145">
        <v>45755</v>
      </c>
      <c r="B7764" s="664" t="s">
        <v>442</v>
      </c>
      <c r="C7764" s="71" t="s">
        <v>2559</v>
      </c>
      <c r="D7764" s="71">
        <v>50</v>
      </c>
      <c r="E7764" s="102">
        <v>6000</v>
      </c>
      <c r="F7764" s="102">
        <f t="shared" si="4503"/>
        <v>330000</v>
      </c>
      <c r="G7764" s="102">
        <f t="shared" si="4504"/>
        <v>300000</v>
      </c>
      <c r="H7764" s="690" t="s">
        <v>2029</v>
      </c>
      <c r="I7764" s="71" t="s">
        <v>2230</v>
      </c>
      <c r="J7764" s="53">
        <f t="shared" si="4495"/>
        <v>75000</v>
      </c>
      <c r="K7764" s="63">
        <f t="shared" si="4496"/>
        <v>0.25</v>
      </c>
      <c r="L7764" s="1212" t="s">
        <v>4347</v>
      </c>
      <c r="M7764" s="468"/>
      <c r="N7764" s="1192">
        <f t="shared" si="4497"/>
        <v>45755</v>
      </c>
      <c r="O7764" s="71"/>
      <c r="P7764" s="103" t="str">
        <f t="shared" si="4502"/>
        <v>CTP 현상기 필터</v>
      </c>
      <c r="Q7764" s="71">
        <f t="shared" si="4499"/>
        <v>50</v>
      </c>
      <c r="R7764" s="147">
        <v>4500</v>
      </c>
      <c r="S7764" s="102">
        <f t="shared" ref="S7764:S7776" si="4505">R7764*Q7764*1.1</f>
        <v>247500.00000000003</v>
      </c>
      <c r="T7764" s="102">
        <f t="shared" ref="T7764:T7776" si="4506">R7764*Q7764</f>
        <v>225000</v>
      </c>
      <c r="U7764" s="71"/>
      <c r="V7764" s="71"/>
      <c r="W7764" s="474"/>
      <c r="X7764" s="71"/>
      <c r="Y7764" s="71"/>
    </row>
    <row r="7765" spans="1:25" ht="30" hidden="1" customHeight="1" x14ac:dyDescent="0.25">
      <c r="A7765" s="1145">
        <v>45761</v>
      </c>
      <c r="B7765" s="664" t="s">
        <v>442</v>
      </c>
      <c r="C7765" s="71" t="s">
        <v>3431</v>
      </c>
      <c r="D7765" s="71">
        <v>2</v>
      </c>
      <c r="E7765" s="102">
        <v>142000</v>
      </c>
      <c r="F7765" s="102">
        <f t="shared" si="4503"/>
        <v>312400</v>
      </c>
      <c r="G7765" s="102">
        <f t="shared" si="4504"/>
        <v>284000</v>
      </c>
      <c r="H7765" s="690" t="s">
        <v>2029</v>
      </c>
      <c r="I7765" s="71" t="s">
        <v>195</v>
      </c>
      <c r="J7765" s="53">
        <f t="shared" si="4495"/>
        <v>104000</v>
      </c>
      <c r="K7765" s="63">
        <f t="shared" si="4496"/>
        <v>0.36619718309859156</v>
      </c>
      <c r="L7765" s="1212" t="s">
        <v>4347</v>
      </c>
      <c r="M7765" s="468"/>
      <c r="N7765" s="1192">
        <f t="shared" ref="N7765:N7776" si="4507">A7765</f>
        <v>45761</v>
      </c>
      <c r="O7765" s="71" t="s">
        <v>2030</v>
      </c>
      <c r="P7765" s="164" t="str">
        <f>(C7765)</f>
        <v>닥터호일 아스테이지</v>
      </c>
      <c r="Q7765" s="71">
        <f t="shared" si="4499"/>
        <v>2</v>
      </c>
      <c r="R7765" s="102">
        <v>90000</v>
      </c>
      <c r="S7765" s="102">
        <f t="shared" si="4505"/>
        <v>198000.00000000003</v>
      </c>
      <c r="T7765" s="102">
        <f t="shared" si="4506"/>
        <v>180000</v>
      </c>
      <c r="U7765" s="71" t="str">
        <f>IF(J7765=W7765,"O", "X")</f>
        <v>O</v>
      </c>
      <c r="V7765" s="71"/>
      <c r="W7765" s="474">
        <f>(G7765-T7765)</f>
        <v>104000</v>
      </c>
      <c r="X7765" s="71"/>
      <c r="Y7765" s="71"/>
    </row>
    <row r="7766" spans="1:25" s="209" customFormat="1" ht="30" hidden="1" customHeight="1" x14ac:dyDescent="0.25">
      <c r="A7766" s="1145">
        <v>45771</v>
      </c>
      <c r="B7766" s="664" t="s">
        <v>442</v>
      </c>
      <c r="C7766" s="71" t="s">
        <v>3833</v>
      </c>
      <c r="D7766" s="71">
        <v>1000</v>
      </c>
      <c r="E7766" s="102">
        <v>3850</v>
      </c>
      <c r="F7766" s="102">
        <f t="shared" si="4503"/>
        <v>4235000</v>
      </c>
      <c r="G7766" s="102">
        <f t="shared" si="4504"/>
        <v>3850000</v>
      </c>
      <c r="H7766" s="690" t="s">
        <v>2029</v>
      </c>
      <c r="I7766" s="71" t="s">
        <v>2230</v>
      </c>
      <c r="J7766" s="53">
        <f t="shared" si="4495"/>
        <v>400000</v>
      </c>
      <c r="K7766" s="63">
        <f t="shared" si="4496"/>
        <v>0.1038961038961039</v>
      </c>
      <c r="L7766" s="1212" t="s">
        <v>4347</v>
      </c>
      <c r="M7766" s="468"/>
      <c r="N7766" s="1192">
        <f t="shared" si="4507"/>
        <v>45771</v>
      </c>
      <c r="O7766" s="71" t="s">
        <v>2030</v>
      </c>
      <c r="P7766" s="103" t="str">
        <f t="shared" ref="P7766:P7776" si="4508">(C7766)</f>
        <v>CTP 판 1030*790</v>
      </c>
      <c r="Q7766" s="71">
        <f t="shared" si="4499"/>
        <v>1000</v>
      </c>
      <c r="R7766" s="102">
        <v>3450</v>
      </c>
      <c r="S7766" s="102">
        <f t="shared" si="4505"/>
        <v>3795000.0000000005</v>
      </c>
      <c r="T7766" s="102">
        <f t="shared" si="4506"/>
        <v>3450000</v>
      </c>
      <c r="U7766" s="71"/>
      <c r="V7766" s="71"/>
      <c r="W7766" s="474"/>
      <c r="X7766" s="71"/>
      <c r="Y7766" s="71"/>
    </row>
    <row r="7767" spans="1:25" ht="30" hidden="1" customHeight="1" x14ac:dyDescent="0.25">
      <c r="A7767" s="1145">
        <v>45771</v>
      </c>
      <c r="B7767" s="664" t="s">
        <v>442</v>
      </c>
      <c r="C7767" s="71" t="s">
        <v>3834</v>
      </c>
      <c r="D7767" s="71">
        <v>6</v>
      </c>
      <c r="E7767" s="102">
        <v>57000</v>
      </c>
      <c r="F7767" s="102">
        <f t="shared" ref="F7767:F7776" si="4509">(E7767*D7767)*1.1</f>
        <v>376200.00000000006</v>
      </c>
      <c r="G7767" s="102">
        <f t="shared" ref="G7767:G7776" si="4510">(E7767*D7767)</f>
        <v>342000</v>
      </c>
      <c r="H7767" s="690" t="s">
        <v>2029</v>
      </c>
      <c r="I7767" s="71" t="s">
        <v>2230</v>
      </c>
      <c r="J7767" s="53">
        <f t="shared" ref="J7767:J7776" si="4511">G7767-T7767</f>
        <v>86334</v>
      </c>
      <c r="K7767" s="63">
        <f t="shared" ref="K7767:K7771" si="4512">(J7767/(F7767/11*10))</f>
        <v>0.25243859649122802</v>
      </c>
      <c r="L7767" s="1212" t="s">
        <v>4347</v>
      </c>
      <c r="M7767" s="468"/>
      <c r="N7767" s="1192">
        <f t="shared" si="4507"/>
        <v>45771</v>
      </c>
      <c r="O7767" s="71" t="s">
        <v>2030</v>
      </c>
      <c r="P7767" s="103" t="str">
        <f t="shared" si="4508"/>
        <v>CTP 현상액</v>
      </c>
      <c r="Q7767" s="71">
        <f t="shared" ref="Q7767:Q7776" si="4513">D7767</f>
        <v>6</v>
      </c>
      <c r="R7767" s="102">
        <v>42611</v>
      </c>
      <c r="S7767" s="102">
        <f t="shared" si="4505"/>
        <v>281232.60000000003</v>
      </c>
      <c r="T7767" s="102">
        <f t="shared" si="4506"/>
        <v>255666</v>
      </c>
      <c r="U7767" s="71"/>
      <c r="V7767" s="71"/>
      <c r="W7767" s="474"/>
      <c r="X7767" s="71"/>
      <c r="Y7767" s="71"/>
    </row>
    <row r="7768" spans="1:25" ht="29.45" hidden="1" customHeight="1" x14ac:dyDescent="0.25">
      <c r="A7768" s="1145">
        <v>45758</v>
      </c>
      <c r="B7768" s="664" t="s">
        <v>3296</v>
      </c>
      <c r="C7768" s="71" t="s">
        <v>3297</v>
      </c>
      <c r="D7768" s="71">
        <v>20</v>
      </c>
      <c r="E7768" s="102">
        <v>162500</v>
      </c>
      <c r="F7768" s="102">
        <f t="shared" si="4509"/>
        <v>3575000.0000000005</v>
      </c>
      <c r="G7768" s="102">
        <f t="shared" si="4510"/>
        <v>3250000</v>
      </c>
      <c r="H7768" s="690" t="s">
        <v>172</v>
      </c>
      <c r="I7768" s="71" t="s">
        <v>3295</v>
      </c>
      <c r="J7768" s="53">
        <f t="shared" si="4511"/>
        <v>850000</v>
      </c>
      <c r="K7768" s="63">
        <f t="shared" si="4512"/>
        <v>0.2615384615384615</v>
      </c>
      <c r="L7768" s="1212" t="s">
        <v>4347</v>
      </c>
      <c r="M7768" s="468"/>
      <c r="N7768" s="1192">
        <f t="shared" si="4507"/>
        <v>45758</v>
      </c>
      <c r="O7768" s="71" t="s">
        <v>662</v>
      </c>
      <c r="P7768" s="103" t="str">
        <f t="shared" si="4508"/>
        <v>실리콘 에멀전</v>
      </c>
      <c r="Q7768" s="71">
        <f t="shared" si="4513"/>
        <v>20</v>
      </c>
      <c r="R7768" s="102">
        <v>120000</v>
      </c>
      <c r="S7768" s="102">
        <f t="shared" si="4505"/>
        <v>2640000</v>
      </c>
      <c r="T7768" s="102">
        <f t="shared" si="4506"/>
        <v>2400000</v>
      </c>
      <c r="U7768" s="71" t="str">
        <f t="shared" ref="U7768:U7771" si="4514">IF(J7768=W7768,"O", "X")</f>
        <v>X</v>
      </c>
      <c r="V7768" s="71"/>
      <c r="W7768" s="474"/>
      <c r="X7768" s="71"/>
      <c r="Y7768" s="71"/>
    </row>
    <row r="7769" spans="1:25" ht="29.45" hidden="1" customHeight="1" x14ac:dyDescent="0.25">
      <c r="A7769" s="1145">
        <v>45770</v>
      </c>
      <c r="B7769" s="664" t="s">
        <v>3296</v>
      </c>
      <c r="C7769" s="71" t="s">
        <v>3297</v>
      </c>
      <c r="D7769" s="71">
        <v>20</v>
      </c>
      <c r="E7769" s="102">
        <v>162500</v>
      </c>
      <c r="F7769" s="102">
        <f t="shared" si="4509"/>
        <v>3575000.0000000005</v>
      </c>
      <c r="G7769" s="102">
        <f t="shared" si="4510"/>
        <v>3250000</v>
      </c>
      <c r="H7769" s="690" t="s">
        <v>172</v>
      </c>
      <c r="I7769" s="71" t="s">
        <v>3295</v>
      </c>
      <c r="J7769" s="53">
        <f t="shared" si="4511"/>
        <v>850000</v>
      </c>
      <c r="K7769" s="63">
        <f t="shared" si="4512"/>
        <v>0.2615384615384615</v>
      </c>
      <c r="L7769" s="1212" t="s">
        <v>4347</v>
      </c>
      <c r="M7769" s="468"/>
      <c r="N7769" s="1192">
        <f t="shared" si="4507"/>
        <v>45770</v>
      </c>
      <c r="O7769" s="71" t="s">
        <v>662</v>
      </c>
      <c r="P7769" s="103" t="str">
        <f t="shared" si="4508"/>
        <v>실리콘 에멀전</v>
      </c>
      <c r="Q7769" s="71">
        <f t="shared" si="4513"/>
        <v>20</v>
      </c>
      <c r="R7769" s="102">
        <v>120000</v>
      </c>
      <c r="S7769" s="102">
        <f t="shared" si="4505"/>
        <v>2640000</v>
      </c>
      <c r="T7769" s="102">
        <f t="shared" si="4506"/>
        <v>2400000</v>
      </c>
      <c r="U7769" s="71" t="str">
        <f t="shared" si="4514"/>
        <v>X</v>
      </c>
      <c r="V7769" s="71"/>
      <c r="W7769" s="474"/>
      <c r="X7769" s="71"/>
      <c r="Y7769" s="71"/>
    </row>
    <row r="7770" spans="1:25" ht="30" hidden="1" customHeight="1" x14ac:dyDescent="0.25">
      <c r="A7770" s="1145">
        <v>45772</v>
      </c>
      <c r="B7770" s="664" t="s">
        <v>4350</v>
      </c>
      <c r="C7770" s="71" t="s">
        <v>123</v>
      </c>
      <c r="D7770" s="71">
        <v>10</v>
      </c>
      <c r="E7770" s="102">
        <v>38000</v>
      </c>
      <c r="F7770" s="102">
        <f t="shared" si="4509"/>
        <v>418000.00000000006</v>
      </c>
      <c r="G7770" s="102">
        <f t="shared" si="4510"/>
        <v>380000</v>
      </c>
      <c r="H7770" s="690" t="s">
        <v>94</v>
      </c>
      <c r="I7770" s="71" t="s">
        <v>94</v>
      </c>
      <c r="J7770" s="53">
        <f t="shared" si="4511"/>
        <v>180000</v>
      </c>
      <c r="K7770" s="63">
        <f t="shared" si="4512"/>
        <v>0.47368421052631571</v>
      </c>
      <c r="L7770" s="1212" t="s">
        <v>4347</v>
      </c>
      <c r="M7770" s="468"/>
      <c r="N7770" s="1192">
        <f t="shared" si="4507"/>
        <v>45772</v>
      </c>
      <c r="O7770" s="71" t="s">
        <v>94</v>
      </c>
      <c r="P7770" s="103" t="str">
        <f t="shared" si="4508"/>
        <v>필터백</v>
      </c>
      <c r="Q7770" s="71">
        <f t="shared" si="4513"/>
        <v>10</v>
      </c>
      <c r="R7770" s="147">
        <v>20000</v>
      </c>
      <c r="S7770" s="102">
        <f t="shared" si="4505"/>
        <v>220000.00000000003</v>
      </c>
      <c r="T7770" s="102">
        <f t="shared" si="4506"/>
        <v>200000</v>
      </c>
      <c r="U7770" s="71" t="str">
        <f t="shared" si="4514"/>
        <v>X</v>
      </c>
      <c r="V7770" s="71"/>
      <c r="W7770" s="474"/>
      <c r="X7770" s="71"/>
      <c r="Y7770" s="71"/>
    </row>
    <row r="7771" spans="1:25" ht="30" hidden="1" customHeight="1" x14ac:dyDescent="0.25">
      <c r="A7771" s="1145">
        <v>45777</v>
      </c>
      <c r="B7771" s="664" t="s">
        <v>3830</v>
      </c>
      <c r="C7771" s="71" t="s">
        <v>3667</v>
      </c>
      <c r="D7771" s="71">
        <v>1276</v>
      </c>
      <c r="E7771" s="102">
        <v>1950</v>
      </c>
      <c r="F7771" s="102">
        <f t="shared" si="4509"/>
        <v>2737020</v>
      </c>
      <c r="G7771" s="102">
        <f t="shared" si="4510"/>
        <v>2488200</v>
      </c>
      <c r="H7771" s="690" t="s">
        <v>172</v>
      </c>
      <c r="I7771" s="71" t="s">
        <v>3295</v>
      </c>
      <c r="J7771" s="53">
        <f t="shared" si="4511"/>
        <v>2488200</v>
      </c>
      <c r="K7771" s="63">
        <f t="shared" si="4512"/>
        <v>1</v>
      </c>
      <c r="L7771" s="1212" t="s">
        <v>4347</v>
      </c>
      <c r="M7771" s="102"/>
      <c r="N7771" s="1192">
        <f t="shared" si="4507"/>
        <v>45777</v>
      </c>
      <c r="O7771" s="71"/>
      <c r="P7771" s="103" t="str">
        <f t="shared" si="4508"/>
        <v>폐판</v>
      </c>
      <c r="Q7771" s="71">
        <f t="shared" si="4513"/>
        <v>1276</v>
      </c>
      <c r="R7771" s="102"/>
      <c r="S7771" s="102">
        <f t="shared" si="4505"/>
        <v>0</v>
      </c>
      <c r="T7771" s="102">
        <f t="shared" si="4506"/>
        <v>0</v>
      </c>
      <c r="U7771" s="71" t="str">
        <f t="shared" si="4514"/>
        <v>X</v>
      </c>
      <c r="V7771" s="71"/>
      <c r="W7771" s="474"/>
      <c r="X7771" s="71"/>
      <c r="Y7771" s="71"/>
    </row>
    <row r="7772" spans="1:25" ht="30" hidden="1" customHeight="1" x14ac:dyDescent="0.25">
      <c r="A7772" s="1145">
        <v>45775</v>
      </c>
      <c r="B7772" s="664" t="s">
        <v>26</v>
      </c>
      <c r="C7772" s="71" t="s">
        <v>2087</v>
      </c>
      <c r="D7772" s="71">
        <v>5</v>
      </c>
      <c r="E7772" s="102">
        <v>65000</v>
      </c>
      <c r="F7772" s="102">
        <f t="shared" si="4509"/>
        <v>357500</v>
      </c>
      <c r="G7772" s="102">
        <f t="shared" si="4510"/>
        <v>325000</v>
      </c>
      <c r="H7772" s="690" t="s">
        <v>172</v>
      </c>
      <c r="I7772" s="71" t="s">
        <v>3295</v>
      </c>
      <c r="J7772" s="53">
        <f t="shared" si="4511"/>
        <v>75000</v>
      </c>
      <c r="K7772" s="63">
        <v>0.23076923076923078</v>
      </c>
      <c r="L7772" s="1212" t="s">
        <v>4347</v>
      </c>
      <c r="M7772" s="468"/>
      <c r="N7772" s="1192">
        <f t="shared" si="4507"/>
        <v>45775</v>
      </c>
      <c r="O7772" s="71" t="s">
        <v>152</v>
      </c>
      <c r="P7772" s="103" t="str">
        <f t="shared" si="4508"/>
        <v>아스테이지(국전)</v>
      </c>
      <c r="Q7772" s="71">
        <f t="shared" si="4513"/>
        <v>5</v>
      </c>
      <c r="R7772" s="102">
        <v>50000</v>
      </c>
      <c r="S7772" s="102">
        <f t="shared" si="4505"/>
        <v>275000</v>
      </c>
      <c r="T7772" s="102">
        <f t="shared" si="4506"/>
        <v>250000</v>
      </c>
      <c r="U7772" s="71" t="s">
        <v>1915</v>
      </c>
      <c r="V7772" s="71"/>
      <c r="W7772" s="474">
        <v>150000</v>
      </c>
      <c r="X7772" s="71"/>
      <c r="Y7772" s="71"/>
    </row>
    <row r="7773" spans="1:25" ht="30" hidden="1" customHeight="1" x14ac:dyDescent="0.25">
      <c r="A7773" s="1145">
        <v>45777</v>
      </c>
      <c r="B7773" s="664" t="s">
        <v>26</v>
      </c>
      <c r="C7773" s="71" t="s">
        <v>2087</v>
      </c>
      <c r="D7773" s="71">
        <v>5</v>
      </c>
      <c r="E7773" s="102">
        <v>65000</v>
      </c>
      <c r="F7773" s="102">
        <f t="shared" si="4509"/>
        <v>357500</v>
      </c>
      <c r="G7773" s="102">
        <f t="shared" si="4510"/>
        <v>325000</v>
      </c>
      <c r="H7773" s="690" t="s">
        <v>172</v>
      </c>
      <c r="I7773" s="71" t="s">
        <v>3295</v>
      </c>
      <c r="J7773" s="53">
        <f t="shared" si="4511"/>
        <v>75000</v>
      </c>
      <c r="K7773" s="63">
        <v>0.23076923076923078</v>
      </c>
      <c r="L7773" s="1212" t="s">
        <v>4347</v>
      </c>
      <c r="M7773" s="468"/>
      <c r="N7773" s="1192">
        <f t="shared" si="4507"/>
        <v>45777</v>
      </c>
      <c r="O7773" s="71" t="s">
        <v>152</v>
      </c>
      <c r="P7773" s="103" t="str">
        <f t="shared" si="4508"/>
        <v>아스테이지(국전)</v>
      </c>
      <c r="Q7773" s="71">
        <f t="shared" si="4513"/>
        <v>5</v>
      </c>
      <c r="R7773" s="102">
        <v>50000</v>
      </c>
      <c r="S7773" s="102">
        <f t="shared" si="4505"/>
        <v>275000</v>
      </c>
      <c r="T7773" s="102">
        <f t="shared" si="4506"/>
        <v>250000</v>
      </c>
      <c r="U7773" s="71" t="s">
        <v>1915</v>
      </c>
      <c r="V7773" s="71"/>
      <c r="W7773" s="474">
        <v>150000</v>
      </c>
      <c r="X7773" s="71"/>
      <c r="Y7773" s="71"/>
    </row>
    <row r="7774" spans="1:25" s="209" customFormat="1" ht="30" hidden="1" customHeight="1" x14ac:dyDescent="0.25">
      <c r="A7774" s="1145">
        <v>45748</v>
      </c>
      <c r="B7774" s="664" t="s">
        <v>411</v>
      </c>
      <c r="C7774" s="71" t="s">
        <v>3413</v>
      </c>
      <c r="D7774" s="71">
        <v>10</v>
      </c>
      <c r="E7774" s="102">
        <v>80000</v>
      </c>
      <c r="F7774" s="102">
        <f t="shared" si="4509"/>
        <v>880000.00000000012</v>
      </c>
      <c r="G7774" s="102">
        <f t="shared" si="4510"/>
        <v>800000</v>
      </c>
      <c r="H7774" s="690" t="s">
        <v>2029</v>
      </c>
      <c r="I7774" s="71" t="s">
        <v>3385</v>
      </c>
      <c r="J7774" s="53">
        <f t="shared" si="4511"/>
        <v>300000</v>
      </c>
      <c r="K7774" s="63">
        <f t="shared" ref="K7774:K7776" si="4515">(J7774/(F7774/11*10))</f>
        <v>0.37499999999999994</v>
      </c>
      <c r="L7774" s="1212" t="s">
        <v>4347</v>
      </c>
      <c r="M7774" s="468"/>
      <c r="N7774" s="1192">
        <f t="shared" si="4507"/>
        <v>45748</v>
      </c>
      <c r="O7774" s="71" t="s">
        <v>190</v>
      </c>
      <c r="P7774" s="103" t="str">
        <f t="shared" si="4508"/>
        <v>아스테이지(국전)</v>
      </c>
      <c r="Q7774" s="71">
        <f t="shared" si="4513"/>
        <v>10</v>
      </c>
      <c r="R7774" s="102">
        <v>50000</v>
      </c>
      <c r="S7774" s="102">
        <f t="shared" si="4505"/>
        <v>550000</v>
      </c>
      <c r="T7774" s="102">
        <f t="shared" si="4506"/>
        <v>500000</v>
      </c>
      <c r="U7774" s="71" t="str">
        <f t="shared" ref="U7774" si="4516">IF(J7774=W7774,"O", "X")</f>
        <v>X</v>
      </c>
      <c r="V7774" s="71"/>
      <c r="W7774" s="474">
        <v>500000</v>
      </c>
      <c r="X7774" s="71"/>
      <c r="Y7774" s="71"/>
    </row>
    <row r="7775" spans="1:25" ht="30" hidden="1" customHeight="1" x14ac:dyDescent="0.25">
      <c r="A7775" s="1145">
        <v>45748</v>
      </c>
      <c r="B7775" s="664" t="s">
        <v>2798</v>
      </c>
      <c r="C7775" s="71" t="s">
        <v>4239</v>
      </c>
      <c r="D7775" s="71">
        <v>2</v>
      </c>
      <c r="E7775" s="102">
        <v>252000</v>
      </c>
      <c r="F7775" s="102">
        <f t="shared" si="4509"/>
        <v>554400</v>
      </c>
      <c r="G7775" s="102">
        <f t="shared" si="4510"/>
        <v>504000</v>
      </c>
      <c r="H7775" s="690" t="s">
        <v>173</v>
      </c>
      <c r="I7775" s="71" t="s">
        <v>180</v>
      </c>
      <c r="J7775" s="53">
        <f t="shared" si="4511"/>
        <v>129000</v>
      </c>
      <c r="K7775" s="63">
        <f t="shared" si="4515"/>
        <v>0.25595238095238093</v>
      </c>
      <c r="L7775" s="1212" t="s">
        <v>4347</v>
      </c>
      <c r="M7775" s="102"/>
      <c r="N7775" s="1192">
        <f t="shared" si="4507"/>
        <v>45748</v>
      </c>
      <c r="O7775" s="71" t="s">
        <v>150</v>
      </c>
      <c r="P7775" s="103" t="str">
        <f t="shared" si="4508"/>
        <v>Saphira 건식 세정포 하이델 XL용</v>
      </c>
      <c r="Q7775" s="71">
        <f t="shared" si="4513"/>
        <v>2</v>
      </c>
      <c r="R7775" s="102">
        <v>187500</v>
      </c>
      <c r="S7775" s="102">
        <f t="shared" si="4505"/>
        <v>412500.00000000006</v>
      </c>
      <c r="T7775" s="102">
        <f t="shared" si="4506"/>
        <v>375000</v>
      </c>
      <c r="U7775" s="71"/>
      <c r="V7775" s="71"/>
      <c r="W7775" s="474"/>
      <c r="X7775" s="71"/>
      <c r="Y7775" s="71"/>
    </row>
    <row r="7776" spans="1:25" ht="30" hidden="1" customHeight="1" x14ac:dyDescent="0.25">
      <c r="A7776" s="1145">
        <v>45756</v>
      </c>
      <c r="B7776" s="664" t="s">
        <v>2798</v>
      </c>
      <c r="C7776" s="71" t="s">
        <v>4240</v>
      </c>
      <c r="D7776" s="71">
        <v>10</v>
      </c>
      <c r="E7776" s="102">
        <v>133000</v>
      </c>
      <c r="F7776" s="102">
        <f t="shared" si="4509"/>
        <v>1463000.0000000002</v>
      </c>
      <c r="G7776" s="102">
        <f t="shared" si="4510"/>
        <v>1330000</v>
      </c>
      <c r="H7776" s="690" t="s">
        <v>173</v>
      </c>
      <c r="I7776" s="71" t="s">
        <v>109</v>
      </c>
      <c r="J7776" s="53">
        <f t="shared" si="4511"/>
        <v>210000</v>
      </c>
      <c r="K7776" s="63">
        <f t="shared" si="4515"/>
        <v>0.15789473684210523</v>
      </c>
      <c r="L7776" s="1212" t="s">
        <v>4347</v>
      </c>
      <c r="M7776" s="102"/>
      <c r="N7776" s="1192">
        <f t="shared" si="4507"/>
        <v>45756</v>
      </c>
      <c r="O7776" s="71" t="s">
        <v>150</v>
      </c>
      <c r="P7776" s="103" t="str">
        <f t="shared" si="4508"/>
        <v>5MX 블랑켓 XL용</v>
      </c>
      <c r="Q7776" s="71">
        <f t="shared" si="4513"/>
        <v>10</v>
      </c>
      <c r="R7776" s="102">
        <v>112000</v>
      </c>
      <c r="S7776" s="102">
        <f t="shared" si="4505"/>
        <v>1232000</v>
      </c>
      <c r="T7776" s="102">
        <f t="shared" si="4506"/>
        <v>1120000</v>
      </c>
      <c r="U7776" s="71"/>
      <c r="V7776" s="71"/>
      <c r="W7776" s="474"/>
      <c r="X7776" s="71"/>
      <c r="Y7776" s="71"/>
    </row>
    <row r="7777" spans="1:25" ht="30" hidden="1" customHeight="1" x14ac:dyDescent="0.25">
      <c r="A7777" s="1145">
        <v>45764</v>
      </c>
      <c r="B7777" s="664" t="s">
        <v>2798</v>
      </c>
      <c r="C7777" s="71" t="s">
        <v>4239</v>
      </c>
      <c r="D7777" s="71">
        <v>2</v>
      </c>
      <c r="E7777" s="102">
        <v>252000</v>
      </c>
      <c r="F7777" s="102">
        <f t="shared" ref="F7777:F7783" si="4517">(E7777*D7777)*1.1</f>
        <v>554400</v>
      </c>
      <c r="G7777" s="102">
        <f t="shared" ref="G7777:G7783" si="4518">(E7777*D7777)</f>
        <v>504000</v>
      </c>
      <c r="H7777" s="690" t="s">
        <v>173</v>
      </c>
      <c r="I7777" s="71" t="s">
        <v>180</v>
      </c>
      <c r="J7777" s="53">
        <f t="shared" ref="J7777:J7782" si="4519">G7777-T7777</f>
        <v>129000</v>
      </c>
      <c r="K7777" s="63">
        <f t="shared" ref="K7777:K7782" si="4520">(J7777/(F7777/11*10))</f>
        <v>0.25595238095238093</v>
      </c>
      <c r="L7777" s="1212" t="s">
        <v>4347</v>
      </c>
      <c r="M7777" s="102"/>
      <c r="N7777" s="1192">
        <f t="shared" ref="N7777:N7784" si="4521">A7777</f>
        <v>45764</v>
      </c>
      <c r="O7777" s="71" t="s">
        <v>150</v>
      </c>
      <c r="P7777" s="103" t="str">
        <f t="shared" ref="P7777:P7783" si="4522">(C7777)</f>
        <v>Saphira 건식 세정포 하이델 XL용</v>
      </c>
      <c r="Q7777" s="71">
        <f t="shared" ref="Q7777:Q7783" si="4523">D7777</f>
        <v>2</v>
      </c>
      <c r="R7777" s="102">
        <v>187500</v>
      </c>
      <c r="S7777" s="102">
        <f t="shared" ref="S7777:S7779" si="4524">R7777*Q7777*1.1</f>
        <v>412500.00000000006</v>
      </c>
      <c r="T7777" s="102">
        <f t="shared" ref="T7777:T7779" si="4525">R7777*Q7777</f>
        <v>375000</v>
      </c>
      <c r="U7777" s="71"/>
      <c r="V7777" s="71"/>
      <c r="W7777" s="474"/>
      <c r="X7777" s="71"/>
      <c r="Y7777" s="71"/>
    </row>
    <row r="7778" spans="1:25" ht="30" hidden="1" customHeight="1" x14ac:dyDescent="0.25">
      <c r="A7778" s="1145">
        <v>45769</v>
      </c>
      <c r="B7778" s="664" t="s">
        <v>2798</v>
      </c>
      <c r="C7778" s="71" t="s">
        <v>167</v>
      </c>
      <c r="D7778" s="71">
        <v>10</v>
      </c>
      <c r="E7778" s="102">
        <v>138000</v>
      </c>
      <c r="F7778" s="102">
        <f t="shared" si="4517"/>
        <v>1518000.0000000002</v>
      </c>
      <c r="G7778" s="102">
        <f t="shared" si="4518"/>
        <v>1380000</v>
      </c>
      <c r="H7778" s="690" t="s">
        <v>172</v>
      </c>
      <c r="I7778" s="71" t="s">
        <v>33</v>
      </c>
      <c r="J7778" s="53">
        <f t="shared" si="4519"/>
        <v>460000</v>
      </c>
      <c r="K7778" s="63">
        <f t="shared" si="4520"/>
        <v>0.33333333333333326</v>
      </c>
      <c r="L7778" s="1212" t="s">
        <v>4347</v>
      </c>
      <c r="M7778" s="468" t="s">
        <v>4114</v>
      </c>
      <c r="N7778" s="1192">
        <f t="shared" si="4521"/>
        <v>45769</v>
      </c>
      <c r="O7778" s="71" t="s">
        <v>146</v>
      </c>
      <c r="P7778" s="103" t="str">
        <f t="shared" si="4522"/>
        <v>Blanket(1060*860)</v>
      </c>
      <c r="Q7778" s="71">
        <f t="shared" si="4523"/>
        <v>10</v>
      </c>
      <c r="R7778" s="102">
        <v>92000</v>
      </c>
      <c r="S7778" s="102">
        <f t="shared" si="4524"/>
        <v>1012000.0000000001</v>
      </c>
      <c r="T7778" s="102">
        <f t="shared" si="4525"/>
        <v>920000</v>
      </c>
      <c r="U7778" s="71" t="str">
        <f t="shared" ref="U7778:U7779" si="4526">IF(J7778=W7778,"O", "X")</f>
        <v>X</v>
      </c>
      <c r="V7778" s="71"/>
      <c r="W7778" s="474"/>
      <c r="X7778" s="71"/>
      <c r="Y7778" s="71"/>
    </row>
    <row r="7779" spans="1:25" ht="30" hidden="1" customHeight="1" x14ac:dyDescent="0.25">
      <c r="A7779" s="1145">
        <v>45776</v>
      </c>
      <c r="B7779" s="664" t="s">
        <v>2798</v>
      </c>
      <c r="C7779" s="71" t="s">
        <v>167</v>
      </c>
      <c r="D7779" s="71">
        <v>10</v>
      </c>
      <c r="E7779" s="102">
        <v>138000</v>
      </c>
      <c r="F7779" s="102">
        <f t="shared" si="4517"/>
        <v>1518000.0000000002</v>
      </c>
      <c r="G7779" s="102">
        <f t="shared" si="4518"/>
        <v>1380000</v>
      </c>
      <c r="H7779" s="690" t="s">
        <v>172</v>
      </c>
      <c r="I7779" s="71" t="s">
        <v>33</v>
      </c>
      <c r="J7779" s="53">
        <f t="shared" si="4519"/>
        <v>460000</v>
      </c>
      <c r="K7779" s="63">
        <f t="shared" si="4520"/>
        <v>0.33333333333333326</v>
      </c>
      <c r="L7779" s="1212" t="s">
        <v>4347</v>
      </c>
      <c r="M7779" s="468" t="s">
        <v>4114</v>
      </c>
      <c r="N7779" s="1192">
        <f t="shared" si="4521"/>
        <v>45776</v>
      </c>
      <c r="O7779" s="71" t="s">
        <v>146</v>
      </c>
      <c r="P7779" s="103" t="str">
        <f t="shared" si="4522"/>
        <v>Blanket(1060*860)</v>
      </c>
      <c r="Q7779" s="71">
        <f t="shared" si="4523"/>
        <v>10</v>
      </c>
      <c r="R7779" s="102">
        <v>92000</v>
      </c>
      <c r="S7779" s="102">
        <f t="shared" si="4524"/>
        <v>1012000.0000000001</v>
      </c>
      <c r="T7779" s="102">
        <f t="shared" si="4525"/>
        <v>920000</v>
      </c>
      <c r="U7779" s="71" t="str">
        <f t="shared" si="4526"/>
        <v>X</v>
      </c>
      <c r="V7779" s="71"/>
      <c r="W7779" s="474"/>
      <c r="X7779" s="71"/>
      <c r="Y7779" s="71"/>
    </row>
    <row r="7780" spans="1:25" ht="30" hidden="1" customHeight="1" x14ac:dyDescent="0.25">
      <c r="A7780" s="1145">
        <v>45777</v>
      </c>
      <c r="B7780" s="664" t="s">
        <v>546</v>
      </c>
      <c r="C7780" s="71" t="s">
        <v>934</v>
      </c>
      <c r="D7780" s="71">
        <v>20</v>
      </c>
      <c r="E7780" s="102">
        <v>4500</v>
      </c>
      <c r="F7780" s="102">
        <f t="shared" si="4517"/>
        <v>99000.000000000015</v>
      </c>
      <c r="G7780" s="102">
        <f t="shared" si="4518"/>
        <v>90000</v>
      </c>
      <c r="H7780" s="690" t="s">
        <v>1431</v>
      </c>
      <c r="I7780" s="71" t="s">
        <v>1431</v>
      </c>
      <c r="J7780" s="53">
        <f t="shared" si="4519"/>
        <v>40000</v>
      </c>
      <c r="K7780" s="63">
        <f t="shared" si="4520"/>
        <v>0.44444444444444436</v>
      </c>
      <c r="L7780" s="1212" t="s">
        <v>4347</v>
      </c>
      <c r="M7780" s="102"/>
      <c r="N7780" s="1192">
        <f t="shared" si="4521"/>
        <v>45777</v>
      </c>
      <c r="O7780" s="71" t="s">
        <v>1431</v>
      </c>
      <c r="P7780" s="103" t="str">
        <f t="shared" si="4522"/>
        <v>양면 테이프</v>
      </c>
      <c r="Q7780" s="71">
        <f t="shared" si="4523"/>
        <v>20</v>
      </c>
      <c r="R7780" s="102">
        <v>2500</v>
      </c>
      <c r="S7780" s="102">
        <f t="shared" ref="S7780:S7783" si="4527">R7780*Q7780*1.1</f>
        <v>55000.000000000007</v>
      </c>
      <c r="T7780" s="102">
        <f t="shared" ref="T7780:T7783" si="4528">R7780*Q7780</f>
        <v>50000</v>
      </c>
      <c r="U7780" s="71"/>
      <c r="V7780" s="71"/>
      <c r="W7780" s="474"/>
      <c r="X7780" s="71"/>
      <c r="Y7780" s="71"/>
    </row>
    <row r="7781" spans="1:25" ht="30" hidden="1" customHeight="1" x14ac:dyDescent="0.25">
      <c r="A7781" s="1145">
        <v>45754</v>
      </c>
      <c r="B7781" s="664" t="s">
        <v>591</v>
      </c>
      <c r="C7781" s="71" t="s">
        <v>4351</v>
      </c>
      <c r="D7781" s="71">
        <v>1</v>
      </c>
      <c r="E7781" s="102">
        <v>405000</v>
      </c>
      <c r="F7781" s="102">
        <f t="shared" si="4517"/>
        <v>445500.00000000006</v>
      </c>
      <c r="G7781" s="102">
        <f t="shared" si="4518"/>
        <v>405000</v>
      </c>
      <c r="H7781" s="690" t="s">
        <v>173</v>
      </c>
      <c r="I7781" s="71" t="s">
        <v>143</v>
      </c>
      <c r="J7781" s="53">
        <f t="shared" si="4519"/>
        <v>125000</v>
      </c>
      <c r="K7781" s="63">
        <f t="shared" si="4520"/>
        <v>0.30864197530864196</v>
      </c>
      <c r="L7781" s="1212" t="s">
        <v>4347</v>
      </c>
      <c r="M7781" s="102"/>
      <c r="N7781" s="1192">
        <f t="shared" si="4521"/>
        <v>45754</v>
      </c>
      <c r="O7781" s="71" t="s">
        <v>612</v>
      </c>
      <c r="P7781" s="103" t="str">
        <f t="shared" si="4522"/>
        <v>닙 롤러</v>
      </c>
      <c r="Q7781" s="71">
        <f t="shared" si="4523"/>
        <v>1</v>
      </c>
      <c r="R7781" s="102">
        <v>280000</v>
      </c>
      <c r="S7781" s="102">
        <f t="shared" si="4527"/>
        <v>308000</v>
      </c>
      <c r="T7781" s="102">
        <f t="shared" si="4528"/>
        <v>280000</v>
      </c>
      <c r="U7781" s="71"/>
      <c r="V7781" s="71"/>
      <c r="W7781" s="474"/>
      <c r="X7781" s="71"/>
      <c r="Y7781" s="71"/>
    </row>
    <row r="7782" spans="1:25" ht="30" hidden="1" customHeight="1" x14ac:dyDescent="0.25">
      <c r="A7782" s="1145">
        <v>45777</v>
      </c>
      <c r="B7782" s="664" t="s">
        <v>575</v>
      </c>
      <c r="C7782" s="71" t="s">
        <v>4352</v>
      </c>
      <c r="D7782" s="71">
        <v>1</v>
      </c>
      <c r="E7782" s="102">
        <v>3500000</v>
      </c>
      <c r="F7782" s="102">
        <f t="shared" si="4517"/>
        <v>3850000.0000000005</v>
      </c>
      <c r="G7782" s="102">
        <f t="shared" si="4518"/>
        <v>3500000</v>
      </c>
      <c r="H7782" s="690" t="s">
        <v>1431</v>
      </c>
      <c r="I7782" s="71" t="s">
        <v>1431</v>
      </c>
      <c r="J7782" s="53">
        <f t="shared" si="4519"/>
        <v>1644592</v>
      </c>
      <c r="K7782" s="63">
        <f t="shared" si="4520"/>
        <v>0.46988342857142851</v>
      </c>
      <c r="L7782" s="1212" t="s">
        <v>4347</v>
      </c>
      <c r="M7782" s="468"/>
      <c r="N7782" s="1192">
        <f t="shared" si="4521"/>
        <v>45777</v>
      </c>
      <c r="O7782" s="71" t="s">
        <v>1431</v>
      </c>
      <c r="P7782" s="103" t="str">
        <f t="shared" si="4522"/>
        <v>16채널 드라이브보드</v>
      </c>
      <c r="Q7782" s="71">
        <f t="shared" si="4523"/>
        <v>1</v>
      </c>
      <c r="R7782" s="147">
        <v>1855408</v>
      </c>
      <c r="S7782" s="102">
        <f t="shared" si="4527"/>
        <v>2040948.8000000003</v>
      </c>
      <c r="T7782" s="102">
        <f t="shared" si="4528"/>
        <v>1855408</v>
      </c>
      <c r="U7782" s="71"/>
      <c r="V7782" s="71"/>
      <c r="W7782" s="474"/>
      <c r="X7782" s="71"/>
      <c r="Y7782" s="71"/>
    </row>
    <row r="7783" spans="1:25" ht="30" hidden="1" customHeight="1" x14ac:dyDescent="0.25">
      <c r="A7783" s="1145">
        <v>45777</v>
      </c>
      <c r="B7783" s="664" t="s">
        <v>575</v>
      </c>
      <c r="C7783" s="1225" t="s">
        <v>4091</v>
      </c>
      <c r="D7783" s="71">
        <v>1</v>
      </c>
      <c r="E7783" s="102">
        <v>2625000</v>
      </c>
      <c r="F7783" s="102">
        <f t="shared" si="4517"/>
        <v>2887500.0000000005</v>
      </c>
      <c r="G7783" s="102">
        <f t="shared" si="4518"/>
        <v>2625000</v>
      </c>
      <c r="H7783" s="690" t="s">
        <v>281</v>
      </c>
      <c r="I7783" s="71" t="s">
        <v>281</v>
      </c>
      <c r="J7783" s="53"/>
      <c r="K7783" s="63"/>
      <c r="L7783" s="1212" t="s">
        <v>4347</v>
      </c>
      <c r="M7783" s="102"/>
      <c r="N7783" s="1192">
        <f t="shared" si="4521"/>
        <v>45777</v>
      </c>
      <c r="O7783" s="71"/>
      <c r="P7783" s="103" t="str">
        <f t="shared" si="4522"/>
        <v>M-600 서비스계약 1회차분</v>
      </c>
      <c r="Q7783" s="71">
        <f t="shared" si="4523"/>
        <v>1</v>
      </c>
      <c r="R7783" s="102"/>
      <c r="S7783" s="102">
        <f t="shared" si="4527"/>
        <v>0</v>
      </c>
      <c r="T7783" s="102">
        <f t="shared" si="4528"/>
        <v>0</v>
      </c>
      <c r="U7783" s="71"/>
      <c r="V7783" s="71"/>
      <c r="W7783" s="474"/>
      <c r="X7783" s="71"/>
      <c r="Y7783" s="71"/>
    </row>
    <row r="7784" spans="1:25" ht="30" hidden="1" customHeight="1" x14ac:dyDescent="0.25">
      <c r="A7784" s="1210" t="s">
        <v>4356</v>
      </c>
      <c r="B7784" s="1211" t="s">
        <v>544</v>
      </c>
      <c r="C7784" s="960"/>
      <c r="D7784" s="960"/>
      <c r="E7784" s="952"/>
      <c r="F7784" s="952"/>
      <c r="G7784" s="952"/>
      <c r="H7784" s="1206"/>
      <c r="I7784" s="960"/>
      <c r="J7784" s="952"/>
      <c r="K7784" s="953"/>
      <c r="L7784" s="1212" t="s">
        <v>4358</v>
      </c>
      <c r="M7784" s="1207"/>
      <c r="N7784" s="1208" t="str">
        <f t="shared" si="4521"/>
        <v>2025,5</v>
      </c>
      <c r="O7784" s="960"/>
      <c r="P7784" s="1209"/>
      <c r="Q7784" s="960"/>
      <c r="R7784" s="952"/>
      <c r="S7784" s="952"/>
      <c r="T7784" s="952"/>
      <c r="U7784" s="960"/>
      <c r="V7784" s="960"/>
      <c r="W7784" s="474">
        <f>(G7784-T7784)</f>
        <v>0</v>
      </c>
      <c r="X7784" s="71"/>
      <c r="Y7784" s="71"/>
    </row>
    <row r="7785" spans="1:25" ht="30" hidden="1" customHeight="1" x14ac:dyDescent="0.25">
      <c r="A7785" s="1145">
        <v>45802</v>
      </c>
      <c r="B7785" s="664" t="s">
        <v>1060</v>
      </c>
      <c r="C7785" s="71" t="s">
        <v>3908</v>
      </c>
      <c r="D7785" s="71">
        <v>900</v>
      </c>
      <c r="E7785" s="102">
        <v>6000</v>
      </c>
      <c r="F7785" s="102">
        <f t="shared" ref="F7785:F7811" si="4529">(E7785*D7785)*1.1</f>
        <v>5940000.0000000009</v>
      </c>
      <c r="G7785" s="102">
        <f t="shared" ref="G7785:G7811" si="4530">(E7785*D7785)</f>
        <v>5400000</v>
      </c>
      <c r="H7785" s="690" t="s">
        <v>142</v>
      </c>
      <c r="I7785" s="71" t="s">
        <v>179</v>
      </c>
      <c r="J7785" s="53">
        <f t="shared" ref="J7785:J7848" si="4531">G7785-T7785</f>
        <v>1877400</v>
      </c>
      <c r="K7785" s="63">
        <f t="shared" ref="K7785:K7848" si="4532">(J7785/(F7785/11*10))</f>
        <v>0.34766666666666662</v>
      </c>
      <c r="L7785" s="1212" t="s">
        <v>4358</v>
      </c>
      <c r="M7785" s="102" t="s">
        <v>3964</v>
      </c>
      <c r="N7785" s="1192">
        <v>45682</v>
      </c>
      <c r="O7785" s="71" t="s">
        <v>662</v>
      </c>
      <c r="P7785" s="103" t="s">
        <v>3908</v>
      </c>
      <c r="Q7785" s="71">
        <f t="shared" ref="Q7785:Q7848" si="4533">D7785</f>
        <v>900</v>
      </c>
      <c r="R7785" s="102">
        <v>3914</v>
      </c>
      <c r="S7785" s="102">
        <f t="shared" ref="S7785" si="4534">R7785*Q7785*1.1</f>
        <v>3874860.0000000005</v>
      </c>
      <c r="T7785" s="102">
        <f t="shared" ref="T7785" si="4535">R7785*Q7785</f>
        <v>3522600</v>
      </c>
      <c r="U7785" s="71" t="s">
        <v>859</v>
      </c>
      <c r="V7785" s="71"/>
      <c r="W7785" s="474">
        <v>942000</v>
      </c>
      <c r="X7785" s="71"/>
      <c r="Y7785" s="71"/>
    </row>
    <row r="7786" spans="1:25" ht="30" hidden="1" customHeight="1" x14ac:dyDescent="0.25">
      <c r="A7786" s="1145">
        <v>45802</v>
      </c>
      <c r="B7786" s="664" t="s">
        <v>1060</v>
      </c>
      <c r="C7786" s="71" t="s">
        <v>3909</v>
      </c>
      <c r="D7786" s="71">
        <v>2800</v>
      </c>
      <c r="E7786" s="102">
        <v>3790</v>
      </c>
      <c r="F7786" s="102">
        <f t="shared" si="4529"/>
        <v>11673200.000000002</v>
      </c>
      <c r="G7786" s="102">
        <f t="shared" si="4530"/>
        <v>10612000</v>
      </c>
      <c r="H7786" s="690" t="s">
        <v>36</v>
      </c>
      <c r="I7786" s="71" t="s">
        <v>2529</v>
      </c>
      <c r="J7786" s="53">
        <f t="shared" si="4531"/>
        <v>3690400</v>
      </c>
      <c r="K7786" s="63">
        <f t="shared" si="4532"/>
        <v>0.34775725593667539</v>
      </c>
      <c r="L7786" s="1212" t="s">
        <v>4357</v>
      </c>
      <c r="M7786" s="102" t="s">
        <v>3964</v>
      </c>
      <c r="N7786" s="1192">
        <v>45651</v>
      </c>
      <c r="O7786" s="71" t="s">
        <v>662</v>
      </c>
      <c r="P7786" s="103" t="s">
        <v>3909</v>
      </c>
      <c r="Q7786" s="71">
        <f t="shared" si="4533"/>
        <v>2800</v>
      </c>
      <c r="R7786" s="102">
        <v>2472</v>
      </c>
      <c r="S7786" s="102">
        <f t="shared" ref="S7786:S7849" si="4536">R7786*Q7786*1.1</f>
        <v>7613760.0000000009</v>
      </c>
      <c r="T7786" s="102">
        <f t="shared" ref="T7786:T7849" si="4537">R7786*Q7786</f>
        <v>6921600</v>
      </c>
      <c r="U7786" s="71" t="s">
        <v>859</v>
      </c>
      <c r="V7786" s="71"/>
      <c r="W7786" s="474">
        <v>1274000</v>
      </c>
      <c r="X7786" s="71"/>
      <c r="Y7786" s="71"/>
    </row>
    <row r="7787" spans="1:25" ht="30" hidden="1" customHeight="1" x14ac:dyDescent="0.25">
      <c r="A7787" s="1145">
        <v>45802</v>
      </c>
      <c r="B7787" s="664" t="s">
        <v>1060</v>
      </c>
      <c r="C7787" s="71" t="s">
        <v>3910</v>
      </c>
      <c r="D7787" s="71">
        <v>700</v>
      </c>
      <c r="E7787" s="102">
        <v>3580</v>
      </c>
      <c r="F7787" s="102">
        <f t="shared" si="4529"/>
        <v>2756600</v>
      </c>
      <c r="G7787" s="102">
        <f t="shared" si="4530"/>
        <v>2506000</v>
      </c>
      <c r="H7787" s="690" t="s">
        <v>36</v>
      </c>
      <c r="I7787" s="71" t="s">
        <v>2529</v>
      </c>
      <c r="J7787" s="53">
        <f t="shared" si="4531"/>
        <v>862400</v>
      </c>
      <c r="K7787" s="63">
        <f t="shared" si="4532"/>
        <v>0.34413407821229053</v>
      </c>
      <c r="L7787" s="1212" t="s">
        <v>4357</v>
      </c>
      <c r="M7787" s="102" t="s">
        <v>3964</v>
      </c>
      <c r="N7787" s="1192">
        <v>45651</v>
      </c>
      <c r="O7787" s="71" t="s">
        <v>662</v>
      </c>
      <c r="P7787" s="103" t="s">
        <v>3910</v>
      </c>
      <c r="Q7787" s="71">
        <f t="shared" si="4533"/>
        <v>700</v>
      </c>
      <c r="R7787" s="102">
        <v>2348</v>
      </c>
      <c r="S7787" s="102">
        <f t="shared" si="4536"/>
        <v>1807960.0000000002</v>
      </c>
      <c r="T7787" s="102">
        <f t="shared" si="4537"/>
        <v>1643600</v>
      </c>
      <c r="U7787" s="71" t="s">
        <v>859</v>
      </c>
      <c r="V7787" s="71"/>
      <c r="W7787" s="474">
        <v>3325000</v>
      </c>
      <c r="X7787" s="71"/>
      <c r="Y7787" s="71"/>
    </row>
    <row r="7788" spans="1:25" ht="30" hidden="1" customHeight="1" x14ac:dyDescent="0.25">
      <c r="A7788" s="1145">
        <v>45802</v>
      </c>
      <c r="B7788" s="664" t="s">
        <v>1060</v>
      </c>
      <c r="C7788" s="71" t="s">
        <v>3911</v>
      </c>
      <c r="D7788" s="71">
        <v>500</v>
      </c>
      <c r="E7788" s="102">
        <v>6090</v>
      </c>
      <c r="F7788" s="102">
        <f t="shared" si="4529"/>
        <v>3349500.0000000005</v>
      </c>
      <c r="G7788" s="102">
        <f t="shared" si="4530"/>
        <v>3045000</v>
      </c>
      <c r="H7788" s="690" t="s">
        <v>36</v>
      </c>
      <c r="I7788" s="71" t="s">
        <v>2529</v>
      </c>
      <c r="J7788" s="53">
        <f t="shared" si="4531"/>
        <v>1062000</v>
      </c>
      <c r="K7788" s="63">
        <f t="shared" si="4532"/>
        <v>0.34876847290640389</v>
      </c>
      <c r="L7788" s="1212" t="s">
        <v>4357</v>
      </c>
      <c r="M7788" s="102" t="s">
        <v>3964</v>
      </c>
      <c r="N7788" s="1192">
        <v>45651</v>
      </c>
      <c r="O7788" s="71" t="s">
        <v>662</v>
      </c>
      <c r="P7788" s="103" t="s">
        <v>3911</v>
      </c>
      <c r="Q7788" s="71">
        <f t="shared" si="4533"/>
        <v>500</v>
      </c>
      <c r="R7788" s="102">
        <v>3966</v>
      </c>
      <c r="S7788" s="102">
        <f t="shared" si="4536"/>
        <v>2181300</v>
      </c>
      <c r="T7788" s="102">
        <f t="shared" si="4537"/>
        <v>1983000</v>
      </c>
      <c r="U7788" s="71" t="s">
        <v>859</v>
      </c>
      <c r="V7788" s="71"/>
      <c r="W7788" s="474">
        <v>636000</v>
      </c>
      <c r="X7788" s="71"/>
      <c r="Y7788" s="71"/>
    </row>
    <row r="7789" spans="1:25" ht="30" hidden="1" customHeight="1" x14ac:dyDescent="0.25">
      <c r="A7789" s="1145">
        <v>45802</v>
      </c>
      <c r="B7789" s="664" t="s">
        <v>1060</v>
      </c>
      <c r="C7789" s="71" t="s">
        <v>3912</v>
      </c>
      <c r="D7789" s="71">
        <v>400</v>
      </c>
      <c r="E7789" s="102">
        <v>6310</v>
      </c>
      <c r="F7789" s="102">
        <f t="shared" si="4529"/>
        <v>2776400</v>
      </c>
      <c r="G7789" s="102">
        <f t="shared" si="4530"/>
        <v>2524000</v>
      </c>
      <c r="H7789" s="690" t="s">
        <v>36</v>
      </c>
      <c r="I7789" s="71" t="s">
        <v>2529</v>
      </c>
      <c r="J7789" s="53">
        <f t="shared" si="4531"/>
        <v>876000</v>
      </c>
      <c r="K7789" s="63">
        <f t="shared" si="4532"/>
        <v>0.34706814580031697</v>
      </c>
      <c r="L7789" s="1212" t="s">
        <v>4357</v>
      </c>
      <c r="M7789" s="102" t="s">
        <v>3964</v>
      </c>
      <c r="N7789" s="1192">
        <v>45651</v>
      </c>
      <c r="O7789" s="71" t="s">
        <v>662</v>
      </c>
      <c r="P7789" s="103" t="s">
        <v>3912</v>
      </c>
      <c r="Q7789" s="71">
        <f t="shared" si="4533"/>
        <v>400</v>
      </c>
      <c r="R7789" s="102">
        <v>4120</v>
      </c>
      <c r="S7789" s="102">
        <f t="shared" si="4536"/>
        <v>1812800.0000000002</v>
      </c>
      <c r="T7789" s="102">
        <f t="shared" si="4537"/>
        <v>1648000</v>
      </c>
      <c r="U7789" s="71" t="s">
        <v>859</v>
      </c>
      <c r="V7789" s="71"/>
      <c r="W7789" s="474">
        <v>1476000</v>
      </c>
      <c r="X7789" s="71"/>
      <c r="Y7789" s="71"/>
    </row>
    <row r="7790" spans="1:25" ht="30" hidden="1" customHeight="1" x14ac:dyDescent="0.25">
      <c r="A7790" s="1145">
        <v>45802</v>
      </c>
      <c r="B7790" s="664" t="s">
        <v>1060</v>
      </c>
      <c r="C7790" s="71" t="s">
        <v>3913</v>
      </c>
      <c r="D7790" s="71">
        <v>800</v>
      </c>
      <c r="E7790" s="102">
        <v>4500</v>
      </c>
      <c r="F7790" s="102">
        <f t="shared" si="4529"/>
        <v>3960000.0000000005</v>
      </c>
      <c r="G7790" s="102">
        <f t="shared" si="4530"/>
        <v>3600000</v>
      </c>
      <c r="H7790" s="690" t="s">
        <v>36</v>
      </c>
      <c r="I7790" s="71" t="s">
        <v>2529</v>
      </c>
      <c r="J7790" s="53">
        <f t="shared" si="4531"/>
        <v>1251200</v>
      </c>
      <c r="K7790" s="63">
        <f t="shared" si="4532"/>
        <v>0.34755555555555551</v>
      </c>
      <c r="L7790" s="1212" t="s">
        <v>4357</v>
      </c>
      <c r="M7790" s="102" t="s">
        <v>3964</v>
      </c>
      <c r="N7790" s="1192">
        <v>45651</v>
      </c>
      <c r="O7790" s="71" t="s">
        <v>662</v>
      </c>
      <c r="P7790" s="103" t="s">
        <v>3913</v>
      </c>
      <c r="Q7790" s="71">
        <f t="shared" si="4533"/>
        <v>800</v>
      </c>
      <c r="R7790" s="102">
        <v>2936</v>
      </c>
      <c r="S7790" s="102">
        <f t="shared" si="4536"/>
        <v>2583680</v>
      </c>
      <c r="T7790" s="102">
        <f t="shared" si="4537"/>
        <v>2348800</v>
      </c>
      <c r="U7790" s="71" t="s">
        <v>859</v>
      </c>
      <c r="V7790" s="71"/>
      <c r="W7790" s="474">
        <v>1416000</v>
      </c>
      <c r="X7790" s="71"/>
      <c r="Y7790" s="71"/>
    </row>
    <row r="7791" spans="1:25" ht="30" hidden="1" customHeight="1" x14ac:dyDescent="0.25">
      <c r="A7791" s="1145">
        <v>45802</v>
      </c>
      <c r="B7791" s="664" t="s">
        <v>1060</v>
      </c>
      <c r="C7791" s="71" t="s">
        <v>3914</v>
      </c>
      <c r="D7791" s="71">
        <v>25</v>
      </c>
      <c r="E7791" s="102">
        <v>54560</v>
      </c>
      <c r="F7791" s="102">
        <f t="shared" si="4529"/>
        <v>1500400.0000000002</v>
      </c>
      <c r="G7791" s="102">
        <f t="shared" si="4530"/>
        <v>1364000</v>
      </c>
      <c r="H7791" s="690" t="s">
        <v>36</v>
      </c>
      <c r="I7791" s="71" t="s">
        <v>2529</v>
      </c>
      <c r="J7791" s="53">
        <f t="shared" si="4531"/>
        <v>334000</v>
      </c>
      <c r="K7791" s="63">
        <f t="shared" si="4532"/>
        <v>0.24486803519061578</v>
      </c>
      <c r="L7791" s="1212" t="s">
        <v>4357</v>
      </c>
      <c r="M7791" s="468"/>
      <c r="N7791" s="1192">
        <v>45651</v>
      </c>
      <c r="O7791" s="71" t="s">
        <v>662</v>
      </c>
      <c r="P7791" s="103" t="s">
        <v>3914</v>
      </c>
      <c r="Q7791" s="71">
        <f t="shared" si="4533"/>
        <v>25</v>
      </c>
      <c r="R7791" s="102">
        <v>41200</v>
      </c>
      <c r="S7791" s="102">
        <f t="shared" si="4536"/>
        <v>1133000</v>
      </c>
      <c r="T7791" s="102">
        <f t="shared" si="4537"/>
        <v>1030000</v>
      </c>
      <c r="U7791" s="71" t="s">
        <v>859</v>
      </c>
      <c r="V7791" s="71"/>
      <c r="W7791" s="474">
        <v>978750</v>
      </c>
      <c r="X7791" s="71"/>
      <c r="Y7791" s="71"/>
    </row>
    <row r="7792" spans="1:25" ht="30" hidden="1" customHeight="1" x14ac:dyDescent="0.25">
      <c r="A7792" s="1145">
        <v>45802</v>
      </c>
      <c r="B7792" s="664" t="s">
        <v>1061</v>
      </c>
      <c r="C7792" s="71" t="s">
        <v>3319</v>
      </c>
      <c r="D7792" s="71">
        <v>200</v>
      </c>
      <c r="E7792" s="102">
        <v>6328</v>
      </c>
      <c r="F7792" s="102">
        <f t="shared" si="4529"/>
        <v>1392160</v>
      </c>
      <c r="G7792" s="102">
        <f t="shared" si="4530"/>
        <v>1265600</v>
      </c>
      <c r="H7792" s="690" t="s">
        <v>36</v>
      </c>
      <c r="I7792" s="71" t="s">
        <v>3320</v>
      </c>
      <c r="J7792" s="53">
        <f t="shared" si="4531"/>
        <v>95600</v>
      </c>
      <c r="K7792" s="63">
        <f t="shared" si="4532"/>
        <v>7.5537294563843241E-2</v>
      </c>
      <c r="L7792" s="1212" t="s">
        <v>4357</v>
      </c>
      <c r="M7792" s="468"/>
      <c r="N7792" s="1192">
        <v>45651</v>
      </c>
      <c r="O7792" s="71" t="s">
        <v>146</v>
      </c>
      <c r="P7792" s="103" t="s">
        <v>3319</v>
      </c>
      <c r="Q7792" s="71">
        <f t="shared" si="4533"/>
        <v>200</v>
      </c>
      <c r="R7792" s="102">
        <v>5850</v>
      </c>
      <c r="S7792" s="102">
        <f t="shared" si="4536"/>
        <v>1287000</v>
      </c>
      <c r="T7792" s="102">
        <f t="shared" si="4537"/>
        <v>1170000</v>
      </c>
      <c r="U7792" s="71" t="s">
        <v>859</v>
      </c>
      <c r="V7792" s="71"/>
      <c r="W7792" s="474">
        <v>411200</v>
      </c>
      <c r="X7792" s="71"/>
      <c r="Y7792" s="71"/>
    </row>
    <row r="7793" spans="1:25" ht="30" hidden="1" customHeight="1" x14ac:dyDescent="0.25">
      <c r="A7793" s="1145">
        <v>45802</v>
      </c>
      <c r="B7793" s="664" t="s">
        <v>1061</v>
      </c>
      <c r="C7793" s="71" t="s">
        <v>3321</v>
      </c>
      <c r="D7793" s="71">
        <v>400</v>
      </c>
      <c r="E7793" s="102">
        <v>6780</v>
      </c>
      <c r="F7793" s="102">
        <f t="shared" si="4529"/>
        <v>2983200.0000000005</v>
      </c>
      <c r="G7793" s="102">
        <f t="shared" si="4530"/>
        <v>2712000</v>
      </c>
      <c r="H7793" s="690" t="s">
        <v>36</v>
      </c>
      <c r="I7793" s="71" t="s">
        <v>3320</v>
      </c>
      <c r="J7793" s="53">
        <f t="shared" si="4531"/>
        <v>200000</v>
      </c>
      <c r="K7793" s="63">
        <f t="shared" si="4532"/>
        <v>7.3746312684365767E-2</v>
      </c>
      <c r="L7793" s="1212" t="s">
        <v>4357</v>
      </c>
      <c r="M7793" s="468"/>
      <c r="N7793" s="1192">
        <v>45651</v>
      </c>
      <c r="O7793" s="71" t="s">
        <v>146</v>
      </c>
      <c r="P7793" s="103" t="s">
        <v>3321</v>
      </c>
      <c r="Q7793" s="71">
        <f t="shared" si="4533"/>
        <v>400</v>
      </c>
      <c r="R7793" s="102">
        <v>6280</v>
      </c>
      <c r="S7793" s="102">
        <f t="shared" si="4536"/>
        <v>2763200</v>
      </c>
      <c r="T7793" s="102">
        <f t="shared" si="4537"/>
        <v>2512000</v>
      </c>
      <c r="U7793" s="71" t="s">
        <v>859</v>
      </c>
      <c r="V7793" s="71"/>
      <c r="W7793" s="474">
        <v>292000</v>
      </c>
      <c r="X7793" s="71"/>
      <c r="Y7793" s="71"/>
    </row>
    <row r="7794" spans="1:25" ht="30" hidden="1" customHeight="1" x14ac:dyDescent="0.25">
      <c r="A7794" s="1145">
        <v>45802</v>
      </c>
      <c r="B7794" s="664" t="s">
        <v>1061</v>
      </c>
      <c r="C7794" s="71" t="s">
        <v>1289</v>
      </c>
      <c r="D7794" s="71">
        <v>600</v>
      </c>
      <c r="E7794" s="102">
        <v>6498</v>
      </c>
      <c r="F7794" s="102">
        <f t="shared" si="4529"/>
        <v>4288680</v>
      </c>
      <c r="G7794" s="102">
        <f t="shared" si="4530"/>
        <v>3898800</v>
      </c>
      <c r="H7794" s="690" t="s">
        <v>36</v>
      </c>
      <c r="I7794" s="71" t="s">
        <v>3320</v>
      </c>
      <c r="J7794" s="53">
        <f t="shared" si="4531"/>
        <v>286800</v>
      </c>
      <c r="K7794" s="63">
        <f t="shared" si="4532"/>
        <v>7.3561095721760547E-2</v>
      </c>
      <c r="L7794" s="1212" t="s">
        <v>4357</v>
      </c>
      <c r="M7794" s="468"/>
      <c r="N7794" s="1192">
        <v>45651</v>
      </c>
      <c r="O7794" s="71" t="s">
        <v>146</v>
      </c>
      <c r="P7794" s="103" t="s">
        <v>1289</v>
      </c>
      <c r="Q7794" s="71">
        <f t="shared" si="4533"/>
        <v>600</v>
      </c>
      <c r="R7794" s="102">
        <v>6020</v>
      </c>
      <c r="S7794" s="102">
        <f t="shared" si="4536"/>
        <v>3973200.0000000005</v>
      </c>
      <c r="T7794" s="102">
        <f t="shared" si="4537"/>
        <v>3612000</v>
      </c>
      <c r="U7794" s="71" t="s">
        <v>859</v>
      </c>
      <c r="V7794" s="71"/>
      <c r="W7794" s="474">
        <v>640800</v>
      </c>
      <c r="X7794" s="71"/>
      <c r="Y7794" s="71"/>
    </row>
    <row r="7795" spans="1:25" ht="30" hidden="1" customHeight="1" x14ac:dyDescent="0.25">
      <c r="A7795" s="1145">
        <v>45802</v>
      </c>
      <c r="B7795" s="664" t="s">
        <v>1061</v>
      </c>
      <c r="C7795" s="71" t="s">
        <v>1290</v>
      </c>
      <c r="D7795" s="71">
        <v>600</v>
      </c>
      <c r="E7795" s="102">
        <v>7910</v>
      </c>
      <c r="F7795" s="102">
        <f t="shared" si="4529"/>
        <v>5220600</v>
      </c>
      <c r="G7795" s="102">
        <f t="shared" si="4530"/>
        <v>4746000</v>
      </c>
      <c r="H7795" s="690" t="s">
        <v>36</v>
      </c>
      <c r="I7795" s="71" t="s">
        <v>3320</v>
      </c>
      <c r="J7795" s="53">
        <f t="shared" si="4531"/>
        <v>360000</v>
      </c>
      <c r="K7795" s="63">
        <f t="shared" si="4532"/>
        <v>7.5853350189633378E-2</v>
      </c>
      <c r="L7795" s="1212" t="s">
        <v>4357</v>
      </c>
      <c r="M7795" s="468"/>
      <c r="N7795" s="1192">
        <v>45651</v>
      </c>
      <c r="O7795" s="71" t="s">
        <v>146</v>
      </c>
      <c r="P7795" s="103" t="s">
        <v>1290</v>
      </c>
      <c r="Q7795" s="71">
        <f t="shared" si="4533"/>
        <v>600</v>
      </c>
      <c r="R7795" s="102">
        <v>7310</v>
      </c>
      <c r="S7795" s="102">
        <f t="shared" si="4536"/>
        <v>4824600</v>
      </c>
      <c r="T7795" s="102">
        <f t="shared" si="4537"/>
        <v>4386000</v>
      </c>
      <c r="U7795" s="71" t="s">
        <v>859</v>
      </c>
      <c r="V7795" s="71"/>
      <c r="W7795" s="474">
        <v>846000</v>
      </c>
      <c r="X7795" s="71"/>
      <c r="Y7795" s="71"/>
    </row>
    <row r="7796" spans="1:25" ht="30" hidden="1" customHeight="1" x14ac:dyDescent="0.25">
      <c r="A7796" s="1145">
        <v>45802</v>
      </c>
      <c r="B7796" s="664" t="s">
        <v>1061</v>
      </c>
      <c r="C7796" s="71" t="s">
        <v>3322</v>
      </c>
      <c r="D7796" s="71"/>
      <c r="E7796" s="102">
        <v>7150</v>
      </c>
      <c r="F7796" s="102">
        <f t="shared" si="4529"/>
        <v>0</v>
      </c>
      <c r="G7796" s="102">
        <f t="shared" si="4530"/>
        <v>0</v>
      </c>
      <c r="H7796" s="690" t="s">
        <v>36</v>
      </c>
      <c r="I7796" s="71" t="s">
        <v>3320</v>
      </c>
      <c r="J7796" s="53">
        <f t="shared" si="4531"/>
        <v>0</v>
      </c>
      <c r="K7796" s="63" t="e">
        <f t="shared" si="4532"/>
        <v>#DIV/0!</v>
      </c>
      <c r="L7796" s="1212" t="s">
        <v>4357</v>
      </c>
      <c r="M7796" s="468"/>
      <c r="N7796" s="1192">
        <f t="shared" ref="N7796:N7801" si="4538">A7796</f>
        <v>45802</v>
      </c>
      <c r="O7796" s="71" t="s">
        <v>3323</v>
      </c>
      <c r="P7796" s="103" t="str">
        <f t="shared" ref="P7796:P7801" si="4539">(C7796)</f>
        <v>한특 잉크(적)</v>
      </c>
      <c r="Q7796" s="71">
        <f t="shared" si="4533"/>
        <v>0</v>
      </c>
      <c r="R7796" s="102">
        <v>6500</v>
      </c>
      <c r="S7796" s="102">
        <f t="shared" si="4536"/>
        <v>0</v>
      </c>
      <c r="T7796" s="102">
        <f t="shared" si="4537"/>
        <v>0</v>
      </c>
      <c r="U7796" s="71" t="s">
        <v>859</v>
      </c>
      <c r="V7796" s="71"/>
      <c r="W7796" s="474">
        <v>0</v>
      </c>
      <c r="X7796" s="71"/>
      <c r="Y7796" s="71"/>
    </row>
    <row r="7797" spans="1:25" ht="30" hidden="1" customHeight="1" x14ac:dyDescent="0.25">
      <c r="A7797" s="1145">
        <v>45802</v>
      </c>
      <c r="B7797" s="664" t="s">
        <v>1061</v>
      </c>
      <c r="C7797" s="71" t="s">
        <v>3324</v>
      </c>
      <c r="D7797" s="71"/>
      <c r="E7797" s="102">
        <v>6900</v>
      </c>
      <c r="F7797" s="102">
        <f t="shared" si="4529"/>
        <v>0</v>
      </c>
      <c r="G7797" s="102">
        <f t="shared" si="4530"/>
        <v>0</v>
      </c>
      <c r="H7797" s="690" t="s">
        <v>36</v>
      </c>
      <c r="I7797" s="71" t="s">
        <v>3320</v>
      </c>
      <c r="J7797" s="53">
        <f t="shared" si="4531"/>
        <v>0</v>
      </c>
      <c r="K7797" s="63" t="e">
        <f t="shared" si="4532"/>
        <v>#DIV/0!</v>
      </c>
      <c r="L7797" s="1212" t="s">
        <v>4357</v>
      </c>
      <c r="M7797" s="468"/>
      <c r="N7797" s="1192">
        <f t="shared" si="4538"/>
        <v>45802</v>
      </c>
      <c r="O7797" s="71" t="s">
        <v>3323</v>
      </c>
      <c r="P7797" s="103" t="str">
        <f t="shared" si="4539"/>
        <v>한특 잉크(황)</v>
      </c>
      <c r="Q7797" s="71">
        <f t="shared" si="4533"/>
        <v>0</v>
      </c>
      <c r="R7797" s="102">
        <v>6200</v>
      </c>
      <c r="S7797" s="102">
        <f t="shared" si="4536"/>
        <v>0</v>
      </c>
      <c r="T7797" s="102">
        <f t="shared" si="4537"/>
        <v>0</v>
      </c>
      <c r="U7797" s="71" t="s">
        <v>859</v>
      </c>
      <c r="V7797" s="71"/>
      <c r="W7797" s="474">
        <v>0</v>
      </c>
      <c r="X7797" s="71"/>
      <c r="Y7797" s="71"/>
    </row>
    <row r="7798" spans="1:25" ht="28.5" hidden="1" customHeight="1" x14ac:dyDescent="0.25">
      <c r="A7798" s="1145">
        <v>45802</v>
      </c>
      <c r="B7798" s="664" t="s">
        <v>1061</v>
      </c>
      <c r="C7798" s="71" t="s">
        <v>3325</v>
      </c>
      <c r="D7798" s="71"/>
      <c r="E7798" s="102">
        <v>7500</v>
      </c>
      <c r="F7798" s="102">
        <f t="shared" si="4529"/>
        <v>0</v>
      </c>
      <c r="G7798" s="102">
        <f t="shared" si="4530"/>
        <v>0</v>
      </c>
      <c r="H7798" s="690" t="s">
        <v>36</v>
      </c>
      <c r="I7798" s="71" t="s">
        <v>3320</v>
      </c>
      <c r="J7798" s="53">
        <f t="shared" si="4531"/>
        <v>0</v>
      </c>
      <c r="K7798" s="63" t="e">
        <f t="shared" si="4532"/>
        <v>#DIV/0!</v>
      </c>
      <c r="L7798" s="1212" t="s">
        <v>4357</v>
      </c>
      <c r="M7798" s="468"/>
      <c r="N7798" s="1192">
        <f t="shared" si="4538"/>
        <v>45802</v>
      </c>
      <c r="O7798" s="71" t="s">
        <v>3323</v>
      </c>
      <c r="P7798" s="103" t="str">
        <f t="shared" si="4539"/>
        <v>한특 잉크(청)</v>
      </c>
      <c r="Q7798" s="71">
        <f t="shared" si="4533"/>
        <v>0</v>
      </c>
      <c r="R7798" s="102">
        <v>6600</v>
      </c>
      <c r="S7798" s="102">
        <f t="shared" si="4536"/>
        <v>0</v>
      </c>
      <c r="T7798" s="102">
        <f t="shared" si="4537"/>
        <v>0</v>
      </c>
      <c r="U7798" s="71" t="s">
        <v>859</v>
      </c>
      <c r="V7798" s="71"/>
      <c r="W7798" s="474">
        <v>0</v>
      </c>
      <c r="X7798" s="71"/>
      <c r="Y7798" s="71"/>
    </row>
    <row r="7799" spans="1:25" ht="30" hidden="1" customHeight="1" x14ac:dyDescent="0.25">
      <c r="A7799" s="1145">
        <v>45802</v>
      </c>
      <c r="B7799" s="664" t="s">
        <v>1061</v>
      </c>
      <c r="C7799" s="71" t="s">
        <v>3326</v>
      </c>
      <c r="D7799" s="71"/>
      <c r="E7799" s="102">
        <v>6450</v>
      </c>
      <c r="F7799" s="102">
        <f t="shared" si="4529"/>
        <v>0</v>
      </c>
      <c r="G7799" s="102">
        <f t="shared" si="4530"/>
        <v>0</v>
      </c>
      <c r="H7799" s="690" t="s">
        <v>36</v>
      </c>
      <c r="I7799" s="71" t="s">
        <v>3320</v>
      </c>
      <c r="J7799" s="53">
        <f t="shared" si="4531"/>
        <v>0</v>
      </c>
      <c r="K7799" s="63" t="e">
        <f t="shared" si="4532"/>
        <v>#DIV/0!</v>
      </c>
      <c r="L7799" s="1212" t="s">
        <v>4357</v>
      </c>
      <c r="M7799" s="468"/>
      <c r="N7799" s="1192">
        <f t="shared" si="4538"/>
        <v>45802</v>
      </c>
      <c r="O7799" s="71" t="s">
        <v>3323</v>
      </c>
      <c r="P7799" s="103" t="str">
        <f t="shared" si="4539"/>
        <v>한특 잉크(먹)</v>
      </c>
      <c r="Q7799" s="71">
        <f t="shared" si="4533"/>
        <v>0</v>
      </c>
      <c r="R7799" s="102">
        <v>5700</v>
      </c>
      <c r="S7799" s="102">
        <f t="shared" si="4536"/>
        <v>0</v>
      </c>
      <c r="T7799" s="102">
        <f t="shared" si="4537"/>
        <v>0</v>
      </c>
      <c r="U7799" s="71" t="s">
        <v>859</v>
      </c>
      <c r="V7799" s="71"/>
      <c r="W7799" s="474">
        <v>0</v>
      </c>
      <c r="X7799" s="71"/>
      <c r="Y7799" s="71"/>
    </row>
    <row r="7800" spans="1:25" ht="30" hidden="1" customHeight="1" x14ac:dyDescent="0.25">
      <c r="A7800" s="1145">
        <v>45802</v>
      </c>
      <c r="B7800" s="664" t="s">
        <v>1061</v>
      </c>
      <c r="C7800" s="71" t="s">
        <v>4233</v>
      </c>
      <c r="D7800" s="71">
        <v>0</v>
      </c>
      <c r="E7800" s="102">
        <v>24900</v>
      </c>
      <c r="F7800" s="102">
        <f t="shared" si="4529"/>
        <v>0</v>
      </c>
      <c r="G7800" s="102">
        <f t="shared" si="4530"/>
        <v>0</v>
      </c>
      <c r="H7800" s="690" t="s">
        <v>36</v>
      </c>
      <c r="I7800" s="71" t="s">
        <v>3320</v>
      </c>
      <c r="J7800" s="53">
        <f t="shared" si="4531"/>
        <v>0</v>
      </c>
      <c r="K7800" s="63" t="e">
        <f t="shared" si="4532"/>
        <v>#DIV/0!</v>
      </c>
      <c r="L7800" s="1212" t="s">
        <v>4357</v>
      </c>
      <c r="M7800" s="468"/>
      <c r="N7800" s="1192">
        <f t="shared" si="4538"/>
        <v>45802</v>
      </c>
      <c r="O7800" s="71" t="s">
        <v>2459</v>
      </c>
      <c r="P7800" s="103" t="str">
        <f t="shared" si="4539"/>
        <v>별색 - 프린피아 PT-812</v>
      </c>
      <c r="Q7800" s="71">
        <f t="shared" si="4533"/>
        <v>0</v>
      </c>
      <c r="R7800" s="102">
        <v>31000</v>
      </c>
      <c r="S7800" s="102">
        <f t="shared" si="4536"/>
        <v>0</v>
      </c>
      <c r="T7800" s="102">
        <f t="shared" si="4537"/>
        <v>0</v>
      </c>
      <c r="U7800" s="71"/>
      <c r="V7800" s="71"/>
      <c r="W7800" s="474"/>
      <c r="X7800" s="71"/>
      <c r="Y7800" s="71"/>
    </row>
    <row r="7801" spans="1:25" ht="30" hidden="1" customHeight="1" x14ac:dyDescent="0.25">
      <c r="A7801" s="1145">
        <v>45802</v>
      </c>
      <c r="B7801" s="664" t="s">
        <v>1061</v>
      </c>
      <c r="C7801" s="71" t="s">
        <v>4299</v>
      </c>
      <c r="D7801" s="71">
        <v>0</v>
      </c>
      <c r="E7801" s="102">
        <v>10660</v>
      </c>
      <c r="F7801" s="102">
        <f t="shared" si="4529"/>
        <v>0</v>
      </c>
      <c r="G7801" s="102">
        <f t="shared" si="4530"/>
        <v>0</v>
      </c>
      <c r="H7801" s="690" t="s">
        <v>36</v>
      </c>
      <c r="I7801" s="71" t="s">
        <v>3320</v>
      </c>
      <c r="J7801" s="53">
        <f t="shared" si="4531"/>
        <v>0</v>
      </c>
      <c r="K7801" s="63" t="e">
        <f t="shared" si="4532"/>
        <v>#DIV/0!</v>
      </c>
      <c r="L7801" s="1212" t="s">
        <v>4357</v>
      </c>
      <c r="M7801" s="468"/>
      <c r="N7801" s="1192">
        <f t="shared" si="4538"/>
        <v>45802</v>
      </c>
      <c r="O7801" s="71" t="s">
        <v>3323</v>
      </c>
      <c r="P7801" s="103" t="str">
        <f t="shared" si="4539"/>
        <v>별색 - PANTON 7466U</v>
      </c>
      <c r="Q7801" s="71">
        <f t="shared" si="4533"/>
        <v>0</v>
      </c>
      <c r="R7801" s="102">
        <v>11700</v>
      </c>
      <c r="S7801" s="102">
        <f t="shared" si="4536"/>
        <v>0</v>
      </c>
      <c r="T7801" s="102">
        <f t="shared" si="4537"/>
        <v>0</v>
      </c>
      <c r="U7801" s="71"/>
      <c r="V7801" s="71"/>
      <c r="W7801" s="474"/>
      <c r="X7801" s="71"/>
      <c r="Y7801" s="71"/>
    </row>
    <row r="7802" spans="1:25" ht="30" hidden="1" customHeight="1" x14ac:dyDescent="0.25">
      <c r="A7802" s="1145">
        <v>45802</v>
      </c>
      <c r="B7802" s="664" t="s">
        <v>3307</v>
      </c>
      <c r="C7802" s="71" t="s">
        <v>3916</v>
      </c>
      <c r="D7802" s="71">
        <v>8</v>
      </c>
      <c r="E7802" s="102">
        <v>218000</v>
      </c>
      <c r="F7802" s="102">
        <f t="shared" si="4529"/>
        <v>1918400.0000000002</v>
      </c>
      <c r="G7802" s="102">
        <f t="shared" si="4530"/>
        <v>1744000</v>
      </c>
      <c r="H7802" s="690" t="s">
        <v>172</v>
      </c>
      <c r="I7802" s="71" t="s">
        <v>33</v>
      </c>
      <c r="J7802" s="53">
        <f t="shared" si="4531"/>
        <v>412000</v>
      </c>
      <c r="K7802" s="63">
        <f t="shared" si="4532"/>
        <v>0.23623853211009171</v>
      </c>
      <c r="L7802" s="1212" t="s">
        <v>4357</v>
      </c>
      <c r="M7802" s="468" t="s">
        <v>3965</v>
      </c>
      <c r="N7802" s="1192">
        <v>45682</v>
      </c>
      <c r="O7802" s="71" t="s">
        <v>662</v>
      </c>
      <c r="P7802" s="103" t="s">
        <v>3916</v>
      </c>
      <c r="Q7802" s="71">
        <f t="shared" si="4533"/>
        <v>8</v>
      </c>
      <c r="R7802" s="102">
        <v>166500</v>
      </c>
      <c r="S7802" s="102">
        <f t="shared" si="4536"/>
        <v>1465200.0000000002</v>
      </c>
      <c r="T7802" s="102">
        <f t="shared" si="4537"/>
        <v>1332000</v>
      </c>
      <c r="U7802" s="71" t="s">
        <v>859</v>
      </c>
      <c r="V7802" s="71" t="s">
        <v>728</v>
      </c>
      <c r="W7802" s="474">
        <v>464000</v>
      </c>
      <c r="X7802" s="71"/>
      <c r="Y7802" s="71"/>
    </row>
    <row r="7803" spans="1:25" ht="30" hidden="1" customHeight="1" x14ac:dyDescent="0.25">
      <c r="A7803" s="1145">
        <v>45802</v>
      </c>
      <c r="B7803" s="664" t="s">
        <v>3307</v>
      </c>
      <c r="C7803" s="71" t="s">
        <v>3750</v>
      </c>
      <c r="D7803" s="71">
        <v>1</v>
      </c>
      <c r="E7803" s="102">
        <v>2350000</v>
      </c>
      <c r="F7803" s="102">
        <f t="shared" si="4529"/>
        <v>2585000</v>
      </c>
      <c r="G7803" s="102">
        <f t="shared" si="4530"/>
        <v>2350000</v>
      </c>
      <c r="H7803" s="690" t="s">
        <v>36</v>
      </c>
      <c r="I7803" s="690" t="s">
        <v>36</v>
      </c>
      <c r="J7803" s="53">
        <f t="shared" si="4531"/>
        <v>600000</v>
      </c>
      <c r="K7803" s="63">
        <f t="shared" si="4532"/>
        <v>0.25531914893617019</v>
      </c>
      <c r="L7803" s="1212" t="s">
        <v>4357</v>
      </c>
      <c r="M7803" s="468"/>
      <c r="N7803" s="1192">
        <v>45651</v>
      </c>
      <c r="O7803" s="71" t="s">
        <v>3298</v>
      </c>
      <c r="P7803" s="103" t="s">
        <v>4298</v>
      </c>
      <c r="Q7803" s="71">
        <f t="shared" si="4533"/>
        <v>1</v>
      </c>
      <c r="R7803" s="147">
        <v>1750000</v>
      </c>
      <c r="S7803" s="102">
        <f t="shared" si="4536"/>
        <v>1925000.0000000002</v>
      </c>
      <c r="T7803" s="102">
        <f t="shared" si="4537"/>
        <v>1750000</v>
      </c>
      <c r="U7803" s="71"/>
      <c r="V7803" s="71"/>
      <c r="W7803" s="474"/>
      <c r="X7803" s="71"/>
      <c r="Y7803" s="71"/>
    </row>
    <row r="7804" spans="1:25" ht="30" customHeight="1" x14ac:dyDescent="0.25">
      <c r="A7804" s="1145">
        <v>45803</v>
      </c>
      <c r="B7804" s="664" t="s">
        <v>641</v>
      </c>
      <c r="C7804" s="71" t="s">
        <v>3293</v>
      </c>
      <c r="D7804" s="71">
        <v>80</v>
      </c>
      <c r="E7804" s="102">
        <v>84000</v>
      </c>
      <c r="F7804" s="102">
        <f t="shared" si="4529"/>
        <v>7392000.0000000009</v>
      </c>
      <c r="G7804" s="102">
        <f t="shared" si="4530"/>
        <v>6720000</v>
      </c>
      <c r="H7804" s="690" t="s">
        <v>172</v>
      </c>
      <c r="I7804" s="71" t="s">
        <v>38</v>
      </c>
      <c r="J7804" s="53">
        <f t="shared" si="4531"/>
        <v>2640000</v>
      </c>
      <c r="K7804" s="63">
        <f t="shared" si="4532"/>
        <v>0.39285714285714279</v>
      </c>
      <c r="L7804" s="1212" t="s">
        <v>4357</v>
      </c>
      <c r="M7804" s="468"/>
      <c r="N7804" s="1192">
        <f t="shared" ref="N7804:N7805" si="4540">A7804</f>
        <v>45803</v>
      </c>
      <c r="O7804" s="71" t="s">
        <v>3291</v>
      </c>
      <c r="P7804" s="103" t="str">
        <f t="shared" ref="P7804:P7805" si="4541">(C7804)</f>
        <v>GOSS 신문윤전 습식세정포</v>
      </c>
      <c r="Q7804" s="71">
        <f t="shared" si="4533"/>
        <v>80</v>
      </c>
      <c r="R7804" s="102">
        <v>51000</v>
      </c>
      <c r="S7804" s="102">
        <f t="shared" si="4536"/>
        <v>4488000</v>
      </c>
      <c r="T7804" s="102">
        <f t="shared" si="4537"/>
        <v>4080000</v>
      </c>
      <c r="U7804" s="71" t="str">
        <f>IF(J7804=W7804,"O", "X")</f>
        <v>X</v>
      </c>
      <c r="V7804" s="71"/>
      <c r="W7804" s="474"/>
      <c r="X7804" s="71"/>
      <c r="Y7804" s="71"/>
    </row>
    <row r="7805" spans="1:25" ht="30" customHeight="1" x14ac:dyDescent="0.25">
      <c r="A7805" s="1145">
        <v>45802</v>
      </c>
      <c r="B7805" s="664" t="s">
        <v>2536</v>
      </c>
      <c r="C7805" s="71" t="s">
        <v>4359</v>
      </c>
      <c r="D7805" s="71">
        <v>1</v>
      </c>
      <c r="E7805" s="102">
        <v>2400000</v>
      </c>
      <c r="F7805" s="102">
        <f t="shared" si="4529"/>
        <v>2640000</v>
      </c>
      <c r="G7805" s="102">
        <f t="shared" si="4530"/>
        <v>2400000</v>
      </c>
      <c r="H7805" s="690" t="s">
        <v>1431</v>
      </c>
      <c r="I7805" s="71" t="s">
        <v>1431</v>
      </c>
      <c r="J7805" s="53">
        <f t="shared" si="4531"/>
        <v>700000</v>
      </c>
      <c r="K7805" s="63">
        <f t="shared" si="4532"/>
        <v>0.29166666666666669</v>
      </c>
      <c r="L7805" s="1212" t="s">
        <v>4357</v>
      </c>
      <c r="M7805" s="102"/>
      <c r="N7805" s="1192">
        <f t="shared" si="4540"/>
        <v>45802</v>
      </c>
      <c r="O7805" s="71" t="s">
        <v>1431</v>
      </c>
      <c r="P7805" s="103" t="str">
        <f t="shared" si="4541"/>
        <v>댄서 모터 댐퍼</v>
      </c>
      <c r="Q7805" s="71">
        <f t="shared" si="4533"/>
        <v>1</v>
      </c>
      <c r="R7805" s="102">
        <v>1700000</v>
      </c>
      <c r="S7805" s="102">
        <f t="shared" si="4536"/>
        <v>1870000.0000000002</v>
      </c>
      <c r="T7805" s="102">
        <f t="shared" si="4537"/>
        <v>1700000</v>
      </c>
      <c r="U7805" s="71"/>
      <c r="V7805" s="71"/>
      <c r="W7805" s="474"/>
      <c r="X7805" s="71"/>
      <c r="Y7805" s="71"/>
    </row>
    <row r="7806" spans="1:25" ht="30" customHeight="1" x14ac:dyDescent="0.25">
      <c r="A7806" s="1145">
        <v>45806</v>
      </c>
      <c r="B7806" s="664" t="s">
        <v>2352</v>
      </c>
      <c r="C7806" s="71" t="s">
        <v>3836</v>
      </c>
      <c r="D7806" s="71">
        <v>48</v>
      </c>
      <c r="E7806" s="102">
        <v>18500</v>
      </c>
      <c r="F7806" s="102">
        <f t="shared" si="4529"/>
        <v>976800.00000000012</v>
      </c>
      <c r="G7806" s="102">
        <f t="shared" si="4530"/>
        <v>888000</v>
      </c>
      <c r="H7806" s="690" t="s">
        <v>179</v>
      </c>
      <c r="I7806" s="71" t="s">
        <v>179</v>
      </c>
      <c r="J7806" s="53">
        <f t="shared" si="4531"/>
        <v>355968</v>
      </c>
      <c r="K7806" s="63">
        <f t="shared" si="4532"/>
        <v>0.40086486486486483</v>
      </c>
      <c r="L7806" s="1212" t="s">
        <v>4357</v>
      </c>
      <c r="M7806" s="468"/>
      <c r="N7806" s="1192">
        <f t="shared" ref="N7806:N7811" si="4542">A7806</f>
        <v>45806</v>
      </c>
      <c r="O7806" s="71"/>
      <c r="P7806" s="103" t="str">
        <f t="shared" ref="P7806:P7811" si="4543">(C7806)</f>
        <v>고모리 윤전 블랑켓 건식 세정포 - 국전용</v>
      </c>
      <c r="Q7806" s="71">
        <f t="shared" si="4533"/>
        <v>48</v>
      </c>
      <c r="R7806" s="102">
        <v>11084</v>
      </c>
      <c r="S7806" s="102">
        <f t="shared" si="4536"/>
        <v>585235.20000000007</v>
      </c>
      <c r="T7806" s="102">
        <f t="shared" si="4537"/>
        <v>532032</v>
      </c>
      <c r="U7806" s="71"/>
      <c r="V7806" s="71"/>
      <c r="W7806" s="474"/>
      <c r="X7806" s="71"/>
      <c r="Y7806" s="71"/>
    </row>
    <row r="7807" spans="1:25" ht="30" customHeight="1" x14ac:dyDescent="0.25">
      <c r="A7807" s="1145">
        <v>45806</v>
      </c>
      <c r="B7807" s="664" t="s">
        <v>2352</v>
      </c>
      <c r="C7807" s="71" t="s">
        <v>3837</v>
      </c>
      <c r="D7807" s="71">
        <v>48</v>
      </c>
      <c r="E7807" s="102">
        <v>13500</v>
      </c>
      <c r="F7807" s="102">
        <f t="shared" si="4529"/>
        <v>712800</v>
      </c>
      <c r="G7807" s="102">
        <f t="shared" si="4530"/>
        <v>648000</v>
      </c>
      <c r="H7807" s="690" t="s">
        <v>179</v>
      </c>
      <c r="I7807" s="71" t="s">
        <v>179</v>
      </c>
      <c r="J7807" s="53">
        <f t="shared" si="4531"/>
        <v>246480</v>
      </c>
      <c r="K7807" s="63">
        <f t="shared" si="4532"/>
        <v>0.38037037037037036</v>
      </c>
      <c r="L7807" s="1212" t="s">
        <v>4357</v>
      </c>
      <c r="M7807" s="468"/>
      <c r="N7807" s="1192">
        <f t="shared" si="4542"/>
        <v>45806</v>
      </c>
      <c r="O7807" s="71"/>
      <c r="P7807" s="103" t="str">
        <f t="shared" si="4543"/>
        <v>고모리 윤전 블랑켓 건식 세정포 - 4x6용</v>
      </c>
      <c r="Q7807" s="71">
        <f t="shared" si="4533"/>
        <v>48</v>
      </c>
      <c r="R7807" s="102">
        <v>8365</v>
      </c>
      <c r="S7807" s="102">
        <f t="shared" si="4536"/>
        <v>441672.00000000006</v>
      </c>
      <c r="T7807" s="102">
        <f t="shared" si="4537"/>
        <v>401520</v>
      </c>
      <c r="U7807" s="71"/>
      <c r="V7807" s="71"/>
      <c r="W7807" s="474"/>
      <c r="X7807" s="71"/>
      <c r="Y7807" s="71"/>
    </row>
    <row r="7808" spans="1:25" ht="28.9" hidden="1" customHeight="1" x14ac:dyDescent="0.25">
      <c r="A7808" s="1145">
        <v>45792</v>
      </c>
      <c r="B7808" s="664" t="s">
        <v>2353</v>
      </c>
      <c r="C7808" s="71" t="s">
        <v>129</v>
      </c>
      <c r="D7808" s="71">
        <v>7</v>
      </c>
      <c r="E7808" s="102">
        <v>325000</v>
      </c>
      <c r="F7808" s="102">
        <f t="shared" si="4529"/>
        <v>2502500</v>
      </c>
      <c r="G7808" s="102">
        <f t="shared" si="4530"/>
        <v>2275000</v>
      </c>
      <c r="H7808" s="690" t="s">
        <v>142</v>
      </c>
      <c r="I7808" s="71" t="s">
        <v>179</v>
      </c>
      <c r="J7808" s="53">
        <f t="shared" si="4531"/>
        <v>636440</v>
      </c>
      <c r="K7808" s="63">
        <f t="shared" si="4532"/>
        <v>0.27975384615384613</v>
      </c>
      <c r="L7808" s="1212" t="s">
        <v>4357</v>
      </c>
      <c r="M7808" s="468" t="s">
        <v>2050</v>
      </c>
      <c r="N7808" s="1192">
        <f t="shared" si="4542"/>
        <v>45792</v>
      </c>
      <c r="O7808" s="71" t="s">
        <v>149</v>
      </c>
      <c r="P7808" s="103" t="str">
        <f t="shared" si="4543"/>
        <v>세정포-XL106</v>
      </c>
      <c r="Q7808" s="71">
        <f t="shared" si="4533"/>
        <v>7</v>
      </c>
      <c r="R7808" s="102">
        <v>234080</v>
      </c>
      <c r="S7808" s="102">
        <f t="shared" si="4536"/>
        <v>1802416.0000000002</v>
      </c>
      <c r="T7808" s="102">
        <f t="shared" si="4537"/>
        <v>1638560</v>
      </c>
      <c r="U7808" s="71" t="str">
        <f>IF(J7808=W7808,"O", "X")</f>
        <v>O</v>
      </c>
      <c r="V7808" s="71"/>
      <c r="W7808" s="474">
        <f>(G7808-T7808)</f>
        <v>636440</v>
      </c>
      <c r="X7808" s="71"/>
      <c r="Y7808" s="71"/>
    </row>
    <row r="7809" spans="1:25" s="209" customFormat="1" ht="30" hidden="1" customHeight="1" x14ac:dyDescent="0.25">
      <c r="A7809" s="1145">
        <v>45792</v>
      </c>
      <c r="B7809" s="664" t="s">
        <v>2353</v>
      </c>
      <c r="C7809" s="71" t="s">
        <v>3299</v>
      </c>
      <c r="D7809" s="71">
        <v>15</v>
      </c>
      <c r="E7809" s="102">
        <v>83000</v>
      </c>
      <c r="F7809" s="102">
        <f t="shared" si="4529"/>
        <v>1369500</v>
      </c>
      <c r="G7809" s="102">
        <f t="shared" si="4530"/>
        <v>1245000</v>
      </c>
      <c r="H7809" s="690" t="s">
        <v>142</v>
      </c>
      <c r="I7809" s="71" t="s">
        <v>179</v>
      </c>
      <c r="J7809" s="53">
        <f t="shared" si="4531"/>
        <v>532500</v>
      </c>
      <c r="K7809" s="63">
        <f t="shared" si="4532"/>
        <v>0.42771084337349397</v>
      </c>
      <c r="L7809" s="1212" t="s">
        <v>4357</v>
      </c>
      <c r="M7809" s="468" t="s">
        <v>2214</v>
      </c>
      <c r="N7809" s="1192">
        <f t="shared" si="4542"/>
        <v>45792</v>
      </c>
      <c r="O7809" s="71" t="s">
        <v>3383</v>
      </c>
      <c r="P7809" s="103" t="str">
        <f t="shared" si="4543"/>
        <v>매엽용 세척제(Wash k11)</v>
      </c>
      <c r="Q7809" s="71">
        <f t="shared" si="4533"/>
        <v>15</v>
      </c>
      <c r="R7809" s="102">
        <v>47500</v>
      </c>
      <c r="S7809" s="102">
        <f t="shared" si="4536"/>
        <v>783750.00000000012</v>
      </c>
      <c r="T7809" s="102">
        <f t="shared" si="4537"/>
        <v>712500</v>
      </c>
      <c r="U7809" s="71" t="s">
        <v>859</v>
      </c>
      <c r="V7809" s="71"/>
      <c r="W7809" s="474">
        <v>136000</v>
      </c>
      <c r="X7809" s="71"/>
      <c r="Y7809" s="71"/>
    </row>
    <row r="7810" spans="1:25" s="209" customFormat="1" ht="30" hidden="1" customHeight="1" x14ac:dyDescent="0.25">
      <c r="A7810" s="1145">
        <v>45792</v>
      </c>
      <c r="B7810" s="664" t="s">
        <v>2353</v>
      </c>
      <c r="C7810" s="71" t="s">
        <v>130</v>
      </c>
      <c r="D7810" s="71">
        <v>10</v>
      </c>
      <c r="E7810" s="102">
        <v>148000</v>
      </c>
      <c r="F7810" s="102">
        <f t="shared" si="4529"/>
        <v>1628000.0000000002</v>
      </c>
      <c r="G7810" s="102">
        <f t="shared" si="4530"/>
        <v>1480000</v>
      </c>
      <c r="H7810" s="690" t="s">
        <v>142</v>
      </c>
      <c r="I7810" s="71" t="s">
        <v>179</v>
      </c>
      <c r="J7810" s="53">
        <f t="shared" si="4531"/>
        <v>360000</v>
      </c>
      <c r="K7810" s="63">
        <f t="shared" si="4532"/>
        <v>0.2432432432432432</v>
      </c>
      <c r="L7810" s="1212" t="s">
        <v>4357</v>
      </c>
      <c r="M7810" s="468" t="s">
        <v>2050</v>
      </c>
      <c r="N7810" s="1192">
        <f t="shared" si="4542"/>
        <v>45792</v>
      </c>
      <c r="O7810" s="71" t="s">
        <v>3383</v>
      </c>
      <c r="P7810" s="103" t="str">
        <f t="shared" si="4543"/>
        <v>XL106 Blanket(1077*885)</v>
      </c>
      <c r="Q7810" s="71">
        <f t="shared" si="4533"/>
        <v>10</v>
      </c>
      <c r="R7810" s="102">
        <v>112000</v>
      </c>
      <c r="S7810" s="102">
        <f t="shared" si="4536"/>
        <v>1232000</v>
      </c>
      <c r="T7810" s="102">
        <f t="shared" si="4537"/>
        <v>1120000</v>
      </c>
      <c r="U7810" s="71" t="s">
        <v>859</v>
      </c>
      <c r="V7810" s="71"/>
      <c r="W7810" s="474">
        <v>260000</v>
      </c>
      <c r="X7810" s="71"/>
      <c r="Y7810" s="71"/>
    </row>
    <row r="7811" spans="1:25" ht="30" hidden="1" customHeight="1" x14ac:dyDescent="0.25">
      <c r="A7811" s="1145">
        <v>45792</v>
      </c>
      <c r="B7811" s="664" t="s">
        <v>2579</v>
      </c>
      <c r="C7811" s="71" t="s">
        <v>3382</v>
      </c>
      <c r="D7811" s="71">
        <v>5</v>
      </c>
      <c r="E7811" s="102">
        <v>180000</v>
      </c>
      <c r="F7811" s="102">
        <f t="shared" si="4529"/>
        <v>990000.00000000012</v>
      </c>
      <c r="G7811" s="102">
        <f t="shared" si="4530"/>
        <v>900000</v>
      </c>
      <c r="H7811" s="690" t="s">
        <v>179</v>
      </c>
      <c r="I7811" s="690" t="s">
        <v>179</v>
      </c>
      <c r="J7811" s="53">
        <f t="shared" si="4531"/>
        <v>300000</v>
      </c>
      <c r="K7811" s="63">
        <f t="shared" si="4532"/>
        <v>0.33333333333333331</v>
      </c>
      <c r="L7811" s="1212" t="s">
        <v>4357</v>
      </c>
      <c r="M7811" s="468"/>
      <c r="N7811" s="1192">
        <f t="shared" si="4542"/>
        <v>45792</v>
      </c>
      <c r="O7811" s="71" t="s">
        <v>3383</v>
      </c>
      <c r="P7811" s="103" t="str">
        <f t="shared" si="4543"/>
        <v>판 클리너(12개)</v>
      </c>
      <c r="Q7811" s="71">
        <f t="shared" si="4533"/>
        <v>5</v>
      </c>
      <c r="R7811" s="102">
        <v>120000</v>
      </c>
      <c r="S7811" s="102">
        <f t="shared" si="4536"/>
        <v>660000</v>
      </c>
      <c r="T7811" s="102">
        <f t="shared" si="4537"/>
        <v>600000</v>
      </c>
      <c r="U7811" s="71"/>
      <c r="V7811" s="71"/>
      <c r="W7811" s="474"/>
      <c r="X7811" s="71"/>
      <c r="Y7811" s="71"/>
    </row>
    <row r="7812" spans="1:25" s="209" customFormat="1" ht="30" hidden="1" customHeight="1" x14ac:dyDescent="0.25">
      <c r="A7812" s="1145">
        <v>45805</v>
      </c>
      <c r="B7812" s="664" t="s">
        <v>2353</v>
      </c>
      <c r="C7812" s="71" t="s">
        <v>130</v>
      </c>
      <c r="D7812" s="71">
        <v>15</v>
      </c>
      <c r="E7812" s="102">
        <v>148000</v>
      </c>
      <c r="F7812" s="102">
        <f t="shared" ref="F7812:F7825" si="4544">(E7812*D7812)*1.1</f>
        <v>2442000</v>
      </c>
      <c r="G7812" s="102">
        <f t="shared" ref="G7812:G7825" si="4545">(E7812*D7812)</f>
        <v>2220000</v>
      </c>
      <c r="H7812" s="690" t="s">
        <v>142</v>
      </c>
      <c r="I7812" s="71" t="s">
        <v>179</v>
      </c>
      <c r="J7812" s="53">
        <f t="shared" si="4531"/>
        <v>540000</v>
      </c>
      <c r="K7812" s="63">
        <f t="shared" si="4532"/>
        <v>0.24324324324324326</v>
      </c>
      <c r="L7812" s="1212" t="s">
        <v>4357</v>
      </c>
      <c r="M7812" s="468" t="s">
        <v>2050</v>
      </c>
      <c r="N7812" s="1192">
        <f t="shared" ref="N7812:N7825" si="4546">A7812</f>
        <v>45805</v>
      </c>
      <c r="O7812" s="71" t="s">
        <v>3383</v>
      </c>
      <c r="P7812" s="103" t="str">
        <f t="shared" ref="P7812:P7825" si="4547">(C7812)</f>
        <v>XL106 Blanket(1077*885)</v>
      </c>
      <c r="Q7812" s="71">
        <f t="shared" si="4533"/>
        <v>15</v>
      </c>
      <c r="R7812" s="102">
        <v>112000</v>
      </c>
      <c r="S7812" s="102">
        <f t="shared" si="4536"/>
        <v>1848000.0000000002</v>
      </c>
      <c r="T7812" s="102">
        <f t="shared" si="4537"/>
        <v>1680000</v>
      </c>
      <c r="U7812" s="71" t="s">
        <v>859</v>
      </c>
      <c r="V7812" s="71"/>
      <c r="W7812" s="474">
        <v>260000</v>
      </c>
      <c r="X7812" s="71"/>
      <c r="Y7812" s="71"/>
    </row>
    <row r="7813" spans="1:25" ht="28.9" hidden="1" customHeight="1" x14ac:dyDescent="0.25">
      <c r="A7813" s="1145">
        <v>45805</v>
      </c>
      <c r="B7813" s="664" t="s">
        <v>2353</v>
      </c>
      <c r="C7813" s="71" t="s">
        <v>129</v>
      </c>
      <c r="D7813" s="71">
        <v>7</v>
      </c>
      <c r="E7813" s="102">
        <v>325000</v>
      </c>
      <c r="F7813" s="102">
        <f t="shared" si="4544"/>
        <v>2502500</v>
      </c>
      <c r="G7813" s="102">
        <f t="shared" si="4545"/>
        <v>2275000</v>
      </c>
      <c r="H7813" s="690" t="s">
        <v>142</v>
      </c>
      <c r="I7813" s="71" t="s">
        <v>179</v>
      </c>
      <c r="J7813" s="53">
        <f t="shared" si="4531"/>
        <v>636440</v>
      </c>
      <c r="K7813" s="63">
        <f t="shared" si="4532"/>
        <v>0.27975384615384613</v>
      </c>
      <c r="L7813" s="1212" t="s">
        <v>4357</v>
      </c>
      <c r="M7813" s="468" t="s">
        <v>2050</v>
      </c>
      <c r="N7813" s="1192">
        <f t="shared" si="4546"/>
        <v>45805</v>
      </c>
      <c r="O7813" s="71" t="s">
        <v>149</v>
      </c>
      <c r="P7813" s="103" t="str">
        <f t="shared" si="4547"/>
        <v>세정포-XL106</v>
      </c>
      <c r="Q7813" s="71">
        <f t="shared" si="4533"/>
        <v>7</v>
      </c>
      <c r="R7813" s="102">
        <v>234080</v>
      </c>
      <c r="S7813" s="102">
        <f t="shared" si="4536"/>
        <v>1802416.0000000002</v>
      </c>
      <c r="T7813" s="102">
        <f t="shared" si="4537"/>
        <v>1638560</v>
      </c>
      <c r="U7813" s="71" t="str">
        <f>IF(J7813=W7813,"O", "X")</f>
        <v>O</v>
      </c>
      <c r="V7813" s="71"/>
      <c r="W7813" s="474">
        <f>(G7813-T7813)</f>
        <v>636440</v>
      </c>
      <c r="X7813" s="71"/>
      <c r="Y7813" s="71"/>
    </row>
    <row r="7814" spans="1:25" ht="30" hidden="1" customHeight="1" x14ac:dyDescent="0.25">
      <c r="A7814" s="1145">
        <v>45805</v>
      </c>
      <c r="B7814" s="664" t="s">
        <v>2353</v>
      </c>
      <c r="C7814" s="71" t="s">
        <v>3728</v>
      </c>
      <c r="D7814" s="71">
        <v>30</v>
      </c>
      <c r="E7814" s="102">
        <v>35000</v>
      </c>
      <c r="F7814" s="102">
        <f t="shared" si="4544"/>
        <v>1155000</v>
      </c>
      <c r="G7814" s="102">
        <f t="shared" si="4545"/>
        <v>1050000</v>
      </c>
      <c r="H7814" s="690" t="s">
        <v>142</v>
      </c>
      <c r="I7814" s="71" t="s">
        <v>142</v>
      </c>
      <c r="J7814" s="53">
        <f t="shared" si="4531"/>
        <v>-375000</v>
      </c>
      <c r="K7814" s="63">
        <f t="shared" si="4532"/>
        <v>-0.35714285714285715</v>
      </c>
      <c r="L7814" s="1212" t="s">
        <v>4357</v>
      </c>
      <c r="M7814" s="468" t="s">
        <v>3907</v>
      </c>
      <c r="N7814" s="1192">
        <f t="shared" si="4546"/>
        <v>45805</v>
      </c>
      <c r="O7814" s="71" t="s">
        <v>149</v>
      </c>
      <c r="P7814" s="103" t="str">
        <f t="shared" si="4547"/>
        <v>고모리 자동 세척액</v>
      </c>
      <c r="Q7814" s="71">
        <f t="shared" si="4533"/>
        <v>30</v>
      </c>
      <c r="R7814" s="102">
        <v>47500</v>
      </c>
      <c r="S7814" s="102">
        <f t="shared" si="4536"/>
        <v>1567500.0000000002</v>
      </c>
      <c r="T7814" s="102">
        <f t="shared" si="4537"/>
        <v>1425000</v>
      </c>
      <c r="U7814" s="71"/>
      <c r="V7814" s="71"/>
      <c r="W7814" s="474"/>
      <c r="X7814" s="71"/>
      <c r="Y7814" s="71"/>
    </row>
    <row r="7815" spans="1:25" ht="30" hidden="1" customHeight="1" x14ac:dyDescent="0.25">
      <c r="A7815" s="1145">
        <v>45805</v>
      </c>
      <c r="B7815" s="664" t="s">
        <v>2579</v>
      </c>
      <c r="C7815" s="71" t="s">
        <v>3738</v>
      </c>
      <c r="D7815" s="71">
        <v>10</v>
      </c>
      <c r="E7815" s="102">
        <v>130000</v>
      </c>
      <c r="F7815" s="102">
        <f t="shared" si="4544"/>
        <v>1430000</v>
      </c>
      <c r="G7815" s="102">
        <f t="shared" si="4545"/>
        <v>1300000</v>
      </c>
      <c r="H7815" s="690" t="s">
        <v>142</v>
      </c>
      <c r="I7815" s="71" t="s">
        <v>142</v>
      </c>
      <c r="J7815" s="53">
        <f t="shared" si="4531"/>
        <v>339000</v>
      </c>
      <c r="K7815" s="63">
        <f t="shared" si="4532"/>
        <v>0.26076923076923075</v>
      </c>
      <c r="L7815" s="1212" t="s">
        <v>4357</v>
      </c>
      <c r="M7815" s="468"/>
      <c r="N7815" s="1192">
        <f t="shared" si="4546"/>
        <v>45805</v>
      </c>
      <c r="O7815" s="71" t="s">
        <v>147</v>
      </c>
      <c r="P7815" s="103" t="str">
        <f t="shared" si="4547"/>
        <v>블랑켓 - 고모리 용 (1040*920)</v>
      </c>
      <c r="Q7815" s="71">
        <f t="shared" si="4533"/>
        <v>10</v>
      </c>
      <c r="R7815" s="102">
        <v>96100</v>
      </c>
      <c r="S7815" s="102">
        <f t="shared" si="4536"/>
        <v>1057100</v>
      </c>
      <c r="T7815" s="102">
        <f t="shared" si="4537"/>
        <v>961000</v>
      </c>
      <c r="U7815" s="71"/>
      <c r="V7815" s="71"/>
      <c r="W7815" s="474"/>
      <c r="X7815" s="71"/>
      <c r="Y7815" s="71"/>
    </row>
    <row r="7816" spans="1:25" ht="30" hidden="1" customHeight="1" x14ac:dyDescent="0.25">
      <c r="A7816" s="1145">
        <v>45792</v>
      </c>
      <c r="B7816" s="664" t="s">
        <v>2353</v>
      </c>
      <c r="C7816" s="71" t="s">
        <v>584</v>
      </c>
      <c r="D7816" s="71">
        <v>4</v>
      </c>
      <c r="E7816" s="102">
        <v>270000</v>
      </c>
      <c r="F7816" s="102">
        <f t="shared" si="4544"/>
        <v>1188000</v>
      </c>
      <c r="G7816" s="102">
        <f t="shared" si="4545"/>
        <v>1080000</v>
      </c>
      <c r="H7816" s="690" t="s">
        <v>142</v>
      </c>
      <c r="I7816" s="71" t="s">
        <v>179</v>
      </c>
      <c r="J7816" s="53">
        <f t="shared" si="4531"/>
        <v>328000</v>
      </c>
      <c r="K7816" s="63">
        <f t="shared" si="4532"/>
        <v>0.3037037037037037</v>
      </c>
      <c r="L7816" s="1212" t="s">
        <v>4357</v>
      </c>
      <c r="M7816" s="468"/>
      <c r="N7816" s="1192">
        <f t="shared" si="4546"/>
        <v>45792</v>
      </c>
      <c r="O7816" s="71" t="s">
        <v>150</v>
      </c>
      <c r="P7816" s="103" t="str">
        <f t="shared" si="4547"/>
        <v>데리바리 석션벨트</v>
      </c>
      <c r="Q7816" s="71">
        <f t="shared" si="4533"/>
        <v>4</v>
      </c>
      <c r="R7816" s="102">
        <v>188000</v>
      </c>
      <c r="S7816" s="102">
        <f t="shared" si="4536"/>
        <v>827200.00000000012</v>
      </c>
      <c r="T7816" s="102">
        <f t="shared" si="4537"/>
        <v>752000</v>
      </c>
      <c r="U7816" s="71" t="str">
        <f>IF(J7816=W7816,"O", "X")</f>
        <v>O</v>
      </c>
      <c r="V7816" s="71"/>
      <c r="W7816" s="474">
        <f>(G7816-T7816)</f>
        <v>328000</v>
      </c>
      <c r="X7816" s="71"/>
      <c r="Y7816" s="71"/>
    </row>
    <row r="7817" spans="1:25" ht="27" hidden="1" customHeight="1" x14ac:dyDescent="0.25">
      <c r="A7817" s="1145">
        <v>45805</v>
      </c>
      <c r="B7817" s="664" t="s">
        <v>2353</v>
      </c>
      <c r="C7817" s="71" t="s">
        <v>2648</v>
      </c>
      <c r="D7817" s="71">
        <v>4</v>
      </c>
      <c r="E7817" s="102">
        <v>50000</v>
      </c>
      <c r="F7817" s="102">
        <f t="shared" si="4544"/>
        <v>220000.00000000003</v>
      </c>
      <c r="G7817" s="102">
        <f t="shared" si="4545"/>
        <v>200000</v>
      </c>
      <c r="H7817" s="690" t="s">
        <v>179</v>
      </c>
      <c r="I7817" s="690" t="s">
        <v>179</v>
      </c>
      <c r="J7817" s="53">
        <f t="shared" si="4531"/>
        <v>104000</v>
      </c>
      <c r="K7817" s="63">
        <f t="shared" si="4532"/>
        <v>0.51999999999999991</v>
      </c>
      <c r="L7817" s="1212" t="s">
        <v>4357</v>
      </c>
      <c r="M7817" s="468"/>
      <c r="N7817" s="1192">
        <f t="shared" si="4546"/>
        <v>45805</v>
      </c>
      <c r="O7817" s="71" t="s">
        <v>94</v>
      </c>
      <c r="P7817" s="103" t="str">
        <f t="shared" si="4547"/>
        <v>주머니 필터백</v>
      </c>
      <c r="Q7817" s="71">
        <f t="shared" si="4533"/>
        <v>4</v>
      </c>
      <c r="R7817" s="102">
        <v>24000</v>
      </c>
      <c r="S7817" s="102">
        <f t="shared" si="4536"/>
        <v>105600.00000000001</v>
      </c>
      <c r="T7817" s="102">
        <f t="shared" si="4537"/>
        <v>96000</v>
      </c>
      <c r="U7817" s="71"/>
      <c r="V7817" s="71"/>
      <c r="W7817" s="474"/>
      <c r="X7817" s="71"/>
      <c r="Y7817" s="71"/>
    </row>
    <row r="7818" spans="1:25" ht="30" customHeight="1" x14ac:dyDescent="0.25">
      <c r="A7818" s="1145">
        <v>45806</v>
      </c>
      <c r="B7818" s="664" t="s">
        <v>2536</v>
      </c>
      <c r="C7818" s="71" t="s">
        <v>3590</v>
      </c>
      <c r="D7818" s="71">
        <v>100</v>
      </c>
      <c r="E7818" s="102">
        <v>24000</v>
      </c>
      <c r="F7818" s="102">
        <f t="shared" si="4544"/>
        <v>2640000</v>
      </c>
      <c r="G7818" s="102">
        <f t="shared" si="4545"/>
        <v>2400000</v>
      </c>
      <c r="H7818" s="690" t="s">
        <v>142</v>
      </c>
      <c r="I7818" s="71" t="s">
        <v>179</v>
      </c>
      <c r="J7818" s="53">
        <f t="shared" si="4531"/>
        <v>760000</v>
      </c>
      <c r="K7818" s="63">
        <f t="shared" si="4532"/>
        <v>0.31666666666666665</v>
      </c>
      <c r="L7818" s="1212" t="s">
        <v>4357</v>
      </c>
      <c r="M7818" s="468"/>
      <c r="N7818" s="1192">
        <f t="shared" si="4546"/>
        <v>45806</v>
      </c>
      <c r="O7818" s="71" t="s">
        <v>3709</v>
      </c>
      <c r="P7818" s="103" t="str">
        <f t="shared" si="4547"/>
        <v>3M 양면 테이프</v>
      </c>
      <c r="Q7818" s="71">
        <f t="shared" si="4533"/>
        <v>100</v>
      </c>
      <c r="R7818" s="102">
        <v>16400</v>
      </c>
      <c r="S7818" s="102">
        <f t="shared" si="4536"/>
        <v>1804000.0000000002</v>
      </c>
      <c r="T7818" s="102">
        <f t="shared" si="4537"/>
        <v>1640000</v>
      </c>
      <c r="U7818" s="71"/>
      <c r="V7818" s="71"/>
      <c r="W7818" s="474"/>
      <c r="X7818" s="71"/>
      <c r="Y7818" s="71"/>
    </row>
    <row r="7819" spans="1:25" s="209" customFormat="1" ht="29.45" hidden="1" customHeight="1" x14ac:dyDescent="0.2">
      <c r="A7819" s="1145">
        <v>45786</v>
      </c>
      <c r="B7819" s="664" t="s">
        <v>4059</v>
      </c>
      <c r="C7819" s="71" t="s">
        <v>4061</v>
      </c>
      <c r="D7819" s="71">
        <v>10</v>
      </c>
      <c r="E7819" s="102">
        <v>130000</v>
      </c>
      <c r="F7819" s="102">
        <f t="shared" si="4544"/>
        <v>1430000</v>
      </c>
      <c r="G7819" s="102">
        <f t="shared" si="4545"/>
        <v>1300000</v>
      </c>
      <c r="H7819" s="165" t="s">
        <v>172</v>
      </c>
      <c r="I7819" s="71" t="s">
        <v>184</v>
      </c>
      <c r="J7819" s="53">
        <f t="shared" si="4531"/>
        <v>180000</v>
      </c>
      <c r="K7819" s="63">
        <f t="shared" si="4532"/>
        <v>0.13846153846153847</v>
      </c>
      <c r="L7819" s="1212" t="s">
        <v>4357</v>
      </c>
      <c r="M7819" s="468"/>
      <c r="N7819" s="1192">
        <f t="shared" si="4546"/>
        <v>45786</v>
      </c>
      <c r="O7819" s="71" t="s">
        <v>189</v>
      </c>
      <c r="P7819" s="103" t="str">
        <f t="shared" si="4547"/>
        <v>M600 Blanket(990*725)</v>
      </c>
      <c r="Q7819" s="71">
        <f t="shared" si="4533"/>
        <v>10</v>
      </c>
      <c r="R7819" s="102">
        <v>112000</v>
      </c>
      <c r="S7819" s="102">
        <f t="shared" si="4536"/>
        <v>1232000</v>
      </c>
      <c r="T7819" s="102">
        <f t="shared" si="4537"/>
        <v>1120000</v>
      </c>
      <c r="U7819" s="71" t="str">
        <f>IF(J7819=W7819,"O", "X")</f>
        <v>X</v>
      </c>
      <c r="V7819" s="71"/>
      <c r="W7819" s="474">
        <v>80000</v>
      </c>
      <c r="X7819" s="71"/>
      <c r="Y7819" s="71"/>
    </row>
    <row r="7820" spans="1:25" ht="30" hidden="1" customHeight="1" x14ac:dyDescent="0.25">
      <c r="A7820" s="1145">
        <v>45792</v>
      </c>
      <c r="B7820" s="664" t="s">
        <v>4059</v>
      </c>
      <c r="C7820" s="71" t="s">
        <v>4060</v>
      </c>
      <c r="D7820" s="71">
        <v>10</v>
      </c>
      <c r="E7820" s="102">
        <v>187000</v>
      </c>
      <c r="F7820" s="102">
        <f t="shared" si="4544"/>
        <v>2057000.0000000002</v>
      </c>
      <c r="G7820" s="102">
        <f t="shared" si="4545"/>
        <v>1870000</v>
      </c>
      <c r="H7820" s="690" t="s">
        <v>2029</v>
      </c>
      <c r="I7820" s="71" t="s">
        <v>109</v>
      </c>
      <c r="J7820" s="53">
        <f t="shared" si="4531"/>
        <v>170000</v>
      </c>
      <c r="K7820" s="63">
        <f t="shared" si="4532"/>
        <v>9.0909090909090898E-2</v>
      </c>
      <c r="L7820" s="1212" t="s">
        <v>4357</v>
      </c>
      <c r="M7820" s="102"/>
      <c r="N7820" s="1192">
        <f t="shared" si="4546"/>
        <v>45792</v>
      </c>
      <c r="O7820" s="71" t="s">
        <v>189</v>
      </c>
      <c r="P7820" s="103" t="str">
        <f t="shared" si="4547"/>
        <v>미쯔비시 윤전용 블랑켓 1155*910</v>
      </c>
      <c r="Q7820" s="71">
        <f t="shared" si="4533"/>
        <v>10</v>
      </c>
      <c r="R7820" s="102">
        <v>170000</v>
      </c>
      <c r="S7820" s="102">
        <f t="shared" si="4536"/>
        <v>1870000.0000000002</v>
      </c>
      <c r="T7820" s="102">
        <f t="shared" si="4537"/>
        <v>1700000</v>
      </c>
      <c r="U7820" s="71"/>
      <c r="V7820" s="71"/>
      <c r="W7820" s="474"/>
      <c r="X7820" s="71"/>
      <c r="Y7820" s="71"/>
    </row>
    <row r="7821" spans="1:25" s="209" customFormat="1" ht="31.15" hidden="1" customHeight="1" x14ac:dyDescent="0.2">
      <c r="A7821" s="1145">
        <v>45777</v>
      </c>
      <c r="B7821" s="664" t="s">
        <v>3289</v>
      </c>
      <c r="C7821" s="71" t="s">
        <v>3387</v>
      </c>
      <c r="D7821" s="71">
        <v>10</v>
      </c>
      <c r="E7821" s="102">
        <v>130000</v>
      </c>
      <c r="F7821" s="102">
        <f t="shared" si="4544"/>
        <v>1430000</v>
      </c>
      <c r="G7821" s="102">
        <f t="shared" si="4545"/>
        <v>1300000</v>
      </c>
      <c r="H7821" s="165" t="s">
        <v>172</v>
      </c>
      <c r="I7821" s="71" t="s">
        <v>184</v>
      </c>
      <c r="J7821" s="53">
        <f t="shared" si="4531"/>
        <v>180000</v>
      </c>
      <c r="K7821" s="63">
        <f t="shared" si="4532"/>
        <v>0.13846153846153847</v>
      </c>
      <c r="L7821" s="1212" t="s">
        <v>4357</v>
      </c>
      <c r="M7821" s="468"/>
      <c r="N7821" s="1192">
        <f t="shared" si="4546"/>
        <v>45777</v>
      </c>
      <c r="O7821" s="71" t="s">
        <v>189</v>
      </c>
      <c r="P7821" s="103" t="str">
        <f t="shared" si="4547"/>
        <v>Blanket(990*725)</v>
      </c>
      <c r="Q7821" s="71">
        <f t="shared" si="4533"/>
        <v>10</v>
      </c>
      <c r="R7821" s="102">
        <v>112000</v>
      </c>
      <c r="S7821" s="102">
        <f t="shared" si="4536"/>
        <v>1232000</v>
      </c>
      <c r="T7821" s="102">
        <f t="shared" si="4537"/>
        <v>1120000</v>
      </c>
      <c r="U7821" s="71" t="str">
        <f>IF(J7821=W7821,"O", "X")</f>
        <v>X</v>
      </c>
      <c r="V7821" s="71"/>
      <c r="W7821" s="474">
        <v>80000</v>
      </c>
      <c r="X7821" s="71"/>
      <c r="Y7821" s="71"/>
    </row>
    <row r="7822" spans="1:25" ht="30" hidden="1" customHeight="1" x14ac:dyDescent="0.25">
      <c r="A7822" s="1145">
        <v>45777</v>
      </c>
      <c r="B7822" s="664" t="s">
        <v>2261</v>
      </c>
      <c r="C7822" s="760" t="s">
        <v>181</v>
      </c>
      <c r="D7822" s="71">
        <v>5</v>
      </c>
      <c r="E7822" s="102">
        <v>193000</v>
      </c>
      <c r="F7822" s="102">
        <f t="shared" si="4544"/>
        <v>1061500</v>
      </c>
      <c r="G7822" s="102">
        <f t="shared" si="4545"/>
        <v>965000</v>
      </c>
      <c r="H7822" s="690" t="s">
        <v>2029</v>
      </c>
      <c r="I7822" s="71" t="s">
        <v>182</v>
      </c>
      <c r="J7822" s="53">
        <f t="shared" si="4531"/>
        <v>345000</v>
      </c>
      <c r="K7822" s="63">
        <f t="shared" si="4532"/>
        <v>0.35751295336787564</v>
      </c>
      <c r="L7822" s="1212" t="s">
        <v>4357</v>
      </c>
      <c r="M7822" s="468"/>
      <c r="N7822" s="1192">
        <f t="shared" si="4546"/>
        <v>45777</v>
      </c>
      <c r="O7822" s="71" t="s">
        <v>2030</v>
      </c>
      <c r="P7822" s="103" t="str">
        <f t="shared" si="4547"/>
        <v>Fount Web 551AF</v>
      </c>
      <c r="Q7822" s="71">
        <f t="shared" si="4533"/>
        <v>5</v>
      </c>
      <c r="R7822" s="102">
        <v>124000</v>
      </c>
      <c r="S7822" s="102">
        <f t="shared" si="4536"/>
        <v>682000</v>
      </c>
      <c r="T7822" s="102">
        <f t="shared" si="4537"/>
        <v>620000</v>
      </c>
      <c r="U7822" s="71" t="str">
        <f>IF(J7822=W7822,"O", "X")</f>
        <v>X</v>
      </c>
      <c r="V7822" s="71"/>
      <c r="W7822" s="474">
        <v>640000</v>
      </c>
      <c r="X7822" s="71"/>
      <c r="Y7822" s="71"/>
    </row>
    <row r="7823" spans="1:25" ht="30" hidden="1" customHeight="1" x14ac:dyDescent="0.25">
      <c r="A7823" s="1145">
        <v>45777</v>
      </c>
      <c r="B7823" s="664" t="s">
        <v>2261</v>
      </c>
      <c r="C7823" s="71" t="s">
        <v>277</v>
      </c>
      <c r="D7823" s="71">
        <v>10</v>
      </c>
      <c r="E7823" s="102">
        <v>172000</v>
      </c>
      <c r="F7823" s="102">
        <f t="shared" si="4544"/>
        <v>1892000.0000000002</v>
      </c>
      <c r="G7823" s="102">
        <f t="shared" si="4545"/>
        <v>1720000</v>
      </c>
      <c r="H7823" s="690" t="s">
        <v>172</v>
      </c>
      <c r="I7823" s="71" t="s">
        <v>108</v>
      </c>
      <c r="J7823" s="53">
        <f t="shared" si="4531"/>
        <v>430000</v>
      </c>
      <c r="K7823" s="63">
        <f t="shared" si="4532"/>
        <v>0.24999999999999997</v>
      </c>
      <c r="L7823" s="1212" t="s">
        <v>4357</v>
      </c>
      <c r="M7823" s="468"/>
      <c r="N7823" s="1192">
        <f t="shared" si="4546"/>
        <v>45777</v>
      </c>
      <c r="O7823" s="71" t="s">
        <v>662</v>
      </c>
      <c r="P7823" s="103" t="str">
        <f t="shared" si="4547"/>
        <v>윤전용 세척제(Web 504)</v>
      </c>
      <c r="Q7823" s="71">
        <f t="shared" si="4533"/>
        <v>10</v>
      </c>
      <c r="R7823" s="102">
        <v>129000</v>
      </c>
      <c r="S7823" s="102">
        <f t="shared" si="4536"/>
        <v>1419000</v>
      </c>
      <c r="T7823" s="102">
        <f t="shared" si="4537"/>
        <v>1290000</v>
      </c>
      <c r="U7823" s="71" t="str">
        <f>IF(J7823=W7823,"O", "X")</f>
        <v>X</v>
      </c>
      <c r="V7823" s="71"/>
      <c r="W7823" s="474"/>
      <c r="X7823" s="71"/>
      <c r="Y7823" s="71"/>
    </row>
    <row r="7824" spans="1:25" ht="30" hidden="1" customHeight="1" x14ac:dyDescent="0.25">
      <c r="A7824" s="1145">
        <v>45784</v>
      </c>
      <c r="B7824" s="664" t="s">
        <v>2261</v>
      </c>
      <c r="C7824" s="71" t="s">
        <v>3299</v>
      </c>
      <c r="D7824" s="71">
        <v>10</v>
      </c>
      <c r="E7824" s="102">
        <v>52000</v>
      </c>
      <c r="F7824" s="102">
        <f t="shared" si="4544"/>
        <v>572000</v>
      </c>
      <c r="G7824" s="102">
        <f t="shared" si="4545"/>
        <v>520000</v>
      </c>
      <c r="H7824" s="690" t="s">
        <v>172</v>
      </c>
      <c r="I7824" s="71" t="s">
        <v>180</v>
      </c>
      <c r="J7824" s="53">
        <f t="shared" si="4531"/>
        <v>45000</v>
      </c>
      <c r="K7824" s="63">
        <f t="shared" si="4532"/>
        <v>8.6538461538461536E-2</v>
      </c>
      <c r="L7824" s="1212" t="s">
        <v>4357</v>
      </c>
      <c r="M7824" s="468" t="s">
        <v>3835</v>
      </c>
      <c r="N7824" s="1192">
        <f t="shared" si="4546"/>
        <v>45784</v>
      </c>
      <c r="O7824" s="71" t="s">
        <v>175</v>
      </c>
      <c r="P7824" s="103" t="str">
        <f t="shared" si="4547"/>
        <v>매엽용 세척제(Wash k11)</v>
      </c>
      <c r="Q7824" s="71">
        <f t="shared" si="4533"/>
        <v>10</v>
      </c>
      <c r="R7824" s="102">
        <v>47500</v>
      </c>
      <c r="S7824" s="102">
        <f t="shared" si="4536"/>
        <v>522500.00000000006</v>
      </c>
      <c r="T7824" s="102">
        <f t="shared" si="4537"/>
        <v>475000</v>
      </c>
      <c r="U7824" s="71" t="s">
        <v>859</v>
      </c>
      <c r="V7824" s="71"/>
      <c r="W7824" s="474"/>
      <c r="X7824" s="71"/>
      <c r="Y7824" s="71"/>
    </row>
    <row r="7825" spans="1:25" ht="30" hidden="1" customHeight="1" x14ac:dyDescent="0.25">
      <c r="A7825" s="1145">
        <v>45789</v>
      </c>
      <c r="B7825" s="664" t="s">
        <v>2261</v>
      </c>
      <c r="C7825" s="760" t="s">
        <v>181</v>
      </c>
      <c r="D7825" s="71">
        <v>5</v>
      </c>
      <c r="E7825" s="102">
        <v>193000</v>
      </c>
      <c r="F7825" s="102">
        <f t="shared" si="4544"/>
        <v>1061500</v>
      </c>
      <c r="G7825" s="102">
        <f t="shared" si="4545"/>
        <v>965000</v>
      </c>
      <c r="H7825" s="690" t="s">
        <v>2029</v>
      </c>
      <c r="I7825" s="71" t="s">
        <v>182</v>
      </c>
      <c r="J7825" s="53">
        <f t="shared" si="4531"/>
        <v>345000</v>
      </c>
      <c r="K7825" s="63">
        <f t="shared" si="4532"/>
        <v>0.35751295336787564</v>
      </c>
      <c r="L7825" s="1212" t="s">
        <v>4357</v>
      </c>
      <c r="M7825" s="468"/>
      <c r="N7825" s="1192">
        <f t="shared" si="4546"/>
        <v>45789</v>
      </c>
      <c r="O7825" s="71" t="s">
        <v>2030</v>
      </c>
      <c r="P7825" s="103" t="str">
        <f t="shared" si="4547"/>
        <v>Fount Web 551AF</v>
      </c>
      <c r="Q7825" s="71">
        <f t="shared" si="4533"/>
        <v>5</v>
      </c>
      <c r="R7825" s="102">
        <v>124000</v>
      </c>
      <c r="S7825" s="102">
        <f t="shared" si="4536"/>
        <v>682000</v>
      </c>
      <c r="T7825" s="102">
        <f t="shared" si="4537"/>
        <v>620000</v>
      </c>
      <c r="U7825" s="71" t="str">
        <f>IF(J7825=W7825,"O", "X")</f>
        <v>X</v>
      </c>
      <c r="V7825" s="71"/>
      <c r="W7825" s="474">
        <v>640000</v>
      </c>
      <c r="X7825" s="71"/>
      <c r="Y7825" s="71"/>
    </row>
    <row r="7826" spans="1:25" ht="30" hidden="1" customHeight="1" x14ac:dyDescent="0.25">
      <c r="A7826" s="1145">
        <v>45789</v>
      </c>
      <c r="B7826" s="664" t="s">
        <v>2261</v>
      </c>
      <c r="C7826" s="71" t="s">
        <v>277</v>
      </c>
      <c r="D7826" s="71">
        <v>5</v>
      </c>
      <c r="E7826" s="102">
        <v>172000</v>
      </c>
      <c r="F7826" s="102">
        <f t="shared" ref="F7826:F7828" si="4548">(E7826*D7826)*1.1</f>
        <v>946000.00000000012</v>
      </c>
      <c r="G7826" s="102">
        <f t="shared" ref="G7826:G7828" si="4549">(E7826*D7826)</f>
        <v>860000</v>
      </c>
      <c r="H7826" s="690" t="s">
        <v>172</v>
      </c>
      <c r="I7826" s="71" t="s">
        <v>108</v>
      </c>
      <c r="J7826" s="53">
        <f t="shared" si="4531"/>
        <v>215000</v>
      </c>
      <c r="K7826" s="63">
        <f t="shared" si="4532"/>
        <v>0.24999999999999997</v>
      </c>
      <c r="L7826" s="1212" t="s">
        <v>4357</v>
      </c>
      <c r="M7826" s="468"/>
      <c r="N7826" s="1192">
        <f t="shared" ref="N7826:N7828" si="4550">A7826</f>
        <v>45789</v>
      </c>
      <c r="O7826" s="71" t="s">
        <v>662</v>
      </c>
      <c r="P7826" s="103" t="str">
        <f t="shared" ref="P7826:P7828" si="4551">(C7826)</f>
        <v>윤전용 세척제(Web 504)</v>
      </c>
      <c r="Q7826" s="71">
        <f t="shared" si="4533"/>
        <v>5</v>
      </c>
      <c r="R7826" s="102">
        <v>129000</v>
      </c>
      <c r="S7826" s="102">
        <f t="shared" si="4536"/>
        <v>709500</v>
      </c>
      <c r="T7826" s="102">
        <f t="shared" si="4537"/>
        <v>645000</v>
      </c>
      <c r="U7826" s="71" t="str">
        <f>IF(J7826=W7826,"O", "X")</f>
        <v>X</v>
      </c>
      <c r="V7826" s="71"/>
      <c r="W7826" s="474"/>
      <c r="X7826" s="71"/>
      <c r="Y7826" s="71"/>
    </row>
    <row r="7827" spans="1:25" ht="30" hidden="1" customHeight="1" x14ac:dyDescent="0.25">
      <c r="A7827" s="1145">
        <v>45792</v>
      </c>
      <c r="B7827" s="664" t="s">
        <v>2261</v>
      </c>
      <c r="C7827" s="71" t="s">
        <v>3299</v>
      </c>
      <c r="D7827" s="71">
        <v>10</v>
      </c>
      <c r="E7827" s="102">
        <v>52000</v>
      </c>
      <c r="F7827" s="102">
        <f t="shared" si="4548"/>
        <v>572000</v>
      </c>
      <c r="G7827" s="102">
        <f t="shared" si="4549"/>
        <v>520000</v>
      </c>
      <c r="H7827" s="690" t="s">
        <v>172</v>
      </c>
      <c r="I7827" s="71" t="s">
        <v>180</v>
      </c>
      <c r="J7827" s="53">
        <f t="shared" si="4531"/>
        <v>45000</v>
      </c>
      <c r="K7827" s="63">
        <f t="shared" si="4532"/>
        <v>8.6538461538461536E-2</v>
      </c>
      <c r="L7827" s="1212" t="s">
        <v>4357</v>
      </c>
      <c r="M7827" s="468" t="s">
        <v>3835</v>
      </c>
      <c r="N7827" s="1192">
        <f t="shared" si="4550"/>
        <v>45792</v>
      </c>
      <c r="O7827" s="71" t="s">
        <v>175</v>
      </c>
      <c r="P7827" s="103" t="str">
        <f t="shared" si="4551"/>
        <v>매엽용 세척제(Wash k11)</v>
      </c>
      <c r="Q7827" s="71">
        <f t="shared" si="4533"/>
        <v>10</v>
      </c>
      <c r="R7827" s="102">
        <v>47500</v>
      </c>
      <c r="S7827" s="102">
        <f t="shared" si="4536"/>
        <v>522500.00000000006</v>
      </c>
      <c r="T7827" s="102">
        <f t="shared" si="4537"/>
        <v>475000</v>
      </c>
      <c r="U7827" s="71" t="s">
        <v>859</v>
      </c>
      <c r="V7827" s="71"/>
      <c r="W7827" s="474"/>
      <c r="X7827" s="71"/>
      <c r="Y7827" s="71"/>
    </row>
    <row r="7828" spans="1:25" ht="30" hidden="1" customHeight="1" x14ac:dyDescent="0.25">
      <c r="A7828" s="1145">
        <v>45797</v>
      </c>
      <c r="B7828" s="664" t="s">
        <v>2261</v>
      </c>
      <c r="C7828" s="760" t="s">
        <v>181</v>
      </c>
      <c r="D7828" s="71">
        <v>5</v>
      </c>
      <c r="E7828" s="102">
        <v>193000</v>
      </c>
      <c r="F7828" s="102">
        <f t="shared" si="4548"/>
        <v>1061500</v>
      </c>
      <c r="G7828" s="102">
        <f t="shared" si="4549"/>
        <v>965000</v>
      </c>
      <c r="H7828" s="690" t="s">
        <v>2029</v>
      </c>
      <c r="I7828" s="71" t="s">
        <v>182</v>
      </c>
      <c r="J7828" s="53">
        <f t="shared" si="4531"/>
        <v>345000</v>
      </c>
      <c r="K7828" s="63">
        <f t="shared" si="4532"/>
        <v>0.35751295336787564</v>
      </c>
      <c r="L7828" s="1212" t="s">
        <v>4357</v>
      </c>
      <c r="M7828" s="468"/>
      <c r="N7828" s="1192">
        <f t="shared" si="4550"/>
        <v>45797</v>
      </c>
      <c r="O7828" s="71" t="s">
        <v>2030</v>
      </c>
      <c r="P7828" s="103" t="str">
        <f t="shared" si="4551"/>
        <v>Fount Web 551AF</v>
      </c>
      <c r="Q7828" s="71">
        <f t="shared" si="4533"/>
        <v>5</v>
      </c>
      <c r="R7828" s="102">
        <v>124000</v>
      </c>
      <c r="S7828" s="102">
        <f t="shared" si="4536"/>
        <v>682000</v>
      </c>
      <c r="T7828" s="102">
        <f t="shared" si="4537"/>
        <v>620000</v>
      </c>
      <c r="U7828" s="71" t="str">
        <f>IF(J7828=W7828,"O", "X")</f>
        <v>X</v>
      </c>
      <c r="V7828" s="71"/>
      <c r="W7828" s="474">
        <v>640000</v>
      </c>
      <c r="X7828" s="71"/>
      <c r="Y7828" s="71"/>
    </row>
    <row r="7829" spans="1:25" ht="30" hidden="1" customHeight="1" x14ac:dyDescent="0.25">
      <c r="A7829" s="1145">
        <v>45797</v>
      </c>
      <c r="B7829" s="664" t="s">
        <v>2261</v>
      </c>
      <c r="C7829" s="71" t="s">
        <v>277</v>
      </c>
      <c r="D7829" s="71">
        <v>10</v>
      </c>
      <c r="E7829" s="102">
        <v>172000</v>
      </c>
      <c r="F7829" s="102">
        <f t="shared" ref="F7829:F7837" si="4552">(E7829*D7829)*1.1</f>
        <v>1892000.0000000002</v>
      </c>
      <c r="G7829" s="102">
        <f t="shared" ref="G7829:G7833" si="4553">(E7829*D7829)</f>
        <v>1720000</v>
      </c>
      <c r="H7829" s="690" t="s">
        <v>172</v>
      </c>
      <c r="I7829" s="71" t="s">
        <v>108</v>
      </c>
      <c r="J7829" s="53">
        <f t="shared" si="4531"/>
        <v>430000</v>
      </c>
      <c r="K7829" s="63">
        <f t="shared" si="4532"/>
        <v>0.24999999999999997</v>
      </c>
      <c r="L7829" s="1212" t="s">
        <v>4357</v>
      </c>
      <c r="M7829" s="468"/>
      <c r="N7829" s="1192">
        <f t="shared" ref="N7829:N7837" si="4554">A7829</f>
        <v>45797</v>
      </c>
      <c r="O7829" s="71" t="s">
        <v>662</v>
      </c>
      <c r="P7829" s="103" t="str">
        <f t="shared" ref="P7829:P7837" si="4555">(C7829)</f>
        <v>윤전용 세척제(Web 504)</v>
      </c>
      <c r="Q7829" s="71">
        <f t="shared" si="4533"/>
        <v>10</v>
      </c>
      <c r="R7829" s="102">
        <v>129000</v>
      </c>
      <c r="S7829" s="102">
        <f t="shared" si="4536"/>
        <v>1419000</v>
      </c>
      <c r="T7829" s="102">
        <f t="shared" si="4537"/>
        <v>1290000</v>
      </c>
      <c r="U7829" s="71" t="str">
        <f>IF(J7829=W7829,"O", "X")</f>
        <v>X</v>
      </c>
      <c r="V7829" s="71"/>
      <c r="W7829" s="474"/>
      <c r="X7829" s="71"/>
      <c r="Y7829" s="71"/>
    </row>
    <row r="7830" spans="1:25" ht="30" hidden="1" customHeight="1" x14ac:dyDescent="0.25">
      <c r="A7830" s="1145">
        <v>45800</v>
      </c>
      <c r="B7830" s="664" t="s">
        <v>2261</v>
      </c>
      <c r="C7830" s="71" t="s">
        <v>3299</v>
      </c>
      <c r="D7830" s="71">
        <v>10</v>
      </c>
      <c r="E7830" s="102">
        <v>52000</v>
      </c>
      <c r="F7830" s="102">
        <f t="shared" si="4552"/>
        <v>572000</v>
      </c>
      <c r="G7830" s="102">
        <f t="shared" si="4553"/>
        <v>520000</v>
      </c>
      <c r="H7830" s="690" t="s">
        <v>172</v>
      </c>
      <c r="I7830" s="71" t="s">
        <v>180</v>
      </c>
      <c r="J7830" s="53">
        <f t="shared" si="4531"/>
        <v>45000</v>
      </c>
      <c r="K7830" s="63">
        <f t="shared" si="4532"/>
        <v>8.6538461538461536E-2</v>
      </c>
      <c r="L7830" s="1212" t="s">
        <v>4357</v>
      </c>
      <c r="M7830" s="468" t="s">
        <v>3835</v>
      </c>
      <c r="N7830" s="1192">
        <f t="shared" si="4554"/>
        <v>45800</v>
      </c>
      <c r="O7830" s="71" t="s">
        <v>175</v>
      </c>
      <c r="P7830" s="103" t="str">
        <f t="shared" si="4555"/>
        <v>매엽용 세척제(Wash k11)</v>
      </c>
      <c r="Q7830" s="71">
        <f t="shared" si="4533"/>
        <v>10</v>
      </c>
      <c r="R7830" s="102">
        <v>47500</v>
      </c>
      <c r="S7830" s="102">
        <f t="shared" si="4536"/>
        <v>522500.00000000006</v>
      </c>
      <c r="T7830" s="102">
        <f t="shared" si="4537"/>
        <v>475000</v>
      </c>
      <c r="U7830" s="71" t="s">
        <v>859</v>
      </c>
      <c r="V7830" s="71"/>
      <c r="W7830" s="474"/>
      <c r="X7830" s="71"/>
      <c r="Y7830" s="71"/>
    </row>
    <row r="7831" spans="1:25" ht="30" hidden="1" customHeight="1" x14ac:dyDescent="0.25">
      <c r="A7831" s="1145">
        <v>45806</v>
      </c>
      <c r="B7831" s="664" t="s">
        <v>2261</v>
      </c>
      <c r="C7831" s="760" t="s">
        <v>181</v>
      </c>
      <c r="D7831" s="71">
        <v>5</v>
      </c>
      <c r="E7831" s="102">
        <v>193000</v>
      </c>
      <c r="F7831" s="102">
        <f t="shared" si="4552"/>
        <v>1061500</v>
      </c>
      <c r="G7831" s="102">
        <f t="shared" si="4553"/>
        <v>965000</v>
      </c>
      <c r="H7831" s="690" t="s">
        <v>2029</v>
      </c>
      <c r="I7831" s="71" t="s">
        <v>182</v>
      </c>
      <c r="J7831" s="53">
        <f t="shared" si="4531"/>
        <v>345000</v>
      </c>
      <c r="K7831" s="63">
        <f t="shared" si="4532"/>
        <v>0.35751295336787564</v>
      </c>
      <c r="L7831" s="1212" t="s">
        <v>4357</v>
      </c>
      <c r="M7831" s="468"/>
      <c r="N7831" s="1192">
        <f t="shared" si="4554"/>
        <v>45806</v>
      </c>
      <c r="O7831" s="71" t="s">
        <v>2030</v>
      </c>
      <c r="P7831" s="103" t="str">
        <f t="shared" si="4555"/>
        <v>Fount Web 551AF</v>
      </c>
      <c r="Q7831" s="71">
        <f t="shared" si="4533"/>
        <v>5</v>
      </c>
      <c r="R7831" s="102">
        <v>124000</v>
      </c>
      <c r="S7831" s="102">
        <f t="shared" si="4536"/>
        <v>682000</v>
      </c>
      <c r="T7831" s="102">
        <f t="shared" si="4537"/>
        <v>620000</v>
      </c>
      <c r="U7831" s="71" t="str">
        <f>IF(J7831=W7831,"O", "X")</f>
        <v>X</v>
      </c>
      <c r="V7831" s="71"/>
      <c r="W7831" s="474">
        <v>640000</v>
      </c>
      <c r="X7831" s="71"/>
      <c r="Y7831" s="71"/>
    </row>
    <row r="7832" spans="1:25" ht="30" hidden="1" customHeight="1" x14ac:dyDescent="0.25">
      <c r="A7832" s="1145">
        <v>45806</v>
      </c>
      <c r="B7832" s="664" t="s">
        <v>2261</v>
      </c>
      <c r="C7832" s="71" t="s">
        <v>277</v>
      </c>
      <c r="D7832" s="71">
        <v>5</v>
      </c>
      <c r="E7832" s="102">
        <v>172000</v>
      </c>
      <c r="F7832" s="102">
        <f t="shared" si="4552"/>
        <v>946000.00000000012</v>
      </c>
      <c r="G7832" s="102">
        <f t="shared" si="4553"/>
        <v>860000</v>
      </c>
      <c r="H7832" s="690" t="s">
        <v>172</v>
      </c>
      <c r="I7832" s="71" t="s">
        <v>108</v>
      </c>
      <c r="J7832" s="53">
        <f t="shared" si="4531"/>
        <v>215000</v>
      </c>
      <c r="K7832" s="63">
        <f t="shared" si="4532"/>
        <v>0.24999999999999997</v>
      </c>
      <c r="L7832" s="1212" t="s">
        <v>4357</v>
      </c>
      <c r="M7832" s="468"/>
      <c r="N7832" s="1192">
        <f t="shared" si="4554"/>
        <v>45806</v>
      </c>
      <c r="O7832" s="71" t="s">
        <v>662</v>
      </c>
      <c r="P7832" s="103" t="str">
        <f t="shared" si="4555"/>
        <v>윤전용 세척제(Web 504)</v>
      </c>
      <c r="Q7832" s="71">
        <f t="shared" si="4533"/>
        <v>5</v>
      </c>
      <c r="R7832" s="102">
        <v>129000</v>
      </c>
      <c r="S7832" s="102">
        <f t="shared" si="4536"/>
        <v>709500</v>
      </c>
      <c r="T7832" s="102">
        <f t="shared" si="4537"/>
        <v>645000</v>
      </c>
      <c r="U7832" s="71" t="str">
        <f>IF(J7832=W7832,"O", "X")</f>
        <v>X</v>
      </c>
      <c r="V7832" s="71"/>
      <c r="W7832" s="474"/>
      <c r="X7832" s="71"/>
      <c r="Y7832" s="71"/>
    </row>
    <row r="7833" spans="1:25" ht="30" hidden="1" customHeight="1" x14ac:dyDescent="0.25">
      <c r="A7833" s="1145">
        <v>45784</v>
      </c>
      <c r="B7833" s="664" t="s">
        <v>442</v>
      </c>
      <c r="C7833" s="71" t="s">
        <v>2031</v>
      </c>
      <c r="D7833" s="71">
        <v>10</v>
      </c>
      <c r="E7833" s="102">
        <v>50000</v>
      </c>
      <c r="F7833" s="102">
        <f t="shared" si="4552"/>
        <v>550000</v>
      </c>
      <c r="G7833" s="102">
        <f t="shared" si="4553"/>
        <v>500000</v>
      </c>
      <c r="H7833" s="690" t="s">
        <v>94</v>
      </c>
      <c r="I7833" s="71" t="s">
        <v>94</v>
      </c>
      <c r="J7833" s="53">
        <f t="shared" si="4531"/>
        <v>260000</v>
      </c>
      <c r="K7833" s="63">
        <f t="shared" si="4532"/>
        <v>0.52</v>
      </c>
      <c r="L7833" s="1212" t="s">
        <v>4357</v>
      </c>
      <c r="M7833" s="102"/>
      <c r="N7833" s="1192">
        <f t="shared" si="4554"/>
        <v>45784</v>
      </c>
      <c r="O7833" s="71" t="s">
        <v>94</v>
      </c>
      <c r="P7833" s="103" t="str">
        <f t="shared" si="4555"/>
        <v>필터백</v>
      </c>
      <c r="Q7833" s="71">
        <f t="shared" si="4533"/>
        <v>10</v>
      </c>
      <c r="R7833" s="102">
        <v>24000</v>
      </c>
      <c r="S7833" s="102">
        <f t="shared" si="4536"/>
        <v>264000</v>
      </c>
      <c r="T7833" s="102">
        <f t="shared" si="4537"/>
        <v>240000</v>
      </c>
      <c r="U7833" s="71"/>
      <c r="V7833" s="71"/>
      <c r="W7833" s="474"/>
      <c r="X7833" s="71"/>
      <c r="Y7833" s="71"/>
    </row>
    <row r="7834" spans="1:25" ht="30" hidden="1" customHeight="1" x14ac:dyDescent="0.25">
      <c r="A7834" s="1145">
        <v>45786</v>
      </c>
      <c r="B7834" s="664" t="s">
        <v>2</v>
      </c>
      <c r="C7834" s="71" t="s">
        <v>2075</v>
      </c>
      <c r="D7834" s="71">
        <v>2</v>
      </c>
      <c r="E7834" s="102">
        <v>90000</v>
      </c>
      <c r="F7834" s="102">
        <f t="shared" si="4552"/>
        <v>198000.00000000003</v>
      </c>
      <c r="G7834" s="102">
        <f>(E7834*D7834)</f>
        <v>180000</v>
      </c>
      <c r="H7834" s="690" t="s">
        <v>2029</v>
      </c>
      <c r="I7834" s="71" t="s">
        <v>2230</v>
      </c>
      <c r="J7834" s="53">
        <f t="shared" si="4531"/>
        <v>-4000</v>
      </c>
      <c r="K7834" s="63">
        <f t="shared" si="4532"/>
        <v>-2.222222222222222E-2</v>
      </c>
      <c r="L7834" s="1212" t="s">
        <v>4357</v>
      </c>
      <c r="M7834" s="468"/>
      <c r="N7834" s="1192">
        <f t="shared" si="4554"/>
        <v>45786</v>
      </c>
      <c r="O7834" s="71" t="s">
        <v>150</v>
      </c>
      <c r="P7834" s="103" t="str">
        <f t="shared" si="4555"/>
        <v>CTP 고무액</v>
      </c>
      <c r="Q7834" s="71">
        <f t="shared" si="4533"/>
        <v>2</v>
      </c>
      <c r="R7834" s="102">
        <v>92000</v>
      </c>
      <c r="S7834" s="102">
        <f t="shared" si="4536"/>
        <v>202400.00000000003</v>
      </c>
      <c r="T7834" s="102">
        <f t="shared" si="4537"/>
        <v>184000</v>
      </c>
      <c r="U7834" s="71" t="str">
        <f>IF(J7834=W7834,"O", "X")</f>
        <v>X</v>
      </c>
      <c r="V7834" s="71"/>
      <c r="W7834" s="474"/>
      <c r="X7834" s="71"/>
      <c r="Y7834" s="71"/>
    </row>
    <row r="7835" spans="1:25" ht="30" hidden="1" customHeight="1" x14ac:dyDescent="0.25">
      <c r="A7835" s="1145">
        <v>45800</v>
      </c>
      <c r="B7835" s="664" t="s">
        <v>442</v>
      </c>
      <c r="C7835" s="71" t="s">
        <v>3299</v>
      </c>
      <c r="D7835" s="71">
        <v>20</v>
      </c>
      <c r="E7835" s="102">
        <v>69000</v>
      </c>
      <c r="F7835" s="102">
        <f t="shared" si="4552"/>
        <v>1518000.0000000002</v>
      </c>
      <c r="G7835" s="102">
        <f t="shared" ref="G7835:G7837" si="4556">(E7835*D7835)</f>
        <v>1380000</v>
      </c>
      <c r="H7835" s="690" t="s">
        <v>172</v>
      </c>
      <c r="I7835" s="71" t="s">
        <v>180</v>
      </c>
      <c r="J7835" s="53">
        <f t="shared" si="4531"/>
        <v>430000</v>
      </c>
      <c r="K7835" s="63">
        <f t="shared" si="4532"/>
        <v>0.31159420289855067</v>
      </c>
      <c r="L7835" s="1212" t="s">
        <v>4357</v>
      </c>
      <c r="M7835" s="468" t="s">
        <v>3304</v>
      </c>
      <c r="N7835" s="1192">
        <f t="shared" si="4554"/>
        <v>45800</v>
      </c>
      <c r="O7835" s="71" t="s">
        <v>175</v>
      </c>
      <c r="P7835" s="103" t="str">
        <f t="shared" si="4555"/>
        <v>매엽용 세척제(Wash k11)</v>
      </c>
      <c r="Q7835" s="71">
        <f t="shared" si="4533"/>
        <v>20</v>
      </c>
      <c r="R7835" s="102">
        <v>47500</v>
      </c>
      <c r="S7835" s="102">
        <f t="shared" si="4536"/>
        <v>1045000.0000000001</v>
      </c>
      <c r="T7835" s="102">
        <f t="shared" si="4537"/>
        <v>950000</v>
      </c>
      <c r="U7835" s="71" t="s">
        <v>859</v>
      </c>
      <c r="V7835" s="71"/>
      <c r="W7835" s="474"/>
      <c r="X7835" s="71"/>
      <c r="Y7835" s="71"/>
    </row>
    <row r="7836" spans="1:25" s="209" customFormat="1" ht="30" hidden="1" customHeight="1" x14ac:dyDescent="0.25">
      <c r="A7836" s="1145">
        <v>45801</v>
      </c>
      <c r="B7836" s="664" t="s">
        <v>442</v>
      </c>
      <c r="C7836" s="71" t="s">
        <v>3833</v>
      </c>
      <c r="D7836" s="71">
        <v>1000</v>
      </c>
      <c r="E7836" s="102">
        <v>3850</v>
      </c>
      <c r="F7836" s="102">
        <f t="shared" si="4552"/>
        <v>4235000</v>
      </c>
      <c r="G7836" s="102">
        <f t="shared" si="4556"/>
        <v>3850000</v>
      </c>
      <c r="H7836" s="690" t="s">
        <v>2029</v>
      </c>
      <c r="I7836" s="71" t="s">
        <v>2230</v>
      </c>
      <c r="J7836" s="53">
        <f t="shared" si="4531"/>
        <v>400000</v>
      </c>
      <c r="K7836" s="63">
        <f t="shared" si="4532"/>
        <v>0.1038961038961039</v>
      </c>
      <c r="L7836" s="1212" t="s">
        <v>4357</v>
      </c>
      <c r="M7836" s="468"/>
      <c r="N7836" s="1192">
        <f t="shared" si="4554"/>
        <v>45801</v>
      </c>
      <c r="O7836" s="71" t="s">
        <v>2030</v>
      </c>
      <c r="P7836" s="103" t="str">
        <f t="shared" si="4555"/>
        <v>CTP 판 1030*790</v>
      </c>
      <c r="Q7836" s="71">
        <f t="shared" si="4533"/>
        <v>1000</v>
      </c>
      <c r="R7836" s="102">
        <v>3450</v>
      </c>
      <c r="S7836" s="102">
        <f t="shared" si="4536"/>
        <v>3795000.0000000005</v>
      </c>
      <c r="T7836" s="102">
        <f t="shared" si="4537"/>
        <v>3450000</v>
      </c>
      <c r="U7836" s="71"/>
      <c r="V7836" s="71"/>
      <c r="W7836" s="474"/>
      <c r="X7836" s="71"/>
      <c r="Y7836" s="71"/>
    </row>
    <row r="7837" spans="1:25" ht="30" hidden="1" customHeight="1" x14ac:dyDescent="0.25">
      <c r="A7837" s="1145">
        <v>45801</v>
      </c>
      <c r="B7837" s="664" t="s">
        <v>442</v>
      </c>
      <c r="C7837" s="71" t="s">
        <v>3834</v>
      </c>
      <c r="D7837" s="71">
        <v>7</v>
      </c>
      <c r="E7837" s="102">
        <v>57000</v>
      </c>
      <c r="F7837" s="102">
        <f t="shared" si="4552"/>
        <v>438900.00000000006</v>
      </c>
      <c r="G7837" s="102">
        <f t="shared" si="4556"/>
        <v>399000</v>
      </c>
      <c r="H7837" s="690" t="s">
        <v>2029</v>
      </c>
      <c r="I7837" s="71" t="s">
        <v>2230</v>
      </c>
      <c r="J7837" s="53">
        <f t="shared" si="4531"/>
        <v>100723</v>
      </c>
      <c r="K7837" s="63">
        <f t="shared" si="4532"/>
        <v>0.25243859649122802</v>
      </c>
      <c r="L7837" s="1212" t="s">
        <v>4357</v>
      </c>
      <c r="M7837" s="468"/>
      <c r="N7837" s="1192">
        <f t="shared" si="4554"/>
        <v>45801</v>
      </c>
      <c r="O7837" s="71" t="s">
        <v>2030</v>
      </c>
      <c r="P7837" s="103" t="str">
        <f t="shared" si="4555"/>
        <v>CTP 현상액</v>
      </c>
      <c r="Q7837" s="71">
        <f t="shared" si="4533"/>
        <v>7</v>
      </c>
      <c r="R7837" s="102">
        <v>42611</v>
      </c>
      <c r="S7837" s="102">
        <f t="shared" si="4536"/>
        <v>328104.7</v>
      </c>
      <c r="T7837" s="102">
        <f t="shared" si="4537"/>
        <v>298277</v>
      </c>
      <c r="U7837" s="71"/>
      <c r="V7837" s="71"/>
      <c r="W7837" s="474"/>
      <c r="X7837" s="71"/>
      <c r="Y7837" s="71"/>
    </row>
    <row r="7838" spans="1:25" ht="30" hidden="1" customHeight="1" x14ac:dyDescent="0.25">
      <c r="A7838" s="1145">
        <v>45801</v>
      </c>
      <c r="B7838" s="664" t="s">
        <v>2</v>
      </c>
      <c r="C7838" s="71" t="s">
        <v>2075</v>
      </c>
      <c r="D7838" s="71">
        <v>1</v>
      </c>
      <c r="E7838" s="102">
        <v>180000</v>
      </c>
      <c r="F7838" s="102">
        <f t="shared" ref="F7838:F7842" si="4557">(E7838*D7838)*1.1</f>
        <v>198000.00000000003</v>
      </c>
      <c r="G7838" s="102">
        <f>(E7838*D7838)</f>
        <v>180000</v>
      </c>
      <c r="H7838" s="690" t="s">
        <v>2029</v>
      </c>
      <c r="I7838" s="71" t="s">
        <v>2230</v>
      </c>
      <c r="J7838" s="53">
        <f t="shared" si="4531"/>
        <v>88000</v>
      </c>
      <c r="K7838" s="63">
        <f t="shared" si="4532"/>
        <v>0.48888888888888882</v>
      </c>
      <c r="L7838" s="1212" t="s">
        <v>4357</v>
      </c>
      <c r="M7838" s="468"/>
      <c r="N7838" s="1192">
        <f t="shared" ref="N7838:N7848" si="4558">A7838</f>
        <v>45801</v>
      </c>
      <c r="O7838" s="71" t="s">
        <v>150</v>
      </c>
      <c r="P7838" s="103" t="str">
        <f t="shared" ref="P7838:P7848" si="4559">(C7838)</f>
        <v>CTP 고무액</v>
      </c>
      <c r="Q7838" s="71">
        <f t="shared" si="4533"/>
        <v>1</v>
      </c>
      <c r="R7838" s="102">
        <v>92000</v>
      </c>
      <c r="S7838" s="102">
        <f t="shared" si="4536"/>
        <v>101200.00000000001</v>
      </c>
      <c r="T7838" s="102">
        <f t="shared" si="4537"/>
        <v>92000</v>
      </c>
      <c r="U7838" s="71" t="str">
        <f>IF(J7838=W7838,"O", "X")</f>
        <v>X</v>
      </c>
      <c r="V7838" s="71"/>
      <c r="W7838" s="474"/>
      <c r="X7838" s="71"/>
      <c r="Y7838" s="71"/>
    </row>
    <row r="7839" spans="1:25" ht="29.45" hidden="1" customHeight="1" x14ac:dyDescent="0.25">
      <c r="A7839" s="1145">
        <v>45790</v>
      </c>
      <c r="B7839" s="664" t="s">
        <v>3296</v>
      </c>
      <c r="C7839" s="71" t="s">
        <v>3297</v>
      </c>
      <c r="D7839" s="71">
        <v>20</v>
      </c>
      <c r="E7839" s="102">
        <v>162500</v>
      </c>
      <c r="F7839" s="102">
        <f t="shared" si="4557"/>
        <v>3575000.0000000005</v>
      </c>
      <c r="G7839" s="102">
        <f t="shared" ref="G7839:G7842" si="4560">(E7839*D7839)</f>
        <v>3250000</v>
      </c>
      <c r="H7839" s="690" t="s">
        <v>172</v>
      </c>
      <c r="I7839" s="71" t="s">
        <v>3295</v>
      </c>
      <c r="J7839" s="53">
        <f t="shared" si="4531"/>
        <v>850000</v>
      </c>
      <c r="K7839" s="63">
        <f t="shared" si="4532"/>
        <v>0.2615384615384615</v>
      </c>
      <c r="L7839" s="1212" t="s">
        <v>4357</v>
      </c>
      <c r="M7839" s="468"/>
      <c r="N7839" s="1192">
        <f t="shared" si="4558"/>
        <v>45790</v>
      </c>
      <c r="O7839" s="71" t="s">
        <v>662</v>
      </c>
      <c r="P7839" s="103" t="str">
        <f t="shared" si="4559"/>
        <v>실리콘 에멀전</v>
      </c>
      <c r="Q7839" s="71">
        <f t="shared" si="4533"/>
        <v>20</v>
      </c>
      <c r="R7839" s="102">
        <v>120000</v>
      </c>
      <c r="S7839" s="102">
        <f t="shared" si="4536"/>
        <v>2640000</v>
      </c>
      <c r="T7839" s="102">
        <f t="shared" si="4537"/>
        <v>2400000</v>
      </c>
      <c r="U7839" s="71" t="str">
        <f t="shared" ref="U7839:U7840" si="4561">IF(J7839=W7839,"O", "X")</f>
        <v>X</v>
      </c>
      <c r="V7839" s="71"/>
      <c r="W7839" s="474"/>
      <c r="X7839" s="71"/>
      <c r="Y7839" s="71"/>
    </row>
    <row r="7840" spans="1:25" ht="29.45" hidden="1" customHeight="1" x14ac:dyDescent="0.25">
      <c r="A7840" s="1145">
        <v>45805</v>
      </c>
      <c r="B7840" s="664" t="s">
        <v>3296</v>
      </c>
      <c r="C7840" s="71" t="s">
        <v>3297</v>
      </c>
      <c r="D7840" s="71">
        <v>20</v>
      </c>
      <c r="E7840" s="102">
        <v>162500</v>
      </c>
      <c r="F7840" s="102">
        <f t="shared" si="4557"/>
        <v>3575000.0000000005</v>
      </c>
      <c r="G7840" s="102">
        <f t="shared" si="4560"/>
        <v>3250000</v>
      </c>
      <c r="H7840" s="690" t="s">
        <v>172</v>
      </c>
      <c r="I7840" s="71" t="s">
        <v>3295</v>
      </c>
      <c r="J7840" s="53">
        <f t="shared" si="4531"/>
        <v>850000</v>
      </c>
      <c r="K7840" s="63">
        <f t="shared" si="4532"/>
        <v>0.2615384615384615</v>
      </c>
      <c r="L7840" s="1212" t="s">
        <v>4357</v>
      </c>
      <c r="M7840" s="468"/>
      <c r="N7840" s="1192">
        <f t="shared" si="4558"/>
        <v>45805</v>
      </c>
      <c r="O7840" s="71" t="s">
        <v>662</v>
      </c>
      <c r="P7840" s="103" t="str">
        <f t="shared" si="4559"/>
        <v>실리콘 에멀전</v>
      </c>
      <c r="Q7840" s="71">
        <f t="shared" si="4533"/>
        <v>20</v>
      </c>
      <c r="R7840" s="102">
        <v>120000</v>
      </c>
      <c r="S7840" s="102">
        <f t="shared" si="4536"/>
        <v>2640000</v>
      </c>
      <c r="T7840" s="102">
        <f t="shared" si="4537"/>
        <v>2400000</v>
      </c>
      <c r="U7840" s="71" t="str">
        <f t="shared" si="4561"/>
        <v>X</v>
      </c>
      <c r="V7840" s="71"/>
      <c r="W7840" s="474"/>
      <c r="X7840" s="71"/>
      <c r="Y7840" s="71"/>
    </row>
    <row r="7841" spans="1:25" ht="30" hidden="1" customHeight="1" x14ac:dyDescent="0.25">
      <c r="A7841" s="1145">
        <v>45791</v>
      </c>
      <c r="B7841" s="664" t="s">
        <v>548</v>
      </c>
      <c r="C7841" s="71" t="s">
        <v>3382</v>
      </c>
      <c r="D7841" s="71">
        <v>1</v>
      </c>
      <c r="E7841" s="102">
        <v>168000</v>
      </c>
      <c r="F7841" s="102">
        <f t="shared" si="4557"/>
        <v>184800.00000000003</v>
      </c>
      <c r="G7841" s="102">
        <f t="shared" si="4560"/>
        <v>168000</v>
      </c>
      <c r="H7841" s="690" t="s">
        <v>2029</v>
      </c>
      <c r="I7841" s="71" t="s">
        <v>180</v>
      </c>
      <c r="J7841" s="53">
        <f t="shared" si="4531"/>
        <v>48000</v>
      </c>
      <c r="K7841" s="63">
        <f t="shared" si="4532"/>
        <v>0.28571428571428564</v>
      </c>
      <c r="L7841" s="1212" t="s">
        <v>4357</v>
      </c>
      <c r="M7841" s="468"/>
      <c r="N7841" s="1192">
        <f t="shared" si="4558"/>
        <v>45791</v>
      </c>
      <c r="O7841" s="71" t="s">
        <v>3383</v>
      </c>
      <c r="P7841" s="103" t="str">
        <f t="shared" si="4559"/>
        <v>판 클리너(12개)</v>
      </c>
      <c r="Q7841" s="71">
        <f t="shared" si="4533"/>
        <v>1</v>
      </c>
      <c r="R7841" s="102">
        <v>120000</v>
      </c>
      <c r="S7841" s="102">
        <f t="shared" si="4536"/>
        <v>132000</v>
      </c>
      <c r="T7841" s="102">
        <f t="shared" si="4537"/>
        <v>120000</v>
      </c>
      <c r="U7841" s="71" t="str">
        <f>IF(J7841=W7841,"O", "X")</f>
        <v>X</v>
      </c>
      <c r="V7841" s="71"/>
      <c r="W7841" s="474"/>
      <c r="X7841" s="71"/>
      <c r="Y7841" s="71"/>
    </row>
    <row r="7842" spans="1:25" ht="30" hidden="1" customHeight="1" x14ac:dyDescent="0.25">
      <c r="A7842" s="1145">
        <v>45791</v>
      </c>
      <c r="B7842" s="664" t="s">
        <v>18</v>
      </c>
      <c r="C7842" s="71" t="s">
        <v>2070</v>
      </c>
      <c r="D7842" s="71">
        <v>10</v>
      </c>
      <c r="E7842" s="102">
        <v>115000</v>
      </c>
      <c r="F7842" s="102">
        <f t="shared" si="4557"/>
        <v>1265000</v>
      </c>
      <c r="G7842" s="102">
        <f t="shared" si="4560"/>
        <v>1150000</v>
      </c>
      <c r="H7842" s="690" t="s">
        <v>172</v>
      </c>
      <c r="I7842" s="71" t="s">
        <v>33</v>
      </c>
      <c r="J7842" s="53">
        <f t="shared" si="4531"/>
        <v>310000</v>
      </c>
      <c r="K7842" s="63">
        <f t="shared" si="4532"/>
        <v>0.26956521739130435</v>
      </c>
      <c r="L7842" s="1212" t="s">
        <v>4357</v>
      </c>
      <c r="M7842" s="468" t="s">
        <v>4374</v>
      </c>
      <c r="N7842" s="1192">
        <f t="shared" si="4558"/>
        <v>45791</v>
      </c>
      <c r="O7842" s="71" t="s">
        <v>149</v>
      </c>
      <c r="P7842" s="103" t="str">
        <f t="shared" si="4559"/>
        <v>Blanket(1050*840)</v>
      </c>
      <c r="Q7842" s="71">
        <f t="shared" si="4533"/>
        <v>10</v>
      </c>
      <c r="R7842" s="102">
        <v>84000</v>
      </c>
      <c r="S7842" s="102">
        <f t="shared" si="4536"/>
        <v>924000.00000000012</v>
      </c>
      <c r="T7842" s="102">
        <f t="shared" si="4537"/>
        <v>840000</v>
      </c>
      <c r="U7842" s="71" t="s">
        <v>859</v>
      </c>
      <c r="V7842" s="71"/>
      <c r="W7842" s="474"/>
      <c r="X7842" s="71"/>
      <c r="Y7842" s="71"/>
    </row>
    <row r="7843" spans="1:25" ht="30" hidden="1" customHeight="1" x14ac:dyDescent="0.2">
      <c r="A7843" s="1145">
        <v>45791</v>
      </c>
      <c r="B7843" s="664" t="s">
        <v>548</v>
      </c>
      <c r="C7843" s="71" t="s">
        <v>236</v>
      </c>
      <c r="D7843" s="71">
        <v>3</v>
      </c>
      <c r="E7843" s="102">
        <v>110000</v>
      </c>
      <c r="F7843" s="163">
        <f>(E7843*D7843)*1.1</f>
        <v>363000.00000000006</v>
      </c>
      <c r="G7843" s="102">
        <f>(E7843*D7843)</f>
        <v>330000</v>
      </c>
      <c r="H7843" s="690" t="s">
        <v>173</v>
      </c>
      <c r="I7843" s="71" t="s">
        <v>2231</v>
      </c>
      <c r="J7843" s="53">
        <f t="shared" si="4531"/>
        <v>75000</v>
      </c>
      <c r="K7843" s="63">
        <f t="shared" si="4532"/>
        <v>0.22727272727272724</v>
      </c>
      <c r="L7843" s="1212" t="s">
        <v>4357</v>
      </c>
      <c r="M7843" s="468"/>
      <c r="N7843" s="1192">
        <f t="shared" si="4558"/>
        <v>45791</v>
      </c>
      <c r="O7843" s="71" t="s">
        <v>150</v>
      </c>
      <c r="P7843" s="103" t="str">
        <f t="shared" si="4559"/>
        <v>아스테이지(국전)</v>
      </c>
      <c r="Q7843" s="71">
        <f t="shared" si="4533"/>
        <v>3</v>
      </c>
      <c r="R7843" s="102">
        <v>85000</v>
      </c>
      <c r="S7843" s="102">
        <f t="shared" si="4536"/>
        <v>280500</v>
      </c>
      <c r="T7843" s="102">
        <f t="shared" si="4537"/>
        <v>255000</v>
      </c>
      <c r="U7843" s="71" t="str">
        <f>IF(J7843=W7843,"O", "X")</f>
        <v>X</v>
      </c>
      <c r="V7843" s="71"/>
      <c r="W7843" s="474"/>
      <c r="X7843" s="71"/>
      <c r="Y7843" s="71"/>
    </row>
    <row r="7844" spans="1:25" ht="30" hidden="1" customHeight="1" x14ac:dyDescent="0.25">
      <c r="A7844" s="1145">
        <v>45791</v>
      </c>
      <c r="B7844" s="664" t="s">
        <v>548</v>
      </c>
      <c r="C7844" s="71" t="s">
        <v>3384</v>
      </c>
      <c r="D7844" s="71">
        <v>500</v>
      </c>
      <c r="E7844" s="102">
        <v>550</v>
      </c>
      <c r="F7844" s="102">
        <f>(E7844*D7844)*1.1</f>
        <v>302500</v>
      </c>
      <c r="G7844" s="102">
        <f>(E7844*D7844)</f>
        <v>275000</v>
      </c>
      <c r="H7844" s="690" t="s">
        <v>2029</v>
      </c>
      <c r="I7844" s="71" t="s">
        <v>3385</v>
      </c>
      <c r="J7844" s="53">
        <f t="shared" si="4531"/>
        <v>115000</v>
      </c>
      <c r="K7844" s="63">
        <f t="shared" si="4532"/>
        <v>0.41818181818181815</v>
      </c>
      <c r="L7844" s="1212" t="s">
        <v>4357</v>
      </c>
      <c r="M7844" s="468"/>
      <c r="N7844" s="1192">
        <f t="shared" si="4558"/>
        <v>45791</v>
      </c>
      <c r="O7844" s="71" t="s">
        <v>2030</v>
      </c>
      <c r="P7844" s="103" t="str">
        <f t="shared" si="4559"/>
        <v>고무사카 빨간색</v>
      </c>
      <c r="Q7844" s="71">
        <f t="shared" si="4533"/>
        <v>500</v>
      </c>
      <c r="R7844" s="102">
        <v>320</v>
      </c>
      <c r="S7844" s="102">
        <f t="shared" si="4536"/>
        <v>176000</v>
      </c>
      <c r="T7844" s="102">
        <f t="shared" si="4537"/>
        <v>160000</v>
      </c>
      <c r="U7844" s="71"/>
      <c r="V7844" s="71"/>
      <c r="W7844" s="474"/>
      <c r="X7844" s="71"/>
      <c r="Y7844" s="71"/>
    </row>
    <row r="7845" spans="1:25" ht="30" hidden="1" customHeight="1" x14ac:dyDescent="0.25">
      <c r="A7845" s="1145">
        <v>45805</v>
      </c>
      <c r="B7845" s="664" t="s">
        <v>26</v>
      </c>
      <c r="C7845" s="71" t="s">
        <v>2087</v>
      </c>
      <c r="D7845" s="71">
        <v>10</v>
      </c>
      <c r="E7845" s="102">
        <v>65000</v>
      </c>
      <c r="F7845" s="102">
        <f t="shared" ref="F7845:F7848" si="4562">(E7845*D7845)*1.1</f>
        <v>715000</v>
      </c>
      <c r="G7845" s="102">
        <f t="shared" ref="G7845:G7848" si="4563">(E7845*D7845)</f>
        <v>650000</v>
      </c>
      <c r="H7845" s="690" t="s">
        <v>172</v>
      </c>
      <c r="I7845" s="71" t="s">
        <v>3295</v>
      </c>
      <c r="J7845" s="53">
        <f t="shared" si="4531"/>
        <v>150000</v>
      </c>
      <c r="K7845" s="63">
        <f t="shared" si="4532"/>
        <v>0.23076923076923078</v>
      </c>
      <c r="L7845" s="1212" t="s">
        <v>4357</v>
      </c>
      <c r="M7845" s="468"/>
      <c r="N7845" s="1192">
        <f t="shared" si="4558"/>
        <v>45805</v>
      </c>
      <c r="O7845" s="71" t="s">
        <v>152</v>
      </c>
      <c r="P7845" s="103" t="str">
        <f t="shared" si="4559"/>
        <v>아스테이지(국전)</v>
      </c>
      <c r="Q7845" s="71">
        <f t="shared" si="4533"/>
        <v>10</v>
      </c>
      <c r="R7845" s="102">
        <v>50000</v>
      </c>
      <c r="S7845" s="102">
        <f t="shared" si="4536"/>
        <v>550000</v>
      </c>
      <c r="T7845" s="102">
        <f t="shared" si="4537"/>
        <v>500000</v>
      </c>
      <c r="U7845" s="71" t="s">
        <v>1915</v>
      </c>
      <c r="V7845" s="71"/>
      <c r="W7845" s="474">
        <v>150000</v>
      </c>
      <c r="X7845" s="71"/>
      <c r="Y7845" s="71"/>
    </row>
    <row r="7846" spans="1:25" ht="30" hidden="1" customHeight="1" x14ac:dyDescent="0.25">
      <c r="A7846" s="1145">
        <v>45807</v>
      </c>
      <c r="B7846" s="664" t="s">
        <v>26</v>
      </c>
      <c r="C7846" s="71" t="s">
        <v>2087</v>
      </c>
      <c r="D7846" s="71">
        <v>5</v>
      </c>
      <c r="E7846" s="102">
        <v>65000</v>
      </c>
      <c r="F7846" s="102">
        <f t="shared" si="4562"/>
        <v>357500</v>
      </c>
      <c r="G7846" s="102">
        <f t="shared" si="4563"/>
        <v>325000</v>
      </c>
      <c r="H7846" s="690" t="s">
        <v>172</v>
      </c>
      <c r="I7846" s="71" t="s">
        <v>3295</v>
      </c>
      <c r="J7846" s="53">
        <f t="shared" si="4531"/>
        <v>75000</v>
      </c>
      <c r="K7846" s="63">
        <f t="shared" si="4532"/>
        <v>0.23076923076923078</v>
      </c>
      <c r="L7846" s="1212" t="s">
        <v>4357</v>
      </c>
      <c r="M7846" s="468"/>
      <c r="N7846" s="1192">
        <f t="shared" si="4558"/>
        <v>45807</v>
      </c>
      <c r="O7846" s="71" t="s">
        <v>152</v>
      </c>
      <c r="P7846" s="103" t="str">
        <f t="shared" si="4559"/>
        <v>아스테이지(국전)</v>
      </c>
      <c r="Q7846" s="71">
        <f t="shared" si="4533"/>
        <v>5</v>
      </c>
      <c r="R7846" s="102">
        <v>50000</v>
      </c>
      <c r="S7846" s="102">
        <f t="shared" si="4536"/>
        <v>275000</v>
      </c>
      <c r="T7846" s="102">
        <f t="shared" si="4537"/>
        <v>250000</v>
      </c>
      <c r="U7846" s="71" t="s">
        <v>1915</v>
      </c>
      <c r="V7846" s="71"/>
      <c r="W7846" s="474">
        <v>150000</v>
      </c>
      <c r="X7846" s="71"/>
      <c r="Y7846" s="71"/>
    </row>
    <row r="7847" spans="1:25" s="209" customFormat="1" ht="30" hidden="1" customHeight="1" x14ac:dyDescent="0.25">
      <c r="A7847" s="1145">
        <v>45791</v>
      </c>
      <c r="B7847" s="664" t="s">
        <v>411</v>
      </c>
      <c r="C7847" s="71" t="s">
        <v>3413</v>
      </c>
      <c r="D7847" s="71">
        <v>10</v>
      </c>
      <c r="E7847" s="102">
        <v>80000</v>
      </c>
      <c r="F7847" s="102">
        <f t="shared" si="4562"/>
        <v>880000.00000000012</v>
      </c>
      <c r="G7847" s="102">
        <f t="shared" si="4563"/>
        <v>800000</v>
      </c>
      <c r="H7847" s="690" t="s">
        <v>2029</v>
      </c>
      <c r="I7847" s="71" t="s">
        <v>3385</v>
      </c>
      <c r="J7847" s="53">
        <f t="shared" si="4531"/>
        <v>300000</v>
      </c>
      <c r="K7847" s="63">
        <f t="shared" si="4532"/>
        <v>0.37499999999999994</v>
      </c>
      <c r="L7847" s="1212" t="s">
        <v>4357</v>
      </c>
      <c r="M7847" s="468"/>
      <c r="N7847" s="1192">
        <f t="shared" si="4558"/>
        <v>45791</v>
      </c>
      <c r="O7847" s="71" t="s">
        <v>190</v>
      </c>
      <c r="P7847" s="103" t="str">
        <f t="shared" si="4559"/>
        <v>아스테이지(국전)</v>
      </c>
      <c r="Q7847" s="71">
        <f t="shared" si="4533"/>
        <v>10</v>
      </c>
      <c r="R7847" s="102">
        <v>50000</v>
      </c>
      <c r="S7847" s="102">
        <f t="shared" si="4536"/>
        <v>550000</v>
      </c>
      <c r="T7847" s="102">
        <f t="shared" si="4537"/>
        <v>500000</v>
      </c>
      <c r="U7847" s="71" t="str">
        <f t="shared" ref="U7847" si="4564">IF(J7847=W7847,"O", "X")</f>
        <v>X</v>
      </c>
      <c r="V7847" s="71"/>
      <c r="W7847" s="474">
        <v>500000</v>
      </c>
      <c r="X7847" s="71"/>
      <c r="Y7847" s="71"/>
    </row>
    <row r="7848" spans="1:25" ht="30" hidden="1" customHeight="1" x14ac:dyDescent="0.25">
      <c r="A7848" s="1145">
        <v>45807</v>
      </c>
      <c r="B7848" s="664" t="s">
        <v>3830</v>
      </c>
      <c r="C7848" s="71" t="s">
        <v>2577</v>
      </c>
      <c r="D7848" s="71">
        <v>1241</v>
      </c>
      <c r="E7848" s="102">
        <v>1700</v>
      </c>
      <c r="F7848" s="102">
        <f t="shared" si="4562"/>
        <v>2320670</v>
      </c>
      <c r="G7848" s="102">
        <f t="shared" si="4563"/>
        <v>2109700</v>
      </c>
      <c r="H7848" s="690" t="s">
        <v>173</v>
      </c>
      <c r="I7848" s="71" t="s">
        <v>2230</v>
      </c>
      <c r="J7848" s="53">
        <f t="shared" si="4531"/>
        <v>2109700</v>
      </c>
      <c r="K7848" s="63">
        <f t="shared" si="4532"/>
        <v>1</v>
      </c>
      <c r="L7848" s="1212" t="s">
        <v>4357</v>
      </c>
      <c r="M7848" s="102"/>
      <c r="N7848" s="1192">
        <f t="shared" si="4558"/>
        <v>45807</v>
      </c>
      <c r="O7848" s="71"/>
      <c r="P7848" s="103" t="str">
        <f t="shared" si="4559"/>
        <v>CTP 폐판</v>
      </c>
      <c r="Q7848" s="71">
        <f t="shared" si="4533"/>
        <v>1241</v>
      </c>
      <c r="R7848" s="102"/>
      <c r="S7848" s="102">
        <f t="shared" si="4536"/>
        <v>0</v>
      </c>
      <c r="T7848" s="102">
        <f t="shared" si="4537"/>
        <v>0</v>
      </c>
      <c r="U7848" s="71"/>
      <c r="V7848" s="71"/>
      <c r="W7848" s="474"/>
      <c r="X7848" s="71"/>
      <c r="Y7848" s="71"/>
    </row>
    <row r="7849" spans="1:25" ht="30" hidden="1" customHeight="1" x14ac:dyDescent="0.25">
      <c r="A7849" s="1145">
        <v>45780</v>
      </c>
      <c r="B7849" s="664" t="s">
        <v>2798</v>
      </c>
      <c r="C7849" s="71" t="s">
        <v>4239</v>
      </c>
      <c r="D7849" s="71">
        <v>2</v>
      </c>
      <c r="E7849" s="102">
        <v>252000</v>
      </c>
      <c r="F7849" s="102">
        <f t="shared" ref="F7849:F7854" si="4565">(E7849*D7849)*1.1</f>
        <v>554400</v>
      </c>
      <c r="G7849" s="102">
        <f t="shared" ref="G7849:G7854" si="4566">(E7849*D7849)</f>
        <v>504000</v>
      </c>
      <c r="H7849" s="690" t="s">
        <v>173</v>
      </c>
      <c r="I7849" s="71" t="s">
        <v>180</v>
      </c>
      <c r="J7849" s="53">
        <f t="shared" ref="J7849:J7869" si="4567">G7849-T7849</f>
        <v>129000</v>
      </c>
      <c r="K7849" s="63">
        <f t="shared" ref="K7849:K7869" si="4568">(J7849/(F7849/11*10))</f>
        <v>0.25595238095238093</v>
      </c>
      <c r="L7849" s="1212" t="s">
        <v>4357</v>
      </c>
      <c r="M7849" s="102"/>
      <c r="N7849" s="1192">
        <f t="shared" ref="N7849:N7850" si="4569">A7849</f>
        <v>45780</v>
      </c>
      <c r="O7849" s="71" t="s">
        <v>150</v>
      </c>
      <c r="P7849" s="103" t="str">
        <f t="shared" ref="P7849:P7854" si="4570">(C7849)</f>
        <v>Saphira 건식 세정포 하이델 XL용</v>
      </c>
      <c r="Q7849" s="71">
        <f t="shared" ref="Q7849:Q7869" si="4571">D7849</f>
        <v>2</v>
      </c>
      <c r="R7849" s="102">
        <v>187500</v>
      </c>
      <c r="S7849" s="102">
        <f t="shared" si="4536"/>
        <v>412500.00000000006</v>
      </c>
      <c r="T7849" s="102">
        <f t="shared" si="4537"/>
        <v>375000</v>
      </c>
      <c r="U7849" s="71"/>
      <c r="V7849" s="71"/>
      <c r="W7849" s="474"/>
      <c r="X7849" s="71"/>
      <c r="Y7849" s="71"/>
    </row>
    <row r="7850" spans="1:25" ht="30" hidden="1" customHeight="1" x14ac:dyDescent="0.25">
      <c r="A7850" s="1145">
        <v>45791</v>
      </c>
      <c r="B7850" s="664" t="s">
        <v>2798</v>
      </c>
      <c r="C7850" s="71" t="s">
        <v>4360</v>
      </c>
      <c r="D7850" s="71">
        <v>2</v>
      </c>
      <c r="E7850" s="102">
        <v>800000</v>
      </c>
      <c r="F7850" s="102">
        <f t="shared" si="4565"/>
        <v>1760000.0000000002</v>
      </c>
      <c r="G7850" s="102">
        <f t="shared" si="4566"/>
        <v>1600000</v>
      </c>
      <c r="H7850" s="690" t="s">
        <v>173</v>
      </c>
      <c r="I7850" s="71" t="s">
        <v>2231</v>
      </c>
      <c r="J7850" s="53">
        <f t="shared" si="4567"/>
        <v>200000</v>
      </c>
      <c r="K7850" s="63">
        <f t="shared" si="4568"/>
        <v>0.12499999999999999</v>
      </c>
      <c r="L7850" s="1212" t="s">
        <v>4357</v>
      </c>
      <c r="M7850" s="102"/>
      <c r="N7850" s="1192">
        <f t="shared" si="4569"/>
        <v>45791</v>
      </c>
      <c r="O7850" s="71" t="s">
        <v>150</v>
      </c>
      <c r="P7850" s="103" t="str">
        <f t="shared" si="4570"/>
        <v>챔버 닥터블레이드</v>
      </c>
      <c r="Q7850" s="71">
        <f t="shared" si="4571"/>
        <v>2</v>
      </c>
      <c r="R7850" s="102">
        <v>700000</v>
      </c>
      <c r="S7850" s="102">
        <f t="shared" ref="S7850:S7869" si="4572">R7850*Q7850*1.1</f>
        <v>1540000.0000000002</v>
      </c>
      <c r="T7850" s="102">
        <f t="shared" ref="T7850:T7869" si="4573">R7850*Q7850</f>
        <v>1400000</v>
      </c>
      <c r="U7850" s="71"/>
      <c r="V7850" s="71"/>
      <c r="W7850" s="474"/>
      <c r="X7850" s="71"/>
      <c r="Y7850" s="71"/>
    </row>
    <row r="7851" spans="1:25" ht="30" hidden="1" customHeight="1" x14ac:dyDescent="0.25">
      <c r="A7851" s="1145">
        <v>45791</v>
      </c>
      <c r="B7851" s="664" t="s">
        <v>2798</v>
      </c>
      <c r="C7851" s="71" t="s">
        <v>4240</v>
      </c>
      <c r="D7851" s="71">
        <v>10</v>
      </c>
      <c r="E7851" s="102">
        <v>133000</v>
      </c>
      <c r="F7851" s="102">
        <f t="shared" si="4565"/>
        <v>1463000.0000000002</v>
      </c>
      <c r="G7851" s="102">
        <f t="shared" si="4566"/>
        <v>1330000</v>
      </c>
      <c r="H7851" s="690" t="s">
        <v>173</v>
      </c>
      <c r="I7851" s="71" t="s">
        <v>109</v>
      </c>
      <c r="J7851" s="53">
        <f t="shared" si="4567"/>
        <v>210000</v>
      </c>
      <c r="K7851" s="63">
        <f t="shared" si="4568"/>
        <v>0.15789473684210523</v>
      </c>
      <c r="L7851" s="1212" t="s">
        <v>4357</v>
      </c>
      <c r="M7851" s="102"/>
      <c r="N7851" s="1192">
        <f t="shared" ref="N7851:N7854" si="4574">A7851</f>
        <v>45791</v>
      </c>
      <c r="O7851" s="71" t="s">
        <v>150</v>
      </c>
      <c r="P7851" s="103" t="str">
        <f t="shared" si="4570"/>
        <v>5MX 블랑켓 XL용</v>
      </c>
      <c r="Q7851" s="71">
        <f t="shared" si="4571"/>
        <v>10</v>
      </c>
      <c r="R7851" s="102">
        <v>112000</v>
      </c>
      <c r="S7851" s="102">
        <f t="shared" si="4572"/>
        <v>1232000</v>
      </c>
      <c r="T7851" s="102">
        <f t="shared" si="4573"/>
        <v>1120000</v>
      </c>
      <c r="U7851" s="71"/>
      <c r="V7851" s="71"/>
      <c r="W7851" s="474"/>
      <c r="X7851" s="71"/>
      <c r="Y7851" s="71"/>
    </row>
    <row r="7852" spans="1:25" ht="30" hidden="1" customHeight="1" x14ac:dyDescent="0.25">
      <c r="A7852" s="1145">
        <v>45791</v>
      </c>
      <c r="B7852" s="664" t="s">
        <v>2798</v>
      </c>
      <c r="C7852" s="71" t="s">
        <v>4239</v>
      </c>
      <c r="D7852" s="71">
        <v>2</v>
      </c>
      <c r="E7852" s="102">
        <v>252000</v>
      </c>
      <c r="F7852" s="102">
        <f t="shared" si="4565"/>
        <v>554400</v>
      </c>
      <c r="G7852" s="102">
        <f t="shared" si="4566"/>
        <v>504000</v>
      </c>
      <c r="H7852" s="690" t="s">
        <v>173</v>
      </c>
      <c r="I7852" s="71" t="s">
        <v>180</v>
      </c>
      <c r="J7852" s="53">
        <f t="shared" si="4567"/>
        <v>129000</v>
      </c>
      <c r="K7852" s="63">
        <f t="shared" si="4568"/>
        <v>0.25595238095238093</v>
      </c>
      <c r="L7852" s="1212" t="s">
        <v>4357</v>
      </c>
      <c r="M7852" s="102"/>
      <c r="N7852" s="1192">
        <f t="shared" si="4574"/>
        <v>45791</v>
      </c>
      <c r="O7852" s="71" t="s">
        <v>150</v>
      </c>
      <c r="P7852" s="103" t="str">
        <f t="shared" si="4570"/>
        <v>Saphira 건식 세정포 하이델 XL용</v>
      </c>
      <c r="Q7852" s="71">
        <f t="shared" si="4571"/>
        <v>2</v>
      </c>
      <c r="R7852" s="102">
        <v>187500</v>
      </c>
      <c r="S7852" s="102">
        <f t="shared" si="4572"/>
        <v>412500.00000000006</v>
      </c>
      <c r="T7852" s="102">
        <f t="shared" si="4573"/>
        <v>375000</v>
      </c>
      <c r="U7852" s="71"/>
      <c r="V7852" s="71"/>
      <c r="W7852" s="474"/>
      <c r="X7852" s="71"/>
      <c r="Y7852" s="71"/>
    </row>
    <row r="7853" spans="1:25" ht="30" hidden="1" customHeight="1" x14ac:dyDescent="0.25">
      <c r="A7853" s="1145">
        <v>45791</v>
      </c>
      <c r="B7853" s="664" t="s">
        <v>444</v>
      </c>
      <c r="C7853" s="71" t="s">
        <v>3399</v>
      </c>
      <c r="D7853" s="71">
        <v>10</v>
      </c>
      <c r="E7853" s="102">
        <v>195000</v>
      </c>
      <c r="F7853" s="102">
        <f t="shared" si="4565"/>
        <v>2145000</v>
      </c>
      <c r="G7853" s="102">
        <f t="shared" si="4566"/>
        <v>1950000</v>
      </c>
      <c r="H7853" s="690" t="s">
        <v>2029</v>
      </c>
      <c r="I7853" s="71" t="s">
        <v>180</v>
      </c>
      <c r="J7853" s="53">
        <f t="shared" si="4567"/>
        <v>450000</v>
      </c>
      <c r="K7853" s="63">
        <f t="shared" si="4568"/>
        <v>0.23076923076923078</v>
      </c>
      <c r="L7853" s="1212" t="s">
        <v>4357</v>
      </c>
      <c r="M7853" s="468"/>
      <c r="N7853" s="1192">
        <f t="shared" si="4574"/>
        <v>45791</v>
      </c>
      <c r="O7853" s="71" t="s">
        <v>191</v>
      </c>
      <c r="P7853" s="103" t="str">
        <f t="shared" si="4570"/>
        <v>UV wash offset UV</v>
      </c>
      <c r="Q7853" s="71">
        <f t="shared" si="4571"/>
        <v>10</v>
      </c>
      <c r="R7853" s="102">
        <v>150000</v>
      </c>
      <c r="S7853" s="102">
        <f t="shared" si="4572"/>
        <v>1650000.0000000002</v>
      </c>
      <c r="T7853" s="102">
        <f t="shared" si="4573"/>
        <v>1500000</v>
      </c>
      <c r="U7853" s="71"/>
      <c r="V7853" s="71"/>
      <c r="W7853" s="474"/>
      <c r="X7853" s="71"/>
      <c r="Y7853" s="71"/>
    </row>
    <row r="7854" spans="1:25" ht="30" hidden="1" customHeight="1" x14ac:dyDescent="0.25">
      <c r="A7854" s="1145">
        <v>45798</v>
      </c>
      <c r="B7854" s="664" t="s">
        <v>2798</v>
      </c>
      <c r="C7854" s="71" t="s">
        <v>167</v>
      </c>
      <c r="D7854" s="71">
        <v>10</v>
      </c>
      <c r="E7854" s="102">
        <v>138000</v>
      </c>
      <c r="F7854" s="102">
        <f t="shared" si="4565"/>
        <v>1518000.0000000002</v>
      </c>
      <c r="G7854" s="102">
        <f t="shared" si="4566"/>
        <v>1380000</v>
      </c>
      <c r="H7854" s="690" t="s">
        <v>172</v>
      </c>
      <c r="I7854" s="71" t="s">
        <v>33</v>
      </c>
      <c r="J7854" s="53">
        <f t="shared" si="4567"/>
        <v>460000</v>
      </c>
      <c r="K7854" s="63">
        <f t="shared" si="4568"/>
        <v>0.33333333333333326</v>
      </c>
      <c r="L7854" s="1212" t="s">
        <v>4357</v>
      </c>
      <c r="M7854" s="468" t="s">
        <v>4114</v>
      </c>
      <c r="N7854" s="1192">
        <f t="shared" si="4574"/>
        <v>45798</v>
      </c>
      <c r="O7854" s="71" t="s">
        <v>146</v>
      </c>
      <c r="P7854" s="103" t="str">
        <f t="shared" si="4570"/>
        <v>Blanket(1060*860)</v>
      </c>
      <c r="Q7854" s="71">
        <f t="shared" si="4571"/>
        <v>10</v>
      </c>
      <c r="R7854" s="102">
        <v>92000</v>
      </c>
      <c r="S7854" s="102">
        <f t="shared" si="4572"/>
        <v>1012000.0000000001</v>
      </c>
      <c r="T7854" s="102">
        <f t="shared" si="4573"/>
        <v>920000</v>
      </c>
      <c r="U7854" s="71" t="str">
        <f t="shared" ref="U7854" si="4575">IF(J7854=W7854,"O", "X")</f>
        <v>X</v>
      </c>
      <c r="V7854" s="71"/>
      <c r="W7854" s="474"/>
      <c r="X7854" s="71"/>
      <c r="Y7854" s="71"/>
    </row>
    <row r="7855" spans="1:25" ht="30" hidden="1" customHeight="1" x14ac:dyDescent="0.25">
      <c r="A7855" s="1145">
        <v>45800</v>
      </c>
      <c r="B7855" s="664" t="s">
        <v>2798</v>
      </c>
      <c r="C7855" s="71" t="s">
        <v>4240</v>
      </c>
      <c r="D7855" s="71">
        <v>10</v>
      </c>
      <c r="E7855" s="102">
        <v>133000</v>
      </c>
      <c r="F7855" s="102">
        <f t="shared" ref="F7855:F7868" si="4576">(E7855*D7855)*1.1</f>
        <v>1463000.0000000002</v>
      </c>
      <c r="G7855" s="102">
        <f t="shared" ref="G7855:G7868" si="4577">(E7855*D7855)</f>
        <v>1330000</v>
      </c>
      <c r="H7855" s="690" t="s">
        <v>173</v>
      </c>
      <c r="I7855" s="71" t="s">
        <v>109</v>
      </c>
      <c r="J7855" s="53">
        <f t="shared" si="4567"/>
        <v>210000</v>
      </c>
      <c r="K7855" s="63">
        <f t="shared" si="4568"/>
        <v>0.15789473684210523</v>
      </c>
      <c r="L7855" s="1212" t="s">
        <v>4357</v>
      </c>
      <c r="M7855" s="102"/>
      <c r="N7855" s="1192">
        <f t="shared" ref="N7855:N7870" si="4578">A7855</f>
        <v>45800</v>
      </c>
      <c r="O7855" s="71" t="s">
        <v>150</v>
      </c>
      <c r="P7855" s="103" t="str">
        <f t="shared" ref="P7855:P7869" si="4579">(C7855)</f>
        <v>5MX 블랑켓 XL용</v>
      </c>
      <c r="Q7855" s="71">
        <f t="shared" si="4571"/>
        <v>10</v>
      </c>
      <c r="R7855" s="102">
        <v>112000</v>
      </c>
      <c r="S7855" s="102">
        <f t="shared" si="4572"/>
        <v>1232000</v>
      </c>
      <c r="T7855" s="102">
        <f t="shared" si="4573"/>
        <v>1120000</v>
      </c>
      <c r="U7855" s="71"/>
      <c r="V7855" s="71"/>
      <c r="W7855" s="474"/>
      <c r="X7855" s="71"/>
      <c r="Y7855" s="71"/>
    </row>
    <row r="7856" spans="1:25" ht="30" hidden="1" customHeight="1" x14ac:dyDescent="0.25">
      <c r="A7856" s="1145">
        <v>45799</v>
      </c>
      <c r="B7856" s="664" t="s">
        <v>4361</v>
      </c>
      <c r="C7856" s="71" t="s">
        <v>4362</v>
      </c>
      <c r="D7856" s="71">
        <v>20</v>
      </c>
      <c r="E7856" s="102">
        <v>650000</v>
      </c>
      <c r="F7856" s="102">
        <f t="shared" si="4576"/>
        <v>14300000.000000002</v>
      </c>
      <c r="G7856" s="102">
        <f t="shared" si="4577"/>
        <v>13000000</v>
      </c>
      <c r="H7856" s="690" t="s">
        <v>173</v>
      </c>
      <c r="I7856" s="71" t="s">
        <v>1022</v>
      </c>
      <c r="J7856" s="53">
        <f t="shared" si="4567"/>
        <v>4810780</v>
      </c>
      <c r="K7856" s="63">
        <f t="shared" si="4568"/>
        <v>0.37005999999999994</v>
      </c>
      <c r="L7856" s="1212" t="s">
        <v>4357</v>
      </c>
      <c r="M7856" s="102"/>
      <c r="N7856" s="1192">
        <f t="shared" si="4578"/>
        <v>45799</v>
      </c>
      <c r="O7856" s="71" t="s">
        <v>1459</v>
      </c>
      <c r="P7856" s="103" t="str">
        <f t="shared" si="4579"/>
        <v>IST UV Lamp I-500-NA-1-60</v>
      </c>
      <c r="Q7856" s="71">
        <f t="shared" si="4571"/>
        <v>20</v>
      </c>
      <c r="R7856" s="102">
        <v>409461</v>
      </c>
      <c r="S7856" s="102">
        <f t="shared" si="4572"/>
        <v>9008142</v>
      </c>
      <c r="T7856" s="102">
        <f t="shared" si="4573"/>
        <v>8189220</v>
      </c>
      <c r="U7856" s="71"/>
      <c r="V7856" s="71"/>
      <c r="W7856" s="474"/>
      <c r="X7856" s="71"/>
      <c r="Y7856" s="71"/>
    </row>
    <row r="7857" spans="1:25" ht="30" hidden="1" customHeight="1" x14ac:dyDescent="0.25">
      <c r="A7857" s="1145">
        <v>45799</v>
      </c>
      <c r="B7857" s="664" t="s">
        <v>4361</v>
      </c>
      <c r="C7857" s="71" t="s">
        <v>4363</v>
      </c>
      <c r="D7857" s="71">
        <v>20</v>
      </c>
      <c r="E7857" s="102">
        <v>650000</v>
      </c>
      <c r="F7857" s="102">
        <f t="shared" si="4576"/>
        <v>14300000.000000002</v>
      </c>
      <c r="G7857" s="102">
        <f t="shared" si="4577"/>
        <v>13000000</v>
      </c>
      <c r="H7857" s="690" t="s">
        <v>173</v>
      </c>
      <c r="I7857" s="71" t="s">
        <v>1022</v>
      </c>
      <c r="J7857" s="53">
        <f t="shared" si="4567"/>
        <v>4273785.2188990023</v>
      </c>
      <c r="K7857" s="63">
        <f t="shared" si="4568"/>
        <v>0.32875270914607707</v>
      </c>
      <c r="L7857" s="1212" t="s">
        <v>4357</v>
      </c>
      <c r="M7857" s="468"/>
      <c r="N7857" s="1192">
        <f t="shared" si="4578"/>
        <v>45799</v>
      </c>
      <c r="O7857" s="71" t="s">
        <v>1459</v>
      </c>
      <c r="P7857" s="103" t="str">
        <f t="shared" si="4579"/>
        <v>IST UV Lamp I-470-NA-1-60</v>
      </c>
      <c r="Q7857" s="71">
        <f t="shared" si="4571"/>
        <v>20</v>
      </c>
      <c r="R7857" s="147">
        <v>436310.7390550499</v>
      </c>
      <c r="S7857" s="102">
        <f t="shared" si="4572"/>
        <v>9598836.2592110988</v>
      </c>
      <c r="T7857" s="102">
        <f t="shared" si="4573"/>
        <v>8726214.7811009977</v>
      </c>
      <c r="U7857" s="71"/>
      <c r="V7857" s="71"/>
      <c r="W7857" s="474"/>
      <c r="X7857" s="71"/>
      <c r="Y7857" s="71"/>
    </row>
    <row r="7858" spans="1:25" ht="30" hidden="1" customHeight="1" x14ac:dyDescent="0.25">
      <c r="A7858" s="1145">
        <v>45799</v>
      </c>
      <c r="B7858" s="664" t="s">
        <v>4364</v>
      </c>
      <c r="C7858" s="71" t="s">
        <v>4365</v>
      </c>
      <c r="D7858" s="71">
        <v>10</v>
      </c>
      <c r="E7858" s="102">
        <v>910000</v>
      </c>
      <c r="F7858" s="102">
        <f t="shared" si="4576"/>
        <v>10010000</v>
      </c>
      <c r="G7858" s="102">
        <f t="shared" si="4577"/>
        <v>9100000</v>
      </c>
      <c r="H7858" s="690" t="s">
        <v>173</v>
      </c>
      <c r="I7858" s="71" t="s">
        <v>1022</v>
      </c>
      <c r="J7858" s="53">
        <f t="shared" si="4567"/>
        <v>1501480.6675335942</v>
      </c>
      <c r="K7858" s="63">
        <f t="shared" si="4568"/>
        <v>0.16499787555314221</v>
      </c>
      <c r="L7858" s="1212" t="s">
        <v>4357</v>
      </c>
      <c r="M7858" s="102"/>
      <c r="N7858" s="1192">
        <f t="shared" si="4578"/>
        <v>45799</v>
      </c>
      <c r="O7858" s="71" t="s">
        <v>1459</v>
      </c>
      <c r="P7858" s="103" t="str">
        <f t="shared" si="4579"/>
        <v>IST UV Lamp T-1080-NA-3-H</v>
      </c>
      <c r="Q7858" s="71">
        <f t="shared" si="4571"/>
        <v>10</v>
      </c>
      <c r="R7858" s="147">
        <v>759851.9332466406</v>
      </c>
      <c r="S7858" s="102">
        <f t="shared" si="4572"/>
        <v>8358371.2657130472</v>
      </c>
      <c r="T7858" s="102">
        <f t="shared" si="4573"/>
        <v>7598519.3324664058</v>
      </c>
      <c r="U7858" s="71"/>
      <c r="V7858" s="71"/>
      <c r="W7858" s="474"/>
      <c r="X7858" s="71"/>
      <c r="Y7858" s="71"/>
    </row>
    <row r="7859" spans="1:25" ht="30" hidden="1" customHeight="1" x14ac:dyDescent="0.25">
      <c r="A7859" s="1145">
        <v>45800</v>
      </c>
      <c r="B7859" s="664" t="s">
        <v>562</v>
      </c>
      <c r="C7859" s="71" t="s">
        <v>4366</v>
      </c>
      <c r="D7859" s="71">
        <v>10</v>
      </c>
      <c r="E7859" s="102">
        <v>810000</v>
      </c>
      <c r="F7859" s="102">
        <f t="shared" si="4576"/>
        <v>8910000</v>
      </c>
      <c r="G7859" s="102">
        <f t="shared" si="4577"/>
        <v>8100000</v>
      </c>
      <c r="H7859" s="690" t="s">
        <v>173</v>
      </c>
      <c r="I7859" s="71" t="s">
        <v>1022</v>
      </c>
      <c r="J7859" s="53">
        <f t="shared" si="4567"/>
        <v>1400952.0372778494</v>
      </c>
      <c r="K7859" s="63">
        <f t="shared" si="4568"/>
        <v>0.17295704163924067</v>
      </c>
      <c r="L7859" s="1212" t="s">
        <v>4357</v>
      </c>
      <c r="M7859" s="468"/>
      <c r="N7859" s="1192">
        <f t="shared" si="4578"/>
        <v>45800</v>
      </c>
      <c r="O7859" s="71" t="s">
        <v>1459</v>
      </c>
      <c r="P7859" s="103" t="str">
        <f t="shared" si="4579"/>
        <v>IST UV Lamp T-770-K2H-50</v>
      </c>
      <c r="Q7859" s="71">
        <f t="shared" si="4571"/>
        <v>10</v>
      </c>
      <c r="R7859" s="147">
        <v>669904.79627221508</v>
      </c>
      <c r="S7859" s="102">
        <f t="shared" si="4572"/>
        <v>7368952.758994366</v>
      </c>
      <c r="T7859" s="102">
        <f t="shared" si="4573"/>
        <v>6699047.9627221506</v>
      </c>
      <c r="U7859" s="71"/>
      <c r="V7859" s="71"/>
      <c r="W7859" s="474"/>
      <c r="X7859" s="71"/>
      <c r="Y7859" s="71"/>
    </row>
    <row r="7860" spans="1:25" ht="30" hidden="1" customHeight="1" x14ac:dyDescent="0.25">
      <c r="A7860" s="1145">
        <v>45800</v>
      </c>
      <c r="B7860" s="664" t="s">
        <v>562</v>
      </c>
      <c r="C7860" s="71" t="s">
        <v>4367</v>
      </c>
      <c r="D7860" s="71">
        <v>5</v>
      </c>
      <c r="E7860" s="102">
        <v>820000</v>
      </c>
      <c r="F7860" s="102">
        <f t="shared" si="4576"/>
        <v>4510000</v>
      </c>
      <c r="G7860" s="102">
        <f t="shared" si="4577"/>
        <v>4100000</v>
      </c>
      <c r="H7860" s="690" t="s">
        <v>173</v>
      </c>
      <c r="I7860" s="71" t="s">
        <v>1022</v>
      </c>
      <c r="J7860" s="53">
        <f t="shared" si="4567"/>
        <v>750476.0186389247</v>
      </c>
      <c r="K7860" s="63">
        <f t="shared" si="4568"/>
        <v>0.1830429313753475</v>
      </c>
      <c r="L7860" s="1212" t="s">
        <v>4357</v>
      </c>
      <c r="M7860" s="102"/>
      <c r="N7860" s="1192">
        <f t="shared" si="4578"/>
        <v>45800</v>
      </c>
      <c r="O7860" s="71" t="s">
        <v>1459</v>
      </c>
      <c r="P7860" s="103" t="str">
        <f t="shared" si="4579"/>
        <v>IST UV Lamp T-770-NA-2-H</v>
      </c>
      <c r="Q7860" s="71">
        <f t="shared" si="4571"/>
        <v>5</v>
      </c>
      <c r="R7860" s="102">
        <v>669904.79627221508</v>
      </c>
      <c r="S7860" s="102">
        <f t="shared" si="4572"/>
        <v>3684476.379497183</v>
      </c>
      <c r="T7860" s="102">
        <f t="shared" si="4573"/>
        <v>3349523.9813610753</v>
      </c>
      <c r="U7860" s="71"/>
      <c r="V7860" s="71"/>
      <c r="W7860" s="474"/>
      <c r="X7860" s="71"/>
      <c r="Y7860" s="71"/>
    </row>
    <row r="7861" spans="1:25" ht="30" hidden="1" customHeight="1" x14ac:dyDescent="0.25">
      <c r="A7861" s="1145">
        <v>45800</v>
      </c>
      <c r="B7861" s="664" t="s">
        <v>1120</v>
      </c>
      <c r="C7861" s="71" t="s">
        <v>4365</v>
      </c>
      <c r="D7861" s="71">
        <v>10</v>
      </c>
      <c r="E7861" s="102">
        <v>900000</v>
      </c>
      <c r="F7861" s="102">
        <f t="shared" si="4576"/>
        <v>9900000</v>
      </c>
      <c r="G7861" s="102">
        <f t="shared" si="4577"/>
        <v>9000000</v>
      </c>
      <c r="H7861" s="690" t="s">
        <v>173</v>
      </c>
      <c r="I7861" s="71" t="s">
        <v>1022</v>
      </c>
      <c r="J7861" s="53">
        <f t="shared" si="4567"/>
        <v>1401480.6675335942</v>
      </c>
      <c r="K7861" s="63">
        <f t="shared" si="4568"/>
        <v>0.15572007417039935</v>
      </c>
      <c r="L7861" s="1212" t="s">
        <v>4357</v>
      </c>
      <c r="M7861" s="468"/>
      <c r="N7861" s="1192">
        <f t="shared" si="4578"/>
        <v>45800</v>
      </c>
      <c r="O7861" s="71" t="s">
        <v>1459</v>
      </c>
      <c r="P7861" s="103" t="str">
        <f t="shared" si="4579"/>
        <v>IST UV Lamp T-1080-NA-3-H</v>
      </c>
      <c r="Q7861" s="71">
        <f t="shared" si="4571"/>
        <v>10</v>
      </c>
      <c r="R7861" s="147">
        <v>759851.9332466406</v>
      </c>
      <c r="S7861" s="102">
        <f t="shared" si="4572"/>
        <v>8358371.2657130472</v>
      </c>
      <c r="T7861" s="102">
        <f t="shared" si="4573"/>
        <v>7598519.3324664058</v>
      </c>
      <c r="U7861" s="71"/>
      <c r="V7861" s="71"/>
      <c r="W7861" s="474"/>
      <c r="X7861" s="71"/>
      <c r="Y7861" s="71"/>
    </row>
    <row r="7862" spans="1:25" ht="30" hidden="1" customHeight="1" x14ac:dyDescent="0.25">
      <c r="A7862" s="1145">
        <v>45800</v>
      </c>
      <c r="B7862" s="664" t="s">
        <v>1120</v>
      </c>
      <c r="C7862" s="71" t="s">
        <v>4368</v>
      </c>
      <c r="D7862" s="71">
        <v>5</v>
      </c>
      <c r="E7862" s="102">
        <v>1180000</v>
      </c>
      <c r="F7862" s="102">
        <f t="shared" si="4576"/>
        <v>6490000.0000000009</v>
      </c>
      <c r="G7862" s="102">
        <f t="shared" si="4577"/>
        <v>5900000</v>
      </c>
      <c r="H7862" s="690" t="s">
        <v>173</v>
      </c>
      <c r="I7862" s="71" t="s">
        <v>1022</v>
      </c>
      <c r="J7862" s="53">
        <f t="shared" si="4567"/>
        <v>1604017.3385348935</v>
      </c>
      <c r="K7862" s="63">
        <f t="shared" si="4568"/>
        <v>0.27186734551438868</v>
      </c>
      <c r="L7862" s="1212" t="s">
        <v>4357</v>
      </c>
      <c r="M7862" s="102"/>
      <c r="N7862" s="1192">
        <f t="shared" si="4578"/>
        <v>45800</v>
      </c>
      <c r="O7862" s="71" t="s">
        <v>1459</v>
      </c>
      <c r="P7862" s="103" t="str">
        <f t="shared" si="4579"/>
        <v>IST UV Lamp T-1080-NA-3-H-B</v>
      </c>
      <c r="Q7862" s="71">
        <f t="shared" si="4571"/>
        <v>5</v>
      </c>
      <c r="R7862" s="102">
        <v>859196.53229302133</v>
      </c>
      <c r="S7862" s="102">
        <f t="shared" si="4572"/>
        <v>4725580.9276116174</v>
      </c>
      <c r="T7862" s="102">
        <f t="shared" si="4573"/>
        <v>4295982.6614651065</v>
      </c>
      <c r="U7862" s="71"/>
      <c r="V7862" s="71"/>
      <c r="W7862" s="474"/>
      <c r="X7862" s="71"/>
      <c r="Y7862" s="71"/>
    </row>
    <row r="7863" spans="1:25" ht="30" hidden="1" customHeight="1" x14ac:dyDescent="0.25">
      <c r="A7863" s="1145">
        <v>45807</v>
      </c>
      <c r="B7863" s="664" t="s">
        <v>2155</v>
      </c>
      <c r="C7863" s="71" t="s">
        <v>2083</v>
      </c>
      <c r="D7863" s="71">
        <v>2</v>
      </c>
      <c r="E7863" s="102">
        <v>475000</v>
      </c>
      <c r="F7863" s="102">
        <f t="shared" si="4576"/>
        <v>1045000.0000000001</v>
      </c>
      <c r="G7863" s="102">
        <f t="shared" si="4577"/>
        <v>950000</v>
      </c>
      <c r="H7863" s="690" t="s">
        <v>1431</v>
      </c>
      <c r="I7863" s="71" t="s">
        <v>1431</v>
      </c>
      <c r="J7863" s="53">
        <f t="shared" si="4567"/>
        <v>450000</v>
      </c>
      <c r="K7863" s="63">
        <f t="shared" si="4568"/>
        <v>0.47368421052631571</v>
      </c>
      <c r="L7863" s="1212" t="s">
        <v>4357</v>
      </c>
      <c r="M7863" s="468"/>
      <c r="N7863" s="1192">
        <f t="shared" si="4578"/>
        <v>45807</v>
      </c>
      <c r="O7863" s="71" t="s">
        <v>1431</v>
      </c>
      <c r="P7863" s="103" t="str">
        <f t="shared" si="4579"/>
        <v>근접 스위치</v>
      </c>
      <c r="Q7863" s="71">
        <f t="shared" si="4571"/>
        <v>2</v>
      </c>
      <c r="R7863" s="147">
        <v>250000</v>
      </c>
      <c r="S7863" s="102">
        <f t="shared" si="4572"/>
        <v>550000</v>
      </c>
      <c r="T7863" s="102">
        <f t="shared" si="4573"/>
        <v>500000</v>
      </c>
      <c r="U7863" s="71"/>
      <c r="V7863" s="71"/>
      <c r="W7863" s="474"/>
      <c r="X7863" s="71"/>
      <c r="Y7863" s="71"/>
    </row>
    <row r="7864" spans="1:25" ht="30" hidden="1" customHeight="1" x14ac:dyDescent="0.25">
      <c r="A7864" s="1145">
        <v>45807</v>
      </c>
      <c r="B7864" s="664" t="s">
        <v>2155</v>
      </c>
      <c r="C7864" s="71" t="s">
        <v>1261</v>
      </c>
      <c r="D7864" s="71">
        <v>50</v>
      </c>
      <c r="E7864" s="102">
        <v>30000</v>
      </c>
      <c r="F7864" s="102">
        <f t="shared" si="4576"/>
        <v>1650000.0000000002</v>
      </c>
      <c r="G7864" s="102">
        <f t="shared" si="4577"/>
        <v>1500000</v>
      </c>
      <c r="H7864" s="690" t="s">
        <v>1431</v>
      </c>
      <c r="I7864" s="71" t="s">
        <v>1431</v>
      </c>
      <c r="J7864" s="53">
        <f t="shared" si="4567"/>
        <v>500000</v>
      </c>
      <c r="K7864" s="63">
        <f t="shared" si="4568"/>
        <v>0.33333333333333326</v>
      </c>
      <c r="L7864" s="1212" t="s">
        <v>4357</v>
      </c>
      <c r="M7864" s="102"/>
      <c r="N7864" s="1192">
        <f t="shared" si="4578"/>
        <v>45807</v>
      </c>
      <c r="O7864" s="71" t="s">
        <v>1431</v>
      </c>
      <c r="P7864" s="103" t="str">
        <f t="shared" si="4579"/>
        <v>아스테이지</v>
      </c>
      <c r="Q7864" s="71">
        <f t="shared" si="4571"/>
        <v>50</v>
      </c>
      <c r="R7864" s="102">
        <v>20000</v>
      </c>
      <c r="S7864" s="102">
        <f t="shared" si="4572"/>
        <v>1100000</v>
      </c>
      <c r="T7864" s="102">
        <f t="shared" si="4573"/>
        <v>1000000</v>
      </c>
      <c r="U7864" s="71"/>
      <c r="V7864" s="71"/>
      <c r="W7864" s="474"/>
      <c r="X7864" s="71"/>
      <c r="Y7864" s="71"/>
    </row>
    <row r="7865" spans="1:25" ht="30" hidden="1" customHeight="1" x14ac:dyDescent="0.25">
      <c r="A7865" s="1145">
        <v>45807</v>
      </c>
      <c r="B7865" s="664" t="s">
        <v>546</v>
      </c>
      <c r="C7865" s="71" t="s">
        <v>114</v>
      </c>
      <c r="D7865" s="71">
        <v>100</v>
      </c>
      <c r="E7865" s="102">
        <v>18000</v>
      </c>
      <c r="F7865" s="102">
        <f t="shared" si="4576"/>
        <v>1980000.0000000002</v>
      </c>
      <c r="G7865" s="102">
        <f t="shared" si="4577"/>
        <v>1800000</v>
      </c>
      <c r="H7865" s="690" t="s">
        <v>1431</v>
      </c>
      <c r="I7865" s="71" t="s">
        <v>1431</v>
      </c>
      <c r="J7865" s="53">
        <f t="shared" si="4567"/>
        <v>600000</v>
      </c>
      <c r="K7865" s="63">
        <f t="shared" si="4568"/>
        <v>0.33333333333333331</v>
      </c>
      <c r="L7865" s="1212" t="s">
        <v>4357</v>
      </c>
      <c r="M7865" s="468"/>
      <c r="N7865" s="1192">
        <f t="shared" si="4578"/>
        <v>45807</v>
      </c>
      <c r="O7865" s="71" t="s">
        <v>1431</v>
      </c>
      <c r="P7865" s="103" t="str">
        <f t="shared" si="4579"/>
        <v>스트리퍼</v>
      </c>
      <c r="Q7865" s="71">
        <f t="shared" si="4571"/>
        <v>100</v>
      </c>
      <c r="R7865" s="147">
        <v>12000</v>
      </c>
      <c r="S7865" s="102">
        <f t="shared" si="4572"/>
        <v>1320000</v>
      </c>
      <c r="T7865" s="102">
        <f t="shared" si="4573"/>
        <v>1200000</v>
      </c>
      <c r="U7865" s="71"/>
      <c r="V7865" s="71"/>
      <c r="W7865" s="474"/>
      <c r="X7865" s="71"/>
      <c r="Y7865" s="71"/>
    </row>
    <row r="7866" spans="1:25" ht="30" hidden="1" customHeight="1" x14ac:dyDescent="0.25">
      <c r="A7866" s="1145">
        <v>45807</v>
      </c>
      <c r="B7866" s="664" t="s">
        <v>546</v>
      </c>
      <c r="C7866" s="71" t="s">
        <v>4369</v>
      </c>
      <c r="D7866" s="71">
        <v>8</v>
      </c>
      <c r="E7866" s="102">
        <v>112500</v>
      </c>
      <c r="F7866" s="102">
        <f t="shared" si="4576"/>
        <v>990000.00000000012</v>
      </c>
      <c r="G7866" s="102">
        <f t="shared" si="4577"/>
        <v>900000</v>
      </c>
      <c r="H7866" s="690" t="s">
        <v>1431</v>
      </c>
      <c r="I7866" s="71" t="s">
        <v>1431</v>
      </c>
      <c r="J7866" s="53">
        <f t="shared" si="4567"/>
        <v>420000</v>
      </c>
      <c r="K7866" s="63">
        <f t="shared" si="4568"/>
        <v>0.46666666666666662</v>
      </c>
      <c r="L7866" s="1212" t="s">
        <v>4357</v>
      </c>
      <c r="M7866" s="102"/>
      <c r="N7866" s="1192">
        <f t="shared" si="4578"/>
        <v>45807</v>
      </c>
      <c r="O7866" s="71" t="s">
        <v>1431</v>
      </c>
      <c r="P7866" s="103" t="str">
        <f t="shared" si="4579"/>
        <v>Roller Polyamid</v>
      </c>
      <c r="Q7866" s="71">
        <f t="shared" si="4571"/>
        <v>8</v>
      </c>
      <c r="R7866" s="102">
        <v>60000</v>
      </c>
      <c r="S7866" s="102">
        <f t="shared" si="4572"/>
        <v>528000</v>
      </c>
      <c r="T7866" s="102">
        <f t="shared" si="4573"/>
        <v>480000</v>
      </c>
      <c r="U7866" s="71"/>
      <c r="V7866" s="71"/>
      <c r="W7866" s="474"/>
      <c r="X7866" s="71"/>
      <c r="Y7866" s="71"/>
    </row>
    <row r="7867" spans="1:25" ht="30" hidden="1" customHeight="1" x14ac:dyDescent="0.25">
      <c r="A7867" s="1145">
        <v>45807</v>
      </c>
      <c r="B7867" s="664" t="s">
        <v>4370</v>
      </c>
      <c r="C7867" s="71" t="s">
        <v>4371</v>
      </c>
      <c r="D7867" s="71">
        <v>1</v>
      </c>
      <c r="E7867" s="102">
        <v>750000</v>
      </c>
      <c r="F7867" s="102">
        <f t="shared" si="4576"/>
        <v>825000.00000000012</v>
      </c>
      <c r="G7867" s="102">
        <f t="shared" si="4577"/>
        <v>750000</v>
      </c>
      <c r="H7867" s="690" t="s">
        <v>179</v>
      </c>
      <c r="I7867" s="690" t="s">
        <v>179</v>
      </c>
      <c r="J7867" s="53">
        <f t="shared" si="4567"/>
        <v>500000</v>
      </c>
      <c r="K7867" s="63">
        <f t="shared" si="4568"/>
        <v>0.66666666666666652</v>
      </c>
      <c r="L7867" s="1212" t="s">
        <v>4357</v>
      </c>
      <c r="M7867" s="468"/>
      <c r="N7867" s="1192">
        <f t="shared" si="4578"/>
        <v>45807</v>
      </c>
      <c r="O7867" s="71" t="s">
        <v>94</v>
      </c>
      <c r="P7867" s="103" t="str">
        <f t="shared" si="4579"/>
        <v>Rotor wheel for pump IDP 200</v>
      </c>
      <c r="Q7867" s="71">
        <f t="shared" si="4571"/>
        <v>1</v>
      </c>
      <c r="R7867" s="147">
        <v>250000</v>
      </c>
      <c r="S7867" s="102">
        <f t="shared" si="4572"/>
        <v>275000</v>
      </c>
      <c r="T7867" s="102">
        <f t="shared" si="4573"/>
        <v>250000</v>
      </c>
      <c r="U7867" s="71"/>
      <c r="V7867" s="71"/>
      <c r="W7867" s="474"/>
      <c r="X7867" s="71"/>
      <c r="Y7867" s="71"/>
    </row>
    <row r="7868" spans="1:25" ht="30" hidden="1" customHeight="1" x14ac:dyDescent="0.25">
      <c r="A7868" s="1145">
        <v>45807</v>
      </c>
      <c r="B7868" s="664" t="s">
        <v>4370</v>
      </c>
      <c r="C7868" s="71" t="s">
        <v>4372</v>
      </c>
      <c r="D7868" s="71">
        <v>1</v>
      </c>
      <c r="E7868" s="102">
        <v>4500000</v>
      </c>
      <c r="F7868" s="102">
        <f t="shared" si="4576"/>
        <v>4950000</v>
      </c>
      <c r="G7868" s="102">
        <f t="shared" si="4577"/>
        <v>4500000</v>
      </c>
      <c r="H7868" s="690" t="s">
        <v>179</v>
      </c>
      <c r="I7868" s="690" t="s">
        <v>179</v>
      </c>
      <c r="J7868" s="53">
        <f t="shared" si="4567"/>
        <v>600000</v>
      </c>
      <c r="K7868" s="63">
        <f t="shared" si="4568"/>
        <v>0.13333333333333333</v>
      </c>
      <c r="L7868" s="1212" t="s">
        <v>4357</v>
      </c>
      <c r="M7868" s="102"/>
      <c r="N7868" s="1192">
        <f t="shared" si="4578"/>
        <v>45807</v>
      </c>
      <c r="O7868" s="71" t="s">
        <v>94</v>
      </c>
      <c r="P7868" s="103" t="str">
        <f t="shared" si="4579"/>
        <v>Pump IDP 320-1_310</v>
      </c>
      <c r="Q7868" s="71">
        <f t="shared" si="4571"/>
        <v>1</v>
      </c>
      <c r="R7868" s="102">
        <v>3900000</v>
      </c>
      <c r="S7868" s="102">
        <f t="shared" si="4572"/>
        <v>4290000</v>
      </c>
      <c r="T7868" s="102">
        <f t="shared" si="4573"/>
        <v>3900000</v>
      </c>
      <c r="U7868" s="71"/>
      <c r="V7868" s="71"/>
      <c r="W7868" s="474"/>
      <c r="X7868" s="71"/>
      <c r="Y7868" s="71"/>
    </row>
    <row r="7869" spans="1:25" ht="30" hidden="1" customHeight="1" x14ac:dyDescent="0.25">
      <c r="A7869" s="1145">
        <v>45807</v>
      </c>
      <c r="B7869" s="664" t="s">
        <v>591</v>
      </c>
      <c r="C7869" s="71" t="s">
        <v>4373</v>
      </c>
      <c r="D7869" s="71">
        <v>1</v>
      </c>
      <c r="E7869" s="102">
        <v>3166000</v>
      </c>
      <c r="F7869" s="102">
        <f t="shared" ref="F7869" si="4580">(E7869*D7869)*1.1</f>
        <v>3482600.0000000005</v>
      </c>
      <c r="G7869" s="102">
        <f t="shared" ref="G7869" si="4581">(E7869*D7869)</f>
        <v>3166000</v>
      </c>
      <c r="H7869" s="690" t="s">
        <v>173</v>
      </c>
      <c r="I7869" s="71" t="s">
        <v>143</v>
      </c>
      <c r="J7869" s="53">
        <f t="shared" si="4567"/>
        <v>961000</v>
      </c>
      <c r="K7869" s="63">
        <f t="shared" si="4568"/>
        <v>0.30353758686039162</v>
      </c>
      <c r="L7869" s="1212" t="s">
        <v>4357</v>
      </c>
      <c r="M7869" s="468"/>
      <c r="N7869" s="1192">
        <f t="shared" si="4578"/>
        <v>45807</v>
      </c>
      <c r="O7869" s="71" t="s">
        <v>612</v>
      </c>
      <c r="P7869" s="103" t="str">
        <f t="shared" si="4579"/>
        <v>고모리,m600 롤러세트</v>
      </c>
      <c r="Q7869" s="71">
        <f t="shared" si="4571"/>
        <v>1</v>
      </c>
      <c r="R7869" s="147">
        <v>2205000</v>
      </c>
      <c r="S7869" s="102">
        <f t="shared" si="4572"/>
        <v>2425500</v>
      </c>
      <c r="T7869" s="102">
        <f t="shared" si="4573"/>
        <v>2205000</v>
      </c>
      <c r="U7869" s="71"/>
      <c r="V7869" s="71"/>
      <c r="W7869" s="474"/>
      <c r="X7869" s="71"/>
      <c r="Y7869" s="71"/>
    </row>
    <row r="7870" spans="1:25" ht="30" hidden="1" customHeight="1" x14ac:dyDescent="0.25">
      <c r="A7870" s="1210" t="s">
        <v>4390</v>
      </c>
      <c r="B7870" s="1211" t="s">
        <v>544</v>
      </c>
      <c r="C7870" s="960"/>
      <c r="D7870" s="960"/>
      <c r="E7870" s="952"/>
      <c r="F7870" s="952"/>
      <c r="G7870" s="952"/>
      <c r="H7870" s="1206"/>
      <c r="I7870" s="960"/>
      <c r="J7870" s="952"/>
      <c r="K7870" s="953"/>
      <c r="L7870" s="1212" t="s">
        <v>4392</v>
      </c>
      <c r="M7870" s="1207"/>
      <c r="N7870" s="1208" t="str">
        <f t="shared" si="4578"/>
        <v>2025,6</v>
      </c>
      <c r="O7870" s="960"/>
      <c r="P7870" s="1209"/>
      <c r="Q7870" s="960"/>
      <c r="R7870" s="952"/>
      <c r="S7870" s="952"/>
      <c r="T7870" s="952"/>
      <c r="U7870" s="960"/>
      <c r="V7870" s="960"/>
      <c r="W7870" s="474">
        <f>(G7870-T7870)</f>
        <v>0</v>
      </c>
      <c r="X7870" s="71"/>
      <c r="Y7870" s="71"/>
    </row>
    <row r="7871" spans="1:25" ht="30" hidden="1" customHeight="1" x14ac:dyDescent="0.25">
      <c r="A7871" s="1145">
        <v>45802</v>
      </c>
      <c r="B7871" s="664" t="s">
        <v>1060</v>
      </c>
      <c r="C7871" s="71" t="s">
        <v>3908</v>
      </c>
      <c r="D7871" s="71">
        <v>900</v>
      </c>
      <c r="E7871" s="102">
        <v>5860</v>
      </c>
      <c r="F7871" s="102">
        <f t="shared" ref="F7871:F7905" si="4582">(E7871*D7871)*1.1</f>
        <v>5801400.0000000009</v>
      </c>
      <c r="G7871" s="102">
        <f t="shared" ref="G7871:G7905" si="4583">(E7871*D7871)</f>
        <v>5274000</v>
      </c>
      <c r="H7871" s="690" t="s">
        <v>142</v>
      </c>
      <c r="I7871" s="71" t="s">
        <v>179</v>
      </c>
      <c r="J7871" s="53">
        <f t="shared" ref="J7871:J7905" si="4584">G7871-T7871</f>
        <v>1751400</v>
      </c>
      <c r="K7871" s="63">
        <f t="shared" ref="K7871:K7905" si="4585">(J7871/(F7871/11*10))</f>
        <v>0.33208191126279857</v>
      </c>
      <c r="L7871" s="1212" t="s">
        <v>4392</v>
      </c>
      <c r="M7871" s="102" t="s">
        <v>3964</v>
      </c>
      <c r="N7871" s="1192">
        <v>45682</v>
      </c>
      <c r="O7871" s="71" t="s">
        <v>662</v>
      </c>
      <c r="P7871" s="103" t="s">
        <v>3908</v>
      </c>
      <c r="Q7871" s="71">
        <f t="shared" ref="Q7871:Q7934" si="4586">D7871</f>
        <v>900</v>
      </c>
      <c r="R7871" s="102">
        <v>3914</v>
      </c>
      <c r="S7871" s="102">
        <f t="shared" ref="S7871" si="4587">R7871*Q7871*1.1</f>
        <v>3874860.0000000005</v>
      </c>
      <c r="T7871" s="102">
        <f t="shared" ref="T7871" si="4588">R7871*Q7871</f>
        <v>3522600</v>
      </c>
      <c r="U7871" s="71" t="s">
        <v>859</v>
      </c>
      <c r="V7871" s="71"/>
      <c r="W7871" s="474">
        <v>942000</v>
      </c>
      <c r="X7871" s="71"/>
      <c r="Y7871" s="71"/>
    </row>
    <row r="7872" spans="1:25" ht="30" hidden="1" customHeight="1" x14ac:dyDescent="0.25">
      <c r="A7872" s="1145">
        <v>45802</v>
      </c>
      <c r="B7872" s="664" t="s">
        <v>1060</v>
      </c>
      <c r="C7872" s="71" t="s">
        <v>3909</v>
      </c>
      <c r="D7872" s="71">
        <v>1500</v>
      </c>
      <c r="E7872" s="102">
        <v>3700</v>
      </c>
      <c r="F7872" s="102">
        <f t="shared" si="4582"/>
        <v>6105000.0000000009</v>
      </c>
      <c r="G7872" s="102">
        <f t="shared" si="4583"/>
        <v>5550000</v>
      </c>
      <c r="H7872" s="690" t="s">
        <v>36</v>
      </c>
      <c r="I7872" s="71" t="s">
        <v>2529</v>
      </c>
      <c r="J7872" s="53">
        <f t="shared" si="4584"/>
        <v>1842000</v>
      </c>
      <c r="K7872" s="63">
        <f t="shared" si="4585"/>
        <v>0.33189189189189183</v>
      </c>
      <c r="L7872" s="1212" t="s">
        <v>4391</v>
      </c>
      <c r="M7872" s="102" t="s">
        <v>3964</v>
      </c>
      <c r="N7872" s="1192">
        <v>45651</v>
      </c>
      <c r="O7872" s="71" t="s">
        <v>662</v>
      </c>
      <c r="P7872" s="103" t="s">
        <v>3909</v>
      </c>
      <c r="Q7872" s="71">
        <f t="shared" si="4586"/>
        <v>1500</v>
      </c>
      <c r="R7872" s="102">
        <v>2472</v>
      </c>
      <c r="S7872" s="102">
        <f t="shared" ref="S7872:S7935" si="4589">R7872*Q7872*1.1</f>
        <v>4078800.0000000005</v>
      </c>
      <c r="T7872" s="102">
        <f t="shared" ref="T7872:T7935" si="4590">R7872*Q7872</f>
        <v>3708000</v>
      </c>
      <c r="U7872" s="71" t="s">
        <v>859</v>
      </c>
      <c r="V7872" s="71"/>
      <c r="W7872" s="474">
        <v>1274000</v>
      </c>
      <c r="X7872" s="71"/>
      <c r="Y7872" s="71"/>
    </row>
    <row r="7873" spans="1:25" ht="30" hidden="1" customHeight="1" x14ac:dyDescent="0.25">
      <c r="A7873" s="1145">
        <v>45802</v>
      </c>
      <c r="B7873" s="664" t="s">
        <v>1060</v>
      </c>
      <c r="C7873" s="71" t="s">
        <v>3910</v>
      </c>
      <c r="D7873" s="71">
        <v>2300</v>
      </c>
      <c r="E7873" s="102">
        <v>3500</v>
      </c>
      <c r="F7873" s="102">
        <f t="shared" si="4582"/>
        <v>8855000</v>
      </c>
      <c r="G7873" s="102">
        <f t="shared" si="4583"/>
        <v>8050000</v>
      </c>
      <c r="H7873" s="690" t="s">
        <v>36</v>
      </c>
      <c r="I7873" s="71" t="s">
        <v>2529</v>
      </c>
      <c r="J7873" s="53">
        <f t="shared" si="4584"/>
        <v>2649600</v>
      </c>
      <c r="K7873" s="63">
        <f t="shared" si="4585"/>
        <v>0.32914285714285713</v>
      </c>
      <c r="L7873" s="1212" t="s">
        <v>4391</v>
      </c>
      <c r="M7873" s="102" t="s">
        <v>3964</v>
      </c>
      <c r="N7873" s="1192">
        <v>45651</v>
      </c>
      <c r="O7873" s="71" t="s">
        <v>662</v>
      </c>
      <c r="P7873" s="103" t="s">
        <v>3910</v>
      </c>
      <c r="Q7873" s="71">
        <f t="shared" si="4586"/>
        <v>2300</v>
      </c>
      <c r="R7873" s="102">
        <v>2348</v>
      </c>
      <c r="S7873" s="102">
        <f t="shared" si="4589"/>
        <v>5940440.0000000009</v>
      </c>
      <c r="T7873" s="102">
        <f t="shared" si="4590"/>
        <v>5400400</v>
      </c>
      <c r="U7873" s="71" t="s">
        <v>859</v>
      </c>
      <c r="V7873" s="71"/>
      <c r="W7873" s="474">
        <v>3325000</v>
      </c>
      <c r="X7873" s="71"/>
      <c r="Y7873" s="71"/>
    </row>
    <row r="7874" spans="1:25" ht="30" hidden="1" customHeight="1" x14ac:dyDescent="0.25">
      <c r="A7874" s="1145">
        <v>45802</v>
      </c>
      <c r="B7874" s="664" t="s">
        <v>1060</v>
      </c>
      <c r="C7874" s="71" t="s">
        <v>3911</v>
      </c>
      <c r="D7874" s="71">
        <v>200</v>
      </c>
      <c r="E7874" s="102">
        <v>5940</v>
      </c>
      <c r="F7874" s="102">
        <f t="shared" si="4582"/>
        <v>1306800</v>
      </c>
      <c r="G7874" s="102">
        <f t="shared" si="4583"/>
        <v>1188000</v>
      </c>
      <c r="H7874" s="690" t="s">
        <v>36</v>
      </c>
      <c r="I7874" s="71" t="s">
        <v>2529</v>
      </c>
      <c r="J7874" s="53">
        <f t="shared" si="4584"/>
        <v>394800</v>
      </c>
      <c r="K7874" s="63">
        <f t="shared" si="4585"/>
        <v>0.3323232323232323</v>
      </c>
      <c r="L7874" s="1212" t="s">
        <v>4391</v>
      </c>
      <c r="M7874" s="102" t="s">
        <v>3964</v>
      </c>
      <c r="N7874" s="1192">
        <v>45651</v>
      </c>
      <c r="O7874" s="71" t="s">
        <v>662</v>
      </c>
      <c r="P7874" s="103" t="s">
        <v>3911</v>
      </c>
      <c r="Q7874" s="71">
        <f t="shared" si="4586"/>
        <v>200</v>
      </c>
      <c r="R7874" s="102">
        <v>3966</v>
      </c>
      <c r="S7874" s="102">
        <f t="shared" si="4589"/>
        <v>872520.00000000012</v>
      </c>
      <c r="T7874" s="102">
        <f t="shared" si="4590"/>
        <v>793200</v>
      </c>
      <c r="U7874" s="71" t="s">
        <v>859</v>
      </c>
      <c r="V7874" s="71"/>
      <c r="W7874" s="474">
        <v>636000</v>
      </c>
      <c r="X7874" s="71"/>
      <c r="Y7874" s="71"/>
    </row>
    <row r="7875" spans="1:25" ht="30" hidden="1" customHeight="1" x14ac:dyDescent="0.25">
      <c r="A7875" s="1145">
        <v>45802</v>
      </c>
      <c r="B7875" s="664" t="s">
        <v>1060</v>
      </c>
      <c r="C7875" s="71" t="s">
        <v>3912</v>
      </c>
      <c r="D7875" s="71">
        <v>900</v>
      </c>
      <c r="E7875" s="102">
        <v>6160</v>
      </c>
      <c r="F7875" s="102">
        <f t="shared" si="4582"/>
        <v>6098400.0000000009</v>
      </c>
      <c r="G7875" s="102">
        <f t="shared" si="4583"/>
        <v>5544000</v>
      </c>
      <c r="H7875" s="690" t="s">
        <v>36</v>
      </c>
      <c r="I7875" s="71" t="s">
        <v>2529</v>
      </c>
      <c r="J7875" s="53">
        <f t="shared" si="4584"/>
        <v>1836000</v>
      </c>
      <c r="K7875" s="63">
        <f t="shared" si="4585"/>
        <v>0.33116883116883111</v>
      </c>
      <c r="L7875" s="1212" t="s">
        <v>4391</v>
      </c>
      <c r="M7875" s="102" t="s">
        <v>3964</v>
      </c>
      <c r="N7875" s="1192">
        <v>45651</v>
      </c>
      <c r="O7875" s="71" t="s">
        <v>662</v>
      </c>
      <c r="P7875" s="103" t="s">
        <v>3912</v>
      </c>
      <c r="Q7875" s="71">
        <f t="shared" si="4586"/>
        <v>900</v>
      </c>
      <c r="R7875" s="102">
        <v>4120</v>
      </c>
      <c r="S7875" s="102">
        <f t="shared" si="4589"/>
        <v>4078800.0000000005</v>
      </c>
      <c r="T7875" s="102">
        <f t="shared" si="4590"/>
        <v>3708000</v>
      </c>
      <c r="U7875" s="71" t="s">
        <v>859</v>
      </c>
      <c r="V7875" s="71"/>
      <c r="W7875" s="474">
        <v>1476000</v>
      </c>
      <c r="X7875" s="71"/>
      <c r="Y7875" s="71"/>
    </row>
    <row r="7876" spans="1:25" ht="30" hidden="1" customHeight="1" x14ac:dyDescent="0.25">
      <c r="A7876" s="1145">
        <v>45802</v>
      </c>
      <c r="B7876" s="664" t="s">
        <v>1060</v>
      </c>
      <c r="C7876" s="71" t="s">
        <v>3913</v>
      </c>
      <c r="D7876" s="71">
        <v>0</v>
      </c>
      <c r="E7876" s="102">
        <v>4390</v>
      </c>
      <c r="F7876" s="102">
        <f t="shared" si="4582"/>
        <v>0</v>
      </c>
      <c r="G7876" s="102">
        <f t="shared" si="4583"/>
        <v>0</v>
      </c>
      <c r="H7876" s="690" t="s">
        <v>36</v>
      </c>
      <c r="I7876" s="71" t="s">
        <v>2529</v>
      </c>
      <c r="J7876" s="53">
        <f t="shared" si="4584"/>
        <v>0</v>
      </c>
      <c r="K7876" s="63" t="e">
        <f t="shared" si="4585"/>
        <v>#DIV/0!</v>
      </c>
      <c r="L7876" s="1212" t="s">
        <v>4391</v>
      </c>
      <c r="M7876" s="102" t="s">
        <v>3964</v>
      </c>
      <c r="N7876" s="1192">
        <v>45651</v>
      </c>
      <c r="O7876" s="71" t="s">
        <v>662</v>
      </c>
      <c r="P7876" s="103" t="s">
        <v>3913</v>
      </c>
      <c r="Q7876" s="71">
        <f t="shared" si="4586"/>
        <v>0</v>
      </c>
      <c r="R7876" s="102">
        <v>2936</v>
      </c>
      <c r="S7876" s="102">
        <f t="shared" si="4589"/>
        <v>0</v>
      </c>
      <c r="T7876" s="102">
        <f t="shared" si="4590"/>
        <v>0</v>
      </c>
      <c r="U7876" s="71" t="s">
        <v>859</v>
      </c>
      <c r="V7876" s="71"/>
      <c r="W7876" s="474">
        <v>1416000</v>
      </c>
      <c r="X7876" s="71"/>
      <c r="Y7876" s="71"/>
    </row>
    <row r="7877" spans="1:25" ht="30" hidden="1" customHeight="1" x14ac:dyDescent="0.25">
      <c r="A7877" s="1145">
        <v>45802</v>
      </c>
      <c r="B7877" s="664" t="s">
        <v>1060</v>
      </c>
      <c r="C7877" s="71" t="s">
        <v>3914</v>
      </c>
      <c r="D7877" s="71">
        <v>25</v>
      </c>
      <c r="E7877" s="102">
        <v>53240</v>
      </c>
      <c r="F7877" s="102">
        <f t="shared" si="4582"/>
        <v>1464100.0000000002</v>
      </c>
      <c r="G7877" s="102">
        <f t="shared" si="4583"/>
        <v>1331000</v>
      </c>
      <c r="H7877" s="690" t="s">
        <v>36</v>
      </c>
      <c r="I7877" s="71" t="s">
        <v>2529</v>
      </c>
      <c r="J7877" s="53">
        <f t="shared" si="4584"/>
        <v>301000</v>
      </c>
      <c r="K7877" s="63">
        <f t="shared" si="4585"/>
        <v>0.22614575507137485</v>
      </c>
      <c r="L7877" s="1212" t="s">
        <v>4391</v>
      </c>
      <c r="M7877" s="468"/>
      <c r="N7877" s="1192">
        <v>45651</v>
      </c>
      <c r="O7877" s="71" t="s">
        <v>662</v>
      </c>
      <c r="P7877" s="103" t="s">
        <v>3914</v>
      </c>
      <c r="Q7877" s="71">
        <f t="shared" si="4586"/>
        <v>25</v>
      </c>
      <c r="R7877" s="102">
        <v>41200</v>
      </c>
      <c r="S7877" s="102">
        <f t="shared" si="4589"/>
        <v>1133000</v>
      </c>
      <c r="T7877" s="102">
        <f t="shared" si="4590"/>
        <v>1030000</v>
      </c>
      <c r="U7877" s="71" t="s">
        <v>859</v>
      </c>
      <c r="V7877" s="71"/>
      <c r="W7877" s="474">
        <v>978750</v>
      </c>
      <c r="X7877" s="71"/>
      <c r="Y7877" s="71"/>
    </row>
    <row r="7878" spans="1:25" ht="30" hidden="1" customHeight="1" x14ac:dyDescent="0.25">
      <c r="A7878" s="1145">
        <v>45802</v>
      </c>
      <c r="B7878" s="664" t="s">
        <v>1061</v>
      </c>
      <c r="C7878" s="71" t="s">
        <v>3319</v>
      </c>
      <c r="D7878" s="71">
        <v>200</v>
      </c>
      <c r="E7878" s="102">
        <v>6328</v>
      </c>
      <c r="F7878" s="102">
        <f t="shared" si="4582"/>
        <v>1392160</v>
      </c>
      <c r="G7878" s="102">
        <f t="shared" si="4583"/>
        <v>1265600</v>
      </c>
      <c r="H7878" s="690" t="s">
        <v>36</v>
      </c>
      <c r="I7878" s="71" t="s">
        <v>3320</v>
      </c>
      <c r="J7878" s="53">
        <f t="shared" si="4584"/>
        <v>95600</v>
      </c>
      <c r="K7878" s="63">
        <f t="shared" si="4585"/>
        <v>7.5537294563843241E-2</v>
      </c>
      <c r="L7878" s="1212" t="s">
        <v>4391</v>
      </c>
      <c r="M7878" s="468"/>
      <c r="N7878" s="1192">
        <v>45651</v>
      </c>
      <c r="O7878" s="71" t="s">
        <v>146</v>
      </c>
      <c r="P7878" s="103" t="s">
        <v>3319</v>
      </c>
      <c r="Q7878" s="71">
        <f t="shared" si="4586"/>
        <v>200</v>
      </c>
      <c r="R7878" s="102">
        <v>5850</v>
      </c>
      <c r="S7878" s="102">
        <f t="shared" si="4589"/>
        <v>1287000</v>
      </c>
      <c r="T7878" s="102">
        <f t="shared" si="4590"/>
        <v>1170000</v>
      </c>
      <c r="U7878" s="71" t="s">
        <v>859</v>
      </c>
      <c r="V7878" s="71"/>
      <c r="W7878" s="474">
        <v>411200</v>
      </c>
      <c r="X7878" s="71"/>
      <c r="Y7878" s="71"/>
    </row>
    <row r="7879" spans="1:25" ht="30" hidden="1" customHeight="1" x14ac:dyDescent="0.25">
      <c r="A7879" s="1145">
        <v>45802</v>
      </c>
      <c r="B7879" s="664" t="s">
        <v>1061</v>
      </c>
      <c r="C7879" s="71" t="s">
        <v>3321</v>
      </c>
      <c r="D7879" s="71">
        <v>400</v>
      </c>
      <c r="E7879" s="102">
        <v>6780</v>
      </c>
      <c r="F7879" s="102">
        <f t="shared" si="4582"/>
        <v>2983200.0000000005</v>
      </c>
      <c r="G7879" s="102">
        <f t="shared" si="4583"/>
        <v>2712000</v>
      </c>
      <c r="H7879" s="690" t="s">
        <v>36</v>
      </c>
      <c r="I7879" s="71" t="s">
        <v>3320</v>
      </c>
      <c r="J7879" s="53">
        <f t="shared" si="4584"/>
        <v>200000</v>
      </c>
      <c r="K7879" s="63">
        <f t="shared" si="4585"/>
        <v>7.3746312684365767E-2</v>
      </c>
      <c r="L7879" s="1212" t="s">
        <v>4391</v>
      </c>
      <c r="M7879" s="468"/>
      <c r="N7879" s="1192">
        <v>45651</v>
      </c>
      <c r="O7879" s="71" t="s">
        <v>146</v>
      </c>
      <c r="P7879" s="103" t="s">
        <v>3321</v>
      </c>
      <c r="Q7879" s="71">
        <f t="shared" si="4586"/>
        <v>400</v>
      </c>
      <c r="R7879" s="102">
        <v>6280</v>
      </c>
      <c r="S7879" s="102">
        <f t="shared" si="4589"/>
        <v>2763200</v>
      </c>
      <c r="T7879" s="102">
        <f t="shared" si="4590"/>
        <v>2512000</v>
      </c>
      <c r="U7879" s="71" t="s">
        <v>859</v>
      </c>
      <c r="V7879" s="71"/>
      <c r="W7879" s="474">
        <v>292000</v>
      </c>
      <c r="X7879" s="71"/>
      <c r="Y7879" s="71"/>
    </row>
    <row r="7880" spans="1:25" ht="30" hidden="1" customHeight="1" x14ac:dyDescent="0.25">
      <c r="A7880" s="1145">
        <v>45802</v>
      </c>
      <c r="B7880" s="664" t="s">
        <v>1061</v>
      </c>
      <c r="C7880" s="71" t="s">
        <v>1289</v>
      </c>
      <c r="D7880" s="71">
        <v>400</v>
      </c>
      <c r="E7880" s="102">
        <v>6498</v>
      </c>
      <c r="F7880" s="102">
        <f t="shared" si="4582"/>
        <v>2859120</v>
      </c>
      <c r="G7880" s="102">
        <f t="shared" si="4583"/>
        <v>2599200</v>
      </c>
      <c r="H7880" s="690" t="s">
        <v>36</v>
      </c>
      <c r="I7880" s="71" t="s">
        <v>3320</v>
      </c>
      <c r="J7880" s="53">
        <f t="shared" si="4584"/>
        <v>191200</v>
      </c>
      <c r="K7880" s="63">
        <f t="shared" si="4585"/>
        <v>7.3561095721760547E-2</v>
      </c>
      <c r="L7880" s="1212" t="s">
        <v>4391</v>
      </c>
      <c r="M7880" s="468"/>
      <c r="N7880" s="1192">
        <v>45651</v>
      </c>
      <c r="O7880" s="71" t="s">
        <v>146</v>
      </c>
      <c r="P7880" s="103" t="s">
        <v>1289</v>
      </c>
      <c r="Q7880" s="71">
        <f t="shared" si="4586"/>
        <v>400</v>
      </c>
      <c r="R7880" s="102">
        <v>6020</v>
      </c>
      <c r="S7880" s="102">
        <f t="shared" si="4589"/>
        <v>2648800</v>
      </c>
      <c r="T7880" s="102">
        <f t="shared" si="4590"/>
        <v>2408000</v>
      </c>
      <c r="U7880" s="71" t="s">
        <v>859</v>
      </c>
      <c r="V7880" s="71"/>
      <c r="W7880" s="474">
        <v>640800</v>
      </c>
      <c r="X7880" s="71"/>
      <c r="Y7880" s="71"/>
    </row>
    <row r="7881" spans="1:25" ht="30" hidden="1" customHeight="1" x14ac:dyDescent="0.25">
      <c r="A7881" s="1145">
        <v>45802</v>
      </c>
      <c r="B7881" s="664" t="s">
        <v>1061</v>
      </c>
      <c r="C7881" s="71" t="s">
        <v>1290</v>
      </c>
      <c r="D7881" s="71">
        <v>200</v>
      </c>
      <c r="E7881" s="102">
        <v>7910</v>
      </c>
      <c r="F7881" s="102">
        <f t="shared" si="4582"/>
        <v>1740200.0000000002</v>
      </c>
      <c r="G7881" s="102">
        <f t="shared" si="4583"/>
        <v>1582000</v>
      </c>
      <c r="H7881" s="690" t="s">
        <v>36</v>
      </c>
      <c r="I7881" s="71" t="s">
        <v>3320</v>
      </c>
      <c r="J7881" s="53">
        <f t="shared" si="4584"/>
        <v>120000</v>
      </c>
      <c r="K7881" s="63">
        <f t="shared" si="4585"/>
        <v>7.5853350189633365E-2</v>
      </c>
      <c r="L7881" s="1212" t="s">
        <v>4391</v>
      </c>
      <c r="M7881" s="468"/>
      <c r="N7881" s="1192">
        <v>45651</v>
      </c>
      <c r="O7881" s="71" t="s">
        <v>146</v>
      </c>
      <c r="P7881" s="103" t="s">
        <v>1290</v>
      </c>
      <c r="Q7881" s="71">
        <f t="shared" si="4586"/>
        <v>200</v>
      </c>
      <c r="R7881" s="102">
        <v>7310</v>
      </c>
      <c r="S7881" s="102">
        <f t="shared" si="4589"/>
        <v>1608200.0000000002</v>
      </c>
      <c r="T7881" s="102">
        <f t="shared" si="4590"/>
        <v>1462000</v>
      </c>
      <c r="U7881" s="71" t="s">
        <v>859</v>
      </c>
      <c r="V7881" s="71"/>
      <c r="W7881" s="474">
        <v>846000</v>
      </c>
      <c r="X7881" s="71"/>
      <c r="Y7881" s="71"/>
    </row>
    <row r="7882" spans="1:25" ht="30" hidden="1" customHeight="1" x14ac:dyDescent="0.25">
      <c r="A7882" s="1145">
        <v>45802</v>
      </c>
      <c r="B7882" s="664" t="s">
        <v>1061</v>
      </c>
      <c r="C7882" s="71" t="s">
        <v>3322</v>
      </c>
      <c r="D7882" s="71"/>
      <c r="E7882" s="102">
        <v>7150</v>
      </c>
      <c r="F7882" s="102">
        <f t="shared" si="4582"/>
        <v>0</v>
      </c>
      <c r="G7882" s="102">
        <f t="shared" si="4583"/>
        <v>0</v>
      </c>
      <c r="H7882" s="690" t="s">
        <v>36</v>
      </c>
      <c r="I7882" s="71" t="s">
        <v>3320</v>
      </c>
      <c r="J7882" s="53">
        <f t="shared" si="4584"/>
        <v>0</v>
      </c>
      <c r="K7882" s="63" t="e">
        <f t="shared" si="4585"/>
        <v>#DIV/0!</v>
      </c>
      <c r="L7882" s="1212" t="s">
        <v>4391</v>
      </c>
      <c r="M7882" s="468"/>
      <c r="N7882" s="1192">
        <f t="shared" ref="N7882:N7887" si="4591">A7882</f>
        <v>45802</v>
      </c>
      <c r="O7882" s="71" t="s">
        <v>3323</v>
      </c>
      <c r="P7882" s="103" t="str">
        <f t="shared" ref="P7882:P7887" si="4592">(C7882)</f>
        <v>한특 잉크(적)</v>
      </c>
      <c r="Q7882" s="71">
        <f t="shared" si="4586"/>
        <v>0</v>
      </c>
      <c r="R7882" s="102">
        <v>6500</v>
      </c>
      <c r="S7882" s="102">
        <f t="shared" si="4589"/>
        <v>0</v>
      </c>
      <c r="T7882" s="102">
        <f t="shared" si="4590"/>
        <v>0</v>
      </c>
      <c r="U7882" s="71" t="s">
        <v>859</v>
      </c>
      <c r="V7882" s="71"/>
      <c r="W7882" s="474">
        <v>0</v>
      </c>
      <c r="X7882" s="71"/>
      <c r="Y7882" s="71"/>
    </row>
    <row r="7883" spans="1:25" ht="30" hidden="1" customHeight="1" x14ac:dyDescent="0.25">
      <c r="A7883" s="1145">
        <v>45802</v>
      </c>
      <c r="B7883" s="664" t="s">
        <v>1061</v>
      </c>
      <c r="C7883" s="71" t="s">
        <v>3324</v>
      </c>
      <c r="D7883" s="71"/>
      <c r="E7883" s="102">
        <v>6900</v>
      </c>
      <c r="F7883" s="102">
        <f t="shared" si="4582"/>
        <v>0</v>
      </c>
      <c r="G7883" s="102">
        <f t="shared" si="4583"/>
        <v>0</v>
      </c>
      <c r="H7883" s="690" t="s">
        <v>36</v>
      </c>
      <c r="I7883" s="71" t="s">
        <v>3320</v>
      </c>
      <c r="J7883" s="53">
        <f t="shared" si="4584"/>
        <v>0</v>
      </c>
      <c r="K7883" s="63" t="e">
        <f t="shared" si="4585"/>
        <v>#DIV/0!</v>
      </c>
      <c r="L7883" s="1212" t="s">
        <v>4391</v>
      </c>
      <c r="M7883" s="468"/>
      <c r="N7883" s="1192">
        <f t="shared" si="4591"/>
        <v>45802</v>
      </c>
      <c r="O7883" s="71" t="s">
        <v>3323</v>
      </c>
      <c r="P7883" s="103" t="str">
        <f t="shared" si="4592"/>
        <v>한특 잉크(황)</v>
      </c>
      <c r="Q7883" s="71">
        <f t="shared" si="4586"/>
        <v>0</v>
      </c>
      <c r="R7883" s="102">
        <v>6200</v>
      </c>
      <c r="S7883" s="102">
        <f t="shared" si="4589"/>
        <v>0</v>
      </c>
      <c r="T7883" s="102">
        <f t="shared" si="4590"/>
        <v>0</v>
      </c>
      <c r="U7883" s="71" t="s">
        <v>859</v>
      </c>
      <c r="V7883" s="71"/>
      <c r="W7883" s="474">
        <v>0</v>
      </c>
      <c r="X7883" s="71"/>
      <c r="Y7883" s="71"/>
    </row>
    <row r="7884" spans="1:25" ht="28.5" hidden="1" customHeight="1" x14ac:dyDescent="0.25">
      <c r="A7884" s="1145">
        <v>45802</v>
      </c>
      <c r="B7884" s="664" t="s">
        <v>1061</v>
      </c>
      <c r="C7884" s="71" t="s">
        <v>3325</v>
      </c>
      <c r="D7884" s="71"/>
      <c r="E7884" s="102">
        <v>7500</v>
      </c>
      <c r="F7884" s="102">
        <f t="shared" si="4582"/>
        <v>0</v>
      </c>
      <c r="G7884" s="102">
        <f t="shared" si="4583"/>
        <v>0</v>
      </c>
      <c r="H7884" s="690" t="s">
        <v>36</v>
      </c>
      <c r="I7884" s="71" t="s">
        <v>3320</v>
      </c>
      <c r="J7884" s="53">
        <f t="shared" si="4584"/>
        <v>0</v>
      </c>
      <c r="K7884" s="63" t="e">
        <f t="shared" si="4585"/>
        <v>#DIV/0!</v>
      </c>
      <c r="L7884" s="1212" t="s">
        <v>4391</v>
      </c>
      <c r="M7884" s="468"/>
      <c r="N7884" s="1192">
        <f t="shared" si="4591"/>
        <v>45802</v>
      </c>
      <c r="O7884" s="71" t="s">
        <v>3323</v>
      </c>
      <c r="P7884" s="103" t="str">
        <f t="shared" si="4592"/>
        <v>한특 잉크(청)</v>
      </c>
      <c r="Q7884" s="71">
        <f t="shared" si="4586"/>
        <v>0</v>
      </c>
      <c r="R7884" s="102">
        <v>6600</v>
      </c>
      <c r="S7884" s="102">
        <f t="shared" si="4589"/>
        <v>0</v>
      </c>
      <c r="T7884" s="102">
        <f t="shared" si="4590"/>
        <v>0</v>
      </c>
      <c r="U7884" s="71" t="s">
        <v>859</v>
      </c>
      <c r="V7884" s="71"/>
      <c r="W7884" s="474">
        <v>0</v>
      </c>
      <c r="X7884" s="71"/>
      <c r="Y7884" s="71"/>
    </row>
    <row r="7885" spans="1:25" ht="30" hidden="1" customHeight="1" x14ac:dyDescent="0.25">
      <c r="A7885" s="1145">
        <v>45802</v>
      </c>
      <c r="B7885" s="664" t="s">
        <v>1061</v>
      </c>
      <c r="C7885" s="71" t="s">
        <v>3326</v>
      </c>
      <c r="D7885" s="71"/>
      <c r="E7885" s="102">
        <v>6450</v>
      </c>
      <c r="F7885" s="102">
        <f t="shared" si="4582"/>
        <v>0</v>
      </c>
      <c r="G7885" s="102">
        <f t="shared" si="4583"/>
        <v>0</v>
      </c>
      <c r="H7885" s="690" t="s">
        <v>36</v>
      </c>
      <c r="I7885" s="71" t="s">
        <v>3320</v>
      </c>
      <c r="J7885" s="53">
        <f t="shared" si="4584"/>
        <v>0</v>
      </c>
      <c r="K7885" s="63" t="e">
        <f t="shared" si="4585"/>
        <v>#DIV/0!</v>
      </c>
      <c r="L7885" s="1212" t="s">
        <v>4391</v>
      </c>
      <c r="M7885" s="468"/>
      <c r="N7885" s="1192">
        <f t="shared" si="4591"/>
        <v>45802</v>
      </c>
      <c r="O7885" s="71" t="s">
        <v>3323</v>
      </c>
      <c r="P7885" s="103" t="str">
        <f t="shared" si="4592"/>
        <v>한특 잉크(먹)</v>
      </c>
      <c r="Q7885" s="71">
        <f t="shared" si="4586"/>
        <v>0</v>
      </c>
      <c r="R7885" s="102">
        <v>5700</v>
      </c>
      <c r="S7885" s="102">
        <f t="shared" si="4589"/>
        <v>0</v>
      </c>
      <c r="T7885" s="102">
        <f t="shared" si="4590"/>
        <v>0</v>
      </c>
      <c r="U7885" s="71" t="s">
        <v>859</v>
      </c>
      <c r="V7885" s="71"/>
      <c r="W7885" s="474">
        <v>0</v>
      </c>
      <c r="X7885" s="71"/>
      <c r="Y7885" s="71"/>
    </row>
    <row r="7886" spans="1:25" ht="30" hidden="1" customHeight="1" x14ac:dyDescent="0.25">
      <c r="A7886" s="1145">
        <v>45802</v>
      </c>
      <c r="B7886" s="664" t="s">
        <v>1061</v>
      </c>
      <c r="C7886" s="71" t="s">
        <v>4215</v>
      </c>
      <c r="D7886" s="71">
        <v>125</v>
      </c>
      <c r="E7886" s="102">
        <v>33500</v>
      </c>
      <c r="F7886" s="102">
        <f t="shared" si="4582"/>
        <v>4606250</v>
      </c>
      <c r="G7886" s="102">
        <f t="shared" si="4583"/>
        <v>4187500</v>
      </c>
      <c r="H7886" s="690" t="s">
        <v>36</v>
      </c>
      <c r="I7886" s="71" t="s">
        <v>3320</v>
      </c>
      <c r="J7886" s="53">
        <f t="shared" si="4584"/>
        <v>312500</v>
      </c>
      <c r="K7886" s="63">
        <f t="shared" si="4585"/>
        <v>7.4626865671641784E-2</v>
      </c>
      <c r="L7886" s="1212" t="s">
        <v>4391</v>
      </c>
      <c r="M7886" s="468"/>
      <c r="N7886" s="1192">
        <f t="shared" si="4591"/>
        <v>45802</v>
      </c>
      <c r="O7886" s="71" t="s">
        <v>2459</v>
      </c>
      <c r="P7886" s="103" t="str">
        <f t="shared" si="4592"/>
        <v>별색 - 프린피아 PT-803</v>
      </c>
      <c r="Q7886" s="71">
        <f t="shared" si="4586"/>
        <v>125</v>
      </c>
      <c r="R7886" s="102">
        <v>31000</v>
      </c>
      <c r="S7886" s="102">
        <f t="shared" si="4589"/>
        <v>4262500</v>
      </c>
      <c r="T7886" s="102">
        <f t="shared" si="4590"/>
        <v>3875000</v>
      </c>
      <c r="U7886" s="71"/>
      <c r="V7886" s="71"/>
      <c r="W7886" s="474"/>
      <c r="X7886" s="71"/>
      <c r="Y7886" s="71"/>
    </row>
    <row r="7887" spans="1:25" ht="30" hidden="1" customHeight="1" x14ac:dyDescent="0.25">
      <c r="A7887" s="1145">
        <v>45802</v>
      </c>
      <c r="B7887" s="664" t="s">
        <v>1061</v>
      </c>
      <c r="C7887" s="71" t="s">
        <v>4393</v>
      </c>
      <c r="D7887" s="71">
        <v>50</v>
      </c>
      <c r="E7887" s="102">
        <v>22400</v>
      </c>
      <c r="F7887" s="102">
        <f t="shared" si="4582"/>
        <v>1232000</v>
      </c>
      <c r="G7887" s="102">
        <f t="shared" si="4583"/>
        <v>1120000</v>
      </c>
      <c r="H7887" s="690" t="s">
        <v>36</v>
      </c>
      <c r="I7887" s="71" t="s">
        <v>3320</v>
      </c>
      <c r="J7887" s="53">
        <f t="shared" si="4584"/>
        <v>535000</v>
      </c>
      <c r="K7887" s="63">
        <f t="shared" si="4585"/>
        <v>0.47767857142857145</v>
      </c>
      <c r="L7887" s="1212" t="s">
        <v>4391</v>
      </c>
      <c r="M7887" s="468"/>
      <c r="N7887" s="1192">
        <f t="shared" si="4591"/>
        <v>45802</v>
      </c>
      <c r="O7887" s="71" t="s">
        <v>3323</v>
      </c>
      <c r="P7887" s="103" t="str">
        <f t="shared" si="4592"/>
        <v>별색 - 프린피아 PT-810C 형광</v>
      </c>
      <c r="Q7887" s="71">
        <f t="shared" si="4586"/>
        <v>50</v>
      </c>
      <c r="R7887" s="102">
        <v>11700</v>
      </c>
      <c r="S7887" s="102">
        <f t="shared" si="4589"/>
        <v>643500</v>
      </c>
      <c r="T7887" s="102">
        <f t="shared" si="4590"/>
        <v>585000</v>
      </c>
      <c r="U7887" s="71"/>
      <c r="V7887" s="71"/>
      <c r="W7887" s="474"/>
      <c r="X7887" s="71"/>
      <c r="Y7887" s="71"/>
    </row>
    <row r="7888" spans="1:25" ht="30" hidden="1" customHeight="1" x14ac:dyDescent="0.25">
      <c r="A7888" s="1145">
        <v>45802</v>
      </c>
      <c r="B7888" s="664" t="s">
        <v>3307</v>
      </c>
      <c r="C7888" s="71" t="s">
        <v>3916</v>
      </c>
      <c r="D7888" s="71">
        <v>8</v>
      </c>
      <c r="E7888" s="102">
        <v>218000</v>
      </c>
      <c r="F7888" s="102">
        <f t="shared" si="4582"/>
        <v>1918400.0000000002</v>
      </c>
      <c r="G7888" s="102">
        <f t="shared" si="4583"/>
        <v>1744000</v>
      </c>
      <c r="H7888" s="690" t="s">
        <v>172</v>
      </c>
      <c r="I7888" s="71" t="s">
        <v>33</v>
      </c>
      <c r="J7888" s="53">
        <f t="shared" si="4584"/>
        <v>412000</v>
      </c>
      <c r="K7888" s="63">
        <f t="shared" si="4585"/>
        <v>0.23623853211009171</v>
      </c>
      <c r="L7888" s="1212" t="s">
        <v>4391</v>
      </c>
      <c r="M7888" s="468" t="s">
        <v>3965</v>
      </c>
      <c r="N7888" s="1192">
        <v>45682</v>
      </c>
      <c r="O7888" s="71" t="s">
        <v>662</v>
      </c>
      <c r="P7888" s="103" t="s">
        <v>3916</v>
      </c>
      <c r="Q7888" s="71">
        <f t="shared" si="4586"/>
        <v>8</v>
      </c>
      <c r="R7888" s="102">
        <v>166500</v>
      </c>
      <c r="S7888" s="102">
        <f t="shared" si="4589"/>
        <v>1465200.0000000002</v>
      </c>
      <c r="T7888" s="102">
        <f t="shared" si="4590"/>
        <v>1332000</v>
      </c>
      <c r="U7888" s="71" t="s">
        <v>859</v>
      </c>
      <c r="V7888" s="71" t="s">
        <v>728</v>
      </c>
      <c r="W7888" s="474">
        <v>464000</v>
      </c>
      <c r="X7888" s="71"/>
      <c r="Y7888" s="71"/>
    </row>
    <row r="7889" spans="1:25" ht="30" hidden="1" customHeight="1" x14ac:dyDescent="0.25">
      <c r="A7889" s="1145">
        <v>45802</v>
      </c>
      <c r="B7889" s="664" t="s">
        <v>3307</v>
      </c>
      <c r="C7889" s="71" t="s">
        <v>4136</v>
      </c>
      <c r="D7889" s="71">
        <v>1</v>
      </c>
      <c r="E7889" s="102">
        <v>2350000</v>
      </c>
      <c r="F7889" s="102">
        <f t="shared" si="4582"/>
        <v>2585000</v>
      </c>
      <c r="G7889" s="102">
        <f t="shared" si="4583"/>
        <v>2350000</v>
      </c>
      <c r="H7889" s="690" t="s">
        <v>36</v>
      </c>
      <c r="I7889" s="690" t="s">
        <v>36</v>
      </c>
      <c r="J7889" s="53">
        <f t="shared" si="4584"/>
        <v>600000</v>
      </c>
      <c r="K7889" s="63">
        <f t="shared" si="4585"/>
        <v>0.25531914893617019</v>
      </c>
      <c r="L7889" s="1212" t="s">
        <v>4391</v>
      </c>
      <c r="M7889" s="468"/>
      <c r="N7889" s="1192">
        <v>45651</v>
      </c>
      <c r="O7889" s="71" t="s">
        <v>3298</v>
      </c>
      <c r="P7889" s="103" t="s">
        <v>4298</v>
      </c>
      <c r="Q7889" s="71">
        <f t="shared" si="4586"/>
        <v>1</v>
      </c>
      <c r="R7889" s="147">
        <v>1750000</v>
      </c>
      <c r="S7889" s="102">
        <f t="shared" si="4589"/>
        <v>1925000.0000000002</v>
      </c>
      <c r="T7889" s="102">
        <f t="shared" si="4590"/>
        <v>1750000</v>
      </c>
      <c r="U7889" s="71"/>
      <c r="V7889" s="71"/>
      <c r="W7889" s="474"/>
      <c r="X7889" s="71"/>
      <c r="Y7889" s="71"/>
    </row>
    <row r="7890" spans="1:25" ht="27" hidden="1" customHeight="1" x14ac:dyDescent="0.25">
      <c r="A7890" s="1145">
        <v>45838</v>
      </c>
      <c r="B7890" s="664" t="s">
        <v>2353</v>
      </c>
      <c r="C7890" s="71" t="s">
        <v>2648</v>
      </c>
      <c r="D7890" s="71">
        <v>4</v>
      </c>
      <c r="E7890" s="102">
        <v>50000</v>
      </c>
      <c r="F7890" s="102">
        <f t="shared" si="4582"/>
        <v>220000.00000000003</v>
      </c>
      <c r="G7890" s="102">
        <f t="shared" si="4583"/>
        <v>200000</v>
      </c>
      <c r="H7890" s="690" t="s">
        <v>179</v>
      </c>
      <c r="I7890" s="690" t="s">
        <v>179</v>
      </c>
      <c r="J7890" s="53">
        <f t="shared" si="4584"/>
        <v>104000</v>
      </c>
      <c r="K7890" s="63">
        <f t="shared" si="4585"/>
        <v>0.51999999999999991</v>
      </c>
      <c r="L7890" s="1212" t="s">
        <v>4391</v>
      </c>
      <c r="M7890" s="468"/>
      <c r="N7890" s="1192">
        <f t="shared" ref="N7890:N7905" si="4593">A7890</f>
        <v>45838</v>
      </c>
      <c r="O7890" s="71" t="s">
        <v>94</v>
      </c>
      <c r="P7890" s="103" t="str">
        <f t="shared" ref="P7890:P7905" si="4594">(C7890)</f>
        <v>주머니 필터백</v>
      </c>
      <c r="Q7890" s="71">
        <f t="shared" si="4586"/>
        <v>4</v>
      </c>
      <c r="R7890" s="102">
        <v>24000</v>
      </c>
      <c r="S7890" s="102">
        <f t="shared" si="4589"/>
        <v>105600.00000000001</v>
      </c>
      <c r="T7890" s="102">
        <f t="shared" si="4590"/>
        <v>96000</v>
      </c>
      <c r="U7890" s="71"/>
      <c r="V7890" s="71"/>
      <c r="W7890" s="474"/>
      <c r="X7890" s="71"/>
      <c r="Y7890" s="71"/>
    </row>
    <row r="7891" spans="1:25" ht="30" hidden="1" customHeight="1" x14ac:dyDescent="0.25">
      <c r="A7891" s="1145">
        <v>45838</v>
      </c>
      <c r="B7891" s="664" t="s">
        <v>2353</v>
      </c>
      <c r="C7891" s="71" t="s">
        <v>584</v>
      </c>
      <c r="D7891" s="71">
        <v>4</v>
      </c>
      <c r="E7891" s="102">
        <v>270000</v>
      </c>
      <c r="F7891" s="102">
        <f t="shared" si="4582"/>
        <v>1188000</v>
      </c>
      <c r="G7891" s="102">
        <f t="shared" si="4583"/>
        <v>1080000</v>
      </c>
      <c r="H7891" s="690" t="s">
        <v>142</v>
      </c>
      <c r="I7891" s="71" t="s">
        <v>179</v>
      </c>
      <c r="J7891" s="53">
        <f t="shared" si="4584"/>
        <v>328000</v>
      </c>
      <c r="K7891" s="63">
        <f t="shared" si="4585"/>
        <v>0.3037037037037037</v>
      </c>
      <c r="L7891" s="1212" t="s">
        <v>4391</v>
      </c>
      <c r="M7891" s="468"/>
      <c r="N7891" s="1192">
        <f t="shared" si="4593"/>
        <v>45838</v>
      </c>
      <c r="O7891" s="71" t="s">
        <v>150</v>
      </c>
      <c r="P7891" s="103" t="str">
        <f t="shared" si="4594"/>
        <v>데리바리 석션벨트</v>
      </c>
      <c r="Q7891" s="71">
        <f t="shared" si="4586"/>
        <v>4</v>
      </c>
      <c r="R7891" s="102">
        <v>188000</v>
      </c>
      <c r="S7891" s="102">
        <f t="shared" si="4589"/>
        <v>827200.00000000012</v>
      </c>
      <c r="T7891" s="102">
        <f t="shared" si="4590"/>
        <v>752000</v>
      </c>
      <c r="U7891" s="71" t="str">
        <f>IF(J7891=W7891,"O", "X")</f>
        <v>O</v>
      </c>
      <c r="V7891" s="71"/>
      <c r="W7891" s="474">
        <f>(G7891-T7891)</f>
        <v>328000</v>
      </c>
      <c r="X7891" s="71"/>
      <c r="Y7891" s="71"/>
    </row>
    <row r="7892" spans="1:25" ht="30" hidden="1" customHeight="1" x14ac:dyDescent="0.25">
      <c r="A7892" s="1145">
        <v>45838</v>
      </c>
      <c r="B7892" s="664" t="s">
        <v>2353</v>
      </c>
      <c r="C7892" s="71" t="s">
        <v>3384</v>
      </c>
      <c r="D7892" s="71">
        <v>100</v>
      </c>
      <c r="E7892" s="102">
        <v>500</v>
      </c>
      <c r="F7892" s="102">
        <f t="shared" si="4582"/>
        <v>55000.000000000007</v>
      </c>
      <c r="G7892" s="102">
        <f t="shared" si="4583"/>
        <v>50000</v>
      </c>
      <c r="H7892" s="690" t="s">
        <v>142</v>
      </c>
      <c r="I7892" s="71" t="s">
        <v>179</v>
      </c>
      <c r="J7892" s="53">
        <f t="shared" si="4584"/>
        <v>10000</v>
      </c>
      <c r="K7892" s="63">
        <f t="shared" si="4585"/>
        <v>0.19999999999999998</v>
      </c>
      <c r="L7892" s="1212" t="s">
        <v>4391</v>
      </c>
      <c r="M7892" s="468"/>
      <c r="N7892" s="1192">
        <f t="shared" si="4593"/>
        <v>45838</v>
      </c>
      <c r="O7892" s="71"/>
      <c r="P7892" s="164" t="str">
        <f t="shared" si="4594"/>
        <v>고무사카 빨간색</v>
      </c>
      <c r="Q7892" s="71">
        <f t="shared" si="4586"/>
        <v>100</v>
      </c>
      <c r="R7892" s="690">
        <v>400</v>
      </c>
      <c r="S7892" s="102">
        <f t="shared" si="4589"/>
        <v>44000</v>
      </c>
      <c r="T7892" s="102">
        <f t="shared" si="4590"/>
        <v>40000</v>
      </c>
      <c r="U7892" s="71"/>
      <c r="V7892" s="71"/>
      <c r="W7892" s="474"/>
      <c r="X7892" s="71"/>
      <c r="Y7892" s="71"/>
    </row>
    <row r="7893" spans="1:25" ht="28.9" hidden="1" customHeight="1" x14ac:dyDescent="0.25">
      <c r="A7893" s="1145">
        <v>45821</v>
      </c>
      <c r="B7893" s="664" t="s">
        <v>2353</v>
      </c>
      <c r="C7893" s="71" t="s">
        <v>129</v>
      </c>
      <c r="D7893" s="71">
        <v>7</v>
      </c>
      <c r="E7893" s="102">
        <v>325000</v>
      </c>
      <c r="F7893" s="102">
        <f t="shared" si="4582"/>
        <v>2502500</v>
      </c>
      <c r="G7893" s="102">
        <f t="shared" si="4583"/>
        <v>2275000</v>
      </c>
      <c r="H7893" s="690" t="s">
        <v>142</v>
      </c>
      <c r="I7893" s="71" t="s">
        <v>179</v>
      </c>
      <c r="J7893" s="53">
        <f t="shared" si="4584"/>
        <v>636440</v>
      </c>
      <c r="K7893" s="63">
        <f t="shared" si="4585"/>
        <v>0.27975384615384613</v>
      </c>
      <c r="L7893" s="1212" t="s">
        <v>4391</v>
      </c>
      <c r="M7893" s="468" t="s">
        <v>2050</v>
      </c>
      <c r="N7893" s="1192">
        <f t="shared" si="4593"/>
        <v>45821</v>
      </c>
      <c r="O7893" s="71" t="s">
        <v>149</v>
      </c>
      <c r="P7893" s="103" t="str">
        <f t="shared" si="4594"/>
        <v>세정포-XL106</v>
      </c>
      <c r="Q7893" s="71">
        <f t="shared" si="4586"/>
        <v>7</v>
      </c>
      <c r="R7893" s="102">
        <v>234080</v>
      </c>
      <c r="S7893" s="102">
        <f t="shared" si="4589"/>
        <v>1802416.0000000002</v>
      </c>
      <c r="T7893" s="102">
        <f t="shared" si="4590"/>
        <v>1638560</v>
      </c>
      <c r="U7893" s="71" t="str">
        <f>IF(J7893=W7893,"O", "X")</f>
        <v>O</v>
      </c>
      <c r="V7893" s="71"/>
      <c r="W7893" s="474">
        <f>(G7893-T7893)</f>
        <v>636440</v>
      </c>
      <c r="X7893" s="71"/>
      <c r="Y7893" s="71"/>
    </row>
    <row r="7894" spans="1:25" s="209" customFormat="1" ht="30" hidden="1" customHeight="1" x14ac:dyDescent="0.25">
      <c r="A7894" s="1145">
        <v>45821</v>
      </c>
      <c r="B7894" s="664" t="s">
        <v>2353</v>
      </c>
      <c r="C7894" s="71" t="s">
        <v>130</v>
      </c>
      <c r="D7894" s="71">
        <v>10</v>
      </c>
      <c r="E7894" s="102">
        <v>148000</v>
      </c>
      <c r="F7894" s="102">
        <f t="shared" si="4582"/>
        <v>1628000.0000000002</v>
      </c>
      <c r="G7894" s="102">
        <f t="shared" si="4583"/>
        <v>1480000</v>
      </c>
      <c r="H7894" s="690" t="s">
        <v>142</v>
      </c>
      <c r="I7894" s="71" t="s">
        <v>179</v>
      </c>
      <c r="J7894" s="53">
        <f t="shared" si="4584"/>
        <v>360000</v>
      </c>
      <c r="K7894" s="63">
        <f t="shared" si="4585"/>
        <v>0.2432432432432432</v>
      </c>
      <c r="L7894" s="1212" t="s">
        <v>4391</v>
      </c>
      <c r="M7894" s="468" t="s">
        <v>2050</v>
      </c>
      <c r="N7894" s="1192">
        <f t="shared" si="4593"/>
        <v>45821</v>
      </c>
      <c r="O7894" s="71" t="s">
        <v>3383</v>
      </c>
      <c r="P7894" s="103" t="str">
        <f t="shared" si="4594"/>
        <v>XL106 Blanket(1077*885)</v>
      </c>
      <c r="Q7894" s="71">
        <f t="shared" si="4586"/>
        <v>10</v>
      </c>
      <c r="R7894" s="102">
        <v>112000</v>
      </c>
      <c r="S7894" s="102">
        <f t="shared" si="4589"/>
        <v>1232000</v>
      </c>
      <c r="T7894" s="102">
        <f t="shared" si="4590"/>
        <v>1120000</v>
      </c>
      <c r="U7894" s="71" t="s">
        <v>859</v>
      </c>
      <c r="V7894" s="71"/>
      <c r="W7894" s="474">
        <v>260000</v>
      </c>
      <c r="X7894" s="71"/>
      <c r="Y7894" s="71"/>
    </row>
    <row r="7895" spans="1:25" ht="28.9" hidden="1" customHeight="1" x14ac:dyDescent="0.25">
      <c r="A7895" s="1145">
        <v>45838</v>
      </c>
      <c r="B7895" s="664" t="s">
        <v>2353</v>
      </c>
      <c r="C7895" s="71" t="s">
        <v>129</v>
      </c>
      <c r="D7895" s="71">
        <v>7</v>
      </c>
      <c r="E7895" s="102">
        <v>325000</v>
      </c>
      <c r="F7895" s="102">
        <f t="shared" si="4582"/>
        <v>2502500</v>
      </c>
      <c r="G7895" s="102">
        <f t="shared" si="4583"/>
        <v>2275000</v>
      </c>
      <c r="H7895" s="690" t="s">
        <v>142</v>
      </c>
      <c r="I7895" s="71" t="s">
        <v>179</v>
      </c>
      <c r="J7895" s="53">
        <f t="shared" si="4584"/>
        <v>636440</v>
      </c>
      <c r="K7895" s="63">
        <f t="shared" si="4585"/>
        <v>0.27975384615384613</v>
      </c>
      <c r="L7895" s="1212" t="s">
        <v>4391</v>
      </c>
      <c r="M7895" s="468" t="s">
        <v>2050</v>
      </c>
      <c r="N7895" s="1192">
        <f t="shared" si="4593"/>
        <v>45838</v>
      </c>
      <c r="O7895" s="71" t="s">
        <v>149</v>
      </c>
      <c r="P7895" s="103" t="str">
        <f t="shared" si="4594"/>
        <v>세정포-XL106</v>
      </c>
      <c r="Q7895" s="71">
        <f t="shared" si="4586"/>
        <v>7</v>
      </c>
      <c r="R7895" s="102">
        <v>234080</v>
      </c>
      <c r="S7895" s="102">
        <f t="shared" si="4589"/>
        <v>1802416.0000000002</v>
      </c>
      <c r="T7895" s="102">
        <f t="shared" si="4590"/>
        <v>1638560</v>
      </c>
      <c r="U7895" s="71" t="str">
        <f>IF(J7895=W7895,"O", "X")</f>
        <v>O</v>
      </c>
      <c r="V7895" s="71"/>
      <c r="W7895" s="474">
        <f>(G7895-T7895)</f>
        <v>636440</v>
      </c>
      <c r="X7895" s="71"/>
      <c r="Y7895" s="71"/>
    </row>
    <row r="7896" spans="1:25" s="209" customFormat="1" ht="30" hidden="1" customHeight="1" x14ac:dyDescent="0.25">
      <c r="A7896" s="1145">
        <v>45838</v>
      </c>
      <c r="B7896" s="664" t="s">
        <v>2353</v>
      </c>
      <c r="C7896" s="71" t="s">
        <v>130</v>
      </c>
      <c r="D7896" s="71">
        <v>10</v>
      </c>
      <c r="E7896" s="102">
        <v>148000</v>
      </c>
      <c r="F7896" s="102">
        <f t="shared" si="4582"/>
        <v>1628000.0000000002</v>
      </c>
      <c r="G7896" s="102">
        <f t="shared" si="4583"/>
        <v>1480000</v>
      </c>
      <c r="H7896" s="690" t="s">
        <v>142</v>
      </c>
      <c r="I7896" s="71" t="s">
        <v>179</v>
      </c>
      <c r="J7896" s="53">
        <f t="shared" si="4584"/>
        <v>360000</v>
      </c>
      <c r="K7896" s="63">
        <f t="shared" si="4585"/>
        <v>0.2432432432432432</v>
      </c>
      <c r="L7896" s="1212" t="s">
        <v>4391</v>
      </c>
      <c r="M7896" s="468" t="s">
        <v>2050</v>
      </c>
      <c r="N7896" s="1192">
        <f t="shared" si="4593"/>
        <v>45838</v>
      </c>
      <c r="O7896" s="71" t="s">
        <v>3383</v>
      </c>
      <c r="P7896" s="103" t="str">
        <f t="shared" si="4594"/>
        <v>XL106 Blanket(1077*885)</v>
      </c>
      <c r="Q7896" s="71">
        <f t="shared" si="4586"/>
        <v>10</v>
      </c>
      <c r="R7896" s="102">
        <v>112000</v>
      </c>
      <c r="S7896" s="102">
        <f t="shared" si="4589"/>
        <v>1232000</v>
      </c>
      <c r="T7896" s="102">
        <f t="shared" si="4590"/>
        <v>1120000</v>
      </c>
      <c r="U7896" s="71" t="s">
        <v>859</v>
      </c>
      <c r="V7896" s="71"/>
      <c r="W7896" s="474">
        <v>260000</v>
      </c>
      <c r="X7896" s="71"/>
      <c r="Y7896" s="71"/>
    </row>
    <row r="7897" spans="1:25" s="209" customFormat="1" ht="30" hidden="1" customHeight="1" x14ac:dyDescent="0.25">
      <c r="A7897" s="1145">
        <v>45838</v>
      </c>
      <c r="B7897" s="664" t="s">
        <v>2353</v>
      </c>
      <c r="C7897" s="71" t="s">
        <v>3299</v>
      </c>
      <c r="D7897" s="71">
        <v>10</v>
      </c>
      <c r="E7897" s="102">
        <v>83000</v>
      </c>
      <c r="F7897" s="102">
        <f t="shared" si="4582"/>
        <v>913000.00000000012</v>
      </c>
      <c r="G7897" s="102">
        <f t="shared" si="4583"/>
        <v>830000</v>
      </c>
      <c r="H7897" s="690" t="s">
        <v>142</v>
      </c>
      <c r="I7897" s="71" t="s">
        <v>179</v>
      </c>
      <c r="J7897" s="53">
        <f t="shared" si="4584"/>
        <v>355000</v>
      </c>
      <c r="K7897" s="63">
        <f t="shared" si="4585"/>
        <v>0.42771084337349391</v>
      </c>
      <c r="L7897" s="1212" t="s">
        <v>4391</v>
      </c>
      <c r="M7897" s="468" t="s">
        <v>2214</v>
      </c>
      <c r="N7897" s="1192">
        <f t="shared" si="4593"/>
        <v>45838</v>
      </c>
      <c r="O7897" s="71" t="s">
        <v>3383</v>
      </c>
      <c r="P7897" s="103" t="str">
        <f t="shared" si="4594"/>
        <v>매엽용 세척제(Wash k11)</v>
      </c>
      <c r="Q7897" s="71">
        <f t="shared" si="4586"/>
        <v>10</v>
      </c>
      <c r="R7897" s="102">
        <v>47500</v>
      </c>
      <c r="S7897" s="102">
        <f t="shared" si="4589"/>
        <v>522500.00000000006</v>
      </c>
      <c r="T7897" s="102">
        <f t="shared" si="4590"/>
        <v>475000</v>
      </c>
      <c r="U7897" s="71" t="s">
        <v>859</v>
      </c>
      <c r="V7897" s="71"/>
      <c r="W7897" s="474">
        <v>136000</v>
      </c>
      <c r="X7897" s="71"/>
      <c r="Y7897" s="71"/>
    </row>
    <row r="7898" spans="1:25" ht="30" customHeight="1" x14ac:dyDescent="0.25">
      <c r="A7898" s="1145">
        <v>45833</v>
      </c>
      <c r="B7898" s="664" t="s">
        <v>422</v>
      </c>
      <c r="C7898" s="71" t="s">
        <v>4394</v>
      </c>
      <c r="D7898" s="71">
        <v>2</v>
      </c>
      <c r="E7898" s="102">
        <v>7750000</v>
      </c>
      <c r="F7898" s="102">
        <f t="shared" si="4582"/>
        <v>17050000</v>
      </c>
      <c r="G7898" s="102">
        <f t="shared" si="4583"/>
        <v>15500000</v>
      </c>
      <c r="H7898" s="690" t="s">
        <v>142</v>
      </c>
      <c r="I7898" s="71" t="s">
        <v>179</v>
      </c>
      <c r="J7898" s="53">
        <f t="shared" ref="J7898" si="4595">G7898-T7898</f>
        <v>3500000</v>
      </c>
      <c r="K7898" s="63">
        <f t="shared" ref="K7898" si="4596">(J7898/(F7898/11*10))</f>
        <v>0.22580645161290322</v>
      </c>
      <c r="L7898" s="1212" t="s">
        <v>4391</v>
      </c>
      <c r="M7898" s="102"/>
      <c r="N7898" s="1192">
        <f t="shared" si="4593"/>
        <v>45833</v>
      </c>
      <c r="O7898" s="71" t="s">
        <v>3948</v>
      </c>
      <c r="P7898" s="103" t="str">
        <f t="shared" si="4594"/>
        <v>GOSS NEWSLINER PART7705101 INCH DRIVE (USED)</v>
      </c>
      <c r="Q7898" s="71">
        <f t="shared" si="4586"/>
        <v>2</v>
      </c>
      <c r="R7898" s="102">
        <v>6000000</v>
      </c>
      <c r="S7898" s="102">
        <f t="shared" si="4589"/>
        <v>13200000.000000002</v>
      </c>
      <c r="T7898" s="102">
        <f t="shared" si="4590"/>
        <v>12000000</v>
      </c>
      <c r="U7898" s="71"/>
      <c r="V7898" s="71"/>
      <c r="W7898" s="474"/>
      <c r="X7898" s="71"/>
      <c r="Y7898" s="71"/>
    </row>
    <row r="7899" spans="1:25" ht="30" customHeight="1" x14ac:dyDescent="0.25">
      <c r="A7899" s="1145">
        <v>45833</v>
      </c>
      <c r="B7899" s="664" t="s">
        <v>422</v>
      </c>
      <c r="C7899" s="71" t="s">
        <v>4395</v>
      </c>
      <c r="D7899" s="71">
        <v>2</v>
      </c>
      <c r="E7899" s="102">
        <v>3750000</v>
      </c>
      <c r="F7899" s="102">
        <f t="shared" si="4582"/>
        <v>8250000.0000000009</v>
      </c>
      <c r="G7899" s="102">
        <f t="shared" si="4583"/>
        <v>7500000</v>
      </c>
      <c r="H7899" s="690" t="s">
        <v>142</v>
      </c>
      <c r="I7899" s="71" t="s">
        <v>179</v>
      </c>
      <c r="J7899" s="53">
        <f t="shared" ref="J7899" si="4597">G7899-T7899</f>
        <v>775000</v>
      </c>
      <c r="K7899" s="63">
        <f t="shared" ref="K7899" si="4598">(J7899/(F7899/11*10))</f>
        <v>0.10333333333333332</v>
      </c>
      <c r="L7899" s="1212" t="s">
        <v>4391</v>
      </c>
      <c r="M7899" s="468"/>
      <c r="N7899" s="1192">
        <f t="shared" si="4593"/>
        <v>45833</v>
      </c>
      <c r="O7899" s="71" t="s">
        <v>3948</v>
      </c>
      <c r="P7899" s="103" t="str">
        <f t="shared" si="4594"/>
        <v>GOSS NEWSLINER PARTINCH DRIVE 내부 클러치 (USED)</v>
      </c>
      <c r="Q7899" s="71">
        <f t="shared" si="4586"/>
        <v>2</v>
      </c>
      <c r="R7899" s="102">
        <v>3362500</v>
      </c>
      <c r="S7899" s="102">
        <f t="shared" si="4589"/>
        <v>7397500.0000000009</v>
      </c>
      <c r="T7899" s="102">
        <f t="shared" si="4590"/>
        <v>6725000</v>
      </c>
      <c r="U7899" s="71"/>
      <c r="V7899" s="71"/>
      <c r="W7899" s="474"/>
      <c r="X7899" s="71"/>
      <c r="Y7899" s="71"/>
    </row>
    <row r="7900" spans="1:25" ht="30" customHeight="1" x14ac:dyDescent="0.25">
      <c r="A7900" s="1145">
        <v>45833</v>
      </c>
      <c r="B7900" s="664" t="s">
        <v>641</v>
      </c>
      <c r="C7900" s="71" t="s">
        <v>3293</v>
      </c>
      <c r="D7900" s="71">
        <v>60</v>
      </c>
      <c r="E7900" s="102">
        <v>84000</v>
      </c>
      <c r="F7900" s="102">
        <f t="shared" si="4582"/>
        <v>5544000</v>
      </c>
      <c r="G7900" s="102">
        <f t="shared" si="4583"/>
        <v>5040000</v>
      </c>
      <c r="H7900" s="690" t="s">
        <v>172</v>
      </c>
      <c r="I7900" s="71" t="s">
        <v>38</v>
      </c>
      <c r="J7900" s="53">
        <f t="shared" si="4584"/>
        <v>1980000</v>
      </c>
      <c r="K7900" s="63">
        <f t="shared" si="4585"/>
        <v>0.39285714285714285</v>
      </c>
      <c r="L7900" s="1212" t="s">
        <v>4391</v>
      </c>
      <c r="M7900" s="468"/>
      <c r="N7900" s="1192">
        <f t="shared" si="4593"/>
        <v>45833</v>
      </c>
      <c r="O7900" s="71" t="s">
        <v>3291</v>
      </c>
      <c r="P7900" s="103" t="str">
        <f t="shared" si="4594"/>
        <v>GOSS 신문윤전 습식세정포</v>
      </c>
      <c r="Q7900" s="71">
        <f t="shared" si="4586"/>
        <v>60</v>
      </c>
      <c r="R7900" s="102">
        <v>51000</v>
      </c>
      <c r="S7900" s="102">
        <f t="shared" si="4589"/>
        <v>3366000.0000000005</v>
      </c>
      <c r="T7900" s="102">
        <f t="shared" si="4590"/>
        <v>3060000</v>
      </c>
      <c r="U7900" s="71" t="str">
        <f>IF(J7900=W7900,"O", "X")</f>
        <v>X</v>
      </c>
      <c r="V7900" s="71"/>
      <c r="W7900" s="474"/>
      <c r="X7900" s="71"/>
      <c r="Y7900" s="71"/>
    </row>
    <row r="7901" spans="1:25" ht="30" customHeight="1" x14ac:dyDescent="0.25">
      <c r="A7901" s="1145">
        <v>45827</v>
      </c>
      <c r="B7901" s="664" t="s">
        <v>2352</v>
      </c>
      <c r="C7901" s="71" t="s">
        <v>3836</v>
      </c>
      <c r="D7901" s="71">
        <v>48</v>
      </c>
      <c r="E7901" s="102">
        <v>18500</v>
      </c>
      <c r="F7901" s="102">
        <f t="shared" si="4582"/>
        <v>976800.00000000012</v>
      </c>
      <c r="G7901" s="102">
        <f t="shared" si="4583"/>
        <v>888000</v>
      </c>
      <c r="H7901" s="690" t="s">
        <v>179</v>
      </c>
      <c r="I7901" s="71" t="s">
        <v>179</v>
      </c>
      <c r="J7901" s="53">
        <f t="shared" si="4584"/>
        <v>355968</v>
      </c>
      <c r="K7901" s="63">
        <f t="shared" si="4585"/>
        <v>0.40086486486486483</v>
      </c>
      <c r="L7901" s="1212" t="s">
        <v>4391</v>
      </c>
      <c r="M7901" s="468"/>
      <c r="N7901" s="1192">
        <f t="shared" si="4593"/>
        <v>45827</v>
      </c>
      <c r="O7901" s="71"/>
      <c r="P7901" s="103" t="str">
        <f t="shared" si="4594"/>
        <v>고모리 윤전 블랑켓 건식 세정포 - 국전용</v>
      </c>
      <c r="Q7901" s="71">
        <f t="shared" si="4586"/>
        <v>48</v>
      </c>
      <c r="R7901" s="102">
        <v>11084</v>
      </c>
      <c r="S7901" s="102">
        <f t="shared" si="4589"/>
        <v>585235.20000000007</v>
      </c>
      <c r="T7901" s="102">
        <f t="shared" si="4590"/>
        <v>532032</v>
      </c>
      <c r="U7901" s="71"/>
      <c r="V7901" s="71"/>
      <c r="W7901" s="474"/>
      <c r="X7901" s="71"/>
      <c r="Y7901" s="71"/>
    </row>
    <row r="7902" spans="1:25" ht="30" hidden="1" customHeight="1" x14ac:dyDescent="0.25">
      <c r="A7902" s="1145">
        <v>45805</v>
      </c>
      <c r="B7902" s="664" t="s">
        <v>2798</v>
      </c>
      <c r="C7902" s="71" t="s">
        <v>167</v>
      </c>
      <c r="D7902" s="71">
        <v>10</v>
      </c>
      <c r="E7902" s="102">
        <v>138000</v>
      </c>
      <c r="F7902" s="102">
        <f t="shared" si="4582"/>
        <v>1518000.0000000002</v>
      </c>
      <c r="G7902" s="102">
        <f t="shared" si="4583"/>
        <v>1380000</v>
      </c>
      <c r="H7902" s="690" t="s">
        <v>172</v>
      </c>
      <c r="I7902" s="71" t="s">
        <v>33</v>
      </c>
      <c r="J7902" s="53">
        <f t="shared" si="4584"/>
        <v>460000</v>
      </c>
      <c r="K7902" s="63">
        <f t="shared" si="4585"/>
        <v>0.33333333333333326</v>
      </c>
      <c r="L7902" s="1212" t="s">
        <v>4391</v>
      </c>
      <c r="M7902" s="468" t="s">
        <v>4114</v>
      </c>
      <c r="N7902" s="1192">
        <f t="shared" si="4593"/>
        <v>45805</v>
      </c>
      <c r="O7902" s="71" t="s">
        <v>146</v>
      </c>
      <c r="P7902" s="103" t="str">
        <f t="shared" si="4594"/>
        <v>Blanket(1060*860)</v>
      </c>
      <c r="Q7902" s="71">
        <f t="shared" si="4586"/>
        <v>10</v>
      </c>
      <c r="R7902" s="102">
        <v>92000</v>
      </c>
      <c r="S7902" s="102">
        <f t="shared" si="4589"/>
        <v>1012000.0000000001</v>
      </c>
      <c r="T7902" s="102">
        <f t="shared" si="4590"/>
        <v>920000</v>
      </c>
      <c r="U7902" s="71" t="str">
        <f t="shared" ref="U7902" si="4599">IF(J7902=W7902,"O", "X")</f>
        <v>X</v>
      </c>
      <c r="V7902" s="71"/>
      <c r="W7902" s="474"/>
      <c r="X7902" s="71"/>
      <c r="Y7902" s="71"/>
    </row>
    <row r="7903" spans="1:25" ht="30" hidden="1" customHeight="1" x14ac:dyDescent="0.25">
      <c r="A7903" s="1145">
        <v>45807</v>
      </c>
      <c r="B7903" s="664" t="s">
        <v>2798</v>
      </c>
      <c r="C7903" s="71" t="s">
        <v>4238</v>
      </c>
      <c r="D7903" s="71">
        <v>10</v>
      </c>
      <c r="E7903" s="102">
        <v>162000</v>
      </c>
      <c r="F7903" s="102">
        <f t="shared" si="4582"/>
        <v>1782000.0000000002</v>
      </c>
      <c r="G7903" s="102">
        <f t="shared" si="4583"/>
        <v>1620000</v>
      </c>
      <c r="H7903" s="690" t="s">
        <v>173</v>
      </c>
      <c r="I7903" s="71" t="s">
        <v>109</v>
      </c>
      <c r="J7903" s="53">
        <f t="shared" si="4584"/>
        <v>243000</v>
      </c>
      <c r="K7903" s="63">
        <f t="shared" si="4585"/>
        <v>0.14999999999999997</v>
      </c>
      <c r="L7903" s="1212" t="s">
        <v>4391</v>
      </c>
      <c r="M7903" s="468"/>
      <c r="N7903" s="1192">
        <f t="shared" si="4593"/>
        <v>45807</v>
      </c>
      <c r="O7903" s="71" t="s">
        <v>150</v>
      </c>
      <c r="P7903" s="103" t="str">
        <f t="shared" si="4594"/>
        <v>TUV 블랑켓 하이델 XL용</v>
      </c>
      <c r="Q7903" s="71">
        <f t="shared" si="4586"/>
        <v>10</v>
      </c>
      <c r="R7903" s="147">
        <v>137700</v>
      </c>
      <c r="S7903" s="102">
        <f t="shared" si="4589"/>
        <v>1514700.0000000002</v>
      </c>
      <c r="T7903" s="102">
        <f t="shared" si="4590"/>
        <v>1377000</v>
      </c>
      <c r="U7903" s="71"/>
      <c r="V7903" s="71"/>
      <c r="W7903" s="474"/>
      <c r="X7903" s="71"/>
      <c r="Y7903" s="71"/>
    </row>
    <row r="7904" spans="1:25" ht="30" hidden="1" customHeight="1" x14ac:dyDescent="0.25">
      <c r="A7904" s="1145">
        <v>45812</v>
      </c>
      <c r="B7904" s="664" t="s">
        <v>2798</v>
      </c>
      <c r="C7904" s="71" t="s">
        <v>4239</v>
      </c>
      <c r="D7904" s="71">
        <v>2</v>
      </c>
      <c r="E7904" s="102">
        <v>252000</v>
      </c>
      <c r="F7904" s="102">
        <f t="shared" si="4582"/>
        <v>554400</v>
      </c>
      <c r="G7904" s="102">
        <f t="shared" si="4583"/>
        <v>504000</v>
      </c>
      <c r="H7904" s="690" t="s">
        <v>173</v>
      </c>
      <c r="I7904" s="71" t="s">
        <v>180</v>
      </c>
      <c r="J7904" s="53">
        <f t="shared" si="4584"/>
        <v>129000</v>
      </c>
      <c r="K7904" s="63">
        <f t="shared" si="4585"/>
        <v>0.25595238095238093</v>
      </c>
      <c r="L7904" s="1212" t="s">
        <v>4391</v>
      </c>
      <c r="M7904" s="102"/>
      <c r="N7904" s="1192">
        <f t="shared" si="4593"/>
        <v>45812</v>
      </c>
      <c r="O7904" s="71" t="s">
        <v>150</v>
      </c>
      <c r="P7904" s="103" t="str">
        <f t="shared" si="4594"/>
        <v>Saphira 건식 세정포 하이델 XL용</v>
      </c>
      <c r="Q7904" s="71">
        <f t="shared" si="4586"/>
        <v>2</v>
      </c>
      <c r="R7904" s="102">
        <v>187500</v>
      </c>
      <c r="S7904" s="102">
        <f t="shared" si="4589"/>
        <v>412500.00000000006</v>
      </c>
      <c r="T7904" s="102">
        <f t="shared" si="4590"/>
        <v>375000</v>
      </c>
      <c r="U7904" s="71"/>
      <c r="V7904" s="71"/>
      <c r="W7904" s="474"/>
      <c r="X7904" s="71"/>
      <c r="Y7904" s="71"/>
    </row>
    <row r="7905" spans="1:25" ht="30" hidden="1" customHeight="1" x14ac:dyDescent="0.25">
      <c r="A7905" s="1145">
        <v>45812</v>
      </c>
      <c r="B7905" s="664" t="s">
        <v>2798</v>
      </c>
      <c r="C7905" s="71" t="s">
        <v>4240</v>
      </c>
      <c r="D7905" s="71">
        <v>10</v>
      </c>
      <c r="E7905" s="102">
        <v>133000</v>
      </c>
      <c r="F7905" s="102">
        <f t="shared" si="4582"/>
        <v>1463000.0000000002</v>
      </c>
      <c r="G7905" s="102">
        <f t="shared" si="4583"/>
        <v>1330000</v>
      </c>
      <c r="H7905" s="690" t="s">
        <v>173</v>
      </c>
      <c r="I7905" s="71" t="s">
        <v>109</v>
      </c>
      <c r="J7905" s="53">
        <f t="shared" si="4584"/>
        <v>210000</v>
      </c>
      <c r="K7905" s="63">
        <f t="shared" si="4585"/>
        <v>0.15789473684210523</v>
      </c>
      <c r="L7905" s="1212" t="s">
        <v>4391</v>
      </c>
      <c r="M7905" s="102"/>
      <c r="N7905" s="1192">
        <f t="shared" si="4593"/>
        <v>45812</v>
      </c>
      <c r="O7905" s="71" t="s">
        <v>150</v>
      </c>
      <c r="P7905" s="103" t="str">
        <f t="shared" si="4594"/>
        <v>5MX 블랑켓 XL용</v>
      </c>
      <c r="Q7905" s="71">
        <f t="shared" si="4586"/>
        <v>10</v>
      </c>
      <c r="R7905" s="102">
        <v>112000</v>
      </c>
      <c r="S7905" s="102">
        <f t="shared" si="4589"/>
        <v>1232000</v>
      </c>
      <c r="T7905" s="102">
        <f t="shared" si="4590"/>
        <v>1120000</v>
      </c>
      <c r="U7905" s="71"/>
      <c r="V7905" s="71"/>
      <c r="W7905" s="474"/>
      <c r="X7905" s="71"/>
      <c r="Y7905" s="71"/>
    </row>
    <row r="7906" spans="1:25" ht="30" hidden="1" customHeight="1" x14ac:dyDescent="0.25">
      <c r="A7906" s="1145">
        <v>45827</v>
      </c>
      <c r="B7906" s="664" t="s">
        <v>2798</v>
      </c>
      <c r="C7906" s="71" t="s">
        <v>4239</v>
      </c>
      <c r="D7906" s="71">
        <v>2</v>
      </c>
      <c r="E7906" s="102">
        <v>252000</v>
      </c>
      <c r="F7906" s="102">
        <f t="shared" ref="F7906:F7915" si="4600">(E7906*D7906)*1.1</f>
        <v>554400</v>
      </c>
      <c r="G7906" s="102">
        <f t="shared" ref="G7906:G7915" si="4601">(E7906*D7906)</f>
        <v>504000</v>
      </c>
      <c r="H7906" s="690" t="s">
        <v>173</v>
      </c>
      <c r="I7906" s="71" t="s">
        <v>180</v>
      </c>
      <c r="J7906" s="53">
        <f t="shared" ref="J7906:J7915" si="4602">G7906-T7906</f>
        <v>129000</v>
      </c>
      <c r="K7906" s="63">
        <f t="shared" ref="K7906:K7915" si="4603">(J7906/(F7906/11*10))</f>
        <v>0.25595238095238093</v>
      </c>
      <c r="L7906" s="1212" t="s">
        <v>4391</v>
      </c>
      <c r="M7906" s="102"/>
      <c r="N7906" s="1192">
        <f t="shared" ref="N7906:N7915" si="4604">A7906</f>
        <v>45827</v>
      </c>
      <c r="O7906" s="71" t="s">
        <v>150</v>
      </c>
      <c r="P7906" s="103" t="str">
        <f t="shared" ref="P7906:P7915" si="4605">(C7906)</f>
        <v>Saphira 건식 세정포 하이델 XL용</v>
      </c>
      <c r="Q7906" s="71">
        <f t="shared" si="4586"/>
        <v>2</v>
      </c>
      <c r="R7906" s="102">
        <v>187500</v>
      </c>
      <c r="S7906" s="102">
        <f t="shared" si="4589"/>
        <v>412500.00000000006</v>
      </c>
      <c r="T7906" s="102">
        <f t="shared" si="4590"/>
        <v>375000</v>
      </c>
      <c r="U7906" s="71"/>
      <c r="V7906" s="71"/>
      <c r="W7906" s="474"/>
      <c r="X7906" s="71"/>
      <c r="Y7906" s="71"/>
    </row>
    <row r="7907" spans="1:25" ht="31.5" hidden="1" customHeight="1" x14ac:dyDescent="0.25">
      <c r="A7907" s="1145">
        <v>45827</v>
      </c>
      <c r="B7907" s="664" t="s">
        <v>2798</v>
      </c>
      <c r="C7907" s="71" t="s">
        <v>3290</v>
      </c>
      <c r="D7907" s="71">
        <v>2</v>
      </c>
      <c r="E7907" s="102">
        <v>780000</v>
      </c>
      <c r="F7907" s="102">
        <f t="shared" si="4600"/>
        <v>1716000.0000000002</v>
      </c>
      <c r="G7907" s="102">
        <f t="shared" si="4601"/>
        <v>1560000</v>
      </c>
      <c r="H7907" s="690" t="s">
        <v>172</v>
      </c>
      <c r="I7907" s="71" t="s">
        <v>38</v>
      </c>
      <c r="J7907" s="53">
        <f t="shared" si="4602"/>
        <v>636000</v>
      </c>
      <c r="K7907" s="63">
        <f t="shared" si="4603"/>
        <v>0.40769230769230763</v>
      </c>
      <c r="L7907" s="1212" t="s">
        <v>4391</v>
      </c>
      <c r="M7907" s="468"/>
      <c r="N7907" s="1192">
        <f t="shared" si="4604"/>
        <v>45827</v>
      </c>
      <c r="O7907" s="71" t="s">
        <v>3291</v>
      </c>
      <c r="P7907" s="103" t="str">
        <f t="shared" si="4605"/>
        <v>점보롤 세정포</v>
      </c>
      <c r="Q7907" s="71">
        <f t="shared" si="4586"/>
        <v>2</v>
      </c>
      <c r="R7907" s="102">
        <v>462000</v>
      </c>
      <c r="S7907" s="102">
        <f t="shared" si="4589"/>
        <v>1016400.0000000001</v>
      </c>
      <c r="T7907" s="102">
        <f t="shared" si="4590"/>
        <v>924000</v>
      </c>
      <c r="U7907" s="71" t="str">
        <f>IF(J7907=W7907,"O", "X")</f>
        <v>O</v>
      </c>
      <c r="V7907" s="71" t="s">
        <v>3292</v>
      </c>
      <c r="W7907" s="474">
        <f>(G7907-T7907)</f>
        <v>636000</v>
      </c>
      <c r="X7907" s="71"/>
      <c r="Y7907" s="71"/>
    </row>
    <row r="7908" spans="1:25" ht="30" hidden="1" customHeight="1" x14ac:dyDescent="0.25">
      <c r="A7908" s="1145">
        <v>45833</v>
      </c>
      <c r="B7908" s="664" t="s">
        <v>2798</v>
      </c>
      <c r="C7908" s="71" t="s">
        <v>4240</v>
      </c>
      <c r="D7908" s="71">
        <v>10</v>
      </c>
      <c r="E7908" s="102">
        <v>133000</v>
      </c>
      <c r="F7908" s="102">
        <f t="shared" si="4600"/>
        <v>1463000.0000000002</v>
      </c>
      <c r="G7908" s="102">
        <f t="shared" si="4601"/>
        <v>1330000</v>
      </c>
      <c r="H7908" s="690" t="s">
        <v>173</v>
      </c>
      <c r="I7908" s="71" t="s">
        <v>109</v>
      </c>
      <c r="J7908" s="53">
        <f t="shared" si="4602"/>
        <v>210000</v>
      </c>
      <c r="K7908" s="63">
        <f t="shared" si="4603"/>
        <v>0.15789473684210523</v>
      </c>
      <c r="L7908" s="1212" t="s">
        <v>4391</v>
      </c>
      <c r="M7908" s="102"/>
      <c r="N7908" s="1192">
        <f t="shared" si="4604"/>
        <v>45833</v>
      </c>
      <c r="O7908" s="71" t="s">
        <v>150</v>
      </c>
      <c r="P7908" s="103" t="str">
        <f t="shared" si="4605"/>
        <v>5MX 블랑켓 XL용</v>
      </c>
      <c r="Q7908" s="71">
        <f t="shared" si="4586"/>
        <v>10</v>
      </c>
      <c r="R7908" s="102">
        <v>112000</v>
      </c>
      <c r="S7908" s="102">
        <f t="shared" si="4589"/>
        <v>1232000</v>
      </c>
      <c r="T7908" s="102">
        <f t="shared" si="4590"/>
        <v>1120000</v>
      </c>
      <c r="U7908" s="71"/>
      <c r="V7908" s="71"/>
      <c r="W7908" s="474"/>
      <c r="X7908" s="71"/>
      <c r="Y7908" s="71"/>
    </row>
    <row r="7909" spans="1:25" s="209" customFormat="1" ht="30" hidden="1" customHeight="1" x14ac:dyDescent="0.25">
      <c r="A7909" s="1145">
        <v>45825</v>
      </c>
      <c r="B7909" s="664" t="s">
        <v>411</v>
      </c>
      <c r="C7909" s="71" t="s">
        <v>3413</v>
      </c>
      <c r="D7909" s="71">
        <v>10</v>
      </c>
      <c r="E7909" s="102">
        <v>90000</v>
      </c>
      <c r="F7909" s="102">
        <f t="shared" si="4600"/>
        <v>990000.00000000012</v>
      </c>
      <c r="G7909" s="102">
        <f t="shared" si="4601"/>
        <v>900000</v>
      </c>
      <c r="H7909" s="690" t="s">
        <v>2029</v>
      </c>
      <c r="I7909" s="71" t="s">
        <v>3385</v>
      </c>
      <c r="J7909" s="53">
        <f t="shared" si="4602"/>
        <v>400000</v>
      </c>
      <c r="K7909" s="63">
        <f t="shared" si="4603"/>
        <v>0.44444444444444436</v>
      </c>
      <c r="L7909" s="1212" t="s">
        <v>4391</v>
      </c>
      <c r="M7909" s="468"/>
      <c r="N7909" s="1192">
        <f t="shared" si="4604"/>
        <v>45825</v>
      </c>
      <c r="O7909" s="71" t="s">
        <v>190</v>
      </c>
      <c r="P7909" s="103" t="str">
        <f t="shared" si="4605"/>
        <v>아스테이지(국전)</v>
      </c>
      <c r="Q7909" s="71">
        <f t="shared" si="4586"/>
        <v>10</v>
      </c>
      <c r="R7909" s="102">
        <v>50000</v>
      </c>
      <c r="S7909" s="102">
        <f t="shared" si="4589"/>
        <v>550000</v>
      </c>
      <c r="T7909" s="102">
        <f t="shared" si="4590"/>
        <v>500000</v>
      </c>
      <c r="U7909" s="71" t="str">
        <f t="shared" ref="U7909" si="4606">IF(J7909=W7909,"O", "X")</f>
        <v>X</v>
      </c>
      <c r="V7909" s="71"/>
      <c r="W7909" s="474">
        <v>500000</v>
      </c>
      <c r="X7909" s="71"/>
      <c r="Y7909" s="71"/>
    </row>
    <row r="7910" spans="1:25" ht="30" hidden="1" customHeight="1" x14ac:dyDescent="0.25">
      <c r="A7910" s="1145">
        <v>45838</v>
      </c>
      <c r="B7910" s="664" t="s">
        <v>3830</v>
      </c>
      <c r="C7910" s="71" t="s">
        <v>2577</v>
      </c>
      <c r="D7910" s="71">
        <v>1363</v>
      </c>
      <c r="E7910" s="102">
        <v>1700</v>
      </c>
      <c r="F7910" s="102">
        <f t="shared" si="4600"/>
        <v>2548810</v>
      </c>
      <c r="G7910" s="102">
        <f t="shared" si="4601"/>
        <v>2317100</v>
      </c>
      <c r="H7910" s="690" t="s">
        <v>2029</v>
      </c>
      <c r="I7910" s="71" t="s">
        <v>2230</v>
      </c>
      <c r="J7910" s="53">
        <f t="shared" si="4602"/>
        <v>2317100</v>
      </c>
      <c r="K7910" s="63">
        <f t="shared" si="4603"/>
        <v>1</v>
      </c>
      <c r="L7910" s="1212" t="s">
        <v>4391</v>
      </c>
      <c r="M7910" s="102"/>
      <c r="N7910" s="1192">
        <f t="shared" si="4604"/>
        <v>45838</v>
      </c>
      <c r="O7910" s="71"/>
      <c r="P7910" s="103" t="str">
        <f t="shared" si="4605"/>
        <v>CTP 폐판</v>
      </c>
      <c r="Q7910" s="71">
        <f t="shared" si="4586"/>
        <v>1363</v>
      </c>
      <c r="R7910" s="102"/>
      <c r="S7910" s="102">
        <f t="shared" si="4589"/>
        <v>0</v>
      </c>
      <c r="T7910" s="102">
        <f t="shared" si="4590"/>
        <v>0</v>
      </c>
      <c r="U7910" s="71"/>
      <c r="V7910" s="71"/>
      <c r="W7910" s="474"/>
      <c r="X7910" s="71"/>
      <c r="Y7910" s="71"/>
    </row>
    <row r="7911" spans="1:25" ht="30" hidden="1" customHeight="1" x14ac:dyDescent="0.25">
      <c r="A7911" s="1145">
        <v>45821</v>
      </c>
      <c r="B7911" s="664" t="s">
        <v>26</v>
      </c>
      <c r="C7911" s="71" t="s">
        <v>2087</v>
      </c>
      <c r="D7911" s="71">
        <v>5</v>
      </c>
      <c r="E7911" s="102">
        <v>65000</v>
      </c>
      <c r="F7911" s="102">
        <f t="shared" si="4600"/>
        <v>357500</v>
      </c>
      <c r="G7911" s="102">
        <f t="shared" si="4601"/>
        <v>325000</v>
      </c>
      <c r="H7911" s="690" t="s">
        <v>172</v>
      </c>
      <c r="I7911" s="71" t="s">
        <v>3295</v>
      </c>
      <c r="J7911" s="53">
        <f t="shared" si="4602"/>
        <v>75000</v>
      </c>
      <c r="K7911" s="63">
        <f t="shared" si="4603"/>
        <v>0.23076923076923078</v>
      </c>
      <c r="L7911" s="1212" t="s">
        <v>4391</v>
      </c>
      <c r="M7911" s="468"/>
      <c r="N7911" s="1192">
        <f t="shared" si="4604"/>
        <v>45821</v>
      </c>
      <c r="O7911" s="71" t="s">
        <v>152</v>
      </c>
      <c r="P7911" s="103" t="str">
        <f t="shared" si="4605"/>
        <v>아스테이지(국전)</v>
      </c>
      <c r="Q7911" s="71">
        <f t="shared" si="4586"/>
        <v>5</v>
      </c>
      <c r="R7911" s="102">
        <v>50000</v>
      </c>
      <c r="S7911" s="102">
        <f t="shared" si="4589"/>
        <v>275000</v>
      </c>
      <c r="T7911" s="102">
        <f t="shared" si="4590"/>
        <v>250000</v>
      </c>
      <c r="U7911" s="71" t="s">
        <v>1915</v>
      </c>
      <c r="V7911" s="71"/>
      <c r="W7911" s="474">
        <v>150000</v>
      </c>
      <c r="X7911" s="71"/>
      <c r="Y7911" s="71"/>
    </row>
    <row r="7912" spans="1:25" s="209" customFormat="1" ht="30" hidden="1" customHeight="1" x14ac:dyDescent="0.25">
      <c r="A7912" s="1145">
        <v>45832</v>
      </c>
      <c r="B7912" s="664" t="s">
        <v>567</v>
      </c>
      <c r="C7912" s="71" t="s">
        <v>123</v>
      </c>
      <c r="D7912" s="71">
        <v>10</v>
      </c>
      <c r="E7912" s="102">
        <v>50000</v>
      </c>
      <c r="F7912" s="102">
        <f t="shared" si="4600"/>
        <v>550000</v>
      </c>
      <c r="G7912" s="102">
        <f t="shared" si="4601"/>
        <v>500000</v>
      </c>
      <c r="H7912" s="690" t="s">
        <v>94</v>
      </c>
      <c r="I7912" s="71" t="s">
        <v>94</v>
      </c>
      <c r="J7912" s="53">
        <f t="shared" si="4602"/>
        <v>260000</v>
      </c>
      <c r="K7912" s="63">
        <f t="shared" si="4603"/>
        <v>0.52</v>
      </c>
      <c r="L7912" s="1212" t="s">
        <v>4391</v>
      </c>
      <c r="M7912" s="468"/>
      <c r="N7912" s="1192">
        <f t="shared" si="4604"/>
        <v>45832</v>
      </c>
      <c r="O7912" s="71" t="s">
        <v>94</v>
      </c>
      <c r="P7912" s="103" t="str">
        <f t="shared" si="4605"/>
        <v>필터백</v>
      </c>
      <c r="Q7912" s="71">
        <f t="shared" si="4586"/>
        <v>10</v>
      </c>
      <c r="R7912" s="102">
        <v>24000</v>
      </c>
      <c r="S7912" s="102">
        <f t="shared" si="4589"/>
        <v>264000</v>
      </c>
      <c r="T7912" s="102">
        <f t="shared" si="4590"/>
        <v>240000</v>
      </c>
      <c r="U7912" s="71"/>
      <c r="V7912" s="71"/>
      <c r="W7912" s="474"/>
      <c r="X7912" s="71"/>
      <c r="Y7912" s="71"/>
    </row>
    <row r="7913" spans="1:25" ht="29.45" hidden="1" customHeight="1" x14ac:dyDescent="0.25">
      <c r="A7913" s="1145">
        <v>45832</v>
      </c>
      <c r="B7913" s="664" t="s">
        <v>3296</v>
      </c>
      <c r="C7913" s="71" t="s">
        <v>3297</v>
      </c>
      <c r="D7913" s="71">
        <v>20</v>
      </c>
      <c r="E7913" s="102">
        <v>162500</v>
      </c>
      <c r="F7913" s="102">
        <f t="shared" si="4600"/>
        <v>3575000.0000000005</v>
      </c>
      <c r="G7913" s="102">
        <f t="shared" si="4601"/>
        <v>3250000</v>
      </c>
      <c r="H7913" s="690" t="s">
        <v>172</v>
      </c>
      <c r="I7913" s="71" t="s">
        <v>3295</v>
      </c>
      <c r="J7913" s="53">
        <f t="shared" si="4602"/>
        <v>850000</v>
      </c>
      <c r="K7913" s="63">
        <f t="shared" si="4603"/>
        <v>0.2615384615384615</v>
      </c>
      <c r="L7913" s="1212" t="s">
        <v>4391</v>
      </c>
      <c r="M7913" s="468"/>
      <c r="N7913" s="1192">
        <f t="shared" si="4604"/>
        <v>45832</v>
      </c>
      <c r="O7913" s="71" t="s">
        <v>662</v>
      </c>
      <c r="P7913" s="103" t="str">
        <f t="shared" si="4605"/>
        <v>실리콘 에멀전</v>
      </c>
      <c r="Q7913" s="71">
        <f t="shared" si="4586"/>
        <v>20</v>
      </c>
      <c r="R7913" s="102">
        <v>120000</v>
      </c>
      <c r="S7913" s="102">
        <f t="shared" si="4589"/>
        <v>2640000</v>
      </c>
      <c r="T7913" s="102">
        <f t="shared" si="4590"/>
        <v>2400000</v>
      </c>
      <c r="U7913" s="71" t="str">
        <f t="shared" ref="U7913" si="4607">IF(J7913=W7913,"O", "X")</f>
        <v>X</v>
      </c>
      <c r="V7913" s="71"/>
      <c r="W7913" s="474"/>
      <c r="X7913" s="71"/>
      <c r="Y7913" s="71"/>
    </row>
    <row r="7914" spans="1:25" ht="30" hidden="1" customHeight="1" x14ac:dyDescent="0.25">
      <c r="A7914" s="1145">
        <v>45807</v>
      </c>
      <c r="B7914" s="664" t="s">
        <v>2261</v>
      </c>
      <c r="C7914" s="71" t="s">
        <v>3299</v>
      </c>
      <c r="D7914" s="71">
        <v>10</v>
      </c>
      <c r="E7914" s="102">
        <v>52000</v>
      </c>
      <c r="F7914" s="102">
        <f t="shared" si="4600"/>
        <v>572000</v>
      </c>
      <c r="G7914" s="102">
        <f t="shared" si="4601"/>
        <v>520000</v>
      </c>
      <c r="H7914" s="690" t="s">
        <v>172</v>
      </c>
      <c r="I7914" s="71" t="s">
        <v>180</v>
      </c>
      <c r="J7914" s="53">
        <f t="shared" si="4602"/>
        <v>45000</v>
      </c>
      <c r="K7914" s="63">
        <f t="shared" si="4603"/>
        <v>8.6538461538461536E-2</v>
      </c>
      <c r="L7914" s="1212" t="s">
        <v>4391</v>
      </c>
      <c r="M7914" s="468" t="s">
        <v>3835</v>
      </c>
      <c r="N7914" s="1192">
        <f t="shared" si="4604"/>
        <v>45807</v>
      </c>
      <c r="O7914" s="71" t="s">
        <v>175</v>
      </c>
      <c r="P7914" s="103" t="str">
        <f t="shared" si="4605"/>
        <v>매엽용 세척제(Wash k11)</v>
      </c>
      <c r="Q7914" s="71">
        <f t="shared" si="4586"/>
        <v>10</v>
      </c>
      <c r="R7914" s="102">
        <v>47500</v>
      </c>
      <c r="S7914" s="102">
        <f t="shared" si="4589"/>
        <v>522500.00000000006</v>
      </c>
      <c r="T7914" s="102">
        <f t="shared" si="4590"/>
        <v>475000</v>
      </c>
      <c r="U7914" s="71" t="s">
        <v>859</v>
      </c>
      <c r="V7914" s="71"/>
      <c r="W7914" s="474"/>
      <c r="X7914" s="71"/>
      <c r="Y7914" s="71"/>
    </row>
    <row r="7915" spans="1:25" ht="30" hidden="1" customHeight="1" x14ac:dyDescent="0.25">
      <c r="A7915" s="1145">
        <v>45818</v>
      </c>
      <c r="B7915" s="664" t="s">
        <v>2261</v>
      </c>
      <c r="C7915" s="760" t="s">
        <v>181</v>
      </c>
      <c r="D7915" s="71">
        <v>5</v>
      </c>
      <c r="E7915" s="102">
        <v>193000</v>
      </c>
      <c r="F7915" s="102">
        <f t="shared" si="4600"/>
        <v>1061500</v>
      </c>
      <c r="G7915" s="102">
        <f t="shared" si="4601"/>
        <v>965000</v>
      </c>
      <c r="H7915" s="690" t="s">
        <v>2029</v>
      </c>
      <c r="I7915" s="71" t="s">
        <v>182</v>
      </c>
      <c r="J7915" s="53">
        <f t="shared" si="4602"/>
        <v>345000</v>
      </c>
      <c r="K7915" s="63">
        <f t="shared" si="4603"/>
        <v>0.35751295336787564</v>
      </c>
      <c r="L7915" s="1212" t="s">
        <v>4391</v>
      </c>
      <c r="M7915" s="468"/>
      <c r="N7915" s="1192">
        <f t="shared" si="4604"/>
        <v>45818</v>
      </c>
      <c r="O7915" s="71" t="s">
        <v>2030</v>
      </c>
      <c r="P7915" s="103" t="str">
        <f t="shared" si="4605"/>
        <v>Fount Web 551AF</v>
      </c>
      <c r="Q7915" s="71">
        <f t="shared" si="4586"/>
        <v>5</v>
      </c>
      <c r="R7915" s="102">
        <v>124000</v>
      </c>
      <c r="S7915" s="102">
        <f t="shared" si="4589"/>
        <v>682000</v>
      </c>
      <c r="T7915" s="102">
        <f t="shared" si="4590"/>
        <v>620000</v>
      </c>
      <c r="U7915" s="71" t="str">
        <f>IF(J7915=W7915,"O", "X")</f>
        <v>X</v>
      </c>
      <c r="V7915" s="71"/>
      <c r="W7915" s="474">
        <v>640000</v>
      </c>
      <c r="X7915" s="71"/>
      <c r="Y7915" s="71"/>
    </row>
    <row r="7916" spans="1:25" ht="30" hidden="1" customHeight="1" x14ac:dyDescent="0.25">
      <c r="A7916" s="1145">
        <v>45818</v>
      </c>
      <c r="B7916" s="664" t="s">
        <v>2261</v>
      </c>
      <c r="C7916" s="71" t="s">
        <v>277</v>
      </c>
      <c r="D7916" s="71">
        <v>10</v>
      </c>
      <c r="E7916" s="102">
        <v>172000</v>
      </c>
      <c r="F7916" s="102">
        <f t="shared" ref="F7916" si="4608">(E7916*D7916)*1.1</f>
        <v>1892000.0000000002</v>
      </c>
      <c r="G7916" s="102">
        <f t="shared" ref="G7916" si="4609">(E7916*D7916)</f>
        <v>1720000</v>
      </c>
      <c r="H7916" s="690" t="s">
        <v>172</v>
      </c>
      <c r="I7916" s="71" t="s">
        <v>108</v>
      </c>
      <c r="J7916" s="53">
        <f t="shared" ref="J7916" si="4610">G7916-T7916</f>
        <v>430000</v>
      </c>
      <c r="K7916" s="63">
        <f t="shared" ref="K7916" si="4611">(J7916/(F7916/11*10))</f>
        <v>0.24999999999999997</v>
      </c>
      <c r="L7916" s="1212" t="s">
        <v>4391</v>
      </c>
      <c r="M7916" s="468"/>
      <c r="N7916" s="1192">
        <f t="shared" ref="N7916" si="4612">A7916</f>
        <v>45818</v>
      </c>
      <c r="O7916" s="71" t="s">
        <v>662</v>
      </c>
      <c r="P7916" s="103" t="str">
        <f t="shared" ref="P7916" si="4613">(C7916)</f>
        <v>윤전용 세척제(Web 504)</v>
      </c>
      <c r="Q7916" s="71">
        <f t="shared" si="4586"/>
        <v>10</v>
      </c>
      <c r="R7916" s="102">
        <v>129000</v>
      </c>
      <c r="S7916" s="102">
        <f t="shared" si="4589"/>
        <v>1419000</v>
      </c>
      <c r="T7916" s="102">
        <f t="shared" si="4590"/>
        <v>1290000</v>
      </c>
      <c r="U7916" s="71" t="str">
        <f>IF(J7916=W7916,"O", "X")</f>
        <v>X</v>
      </c>
      <c r="V7916" s="71"/>
      <c r="W7916" s="474"/>
      <c r="X7916" s="71"/>
      <c r="Y7916" s="71"/>
    </row>
    <row r="7917" spans="1:25" ht="30" hidden="1" customHeight="1" x14ac:dyDescent="0.25">
      <c r="A7917" s="1145">
        <v>45818</v>
      </c>
      <c r="B7917" s="664" t="s">
        <v>2261</v>
      </c>
      <c r="C7917" s="71" t="s">
        <v>3299</v>
      </c>
      <c r="D7917" s="71">
        <v>10</v>
      </c>
      <c r="E7917" s="102">
        <v>52000</v>
      </c>
      <c r="F7917" s="102">
        <f t="shared" ref="F7917:F7919" si="4614">(E7917*D7917)*1.1</f>
        <v>572000</v>
      </c>
      <c r="G7917" s="102">
        <f t="shared" ref="G7917:G7919" si="4615">(E7917*D7917)</f>
        <v>520000</v>
      </c>
      <c r="H7917" s="690" t="s">
        <v>172</v>
      </c>
      <c r="I7917" s="71" t="s">
        <v>180</v>
      </c>
      <c r="J7917" s="53">
        <f t="shared" ref="J7917:J7919" si="4616">G7917-T7917</f>
        <v>45000</v>
      </c>
      <c r="K7917" s="63">
        <f t="shared" ref="K7917:K7919" si="4617">(J7917/(F7917/11*10))</f>
        <v>8.6538461538461536E-2</v>
      </c>
      <c r="L7917" s="1212" t="s">
        <v>4391</v>
      </c>
      <c r="M7917" s="468" t="s">
        <v>3835</v>
      </c>
      <c r="N7917" s="1192">
        <f t="shared" ref="N7917:N7919" si="4618">A7917</f>
        <v>45818</v>
      </c>
      <c r="O7917" s="71" t="s">
        <v>175</v>
      </c>
      <c r="P7917" s="103" t="str">
        <f t="shared" ref="P7917:P7919" si="4619">(C7917)</f>
        <v>매엽용 세척제(Wash k11)</v>
      </c>
      <c r="Q7917" s="71">
        <f t="shared" si="4586"/>
        <v>10</v>
      </c>
      <c r="R7917" s="102">
        <v>47500</v>
      </c>
      <c r="S7917" s="102">
        <f t="shared" si="4589"/>
        <v>522500.00000000006</v>
      </c>
      <c r="T7917" s="102">
        <f t="shared" si="4590"/>
        <v>475000</v>
      </c>
      <c r="U7917" s="71" t="s">
        <v>859</v>
      </c>
      <c r="V7917" s="71"/>
      <c r="W7917" s="474"/>
      <c r="X7917" s="71"/>
      <c r="Y7917" s="71"/>
    </row>
    <row r="7918" spans="1:25" s="209" customFormat="1" ht="31.15" hidden="1" customHeight="1" x14ac:dyDescent="0.2">
      <c r="A7918" s="1145">
        <v>45818</v>
      </c>
      <c r="B7918" s="664" t="s">
        <v>3289</v>
      </c>
      <c r="C7918" s="71" t="s">
        <v>3387</v>
      </c>
      <c r="D7918" s="71">
        <v>10</v>
      </c>
      <c r="E7918" s="102">
        <v>130000</v>
      </c>
      <c r="F7918" s="102">
        <f t="shared" si="4614"/>
        <v>1430000</v>
      </c>
      <c r="G7918" s="102">
        <f t="shared" si="4615"/>
        <v>1300000</v>
      </c>
      <c r="H7918" s="165" t="s">
        <v>172</v>
      </c>
      <c r="I7918" s="71" t="s">
        <v>184</v>
      </c>
      <c r="J7918" s="53">
        <f t="shared" si="4616"/>
        <v>180000</v>
      </c>
      <c r="K7918" s="63">
        <f t="shared" si="4617"/>
        <v>0.13846153846153847</v>
      </c>
      <c r="L7918" s="1212" t="s">
        <v>4391</v>
      </c>
      <c r="M7918" s="468"/>
      <c r="N7918" s="1192">
        <f t="shared" si="4618"/>
        <v>45818</v>
      </c>
      <c r="O7918" s="71" t="s">
        <v>189</v>
      </c>
      <c r="P7918" s="103" t="str">
        <f t="shared" si="4619"/>
        <v>Blanket(990*725)</v>
      </c>
      <c r="Q7918" s="71">
        <f t="shared" si="4586"/>
        <v>10</v>
      </c>
      <c r="R7918" s="102">
        <v>112000</v>
      </c>
      <c r="S7918" s="102">
        <f t="shared" si="4589"/>
        <v>1232000</v>
      </c>
      <c r="T7918" s="102">
        <f t="shared" si="4590"/>
        <v>1120000</v>
      </c>
      <c r="U7918" s="71" t="str">
        <f>IF(J7918=W7918,"O", "X")</f>
        <v>X</v>
      </c>
      <c r="V7918" s="71"/>
      <c r="W7918" s="474">
        <v>80000</v>
      </c>
      <c r="X7918" s="71"/>
      <c r="Y7918" s="71"/>
    </row>
    <row r="7919" spans="1:25" ht="30" hidden="1" customHeight="1" x14ac:dyDescent="0.25">
      <c r="A7919" s="1145">
        <v>45820</v>
      </c>
      <c r="B7919" s="664" t="s">
        <v>3289</v>
      </c>
      <c r="C7919" s="71" t="s">
        <v>2070</v>
      </c>
      <c r="D7919" s="71">
        <v>10</v>
      </c>
      <c r="E7919" s="102">
        <v>110000</v>
      </c>
      <c r="F7919" s="102">
        <f t="shared" si="4614"/>
        <v>1210000</v>
      </c>
      <c r="G7919" s="102">
        <f t="shared" si="4615"/>
        <v>1100000</v>
      </c>
      <c r="H7919" s="690" t="s">
        <v>172</v>
      </c>
      <c r="I7919" s="71" t="s">
        <v>33</v>
      </c>
      <c r="J7919" s="53">
        <f t="shared" si="4616"/>
        <v>206000</v>
      </c>
      <c r="K7919" s="63">
        <f t="shared" si="4617"/>
        <v>0.18727272727272729</v>
      </c>
      <c r="L7919" s="1212" t="s">
        <v>4391</v>
      </c>
      <c r="M7919" s="468" t="s">
        <v>4114</v>
      </c>
      <c r="N7919" s="1192">
        <f t="shared" si="4618"/>
        <v>45820</v>
      </c>
      <c r="O7919" s="71" t="s">
        <v>146</v>
      </c>
      <c r="P7919" s="103" t="str">
        <f t="shared" si="4619"/>
        <v>Blanket(1050*840)</v>
      </c>
      <c r="Q7919" s="71">
        <f t="shared" si="4586"/>
        <v>10</v>
      </c>
      <c r="R7919" s="102">
        <v>89400</v>
      </c>
      <c r="S7919" s="102">
        <f t="shared" si="4589"/>
        <v>983400.00000000012</v>
      </c>
      <c r="T7919" s="102">
        <f t="shared" si="4590"/>
        <v>894000</v>
      </c>
      <c r="U7919" s="71" t="str">
        <f>IF(J7919=W7919,"O", "X")</f>
        <v>X</v>
      </c>
      <c r="V7919" s="71"/>
      <c r="W7919" s="474">
        <v>275000</v>
      </c>
      <c r="X7919" s="71"/>
      <c r="Y7919" s="71"/>
    </row>
    <row r="7920" spans="1:25" ht="30" hidden="1" customHeight="1" x14ac:dyDescent="0.25">
      <c r="A7920" s="1145">
        <v>45826</v>
      </c>
      <c r="B7920" s="664" t="s">
        <v>2261</v>
      </c>
      <c r="C7920" s="760" t="s">
        <v>181</v>
      </c>
      <c r="D7920" s="71">
        <v>5</v>
      </c>
      <c r="E7920" s="102">
        <v>193000</v>
      </c>
      <c r="F7920" s="102">
        <f t="shared" ref="F7920" si="4620">(E7920*D7920)*1.1</f>
        <v>1061500</v>
      </c>
      <c r="G7920" s="102">
        <f t="shared" ref="G7920" si="4621">(E7920*D7920)</f>
        <v>965000</v>
      </c>
      <c r="H7920" s="690" t="s">
        <v>2029</v>
      </c>
      <c r="I7920" s="71" t="s">
        <v>182</v>
      </c>
      <c r="J7920" s="53">
        <f t="shared" ref="J7920" si="4622">G7920-T7920</f>
        <v>345000</v>
      </c>
      <c r="K7920" s="63">
        <f t="shared" ref="K7920" si="4623">(J7920/(F7920/11*10))</f>
        <v>0.35751295336787564</v>
      </c>
      <c r="L7920" s="1212" t="s">
        <v>4391</v>
      </c>
      <c r="M7920" s="468"/>
      <c r="N7920" s="1192">
        <f t="shared" ref="N7920" si="4624">A7920</f>
        <v>45826</v>
      </c>
      <c r="O7920" s="71" t="s">
        <v>2030</v>
      </c>
      <c r="P7920" s="103" t="str">
        <f t="shared" ref="P7920" si="4625">(C7920)</f>
        <v>Fount Web 551AF</v>
      </c>
      <c r="Q7920" s="71">
        <f t="shared" si="4586"/>
        <v>5</v>
      </c>
      <c r="R7920" s="102">
        <v>124000</v>
      </c>
      <c r="S7920" s="102">
        <f t="shared" si="4589"/>
        <v>682000</v>
      </c>
      <c r="T7920" s="102">
        <f t="shared" si="4590"/>
        <v>620000</v>
      </c>
      <c r="U7920" s="71" t="str">
        <f>IF(J7920=W7920,"O", "X")</f>
        <v>X</v>
      </c>
      <c r="V7920" s="71"/>
      <c r="W7920" s="474">
        <v>640000</v>
      </c>
      <c r="X7920" s="71"/>
      <c r="Y7920" s="71"/>
    </row>
    <row r="7921" spans="1:25" ht="30" hidden="1" customHeight="1" x14ac:dyDescent="0.25">
      <c r="A7921" s="1145">
        <v>45826</v>
      </c>
      <c r="B7921" s="664" t="s">
        <v>2261</v>
      </c>
      <c r="C7921" s="71" t="s">
        <v>277</v>
      </c>
      <c r="D7921" s="71">
        <v>10</v>
      </c>
      <c r="E7921" s="102">
        <v>172000</v>
      </c>
      <c r="F7921" s="102">
        <f t="shared" ref="F7921" si="4626">(E7921*D7921)*1.1</f>
        <v>1892000.0000000002</v>
      </c>
      <c r="G7921" s="102">
        <f t="shared" ref="G7921" si="4627">(E7921*D7921)</f>
        <v>1720000</v>
      </c>
      <c r="H7921" s="690" t="s">
        <v>172</v>
      </c>
      <c r="I7921" s="71" t="s">
        <v>108</v>
      </c>
      <c r="J7921" s="53">
        <f t="shared" ref="J7921" si="4628">G7921-T7921</f>
        <v>430000</v>
      </c>
      <c r="K7921" s="63">
        <f t="shared" ref="K7921" si="4629">(J7921/(F7921/11*10))</f>
        <v>0.24999999999999997</v>
      </c>
      <c r="L7921" s="1212" t="s">
        <v>4391</v>
      </c>
      <c r="M7921" s="468"/>
      <c r="N7921" s="1192">
        <f t="shared" ref="N7921" si="4630">A7921</f>
        <v>45826</v>
      </c>
      <c r="O7921" s="71" t="s">
        <v>662</v>
      </c>
      <c r="P7921" s="103" t="str">
        <f t="shared" ref="P7921" si="4631">(C7921)</f>
        <v>윤전용 세척제(Web 504)</v>
      </c>
      <c r="Q7921" s="71">
        <f t="shared" si="4586"/>
        <v>10</v>
      </c>
      <c r="R7921" s="102">
        <v>129000</v>
      </c>
      <c r="S7921" s="102">
        <f t="shared" si="4589"/>
        <v>1419000</v>
      </c>
      <c r="T7921" s="102">
        <f t="shared" si="4590"/>
        <v>1290000</v>
      </c>
      <c r="U7921" s="71" t="str">
        <f>IF(J7921=W7921,"O", "X")</f>
        <v>X</v>
      </c>
      <c r="V7921" s="71"/>
      <c r="W7921" s="474"/>
      <c r="X7921" s="71"/>
      <c r="Y7921" s="71"/>
    </row>
    <row r="7922" spans="1:25" ht="30" hidden="1" customHeight="1" x14ac:dyDescent="0.25">
      <c r="A7922" s="1145">
        <v>45826</v>
      </c>
      <c r="B7922" s="664" t="s">
        <v>2261</v>
      </c>
      <c r="C7922" s="71" t="s">
        <v>3299</v>
      </c>
      <c r="D7922" s="71">
        <v>10</v>
      </c>
      <c r="E7922" s="102">
        <v>52000</v>
      </c>
      <c r="F7922" s="102">
        <f t="shared" ref="F7922:F7927" si="4632">(E7922*D7922)*1.1</f>
        <v>572000</v>
      </c>
      <c r="G7922" s="102">
        <f t="shared" ref="G7922:G7927" si="4633">(E7922*D7922)</f>
        <v>520000</v>
      </c>
      <c r="H7922" s="690" t="s">
        <v>172</v>
      </c>
      <c r="I7922" s="71" t="s">
        <v>180</v>
      </c>
      <c r="J7922" s="53">
        <f t="shared" ref="J7922:J7936" si="4634">G7922-T7922</f>
        <v>45000</v>
      </c>
      <c r="K7922" s="63">
        <f t="shared" ref="K7922:K7936" si="4635">(J7922/(F7922/11*10))</f>
        <v>8.6538461538461536E-2</v>
      </c>
      <c r="L7922" s="1212" t="s">
        <v>4391</v>
      </c>
      <c r="M7922" s="468" t="s">
        <v>3835</v>
      </c>
      <c r="N7922" s="1192">
        <f t="shared" ref="N7922:N7951" si="4636">A7922</f>
        <v>45826</v>
      </c>
      <c r="O7922" s="71" t="s">
        <v>175</v>
      </c>
      <c r="P7922" s="103" t="str">
        <f t="shared" ref="P7922:P7926" si="4637">(C7922)</f>
        <v>매엽용 세척제(Wash k11)</v>
      </c>
      <c r="Q7922" s="71">
        <f t="shared" si="4586"/>
        <v>10</v>
      </c>
      <c r="R7922" s="102">
        <v>47500</v>
      </c>
      <c r="S7922" s="102">
        <f t="shared" si="4589"/>
        <v>522500.00000000006</v>
      </c>
      <c r="T7922" s="102">
        <f t="shared" si="4590"/>
        <v>475000</v>
      </c>
      <c r="U7922" s="71" t="s">
        <v>859</v>
      </c>
      <c r="V7922" s="71"/>
      <c r="W7922" s="474"/>
      <c r="X7922" s="71"/>
      <c r="Y7922" s="71"/>
    </row>
    <row r="7923" spans="1:25" ht="30" hidden="1" customHeight="1" x14ac:dyDescent="0.25">
      <c r="A7923" s="1145">
        <v>45833</v>
      </c>
      <c r="B7923" s="664" t="s">
        <v>2261</v>
      </c>
      <c r="C7923" s="71" t="s">
        <v>3299</v>
      </c>
      <c r="D7923" s="71">
        <v>10</v>
      </c>
      <c r="E7923" s="102">
        <v>52000</v>
      </c>
      <c r="F7923" s="102">
        <f t="shared" si="4632"/>
        <v>572000</v>
      </c>
      <c r="G7923" s="102">
        <f t="shared" si="4633"/>
        <v>520000</v>
      </c>
      <c r="H7923" s="690" t="s">
        <v>172</v>
      </c>
      <c r="I7923" s="71" t="s">
        <v>180</v>
      </c>
      <c r="J7923" s="53">
        <f t="shared" si="4634"/>
        <v>45000</v>
      </c>
      <c r="K7923" s="63">
        <f t="shared" si="4635"/>
        <v>8.6538461538461536E-2</v>
      </c>
      <c r="L7923" s="1212" t="s">
        <v>4391</v>
      </c>
      <c r="M7923" s="468" t="s">
        <v>3835</v>
      </c>
      <c r="N7923" s="1192">
        <f t="shared" si="4636"/>
        <v>45833</v>
      </c>
      <c r="O7923" s="71" t="s">
        <v>175</v>
      </c>
      <c r="P7923" s="103" t="str">
        <f t="shared" si="4637"/>
        <v>매엽용 세척제(Wash k11)</v>
      </c>
      <c r="Q7923" s="71">
        <f t="shared" si="4586"/>
        <v>10</v>
      </c>
      <c r="R7923" s="102">
        <v>47500</v>
      </c>
      <c r="S7923" s="102">
        <f t="shared" si="4589"/>
        <v>522500.00000000006</v>
      </c>
      <c r="T7923" s="102">
        <f t="shared" si="4590"/>
        <v>475000</v>
      </c>
      <c r="U7923" s="71" t="s">
        <v>859</v>
      </c>
      <c r="V7923" s="71"/>
      <c r="W7923" s="474"/>
      <c r="X7923" s="71"/>
      <c r="Y7923" s="71"/>
    </row>
    <row r="7924" spans="1:25" s="209" customFormat="1" ht="31.15" hidden="1" customHeight="1" x14ac:dyDescent="0.2">
      <c r="A7924" s="1145">
        <v>45833</v>
      </c>
      <c r="B7924" s="664" t="s">
        <v>3289</v>
      </c>
      <c r="C7924" s="71" t="s">
        <v>3387</v>
      </c>
      <c r="D7924" s="71">
        <v>10</v>
      </c>
      <c r="E7924" s="102">
        <v>130000</v>
      </c>
      <c r="F7924" s="102">
        <f t="shared" si="4632"/>
        <v>1430000</v>
      </c>
      <c r="G7924" s="102">
        <f t="shared" si="4633"/>
        <v>1300000</v>
      </c>
      <c r="H7924" s="165" t="s">
        <v>172</v>
      </c>
      <c r="I7924" s="71" t="s">
        <v>184</v>
      </c>
      <c r="J7924" s="53">
        <f t="shared" si="4634"/>
        <v>180000</v>
      </c>
      <c r="K7924" s="63">
        <f t="shared" si="4635"/>
        <v>0.13846153846153847</v>
      </c>
      <c r="L7924" s="1212" t="s">
        <v>4391</v>
      </c>
      <c r="M7924" s="468"/>
      <c r="N7924" s="1192">
        <f t="shared" si="4636"/>
        <v>45833</v>
      </c>
      <c r="O7924" s="71" t="s">
        <v>189</v>
      </c>
      <c r="P7924" s="103" t="str">
        <f t="shared" si="4637"/>
        <v>Blanket(990*725)</v>
      </c>
      <c r="Q7924" s="71">
        <f t="shared" si="4586"/>
        <v>10</v>
      </c>
      <c r="R7924" s="102">
        <v>112000</v>
      </c>
      <c r="S7924" s="102">
        <f t="shared" si="4589"/>
        <v>1232000</v>
      </c>
      <c r="T7924" s="102">
        <f t="shared" si="4590"/>
        <v>1120000</v>
      </c>
      <c r="U7924" s="71" t="str">
        <f>IF(J7924=W7924,"O", "X")</f>
        <v>X</v>
      </c>
      <c r="V7924" s="71"/>
      <c r="W7924" s="474">
        <v>80000</v>
      </c>
      <c r="X7924" s="71"/>
      <c r="Y7924" s="71"/>
    </row>
    <row r="7925" spans="1:25" s="209" customFormat="1" ht="29.45" hidden="1" customHeight="1" x14ac:dyDescent="0.2">
      <c r="A7925" s="1145">
        <v>45817</v>
      </c>
      <c r="B7925" s="664" t="s">
        <v>4059</v>
      </c>
      <c r="C7925" s="71" t="s">
        <v>4061</v>
      </c>
      <c r="D7925" s="71">
        <v>10</v>
      </c>
      <c r="E7925" s="102">
        <v>130000</v>
      </c>
      <c r="F7925" s="102">
        <f t="shared" si="4632"/>
        <v>1430000</v>
      </c>
      <c r="G7925" s="102">
        <f t="shared" si="4633"/>
        <v>1300000</v>
      </c>
      <c r="H7925" s="165" t="s">
        <v>172</v>
      </c>
      <c r="I7925" s="71" t="s">
        <v>184</v>
      </c>
      <c r="J7925" s="53">
        <f t="shared" si="4634"/>
        <v>180000</v>
      </c>
      <c r="K7925" s="63">
        <f t="shared" si="4635"/>
        <v>0.13846153846153847</v>
      </c>
      <c r="L7925" s="1212" t="s">
        <v>4391</v>
      </c>
      <c r="M7925" s="468"/>
      <c r="N7925" s="1192">
        <f t="shared" si="4636"/>
        <v>45817</v>
      </c>
      <c r="O7925" s="71" t="s">
        <v>189</v>
      </c>
      <c r="P7925" s="103" t="str">
        <f t="shared" si="4637"/>
        <v>M600 Blanket(990*725)</v>
      </c>
      <c r="Q7925" s="71">
        <f t="shared" si="4586"/>
        <v>10</v>
      </c>
      <c r="R7925" s="102">
        <v>112000</v>
      </c>
      <c r="S7925" s="102">
        <f t="shared" si="4589"/>
        <v>1232000</v>
      </c>
      <c r="T7925" s="102">
        <f t="shared" si="4590"/>
        <v>1120000</v>
      </c>
      <c r="U7925" s="71" t="str">
        <f>IF(J7925=W7925,"O", "X")</f>
        <v>X</v>
      </c>
      <c r="V7925" s="71"/>
      <c r="W7925" s="474">
        <v>80000</v>
      </c>
      <c r="X7925" s="71"/>
      <c r="Y7925" s="71"/>
    </row>
    <row r="7926" spans="1:25" ht="30" hidden="1" customHeight="1" x14ac:dyDescent="0.25">
      <c r="A7926" s="1145">
        <v>45821</v>
      </c>
      <c r="B7926" s="664" t="s">
        <v>4059</v>
      </c>
      <c r="C7926" s="71" t="s">
        <v>4060</v>
      </c>
      <c r="D7926" s="71">
        <v>10</v>
      </c>
      <c r="E7926" s="102">
        <v>187000</v>
      </c>
      <c r="F7926" s="102">
        <f t="shared" si="4632"/>
        <v>2057000.0000000002</v>
      </c>
      <c r="G7926" s="102">
        <f t="shared" si="4633"/>
        <v>1870000</v>
      </c>
      <c r="H7926" s="690" t="s">
        <v>2029</v>
      </c>
      <c r="I7926" s="71" t="s">
        <v>109</v>
      </c>
      <c r="J7926" s="53">
        <f t="shared" si="4634"/>
        <v>170000</v>
      </c>
      <c r="K7926" s="63">
        <f t="shared" si="4635"/>
        <v>9.0909090909090898E-2</v>
      </c>
      <c r="L7926" s="1212" t="s">
        <v>4391</v>
      </c>
      <c r="M7926" s="102"/>
      <c r="N7926" s="1192">
        <f t="shared" si="4636"/>
        <v>45821</v>
      </c>
      <c r="O7926" s="71" t="s">
        <v>189</v>
      </c>
      <c r="P7926" s="103" t="str">
        <f t="shared" si="4637"/>
        <v>미쯔비시 윤전용 블랑켓 1155*910</v>
      </c>
      <c r="Q7926" s="71">
        <f t="shared" si="4586"/>
        <v>10</v>
      </c>
      <c r="R7926" s="102">
        <v>170000</v>
      </c>
      <c r="S7926" s="102">
        <f t="shared" si="4589"/>
        <v>1870000.0000000002</v>
      </c>
      <c r="T7926" s="102">
        <f t="shared" si="4590"/>
        <v>1700000</v>
      </c>
      <c r="U7926" s="71"/>
      <c r="V7926" s="71"/>
      <c r="W7926" s="474"/>
      <c r="X7926" s="71"/>
      <c r="Y7926" s="71"/>
    </row>
    <row r="7927" spans="1:25" ht="30" hidden="1" customHeight="1" x14ac:dyDescent="0.25">
      <c r="A7927" s="1145">
        <v>45820</v>
      </c>
      <c r="B7927" s="664" t="s">
        <v>18</v>
      </c>
      <c r="C7927" s="71" t="s">
        <v>3305</v>
      </c>
      <c r="D7927" s="71">
        <v>20</v>
      </c>
      <c r="E7927" s="102">
        <v>86000</v>
      </c>
      <c r="F7927" s="102">
        <f t="shared" si="4632"/>
        <v>1892000.0000000002</v>
      </c>
      <c r="G7927" s="102">
        <f t="shared" si="4633"/>
        <v>1720000</v>
      </c>
      <c r="H7927" s="690" t="s">
        <v>172</v>
      </c>
      <c r="I7927" s="71" t="s">
        <v>3295</v>
      </c>
      <c r="J7927" s="53">
        <f t="shared" si="4634"/>
        <v>320000</v>
      </c>
      <c r="K7927" s="63">
        <f t="shared" si="4635"/>
        <v>0.18604651162790695</v>
      </c>
      <c r="L7927" s="1212" t="s">
        <v>4391</v>
      </c>
      <c r="M7927" s="468" t="s">
        <v>3306</v>
      </c>
      <c r="N7927" s="1192">
        <f t="shared" si="4636"/>
        <v>45820</v>
      </c>
      <c r="O7927" s="71" t="s">
        <v>146</v>
      </c>
      <c r="P7927" s="103" t="s">
        <v>3305</v>
      </c>
      <c r="Q7927" s="71">
        <f t="shared" si="4586"/>
        <v>20</v>
      </c>
      <c r="R7927" s="102">
        <v>70000</v>
      </c>
      <c r="S7927" s="102">
        <f t="shared" si="4589"/>
        <v>1540000.0000000002</v>
      </c>
      <c r="T7927" s="102">
        <f t="shared" si="4590"/>
        <v>1400000</v>
      </c>
      <c r="U7927" s="71" t="s">
        <v>1915</v>
      </c>
      <c r="V7927" s="71"/>
      <c r="W7927" s="474"/>
      <c r="X7927" s="71"/>
      <c r="Y7927" s="71"/>
    </row>
    <row r="7928" spans="1:25" ht="30" hidden="1" customHeight="1" x14ac:dyDescent="0.25">
      <c r="A7928" s="1145">
        <v>45820</v>
      </c>
      <c r="B7928" s="664" t="s">
        <v>548</v>
      </c>
      <c r="C7928" s="71" t="s">
        <v>3384</v>
      </c>
      <c r="D7928" s="71">
        <v>500</v>
      </c>
      <c r="E7928" s="102">
        <v>550</v>
      </c>
      <c r="F7928" s="102">
        <f>(E7928*D7928)*1.1</f>
        <v>302500</v>
      </c>
      <c r="G7928" s="102">
        <f>(E7928*D7928)</f>
        <v>275000</v>
      </c>
      <c r="H7928" s="690" t="s">
        <v>2029</v>
      </c>
      <c r="I7928" s="71" t="s">
        <v>3385</v>
      </c>
      <c r="J7928" s="53">
        <f t="shared" si="4634"/>
        <v>115000</v>
      </c>
      <c r="K7928" s="63">
        <f t="shared" si="4635"/>
        <v>0.41818181818181815</v>
      </c>
      <c r="L7928" s="1212" t="s">
        <v>4391</v>
      </c>
      <c r="M7928" s="468"/>
      <c r="N7928" s="1192">
        <f t="shared" si="4636"/>
        <v>45820</v>
      </c>
      <c r="O7928" s="71" t="s">
        <v>2030</v>
      </c>
      <c r="P7928" s="103" t="str">
        <f t="shared" ref="P7928:P7950" si="4638">(C7928)</f>
        <v>고무사카 빨간색</v>
      </c>
      <c r="Q7928" s="71">
        <f t="shared" si="4586"/>
        <v>500</v>
      </c>
      <c r="R7928" s="102">
        <v>320</v>
      </c>
      <c r="S7928" s="102">
        <f t="shared" si="4589"/>
        <v>176000</v>
      </c>
      <c r="T7928" s="102">
        <f t="shared" si="4590"/>
        <v>160000</v>
      </c>
      <c r="U7928" s="71"/>
      <c r="V7928" s="71"/>
      <c r="W7928" s="474"/>
      <c r="X7928" s="71"/>
      <c r="Y7928" s="71"/>
    </row>
    <row r="7929" spans="1:25" ht="30" hidden="1" customHeight="1" x14ac:dyDescent="0.25">
      <c r="A7929" s="1145">
        <v>45826</v>
      </c>
      <c r="B7929" s="664" t="s">
        <v>809</v>
      </c>
      <c r="C7929" s="71" t="s">
        <v>4028</v>
      </c>
      <c r="D7929" s="71">
        <v>20</v>
      </c>
      <c r="E7929" s="102">
        <v>125000</v>
      </c>
      <c r="F7929" s="102">
        <f t="shared" ref="F7929:F7936" si="4639">(E7929*D7929)*1.1</f>
        <v>2750000</v>
      </c>
      <c r="G7929" s="102">
        <f t="shared" ref="G7929:G7936" si="4640">(E7929*D7929)</f>
        <v>2500000</v>
      </c>
      <c r="H7929" s="690" t="s">
        <v>172</v>
      </c>
      <c r="I7929" s="71" t="s">
        <v>33</v>
      </c>
      <c r="J7929" s="53">
        <f t="shared" si="4634"/>
        <v>394000</v>
      </c>
      <c r="K7929" s="63">
        <f t="shared" si="4635"/>
        <v>0.15759999999999999</v>
      </c>
      <c r="L7929" s="1212" t="s">
        <v>4391</v>
      </c>
      <c r="M7929" s="102"/>
      <c r="N7929" s="1192">
        <f t="shared" si="4636"/>
        <v>45826</v>
      </c>
      <c r="O7929" s="71" t="s">
        <v>147</v>
      </c>
      <c r="P7929" s="103" t="str">
        <f t="shared" si="4638"/>
        <v>Blanket(1077*885)</v>
      </c>
      <c r="Q7929" s="71">
        <f t="shared" si="4586"/>
        <v>20</v>
      </c>
      <c r="R7929" s="102">
        <v>105300</v>
      </c>
      <c r="S7929" s="102">
        <f t="shared" si="4589"/>
        <v>2316600</v>
      </c>
      <c r="T7929" s="102">
        <f t="shared" si="4590"/>
        <v>2106000</v>
      </c>
      <c r="U7929" s="71"/>
      <c r="V7929" s="71"/>
      <c r="W7929" s="474"/>
      <c r="X7929" s="71"/>
      <c r="Y7929" s="71"/>
    </row>
    <row r="7930" spans="1:25" ht="30" hidden="1" customHeight="1" x14ac:dyDescent="0.25">
      <c r="A7930" s="1145">
        <v>45810</v>
      </c>
      <c r="B7930" s="664" t="s">
        <v>442</v>
      </c>
      <c r="C7930" s="71" t="s">
        <v>3433</v>
      </c>
      <c r="D7930" s="71">
        <v>15</v>
      </c>
      <c r="E7930" s="102">
        <v>115000</v>
      </c>
      <c r="F7930" s="102">
        <f t="shared" si="4639"/>
        <v>1897500.0000000002</v>
      </c>
      <c r="G7930" s="102">
        <f t="shared" si="4640"/>
        <v>1725000</v>
      </c>
      <c r="H7930" s="690" t="s">
        <v>2029</v>
      </c>
      <c r="I7930" s="71" t="s">
        <v>3385</v>
      </c>
      <c r="J7930" s="53">
        <f t="shared" si="4634"/>
        <v>423000</v>
      </c>
      <c r="K7930" s="63">
        <f t="shared" si="4635"/>
        <v>0.2452173913043478</v>
      </c>
      <c r="L7930" s="1212" t="s">
        <v>4391</v>
      </c>
      <c r="M7930" s="468"/>
      <c r="N7930" s="1192">
        <f t="shared" si="4636"/>
        <v>45810</v>
      </c>
      <c r="O7930" s="71" t="s">
        <v>147</v>
      </c>
      <c r="P7930" s="164" t="str">
        <f t="shared" si="4638"/>
        <v>블랑켓-하이델베르그 국전용</v>
      </c>
      <c r="Q7930" s="71">
        <f t="shared" si="4586"/>
        <v>15</v>
      </c>
      <c r="R7930" s="102">
        <v>86800</v>
      </c>
      <c r="S7930" s="102">
        <f t="shared" si="4589"/>
        <v>1432200</v>
      </c>
      <c r="T7930" s="102">
        <f t="shared" si="4590"/>
        <v>1302000</v>
      </c>
      <c r="U7930" s="71"/>
      <c r="V7930" s="71"/>
      <c r="W7930" s="474"/>
      <c r="X7930" s="71"/>
      <c r="Y7930" s="71"/>
    </row>
    <row r="7931" spans="1:25" ht="30" hidden="1" customHeight="1" x14ac:dyDescent="0.25">
      <c r="A7931" s="1145">
        <v>45810</v>
      </c>
      <c r="B7931" s="664" t="s">
        <v>442</v>
      </c>
      <c r="C7931" s="71" t="s">
        <v>773</v>
      </c>
      <c r="D7931" s="71">
        <v>10</v>
      </c>
      <c r="E7931" s="102">
        <v>215000</v>
      </c>
      <c r="F7931" s="102">
        <f t="shared" si="4639"/>
        <v>2365000</v>
      </c>
      <c r="G7931" s="102">
        <f t="shared" si="4640"/>
        <v>2150000</v>
      </c>
      <c r="H7931" s="690" t="s">
        <v>173</v>
      </c>
      <c r="I7931" s="71" t="s">
        <v>109</v>
      </c>
      <c r="J7931" s="53">
        <f t="shared" si="4634"/>
        <v>250000</v>
      </c>
      <c r="K7931" s="63">
        <f t="shared" si="4635"/>
        <v>0.11627906976744186</v>
      </c>
      <c r="L7931" s="1212" t="s">
        <v>4391</v>
      </c>
      <c r="M7931" s="468"/>
      <c r="N7931" s="1192">
        <f t="shared" si="4636"/>
        <v>45810</v>
      </c>
      <c r="O7931" s="71" t="s">
        <v>151</v>
      </c>
      <c r="P7931" s="103" t="str">
        <f t="shared" si="4638"/>
        <v>로랜드 전지 블랑켓(1460*1165)bar</v>
      </c>
      <c r="Q7931" s="71">
        <f t="shared" si="4586"/>
        <v>10</v>
      </c>
      <c r="R7931" s="102">
        <v>190000</v>
      </c>
      <c r="S7931" s="102">
        <f t="shared" si="4589"/>
        <v>2090000.0000000002</v>
      </c>
      <c r="T7931" s="102">
        <f t="shared" si="4590"/>
        <v>1900000</v>
      </c>
      <c r="U7931" s="71" t="s">
        <v>859</v>
      </c>
      <c r="V7931" s="71"/>
      <c r="W7931" s="474">
        <v>120000</v>
      </c>
      <c r="X7931" s="71"/>
      <c r="Y7931" s="71"/>
    </row>
    <row r="7932" spans="1:25" s="209" customFormat="1" ht="30" hidden="1" customHeight="1" x14ac:dyDescent="0.25">
      <c r="A7932" s="1145">
        <v>45827</v>
      </c>
      <c r="B7932" s="664" t="s">
        <v>442</v>
      </c>
      <c r="C7932" s="71" t="s">
        <v>3833</v>
      </c>
      <c r="D7932" s="71">
        <v>1000</v>
      </c>
      <c r="E7932" s="102">
        <v>3850</v>
      </c>
      <c r="F7932" s="102">
        <f t="shared" si="4639"/>
        <v>4235000</v>
      </c>
      <c r="G7932" s="102">
        <f t="shared" si="4640"/>
        <v>3850000</v>
      </c>
      <c r="H7932" s="690" t="s">
        <v>2029</v>
      </c>
      <c r="I7932" s="71" t="s">
        <v>2230</v>
      </c>
      <c r="J7932" s="53">
        <f t="shared" si="4634"/>
        <v>400000</v>
      </c>
      <c r="K7932" s="63">
        <f t="shared" si="4635"/>
        <v>0.1038961038961039</v>
      </c>
      <c r="L7932" s="1212" t="s">
        <v>4391</v>
      </c>
      <c r="M7932" s="468"/>
      <c r="N7932" s="1192">
        <f t="shared" si="4636"/>
        <v>45827</v>
      </c>
      <c r="O7932" s="71" t="s">
        <v>2030</v>
      </c>
      <c r="P7932" s="103" t="str">
        <f t="shared" si="4638"/>
        <v>CTP 판 1030*790</v>
      </c>
      <c r="Q7932" s="71">
        <f t="shared" si="4586"/>
        <v>1000</v>
      </c>
      <c r="R7932" s="102">
        <v>3450</v>
      </c>
      <c r="S7932" s="102">
        <f t="shared" si="4589"/>
        <v>3795000.0000000005</v>
      </c>
      <c r="T7932" s="102">
        <f t="shared" si="4590"/>
        <v>3450000</v>
      </c>
      <c r="U7932" s="71"/>
      <c r="V7932" s="71"/>
      <c r="W7932" s="474"/>
      <c r="X7932" s="71"/>
      <c r="Y7932" s="71"/>
    </row>
    <row r="7933" spans="1:25" ht="30" hidden="1" customHeight="1" x14ac:dyDescent="0.25">
      <c r="A7933" s="1145">
        <v>45827</v>
      </c>
      <c r="B7933" s="664" t="s">
        <v>442</v>
      </c>
      <c r="C7933" s="71" t="s">
        <v>3834</v>
      </c>
      <c r="D7933" s="71">
        <v>10</v>
      </c>
      <c r="E7933" s="102">
        <v>57000</v>
      </c>
      <c r="F7933" s="102">
        <f t="shared" si="4639"/>
        <v>627000</v>
      </c>
      <c r="G7933" s="102">
        <f t="shared" si="4640"/>
        <v>570000</v>
      </c>
      <c r="H7933" s="690" t="s">
        <v>2029</v>
      </c>
      <c r="I7933" s="71" t="s">
        <v>2230</v>
      </c>
      <c r="J7933" s="53">
        <f t="shared" si="4634"/>
        <v>143890</v>
      </c>
      <c r="K7933" s="63">
        <f t="shared" si="4635"/>
        <v>0.25243859649122807</v>
      </c>
      <c r="L7933" s="1212" t="s">
        <v>4391</v>
      </c>
      <c r="M7933" s="468"/>
      <c r="N7933" s="1192">
        <f t="shared" si="4636"/>
        <v>45827</v>
      </c>
      <c r="O7933" s="71" t="s">
        <v>2030</v>
      </c>
      <c r="P7933" s="103" t="str">
        <f t="shared" si="4638"/>
        <v>CTP 현상액</v>
      </c>
      <c r="Q7933" s="71">
        <f t="shared" si="4586"/>
        <v>10</v>
      </c>
      <c r="R7933" s="102">
        <v>42611</v>
      </c>
      <c r="S7933" s="102">
        <f t="shared" si="4589"/>
        <v>468721.00000000006</v>
      </c>
      <c r="T7933" s="102">
        <f t="shared" si="4590"/>
        <v>426110</v>
      </c>
      <c r="U7933" s="71"/>
      <c r="V7933" s="71"/>
      <c r="W7933" s="474"/>
      <c r="X7933" s="71"/>
      <c r="Y7933" s="71"/>
    </row>
    <row r="7934" spans="1:25" ht="30" hidden="1" customHeight="1" x14ac:dyDescent="0.25">
      <c r="A7934" s="1145">
        <v>45810</v>
      </c>
      <c r="B7934" s="664" t="s">
        <v>442</v>
      </c>
      <c r="C7934" s="71" t="s">
        <v>4255</v>
      </c>
      <c r="D7934" s="71">
        <v>1</v>
      </c>
      <c r="E7934" s="102">
        <v>300000</v>
      </c>
      <c r="F7934" s="102">
        <f t="shared" si="4639"/>
        <v>330000</v>
      </c>
      <c r="G7934" s="102">
        <f t="shared" si="4640"/>
        <v>300000</v>
      </c>
      <c r="H7934" s="690" t="s">
        <v>2029</v>
      </c>
      <c r="I7934" s="71" t="s">
        <v>2230</v>
      </c>
      <c r="J7934" s="53">
        <f t="shared" si="4634"/>
        <v>-200000</v>
      </c>
      <c r="K7934" s="63">
        <f t="shared" si="4635"/>
        <v>-0.66666666666666663</v>
      </c>
      <c r="L7934" s="1212" t="s">
        <v>4391</v>
      </c>
      <c r="M7934" s="102"/>
      <c r="N7934" s="1192">
        <f t="shared" si="4636"/>
        <v>45810</v>
      </c>
      <c r="O7934" s="71" t="s">
        <v>4265</v>
      </c>
      <c r="P7934" s="103" t="str">
        <f t="shared" si="4638"/>
        <v>소부기 출장비 및 기술료</v>
      </c>
      <c r="Q7934" s="71">
        <f t="shared" si="4586"/>
        <v>1</v>
      </c>
      <c r="R7934" s="102">
        <v>500000</v>
      </c>
      <c r="S7934" s="102">
        <f t="shared" si="4589"/>
        <v>550000</v>
      </c>
      <c r="T7934" s="102">
        <f t="shared" si="4590"/>
        <v>500000</v>
      </c>
      <c r="U7934" s="71"/>
      <c r="V7934" s="71"/>
      <c r="W7934" s="474"/>
      <c r="X7934" s="71"/>
      <c r="Y7934" s="71"/>
    </row>
    <row r="7935" spans="1:25" ht="30" hidden="1" customHeight="1" x14ac:dyDescent="0.25">
      <c r="A7935" s="1145">
        <v>45810</v>
      </c>
      <c r="B7935" s="664" t="s">
        <v>442</v>
      </c>
      <c r="C7935" s="71" t="s">
        <v>4396</v>
      </c>
      <c r="D7935" s="71">
        <v>1</v>
      </c>
      <c r="E7935" s="102">
        <v>600000</v>
      </c>
      <c r="F7935" s="102">
        <f t="shared" si="4639"/>
        <v>660000</v>
      </c>
      <c r="G7935" s="102">
        <f t="shared" si="4640"/>
        <v>600000</v>
      </c>
      <c r="H7935" s="690" t="s">
        <v>2029</v>
      </c>
      <c r="I7935" s="71" t="s">
        <v>2230</v>
      </c>
      <c r="J7935" s="53">
        <f t="shared" si="4634"/>
        <v>160000</v>
      </c>
      <c r="K7935" s="63">
        <f t="shared" si="4635"/>
        <v>0.26666666666666666</v>
      </c>
      <c r="L7935" s="1212" t="s">
        <v>4391</v>
      </c>
      <c r="M7935" s="468"/>
      <c r="N7935" s="1192">
        <f t="shared" si="4636"/>
        <v>45810</v>
      </c>
      <c r="O7935" s="71" t="s">
        <v>145</v>
      </c>
      <c r="P7935" s="103" t="str">
        <f t="shared" si="4638"/>
        <v>소부기 진공기판 및 펌프모터 교체</v>
      </c>
      <c r="Q7935" s="71">
        <f t="shared" ref="Q7935:Q7950" si="4641">D7935</f>
        <v>1</v>
      </c>
      <c r="R7935" s="147">
        <v>440000</v>
      </c>
      <c r="S7935" s="102">
        <f t="shared" si="4589"/>
        <v>484000.00000000006</v>
      </c>
      <c r="T7935" s="102">
        <f t="shared" si="4590"/>
        <v>440000</v>
      </c>
      <c r="U7935" s="71"/>
      <c r="V7935" s="71"/>
      <c r="W7935" s="474"/>
      <c r="X7935" s="71"/>
      <c r="Y7935" s="71"/>
    </row>
    <row r="7936" spans="1:25" ht="30" hidden="1" customHeight="1" x14ac:dyDescent="0.25">
      <c r="A7936" s="1145">
        <v>45819</v>
      </c>
      <c r="B7936" s="664" t="s">
        <v>856</v>
      </c>
      <c r="C7936" s="1020" t="s">
        <v>3606</v>
      </c>
      <c r="D7936" s="71">
        <v>5</v>
      </c>
      <c r="E7936" s="102">
        <v>960000</v>
      </c>
      <c r="F7936" s="102">
        <f t="shared" si="4639"/>
        <v>5280000</v>
      </c>
      <c r="G7936" s="102">
        <f t="shared" si="4640"/>
        <v>4800000</v>
      </c>
      <c r="H7936" s="690" t="s">
        <v>173</v>
      </c>
      <c r="I7936" s="71" t="s">
        <v>1022</v>
      </c>
      <c r="J7936" s="53">
        <f t="shared" si="4634"/>
        <v>2385720</v>
      </c>
      <c r="K7936" s="63">
        <f t="shared" si="4635"/>
        <v>0.49702499999999999</v>
      </c>
      <c r="L7936" s="1212" t="s">
        <v>4391</v>
      </c>
      <c r="M7936" s="102"/>
      <c r="N7936" s="1192">
        <f t="shared" si="4636"/>
        <v>45819</v>
      </c>
      <c r="O7936" s="71" t="s">
        <v>3984</v>
      </c>
      <c r="P7936" s="103" t="str">
        <f t="shared" si="4638"/>
        <v xml:space="preserve"> UV Lamp, 2130259, (honle 정품)
 F_930HOZ 200W/mm D22,5
 Lg1005,5mm U1500HFC</v>
      </c>
      <c r="Q7936" s="71">
        <f t="shared" si="4641"/>
        <v>5</v>
      </c>
      <c r="R7936" s="102">
        <v>482856</v>
      </c>
      <c r="S7936" s="102">
        <f t="shared" ref="S7936:S7950" si="4642">R7936*Q7936*1.1</f>
        <v>2655708</v>
      </c>
      <c r="T7936" s="102">
        <f t="shared" ref="T7936:T7950" si="4643">R7936*Q7936</f>
        <v>2414280</v>
      </c>
      <c r="U7936" s="71"/>
      <c r="V7936" s="71"/>
      <c r="W7936" s="474"/>
      <c r="X7936" s="71"/>
      <c r="Y7936" s="71"/>
    </row>
    <row r="7937" spans="1:25" ht="30" hidden="1" customHeight="1" x14ac:dyDescent="0.25">
      <c r="A7937" s="1145">
        <v>45838</v>
      </c>
      <c r="B7937" s="664" t="s">
        <v>4131</v>
      </c>
      <c r="C7937" s="71" t="s">
        <v>4397</v>
      </c>
      <c r="D7937" s="71">
        <v>1</v>
      </c>
      <c r="E7937" s="102">
        <v>304545</v>
      </c>
      <c r="F7937" s="102">
        <f t="shared" ref="F7937:F7945" si="4644">(E7937*D7937)*1.1</f>
        <v>334999.5</v>
      </c>
      <c r="G7937" s="102">
        <f t="shared" ref="G7937:G7945" si="4645">(E7937*D7937)</f>
        <v>304545</v>
      </c>
      <c r="H7937" s="690" t="s">
        <v>142</v>
      </c>
      <c r="I7937" s="71" t="s">
        <v>142</v>
      </c>
      <c r="J7937" s="53">
        <f t="shared" ref="J7937" si="4646">G7937-T7937</f>
        <v>0</v>
      </c>
      <c r="K7937" s="63">
        <f t="shared" ref="K7937" si="4647">(J7937/(F7937/11*10))</f>
        <v>0</v>
      </c>
      <c r="L7937" s="1212" t="s">
        <v>4391</v>
      </c>
      <c r="M7937" s="468"/>
      <c r="N7937" s="1192">
        <f t="shared" si="4636"/>
        <v>45838</v>
      </c>
      <c r="O7937" s="71" t="s">
        <v>145</v>
      </c>
      <c r="P7937" s="103" t="str">
        <f t="shared" si="4638"/>
        <v>CTP 리컷 비용</v>
      </c>
      <c r="Q7937" s="71">
        <f t="shared" si="4641"/>
        <v>1</v>
      </c>
      <c r="R7937" s="147">
        <v>304545</v>
      </c>
      <c r="S7937" s="102">
        <f t="shared" si="4642"/>
        <v>334999.5</v>
      </c>
      <c r="T7937" s="102">
        <f t="shared" si="4643"/>
        <v>304545</v>
      </c>
      <c r="U7937" s="71"/>
      <c r="V7937" s="71"/>
      <c r="W7937" s="474"/>
      <c r="X7937" s="71"/>
      <c r="Y7937" s="71"/>
    </row>
    <row r="7938" spans="1:25" ht="30" hidden="1" customHeight="1" x14ac:dyDescent="0.25">
      <c r="A7938" s="1145">
        <v>45838</v>
      </c>
      <c r="B7938" s="664" t="s">
        <v>4131</v>
      </c>
      <c r="C7938" s="71" t="s">
        <v>4398</v>
      </c>
      <c r="D7938" s="71">
        <v>1</v>
      </c>
      <c r="E7938" s="102">
        <v>196000</v>
      </c>
      <c r="F7938" s="102">
        <f t="shared" si="4644"/>
        <v>215600.00000000003</v>
      </c>
      <c r="G7938" s="102">
        <f t="shared" si="4645"/>
        <v>196000</v>
      </c>
      <c r="H7938" s="690" t="s">
        <v>142</v>
      </c>
      <c r="I7938" s="71" t="s">
        <v>142</v>
      </c>
      <c r="J7938" s="53">
        <f t="shared" ref="J7938" si="4648">G7938-T7938</f>
        <v>53000</v>
      </c>
      <c r="K7938" s="63">
        <f t="shared" ref="K7938" si="4649">(J7938/(F7938/11*10))</f>
        <v>0.27040816326530609</v>
      </c>
      <c r="L7938" s="1212" t="s">
        <v>4391</v>
      </c>
      <c r="M7938" s="102"/>
      <c r="N7938" s="1192">
        <f t="shared" si="4636"/>
        <v>45838</v>
      </c>
      <c r="O7938" s="71" t="s">
        <v>145</v>
      </c>
      <c r="P7938" s="103" t="str">
        <f t="shared" si="4638"/>
        <v>CTP 고무액</v>
      </c>
      <c r="Q7938" s="71">
        <v>2</v>
      </c>
      <c r="R7938" s="102">
        <v>71500</v>
      </c>
      <c r="S7938" s="102">
        <f t="shared" si="4642"/>
        <v>157300</v>
      </c>
      <c r="T7938" s="102">
        <f t="shared" si="4643"/>
        <v>143000</v>
      </c>
      <c r="U7938" s="71"/>
      <c r="V7938" s="71"/>
      <c r="W7938" s="474"/>
      <c r="X7938" s="71"/>
      <c r="Y7938" s="71"/>
    </row>
    <row r="7939" spans="1:25" ht="30" hidden="1" customHeight="1" x14ac:dyDescent="0.25">
      <c r="A7939" s="1145">
        <v>45838</v>
      </c>
      <c r="B7939" s="664" t="s">
        <v>4131</v>
      </c>
      <c r="C7939" s="71" t="s">
        <v>4399</v>
      </c>
      <c r="D7939" s="71">
        <v>1</v>
      </c>
      <c r="E7939" s="102">
        <v>3600000</v>
      </c>
      <c r="F7939" s="102">
        <f t="shared" si="4644"/>
        <v>3960000.0000000005</v>
      </c>
      <c r="G7939" s="102">
        <f t="shared" si="4645"/>
        <v>3600000</v>
      </c>
      <c r="H7939" s="690" t="s">
        <v>142</v>
      </c>
      <c r="I7939" s="71" t="s">
        <v>142</v>
      </c>
      <c r="J7939" s="53">
        <f t="shared" ref="J7939" si="4650">G7939-T7939</f>
        <v>1800000</v>
      </c>
      <c r="K7939" s="63">
        <f t="shared" ref="K7939" si="4651">(J7939/(F7939/11*10))</f>
        <v>0.49999999999999994</v>
      </c>
      <c r="L7939" s="1212" t="s">
        <v>4391</v>
      </c>
      <c r="M7939" s="468"/>
      <c r="N7939" s="1192">
        <f t="shared" si="4636"/>
        <v>45838</v>
      </c>
      <c r="O7939" s="71" t="s">
        <v>4407</v>
      </c>
      <c r="P7939" s="103" t="str">
        <f t="shared" si="4638"/>
        <v>플렉소 엔드 씰</v>
      </c>
      <c r="Q7939" s="71">
        <f t="shared" si="4641"/>
        <v>1</v>
      </c>
      <c r="R7939" s="147">
        <v>1800000</v>
      </c>
      <c r="S7939" s="102">
        <f t="shared" si="4642"/>
        <v>1980000.0000000002</v>
      </c>
      <c r="T7939" s="102">
        <f t="shared" si="4643"/>
        <v>1800000</v>
      </c>
      <c r="U7939" s="71"/>
      <c r="V7939" s="71"/>
      <c r="W7939" s="474"/>
      <c r="X7939" s="71"/>
      <c r="Y7939" s="71"/>
    </row>
    <row r="7940" spans="1:25" ht="30" hidden="1" customHeight="1" x14ac:dyDescent="0.25">
      <c r="A7940" s="1145">
        <v>45838</v>
      </c>
      <c r="B7940" s="664" t="s">
        <v>3575</v>
      </c>
      <c r="C7940" s="71" t="s">
        <v>4401</v>
      </c>
      <c r="D7940" s="71">
        <v>1</v>
      </c>
      <c r="E7940" s="102">
        <v>53200000</v>
      </c>
      <c r="F7940" s="102">
        <f t="shared" si="4644"/>
        <v>58520000.000000007</v>
      </c>
      <c r="G7940" s="102">
        <f t="shared" si="4645"/>
        <v>53200000</v>
      </c>
      <c r="H7940" s="690" t="s">
        <v>1431</v>
      </c>
      <c r="I7940" s="71" t="s">
        <v>1431</v>
      </c>
      <c r="J7940" s="53"/>
      <c r="K7940" s="63"/>
      <c r="L7940" s="1212" t="s">
        <v>4391</v>
      </c>
      <c r="M7940" s="102"/>
      <c r="N7940" s="1192">
        <f t="shared" si="4636"/>
        <v>45838</v>
      </c>
      <c r="O7940" s="71" t="s">
        <v>1431</v>
      </c>
      <c r="P7940" s="103" t="str">
        <f t="shared" si="4638"/>
        <v>자동판걸이장치 잔금</v>
      </c>
      <c r="Q7940" s="71">
        <f t="shared" si="4641"/>
        <v>1</v>
      </c>
      <c r="R7940" s="102"/>
      <c r="S7940" s="102">
        <f t="shared" si="4642"/>
        <v>0</v>
      </c>
      <c r="T7940" s="102">
        <f t="shared" si="4643"/>
        <v>0</v>
      </c>
      <c r="U7940" s="71"/>
      <c r="V7940" s="71"/>
      <c r="W7940" s="474"/>
      <c r="X7940" s="71"/>
      <c r="Y7940" s="71"/>
    </row>
    <row r="7941" spans="1:25" ht="30" hidden="1" customHeight="1" x14ac:dyDescent="0.25">
      <c r="A7941" s="1145">
        <v>45838</v>
      </c>
      <c r="B7941" s="664" t="s">
        <v>575</v>
      </c>
      <c r="C7941" s="71" t="s">
        <v>4127</v>
      </c>
      <c r="D7941" s="71">
        <v>1</v>
      </c>
      <c r="E7941" s="102">
        <v>2625000</v>
      </c>
      <c r="F7941" s="102">
        <f t="shared" si="4644"/>
        <v>2887500.0000000005</v>
      </c>
      <c r="G7941" s="102">
        <f t="shared" si="4645"/>
        <v>2625000</v>
      </c>
      <c r="H7941" s="690" t="s">
        <v>985</v>
      </c>
      <c r="I7941" s="690" t="s">
        <v>985</v>
      </c>
      <c r="J7941" s="53"/>
      <c r="K7941" s="63"/>
      <c r="L7941" s="1212" t="s">
        <v>4391</v>
      </c>
      <c r="M7941" s="468"/>
      <c r="N7941" s="1192">
        <f t="shared" si="4636"/>
        <v>45838</v>
      </c>
      <c r="O7941" s="71"/>
      <c r="P7941" s="103" t="str">
        <f t="shared" si="4638"/>
        <v>M-600 서비스계약 2회차분</v>
      </c>
      <c r="Q7941" s="71">
        <f t="shared" si="4641"/>
        <v>1</v>
      </c>
      <c r="R7941" s="147"/>
      <c r="S7941" s="102">
        <f t="shared" si="4642"/>
        <v>0</v>
      </c>
      <c r="T7941" s="102">
        <f t="shared" si="4643"/>
        <v>0</v>
      </c>
      <c r="U7941" s="71"/>
      <c r="V7941" s="71"/>
      <c r="W7941" s="474"/>
      <c r="X7941" s="71"/>
      <c r="Y7941" s="71"/>
    </row>
    <row r="7942" spans="1:25" ht="30" hidden="1" customHeight="1" x14ac:dyDescent="0.25">
      <c r="A7942" s="1145">
        <v>45838</v>
      </c>
      <c r="B7942" s="664" t="s">
        <v>575</v>
      </c>
      <c r="C7942" s="71" t="s">
        <v>4400</v>
      </c>
      <c r="D7942" s="71">
        <v>1</v>
      </c>
      <c r="E7942" s="102">
        <v>60000000</v>
      </c>
      <c r="F7942" s="102">
        <f t="shared" si="4644"/>
        <v>66000000.000000007</v>
      </c>
      <c r="G7942" s="102">
        <f t="shared" si="4645"/>
        <v>60000000</v>
      </c>
      <c r="H7942" s="690" t="s">
        <v>1431</v>
      </c>
      <c r="I7942" s="71" t="s">
        <v>1431</v>
      </c>
      <c r="J7942" s="53"/>
      <c r="K7942" s="63"/>
      <c r="L7942" s="1212" t="s">
        <v>4391</v>
      </c>
      <c r="M7942" s="102"/>
      <c r="N7942" s="1192">
        <f t="shared" si="4636"/>
        <v>45838</v>
      </c>
      <c r="O7942" s="71" t="s">
        <v>1431</v>
      </c>
      <c r="P7942" s="103" t="str">
        <f t="shared" si="4638"/>
        <v>자동판교환시스템 업그레이드</v>
      </c>
      <c r="Q7942" s="71">
        <f t="shared" si="4641"/>
        <v>1</v>
      </c>
      <c r="R7942" s="102"/>
      <c r="S7942" s="102">
        <f t="shared" si="4642"/>
        <v>0</v>
      </c>
      <c r="T7942" s="102">
        <f t="shared" si="4643"/>
        <v>0</v>
      </c>
      <c r="U7942" s="71"/>
      <c r="V7942" s="71"/>
      <c r="W7942" s="474"/>
      <c r="X7942" s="71"/>
      <c r="Y7942" s="71"/>
    </row>
    <row r="7943" spans="1:25" ht="30" hidden="1" customHeight="1" x14ac:dyDescent="0.25">
      <c r="A7943" s="1145">
        <v>45838</v>
      </c>
      <c r="B7943" s="664" t="s">
        <v>1593</v>
      </c>
      <c r="C7943" s="1020" t="s">
        <v>4404</v>
      </c>
      <c r="D7943" s="71">
        <v>48</v>
      </c>
      <c r="E7943" s="102">
        <v>94000</v>
      </c>
      <c r="F7943" s="102">
        <f t="shared" si="4644"/>
        <v>4963200</v>
      </c>
      <c r="G7943" s="102">
        <f t="shared" si="4645"/>
        <v>4512000</v>
      </c>
      <c r="H7943" s="690" t="s">
        <v>142</v>
      </c>
      <c r="I7943" s="71" t="s">
        <v>142</v>
      </c>
      <c r="J7943" s="53">
        <f t="shared" ref="J7943" si="4652">G7943-T7943</f>
        <v>1285646</v>
      </c>
      <c r="K7943" s="63">
        <f t="shared" ref="K7943" si="4653">(J7943/(F7943/11*10))</f>
        <v>0.28493927304964539</v>
      </c>
      <c r="L7943" s="1212" t="s">
        <v>4391</v>
      </c>
      <c r="M7943" s="468"/>
      <c r="N7943" s="1192">
        <f t="shared" si="4636"/>
        <v>45838</v>
      </c>
      <c r="O7943" s="71" t="s">
        <v>4408</v>
      </c>
      <c r="P7943" s="103" t="str">
        <f t="shared" si="4638"/>
        <v>Colorman 신문윤전기 습수약물
Technova Aquafount</v>
      </c>
      <c r="Q7943" s="71">
        <f t="shared" si="4641"/>
        <v>48</v>
      </c>
      <c r="R7943" s="147">
        <f>3226354/48</f>
        <v>67215.708333333328</v>
      </c>
      <c r="S7943" s="102">
        <f t="shared" si="4642"/>
        <v>3548989.4000000004</v>
      </c>
      <c r="T7943" s="102">
        <f t="shared" si="4643"/>
        <v>3226354</v>
      </c>
      <c r="U7943" s="71"/>
      <c r="V7943" s="71"/>
      <c r="W7943" s="474"/>
      <c r="X7943" s="71"/>
      <c r="Y7943" s="71"/>
    </row>
    <row r="7944" spans="1:25" ht="30" hidden="1" customHeight="1" x14ac:dyDescent="0.25">
      <c r="A7944" s="1145">
        <v>45838</v>
      </c>
      <c r="B7944" s="664" t="s">
        <v>1593</v>
      </c>
      <c r="C7944" s="1020" t="s">
        <v>4405</v>
      </c>
      <c r="D7944" s="71">
        <v>66</v>
      </c>
      <c r="E7944" s="102">
        <v>92000</v>
      </c>
      <c r="F7944" s="102">
        <f t="shared" si="4644"/>
        <v>6679200.0000000009</v>
      </c>
      <c r="G7944" s="102">
        <f t="shared" si="4645"/>
        <v>6072000</v>
      </c>
      <c r="H7944" s="690" t="s">
        <v>142</v>
      </c>
      <c r="I7944" s="71" t="s">
        <v>142</v>
      </c>
      <c r="J7944" s="53">
        <f t="shared" ref="J7944:J7945" si="4654">G7944-T7944</f>
        <v>1084710</v>
      </c>
      <c r="K7944" s="63">
        <f t="shared" ref="K7944:K7945" si="4655">(J7944/(F7944/11*10))</f>
        <v>0.17864130434782605</v>
      </c>
      <c r="L7944" s="1212" t="s">
        <v>4391</v>
      </c>
      <c r="M7944" s="102"/>
      <c r="N7944" s="1192">
        <f t="shared" si="4636"/>
        <v>45838</v>
      </c>
      <c r="O7944" s="71" t="s">
        <v>4408</v>
      </c>
      <c r="P7944" s="103" t="str">
        <f t="shared" si="4638"/>
        <v>Colorman 신문윤전기 세척액
Technova Artemas Wash</v>
      </c>
      <c r="Q7944" s="71">
        <f t="shared" si="4641"/>
        <v>66</v>
      </c>
      <c r="R7944" s="102">
        <v>75565</v>
      </c>
      <c r="S7944" s="102">
        <f t="shared" si="4642"/>
        <v>5486019</v>
      </c>
      <c r="T7944" s="102">
        <f t="shared" si="4643"/>
        <v>4987290</v>
      </c>
      <c r="U7944" s="71"/>
      <c r="V7944" s="71"/>
      <c r="W7944" s="474"/>
      <c r="X7944" s="71"/>
      <c r="Y7944" s="71"/>
    </row>
    <row r="7945" spans="1:25" ht="30" hidden="1" customHeight="1" x14ac:dyDescent="0.25">
      <c r="A7945" s="1145">
        <v>45838</v>
      </c>
      <c r="B7945" s="664" t="s">
        <v>1593</v>
      </c>
      <c r="C7945" s="1020" t="s">
        <v>4406</v>
      </c>
      <c r="D7945" s="71">
        <v>50</v>
      </c>
      <c r="E7945" s="102">
        <v>60000</v>
      </c>
      <c r="F7945" s="102">
        <f t="shared" si="4644"/>
        <v>3300000.0000000005</v>
      </c>
      <c r="G7945" s="102">
        <f t="shared" si="4645"/>
        <v>3000000</v>
      </c>
      <c r="H7945" s="690" t="s">
        <v>142</v>
      </c>
      <c r="I7945" s="71" t="s">
        <v>142</v>
      </c>
      <c r="J7945" s="53">
        <f t="shared" si="4654"/>
        <v>1044634</v>
      </c>
      <c r="K7945" s="63">
        <f t="shared" si="4655"/>
        <v>0.34821133333333326</v>
      </c>
      <c r="L7945" s="1212" t="s">
        <v>4391</v>
      </c>
      <c r="M7945" s="468"/>
      <c r="N7945" s="1192">
        <f t="shared" si="4636"/>
        <v>45838</v>
      </c>
      <c r="O7945" s="71" t="s">
        <v>4408</v>
      </c>
      <c r="P7945" s="103" t="str">
        <f t="shared" si="4638"/>
        <v>Colorman 신문윤전기 경화제
Technova AquaTone</v>
      </c>
      <c r="Q7945" s="71">
        <f t="shared" si="4641"/>
        <v>50</v>
      </c>
      <c r="R7945" s="147">
        <f>1955366/50</f>
        <v>39107.32</v>
      </c>
      <c r="S7945" s="102">
        <f t="shared" si="4642"/>
        <v>2150902.6</v>
      </c>
      <c r="T7945" s="102">
        <f t="shared" si="4643"/>
        <v>1955366</v>
      </c>
      <c r="U7945" s="71"/>
      <c r="V7945" s="71"/>
      <c r="W7945" s="474"/>
      <c r="X7945" s="71"/>
      <c r="Y7945" s="71"/>
    </row>
    <row r="7946" spans="1:25" ht="30" hidden="1" customHeight="1" x14ac:dyDescent="0.25">
      <c r="A7946" s="1145">
        <v>45838</v>
      </c>
      <c r="B7946" s="664" t="s">
        <v>3571</v>
      </c>
      <c r="C7946" s="71" t="s">
        <v>4402</v>
      </c>
      <c r="D7946" s="71">
        <v>1</v>
      </c>
      <c r="E7946" s="102">
        <v>85400000</v>
      </c>
      <c r="F7946" s="102">
        <f t="shared" ref="F7946:F7948" si="4656">(E7946*D7946)*1.1</f>
        <v>93940000.000000015</v>
      </c>
      <c r="G7946" s="102">
        <f t="shared" ref="G7946:G7948" si="4657">(E7946*D7946)</f>
        <v>85400000</v>
      </c>
      <c r="H7946" s="690" t="s">
        <v>1431</v>
      </c>
      <c r="I7946" s="71" t="s">
        <v>1431</v>
      </c>
      <c r="J7946" s="53"/>
      <c r="K7946" s="63"/>
      <c r="L7946" s="1212" t="s">
        <v>4391</v>
      </c>
      <c r="M7946" s="102"/>
      <c r="N7946" s="1192">
        <f t="shared" si="4636"/>
        <v>45838</v>
      </c>
      <c r="O7946" s="71" t="s">
        <v>1431</v>
      </c>
      <c r="P7946" s="103" t="str">
        <f t="shared" si="4638"/>
        <v>로토만 수리 잔금 70%</v>
      </c>
      <c r="Q7946" s="71">
        <f t="shared" si="4641"/>
        <v>1</v>
      </c>
      <c r="R7946" s="102"/>
      <c r="S7946" s="102">
        <f t="shared" si="4642"/>
        <v>0</v>
      </c>
      <c r="T7946" s="102">
        <f t="shared" si="4643"/>
        <v>0</v>
      </c>
      <c r="U7946" s="71"/>
      <c r="V7946" s="71"/>
      <c r="W7946" s="474"/>
      <c r="X7946" s="71"/>
      <c r="Y7946" s="71"/>
    </row>
    <row r="7947" spans="1:25" ht="30" hidden="1" customHeight="1" x14ac:dyDescent="0.25">
      <c r="A7947" s="1145">
        <v>45838</v>
      </c>
      <c r="B7947" s="664" t="s">
        <v>546</v>
      </c>
      <c r="C7947" s="71" t="s">
        <v>4403</v>
      </c>
      <c r="D7947" s="71">
        <v>1</v>
      </c>
      <c r="E7947" s="102">
        <v>2517370</v>
      </c>
      <c r="F7947" s="102">
        <f t="shared" si="4656"/>
        <v>2769107</v>
      </c>
      <c r="G7947" s="102">
        <f t="shared" si="4657"/>
        <v>2517370</v>
      </c>
      <c r="H7947" s="690" t="s">
        <v>985</v>
      </c>
      <c r="I7947" s="71" t="s">
        <v>985</v>
      </c>
      <c r="J7947" s="53"/>
      <c r="K7947" s="63"/>
      <c r="L7947" s="1212" t="s">
        <v>4391</v>
      </c>
      <c r="M7947" s="468"/>
      <c r="N7947" s="1192">
        <f t="shared" si="4636"/>
        <v>45838</v>
      </c>
      <c r="O7947" s="71" t="s">
        <v>1431</v>
      </c>
      <c r="P7947" s="103" t="str">
        <f t="shared" si="4638"/>
        <v>스플라이서&amp;드라이어 점검(크리스티안)</v>
      </c>
      <c r="Q7947" s="71">
        <f t="shared" si="4641"/>
        <v>1</v>
      </c>
      <c r="R7947" s="147"/>
      <c r="S7947" s="102">
        <f t="shared" si="4642"/>
        <v>0</v>
      </c>
      <c r="T7947" s="102">
        <f t="shared" si="4643"/>
        <v>0</v>
      </c>
      <c r="U7947" s="71"/>
      <c r="V7947" s="71"/>
      <c r="W7947" s="474"/>
      <c r="X7947" s="71"/>
      <c r="Y7947" s="71"/>
    </row>
    <row r="7948" spans="1:25" ht="30" hidden="1" customHeight="1" x14ac:dyDescent="0.25">
      <c r="A7948" s="1145">
        <v>45838</v>
      </c>
      <c r="B7948" s="664" t="s">
        <v>2569</v>
      </c>
      <c r="C7948" s="71" t="s">
        <v>123</v>
      </c>
      <c r="D7948" s="71">
        <v>15</v>
      </c>
      <c r="E7948" s="102">
        <f>510000/15</f>
        <v>34000</v>
      </c>
      <c r="F7948" s="102">
        <f t="shared" si="4656"/>
        <v>561000</v>
      </c>
      <c r="G7948" s="102">
        <f t="shared" si="4657"/>
        <v>510000</v>
      </c>
      <c r="H7948" s="690" t="s">
        <v>142</v>
      </c>
      <c r="I7948" s="71" t="s">
        <v>142</v>
      </c>
      <c r="J7948" s="53">
        <f t="shared" ref="J7948" si="4658">G7948-T7948</f>
        <v>150000</v>
      </c>
      <c r="K7948" s="63">
        <f t="shared" ref="K7948" si="4659">(J7948/(F7948/11*10))</f>
        <v>0.29411764705882354</v>
      </c>
      <c r="L7948" s="1212" t="s">
        <v>4391</v>
      </c>
      <c r="M7948" s="102"/>
      <c r="N7948" s="1192">
        <f t="shared" si="4636"/>
        <v>45838</v>
      </c>
      <c r="O7948" s="71" t="s">
        <v>1432</v>
      </c>
      <c r="P7948" s="103" t="str">
        <f t="shared" si="4638"/>
        <v>필터백</v>
      </c>
      <c r="Q7948" s="71">
        <f t="shared" si="4641"/>
        <v>15</v>
      </c>
      <c r="R7948" s="102">
        <v>24000</v>
      </c>
      <c r="S7948" s="102">
        <f t="shared" si="4642"/>
        <v>396000.00000000006</v>
      </c>
      <c r="T7948" s="102">
        <f t="shared" si="4643"/>
        <v>360000</v>
      </c>
      <c r="U7948" s="71"/>
      <c r="V7948" s="71"/>
      <c r="W7948" s="474"/>
      <c r="X7948" s="71"/>
      <c r="Y7948" s="71"/>
    </row>
    <row r="7949" spans="1:25" ht="30" hidden="1" customHeight="1" x14ac:dyDescent="0.25">
      <c r="A7949" s="1145">
        <v>45818</v>
      </c>
      <c r="B7949" s="664" t="s">
        <v>546</v>
      </c>
      <c r="C7949" s="71" t="s">
        <v>1148</v>
      </c>
      <c r="D7949" s="71">
        <v>8</v>
      </c>
      <c r="E7949" s="102">
        <v>435000</v>
      </c>
      <c r="F7949" s="102">
        <f t="shared" ref="F7949:F7950" si="4660">(E7949*D7949)*1.1</f>
        <v>3828000.0000000005</v>
      </c>
      <c r="G7949" s="102">
        <f t="shared" ref="G7949:G7950" si="4661">(E7949*D7949)</f>
        <v>3480000</v>
      </c>
      <c r="H7949" s="690" t="s">
        <v>1431</v>
      </c>
      <c r="I7949" s="71" t="s">
        <v>1431</v>
      </c>
      <c r="J7949" s="53"/>
      <c r="K7949" s="63"/>
      <c r="L7949" s="1212" t="s">
        <v>4391</v>
      </c>
      <c r="M7949" s="468"/>
      <c r="N7949" s="1192">
        <f t="shared" si="4636"/>
        <v>45818</v>
      </c>
      <c r="O7949" s="71" t="s">
        <v>1431</v>
      </c>
      <c r="P7949" s="103" t="str">
        <f t="shared" si="4638"/>
        <v>브레이크 라이닝</v>
      </c>
      <c r="Q7949" s="71">
        <f t="shared" si="4641"/>
        <v>8</v>
      </c>
      <c r="R7949" s="147"/>
      <c r="S7949" s="102">
        <f t="shared" si="4642"/>
        <v>0</v>
      </c>
      <c r="T7949" s="102">
        <f t="shared" si="4643"/>
        <v>0</v>
      </c>
      <c r="U7949" s="71"/>
      <c r="V7949" s="71"/>
      <c r="W7949" s="474"/>
      <c r="X7949" s="71"/>
      <c r="Y7949" s="71"/>
    </row>
    <row r="7950" spans="1:25" ht="30" hidden="1" customHeight="1" x14ac:dyDescent="0.25">
      <c r="A7950" s="1145">
        <v>45818</v>
      </c>
      <c r="B7950" s="664" t="s">
        <v>546</v>
      </c>
      <c r="C7950" s="71" t="s">
        <v>1918</v>
      </c>
      <c r="D7950" s="71">
        <v>20</v>
      </c>
      <c r="E7950" s="102">
        <v>27000</v>
      </c>
      <c r="F7950" s="102">
        <f t="shared" si="4660"/>
        <v>594000</v>
      </c>
      <c r="G7950" s="102">
        <f t="shared" si="4661"/>
        <v>540000</v>
      </c>
      <c r="H7950" s="690" t="s">
        <v>1431</v>
      </c>
      <c r="I7950" s="71" t="s">
        <v>1431</v>
      </c>
      <c r="J7950" s="53"/>
      <c r="K7950" s="63"/>
      <c r="L7950" s="1212" t="s">
        <v>4391</v>
      </c>
      <c r="M7950" s="102"/>
      <c r="N7950" s="1192">
        <f t="shared" si="4636"/>
        <v>45818</v>
      </c>
      <c r="O7950" s="71" t="s">
        <v>1431</v>
      </c>
      <c r="P7950" s="103" t="str">
        <f t="shared" si="4638"/>
        <v>브러쉬</v>
      </c>
      <c r="Q7950" s="71">
        <f t="shared" si="4641"/>
        <v>20</v>
      </c>
      <c r="R7950" s="102"/>
      <c r="S7950" s="102">
        <f t="shared" si="4642"/>
        <v>0</v>
      </c>
      <c r="T7950" s="102">
        <f t="shared" si="4643"/>
        <v>0</v>
      </c>
      <c r="U7950" s="71"/>
      <c r="V7950" s="71"/>
      <c r="W7950" s="474"/>
      <c r="X7950" s="71"/>
      <c r="Y7950" s="71"/>
    </row>
    <row r="7951" spans="1:25" ht="30" hidden="1" customHeight="1" x14ac:dyDescent="0.25">
      <c r="A7951" s="1210" t="s">
        <v>4417</v>
      </c>
      <c r="B7951" s="1211" t="s">
        <v>544</v>
      </c>
      <c r="C7951" s="960"/>
      <c r="D7951" s="960"/>
      <c r="E7951" s="952"/>
      <c r="F7951" s="952"/>
      <c r="G7951" s="952"/>
      <c r="H7951" s="1206"/>
      <c r="I7951" s="960"/>
      <c r="J7951" s="952"/>
      <c r="K7951" s="953"/>
      <c r="L7951" s="1212" t="s">
        <v>4416</v>
      </c>
      <c r="M7951" s="1207"/>
      <c r="N7951" s="1208" t="str">
        <f t="shared" si="4636"/>
        <v>2025,7</v>
      </c>
      <c r="O7951" s="960"/>
      <c r="P7951" s="1209"/>
      <c r="Q7951" s="960"/>
      <c r="R7951" s="952"/>
      <c r="S7951" s="952"/>
      <c r="T7951" s="952"/>
      <c r="U7951" s="960"/>
      <c r="V7951" s="960"/>
      <c r="W7951" s="474">
        <f>(G7951-T7951)</f>
        <v>0</v>
      </c>
      <c r="X7951" s="71"/>
      <c r="Y7951" s="71"/>
    </row>
    <row r="7952" spans="1:25" ht="30" hidden="1" customHeight="1" x14ac:dyDescent="0.25">
      <c r="A7952" s="1145">
        <v>45833</v>
      </c>
      <c r="B7952" s="664" t="s">
        <v>1060</v>
      </c>
      <c r="C7952" s="71" t="s">
        <v>3908</v>
      </c>
      <c r="D7952" s="71">
        <v>700</v>
      </c>
      <c r="E7952" s="102">
        <v>5810</v>
      </c>
      <c r="F7952" s="102">
        <f t="shared" ref="F7952:F7972" si="4662">(E7952*D7952)*1.1</f>
        <v>4473700</v>
      </c>
      <c r="G7952" s="102">
        <f t="shared" ref="G7952:G7972" si="4663">(E7952*D7952)</f>
        <v>4067000</v>
      </c>
      <c r="H7952" s="690" t="s">
        <v>142</v>
      </c>
      <c r="I7952" s="71" t="s">
        <v>179</v>
      </c>
      <c r="J7952" s="53">
        <f t="shared" ref="J7952:J7972" si="4664">G7952-T7952</f>
        <v>1327200</v>
      </c>
      <c r="K7952" s="63">
        <f t="shared" ref="K7952:K7972" si="4665">(J7952/(F7952/11*10))</f>
        <v>0.3263339070567986</v>
      </c>
      <c r="L7952" s="1212" t="s">
        <v>4416</v>
      </c>
      <c r="M7952" s="102" t="s">
        <v>3964</v>
      </c>
      <c r="N7952" s="1192">
        <v>45682</v>
      </c>
      <c r="O7952" s="71" t="s">
        <v>662</v>
      </c>
      <c r="P7952" s="103" t="s">
        <v>3908</v>
      </c>
      <c r="Q7952" s="71">
        <f t="shared" ref="Q7952:Q7972" si="4666">D7952</f>
        <v>700</v>
      </c>
      <c r="R7952" s="102">
        <v>3914</v>
      </c>
      <c r="S7952" s="102">
        <f t="shared" ref="S7952:S7971" si="4667">R7952*Q7952*1.1</f>
        <v>3013780.0000000005</v>
      </c>
      <c r="T7952" s="102">
        <f t="shared" ref="T7952:T7971" si="4668">R7952*Q7952</f>
        <v>2739800</v>
      </c>
      <c r="U7952" s="71" t="s">
        <v>859</v>
      </c>
      <c r="V7952" s="71"/>
      <c r="W7952" s="474">
        <v>942000</v>
      </c>
      <c r="X7952" s="71"/>
      <c r="Y7952" s="71"/>
    </row>
    <row r="7953" spans="1:25" ht="30" hidden="1" customHeight="1" x14ac:dyDescent="0.25">
      <c r="A7953" s="1145">
        <v>45833</v>
      </c>
      <c r="B7953" s="664" t="s">
        <v>1060</v>
      </c>
      <c r="C7953" s="71" t="s">
        <v>3909</v>
      </c>
      <c r="D7953" s="71">
        <v>2500</v>
      </c>
      <c r="E7953" s="102">
        <v>3670</v>
      </c>
      <c r="F7953" s="102">
        <f t="shared" si="4662"/>
        <v>10092500</v>
      </c>
      <c r="G7953" s="102">
        <f t="shared" si="4663"/>
        <v>9175000</v>
      </c>
      <c r="H7953" s="690" t="s">
        <v>36</v>
      </c>
      <c r="I7953" s="71" t="s">
        <v>2529</v>
      </c>
      <c r="J7953" s="53">
        <f t="shared" si="4664"/>
        <v>2995000</v>
      </c>
      <c r="K7953" s="63">
        <f t="shared" si="4665"/>
        <v>0.32643051771117165</v>
      </c>
      <c r="L7953" s="1212" t="s">
        <v>4415</v>
      </c>
      <c r="M7953" s="102" t="s">
        <v>3964</v>
      </c>
      <c r="N7953" s="1192">
        <v>45651</v>
      </c>
      <c r="O7953" s="71" t="s">
        <v>662</v>
      </c>
      <c r="P7953" s="103" t="s">
        <v>3909</v>
      </c>
      <c r="Q7953" s="71">
        <f t="shared" si="4666"/>
        <v>2500</v>
      </c>
      <c r="R7953" s="102">
        <v>2472</v>
      </c>
      <c r="S7953" s="102">
        <f t="shared" si="4667"/>
        <v>6798000.0000000009</v>
      </c>
      <c r="T7953" s="102">
        <f t="shared" si="4668"/>
        <v>6180000</v>
      </c>
      <c r="U7953" s="71" t="s">
        <v>859</v>
      </c>
      <c r="V7953" s="71"/>
      <c r="W7953" s="474">
        <v>1274000</v>
      </c>
      <c r="X7953" s="71"/>
      <c r="Y7953" s="71"/>
    </row>
    <row r="7954" spans="1:25" ht="30" hidden="1" customHeight="1" x14ac:dyDescent="0.25">
      <c r="A7954" s="1145">
        <v>45833</v>
      </c>
      <c r="B7954" s="664" t="s">
        <v>1060</v>
      </c>
      <c r="C7954" s="71" t="s">
        <v>3910</v>
      </c>
      <c r="D7954" s="71">
        <v>2600</v>
      </c>
      <c r="E7954" s="102">
        <v>3470</v>
      </c>
      <c r="F7954" s="102">
        <f t="shared" si="4662"/>
        <v>9924200</v>
      </c>
      <c r="G7954" s="102">
        <f t="shared" si="4663"/>
        <v>9022000</v>
      </c>
      <c r="H7954" s="690" t="s">
        <v>36</v>
      </c>
      <c r="I7954" s="71" t="s">
        <v>2529</v>
      </c>
      <c r="J7954" s="53">
        <f t="shared" si="4664"/>
        <v>2917200</v>
      </c>
      <c r="K7954" s="63">
        <f t="shared" si="4665"/>
        <v>0.32334293948126802</v>
      </c>
      <c r="L7954" s="1212" t="s">
        <v>4415</v>
      </c>
      <c r="M7954" s="102" t="s">
        <v>3964</v>
      </c>
      <c r="N7954" s="1192">
        <v>45651</v>
      </c>
      <c r="O7954" s="71" t="s">
        <v>662</v>
      </c>
      <c r="P7954" s="103" t="s">
        <v>3910</v>
      </c>
      <c r="Q7954" s="71">
        <f t="shared" si="4666"/>
        <v>2600</v>
      </c>
      <c r="R7954" s="102">
        <v>2348</v>
      </c>
      <c r="S7954" s="102">
        <f t="shared" si="4667"/>
        <v>6715280.0000000009</v>
      </c>
      <c r="T7954" s="102">
        <f t="shared" si="4668"/>
        <v>6104800</v>
      </c>
      <c r="U7954" s="71" t="s">
        <v>859</v>
      </c>
      <c r="V7954" s="71"/>
      <c r="W7954" s="474">
        <v>3325000</v>
      </c>
      <c r="X7954" s="71"/>
      <c r="Y7954" s="71"/>
    </row>
    <row r="7955" spans="1:25" ht="30" hidden="1" customHeight="1" x14ac:dyDescent="0.25">
      <c r="A7955" s="1145">
        <v>45833</v>
      </c>
      <c r="B7955" s="664" t="s">
        <v>1060</v>
      </c>
      <c r="C7955" s="71" t="s">
        <v>3911</v>
      </c>
      <c r="D7955" s="71">
        <v>400</v>
      </c>
      <c r="E7955" s="102">
        <v>5890</v>
      </c>
      <c r="F7955" s="102">
        <f t="shared" si="4662"/>
        <v>2591600</v>
      </c>
      <c r="G7955" s="102">
        <f t="shared" si="4663"/>
        <v>2356000</v>
      </c>
      <c r="H7955" s="690" t="s">
        <v>36</v>
      </c>
      <c r="I7955" s="71" t="s">
        <v>2529</v>
      </c>
      <c r="J7955" s="53">
        <f t="shared" si="4664"/>
        <v>769600</v>
      </c>
      <c r="K7955" s="63">
        <f t="shared" si="4665"/>
        <v>0.32665534804753821</v>
      </c>
      <c r="L7955" s="1212" t="s">
        <v>4415</v>
      </c>
      <c r="M7955" s="102" t="s">
        <v>3964</v>
      </c>
      <c r="N7955" s="1192">
        <v>45651</v>
      </c>
      <c r="O7955" s="71" t="s">
        <v>662</v>
      </c>
      <c r="P7955" s="103" t="s">
        <v>3911</v>
      </c>
      <c r="Q7955" s="71">
        <f t="shared" si="4666"/>
        <v>400</v>
      </c>
      <c r="R7955" s="102">
        <v>3966</v>
      </c>
      <c r="S7955" s="102">
        <f t="shared" si="4667"/>
        <v>1745040.0000000002</v>
      </c>
      <c r="T7955" s="102">
        <f t="shared" si="4668"/>
        <v>1586400</v>
      </c>
      <c r="U7955" s="71" t="s">
        <v>859</v>
      </c>
      <c r="V7955" s="71"/>
      <c r="W7955" s="474">
        <v>636000</v>
      </c>
      <c r="X7955" s="71"/>
      <c r="Y7955" s="71"/>
    </row>
    <row r="7956" spans="1:25" ht="30" hidden="1" customHeight="1" x14ac:dyDescent="0.25">
      <c r="A7956" s="1145">
        <v>45833</v>
      </c>
      <c r="B7956" s="664" t="s">
        <v>1060</v>
      </c>
      <c r="C7956" s="71" t="s">
        <v>3912</v>
      </c>
      <c r="D7956" s="71">
        <v>1000</v>
      </c>
      <c r="E7956" s="102">
        <v>6110</v>
      </c>
      <c r="F7956" s="102">
        <f t="shared" si="4662"/>
        <v>6721000.0000000009</v>
      </c>
      <c r="G7956" s="102">
        <f t="shared" si="4663"/>
        <v>6110000</v>
      </c>
      <c r="H7956" s="690" t="s">
        <v>36</v>
      </c>
      <c r="I7956" s="71" t="s">
        <v>2529</v>
      </c>
      <c r="J7956" s="53">
        <f t="shared" si="4664"/>
        <v>1990000</v>
      </c>
      <c r="K7956" s="63">
        <f t="shared" si="4665"/>
        <v>0.3256955810147299</v>
      </c>
      <c r="L7956" s="1212" t="s">
        <v>4415</v>
      </c>
      <c r="M7956" s="102" t="s">
        <v>3964</v>
      </c>
      <c r="N7956" s="1192">
        <v>45651</v>
      </c>
      <c r="O7956" s="71" t="s">
        <v>662</v>
      </c>
      <c r="P7956" s="103" t="s">
        <v>3912</v>
      </c>
      <c r="Q7956" s="71">
        <f t="shared" si="4666"/>
        <v>1000</v>
      </c>
      <c r="R7956" s="102">
        <v>4120</v>
      </c>
      <c r="S7956" s="102">
        <f t="shared" si="4667"/>
        <v>4532000</v>
      </c>
      <c r="T7956" s="102">
        <f t="shared" si="4668"/>
        <v>4120000</v>
      </c>
      <c r="U7956" s="71" t="s">
        <v>859</v>
      </c>
      <c r="V7956" s="71"/>
      <c r="W7956" s="474">
        <v>1476000</v>
      </c>
      <c r="X7956" s="71"/>
      <c r="Y7956" s="71"/>
    </row>
    <row r="7957" spans="1:25" ht="30" hidden="1" customHeight="1" x14ac:dyDescent="0.25">
      <c r="A7957" s="1145">
        <v>45833</v>
      </c>
      <c r="B7957" s="664" t="s">
        <v>1060</v>
      </c>
      <c r="C7957" s="71" t="s">
        <v>3913</v>
      </c>
      <c r="D7957" s="71">
        <v>200</v>
      </c>
      <c r="E7957" s="102">
        <v>4360</v>
      </c>
      <c r="F7957" s="102">
        <f t="shared" si="4662"/>
        <v>959200.00000000012</v>
      </c>
      <c r="G7957" s="102">
        <f t="shared" si="4663"/>
        <v>872000</v>
      </c>
      <c r="H7957" s="690" t="s">
        <v>36</v>
      </c>
      <c r="I7957" s="71" t="s">
        <v>2529</v>
      </c>
      <c r="J7957" s="53">
        <f t="shared" si="4664"/>
        <v>284800</v>
      </c>
      <c r="K7957" s="63">
        <f t="shared" si="4665"/>
        <v>0.32660550458715593</v>
      </c>
      <c r="L7957" s="1212" t="s">
        <v>4415</v>
      </c>
      <c r="M7957" s="102" t="s">
        <v>3964</v>
      </c>
      <c r="N7957" s="1192">
        <v>45651</v>
      </c>
      <c r="O7957" s="71" t="s">
        <v>662</v>
      </c>
      <c r="P7957" s="103" t="s">
        <v>3913</v>
      </c>
      <c r="Q7957" s="71">
        <f t="shared" si="4666"/>
        <v>200</v>
      </c>
      <c r="R7957" s="102">
        <v>2936</v>
      </c>
      <c r="S7957" s="102">
        <f t="shared" si="4667"/>
        <v>645920</v>
      </c>
      <c r="T7957" s="102">
        <f t="shared" si="4668"/>
        <v>587200</v>
      </c>
      <c r="U7957" s="71" t="s">
        <v>859</v>
      </c>
      <c r="V7957" s="71"/>
      <c r="W7957" s="474">
        <v>1416000</v>
      </c>
      <c r="X7957" s="71"/>
      <c r="Y7957" s="71"/>
    </row>
    <row r="7958" spans="1:25" ht="30" hidden="1" customHeight="1" x14ac:dyDescent="0.25">
      <c r="A7958" s="1145">
        <v>45833</v>
      </c>
      <c r="B7958" s="664" t="s">
        <v>1060</v>
      </c>
      <c r="C7958" s="71" t="s">
        <v>3914</v>
      </c>
      <c r="D7958" s="71">
        <v>35</v>
      </c>
      <c r="E7958" s="102">
        <v>52800</v>
      </c>
      <c r="F7958" s="102">
        <f t="shared" si="4662"/>
        <v>2032800.0000000002</v>
      </c>
      <c r="G7958" s="102">
        <f t="shared" si="4663"/>
        <v>1848000</v>
      </c>
      <c r="H7958" s="690" t="s">
        <v>36</v>
      </c>
      <c r="I7958" s="71" t="s">
        <v>2529</v>
      </c>
      <c r="J7958" s="53">
        <f t="shared" si="4664"/>
        <v>406000</v>
      </c>
      <c r="K7958" s="63">
        <f t="shared" si="4665"/>
        <v>0.21969696969696967</v>
      </c>
      <c r="L7958" s="1212" t="s">
        <v>4415</v>
      </c>
      <c r="M7958" s="468"/>
      <c r="N7958" s="1192">
        <v>45651</v>
      </c>
      <c r="O7958" s="71" t="s">
        <v>662</v>
      </c>
      <c r="P7958" s="103" t="s">
        <v>3914</v>
      </c>
      <c r="Q7958" s="71">
        <f t="shared" si="4666"/>
        <v>35</v>
      </c>
      <c r="R7958" s="102">
        <v>41200</v>
      </c>
      <c r="S7958" s="102">
        <f t="shared" si="4667"/>
        <v>1586200.0000000002</v>
      </c>
      <c r="T7958" s="102">
        <f t="shared" si="4668"/>
        <v>1442000</v>
      </c>
      <c r="U7958" s="71" t="s">
        <v>859</v>
      </c>
      <c r="V7958" s="71"/>
      <c r="W7958" s="474">
        <v>978750</v>
      </c>
      <c r="X7958" s="71"/>
      <c r="Y7958" s="71"/>
    </row>
    <row r="7959" spans="1:25" ht="30" hidden="1" customHeight="1" x14ac:dyDescent="0.25">
      <c r="A7959" s="1145">
        <v>45833</v>
      </c>
      <c r="B7959" s="664" t="s">
        <v>1061</v>
      </c>
      <c r="C7959" s="71" t="s">
        <v>3319</v>
      </c>
      <c r="D7959" s="71">
        <v>448</v>
      </c>
      <c r="E7959" s="102">
        <v>6328</v>
      </c>
      <c r="F7959" s="102">
        <f t="shared" si="4662"/>
        <v>3118438.4000000004</v>
      </c>
      <c r="G7959" s="102">
        <f t="shared" si="4663"/>
        <v>2834944</v>
      </c>
      <c r="H7959" s="690" t="s">
        <v>36</v>
      </c>
      <c r="I7959" s="71" t="s">
        <v>3320</v>
      </c>
      <c r="J7959" s="53">
        <f t="shared" si="4664"/>
        <v>214144</v>
      </c>
      <c r="K7959" s="63">
        <f t="shared" si="4665"/>
        <v>7.5537294563843241E-2</v>
      </c>
      <c r="L7959" s="1212" t="s">
        <v>4415</v>
      </c>
      <c r="M7959" s="468"/>
      <c r="N7959" s="1192">
        <v>45651</v>
      </c>
      <c r="O7959" s="71" t="s">
        <v>146</v>
      </c>
      <c r="P7959" s="103" t="s">
        <v>3319</v>
      </c>
      <c r="Q7959" s="71">
        <f t="shared" si="4666"/>
        <v>448</v>
      </c>
      <c r="R7959" s="102">
        <v>5850</v>
      </c>
      <c r="S7959" s="102">
        <f t="shared" si="4667"/>
        <v>2882880</v>
      </c>
      <c r="T7959" s="102">
        <f t="shared" si="4668"/>
        <v>2620800</v>
      </c>
      <c r="U7959" s="71" t="s">
        <v>859</v>
      </c>
      <c r="V7959" s="71"/>
      <c r="W7959" s="474">
        <v>411200</v>
      </c>
      <c r="X7959" s="71"/>
      <c r="Y7959" s="71"/>
    </row>
    <row r="7960" spans="1:25" ht="30" hidden="1" customHeight="1" x14ac:dyDescent="0.25">
      <c r="A7960" s="1145">
        <v>45833</v>
      </c>
      <c r="B7960" s="664" t="s">
        <v>1061</v>
      </c>
      <c r="C7960" s="71" t="s">
        <v>3321</v>
      </c>
      <c r="D7960" s="71">
        <v>448</v>
      </c>
      <c r="E7960" s="102">
        <v>6780</v>
      </c>
      <c r="F7960" s="102">
        <f t="shared" si="4662"/>
        <v>3341184.0000000005</v>
      </c>
      <c r="G7960" s="102">
        <f t="shared" si="4663"/>
        <v>3037440</v>
      </c>
      <c r="H7960" s="690" t="s">
        <v>36</v>
      </c>
      <c r="I7960" s="71" t="s">
        <v>3320</v>
      </c>
      <c r="J7960" s="53">
        <f t="shared" si="4664"/>
        <v>224000</v>
      </c>
      <c r="K7960" s="63">
        <f t="shared" si="4665"/>
        <v>7.3746312684365767E-2</v>
      </c>
      <c r="L7960" s="1212" t="s">
        <v>4415</v>
      </c>
      <c r="M7960" s="468"/>
      <c r="N7960" s="1192">
        <v>45651</v>
      </c>
      <c r="O7960" s="71" t="s">
        <v>146</v>
      </c>
      <c r="P7960" s="103" t="s">
        <v>3321</v>
      </c>
      <c r="Q7960" s="71">
        <f t="shared" si="4666"/>
        <v>448</v>
      </c>
      <c r="R7960" s="102">
        <v>6280</v>
      </c>
      <c r="S7960" s="102">
        <f t="shared" si="4667"/>
        <v>3094784.0000000005</v>
      </c>
      <c r="T7960" s="102">
        <f t="shared" si="4668"/>
        <v>2813440</v>
      </c>
      <c r="U7960" s="71" t="s">
        <v>859</v>
      </c>
      <c r="V7960" s="71"/>
      <c r="W7960" s="474">
        <v>292000</v>
      </c>
      <c r="X7960" s="71"/>
      <c r="Y7960" s="71"/>
    </row>
    <row r="7961" spans="1:25" ht="30" hidden="1" customHeight="1" x14ac:dyDescent="0.25">
      <c r="A7961" s="1145">
        <v>45833</v>
      </c>
      <c r="B7961" s="664" t="s">
        <v>1061</v>
      </c>
      <c r="C7961" s="71" t="s">
        <v>1289</v>
      </c>
      <c r="D7961" s="71">
        <v>848</v>
      </c>
      <c r="E7961" s="102">
        <v>6498</v>
      </c>
      <c r="F7961" s="102">
        <f t="shared" si="4662"/>
        <v>6061334.4000000004</v>
      </c>
      <c r="G7961" s="102">
        <f t="shared" si="4663"/>
        <v>5510304</v>
      </c>
      <c r="H7961" s="690" t="s">
        <v>36</v>
      </c>
      <c r="I7961" s="71" t="s">
        <v>3320</v>
      </c>
      <c r="J7961" s="53">
        <f t="shared" si="4664"/>
        <v>405344</v>
      </c>
      <c r="K7961" s="63">
        <f t="shared" si="4665"/>
        <v>7.3561095721760547E-2</v>
      </c>
      <c r="L7961" s="1212" t="s">
        <v>4415</v>
      </c>
      <c r="M7961" s="468"/>
      <c r="N7961" s="1192">
        <v>45651</v>
      </c>
      <c r="O7961" s="71" t="s">
        <v>146</v>
      </c>
      <c r="P7961" s="103" t="s">
        <v>1289</v>
      </c>
      <c r="Q7961" s="71">
        <f t="shared" si="4666"/>
        <v>848</v>
      </c>
      <c r="R7961" s="102">
        <v>6020</v>
      </c>
      <c r="S7961" s="102">
        <f t="shared" si="4667"/>
        <v>5615456</v>
      </c>
      <c r="T7961" s="102">
        <f t="shared" si="4668"/>
        <v>5104960</v>
      </c>
      <c r="U7961" s="71" t="s">
        <v>859</v>
      </c>
      <c r="V7961" s="71"/>
      <c r="W7961" s="474">
        <v>640800</v>
      </c>
      <c r="X7961" s="71"/>
      <c r="Y7961" s="71"/>
    </row>
    <row r="7962" spans="1:25" ht="30" hidden="1" customHeight="1" x14ac:dyDescent="0.25">
      <c r="A7962" s="1145">
        <v>45833</v>
      </c>
      <c r="B7962" s="664" t="s">
        <v>1061</v>
      </c>
      <c r="C7962" s="71" t="s">
        <v>1290</v>
      </c>
      <c r="D7962" s="71">
        <v>624</v>
      </c>
      <c r="E7962" s="102">
        <v>7910</v>
      </c>
      <c r="F7962" s="102">
        <f t="shared" si="4662"/>
        <v>5429424</v>
      </c>
      <c r="G7962" s="102">
        <f t="shared" si="4663"/>
        <v>4935840</v>
      </c>
      <c r="H7962" s="690" t="s">
        <v>36</v>
      </c>
      <c r="I7962" s="71" t="s">
        <v>3320</v>
      </c>
      <c r="J7962" s="53">
        <f t="shared" si="4664"/>
        <v>374400</v>
      </c>
      <c r="K7962" s="63">
        <f t="shared" si="4665"/>
        <v>7.5853350189633378E-2</v>
      </c>
      <c r="L7962" s="1212" t="s">
        <v>4415</v>
      </c>
      <c r="M7962" s="468"/>
      <c r="N7962" s="1192">
        <v>45651</v>
      </c>
      <c r="O7962" s="71" t="s">
        <v>146</v>
      </c>
      <c r="P7962" s="103" t="s">
        <v>1290</v>
      </c>
      <c r="Q7962" s="71">
        <f t="shared" si="4666"/>
        <v>624</v>
      </c>
      <c r="R7962" s="102">
        <v>7310</v>
      </c>
      <c r="S7962" s="102">
        <f t="shared" si="4667"/>
        <v>5017584</v>
      </c>
      <c r="T7962" s="102">
        <f t="shared" si="4668"/>
        <v>4561440</v>
      </c>
      <c r="U7962" s="71" t="s">
        <v>859</v>
      </c>
      <c r="V7962" s="71"/>
      <c r="W7962" s="474">
        <v>846000</v>
      </c>
      <c r="X7962" s="71"/>
      <c r="Y7962" s="71"/>
    </row>
    <row r="7963" spans="1:25" ht="30" hidden="1" customHeight="1" x14ac:dyDescent="0.25">
      <c r="A7963" s="1145">
        <v>45833</v>
      </c>
      <c r="B7963" s="664" t="s">
        <v>1061</v>
      </c>
      <c r="C7963" s="71" t="s">
        <v>3322</v>
      </c>
      <c r="D7963" s="71"/>
      <c r="E7963" s="102">
        <v>7150</v>
      </c>
      <c r="F7963" s="102">
        <f t="shared" si="4662"/>
        <v>0</v>
      </c>
      <c r="G7963" s="102">
        <f t="shared" si="4663"/>
        <v>0</v>
      </c>
      <c r="H7963" s="690" t="s">
        <v>36</v>
      </c>
      <c r="I7963" s="71" t="s">
        <v>3320</v>
      </c>
      <c r="J7963" s="53">
        <f t="shared" si="4664"/>
        <v>0</v>
      </c>
      <c r="K7963" s="63" t="e">
        <f t="shared" si="4665"/>
        <v>#DIV/0!</v>
      </c>
      <c r="L7963" s="1212" t="s">
        <v>4415</v>
      </c>
      <c r="M7963" s="468"/>
      <c r="N7963" s="1192">
        <f t="shared" ref="N7963:N7968" si="4669">A7963</f>
        <v>45833</v>
      </c>
      <c r="O7963" s="71" t="s">
        <v>3323</v>
      </c>
      <c r="P7963" s="103" t="str">
        <f t="shared" ref="P7963:P7968" si="4670">(C7963)</f>
        <v>한특 잉크(적)</v>
      </c>
      <c r="Q7963" s="71">
        <f t="shared" si="4666"/>
        <v>0</v>
      </c>
      <c r="R7963" s="102">
        <v>6500</v>
      </c>
      <c r="S7963" s="102">
        <f t="shared" si="4667"/>
        <v>0</v>
      </c>
      <c r="T7963" s="102">
        <f t="shared" si="4668"/>
        <v>0</v>
      </c>
      <c r="U7963" s="71" t="s">
        <v>859</v>
      </c>
      <c r="V7963" s="71"/>
      <c r="W7963" s="474">
        <v>0</v>
      </c>
      <c r="X7963" s="71"/>
      <c r="Y7963" s="71"/>
    </row>
    <row r="7964" spans="1:25" ht="30" hidden="1" customHeight="1" x14ac:dyDescent="0.25">
      <c r="A7964" s="1145">
        <v>45833</v>
      </c>
      <c r="B7964" s="664" t="s">
        <v>1061</v>
      </c>
      <c r="C7964" s="71" t="s">
        <v>3324</v>
      </c>
      <c r="D7964" s="71"/>
      <c r="E7964" s="102">
        <v>6900</v>
      </c>
      <c r="F7964" s="102">
        <f t="shared" si="4662"/>
        <v>0</v>
      </c>
      <c r="G7964" s="102">
        <f t="shared" si="4663"/>
        <v>0</v>
      </c>
      <c r="H7964" s="690" t="s">
        <v>36</v>
      </c>
      <c r="I7964" s="71" t="s">
        <v>3320</v>
      </c>
      <c r="J7964" s="53">
        <f t="shared" si="4664"/>
        <v>0</v>
      </c>
      <c r="K7964" s="63" t="e">
        <f t="shared" si="4665"/>
        <v>#DIV/0!</v>
      </c>
      <c r="L7964" s="1212" t="s">
        <v>4415</v>
      </c>
      <c r="M7964" s="468"/>
      <c r="N7964" s="1192">
        <f t="shared" si="4669"/>
        <v>45833</v>
      </c>
      <c r="O7964" s="71" t="s">
        <v>3323</v>
      </c>
      <c r="P7964" s="103" t="str">
        <f t="shared" si="4670"/>
        <v>한특 잉크(황)</v>
      </c>
      <c r="Q7964" s="71">
        <f t="shared" si="4666"/>
        <v>0</v>
      </c>
      <c r="R7964" s="102">
        <v>6200</v>
      </c>
      <c r="S7964" s="102">
        <f t="shared" si="4667"/>
        <v>0</v>
      </c>
      <c r="T7964" s="102">
        <f t="shared" si="4668"/>
        <v>0</v>
      </c>
      <c r="U7964" s="71" t="s">
        <v>859</v>
      </c>
      <c r="V7964" s="71"/>
      <c r="W7964" s="474">
        <v>0</v>
      </c>
      <c r="X7964" s="71"/>
      <c r="Y7964" s="71"/>
    </row>
    <row r="7965" spans="1:25" ht="28.5" hidden="1" customHeight="1" x14ac:dyDescent="0.25">
      <c r="A7965" s="1145">
        <v>45833</v>
      </c>
      <c r="B7965" s="664" t="s">
        <v>1061</v>
      </c>
      <c r="C7965" s="71" t="s">
        <v>3325</v>
      </c>
      <c r="D7965" s="71"/>
      <c r="E7965" s="102">
        <v>7500</v>
      </c>
      <c r="F7965" s="102">
        <f t="shared" si="4662"/>
        <v>0</v>
      </c>
      <c r="G7965" s="102">
        <f t="shared" si="4663"/>
        <v>0</v>
      </c>
      <c r="H7965" s="690" t="s">
        <v>36</v>
      </c>
      <c r="I7965" s="71" t="s">
        <v>3320</v>
      </c>
      <c r="J7965" s="53">
        <f t="shared" si="4664"/>
        <v>0</v>
      </c>
      <c r="K7965" s="63" t="e">
        <f t="shared" si="4665"/>
        <v>#DIV/0!</v>
      </c>
      <c r="L7965" s="1212" t="s">
        <v>4415</v>
      </c>
      <c r="M7965" s="468"/>
      <c r="N7965" s="1192">
        <f t="shared" si="4669"/>
        <v>45833</v>
      </c>
      <c r="O7965" s="71" t="s">
        <v>3323</v>
      </c>
      <c r="P7965" s="103" t="str">
        <f t="shared" si="4670"/>
        <v>한특 잉크(청)</v>
      </c>
      <c r="Q7965" s="71">
        <f t="shared" si="4666"/>
        <v>0</v>
      </c>
      <c r="R7965" s="102">
        <v>6600</v>
      </c>
      <c r="S7965" s="102">
        <f t="shared" si="4667"/>
        <v>0</v>
      </c>
      <c r="T7965" s="102">
        <f t="shared" si="4668"/>
        <v>0</v>
      </c>
      <c r="U7965" s="71" t="s">
        <v>859</v>
      </c>
      <c r="V7965" s="71"/>
      <c r="W7965" s="474">
        <v>0</v>
      </c>
      <c r="X7965" s="71"/>
      <c r="Y7965" s="71"/>
    </row>
    <row r="7966" spans="1:25" ht="30" hidden="1" customHeight="1" x14ac:dyDescent="0.25">
      <c r="A7966" s="1145">
        <v>45833</v>
      </c>
      <c r="B7966" s="664" t="s">
        <v>1061</v>
      </c>
      <c r="C7966" s="71" t="s">
        <v>3326</v>
      </c>
      <c r="D7966" s="71"/>
      <c r="E7966" s="102">
        <v>6450</v>
      </c>
      <c r="F7966" s="102">
        <f t="shared" si="4662"/>
        <v>0</v>
      </c>
      <c r="G7966" s="102">
        <f t="shared" si="4663"/>
        <v>0</v>
      </c>
      <c r="H7966" s="690" t="s">
        <v>36</v>
      </c>
      <c r="I7966" s="71" t="s">
        <v>3320</v>
      </c>
      <c r="J7966" s="53">
        <f t="shared" si="4664"/>
        <v>0</v>
      </c>
      <c r="K7966" s="63" t="e">
        <f t="shared" si="4665"/>
        <v>#DIV/0!</v>
      </c>
      <c r="L7966" s="1212" t="s">
        <v>4415</v>
      </c>
      <c r="M7966" s="468"/>
      <c r="N7966" s="1192">
        <f t="shared" si="4669"/>
        <v>45833</v>
      </c>
      <c r="O7966" s="71" t="s">
        <v>3323</v>
      </c>
      <c r="P7966" s="103" t="str">
        <f t="shared" si="4670"/>
        <v>한특 잉크(먹)</v>
      </c>
      <c r="Q7966" s="71">
        <f t="shared" si="4666"/>
        <v>0</v>
      </c>
      <c r="R7966" s="102">
        <v>5700</v>
      </c>
      <c r="S7966" s="102">
        <f t="shared" si="4667"/>
        <v>0</v>
      </c>
      <c r="T7966" s="102">
        <f t="shared" si="4668"/>
        <v>0</v>
      </c>
      <c r="U7966" s="71" t="s">
        <v>859</v>
      </c>
      <c r="V7966" s="71"/>
      <c r="W7966" s="474">
        <v>0</v>
      </c>
      <c r="X7966" s="71"/>
      <c r="Y7966" s="71"/>
    </row>
    <row r="7967" spans="1:25" ht="30" hidden="1" customHeight="1" x14ac:dyDescent="0.25">
      <c r="A7967" s="1145">
        <v>45833</v>
      </c>
      <c r="B7967" s="664" t="s">
        <v>1061</v>
      </c>
      <c r="C7967" s="71" t="s">
        <v>4215</v>
      </c>
      <c r="D7967" s="71"/>
      <c r="E7967" s="102">
        <v>33500</v>
      </c>
      <c r="F7967" s="102">
        <f t="shared" si="4662"/>
        <v>0</v>
      </c>
      <c r="G7967" s="102">
        <f t="shared" si="4663"/>
        <v>0</v>
      </c>
      <c r="H7967" s="690" t="s">
        <v>36</v>
      </c>
      <c r="I7967" s="71" t="s">
        <v>3320</v>
      </c>
      <c r="J7967" s="53">
        <f t="shared" si="4664"/>
        <v>0</v>
      </c>
      <c r="K7967" s="63" t="e">
        <f t="shared" si="4665"/>
        <v>#DIV/0!</v>
      </c>
      <c r="L7967" s="1212" t="s">
        <v>4415</v>
      </c>
      <c r="M7967" s="468"/>
      <c r="N7967" s="1192">
        <f t="shared" si="4669"/>
        <v>45833</v>
      </c>
      <c r="O7967" s="71" t="s">
        <v>2459</v>
      </c>
      <c r="P7967" s="103" t="str">
        <f t="shared" si="4670"/>
        <v>별색 - 프린피아 PT-803</v>
      </c>
      <c r="Q7967" s="71">
        <f t="shared" si="4666"/>
        <v>0</v>
      </c>
      <c r="R7967" s="102">
        <v>31000</v>
      </c>
      <c r="S7967" s="102">
        <f t="shared" si="4667"/>
        <v>0</v>
      </c>
      <c r="T7967" s="102">
        <f t="shared" si="4668"/>
        <v>0</v>
      </c>
      <c r="U7967" s="71"/>
      <c r="V7967" s="71"/>
      <c r="W7967" s="474"/>
      <c r="X7967" s="71"/>
      <c r="Y7967" s="71"/>
    </row>
    <row r="7968" spans="1:25" ht="30" hidden="1" customHeight="1" x14ac:dyDescent="0.25">
      <c r="A7968" s="1145">
        <v>45833</v>
      </c>
      <c r="B7968" s="664" t="s">
        <v>1061</v>
      </c>
      <c r="C7968" s="71" t="s">
        <v>4393</v>
      </c>
      <c r="D7968" s="71"/>
      <c r="E7968" s="102">
        <v>22400</v>
      </c>
      <c r="F7968" s="102">
        <f t="shared" si="4662"/>
        <v>0</v>
      </c>
      <c r="G7968" s="102">
        <f t="shared" si="4663"/>
        <v>0</v>
      </c>
      <c r="H7968" s="690" t="s">
        <v>36</v>
      </c>
      <c r="I7968" s="71" t="s">
        <v>3320</v>
      </c>
      <c r="J7968" s="53">
        <f t="shared" si="4664"/>
        <v>0</v>
      </c>
      <c r="K7968" s="63" t="e">
        <f t="shared" si="4665"/>
        <v>#DIV/0!</v>
      </c>
      <c r="L7968" s="1212" t="s">
        <v>4415</v>
      </c>
      <c r="M7968" s="468"/>
      <c r="N7968" s="1192">
        <f t="shared" si="4669"/>
        <v>45833</v>
      </c>
      <c r="O7968" s="71" t="s">
        <v>3323</v>
      </c>
      <c r="P7968" s="103" t="str">
        <f t="shared" si="4670"/>
        <v>별색 - 프린피아 PT-810C 형광</v>
      </c>
      <c r="Q7968" s="71">
        <f t="shared" si="4666"/>
        <v>0</v>
      </c>
      <c r="R7968" s="102">
        <v>11700</v>
      </c>
      <c r="S7968" s="102">
        <f t="shared" si="4667"/>
        <v>0</v>
      </c>
      <c r="T7968" s="102">
        <f t="shared" si="4668"/>
        <v>0</v>
      </c>
      <c r="U7968" s="71"/>
      <c r="V7968" s="71"/>
      <c r="W7968" s="474"/>
      <c r="X7968" s="71"/>
      <c r="Y7968" s="71"/>
    </row>
    <row r="7969" spans="1:25" ht="30" hidden="1" customHeight="1" x14ac:dyDescent="0.25">
      <c r="A7969" s="1145">
        <v>45833</v>
      </c>
      <c r="B7969" s="664" t="s">
        <v>3307</v>
      </c>
      <c r="C7969" s="71" t="s">
        <v>3916</v>
      </c>
      <c r="D7969" s="71">
        <v>8</v>
      </c>
      <c r="E7969" s="102">
        <v>218000</v>
      </c>
      <c r="F7969" s="102">
        <f t="shared" si="4662"/>
        <v>1918400.0000000002</v>
      </c>
      <c r="G7969" s="102">
        <f t="shared" si="4663"/>
        <v>1744000</v>
      </c>
      <c r="H7969" s="690" t="s">
        <v>172</v>
      </c>
      <c r="I7969" s="71" t="s">
        <v>33</v>
      </c>
      <c r="J7969" s="53">
        <f t="shared" si="4664"/>
        <v>412000</v>
      </c>
      <c r="K7969" s="63">
        <f t="shared" si="4665"/>
        <v>0.23623853211009171</v>
      </c>
      <c r="L7969" s="1212" t="s">
        <v>4415</v>
      </c>
      <c r="M7969" s="468" t="s">
        <v>3965</v>
      </c>
      <c r="N7969" s="1192">
        <v>45682</v>
      </c>
      <c r="O7969" s="71" t="s">
        <v>662</v>
      </c>
      <c r="P7969" s="103" t="s">
        <v>3916</v>
      </c>
      <c r="Q7969" s="71">
        <f t="shared" si="4666"/>
        <v>8</v>
      </c>
      <c r="R7969" s="102">
        <v>166500</v>
      </c>
      <c r="S7969" s="102">
        <f t="shared" si="4667"/>
        <v>1465200.0000000002</v>
      </c>
      <c r="T7969" s="102">
        <f t="shared" si="4668"/>
        <v>1332000</v>
      </c>
      <c r="U7969" s="71" t="s">
        <v>859</v>
      </c>
      <c r="V7969" s="71" t="s">
        <v>728</v>
      </c>
      <c r="W7969" s="474">
        <v>464000</v>
      </c>
      <c r="X7969" s="71"/>
      <c r="Y7969" s="71"/>
    </row>
    <row r="7970" spans="1:25" ht="30" hidden="1" customHeight="1" x14ac:dyDescent="0.25">
      <c r="A7970" s="1145">
        <v>45833</v>
      </c>
      <c r="B7970" s="664" t="s">
        <v>3307</v>
      </c>
      <c r="C7970" s="71" t="s">
        <v>3820</v>
      </c>
      <c r="D7970" s="71">
        <v>1</v>
      </c>
      <c r="E7970" s="102">
        <v>2350000</v>
      </c>
      <c r="F7970" s="102">
        <f t="shared" si="4662"/>
        <v>2585000</v>
      </c>
      <c r="G7970" s="102">
        <f t="shared" si="4663"/>
        <v>2350000</v>
      </c>
      <c r="H7970" s="690" t="s">
        <v>36</v>
      </c>
      <c r="I7970" s="690" t="s">
        <v>36</v>
      </c>
      <c r="J7970" s="53">
        <f t="shared" si="4664"/>
        <v>600000</v>
      </c>
      <c r="K7970" s="63">
        <f t="shared" si="4665"/>
        <v>0.25531914893617019</v>
      </c>
      <c r="L7970" s="1212" t="s">
        <v>4415</v>
      </c>
      <c r="M7970" s="468"/>
      <c r="N7970" s="1192">
        <v>45651</v>
      </c>
      <c r="O7970" s="71" t="s">
        <v>3298</v>
      </c>
      <c r="P7970" s="103" t="s">
        <v>4298</v>
      </c>
      <c r="Q7970" s="71">
        <f t="shared" si="4666"/>
        <v>1</v>
      </c>
      <c r="R7970" s="147">
        <v>1750000</v>
      </c>
      <c r="S7970" s="102">
        <f t="shared" si="4667"/>
        <v>1925000.0000000002</v>
      </c>
      <c r="T7970" s="102">
        <f t="shared" si="4668"/>
        <v>1750000</v>
      </c>
      <c r="U7970" s="71"/>
      <c r="V7970" s="71"/>
      <c r="W7970" s="474"/>
      <c r="X7970" s="71"/>
      <c r="Y7970" s="71"/>
    </row>
    <row r="7971" spans="1:25" ht="30" customHeight="1" x14ac:dyDescent="0.25">
      <c r="A7971" s="1145">
        <v>45853</v>
      </c>
      <c r="B7971" s="664" t="s">
        <v>2352</v>
      </c>
      <c r="C7971" s="71" t="s">
        <v>3837</v>
      </c>
      <c r="D7971" s="71">
        <v>32</v>
      </c>
      <c r="E7971" s="102">
        <v>13500</v>
      </c>
      <c r="F7971" s="102">
        <f t="shared" si="4662"/>
        <v>475200.00000000006</v>
      </c>
      <c r="G7971" s="102">
        <f t="shared" si="4663"/>
        <v>432000</v>
      </c>
      <c r="H7971" s="690" t="s">
        <v>179</v>
      </c>
      <c r="I7971" s="71" t="s">
        <v>179</v>
      </c>
      <c r="J7971" s="53">
        <f t="shared" si="4664"/>
        <v>164320</v>
      </c>
      <c r="K7971" s="63">
        <f t="shared" si="4665"/>
        <v>0.3803703703703703</v>
      </c>
      <c r="L7971" s="1212" t="s">
        <v>4415</v>
      </c>
      <c r="M7971" s="468"/>
      <c r="N7971" s="1192">
        <f t="shared" ref="N7971:N7972" si="4671">A7971</f>
        <v>45853</v>
      </c>
      <c r="O7971" s="71"/>
      <c r="P7971" s="103" t="str">
        <f t="shared" ref="P7971:P7972" si="4672">(C7971)</f>
        <v>고모리 윤전 블랑켓 건식 세정포 - 4x6용</v>
      </c>
      <c r="Q7971" s="71">
        <f t="shared" si="4666"/>
        <v>32</v>
      </c>
      <c r="R7971" s="102">
        <v>8365</v>
      </c>
      <c r="S7971" s="102">
        <f t="shared" si="4667"/>
        <v>294448</v>
      </c>
      <c r="T7971" s="102">
        <f t="shared" si="4668"/>
        <v>267680</v>
      </c>
      <c r="U7971" s="71"/>
      <c r="V7971" s="71"/>
      <c r="W7971" s="474"/>
      <c r="X7971" s="71"/>
      <c r="Y7971" s="71"/>
    </row>
    <row r="7972" spans="1:25" ht="30" hidden="1" customHeight="1" x14ac:dyDescent="0.25">
      <c r="A7972" s="1145">
        <v>45869</v>
      </c>
      <c r="B7972" s="664" t="s">
        <v>1593</v>
      </c>
      <c r="C7972" s="71" t="s">
        <v>4418</v>
      </c>
      <c r="D7972" s="71">
        <v>100</v>
      </c>
      <c r="E7972" s="102">
        <v>630000</v>
      </c>
      <c r="F7972" s="102">
        <f t="shared" si="4662"/>
        <v>69300000</v>
      </c>
      <c r="G7972" s="102">
        <f t="shared" si="4663"/>
        <v>63000000</v>
      </c>
      <c r="H7972" s="690" t="s">
        <v>179</v>
      </c>
      <c r="I7972" s="71" t="s">
        <v>179</v>
      </c>
      <c r="J7972" s="53">
        <f t="shared" si="4664"/>
        <v>15000000</v>
      </c>
      <c r="K7972" s="63">
        <f t="shared" si="4665"/>
        <v>0.23809523809523808</v>
      </c>
      <c r="L7972" s="1212" t="s">
        <v>4415</v>
      </c>
      <c r="M7972" s="102"/>
      <c r="N7972" s="1192">
        <f t="shared" si="4671"/>
        <v>45869</v>
      </c>
      <c r="O7972" s="71" t="s">
        <v>4426</v>
      </c>
      <c r="P7972" s="103" t="str">
        <f t="shared" si="4672"/>
        <v>Day 블랑켓 Colorman</v>
      </c>
      <c r="Q7972" s="71">
        <f t="shared" si="4666"/>
        <v>100</v>
      </c>
      <c r="R7972" s="102">
        <v>480000</v>
      </c>
      <c r="S7972" s="102">
        <f t="shared" ref="S7972:S7981" si="4673">R7972*Q7972*1.1</f>
        <v>52800000.000000007</v>
      </c>
      <c r="T7972" s="102">
        <f t="shared" ref="T7972:T7981" si="4674">R7972*Q7972</f>
        <v>48000000</v>
      </c>
      <c r="U7972" s="71"/>
      <c r="V7972" s="71"/>
      <c r="W7972" s="474"/>
      <c r="X7972" s="71"/>
      <c r="Y7972" s="71"/>
    </row>
    <row r="7973" spans="1:25" ht="30" hidden="1" customHeight="1" x14ac:dyDescent="0.25">
      <c r="A7973" s="1145">
        <v>45861</v>
      </c>
      <c r="B7973" s="664" t="s">
        <v>2353</v>
      </c>
      <c r="C7973" s="71" t="s">
        <v>2137</v>
      </c>
      <c r="D7973" s="71">
        <v>2</v>
      </c>
      <c r="E7973" s="102">
        <v>125000</v>
      </c>
      <c r="F7973" s="102">
        <f t="shared" ref="F7973:F7981" si="4675">(E7973*D7973)*1.1</f>
        <v>275000</v>
      </c>
      <c r="G7973" s="102">
        <f t="shared" ref="G7973:G7981" si="4676">(E7973*D7973)</f>
        <v>250000</v>
      </c>
      <c r="H7973" s="690" t="s">
        <v>142</v>
      </c>
      <c r="I7973" s="71" t="s">
        <v>142</v>
      </c>
      <c r="J7973" s="53">
        <f t="shared" ref="J7973:J7981" si="4677">G7973-T7973</f>
        <v>70000</v>
      </c>
      <c r="K7973" s="63">
        <f t="shared" ref="K7973:K7981" si="4678">(J7973/(F7973/11*10))</f>
        <v>0.28000000000000003</v>
      </c>
      <c r="L7973" s="1212" t="s">
        <v>4415</v>
      </c>
      <c r="M7973" s="468"/>
      <c r="N7973" s="1192">
        <f>A7973</f>
        <v>45861</v>
      </c>
      <c r="O7973" s="71" t="s">
        <v>150</v>
      </c>
      <c r="P7973" s="103" t="str">
        <f t="shared" ref="P7973:P7981" si="4679">(C7973)</f>
        <v>잉크집 아스테이지</v>
      </c>
      <c r="Q7973" s="71">
        <f t="shared" ref="Q7973:Q7981" si="4680">D7973</f>
        <v>2</v>
      </c>
      <c r="R7973" s="102">
        <v>90000</v>
      </c>
      <c r="S7973" s="102">
        <f t="shared" si="4673"/>
        <v>198000.00000000003</v>
      </c>
      <c r="T7973" s="102">
        <f t="shared" si="4674"/>
        <v>180000</v>
      </c>
      <c r="U7973" s="71"/>
      <c r="V7973" s="71"/>
      <c r="W7973" s="474"/>
      <c r="X7973" s="71"/>
      <c r="Y7973" s="71"/>
    </row>
    <row r="7974" spans="1:25" ht="28.9" hidden="1" customHeight="1" x14ac:dyDescent="0.25">
      <c r="A7974" s="1145">
        <v>45861</v>
      </c>
      <c r="B7974" s="664" t="s">
        <v>2353</v>
      </c>
      <c r="C7974" s="71" t="s">
        <v>129</v>
      </c>
      <c r="D7974" s="71">
        <v>7</v>
      </c>
      <c r="E7974" s="102">
        <v>325000</v>
      </c>
      <c r="F7974" s="102">
        <f t="shared" si="4675"/>
        <v>2502500</v>
      </c>
      <c r="G7974" s="102">
        <f t="shared" si="4676"/>
        <v>2275000</v>
      </c>
      <c r="H7974" s="690" t="s">
        <v>142</v>
      </c>
      <c r="I7974" s="71" t="s">
        <v>179</v>
      </c>
      <c r="J7974" s="53">
        <f t="shared" si="4677"/>
        <v>636440</v>
      </c>
      <c r="K7974" s="63">
        <f t="shared" si="4678"/>
        <v>0.27975384615384613</v>
      </c>
      <c r="L7974" s="1212" t="s">
        <v>4415</v>
      </c>
      <c r="M7974" s="468" t="s">
        <v>2050</v>
      </c>
      <c r="N7974" s="1192">
        <f t="shared" ref="N7974:N7981" si="4681">A7974</f>
        <v>45861</v>
      </c>
      <c r="O7974" s="71" t="s">
        <v>149</v>
      </c>
      <c r="P7974" s="103" t="str">
        <f t="shared" si="4679"/>
        <v>세정포-XL106</v>
      </c>
      <c r="Q7974" s="71">
        <f t="shared" si="4680"/>
        <v>7</v>
      </c>
      <c r="R7974" s="102">
        <v>234080</v>
      </c>
      <c r="S7974" s="102">
        <f t="shared" si="4673"/>
        <v>1802416.0000000002</v>
      </c>
      <c r="T7974" s="102">
        <f t="shared" si="4674"/>
        <v>1638560</v>
      </c>
      <c r="U7974" s="71" t="str">
        <f>IF(J7974=W7974,"O", "X")</f>
        <v>O</v>
      </c>
      <c r="V7974" s="71"/>
      <c r="W7974" s="474">
        <f>(G7974-T7974)</f>
        <v>636440</v>
      </c>
      <c r="X7974" s="71"/>
      <c r="Y7974" s="71"/>
    </row>
    <row r="7975" spans="1:25" ht="30" hidden="1" customHeight="1" x14ac:dyDescent="0.25">
      <c r="A7975" s="1145">
        <v>45861</v>
      </c>
      <c r="B7975" s="664" t="s">
        <v>2579</v>
      </c>
      <c r="C7975" s="71" t="s">
        <v>3738</v>
      </c>
      <c r="D7975" s="71">
        <v>10</v>
      </c>
      <c r="E7975" s="102">
        <v>130000</v>
      </c>
      <c r="F7975" s="102">
        <f t="shared" si="4675"/>
        <v>1430000</v>
      </c>
      <c r="G7975" s="102">
        <f t="shared" si="4676"/>
        <v>1300000</v>
      </c>
      <c r="H7975" s="690" t="s">
        <v>142</v>
      </c>
      <c r="I7975" s="71" t="s">
        <v>142</v>
      </c>
      <c r="J7975" s="53">
        <f t="shared" si="4677"/>
        <v>339000</v>
      </c>
      <c r="K7975" s="63">
        <f t="shared" si="4678"/>
        <v>0.26076923076923075</v>
      </c>
      <c r="L7975" s="1212" t="s">
        <v>4415</v>
      </c>
      <c r="M7975" s="468"/>
      <c r="N7975" s="1192">
        <f t="shared" si="4681"/>
        <v>45861</v>
      </c>
      <c r="O7975" s="71" t="s">
        <v>147</v>
      </c>
      <c r="P7975" s="103" t="str">
        <f t="shared" si="4679"/>
        <v>블랑켓 - 고모리 용 (1040*920)</v>
      </c>
      <c r="Q7975" s="71">
        <f t="shared" si="4680"/>
        <v>10</v>
      </c>
      <c r="R7975" s="102">
        <v>96100</v>
      </c>
      <c r="S7975" s="102">
        <f t="shared" si="4673"/>
        <v>1057100</v>
      </c>
      <c r="T7975" s="102">
        <f t="shared" si="4674"/>
        <v>961000</v>
      </c>
      <c r="U7975" s="71"/>
      <c r="V7975" s="71"/>
      <c r="W7975" s="474"/>
      <c r="X7975" s="71"/>
      <c r="Y7975" s="71"/>
    </row>
    <row r="7976" spans="1:25" ht="30" hidden="1" customHeight="1" x14ac:dyDescent="0.25">
      <c r="A7976" s="1145">
        <v>45861</v>
      </c>
      <c r="B7976" s="664" t="s">
        <v>2353</v>
      </c>
      <c r="C7976" s="71" t="s">
        <v>3728</v>
      </c>
      <c r="D7976" s="71">
        <v>30</v>
      </c>
      <c r="E7976" s="102">
        <v>35000</v>
      </c>
      <c r="F7976" s="102">
        <f t="shared" si="4675"/>
        <v>1155000</v>
      </c>
      <c r="G7976" s="102">
        <f t="shared" si="4676"/>
        <v>1050000</v>
      </c>
      <c r="H7976" s="690" t="s">
        <v>142</v>
      </c>
      <c r="I7976" s="71" t="s">
        <v>142</v>
      </c>
      <c r="J7976" s="53">
        <f t="shared" si="4677"/>
        <v>-375000</v>
      </c>
      <c r="K7976" s="63">
        <f t="shared" si="4678"/>
        <v>-0.35714285714285715</v>
      </c>
      <c r="L7976" s="1212" t="s">
        <v>4415</v>
      </c>
      <c r="M7976" s="468" t="s">
        <v>3907</v>
      </c>
      <c r="N7976" s="1192">
        <f t="shared" si="4681"/>
        <v>45861</v>
      </c>
      <c r="O7976" s="71" t="s">
        <v>149</v>
      </c>
      <c r="P7976" s="103" t="str">
        <f t="shared" si="4679"/>
        <v>고모리 자동 세척액</v>
      </c>
      <c r="Q7976" s="71">
        <f t="shared" si="4680"/>
        <v>30</v>
      </c>
      <c r="R7976" s="102">
        <v>47500</v>
      </c>
      <c r="S7976" s="102">
        <f t="shared" si="4673"/>
        <v>1567500.0000000002</v>
      </c>
      <c r="T7976" s="102">
        <f t="shared" si="4674"/>
        <v>1425000</v>
      </c>
      <c r="U7976" s="71"/>
      <c r="V7976" s="71"/>
      <c r="W7976" s="474"/>
      <c r="X7976" s="71"/>
      <c r="Y7976" s="71"/>
    </row>
    <row r="7977" spans="1:25" ht="30" hidden="1" customHeight="1" x14ac:dyDescent="0.25">
      <c r="A7977" s="1145">
        <v>45861</v>
      </c>
      <c r="B7977" s="664" t="s">
        <v>2353</v>
      </c>
      <c r="C7977" s="71" t="s">
        <v>3727</v>
      </c>
      <c r="D7977" s="71">
        <v>3</v>
      </c>
      <c r="E7977" s="102">
        <v>225000</v>
      </c>
      <c r="F7977" s="102">
        <f t="shared" si="4675"/>
        <v>742500.00000000012</v>
      </c>
      <c r="G7977" s="102">
        <f t="shared" si="4676"/>
        <v>675000</v>
      </c>
      <c r="H7977" s="690" t="s">
        <v>142</v>
      </c>
      <c r="I7977" s="71" t="s">
        <v>142</v>
      </c>
      <c r="J7977" s="53">
        <f t="shared" si="4677"/>
        <v>300000</v>
      </c>
      <c r="K7977" s="63">
        <f t="shared" si="4678"/>
        <v>0.44444444444444436</v>
      </c>
      <c r="L7977" s="1212" t="s">
        <v>4415</v>
      </c>
      <c r="M7977" s="468"/>
      <c r="N7977" s="1192">
        <f t="shared" si="4681"/>
        <v>45861</v>
      </c>
      <c r="O7977" s="71" t="s">
        <v>189</v>
      </c>
      <c r="P7977" s="103" t="str">
        <f t="shared" si="4679"/>
        <v>압통 코팅제 - 퀵 프린트</v>
      </c>
      <c r="Q7977" s="71">
        <f t="shared" si="4680"/>
        <v>3</v>
      </c>
      <c r="R7977" s="102">
        <f>25000*5</f>
        <v>125000</v>
      </c>
      <c r="S7977" s="102">
        <f t="shared" si="4673"/>
        <v>412500.00000000006</v>
      </c>
      <c r="T7977" s="102">
        <f t="shared" si="4674"/>
        <v>375000</v>
      </c>
      <c r="U7977" s="71"/>
      <c r="V7977" s="71"/>
      <c r="W7977" s="474"/>
      <c r="X7977" s="71"/>
      <c r="Y7977" s="71"/>
    </row>
    <row r="7978" spans="1:25" ht="30" hidden="1" customHeight="1" x14ac:dyDescent="0.25">
      <c r="A7978" s="1145">
        <v>45839</v>
      </c>
      <c r="B7978" s="664" t="s">
        <v>2261</v>
      </c>
      <c r="C7978" s="760" t="s">
        <v>181</v>
      </c>
      <c r="D7978" s="71">
        <v>5</v>
      </c>
      <c r="E7978" s="102">
        <v>193000</v>
      </c>
      <c r="F7978" s="102">
        <f t="shared" si="4675"/>
        <v>1061500</v>
      </c>
      <c r="G7978" s="102">
        <f t="shared" si="4676"/>
        <v>965000</v>
      </c>
      <c r="H7978" s="690" t="s">
        <v>2029</v>
      </c>
      <c r="I7978" s="71" t="s">
        <v>182</v>
      </c>
      <c r="J7978" s="53">
        <f t="shared" si="4677"/>
        <v>345000</v>
      </c>
      <c r="K7978" s="63">
        <f t="shared" si="4678"/>
        <v>0.35751295336787564</v>
      </c>
      <c r="L7978" s="1212" t="s">
        <v>4415</v>
      </c>
      <c r="M7978" s="468"/>
      <c r="N7978" s="1192">
        <f t="shared" si="4681"/>
        <v>45839</v>
      </c>
      <c r="O7978" s="71" t="s">
        <v>2030</v>
      </c>
      <c r="P7978" s="103" t="str">
        <f t="shared" si="4679"/>
        <v>Fount Web 551AF</v>
      </c>
      <c r="Q7978" s="71">
        <f t="shared" si="4680"/>
        <v>5</v>
      </c>
      <c r="R7978" s="102">
        <v>124000</v>
      </c>
      <c r="S7978" s="102">
        <f t="shared" si="4673"/>
        <v>682000</v>
      </c>
      <c r="T7978" s="102">
        <f t="shared" si="4674"/>
        <v>620000</v>
      </c>
      <c r="U7978" s="71" t="str">
        <f>IF(J7978=W7978,"O", "X")</f>
        <v>X</v>
      </c>
      <c r="V7978" s="71"/>
      <c r="W7978" s="474">
        <v>640000</v>
      </c>
      <c r="X7978" s="71"/>
      <c r="Y7978" s="71"/>
    </row>
    <row r="7979" spans="1:25" ht="30" hidden="1" customHeight="1" x14ac:dyDescent="0.25">
      <c r="A7979" s="1145">
        <v>45839</v>
      </c>
      <c r="B7979" s="664" t="s">
        <v>2261</v>
      </c>
      <c r="C7979" s="71" t="s">
        <v>277</v>
      </c>
      <c r="D7979" s="71">
        <v>10</v>
      </c>
      <c r="E7979" s="102">
        <v>172000</v>
      </c>
      <c r="F7979" s="102">
        <f t="shared" si="4675"/>
        <v>1892000.0000000002</v>
      </c>
      <c r="G7979" s="102">
        <f t="shared" si="4676"/>
        <v>1720000</v>
      </c>
      <c r="H7979" s="690" t="s">
        <v>172</v>
      </c>
      <c r="I7979" s="71" t="s">
        <v>108</v>
      </c>
      <c r="J7979" s="53">
        <f t="shared" si="4677"/>
        <v>430000</v>
      </c>
      <c r="K7979" s="63">
        <f t="shared" si="4678"/>
        <v>0.24999999999999997</v>
      </c>
      <c r="L7979" s="1212" t="s">
        <v>4415</v>
      </c>
      <c r="M7979" s="468"/>
      <c r="N7979" s="1192">
        <f t="shared" si="4681"/>
        <v>45839</v>
      </c>
      <c r="O7979" s="71" t="s">
        <v>662</v>
      </c>
      <c r="P7979" s="103" t="str">
        <f t="shared" si="4679"/>
        <v>윤전용 세척제(Web 504)</v>
      </c>
      <c r="Q7979" s="71">
        <f t="shared" si="4680"/>
        <v>10</v>
      </c>
      <c r="R7979" s="102">
        <v>129000</v>
      </c>
      <c r="S7979" s="102">
        <f t="shared" si="4673"/>
        <v>1419000</v>
      </c>
      <c r="T7979" s="102">
        <f t="shared" si="4674"/>
        <v>1290000</v>
      </c>
      <c r="U7979" s="71" t="str">
        <f>IF(J7979=W7979,"O", "X")</f>
        <v>X</v>
      </c>
      <c r="V7979" s="71"/>
      <c r="W7979" s="474"/>
      <c r="X7979" s="71"/>
      <c r="Y7979" s="71"/>
    </row>
    <row r="7980" spans="1:25" ht="30" hidden="1" customHeight="1" x14ac:dyDescent="0.25">
      <c r="A7980" s="1145">
        <v>45839</v>
      </c>
      <c r="B7980" s="664" t="s">
        <v>2261</v>
      </c>
      <c r="C7980" s="71" t="s">
        <v>3299</v>
      </c>
      <c r="D7980" s="71">
        <v>10</v>
      </c>
      <c r="E7980" s="102">
        <v>52000</v>
      </c>
      <c r="F7980" s="102">
        <f t="shared" si="4675"/>
        <v>572000</v>
      </c>
      <c r="G7980" s="102">
        <f t="shared" si="4676"/>
        <v>520000</v>
      </c>
      <c r="H7980" s="690" t="s">
        <v>172</v>
      </c>
      <c r="I7980" s="71" t="s">
        <v>180</v>
      </c>
      <c r="J7980" s="53">
        <f t="shared" si="4677"/>
        <v>45000</v>
      </c>
      <c r="K7980" s="63">
        <f t="shared" si="4678"/>
        <v>8.6538461538461536E-2</v>
      </c>
      <c r="L7980" s="1212" t="s">
        <v>4415</v>
      </c>
      <c r="M7980" s="468" t="s">
        <v>3835</v>
      </c>
      <c r="N7980" s="1192">
        <f t="shared" si="4681"/>
        <v>45839</v>
      </c>
      <c r="O7980" s="71" t="s">
        <v>175</v>
      </c>
      <c r="P7980" s="103" t="str">
        <f t="shared" si="4679"/>
        <v>매엽용 세척제(Wash k11)</v>
      </c>
      <c r="Q7980" s="71">
        <f t="shared" si="4680"/>
        <v>10</v>
      </c>
      <c r="R7980" s="102">
        <v>47500</v>
      </c>
      <c r="S7980" s="102">
        <f t="shared" si="4673"/>
        <v>522500.00000000006</v>
      </c>
      <c r="T7980" s="102">
        <f t="shared" si="4674"/>
        <v>475000</v>
      </c>
      <c r="U7980" s="71" t="s">
        <v>859</v>
      </c>
      <c r="V7980" s="71"/>
      <c r="W7980" s="474"/>
      <c r="X7980" s="71"/>
      <c r="Y7980" s="71"/>
    </row>
    <row r="7981" spans="1:25" ht="30" hidden="1" customHeight="1" x14ac:dyDescent="0.25">
      <c r="A7981" s="1145">
        <v>45842</v>
      </c>
      <c r="B7981" s="664" t="s">
        <v>3289</v>
      </c>
      <c r="C7981" s="71" t="s">
        <v>2070</v>
      </c>
      <c r="D7981" s="71">
        <v>10</v>
      </c>
      <c r="E7981" s="102">
        <v>110000</v>
      </c>
      <c r="F7981" s="102">
        <f t="shared" si="4675"/>
        <v>1210000</v>
      </c>
      <c r="G7981" s="102">
        <f t="shared" si="4676"/>
        <v>1100000</v>
      </c>
      <c r="H7981" s="690" t="s">
        <v>172</v>
      </c>
      <c r="I7981" s="71" t="s">
        <v>33</v>
      </c>
      <c r="J7981" s="53">
        <f t="shared" si="4677"/>
        <v>206000</v>
      </c>
      <c r="K7981" s="63">
        <f t="shared" si="4678"/>
        <v>0.18727272727272729</v>
      </c>
      <c r="L7981" s="1212" t="s">
        <v>4415</v>
      </c>
      <c r="M7981" s="468" t="s">
        <v>4114</v>
      </c>
      <c r="N7981" s="1192">
        <f t="shared" si="4681"/>
        <v>45842</v>
      </c>
      <c r="O7981" s="71" t="s">
        <v>146</v>
      </c>
      <c r="P7981" s="103" t="str">
        <f t="shared" si="4679"/>
        <v>Blanket(1050*840)</v>
      </c>
      <c r="Q7981" s="71">
        <f t="shared" si="4680"/>
        <v>10</v>
      </c>
      <c r="R7981" s="102">
        <v>89400</v>
      </c>
      <c r="S7981" s="102">
        <f t="shared" si="4673"/>
        <v>983400.00000000012</v>
      </c>
      <c r="T7981" s="102">
        <f t="shared" si="4674"/>
        <v>894000</v>
      </c>
      <c r="U7981" s="71" t="str">
        <f>IF(J7981=W7981,"O", "X")</f>
        <v>X</v>
      </c>
      <c r="V7981" s="71"/>
      <c r="W7981" s="474">
        <v>275000</v>
      </c>
      <c r="X7981" s="71"/>
      <c r="Y7981" s="71"/>
    </row>
    <row r="7982" spans="1:25" ht="30" hidden="1" customHeight="1" x14ac:dyDescent="0.25">
      <c r="A7982" s="1145">
        <v>45846</v>
      </c>
      <c r="B7982" s="664" t="s">
        <v>2261</v>
      </c>
      <c r="C7982" s="71" t="s">
        <v>3299</v>
      </c>
      <c r="D7982" s="71">
        <v>10</v>
      </c>
      <c r="E7982" s="102">
        <v>52000</v>
      </c>
      <c r="F7982" s="102">
        <f t="shared" ref="F7982:F7983" si="4682">(E7982*D7982)*1.1</f>
        <v>572000</v>
      </c>
      <c r="G7982" s="102">
        <f t="shared" ref="G7982:G7983" si="4683">(E7982*D7982)</f>
        <v>520000</v>
      </c>
      <c r="H7982" s="690" t="s">
        <v>172</v>
      </c>
      <c r="I7982" s="71" t="s">
        <v>180</v>
      </c>
      <c r="J7982" s="53">
        <f t="shared" ref="J7982:J7983" si="4684">G7982-T7982</f>
        <v>45000</v>
      </c>
      <c r="K7982" s="63">
        <f t="shared" ref="K7982:K7983" si="4685">(J7982/(F7982/11*10))</f>
        <v>8.6538461538461536E-2</v>
      </c>
      <c r="L7982" s="1212" t="s">
        <v>4415</v>
      </c>
      <c r="M7982" s="468" t="s">
        <v>3835</v>
      </c>
      <c r="N7982" s="1192">
        <f t="shared" ref="N7982:N7983" si="4686">A7982</f>
        <v>45846</v>
      </c>
      <c r="O7982" s="71" t="s">
        <v>175</v>
      </c>
      <c r="P7982" s="103" t="str">
        <f t="shared" ref="P7982:P7983" si="4687">(C7982)</f>
        <v>매엽용 세척제(Wash k11)</v>
      </c>
      <c r="Q7982" s="71">
        <f t="shared" ref="Q7982:Q7983" si="4688">D7982</f>
        <v>10</v>
      </c>
      <c r="R7982" s="102">
        <v>47500</v>
      </c>
      <c r="S7982" s="102">
        <f t="shared" ref="S7982:S7983" si="4689">R7982*Q7982*1.1</f>
        <v>522500.00000000006</v>
      </c>
      <c r="T7982" s="102">
        <f t="shared" ref="T7982:T7983" si="4690">R7982*Q7982</f>
        <v>475000</v>
      </c>
      <c r="U7982" s="71" t="s">
        <v>859</v>
      </c>
      <c r="V7982" s="71"/>
      <c r="W7982" s="474"/>
      <c r="X7982" s="71"/>
      <c r="Y7982" s="71"/>
    </row>
    <row r="7983" spans="1:25" ht="30" hidden="1" customHeight="1" x14ac:dyDescent="0.25">
      <c r="A7983" s="1145">
        <v>45854</v>
      </c>
      <c r="B7983" s="664" t="s">
        <v>2261</v>
      </c>
      <c r="C7983" s="760" t="s">
        <v>181</v>
      </c>
      <c r="D7983" s="71">
        <v>5</v>
      </c>
      <c r="E7983" s="102">
        <v>193000</v>
      </c>
      <c r="F7983" s="102">
        <f t="shared" si="4682"/>
        <v>1061500</v>
      </c>
      <c r="G7983" s="102">
        <f t="shared" si="4683"/>
        <v>965000</v>
      </c>
      <c r="H7983" s="690" t="s">
        <v>2029</v>
      </c>
      <c r="I7983" s="71" t="s">
        <v>182</v>
      </c>
      <c r="J7983" s="53">
        <f t="shared" si="4684"/>
        <v>345000</v>
      </c>
      <c r="K7983" s="63">
        <f t="shared" si="4685"/>
        <v>0.35751295336787564</v>
      </c>
      <c r="L7983" s="1212" t="s">
        <v>4415</v>
      </c>
      <c r="M7983" s="468"/>
      <c r="N7983" s="1192">
        <f t="shared" si="4686"/>
        <v>45854</v>
      </c>
      <c r="O7983" s="71" t="s">
        <v>2030</v>
      </c>
      <c r="P7983" s="103" t="str">
        <f t="shared" si="4687"/>
        <v>Fount Web 551AF</v>
      </c>
      <c r="Q7983" s="71">
        <f t="shared" si="4688"/>
        <v>5</v>
      </c>
      <c r="R7983" s="102">
        <v>124000</v>
      </c>
      <c r="S7983" s="102">
        <f t="shared" si="4689"/>
        <v>682000</v>
      </c>
      <c r="T7983" s="102">
        <f t="shared" si="4690"/>
        <v>620000</v>
      </c>
      <c r="U7983" s="71" t="str">
        <f>IF(J7983=W7983,"O", "X")</f>
        <v>X</v>
      </c>
      <c r="V7983" s="71"/>
      <c r="W7983" s="474">
        <v>640000</v>
      </c>
      <c r="X7983" s="71"/>
      <c r="Y7983" s="71"/>
    </row>
    <row r="7984" spans="1:25" ht="30" hidden="1" customHeight="1" x14ac:dyDescent="0.25">
      <c r="A7984" s="1145">
        <v>45854</v>
      </c>
      <c r="B7984" s="664" t="s">
        <v>2261</v>
      </c>
      <c r="C7984" s="71" t="s">
        <v>3299</v>
      </c>
      <c r="D7984" s="71">
        <v>10</v>
      </c>
      <c r="E7984" s="102">
        <v>52000</v>
      </c>
      <c r="F7984" s="102">
        <f t="shared" ref="F7984:F7987" si="4691">(E7984*D7984)*1.1</f>
        <v>572000</v>
      </c>
      <c r="G7984" s="102">
        <f t="shared" ref="G7984:G7987" si="4692">(E7984*D7984)</f>
        <v>520000</v>
      </c>
      <c r="H7984" s="690" t="s">
        <v>172</v>
      </c>
      <c r="I7984" s="71" t="s">
        <v>180</v>
      </c>
      <c r="J7984" s="53">
        <f t="shared" ref="J7984:J7987" si="4693">G7984-T7984</f>
        <v>45000</v>
      </c>
      <c r="K7984" s="63">
        <f t="shared" ref="K7984:K7987" si="4694">(J7984/(F7984/11*10))</f>
        <v>8.6538461538461536E-2</v>
      </c>
      <c r="L7984" s="1212" t="s">
        <v>4415</v>
      </c>
      <c r="M7984" s="468" t="s">
        <v>3835</v>
      </c>
      <c r="N7984" s="1192">
        <f t="shared" ref="N7984:N7987" si="4695">A7984</f>
        <v>45854</v>
      </c>
      <c r="O7984" s="71" t="s">
        <v>175</v>
      </c>
      <c r="P7984" s="103" t="str">
        <f t="shared" ref="P7984:P7987" si="4696">(C7984)</f>
        <v>매엽용 세척제(Wash k11)</v>
      </c>
      <c r="Q7984" s="71">
        <f t="shared" ref="Q7984:Q7987" si="4697">D7984</f>
        <v>10</v>
      </c>
      <c r="R7984" s="102">
        <v>47500</v>
      </c>
      <c r="S7984" s="102">
        <f t="shared" ref="S7984:S7987" si="4698">R7984*Q7984*1.1</f>
        <v>522500.00000000006</v>
      </c>
      <c r="T7984" s="102">
        <f t="shared" ref="T7984:T7987" si="4699">R7984*Q7984</f>
        <v>475000</v>
      </c>
      <c r="U7984" s="71" t="s">
        <v>859</v>
      </c>
      <c r="V7984" s="71"/>
      <c r="W7984" s="474"/>
      <c r="X7984" s="71"/>
      <c r="Y7984" s="71"/>
    </row>
    <row r="7985" spans="1:25" ht="30" hidden="1" customHeight="1" x14ac:dyDescent="0.25">
      <c r="A7985" s="1145">
        <v>45860</v>
      </c>
      <c r="B7985" s="664" t="s">
        <v>2261</v>
      </c>
      <c r="C7985" s="71" t="s">
        <v>3299</v>
      </c>
      <c r="D7985" s="71">
        <v>10</v>
      </c>
      <c r="E7985" s="102">
        <v>52000</v>
      </c>
      <c r="F7985" s="102">
        <f t="shared" si="4691"/>
        <v>572000</v>
      </c>
      <c r="G7985" s="102">
        <f t="shared" si="4692"/>
        <v>520000</v>
      </c>
      <c r="H7985" s="690" t="s">
        <v>172</v>
      </c>
      <c r="I7985" s="71" t="s">
        <v>180</v>
      </c>
      <c r="J7985" s="53">
        <f t="shared" si="4693"/>
        <v>45000</v>
      </c>
      <c r="K7985" s="63">
        <f t="shared" si="4694"/>
        <v>8.6538461538461536E-2</v>
      </c>
      <c r="L7985" s="1212" t="s">
        <v>4415</v>
      </c>
      <c r="M7985" s="468" t="s">
        <v>3835</v>
      </c>
      <c r="N7985" s="1192">
        <f t="shared" si="4695"/>
        <v>45860</v>
      </c>
      <c r="O7985" s="71" t="s">
        <v>175</v>
      </c>
      <c r="P7985" s="103" t="str">
        <f t="shared" si="4696"/>
        <v>매엽용 세척제(Wash k11)</v>
      </c>
      <c r="Q7985" s="71">
        <f t="shared" si="4697"/>
        <v>10</v>
      </c>
      <c r="R7985" s="102">
        <v>47500</v>
      </c>
      <c r="S7985" s="102">
        <f t="shared" si="4698"/>
        <v>522500.00000000006</v>
      </c>
      <c r="T7985" s="102">
        <f t="shared" si="4699"/>
        <v>475000</v>
      </c>
      <c r="U7985" s="71" t="s">
        <v>859</v>
      </c>
      <c r="V7985" s="71"/>
      <c r="W7985" s="474"/>
      <c r="X7985" s="71"/>
      <c r="Y7985" s="71"/>
    </row>
    <row r="7986" spans="1:25" ht="30" hidden="1" customHeight="1" x14ac:dyDescent="0.25">
      <c r="A7986" s="1145">
        <v>45863</v>
      </c>
      <c r="B7986" s="664" t="s">
        <v>2261</v>
      </c>
      <c r="C7986" s="71" t="s">
        <v>277</v>
      </c>
      <c r="D7986" s="71">
        <v>10</v>
      </c>
      <c r="E7986" s="102">
        <v>172000</v>
      </c>
      <c r="F7986" s="102">
        <f t="shared" si="4691"/>
        <v>1892000.0000000002</v>
      </c>
      <c r="G7986" s="102">
        <f t="shared" si="4692"/>
        <v>1720000</v>
      </c>
      <c r="H7986" s="690" t="s">
        <v>172</v>
      </c>
      <c r="I7986" s="71" t="s">
        <v>108</v>
      </c>
      <c r="J7986" s="53">
        <f t="shared" si="4693"/>
        <v>430000</v>
      </c>
      <c r="K7986" s="63">
        <f t="shared" si="4694"/>
        <v>0.24999999999999997</v>
      </c>
      <c r="L7986" s="1212" t="s">
        <v>4415</v>
      </c>
      <c r="M7986" s="468"/>
      <c r="N7986" s="1192">
        <f t="shared" si="4695"/>
        <v>45863</v>
      </c>
      <c r="O7986" s="71" t="s">
        <v>662</v>
      </c>
      <c r="P7986" s="103" t="str">
        <f t="shared" si="4696"/>
        <v>윤전용 세척제(Web 504)</v>
      </c>
      <c r="Q7986" s="71">
        <f t="shared" si="4697"/>
        <v>10</v>
      </c>
      <c r="R7986" s="102">
        <v>129000</v>
      </c>
      <c r="S7986" s="102">
        <f t="shared" si="4698"/>
        <v>1419000</v>
      </c>
      <c r="T7986" s="102">
        <f t="shared" si="4699"/>
        <v>1290000</v>
      </c>
      <c r="U7986" s="71" t="str">
        <f>IF(J7986=W7986,"O", "X")</f>
        <v>X</v>
      </c>
      <c r="V7986" s="71"/>
      <c r="W7986" s="474"/>
      <c r="X7986" s="71"/>
      <c r="Y7986" s="71"/>
    </row>
    <row r="7987" spans="1:25" ht="30" hidden="1" customHeight="1" x14ac:dyDescent="0.25">
      <c r="A7987" s="1145">
        <v>45867</v>
      </c>
      <c r="B7987" s="664" t="s">
        <v>2261</v>
      </c>
      <c r="C7987" s="760" t="s">
        <v>181</v>
      </c>
      <c r="D7987" s="71">
        <v>5</v>
      </c>
      <c r="E7987" s="102">
        <v>193000</v>
      </c>
      <c r="F7987" s="102">
        <f t="shared" si="4691"/>
        <v>1061500</v>
      </c>
      <c r="G7987" s="102">
        <f t="shared" si="4692"/>
        <v>965000</v>
      </c>
      <c r="H7987" s="690" t="s">
        <v>2029</v>
      </c>
      <c r="I7987" s="71" t="s">
        <v>182</v>
      </c>
      <c r="J7987" s="53">
        <f t="shared" si="4693"/>
        <v>345000</v>
      </c>
      <c r="K7987" s="63">
        <f t="shared" si="4694"/>
        <v>0.35751295336787564</v>
      </c>
      <c r="L7987" s="1212" t="s">
        <v>4415</v>
      </c>
      <c r="M7987" s="468"/>
      <c r="N7987" s="1192">
        <f t="shared" si="4695"/>
        <v>45867</v>
      </c>
      <c r="O7987" s="71" t="s">
        <v>2030</v>
      </c>
      <c r="P7987" s="103" t="str">
        <f t="shared" si="4696"/>
        <v>Fount Web 551AF</v>
      </c>
      <c r="Q7987" s="71">
        <f t="shared" si="4697"/>
        <v>5</v>
      </c>
      <c r="R7987" s="102">
        <v>124000</v>
      </c>
      <c r="S7987" s="102">
        <f t="shared" si="4698"/>
        <v>682000</v>
      </c>
      <c r="T7987" s="102">
        <f t="shared" si="4699"/>
        <v>620000</v>
      </c>
      <c r="U7987" s="71" t="str">
        <f>IF(J7987=W7987,"O", "X")</f>
        <v>X</v>
      </c>
      <c r="V7987" s="71"/>
      <c r="W7987" s="474">
        <v>640000</v>
      </c>
      <c r="X7987" s="71"/>
      <c r="Y7987" s="71"/>
    </row>
    <row r="7988" spans="1:25" ht="30" hidden="1" customHeight="1" x14ac:dyDescent="0.25">
      <c r="A7988" s="1145">
        <v>45867</v>
      </c>
      <c r="B7988" s="664" t="s">
        <v>2261</v>
      </c>
      <c r="C7988" s="71" t="s">
        <v>3299</v>
      </c>
      <c r="D7988" s="71">
        <v>10</v>
      </c>
      <c r="E7988" s="102">
        <v>52000</v>
      </c>
      <c r="F7988" s="102">
        <f t="shared" ref="F7988:F7990" si="4700">(E7988*D7988)*1.1</f>
        <v>572000</v>
      </c>
      <c r="G7988" s="102">
        <f t="shared" ref="G7988:G7990" si="4701">(E7988*D7988)</f>
        <v>520000</v>
      </c>
      <c r="H7988" s="690" t="s">
        <v>172</v>
      </c>
      <c r="I7988" s="71" t="s">
        <v>180</v>
      </c>
      <c r="J7988" s="53">
        <f t="shared" ref="J7988:J7990" si="4702">G7988-T7988</f>
        <v>45000</v>
      </c>
      <c r="K7988" s="63">
        <f t="shared" ref="K7988:K7990" si="4703">(J7988/(F7988/11*10))</f>
        <v>8.6538461538461536E-2</v>
      </c>
      <c r="L7988" s="1212" t="s">
        <v>4415</v>
      </c>
      <c r="M7988" s="468" t="s">
        <v>3835</v>
      </c>
      <c r="N7988" s="1192">
        <f t="shared" ref="N7988:N7990" si="4704">A7988</f>
        <v>45867</v>
      </c>
      <c r="O7988" s="71" t="s">
        <v>175</v>
      </c>
      <c r="P7988" s="103" t="str">
        <f t="shared" ref="P7988:P7998" si="4705">(C7988)</f>
        <v>매엽용 세척제(Wash k11)</v>
      </c>
      <c r="Q7988" s="71">
        <f t="shared" ref="Q7988:Q7998" si="4706">D7988</f>
        <v>10</v>
      </c>
      <c r="R7988" s="102">
        <v>47500</v>
      </c>
      <c r="S7988" s="102">
        <f t="shared" ref="S7988:S7989" si="4707">R7988*Q7988*1.1</f>
        <v>522500.00000000006</v>
      </c>
      <c r="T7988" s="102">
        <f t="shared" ref="T7988:T7989" si="4708">R7988*Q7988</f>
        <v>475000</v>
      </c>
      <c r="U7988" s="71" t="s">
        <v>859</v>
      </c>
      <c r="V7988" s="71"/>
      <c r="W7988" s="474"/>
      <c r="X7988" s="71"/>
      <c r="Y7988" s="71"/>
    </row>
    <row r="7989" spans="1:25" s="209" customFormat="1" ht="29.45" hidden="1" customHeight="1" x14ac:dyDescent="0.2">
      <c r="A7989" s="1145">
        <v>45853</v>
      </c>
      <c r="B7989" s="664" t="s">
        <v>4059</v>
      </c>
      <c r="C7989" s="71" t="s">
        <v>4061</v>
      </c>
      <c r="D7989" s="71">
        <v>10</v>
      </c>
      <c r="E7989" s="102">
        <v>130000</v>
      </c>
      <c r="F7989" s="102">
        <f t="shared" si="4700"/>
        <v>1430000</v>
      </c>
      <c r="G7989" s="102">
        <f t="shared" si="4701"/>
        <v>1300000</v>
      </c>
      <c r="H7989" s="165" t="s">
        <v>172</v>
      </c>
      <c r="I7989" s="71" t="s">
        <v>184</v>
      </c>
      <c r="J7989" s="53">
        <f t="shared" si="4702"/>
        <v>180000</v>
      </c>
      <c r="K7989" s="63">
        <f t="shared" si="4703"/>
        <v>0.13846153846153847</v>
      </c>
      <c r="L7989" s="1212" t="s">
        <v>4415</v>
      </c>
      <c r="M7989" s="468"/>
      <c r="N7989" s="1192">
        <f t="shared" si="4704"/>
        <v>45853</v>
      </c>
      <c r="O7989" s="71" t="s">
        <v>189</v>
      </c>
      <c r="P7989" s="103" t="str">
        <f t="shared" si="4705"/>
        <v>M600 Blanket(990*725)</v>
      </c>
      <c r="Q7989" s="71">
        <f t="shared" si="4706"/>
        <v>10</v>
      </c>
      <c r="R7989" s="102">
        <v>112000</v>
      </c>
      <c r="S7989" s="102">
        <f t="shared" si="4707"/>
        <v>1232000</v>
      </c>
      <c r="T7989" s="102">
        <f t="shared" si="4708"/>
        <v>1120000</v>
      </c>
      <c r="U7989" s="71" t="str">
        <f>IF(J7989=W7989,"O", "X")</f>
        <v>X</v>
      </c>
      <c r="V7989" s="71"/>
      <c r="W7989" s="474">
        <v>80000</v>
      </c>
      <c r="X7989" s="71"/>
      <c r="Y7989" s="71"/>
    </row>
    <row r="7990" spans="1:25" ht="30" hidden="1" customHeight="1" x14ac:dyDescent="0.25">
      <c r="A7990" s="1145">
        <v>45834</v>
      </c>
      <c r="B7990" s="664" t="s">
        <v>442</v>
      </c>
      <c r="C7990" s="71" t="s">
        <v>4419</v>
      </c>
      <c r="D7990" s="71">
        <v>3</v>
      </c>
      <c r="E7990" s="102">
        <v>99800</v>
      </c>
      <c r="F7990" s="102">
        <f t="shared" si="4700"/>
        <v>329340</v>
      </c>
      <c r="G7990" s="102">
        <f t="shared" si="4701"/>
        <v>299400</v>
      </c>
      <c r="H7990" s="690" t="s">
        <v>172</v>
      </c>
      <c r="I7990" s="71" t="s">
        <v>3295</v>
      </c>
      <c r="J7990" s="53">
        <f t="shared" si="4702"/>
        <v>35400</v>
      </c>
      <c r="K7990" s="63">
        <f t="shared" si="4703"/>
        <v>0.11823647294589178</v>
      </c>
      <c r="L7990" s="1212" t="s">
        <v>4415</v>
      </c>
      <c r="M7990" s="468"/>
      <c r="N7990" s="1192">
        <f t="shared" si="4704"/>
        <v>45834</v>
      </c>
      <c r="O7990" s="71" t="s">
        <v>145</v>
      </c>
      <c r="P7990" s="103" t="str">
        <f t="shared" si="4705"/>
        <v>AGFA CTP 부품 Bearing, Petp, Roller Lower</v>
      </c>
      <c r="Q7990" s="71">
        <f t="shared" si="4706"/>
        <v>3</v>
      </c>
      <c r="R7990" s="147">
        <v>88000</v>
      </c>
      <c r="S7990" s="102">
        <f t="shared" ref="S7990:S8047" si="4709">R7990*Q7990*1.1</f>
        <v>290400</v>
      </c>
      <c r="T7990" s="102">
        <f t="shared" ref="T7990:T8047" si="4710">R7990*Q7990</f>
        <v>264000</v>
      </c>
      <c r="U7990" s="71"/>
      <c r="V7990" s="71"/>
      <c r="W7990" s="474"/>
      <c r="X7990" s="71"/>
      <c r="Y7990" s="71"/>
    </row>
    <row r="7991" spans="1:25" ht="30" hidden="1" customHeight="1" x14ac:dyDescent="0.25">
      <c r="A7991" s="1145">
        <v>45842</v>
      </c>
      <c r="B7991" s="664" t="s">
        <v>442</v>
      </c>
      <c r="C7991" s="71" t="s">
        <v>3299</v>
      </c>
      <c r="D7991" s="71">
        <v>20</v>
      </c>
      <c r="E7991" s="102">
        <v>69000</v>
      </c>
      <c r="F7991" s="102">
        <f t="shared" ref="F7991:F7998" si="4711">(E7991*D7991)*1.1</f>
        <v>1518000.0000000002</v>
      </c>
      <c r="G7991" s="102">
        <f t="shared" ref="G7991:G7998" si="4712">(E7991*D7991)</f>
        <v>1380000</v>
      </c>
      <c r="H7991" s="690" t="s">
        <v>172</v>
      </c>
      <c r="I7991" s="71" t="s">
        <v>180</v>
      </c>
      <c r="J7991" s="53">
        <f t="shared" ref="J7991:J7998" si="4713">G7991-T7991</f>
        <v>430000</v>
      </c>
      <c r="K7991" s="63">
        <f t="shared" ref="K7991:K7998" si="4714">(J7991/(F7991/11*10))</f>
        <v>0.31159420289855067</v>
      </c>
      <c r="L7991" s="1212" t="s">
        <v>4415</v>
      </c>
      <c r="M7991" s="468" t="s">
        <v>3304</v>
      </c>
      <c r="N7991" s="1192">
        <f t="shared" ref="N7991:N7998" si="4715">A7991</f>
        <v>45842</v>
      </c>
      <c r="O7991" s="71" t="s">
        <v>175</v>
      </c>
      <c r="P7991" s="103" t="str">
        <f t="shared" si="4705"/>
        <v>매엽용 세척제(Wash k11)</v>
      </c>
      <c r="Q7991" s="71">
        <f t="shared" si="4706"/>
        <v>20</v>
      </c>
      <c r="R7991" s="102">
        <v>47500</v>
      </c>
      <c r="S7991" s="102">
        <f t="shared" si="4709"/>
        <v>1045000.0000000001</v>
      </c>
      <c r="T7991" s="102">
        <f t="shared" si="4710"/>
        <v>950000</v>
      </c>
      <c r="U7991" s="71" t="s">
        <v>859</v>
      </c>
      <c r="V7991" s="71"/>
      <c r="W7991" s="474"/>
      <c r="X7991" s="71"/>
      <c r="Y7991" s="71"/>
    </row>
    <row r="7992" spans="1:25" s="209" customFormat="1" ht="30" hidden="1" customHeight="1" x14ac:dyDescent="0.25">
      <c r="A7992" s="1145">
        <v>45848</v>
      </c>
      <c r="B7992" s="664" t="s">
        <v>442</v>
      </c>
      <c r="C7992" s="71" t="s">
        <v>3833</v>
      </c>
      <c r="D7992" s="71">
        <v>1000</v>
      </c>
      <c r="E7992" s="102">
        <v>3850</v>
      </c>
      <c r="F7992" s="102">
        <f t="shared" si="4711"/>
        <v>4235000</v>
      </c>
      <c r="G7992" s="102">
        <f t="shared" si="4712"/>
        <v>3850000</v>
      </c>
      <c r="H7992" s="690" t="s">
        <v>2029</v>
      </c>
      <c r="I7992" s="71" t="s">
        <v>2230</v>
      </c>
      <c r="J7992" s="53">
        <f t="shared" si="4713"/>
        <v>400000</v>
      </c>
      <c r="K7992" s="63">
        <f t="shared" si="4714"/>
        <v>0.1038961038961039</v>
      </c>
      <c r="L7992" s="1212" t="s">
        <v>4415</v>
      </c>
      <c r="M7992" s="468"/>
      <c r="N7992" s="1192">
        <f t="shared" si="4715"/>
        <v>45848</v>
      </c>
      <c r="O7992" s="71" t="s">
        <v>2030</v>
      </c>
      <c r="P7992" s="103" t="str">
        <f t="shared" si="4705"/>
        <v>CTP 판 1030*790</v>
      </c>
      <c r="Q7992" s="71">
        <f t="shared" si="4706"/>
        <v>1000</v>
      </c>
      <c r="R7992" s="102">
        <v>3450</v>
      </c>
      <c r="S7992" s="102">
        <f t="shared" si="4709"/>
        <v>3795000.0000000005</v>
      </c>
      <c r="T7992" s="102">
        <f t="shared" si="4710"/>
        <v>3450000</v>
      </c>
      <c r="U7992" s="71"/>
      <c r="V7992" s="71"/>
      <c r="W7992" s="474"/>
      <c r="X7992" s="71"/>
      <c r="Y7992" s="71"/>
    </row>
    <row r="7993" spans="1:25" ht="30" hidden="1" customHeight="1" x14ac:dyDescent="0.25">
      <c r="A7993" s="1145">
        <v>45862</v>
      </c>
      <c r="B7993" s="664" t="s">
        <v>442</v>
      </c>
      <c r="C7993" s="71" t="s">
        <v>206</v>
      </c>
      <c r="D7993" s="71">
        <v>2</v>
      </c>
      <c r="E7993" s="102">
        <v>725840</v>
      </c>
      <c r="F7993" s="102">
        <f t="shared" si="4711"/>
        <v>1596848.0000000002</v>
      </c>
      <c r="G7993" s="102">
        <f t="shared" si="4712"/>
        <v>1451680</v>
      </c>
      <c r="H7993" s="690" t="s">
        <v>2029</v>
      </c>
      <c r="I7993" s="71" t="s">
        <v>195</v>
      </c>
      <c r="J7993" s="53">
        <f t="shared" si="4713"/>
        <v>573260</v>
      </c>
      <c r="K7993" s="63">
        <f t="shared" si="4714"/>
        <v>0.39489419155736794</v>
      </c>
      <c r="L7993" s="1212" t="s">
        <v>4415</v>
      </c>
      <c r="M7993" s="468"/>
      <c r="N7993" s="1192">
        <f t="shared" si="4715"/>
        <v>45862</v>
      </c>
      <c r="O7993" s="71" t="s">
        <v>4245</v>
      </c>
      <c r="P7993" s="103" t="str">
        <f t="shared" si="4705"/>
        <v>Agfa Film(24inch)</v>
      </c>
      <c r="Q7993" s="71">
        <f t="shared" si="4706"/>
        <v>2</v>
      </c>
      <c r="R7993" s="102">
        <v>439210</v>
      </c>
      <c r="S7993" s="102">
        <f t="shared" si="4709"/>
        <v>966262.00000000012</v>
      </c>
      <c r="T7993" s="102">
        <f t="shared" si="4710"/>
        <v>878420</v>
      </c>
      <c r="U7993" s="71" t="s">
        <v>859</v>
      </c>
      <c r="V7993" s="71"/>
      <c r="W7993" s="474">
        <v>144640</v>
      </c>
      <c r="X7993" s="71"/>
      <c r="Y7993" s="71"/>
    </row>
    <row r="7994" spans="1:25" ht="30" hidden="1" customHeight="1" x14ac:dyDescent="0.25">
      <c r="A7994" s="1145">
        <v>45862</v>
      </c>
      <c r="B7994" s="664" t="s">
        <v>442</v>
      </c>
      <c r="C7994" s="71" t="s">
        <v>207</v>
      </c>
      <c r="D7994" s="71">
        <v>2</v>
      </c>
      <c r="E7994" s="102">
        <v>894080</v>
      </c>
      <c r="F7994" s="102">
        <f t="shared" si="4711"/>
        <v>1966976.0000000002</v>
      </c>
      <c r="G7994" s="102">
        <f t="shared" si="4712"/>
        <v>1788160</v>
      </c>
      <c r="H7994" s="690" t="s">
        <v>2029</v>
      </c>
      <c r="I7994" s="71" t="s">
        <v>195</v>
      </c>
      <c r="J7994" s="53">
        <f t="shared" si="4713"/>
        <v>790120</v>
      </c>
      <c r="K7994" s="63">
        <f t="shared" si="4714"/>
        <v>0.44186202576950601</v>
      </c>
      <c r="L7994" s="1212" t="s">
        <v>4415</v>
      </c>
      <c r="M7994" s="468"/>
      <c r="N7994" s="1192">
        <f t="shared" si="4715"/>
        <v>45862</v>
      </c>
      <c r="O7994" s="71" t="s">
        <v>4245</v>
      </c>
      <c r="P7994" s="103" t="str">
        <f t="shared" si="4705"/>
        <v>Agfa Film(28inch)</v>
      </c>
      <c r="Q7994" s="71">
        <f t="shared" si="4706"/>
        <v>2</v>
      </c>
      <c r="R7994" s="102">
        <v>499020</v>
      </c>
      <c r="S7994" s="102">
        <f t="shared" si="4709"/>
        <v>1097844</v>
      </c>
      <c r="T7994" s="102">
        <f t="shared" si="4710"/>
        <v>998040</v>
      </c>
      <c r="U7994" s="71" t="s">
        <v>859</v>
      </c>
      <c r="V7994" s="71"/>
      <c r="W7994" s="474">
        <v>228480</v>
      </c>
      <c r="X7994" s="71"/>
      <c r="Y7994" s="71"/>
    </row>
    <row r="7995" spans="1:25" ht="30" hidden="1" customHeight="1" x14ac:dyDescent="0.25">
      <c r="A7995" s="1145">
        <v>45862</v>
      </c>
      <c r="B7995" s="664" t="s">
        <v>442</v>
      </c>
      <c r="C7995" s="71" t="s">
        <v>208</v>
      </c>
      <c r="D7995" s="71">
        <v>2</v>
      </c>
      <c r="E7995" s="102">
        <v>999840</v>
      </c>
      <c r="F7995" s="102">
        <f t="shared" si="4711"/>
        <v>2199648</v>
      </c>
      <c r="G7995" s="102">
        <f t="shared" si="4712"/>
        <v>1999680</v>
      </c>
      <c r="H7995" s="690" t="s">
        <v>2029</v>
      </c>
      <c r="I7995" s="71" t="s">
        <v>195</v>
      </c>
      <c r="J7995" s="53">
        <f t="shared" si="4713"/>
        <v>792660</v>
      </c>
      <c r="K7995" s="63">
        <f t="shared" si="4714"/>
        <v>0.3963934229476716</v>
      </c>
      <c r="L7995" s="1212" t="s">
        <v>4415</v>
      </c>
      <c r="M7995" s="468"/>
      <c r="N7995" s="1192">
        <f t="shared" si="4715"/>
        <v>45862</v>
      </c>
      <c r="O7995" s="71" t="s">
        <v>4245</v>
      </c>
      <c r="P7995" s="103" t="str">
        <f t="shared" si="4705"/>
        <v>Agfa Film(32inch)</v>
      </c>
      <c r="Q7995" s="71">
        <f t="shared" si="4706"/>
        <v>2</v>
      </c>
      <c r="R7995" s="102">
        <v>603510</v>
      </c>
      <c r="S7995" s="102">
        <f t="shared" si="4709"/>
        <v>1327722</v>
      </c>
      <c r="T7995" s="102">
        <f t="shared" si="4710"/>
        <v>1207020</v>
      </c>
      <c r="U7995" s="71" t="s">
        <v>859</v>
      </c>
      <c r="V7995" s="71"/>
      <c r="W7995" s="474">
        <v>201820</v>
      </c>
      <c r="X7995" s="71"/>
      <c r="Y7995" s="71"/>
    </row>
    <row r="7996" spans="1:25" ht="30" hidden="1" customHeight="1" x14ac:dyDescent="0.25">
      <c r="A7996" s="1145">
        <v>45842</v>
      </c>
      <c r="B7996" s="664" t="s">
        <v>442</v>
      </c>
      <c r="C7996" s="71" t="s">
        <v>4255</v>
      </c>
      <c r="D7996" s="71">
        <v>1</v>
      </c>
      <c r="E7996" s="102">
        <v>300000</v>
      </c>
      <c r="F7996" s="102">
        <f t="shared" si="4711"/>
        <v>330000</v>
      </c>
      <c r="G7996" s="102">
        <f t="shared" si="4712"/>
        <v>300000</v>
      </c>
      <c r="H7996" s="690" t="s">
        <v>172</v>
      </c>
      <c r="I7996" s="71" t="s">
        <v>3295</v>
      </c>
      <c r="J7996" s="53">
        <f t="shared" si="4713"/>
        <v>50000</v>
      </c>
      <c r="K7996" s="63">
        <f t="shared" si="4714"/>
        <v>0.16666666666666666</v>
      </c>
      <c r="L7996" s="1212" t="s">
        <v>4415</v>
      </c>
      <c r="M7996" s="102"/>
      <c r="N7996" s="1192">
        <f t="shared" si="4715"/>
        <v>45842</v>
      </c>
      <c r="O7996" s="71" t="s">
        <v>4265</v>
      </c>
      <c r="P7996" s="103" t="str">
        <f t="shared" si="4705"/>
        <v>소부기 출장비 및 기술료</v>
      </c>
      <c r="Q7996" s="71">
        <f t="shared" si="4706"/>
        <v>1</v>
      </c>
      <c r="R7996" s="102">
        <v>250000</v>
      </c>
      <c r="S7996" s="102">
        <f t="shared" si="4709"/>
        <v>275000</v>
      </c>
      <c r="T7996" s="102">
        <f t="shared" si="4710"/>
        <v>250000</v>
      </c>
      <c r="U7996" s="71"/>
      <c r="V7996" s="71"/>
      <c r="W7996" s="474"/>
      <c r="X7996" s="71"/>
      <c r="Y7996" s="71"/>
    </row>
    <row r="7997" spans="1:25" ht="30" hidden="1" customHeight="1" x14ac:dyDescent="0.25">
      <c r="A7997" s="1145">
        <v>45842</v>
      </c>
      <c r="B7997" s="664" t="s">
        <v>442</v>
      </c>
      <c r="C7997" s="71" t="s">
        <v>4420</v>
      </c>
      <c r="D7997" s="71">
        <v>1</v>
      </c>
      <c r="E7997" s="102">
        <v>250000</v>
      </c>
      <c r="F7997" s="102">
        <f t="shared" si="4711"/>
        <v>275000</v>
      </c>
      <c r="G7997" s="102">
        <f t="shared" si="4712"/>
        <v>250000</v>
      </c>
      <c r="H7997" s="690" t="s">
        <v>172</v>
      </c>
      <c r="I7997" s="71" t="s">
        <v>3295</v>
      </c>
      <c r="J7997" s="53">
        <f t="shared" si="4713"/>
        <v>50000</v>
      </c>
      <c r="K7997" s="63">
        <f t="shared" si="4714"/>
        <v>0.2</v>
      </c>
      <c r="L7997" s="1212" t="s">
        <v>4415</v>
      </c>
      <c r="M7997" s="468"/>
      <c r="N7997" s="1192">
        <f t="shared" si="4715"/>
        <v>45842</v>
      </c>
      <c r="O7997" s="71" t="s">
        <v>4265</v>
      </c>
      <c r="P7997" s="103" t="str">
        <f t="shared" si="4705"/>
        <v>소부기 셧터모터 트랜스 교체</v>
      </c>
      <c r="Q7997" s="71">
        <f t="shared" si="4706"/>
        <v>1</v>
      </c>
      <c r="R7997" s="147">
        <v>200000</v>
      </c>
      <c r="S7997" s="102">
        <f t="shared" si="4709"/>
        <v>220000.00000000003</v>
      </c>
      <c r="T7997" s="102">
        <f t="shared" si="4710"/>
        <v>200000</v>
      </c>
      <c r="U7997" s="71"/>
      <c r="V7997" s="71"/>
      <c r="W7997" s="474"/>
      <c r="X7997" s="71"/>
      <c r="Y7997" s="71"/>
    </row>
    <row r="7998" spans="1:25" ht="29.45" hidden="1" customHeight="1" x14ac:dyDescent="0.25">
      <c r="A7998" s="1145">
        <v>45846</v>
      </c>
      <c r="B7998" s="664" t="s">
        <v>3296</v>
      </c>
      <c r="C7998" s="71" t="s">
        <v>3297</v>
      </c>
      <c r="D7998" s="71">
        <v>20</v>
      </c>
      <c r="E7998" s="102">
        <v>162500</v>
      </c>
      <c r="F7998" s="102">
        <f t="shared" si="4711"/>
        <v>3575000.0000000005</v>
      </c>
      <c r="G7998" s="102">
        <f t="shared" si="4712"/>
        <v>3250000</v>
      </c>
      <c r="H7998" s="690" t="s">
        <v>172</v>
      </c>
      <c r="I7998" s="71" t="s">
        <v>3295</v>
      </c>
      <c r="J7998" s="53">
        <f t="shared" si="4713"/>
        <v>850000</v>
      </c>
      <c r="K7998" s="63">
        <f t="shared" si="4714"/>
        <v>0.2615384615384615</v>
      </c>
      <c r="L7998" s="1212" t="s">
        <v>4415</v>
      </c>
      <c r="M7998" s="468"/>
      <c r="N7998" s="1192">
        <f t="shared" si="4715"/>
        <v>45846</v>
      </c>
      <c r="O7998" s="71" t="s">
        <v>662</v>
      </c>
      <c r="P7998" s="103" t="str">
        <f t="shared" si="4705"/>
        <v>실리콘 에멀전</v>
      </c>
      <c r="Q7998" s="71">
        <f t="shared" si="4706"/>
        <v>20</v>
      </c>
      <c r="R7998" s="102">
        <v>120000</v>
      </c>
      <c r="S7998" s="102">
        <f t="shared" si="4709"/>
        <v>2640000</v>
      </c>
      <c r="T7998" s="102">
        <f t="shared" si="4710"/>
        <v>2400000</v>
      </c>
      <c r="U7998" s="71" t="str">
        <f t="shared" ref="U7998" si="4716">IF(J7998=W7998,"O", "X")</f>
        <v>X</v>
      </c>
      <c r="V7998" s="71"/>
      <c r="W7998" s="474"/>
      <c r="X7998" s="71"/>
      <c r="Y7998" s="71"/>
    </row>
    <row r="7999" spans="1:25" ht="30" hidden="1" customHeight="1" x14ac:dyDescent="0.25">
      <c r="A7999" s="1145">
        <v>45840</v>
      </c>
      <c r="B7999" s="664" t="s">
        <v>26</v>
      </c>
      <c r="C7999" s="71" t="s">
        <v>2087</v>
      </c>
      <c r="D7999" s="71">
        <v>5</v>
      </c>
      <c r="E7999" s="102">
        <v>65000</v>
      </c>
      <c r="F7999" s="102">
        <v>357500</v>
      </c>
      <c r="G7999" s="102">
        <v>325000</v>
      </c>
      <c r="H7999" s="690" t="s">
        <v>172</v>
      </c>
      <c r="I7999" s="71" t="s">
        <v>3295</v>
      </c>
      <c r="J7999" s="53">
        <v>75000</v>
      </c>
      <c r="K7999" s="63">
        <v>0.23076923076923078</v>
      </c>
      <c r="L7999" s="1212" t="s">
        <v>4415</v>
      </c>
      <c r="M7999" s="468"/>
      <c r="N7999" s="1192">
        <v>45807</v>
      </c>
      <c r="O7999" s="71" t="s">
        <v>152</v>
      </c>
      <c r="P7999" s="103" t="s">
        <v>2087</v>
      </c>
      <c r="Q7999" s="71">
        <v>5</v>
      </c>
      <c r="R7999" s="102">
        <v>50000</v>
      </c>
      <c r="S7999" s="102">
        <v>275000</v>
      </c>
      <c r="T7999" s="102">
        <v>250000</v>
      </c>
      <c r="U7999" s="71" t="s">
        <v>1915</v>
      </c>
      <c r="V7999" s="71"/>
      <c r="W7999" s="474">
        <v>150000</v>
      </c>
      <c r="X7999" s="71"/>
      <c r="Y7999" s="71"/>
    </row>
    <row r="8000" spans="1:25" ht="30" hidden="1" customHeight="1" x14ac:dyDescent="0.25">
      <c r="A8000" s="1145">
        <v>45849</v>
      </c>
      <c r="B8000" s="664" t="s">
        <v>26</v>
      </c>
      <c r="C8000" s="71" t="s">
        <v>2087</v>
      </c>
      <c r="D8000" s="71">
        <v>5</v>
      </c>
      <c r="E8000" s="102">
        <v>65000</v>
      </c>
      <c r="F8000" s="102">
        <v>357500</v>
      </c>
      <c r="G8000" s="102">
        <v>325000</v>
      </c>
      <c r="H8000" s="690" t="s">
        <v>172</v>
      </c>
      <c r="I8000" s="71" t="s">
        <v>3295</v>
      </c>
      <c r="J8000" s="53">
        <v>75000</v>
      </c>
      <c r="K8000" s="63">
        <v>0.23076923076923078</v>
      </c>
      <c r="L8000" s="1212" t="s">
        <v>4415</v>
      </c>
      <c r="M8000" s="468"/>
      <c r="N8000" s="1192">
        <v>45821</v>
      </c>
      <c r="O8000" s="71" t="s">
        <v>152</v>
      </c>
      <c r="P8000" s="103" t="s">
        <v>2087</v>
      </c>
      <c r="Q8000" s="71">
        <v>5</v>
      </c>
      <c r="R8000" s="102">
        <v>50000</v>
      </c>
      <c r="S8000" s="102">
        <v>275000</v>
      </c>
      <c r="T8000" s="102">
        <v>250000</v>
      </c>
      <c r="U8000" s="71" t="s">
        <v>1915</v>
      </c>
      <c r="V8000" s="71"/>
      <c r="W8000" s="474">
        <v>150000</v>
      </c>
      <c r="X8000" s="71"/>
      <c r="Y8000" s="71"/>
    </row>
    <row r="8001" spans="1:25" ht="30" hidden="1" customHeight="1" x14ac:dyDescent="0.25">
      <c r="A8001" s="1145">
        <v>45838</v>
      </c>
      <c r="B8001" s="664" t="s">
        <v>3830</v>
      </c>
      <c r="C8001" s="71" t="s">
        <v>2577</v>
      </c>
      <c r="D8001" s="71">
        <v>1328</v>
      </c>
      <c r="E8001" s="102">
        <v>1700</v>
      </c>
      <c r="F8001" s="102">
        <f t="shared" ref="F8001:F8002" si="4717">(E8001*D8001)*1.1</f>
        <v>2483360</v>
      </c>
      <c r="G8001" s="102">
        <f t="shared" ref="G8001:G8002" si="4718">(E8001*D8001)</f>
        <v>2257600</v>
      </c>
      <c r="H8001" s="690" t="s">
        <v>2029</v>
      </c>
      <c r="I8001" s="71" t="s">
        <v>2230</v>
      </c>
      <c r="J8001" s="53">
        <f t="shared" ref="J8001:J8008" si="4719">G8001-T8001</f>
        <v>2257600</v>
      </c>
      <c r="K8001" s="63">
        <f t="shared" ref="K8001:K8008" si="4720">(J8001/(F8001/11*10))</f>
        <v>1</v>
      </c>
      <c r="L8001" s="1212" t="s">
        <v>4415</v>
      </c>
      <c r="M8001" s="102"/>
      <c r="N8001" s="1192">
        <f t="shared" ref="N8001:N8006" si="4721">A8001</f>
        <v>45838</v>
      </c>
      <c r="O8001" s="71"/>
      <c r="P8001" s="103" t="str">
        <f t="shared" ref="P8001:P8007" si="4722">(C8001)</f>
        <v>CTP 폐판</v>
      </c>
      <c r="Q8001" s="71">
        <f t="shared" ref="Q8001:Q8006" si="4723">D8001</f>
        <v>1328</v>
      </c>
      <c r="R8001" s="102"/>
      <c r="S8001" s="102">
        <f t="shared" ref="S8001:S8006" si="4724">R8001*Q8001*1.1</f>
        <v>0</v>
      </c>
      <c r="T8001" s="102">
        <f t="shared" ref="T8001:T8006" si="4725">R8001*Q8001</f>
        <v>0</v>
      </c>
      <c r="U8001" s="71"/>
      <c r="V8001" s="71"/>
      <c r="W8001" s="474"/>
      <c r="X8001" s="71"/>
      <c r="Y8001" s="71"/>
    </row>
    <row r="8002" spans="1:25" ht="30" hidden="1" customHeight="1" x14ac:dyDescent="0.25">
      <c r="A8002" s="1145">
        <v>45860</v>
      </c>
      <c r="B8002" s="664" t="s">
        <v>548</v>
      </c>
      <c r="C8002" s="71" t="s">
        <v>3382</v>
      </c>
      <c r="D8002" s="71">
        <v>1</v>
      </c>
      <c r="E8002" s="102">
        <v>168000</v>
      </c>
      <c r="F8002" s="102">
        <f t="shared" si="4717"/>
        <v>184800.00000000003</v>
      </c>
      <c r="G8002" s="102">
        <f t="shared" si="4718"/>
        <v>168000</v>
      </c>
      <c r="H8002" s="690" t="s">
        <v>2029</v>
      </c>
      <c r="I8002" s="71" t="s">
        <v>180</v>
      </c>
      <c r="J8002" s="53">
        <f t="shared" si="4719"/>
        <v>48000</v>
      </c>
      <c r="K8002" s="63">
        <f t="shared" si="4720"/>
        <v>0.28571428571428564</v>
      </c>
      <c r="L8002" s="1212" t="s">
        <v>4415</v>
      </c>
      <c r="M8002" s="468"/>
      <c r="N8002" s="1192">
        <f t="shared" si="4721"/>
        <v>45860</v>
      </c>
      <c r="O8002" s="71" t="s">
        <v>3383</v>
      </c>
      <c r="P8002" s="103" t="str">
        <f t="shared" si="4722"/>
        <v>판 클리너(12개)</v>
      </c>
      <c r="Q8002" s="71">
        <f t="shared" si="4723"/>
        <v>1</v>
      </c>
      <c r="R8002" s="102">
        <v>120000</v>
      </c>
      <c r="S8002" s="102">
        <f t="shared" si="4724"/>
        <v>132000</v>
      </c>
      <c r="T8002" s="102">
        <f t="shared" si="4725"/>
        <v>120000</v>
      </c>
      <c r="U8002" s="71" t="str">
        <f>IF(J8002=W8002,"O", "X")</f>
        <v>X</v>
      </c>
      <c r="V8002" s="71"/>
      <c r="W8002" s="474"/>
      <c r="X8002" s="71"/>
      <c r="Y8002" s="71"/>
    </row>
    <row r="8003" spans="1:25" ht="30" hidden="1" customHeight="1" x14ac:dyDescent="0.2">
      <c r="A8003" s="1145">
        <v>45860</v>
      </c>
      <c r="B8003" s="664" t="s">
        <v>548</v>
      </c>
      <c r="C8003" s="71" t="s">
        <v>236</v>
      </c>
      <c r="D8003" s="71">
        <v>5</v>
      </c>
      <c r="E8003" s="102">
        <v>110000</v>
      </c>
      <c r="F8003" s="163">
        <f>(E8003*D8003)*1.1</f>
        <v>605000</v>
      </c>
      <c r="G8003" s="102">
        <f>(E8003*D8003)</f>
        <v>550000</v>
      </c>
      <c r="H8003" s="690" t="s">
        <v>173</v>
      </c>
      <c r="I8003" s="71" t="s">
        <v>2231</v>
      </c>
      <c r="J8003" s="53">
        <f t="shared" si="4719"/>
        <v>125000</v>
      </c>
      <c r="K8003" s="63">
        <f t="shared" si="4720"/>
        <v>0.22727272727272727</v>
      </c>
      <c r="L8003" s="1212" t="s">
        <v>4415</v>
      </c>
      <c r="M8003" s="468"/>
      <c r="N8003" s="1192">
        <f t="shared" si="4721"/>
        <v>45860</v>
      </c>
      <c r="O8003" s="71" t="s">
        <v>150</v>
      </c>
      <c r="P8003" s="103" t="str">
        <f t="shared" si="4722"/>
        <v>아스테이지(국전)</v>
      </c>
      <c r="Q8003" s="71">
        <f t="shared" si="4723"/>
        <v>5</v>
      </c>
      <c r="R8003" s="102">
        <v>85000</v>
      </c>
      <c r="S8003" s="102">
        <f t="shared" si="4724"/>
        <v>467500.00000000006</v>
      </c>
      <c r="T8003" s="102">
        <f t="shared" si="4725"/>
        <v>425000</v>
      </c>
      <c r="U8003" s="71" t="str">
        <f>IF(J8003=W8003,"O", "X")</f>
        <v>X</v>
      </c>
      <c r="V8003" s="71"/>
      <c r="W8003" s="474"/>
      <c r="X8003" s="71"/>
      <c r="Y8003" s="71"/>
    </row>
    <row r="8004" spans="1:25" ht="30" hidden="1" customHeight="1" x14ac:dyDescent="0.25">
      <c r="A8004" s="1145">
        <v>45867</v>
      </c>
      <c r="B8004" s="664" t="s">
        <v>18</v>
      </c>
      <c r="C8004" s="71" t="s">
        <v>2070</v>
      </c>
      <c r="D8004" s="71">
        <v>10</v>
      </c>
      <c r="E8004" s="102">
        <v>115000</v>
      </c>
      <c r="F8004" s="102">
        <f t="shared" ref="F8004:F8007" si="4726">(E8004*D8004)*1.1</f>
        <v>1265000</v>
      </c>
      <c r="G8004" s="102">
        <f t="shared" ref="G8004:G8007" si="4727">(E8004*D8004)</f>
        <v>1150000</v>
      </c>
      <c r="H8004" s="690" t="s">
        <v>172</v>
      </c>
      <c r="I8004" s="71" t="s">
        <v>33</v>
      </c>
      <c r="J8004" s="53">
        <f t="shared" si="4719"/>
        <v>310000</v>
      </c>
      <c r="K8004" s="63">
        <f t="shared" si="4720"/>
        <v>0.26956521739130435</v>
      </c>
      <c r="L8004" s="1212" t="s">
        <v>4415</v>
      </c>
      <c r="M8004" s="468" t="s">
        <v>4374</v>
      </c>
      <c r="N8004" s="1192">
        <f t="shared" si="4721"/>
        <v>45867</v>
      </c>
      <c r="O8004" s="71" t="s">
        <v>149</v>
      </c>
      <c r="P8004" s="103" t="str">
        <f t="shared" si="4722"/>
        <v>Blanket(1050*840)</v>
      </c>
      <c r="Q8004" s="71">
        <f t="shared" si="4723"/>
        <v>10</v>
      </c>
      <c r="R8004" s="102">
        <v>84000</v>
      </c>
      <c r="S8004" s="102">
        <f t="shared" si="4724"/>
        <v>924000.00000000012</v>
      </c>
      <c r="T8004" s="102">
        <f t="shared" si="4725"/>
        <v>840000</v>
      </c>
      <c r="U8004" s="71" t="s">
        <v>859</v>
      </c>
      <c r="V8004" s="71"/>
      <c r="W8004" s="474"/>
      <c r="X8004" s="71"/>
      <c r="Y8004" s="71"/>
    </row>
    <row r="8005" spans="1:25" s="209" customFormat="1" ht="30" hidden="1" customHeight="1" x14ac:dyDescent="0.25">
      <c r="A8005" s="1145">
        <v>45863</v>
      </c>
      <c r="B8005" s="664" t="s">
        <v>411</v>
      </c>
      <c r="C8005" s="71" t="s">
        <v>3413</v>
      </c>
      <c r="D8005" s="71">
        <v>10</v>
      </c>
      <c r="E8005" s="102">
        <v>90000</v>
      </c>
      <c r="F8005" s="102">
        <f t="shared" si="4726"/>
        <v>990000.00000000012</v>
      </c>
      <c r="G8005" s="102">
        <f t="shared" si="4727"/>
        <v>900000</v>
      </c>
      <c r="H8005" s="690" t="s">
        <v>2029</v>
      </c>
      <c r="I8005" s="71" t="s">
        <v>3385</v>
      </c>
      <c r="J8005" s="53">
        <f t="shared" si="4719"/>
        <v>400000</v>
      </c>
      <c r="K8005" s="63">
        <f t="shared" si="4720"/>
        <v>0.44444444444444436</v>
      </c>
      <c r="L8005" s="1212" t="s">
        <v>4415</v>
      </c>
      <c r="M8005" s="468"/>
      <c r="N8005" s="1192">
        <f t="shared" si="4721"/>
        <v>45863</v>
      </c>
      <c r="O8005" s="71" t="s">
        <v>190</v>
      </c>
      <c r="P8005" s="103" t="str">
        <f t="shared" si="4722"/>
        <v>아스테이지(국전)</v>
      </c>
      <c r="Q8005" s="71">
        <f t="shared" si="4723"/>
        <v>10</v>
      </c>
      <c r="R8005" s="102">
        <v>50000</v>
      </c>
      <c r="S8005" s="102">
        <f t="shared" si="4724"/>
        <v>550000</v>
      </c>
      <c r="T8005" s="102">
        <f t="shared" si="4725"/>
        <v>500000</v>
      </c>
      <c r="U8005" s="71" t="str">
        <f t="shared" ref="U8005" si="4728">IF(J8005=W8005,"O", "X")</f>
        <v>X</v>
      </c>
      <c r="V8005" s="71"/>
      <c r="W8005" s="474">
        <v>500000</v>
      </c>
      <c r="X8005" s="71"/>
      <c r="Y8005" s="71"/>
    </row>
    <row r="8006" spans="1:25" ht="30" hidden="1" customHeight="1" x14ac:dyDescent="0.25">
      <c r="A8006" s="1145">
        <v>45846</v>
      </c>
      <c r="B8006" s="664" t="s">
        <v>2975</v>
      </c>
      <c r="C8006" s="71" t="s">
        <v>3783</v>
      </c>
      <c r="D8006" s="71">
        <v>4</v>
      </c>
      <c r="E8006" s="102">
        <v>1050000</v>
      </c>
      <c r="F8006" s="102">
        <f t="shared" si="4726"/>
        <v>4620000</v>
      </c>
      <c r="G8006" s="102">
        <f t="shared" si="4727"/>
        <v>4200000</v>
      </c>
      <c r="H8006" s="690" t="s">
        <v>94</v>
      </c>
      <c r="I8006" s="71" t="s">
        <v>94</v>
      </c>
      <c r="J8006" s="53">
        <f t="shared" si="4719"/>
        <v>3000000</v>
      </c>
      <c r="K8006" s="63">
        <f t="shared" si="4720"/>
        <v>0.7142857142857143</v>
      </c>
      <c r="L8006" s="1212" t="s">
        <v>4415</v>
      </c>
      <c r="M8006" s="102"/>
      <c r="N8006" s="1192">
        <f t="shared" si="4721"/>
        <v>45846</v>
      </c>
      <c r="O8006" s="71" t="s">
        <v>94</v>
      </c>
      <c r="P8006" s="103" t="str">
        <f t="shared" si="4722"/>
        <v>Technotrans beta.f 필터 세트</v>
      </c>
      <c r="Q8006" s="71">
        <f t="shared" si="4723"/>
        <v>4</v>
      </c>
      <c r="R8006" s="102">
        <v>300000</v>
      </c>
      <c r="S8006" s="102">
        <f t="shared" si="4724"/>
        <v>1320000</v>
      </c>
      <c r="T8006" s="102">
        <f t="shared" si="4725"/>
        <v>1200000</v>
      </c>
      <c r="U8006" s="71"/>
      <c r="V8006" s="71"/>
      <c r="W8006" s="474"/>
      <c r="X8006" s="71"/>
      <c r="Y8006" s="71"/>
    </row>
    <row r="8007" spans="1:25" ht="30" hidden="1" customHeight="1" x14ac:dyDescent="0.25">
      <c r="A8007" s="1145">
        <v>45854</v>
      </c>
      <c r="B8007" s="664" t="s">
        <v>3815</v>
      </c>
      <c r="C8007" s="71" t="s">
        <v>2648</v>
      </c>
      <c r="D8007" s="71">
        <v>2</v>
      </c>
      <c r="E8007" s="102">
        <v>45000</v>
      </c>
      <c r="F8007" s="102">
        <f t="shared" si="4726"/>
        <v>99000.000000000015</v>
      </c>
      <c r="G8007" s="102">
        <f t="shared" si="4727"/>
        <v>90000</v>
      </c>
      <c r="H8007" s="690" t="s">
        <v>94</v>
      </c>
      <c r="I8007" s="71" t="s">
        <v>94</v>
      </c>
      <c r="J8007" s="53">
        <f t="shared" si="4719"/>
        <v>40000</v>
      </c>
      <c r="K8007" s="63">
        <f t="shared" si="4720"/>
        <v>0.44444444444444436</v>
      </c>
      <c r="L8007" s="1212" t="s">
        <v>4415</v>
      </c>
      <c r="M8007" s="468"/>
      <c r="N8007" s="1192"/>
      <c r="O8007" s="71" t="s">
        <v>1432</v>
      </c>
      <c r="P8007" s="103" t="str">
        <f t="shared" si="4722"/>
        <v>주머니 필터백</v>
      </c>
      <c r="Q8007" s="71">
        <f t="shared" ref="Q8007:Q8013" si="4729">D8007</f>
        <v>2</v>
      </c>
      <c r="R8007" s="147">
        <v>25000</v>
      </c>
      <c r="S8007" s="102">
        <f t="shared" si="4709"/>
        <v>55000.000000000007</v>
      </c>
      <c r="T8007" s="102">
        <f t="shared" si="4710"/>
        <v>50000</v>
      </c>
      <c r="U8007" s="71"/>
      <c r="V8007" s="71"/>
      <c r="W8007" s="474"/>
      <c r="X8007" s="71"/>
      <c r="Y8007" s="71"/>
    </row>
    <row r="8008" spans="1:25" ht="30" hidden="1" customHeight="1" x14ac:dyDescent="0.25">
      <c r="A8008" s="1145">
        <v>45839</v>
      </c>
      <c r="B8008" s="664" t="s">
        <v>545</v>
      </c>
      <c r="C8008" s="71" t="s">
        <v>1441</v>
      </c>
      <c r="D8008" s="71">
        <v>4</v>
      </c>
      <c r="E8008" s="102">
        <v>350000</v>
      </c>
      <c r="F8008" s="102">
        <f t="shared" ref="F8008:F8013" si="4730">(E8008*D8008)*1.1</f>
        <v>1540000.0000000002</v>
      </c>
      <c r="G8008" s="102">
        <f t="shared" ref="G8008:G8013" si="4731">(E8008*D8008)</f>
        <v>1400000</v>
      </c>
      <c r="H8008" s="690" t="s">
        <v>173</v>
      </c>
      <c r="I8008" s="71" t="s">
        <v>2231</v>
      </c>
      <c r="J8008" s="53">
        <f t="shared" si="4719"/>
        <v>160000</v>
      </c>
      <c r="K8008" s="63">
        <f t="shared" si="4720"/>
        <v>0.11428571428571427</v>
      </c>
      <c r="L8008" s="1212" t="s">
        <v>4415</v>
      </c>
      <c r="M8008" s="468" t="s">
        <v>3374</v>
      </c>
      <c r="N8008" s="1192">
        <f t="shared" ref="N8008:N8013" si="4732">A8008</f>
        <v>45839</v>
      </c>
      <c r="O8008" s="71" t="s">
        <v>1555</v>
      </c>
      <c r="P8008" s="103" t="str">
        <f t="shared" ref="P8008:P8013" si="4733">(C8008)</f>
        <v xml:space="preserve"> OKS340 체인구리스</v>
      </c>
      <c r="Q8008" s="71">
        <f t="shared" si="4729"/>
        <v>4</v>
      </c>
      <c r="R8008" s="102">
        <v>310000</v>
      </c>
      <c r="S8008" s="102">
        <f t="shared" si="4709"/>
        <v>1364000</v>
      </c>
      <c r="T8008" s="102">
        <f t="shared" si="4710"/>
        <v>1240000</v>
      </c>
      <c r="U8008" s="71" t="str">
        <f t="shared" ref="U8008" si="4734">IF(J8008=W8008,"O", "X")</f>
        <v>X</v>
      </c>
      <c r="V8008" s="71"/>
      <c r="W8008" s="474"/>
      <c r="X8008" s="71"/>
      <c r="Y8008" s="71"/>
    </row>
    <row r="8009" spans="1:25" ht="30" hidden="1" customHeight="1" x14ac:dyDescent="0.25">
      <c r="A8009" s="1145">
        <v>45827</v>
      </c>
      <c r="B8009" s="664" t="s">
        <v>2798</v>
      </c>
      <c r="C8009" s="71" t="s">
        <v>4239</v>
      </c>
      <c r="D8009" s="71">
        <v>2</v>
      </c>
      <c r="E8009" s="102">
        <v>252000</v>
      </c>
      <c r="F8009" s="102">
        <f t="shared" si="4730"/>
        <v>554400</v>
      </c>
      <c r="G8009" s="102">
        <f t="shared" si="4731"/>
        <v>504000</v>
      </c>
      <c r="H8009" s="690" t="s">
        <v>173</v>
      </c>
      <c r="I8009" s="71" t="s">
        <v>180</v>
      </c>
      <c r="J8009" s="53">
        <f t="shared" ref="J8009:J8013" si="4735">G8009-T8009</f>
        <v>129000</v>
      </c>
      <c r="K8009" s="63">
        <f t="shared" ref="K8009:K8013" si="4736">(J8009/(F8009/11*10))</f>
        <v>0.25595238095238093</v>
      </c>
      <c r="L8009" s="1212" t="s">
        <v>4415</v>
      </c>
      <c r="M8009" s="102"/>
      <c r="N8009" s="1192">
        <f t="shared" si="4732"/>
        <v>45827</v>
      </c>
      <c r="O8009" s="71" t="s">
        <v>150</v>
      </c>
      <c r="P8009" s="103" t="str">
        <f t="shared" si="4733"/>
        <v>Saphira 건식 세정포 하이델 XL용</v>
      </c>
      <c r="Q8009" s="71">
        <f t="shared" si="4729"/>
        <v>2</v>
      </c>
      <c r="R8009" s="102">
        <v>187500</v>
      </c>
      <c r="S8009" s="102">
        <f t="shared" si="4709"/>
        <v>412500.00000000006</v>
      </c>
      <c r="T8009" s="102">
        <f t="shared" si="4710"/>
        <v>375000</v>
      </c>
      <c r="U8009" s="71"/>
      <c r="V8009" s="71"/>
      <c r="W8009" s="474"/>
      <c r="X8009" s="71"/>
      <c r="Y8009" s="71"/>
    </row>
    <row r="8010" spans="1:25" ht="30" hidden="1" customHeight="1" x14ac:dyDescent="0.25">
      <c r="A8010" s="1145">
        <v>45791</v>
      </c>
      <c r="B8010" s="664" t="s">
        <v>444</v>
      </c>
      <c r="C8010" s="71" t="s">
        <v>3399</v>
      </c>
      <c r="D8010" s="71">
        <v>10</v>
      </c>
      <c r="E8010" s="102">
        <v>195000</v>
      </c>
      <c r="F8010" s="102">
        <f t="shared" si="4730"/>
        <v>2145000</v>
      </c>
      <c r="G8010" s="102">
        <f t="shared" si="4731"/>
        <v>1950000</v>
      </c>
      <c r="H8010" s="690" t="s">
        <v>2029</v>
      </c>
      <c r="I8010" s="71" t="s">
        <v>180</v>
      </c>
      <c r="J8010" s="53">
        <f t="shared" si="4735"/>
        <v>450000</v>
      </c>
      <c r="K8010" s="63">
        <f t="shared" si="4736"/>
        <v>0.23076923076923078</v>
      </c>
      <c r="L8010" s="1212" t="s">
        <v>4415</v>
      </c>
      <c r="M8010" s="468"/>
      <c r="N8010" s="1192">
        <f t="shared" si="4732"/>
        <v>45791</v>
      </c>
      <c r="O8010" s="71" t="s">
        <v>191</v>
      </c>
      <c r="P8010" s="103" t="str">
        <f t="shared" si="4733"/>
        <v>UV wash offset UV</v>
      </c>
      <c r="Q8010" s="71">
        <f t="shared" si="4729"/>
        <v>10</v>
      </c>
      <c r="R8010" s="102">
        <v>150000</v>
      </c>
      <c r="S8010" s="102">
        <f t="shared" si="4709"/>
        <v>1650000.0000000002</v>
      </c>
      <c r="T8010" s="102">
        <f t="shared" si="4710"/>
        <v>1500000</v>
      </c>
      <c r="U8010" s="71"/>
      <c r="V8010" s="71"/>
      <c r="W8010" s="474"/>
      <c r="X8010" s="71"/>
      <c r="Y8010" s="71"/>
    </row>
    <row r="8011" spans="1:25" ht="30" hidden="1" customHeight="1" x14ac:dyDescent="0.25">
      <c r="A8011" s="1145">
        <v>45812</v>
      </c>
      <c r="B8011" s="664" t="s">
        <v>2798</v>
      </c>
      <c r="C8011" s="71" t="s">
        <v>4240</v>
      </c>
      <c r="D8011" s="71">
        <v>10</v>
      </c>
      <c r="E8011" s="102">
        <v>133000</v>
      </c>
      <c r="F8011" s="102">
        <f t="shared" si="4730"/>
        <v>1463000.0000000002</v>
      </c>
      <c r="G8011" s="102">
        <f t="shared" si="4731"/>
        <v>1330000</v>
      </c>
      <c r="H8011" s="690" t="s">
        <v>173</v>
      </c>
      <c r="I8011" s="71" t="s">
        <v>109</v>
      </c>
      <c r="J8011" s="53">
        <f t="shared" si="4735"/>
        <v>210000</v>
      </c>
      <c r="K8011" s="63">
        <f t="shared" si="4736"/>
        <v>0.15789473684210523</v>
      </c>
      <c r="L8011" s="1212" t="s">
        <v>4415</v>
      </c>
      <c r="M8011" s="102"/>
      <c r="N8011" s="1192">
        <f t="shared" si="4732"/>
        <v>45812</v>
      </c>
      <c r="O8011" s="71" t="s">
        <v>150</v>
      </c>
      <c r="P8011" s="103" t="str">
        <f t="shared" si="4733"/>
        <v>5MX 블랑켓 XL용</v>
      </c>
      <c r="Q8011" s="71">
        <f t="shared" si="4729"/>
        <v>10</v>
      </c>
      <c r="R8011" s="102">
        <v>112000</v>
      </c>
      <c r="S8011" s="102">
        <f t="shared" si="4709"/>
        <v>1232000</v>
      </c>
      <c r="T8011" s="102">
        <f t="shared" si="4710"/>
        <v>1120000</v>
      </c>
      <c r="U8011" s="71"/>
      <c r="V8011" s="71"/>
      <c r="W8011" s="474"/>
      <c r="X8011" s="71"/>
      <c r="Y8011" s="71"/>
    </row>
    <row r="8012" spans="1:25" ht="30" hidden="1" customHeight="1" x14ac:dyDescent="0.25">
      <c r="A8012" s="1145">
        <v>45812</v>
      </c>
      <c r="B8012" s="664" t="s">
        <v>2798</v>
      </c>
      <c r="C8012" s="71" t="s">
        <v>4240</v>
      </c>
      <c r="D8012" s="71">
        <v>10</v>
      </c>
      <c r="E8012" s="102">
        <v>133000</v>
      </c>
      <c r="F8012" s="102">
        <f t="shared" si="4730"/>
        <v>1463000.0000000002</v>
      </c>
      <c r="G8012" s="102">
        <f t="shared" si="4731"/>
        <v>1330000</v>
      </c>
      <c r="H8012" s="690" t="s">
        <v>173</v>
      </c>
      <c r="I8012" s="71" t="s">
        <v>109</v>
      </c>
      <c r="J8012" s="53">
        <f t="shared" si="4735"/>
        <v>210000</v>
      </c>
      <c r="K8012" s="63">
        <f t="shared" si="4736"/>
        <v>0.15789473684210523</v>
      </c>
      <c r="L8012" s="1212" t="s">
        <v>4415</v>
      </c>
      <c r="M8012" s="102"/>
      <c r="N8012" s="1192">
        <f t="shared" si="4732"/>
        <v>45812</v>
      </c>
      <c r="O8012" s="71" t="s">
        <v>150</v>
      </c>
      <c r="P8012" s="103" t="str">
        <f t="shared" si="4733"/>
        <v>5MX 블랑켓 XL용</v>
      </c>
      <c r="Q8012" s="71">
        <f t="shared" si="4729"/>
        <v>10</v>
      </c>
      <c r="R8012" s="102">
        <v>112000</v>
      </c>
      <c r="S8012" s="102">
        <f t="shared" si="4709"/>
        <v>1232000</v>
      </c>
      <c r="T8012" s="102">
        <f t="shared" si="4710"/>
        <v>1120000</v>
      </c>
      <c r="U8012" s="71"/>
      <c r="V8012" s="71"/>
      <c r="W8012" s="474"/>
      <c r="X8012" s="71"/>
      <c r="Y8012" s="71"/>
    </row>
    <row r="8013" spans="1:25" ht="30" hidden="1" customHeight="1" x14ac:dyDescent="0.25">
      <c r="A8013" s="1145">
        <v>45798</v>
      </c>
      <c r="B8013" s="664" t="s">
        <v>2798</v>
      </c>
      <c r="C8013" s="71" t="s">
        <v>167</v>
      </c>
      <c r="D8013" s="71">
        <v>10</v>
      </c>
      <c r="E8013" s="102">
        <v>138000</v>
      </c>
      <c r="F8013" s="102">
        <f t="shared" si="4730"/>
        <v>1518000.0000000002</v>
      </c>
      <c r="G8013" s="102">
        <f t="shared" si="4731"/>
        <v>1380000</v>
      </c>
      <c r="H8013" s="690" t="s">
        <v>172</v>
      </c>
      <c r="I8013" s="71" t="s">
        <v>33</v>
      </c>
      <c r="J8013" s="53">
        <f t="shared" si="4735"/>
        <v>460000</v>
      </c>
      <c r="K8013" s="63">
        <f t="shared" si="4736"/>
        <v>0.33333333333333326</v>
      </c>
      <c r="L8013" s="1212" t="s">
        <v>4415</v>
      </c>
      <c r="M8013" s="468" t="s">
        <v>4114</v>
      </c>
      <c r="N8013" s="1192">
        <f t="shared" si="4732"/>
        <v>45798</v>
      </c>
      <c r="O8013" s="71" t="s">
        <v>146</v>
      </c>
      <c r="P8013" s="103" t="str">
        <f t="shared" si="4733"/>
        <v>Blanket(1060*860)</v>
      </c>
      <c r="Q8013" s="71">
        <f t="shared" si="4729"/>
        <v>10</v>
      </c>
      <c r="R8013" s="102">
        <v>92000</v>
      </c>
      <c r="S8013" s="102">
        <f t="shared" si="4709"/>
        <v>1012000.0000000001</v>
      </c>
      <c r="T8013" s="102">
        <f t="shared" si="4710"/>
        <v>920000</v>
      </c>
      <c r="U8013" s="71" t="str">
        <f t="shared" ref="U8013" si="4737">IF(J8013=W8013,"O", "X")</f>
        <v>X</v>
      </c>
      <c r="V8013" s="71"/>
      <c r="W8013" s="474"/>
      <c r="X8013" s="71"/>
      <c r="Y8013" s="71"/>
    </row>
    <row r="8014" spans="1:25" ht="30" hidden="1" customHeight="1" x14ac:dyDescent="0.25">
      <c r="A8014" s="1145">
        <v>45827</v>
      </c>
      <c r="B8014" s="664" t="s">
        <v>2798</v>
      </c>
      <c r="C8014" s="71" t="s">
        <v>4239</v>
      </c>
      <c r="D8014" s="71">
        <v>2</v>
      </c>
      <c r="E8014" s="102">
        <v>252000</v>
      </c>
      <c r="F8014" s="102">
        <f t="shared" ref="F8014:F8017" si="4738">(E8014*D8014)*1.1</f>
        <v>554400</v>
      </c>
      <c r="G8014" s="102">
        <f t="shared" ref="G8014:G8017" si="4739">(E8014*D8014)</f>
        <v>504000</v>
      </c>
      <c r="H8014" s="690" t="s">
        <v>173</v>
      </c>
      <c r="I8014" s="71" t="s">
        <v>180</v>
      </c>
      <c r="J8014" s="53">
        <f t="shared" ref="J8014" si="4740">G8014-T8014</f>
        <v>129000</v>
      </c>
      <c r="K8014" s="63">
        <f t="shared" ref="K8014" si="4741">(J8014/(F8014/11*10))</f>
        <v>0.25595238095238093</v>
      </c>
      <c r="L8014" s="1212" t="s">
        <v>4415</v>
      </c>
      <c r="M8014" s="102"/>
      <c r="N8014" s="1192">
        <f t="shared" ref="N8014:N8077" si="4742">A8014</f>
        <v>45827</v>
      </c>
      <c r="O8014" s="71" t="s">
        <v>150</v>
      </c>
      <c r="P8014" s="103" t="str">
        <f t="shared" ref="P8014:P8017" si="4743">(C8014)</f>
        <v>Saphira 건식 세정포 하이델 XL용</v>
      </c>
      <c r="Q8014" s="71">
        <f t="shared" ref="Q8014:Q8017" si="4744">D8014</f>
        <v>2</v>
      </c>
      <c r="R8014" s="102">
        <v>187500</v>
      </c>
      <c r="S8014" s="102">
        <f t="shared" ref="S8014" si="4745">R8014*Q8014*1.1</f>
        <v>412500.00000000006</v>
      </c>
      <c r="T8014" s="102">
        <f t="shared" ref="T8014" si="4746">R8014*Q8014</f>
        <v>375000</v>
      </c>
      <c r="U8014" s="71"/>
      <c r="V8014" s="71"/>
      <c r="W8014" s="474"/>
      <c r="X8014" s="71"/>
      <c r="Y8014" s="71"/>
    </row>
    <row r="8015" spans="1:25" ht="30" hidden="1" customHeight="1" x14ac:dyDescent="0.25">
      <c r="A8015" s="1145">
        <v>45869</v>
      </c>
      <c r="B8015" s="664" t="s">
        <v>4421</v>
      </c>
      <c r="C8015" s="71" t="s">
        <v>920</v>
      </c>
      <c r="D8015" s="71">
        <v>5</v>
      </c>
      <c r="E8015" s="102">
        <v>320000</v>
      </c>
      <c r="F8015" s="102">
        <f t="shared" si="4738"/>
        <v>1760000.0000000002</v>
      </c>
      <c r="G8015" s="102">
        <f t="shared" si="4739"/>
        <v>1600000</v>
      </c>
      <c r="H8015" s="690" t="s">
        <v>1431</v>
      </c>
      <c r="I8015" s="71" t="s">
        <v>1431</v>
      </c>
      <c r="J8015" s="53"/>
      <c r="K8015" s="63"/>
      <c r="L8015" s="1212" t="s">
        <v>4415</v>
      </c>
      <c r="M8015" s="102"/>
      <c r="N8015" s="1192">
        <f t="shared" si="4742"/>
        <v>45869</v>
      </c>
      <c r="O8015" s="71"/>
      <c r="P8015" s="103" t="str">
        <f t="shared" si="4743"/>
        <v>에어 실린더</v>
      </c>
      <c r="Q8015" s="71">
        <f t="shared" si="4744"/>
        <v>5</v>
      </c>
      <c r="R8015" s="102"/>
      <c r="S8015" s="102">
        <f t="shared" si="4709"/>
        <v>0</v>
      </c>
      <c r="T8015" s="102">
        <f t="shared" si="4710"/>
        <v>0</v>
      </c>
      <c r="U8015" s="71"/>
      <c r="V8015" s="71"/>
      <c r="W8015" s="474"/>
      <c r="X8015" s="71"/>
      <c r="Y8015" s="71"/>
    </row>
    <row r="8016" spans="1:25" ht="30" hidden="1" customHeight="1" x14ac:dyDescent="0.25">
      <c r="A8016" s="1145">
        <v>45869</v>
      </c>
      <c r="B8016" s="664" t="s">
        <v>2155</v>
      </c>
      <c r="C8016" s="71" t="s">
        <v>114</v>
      </c>
      <c r="D8016" s="71">
        <v>50</v>
      </c>
      <c r="E8016" s="102">
        <v>18000</v>
      </c>
      <c r="F8016" s="102">
        <f t="shared" si="4738"/>
        <v>990000.00000000012</v>
      </c>
      <c r="G8016" s="102">
        <f t="shared" si="4739"/>
        <v>900000</v>
      </c>
      <c r="H8016" s="690" t="s">
        <v>1431</v>
      </c>
      <c r="I8016" s="71" t="s">
        <v>1431</v>
      </c>
      <c r="J8016" s="53">
        <f t="shared" ref="J8016" si="4747">G8016-T8016</f>
        <v>400000</v>
      </c>
      <c r="K8016" s="63">
        <f t="shared" ref="K8016" si="4748">(J8016/(F8016/11*10))</f>
        <v>0.44444444444444436</v>
      </c>
      <c r="L8016" s="1212" t="s">
        <v>4415</v>
      </c>
      <c r="M8016" s="468"/>
      <c r="N8016" s="1192">
        <f t="shared" si="4742"/>
        <v>45869</v>
      </c>
      <c r="O8016" s="71"/>
      <c r="P8016" s="103" t="str">
        <f t="shared" si="4743"/>
        <v>스트리퍼</v>
      </c>
      <c r="Q8016" s="71">
        <f t="shared" si="4744"/>
        <v>50</v>
      </c>
      <c r="R8016" s="147">
        <v>10000</v>
      </c>
      <c r="S8016" s="102">
        <f t="shared" si="4709"/>
        <v>550000</v>
      </c>
      <c r="T8016" s="102">
        <f t="shared" si="4710"/>
        <v>500000</v>
      </c>
      <c r="U8016" s="71"/>
      <c r="V8016" s="71"/>
      <c r="W8016" s="474"/>
      <c r="X8016" s="71"/>
      <c r="Y8016" s="71"/>
    </row>
    <row r="8017" spans="1:25" ht="30" hidden="1" customHeight="1" x14ac:dyDescent="0.25">
      <c r="A8017" s="1145">
        <v>45869</v>
      </c>
      <c r="B8017" s="664" t="s">
        <v>2155</v>
      </c>
      <c r="C8017" s="71" t="s">
        <v>4422</v>
      </c>
      <c r="D8017" s="71">
        <v>1</v>
      </c>
      <c r="E8017" s="102">
        <v>3800000</v>
      </c>
      <c r="F8017" s="102">
        <f t="shared" si="4738"/>
        <v>4180000.0000000005</v>
      </c>
      <c r="G8017" s="102">
        <f t="shared" si="4739"/>
        <v>3800000</v>
      </c>
      <c r="H8017" s="690" t="s">
        <v>985</v>
      </c>
      <c r="I8017" s="71" t="s">
        <v>985</v>
      </c>
      <c r="J8017" s="53">
        <f t="shared" ref="J8017" si="4749">G8017-T8017</f>
        <v>3800000</v>
      </c>
      <c r="K8017" s="63">
        <f t="shared" ref="K8017" si="4750">(J8017/(F8017/11*10))</f>
        <v>0.99999999999999989</v>
      </c>
      <c r="L8017" s="1212" t="s">
        <v>4415</v>
      </c>
      <c r="M8017" s="102"/>
      <c r="N8017" s="1192">
        <f t="shared" si="4742"/>
        <v>45869</v>
      </c>
      <c r="O8017" s="71"/>
      <c r="P8017" s="103" t="str">
        <f t="shared" si="4743"/>
        <v>판걸이 장치 업그레이드 서비스</v>
      </c>
      <c r="Q8017" s="71">
        <f t="shared" si="4744"/>
        <v>1</v>
      </c>
      <c r="R8017" s="102"/>
      <c r="S8017" s="102">
        <f t="shared" si="4709"/>
        <v>0</v>
      </c>
      <c r="T8017" s="102">
        <f t="shared" si="4710"/>
        <v>0</v>
      </c>
      <c r="U8017" s="71"/>
      <c r="V8017" s="71"/>
      <c r="W8017" s="474"/>
      <c r="X8017" s="71"/>
      <c r="Y8017" s="71"/>
    </row>
    <row r="8018" spans="1:25" ht="30" hidden="1" customHeight="1" x14ac:dyDescent="0.25">
      <c r="A8018" s="1210" t="s">
        <v>4427</v>
      </c>
      <c r="B8018" s="1211" t="s">
        <v>544</v>
      </c>
      <c r="C8018" s="960"/>
      <c r="D8018" s="960"/>
      <c r="E8018" s="952"/>
      <c r="F8018" s="952"/>
      <c r="G8018" s="952"/>
      <c r="H8018" s="1206"/>
      <c r="I8018" s="960"/>
      <c r="J8018" s="952"/>
      <c r="K8018" s="953"/>
      <c r="L8018" s="1212" t="s">
        <v>4429</v>
      </c>
      <c r="M8018" s="1207"/>
      <c r="N8018" s="1208" t="str">
        <f t="shared" si="4742"/>
        <v>2025,8</v>
      </c>
      <c r="O8018" s="960"/>
      <c r="P8018" s="1209"/>
      <c r="Q8018" s="960"/>
      <c r="R8018" s="952"/>
      <c r="S8018" s="952"/>
      <c r="T8018" s="952"/>
      <c r="U8018" s="960"/>
      <c r="V8018" s="960"/>
      <c r="W8018" s="474">
        <f>(G8018-T8018)</f>
        <v>0</v>
      </c>
      <c r="X8018" s="71"/>
      <c r="Y8018" s="71"/>
    </row>
    <row r="8019" spans="1:25" ht="30" hidden="1" customHeight="1" x14ac:dyDescent="0.25">
      <c r="A8019" s="1145">
        <v>45894</v>
      </c>
      <c r="B8019" s="664" t="s">
        <v>1060</v>
      </c>
      <c r="C8019" s="71" t="s">
        <v>3908</v>
      </c>
      <c r="D8019" s="71">
        <v>1000</v>
      </c>
      <c r="E8019" s="102">
        <v>5860</v>
      </c>
      <c r="F8019" s="102">
        <f t="shared" ref="F8019:F8038" si="4751">(E8019*D8019)*1.1</f>
        <v>6446000.0000000009</v>
      </c>
      <c r="G8019" s="102">
        <f t="shared" ref="G8019:G8038" si="4752">(E8019*D8019)</f>
        <v>5860000</v>
      </c>
      <c r="H8019" s="690" t="s">
        <v>142</v>
      </c>
      <c r="I8019" s="71" t="s">
        <v>179</v>
      </c>
      <c r="J8019" s="53">
        <f t="shared" ref="J8019:J8038" si="4753">G8019-T8019</f>
        <v>1946000</v>
      </c>
      <c r="K8019" s="63">
        <f t="shared" ref="K8019:K8038" si="4754">(J8019/(F8019/11*10))</f>
        <v>0.33208191126279857</v>
      </c>
      <c r="L8019" s="1212" t="s">
        <v>4429</v>
      </c>
      <c r="M8019" s="102" t="s">
        <v>3964</v>
      </c>
      <c r="N8019" s="1192">
        <f t="shared" si="4742"/>
        <v>45894</v>
      </c>
      <c r="O8019" s="71" t="s">
        <v>662</v>
      </c>
      <c r="P8019" s="103" t="str">
        <f t="shared" ref="P8019:P8082" si="4755">(C8019)</f>
        <v>Saphira CTP 판 1030 x 790</v>
      </c>
      <c r="Q8019" s="71">
        <f t="shared" ref="Q8019:Q8082" si="4756">D8019</f>
        <v>1000</v>
      </c>
      <c r="R8019" s="102">
        <v>3914</v>
      </c>
      <c r="S8019" s="102">
        <f t="shared" ref="S8019:S8037" si="4757">R8019*Q8019*1.1</f>
        <v>4305400</v>
      </c>
      <c r="T8019" s="102">
        <f t="shared" ref="T8019:T8037" si="4758">R8019*Q8019</f>
        <v>3914000</v>
      </c>
      <c r="U8019" s="71" t="s">
        <v>859</v>
      </c>
      <c r="V8019" s="71"/>
      <c r="W8019" s="474">
        <v>942000</v>
      </c>
      <c r="X8019" s="71"/>
      <c r="Y8019" s="71"/>
    </row>
    <row r="8020" spans="1:25" ht="30" hidden="1" customHeight="1" x14ac:dyDescent="0.25">
      <c r="A8020" s="1145">
        <v>45894</v>
      </c>
      <c r="B8020" s="664" t="s">
        <v>1060</v>
      </c>
      <c r="C8020" s="71" t="s">
        <v>3909</v>
      </c>
      <c r="D8020" s="71">
        <v>1800</v>
      </c>
      <c r="E8020" s="102">
        <v>3700</v>
      </c>
      <c r="F8020" s="102">
        <f t="shared" si="4751"/>
        <v>7326000.0000000009</v>
      </c>
      <c r="G8020" s="102">
        <f t="shared" si="4752"/>
        <v>6660000</v>
      </c>
      <c r="H8020" s="690" t="s">
        <v>36</v>
      </c>
      <c r="I8020" s="71" t="s">
        <v>2529</v>
      </c>
      <c r="J8020" s="53">
        <f t="shared" si="4753"/>
        <v>2210400</v>
      </c>
      <c r="K8020" s="63">
        <f t="shared" si="4754"/>
        <v>0.33189189189189183</v>
      </c>
      <c r="L8020" s="1212" t="s">
        <v>4428</v>
      </c>
      <c r="M8020" s="102" t="s">
        <v>3964</v>
      </c>
      <c r="N8020" s="1192">
        <f t="shared" si="4742"/>
        <v>45894</v>
      </c>
      <c r="O8020" s="71" t="s">
        <v>662</v>
      </c>
      <c r="P8020" s="103" t="str">
        <f t="shared" si="4755"/>
        <v>Saphira CTP 판 900 x 571</v>
      </c>
      <c r="Q8020" s="71">
        <f t="shared" si="4756"/>
        <v>1800</v>
      </c>
      <c r="R8020" s="102">
        <v>2472</v>
      </c>
      <c r="S8020" s="102">
        <f t="shared" si="4757"/>
        <v>4894560</v>
      </c>
      <c r="T8020" s="102">
        <f t="shared" si="4758"/>
        <v>4449600</v>
      </c>
      <c r="U8020" s="71" t="s">
        <v>859</v>
      </c>
      <c r="V8020" s="71"/>
      <c r="W8020" s="474">
        <v>1274000</v>
      </c>
      <c r="X8020" s="71"/>
      <c r="Y8020" s="71"/>
    </row>
    <row r="8021" spans="1:25" ht="30" hidden="1" customHeight="1" x14ac:dyDescent="0.25">
      <c r="A8021" s="1145">
        <v>45894</v>
      </c>
      <c r="B8021" s="664" t="s">
        <v>1060</v>
      </c>
      <c r="C8021" s="71" t="s">
        <v>3910</v>
      </c>
      <c r="D8021" s="71">
        <v>1300</v>
      </c>
      <c r="E8021" s="102">
        <v>3500</v>
      </c>
      <c r="F8021" s="102">
        <f t="shared" si="4751"/>
        <v>5005000</v>
      </c>
      <c r="G8021" s="102">
        <f t="shared" si="4752"/>
        <v>4550000</v>
      </c>
      <c r="H8021" s="690" t="s">
        <v>36</v>
      </c>
      <c r="I8021" s="71" t="s">
        <v>2529</v>
      </c>
      <c r="J8021" s="53">
        <f t="shared" si="4753"/>
        <v>1497600</v>
      </c>
      <c r="K8021" s="63">
        <f t="shared" si="4754"/>
        <v>0.32914285714285713</v>
      </c>
      <c r="L8021" s="1212" t="s">
        <v>4428</v>
      </c>
      <c r="M8021" s="102" t="s">
        <v>3964</v>
      </c>
      <c r="N8021" s="1192">
        <f t="shared" si="4742"/>
        <v>45894</v>
      </c>
      <c r="O8021" s="71" t="s">
        <v>662</v>
      </c>
      <c r="P8021" s="103" t="str">
        <f t="shared" si="4755"/>
        <v>Saphira CTP 판 883 x 552</v>
      </c>
      <c r="Q8021" s="71">
        <f t="shared" si="4756"/>
        <v>1300</v>
      </c>
      <c r="R8021" s="102">
        <v>2348</v>
      </c>
      <c r="S8021" s="102">
        <f t="shared" si="4757"/>
        <v>3357640.0000000005</v>
      </c>
      <c r="T8021" s="102">
        <f t="shared" si="4758"/>
        <v>3052400</v>
      </c>
      <c r="U8021" s="71" t="s">
        <v>859</v>
      </c>
      <c r="V8021" s="71"/>
      <c r="W8021" s="474">
        <v>3325000</v>
      </c>
      <c r="X8021" s="71"/>
      <c r="Y8021" s="71"/>
    </row>
    <row r="8022" spans="1:25" ht="30" hidden="1" customHeight="1" x14ac:dyDescent="0.25">
      <c r="A8022" s="1145">
        <v>45894</v>
      </c>
      <c r="B8022" s="664" t="s">
        <v>1060</v>
      </c>
      <c r="C8022" s="71" t="s">
        <v>3911</v>
      </c>
      <c r="D8022" s="71">
        <v>900</v>
      </c>
      <c r="E8022" s="102">
        <v>5940</v>
      </c>
      <c r="F8022" s="102">
        <f t="shared" si="4751"/>
        <v>5880600.0000000009</v>
      </c>
      <c r="G8022" s="102">
        <f t="shared" si="4752"/>
        <v>5346000</v>
      </c>
      <c r="H8022" s="690" t="s">
        <v>36</v>
      </c>
      <c r="I8022" s="71" t="s">
        <v>2529</v>
      </c>
      <c r="J8022" s="53">
        <f t="shared" si="4753"/>
        <v>1776600</v>
      </c>
      <c r="K8022" s="63">
        <f t="shared" si="4754"/>
        <v>0.33232323232323224</v>
      </c>
      <c r="L8022" s="1212" t="s">
        <v>4428</v>
      </c>
      <c r="M8022" s="102" t="s">
        <v>3964</v>
      </c>
      <c r="N8022" s="1192">
        <f t="shared" si="4742"/>
        <v>45894</v>
      </c>
      <c r="O8022" s="71" t="s">
        <v>662</v>
      </c>
      <c r="P8022" s="103" t="str">
        <f t="shared" si="4755"/>
        <v>Saphira CTP 판 1030 x 800</v>
      </c>
      <c r="Q8022" s="71">
        <f t="shared" si="4756"/>
        <v>900</v>
      </c>
      <c r="R8022" s="102">
        <v>3966</v>
      </c>
      <c r="S8022" s="102">
        <f t="shared" si="4757"/>
        <v>3926340.0000000005</v>
      </c>
      <c r="T8022" s="102">
        <f t="shared" si="4758"/>
        <v>3569400</v>
      </c>
      <c r="U8022" s="71" t="s">
        <v>859</v>
      </c>
      <c r="V8022" s="71"/>
      <c r="W8022" s="474">
        <v>636000</v>
      </c>
      <c r="X8022" s="71"/>
      <c r="Y8022" s="71"/>
    </row>
    <row r="8023" spans="1:25" ht="30" hidden="1" customHeight="1" x14ac:dyDescent="0.25">
      <c r="A8023" s="1145">
        <v>45894</v>
      </c>
      <c r="B8023" s="664" t="s">
        <v>1060</v>
      </c>
      <c r="C8023" s="71" t="s">
        <v>3912</v>
      </c>
      <c r="D8023" s="71">
        <v>600</v>
      </c>
      <c r="E8023" s="102">
        <v>6160</v>
      </c>
      <c r="F8023" s="102">
        <f t="shared" si="4751"/>
        <v>4065600.0000000005</v>
      </c>
      <c r="G8023" s="102">
        <f t="shared" si="4752"/>
        <v>3696000</v>
      </c>
      <c r="H8023" s="690" t="s">
        <v>36</v>
      </c>
      <c r="I8023" s="71" t="s">
        <v>2529</v>
      </c>
      <c r="J8023" s="53">
        <f t="shared" si="4753"/>
        <v>1224000</v>
      </c>
      <c r="K8023" s="63">
        <f t="shared" si="4754"/>
        <v>0.33116883116883111</v>
      </c>
      <c r="L8023" s="1212" t="s">
        <v>4428</v>
      </c>
      <c r="M8023" s="102" t="s">
        <v>3964</v>
      </c>
      <c r="N8023" s="1192">
        <f t="shared" si="4742"/>
        <v>45894</v>
      </c>
      <c r="O8023" s="71" t="s">
        <v>662</v>
      </c>
      <c r="P8023" s="103" t="str">
        <f t="shared" si="4755"/>
        <v>Saphira CTP 판 1055 x 811</v>
      </c>
      <c r="Q8023" s="71">
        <f t="shared" si="4756"/>
        <v>600</v>
      </c>
      <c r="R8023" s="102">
        <v>4120</v>
      </c>
      <c r="S8023" s="102">
        <f t="shared" si="4757"/>
        <v>2719200</v>
      </c>
      <c r="T8023" s="102">
        <f t="shared" si="4758"/>
        <v>2472000</v>
      </c>
      <c r="U8023" s="71" t="s">
        <v>859</v>
      </c>
      <c r="V8023" s="71"/>
      <c r="W8023" s="474">
        <v>1476000</v>
      </c>
      <c r="X8023" s="71"/>
      <c r="Y8023" s="71"/>
    </row>
    <row r="8024" spans="1:25" ht="30" hidden="1" customHeight="1" x14ac:dyDescent="0.25">
      <c r="A8024" s="1145">
        <v>45894</v>
      </c>
      <c r="B8024" s="664" t="s">
        <v>1060</v>
      </c>
      <c r="C8024" s="71" t="s">
        <v>3913</v>
      </c>
      <c r="D8024" s="71">
        <v>0</v>
      </c>
      <c r="E8024" s="102">
        <v>4390</v>
      </c>
      <c r="F8024" s="102">
        <f t="shared" si="4751"/>
        <v>0</v>
      </c>
      <c r="G8024" s="102">
        <f t="shared" si="4752"/>
        <v>0</v>
      </c>
      <c r="H8024" s="690" t="s">
        <v>36</v>
      </c>
      <c r="I8024" s="71" t="s">
        <v>2529</v>
      </c>
      <c r="J8024" s="53">
        <f t="shared" si="4753"/>
        <v>0</v>
      </c>
      <c r="K8024" s="63" t="e">
        <f t="shared" si="4754"/>
        <v>#DIV/0!</v>
      </c>
      <c r="L8024" s="1212" t="s">
        <v>4428</v>
      </c>
      <c r="M8024" s="102" t="s">
        <v>3964</v>
      </c>
      <c r="N8024" s="1192">
        <f t="shared" si="4742"/>
        <v>45894</v>
      </c>
      <c r="O8024" s="71" t="s">
        <v>662</v>
      </c>
      <c r="P8024" s="103" t="str">
        <f t="shared" si="4755"/>
        <v>Saphira CTP 판 968 x 631</v>
      </c>
      <c r="Q8024" s="71">
        <f t="shared" si="4756"/>
        <v>0</v>
      </c>
      <c r="R8024" s="102">
        <v>2936</v>
      </c>
      <c r="S8024" s="102">
        <f t="shared" si="4757"/>
        <v>0</v>
      </c>
      <c r="T8024" s="102">
        <f t="shared" si="4758"/>
        <v>0</v>
      </c>
      <c r="U8024" s="71" t="s">
        <v>859</v>
      </c>
      <c r="V8024" s="71"/>
      <c r="W8024" s="474">
        <v>1416000</v>
      </c>
      <c r="X8024" s="71"/>
      <c r="Y8024" s="71"/>
    </row>
    <row r="8025" spans="1:25" ht="30" hidden="1" customHeight="1" x14ac:dyDescent="0.25">
      <c r="A8025" s="1145">
        <v>45894</v>
      </c>
      <c r="B8025" s="664" t="s">
        <v>1060</v>
      </c>
      <c r="C8025" s="71" t="s">
        <v>3914</v>
      </c>
      <c r="D8025" s="71">
        <v>20</v>
      </c>
      <c r="E8025" s="102">
        <v>53240</v>
      </c>
      <c r="F8025" s="102">
        <f t="shared" si="4751"/>
        <v>1171280</v>
      </c>
      <c r="G8025" s="102">
        <f t="shared" si="4752"/>
        <v>1064800</v>
      </c>
      <c r="H8025" s="690" t="s">
        <v>36</v>
      </c>
      <c r="I8025" s="71" t="s">
        <v>2529</v>
      </c>
      <c r="J8025" s="53">
        <f t="shared" si="4753"/>
        <v>240800</v>
      </c>
      <c r="K8025" s="63">
        <f t="shared" si="4754"/>
        <v>0.22614575507137491</v>
      </c>
      <c r="L8025" s="1212" t="s">
        <v>4428</v>
      </c>
      <c r="M8025" s="468"/>
      <c r="N8025" s="1192">
        <f t="shared" si="4742"/>
        <v>45894</v>
      </c>
      <c r="O8025" s="71" t="s">
        <v>662</v>
      </c>
      <c r="P8025" s="103" t="str">
        <f t="shared" si="4755"/>
        <v>사피라 현상액</v>
      </c>
      <c r="Q8025" s="71">
        <f t="shared" si="4756"/>
        <v>20</v>
      </c>
      <c r="R8025" s="102">
        <v>41200</v>
      </c>
      <c r="S8025" s="102">
        <f t="shared" si="4757"/>
        <v>906400.00000000012</v>
      </c>
      <c r="T8025" s="102">
        <f t="shared" si="4758"/>
        <v>824000</v>
      </c>
      <c r="U8025" s="71" t="s">
        <v>859</v>
      </c>
      <c r="V8025" s="71"/>
      <c r="W8025" s="474">
        <v>978750</v>
      </c>
      <c r="X8025" s="71"/>
      <c r="Y8025" s="71"/>
    </row>
    <row r="8026" spans="1:25" ht="30" hidden="1" customHeight="1" x14ac:dyDescent="0.25">
      <c r="A8026" s="1145">
        <v>45894</v>
      </c>
      <c r="B8026" s="664" t="s">
        <v>1061</v>
      </c>
      <c r="C8026" s="71" t="s">
        <v>3319</v>
      </c>
      <c r="D8026" s="71">
        <v>200</v>
      </c>
      <c r="E8026" s="102">
        <v>6328</v>
      </c>
      <c r="F8026" s="102">
        <f t="shared" si="4751"/>
        <v>1392160</v>
      </c>
      <c r="G8026" s="102">
        <f t="shared" si="4752"/>
        <v>1265600</v>
      </c>
      <c r="H8026" s="690" t="s">
        <v>36</v>
      </c>
      <c r="I8026" s="71" t="s">
        <v>3320</v>
      </c>
      <c r="J8026" s="53">
        <f t="shared" si="4753"/>
        <v>95600</v>
      </c>
      <c r="K8026" s="63">
        <f t="shared" si="4754"/>
        <v>7.5537294563843241E-2</v>
      </c>
      <c r="L8026" s="1212" t="s">
        <v>4428</v>
      </c>
      <c r="M8026" s="468"/>
      <c r="N8026" s="1192">
        <f t="shared" si="4742"/>
        <v>45894</v>
      </c>
      <c r="O8026" s="71" t="s">
        <v>146</v>
      </c>
      <c r="P8026" s="103" t="str">
        <f t="shared" si="4755"/>
        <v>프리미어(먹)</v>
      </c>
      <c r="Q8026" s="71">
        <f t="shared" si="4756"/>
        <v>200</v>
      </c>
      <c r="R8026" s="102">
        <v>5850</v>
      </c>
      <c r="S8026" s="102">
        <f t="shared" si="4757"/>
        <v>1287000</v>
      </c>
      <c r="T8026" s="102">
        <f t="shared" si="4758"/>
        <v>1170000</v>
      </c>
      <c r="U8026" s="71" t="s">
        <v>859</v>
      </c>
      <c r="V8026" s="71"/>
      <c r="W8026" s="474">
        <v>411200</v>
      </c>
      <c r="X8026" s="71"/>
      <c r="Y8026" s="71"/>
    </row>
    <row r="8027" spans="1:25" ht="30" hidden="1" customHeight="1" x14ac:dyDescent="0.25">
      <c r="A8027" s="1145">
        <v>45894</v>
      </c>
      <c r="B8027" s="664" t="s">
        <v>1061</v>
      </c>
      <c r="C8027" s="71" t="s">
        <v>3321</v>
      </c>
      <c r="D8027" s="71">
        <v>200</v>
      </c>
      <c r="E8027" s="102">
        <v>6780</v>
      </c>
      <c r="F8027" s="102">
        <f t="shared" si="4751"/>
        <v>1491600.0000000002</v>
      </c>
      <c r="G8027" s="102">
        <f t="shared" si="4752"/>
        <v>1356000</v>
      </c>
      <c r="H8027" s="690" t="s">
        <v>36</v>
      </c>
      <c r="I8027" s="71" t="s">
        <v>3320</v>
      </c>
      <c r="J8027" s="53">
        <f t="shared" si="4753"/>
        <v>100000</v>
      </c>
      <c r="K8027" s="63">
        <f t="shared" si="4754"/>
        <v>7.3746312684365767E-2</v>
      </c>
      <c r="L8027" s="1212" t="s">
        <v>4428</v>
      </c>
      <c r="M8027" s="468"/>
      <c r="N8027" s="1192">
        <f t="shared" si="4742"/>
        <v>45894</v>
      </c>
      <c r="O8027" s="71" t="s">
        <v>146</v>
      </c>
      <c r="P8027" s="103" t="str">
        <f t="shared" si="4755"/>
        <v>프리미어(적)</v>
      </c>
      <c r="Q8027" s="71">
        <f t="shared" si="4756"/>
        <v>200</v>
      </c>
      <c r="R8027" s="102">
        <v>6280</v>
      </c>
      <c r="S8027" s="102">
        <f t="shared" si="4757"/>
        <v>1381600</v>
      </c>
      <c r="T8027" s="102">
        <f t="shared" si="4758"/>
        <v>1256000</v>
      </c>
      <c r="U8027" s="71" t="s">
        <v>859</v>
      </c>
      <c r="V8027" s="71"/>
      <c r="W8027" s="474">
        <v>292000</v>
      </c>
      <c r="X8027" s="71"/>
      <c r="Y8027" s="71"/>
    </row>
    <row r="8028" spans="1:25" ht="30" hidden="1" customHeight="1" x14ac:dyDescent="0.25">
      <c r="A8028" s="1145">
        <v>45894</v>
      </c>
      <c r="B8028" s="664" t="s">
        <v>1061</v>
      </c>
      <c r="C8028" s="71" t="s">
        <v>1289</v>
      </c>
      <c r="D8028" s="71">
        <v>400</v>
      </c>
      <c r="E8028" s="102">
        <v>6498</v>
      </c>
      <c r="F8028" s="102">
        <f t="shared" si="4751"/>
        <v>2859120</v>
      </c>
      <c r="G8028" s="102">
        <f t="shared" si="4752"/>
        <v>2599200</v>
      </c>
      <c r="H8028" s="690" t="s">
        <v>36</v>
      </c>
      <c r="I8028" s="71" t="s">
        <v>3320</v>
      </c>
      <c r="J8028" s="53">
        <f t="shared" si="4753"/>
        <v>191200</v>
      </c>
      <c r="K8028" s="63">
        <f t="shared" si="4754"/>
        <v>7.3561095721760547E-2</v>
      </c>
      <c r="L8028" s="1212" t="s">
        <v>4428</v>
      </c>
      <c r="M8028" s="468"/>
      <c r="N8028" s="1192">
        <f t="shared" si="4742"/>
        <v>45894</v>
      </c>
      <c r="O8028" s="71" t="s">
        <v>146</v>
      </c>
      <c r="P8028" s="103" t="str">
        <f t="shared" si="4755"/>
        <v>프리미어(황)</v>
      </c>
      <c r="Q8028" s="71">
        <f t="shared" si="4756"/>
        <v>400</v>
      </c>
      <c r="R8028" s="102">
        <v>6020</v>
      </c>
      <c r="S8028" s="102">
        <f t="shared" si="4757"/>
        <v>2648800</v>
      </c>
      <c r="T8028" s="102">
        <f t="shared" si="4758"/>
        <v>2408000</v>
      </c>
      <c r="U8028" s="71" t="s">
        <v>859</v>
      </c>
      <c r="V8028" s="71"/>
      <c r="W8028" s="474">
        <v>640800</v>
      </c>
      <c r="X8028" s="71"/>
      <c r="Y8028" s="71"/>
    </row>
    <row r="8029" spans="1:25" ht="30" hidden="1" customHeight="1" x14ac:dyDescent="0.25">
      <c r="A8029" s="1145">
        <v>45894</v>
      </c>
      <c r="B8029" s="664" t="s">
        <v>1061</v>
      </c>
      <c r="C8029" s="71" t="s">
        <v>1290</v>
      </c>
      <c r="D8029" s="71">
        <v>200</v>
      </c>
      <c r="E8029" s="102">
        <v>7910</v>
      </c>
      <c r="F8029" s="102">
        <f t="shared" si="4751"/>
        <v>1740200.0000000002</v>
      </c>
      <c r="G8029" s="102">
        <f t="shared" si="4752"/>
        <v>1582000</v>
      </c>
      <c r="H8029" s="690" t="s">
        <v>36</v>
      </c>
      <c r="I8029" s="71" t="s">
        <v>3320</v>
      </c>
      <c r="J8029" s="53">
        <f t="shared" si="4753"/>
        <v>120000</v>
      </c>
      <c r="K8029" s="63">
        <f t="shared" si="4754"/>
        <v>7.5853350189633365E-2</v>
      </c>
      <c r="L8029" s="1212" t="s">
        <v>4428</v>
      </c>
      <c r="M8029" s="468"/>
      <c r="N8029" s="1192">
        <f t="shared" si="4742"/>
        <v>45894</v>
      </c>
      <c r="O8029" s="71" t="s">
        <v>146</v>
      </c>
      <c r="P8029" s="103" t="str">
        <f t="shared" si="4755"/>
        <v>프리미어(청)</v>
      </c>
      <c r="Q8029" s="71">
        <f t="shared" si="4756"/>
        <v>200</v>
      </c>
      <c r="R8029" s="102">
        <v>7310</v>
      </c>
      <c r="S8029" s="102">
        <f t="shared" si="4757"/>
        <v>1608200.0000000002</v>
      </c>
      <c r="T8029" s="102">
        <f t="shared" si="4758"/>
        <v>1462000</v>
      </c>
      <c r="U8029" s="71" t="s">
        <v>859</v>
      </c>
      <c r="V8029" s="71"/>
      <c r="W8029" s="474">
        <v>846000</v>
      </c>
      <c r="X8029" s="71"/>
      <c r="Y8029" s="71"/>
    </row>
    <row r="8030" spans="1:25" ht="30" hidden="1" customHeight="1" x14ac:dyDescent="0.25">
      <c r="A8030" s="1145">
        <v>45894</v>
      </c>
      <c r="B8030" s="664" t="s">
        <v>1061</v>
      </c>
      <c r="C8030" s="71" t="s">
        <v>3322</v>
      </c>
      <c r="D8030" s="71"/>
      <c r="E8030" s="102">
        <v>7150</v>
      </c>
      <c r="F8030" s="102">
        <f t="shared" si="4751"/>
        <v>0</v>
      </c>
      <c r="G8030" s="102">
        <f t="shared" si="4752"/>
        <v>0</v>
      </c>
      <c r="H8030" s="690" t="s">
        <v>36</v>
      </c>
      <c r="I8030" s="71" t="s">
        <v>3320</v>
      </c>
      <c r="J8030" s="53">
        <f t="shared" si="4753"/>
        <v>0</v>
      </c>
      <c r="K8030" s="63" t="e">
        <f t="shared" si="4754"/>
        <v>#DIV/0!</v>
      </c>
      <c r="L8030" s="1212" t="s">
        <v>4428</v>
      </c>
      <c r="M8030" s="468"/>
      <c r="N8030" s="1192">
        <f t="shared" si="4742"/>
        <v>45894</v>
      </c>
      <c r="O8030" s="71" t="s">
        <v>3323</v>
      </c>
      <c r="P8030" s="103" t="str">
        <f t="shared" si="4755"/>
        <v>한특 잉크(적)</v>
      </c>
      <c r="Q8030" s="71">
        <f t="shared" si="4756"/>
        <v>0</v>
      </c>
      <c r="R8030" s="102">
        <v>6500</v>
      </c>
      <c r="S8030" s="102">
        <f t="shared" si="4757"/>
        <v>0</v>
      </c>
      <c r="T8030" s="102">
        <f t="shared" si="4758"/>
        <v>0</v>
      </c>
      <c r="U8030" s="71" t="s">
        <v>859</v>
      </c>
      <c r="V8030" s="71"/>
      <c r="W8030" s="474">
        <v>0</v>
      </c>
      <c r="X8030" s="71"/>
      <c r="Y8030" s="71"/>
    </row>
    <row r="8031" spans="1:25" ht="30" hidden="1" customHeight="1" x14ac:dyDescent="0.25">
      <c r="A8031" s="1145">
        <v>45894</v>
      </c>
      <c r="B8031" s="664" t="s">
        <v>1061</v>
      </c>
      <c r="C8031" s="71" t="s">
        <v>3324</v>
      </c>
      <c r="D8031" s="71"/>
      <c r="E8031" s="102">
        <v>6900</v>
      </c>
      <c r="F8031" s="102">
        <f t="shared" si="4751"/>
        <v>0</v>
      </c>
      <c r="G8031" s="102">
        <f t="shared" si="4752"/>
        <v>0</v>
      </c>
      <c r="H8031" s="690" t="s">
        <v>36</v>
      </c>
      <c r="I8031" s="71" t="s">
        <v>3320</v>
      </c>
      <c r="J8031" s="53">
        <f t="shared" si="4753"/>
        <v>0</v>
      </c>
      <c r="K8031" s="63" t="e">
        <f t="shared" si="4754"/>
        <v>#DIV/0!</v>
      </c>
      <c r="L8031" s="1212" t="s">
        <v>4428</v>
      </c>
      <c r="M8031" s="468"/>
      <c r="N8031" s="1192">
        <f t="shared" si="4742"/>
        <v>45894</v>
      </c>
      <c r="O8031" s="71" t="s">
        <v>3323</v>
      </c>
      <c r="P8031" s="103" t="str">
        <f t="shared" si="4755"/>
        <v>한특 잉크(황)</v>
      </c>
      <c r="Q8031" s="71">
        <f t="shared" si="4756"/>
        <v>0</v>
      </c>
      <c r="R8031" s="102">
        <v>6200</v>
      </c>
      <c r="S8031" s="102">
        <f t="shared" si="4757"/>
        <v>0</v>
      </c>
      <c r="T8031" s="102">
        <f t="shared" si="4758"/>
        <v>0</v>
      </c>
      <c r="U8031" s="71" t="s">
        <v>859</v>
      </c>
      <c r="V8031" s="71"/>
      <c r="W8031" s="474">
        <v>0</v>
      </c>
      <c r="X8031" s="71"/>
      <c r="Y8031" s="71"/>
    </row>
    <row r="8032" spans="1:25" ht="28.5" hidden="1" customHeight="1" x14ac:dyDescent="0.25">
      <c r="A8032" s="1145">
        <v>45894</v>
      </c>
      <c r="B8032" s="664" t="s">
        <v>1061</v>
      </c>
      <c r="C8032" s="71" t="s">
        <v>3325</v>
      </c>
      <c r="D8032" s="71"/>
      <c r="E8032" s="102">
        <v>7500</v>
      </c>
      <c r="F8032" s="102">
        <f t="shared" si="4751"/>
        <v>0</v>
      </c>
      <c r="G8032" s="102">
        <f t="shared" si="4752"/>
        <v>0</v>
      </c>
      <c r="H8032" s="690" t="s">
        <v>36</v>
      </c>
      <c r="I8032" s="71" t="s">
        <v>3320</v>
      </c>
      <c r="J8032" s="53">
        <f t="shared" si="4753"/>
        <v>0</v>
      </c>
      <c r="K8032" s="63" t="e">
        <f t="shared" si="4754"/>
        <v>#DIV/0!</v>
      </c>
      <c r="L8032" s="1212" t="s">
        <v>4428</v>
      </c>
      <c r="M8032" s="468"/>
      <c r="N8032" s="1192">
        <f t="shared" si="4742"/>
        <v>45894</v>
      </c>
      <c r="O8032" s="71" t="s">
        <v>3323</v>
      </c>
      <c r="P8032" s="103" t="str">
        <f t="shared" si="4755"/>
        <v>한특 잉크(청)</v>
      </c>
      <c r="Q8032" s="71">
        <f t="shared" si="4756"/>
        <v>0</v>
      </c>
      <c r="R8032" s="102">
        <v>6600</v>
      </c>
      <c r="S8032" s="102">
        <f t="shared" si="4757"/>
        <v>0</v>
      </c>
      <c r="T8032" s="102">
        <f t="shared" si="4758"/>
        <v>0</v>
      </c>
      <c r="U8032" s="71" t="s">
        <v>859</v>
      </c>
      <c r="V8032" s="71"/>
      <c r="W8032" s="474">
        <v>0</v>
      </c>
      <c r="X8032" s="71"/>
      <c r="Y8032" s="71"/>
    </row>
    <row r="8033" spans="1:25" ht="30" hidden="1" customHeight="1" x14ac:dyDescent="0.25">
      <c r="A8033" s="1145">
        <v>45894</v>
      </c>
      <c r="B8033" s="664" t="s">
        <v>1061</v>
      </c>
      <c r="C8033" s="71" t="s">
        <v>3326</v>
      </c>
      <c r="D8033" s="71"/>
      <c r="E8033" s="102">
        <v>6450</v>
      </c>
      <c r="F8033" s="102">
        <f t="shared" si="4751"/>
        <v>0</v>
      </c>
      <c r="G8033" s="102">
        <f t="shared" si="4752"/>
        <v>0</v>
      </c>
      <c r="H8033" s="690" t="s">
        <v>36</v>
      </c>
      <c r="I8033" s="71" t="s">
        <v>3320</v>
      </c>
      <c r="J8033" s="53">
        <f t="shared" si="4753"/>
        <v>0</v>
      </c>
      <c r="K8033" s="63" t="e">
        <f t="shared" si="4754"/>
        <v>#DIV/0!</v>
      </c>
      <c r="L8033" s="1212" t="s">
        <v>4428</v>
      </c>
      <c r="M8033" s="468"/>
      <c r="N8033" s="1192">
        <f t="shared" si="4742"/>
        <v>45894</v>
      </c>
      <c r="O8033" s="71" t="s">
        <v>3323</v>
      </c>
      <c r="P8033" s="103" t="str">
        <f t="shared" si="4755"/>
        <v>한특 잉크(먹)</v>
      </c>
      <c r="Q8033" s="71">
        <f t="shared" si="4756"/>
        <v>0</v>
      </c>
      <c r="R8033" s="102">
        <v>5700</v>
      </c>
      <c r="S8033" s="102">
        <f t="shared" si="4757"/>
        <v>0</v>
      </c>
      <c r="T8033" s="102">
        <f t="shared" si="4758"/>
        <v>0</v>
      </c>
      <c r="U8033" s="71" t="s">
        <v>859</v>
      </c>
      <c r="V8033" s="71"/>
      <c r="W8033" s="474">
        <v>0</v>
      </c>
      <c r="X8033" s="71"/>
      <c r="Y8033" s="71"/>
    </row>
    <row r="8034" spans="1:25" ht="30" hidden="1" customHeight="1" x14ac:dyDescent="0.25">
      <c r="A8034" s="1145">
        <v>45894</v>
      </c>
      <c r="B8034" s="664" t="s">
        <v>1061</v>
      </c>
      <c r="C8034" s="71" t="s">
        <v>4215</v>
      </c>
      <c r="D8034" s="71"/>
      <c r="E8034" s="102">
        <v>33500</v>
      </c>
      <c r="F8034" s="102">
        <f t="shared" si="4751"/>
        <v>0</v>
      </c>
      <c r="G8034" s="102">
        <f t="shared" si="4752"/>
        <v>0</v>
      </c>
      <c r="H8034" s="690" t="s">
        <v>36</v>
      </c>
      <c r="I8034" s="71" t="s">
        <v>3320</v>
      </c>
      <c r="J8034" s="53">
        <f t="shared" si="4753"/>
        <v>0</v>
      </c>
      <c r="K8034" s="63" t="e">
        <f t="shared" si="4754"/>
        <v>#DIV/0!</v>
      </c>
      <c r="L8034" s="1212" t="s">
        <v>4428</v>
      </c>
      <c r="M8034" s="468"/>
      <c r="N8034" s="1192">
        <f t="shared" si="4742"/>
        <v>45894</v>
      </c>
      <c r="O8034" s="71" t="s">
        <v>2459</v>
      </c>
      <c r="P8034" s="103" t="str">
        <f t="shared" si="4755"/>
        <v>별색 - 프린피아 PT-803</v>
      </c>
      <c r="Q8034" s="71">
        <f t="shared" si="4756"/>
        <v>0</v>
      </c>
      <c r="R8034" s="102">
        <v>31000</v>
      </c>
      <c r="S8034" s="102">
        <f t="shared" si="4757"/>
        <v>0</v>
      </c>
      <c r="T8034" s="102">
        <f t="shared" si="4758"/>
        <v>0</v>
      </c>
      <c r="U8034" s="71"/>
      <c r="V8034" s="71"/>
      <c r="W8034" s="474"/>
      <c r="X8034" s="71"/>
      <c r="Y8034" s="71"/>
    </row>
    <row r="8035" spans="1:25" ht="30" hidden="1" customHeight="1" x14ac:dyDescent="0.25">
      <c r="A8035" s="1145">
        <v>45894</v>
      </c>
      <c r="B8035" s="664" t="s">
        <v>1061</v>
      </c>
      <c r="C8035" s="71" t="s">
        <v>4393</v>
      </c>
      <c r="D8035" s="71"/>
      <c r="E8035" s="102">
        <v>22400</v>
      </c>
      <c r="F8035" s="102">
        <f t="shared" si="4751"/>
        <v>0</v>
      </c>
      <c r="G8035" s="102">
        <f t="shared" si="4752"/>
        <v>0</v>
      </c>
      <c r="H8035" s="690" t="s">
        <v>36</v>
      </c>
      <c r="I8035" s="71" t="s">
        <v>3320</v>
      </c>
      <c r="J8035" s="53">
        <f t="shared" si="4753"/>
        <v>0</v>
      </c>
      <c r="K8035" s="63" t="e">
        <f t="shared" si="4754"/>
        <v>#DIV/0!</v>
      </c>
      <c r="L8035" s="1212" t="s">
        <v>4428</v>
      </c>
      <c r="M8035" s="468"/>
      <c r="N8035" s="1192">
        <f t="shared" si="4742"/>
        <v>45894</v>
      </c>
      <c r="O8035" s="71" t="s">
        <v>3323</v>
      </c>
      <c r="P8035" s="103" t="str">
        <f t="shared" si="4755"/>
        <v>별색 - 프린피아 PT-810C 형광</v>
      </c>
      <c r="Q8035" s="71">
        <f t="shared" si="4756"/>
        <v>0</v>
      </c>
      <c r="R8035" s="102">
        <v>11700</v>
      </c>
      <c r="S8035" s="102">
        <f t="shared" si="4757"/>
        <v>0</v>
      </c>
      <c r="T8035" s="102">
        <f t="shared" si="4758"/>
        <v>0</v>
      </c>
      <c r="U8035" s="71"/>
      <c r="V8035" s="71"/>
      <c r="W8035" s="474"/>
      <c r="X8035" s="71"/>
      <c r="Y8035" s="71"/>
    </row>
    <row r="8036" spans="1:25" ht="30" hidden="1" customHeight="1" x14ac:dyDescent="0.25">
      <c r="A8036" s="1145">
        <v>45894</v>
      </c>
      <c r="B8036" s="664" t="s">
        <v>3307</v>
      </c>
      <c r="C8036" s="71" t="s">
        <v>3916</v>
      </c>
      <c r="D8036" s="71">
        <v>8</v>
      </c>
      <c r="E8036" s="102">
        <v>218000</v>
      </c>
      <c r="F8036" s="102">
        <f t="shared" si="4751"/>
        <v>1918400.0000000002</v>
      </c>
      <c r="G8036" s="102">
        <f t="shared" si="4752"/>
        <v>1744000</v>
      </c>
      <c r="H8036" s="690" t="s">
        <v>172</v>
      </c>
      <c r="I8036" s="71" t="s">
        <v>33</v>
      </c>
      <c r="J8036" s="53">
        <f t="shared" si="4753"/>
        <v>412000</v>
      </c>
      <c r="K8036" s="63">
        <f t="shared" si="4754"/>
        <v>0.23623853211009171</v>
      </c>
      <c r="L8036" s="1212" t="s">
        <v>4428</v>
      </c>
      <c r="M8036" s="468" t="s">
        <v>3965</v>
      </c>
      <c r="N8036" s="1192">
        <f t="shared" si="4742"/>
        <v>45894</v>
      </c>
      <c r="O8036" s="71" t="s">
        <v>662</v>
      </c>
      <c r="P8036" s="103" t="str">
        <f t="shared" si="4755"/>
        <v>윤전 블랑켓</v>
      </c>
      <c r="Q8036" s="71">
        <f t="shared" si="4756"/>
        <v>8</v>
      </c>
      <c r="R8036" s="102">
        <v>166500</v>
      </c>
      <c r="S8036" s="102">
        <f t="shared" si="4757"/>
        <v>1465200.0000000002</v>
      </c>
      <c r="T8036" s="102">
        <f t="shared" si="4758"/>
        <v>1332000</v>
      </c>
      <c r="U8036" s="71" t="s">
        <v>859</v>
      </c>
      <c r="V8036" s="71" t="s">
        <v>728</v>
      </c>
      <c r="W8036" s="474">
        <v>464000</v>
      </c>
      <c r="X8036" s="71"/>
      <c r="Y8036" s="71"/>
    </row>
    <row r="8037" spans="1:25" ht="30" hidden="1" customHeight="1" x14ac:dyDescent="0.25">
      <c r="A8037" s="1145">
        <v>45894</v>
      </c>
      <c r="B8037" s="664" t="s">
        <v>3307</v>
      </c>
      <c r="C8037" s="71" t="s">
        <v>4180</v>
      </c>
      <c r="D8037" s="71">
        <v>1</v>
      </c>
      <c r="E8037" s="102">
        <v>2350000</v>
      </c>
      <c r="F8037" s="102">
        <f t="shared" si="4751"/>
        <v>2585000</v>
      </c>
      <c r="G8037" s="102">
        <f t="shared" si="4752"/>
        <v>2350000</v>
      </c>
      <c r="H8037" s="690" t="s">
        <v>36</v>
      </c>
      <c r="I8037" s="690" t="s">
        <v>36</v>
      </c>
      <c r="J8037" s="53">
        <f t="shared" si="4753"/>
        <v>600000</v>
      </c>
      <c r="K8037" s="63">
        <f t="shared" si="4754"/>
        <v>0.25531914893617019</v>
      </c>
      <c r="L8037" s="1212" t="s">
        <v>4428</v>
      </c>
      <c r="M8037" s="468"/>
      <c r="N8037" s="1192">
        <f t="shared" si="4742"/>
        <v>45894</v>
      </c>
      <c r="O8037" s="71" t="s">
        <v>3298</v>
      </c>
      <c r="P8037" s="103" t="str">
        <f t="shared" si="4755"/>
        <v>8월분 Apogee 사용료</v>
      </c>
      <c r="Q8037" s="71">
        <f t="shared" si="4756"/>
        <v>1</v>
      </c>
      <c r="R8037" s="147">
        <v>1750000</v>
      </c>
      <c r="S8037" s="102">
        <f t="shared" si="4757"/>
        <v>1925000.0000000002</v>
      </c>
      <c r="T8037" s="102">
        <f t="shared" si="4758"/>
        <v>1750000</v>
      </c>
      <c r="U8037" s="71"/>
      <c r="V8037" s="71"/>
      <c r="W8037" s="474"/>
      <c r="X8037" s="71"/>
      <c r="Y8037" s="71"/>
    </row>
    <row r="8038" spans="1:25" ht="30" hidden="1" customHeight="1" x14ac:dyDescent="0.25">
      <c r="A8038" s="1145">
        <v>45883</v>
      </c>
      <c r="B8038" s="664" t="s">
        <v>2353</v>
      </c>
      <c r="C8038" s="71" t="s">
        <v>4278</v>
      </c>
      <c r="D8038" s="71">
        <v>20</v>
      </c>
      <c r="E8038" s="102">
        <v>40000</v>
      </c>
      <c r="F8038" s="102">
        <f t="shared" si="4751"/>
        <v>880000.00000000012</v>
      </c>
      <c r="G8038" s="102">
        <f t="shared" si="4752"/>
        <v>800000</v>
      </c>
      <c r="H8038" s="690" t="s">
        <v>36</v>
      </c>
      <c r="I8038" s="690" t="s">
        <v>36</v>
      </c>
      <c r="J8038" s="53">
        <f t="shared" si="4753"/>
        <v>100000</v>
      </c>
      <c r="K8038" s="63">
        <f t="shared" si="4754"/>
        <v>0.12499999999999999</v>
      </c>
      <c r="L8038" s="1212" t="s">
        <v>4428</v>
      </c>
      <c r="M8038" s="102"/>
      <c r="N8038" s="1192">
        <f t="shared" si="4742"/>
        <v>45883</v>
      </c>
      <c r="O8038" s="71" t="s">
        <v>2030</v>
      </c>
      <c r="P8038" s="103" t="str">
        <f t="shared" si="4755"/>
        <v>흡입 싸카통</v>
      </c>
      <c r="Q8038" s="71">
        <f t="shared" si="4756"/>
        <v>20</v>
      </c>
      <c r="R8038" s="102">
        <v>35000</v>
      </c>
      <c r="S8038" s="102">
        <f t="shared" si="4709"/>
        <v>770000.00000000012</v>
      </c>
      <c r="T8038" s="102">
        <f t="shared" si="4710"/>
        <v>700000</v>
      </c>
      <c r="U8038" s="71"/>
      <c r="V8038" s="71"/>
      <c r="W8038" s="474"/>
      <c r="X8038" s="71"/>
      <c r="Y8038" s="71"/>
    </row>
    <row r="8039" spans="1:25" ht="30" hidden="1" customHeight="1" x14ac:dyDescent="0.25">
      <c r="A8039" s="1145">
        <v>45883</v>
      </c>
      <c r="B8039" s="664" t="s">
        <v>2353</v>
      </c>
      <c r="C8039" s="71" t="s">
        <v>584</v>
      </c>
      <c r="D8039" s="71">
        <v>5</v>
      </c>
      <c r="E8039" s="102">
        <v>270000</v>
      </c>
      <c r="F8039" s="102">
        <f t="shared" ref="F8039:F8040" si="4759">(E8039*D8039)*1.1</f>
        <v>1485000.0000000002</v>
      </c>
      <c r="G8039" s="102">
        <f t="shared" ref="G8039:G8040" si="4760">(E8039*D8039)</f>
        <v>1350000</v>
      </c>
      <c r="H8039" s="690" t="s">
        <v>142</v>
      </c>
      <c r="I8039" s="71" t="s">
        <v>179</v>
      </c>
      <c r="J8039" s="53">
        <f t="shared" ref="J8039:J8040" si="4761">G8039-T8039</f>
        <v>410000</v>
      </c>
      <c r="K8039" s="63">
        <f t="shared" ref="K8039:K8040" si="4762">(J8039/(F8039/11*10))</f>
        <v>0.30370370370370364</v>
      </c>
      <c r="L8039" s="1212" t="s">
        <v>4428</v>
      </c>
      <c r="M8039" s="468"/>
      <c r="N8039" s="1192">
        <f t="shared" si="4742"/>
        <v>45883</v>
      </c>
      <c r="O8039" s="71" t="s">
        <v>150</v>
      </c>
      <c r="P8039" s="103" t="str">
        <f t="shared" si="4755"/>
        <v>데리바리 석션벨트</v>
      </c>
      <c r="Q8039" s="71">
        <f t="shared" si="4756"/>
        <v>5</v>
      </c>
      <c r="R8039" s="102">
        <v>188000</v>
      </c>
      <c r="S8039" s="102">
        <f t="shared" si="4709"/>
        <v>1034000.0000000001</v>
      </c>
      <c r="T8039" s="102">
        <f t="shared" si="4710"/>
        <v>940000</v>
      </c>
      <c r="U8039" s="71" t="str">
        <f>IF(J8039=W8039,"O", "X")</f>
        <v>O</v>
      </c>
      <c r="V8039" s="71"/>
      <c r="W8039" s="474">
        <f>(G8039-T8039)</f>
        <v>410000</v>
      </c>
      <c r="X8039" s="71"/>
      <c r="Y8039" s="71"/>
    </row>
    <row r="8040" spans="1:25" ht="30" hidden="1" customHeight="1" x14ac:dyDescent="0.25">
      <c r="A8040" s="1145">
        <v>45883</v>
      </c>
      <c r="B8040" s="664" t="s">
        <v>2353</v>
      </c>
      <c r="C8040" s="71" t="s">
        <v>3858</v>
      </c>
      <c r="D8040" s="71">
        <v>2</v>
      </c>
      <c r="E8040" s="102">
        <v>520000</v>
      </c>
      <c r="F8040" s="102">
        <f t="shared" si="4759"/>
        <v>1144000</v>
      </c>
      <c r="G8040" s="102">
        <f t="shared" si="4760"/>
        <v>1040000</v>
      </c>
      <c r="H8040" s="690" t="s">
        <v>36</v>
      </c>
      <c r="I8040" s="690" t="s">
        <v>36</v>
      </c>
      <c r="J8040" s="53">
        <f t="shared" si="4761"/>
        <v>140000</v>
      </c>
      <c r="K8040" s="63">
        <f t="shared" si="4762"/>
        <v>0.13461538461538461</v>
      </c>
      <c r="L8040" s="1212" t="s">
        <v>4428</v>
      </c>
      <c r="M8040" s="102"/>
      <c r="N8040" s="1192">
        <f t="shared" si="4742"/>
        <v>45883</v>
      </c>
      <c r="O8040" s="71" t="s">
        <v>150</v>
      </c>
      <c r="P8040" s="103" t="str">
        <f t="shared" si="4755"/>
        <v>전기 판넬 필터 세트</v>
      </c>
      <c r="Q8040" s="71">
        <f t="shared" si="4756"/>
        <v>2</v>
      </c>
      <c r="R8040" s="102">
        <v>450000</v>
      </c>
      <c r="S8040" s="102">
        <f t="shared" si="4709"/>
        <v>990000.00000000012</v>
      </c>
      <c r="T8040" s="102">
        <f t="shared" si="4710"/>
        <v>900000</v>
      </c>
      <c r="U8040" s="71"/>
      <c r="V8040" s="71"/>
      <c r="W8040" s="474"/>
      <c r="X8040" s="71"/>
      <c r="Y8040" s="71"/>
    </row>
    <row r="8041" spans="1:25" ht="27" hidden="1" customHeight="1" x14ac:dyDescent="0.25">
      <c r="A8041" s="1145">
        <v>45883</v>
      </c>
      <c r="B8041" s="664" t="s">
        <v>2353</v>
      </c>
      <c r="C8041" s="71" t="s">
        <v>2648</v>
      </c>
      <c r="D8041" s="71">
        <v>5</v>
      </c>
      <c r="E8041" s="102">
        <v>50000</v>
      </c>
      <c r="F8041" s="102">
        <f t="shared" ref="F8041:F8047" si="4763">(E8041*D8041)*1.1</f>
        <v>275000</v>
      </c>
      <c r="G8041" s="102">
        <f t="shared" ref="G8041:G8047" si="4764">(E8041*D8041)</f>
        <v>250000</v>
      </c>
      <c r="H8041" s="690" t="s">
        <v>179</v>
      </c>
      <c r="I8041" s="690" t="s">
        <v>179</v>
      </c>
      <c r="J8041" s="53">
        <f t="shared" ref="J8041:J8047" si="4765">G8041-T8041</f>
        <v>130000</v>
      </c>
      <c r="K8041" s="63">
        <f t="shared" ref="K8041:K8047" si="4766">(J8041/(F8041/11*10))</f>
        <v>0.52</v>
      </c>
      <c r="L8041" s="1212" t="s">
        <v>4428</v>
      </c>
      <c r="M8041" s="468"/>
      <c r="N8041" s="1192">
        <f t="shared" si="4742"/>
        <v>45883</v>
      </c>
      <c r="O8041" s="71" t="s">
        <v>94</v>
      </c>
      <c r="P8041" s="103" t="str">
        <f t="shared" si="4755"/>
        <v>주머니 필터백</v>
      </c>
      <c r="Q8041" s="71">
        <f t="shared" si="4756"/>
        <v>5</v>
      </c>
      <c r="R8041" s="102">
        <v>24000</v>
      </c>
      <c r="S8041" s="102">
        <f t="shared" si="4709"/>
        <v>132000</v>
      </c>
      <c r="T8041" s="102">
        <f t="shared" si="4710"/>
        <v>120000</v>
      </c>
      <c r="U8041" s="71"/>
      <c r="V8041" s="71"/>
      <c r="W8041" s="474"/>
      <c r="X8041" s="71"/>
      <c r="Y8041" s="71"/>
    </row>
    <row r="8042" spans="1:25" s="209" customFormat="1" ht="30" hidden="1" customHeight="1" x14ac:dyDescent="0.25">
      <c r="A8042" s="1145">
        <v>45883</v>
      </c>
      <c r="B8042" s="664" t="s">
        <v>2353</v>
      </c>
      <c r="C8042" s="71" t="s">
        <v>130</v>
      </c>
      <c r="D8042" s="71">
        <v>10</v>
      </c>
      <c r="E8042" s="102">
        <v>148000</v>
      </c>
      <c r="F8042" s="102">
        <f t="shared" si="4763"/>
        <v>1628000.0000000002</v>
      </c>
      <c r="G8042" s="102">
        <f t="shared" si="4764"/>
        <v>1480000</v>
      </c>
      <c r="H8042" s="690" t="s">
        <v>142</v>
      </c>
      <c r="I8042" s="71" t="s">
        <v>179</v>
      </c>
      <c r="J8042" s="53">
        <f t="shared" si="4765"/>
        <v>360000</v>
      </c>
      <c r="K8042" s="63">
        <f t="shared" si="4766"/>
        <v>0.2432432432432432</v>
      </c>
      <c r="L8042" s="1212" t="s">
        <v>4428</v>
      </c>
      <c r="M8042" s="468" t="s">
        <v>2050</v>
      </c>
      <c r="N8042" s="1192">
        <f t="shared" si="4742"/>
        <v>45883</v>
      </c>
      <c r="O8042" s="71" t="s">
        <v>3383</v>
      </c>
      <c r="P8042" s="103" t="str">
        <f t="shared" si="4755"/>
        <v>XL106 Blanket(1077*885)</v>
      </c>
      <c r="Q8042" s="71">
        <f t="shared" si="4756"/>
        <v>10</v>
      </c>
      <c r="R8042" s="102">
        <v>112000</v>
      </c>
      <c r="S8042" s="102">
        <f t="shared" si="4709"/>
        <v>1232000</v>
      </c>
      <c r="T8042" s="102">
        <f t="shared" si="4710"/>
        <v>1120000</v>
      </c>
      <c r="U8042" s="71" t="s">
        <v>859</v>
      </c>
      <c r="V8042" s="71"/>
      <c r="W8042" s="474">
        <v>260000</v>
      </c>
      <c r="X8042" s="71"/>
      <c r="Y8042" s="71"/>
    </row>
    <row r="8043" spans="1:25" ht="28.9" hidden="1" customHeight="1" x14ac:dyDescent="0.25">
      <c r="A8043" s="1145">
        <v>45883</v>
      </c>
      <c r="B8043" s="664" t="s">
        <v>2353</v>
      </c>
      <c r="C8043" s="71" t="s">
        <v>129</v>
      </c>
      <c r="D8043" s="71">
        <v>7</v>
      </c>
      <c r="E8043" s="102">
        <v>325000</v>
      </c>
      <c r="F8043" s="102">
        <f t="shared" si="4763"/>
        <v>2502500</v>
      </c>
      <c r="G8043" s="102">
        <f t="shared" si="4764"/>
        <v>2275000</v>
      </c>
      <c r="H8043" s="690" t="s">
        <v>142</v>
      </c>
      <c r="I8043" s="71" t="s">
        <v>179</v>
      </c>
      <c r="J8043" s="53">
        <f t="shared" si="4765"/>
        <v>636440</v>
      </c>
      <c r="K8043" s="63">
        <f t="shared" si="4766"/>
        <v>0.27975384615384613</v>
      </c>
      <c r="L8043" s="1212" t="s">
        <v>4428</v>
      </c>
      <c r="M8043" s="468" t="s">
        <v>2050</v>
      </c>
      <c r="N8043" s="1192">
        <f t="shared" si="4742"/>
        <v>45883</v>
      </c>
      <c r="O8043" s="71" t="s">
        <v>149</v>
      </c>
      <c r="P8043" s="103" t="str">
        <f t="shared" si="4755"/>
        <v>세정포-XL106</v>
      </c>
      <c r="Q8043" s="71">
        <f t="shared" si="4756"/>
        <v>7</v>
      </c>
      <c r="R8043" s="102">
        <v>234080</v>
      </c>
      <c r="S8043" s="102">
        <f t="shared" si="4709"/>
        <v>1802416.0000000002</v>
      </c>
      <c r="T8043" s="102">
        <f t="shared" si="4710"/>
        <v>1638560</v>
      </c>
      <c r="U8043" s="71" t="str">
        <f>IF(J8043=W8043,"O", "X")</f>
        <v>O</v>
      </c>
      <c r="V8043" s="71"/>
      <c r="W8043" s="474">
        <f>(G8043-T8043)</f>
        <v>636440</v>
      </c>
      <c r="X8043" s="71"/>
      <c r="Y8043" s="71"/>
    </row>
    <row r="8044" spans="1:25" s="209" customFormat="1" ht="30" hidden="1" customHeight="1" x14ac:dyDescent="0.25">
      <c r="A8044" s="1145">
        <v>45883</v>
      </c>
      <c r="B8044" s="664" t="s">
        <v>2353</v>
      </c>
      <c r="C8044" s="71" t="s">
        <v>3299</v>
      </c>
      <c r="D8044" s="71">
        <v>10</v>
      </c>
      <c r="E8044" s="102">
        <v>83000</v>
      </c>
      <c r="F8044" s="102">
        <f t="shared" si="4763"/>
        <v>913000.00000000012</v>
      </c>
      <c r="G8044" s="102">
        <f t="shared" si="4764"/>
        <v>830000</v>
      </c>
      <c r="H8044" s="690" t="s">
        <v>142</v>
      </c>
      <c r="I8044" s="71" t="s">
        <v>179</v>
      </c>
      <c r="J8044" s="53">
        <f t="shared" si="4765"/>
        <v>355000</v>
      </c>
      <c r="K8044" s="63">
        <f t="shared" si="4766"/>
        <v>0.42771084337349391</v>
      </c>
      <c r="L8044" s="1212" t="s">
        <v>4428</v>
      </c>
      <c r="M8044" s="468" t="s">
        <v>2214</v>
      </c>
      <c r="N8044" s="1192">
        <f t="shared" si="4742"/>
        <v>45883</v>
      </c>
      <c r="O8044" s="71" t="s">
        <v>3383</v>
      </c>
      <c r="P8044" s="103" t="str">
        <f t="shared" si="4755"/>
        <v>매엽용 세척제(Wash k11)</v>
      </c>
      <c r="Q8044" s="71">
        <f t="shared" si="4756"/>
        <v>10</v>
      </c>
      <c r="R8044" s="102">
        <v>47500</v>
      </c>
      <c r="S8044" s="102">
        <f t="shared" si="4709"/>
        <v>522500.00000000006</v>
      </c>
      <c r="T8044" s="102">
        <f t="shared" si="4710"/>
        <v>475000</v>
      </c>
      <c r="U8044" s="71" t="s">
        <v>859</v>
      </c>
      <c r="V8044" s="71"/>
      <c r="W8044" s="474">
        <v>136000</v>
      </c>
      <c r="X8044" s="71"/>
      <c r="Y8044" s="71"/>
    </row>
    <row r="8045" spans="1:25" s="209" customFormat="1" ht="30" hidden="1" customHeight="1" x14ac:dyDescent="0.25">
      <c r="A8045" s="1145">
        <v>45883</v>
      </c>
      <c r="B8045" s="664" t="s">
        <v>2353</v>
      </c>
      <c r="C8045" s="71" t="s">
        <v>3843</v>
      </c>
      <c r="D8045" s="71">
        <v>5</v>
      </c>
      <c r="E8045" s="102">
        <v>180000</v>
      </c>
      <c r="F8045" s="102">
        <f t="shared" si="4763"/>
        <v>990000.00000000012</v>
      </c>
      <c r="G8045" s="102">
        <f t="shared" si="4764"/>
        <v>900000</v>
      </c>
      <c r="H8045" s="690" t="s">
        <v>179</v>
      </c>
      <c r="I8045" s="71" t="s">
        <v>179</v>
      </c>
      <c r="J8045" s="53">
        <f t="shared" si="4765"/>
        <v>240000</v>
      </c>
      <c r="K8045" s="63">
        <f t="shared" si="4766"/>
        <v>0.26666666666666661</v>
      </c>
      <c r="L8045" s="1212" t="s">
        <v>4428</v>
      </c>
      <c r="M8045" s="468"/>
      <c r="N8045" s="1192">
        <f t="shared" si="4742"/>
        <v>45883</v>
      </c>
      <c r="O8045" s="71" t="s">
        <v>3383</v>
      </c>
      <c r="P8045" s="103" t="str">
        <f t="shared" si="4755"/>
        <v>수이보 세척액(습수액 클리너)</v>
      </c>
      <c r="Q8045" s="71">
        <f t="shared" si="4756"/>
        <v>5</v>
      </c>
      <c r="R8045" s="102">
        <f>11000*12</f>
        <v>132000</v>
      </c>
      <c r="S8045" s="102">
        <f t="shared" si="4709"/>
        <v>726000.00000000012</v>
      </c>
      <c r="T8045" s="102">
        <f t="shared" si="4710"/>
        <v>660000</v>
      </c>
      <c r="U8045" s="71"/>
      <c r="V8045" s="71"/>
      <c r="W8045" s="474"/>
      <c r="X8045" s="71"/>
      <c r="Y8045" s="71"/>
    </row>
    <row r="8046" spans="1:25" ht="30" hidden="1" customHeight="1" x14ac:dyDescent="0.25">
      <c r="A8046" s="1145">
        <v>45887</v>
      </c>
      <c r="B8046" s="664" t="s">
        <v>2579</v>
      </c>
      <c r="C8046" s="71" t="s">
        <v>3738</v>
      </c>
      <c r="D8046" s="71">
        <v>10</v>
      </c>
      <c r="E8046" s="102">
        <v>130000</v>
      </c>
      <c r="F8046" s="102">
        <f t="shared" si="4763"/>
        <v>1430000</v>
      </c>
      <c r="G8046" s="102">
        <f t="shared" si="4764"/>
        <v>1300000</v>
      </c>
      <c r="H8046" s="690" t="s">
        <v>142</v>
      </c>
      <c r="I8046" s="71" t="s">
        <v>142</v>
      </c>
      <c r="J8046" s="53">
        <f t="shared" si="4765"/>
        <v>339000</v>
      </c>
      <c r="K8046" s="63">
        <f t="shared" si="4766"/>
        <v>0.26076923076923075</v>
      </c>
      <c r="L8046" s="1212" t="s">
        <v>4428</v>
      </c>
      <c r="M8046" s="468"/>
      <c r="N8046" s="1192">
        <f t="shared" si="4742"/>
        <v>45887</v>
      </c>
      <c r="O8046" s="71" t="s">
        <v>147</v>
      </c>
      <c r="P8046" s="103" t="str">
        <f t="shared" si="4755"/>
        <v>블랑켓 - 고모리 용 (1040*920)</v>
      </c>
      <c r="Q8046" s="71">
        <f t="shared" si="4756"/>
        <v>10</v>
      </c>
      <c r="R8046" s="102">
        <v>96100</v>
      </c>
      <c r="S8046" s="102">
        <f t="shared" si="4709"/>
        <v>1057100</v>
      </c>
      <c r="T8046" s="102">
        <f t="shared" si="4710"/>
        <v>961000</v>
      </c>
      <c r="U8046" s="71"/>
      <c r="V8046" s="71"/>
      <c r="W8046" s="474"/>
      <c r="X8046" s="71"/>
      <c r="Y8046" s="71"/>
    </row>
    <row r="8047" spans="1:25" ht="30" hidden="1" customHeight="1" x14ac:dyDescent="0.25">
      <c r="A8047" s="1145">
        <v>45887</v>
      </c>
      <c r="B8047" s="664" t="s">
        <v>2353</v>
      </c>
      <c r="C8047" s="71" t="s">
        <v>3728</v>
      </c>
      <c r="D8047" s="71">
        <v>30</v>
      </c>
      <c r="E8047" s="102">
        <v>35000</v>
      </c>
      <c r="F8047" s="102">
        <f t="shared" si="4763"/>
        <v>1155000</v>
      </c>
      <c r="G8047" s="102">
        <f t="shared" si="4764"/>
        <v>1050000</v>
      </c>
      <c r="H8047" s="690" t="s">
        <v>142</v>
      </c>
      <c r="I8047" s="71" t="s">
        <v>142</v>
      </c>
      <c r="J8047" s="53">
        <f t="shared" si="4765"/>
        <v>-375000</v>
      </c>
      <c r="K8047" s="63">
        <f t="shared" si="4766"/>
        <v>-0.35714285714285715</v>
      </c>
      <c r="L8047" s="1212" t="s">
        <v>4428</v>
      </c>
      <c r="M8047" s="468" t="s">
        <v>3907</v>
      </c>
      <c r="N8047" s="1192">
        <f t="shared" si="4742"/>
        <v>45887</v>
      </c>
      <c r="O8047" s="71" t="s">
        <v>149</v>
      </c>
      <c r="P8047" s="103" t="str">
        <f t="shared" si="4755"/>
        <v>고모리 자동 세척액</v>
      </c>
      <c r="Q8047" s="71">
        <f t="shared" si="4756"/>
        <v>30</v>
      </c>
      <c r="R8047" s="102">
        <v>47500</v>
      </c>
      <c r="S8047" s="102">
        <f t="shared" si="4709"/>
        <v>1567500.0000000002</v>
      </c>
      <c r="T8047" s="102">
        <f t="shared" si="4710"/>
        <v>1425000</v>
      </c>
      <c r="U8047" s="71"/>
      <c r="V8047" s="71"/>
      <c r="W8047" s="474"/>
      <c r="X8047" s="71"/>
      <c r="Y8047" s="71"/>
    </row>
    <row r="8048" spans="1:25" s="209" customFormat="1" ht="30" hidden="1" customHeight="1" x14ac:dyDescent="0.25">
      <c r="A8048" s="1145">
        <v>45897</v>
      </c>
      <c r="B8048" s="664" t="s">
        <v>2353</v>
      </c>
      <c r="C8048" s="71" t="s">
        <v>130</v>
      </c>
      <c r="D8048" s="71">
        <v>10</v>
      </c>
      <c r="E8048" s="102">
        <v>148000</v>
      </c>
      <c r="F8048" s="102">
        <f t="shared" ref="F8048:F8052" si="4767">(E8048*D8048)*1.1</f>
        <v>1628000.0000000002</v>
      </c>
      <c r="G8048" s="102">
        <f t="shared" ref="G8048:G8052" si="4768">(E8048*D8048)</f>
        <v>1480000</v>
      </c>
      <c r="H8048" s="690" t="s">
        <v>142</v>
      </c>
      <c r="I8048" s="71" t="s">
        <v>179</v>
      </c>
      <c r="J8048" s="53">
        <f t="shared" ref="J8048:J8052" si="4769">G8048-T8048</f>
        <v>360000</v>
      </c>
      <c r="K8048" s="63">
        <f t="shared" ref="K8048:K8052" si="4770">(J8048/(F8048/11*10))</f>
        <v>0.2432432432432432</v>
      </c>
      <c r="L8048" s="1212" t="s">
        <v>4428</v>
      </c>
      <c r="M8048" s="468" t="s">
        <v>2050</v>
      </c>
      <c r="N8048" s="1192">
        <f t="shared" si="4742"/>
        <v>45897</v>
      </c>
      <c r="O8048" s="71" t="s">
        <v>3383</v>
      </c>
      <c r="P8048" s="103" t="str">
        <f t="shared" si="4755"/>
        <v>XL106 Blanket(1077*885)</v>
      </c>
      <c r="Q8048" s="71">
        <f t="shared" si="4756"/>
        <v>10</v>
      </c>
      <c r="R8048" s="102">
        <v>112000</v>
      </c>
      <c r="S8048" s="102">
        <f t="shared" ref="S8048:S8052" si="4771">R8048*Q8048*1.1</f>
        <v>1232000</v>
      </c>
      <c r="T8048" s="102">
        <f t="shared" ref="T8048:T8052" si="4772">R8048*Q8048</f>
        <v>1120000</v>
      </c>
      <c r="U8048" s="71" t="s">
        <v>859</v>
      </c>
      <c r="V8048" s="71"/>
      <c r="W8048" s="474">
        <v>260000</v>
      </c>
      <c r="X8048" s="71"/>
      <c r="Y8048" s="71"/>
    </row>
    <row r="8049" spans="1:25" ht="28.9" hidden="1" customHeight="1" x14ac:dyDescent="0.25">
      <c r="A8049" s="1145">
        <v>45897</v>
      </c>
      <c r="B8049" s="664" t="s">
        <v>2353</v>
      </c>
      <c r="C8049" s="71" t="s">
        <v>129</v>
      </c>
      <c r="D8049" s="71">
        <v>7</v>
      </c>
      <c r="E8049" s="102">
        <v>325000</v>
      </c>
      <c r="F8049" s="102">
        <f t="shared" si="4767"/>
        <v>2502500</v>
      </c>
      <c r="G8049" s="102">
        <f t="shared" si="4768"/>
        <v>2275000</v>
      </c>
      <c r="H8049" s="690" t="s">
        <v>142</v>
      </c>
      <c r="I8049" s="71" t="s">
        <v>179</v>
      </c>
      <c r="J8049" s="53">
        <f t="shared" si="4769"/>
        <v>636440</v>
      </c>
      <c r="K8049" s="63">
        <f t="shared" si="4770"/>
        <v>0.27975384615384613</v>
      </c>
      <c r="L8049" s="1212" t="s">
        <v>4428</v>
      </c>
      <c r="M8049" s="468" t="s">
        <v>2050</v>
      </c>
      <c r="N8049" s="1192">
        <f t="shared" si="4742"/>
        <v>45897</v>
      </c>
      <c r="O8049" s="71" t="s">
        <v>149</v>
      </c>
      <c r="P8049" s="103" t="str">
        <f t="shared" si="4755"/>
        <v>세정포-XL106</v>
      </c>
      <c r="Q8049" s="71">
        <f t="shared" si="4756"/>
        <v>7</v>
      </c>
      <c r="R8049" s="102">
        <v>234080</v>
      </c>
      <c r="S8049" s="102">
        <f t="shared" si="4771"/>
        <v>1802416.0000000002</v>
      </c>
      <c r="T8049" s="102">
        <f t="shared" si="4772"/>
        <v>1638560</v>
      </c>
      <c r="U8049" s="71" t="str">
        <f>IF(J8049=W8049,"O", "X")</f>
        <v>O</v>
      </c>
      <c r="V8049" s="71"/>
      <c r="W8049" s="474">
        <f>(G8049-T8049)</f>
        <v>636440</v>
      </c>
      <c r="X8049" s="71"/>
      <c r="Y8049" s="71"/>
    </row>
    <row r="8050" spans="1:25" ht="30" hidden="1" customHeight="1" x14ac:dyDescent="0.25">
      <c r="A8050" s="1145">
        <v>45897</v>
      </c>
      <c r="B8050" s="664" t="s">
        <v>2353</v>
      </c>
      <c r="C8050" s="71" t="s">
        <v>3727</v>
      </c>
      <c r="D8050" s="71">
        <v>5</v>
      </c>
      <c r="E8050" s="102">
        <v>225000</v>
      </c>
      <c r="F8050" s="102">
        <f t="shared" si="4767"/>
        <v>1237500</v>
      </c>
      <c r="G8050" s="102">
        <f t="shared" si="4768"/>
        <v>1125000</v>
      </c>
      <c r="H8050" s="690" t="s">
        <v>142</v>
      </c>
      <c r="I8050" s="71" t="s">
        <v>142</v>
      </c>
      <c r="J8050" s="53">
        <f t="shared" si="4769"/>
        <v>500000</v>
      </c>
      <c r="K8050" s="63">
        <f t="shared" si="4770"/>
        <v>0.44444444444444442</v>
      </c>
      <c r="L8050" s="1212" t="s">
        <v>4428</v>
      </c>
      <c r="M8050" s="468"/>
      <c r="N8050" s="1192">
        <f t="shared" si="4742"/>
        <v>45897</v>
      </c>
      <c r="O8050" s="71" t="s">
        <v>189</v>
      </c>
      <c r="P8050" s="103" t="str">
        <f t="shared" si="4755"/>
        <v>압통 코팅제 - 퀵 프린트</v>
      </c>
      <c r="Q8050" s="71">
        <f t="shared" si="4756"/>
        <v>5</v>
      </c>
      <c r="R8050" s="102">
        <f>25000*5</f>
        <v>125000</v>
      </c>
      <c r="S8050" s="102">
        <f t="shared" si="4771"/>
        <v>687500</v>
      </c>
      <c r="T8050" s="102">
        <f t="shared" si="4772"/>
        <v>625000</v>
      </c>
      <c r="U8050" s="71"/>
      <c r="V8050" s="71"/>
      <c r="W8050" s="474"/>
      <c r="X8050" s="71"/>
      <c r="Y8050" s="71"/>
    </row>
    <row r="8051" spans="1:25" ht="30" customHeight="1" x14ac:dyDescent="0.25">
      <c r="A8051" s="1145">
        <v>45894</v>
      </c>
      <c r="B8051" s="664" t="s">
        <v>641</v>
      </c>
      <c r="C8051" s="71" t="s">
        <v>3293</v>
      </c>
      <c r="D8051" s="71">
        <v>30</v>
      </c>
      <c r="E8051" s="102">
        <v>84000</v>
      </c>
      <c r="F8051" s="102">
        <f t="shared" si="4767"/>
        <v>2772000</v>
      </c>
      <c r="G8051" s="102">
        <f t="shared" si="4768"/>
        <v>2520000</v>
      </c>
      <c r="H8051" s="690" t="s">
        <v>172</v>
      </c>
      <c r="I8051" s="71" t="s">
        <v>38</v>
      </c>
      <c r="J8051" s="53">
        <f t="shared" si="4769"/>
        <v>990000</v>
      </c>
      <c r="K8051" s="63">
        <f t="shared" si="4770"/>
        <v>0.39285714285714285</v>
      </c>
      <c r="L8051" s="1212" t="s">
        <v>4428</v>
      </c>
      <c r="M8051" s="468"/>
      <c r="N8051" s="1192">
        <f t="shared" si="4742"/>
        <v>45894</v>
      </c>
      <c r="O8051" s="71" t="s">
        <v>3291</v>
      </c>
      <c r="P8051" s="103" t="str">
        <f t="shared" si="4755"/>
        <v>GOSS 신문윤전 습식세정포</v>
      </c>
      <c r="Q8051" s="71">
        <f t="shared" si="4756"/>
        <v>30</v>
      </c>
      <c r="R8051" s="102">
        <v>51000</v>
      </c>
      <c r="S8051" s="102">
        <f t="shared" si="4771"/>
        <v>1683000.0000000002</v>
      </c>
      <c r="T8051" s="102">
        <f t="shared" si="4772"/>
        <v>1530000</v>
      </c>
      <c r="U8051" s="71" t="str">
        <f>IF(J8051=W8051,"O", "X")</f>
        <v>X</v>
      </c>
      <c r="V8051" s="71"/>
      <c r="W8051" s="474"/>
      <c r="X8051" s="71"/>
      <c r="Y8051" s="71"/>
    </row>
    <row r="8052" spans="1:25" ht="30" customHeight="1" x14ac:dyDescent="0.25">
      <c r="A8052" s="1145">
        <v>45894</v>
      </c>
      <c r="B8052" s="664" t="s">
        <v>2352</v>
      </c>
      <c r="C8052" s="71" t="s">
        <v>3838</v>
      </c>
      <c r="D8052" s="71">
        <v>20</v>
      </c>
      <c r="E8052" s="102">
        <v>20000</v>
      </c>
      <c r="F8052" s="102">
        <f t="shared" si="4767"/>
        <v>440000.00000000006</v>
      </c>
      <c r="G8052" s="102">
        <f t="shared" si="4768"/>
        <v>400000</v>
      </c>
      <c r="H8052" s="690" t="s">
        <v>179</v>
      </c>
      <c r="I8052" s="71" t="s">
        <v>179</v>
      </c>
      <c r="J8052" s="53">
        <f t="shared" si="4769"/>
        <v>370000</v>
      </c>
      <c r="K8052" s="63">
        <f t="shared" si="4770"/>
        <v>0.92499999999999982</v>
      </c>
      <c r="L8052" s="1212" t="s">
        <v>4428</v>
      </c>
      <c r="M8052" s="468"/>
      <c r="N8052" s="1192">
        <f t="shared" si="4742"/>
        <v>45894</v>
      </c>
      <c r="O8052" s="71" t="s">
        <v>4264</v>
      </c>
      <c r="P8052" s="103" t="str">
        <f t="shared" si="4755"/>
        <v>센서 테이프 - 흑색</v>
      </c>
      <c r="Q8052" s="71">
        <f t="shared" si="4756"/>
        <v>20</v>
      </c>
      <c r="R8052" s="102">
        <v>1500</v>
      </c>
      <c r="S8052" s="102">
        <f t="shared" si="4771"/>
        <v>33000</v>
      </c>
      <c r="T8052" s="102">
        <f t="shared" si="4772"/>
        <v>30000</v>
      </c>
      <c r="U8052" s="71"/>
      <c r="V8052" s="71"/>
      <c r="W8052" s="474"/>
      <c r="X8052" s="71"/>
      <c r="Y8052" s="71"/>
    </row>
    <row r="8053" spans="1:25" ht="30" customHeight="1" x14ac:dyDescent="0.25">
      <c r="A8053" s="1145">
        <v>45883</v>
      </c>
      <c r="B8053" s="664" t="s">
        <v>2352</v>
      </c>
      <c r="C8053" s="71" t="s">
        <v>3836</v>
      </c>
      <c r="D8053" s="71">
        <v>48</v>
      </c>
      <c r="E8053" s="102">
        <v>18500</v>
      </c>
      <c r="F8053" s="102">
        <f t="shared" ref="F8053:F8054" si="4773">(E8053*D8053)*1.1</f>
        <v>976800.00000000012</v>
      </c>
      <c r="G8053" s="102">
        <f t="shared" ref="G8053:G8054" si="4774">(E8053*D8053)</f>
        <v>888000</v>
      </c>
      <c r="H8053" s="690" t="s">
        <v>179</v>
      </c>
      <c r="I8053" s="71" t="s">
        <v>179</v>
      </c>
      <c r="J8053" s="53">
        <v>355968</v>
      </c>
      <c r="K8053" s="63">
        <v>0.40086486486486483</v>
      </c>
      <c r="L8053" s="1212" t="s">
        <v>4428</v>
      </c>
      <c r="M8053" s="468"/>
      <c r="N8053" s="1192">
        <f t="shared" si="4742"/>
        <v>45883</v>
      </c>
      <c r="O8053" s="71"/>
      <c r="P8053" s="103" t="str">
        <f t="shared" si="4755"/>
        <v>고모리 윤전 블랑켓 건식 세정포 - 국전용</v>
      </c>
      <c r="Q8053" s="71">
        <f t="shared" si="4756"/>
        <v>48</v>
      </c>
      <c r="R8053" s="102">
        <v>11084</v>
      </c>
      <c r="S8053" s="102">
        <v>585235.20000000007</v>
      </c>
      <c r="T8053" s="102">
        <v>532032</v>
      </c>
      <c r="U8053" s="71"/>
      <c r="V8053" s="71"/>
      <c r="W8053" s="474"/>
      <c r="X8053" s="71"/>
      <c r="Y8053" s="71"/>
    </row>
    <row r="8054" spans="1:25" ht="30" customHeight="1" x14ac:dyDescent="0.25">
      <c r="A8054" s="1145">
        <v>45883</v>
      </c>
      <c r="B8054" s="664" t="s">
        <v>2352</v>
      </c>
      <c r="C8054" s="71" t="s">
        <v>3837</v>
      </c>
      <c r="D8054" s="71">
        <v>48</v>
      </c>
      <c r="E8054" s="102">
        <v>13500</v>
      </c>
      <c r="F8054" s="102">
        <f t="shared" si="4773"/>
        <v>712800</v>
      </c>
      <c r="G8054" s="102">
        <f t="shared" si="4774"/>
        <v>648000</v>
      </c>
      <c r="H8054" s="690" t="s">
        <v>179</v>
      </c>
      <c r="I8054" s="71" t="s">
        <v>179</v>
      </c>
      <c r="J8054" s="53">
        <v>164320</v>
      </c>
      <c r="K8054" s="63">
        <v>0.3803703703703703</v>
      </c>
      <c r="L8054" s="1212" t="s">
        <v>4428</v>
      </c>
      <c r="M8054" s="468"/>
      <c r="N8054" s="1192">
        <f t="shared" si="4742"/>
        <v>45883</v>
      </c>
      <c r="O8054" s="71"/>
      <c r="P8054" s="103" t="str">
        <f t="shared" si="4755"/>
        <v>고모리 윤전 블랑켓 건식 세정포 - 4x6용</v>
      </c>
      <c r="Q8054" s="71">
        <f t="shared" si="4756"/>
        <v>48</v>
      </c>
      <c r="R8054" s="102">
        <v>8365</v>
      </c>
      <c r="S8054" s="102">
        <v>294448</v>
      </c>
      <c r="T8054" s="102">
        <v>267680</v>
      </c>
      <c r="U8054" s="71"/>
      <c r="V8054" s="71"/>
      <c r="W8054" s="474"/>
      <c r="X8054" s="71"/>
      <c r="Y8054" s="71"/>
    </row>
    <row r="8055" spans="1:25" ht="30" hidden="1" customHeight="1" x14ac:dyDescent="0.25">
      <c r="A8055" s="1145">
        <v>45876</v>
      </c>
      <c r="B8055" s="664" t="s">
        <v>3289</v>
      </c>
      <c r="C8055" s="71" t="s">
        <v>2070</v>
      </c>
      <c r="D8055" s="71">
        <v>10</v>
      </c>
      <c r="E8055" s="102">
        <v>110000</v>
      </c>
      <c r="F8055" s="102">
        <f t="shared" ref="F8055:F8059" si="4775">(E8055*D8055)*1.1</f>
        <v>1210000</v>
      </c>
      <c r="G8055" s="102">
        <f t="shared" ref="G8055:G8059" si="4776">(E8055*D8055)</f>
        <v>1100000</v>
      </c>
      <c r="H8055" s="690" t="s">
        <v>172</v>
      </c>
      <c r="I8055" s="71" t="s">
        <v>33</v>
      </c>
      <c r="J8055" s="53">
        <f t="shared" ref="J8055:J8059" si="4777">G8055-T8055</f>
        <v>206000</v>
      </c>
      <c r="K8055" s="63">
        <f t="shared" ref="K8055:K8059" si="4778">(J8055/(F8055/11*10))</f>
        <v>0.18727272727272729</v>
      </c>
      <c r="L8055" s="1212" t="s">
        <v>4428</v>
      </c>
      <c r="M8055" s="468" t="s">
        <v>4114</v>
      </c>
      <c r="N8055" s="1192">
        <f t="shared" si="4742"/>
        <v>45876</v>
      </c>
      <c r="O8055" s="71" t="s">
        <v>146</v>
      </c>
      <c r="P8055" s="103" t="str">
        <f t="shared" si="4755"/>
        <v>Blanket(1050*840)</v>
      </c>
      <c r="Q8055" s="71">
        <f t="shared" si="4756"/>
        <v>10</v>
      </c>
      <c r="R8055" s="102">
        <v>89400</v>
      </c>
      <c r="S8055" s="102">
        <f t="shared" ref="S8055:S8059" si="4779">R8055*Q8055*1.1</f>
        <v>983400.00000000012</v>
      </c>
      <c r="T8055" s="102">
        <f t="shared" ref="T8055:T8059" si="4780">R8055*Q8055</f>
        <v>894000</v>
      </c>
      <c r="U8055" s="71" t="str">
        <f>IF(J8055=W8055,"O", "X")</f>
        <v>X</v>
      </c>
      <c r="V8055" s="71"/>
      <c r="W8055" s="474">
        <v>275000</v>
      </c>
      <c r="X8055" s="71"/>
      <c r="Y8055" s="71"/>
    </row>
    <row r="8056" spans="1:25" s="209" customFormat="1" ht="31.15" hidden="1" customHeight="1" x14ac:dyDescent="0.2">
      <c r="A8056" s="1145">
        <v>45876</v>
      </c>
      <c r="B8056" s="664" t="s">
        <v>3289</v>
      </c>
      <c r="C8056" s="71" t="s">
        <v>3387</v>
      </c>
      <c r="D8056" s="71">
        <v>10</v>
      </c>
      <c r="E8056" s="102">
        <v>130000</v>
      </c>
      <c r="F8056" s="102">
        <f t="shared" si="4775"/>
        <v>1430000</v>
      </c>
      <c r="G8056" s="102">
        <f t="shared" si="4776"/>
        <v>1300000</v>
      </c>
      <c r="H8056" s="165" t="s">
        <v>172</v>
      </c>
      <c r="I8056" s="71" t="s">
        <v>184</v>
      </c>
      <c r="J8056" s="53">
        <f t="shared" si="4777"/>
        <v>180000</v>
      </c>
      <c r="K8056" s="63">
        <f t="shared" si="4778"/>
        <v>0.13846153846153847</v>
      </c>
      <c r="L8056" s="1212" t="s">
        <v>4428</v>
      </c>
      <c r="M8056" s="468"/>
      <c r="N8056" s="1192">
        <f t="shared" si="4742"/>
        <v>45876</v>
      </c>
      <c r="O8056" s="71" t="s">
        <v>189</v>
      </c>
      <c r="P8056" s="103" t="str">
        <f t="shared" si="4755"/>
        <v>Blanket(990*725)</v>
      </c>
      <c r="Q8056" s="71">
        <f t="shared" si="4756"/>
        <v>10</v>
      </c>
      <c r="R8056" s="102">
        <v>112000</v>
      </c>
      <c r="S8056" s="102">
        <f t="shared" si="4779"/>
        <v>1232000</v>
      </c>
      <c r="T8056" s="102">
        <f t="shared" si="4780"/>
        <v>1120000</v>
      </c>
      <c r="U8056" s="71" t="str">
        <f>IF(J8056=W8056,"O", "X")</f>
        <v>X</v>
      </c>
      <c r="V8056" s="71"/>
      <c r="W8056" s="474">
        <v>80000</v>
      </c>
      <c r="X8056" s="71"/>
      <c r="Y8056" s="71"/>
    </row>
    <row r="8057" spans="1:25" ht="30" hidden="1" customHeight="1" x14ac:dyDescent="0.25">
      <c r="A8057" s="1145">
        <v>45876</v>
      </c>
      <c r="B8057" s="664" t="s">
        <v>2261</v>
      </c>
      <c r="C8057" s="71" t="s">
        <v>277</v>
      </c>
      <c r="D8057" s="71">
        <v>10</v>
      </c>
      <c r="E8057" s="102">
        <v>172000</v>
      </c>
      <c r="F8057" s="102">
        <f t="shared" si="4775"/>
        <v>1892000.0000000002</v>
      </c>
      <c r="G8057" s="102">
        <f t="shared" si="4776"/>
        <v>1720000</v>
      </c>
      <c r="H8057" s="690" t="s">
        <v>172</v>
      </c>
      <c r="I8057" s="71" t="s">
        <v>108</v>
      </c>
      <c r="J8057" s="53">
        <f t="shared" si="4777"/>
        <v>430000</v>
      </c>
      <c r="K8057" s="63">
        <f t="shared" si="4778"/>
        <v>0.24999999999999997</v>
      </c>
      <c r="L8057" s="1212" t="s">
        <v>4428</v>
      </c>
      <c r="M8057" s="468"/>
      <c r="N8057" s="1192">
        <f t="shared" si="4742"/>
        <v>45876</v>
      </c>
      <c r="O8057" s="71" t="s">
        <v>662</v>
      </c>
      <c r="P8057" s="103" t="str">
        <f t="shared" si="4755"/>
        <v>윤전용 세척제(Web 504)</v>
      </c>
      <c r="Q8057" s="71">
        <f t="shared" si="4756"/>
        <v>10</v>
      </c>
      <c r="R8057" s="102">
        <v>129000</v>
      </c>
      <c r="S8057" s="102">
        <f t="shared" si="4779"/>
        <v>1419000</v>
      </c>
      <c r="T8057" s="102">
        <f t="shared" si="4780"/>
        <v>1290000</v>
      </c>
      <c r="U8057" s="71" t="str">
        <f>IF(J8057=W8057,"O", "X")</f>
        <v>X</v>
      </c>
      <c r="V8057" s="71"/>
      <c r="W8057" s="474"/>
      <c r="X8057" s="71"/>
      <c r="Y8057" s="71"/>
    </row>
    <row r="8058" spans="1:25" ht="30" hidden="1" customHeight="1" x14ac:dyDescent="0.25">
      <c r="A8058" s="1145">
        <v>45881</v>
      </c>
      <c r="B8058" s="664" t="s">
        <v>2261</v>
      </c>
      <c r="C8058" s="71" t="s">
        <v>3299</v>
      </c>
      <c r="D8058" s="71">
        <v>10</v>
      </c>
      <c r="E8058" s="102">
        <v>52000</v>
      </c>
      <c r="F8058" s="102">
        <f t="shared" si="4775"/>
        <v>572000</v>
      </c>
      <c r="G8058" s="102">
        <f t="shared" si="4776"/>
        <v>520000</v>
      </c>
      <c r="H8058" s="690" t="s">
        <v>172</v>
      </c>
      <c r="I8058" s="71" t="s">
        <v>180</v>
      </c>
      <c r="J8058" s="53">
        <f t="shared" si="4777"/>
        <v>45000</v>
      </c>
      <c r="K8058" s="63">
        <f t="shared" si="4778"/>
        <v>8.6538461538461536E-2</v>
      </c>
      <c r="L8058" s="1212" t="s">
        <v>4428</v>
      </c>
      <c r="M8058" s="468" t="s">
        <v>3835</v>
      </c>
      <c r="N8058" s="1192">
        <f t="shared" si="4742"/>
        <v>45881</v>
      </c>
      <c r="O8058" s="71" t="s">
        <v>175</v>
      </c>
      <c r="P8058" s="103" t="str">
        <f t="shared" si="4755"/>
        <v>매엽용 세척제(Wash k11)</v>
      </c>
      <c r="Q8058" s="71">
        <f t="shared" si="4756"/>
        <v>10</v>
      </c>
      <c r="R8058" s="102">
        <v>47500</v>
      </c>
      <c r="S8058" s="102">
        <f t="shared" si="4779"/>
        <v>522500.00000000006</v>
      </c>
      <c r="T8058" s="102">
        <f t="shared" si="4780"/>
        <v>475000</v>
      </c>
      <c r="U8058" s="71" t="s">
        <v>859</v>
      </c>
      <c r="V8058" s="71"/>
      <c r="W8058" s="474"/>
      <c r="X8058" s="71"/>
      <c r="Y8058" s="71"/>
    </row>
    <row r="8059" spans="1:25" ht="30" hidden="1" customHeight="1" x14ac:dyDescent="0.25">
      <c r="A8059" s="1145">
        <v>45887</v>
      </c>
      <c r="B8059" s="664" t="s">
        <v>2261</v>
      </c>
      <c r="C8059" s="760" t="s">
        <v>181</v>
      </c>
      <c r="D8059" s="71">
        <v>5</v>
      </c>
      <c r="E8059" s="102">
        <v>193000</v>
      </c>
      <c r="F8059" s="102">
        <f t="shared" si="4775"/>
        <v>1061500</v>
      </c>
      <c r="G8059" s="102">
        <f t="shared" si="4776"/>
        <v>965000</v>
      </c>
      <c r="H8059" s="690" t="s">
        <v>2029</v>
      </c>
      <c r="I8059" s="71" t="s">
        <v>182</v>
      </c>
      <c r="J8059" s="53">
        <f t="shared" si="4777"/>
        <v>345000</v>
      </c>
      <c r="K8059" s="63">
        <f t="shared" si="4778"/>
        <v>0.35751295336787564</v>
      </c>
      <c r="L8059" s="1212" t="s">
        <v>4428</v>
      </c>
      <c r="M8059" s="468"/>
      <c r="N8059" s="1192">
        <f t="shared" si="4742"/>
        <v>45887</v>
      </c>
      <c r="O8059" s="71" t="s">
        <v>2030</v>
      </c>
      <c r="P8059" s="103" t="str">
        <f t="shared" si="4755"/>
        <v>Fount Web 551AF</v>
      </c>
      <c r="Q8059" s="71">
        <f t="shared" si="4756"/>
        <v>5</v>
      </c>
      <c r="R8059" s="102">
        <v>124000</v>
      </c>
      <c r="S8059" s="102">
        <f t="shared" si="4779"/>
        <v>682000</v>
      </c>
      <c r="T8059" s="102">
        <f t="shared" si="4780"/>
        <v>620000</v>
      </c>
      <c r="U8059" s="71" t="str">
        <f>IF(J8059=W8059,"O", "X")</f>
        <v>X</v>
      </c>
      <c r="V8059" s="71"/>
      <c r="W8059" s="474">
        <v>640000</v>
      </c>
      <c r="X8059" s="71"/>
      <c r="Y8059" s="71"/>
    </row>
    <row r="8060" spans="1:25" ht="30" hidden="1" customHeight="1" x14ac:dyDescent="0.25">
      <c r="A8060" s="1145">
        <v>45887</v>
      </c>
      <c r="B8060" s="664" t="s">
        <v>2261</v>
      </c>
      <c r="C8060" s="71" t="s">
        <v>277</v>
      </c>
      <c r="D8060" s="71">
        <v>5</v>
      </c>
      <c r="E8060" s="102">
        <v>172000</v>
      </c>
      <c r="F8060" s="102">
        <f t="shared" ref="F8060:F8063" si="4781">(E8060*D8060)*1.1</f>
        <v>946000.00000000012</v>
      </c>
      <c r="G8060" s="102">
        <f t="shared" ref="G8060:G8063" si="4782">(E8060*D8060)</f>
        <v>860000</v>
      </c>
      <c r="H8060" s="690" t="s">
        <v>172</v>
      </c>
      <c r="I8060" s="71" t="s">
        <v>108</v>
      </c>
      <c r="J8060" s="53">
        <f t="shared" ref="J8060:J8063" si="4783">G8060-T8060</f>
        <v>215000</v>
      </c>
      <c r="K8060" s="63">
        <f t="shared" ref="K8060:K8063" si="4784">(J8060/(F8060/11*10))</f>
        <v>0.24999999999999997</v>
      </c>
      <c r="L8060" s="1212" t="s">
        <v>4428</v>
      </c>
      <c r="M8060" s="468"/>
      <c r="N8060" s="1192">
        <f t="shared" si="4742"/>
        <v>45887</v>
      </c>
      <c r="O8060" s="71" t="s">
        <v>662</v>
      </c>
      <c r="P8060" s="103" t="str">
        <f t="shared" si="4755"/>
        <v>윤전용 세척제(Web 504)</v>
      </c>
      <c r="Q8060" s="71">
        <f t="shared" si="4756"/>
        <v>5</v>
      </c>
      <c r="R8060" s="102">
        <v>129000</v>
      </c>
      <c r="S8060" s="102">
        <f t="shared" ref="S8060:S8063" si="4785">R8060*Q8060*1.1</f>
        <v>709500</v>
      </c>
      <c r="T8060" s="102">
        <f t="shared" ref="T8060:T8063" si="4786">R8060*Q8060</f>
        <v>645000</v>
      </c>
      <c r="U8060" s="71" t="str">
        <f>IF(J8060=W8060,"O", "X")</f>
        <v>X</v>
      </c>
      <c r="V8060" s="71"/>
      <c r="W8060" s="474"/>
      <c r="X8060" s="71"/>
      <c r="Y8060" s="71"/>
    </row>
    <row r="8061" spans="1:25" ht="30" hidden="1" customHeight="1" x14ac:dyDescent="0.25">
      <c r="A8061" s="1145">
        <v>45887</v>
      </c>
      <c r="B8061" s="664" t="s">
        <v>2261</v>
      </c>
      <c r="C8061" s="71" t="s">
        <v>3299</v>
      </c>
      <c r="D8061" s="71">
        <v>10</v>
      </c>
      <c r="E8061" s="102">
        <v>52000</v>
      </c>
      <c r="F8061" s="102">
        <f t="shared" si="4781"/>
        <v>572000</v>
      </c>
      <c r="G8061" s="102">
        <f t="shared" si="4782"/>
        <v>520000</v>
      </c>
      <c r="H8061" s="690" t="s">
        <v>172</v>
      </c>
      <c r="I8061" s="71" t="s">
        <v>180</v>
      </c>
      <c r="J8061" s="53">
        <f t="shared" si="4783"/>
        <v>45000</v>
      </c>
      <c r="K8061" s="63">
        <f t="shared" si="4784"/>
        <v>8.6538461538461536E-2</v>
      </c>
      <c r="L8061" s="1212" t="s">
        <v>4428</v>
      </c>
      <c r="M8061" s="468" t="s">
        <v>3835</v>
      </c>
      <c r="N8061" s="1192">
        <f t="shared" si="4742"/>
        <v>45887</v>
      </c>
      <c r="O8061" s="71" t="s">
        <v>175</v>
      </c>
      <c r="P8061" s="103" t="str">
        <f t="shared" si="4755"/>
        <v>매엽용 세척제(Wash k11)</v>
      </c>
      <c r="Q8061" s="71">
        <f t="shared" si="4756"/>
        <v>10</v>
      </c>
      <c r="R8061" s="102">
        <v>47500</v>
      </c>
      <c r="S8061" s="102">
        <f t="shared" si="4785"/>
        <v>522500.00000000006</v>
      </c>
      <c r="T8061" s="102">
        <f t="shared" si="4786"/>
        <v>475000</v>
      </c>
      <c r="U8061" s="71" t="s">
        <v>859</v>
      </c>
      <c r="V8061" s="71"/>
      <c r="W8061" s="474"/>
      <c r="X8061" s="71"/>
      <c r="Y8061" s="71"/>
    </row>
    <row r="8062" spans="1:25" ht="30" hidden="1" customHeight="1" x14ac:dyDescent="0.25">
      <c r="A8062" s="1145">
        <v>45891</v>
      </c>
      <c r="B8062" s="664" t="s">
        <v>3289</v>
      </c>
      <c r="C8062" s="71" t="s">
        <v>2070</v>
      </c>
      <c r="D8062" s="71">
        <v>10</v>
      </c>
      <c r="E8062" s="102">
        <v>110000</v>
      </c>
      <c r="F8062" s="102">
        <f t="shared" si="4781"/>
        <v>1210000</v>
      </c>
      <c r="G8062" s="102">
        <f t="shared" si="4782"/>
        <v>1100000</v>
      </c>
      <c r="H8062" s="690" t="s">
        <v>172</v>
      </c>
      <c r="I8062" s="71" t="s">
        <v>33</v>
      </c>
      <c r="J8062" s="53">
        <f t="shared" si="4783"/>
        <v>206000</v>
      </c>
      <c r="K8062" s="63">
        <f t="shared" si="4784"/>
        <v>0.18727272727272729</v>
      </c>
      <c r="L8062" s="1212" t="s">
        <v>4428</v>
      </c>
      <c r="M8062" s="468" t="s">
        <v>4114</v>
      </c>
      <c r="N8062" s="1192">
        <f t="shared" si="4742"/>
        <v>45891</v>
      </c>
      <c r="O8062" s="71" t="s">
        <v>146</v>
      </c>
      <c r="P8062" s="103" t="str">
        <f t="shared" si="4755"/>
        <v>Blanket(1050*840)</v>
      </c>
      <c r="Q8062" s="71">
        <f t="shared" si="4756"/>
        <v>10</v>
      </c>
      <c r="R8062" s="102">
        <v>89400</v>
      </c>
      <c r="S8062" s="102">
        <f t="shared" si="4785"/>
        <v>983400.00000000012</v>
      </c>
      <c r="T8062" s="102">
        <f t="shared" si="4786"/>
        <v>894000</v>
      </c>
      <c r="U8062" s="71" t="str">
        <f>IF(J8062=W8062,"O", "X")</f>
        <v>X</v>
      </c>
      <c r="V8062" s="71"/>
      <c r="W8062" s="474">
        <v>275000</v>
      </c>
      <c r="X8062" s="71"/>
      <c r="Y8062" s="71"/>
    </row>
    <row r="8063" spans="1:25" s="209" customFormat="1" ht="31.15" hidden="1" customHeight="1" x14ac:dyDescent="0.2">
      <c r="A8063" s="1145">
        <v>45891</v>
      </c>
      <c r="B8063" s="664" t="s">
        <v>3289</v>
      </c>
      <c r="C8063" s="71" t="s">
        <v>3387</v>
      </c>
      <c r="D8063" s="71">
        <v>10</v>
      </c>
      <c r="E8063" s="102">
        <v>130000</v>
      </c>
      <c r="F8063" s="102">
        <f t="shared" si="4781"/>
        <v>1430000</v>
      </c>
      <c r="G8063" s="102">
        <f t="shared" si="4782"/>
        <v>1300000</v>
      </c>
      <c r="H8063" s="165" t="s">
        <v>172</v>
      </c>
      <c r="I8063" s="71" t="s">
        <v>184</v>
      </c>
      <c r="J8063" s="53">
        <f t="shared" si="4783"/>
        <v>180000</v>
      </c>
      <c r="K8063" s="63">
        <f t="shared" si="4784"/>
        <v>0.13846153846153847</v>
      </c>
      <c r="L8063" s="1212" t="s">
        <v>4428</v>
      </c>
      <c r="M8063" s="468"/>
      <c r="N8063" s="1192">
        <f t="shared" si="4742"/>
        <v>45891</v>
      </c>
      <c r="O8063" s="71" t="s">
        <v>189</v>
      </c>
      <c r="P8063" s="103" t="str">
        <f t="shared" si="4755"/>
        <v>Blanket(990*725)</v>
      </c>
      <c r="Q8063" s="71">
        <f t="shared" si="4756"/>
        <v>10</v>
      </c>
      <c r="R8063" s="102">
        <v>112000</v>
      </c>
      <c r="S8063" s="102">
        <f t="shared" si="4785"/>
        <v>1232000</v>
      </c>
      <c r="T8063" s="102">
        <f t="shared" si="4786"/>
        <v>1120000</v>
      </c>
      <c r="U8063" s="71" t="str">
        <f>IF(J8063=W8063,"O", "X")</f>
        <v>X</v>
      </c>
      <c r="V8063" s="71"/>
      <c r="W8063" s="474">
        <v>80000</v>
      </c>
      <c r="X8063" s="71"/>
      <c r="Y8063" s="71"/>
    </row>
    <row r="8064" spans="1:25" ht="30" hidden="1" customHeight="1" x14ac:dyDescent="0.25">
      <c r="A8064" s="1145">
        <v>45891</v>
      </c>
      <c r="B8064" s="664" t="s">
        <v>2261</v>
      </c>
      <c r="C8064" s="71" t="s">
        <v>3299</v>
      </c>
      <c r="D8064" s="71">
        <v>10</v>
      </c>
      <c r="E8064" s="102">
        <v>52000</v>
      </c>
      <c r="F8064" s="102">
        <f t="shared" ref="F8064:F8067" si="4787">(E8064*D8064)*1.1</f>
        <v>572000</v>
      </c>
      <c r="G8064" s="102">
        <f t="shared" ref="G8064:G8067" si="4788">(E8064*D8064)</f>
        <v>520000</v>
      </c>
      <c r="H8064" s="690" t="s">
        <v>172</v>
      </c>
      <c r="I8064" s="71" t="s">
        <v>180</v>
      </c>
      <c r="J8064" s="53">
        <f t="shared" ref="J8064:J8067" si="4789">G8064-T8064</f>
        <v>45000</v>
      </c>
      <c r="K8064" s="63">
        <f t="shared" ref="K8064:K8067" si="4790">(J8064/(F8064/11*10))</f>
        <v>8.6538461538461536E-2</v>
      </c>
      <c r="L8064" s="1212" t="s">
        <v>4428</v>
      </c>
      <c r="M8064" s="468" t="s">
        <v>3835</v>
      </c>
      <c r="N8064" s="1192">
        <f t="shared" si="4742"/>
        <v>45891</v>
      </c>
      <c r="O8064" s="71" t="s">
        <v>175</v>
      </c>
      <c r="P8064" s="103" t="str">
        <f t="shared" si="4755"/>
        <v>매엽용 세척제(Wash k11)</v>
      </c>
      <c r="Q8064" s="71">
        <f t="shared" si="4756"/>
        <v>10</v>
      </c>
      <c r="R8064" s="102">
        <v>47500</v>
      </c>
      <c r="S8064" s="102">
        <f t="shared" ref="S8064:S8067" si="4791">R8064*Q8064*1.1</f>
        <v>522500.00000000006</v>
      </c>
      <c r="T8064" s="102">
        <f t="shared" ref="T8064:T8067" si="4792">R8064*Q8064</f>
        <v>475000</v>
      </c>
      <c r="U8064" s="71" t="s">
        <v>859</v>
      </c>
      <c r="V8064" s="71"/>
      <c r="W8064" s="474"/>
      <c r="X8064" s="71"/>
      <c r="Y8064" s="71"/>
    </row>
    <row r="8065" spans="1:25" s="209" customFormat="1" ht="30" hidden="1" customHeight="1" x14ac:dyDescent="0.25">
      <c r="A8065" s="1145">
        <v>45866</v>
      </c>
      <c r="B8065" s="664" t="s">
        <v>442</v>
      </c>
      <c r="C8065" s="71" t="s">
        <v>3833</v>
      </c>
      <c r="D8065" s="71">
        <v>1000</v>
      </c>
      <c r="E8065" s="102">
        <v>3850</v>
      </c>
      <c r="F8065" s="102">
        <f t="shared" si="4787"/>
        <v>4235000</v>
      </c>
      <c r="G8065" s="102">
        <f t="shared" si="4788"/>
        <v>3850000</v>
      </c>
      <c r="H8065" s="690" t="s">
        <v>2029</v>
      </c>
      <c r="I8065" s="71" t="s">
        <v>2230</v>
      </c>
      <c r="J8065" s="53">
        <f t="shared" si="4789"/>
        <v>400000</v>
      </c>
      <c r="K8065" s="63">
        <f t="shared" si="4790"/>
        <v>0.1038961038961039</v>
      </c>
      <c r="L8065" s="1212" t="s">
        <v>4428</v>
      </c>
      <c r="M8065" s="468"/>
      <c r="N8065" s="1192">
        <f t="shared" si="4742"/>
        <v>45866</v>
      </c>
      <c r="O8065" s="71" t="s">
        <v>2030</v>
      </c>
      <c r="P8065" s="103" t="str">
        <f t="shared" si="4755"/>
        <v>CTP 판 1030*790</v>
      </c>
      <c r="Q8065" s="71">
        <f t="shared" si="4756"/>
        <v>1000</v>
      </c>
      <c r="R8065" s="102">
        <v>3450</v>
      </c>
      <c r="S8065" s="102">
        <f t="shared" si="4791"/>
        <v>3795000.0000000005</v>
      </c>
      <c r="T8065" s="102">
        <f t="shared" si="4792"/>
        <v>3450000</v>
      </c>
      <c r="U8065" s="71"/>
      <c r="V8065" s="71"/>
      <c r="W8065" s="474"/>
      <c r="X8065" s="71"/>
      <c r="Y8065" s="71"/>
    </row>
    <row r="8066" spans="1:25" ht="30" hidden="1" customHeight="1" x14ac:dyDescent="0.25">
      <c r="A8066" s="1145">
        <v>45866</v>
      </c>
      <c r="B8066" s="664" t="s">
        <v>442</v>
      </c>
      <c r="C8066" s="71" t="s">
        <v>3834</v>
      </c>
      <c r="D8066" s="71">
        <v>8</v>
      </c>
      <c r="E8066" s="102">
        <v>57000</v>
      </c>
      <c r="F8066" s="102">
        <f t="shared" si="4787"/>
        <v>501600.00000000006</v>
      </c>
      <c r="G8066" s="102">
        <f t="shared" si="4788"/>
        <v>456000</v>
      </c>
      <c r="H8066" s="690" t="s">
        <v>2029</v>
      </c>
      <c r="I8066" s="71" t="s">
        <v>2230</v>
      </c>
      <c r="J8066" s="53">
        <f t="shared" si="4789"/>
        <v>115112</v>
      </c>
      <c r="K8066" s="63">
        <f t="shared" si="4790"/>
        <v>0.25243859649122802</v>
      </c>
      <c r="L8066" s="1212" t="s">
        <v>4428</v>
      </c>
      <c r="M8066" s="468"/>
      <c r="N8066" s="1192">
        <f t="shared" si="4742"/>
        <v>45866</v>
      </c>
      <c r="O8066" s="71" t="s">
        <v>2030</v>
      </c>
      <c r="P8066" s="103" t="str">
        <f t="shared" si="4755"/>
        <v>CTP 현상액</v>
      </c>
      <c r="Q8066" s="71">
        <f t="shared" si="4756"/>
        <v>8</v>
      </c>
      <c r="R8066" s="102">
        <v>42611</v>
      </c>
      <c r="S8066" s="102">
        <f t="shared" si="4791"/>
        <v>374976.80000000005</v>
      </c>
      <c r="T8066" s="102">
        <f t="shared" si="4792"/>
        <v>340888</v>
      </c>
      <c r="U8066" s="71"/>
      <c r="V8066" s="71"/>
      <c r="W8066" s="474"/>
      <c r="X8066" s="71"/>
      <c r="Y8066" s="71"/>
    </row>
    <row r="8067" spans="1:25" ht="30" hidden="1" customHeight="1" x14ac:dyDescent="0.25">
      <c r="A8067" s="1145">
        <v>45881</v>
      </c>
      <c r="B8067" s="664" t="s">
        <v>442</v>
      </c>
      <c r="C8067" s="71" t="s">
        <v>3299</v>
      </c>
      <c r="D8067" s="71">
        <v>25</v>
      </c>
      <c r="E8067" s="102">
        <v>69000</v>
      </c>
      <c r="F8067" s="102">
        <f t="shared" si="4787"/>
        <v>1897500.0000000002</v>
      </c>
      <c r="G8067" s="102">
        <f t="shared" si="4788"/>
        <v>1725000</v>
      </c>
      <c r="H8067" s="690" t="s">
        <v>172</v>
      </c>
      <c r="I8067" s="71" t="s">
        <v>180</v>
      </c>
      <c r="J8067" s="53">
        <f t="shared" si="4789"/>
        <v>537500</v>
      </c>
      <c r="K8067" s="63">
        <f t="shared" si="4790"/>
        <v>0.31159420289855067</v>
      </c>
      <c r="L8067" s="1212" t="s">
        <v>4428</v>
      </c>
      <c r="M8067" s="468" t="s">
        <v>3304</v>
      </c>
      <c r="N8067" s="1192">
        <f t="shared" si="4742"/>
        <v>45881</v>
      </c>
      <c r="O8067" s="71" t="s">
        <v>175</v>
      </c>
      <c r="P8067" s="103" t="str">
        <f t="shared" si="4755"/>
        <v>매엽용 세척제(Wash k11)</v>
      </c>
      <c r="Q8067" s="71">
        <f t="shared" si="4756"/>
        <v>25</v>
      </c>
      <c r="R8067" s="102">
        <v>47500</v>
      </c>
      <c r="S8067" s="102">
        <f t="shared" si="4791"/>
        <v>1306250</v>
      </c>
      <c r="T8067" s="102">
        <f t="shared" si="4792"/>
        <v>1187500</v>
      </c>
      <c r="U8067" s="71" t="s">
        <v>859</v>
      </c>
      <c r="V8067" s="71"/>
      <c r="W8067" s="474"/>
      <c r="X8067" s="71"/>
      <c r="Y8067" s="71"/>
    </row>
    <row r="8068" spans="1:25" s="209" customFormat="1" ht="30" hidden="1" customHeight="1" x14ac:dyDescent="0.25">
      <c r="A8068" s="1145">
        <v>45890</v>
      </c>
      <c r="B8068" s="664" t="s">
        <v>442</v>
      </c>
      <c r="C8068" s="71" t="s">
        <v>3833</v>
      </c>
      <c r="D8068" s="71">
        <v>1000</v>
      </c>
      <c r="E8068" s="102">
        <v>3850</v>
      </c>
      <c r="F8068" s="102">
        <f t="shared" ref="F8068:F8074" si="4793">(E8068*D8068)*1.1</f>
        <v>4235000</v>
      </c>
      <c r="G8068" s="102">
        <f t="shared" ref="G8068:G8069" si="4794">(E8068*D8068)</f>
        <v>3850000</v>
      </c>
      <c r="H8068" s="690" t="s">
        <v>2029</v>
      </c>
      <c r="I8068" s="71" t="s">
        <v>2230</v>
      </c>
      <c r="J8068" s="53">
        <f t="shared" ref="J8068:J8074" si="4795">G8068-T8068</f>
        <v>400000</v>
      </c>
      <c r="K8068" s="63">
        <f t="shared" ref="K8068:K8074" si="4796">(J8068/(F8068/11*10))</f>
        <v>0.1038961038961039</v>
      </c>
      <c r="L8068" s="1212" t="s">
        <v>4428</v>
      </c>
      <c r="M8068" s="468"/>
      <c r="N8068" s="1192">
        <f t="shared" si="4742"/>
        <v>45890</v>
      </c>
      <c r="O8068" s="71" t="s">
        <v>2030</v>
      </c>
      <c r="P8068" s="103" t="str">
        <f t="shared" si="4755"/>
        <v>CTP 판 1030*790</v>
      </c>
      <c r="Q8068" s="71">
        <f t="shared" si="4756"/>
        <v>1000</v>
      </c>
      <c r="R8068" s="102">
        <v>3450</v>
      </c>
      <c r="S8068" s="102">
        <f t="shared" ref="S8068:S8074" si="4797">R8068*Q8068*1.1</f>
        <v>3795000.0000000005</v>
      </c>
      <c r="T8068" s="102">
        <f t="shared" ref="T8068:T8074" si="4798">R8068*Q8068</f>
        <v>3450000</v>
      </c>
      <c r="U8068" s="71"/>
      <c r="V8068" s="71"/>
      <c r="W8068" s="474"/>
      <c r="X8068" s="71"/>
      <c r="Y8068" s="71"/>
    </row>
    <row r="8069" spans="1:25" ht="30" hidden="1" customHeight="1" x14ac:dyDescent="0.25">
      <c r="A8069" s="1145">
        <v>45890</v>
      </c>
      <c r="B8069" s="664" t="s">
        <v>442</v>
      </c>
      <c r="C8069" s="71" t="s">
        <v>3834</v>
      </c>
      <c r="D8069" s="71">
        <v>6</v>
      </c>
      <c r="E8069" s="102">
        <v>57000</v>
      </c>
      <c r="F8069" s="102">
        <f t="shared" si="4793"/>
        <v>376200.00000000006</v>
      </c>
      <c r="G8069" s="102">
        <f t="shared" si="4794"/>
        <v>342000</v>
      </c>
      <c r="H8069" s="690" t="s">
        <v>2029</v>
      </c>
      <c r="I8069" s="71" t="s">
        <v>2230</v>
      </c>
      <c r="J8069" s="53">
        <f t="shared" si="4795"/>
        <v>86334</v>
      </c>
      <c r="K8069" s="63">
        <f t="shared" si="4796"/>
        <v>0.25243859649122802</v>
      </c>
      <c r="L8069" s="1212" t="s">
        <v>4428</v>
      </c>
      <c r="M8069" s="468"/>
      <c r="N8069" s="1192">
        <f t="shared" si="4742"/>
        <v>45890</v>
      </c>
      <c r="O8069" s="71" t="s">
        <v>2030</v>
      </c>
      <c r="P8069" s="103" t="str">
        <f t="shared" si="4755"/>
        <v>CTP 현상액</v>
      </c>
      <c r="Q8069" s="71">
        <f t="shared" si="4756"/>
        <v>6</v>
      </c>
      <c r="R8069" s="102">
        <v>42611</v>
      </c>
      <c r="S8069" s="102">
        <f t="shared" si="4797"/>
        <v>281232.60000000003</v>
      </c>
      <c r="T8069" s="102">
        <f t="shared" si="4798"/>
        <v>255666</v>
      </c>
      <c r="U8069" s="71"/>
      <c r="V8069" s="71"/>
      <c r="W8069" s="474"/>
      <c r="X8069" s="71"/>
      <c r="Y8069" s="71"/>
    </row>
    <row r="8070" spans="1:25" ht="30" hidden="1" customHeight="1" x14ac:dyDescent="0.25">
      <c r="A8070" s="1145">
        <v>45890</v>
      </c>
      <c r="B8070" s="664" t="s">
        <v>2</v>
      </c>
      <c r="C8070" s="71" t="s">
        <v>2075</v>
      </c>
      <c r="D8070" s="71">
        <v>2</v>
      </c>
      <c r="E8070" s="102">
        <v>180000</v>
      </c>
      <c r="F8070" s="102">
        <f t="shared" si="4793"/>
        <v>396000.00000000006</v>
      </c>
      <c r="G8070" s="102">
        <f>(E8070*D8070)</f>
        <v>360000</v>
      </c>
      <c r="H8070" s="690" t="s">
        <v>2029</v>
      </c>
      <c r="I8070" s="71" t="s">
        <v>2230</v>
      </c>
      <c r="J8070" s="53">
        <f t="shared" si="4795"/>
        <v>176000</v>
      </c>
      <c r="K8070" s="63">
        <f t="shared" si="4796"/>
        <v>0.48888888888888882</v>
      </c>
      <c r="L8070" s="1212" t="s">
        <v>4428</v>
      </c>
      <c r="M8070" s="468"/>
      <c r="N8070" s="1192">
        <f t="shared" si="4742"/>
        <v>45890</v>
      </c>
      <c r="O8070" s="71" t="s">
        <v>150</v>
      </c>
      <c r="P8070" s="103" t="str">
        <f t="shared" si="4755"/>
        <v>CTP 고무액</v>
      </c>
      <c r="Q8070" s="71">
        <f t="shared" si="4756"/>
        <v>2</v>
      </c>
      <c r="R8070" s="102">
        <v>92000</v>
      </c>
      <c r="S8070" s="102">
        <f t="shared" si="4797"/>
        <v>202400.00000000003</v>
      </c>
      <c r="T8070" s="102">
        <f t="shared" si="4798"/>
        <v>184000</v>
      </c>
      <c r="U8070" s="71" t="str">
        <f>IF(J8070=W8070,"O", "X")</f>
        <v>X</v>
      </c>
      <c r="V8070" s="71"/>
      <c r="W8070" s="474"/>
      <c r="X8070" s="71"/>
      <c r="Y8070" s="71"/>
    </row>
    <row r="8071" spans="1:25" ht="30" hidden="1" customHeight="1" x14ac:dyDescent="0.25">
      <c r="A8071" s="1145">
        <v>45876</v>
      </c>
      <c r="B8071" s="664" t="s">
        <v>2798</v>
      </c>
      <c r="C8071" s="71" t="s">
        <v>4240</v>
      </c>
      <c r="D8071" s="71">
        <v>10</v>
      </c>
      <c r="E8071" s="102">
        <v>133000</v>
      </c>
      <c r="F8071" s="102">
        <f t="shared" si="4793"/>
        <v>1463000.0000000002</v>
      </c>
      <c r="G8071" s="102">
        <f t="shared" ref="G8071:G8074" si="4799">(E8071*D8071)</f>
        <v>1330000</v>
      </c>
      <c r="H8071" s="690" t="s">
        <v>173</v>
      </c>
      <c r="I8071" s="71" t="s">
        <v>109</v>
      </c>
      <c r="J8071" s="53">
        <f t="shared" si="4795"/>
        <v>210000</v>
      </c>
      <c r="K8071" s="63">
        <f t="shared" si="4796"/>
        <v>0.15789473684210523</v>
      </c>
      <c r="L8071" s="1212" t="s">
        <v>4428</v>
      </c>
      <c r="M8071" s="102"/>
      <c r="N8071" s="1192">
        <f t="shared" si="4742"/>
        <v>45876</v>
      </c>
      <c r="O8071" s="71" t="s">
        <v>150</v>
      </c>
      <c r="P8071" s="103" t="str">
        <f t="shared" si="4755"/>
        <v>5MX 블랑켓 XL용</v>
      </c>
      <c r="Q8071" s="71">
        <f t="shared" si="4756"/>
        <v>10</v>
      </c>
      <c r="R8071" s="102">
        <v>112000</v>
      </c>
      <c r="S8071" s="102">
        <f t="shared" si="4797"/>
        <v>1232000</v>
      </c>
      <c r="T8071" s="102">
        <f t="shared" si="4798"/>
        <v>1120000</v>
      </c>
      <c r="U8071" s="71"/>
      <c r="V8071" s="71"/>
      <c r="W8071" s="474"/>
      <c r="X8071" s="71"/>
      <c r="Y8071" s="71"/>
    </row>
    <row r="8072" spans="1:25" ht="30" hidden="1" customHeight="1" x14ac:dyDescent="0.25">
      <c r="A8072" s="1145">
        <v>45881</v>
      </c>
      <c r="B8072" s="664" t="s">
        <v>2798</v>
      </c>
      <c r="C8072" s="71" t="s">
        <v>4238</v>
      </c>
      <c r="D8072" s="71">
        <v>10</v>
      </c>
      <c r="E8072" s="102">
        <v>162000</v>
      </c>
      <c r="F8072" s="102">
        <f t="shared" si="4793"/>
        <v>1782000.0000000002</v>
      </c>
      <c r="G8072" s="102">
        <f t="shared" si="4799"/>
        <v>1620000</v>
      </c>
      <c r="H8072" s="690" t="s">
        <v>173</v>
      </c>
      <c r="I8072" s="71" t="s">
        <v>109</v>
      </c>
      <c r="J8072" s="53">
        <f t="shared" si="4795"/>
        <v>243000</v>
      </c>
      <c r="K8072" s="63">
        <f t="shared" si="4796"/>
        <v>0.14999999999999997</v>
      </c>
      <c r="L8072" s="1212" t="s">
        <v>4428</v>
      </c>
      <c r="M8072" s="468"/>
      <c r="N8072" s="1192">
        <f t="shared" si="4742"/>
        <v>45881</v>
      </c>
      <c r="O8072" s="71" t="s">
        <v>150</v>
      </c>
      <c r="P8072" s="103" t="str">
        <f t="shared" si="4755"/>
        <v>TUV 블랑켓 하이델 XL용</v>
      </c>
      <c r="Q8072" s="71">
        <f t="shared" si="4756"/>
        <v>10</v>
      </c>
      <c r="R8072" s="147">
        <v>137700</v>
      </c>
      <c r="S8072" s="102">
        <f t="shared" si="4797"/>
        <v>1514700.0000000002</v>
      </c>
      <c r="T8072" s="102">
        <f t="shared" si="4798"/>
        <v>1377000</v>
      </c>
      <c r="U8072" s="71"/>
      <c r="V8072" s="71"/>
      <c r="W8072" s="474"/>
      <c r="X8072" s="71"/>
      <c r="Y8072" s="71"/>
    </row>
    <row r="8073" spans="1:25" ht="30" hidden="1" customHeight="1" x14ac:dyDescent="0.25">
      <c r="A8073" s="1145">
        <v>45888</v>
      </c>
      <c r="B8073" s="664" t="s">
        <v>2798</v>
      </c>
      <c r="C8073" s="71" t="s">
        <v>167</v>
      </c>
      <c r="D8073" s="71">
        <v>10</v>
      </c>
      <c r="E8073" s="102">
        <v>138000</v>
      </c>
      <c r="F8073" s="102">
        <f t="shared" si="4793"/>
        <v>1518000.0000000002</v>
      </c>
      <c r="G8073" s="102">
        <f t="shared" si="4799"/>
        <v>1380000</v>
      </c>
      <c r="H8073" s="690" t="s">
        <v>172</v>
      </c>
      <c r="I8073" s="71" t="s">
        <v>33</v>
      </c>
      <c r="J8073" s="53">
        <f t="shared" si="4795"/>
        <v>460000</v>
      </c>
      <c r="K8073" s="63">
        <f t="shared" si="4796"/>
        <v>0.33333333333333326</v>
      </c>
      <c r="L8073" s="1212" t="s">
        <v>4428</v>
      </c>
      <c r="M8073" s="468" t="s">
        <v>4114</v>
      </c>
      <c r="N8073" s="1192">
        <f t="shared" si="4742"/>
        <v>45888</v>
      </c>
      <c r="O8073" s="71" t="s">
        <v>146</v>
      </c>
      <c r="P8073" s="103" t="str">
        <f t="shared" si="4755"/>
        <v>Blanket(1060*860)</v>
      </c>
      <c r="Q8073" s="71">
        <f t="shared" si="4756"/>
        <v>10</v>
      </c>
      <c r="R8073" s="102">
        <v>92000</v>
      </c>
      <c r="S8073" s="102">
        <f t="shared" si="4797"/>
        <v>1012000.0000000001</v>
      </c>
      <c r="T8073" s="102">
        <f t="shared" si="4798"/>
        <v>920000</v>
      </c>
      <c r="U8073" s="71" t="str">
        <f t="shared" ref="U8073" si="4800">IF(J8073=W8073,"O", "X")</f>
        <v>X</v>
      </c>
      <c r="V8073" s="71"/>
      <c r="W8073" s="474"/>
      <c r="X8073" s="71"/>
      <c r="Y8073" s="71"/>
    </row>
    <row r="8074" spans="1:25" ht="30" hidden="1" customHeight="1" x14ac:dyDescent="0.25">
      <c r="A8074" s="1145">
        <v>45888</v>
      </c>
      <c r="B8074" s="664" t="s">
        <v>2798</v>
      </c>
      <c r="C8074" s="71" t="s">
        <v>4239</v>
      </c>
      <c r="D8074" s="71">
        <v>2</v>
      </c>
      <c r="E8074" s="102">
        <v>252000</v>
      </c>
      <c r="F8074" s="102">
        <f t="shared" si="4793"/>
        <v>554400</v>
      </c>
      <c r="G8074" s="102">
        <f t="shared" si="4799"/>
        <v>504000</v>
      </c>
      <c r="H8074" s="690" t="s">
        <v>173</v>
      </c>
      <c r="I8074" s="71" t="s">
        <v>180</v>
      </c>
      <c r="J8074" s="53">
        <f t="shared" si="4795"/>
        <v>129000</v>
      </c>
      <c r="K8074" s="63">
        <f t="shared" si="4796"/>
        <v>0.25595238095238093</v>
      </c>
      <c r="L8074" s="1212" t="s">
        <v>4428</v>
      </c>
      <c r="M8074" s="102"/>
      <c r="N8074" s="1192">
        <f t="shared" si="4742"/>
        <v>45888</v>
      </c>
      <c r="O8074" s="71" t="s">
        <v>150</v>
      </c>
      <c r="P8074" s="103" t="str">
        <f t="shared" si="4755"/>
        <v>Saphira 건식 세정포 하이델 XL용</v>
      </c>
      <c r="Q8074" s="71">
        <f t="shared" si="4756"/>
        <v>2</v>
      </c>
      <c r="R8074" s="102">
        <v>187500</v>
      </c>
      <c r="S8074" s="102">
        <f t="shared" si="4797"/>
        <v>412500.00000000006</v>
      </c>
      <c r="T8074" s="102">
        <f t="shared" si="4798"/>
        <v>375000</v>
      </c>
      <c r="U8074" s="71"/>
      <c r="V8074" s="71"/>
      <c r="W8074" s="474"/>
      <c r="X8074" s="71"/>
      <c r="Y8074" s="71"/>
    </row>
    <row r="8075" spans="1:25" ht="30" hidden="1" customHeight="1" x14ac:dyDescent="0.25">
      <c r="A8075" s="1145">
        <v>45890</v>
      </c>
      <c r="B8075" s="664" t="s">
        <v>2798</v>
      </c>
      <c r="C8075" s="71" t="s">
        <v>4240</v>
      </c>
      <c r="D8075" s="71">
        <v>10</v>
      </c>
      <c r="E8075" s="102">
        <v>133000</v>
      </c>
      <c r="F8075" s="102">
        <f t="shared" ref="F8075:F8076" si="4801">(E8075*D8075)*1.1</f>
        <v>1463000.0000000002</v>
      </c>
      <c r="G8075" s="102">
        <f t="shared" ref="G8075:G8076" si="4802">(E8075*D8075)</f>
        <v>1330000</v>
      </c>
      <c r="H8075" s="690" t="s">
        <v>173</v>
      </c>
      <c r="I8075" s="71" t="s">
        <v>109</v>
      </c>
      <c r="J8075" s="53">
        <f t="shared" ref="J8075:J8076" si="4803">G8075-T8075</f>
        <v>210000</v>
      </c>
      <c r="K8075" s="63">
        <f t="shared" ref="K8075:K8076" si="4804">(J8075/(F8075/11*10))</f>
        <v>0.15789473684210523</v>
      </c>
      <c r="L8075" s="1212" t="s">
        <v>4428</v>
      </c>
      <c r="M8075" s="102"/>
      <c r="N8075" s="1192">
        <f t="shared" si="4742"/>
        <v>45890</v>
      </c>
      <c r="O8075" s="71" t="s">
        <v>150</v>
      </c>
      <c r="P8075" s="103" t="str">
        <f t="shared" si="4755"/>
        <v>5MX 블랑켓 XL용</v>
      </c>
      <c r="Q8075" s="71">
        <f t="shared" si="4756"/>
        <v>10</v>
      </c>
      <c r="R8075" s="102">
        <v>112000</v>
      </c>
      <c r="S8075" s="102">
        <f t="shared" ref="S8075:S8104" si="4805">R8075*Q8075*1.1</f>
        <v>1232000</v>
      </c>
      <c r="T8075" s="102">
        <f t="shared" ref="T8075:T8104" si="4806">R8075*Q8075</f>
        <v>1120000</v>
      </c>
      <c r="U8075" s="71"/>
      <c r="V8075" s="71"/>
      <c r="W8075" s="474"/>
      <c r="X8075" s="71"/>
      <c r="Y8075" s="71"/>
    </row>
    <row r="8076" spans="1:25" ht="30" hidden="1" customHeight="1" x14ac:dyDescent="0.25">
      <c r="A8076" s="1145">
        <v>45896</v>
      </c>
      <c r="B8076" s="664" t="s">
        <v>2798</v>
      </c>
      <c r="C8076" s="71" t="s">
        <v>4238</v>
      </c>
      <c r="D8076" s="71">
        <v>10</v>
      </c>
      <c r="E8076" s="102">
        <v>162000</v>
      </c>
      <c r="F8076" s="102">
        <f t="shared" si="4801"/>
        <v>1782000.0000000002</v>
      </c>
      <c r="G8076" s="102">
        <f t="shared" si="4802"/>
        <v>1620000</v>
      </c>
      <c r="H8076" s="690" t="s">
        <v>173</v>
      </c>
      <c r="I8076" s="71" t="s">
        <v>109</v>
      </c>
      <c r="J8076" s="53">
        <f t="shared" si="4803"/>
        <v>243000</v>
      </c>
      <c r="K8076" s="63">
        <f t="shared" si="4804"/>
        <v>0.14999999999999997</v>
      </c>
      <c r="L8076" s="1212" t="s">
        <v>4428</v>
      </c>
      <c r="M8076" s="468"/>
      <c r="N8076" s="1192">
        <f t="shared" si="4742"/>
        <v>45896</v>
      </c>
      <c r="O8076" s="71" t="s">
        <v>150</v>
      </c>
      <c r="P8076" s="103" t="str">
        <f t="shared" si="4755"/>
        <v>TUV 블랑켓 하이델 XL용</v>
      </c>
      <c r="Q8076" s="71">
        <f t="shared" si="4756"/>
        <v>10</v>
      </c>
      <c r="R8076" s="147">
        <v>137700</v>
      </c>
      <c r="S8076" s="102">
        <f t="shared" si="4805"/>
        <v>1514700.0000000002</v>
      </c>
      <c r="T8076" s="102">
        <f t="shared" si="4806"/>
        <v>1377000</v>
      </c>
      <c r="U8076" s="71"/>
      <c r="V8076" s="71"/>
      <c r="W8076" s="474"/>
      <c r="X8076" s="71"/>
      <c r="Y8076" s="71"/>
    </row>
    <row r="8077" spans="1:25" ht="30" hidden="1" customHeight="1" x14ac:dyDescent="0.25">
      <c r="A8077" s="1145">
        <v>45896</v>
      </c>
      <c r="B8077" s="664" t="s">
        <v>2798</v>
      </c>
      <c r="C8077" s="71" t="s">
        <v>4240</v>
      </c>
      <c r="D8077" s="71">
        <v>10</v>
      </c>
      <c r="E8077" s="102">
        <v>133000</v>
      </c>
      <c r="F8077" s="102">
        <f t="shared" ref="F8077:F8080" si="4807">(E8077*D8077)*1.1</f>
        <v>1463000.0000000002</v>
      </c>
      <c r="G8077" s="102">
        <f t="shared" ref="G8077:G8080" si="4808">(E8077*D8077)</f>
        <v>1330000</v>
      </c>
      <c r="H8077" s="690" t="s">
        <v>173</v>
      </c>
      <c r="I8077" s="71" t="s">
        <v>109</v>
      </c>
      <c r="J8077" s="53">
        <f t="shared" ref="J8077:J8080" si="4809">G8077-T8077</f>
        <v>210000</v>
      </c>
      <c r="K8077" s="63">
        <f t="shared" ref="K8077:K8080" si="4810">(J8077/(F8077/11*10))</f>
        <v>0.15789473684210523</v>
      </c>
      <c r="L8077" s="1212" t="s">
        <v>4428</v>
      </c>
      <c r="M8077" s="102"/>
      <c r="N8077" s="1192">
        <f t="shared" si="4742"/>
        <v>45896</v>
      </c>
      <c r="O8077" s="71" t="s">
        <v>150</v>
      </c>
      <c r="P8077" s="103" t="str">
        <f t="shared" si="4755"/>
        <v>5MX 블랑켓 XL용</v>
      </c>
      <c r="Q8077" s="71">
        <f t="shared" si="4756"/>
        <v>10</v>
      </c>
      <c r="R8077" s="102">
        <v>112000</v>
      </c>
      <c r="S8077" s="102">
        <f t="shared" si="4805"/>
        <v>1232000</v>
      </c>
      <c r="T8077" s="102">
        <f t="shared" si="4806"/>
        <v>1120000</v>
      </c>
      <c r="U8077" s="71"/>
      <c r="V8077" s="71"/>
      <c r="W8077" s="474"/>
      <c r="X8077" s="71"/>
      <c r="Y8077" s="71"/>
    </row>
    <row r="8078" spans="1:25" ht="30" hidden="1" customHeight="1" x14ac:dyDescent="0.25">
      <c r="A8078" s="1145">
        <v>45896</v>
      </c>
      <c r="B8078" s="664" t="s">
        <v>2798</v>
      </c>
      <c r="C8078" s="71" t="s">
        <v>4430</v>
      </c>
      <c r="D8078" s="71">
        <v>1</v>
      </c>
      <c r="E8078" s="102">
        <v>1150000</v>
      </c>
      <c r="F8078" s="102">
        <f t="shared" si="4807"/>
        <v>1265000</v>
      </c>
      <c r="G8078" s="102">
        <f t="shared" si="4808"/>
        <v>1150000</v>
      </c>
      <c r="H8078" s="690" t="s">
        <v>173</v>
      </c>
      <c r="I8078" s="71" t="s">
        <v>3295</v>
      </c>
      <c r="J8078" s="53">
        <f t="shared" si="4809"/>
        <v>150000</v>
      </c>
      <c r="K8078" s="63">
        <f t="shared" si="4810"/>
        <v>0.13043478260869565</v>
      </c>
      <c r="L8078" s="1212" t="s">
        <v>4428</v>
      </c>
      <c r="M8078" s="102"/>
      <c r="N8078" s="1192">
        <f t="shared" ref="N8078:N8131" si="4811">A8078</f>
        <v>45896</v>
      </c>
      <c r="O8078" s="71" t="s">
        <v>150</v>
      </c>
      <c r="P8078" s="103" t="str">
        <f t="shared" si="4755"/>
        <v>인쇄기 필터 F1.010.214F</v>
      </c>
      <c r="Q8078" s="71">
        <f t="shared" si="4756"/>
        <v>1</v>
      </c>
      <c r="R8078" s="102">
        <v>1000000</v>
      </c>
      <c r="S8078" s="102">
        <f t="shared" si="4805"/>
        <v>1100000</v>
      </c>
      <c r="T8078" s="102">
        <f t="shared" si="4806"/>
        <v>1000000</v>
      </c>
      <c r="U8078" s="71"/>
      <c r="V8078" s="71"/>
      <c r="W8078" s="474"/>
      <c r="X8078" s="71"/>
      <c r="Y8078" s="71"/>
    </row>
    <row r="8079" spans="1:25" ht="29.45" hidden="1" customHeight="1" x14ac:dyDescent="0.25">
      <c r="A8079" s="1145">
        <v>45888</v>
      </c>
      <c r="B8079" s="664" t="s">
        <v>3296</v>
      </c>
      <c r="C8079" s="71" t="s">
        <v>3297</v>
      </c>
      <c r="D8079" s="71">
        <v>20</v>
      </c>
      <c r="E8079" s="102">
        <v>162500</v>
      </c>
      <c r="F8079" s="102">
        <f t="shared" si="4807"/>
        <v>3575000.0000000005</v>
      </c>
      <c r="G8079" s="102">
        <f t="shared" si="4808"/>
        <v>3250000</v>
      </c>
      <c r="H8079" s="690" t="s">
        <v>172</v>
      </c>
      <c r="I8079" s="71" t="s">
        <v>3295</v>
      </c>
      <c r="J8079" s="53">
        <f t="shared" si="4809"/>
        <v>850000</v>
      </c>
      <c r="K8079" s="63">
        <f t="shared" si="4810"/>
        <v>0.2615384615384615</v>
      </c>
      <c r="L8079" s="1212" t="s">
        <v>4428</v>
      </c>
      <c r="M8079" s="468"/>
      <c r="N8079" s="1192">
        <f t="shared" si="4811"/>
        <v>45888</v>
      </c>
      <c r="O8079" s="71" t="s">
        <v>662</v>
      </c>
      <c r="P8079" s="103" t="str">
        <f t="shared" si="4755"/>
        <v>실리콘 에멀전</v>
      </c>
      <c r="Q8079" s="71">
        <f t="shared" si="4756"/>
        <v>20</v>
      </c>
      <c r="R8079" s="102">
        <v>120000</v>
      </c>
      <c r="S8079" s="102">
        <f t="shared" si="4805"/>
        <v>2640000</v>
      </c>
      <c r="T8079" s="102">
        <f t="shared" si="4806"/>
        <v>2400000</v>
      </c>
      <c r="U8079" s="71" t="str">
        <f t="shared" ref="U8079:U8080" si="4812">IF(J8079=W8079,"O", "X")</f>
        <v>X</v>
      </c>
      <c r="V8079" s="71"/>
      <c r="W8079" s="474"/>
      <c r="X8079" s="71"/>
      <c r="Y8079" s="71"/>
    </row>
    <row r="8080" spans="1:25" s="209" customFormat="1" ht="30" hidden="1" customHeight="1" x14ac:dyDescent="0.25">
      <c r="A8080" s="1145">
        <v>45897</v>
      </c>
      <c r="B8080" s="664" t="s">
        <v>411</v>
      </c>
      <c r="C8080" s="71" t="s">
        <v>3413</v>
      </c>
      <c r="D8080" s="71">
        <v>10</v>
      </c>
      <c r="E8080" s="102">
        <v>90000</v>
      </c>
      <c r="F8080" s="102">
        <f t="shared" si="4807"/>
        <v>990000.00000000012</v>
      </c>
      <c r="G8080" s="102">
        <f t="shared" si="4808"/>
        <v>900000</v>
      </c>
      <c r="H8080" s="690" t="s">
        <v>2029</v>
      </c>
      <c r="I8080" s="71" t="s">
        <v>3385</v>
      </c>
      <c r="J8080" s="53">
        <f t="shared" si="4809"/>
        <v>400000</v>
      </c>
      <c r="K8080" s="63">
        <f t="shared" si="4810"/>
        <v>0.44444444444444436</v>
      </c>
      <c r="L8080" s="1212" t="s">
        <v>4428</v>
      </c>
      <c r="M8080" s="468"/>
      <c r="N8080" s="1192">
        <f t="shared" si="4811"/>
        <v>45897</v>
      </c>
      <c r="O8080" s="71" t="s">
        <v>190</v>
      </c>
      <c r="P8080" s="103" t="str">
        <f t="shared" si="4755"/>
        <v>아스테이지(국전)</v>
      </c>
      <c r="Q8080" s="71">
        <f t="shared" si="4756"/>
        <v>10</v>
      </c>
      <c r="R8080" s="102">
        <v>50000</v>
      </c>
      <c r="S8080" s="102">
        <f t="shared" si="4805"/>
        <v>550000</v>
      </c>
      <c r="T8080" s="102">
        <f t="shared" si="4806"/>
        <v>500000</v>
      </c>
      <c r="U8080" s="71" t="str">
        <f t="shared" si="4812"/>
        <v>X</v>
      </c>
      <c r="V8080" s="71"/>
      <c r="W8080" s="474">
        <v>500000</v>
      </c>
      <c r="X8080" s="71"/>
      <c r="Y8080" s="71"/>
    </row>
    <row r="8081" spans="1:25" ht="30" hidden="1" customHeight="1" x14ac:dyDescent="0.25">
      <c r="A8081" s="1145">
        <v>45875</v>
      </c>
      <c r="B8081" s="664" t="s">
        <v>26</v>
      </c>
      <c r="C8081" s="71" t="s">
        <v>2087</v>
      </c>
      <c r="D8081" s="71">
        <v>5</v>
      </c>
      <c r="E8081" s="102">
        <v>65000</v>
      </c>
      <c r="F8081" s="102">
        <v>357500</v>
      </c>
      <c r="G8081" s="102">
        <v>325000</v>
      </c>
      <c r="H8081" s="690" t="s">
        <v>172</v>
      </c>
      <c r="I8081" s="71" t="s">
        <v>3295</v>
      </c>
      <c r="J8081" s="53">
        <v>75000</v>
      </c>
      <c r="K8081" s="63">
        <v>0.23076923076923078</v>
      </c>
      <c r="L8081" s="1212" t="s">
        <v>4428</v>
      </c>
      <c r="M8081" s="468"/>
      <c r="N8081" s="1192">
        <f t="shared" si="4811"/>
        <v>45875</v>
      </c>
      <c r="O8081" s="71" t="s">
        <v>152</v>
      </c>
      <c r="P8081" s="103" t="str">
        <f t="shared" si="4755"/>
        <v>아스테이지(국전)</v>
      </c>
      <c r="Q8081" s="71">
        <f t="shared" si="4756"/>
        <v>5</v>
      </c>
      <c r="R8081" s="102">
        <v>50000</v>
      </c>
      <c r="S8081" s="102">
        <v>275000</v>
      </c>
      <c r="T8081" s="102">
        <v>250000</v>
      </c>
      <c r="U8081" s="71" t="s">
        <v>1915</v>
      </c>
      <c r="V8081" s="71"/>
      <c r="W8081" s="474">
        <v>150000</v>
      </c>
      <c r="X8081" s="71"/>
      <c r="Y8081" s="71"/>
    </row>
    <row r="8082" spans="1:25" ht="30" hidden="1" customHeight="1" x14ac:dyDescent="0.25">
      <c r="A8082" s="1145">
        <v>45877</v>
      </c>
      <c r="B8082" s="664" t="s">
        <v>26</v>
      </c>
      <c r="C8082" s="71" t="s">
        <v>2087</v>
      </c>
      <c r="D8082" s="71">
        <v>5</v>
      </c>
      <c r="E8082" s="102">
        <v>65000</v>
      </c>
      <c r="F8082" s="102">
        <v>357500</v>
      </c>
      <c r="G8082" s="102">
        <v>325000</v>
      </c>
      <c r="H8082" s="690" t="s">
        <v>172</v>
      </c>
      <c r="I8082" s="71" t="s">
        <v>3295</v>
      </c>
      <c r="J8082" s="53">
        <v>75000</v>
      </c>
      <c r="K8082" s="63">
        <v>0.23076923076923078</v>
      </c>
      <c r="L8082" s="1212" t="s">
        <v>4428</v>
      </c>
      <c r="M8082" s="468"/>
      <c r="N8082" s="1192">
        <f t="shared" si="4811"/>
        <v>45877</v>
      </c>
      <c r="O8082" s="71" t="s">
        <v>152</v>
      </c>
      <c r="P8082" s="103" t="str">
        <f t="shared" si="4755"/>
        <v>아스테이지(국전)</v>
      </c>
      <c r="Q8082" s="71">
        <f t="shared" si="4756"/>
        <v>5</v>
      </c>
      <c r="R8082" s="102">
        <v>50000</v>
      </c>
      <c r="S8082" s="102">
        <v>275000</v>
      </c>
      <c r="T8082" s="102">
        <v>250000</v>
      </c>
      <c r="U8082" s="71" t="s">
        <v>1915</v>
      </c>
      <c r="V8082" s="71"/>
      <c r="W8082" s="474">
        <v>150000</v>
      </c>
      <c r="X8082" s="71"/>
      <c r="Y8082" s="71"/>
    </row>
    <row r="8083" spans="1:25" ht="30" hidden="1" customHeight="1" x14ac:dyDescent="0.25">
      <c r="A8083" s="1145">
        <v>45881</v>
      </c>
      <c r="B8083" s="664" t="s">
        <v>18</v>
      </c>
      <c r="C8083" s="71" t="s">
        <v>3305</v>
      </c>
      <c r="D8083" s="71">
        <v>15</v>
      </c>
      <c r="E8083" s="102">
        <v>86000</v>
      </c>
      <c r="F8083" s="102">
        <f t="shared" ref="F8083" si="4813">(E8083*D8083)*1.1</f>
        <v>1419000</v>
      </c>
      <c r="G8083" s="102">
        <f t="shared" ref="G8083" si="4814">(E8083*D8083)</f>
        <v>1290000</v>
      </c>
      <c r="H8083" s="690" t="s">
        <v>172</v>
      </c>
      <c r="I8083" s="71" t="s">
        <v>3295</v>
      </c>
      <c r="J8083" s="53">
        <f t="shared" ref="J8083:J8085" si="4815">G8083-T8083</f>
        <v>240000</v>
      </c>
      <c r="K8083" s="63">
        <f t="shared" ref="K8083:K8085" si="4816">(J8083/(F8083/11*10))</f>
        <v>0.18604651162790697</v>
      </c>
      <c r="L8083" s="1212" t="s">
        <v>4428</v>
      </c>
      <c r="M8083" s="468" t="s">
        <v>3306</v>
      </c>
      <c r="N8083" s="1192">
        <f t="shared" si="4811"/>
        <v>45881</v>
      </c>
      <c r="O8083" s="71" t="s">
        <v>146</v>
      </c>
      <c r="P8083" s="103" t="str">
        <f t="shared" ref="P8083:P8104" si="4817">(C8083)</f>
        <v>파우더</v>
      </c>
      <c r="Q8083" s="71">
        <f t="shared" ref="Q8083:Q8104" si="4818">D8083</f>
        <v>15</v>
      </c>
      <c r="R8083" s="102">
        <v>70000</v>
      </c>
      <c r="S8083" s="102">
        <f t="shared" ref="S8083:S8085" si="4819">R8083*Q8083*1.1</f>
        <v>1155000</v>
      </c>
      <c r="T8083" s="102">
        <f t="shared" ref="T8083:T8085" si="4820">R8083*Q8083</f>
        <v>1050000</v>
      </c>
      <c r="U8083" s="71" t="s">
        <v>1915</v>
      </c>
      <c r="V8083" s="71"/>
      <c r="W8083" s="474"/>
      <c r="X8083" s="71"/>
      <c r="Y8083" s="71"/>
    </row>
    <row r="8084" spans="1:25" ht="30" hidden="1" customHeight="1" x14ac:dyDescent="0.25">
      <c r="A8084" s="1145">
        <v>45881</v>
      </c>
      <c r="B8084" s="664" t="s">
        <v>548</v>
      </c>
      <c r="C8084" s="71" t="s">
        <v>3384</v>
      </c>
      <c r="D8084" s="71">
        <v>400</v>
      </c>
      <c r="E8084" s="102">
        <v>550</v>
      </c>
      <c r="F8084" s="102">
        <f>(E8084*D8084)*1.1</f>
        <v>242000.00000000003</v>
      </c>
      <c r="G8084" s="102">
        <f>(E8084*D8084)</f>
        <v>220000</v>
      </c>
      <c r="H8084" s="690" t="s">
        <v>2029</v>
      </c>
      <c r="I8084" s="71" t="s">
        <v>3385</v>
      </c>
      <c r="J8084" s="53">
        <f t="shared" si="4815"/>
        <v>92000</v>
      </c>
      <c r="K8084" s="63">
        <f t="shared" si="4816"/>
        <v>0.4181818181818181</v>
      </c>
      <c r="L8084" s="1212" t="s">
        <v>4428</v>
      </c>
      <c r="M8084" s="468"/>
      <c r="N8084" s="1192">
        <f t="shared" si="4811"/>
        <v>45881</v>
      </c>
      <c r="O8084" s="71" t="s">
        <v>2030</v>
      </c>
      <c r="P8084" s="103" t="str">
        <f t="shared" si="4817"/>
        <v>고무사카 빨간색</v>
      </c>
      <c r="Q8084" s="71">
        <f t="shared" si="4818"/>
        <v>400</v>
      </c>
      <c r="R8084" s="102">
        <v>320</v>
      </c>
      <c r="S8084" s="102">
        <f t="shared" si="4819"/>
        <v>140800</v>
      </c>
      <c r="T8084" s="102">
        <f t="shared" si="4820"/>
        <v>128000</v>
      </c>
      <c r="U8084" s="71"/>
      <c r="V8084" s="71"/>
      <c r="W8084" s="474"/>
      <c r="X8084" s="71"/>
      <c r="Y8084" s="71"/>
    </row>
    <row r="8085" spans="1:25" ht="30" hidden="1" customHeight="1" x14ac:dyDescent="0.25">
      <c r="A8085" s="1145">
        <v>45881</v>
      </c>
      <c r="B8085" s="664" t="s">
        <v>809</v>
      </c>
      <c r="C8085" s="71" t="s">
        <v>4028</v>
      </c>
      <c r="D8085" s="71">
        <v>20</v>
      </c>
      <c r="E8085" s="102">
        <v>125000</v>
      </c>
      <c r="F8085" s="102">
        <f t="shared" ref="F8085" si="4821">(E8085*D8085)*1.1</f>
        <v>2750000</v>
      </c>
      <c r="G8085" s="102">
        <f t="shared" ref="G8085" si="4822">(E8085*D8085)</f>
        <v>2500000</v>
      </c>
      <c r="H8085" s="690" t="s">
        <v>172</v>
      </c>
      <c r="I8085" s="71" t="s">
        <v>33</v>
      </c>
      <c r="J8085" s="53">
        <f t="shared" si="4815"/>
        <v>394000</v>
      </c>
      <c r="K8085" s="63">
        <f t="shared" si="4816"/>
        <v>0.15759999999999999</v>
      </c>
      <c r="L8085" s="1212" t="s">
        <v>4428</v>
      </c>
      <c r="M8085" s="102"/>
      <c r="N8085" s="1192">
        <f t="shared" si="4811"/>
        <v>45881</v>
      </c>
      <c r="O8085" s="71" t="s">
        <v>147</v>
      </c>
      <c r="P8085" s="103" t="str">
        <f t="shared" si="4817"/>
        <v>Blanket(1077*885)</v>
      </c>
      <c r="Q8085" s="71">
        <f t="shared" si="4818"/>
        <v>20</v>
      </c>
      <c r="R8085" s="102">
        <v>105300</v>
      </c>
      <c r="S8085" s="102">
        <f t="shared" si="4819"/>
        <v>2316600</v>
      </c>
      <c r="T8085" s="102">
        <f t="shared" si="4820"/>
        <v>2106000</v>
      </c>
      <c r="U8085" s="71"/>
      <c r="V8085" s="71"/>
      <c r="W8085" s="474"/>
      <c r="X8085" s="71"/>
      <c r="Y8085" s="71"/>
    </row>
    <row r="8086" spans="1:25" ht="30" hidden="1" customHeight="1" x14ac:dyDescent="0.25">
      <c r="A8086" s="1145">
        <v>45898</v>
      </c>
      <c r="B8086" s="664" t="s">
        <v>3830</v>
      </c>
      <c r="C8086" s="71" t="s">
        <v>2577</v>
      </c>
      <c r="D8086" s="71">
        <v>1311</v>
      </c>
      <c r="E8086" s="102">
        <v>1700</v>
      </c>
      <c r="F8086" s="102">
        <f t="shared" ref="F8086:F8094" si="4823">(E8086*D8086)*1.1</f>
        <v>2451570</v>
      </c>
      <c r="G8086" s="102">
        <f t="shared" ref="G8086:G8094" si="4824">(E8086*D8086)</f>
        <v>2228700</v>
      </c>
      <c r="H8086" s="690" t="s">
        <v>172</v>
      </c>
      <c r="I8086" s="71" t="s">
        <v>140</v>
      </c>
      <c r="J8086" s="53">
        <f t="shared" ref="J8086" si="4825">G8086-T8086</f>
        <v>2228700</v>
      </c>
      <c r="K8086" s="63">
        <f t="shared" ref="K8086" si="4826">(J8086/(F8086/11*10))</f>
        <v>1</v>
      </c>
      <c r="L8086" s="1212" t="s">
        <v>4428</v>
      </c>
      <c r="M8086" s="102"/>
      <c r="N8086" s="1192">
        <f t="shared" si="4811"/>
        <v>45898</v>
      </c>
      <c r="O8086" s="71"/>
      <c r="P8086" s="103" t="str">
        <f t="shared" si="4817"/>
        <v>CTP 폐판</v>
      </c>
      <c r="Q8086" s="71">
        <f t="shared" si="4818"/>
        <v>1311</v>
      </c>
      <c r="R8086" s="102"/>
      <c r="S8086" s="102">
        <f t="shared" si="4805"/>
        <v>0</v>
      </c>
      <c r="T8086" s="102">
        <f t="shared" si="4806"/>
        <v>0</v>
      </c>
      <c r="U8086" s="71"/>
      <c r="V8086" s="71"/>
      <c r="W8086" s="474"/>
      <c r="X8086" s="71"/>
      <c r="Y8086" s="71"/>
    </row>
    <row r="8087" spans="1:25" ht="30" hidden="1" customHeight="1" x14ac:dyDescent="0.25">
      <c r="A8087" s="1145">
        <v>45896</v>
      </c>
      <c r="B8087" s="664" t="s">
        <v>2569</v>
      </c>
      <c r="C8087" s="71" t="s">
        <v>4431</v>
      </c>
      <c r="D8087" s="71">
        <v>3</v>
      </c>
      <c r="E8087" s="102">
        <v>870000</v>
      </c>
      <c r="F8087" s="102">
        <f t="shared" si="4823"/>
        <v>2871000</v>
      </c>
      <c r="G8087" s="102">
        <f t="shared" si="4824"/>
        <v>2610000</v>
      </c>
      <c r="H8087" s="690" t="s">
        <v>142</v>
      </c>
      <c r="I8087" s="71" t="s">
        <v>142</v>
      </c>
      <c r="J8087" s="53">
        <f t="shared" ref="J8087" si="4827">G8087-T8087</f>
        <v>582177</v>
      </c>
      <c r="K8087" s="63">
        <f t="shared" ref="K8087" si="4828">(J8087/(F8087/11*10))</f>
        <v>0.22305632183908047</v>
      </c>
      <c r="L8087" s="1212" t="s">
        <v>4428</v>
      </c>
      <c r="M8087" s="468"/>
      <c r="N8087" s="1192">
        <f t="shared" si="4811"/>
        <v>45896</v>
      </c>
      <c r="O8087" s="71" t="s">
        <v>1459</v>
      </c>
      <c r="P8087" s="103" t="str">
        <f t="shared" si="4817"/>
        <v>IST 정품 UV Lamp 국전용</v>
      </c>
      <c r="Q8087" s="71">
        <f t="shared" si="4818"/>
        <v>3</v>
      </c>
      <c r="R8087" s="147">
        <v>675941</v>
      </c>
      <c r="S8087" s="102">
        <f t="shared" si="4805"/>
        <v>2230605.3000000003</v>
      </c>
      <c r="T8087" s="102">
        <f t="shared" si="4806"/>
        <v>2027823</v>
      </c>
      <c r="U8087" s="71"/>
      <c r="V8087" s="71"/>
      <c r="W8087" s="474"/>
      <c r="X8087" s="71"/>
      <c r="Y8087" s="71"/>
    </row>
    <row r="8088" spans="1:25" ht="30" hidden="1" customHeight="1" x14ac:dyDescent="0.25">
      <c r="A8088" s="1145">
        <v>45898</v>
      </c>
      <c r="B8088" s="664" t="s">
        <v>1593</v>
      </c>
      <c r="C8088" s="1020" t="s">
        <v>4404</v>
      </c>
      <c r="D8088" s="71">
        <v>70</v>
      </c>
      <c r="E8088" s="102">
        <v>94000</v>
      </c>
      <c r="F8088" s="102">
        <f t="shared" si="4823"/>
        <v>7238000.0000000009</v>
      </c>
      <c r="G8088" s="102">
        <f t="shared" si="4824"/>
        <v>6580000</v>
      </c>
      <c r="H8088" s="690" t="s">
        <v>142</v>
      </c>
      <c r="I8088" s="71" t="s">
        <v>142</v>
      </c>
      <c r="J8088" s="53">
        <f t="shared" ref="J8088:J8090" si="4829">G8088-T8088</f>
        <v>1874900.416666667</v>
      </c>
      <c r="K8088" s="63">
        <f t="shared" ref="K8088:K8090" si="4830">(J8088/(F8088/11*10))</f>
        <v>0.28493927304964539</v>
      </c>
      <c r="L8088" s="1212" t="s">
        <v>4428</v>
      </c>
      <c r="M8088" s="468"/>
      <c r="N8088" s="1192">
        <f t="shared" si="4811"/>
        <v>45898</v>
      </c>
      <c r="O8088" s="71" t="s">
        <v>4408</v>
      </c>
      <c r="P8088" s="103" t="str">
        <f t="shared" si="4817"/>
        <v>Colorman 신문윤전기 습수약물
Technova Aquafount</v>
      </c>
      <c r="Q8088" s="71">
        <f t="shared" si="4818"/>
        <v>70</v>
      </c>
      <c r="R8088" s="147">
        <f>3226354/48</f>
        <v>67215.708333333328</v>
      </c>
      <c r="S8088" s="102">
        <f t="shared" si="4805"/>
        <v>5175609.541666667</v>
      </c>
      <c r="T8088" s="102">
        <f t="shared" si="4806"/>
        <v>4705099.583333333</v>
      </c>
      <c r="U8088" s="71"/>
      <c r="V8088" s="71"/>
      <c r="W8088" s="474"/>
      <c r="X8088" s="71"/>
      <c r="Y8088" s="71"/>
    </row>
    <row r="8089" spans="1:25" ht="30" hidden="1" customHeight="1" x14ac:dyDescent="0.25">
      <c r="A8089" s="1145">
        <v>45898</v>
      </c>
      <c r="B8089" s="664" t="s">
        <v>1593</v>
      </c>
      <c r="C8089" s="1020" t="s">
        <v>4405</v>
      </c>
      <c r="D8089" s="71">
        <v>72</v>
      </c>
      <c r="E8089" s="102">
        <v>92000</v>
      </c>
      <c r="F8089" s="102">
        <f t="shared" si="4823"/>
        <v>7286400.0000000009</v>
      </c>
      <c r="G8089" s="102">
        <f t="shared" si="4824"/>
        <v>6624000</v>
      </c>
      <c r="H8089" s="690" t="s">
        <v>142</v>
      </c>
      <c r="I8089" s="71" t="s">
        <v>142</v>
      </c>
      <c r="J8089" s="53">
        <f t="shared" si="4829"/>
        <v>1183320</v>
      </c>
      <c r="K8089" s="63">
        <f t="shared" si="4830"/>
        <v>0.17864130434782607</v>
      </c>
      <c r="L8089" s="1212" t="s">
        <v>4428</v>
      </c>
      <c r="M8089" s="102"/>
      <c r="N8089" s="1192">
        <f t="shared" si="4811"/>
        <v>45898</v>
      </c>
      <c r="O8089" s="71" t="s">
        <v>4408</v>
      </c>
      <c r="P8089" s="103" t="str">
        <f t="shared" si="4817"/>
        <v>Colorman 신문윤전기 세척액
Technova Artemas Wash</v>
      </c>
      <c r="Q8089" s="71">
        <f t="shared" si="4818"/>
        <v>72</v>
      </c>
      <c r="R8089" s="102">
        <v>75565</v>
      </c>
      <c r="S8089" s="102">
        <f t="shared" si="4805"/>
        <v>5984748.0000000009</v>
      </c>
      <c r="T8089" s="102">
        <f t="shared" si="4806"/>
        <v>5440680</v>
      </c>
      <c r="U8089" s="71"/>
      <c r="V8089" s="71"/>
      <c r="W8089" s="474"/>
      <c r="X8089" s="71"/>
      <c r="Y8089" s="71"/>
    </row>
    <row r="8090" spans="1:25" ht="30" hidden="1" customHeight="1" x14ac:dyDescent="0.25">
      <c r="A8090" s="1145">
        <v>45897</v>
      </c>
      <c r="B8090" s="664" t="s">
        <v>2155</v>
      </c>
      <c r="C8090" s="71" t="s">
        <v>4435</v>
      </c>
      <c r="D8090" s="71">
        <v>1</v>
      </c>
      <c r="E8090" s="102">
        <v>3800000</v>
      </c>
      <c r="F8090" s="102">
        <f t="shared" si="4823"/>
        <v>4180000.0000000005</v>
      </c>
      <c r="G8090" s="102">
        <f t="shared" si="4824"/>
        <v>3800000</v>
      </c>
      <c r="H8090" s="690" t="s">
        <v>985</v>
      </c>
      <c r="I8090" s="71" t="s">
        <v>985</v>
      </c>
      <c r="J8090" s="53">
        <f t="shared" si="4829"/>
        <v>2524000</v>
      </c>
      <c r="K8090" s="63">
        <f t="shared" si="4830"/>
        <v>0.66421052631578936</v>
      </c>
      <c r="L8090" s="1212" t="s">
        <v>4428</v>
      </c>
      <c r="M8090" s="102"/>
      <c r="N8090" s="1192">
        <f t="shared" si="4811"/>
        <v>45897</v>
      </c>
      <c r="O8090" s="71" t="s">
        <v>150</v>
      </c>
      <c r="P8090" s="103" t="str">
        <f t="shared" si="4817"/>
        <v>M600 판걸이 업그레이드 서비스비용</v>
      </c>
      <c r="Q8090" s="71">
        <f t="shared" si="4818"/>
        <v>1</v>
      </c>
      <c r="R8090" s="102">
        <v>1276000</v>
      </c>
      <c r="S8090" s="102">
        <f t="shared" si="4805"/>
        <v>1403600</v>
      </c>
      <c r="T8090" s="102">
        <f t="shared" si="4806"/>
        <v>1276000</v>
      </c>
      <c r="U8090" s="71"/>
      <c r="V8090" s="71"/>
      <c r="W8090" s="474"/>
      <c r="X8090" s="71"/>
      <c r="Y8090" s="71"/>
    </row>
    <row r="8091" spans="1:25" ht="30" hidden="1" customHeight="1" x14ac:dyDescent="0.25">
      <c r="A8091" s="1145">
        <v>45897</v>
      </c>
      <c r="B8091" s="664" t="s">
        <v>546</v>
      </c>
      <c r="C8091" s="71" t="s">
        <v>4432</v>
      </c>
      <c r="D8091" s="71">
        <v>6</v>
      </c>
      <c r="E8091" s="102">
        <v>80000</v>
      </c>
      <c r="F8091" s="102">
        <f t="shared" si="4823"/>
        <v>528000</v>
      </c>
      <c r="G8091" s="102">
        <f t="shared" si="4824"/>
        <v>480000</v>
      </c>
      <c r="H8091" s="690" t="s">
        <v>1431</v>
      </c>
      <c r="I8091" s="71" t="s">
        <v>1431</v>
      </c>
      <c r="J8091" s="53">
        <f t="shared" ref="J8091:J8094" si="4831">G8091-T8091</f>
        <v>156000</v>
      </c>
      <c r="K8091" s="63">
        <f t="shared" ref="K8091:K8094" si="4832">(J8091/(F8091/11*10))</f>
        <v>0.32500000000000001</v>
      </c>
      <c r="L8091" s="1212" t="s">
        <v>4428</v>
      </c>
      <c r="M8091" s="468"/>
      <c r="N8091" s="1192">
        <f t="shared" si="4811"/>
        <v>45897</v>
      </c>
      <c r="O8091" s="71" t="s">
        <v>1431</v>
      </c>
      <c r="P8091" s="103" t="str">
        <f t="shared" si="4817"/>
        <v>Perforating Knife</v>
      </c>
      <c r="Q8091" s="71">
        <f t="shared" si="4818"/>
        <v>6</v>
      </c>
      <c r="R8091" s="147">
        <v>54000</v>
      </c>
      <c r="S8091" s="102">
        <f t="shared" si="4805"/>
        <v>356400</v>
      </c>
      <c r="T8091" s="102">
        <f t="shared" si="4806"/>
        <v>324000</v>
      </c>
      <c r="U8091" s="71"/>
      <c r="V8091" s="71"/>
      <c r="W8091" s="474"/>
      <c r="X8091" s="71"/>
      <c r="Y8091" s="71"/>
    </row>
    <row r="8092" spans="1:25" ht="30" hidden="1" customHeight="1" x14ac:dyDescent="0.25">
      <c r="A8092" s="1145">
        <v>45897</v>
      </c>
      <c r="B8092" s="664" t="s">
        <v>546</v>
      </c>
      <c r="C8092" s="71" t="s">
        <v>3868</v>
      </c>
      <c r="D8092" s="71">
        <v>6</v>
      </c>
      <c r="E8092" s="102">
        <v>70000</v>
      </c>
      <c r="F8092" s="102">
        <f t="shared" si="4823"/>
        <v>462000.00000000006</v>
      </c>
      <c r="G8092" s="102">
        <f t="shared" si="4824"/>
        <v>420000</v>
      </c>
      <c r="H8092" s="690" t="s">
        <v>1431</v>
      </c>
      <c r="I8092" s="71" t="s">
        <v>1431</v>
      </c>
      <c r="J8092" s="53">
        <f t="shared" si="4831"/>
        <v>210000</v>
      </c>
      <c r="K8092" s="63">
        <f t="shared" si="4832"/>
        <v>0.49999999999999994</v>
      </c>
      <c r="L8092" s="1212" t="s">
        <v>4428</v>
      </c>
      <c r="M8092" s="102"/>
      <c r="N8092" s="1192">
        <f t="shared" si="4811"/>
        <v>45897</v>
      </c>
      <c r="O8092" s="71" t="s">
        <v>1431</v>
      </c>
      <c r="P8092" s="103" t="str">
        <f t="shared" si="4817"/>
        <v>Tucker blade</v>
      </c>
      <c r="Q8092" s="71">
        <f t="shared" si="4818"/>
        <v>6</v>
      </c>
      <c r="R8092" s="102">
        <v>35000</v>
      </c>
      <c r="S8092" s="102">
        <f t="shared" si="4805"/>
        <v>231000.00000000003</v>
      </c>
      <c r="T8092" s="102">
        <f t="shared" si="4806"/>
        <v>210000</v>
      </c>
      <c r="U8092" s="71"/>
      <c r="V8092" s="71"/>
      <c r="W8092" s="474"/>
      <c r="X8092" s="71"/>
      <c r="Y8092" s="71"/>
    </row>
    <row r="8093" spans="1:25" ht="30" hidden="1" customHeight="1" x14ac:dyDescent="0.25">
      <c r="A8093" s="1145">
        <v>45897</v>
      </c>
      <c r="B8093" s="664" t="s">
        <v>546</v>
      </c>
      <c r="C8093" s="71" t="s">
        <v>4433</v>
      </c>
      <c r="D8093" s="71">
        <v>30</v>
      </c>
      <c r="E8093" s="102">
        <v>27000</v>
      </c>
      <c r="F8093" s="102">
        <f t="shared" si="4823"/>
        <v>891000.00000000012</v>
      </c>
      <c r="G8093" s="102">
        <f t="shared" si="4824"/>
        <v>810000</v>
      </c>
      <c r="H8093" s="690" t="s">
        <v>1431</v>
      </c>
      <c r="I8093" s="71" t="s">
        <v>1431</v>
      </c>
      <c r="J8093" s="53">
        <f t="shared" si="4831"/>
        <v>270000</v>
      </c>
      <c r="K8093" s="63">
        <f t="shared" si="4832"/>
        <v>0.33333333333333326</v>
      </c>
      <c r="L8093" s="1212" t="s">
        <v>4428</v>
      </c>
      <c r="M8093" s="468"/>
      <c r="N8093" s="1192">
        <f t="shared" si="4811"/>
        <v>45897</v>
      </c>
      <c r="O8093" s="71" t="s">
        <v>1431</v>
      </c>
      <c r="P8093" s="103" t="str">
        <f t="shared" si="4817"/>
        <v>브러쉬(WM.X68143)</v>
      </c>
      <c r="Q8093" s="71">
        <f t="shared" si="4818"/>
        <v>30</v>
      </c>
      <c r="R8093" s="147">
        <v>18000</v>
      </c>
      <c r="S8093" s="102">
        <f t="shared" si="4805"/>
        <v>594000</v>
      </c>
      <c r="T8093" s="102">
        <f t="shared" si="4806"/>
        <v>540000</v>
      </c>
      <c r="U8093" s="71"/>
      <c r="V8093" s="71"/>
      <c r="W8093" s="474"/>
      <c r="X8093" s="71"/>
      <c r="Y8093" s="71"/>
    </row>
    <row r="8094" spans="1:25" ht="30" hidden="1" customHeight="1" x14ac:dyDescent="0.25">
      <c r="A8094" s="1145">
        <v>45897</v>
      </c>
      <c r="B8094" s="664" t="s">
        <v>546</v>
      </c>
      <c r="C8094" s="71" t="s">
        <v>2435</v>
      </c>
      <c r="D8094" s="71">
        <v>30</v>
      </c>
      <c r="E8094" s="102">
        <v>20000</v>
      </c>
      <c r="F8094" s="102">
        <f t="shared" si="4823"/>
        <v>660000</v>
      </c>
      <c r="G8094" s="102">
        <f t="shared" si="4824"/>
        <v>600000</v>
      </c>
      <c r="H8094" s="690" t="s">
        <v>1431</v>
      </c>
      <c r="I8094" s="71" t="s">
        <v>1431</v>
      </c>
      <c r="J8094" s="53">
        <f t="shared" si="4831"/>
        <v>127200</v>
      </c>
      <c r="K8094" s="63">
        <f t="shared" si="4832"/>
        <v>0.21199999999999999</v>
      </c>
      <c r="L8094" s="1212" t="s">
        <v>4428</v>
      </c>
      <c r="M8094" s="102"/>
      <c r="N8094" s="1192">
        <f t="shared" si="4811"/>
        <v>45897</v>
      </c>
      <c r="O8094" s="71" t="s">
        <v>1431</v>
      </c>
      <c r="P8094" s="103" t="str">
        <f t="shared" si="4817"/>
        <v>잉크 파운틴 호일</v>
      </c>
      <c r="Q8094" s="71">
        <f t="shared" si="4818"/>
        <v>30</v>
      </c>
      <c r="R8094" s="102">
        <v>15760</v>
      </c>
      <c r="S8094" s="102">
        <f t="shared" si="4805"/>
        <v>520080.00000000006</v>
      </c>
      <c r="T8094" s="102">
        <f t="shared" si="4806"/>
        <v>472800</v>
      </c>
      <c r="U8094" s="71"/>
      <c r="V8094" s="71"/>
      <c r="W8094" s="474"/>
      <c r="X8094" s="71"/>
      <c r="Y8094" s="71"/>
    </row>
    <row r="8095" spans="1:25" ht="30" hidden="1" customHeight="1" x14ac:dyDescent="0.25">
      <c r="A8095" s="1145">
        <v>45897</v>
      </c>
      <c r="B8095" s="664" t="s">
        <v>546</v>
      </c>
      <c r="C8095" s="71" t="s">
        <v>4434</v>
      </c>
      <c r="D8095" s="71">
        <v>2</v>
      </c>
      <c r="E8095" s="102">
        <v>670000</v>
      </c>
      <c r="F8095" s="102">
        <f t="shared" ref="F8095:F8104" si="4833">(E8095*D8095)*1.1</f>
        <v>1474000.0000000002</v>
      </c>
      <c r="G8095" s="102">
        <f t="shared" ref="G8095:G8104" si="4834">(E8095*D8095)</f>
        <v>1340000</v>
      </c>
      <c r="H8095" s="690" t="s">
        <v>1431</v>
      </c>
      <c r="I8095" s="71" t="s">
        <v>1431</v>
      </c>
      <c r="J8095" s="53">
        <f t="shared" ref="J8095" si="4835">G8095-T8095</f>
        <v>380000</v>
      </c>
      <c r="K8095" s="63">
        <f t="shared" ref="K8095" si="4836">(J8095/(F8095/11*10))</f>
        <v>0.28358208955223874</v>
      </c>
      <c r="L8095" s="1212" t="s">
        <v>4428</v>
      </c>
      <c r="M8095" s="468"/>
      <c r="N8095" s="1192">
        <f t="shared" si="4811"/>
        <v>45897</v>
      </c>
      <c r="O8095" s="71" t="s">
        <v>1431</v>
      </c>
      <c r="P8095" s="103" t="str">
        <f t="shared" si="4817"/>
        <v>Rubber sleeve</v>
      </c>
      <c r="Q8095" s="71">
        <f t="shared" si="4818"/>
        <v>2</v>
      </c>
      <c r="R8095" s="147">
        <v>480000</v>
      </c>
      <c r="S8095" s="102">
        <f t="shared" si="4805"/>
        <v>1056000</v>
      </c>
      <c r="T8095" s="102">
        <f t="shared" si="4806"/>
        <v>960000</v>
      </c>
      <c r="U8095" s="71"/>
      <c r="V8095" s="71"/>
      <c r="W8095" s="474"/>
      <c r="X8095" s="71"/>
      <c r="Y8095" s="71"/>
    </row>
    <row r="8096" spans="1:25" ht="30" hidden="1" customHeight="1" x14ac:dyDescent="0.25">
      <c r="A8096" s="1145">
        <v>45897</v>
      </c>
      <c r="B8096" s="664" t="s">
        <v>546</v>
      </c>
      <c r="C8096" s="71" t="s">
        <v>114</v>
      </c>
      <c r="D8096" s="71">
        <v>50</v>
      </c>
      <c r="E8096" s="102">
        <v>18000</v>
      </c>
      <c r="F8096" s="102">
        <f t="shared" si="4833"/>
        <v>990000.00000000012</v>
      </c>
      <c r="G8096" s="102">
        <f t="shared" si="4834"/>
        <v>900000</v>
      </c>
      <c r="H8096" s="690" t="s">
        <v>1431</v>
      </c>
      <c r="I8096" s="71" t="s">
        <v>1431</v>
      </c>
      <c r="J8096" s="53">
        <f t="shared" ref="J8096" si="4837">G8096-T8096</f>
        <v>400000</v>
      </c>
      <c r="K8096" s="63">
        <f t="shared" ref="K8096" si="4838">(J8096/(F8096/11*10))</f>
        <v>0.44444444444444436</v>
      </c>
      <c r="L8096" s="1212" t="s">
        <v>4428</v>
      </c>
      <c r="M8096" s="102"/>
      <c r="N8096" s="1192">
        <f t="shared" si="4811"/>
        <v>45897</v>
      </c>
      <c r="O8096" s="71" t="s">
        <v>1431</v>
      </c>
      <c r="P8096" s="103" t="str">
        <f t="shared" si="4817"/>
        <v>스트리퍼</v>
      </c>
      <c r="Q8096" s="71">
        <f t="shared" si="4818"/>
        <v>50</v>
      </c>
      <c r="R8096" s="102">
        <v>10000</v>
      </c>
      <c r="S8096" s="102">
        <f t="shared" si="4805"/>
        <v>550000</v>
      </c>
      <c r="T8096" s="102">
        <f t="shared" si="4806"/>
        <v>500000</v>
      </c>
      <c r="U8096" s="71"/>
      <c r="V8096" s="71"/>
      <c r="W8096" s="474"/>
      <c r="X8096" s="71"/>
      <c r="Y8096" s="71"/>
    </row>
    <row r="8097" spans="1:25" ht="30" hidden="1" customHeight="1" x14ac:dyDescent="0.25">
      <c r="A8097" s="1145">
        <v>45897</v>
      </c>
      <c r="B8097" s="664" t="s">
        <v>546</v>
      </c>
      <c r="C8097" s="71" t="s">
        <v>4436</v>
      </c>
      <c r="D8097" s="71">
        <v>1</v>
      </c>
      <c r="E8097" s="102">
        <v>1000000</v>
      </c>
      <c r="F8097" s="102">
        <f t="shared" si="4833"/>
        <v>1100000</v>
      </c>
      <c r="G8097" s="102">
        <f t="shared" si="4834"/>
        <v>1000000</v>
      </c>
      <c r="H8097" s="690" t="s">
        <v>1431</v>
      </c>
      <c r="I8097" s="71" t="s">
        <v>1431</v>
      </c>
      <c r="J8097" s="53">
        <f t="shared" ref="J8097" si="4839">G8097-T8097</f>
        <v>370000</v>
      </c>
      <c r="K8097" s="63">
        <f t="shared" ref="K8097" si="4840">(J8097/(F8097/11*10))</f>
        <v>0.37</v>
      </c>
      <c r="L8097" s="1212" t="s">
        <v>4428</v>
      </c>
      <c r="M8097" s="468"/>
      <c r="N8097" s="1192">
        <f t="shared" si="4811"/>
        <v>45897</v>
      </c>
      <c r="O8097" s="71" t="s">
        <v>1431</v>
      </c>
      <c r="P8097" s="103" t="str">
        <f t="shared" si="4817"/>
        <v>Former nose short(16.15530-0146)</v>
      </c>
      <c r="Q8097" s="71">
        <f t="shared" si="4818"/>
        <v>1</v>
      </c>
      <c r="R8097" s="147">
        <v>630000</v>
      </c>
      <c r="S8097" s="102">
        <f t="shared" si="4805"/>
        <v>693000</v>
      </c>
      <c r="T8097" s="102">
        <f t="shared" si="4806"/>
        <v>630000</v>
      </c>
      <c r="U8097" s="71"/>
      <c r="V8097" s="71"/>
      <c r="W8097" s="474"/>
      <c r="X8097" s="71"/>
      <c r="Y8097" s="71"/>
    </row>
    <row r="8098" spans="1:25" ht="30" hidden="1" customHeight="1" x14ac:dyDescent="0.25">
      <c r="A8098" s="1145">
        <v>45897</v>
      </c>
      <c r="B8098" s="664" t="s">
        <v>546</v>
      </c>
      <c r="C8098" s="71" t="s">
        <v>4437</v>
      </c>
      <c r="D8098" s="71">
        <v>4</v>
      </c>
      <c r="E8098" s="102">
        <v>237500</v>
      </c>
      <c r="F8098" s="102">
        <f t="shared" si="4833"/>
        <v>1045000.0000000001</v>
      </c>
      <c r="G8098" s="102">
        <f t="shared" si="4834"/>
        <v>950000</v>
      </c>
      <c r="H8098" s="690" t="s">
        <v>1431</v>
      </c>
      <c r="I8098" s="71" t="s">
        <v>1431</v>
      </c>
      <c r="J8098" s="53">
        <f t="shared" ref="J8098" si="4841">G8098-T8098</f>
        <v>270000</v>
      </c>
      <c r="K8098" s="63">
        <f t="shared" ref="K8098" si="4842">(J8098/(F8098/11*10))</f>
        <v>0.28421052631578941</v>
      </c>
      <c r="L8098" s="1212" t="s">
        <v>4428</v>
      </c>
      <c r="M8098" s="102"/>
      <c r="N8098" s="1192">
        <f t="shared" si="4811"/>
        <v>45897</v>
      </c>
      <c r="O8098" s="71" t="s">
        <v>1431</v>
      </c>
      <c r="P8098" s="103" t="str">
        <f t="shared" si="4817"/>
        <v>Nip roll(16.21773-0082)</v>
      </c>
      <c r="Q8098" s="71">
        <f t="shared" si="4818"/>
        <v>4</v>
      </c>
      <c r="R8098" s="102">
        <v>170000</v>
      </c>
      <c r="S8098" s="102">
        <f t="shared" si="4805"/>
        <v>748000.00000000012</v>
      </c>
      <c r="T8098" s="102">
        <f t="shared" si="4806"/>
        <v>680000</v>
      </c>
      <c r="U8098" s="71"/>
      <c r="V8098" s="71"/>
      <c r="W8098" s="474"/>
      <c r="X8098" s="71"/>
      <c r="Y8098" s="71"/>
    </row>
    <row r="8099" spans="1:25" ht="30" hidden="1" customHeight="1" x14ac:dyDescent="0.25">
      <c r="A8099" s="1145">
        <v>45897</v>
      </c>
      <c r="B8099" s="664" t="s">
        <v>546</v>
      </c>
      <c r="C8099" s="71" t="s">
        <v>1148</v>
      </c>
      <c r="D8099" s="71">
        <v>8</v>
      </c>
      <c r="E8099" s="102">
        <v>465000</v>
      </c>
      <c r="F8099" s="102">
        <f t="shared" si="4833"/>
        <v>4092000.0000000005</v>
      </c>
      <c r="G8099" s="102">
        <f t="shared" si="4834"/>
        <v>3720000</v>
      </c>
      <c r="H8099" s="690" t="s">
        <v>1431</v>
      </c>
      <c r="I8099" s="71" t="s">
        <v>1431</v>
      </c>
      <c r="J8099" s="53">
        <f t="shared" ref="J8099" si="4843">G8099-T8099</f>
        <v>1224000</v>
      </c>
      <c r="K8099" s="63">
        <f t="shared" ref="K8099" si="4844">(J8099/(F8099/11*10))</f>
        <v>0.32903225806451608</v>
      </c>
      <c r="L8099" s="1212" t="s">
        <v>4428</v>
      </c>
      <c r="M8099" s="102"/>
      <c r="N8099" s="1192">
        <f t="shared" si="4811"/>
        <v>45897</v>
      </c>
      <c r="O8099" s="71" t="s">
        <v>1431</v>
      </c>
      <c r="P8099" s="103" t="str">
        <f t="shared" si="4817"/>
        <v>브레이크 라이닝</v>
      </c>
      <c r="Q8099" s="71">
        <f t="shared" si="4818"/>
        <v>8</v>
      </c>
      <c r="R8099" s="102">
        <v>312000</v>
      </c>
      <c r="S8099" s="102">
        <f t="shared" si="4805"/>
        <v>2745600</v>
      </c>
      <c r="T8099" s="102">
        <f t="shared" si="4806"/>
        <v>2496000</v>
      </c>
      <c r="U8099" s="71"/>
      <c r="V8099" s="71"/>
      <c r="W8099" s="474"/>
      <c r="X8099" s="71"/>
      <c r="Y8099" s="71"/>
    </row>
    <row r="8100" spans="1:25" ht="30" hidden="1" customHeight="1" x14ac:dyDescent="0.25">
      <c r="A8100" s="1145">
        <v>45897</v>
      </c>
      <c r="B8100" s="664" t="s">
        <v>4438</v>
      </c>
      <c r="C8100" s="71" t="s">
        <v>4439</v>
      </c>
      <c r="D8100" s="71">
        <v>1</v>
      </c>
      <c r="E8100" s="102">
        <v>1250000</v>
      </c>
      <c r="F8100" s="102">
        <f t="shared" si="4833"/>
        <v>1375000</v>
      </c>
      <c r="G8100" s="102">
        <f t="shared" si="4834"/>
        <v>1250000</v>
      </c>
      <c r="H8100" s="690" t="s">
        <v>142</v>
      </c>
      <c r="I8100" s="71" t="s">
        <v>142</v>
      </c>
      <c r="J8100" s="53">
        <f t="shared" ref="J8100" si="4845">G8100-T8100</f>
        <v>750000</v>
      </c>
      <c r="K8100" s="63">
        <f t="shared" ref="K8100" si="4846">(J8100/(F8100/11*10))</f>
        <v>0.6</v>
      </c>
      <c r="L8100" s="1212" t="s">
        <v>4428</v>
      </c>
      <c r="M8100" s="468"/>
      <c r="N8100" s="1192">
        <f t="shared" si="4811"/>
        <v>45897</v>
      </c>
      <c r="O8100" s="71" t="s">
        <v>3948</v>
      </c>
      <c r="P8100" s="103" t="str">
        <f t="shared" si="4817"/>
        <v>Used board</v>
      </c>
      <c r="Q8100" s="71">
        <f t="shared" si="4818"/>
        <v>1</v>
      </c>
      <c r="R8100" s="147">
        <v>500000</v>
      </c>
      <c r="S8100" s="102">
        <f t="shared" si="4805"/>
        <v>550000</v>
      </c>
      <c r="T8100" s="102">
        <f t="shared" si="4806"/>
        <v>500000</v>
      </c>
      <c r="U8100" s="71"/>
      <c r="V8100" s="71"/>
      <c r="W8100" s="474"/>
      <c r="X8100" s="71"/>
      <c r="Y8100" s="71"/>
    </row>
    <row r="8101" spans="1:25" ht="30" hidden="1" customHeight="1" x14ac:dyDescent="0.25">
      <c r="A8101" s="1145">
        <v>45897</v>
      </c>
      <c r="B8101" s="664" t="s">
        <v>442</v>
      </c>
      <c r="C8101" s="71" t="s">
        <v>4440</v>
      </c>
      <c r="D8101" s="71">
        <v>1</v>
      </c>
      <c r="E8101" s="102">
        <v>15000000</v>
      </c>
      <c r="F8101" s="102">
        <f t="shared" si="4833"/>
        <v>16500000.000000002</v>
      </c>
      <c r="G8101" s="102">
        <f t="shared" si="4834"/>
        <v>15000000</v>
      </c>
      <c r="H8101" s="690" t="s">
        <v>2029</v>
      </c>
      <c r="I8101" s="71" t="s">
        <v>3385</v>
      </c>
      <c r="J8101" s="53">
        <f t="shared" ref="J8101:J8102" si="4847">G8101-T8101</f>
        <v>3000000</v>
      </c>
      <c r="K8101" s="63">
        <f t="shared" ref="K8101:K8102" si="4848">(J8101/(F8101/11*10))</f>
        <v>0.19999999999999998</v>
      </c>
      <c r="L8101" s="1212" t="s">
        <v>4428</v>
      </c>
      <c r="M8101" s="102"/>
      <c r="N8101" s="1192">
        <f t="shared" si="4811"/>
        <v>45897</v>
      </c>
      <c r="O8101" s="71" t="s">
        <v>3635</v>
      </c>
      <c r="P8101" s="103" t="str">
        <f t="shared" si="4817"/>
        <v>농도계 x-rite exact</v>
      </c>
      <c r="Q8101" s="71">
        <f t="shared" si="4818"/>
        <v>1</v>
      </c>
      <c r="R8101" s="102">
        <v>12000000</v>
      </c>
      <c r="S8101" s="102">
        <f t="shared" si="4805"/>
        <v>13200000.000000002</v>
      </c>
      <c r="T8101" s="102">
        <f t="shared" si="4806"/>
        <v>12000000</v>
      </c>
      <c r="U8101" s="71"/>
      <c r="V8101" s="71"/>
      <c r="W8101" s="474"/>
      <c r="X8101" s="71"/>
      <c r="Y8101" s="71"/>
    </row>
    <row r="8102" spans="1:25" ht="30" hidden="1" customHeight="1" x14ac:dyDescent="0.25">
      <c r="A8102" s="1145">
        <v>45897</v>
      </c>
      <c r="B8102" s="664" t="s">
        <v>591</v>
      </c>
      <c r="C8102" s="71" t="s">
        <v>3645</v>
      </c>
      <c r="D8102" s="71">
        <v>1</v>
      </c>
      <c r="E8102" s="102">
        <v>24948000</v>
      </c>
      <c r="F8102" s="102">
        <f t="shared" si="4833"/>
        <v>27442800.000000004</v>
      </c>
      <c r="G8102" s="102">
        <f t="shared" si="4834"/>
        <v>24948000</v>
      </c>
      <c r="H8102" s="690" t="s">
        <v>173</v>
      </c>
      <c r="I8102" s="71" t="s">
        <v>143</v>
      </c>
      <c r="J8102" s="53">
        <f t="shared" si="4847"/>
        <v>4698000</v>
      </c>
      <c r="K8102" s="63">
        <f t="shared" si="4848"/>
        <v>0.18831168831168829</v>
      </c>
      <c r="L8102" s="1212" t="s">
        <v>4428</v>
      </c>
      <c r="M8102" s="468"/>
      <c r="N8102" s="1192">
        <f t="shared" si="4811"/>
        <v>45897</v>
      </c>
      <c r="O8102" s="71" t="s">
        <v>612</v>
      </c>
      <c r="P8102" s="103" t="str">
        <f t="shared" si="4817"/>
        <v>매엽 롤러 세트</v>
      </c>
      <c r="Q8102" s="71">
        <f t="shared" si="4818"/>
        <v>1</v>
      </c>
      <c r="R8102" s="147">
        <v>20250000</v>
      </c>
      <c r="S8102" s="102">
        <f t="shared" si="4805"/>
        <v>22275000</v>
      </c>
      <c r="T8102" s="102">
        <f t="shared" si="4806"/>
        <v>20250000</v>
      </c>
      <c r="U8102" s="71"/>
      <c r="V8102" s="71"/>
      <c r="W8102" s="474"/>
      <c r="X8102" s="71"/>
      <c r="Y8102" s="71"/>
    </row>
    <row r="8103" spans="1:25" ht="30" hidden="1" customHeight="1" x14ac:dyDescent="0.25">
      <c r="A8103" s="1145">
        <v>45897</v>
      </c>
      <c r="B8103" s="664" t="s">
        <v>575</v>
      </c>
      <c r="C8103" s="71" t="s">
        <v>4441</v>
      </c>
      <c r="D8103" s="71">
        <v>1</v>
      </c>
      <c r="E8103" s="102">
        <v>800000</v>
      </c>
      <c r="F8103" s="102">
        <f t="shared" si="4833"/>
        <v>880000.00000000012</v>
      </c>
      <c r="G8103" s="102">
        <f t="shared" si="4834"/>
        <v>800000</v>
      </c>
      <c r="H8103" s="690" t="s">
        <v>1431</v>
      </c>
      <c r="I8103" s="71" t="s">
        <v>1431</v>
      </c>
      <c r="J8103" s="53">
        <f t="shared" ref="J8103" si="4849">G8103-T8103</f>
        <v>300000</v>
      </c>
      <c r="K8103" s="63">
        <f t="shared" ref="K8103" si="4850">(J8103/(F8103/11*10))</f>
        <v>0.37499999999999994</v>
      </c>
      <c r="L8103" s="1212" t="s">
        <v>4428</v>
      </c>
      <c r="M8103" s="102"/>
      <c r="N8103" s="1192">
        <f t="shared" si="4811"/>
        <v>45897</v>
      </c>
      <c r="O8103" s="71" t="s">
        <v>2122</v>
      </c>
      <c r="P8103" s="103" t="str">
        <f t="shared" si="4817"/>
        <v>인버터 엔코더 카드</v>
      </c>
      <c r="Q8103" s="71">
        <f t="shared" si="4818"/>
        <v>1</v>
      </c>
      <c r="R8103" s="102">
        <v>500000</v>
      </c>
      <c r="S8103" s="102">
        <f t="shared" si="4805"/>
        <v>550000</v>
      </c>
      <c r="T8103" s="102">
        <f t="shared" si="4806"/>
        <v>500000</v>
      </c>
      <c r="U8103" s="71"/>
      <c r="V8103" s="71"/>
      <c r="W8103" s="474"/>
      <c r="X8103" s="71"/>
      <c r="Y8103" s="71"/>
    </row>
    <row r="8104" spans="1:25" ht="30" hidden="1" customHeight="1" x14ac:dyDescent="0.25">
      <c r="A8104" s="1145">
        <v>45897</v>
      </c>
      <c r="B8104" s="664" t="s">
        <v>575</v>
      </c>
      <c r="C8104" s="71" t="s">
        <v>4442</v>
      </c>
      <c r="D8104" s="71">
        <v>1</v>
      </c>
      <c r="E8104" s="102">
        <v>2625000</v>
      </c>
      <c r="F8104" s="102">
        <f t="shared" si="4833"/>
        <v>2887500.0000000005</v>
      </c>
      <c r="G8104" s="102">
        <f t="shared" si="4834"/>
        <v>2625000</v>
      </c>
      <c r="H8104" s="690" t="s">
        <v>985</v>
      </c>
      <c r="I8104" s="71" t="s">
        <v>985</v>
      </c>
      <c r="J8104" s="53"/>
      <c r="K8104" s="63"/>
      <c r="L8104" s="1212" t="s">
        <v>4428</v>
      </c>
      <c r="M8104" s="468"/>
      <c r="N8104" s="1192">
        <f t="shared" si="4811"/>
        <v>45897</v>
      </c>
      <c r="O8104" s="71"/>
      <c r="P8104" s="103" t="str">
        <f t="shared" si="4817"/>
        <v>M600 서비스 비용 3회차</v>
      </c>
      <c r="Q8104" s="71">
        <f t="shared" si="4818"/>
        <v>1</v>
      </c>
      <c r="R8104" s="147"/>
      <c r="S8104" s="102">
        <f t="shared" si="4805"/>
        <v>0</v>
      </c>
      <c r="T8104" s="102">
        <f t="shared" si="4806"/>
        <v>0</v>
      </c>
      <c r="U8104" s="71"/>
      <c r="V8104" s="71"/>
      <c r="W8104" s="474"/>
      <c r="X8104" s="71"/>
      <c r="Y8104" s="71"/>
    </row>
    <row r="8105" spans="1:25" ht="30" hidden="1" customHeight="1" x14ac:dyDescent="0.25">
      <c r="A8105" s="1210" t="s">
        <v>4454</v>
      </c>
      <c r="B8105" s="1211" t="s">
        <v>544</v>
      </c>
      <c r="C8105" s="960"/>
      <c r="D8105" s="960"/>
      <c r="E8105" s="952"/>
      <c r="F8105" s="952"/>
      <c r="G8105" s="952"/>
      <c r="H8105" s="1206"/>
      <c r="I8105" s="960"/>
      <c r="J8105" s="952"/>
      <c r="K8105" s="953"/>
      <c r="L8105" s="1212" t="s">
        <v>4456</v>
      </c>
      <c r="M8105" s="1207"/>
      <c r="N8105" s="1208" t="str">
        <f t="shared" si="4811"/>
        <v>2025,9</v>
      </c>
      <c r="O8105" s="960"/>
      <c r="P8105" s="1209"/>
      <c r="Q8105" s="960"/>
      <c r="R8105" s="952"/>
      <c r="S8105" s="952"/>
      <c r="T8105" s="952"/>
      <c r="U8105" s="960"/>
      <c r="V8105" s="960"/>
      <c r="W8105" s="474">
        <f>(G8105-T8105)</f>
        <v>0</v>
      </c>
      <c r="X8105" s="71"/>
      <c r="Y8105" s="71"/>
    </row>
    <row r="8106" spans="1:25" ht="30" hidden="1" customHeight="1" x14ac:dyDescent="0.25">
      <c r="A8106" s="1145">
        <v>45925</v>
      </c>
      <c r="B8106" s="664" t="s">
        <v>1060</v>
      </c>
      <c r="C8106" s="71" t="s">
        <v>3908</v>
      </c>
      <c r="D8106" s="71">
        <v>700</v>
      </c>
      <c r="E8106" s="102">
        <v>5860</v>
      </c>
      <c r="F8106" s="102">
        <f t="shared" ref="F8106:F8131" si="4851">(E8106*D8106)*1.1</f>
        <v>4512200</v>
      </c>
      <c r="G8106" s="102">
        <f t="shared" ref="G8106:G8131" si="4852">(E8106*D8106)</f>
        <v>4102000</v>
      </c>
      <c r="H8106" s="690" t="s">
        <v>142</v>
      </c>
      <c r="I8106" s="71" t="s">
        <v>179</v>
      </c>
      <c r="J8106" s="53">
        <f>G8106-T8106-U8106</f>
        <v>1362200</v>
      </c>
      <c r="K8106" s="63">
        <f t="shared" ref="K8106:K8125" si="4853">(J8106/(F8106/11*10))</f>
        <v>0.33208191126279862</v>
      </c>
      <c r="L8106" s="1212" t="s">
        <v>4456</v>
      </c>
      <c r="M8106" s="102" t="s">
        <v>3964</v>
      </c>
      <c r="N8106" s="1192">
        <f t="shared" si="4811"/>
        <v>45925</v>
      </c>
      <c r="O8106" s="71" t="s">
        <v>662</v>
      </c>
      <c r="P8106" s="103" t="str">
        <f t="shared" ref="P8106:P8131" si="4854">(C8106)</f>
        <v>Saphira CTP 판 1030 x 790</v>
      </c>
      <c r="Q8106" s="71">
        <f t="shared" ref="Q8106:Q8131" si="4855">D8106</f>
        <v>700</v>
      </c>
      <c r="R8106" s="102">
        <v>3914</v>
      </c>
      <c r="S8106" s="102">
        <f t="shared" ref="S8106:S8125" si="4856">R8106*Q8106*1.1</f>
        <v>3013780.0000000005</v>
      </c>
      <c r="T8106" s="102">
        <f t="shared" ref="T8106:T8125" si="4857">R8106*Q8106</f>
        <v>2739800</v>
      </c>
      <c r="U8106" s="71"/>
      <c r="V8106" s="71"/>
      <c r="W8106" s="474">
        <v>942000</v>
      </c>
      <c r="X8106" s="71"/>
      <c r="Y8106" s="71"/>
    </row>
    <row r="8107" spans="1:25" ht="30" hidden="1" customHeight="1" x14ac:dyDescent="0.25">
      <c r="A8107" s="1145">
        <v>45925</v>
      </c>
      <c r="B8107" s="664" t="s">
        <v>1060</v>
      </c>
      <c r="C8107" s="71" t="s">
        <v>3909</v>
      </c>
      <c r="D8107" s="71">
        <v>1900</v>
      </c>
      <c r="E8107" s="102">
        <v>3700</v>
      </c>
      <c r="F8107" s="102">
        <f t="shared" si="4851"/>
        <v>7733000.0000000009</v>
      </c>
      <c r="G8107" s="102">
        <f t="shared" si="4852"/>
        <v>7030000</v>
      </c>
      <c r="H8107" s="690" t="s">
        <v>36</v>
      </c>
      <c r="I8107" s="71" t="s">
        <v>2529</v>
      </c>
      <c r="J8107" s="53">
        <f>G8107-T8107-U8107</f>
        <v>2333200</v>
      </c>
      <c r="K8107" s="63">
        <f t="shared" si="4853"/>
        <v>0.33189189189189183</v>
      </c>
      <c r="L8107" s="1212" t="s">
        <v>4455</v>
      </c>
      <c r="M8107" s="102" t="s">
        <v>3964</v>
      </c>
      <c r="N8107" s="1192">
        <f t="shared" si="4811"/>
        <v>45925</v>
      </c>
      <c r="O8107" s="71" t="s">
        <v>662</v>
      </c>
      <c r="P8107" s="103" t="str">
        <f t="shared" si="4854"/>
        <v>Saphira CTP 판 900 x 571</v>
      </c>
      <c r="Q8107" s="71">
        <f t="shared" si="4855"/>
        <v>1900</v>
      </c>
      <c r="R8107" s="102">
        <v>2472</v>
      </c>
      <c r="S8107" s="102">
        <f t="shared" si="4856"/>
        <v>5166480</v>
      </c>
      <c r="T8107" s="102">
        <f t="shared" si="4857"/>
        <v>4696800</v>
      </c>
      <c r="U8107" s="71"/>
      <c r="V8107" s="71"/>
      <c r="W8107" s="474">
        <v>1274000</v>
      </c>
      <c r="X8107" s="71"/>
      <c r="Y8107" s="71"/>
    </row>
    <row r="8108" spans="1:25" ht="30" hidden="1" customHeight="1" x14ac:dyDescent="0.25">
      <c r="A8108" s="1145">
        <v>45925</v>
      </c>
      <c r="B8108" s="664" t="s">
        <v>1060</v>
      </c>
      <c r="C8108" s="71" t="s">
        <v>3910</v>
      </c>
      <c r="D8108" s="71">
        <v>2600</v>
      </c>
      <c r="E8108" s="102">
        <v>3500</v>
      </c>
      <c r="F8108" s="102">
        <f t="shared" si="4851"/>
        <v>10010000</v>
      </c>
      <c r="G8108" s="102">
        <f t="shared" si="4852"/>
        <v>9100000</v>
      </c>
      <c r="H8108" s="690" t="s">
        <v>36</v>
      </c>
      <c r="I8108" s="71" t="s">
        <v>2529</v>
      </c>
      <c r="J8108" s="53">
        <f t="shared" ref="J8108:J8125" si="4858">G8108-T8108</f>
        <v>2995200</v>
      </c>
      <c r="K8108" s="63">
        <f t="shared" si="4853"/>
        <v>0.32914285714285713</v>
      </c>
      <c r="L8108" s="1212" t="s">
        <v>4455</v>
      </c>
      <c r="M8108" s="102" t="s">
        <v>3964</v>
      </c>
      <c r="N8108" s="1192">
        <f t="shared" si="4811"/>
        <v>45925</v>
      </c>
      <c r="O8108" s="71" t="s">
        <v>662</v>
      </c>
      <c r="P8108" s="103" t="str">
        <f t="shared" si="4854"/>
        <v>Saphira CTP 판 883 x 552</v>
      </c>
      <c r="Q8108" s="71">
        <f t="shared" si="4855"/>
        <v>2600</v>
      </c>
      <c r="R8108" s="102">
        <v>2348</v>
      </c>
      <c r="S8108" s="102">
        <f t="shared" si="4856"/>
        <v>6715280.0000000009</v>
      </c>
      <c r="T8108" s="102">
        <f t="shared" si="4857"/>
        <v>6104800</v>
      </c>
      <c r="U8108" s="71"/>
      <c r="V8108" s="71"/>
      <c r="W8108" s="474">
        <v>3325000</v>
      </c>
      <c r="X8108" s="71"/>
      <c r="Y8108" s="71"/>
    </row>
    <row r="8109" spans="1:25" ht="30" hidden="1" customHeight="1" x14ac:dyDescent="0.25">
      <c r="A8109" s="1145">
        <v>45925</v>
      </c>
      <c r="B8109" s="664" t="s">
        <v>1060</v>
      </c>
      <c r="C8109" s="71" t="s">
        <v>3911</v>
      </c>
      <c r="D8109" s="71">
        <v>800</v>
      </c>
      <c r="E8109" s="102">
        <v>5940</v>
      </c>
      <c r="F8109" s="102">
        <f t="shared" si="4851"/>
        <v>5227200</v>
      </c>
      <c r="G8109" s="102">
        <f t="shared" si="4852"/>
        <v>4752000</v>
      </c>
      <c r="H8109" s="690" t="s">
        <v>36</v>
      </c>
      <c r="I8109" s="71" t="s">
        <v>2529</v>
      </c>
      <c r="J8109" s="53">
        <f t="shared" si="4858"/>
        <v>1579200</v>
      </c>
      <c r="K8109" s="63">
        <f t="shared" si="4853"/>
        <v>0.3323232323232323</v>
      </c>
      <c r="L8109" s="1212" t="s">
        <v>4455</v>
      </c>
      <c r="M8109" s="102" t="s">
        <v>3964</v>
      </c>
      <c r="N8109" s="1192">
        <f t="shared" si="4811"/>
        <v>45925</v>
      </c>
      <c r="O8109" s="71" t="s">
        <v>662</v>
      </c>
      <c r="P8109" s="103" t="str">
        <f t="shared" si="4854"/>
        <v>Saphira CTP 판 1030 x 800</v>
      </c>
      <c r="Q8109" s="71">
        <f t="shared" si="4855"/>
        <v>800</v>
      </c>
      <c r="R8109" s="102">
        <v>3966</v>
      </c>
      <c r="S8109" s="102">
        <f t="shared" si="4856"/>
        <v>3490080.0000000005</v>
      </c>
      <c r="T8109" s="102">
        <f t="shared" si="4857"/>
        <v>3172800</v>
      </c>
      <c r="U8109" s="71"/>
      <c r="V8109" s="71"/>
      <c r="W8109" s="474">
        <v>636000</v>
      </c>
      <c r="X8109" s="71"/>
      <c r="Y8109" s="71"/>
    </row>
    <row r="8110" spans="1:25" ht="30" hidden="1" customHeight="1" x14ac:dyDescent="0.25">
      <c r="A8110" s="1145">
        <v>45925</v>
      </c>
      <c r="B8110" s="664" t="s">
        <v>1060</v>
      </c>
      <c r="C8110" s="71" t="s">
        <v>3912</v>
      </c>
      <c r="D8110" s="71">
        <v>500</v>
      </c>
      <c r="E8110" s="102">
        <v>6160</v>
      </c>
      <c r="F8110" s="102">
        <f t="shared" si="4851"/>
        <v>3388000.0000000005</v>
      </c>
      <c r="G8110" s="102">
        <f t="shared" si="4852"/>
        <v>3080000</v>
      </c>
      <c r="H8110" s="690" t="s">
        <v>36</v>
      </c>
      <c r="I8110" s="71" t="s">
        <v>2529</v>
      </c>
      <c r="J8110" s="53">
        <f t="shared" si="4858"/>
        <v>1020000</v>
      </c>
      <c r="K8110" s="63">
        <f t="shared" si="4853"/>
        <v>0.33116883116883111</v>
      </c>
      <c r="L8110" s="1212" t="s">
        <v>4455</v>
      </c>
      <c r="M8110" s="102" t="s">
        <v>3964</v>
      </c>
      <c r="N8110" s="1192">
        <f t="shared" si="4811"/>
        <v>45925</v>
      </c>
      <c r="O8110" s="71" t="s">
        <v>662</v>
      </c>
      <c r="P8110" s="103" t="str">
        <f t="shared" si="4854"/>
        <v>Saphira CTP 판 1055 x 811</v>
      </c>
      <c r="Q8110" s="71">
        <f t="shared" si="4855"/>
        <v>500</v>
      </c>
      <c r="R8110" s="102">
        <v>4120</v>
      </c>
      <c r="S8110" s="102">
        <f t="shared" si="4856"/>
        <v>2266000</v>
      </c>
      <c r="T8110" s="102">
        <f t="shared" si="4857"/>
        <v>2060000</v>
      </c>
      <c r="U8110" s="71"/>
      <c r="V8110" s="71"/>
      <c r="W8110" s="474">
        <v>1476000</v>
      </c>
      <c r="X8110" s="71"/>
      <c r="Y8110" s="71"/>
    </row>
    <row r="8111" spans="1:25" ht="30" hidden="1" customHeight="1" x14ac:dyDescent="0.25">
      <c r="A8111" s="1145">
        <v>45925</v>
      </c>
      <c r="B8111" s="664" t="s">
        <v>1060</v>
      </c>
      <c r="C8111" s="71" t="s">
        <v>3913</v>
      </c>
      <c r="D8111" s="71">
        <v>400</v>
      </c>
      <c r="E8111" s="102">
        <v>4390</v>
      </c>
      <c r="F8111" s="102">
        <f t="shared" si="4851"/>
        <v>1931600.0000000002</v>
      </c>
      <c r="G8111" s="102">
        <f t="shared" si="4852"/>
        <v>1756000</v>
      </c>
      <c r="H8111" s="690" t="s">
        <v>36</v>
      </c>
      <c r="I8111" s="71" t="s">
        <v>2529</v>
      </c>
      <c r="J8111" s="53">
        <f t="shared" si="4858"/>
        <v>581600</v>
      </c>
      <c r="K8111" s="63">
        <f t="shared" si="4853"/>
        <v>0.33120728929384963</v>
      </c>
      <c r="L8111" s="1212" t="s">
        <v>4455</v>
      </c>
      <c r="M8111" s="102" t="s">
        <v>3964</v>
      </c>
      <c r="N8111" s="1192">
        <f t="shared" si="4811"/>
        <v>45925</v>
      </c>
      <c r="O8111" s="71" t="s">
        <v>662</v>
      </c>
      <c r="P8111" s="103" t="str">
        <f t="shared" si="4854"/>
        <v>Saphira CTP 판 968 x 631</v>
      </c>
      <c r="Q8111" s="71">
        <f t="shared" si="4855"/>
        <v>400</v>
      </c>
      <c r="R8111" s="102">
        <v>2936</v>
      </c>
      <c r="S8111" s="102">
        <f t="shared" si="4856"/>
        <v>1291840</v>
      </c>
      <c r="T8111" s="102">
        <f t="shared" si="4857"/>
        <v>1174400</v>
      </c>
      <c r="U8111" s="71"/>
      <c r="V8111" s="71"/>
      <c r="W8111" s="474">
        <v>1416000</v>
      </c>
      <c r="X8111" s="71"/>
      <c r="Y8111" s="71"/>
    </row>
    <row r="8112" spans="1:25" ht="30" hidden="1" customHeight="1" x14ac:dyDescent="0.25">
      <c r="A8112" s="1145">
        <v>45925</v>
      </c>
      <c r="B8112" s="664" t="s">
        <v>1060</v>
      </c>
      <c r="C8112" s="71" t="s">
        <v>3914</v>
      </c>
      <c r="D8112" s="71">
        <v>25</v>
      </c>
      <c r="E8112" s="102">
        <v>53240</v>
      </c>
      <c r="F8112" s="102">
        <f t="shared" si="4851"/>
        <v>1464100.0000000002</v>
      </c>
      <c r="G8112" s="102">
        <f t="shared" si="4852"/>
        <v>1331000</v>
      </c>
      <c r="H8112" s="690" t="s">
        <v>36</v>
      </c>
      <c r="I8112" s="71" t="s">
        <v>2529</v>
      </c>
      <c r="J8112" s="53">
        <f t="shared" si="4858"/>
        <v>301000</v>
      </c>
      <c r="K8112" s="63">
        <f t="shared" si="4853"/>
        <v>0.22614575507137485</v>
      </c>
      <c r="L8112" s="1212" t="s">
        <v>4455</v>
      </c>
      <c r="M8112" s="468"/>
      <c r="N8112" s="1192">
        <f t="shared" si="4811"/>
        <v>45925</v>
      </c>
      <c r="O8112" s="71" t="s">
        <v>662</v>
      </c>
      <c r="P8112" s="103" t="str">
        <f t="shared" si="4854"/>
        <v>사피라 현상액</v>
      </c>
      <c r="Q8112" s="71">
        <f t="shared" si="4855"/>
        <v>25</v>
      </c>
      <c r="R8112" s="102">
        <v>41200</v>
      </c>
      <c r="S8112" s="102">
        <f t="shared" si="4856"/>
        <v>1133000</v>
      </c>
      <c r="T8112" s="102">
        <f t="shared" si="4857"/>
        <v>1030000</v>
      </c>
      <c r="U8112" s="71"/>
      <c r="V8112" s="71"/>
      <c r="W8112" s="474">
        <v>978750</v>
      </c>
      <c r="X8112" s="71"/>
      <c r="Y8112" s="71"/>
    </row>
    <row r="8113" spans="1:25" ht="30" hidden="1" customHeight="1" x14ac:dyDescent="0.25">
      <c r="A8113" s="1145">
        <v>45925</v>
      </c>
      <c r="B8113" s="664" t="s">
        <v>1061</v>
      </c>
      <c r="C8113" s="71" t="s">
        <v>3319</v>
      </c>
      <c r="D8113" s="71">
        <v>200</v>
      </c>
      <c r="E8113" s="102">
        <v>6328</v>
      </c>
      <c r="F8113" s="102">
        <f t="shared" si="4851"/>
        <v>1392160</v>
      </c>
      <c r="G8113" s="102">
        <f t="shared" si="4852"/>
        <v>1265600</v>
      </c>
      <c r="H8113" s="690" t="s">
        <v>36</v>
      </c>
      <c r="I8113" s="71" t="s">
        <v>3320</v>
      </c>
      <c r="J8113" s="53">
        <f t="shared" si="4858"/>
        <v>95600</v>
      </c>
      <c r="K8113" s="63">
        <f t="shared" si="4853"/>
        <v>7.5537294563843241E-2</v>
      </c>
      <c r="L8113" s="1212" t="s">
        <v>4455</v>
      </c>
      <c r="M8113" s="468"/>
      <c r="N8113" s="1192">
        <f t="shared" si="4811"/>
        <v>45925</v>
      </c>
      <c r="O8113" s="71" t="s">
        <v>146</v>
      </c>
      <c r="P8113" s="103" t="str">
        <f t="shared" si="4854"/>
        <v>프리미어(먹)</v>
      </c>
      <c r="Q8113" s="71">
        <f t="shared" si="4855"/>
        <v>200</v>
      </c>
      <c r="R8113" s="102">
        <v>5850</v>
      </c>
      <c r="S8113" s="102">
        <f t="shared" si="4856"/>
        <v>1287000</v>
      </c>
      <c r="T8113" s="102">
        <f t="shared" si="4857"/>
        <v>1170000</v>
      </c>
      <c r="U8113" s="71"/>
      <c r="V8113" s="71"/>
      <c r="W8113" s="474">
        <v>411200</v>
      </c>
      <c r="X8113" s="71"/>
      <c r="Y8113" s="71"/>
    </row>
    <row r="8114" spans="1:25" ht="30" hidden="1" customHeight="1" x14ac:dyDescent="0.25">
      <c r="A8114" s="1145">
        <v>45925</v>
      </c>
      <c r="B8114" s="664" t="s">
        <v>1061</v>
      </c>
      <c r="C8114" s="71" t="s">
        <v>3321</v>
      </c>
      <c r="D8114" s="71">
        <v>400</v>
      </c>
      <c r="E8114" s="102">
        <v>6780</v>
      </c>
      <c r="F8114" s="102">
        <f t="shared" si="4851"/>
        <v>2983200.0000000005</v>
      </c>
      <c r="G8114" s="102">
        <f t="shared" si="4852"/>
        <v>2712000</v>
      </c>
      <c r="H8114" s="690" t="s">
        <v>36</v>
      </c>
      <c r="I8114" s="71" t="s">
        <v>3320</v>
      </c>
      <c r="J8114" s="53">
        <f t="shared" si="4858"/>
        <v>200000</v>
      </c>
      <c r="K8114" s="63">
        <f t="shared" si="4853"/>
        <v>7.3746312684365767E-2</v>
      </c>
      <c r="L8114" s="1212" t="s">
        <v>4455</v>
      </c>
      <c r="M8114" s="468"/>
      <c r="N8114" s="1192">
        <f t="shared" si="4811"/>
        <v>45925</v>
      </c>
      <c r="O8114" s="71" t="s">
        <v>146</v>
      </c>
      <c r="P8114" s="103" t="str">
        <f t="shared" si="4854"/>
        <v>프리미어(적)</v>
      </c>
      <c r="Q8114" s="71">
        <f t="shared" si="4855"/>
        <v>400</v>
      </c>
      <c r="R8114" s="102">
        <v>6280</v>
      </c>
      <c r="S8114" s="102">
        <f t="shared" si="4856"/>
        <v>2763200</v>
      </c>
      <c r="T8114" s="102">
        <f t="shared" si="4857"/>
        <v>2512000</v>
      </c>
      <c r="U8114" s="71"/>
      <c r="V8114" s="71"/>
      <c r="W8114" s="474">
        <v>292000</v>
      </c>
      <c r="X8114" s="71"/>
      <c r="Y8114" s="71"/>
    </row>
    <row r="8115" spans="1:25" ht="30" hidden="1" customHeight="1" x14ac:dyDescent="0.25">
      <c r="A8115" s="1145">
        <v>45925</v>
      </c>
      <c r="B8115" s="664" t="s">
        <v>1061</v>
      </c>
      <c r="C8115" s="71" t="s">
        <v>1289</v>
      </c>
      <c r="D8115" s="71">
        <v>400</v>
      </c>
      <c r="E8115" s="102">
        <v>6498</v>
      </c>
      <c r="F8115" s="102">
        <f t="shared" si="4851"/>
        <v>2859120</v>
      </c>
      <c r="G8115" s="102">
        <f t="shared" si="4852"/>
        <v>2599200</v>
      </c>
      <c r="H8115" s="690" t="s">
        <v>36</v>
      </c>
      <c r="I8115" s="71" t="s">
        <v>3320</v>
      </c>
      <c r="J8115" s="53">
        <f t="shared" si="4858"/>
        <v>191200</v>
      </c>
      <c r="K8115" s="63">
        <f t="shared" si="4853"/>
        <v>7.3561095721760547E-2</v>
      </c>
      <c r="L8115" s="1212" t="s">
        <v>4455</v>
      </c>
      <c r="M8115" s="468"/>
      <c r="N8115" s="1192">
        <f t="shared" si="4811"/>
        <v>45925</v>
      </c>
      <c r="O8115" s="71" t="s">
        <v>146</v>
      </c>
      <c r="P8115" s="103" t="str">
        <f t="shared" si="4854"/>
        <v>프리미어(황)</v>
      </c>
      <c r="Q8115" s="71">
        <f t="shared" si="4855"/>
        <v>400</v>
      </c>
      <c r="R8115" s="102">
        <v>6020</v>
      </c>
      <c r="S8115" s="102">
        <f t="shared" si="4856"/>
        <v>2648800</v>
      </c>
      <c r="T8115" s="102">
        <f t="shared" si="4857"/>
        <v>2408000</v>
      </c>
      <c r="U8115" s="71"/>
      <c r="V8115" s="71"/>
      <c r="W8115" s="474">
        <v>640800</v>
      </c>
      <c r="X8115" s="71"/>
      <c r="Y8115" s="71"/>
    </row>
    <row r="8116" spans="1:25" ht="30" hidden="1" customHeight="1" x14ac:dyDescent="0.25">
      <c r="A8116" s="1145">
        <v>45925</v>
      </c>
      <c r="B8116" s="664" t="s">
        <v>1061</v>
      </c>
      <c r="C8116" s="71" t="s">
        <v>1290</v>
      </c>
      <c r="D8116" s="71">
        <v>400</v>
      </c>
      <c r="E8116" s="102">
        <v>7910</v>
      </c>
      <c r="F8116" s="102">
        <f t="shared" si="4851"/>
        <v>3480400.0000000005</v>
      </c>
      <c r="G8116" s="102">
        <f t="shared" si="4852"/>
        <v>3164000</v>
      </c>
      <c r="H8116" s="690" t="s">
        <v>36</v>
      </c>
      <c r="I8116" s="71" t="s">
        <v>3320</v>
      </c>
      <c r="J8116" s="53">
        <f t="shared" si="4858"/>
        <v>240000</v>
      </c>
      <c r="K8116" s="63">
        <f t="shared" si="4853"/>
        <v>7.5853350189633365E-2</v>
      </c>
      <c r="L8116" s="1212" t="s">
        <v>4455</v>
      </c>
      <c r="M8116" s="468"/>
      <c r="N8116" s="1192">
        <f t="shared" si="4811"/>
        <v>45925</v>
      </c>
      <c r="O8116" s="71" t="s">
        <v>146</v>
      </c>
      <c r="P8116" s="103" t="str">
        <f t="shared" si="4854"/>
        <v>프리미어(청)</v>
      </c>
      <c r="Q8116" s="71">
        <f t="shared" si="4855"/>
        <v>400</v>
      </c>
      <c r="R8116" s="102">
        <v>7310</v>
      </c>
      <c r="S8116" s="102">
        <f t="shared" si="4856"/>
        <v>3216400.0000000005</v>
      </c>
      <c r="T8116" s="102">
        <f t="shared" si="4857"/>
        <v>2924000</v>
      </c>
      <c r="U8116" s="71"/>
      <c r="V8116" s="71"/>
      <c r="W8116" s="474">
        <v>846000</v>
      </c>
      <c r="X8116" s="71"/>
      <c r="Y8116" s="71"/>
    </row>
    <row r="8117" spans="1:25" ht="30" hidden="1" customHeight="1" x14ac:dyDescent="0.25">
      <c r="A8117" s="1145">
        <v>45925</v>
      </c>
      <c r="B8117" s="664" t="s">
        <v>1061</v>
      </c>
      <c r="C8117" s="71" t="s">
        <v>3322</v>
      </c>
      <c r="D8117" s="71"/>
      <c r="E8117" s="102">
        <v>7150</v>
      </c>
      <c r="F8117" s="102">
        <f t="shared" si="4851"/>
        <v>0</v>
      </c>
      <c r="G8117" s="102">
        <f t="shared" si="4852"/>
        <v>0</v>
      </c>
      <c r="H8117" s="690" t="s">
        <v>36</v>
      </c>
      <c r="I8117" s="71" t="s">
        <v>3320</v>
      </c>
      <c r="J8117" s="53">
        <f t="shared" si="4858"/>
        <v>0</v>
      </c>
      <c r="K8117" s="63" t="e">
        <f t="shared" si="4853"/>
        <v>#DIV/0!</v>
      </c>
      <c r="L8117" s="1212" t="s">
        <v>4455</v>
      </c>
      <c r="M8117" s="468"/>
      <c r="N8117" s="1192">
        <f t="shared" si="4811"/>
        <v>45925</v>
      </c>
      <c r="O8117" s="71" t="s">
        <v>3323</v>
      </c>
      <c r="P8117" s="103" t="str">
        <f t="shared" si="4854"/>
        <v>한특 잉크(적)</v>
      </c>
      <c r="Q8117" s="71">
        <f t="shared" si="4855"/>
        <v>0</v>
      </c>
      <c r="R8117" s="102">
        <v>6500</v>
      </c>
      <c r="S8117" s="102">
        <f t="shared" si="4856"/>
        <v>0</v>
      </c>
      <c r="T8117" s="102">
        <f t="shared" si="4857"/>
        <v>0</v>
      </c>
      <c r="U8117" s="71"/>
      <c r="V8117" s="71"/>
      <c r="W8117" s="474">
        <v>0</v>
      </c>
      <c r="X8117" s="71"/>
      <c r="Y8117" s="71"/>
    </row>
    <row r="8118" spans="1:25" ht="30" hidden="1" customHeight="1" x14ac:dyDescent="0.25">
      <c r="A8118" s="1145">
        <v>45925</v>
      </c>
      <c r="B8118" s="664" t="s">
        <v>1061</v>
      </c>
      <c r="C8118" s="71" t="s">
        <v>3324</v>
      </c>
      <c r="D8118" s="71"/>
      <c r="E8118" s="102">
        <v>6900</v>
      </c>
      <c r="F8118" s="102">
        <f t="shared" si="4851"/>
        <v>0</v>
      </c>
      <c r="G8118" s="102">
        <f t="shared" si="4852"/>
        <v>0</v>
      </c>
      <c r="H8118" s="690" t="s">
        <v>36</v>
      </c>
      <c r="I8118" s="71" t="s">
        <v>3320</v>
      </c>
      <c r="J8118" s="53">
        <f t="shared" si="4858"/>
        <v>0</v>
      </c>
      <c r="K8118" s="63" t="e">
        <f t="shared" si="4853"/>
        <v>#DIV/0!</v>
      </c>
      <c r="L8118" s="1212" t="s">
        <v>4455</v>
      </c>
      <c r="M8118" s="468"/>
      <c r="N8118" s="1192">
        <f t="shared" si="4811"/>
        <v>45925</v>
      </c>
      <c r="O8118" s="71" t="s">
        <v>3323</v>
      </c>
      <c r="P8118" s="103" t="str">
        <f t="shared" si="4854"/>
        <v>한특 잉크(황)</v>
      </c>
      <c r="Q8118" s="71">
        <f t="shared" si="4855"/>
        <v>0</v>
      </c>
      <c r="R8118" s="102">
        <v>6200</v>
      </c>
      <c r="S8118" s="102">
        <f t="shared" si="4856"/>
        <v>0</v>
      </c>
      <c r="T8118" s="102">
        <f t="shared" si="4857"/>
        <v>0</v>
      </c>
      <c r="U8118" s="71"/>
      <c r="V8118" s="71"/>
      <c r="W8118" s="474">
        <v>0</v>
      </c>
      <c r="X8118" s="71"/>
      <c r="Y8118" s="71"/>
    </row>
    <row r="8119" spans="1:25" ht="28.5" hidden="1" customHeight="1" x14ac:dyDescent="0.25">
      <c r="A8119" s="1145">
        <v>45925</v>
      </c>
      <c r="B8119" s="664" t="s">
        <v>1061</v>
      </c>
      <c r="C8119" s="71" t="s">
        <v>3325</v>
      </c>
      <c r="D8119" s="71"/>
      <c r="E8119" s="102">
        <v>7500</v>
      </c>
      <c r="F8119" s="102">
        <f t="shared" si="4851"/>
        <v>0</v>
      </c>
      <c r="G8119" s="102">
        <f t="shared" si="4852"/>
        <v>0</v>
      </c>
      <c r="H8119" s="690" t="s">
        <v>36</v>
      </c>
      <c r="I8119" s="71" t="s">
        <v>3320</v>
      </c>
      <c r="J8119" s="53">
        <f t="shared" si="4858"/>
        <v>0</v>
      </c>
      <c r="K8119" s="63" t="e">
        <f t="shared" si="4853"/>
        <v>#DIV/0!</v>
      </c>
      <c r="L8119" s="1212" t="s">
        <v>4455</v>
      </c>
      <c r="M8119" s="468"/>
      <c r="N8119" s="1192">
        <f t="shared" si="4811"/>
        <v>45925</v>
      </c>
      <c r="O8119" s="71" t="s">
        <v>3323</v>
      </c>
      <c r="P8119" s="103" t="str">
        <f t="shared" si="4854"/>
        <v>한특 잉크(청)</v>
      </c>
      <c r="Q8119" s="71">
        <f t="shared" si="4855"/>
        <v>0</v>
      </c>
      <c r="R8119" s="102">
        <v>6600</v>
      </c>
      <c r="S8119" s="102">
        <f t="shared" si="4856"/>
        <v>0</v>
      </c>
      <c r="T8119" s="102">
        <f t="shared" si="4857"/>
        <v>0</v>
      </c>
      <c r="U8119" s="71"/>
      <c r="V8119" s="71"/>
      <c r="W8119" s="474">
        <v>0</v>
      </c>
      <c r="X8119" s="71"/>
      <c r="Y8119" s="71"/>
    </row>
    <row r="8120" spans="1:25" ht="30" hidden="1" customHeight="1" x14ac:dyDescent="0.25">
      <c r="A8120" s="1145">
        <v>45925</v>
      </c>
      <c r="B8120" s="664" t="s">
        <v>1061</v>
      </c>
      <c r="C8120" s="71" t="s">
        <v>3326</v>
      </c>
      <c r="D8120" s="71"/>
      <c r="E8120" s="102">
        <v>6450</v>
      </c>
      <c r="F8120" s="102">
        <f t="shared" si="4851"/>
        <v>0</v>
      </c>
      <c r="G8120" s="102">
        <f t="shared" si="4852"/>
        <v>0</v>
      </c>
      <c r="H8120" s="690" t="s">
        <v>36</v>
      </c>
      <c r="I8120" s="71" t="s">
        <v>3320</v>
      </c>
      <c r="J8120" s="53">
        <f t="shared" si="4858"/>
        <v>0</v>
      </c>
      <c r="K8120" s="63" t="e">
        <f t="shared" si="4853"/>
        <v>#DIV/0!</v>
      </c>
      <c r="L8120" s="1212" t="s">
        <v>4455</v>
      </c>
      <c r="M8120" s="468"/>
      <c r="N8120" s="1192">
        <f t="shared" si="4811"/>
        <v>45925</v>
      </c>
      <c r="O8120" s="71" t="s">
        <v>3323</v>
      </c>
      <c r="P8120" s="103" t="str">
        <f t="shared" si="4854"/>
        <v>한특 잉크(먹)</v>
      </c>
      <c r="Q8120" s="71">
        <f t="shared" si="4855"/>
        <v>0</v>
      </c>
      <c r="R8120" s="102">
        <v>5700</v>
      </c>
      <c r="S8120" s="102">
        <f t="shared" si="4856"/>
        <v>0</v>
      </c>
      <c r="T8120" s="102">
        <f t="shared" si="4857"/>
        <v>0</v>
      </c>
      <c r="U8120" s="71"/>
      <c r="V8120" s="71"/>
      <c r="W8120" s="474">
        <v>0</v>
      </c>
      <c r="X8120" s="71"/>
      <c r="Y8120" s="71"/>
    </row>
    <row r="8121" spans="1:25" ht="30" hidden="1" customHeight="1" x14ac:dyDescent="0.25">
      <c r="A8121" s="1145">
        <v>45925</v>
      </c>
      <c r="B8121" s="664" t="s">
        <v>1061</v>
      </c>
      <c r="C8121" s="71" t="s">
        <v>4215</v>
      </c>
      <c r="D8121" s="71"/>
      <c r="E8121" s="102">
        <v>33500</v>
      </c>
      <c r="F8121" s="102">
        <f t="shared" si="4851"/>
        <v>0</v>
      </c>
      <c r="G8121" s="102">
        <f t="shared" si="4852"/>
        <v>0</v>
      </c>
      <c r="H8121" s="690" t="s">
        <v>36</v>
      </c>
      <c r="I8121" s="71" t="s">
        <v>3320</v>
      </c>
      <c r="J8121" s="53">
        <f t="shared" si="4858"/>
        <v>0</v>
      </c>
      <c r="K8121" s="63" t="e">
        <f t="shared" si="4853"/>
        <v>#DIV/0!</v>
      </c>
      <c r="L8121" s="1212" t="s">
        <v>4455</v>
      </c>
      <c r="M8121" s="468"/>
      <c r="N8121" s="1192">
        <f t="shared" si="4811"/>
        <v>45925</v>
      </c>
      <c r="O8121" s="71" t="s">
        <v>2459</v>
      </c>
      <c r="P8121" s="103" t="str">
        <f t="shared" si="4854"/>
        <v>별색 - 프린피아 PT-803</v>
      </c>
      <c r="Q8121" s="71">
        <f t="shared" si="4855"/>
        <v>0</v>
      </c>
      <c r="R8121" s="102">
        <v>31000</v>
      </c>
      <c r="S8121" s="102">
        <f t="shared" si="4856"/>
        <v>0</v>
      </c>
      <c r="T8121" s="102">
        <f t="shared" si="4857"/>
        <v>0</v>
      </c>
      <c r="U8121" s="71"/>
      <c r="V8121" s="71"/>
      <c r="W8121" s="474"/>
      <c r="X8121" s="71"/>
      <c r="Y8121" s="71"/>
    </row>
    <row r="8122" spans="1:25" ht="30" hidden="1" customHeight="1" x14ac:dyDescent="0.25">
      <c r="A8122" s="1145">
        <v>45925</v>
      </c>
      <c r="B8122" s="664" t="s">
        <v>1061</v>
      </c>
      <c r="C8122" s="71" t="s">
        <v>4393</v>
      </c>
      <c r="D8122" s="71"/>
      <c r="E8122" s="102">
        <v>22400</v>
      </c>
      <c r="F8122" s="102">
        <f t="shared" si="4851"/>
        <v>0</v>
      </c>
      <c r="G8122" s="102">
        <f t="shared" si="4852"/>
        <v>0</v>
      </c>
      <c r="H8122" s="690" t="s">
        <v>36</v>
      </c>
      <c r="I8122" s="71" t="s">
        <v>3320</v>
      </c>
      <c r="J8122" s="53">
        <f t="shared" si="4858"/>
        <v>0</v>
      </c>
      <c r="K8122" s="63" t="e">
        <f t="shared" si="4853"/>
        <v>#DIV/0!</v>
      </c>
      <c r="L8122" s="1212" t="s">
        <v>4455</v>
      </c>
      <c r="M8122" s="468"/>
      <c r="N8122" s="1192">
        <f t="shared" si="4811"/>
        <v>45925</v>
      </c>
      <c r="O8122" s="71" t="s">
        <v>3323</v>
      </c>
      <c r="P8122" s="103" t="str">
        <f t="shared" si="4854"/>
        <v>별색 - 프린피아 PT-810C 형광</v>
      </c>
      <c r="Q8122" s="71">
        <f t="shared" si="4855"/>
        <v>0</v>
      </c>
      <c r="R8122" s="102">
        <v>11700</v>
      </c>
      <c r="S8122" s="102">
        <f t="shared" si="4856"/>
        <v>0</v>
      </c>
      <c r="T8122" s="102">
        <f t="shared" si="4857"/>
        <v>0</v>
      </c>
      <c r="U8122" s="71"/>
      <c r="V8122" s="71"/>
      <c r="W8122" s="474"/>
      <c r="X8122" s="71"/>
      <c r="Y8122" s="71"/>
    </row>
    <row r="8123" spans="1:25" ht="30" hidden="1" customHeight="1" x14ac:dyDescent="0.25">
      <c r="A8123" s="1145">
        <v>45925</v>
      </c>
      <c r="B8123" s="664" t="s">
        <v>3307</v>
      </c>
      <c r="C8123" s="71" t="s">
        <v>3916</v>
      </c>
      <c r="D8123" s="71">
        <v>16</v>
      </c>
      <c r="E8123" s="102">
        <v>218000</v>
      </c>
      <c r="F8123" s="102">
        <f t="shared" si="4851"/>
        <v>3836800.0000000005</v>
      </c>
      <c r="G8123" s="102">
        <f t="shared" si="4852"/>
        <v>3488000</v>
      </c>
      <c r="H8123" s="690" t="s">
        <v>172</v>
      </c>
      <c r="I8123" s="71" t="s">
        <v>33</v>
      </c>
      <c r="J8123" s="53">
        <f t="shared" si="4858"/>
        <v>824000</v>
      </c>
      <c r="K8123" s="63">
        <f t="shared" si="4853"/>
        <v>0.23623853211009171</v>
      </c>
      <c r="L8123" s="1212" t="s">
        <v>4455</v>
      </c>
      <c r="M8123" s="468" t="s">
        <v>3965</v>
      </c>
      <c r="N8123" s="1192">
        <f t="shared" si="4811"/>
        <v>45925</v>
      </c>
      <c r="O8123" s="71" t="s">
        <v>662</v>
      </c>
      <c r="P8123" s="103" t="str">
        <f t="shared" si="4854"/>
        <v>윤전 블랑켓</v>
      </c>
      <c r="Q8123" s="71">
        <f t="shared" si="4855"/>
        <v>16</v>
      </c>
      <c r="R8123" s="102">
        <v>166500</v>
      </c>
      <c r="S8123" s="102">
        <f t="shared" si="4856"/>
        <v>2930400.0000000005</v>
      </c>
      <c r="T8123" s="102">
        <f t="shared" si="4857"/>
        <v>2664000</v>
      </c>
      <c r="U8123" s="71"/>
      <c r="V8123" s="71" t="s">
        <v>728</v>
      </c>
      <c r="W8123" s="474">
        <v>464000</v>
      </c>
      <c r="X8123" s="71"/>
      <c r="Y8123" s="71"/>
    </row>
    <row r="8124" spans="1:25" ht="30" hidden="1" customHeight="1" x14ac:dyDescent="0.25">
      <c r="A8124" s="1145">
        <v>45925</v>
      </c>
      <c r="B8124" s="664" t="s">
        <v>3307</v>
      </c>
      <c r="C8124" s="71" t="s">
        <v>4180</v>
      </c>
      <c r="D8124" s="71">
        <v>1</v>
      </c>
      <c r="E8124" s="102">
        <v>2350000</v>
      </c>
      <c r="F8124" s="102">
        <f t="shared" si="4851"/>
        <v>2585000</v>
      </c>
      <c r="G8124" s="102">
        <f t="shared" si="4852"/>
        <v>2350000</v>
      </c>
      <c r="H8124" s="690" t="s">
        <v>36</v>
      </c>
      <c r="I8124" s="690" t="s">
        <v>36</v>
      </c>
      <c r="J8124" s="53">
        <f t="shared" si="4858"/>
        <v>600000</v>
      </c>
      <c r="K8124" s="63">
        <f t="shared" si="4853"/>
        <v>0.25531914893617019</v>
      </c>
      <c r="L8124" s="1212" t="s">
        <v>4455</v>
      </c>
      <c r="M8124" s="468"/>
      <c r="N8124" s="1192">
        <f t="shared" si="4811"/>
        <v>45925</v>
      </c>
      <c r="O8124" s="71" t="s">
        <v>3298</v>
      </c>
      <c r="P8124" s="103" t="str">
        <f t="shared" si="4854"/>
        <v>8월분 Apogee 사용료</v>
      </c>
      <c r="Q8124" s="71">
        <f t="shared" si="4855"/>
        <v>1</v>
      </c>
      <c r="R8124" s="147">
        <v>1750000</v>
      </c>
      <c r="S8124" s="102">
        <f t="shared" si="4856"/>
        <v>1925000.0000000002</v>
      </c>
      <c r="T8124" s="102">
        <f t="shared" si="4857"/>
        <v>1750000</v>
      </c>
      <c r="U8124" s="71"/>
      <c r="V8124" s="71"/>
      <c r="W8124" s="474"/>
      <c r="X8124" s="71"/>
      <c r="Y8124" s="71"/>
    </row>
    <row r="8125" spans="1:25" ht="30" customHeight="1" x14ac:dyDescent="0.25">
      <c r="A8125" s="1145">
        <v>45925</v>
      </c>
      <c r="B8125" s="664" t="s">
        <v>641</v>
      </c>
      <c r="C8125" s="71" t="s">
        <v>3293</v>
      </c>
      <c r="D8125" s="71">
        <v>72</v>
      </c>
      <c r="E8125" s="102">
        <v>84000</v>
      </c>
      <c r="F8125" s="102">
        <f t="shared" si="4851"/>
        <v>6652800.0000000009</v>
      </c>
      <c r="G8125" s="102">
        <f t="shared" si="4852"/>
        <v>6048000</v>
      </c>
      <c r="H8125" s="690" t="s">
        <v>172</v>
      </c>
      <c r="I8125" s="71" t="s">
        <v>38</v>
      </c>
      <c r="J8125" s="53">
        <f t="shared" si="4858"/>
        <v>2376000</v>
      </c>
      <c r="K8125" s="63">
        <f t="shared" si="4853"/>
        <v>0.39285714285714279</v>
      </c>
      <c r="L8125" s="1212" t="s">
        <v>4455</v>
      </c>
      <c r="M8125" s="468"/>
      <c r="N8125" s="1192">
        <f t="shared" si="4811"/>
        <v>45925</v>
      </c>
      <c r="O8125" s="71" t="s">
        <v>3291</v>
      </c>
      <c r="P8125" s="103" t="str">
        <f t="shared" si="4854"/>
        <v>GOSS 신문윤전 습식세정포</v>
      </c>
      <c r="Q8125" s="71">
        <f t="shared" si="4855"/>
        <v>72</v>
      </c>
      <c r="R8125" s="102">
        <v>51000</v>
      </c>
      <c r="S8125" s="102">
        <f t="shared" si="4856"/>
        <v>4039200.0000000005</v>
      </c>
      <c r="T8125" s="102">
        <f t="shared" si="4857"/>
        <v>3672000</v>
      </c>
      <c r="U8125" s="71"/>
      <c r="V8125" s="71"/>
      <c r="W8125" s="474"/>
      <c r="X8125" s="71"/>
      <c r="Y8125" s="71"/>
    </row>
    <row r="8126" spans="1:25" ht="30" customHeight="1" x14ac:dyDescent="0.25">
      <c r="A8126" s="1145">
        <v>45910</v>
      </c>
      <c r="B8126" s="664" t="s">
        <v>2352</v>
      </c>
      <c r="C8126" s="71" t="s">
        <v>3836</v>
      </c>
      <c r="D8126" s="71">
        <v>48</v>
      </c>
      <c r="E8126" s="102">
        <v>18500</v>
      </c>
      <c r="F8126" s="102">
        <f t="shared" si="4851"/>
        <v>976800.00000000012</v>
      </c>
      <c r="G8126" s="102">
        <f t="shared" si="4852"/>
        <v>888000</v>
      </c>
      <c r="H8126" s="690" t="s">
        <v>179</v>
      </c>
      <c r="I8126" s="71" t="s">
        <v>179</v>
      </c>
      <c r="J8126" s="53">
        <v>355968</v>
      </c>
      <c r="K8126" s="63">
        <v>0.40086486486486483</v>
      </c>
      <c r="L8126" s="1212" t="s">
        <v>4455</v>
      </c>
      <c r="M8126" s="468"/>
      <c r="N8126" s="1192">
        <f t="shared" si="4811"/>
        <v>45910</v>
      </c>
      <c r="O8126" s="71"/>
      <c r="P8126" s="103" t="str">
        <f t="shared" si="4854"/>
        <v>고모리 윤전 블랑켓 건식 세정포 - 국전용</v>
      </c>
      <c r="Q8126" s="71">
        <f t="shared" si="4855"/>
        <v>48</v>
      </c>
      <c r="R8126" s="102">
        <v>11084</v>
      </c>
      <c r="S8126" s="102">
        <v>585235.20000000007</v>
      </c>
      <c r="T8126" s="102">
        <v>532032</v>
      </c>
      <c r="U8126" s="71"/>
      <c r="V8126" s="71"/>
      <c r="W8126" s="474"/>
      <c r="X8126" s="71"/>
      <c r="Y8126" s="71"/>
    </row>
    <row r="8127" spans="1:25" ht="30" customHeight="1" x14ac:dyDescent="0.25">
      <c r="A8127" s="1145">
        <v>45910</v>
      </c>
      <c r="B8127" s="664" t="s">
        <v>2352</v>
      </c>
      <c r="C8127" s="71" t="s">
        <v>3837</v>
      </c>
      <c r="D8127" s="71">
        <v>48</v>
      </c>
      <c r="E8127" s="102">
        <v>13500</v>
      </c>
      <c r="F8127" s="102">
        <f t="shared" si="4851"/>
        <v>712800</v>
      </c>
      <c r="G8127" s="102">
        <f t="shared" si="4852"/>
        <v>648000</v>
      </c>
      <c r="H8127" s="690" t="s">
        <v>179</v>
      </c>
      <c r="I8127" s="71" t="s">
        <v>179</v>
      </c>
      <c r="J8127" s="53">
        <v>164320</v>
      </c>
      <c r="K8127" s="63">
        <v>0.3803703703703703</v>
      </c>
      <c r="L8127" s="1212" t="s">
        <v>4455</v>
      </c>
      <c r="M8127" s="468"/>
      <c r="N8127" s="1192">
        <f t="shared" si="4811"/>
        <v>45910</v>
      </c>
      <c r="O8127" s="71"/>
      <c r="P8127" s="103" t="str">
        <f t="shared" si="4854"/>
        <v>고모리 윤전 블랑켓 건식 세정포 - 4x6용</v>
      </c>
      <c r="Q8127" s="71">
        <f t="shared" si="4855"/>
        <v>48</v>
      </c>
      <c r="R8127" s="102">
        <v>8365</v>
      </c>
      <c r="S8127" s="102">
        <v>294448</v>
      </c>
      <c r="T8127" s="102">
        <v>267680</v>
      </c>
      <c r="U8127" s="71"/>
      <c r="V8127" s="71"/>
      <c r="W8127" s="474"/>
      <c r="X8127" s="71"/>
      <c r="Y8127" s="71"/>
    </row>
    <row r="8128" spans="1:25" s="209" customFormat="1" ht="30" customHeight="1" x14ac:dyDescent="0.25">
      <c r="A8128" s="1145">
        <v>45910</v>
      </c>
      <c r="B8128" s="664" t="s">
        <v>2352</v>
      </c>
      <c r="C8128" s="71" t="s">
        <v>583</v>
      </c>
      <c r="D8128" s="71">
        <v>16</v>
      </c>
      <c r="E8128" s="102">
        <v>98000</v>
      </c>
      <c r="F8128" s="102">
        <f t="shared" si="4851"/>
        <v>1724800.0000000002</v>
      </c>
      <c r="G8128" s="102">
        <f t="shared" si="4852"/>
        <v>1568000</v>
      </c>
      <c r="H8128" s="690" t="s">
        <v>142</v>
      </c>
      <c r="I8128" s="71" t="s">
        <v>142</v>
      </c>
      <c r="J8128" s="53">
        <f t="shared" ref="J8128:J8131" si="4859">G8128-T8128</f>
        <v>816000</v>
      </c>
      <c r="K8128" s="63">
        <f t="shared" ref="K8128:K8131" si="4860">(J8128/(F8128/11*10))</f>
        <v>0.52040816326530603</v>
      </c>
      <c r="L8128" s="1212" t="s">
        <v>4455</v>
      </c>
      <c r="M8128" s="468" t="s">
        <v>2053</v>
      </c>
      <c r="N8128" s="1192">
        <f t="shared" si="4811"/>
        <v>45910</v>
      </c>
      <c r="O8128" s="71" t="s">
        <v>599</v>
      </c>
      <c r="P8128" s="103" t="str">
        <f t="shared" si="4854"/>
        <v>M600 윤전 세정포</v>
      </c>
      <c r="Q8128" s="71">
        <f t="shared" si="4855"/>
        <v>16</v>
      </c>
      <c r="R8128" s="102">
        <v>47000</v>
      </c>
      <c r="S8128" s="102">
        <f t="shared" ref="S8128:S8131" si="4861">R8128*Q8128*1.1</f>
        <v>827200.00000000012</v>
      </c>
      <c r="T8128" s="102">
        <f t="shared" ref="T8128:T8131" si="4862">R8128*Q8128</f>
        <v>752000</v>
      </c>
      <c r="U8128" s="71"/>
      <c r="V8128" s="71"/>
      <c r="W8128" s="474">
        <f>(G8128-T8128)</f>
        <v>816000</v>
      </c>
      <c r="X8128" s="71"/>
      <c r="Y8128" s="71"/>
    </row>
    <row r="8129" spans="1:25" s="209" customFormat="1" ht="30" hidden="1" customHeight="1" x14ac:dyDescent="0.25">
      <c r="A8129" s="1145">
        <v>45910</v>
      </c>
      <c r="B8129" s="664" t="s">
        <v>2353</v>
      </c>
      <c r="C8129" s="71" t="s">
        <v>130</v>
      </c>
      <c r="D8129" s="71">
        <v>15</v>
      </c>
      <c r="E8129" s="102">
        <v>148000</v>
      </c>
      <c r="F8129" s="102">
        <f t="shared" si="4851"/>
        <v>2442000</v>
      </c>
      <c r="G8129" s="102">
        <f t="shared" si="4852"/>
        <v>2220000</v>
      </c>
      <c r="H8129" s="690" t="s">
        <v>142</v>
      </c>
      <c r="I8129" s="71" t="s">
        <v>179</v>
      </c>
      <c r="J8129" s="53">
        <f t="shared" si="4859"/>
        <v>540000</v>
      </c>
      <c r="K8129" s="63">
        <f t="shared" si="4860"/>
        <v>0.24324324324324326</v>
      </c>
      <c r="L8129" s="1212" t="s">
        <v>4455</v>
      </c>
      <c r="M8129" s="468" t="s">
        <v>2050</v>
      </c>
      <c r="N8129" s="1192">
        <f t="shared" si="4811"/>
        <v>45910</v>
      </c>
      <c r="O8129" s="71" t="s">
        <v>3383</v>
      </c>
      <c r="P8129" s="103" t="str">
        <f t="shared" si="4854"/>
        <v>XL106 Blanket(1077*885)</v>
      </c>
      <c r="Q8129" s="71">
        <f t="shared" si="4855"/>
        <v>15</v>
      </c>
      <c r="R8129" s="102">
        <v>112000</v>
      </c>
      <c r="S8129" s="102">
        <f t="shared" si="4861"/>
        <v>1848000.0000000002</v>
      </c>
      <c r="T8129" s="102">
        <f t="shared" si="4862"/>
        <v>1680000</v>
      </c>
      <c r="U8129" s="71"/>
      <c r="V8129" s="71"/>
      <c r="W8129" s="474">
        <v>260000</v>
      </c>
      <c r="X8129" s="71"/>
      <c r="Y8129" s="71"/>
    </row>
    <row r="8130" spans="1:25" ht="28.9" hidden="1" customHeight="1" x14ac:dyDescent="0.25">
      <c r="A8130" s="1145">
        <v>45910</v>
      </c>
      <c r="B8130" s="664" t="s">
        <v>2353</v>
      </c>
      <c r="C8130" s="71" t="s">
        <v>129</v>
      </c>
      <c r="D8130" s="71">
        <v>7</v>
      </c>
      <c r="E8130" s="102">
        <v>325000</v>
      </c>
      <c r="F8130" s="102">
        <f t="shared" si="4851"/>
        <v>2502500</v>
      </c>
      <c r="G8130" s="102">
        <f t="shared" si="4852"/>
        <v>2275000</v>
      </c>
      <c r="H8130" s="690" t="s">
        <v>142</v>
      </c>
      <c r="I8130" s="71" t="s">
        <v>179</v>
      </c>
      <c r="J8130" s="53">
        <f t="shared" si="4859"/>
        <v>636440</v>
      </c>
      <c r="K8130" s="63">
        <f t="shared" si="4860"/>
        <v>0.27975384615384613</v>
      </c>
      <c r="L8130" s="1212" t="s">
        <v>4455</v>
      </c>
      <c r="M8130" s="468" t="s">
        <v>2050</v>
      </c>
      <c r="N8130" s="1192">
        <f t="shared" si="4811"/>
        <v>45910</v>
      </c>
      <c r="O8130" s="71" t="s">
        <v>149</v>
      </c>
      <c r="P8130" s="103" t="str">
        <f t="shared" si="4854"/>
        <v>세정포-XL106</v>
      </c>
      <c r="Q8130" s="71">
        <f t="shared" si="4855"/>
        <v>7</v>
      </c>
      <c r="R8130" s="102">
        <v>234080</v>
      </c>
      <c r="S8130" s="102">
        <f t="shared" si="4861"/>
        <v>1802416.0000000002</v>
      </c>
      <c r="T8130" s="102">
        <f t="shared" si="4862"/>
        <v>1638560</v>
      </c>
      <c r="U8130" s="71"/>
      <c r="V8130" s="71"/>
      <c r="W8130" s="474">
        <f>(G8130-T8130)</f>
        <v>636440</v>
      </c>
      <c r="X8130" s="71"/>
      <c r="Y8130" s="71"/>
    </row>
    <row r="8131" spans="1:25" ht="30" hidden="1" customHeight="1" x14ac:dyDescent="0.25">
      <c r="A8131" s="1145">
        <v>45910</v>
      </c>
      <c r="B8131" s="664" t="s">
        <v>2579</v>
      </c>
      <c r="C8131" s="71" t="s">
        <v>3738</v>
      </c>
      <c r="D8131" s="71">
        <v>10</v>
      </c>
      <c r="E8131" s="102">
        <v>130000</v>
      </c>
      <c r="F8131" s="102">
        <f t="shared" si="4851"/>
        <v>1430000</v>
      </c>
      <c r="G8131" s="102">
        <f t="shared" si="4852"/>
        <v>1300000</v>
      </c>
      <c r="H8131" s="690" t="s">
        <v>142</v>
      </c>
      <c r="I8131" s="71" t="s">
        <v>142</v>
      </c>
      <c r="J8131" s="53">
        <f t="shared" si="4859"/>
        <v>339000</v>
      </c>
      <c r="K8131" s="63">
        <f t="shared" si="4860"/>
        <v>0.26076923076923075</v>
      </c>
      <c r="L8131" s="1212" t="s">
        <v>4455</v>
      </c>
      <c r="M8131" s="468"/>
      <c r="N8131" s="1192">
        <f t="shared" si="4811"/>
        <v>45910</v>
      </c>
      <c r="O8131" s="71" t="s">
        <v>147</v>
      </c>
      <c r="P8131" s="103" t="str">
        <f t="shared" si="4854"/>
        <v>블랑켓 - 고모리 용 (1040*920)</v>
      </c>
      <c r="Q8131" s="71">
        <f t="shared" si="4855"/>
        <v>10</v>
      </c>
      <c r="R8131" s="102">
        <v>96100</v>
      </c>
      <c r="S8131" s="102">
        <f t="shared" si="4861"/>
        <v>1057100</v>
      </c>
      <c r="T8131" s="102">
        <f t="shared" si="4862"/>
        <v>961000</v>
      </c>
      <c r="U8131" s="71"/>
      <c r="V8131" s="71"/>
      <c r="W8131" s="474"/>
      <c r="X8131" s="71"/>
      <c r="Y8131" s="71"/>
    </row>
    <row r="8132" spans="1:25" s="209" customFormat="1" ht="30" hidden="1" customHeight="1" x14ac:dyDescent="0.25">
      <c r="A8132" s="1145">
        <v>45924</v>
      </c>
      <c r="B8132" s="664" t="s">
        <v>2353</v>
      </c>
      <c r="C8132" s="71" t="s">
        <v>130</v>
      </c>
      <c r="D8132" s="71">
        <v>10</v>
      </c>
      <c r="E8132" s="102">
        <v>148000</v>
      </c>
      <c r="F8132" s="102">
        <f t="shared" ref="F8132:F8137" si="4863">(E8132*D8132)*1.1</f>
        <v>1628000.0000000002</v>
      </c>
      <c r="G8132" s="102">
        <f t="shared" ref="G8132:G8137" si="4864">(E8132*D8132)</f>
        <v>1480000</v>
      </c>
      <c r="H8132" s="690" t="s">
        <v>142</v>
      </c>
      <c r="I8132" s="71" t="s">
        <v>179</v>
      </c>
      <c r="J8132" s="53">
        <f t="shared" ref="J8132:J8137" si="4865">G8132-T8132</f>
        <v>360000</v>
      </c>
      <c r="K8132" s="63">
        <f t="shared" ref="K8132:K8137" si="4866">(J8132/(F8132/11*10))</f>
        <v>0.2432432432432432</v>
      </c>
      <c r="L8132" s="1212" t="s">
        <v>4455</v>
      </c>
      <c r="M8132" s="468" t="s">
        <v>2050</v>
      </c>
      <c r="N8132" s="1192">
        <f t="shared" ref="N8132:N8137" si="4867">A8132</f>
        <v>45924</v>
      </c>
      <c r="O8132" s="71" t="s">
        <v>3383</v>
      </c>
      <c r="P8132" s="103" t="str">
        <f t="shared" ref="P8132:P8137" si="4868">(C8132)</f>
        <v>XL106 Blanket(1077*885)</v>
      </c>
      <c r="Q8132" s="71">
        <f t="shared" ref="Q8132:Q8137" si="4869">D8132</f>
        <v>10</v>
      </c>
      <c r="R8132" s="102">
        <v>112000</v>
      </c>
      <c r="S8132" s="102">
        <f t="shared" ref="S8132:S8137" si="4870">R8132*Q8132*1.1</f>
        <v>1232000</v>
      </c>
      <c r="T8132" s="102">
        <f t="shared" ref="T8132:T8137" si="4871">R8132*Q8132</f>
        <v>1120000</v>
      </c>
      <c r="U8132" s="71"/>
      <c r="V8132" s="71"/>
      <c r="W8132" s="474">
        <v>260000</v>
      </c>
      <c r="X8132" s="71"/>
      <c r="Y8132" s="71"/>
    </row>
    <row r="8133" spans="1:25" ht="28.9" hidden="1" customHeight="1" x14ac:dyDescent="0.25">
      <c r="A8133" s="1145">
        <v>45924</v>
      </c>
      <c r="B8133" s="664" t="s">
        <v>2353</v>
      </c>
      <c r="C8133" s="71" t="s">
        <v>129</v>
      </c>
      <c r="D8133" s="71">
        <v>7</v>
      </c>
      <c r="E8133" s="102">
        <v>325000</v>
      </c>
      <c r="F8133" s="102">
        <f t="shared" si="4863"/>
        <v>2502500</v>
      </c>
      <c r="G8133" s="102">
        <f t="shared" si="4864"/>
        <v>2275000</v>
      </c>
      <c r="H8133" s="690" t="s">
        <v>142</v>
      </c>
      <c r="I8133" s="71" t="s">
        <v>179</v>
      </c>
      <c r="J8133" s="53">
        <f t="shared" si="4865"/>
        <v>636440</v>
      </c>
      <c r="K8133" s="63">
        <f t="shared" si="4866"/>
        <v>0.27975384615384613</v>
      </c>
      <c r="L8133" s="1212" t="s">
        <v>4455</v>
      </c>
      <c r="M8133" s="468" t="s">
        <v>2050</v>
      </c>
      <c r="N8133" s="1192">
        <f t="shared" si="4867"/>
        <v>45924</v>
      </c>
      <c r="O8133" s="71" t="s">
        <v>149</v>
      </c>
      <c r="P8133" s="103" t="str">
        <f t="shared" si="4868"/>
        <v>세정포-XL106</v>
      </c>
      <c r="Q8133" s="71">
        <f t="shared" si="4869"/>
        <v>7</v>
      </c>
      <c r="R8133" s="102">
        <v>234080</v>
      </c>
      <c r="S8133" s="102">
        <f t="shared" si="4870"/>
        <v>1802416.0000000002</v>
      </c>
      <c r="T8133" s="102">
        <f t="shared" si="4871"/>
        <v>1638560</v>
      </c>
      <c r="U8133" s="71"/>
      <c r="V8133" s="71"/>
      <c r="W8133" s="474">
        <f>(G8133-T8133)</f>
        <v>636440</v>
      </c>
      <c r="X8133" s="71"/>
      <c r="Y8133" s="71"/>
    </row>
    <row r="8134" spans="1:25" ht="30" hidden="1" customHeight="1" x14ac:dyDescent="0.25">
      <c r="A8134" s="1145">
        <v>45924</v>
      </c>
      <c r="B8134" s="664" t="s">
        <v>2579</v>
      </c>
      <c r="C8134" s="71" t="s">
        <v>3738</v>
      </c>
      <c r="D8134" s="71">
        <v>10</v>
      </c>
      <c r="E8134" s="102">
        <v>130000</v>
      </c>
      <c r="F8134" s="102">
        <f t="shared" si="4863"/>
        <v>1430000</v>
      </c>
      <c r="G8134" s="102">
        <f t="shared" si="4864"/>
        <v>1300000</v>
      </c>
      <c r="H8134" s="690" t="s">
        <v>142</v>
      </c>
      <c r="I8134" s="71" t="s">
        <v>142</v>
      </c>
      <c r="J8134" s="53">
        <f t="shared" si="4865"/>
        <v>339000</v>
      </c>
      <c r="K8134" s="63">
        <f t="shared" si="4866"/>
        <v>0.26076923076923075</v>
      </c>
      <c r="L8134" s="1212" t="s">
        <v>4455</v>
      </c>
      <c r="M8134" s="468"/>
      <c r="N8134" s="1192">
        <f t="shared" si="4867"/>
        <v>45924</v>
      </c>
      <c r="O8134" s="71" t="s">
        <v>147</v>
      </c>
      <c r="P8134" s="103" t="str">
        <f t="shared" si="4868"/>
        <v>블랑켓 - 고모리 용 (1040*920)</v>
      </c>
      <c r="Q8134" s="71">
        <f t="shared" si="4869"/>
        <v>10</v>
      </c>
      <c r="R8134" s="102">
        <v>96100</v>
      </c>
      <c r="S8134" s="102">
        <f t="shared" si="4870"/>
        <v>1057100</v>
      </c>
      <c r="T8134" s="102">
        <f t="shared" si="4871"/>
        <v>961000</v>
      </c>
      <c r="U8134" s="71"/>
      <c r="V8134" s="71"/>
      <c r="W8134" s="474"/>
      <c r="X8134" s="71"/>
      <c r="Y8134" s="71"/>
    </row>
    <row r="8135" spans="1:25" s="209" customFormat="1" ht="30" hidden="1" customHeight="1" x14ac:dyDescent="0.25">
      <c r="A8135" s="1145">
        <v>45924</v>
      </c>
      <c r="B8135" s="664" t="s">
        <v>2353</v>
      </c>
      <c r="C8135" s="71" t="s">
        <v>3299</v>
      </c>
      <c r="D8135" s="71">
        <v>10</v>
      </c>
      <c r="E8135" s="102">
        <v>83000</v>
      </c>
      <c r="F8135" s="102">
        <f t="shared" si="4863"/>
        <v>913000.00000000012</v>
      </c>
      <c r="G8135" s="102">
        <f t="shared" si="4864"/>
        <v>830000</v>
      </c>
      <c r="H8135" s="690" t="s">
        <v>142</v>
      </c>
      <c r="I8135" s="71" t="s">
        <v>179</v>
      </c>
      <c r="J8135" s="53">
        <f t="shared" si="4865"/>
        <v>355000</v>
      </c>
      <c r="K8135" s="63">
        <f t="shared" si="4866"/>
        <v>0.42771084337349391</v>
      </c>
      <c r="L8135" s="1212" t="s">
        <v>4455</v>
      </c>
      <c r="M8135" s="468" t="s">
        <v>2214</v>
      </c>
      <c r="N8135" s="1192">
        <f t="shared" si="4867"/>
        <v>45924</v>
      </c>
      <c r="O8135" s="71" t="s">
        <v>3383</v>
      </c>
      <c r="P8135" s="103" t="str">
        <f t="shared" si="4868"/>
        <v>매엽용 세척제(Wash k11)</v>
      </c>
      <c r="Q8135" s="71">
        <f t="shared" si="4869"/>
        <v>10</v>
      </c>
      <c r="R8135" s="102">
        <v>47500</v>
      </c>
      <c r="S8135" s="102">
        <f t="shared" si="4870"/>
        <v>522500.00000000006</v>
      </c>
      <c r="T8135" s="102">
        <f t="shared" si="4871"/>
        <v>475000</v>
      </c>
      <c r="U8135" s="71"/>
      <c r="V8135" s="71"/>
      <c r="W8135" s="474">
        <v>136000</v>
      </c>
      <c r="X8135" s="71"/>
      <c r="Y8135" s="71"/>
    </row>
    <row r="8136" spans="1:25" s="209" customFormat="1" ht="29.45" hidden="1" customHeight="1" x14ac:dyDescent="0.2">
      <c r="A8136" s="1145">
        <v>45897</v>
      </c>
      <c r="B8136" s="664" t="s">
        <v>4059</v>
      </c>
      <c r="C8136" s="71" t="s">
        <v>4061</v>
      </c>
      <c r="D8136" s="71">
        <v>10</v>
      </c>
      <c r="E8136" s="102">
        <v>130000</v>
      </c>
      <c r="F8136" s="102">
        <f t="shared" si="4863"/>
        <v>1430000</v>
      </c>
      <c r="G8136" s="102">
        <f t="shared" si="4864"/>
        <v>1300000</v>
      </c>
      <c r="H8136" s="165" t="s">
        <v>172</v>
      </c>
      <c r="I8136" s="71" t="s">
        <v>184</v>
      </c>
      <c r="J8136" s="53">
        <f t="shared" si="4865"/>
        <v>180000</v>
      </c>
      <c r="K8136" s="63">
        <f t="shared" si="4866"/>
        <v>0.13846153846153847</v>
      </c>
      <c r="L8136" s="1212" t="s">
        <v>4455</v>
      </c>
      <c r="M8136" s="468"/>
      <c r="N8136" s="1192">
        <f t="shared" si="4867"/>
        <v>45897</v>
      </c>
      <c r="O8136" s="71" t="s">
        <v>189</v>
      </c>
      <c r="P8136" s="103" t="str">
        <f t="shared" si="4868"/>
        <v>M600 Blanket(990*725)</v>
      </c>
      <c r="Q8136" s="71">
        <f t="shared" si="4869"/>
        <v>10</v>
      </c>
      <c r="R8136" s="102">
        <v>112000</v>
      </c>
      <c r="S8136" s="102">
        <f t="shared" si="4870"/>
        <v>1232000</v>
      </c>
      <c r="T8136" s="102">
        <f t="shared" si="4871"/>
        <v>1120000</v>
      </c>
      <c r="U8136" s="71"/>
      <c r="V8136" s="71"/>
      <c r="W8136" s="474">
        <v>80000</v>
      </c>
      <c r="X8136" s="71"/>
      <c r="Y8136" s="71"/>
    </row>
    <row r="8137" spans="1:25" ht="30" hidden="1" customHeight="1" x14ac:dyDescent="0.25">
      <c r="A8137" s="1145">
        <v>45909</v>
      </c>
      <c r="B8137" s="664" t="s">
        <v>4059</v>
      </c>
      <c r="C8137" s="71" t="s">
        <v>4060</v>
      </c>
      <c r="D8137" s="71">
        <v>10</v>
      </c>
      <c r="E8137" s="102">
        <v>187000</v>
      </c>
      <c r="F8137" s="102">
        <f t="shared" si="4863"/>
        <v>2057000.0000000002</v>
      </c>
      <c r="G8137" s="102">
        <f t="shared" si="4864"/>
        <v>1870000</v>
      </c>
      <c r="H8137" s="690" t="s">
        <v>2029</v>
      </c>
      <c r="I8137" s="71" t="s">
        <v>109</v>
      </c>
      <c r="J8137" s="53">
        <f t="shared" si="4865"/>
        <v>170000</v>
      </c>
      <c r="K8137" s="63">
        <f t="shared" si="4866"/>
        <v>9.0909090909090898E-2</v>
      </c>
      <c r="L8137" s="1212" t="s">
        <v>4455</v>
      </c>
      <c r="M8137" s="102"/>
      <c r="N8137" s="1192">
        <f t="shared" si="4867"/>
        <v>45909</v>
      </c>
      <c r="O8137" s="71" t="s">
        <v>189</v>
      </c>
      <c r="P8137" s="103" t="str">
        <f t="shared" si="4868"/>
        <v>미쯔비시 윤전용 블랑켓 1155*910</v>
      </c>
      <c r="Q8137" s="71">
        <f t="shared" si="4869"/>
        <v>10</v>
      </c>
      <c r="R8137" s="102">
        <v>170000</v>
      </c>
      <c r="S8137" s="102">
        <f t="shared" si="4870"/>
        <v>1870000.0000000002</v>
      </c>
      <c r="T8137" s="102">
        <f t="shared" si="4871"/>
        <v>1700000</v>
      </c>
      <c r="U8137" s="71"/>
      <c r="V8137" s="71"/>
      <c r="W8137" s="474"/>
      <c r="X8137" s="71"/>
      <c r="Y8137" s="71"/>
    </row>
    <row r="8138" spans="1:25" s="209" customFormat="1" ht="29.45" hidden="1" customHeight="1" x14ac:dyDescent="0.2">
      <c r="A8138" s="1145">
        <v>45925</v>
      </c>
      <c r="B8138" s="664" t="s">
        <v>4059</v>
      </c>
      <c r="C8138" s="71" t="s">
        <v>4061</v>
      </c>
      <c r="D8138" s="71">
        <v>10</v>
      </c>
      <c r="E8138" s="102">
        <v>130000</v>
      </c>
      <c r="F8138" s="102">
        <f t="shared" ref="F8138:F8141" si="4872">(E8138*D8138)*1.1</f>
        <v>1430000</v>
      </c>
      <c r="G8138" s="102">
        <f t="shared" ref="G8138:G8141" si="4873">(E8138*D8138)</f>
        <v>1300000</v>
      </c>
      <c r="H8138" s="165" t="s">
        <v>172</v>
      </c>
      <c r="I8138" s="71" t="s">
        <v>184</v>
      </c>
      <c r="J8138" s="53">
        <f t="shared" ref="J8138:J8141" si="4874">G8138-T8138</f>
        <v>180000</v>
      </c>
      <c r="K8138" s="63">
        <f t="shared" ref="K8138:K8141" si="4875">(J8138/(F8138/11*10))</f>
        <v>0.13846153846153847</v>
      </c>
      <c r="L8138" s="1212" t="s">
        <v>4455</v>
      </c>
      <c r="M8138" s="468"/>
      <c r="N8138" s="1192">
        <f t="shared" ref="N8138:N8141" si="4876">A8138</f>
        <v>45925</v>
      </c>
      <c r="O8138" s="71" t="s">
        <v>189</v>
      </c>
      <c r="P8138" s="103" t="str">
        <f t="shared" ref="P8138:P8141" si="4877">(C8138)</f>
        <v>M600 Blanket(990*725)</v>
      </c>
      <c r="Q8138" s="71">
        <f t="shared" ref="Q8138:Q8141" si="4878">D8138</f>
        <v>10</v>
      </c>
      <c r="R8138" s="102">
        <v>112000</v>
      </c>
      <c r="S8138" s="102">
        <f t="shared" ref="S8138:S8141" si="4879">R8138*Q8138*1.1</f>
        <v>1232000</v>
      </c>
      <c r="T8138" s="102">
        <f t="shared" ref="T8138:T8141" si="4880">R8138*Q8138</f>
        <v>1120000</v>
      </c>
      <c r="U8138" s="71"/>
      <c r="V8138" s="71"/>
      <c r="W8138" s="474">
        <v>80000</v>
      </c>
      <c r="X8138" s="71"/>
      <c r="Y8138" s="71"/>
    </row>
    <row r="8139" spans="1:25" ht="30" hidden="1" customHeight="1" x14ac:dyDescent="0.25">
      <c r="A8139" s="1145">
        <v>45897</v>
      </c>
      <c r="B8139" s="664" t="s">
        <v>2261</v>
      </c>
      <c r="C8139" s="760" t="s">
        <v>181</v>
      </c>
      <c r="D8139" s="71">
        <v>5</v>
      </c>
      <c r="E8139" s="102">
        <v>193000</v>
      </c>
      <c r="F8139" s="102">
        <f t="shared" si="4872"/>
        <v>1061500</v>
      </c>
      <c r="G8139" s="102">
        <f t="shared" si="4873"/>
        <v>965000</v>
      </c>
      <c r="H8139" s="690" t="s">
        <v>2029</v>
      </c>
      <c r="I8139" s="71" t="s">
        <v>182</v>
      </c>
      <c r="J8139" s="53">
        <f t="shared" si="4874"/>
        <v>345000</v>
      </c>
      <c r="K8139" s="63">
        <f t="shared" si="4875"/>
        <v>0.35751295336787564</v>
      </c>
      <c r="L8139" s="1212" t="s">
        <v>4455</v>
      </c>
      <c r="M8139" s="468"/>
      <c r="N8139" s="1192">
        <f t="shared" si="4876"/>
        <v>45897</v>
      </c>
      <c r="O8139" s="71" t="s">
        <v>2030</v>
      </c>
      <c r="P8139" s="103" t="str">
        <f t="shared" si="4877"/>
        <v>Fount Web 551AF</v>
      </c>
      <c r="Q8139" s="71">
        <f t="shared" si="4878"/>
        <v>5</v>
      </c>
      <c r="R8139" s="102">
        <v>124000</v>
      </c>
      <c r="S8139" s="102">
        <f t="shared" si="4879"/>
        <v>682000</v>
      </c>
      <c r="T8139" s="102">
        <f t="shared" si="4880"/>
        <v>620000</v>
      </c>
      <c r="U8139" s="71"/>
      <c r="V8139" s="71"/>
      <c r="W8139" s="474">
        <v>640000</v>
      </c>
      <c r="X8139" s="71"/>
      <c r="Y8139" s="71"/>
    </row>
    <row r="8140" spans="1:25" ht="30" hidden="1" customHeight="1" x14ac:dyDescent="0.25">
      <c r="A8140" s="1145">
        <v>45897</v>
      </c>
      <c r="B8140" s="664" t="s">
        <v>2261</v>
      </c>
      <c r="C8140" s="71" t="s">
        <v>277</v>
      </c>
      <c r="D8140" s="71">
        <v>10</v>
      </c>
      <c r="E8140" s="102">
        <v>172000</v>
      </c>
      <c r="F8140" s="102">
        <f t="shared" si="4872"/>
        <v>1892000.0000000002</v>
      </c>
      <c r="G8140" s="102">
        <f t="shared" si="4873"/>
        <v>1720000</v>
      </c>
      <c r="H8140" s="690" t="s">
        <v>172</v>
      </c>
      <c r="I8140" s="71" t="s">
        <v>108</v>
      </c>
      <c r="J8140" s="53">
        <f t="shared" si="4874"/>
        <v>430000</v>
      </c>
      <c r="K8140" s="63">
        <f t="shared" si="4875"/>
        <v>0.24999999999999997</v>
      </c>
      <c r="L8140" s="1212" t="s">
        <v>4455</v>
      </c>
      <c r="M8140" s="468"/>
      <c r="N8140" s="1192">
        <f t="shared" si="4876"/>
        <v>45897</v>
      </c>
      <c r="O8140" s="71" t="s">
        <v>662</v>
      </c>
      <c r="P8140" s="103" t="str">
        <f t="shared" si="4877"/>
        <v>윤전용 세척제(Web 504)</v>
      </c>
      <c r="Q8140" s="71">
        <f t="shared" si="4878"/>
        <v>10</v>
      </c>
      <c r="R8140" s="102">
        <v>129000</v>
      </c>
      <c r="S8140" s="102">
        <f t="shared" si="4879"/>
        <v>1419000</v>
      </c>
      <c r="T8140" s="102">
        <f t="shared" si="4880"/>
        <v>1290000</v>
      </c>
      <c r="U8140" s="71"/>
      <c r="V8140" s="71"/>
      <c r="W8140" s="474"/>
      <c r="X8140" s="71"/>
      <c r="Y8140" s="71"/>
    </row>
    <row r="8141" spans="1:25" ht="30" hidden="1" customHeight="1" x14ac:dyDescent="0.25">
      <c r="A8141" s="1145">
        <v>45897</v>
      </c>
      <c r="B8141" s="664" t="s">
        <v>2261</v>
      </c>
      <c r="C8141" s="71" t="s">
        <v>3299</v>
      </c>
      <c r="D8141" s="71">
        <v>10</v>
      </c>
      <c r="E8141" s="102">
        <v>52000</v>
      </c>
      <c r="F8141" s="102">
        <f t="shared" si="4872"/>
        <v>572000</v>
      </c>
      <c r="G8141" s="102">
        <f t="shared" si="4873"/>
        <v>520000</v>
      </c>
      <c r="H8141" s="690" t="s">
        <v>172</v>
      </c>
      <c r="I8141" s="71" t="s">
        <v>180</v>
      </c>
      <c r="J8141" s="53">
        <f t="shared" si="4874"/>
        <v>45000</v>
      </c>
      <c r="K8141" s="63">
        <f t="shared" si="4875"/>
        <v>8.6538461538461536E-2</v>
      </c>
      <c r="L8141" s="1212" t="s">
        <v>4455</v>
      </c>
      <c r="M8141" s="468" t="s">
        <v>3835</v>
      </c>
      <c r="N8141" s="1192">
        <f t="shared" si="4876"/>
        <v>45897</v>
      </c>
      <c r="O8141" s="71" t="s">
        <v>175</v>
      </c>
      <c r="P8141" s="103" t="str">
        <f t="shared" si="4877"/>
        <v>매엽용 세척제(Wash k11)</v>
      </c>
      <c r="Q8141" s="71">
        <f t="shared" si="4878"/>
        <v>10</v>
      </c>
      <c r="R8141" s="102">
        <v>47500</v>
      </c>
      <c r="S8141" s="102">
        <f t="shared" si="4879"/>
        <v>522500.00000000006</v>
      </c>
      <c r="T8141" s="102">
        <f t="shared" si="4880"/>
        <v>475000</v>
      </c>
      <c r="U8141" s="71"/>
      <c r="V8141" s="71"/>
      <c r="W8141" s="474"/>
      <c r="X8141" s="71"/>
      <c r="Y8141" s="71"/>
    </row>
    <row r="8142" spans="1:25" ht="30" hidden="1" customHeight="1" x14ac:dyDescent="0.25">
      <c r="A8142" s="1145">
        <v>45905</v>
      </c>
      <c r="B8142" s="664" t="s">
        <v>2261</v>
      </c>
      <c r="C8142" s="71" t="s">
        <v>3299</v>
      </c>
      <c r="D8142" s="71">
        <v>10</v>
      </c>
      <c r="E8142" s="102">
        <v>52000</v>
      </c>
      <c r="F8142" s="102">
        <f t="shared" ref="F8142:F8143" si="4881">(E8142*D8142)*1.1</f>
        <v>572000</v>
      </c>
      <c r="G8142" s="102">
        <f t="shared" ref="G8142:G8143" si="4882">(E8142*D8142)</f>
        <v>520000</v>
      </c>
      <c r="H8142" s="690" t="s">
        <v>172</v>
      </c>
      <c r="I8142" s="71" t="s">
        <v>180</v>
      </c>
      <c r="J8142" s="53">
        <f t="shared" ref="J8142:J8143" si="4883">G8142-T8142</f>
        <v>45000</v>
      </c>
      <c r="K8142" s="63">
        <f t="shared" ref="K8142:K8143" si="4884">(J8142/(F8142/11*10))</f>
        <v>8.6538461538461536E-2</v>
      </c>
      <c r="L8142" s="1212" t="s">
        <v>4455</v>
      </c>
      <c r="M8142" s="468" t="s">
        <v>3835</v>
      </c>
      <c r="N8142" s="1192">
        <f t="shared" ref="N8142:N8143" si="4885">A8142</f>
        <v>45905</v>
      </c>
      <c r="O8142" s="71" t="s">
        <v>175</v>
      </c>
      <c r="P8142" s="103" t="str">
        <f t="shared" ref="P8142:P8143" si="4886">(C8142)</f>
        <v>매엽용 세척제(Wash k11)</v>
      </c>
      <c r="Q8142" s="71">
        <f t="shared" ref="Q8142:Q8143" si="4887">D8142</f>
        <v>10</v>
      </c>
      <c r="R8142" s="102">
        <v>47500</v>
      </c>
      <c r="S8142" s="102">
        <f t="shared" ref="S8142:S8143" si="4888">R8142*Q8142*1.1</f>
        <v>522500.00000000006</v>
      </c>
      <c r="T8142" s="102">
        <f t="shared" ref="T8142:T8143" si="4889">R8142*Q8142</f>
        <v>475000</v>
      </c>
      <c r="U8142" s="71"/>
      <c r="V8142" s="71"/>
      <c r="W8142" s="474"/>
      <c r="X8142" s="71"/>
      <c r="Y8142" s="71"/>
    </row>
    <row r="8143" spans="1:25" ht="30" hidden="1" customHeight="1" x14ac:dyDescent="0.25">
      <c r="A8143" s="1145">
        <v>45911</v>
      </c>
      <c r="B8143" s="664" t="s">
        <v>2261</v>
      </c>
      <c r="C8143" s="71" t="s">
        <v>277</v>
      </c>
      <c r="D8143" s="71">
        <v>10</v>
      </c>
      <c r="E8143" s="102">
        <v>172000</v>
      </c>
      <c r="F8143" s="102">
        <f t="shared" si="4881"/>
        <v>1892000.0000000002</v>
      </c>
      <c r="G8143" s="102">
        <f t="shared" si="4882"/>
        <v>1720000</v>
      </c>
      <c r="H8143" s="690" t="s">
        <v>172</v>
      </c>
      <c r="I8143" s="71" t="s">
        <v>108</v>
      </c>
      <c r="J8143" s="53">
        <f t="shared" si="4883"/>
        <v>430000</v>
      </c>
      <c r="K8143" s="63">
        <f t="shared" si="4884"/>
        <v>0.24999999999999997</v>
      </c>
      <c r="L8143" s="1212" t="s">
        <v>4455</v>
      </c>
      <c r="M8143" s="468"/>
      <c r="N8143" s="1192">
        <f t="shared" si="4885"/>
        <v>45911</v>
      </c>
      <c r="O8143" s="71" t="s">
        <v>662</v>
      </c>
      <c r="P8143" s="103" t="str">
        <f t="shared" si="4886"/>
        <v>윤전용 세척제(Web 504)</v>
      </c>
      <c r="Q8143" s="71">
        <f t="shared" si="4887"/>
        <v>10</v>
      </c>
      <c r="R8143" s="102">
        <v>129000</v>
      </c>
      <c r="S8143" s="102">
        <f t="shared" si="4888"/>
        <v>1419000</v>
      </c>
      <c r="T8143" s="102">
        <f t="shared" si="4889"/>
        <v>1290000</v>
      </c>
      <c r="U8143" s="71"/>
      <c r="V8143" s="71"/>
      <c r="W8143" s="474"/>
      <c r="X8143" s="71"/>
      <c r="Y8143" s="71"/>
    </row>
    <row r="8144" spans="1:25" ht="30" hidden="1" customHeight="1" x14ac:dyDescent="0.25">
      <c r="A8144" s="1145">
        <v>45911</v>
      </c>
      <c r="B8144" s="664" t="s">
        <v>2261</v>
      </c>
      <c r="C8144" s="71" t="s">
        <v>3299</v>
      </c>
      <c r="D8144" s="71">
        <v>10</v>
      </c>
      <c r="E8144" s="102">
        <v>52000</v>
      </c>
      <c r="F8144" s="102">
        <f t="shared" ref="F8144:F8145" si="4890">(E8144*D8144)*1.1</f>
        <v>572000</v>
      </c>
      <c r="G8144" s="102">
        <f t="shared" ref="G8144:G8145" si="4891">(E8144*D8144)</f>
        <v>520000</v>
      </c>
      <c r="H8144" s="690" t="s">
        <v>172</v>
      </c>
      <c r="I8144" s="71" t="s">
        <v>180</v>
      </c>
      <c r="J8144" s="53">
        <f t="shared" ref="J8144:J8145" si="4892">G8144-T8144</f>
        <v>45000</v>
      </c>
      <c r="K8144" s="63">
        <f t="shared" ref="K8144:K8145" si="4893">(J8144/(F8144/11*10))</f>
        <v>8.6538461538461536E-2</v>
      </c>
      <c r="L8144" s="1212" t="s">
        <v>4455</v>
      </c>
      <c r="M8144" s="468" t="s">
        <v>3835</v>
      </c>
      <c r="N8144" s="1192">
        <f t="shared" ref="N8144:N8145" si="4894">A8144</f>
        <v>45911</v>
      </c>
      <c r="O8144" s="71" t="s">
        <v>175</v>
      </c>
      <c r="P8144" s="103" t="str">
        <f t="shared" ref="P8144:P8145" si="4895">(C8144)</f>
        <v>매엽용 세척제(Wash k11)</v>
      </c>
      <c r="Q8144" s="71">
        <f t="shared" ref="Q8144:Q8145" si="4896">D8144</f>
        <v>10</v>
      </c>
      <c r="R8144" s="102">
        <v>47500</v>
      </c>
      <c r="S8144" s="102">
        <f t="shared" ref="S8144:S8145" si="4897">R8144*Q8144*1.1</f>
        <v>522500.00000000006</v>
      </c>
      <c r="T8144" s="102">
        <f t="shared" ref="T8144:T8145" si="4898">R8144*Q8144</f>
        <v>475000</v>
      </c>
      <c r="U8144" s="71"/>
      <c r="V8144" s="71"/>
      <c r="W8144" s="474"/>
      <c r="X8144" s="71"/>
      <c r="Y8144" s="71"/>
    </row>
    <row r="8145" spans="1:25" ht="30" hidden="1" customHeight="1" x14ac:dyDescent="0.25">
      <c r="A8145" s="1145">
        <v>45916</v>
      </c>
      <c r="B8145" s="664" t="s">
        <v>2261</v>
      </c>
      <c r="C8145" s="760" t="s">
        <v>181</v>
      </c>
      <c r="D8145" s="71">
        <v>5</v>
      </c>
      <c r="E8145" s="102">
        <v>193000</v>
      </c>
      <c r="F8145" s="102">
        <f t="shared" si="4890"/>
        <v>1061500</v>
      </c>
      <c r="G8145" s="102">
        <f t="shared" si="4891"/>
        <v>965000</v>
      </c>
      <c r="H8145" s="690" t="s">
        <v>2029</v>
      </c>
      <c r="I8145" s="71" t="s">
        <v>182</v>
      </c>
      <c r="J8145" s="53">
        <f t="shared" si="4892"/>
        <v>345000</v>
      </c>
      <c r="K8145" s="63">
        <f t="shared" si="4893"/>
        <v>0.35751295336787564</v>
      </c>
      <c r="L8145" s="1212" t="s">
        <v>4455</v>
      </c>
      <c r="M8145" s="468"/>
      <c r="N8145" s="1192">
        <f t="shared" si="4894"/>
        <v>45916</v>
      </c>
      <c r="O8145" s="71" t="s">
        <v>2030</v>
      </c>
      <c r="P8145" s="103" t="str">
        <f t="shared" si="4895"/>
        <v>Fount Web 551AF</v>
      </c>
      <c r="Q8145" s="71">
        <f t="shared" si="4896"/>
        <v>5</v>
      </c>
      <c r="R8145" s="102">
        <v>124000</v>
      </c>
      <c r="S8145" s="102">
        <f t="shared" si="4897"/>
        <v>682000</v>
      </c>
      <c r="T8145" s="102">
        <f t="shared" si="4898"/>
        <v>620000</v>
      </c>
      <c r="U8145" s="71"/>
      <c r="V8145" s="71"/>
      <c r="W8145" s="474">
        <v>640000</v>
      </c>
      <c r="X8145" s="71"/>
      <c r="Y8145" s="71"/>
    </row>
    <row r="8146" spans="1:25" ht="30" hidden="1" customHeight="1" x14ac:dyDescent="0.25">
      <c r="A8146" s="1145">
        <v>45916</v>
      </c>
      <c r="B8146" s="664" t="s">
        <v>2261</v>
      </c>
      <c r="C8146" s="71" t="s">
        <v>3299</v>
      </c>
      <c r="D8146" s="71">
        <v>10</v>
      </c>
      <c r="E8146" s="102">
        <v>52000</v>
      </c>
      <c r="F8146" s="102">
        <f t="shared" ref="F8146:F8148" si="4899">(E8146*D8146)*1.1</f>
        <v>572000</v>
      </c>
      <c r="G8146" s="102">
        <f t="shared" ref="G8146:G8148" si="4900">(E8146*D8146)</f>
        <v>520000</v>
      </c>
      <c r="H8146" s="690" t="s">
        <v>172</v>
      </c>
      <c r="I8146" s="71" t="s">
        <v>180</v>
      </c>
      <c r="J8146" s="53">
        <f t="shared" ref="J8146:J8148" si="4901">G8146-T8146</f>
        <v>45000</v>
      </c>
      <c r="K8146" s="63">
        <f t="shared" ref="K8146:K8148" si="4902">(J8146/(F8146/11*10))</f>
        <v>8.6538461538461536E-2</v>
      </c>
      <c r="L8146" s="1212" t="s">
        <v>4455</v>
      </c>
      <c r="M8146" s="468" t="s">
        <v>3835</v>
      </c>
      <c r="N8146" s="1192">
        <f t="shared" ref="N8146:N8148" si="4903">A8146</f>
        <v>45916</v>
      </c>
      <c r="O8146" s="71" t="s">
        <v>175</v>
      </c>
      <c r="P8146" s="103" t="str">
        <f t="shared" ref="P8146:P8148" si="4904">(C8146)</f>
        <v>매엽용 세척제(Wash k11)</v>
      </c>
      <c r="Q8146" s="71">
        <f t="shared" ref="Q8146:Q8148" si="4905">D8146</f>
        <v>10</v>
      </c>
      <c r="R8146" s="102">
        <v>47500</v>
      </c>
      <c r="S8146" s="102">
        <f t="shared" ref="S8146:S8148" si="4906">R8146*Q8146*1.1</f>
        <v>522500.00000000006</v>
      </c>
      <c r="T8146" s="102">
        <f t="shared" ref="T8146:T8148" si="4907">R8146*Q8146</f>
        <v>475000</v>
      </c>
      <c r="U8146" s="71"/>
      <c r="V8146" s="71"/>
      <c r="W8146" s="474"/>
      <c r="X8146" s="71"/>
      <c r="Y8146" s="71"/>
    </row>
    <row r="8147" spans="1:25" ht="30" hidden="1" customHeight="1" x14ac:dyDescent="0.25">
      <c r="A8147" s="1145">
        <v>45924</v>
      </c>
      <c r="B8147" s="664" t="s">
        <v>2261</v>
      </c>
      <c r="C8147" s="760" t="s">
        <v>181</v>
      </c>
      <c r="D8147" s="71">
        <v>5</v>
      </c>
      <c r="E8147" s="102">
        <v>193000</v>
      </c>
      <c r="F8147" s="102">
        <f t="shared" si="4899"/>
        <v>1061500</v>
      </c>
      <c r="G8147" s="102">
        <f t="shared" si="4900"/>
        <v>965000</v>
      </c>
      <c r="H8147" s="690" t="s">
        <v>2029</v>
      </c>
      <c r="I8147" s="71" t="s">
        <v>182</v>
      </c>
      <c r="J8147" s="53">
        <f t="shared" si="4901"/>
        <v>345000</v>
      </c>
      <c r="K8147" s="63">
        <f t="shared" si="4902"/>
        <v>0.35751295336787564</v>
      </c>
      <c r="L8147" s="1212" t="s">
        <v>4455</v>
      </c>
      <c r="M8147" s="468"/>
      <c r="N8147" s="1192">
        <f t="shared" si="4903"/>
        <v>45924</v>
      </c>
      <c r="O8147" s="71" t="s">
        <v>2030</v>
      </c>
      <c r="P8147" s="103" t="str">
        <f t="shared" si="4904"/>
        <v>Fount Web 551AF</v>
      </c>
      <c r="Q8147" s="71">
        <f t="shared" si="4905"/>
        <v>5</v>
      </c>
      <c r="R8147" s="102">
        <v>124000</v>
      </c>
      <c r="S8147" s="102">
        <f t="shared" si="4906"/>
        <v>682000</v>
      </c>
      <c r="T8147" s="102">
        <f t="shared" si="4907"/>
        <v>620000</v>
      </c>
      <c r="U8147" s="71"/>
      <c r="V8147" s="71"/>
      <c r="W8147" s="474">
        <v>640000</v>
      </c>
      <c r="X8147" s="71"/>
      <c r="Y8147" s="71"/>
    </row>
    <row r="8148" spans="1:25" ht="30" hidden="1" customHeight="1" x14ac:dyDescent="0.25">
      <c r="A8148" s="1145">
        <v>45924</v>
      </c>
      <c r="B8148" s="664" t="s">
        <v>2261</v>
      </c>
      <c r="C8148" s="71" t="s">
        <v>277</v>
      </c>
      <c r="D8148" s="71">
        <v>10</v>
      </c>
      <c r="E8148" s="102">
        <v>172000</v>
      </c>
      <c r="F8148" s="102">
        <f t="shared" si="4899"/>
        <v>1892000.0000000002</v>
      </c>
      <c r="G8148" s="102">
        <f t="shared" si="4900"/>
        <v>1720000</v>
      </c>
      <c r="H8148" s="690" t="s">
        <v>172</v>
      </c>
      <c r="I8148" s="71" t="s">
        <v>108</v>
      </c>
      <c r="J8148" s="53">
        <f t="shared" si="4901"/>
        <v>430000</v>
      </c>
      <c r="K8148" s="63">
        <f t="shared" si="4902"/>
        <v>0.24999999999999997</v>
      </c>
      <c r="L8148" s="1212" t="s">
        <v>4455</v>
      </c>
      <c r="M8148" s="468"/>
      <c r="N8148" s="1192">
        <f t="shared" si="4903"/>
        <v>45924</v>
      </c>
      <c r="O8148" s="71" t="s">
        <v>662</v>
      </c>
      <c r="P8148" s="103" t="str">
        <f t="shared" si="4904"/>
        <v>윤전용 세척제(Web 504)</v>
      </c>
      <c r="Q8148" s="71">
        <f t="shared" si="4905"/>
        <v>10</v>
      </c>
      <c r="R8148" s="102">
        <v>129000</v>
      </c>
      <c r="S8148" s="102">
        <f t="shared" si="4906"/>
        <v>1419000</v>
      </c>
      <c r="T8148" s="102">
        <f t="shared" si="4907"/>
        <v>1290000</v>
      </c>
      <c r="U8148" s="71"/>
      <c r="V8148" s="71"/>
      <c r="W8148" s="474"/>
      <c r="X8148" s="71"/>
      <c r="Y8148" s="71"/>
    </row>
    <row r="8149" spans="1:25" ht="30" hidden="1" customHeight="1" x14ac:dyDescent="0.25">
      <c r="A8149" s="1145">
        <v>45924</v>
      </c>
      <c r="B8149" s="664" t="s">
        <v>2261</v>
      </c>
      <c r="C8149" s="71" t="s">
        <v>3299</v>
      </c>
      <c r="D8149" s="71">
        <v>10</v>
      </c>
      <c r="E8149" s="102">
        <v>52000</v>
      </c>
      <c r="F8149" s="102">
        <f t="shared" ref="F8149:F8150" si="4908">(E8149*D8149)*1.1</f>
        <v>572000</v>
      </c>
      <c r="G8149" s="102">
        <f t="shared" ref="G8149:G8150" si="4909">(E8149*D8149)</f>
        <v>520000</v>
      </c>
      <c r="H8149" s="690" t="s">
        <v>172</v>
      </c>
      <c r="I8149" s="71" t="s">
        <v>180</v>
      </c>
      <c r="J8149" s="53">
        <f t="shared" ref="J8149:J8150" si="4910">G8149-T8149</f>
        <v>45000</v>
      </c>
      <c r="K8149" s="63">
        <f t="shared" ref="K8149:K8150" si="4911">(J8149/(F8149/11*10))</f>
        <v>8.6538461538461536E-2</v>
      </c>
      <c r="L8149" s="1212" t="s">
        <v>4455</v>
      </c>
      <c r="M8149" s="468" t="s">
        <v>3835</v>
      </c>
      <c r="N8149" s="1192">
        <f t="shared" ref="N8149:N8150" si="4912">A8149</f>
        <v>45924</v>
      </c>
      <c r="O8149" s="71" t="s">
        <v>175</v>
      </c>
      <c r="P8149" s="103" t="str">
        <f t="shared" ref="P8149:P8150" si="4913">(C8149)</f>
        <v>매엽용 세척제(Wash k11)</v>
      </c>
      <c r="Q8149" s="71">
        <f t="shared" ref="Q8149:Q8150" si="4914">D8149</f>
        <v>10</v>
      </c>
      <c r="R8149" s="102">
        <v>47500</v>
      </c>
      <c r="S8149" s="102">
        <f t="shared" ref="S8149:S8150" si="4915">R8149*Q8149*1.1</f>
        <v>522500.00000000006</v>
      </c>
      <c r="T8149" s="102">
        <f t="shared" ref="T8149:T8150" si="4916">R8149*Q8149</f>
        <v>475000</v>
      </c>
      <c r="U8149" s="71"/>
      <c r="V8149" s="71"/>
      <c r="W8149" s="474"/>
      <c r="X8149" s="71"/>
      <c r="Y8149" s="71"/>
    </row>
    <row r="8150" spans="1:25" s="209" customFormat="1" ht="31.15" hidden="1" customHeight="1" x14ac:dyDescent="0.2">
      <c r="A8150" s="1145">
        <v>45924</v>
      </c>
      <c r="B8150" s="664" t="s">
        <v>3289</v>
      </c>
      <c r="C8150" s="71" t="s">
        <v>3387</v>
      </c>
      <c r="D8150" s="71">
        <v>10</v>
      </c>
      <c r="E8150" s="102">
        <v>130000</v>
      </c>
      <c r="F8150" s="102">
        <f t="shared" si="4908"/>
        <v>1430000</v>
      </c>
      <c r="G8150" s="102">
        <f t="shared" si="4909"/>
        <v>1300000</v>
      </c>
      <c r="H8150" s="165" t="s">
        <v>172</v>
      </c>
      <c r="I8150" s="71" t="s">
        <v>184</v>
      </c>
      <c r="J8150" s="53">
        <f t="shared" si="4910"/>
        <v>180000</v>
      </c>
      <c r="K8150" s="63">
        <f t="shared" si="4911"/>
        <v>0.13846153846153847</v>
      </c>
      <c r="L8150" s="1212" t="s">
        <v>4455</v>
      </c>
      <c r="M8150" s="468"/>
      <c r="N8150" s="1192">
        <f t="shared" si="4912"/>
        <v>45924</v>
      </c>
      <c r="O8150" s="71" t="s">
        <v>189</v>
      </c>
      <c r="P8150" s="103" t="str">
        <f t="shared" si="4913"/>
        <v>Blanket(990*725)</v>
      </c>
      <c r="Q8150" s="71">
        <f t="shared" si="4914"/>
        <v>10</v>
      </c>
      <c r="R8150" s="102">
        <v>112000</v>
      </c>
      <c r="S8150" s="102">
        <f t="shared" si="4915"/>
        <v>1232000</v>
      </c>
      <c r="T8150" s="102">
        <f t="shared" si="4916"/>
        <v>1120000</v>
      </c>
      <c r="U8150" s="71"/>
      <c r="V8150" s="71"/>
      <c r="W8150" s="474">
        <v>80000</v>
      </c>
      <c r="X8150" s="71"/>
      <c r="Y8150" s="71"/>
    </row>
    <row r="8151" spans="1:25" ht="30" hidden="1" customHeight="1" x14ac:dyDescent="0.25">
      <c r="A8151" s="1145">
        <v>45929</v>
      </c>
      <c r="B8151" s="664" t="s">
        <v>2261</v>
      </c>
      <c r="C8151" s="71" t="s">
        <v>3299</v>
      </c>
      <c r="D8151" s="71">
        <v>10</v>
      </c>
      <c r="E8151" s="102">
        <v>52000</v>
      </c>
      <c r="F8151" s="102">
        <f t="shared" ref="F8151:F8152" si="4917">(E8151*D8151)*1.1</f>
        <v>572000</v>
      </c>
      <c r="G8151" s="102">
        <f t="shared" ref="G8151:G8152" si="4918">(E8151*D8151)</f>
        <v>520000</v>
      </c>
      <c r="H8151" s="690" t="s">
        <v>172</v>
      </c>
      <c r="I8151" s="71" t="s">
        <v>180</v>
      </c>
      <c r="J8151" s="53">
        <f t="shared" ref="J8151:J8153" si="4919">G8151-T8151</f>
        <v>45000</v>
      </c>
      <c r="K8151" s="63">
        <f t="shared" ref="K8151:K8153" si="4920">(J8151/(F8151/11*10))</f>
        <v>8.6538461538461536E-2</v>
      </c>
      <c r="L8151" s="1212" t="s">
        <v>4455</v>
      </c>
      <c r="M8151" s="468" t="s">
        <v>3835</v>
      </c>
      <c r="N8151" s="1192">
        <f t="shared" ref="N8151:N8153" si="4921">A8151</f>
        <v>45929</v>
      </c>
      <c r="O8151" s="71" t="s">
        <v>175</v>
      </c>
      <c r="P8151" s="103" t="str">
        <f t="shared" ref="P8151:P8153" si="4922">(C8151)</f>
        <v>매엽용 세척제(Wash k11)</v>
      </c>
      <c r="Q8151" s="71">
        <f t="shared" ref="Q8151:Q8153" si="4923">D8151</f>
        <v>10</v>
      </c>
      <c r="R8151" s="102">
        <v>47500</v>
      </c>
      <c r="S8151" s="102">
        <f t="shared" ref="S8151:S8153" si="4924">R8151*Q8151*1.1</f>
        <v>522500.00000000006</v>
      </c>
      <c r="T8151" s="102">
        <f t="shared" ref="T8151:T8153" si="4925">R8151*Q8151</f>
        <v>475000</v>
      </c>
      <c r="U8151" s="71"/>
      <c r="V8151" s="71"/>
      <c r="W8151" s="474"/>
      <c r="X8151" s="71"/>
      <c r="Y8151" s="71"/>
    </row>
    <row r="8152" spans="1:25" ht="29.45" hidden="1" customHeight="1" x14ac:dyDescent="0.25">
      <c r="A8152" s="1145">
        <v>45918</v>
      </c>
      <c r="B8152" s="664" t="s">
        <v>3296</v>
      </c>
      <c r="C8152" s="71" t="s">
        <v>3297</v>
      </c>
      <c r="D8152" s="71">
        <v>20</v>
      </c>
      <c r="E8152" s="102">
        <v>162500</v>
      </c>
      <c r="F8152" s="102">
        <f t="shared" si="4917"/>
        <v>3575000.0000000005</v>
      </c>
      <c r="G8152" s="102">
        <f t="shared" si="4918"/>
        <v>3250000</v>
      </c>
      <c r="H8152" s="690" t="s">
        <v>172</v>
      </c>
      <c r="I8152" s="71" t="s">
        <v>3295</v>
      </c>
      <c r="J8152" s="53">
        <f t="shared" si="4919"/>
        <v>850000</v>
      </c>
      <c r="K8152" s="63">
        <f t="shared" si="4920"/>
        <v>0.2615384615384615</v>
      </c>
      <c r="L8152" s="1212" t="s">
        <v>4455</v>
      </c>
      <c r="M8152" s="468"/>
      <c r="N8152" s="1192">
        <f t="shared" si="4921"/>
        <v>45918</v>
      </c>
      <c r="O8152" s="71" t="s">
        <v>662</v>
      </c>
      <c r="P8152" s="103" t="str">
        <f t="shared" si="4922"/>
        <v>실리콘 에멀전</v>
      </c>
      <c r="Q8152" s="71">
        <f t="shared" si="4923"/>
        <v>20</v>
      </c>
      <c r="R8152" s="102">
        <v>120000</v>
      </c>
      <c r="S8152" s="102">
        <f t="shared" si="4924"/>
        <v>2640000</v>
      </c>
      <c r="T8152" s="102">
        <f t="shared" si="4925"/>
        <v>2400000</v>
      </c>
      <c r="U8152" s="71"/>
      <c r="V8152" s="71"/>
      <c r="W8152" s="474"/>
      <c r="X8152" s="71"/>
      <c r="Y8152" s="71"/>
    </row>
    <row r="8153" spans="1:25" ht="30" hidden="1" customHeight="1" x14ac:dyDescent="0.2">
      <c r="A8153" s="1145">
        <v>45923</v>
      </c>
      <c r="B8153" s="664" t="s">
        <v>548</v>
      </c>
      <c r="C8153" s="71" t="s">
        <v>236</v>
      </c>
      <c r="D8153" s="71">
        <v>3</v>
      </c>
      <c r="E8153" s="102">
        <v>110000</v>
      </c>
      <c r="F8153" s="163">
        <f>(E8153*D8153)*1.1</f>
        <v>363000.00000000006</v>
      </c>
      <c r="G8153" s="102">
        <f>(E8153*D8153)</f>
        <v>330000</v>
      </c>
      <c r="H8153" s="690" t="s">
        <v>173</v>
      </c>
      <c r="I8153" s="71" t="s">
        <v>2231</v>
      </c>
      <c r="J8153" s="53">
        <f t="shared" si="4919"/>
        <v>75000</v>
      </c>
      <c r="K8153" s="63">
        <f t="shared" si="4920"/>
        <v>0.22727272727272724</v>
      </c>
      <c r="L8153" s="1212" t="s">
        <v>4455</v>
      </c>
      <c r="M8153" s="468"/>
      <c r="N8153" s="1192">
        <f t="shared" si="4921"/>
        <v>45923</v>
      </c>
      <c r="O8153" s="71" t="s">
        <v>150</v>
      </c>
      <c r="P8153" s="103" t="str">
        <f t="shared" si="4922"/>
        <v>아스테이지(국전)</v>
      </c>
      <c r="Q8153" s="71">
        <f t="shared" si="4923"/>
        <v>3</v>
      </c>
      <c r="R8153" s="102">
        <v>85000</v>
      </c>
      <c r="S8153" s="102">
        <f t="shared" si="4924"/>
        <v>280500</v>
      </c>
      <c r="T8153" s="102">
        <f t="shared" si="4925"/>
        <v>255000</v>
      </c>
      <c r="U8153" s="71"/>
      <c r="V8153" s="71"/>
      <c r="W8153" s="474"/>
      <c r="X8153" s="71"/>
      <c r="Y8153" s="71"/>
    </row>
    <row r="8154" spans="1:25" ht="30" hidden="1" customHeight="1" x14ac:dyDescent="0.25">
      <c r="A8154" s="1145">
        <v>45923</v>
      </c>
      <c r="B8154" s="664" t="s">
        <v>548</v>
      </c>
      <c r="C8154" s="71" t="s">
        <v>3384</v>
      </c>
      <c r="D8154" s="71">
        <v>400</v>
      </c>
      <c r="E8154" s="102">
        <v>550</v>
      </c>
      <c r="F8154" s="102">
        <f>(E8154*D8154)*1.1</f>
        <v>242000.00000000003</v>
      </c>
      <c r="G8154" s="102">
        <f>(E8154*D8154)</f>
        <v>220000</v>
      </c>
      <c r="H8154" s="690" t="s">
        <v>2029</v>
      </c>
      <c r="I8154" s="71" t="s">
        <v>3385</v>
      </c>
      <c r="J8154" s="53">
        <f t="shared" ref="J8154" si="4926">G8154-T8154</f>
        <v>92000</v>
      </c>
      <c r="K8154" s="63">
        <f t="shared" ref="K8154:K8162" si="4927">(J8154/(F8154/11*10))</f>
        <v>0.4181818181818181</v>
      </c>
      <c r="L8154" s="1212" t="s">
        <v>4455</v>
      </c>
      <c r="M8154" s="468"/>
      <c r="N8154" s="1192">
        <f t="shared" ref="N8154:N8163" si="4928">A8154</f>
        <v>45923</v>
      </c>
      <c r="O8154" s="71" t="s">
        <v>2030</v>
      </c>
      <c r="P8154" s="103" t="str">
        <f t="shared" ref="P8154:P8163" si="4929">(C8154)</f>
        <v>고무사카 빨간색</v>
      </c>
      <c r="Q8154" s="71">
        <f t="shared" ref="Q8154:Q8163" si="4930">D8154</f>
        <v>400</v>
      </c>
      <c r="R8154" s="102">
        <v>320</v>
      </c>
      <c r="S8154" s="102">
        <f t="shared" ref="S8154:S8163" si="4931">R8154*Q8154*1.1</f>
        <v>140800</v>
      </c>
      <c r="T8154" s="102">
        <f t="shared" ref="T8154:T8163" si="4932">R8154*Q8154</f>
        <v>128000</v>
      </c>
      <c r="U8154" s="71"/>
      <c r="V8154" s="71"/>
      <c r="W8154" s="474"/>
      <c r="X8154" s="71"/>
      <c r="Y8154" s="71"/>
    </row>
    <row r="8155" spans="1:25" ht="30" hidden="1" customHeight="1" x14ac:dyDescent="0.25">
      <c r="A8155" s="1145">
        <v>45896</v>
      </c>
      <c r="B8155" s="664" t="s">
        <v>442</v>
      </c>
      <c r="C8155" s="71" t="s">
        <v>4457</v>
      </c>
      <c r="D8155" s="71">
        <v>1</v>
      </c>
      <c r="E8155" s="102">
        <v>108000</v>
      </c>
      <c r="F8155" s="102">
        <f>(E8155*D8155)*1.1</f>
        <v>118800.00000000001</v>
      </c>
      <c r="G8155" s="102">
        <f>(E8155*D8155)</f>
        <v>108000</v>
      </c>
      <c r="H8155" s="690" t="s">
        <v>2029</v>
      </c>
      <c r="I8155" s="71" t="s">
        <v>120</v>
      </c>
      <c r="J8155" s="53">
        <f>G8155-T8155-32175</f>
        <v>17825</v>
      </c>
      <c r="K8155" s="63">
        <f t="shared" ref="K8155" si="4933">(J8155/(F8155/11*10))</f>
        <v>0.16504629629629627</v>
      </c>
      <c r="L8155" s="1212" t="s">
        <v>4455</v>
      </c>
      <c r="M8155" s="102"/>
      <c r="N8155" s="1192">
        <f t="shared" si="4928"/>
        <v>45896</v>
      </c>
      <c r="O8155" s="71" t="s">
        <v>153</v>
      </c>
      <c r="P8155" s="103" t="str">
        <f t="shared" si="4929"/>
        <v>고농도 습수약물 DM-220</v>
      </c>
      <c r="Q8155" s="71">
        <f t="shared" si="4930"/>
        <v>1</v>
      </c>
      <c r="R8155" s="102">
        <v>58000</v>
      </c>
      <c r="S8155" s="102">
        <f t="shared" si="4931"/>
        <v>63800.000000000007</v>
      </c>
      <c r="T8155" s="102">
        <f t="shared" si="4932"/>
        <v>58000</v>
      </c>
      <c r="U8155" s="71"/>
      <c r="V8155" s="71"/>
      <c r="W8155" s="474"/>
      <c r="X8155" s="71"/>
      <c r="Y8155" s="71"/>
    </row>
    <row r="8156" spans="1:25" ht="30" hidden="1" customHeight="1" x14ac:dyDescent="0.25">
      <c r="A8156" s="1145">
        <v>45903</v>
      </c>
      <c r="B8156" s="664" t="s">
        <v>442</v>
      </c>
      <c r="C8156" s="71" t="s">
        <v>4458</v>
      </c>
      <c r="D8156" s="71">
        <v>5</v>
      </c>
      <c r="E8156" s="102">
        <v>172000</v>
      </c>
      <c r="F8156" s="102">
        <f>(E8156*D8156)*1.1</f>
        <v>946000.00000000012</v>
      </c>
      <c r="G8156" s="102">
        <f>(E8156*D8156)</f>
        <v>860000</v>
      </c>
      <c r="H8156" s="690" t="s">
        <v>2029</v>
      </c>
      <c r="I8156" s="71" t="s">
        <v>120</v>
      </c>
      <c r="J8156" s="53">
        <f t="shared" ref="J8156:J8164" si="4934">G8156-T8156-U8156</f>
        <v>342825</v>
      </c>
      <c r="K8156" s="63">
        <f t="shared" si="4927"/>
        <v>0.39863372093023253</v>
      </c>
      <c r="L8156" s="1212" t="s">
        <v>4455</v>
      </c>
      <c r="M8156" s="102" t="s">
        <v>4465</v>
      </c>
      <c r="N8156" s="1192">
        <f t="shared" si="4928"/>
        <v>45903</v>
      </c>
      <c r="O8156" s="71" t="s">
        <v>150</v>
      </c>
      <c r="P8156" s="103" t="str">
        <f t="shared" si="4929"/>
        <v>습수 약물</v>
      </c>
      <c r="Q8156" s="71">
        <f t="shared" si="4930"/>
        <v>5</v>
      </c>
      <c r="R8156" s="147">
        <v>97000</v>
      </c>
      <c r="S8156" s="102">
        <f t="shared" si="4931"/>
        <v>533500</v>
      </c>
      <c r="T8156" s="102">
        <f t="shared" si="4932"/>
        <v>485000</v>
      </c>
      <c r="U8156" s="71">
        <v>32175</v>
      </c>
      <c r="V8156" s="71"/>
      <c r="W8156" s="474"/>
      <c r="X8156" s="71"/>
      <c r="Y8156" s="71"/>
    </row>
    <row r="8157" spans="1:25" s="209" customFormat="1" ht="30" hidden="1" customHeight="1" x14ac:dyDescent="0.25">
      <c r="A8157" s="1145">
        <v>45909</v>
      </c>
      <c r="B8157" s="664" t="s">
        <v>442</v>
      </c>
      <c r="C8157" s="71" t="s">
        <v>3833</v>
      </c>
      <c r="D8157" s="71">
        <v>1000</v>
      </c>
      <c r="E8157" s="102">
        <v>3850</v>
      </c>
      <c r="F8157" s="102">
        <f t="shared" ref="F8157:F8163" si="4935">(E8157*D8157)*1.1</f>
        <v>4235000</v>
      </c>
      <c r="G8157" s="102">
        <f t="shared" ref="G8157:G8163" si="4936">(E8157*D8157)</f>
        <v>3850000</v>
      </c>
      <c r="H8157" s="690" t="s">
        <v>2029</v>
      </c>
      <c r="I8157" s="71" t="s">
        <v>2230</v>
      </c>
      <c r="J8157" s="53">
        <f t="shared" si="4934"/>
        <v>290000</v>
      </c>
      <c r="K8157" s="63">
        <f t="shared" si="4927"/>
        <v>7.5324675324675322E-2</v>
      </c>
      <c r="L8157" s="1212" t="s">
        <v>4455</v>
      </c>
      <c r="M8157" s="468" t="s">
        <v>3080</v>
      </c>
      <c r="N8157" s="1192">
        <f t="shared" si="4928"/>
        <v>45909</v>
      </c>
      <c r="O8157" s="71" t="s">
        <v>2030</v>
      </c>
      <c r="P8157" s="103" t="str">
        <f t="shared" si="4929"/>
        <v>CTP 판 1030*790</v>
      </c>
      <c r="Q8157" s="71">
        <f t="shared" si="4930"/>
        <v>1000</v>
      </c>
      <c r="R8157" s="102">
        <v>3450</v>
      </c>
      <c r="S8157" s="102">
        <f t="shared" si="4931"/>
        <v>3795000.0000000005</v>
      </c>
      <c r="T8157" s="102">
        <f t="shared" si="4932"/>
        <v>3450000</v>
      </c>
      <c r="U8157" s="71">
        <v>110000</v>
      </c>
      <c r="V8157" s="71"/>
      <c r="W8157" s="474"/>
      <c r="X8157" s="71"/>
      <c r="Y8157" s="71"/>
    </row>
    <row r="8158" spans="1:25" ht="30" hidden="1" customHeight="1" x14ac:dyDescent="0.25">
      <c r="A8158" s="1145">
        <v>45909</v>
      </c>
      <c r="B8158" s="664" t="s">
        <v>442</v>
      </c>
      <c r="C8158" s="71" t="s">
        <v>3834</v>
      </c>
      <c r="D8158" s="71">
        <v>8</v>
      </c>
      <c r="E8158" s="102">
        <v>57000</v>
      </c>
      <c r="F8158" s="102">
        <f t="shared" si="4935"/>
        <v>501600.00000000006</v>
      </c>
      <c r="G8158" s="102">
        <f t="shared" si="4936"/>
        <v>456000</v>
      </c>
      <c r="H8158" s="690" t="s">
        <v>2029</v>
      </c>
      <c r="I8158" s="71" t="s">
        <v>2230</v>
      </c>
      <c r="J8158" s="53">
        <f t="shared" si="4934"/>
        <v>115112</v>
      </c>
      <c r="K8158" s="63">
        <f t="shared" si="4927"/>
        <v>0.25243859649122802</v>
      </c>
      <c r="L8158" s="1212" t="s">
        <v>4455</v>
      </c>
      <c r="M8158" s="468"/>
      <c r="N8158" s="1192">
        <f t="shared" si="4928"/>
        <v>45909</v>
      </c>
      <c r="O8158" s="71" t="s">
        <v>2030</v>
      </c>
      <c r="P8158" s="103" t="str">
        <f t="shared" si="4929"/>
        <v>CTP 현상액</v>
      </c>
      <c r="Q8158" s="71">
        <f t="shared" si="4930"/>
        <v>8</v>
      </c>
      <c r="R8158" s="102">
        <v>42611</v>
      </c>
      <c r="S8158" s="102">
        <f t="shared" si="4931"/>
        <v>374976.80000000005</v>
      </c>
      <c r="T8158" s="102">
        <f t="shared" si="4932"/>
        <v>340888</v>
      </c>
      <c r="U8158" s="71"/>
      <c r="V8158" s="71"/>
      <c r="W8158" s="474"/>
      <c r="X8158" s="71"/>
      <c r="Y8158" s="71"/>
    </row>
    <row r="8159" spans="1:25" ht="30" hidden="1" customHeight="1" x14ac:dyDescent="0.25">
      <c r="A8159" s="1145">
        <v>45919</v>
      </c>
      <c r="B8159" s="664" t="s">
        <v>442</v>
      </c>
      <c r="C8159" s="71" t="s">
        <v>3299</v>
      </c>
      <c r="D8159" s="71">
        <v>25</v>
      </c>
      <c r="E8159" s="102">
        <v>69000</v>
      </c>
      <c r="F8159" s="102">
        <f t="shared" si="4935"/>
        <v>1897500.0000000002</v>
      </c>
      <c r="G8159" s="102">
        <f t="shared" si="4936"/>
        <v>1725000</v>
      </c>
      <c r="H8159" s="690" t="s">
        <v>172</v>
      </c>
      <c r="I8159" s="71" t="s">
        <v>180</v>
      </c>
      <c r="J8159" s="53">
        <f t="shared" si="4934"/>
        <v>537500</v>
      </c>
      <c r="K8159" s="63">
        <f t="shared" si="4927"/>
        <v>0.31159420289855067</v>
      </c>
      <c r="L8159" s="1212" t="s">
        <v>4455</v>
      </c>
      <c r="M8159" s="468" t="s">
        <v>3304</v>
      </c>
      <c r="N8159" s="1192">
        <f t="shared" si="4928"/>
        <v>45919</v>
      </c>
      <c r="O8159" s="71" t="s">
        <v>175</v>
      </c>
      <c r="P8159" s="103" t="str">
        <f t="shared" si="4929"/>
        <v>매엽용 세척제(Wash k11)</v>
      </c>
      <c r="Q8159" s="71">
        <f t="shared" si="4930"/>
        <v>25</v>
      </c>
      <c r="R8159" s="102">
        <v>47500</v>
      </c>
      <c r="S8159" s="102">
        <f t="shared" si="4931"/>
        <v>1306250</v>
      </c>
      <c r="T8159" s="102">
        <f t="shared" si="4932"/>
        <v>1187500</v>
      </c>
      <c r="U8159" s="71"/>
      <c r="V8159" s="71"/>
      <c r="W8159" s="474"/>
      <c r="X8159" s="71"/>
      <c r="Y8159" s="71"/>
    </row>
    <row r="8160" spans="1:25" ht="30" hidden="1" customHeight="1" x14ac:dyDescent="0.25">
      <c r="A8160" s="1145">
        <v>45924</v>
      </c>
      <c r="B8160" s="664" t="s">
        <v>442</v>
      </c>
      <c r="C8160" s="71" t="s">
        <v>206</v>
      </c>
      <c r="D8160" s="71">
        <v>2</v>
      </c>
      <c r="E8160" s="102">
        <v>725840</v>
      </c>
      <c r="F8160" s="102">
        <f t="shared" si="4935"/>
        <v>1596848.0000000002</v>
      </c>
      <c r="G8160" s="102">
        <f t="shared" si="4936"/>
        <v>1451680</v>
      </c>
      <c r="H8160" s="690" t="s">
        <v>2029</v>
      </c>
      <c r="I8160" s="71" t="s">
        <v>195</v>
      </c>
      <c r="J8160" s="53">
        <f t="shared" si="4934"/>
        <v>573260</v>
      </c>
      <c r="K8160" s="63">
        <f t="shared" si="4927"/>
        <v>0.39489419155736794</v>
      </c>
      <c r="L8160" s="1212" t="s">
        <v>4455</v>
      </c>
      <c r="M8160" s="468"/>
      <c r="N8160" s="1192">
        <f t="shared" si="4928"/>
        <v>45924</v>
      </c>
      <c r="O8160" s="71" t="s">
        <v>4245</v>
      </c>
      <c r="P8160" s="103" t="str">
        <f t="shared" si="4929"/>
        <v>Agfa Film(24inch)</v>
      </c>
      <c r="Q8160" s="71">
        <f t="shared" si="4930"/>
        <v>2</v>
      </c>
      <c r="R8160" s="102">
        <v>439210</v>
      </c>
      <c r="S8160" s="102">
        <f t="shared" si="4931"/>
        <v>966262.00000000012</v>
      </c>
      <c r="T8160" s="102">
        <f t="shared" si="4932"/>
        <v>878420</v>
      </c>
      <c r="U8160" s="71"/>
      <c r="V8160" s="71"/>
      <c r="W8160" s="474">
        <v>144640</v>
      </c>
      <c r="X8160" s="71"/>
      <c r="Y8160" s="71"/>
    </row>
    <row r="8161" spans="1:25" ht="30" hidden="1" customHeight="1" x14ac:dyDescent="0.25">
      <c r="A8161" s="1145">
        <v>45924</v>
      </c>
      <c r="B8161" s="664" t="s">
        <v>442</v>
      </c>
      <c r="C8161" s="71" t="s">
        <v>207</v>
      </c>
      <c r="D8161" s="71">
        <v>2</v>
      </c>
      <c r="E8161" s="102">
        <v>894080</v>
      </c>
      <c r="F8161" s="102">
        <f t="shared" si="4935"/>
        <v>1966976.0000000002</v>
      </c>
      <c r="G8161" s="102">
        <f t="shared" si="4936"/>
        <v>1788160</v>
      </c>
      <c r="H8161" s="690" t="s">
        <v>2029</v>
      </c>
      <c r="I8161" s="71" t="s">
        <v>195</v>
      </c>
      <c r="J8161" s="53">
        <f t="shared" si="4934"/>
        <v>790120</v>
      </c>
      <c r="K8161" s="63">
        <f t="shared" si="4927"/>
        <v>0.44186202576950601</v>
      </c>
      <c r="L8161" s="1212" t="s">
        <v>4455</v>
      </c>
      <c r="M8161" s="468"/>
      <c r="N8161" s="1192">
        <f t="shared" si="4928"/>
        <v>45924</v>
      </c>
      <c r="O8161" s="71" t="s">
        <v>4245</v>
      </c>
      <c r="P8161" s="103" t="str">
        <f t="shared" si="4929"/>
        <v>Agfa Film(28inch)</v>
      </c>
      <c r="Q8161" s="71">
        <f t="shared" si="4930"/>
        <v>2</v>
      </c>
      <c r="R8161" s="102">
        <v>499020</v>
      </c>
      <c r="S8161" s="102">
        <f t="shared" si="4931"/>
        <v>1097844</v>
      </c>
      <c r="T8161" s="102">
        <f t="shared" si="4932"/>
        <v>998040</v>
      </c>
      <c r="U8161" s="71"/>
      <c r="V8161" s="71"/>
      <c r="W8161" s="474"/>
      <c r="X8161" s="71"/>
      <c r="Y8161" s="71"/>
    </row>
    <row r="8162" spans="1:25" ht="30" hidden="1" customHeight="1" x14ac:dyDescent="0.25">
      <c r="A8162" s="1145">
        <v>45924</v>
      </c>
      <c r="B8162" s="664" t="s">
        <v>442</v>
      </c>
      <c r="C8162" s="71" t="s">
        <v>208</v>
      </c>
      <c r="D8162" s="71">
        <v>3</v>
      </c>
      <c r="E8162" s="102">
        <v>999840</v>
      </c>
      <c r="F8162" s="102">
        <f t="shared" si="4935"/>
        <v>3299472.0000000005</v>
      </c>
      <c r="G8162" s="102">
        <f t="shared" si="4936"/>
        <v>2999520</v>
      </c>
      <c r="H8162" s="690" t="s">
        <v>2029</v>
      </c>
      <c r="I8162" s="71" t="s">
        <v>195</v>
      </c>
      <c r="J8162" s="53">
        <f t="shared" si="4934"/>
        <v>1188990</v>
      </c>
      <c r="K8162" s="63">
        <f t="shared" si="4927"/>
        <v>0.39639342294767155</v>
      </c>
      <c r="L8162" s="1212" t="s">
        <v>4455</v>
      </c>
      <c r="M8162" s="468"/>
      <c r="N8162" s="1192">
        <f t="shared" si="4928"/>
        <v>45924</v>
      </c>
      <c r="O8162" s="71" t="s">
        <v>4245</v>
      </c>
      <c r="P8162" s="103" t="str">
        <f t="shared" si="4929"/>
        <v>Agfa Film(32inch)</v>
      </c>
      <c r="Q8162" s="71">
        <f t="shared" si="4930"/>
        <v>3</v>
      </c>
      <c r="R8162" s="102">
        <v>603510</v>
      </c>
      <c r="S8162" s="102">
        <f t="shared" si="4931"/>
        <v>1991583.0000000002</v>
      </c>
      <c r="T8162" s="102">
        <f t="shared" si="4932"/>
        <v>1810530</v>
      </c>
      <c r="U8162" s="71"/>
      <c r="V8162" s="71"/>
      <c r="W8162" s="474">
        <v>201820</v>
      </c>
      <c r="X8162" s="71"/>
      <c r="Y8162" s="71"/>
    </row>
    <row r="8163" spans="1:25" ht="30" hidden="1" customHeight="1" x14ac:dyDescent="0.2">
      <c r="A8163" s="1145">
        <v>45924</v>
      </c>
      <c r="B8163" s="664" t="s">
        <v>442</v>
      </c>
      <c r="C8163" s="71" t="s">
        <v>4459</v>
      </c>
      <c r="D8163" s="71">
        <v>4</v>
      </c>
      <c r="E8163" s="102">
        <v>125000</v>
      </c>
      <c r="F8163" s="102">
        <f t="shared" si="4935"/>
        <v>550000</v>
      </c>
      <c r="G8163" s="102">
        <f t="shared" si="4936"/>
        <v>500000</v>
      </c>
      <c r="H8163" s="165" t="s">
        <v>172</v>
      </c>
      <c r="I8163" s="71" t="s">
        <v>195</v>
      </c>
      <c r="J8163" s="53">
        <f t="shared" si="4934"/>
        <v>126520</v>
      </c>
      <c r="K8163" s="63">
        <f t="shared" ref="K8163" si="4937">(J8163/(F8163/11*10))</f>
        <v>0.25303999999999999</v>
      </c>
      <c r="L8163" s="1212" t="s">
        <v>4455</v>
      </c>
      <c r="M8163" s="102"/>
      <c r="N8163" s="1192">
        <f t="shared" si="4928"/>
        <v>45924</v>
      </c>
      <c r="O8163" s="71" t="s">
        <v>4245</v>
      </c>
      <c r="P8163" s="103" t="str">
        <f t="shared" si="4929"/>
        <v>필름 현상액(20L, 10L*2)</v>
      </c>
      <c r="Q8163" s="71">
        <f t="shared" si="4930"/>
        <v>4</v>
      </c>
      <c r="R8163" s="102">
        <v>93370</v>
      </c>
      <c r="S8163" s="102">
        <f t="shared" si="4931"/>
        <v>410828.00000000006</v>
      </c>
      <c r="T8163" s="102">
        <f t="shared" si="4932"/>
        <v>373480</v>
      </c>
      <c r="U8163" s="71"/>
      <c r="V8163" s="71"/>
      <c r="W8163" s="474"/>
      <c r="X8163" s="71"/>
      <c r="Y8163" s="71"/>
    </row>
    <row r="8164" spans="1:25" s="209" customFormat="1" ht="30" hidden="1" customHeight="1" x14ac:dyDescent="0.25">
      <c r="A8164" s="1145">
        <v>45924</v>
      </c>
      <c r="B8164" s="664" t="s">
        <v>442</v>
      </c>
      <c r="C8164" s="71" t="s">
        <v>3833</v>
      </c>
      <c r="D8164" s="71">
        <v>1000</v>
      </c>
      <c r="E8164" s="102">
        <v>3850</v>
      </c>
      <c r="F8164" s="102">
        <f t="shared" ref="F8164:F8166" si="4938">(E8164*D8164)*1.1</f>
        <v>4235000</v>
      </c>
      <c r="G8164" s="102">
        <f t="shared" ref="G8164:G8166" si="4939">(E8164*D8164)</f>
        <v>3850000</v>
      </c>
      <c r="H8164" s="690" t="s">
        <v>2029</v>
      </c>
      <c r="I8164" s="71" t="s">
        <v>2230</v>
      </c>
      <c r="J8164" s="53">
        <f t="shared" si="4934"/>
        <v>290000</v>
      </c>
      <c r="K8164" s="63">
        <f t="shared" ref="K8164:K8165" si="4940">(J8164/(F8164/11*10))</f>
        <v>7.5324675324675322E-2</v>
      </c>
      <c r="L8164" s="1212" t="s">
        <v>4455</v>
      </c>
      <c r="M8164" s="468" t="s">
        <v>3080</v>
      </c>
      <c r="N8164" s="1192">
        <f t="shared" ref="N8164:N8167" si="4941">A8164</f>
        <v>45924</v>
      </c>
      <c r="O8164" s="71" t="s">
        <v>2030</v>
      </c>
      <c r="P8164" s="103" t="str">
        <f t="shared" ref="P8164:P8167" si="4942">(C8164)</f>
        <v>CTP 판 1030*790</v>
      </c>
      <c r="Q8164" s="71">
        <f t="shared" ref="Q8164:Q8167" si="4943">D8164</f>
        <v>1000</v>
      </c>
      <c r="R8164" s="102">
        <v>3450</v>
      </c>
      <c r="S8164" s="102">
        <f t="shared" ref="S8164:S8165" si="4944">R8164*Q8164*1.1</f>
        <v>3795000.0000000005</v>
      </c>
      <c r="T8164" s="102">
        <f t="shared" ref="T8164:T8165" si="4945">R8164*Q8164</f>
        <v>3450000</v>
      </c>
      <c r="U8164" s="71">
        <v>110000</v>
      </c>
      <c r="V8164" s="71"/>
      <c r="W8164" s="474"/>
      <c r="X8164" s="71"/>
      <c r="Y8164" s="71"/>
    </row>
    <row r="8165" spans="1:25" ht="30" hidden="1" customHeight="1" x14ac:dyDescent="0.25">
      <c r="A8165" s="1145">
        <v>45924</v>
      </c>
      <c r="B8165" s="664" t="s">
        <v>442</v>
      </c>
      <c r="C8165" s="71" t="s">
        <v>3834</v>
      </c>
      <c r="D8165" s="71">
        <v>6</v>
      </c>
      <c r="E8165" s="102">
        <v>57000</v>
      </c>
      <c r="F8165" s="102">
        <f t="shared" si="4938"/>
        <v>376200.00000000006</v>
      </c>
      <c r="G8165" s="102">
        <f t="shared" si="4939"/>
        <v>342000</v>
      </c>
      <c r="H8165" s="690" t="s">
        <v>2029</v>
      </c>
      <c r="I8165" s="71" t="s">
        <v>2230</v>
      </c>
      <c r="J8165" s="53">
        <f t="shared" ref="J8165" si="4946">G8165-T8165</f>
        <v>86334</v>
      </c>
      <c r="K8165" s="63">
        <f t="shared" si="4940"/>
        <v>0.25243859649122802</v>
      </c>
      <c r="L8165" s="1212" t="s">
        <v>4455</v>
      </c>
      <c r="M8165" s="468"/>
      <c r="N8165" s="1192">
        <f t="shared" si="4941"/>
        <v>45924</v>
      </c>
      <c r="O8165" s="71" t="s">
        <v>2030</v>
      </c>
      <c r="P8165" s="103" t="str">
        <f t="shared" si="4942"/>
        <v>CTP 현상액</v>
      </c>
      <c r="Q8165" s="71">
        <f t="shared" si="4943"/>
        <v>6</v>
      </c>
      <c r="R8165" s="102">
        <v>42611</v>
      </c>
      <c r="S8165" s="102">
        <f t="shared" si="4944"/>
        <v>281232.60000000003</v>
      </c>
      <c r="T8165" s="102">
        <f t="shared" si="4945"/>
        <v>255666</v>
      </c>
      <c r="U8165" s="71"/>
      <c r="V8165" s="71"/>
      <c r="W8165" s="474"/>
      <c r="X8165" s="71"/>
      <c r="Y8165" s="71"/>
    </row>
    <row r="8166" spans="1:25" ht="30" hidden="1" customHeight="1" x14ac:dyDescent="0.25">
      <c r="A8166" s="1145">
        <v>45910</v>
      </c>
      <c r="B8166" s="664" t="s">
        <v>26</v>
      </c>
      <c r="C8166" s="71" t="s">
        <v>2087</v>
      </c>
      <c r="D8166" s="71">
        <v>5</v>
      </c>
      <c r="E8166" s="102">
        <v>65000</v>
      </c>
      <c r="F8166" s="102">
        <f t="shared" si="4938"/>
        <v>357500</v>
      </c>
      <c r="G8166" s="102">
        <f t="shared" si="4939"/>
        <v>325000</v>
      </c>
      <c r="H8166" s="690" t="s">
        <v>172</v>
      </c>
      <c r="I8166" s="71" t="s">
        <v>3295</v>
      </c>
      <c r="J8166" s="53">
        <v>75000</v>
      </c>
      <c r="K8166" s="63">
        <v>0.23076923076923078</v>
      </c>
      <c r="L8166" s="1212" t="s">
        <v>4455</v>
      </c>
      <c r="M8166" s="468"/>
      <c r="N8166" s="1192">
        <f t="shared" si="4941"/>
        <v>45910</v>
      </c>
      <c r="O8166" s="71" t="s">
        <v>149</v>
      </c>
      <c r="P8166" s="103" t="str">
        <f t="shared" si="4942"/>
        <v>아스테이지(국전)</v>
      </c>
      <c r="Q8166" s="71">
        <f t="shared" si="4943"/>
        <v>5</v>
      </c>
      <c r="R8166" s="102">
        <v>50000</v>
      </c>
      <c r="S8166" s="102">
        <v>275000</v>
      </c>
      <c r="T8166" s="102">
        <v>250000</v>
      </c>
      <c r="U8166" s="71"/>
      <c r="V8166" s="71"/>
      <c r="W8166" s="474">
        <v>150000</v>
      </c>
      <c r="X8166" s="71"/>
      <c r="Y8166" s="71"/>
    </row>
    <row r="8167" spans="1:25" s="209" customFormat="1" ht="30" hidden="1" customHeight="1" x14ac:dyDescent="0.25">
      <c r="A8167" s="1145">
        <v>45916</v>
      </c>
      <c r="B8167" s="664" t="s">
        <v>567</v>
      </c>
      <c r="C8167" s="71" t="s">
        <v>123</v>
      </c>
      <c r="D8167" s="71">
        <v>10</v>
      </c>
      <c r="E8167" s="102">
        <v>50000</v>
      </c>
      <c r="F8167" s="102">
        <f t="shared" ref="F8167" si="4947">(E8167*D8167)*1.1</f>
        <v>550000</v>
      </c>
      <c r="G8167" s="102">
        <f t="shared" ref="G8167" si="4948">(E8167*D8167)</f>
        <v>500000</v>
      </c>
      <c r="H8167" s="690" t="s">
        <v>94</v>
      </c>
      <c r="I8167" s="71" t="s">
        <v>94</v>
      </c>
      <c r="J8167" s="53">
        <f t="shared" ref="J8167" si="4949">G8167-T8167</f>
        <v>260000</v>
      </c>
      <c r="K8167" s="63">
        <f t="shared" ref="K8167" si="4950">(J8167/(F8167/11*10))</f>
        <v>0.52</v>
      </c>
      <c r="L8167" s="1212" t="s">
        <v>4455</v>
      </c>
      <c r="M8167" s="468"/>
      <c r="N8167" s="1192">
        <f t="shared" si="4941"/>
        <v>45916</v>
      </c>
      <c r="O8167" s="71" t="s">
        <v>94</v>
      </c>
      <c r="P8167" s="103" t="str">
        <f t="shared" si="4942"/>
        <v>필터백</v>
      </c>
      <c r="Q8167" s="71">
        <f t="shared" si="4943"/>
        <v>10</v>
      </c>
      <c r="R8167" s="102">
        <v>24000</v>
      </c>
      <c r="S8167" s="102">
        <f t="shared" ref="S8167" si="4951">R8167*Q8167*1.1</f>
        <v>264000</v>
      </c>
      <c r="T8167" s="102">
        <f t="shared" ref="T8167" si="4952">R8167*Q8167</f>
        <v>240000</v>
      </c>
      <c r="U8167" s="71"/>
      <c r="V8167" s="71"/>
      <c r="W8167" s="474"/>
      <c r="X8167" s="71"/>
      <c r="Y8167" s="71"/>
    </row>
    <row r="8168" spans="1:25" ht="30" hidden="1" customHeight="1" x14ac:dyDescent="0.25">
      <c r="A8168" s="1145">
        <v>45924</v>
      </c>
      <c r="B8168" s="664" t="s">
        <v>26</v>
      </c>
      <c r="C8168" s="71" t="s">
        <v>2087</v>
      </c>
      <c r="D8168" s="71">
        <v>5</v>
      </c>
      <c r="E8168" s="102">
        <v>65000</v>
      </c>
      <c r="F8168" s="102">
        <f t="shared" ref="F8168:F8169" si="4953">(E8168*D8168)*1.1</f>
        <v>357500</v>
      </c>
      <c r="G8168" s="102">
        <f t="shared" ref="G8168:G8169" si="4954">(E8168*D8168)</f>
        <v>325000</v>
      </c>
      <c r="H8168" s="690" t="s">
        <v>172</v>
      </c>
      <c r="I8168" s="71" t="s">
        <v>3295</v>
      </c>
      <c r="J8168" s="53">
        <v>75000</v>
      </c>
      <c r="K8168" s="63">
        <v>0.23076923076923078</v>
      </c>
      <c r="L8168" s="1212" t="s">
        <v>4455</v>
      </c>
      <c r="M8168" s="468"/>
      <c r="N8168" s="1192">
        <f t="shared" ref="N8168" si="4955">A8168</f>
        <v>45924</v>
      </c>
      <c r="O8168" s="71" t="s">
        <v>149</v>
      </c>
      <c r="P8168" s="103" t="str">
        <f t="shared" ref="P8168:P8170" si="4956">(C8168)</f>
        <v>아스테이지(국전)</v>
      </c>
      <c r="Q8168" s="71">
        <f t="shared" ref="Q8168:Q8170" si="4957">D8168</f>
        <v>5</v>
      </c>
      <c r="R8168" s="102">
        <v>50000</v>
      </c>
      <c r="S8168" s="102">
        <v>275000</v>
      </c>
      <c r="T8168" s="102">
        <v>250000</v>
      </c>
      <c r="U8168" s="71"/>
      <c r="V8168" s="71"/>
      <c r="W8168" s="474">
        <v>150000</v>
      </c>
      <c r="X8168" s="71"/>
      <c r="Y8168" s="71"/>
    </row>
    <row r="8169" spans="1:25" ht="30" hidden="1" customHeight="1" x14ac:dyDescent="0.25">
      <c r="A8169" s="1145"/>
      <c r="B8169" s="664" t="s">
        <v>2103</v>
      </c>
      <c r="C8169" s="71" t="s">
        <v>3667</v>
      </c>
      <c r="D8169" s="71">
        <v>1835</v>
      </c>
      <c r="E8169" s="102">
        <v>1700</v>
      </c>
      <c r="F8169" s="102">
        <f t="shared" si="4953"/>
        <v>3431450.0000000005</v>
      </c>
      <c r="G8169" s="102">
        <f t="shared" si="4954"/>
        <v>3119500</v>
      </c>
      <c r="H8169" s="690" t="s">
        <v>2029</v>
      </c>
      <c r="I8169" s="71" t="s">
        <v>2230</v>
      </c>
      <c r="J8169" s="53"/>
      <c r="K8169" s="63"/>
      <c r="L8169" s="1212" t="s">
        <v>4455</v>
      </c>
      <c r="M8169" s="468"/>
      <c r="N8169" s="1192"/>
      <c r="O8169" s="71"/>
      <c r="P8169" s="103" t="str">
        <f t="shared" si="4956"/>
        <v>폐판</v>
      </c>
      <c r="Q8169" s="71">
        <f t="shared" si="4957"/>
        <v>1835</v>
      </c>
      <c r="R8169" s="147"/>
      <c r="S8169" s="102">
        <f t="shared" ref="S8169:S8170" si="4958">R8169*Q8169*1.1</f>
        <v>0</v>
      </c>
      <c r="T8169" s="102">
        <f t="shared" ref="T8169:T8170" si="4959">R8169*Q8169</f>
        <v>0</v>
      </c>
      <c r="U8169" s="71"/>
      <c r="V8169" s="71"/>
      <c r="W8169" s="474"/>
      <c r="X8169" s="71"/>
      <c r="Y8169" s="71"/>
    </row>
    <row r="8170" spans="1:25" s="209" customFormat="1" ht="30" hidden="1" customHeight="1" x14ac:dyDescent="0.25">
      <c r="A8170" s="1145">
        <v>45925</v>
      </c>
      <c r="B8170" s="664" t="s">
        <v>411</v>
      </c>
      <c r="C8170" s="71" t="s">
        <v>3413</v>
      </c>
      <c r="D8170" s="71">
        <v>10</v>
      </c>
      <c r="E8170" s="102">
        <v>90000</v>
      </c>
      <c r="F8170" s="102">
        <f t="shared" ref="F8170" si="4960">(E8170*D8170)*1.1</f>
        <v>990000.00000000012</v>
      </c>
      <c r="G8170" s="102">
        <f t="shared" ref="G8170" si="4961">(E8170*D8170)</f>
        <v>900000</v>
      </c>
      <c r="H8170" s="690" t="s">
        <v>2029</v>
      </c>
      <c r="I8170" s="71" t="s">
        <v>3385</v>
      </c>
      <c r="J8170" s="53">
        <f t="shared" ref="J8170" si="4962">G8170-T8170</f>
        <v>400000</v>
      </c>
      <c r="K8170" s="63">
        <f t="shared" ref="K8170" si="4963">(J8170/(F8170/11*10))</f>
        <v>0.44444444444444436</v>
      </c>
      <c r="L8170" s="1212" t="s">
        <v>4455</v>
      </c>
      <c r="M8170" s="468"/>
      <c r="N8170" s="1192">
        <f t="shared" ref="N8170" si="4964">A8170</f>
        <v>45925</v>
      </c>
      <c r="O8170" s="71" t="s">
        <v>190</v>
      </c>
      <c r="P8170" s="103" t="str">
        <f t="shared" si="4956"/>
        <v>아스테이지(국전)</v>
      </c>
      <c r="Q8170" s="71">
        <f t="shared" si="4957"/>
        <v>10</v>
      </c>
      <c r="R8170" s="102">
        <v>50000</v>
      </c>
      <c r="S8170" s="102">
        <f t="shared" si="4958"/>
        <v>550000</v>
      </c>
      <c r="T8170" s="102">
        <f t="shared" si="4959"/>
        <v>500000</v>
      </c>
      <c r="U8170" s="71"/>
      <c r="V8170" s="71"/>
      <c r="W8170" s="474">
        <v>500000</v>
      </c>
      <c r="X8170" s="71"/>
      <c r="Y8170" s="71"/>
    </row>
    <row r="8171" spans="1:25" ht="30" hidden="1" customHeight="1" x14ac:dyDescent="0.25">
      <c r="A8171" s="1145">
        <v>45902</v>
      </c>
      <c r="B8171" s="664" t="s">
        <v>1155</v>
      </c>
      <c r="C8171" s="760" t="s">
        <v>2648</v>
      </c>
      <c r="D8171" s="71">
        <v>10</v>
      </c>
      <c r="E8171" s="102">
        <v>37000</v>
      </c>
      <c r="F8171" s="102">
        <f>(E8171*D8171)*1.1</f>
        <v>407000.00000000006</v>
      </c>
      <c r="G8171" s="102">
        <f>(E8171*D8171)</f>
        <v>370000</v>
      </c>
      <c r="H8171" s="690" t="s">
        <v>94</v>
      </c>
      <c r="I8171" s="71" t="s">
        <v>94</v>
      </c>
      <c r="J8171" s="53">
        <f>G8171-T8171</f>
        <v>129300</v>
      </c>
      <c r="K8171" s="63">
        <f>(J8171/(F8171/11*10))</f>
        <v>0.34945945945945939</v>
      </c>
      <c r="L8171" s="1212" t="s">
        <v>4455</v>
      </c>
      <c r="M8171" s="468"/>
      <c r="N8171" s="1192">
        <f>A8171</f>
        <v>45902</v>
      </c>
      <c r="O8171" s="71" t="s">
        <v>94</v>
      </c>
      <c r="P8171" s="103" t="str">
        <f>(C8171)</f>
        <v>주머니 필터백</v>
      </c>
      <c r="Q8171" s="71">
        <f>D8171</f>
        <v>10</v>
      </c>
      <c r="R8171" s="102">
        <v>24070</v>
      </c>
      <c r="S8171" s="102">
        <f>R8171*Q8171*1.1</f>
        <v>264770</v>
      </c>
      <c r="T8171" s="102">
        <f>R8171*Q8171</f>
        <v>240700</v>
      </c>
      <c r="U8171" s="71"/>
      <c r="V8171" s="71"/>
      <c r="W8171" s="474"/>
      <c r="X8171" s="71"/>
      <c r="Y8171" s="71"/>
    </row>
    <row r="8172" spans="1:25" ht="30" hidden="1" customHeight="1" x14ac:dyDescent="0.25">
      <c r="A8172" s="1145">
        <v>45903</v>
      </c>
      <c r="B8172" s="664" t="s">
        <v>2798</v>
      </c>
      <c r="C8172" s="71" t="s">
        <v>167</v>
      </c>
      <c r="D8172" s="71">
        <v>10</v>
      </c>
      <c r="E8172" s="102">
        <v>138000</v>
      </c>
      <c r="F8172" s="102">
        <f t="shared" ref="F8172:F8177" si="4965">(E8172*D8172)*1.1</f>
        <v>1518000.0000000002</v>
      </c>
      <c r="G8172" s="102">
        <f t="shared" ref="G8172:G8177" si="4966">(E8172*D8172)</f>
        <v>1380000</v>
      </c>
      <c r="H8172" s="690" t="s">
        <v>172</v>
      </c>
      <c r="I8172" s="71" t="s">
        <v>33</v>
      </c>
      <c r="J8172" s="53">
        <f t="shared" ref="J8172:J8173" si="4967">G8172-T8172</f>
        <v>500000</v>
      </c>
      <c r="K8172" s="63">
        <f t="shared" ref="K8172:K8177" si="4968">(J8172/(F8172/11*10))</f>
        <v>0.36231884057971009</v>
      </c>
      <c r="L8172" s="1212" t="s">
        <v>4455</v>
      </c>
      <c r="M8172" s="468"/>
      <c r="N8172" s="1192">
        <f t="shared" ref="N8172:N8177" si="4969">A8172</f>
        <v>45903</v>
      </c>
      <c r="O8172" s="71" t="s">
        <v>149</v>
      </c>
      <c r="P8172" s="103" t="str">
        <f t="shared" ref="P8172:P8177" si="4970">(C8172)</f>
        <v>Blanket(1060*860)</v>
      </c>
      <c r="Q8172" s="71">
        <f t="shared" ref="Q8172:Q8177" si="4971">D8172</f>
        <v>10</v>
      </c>
      <c r="R8172" s="102">
        <v>88000</v>
      </c>
      <c r="S8172" s="102">
        <f t="shared" ref="S8172:S8177" si="4972">R8172*Q8172*1.1</f>
        <v>968000.00000000012</v>
      </c>
      <c r="T8172" s="102">
        <f t="shared" ref="T8172:T8177" si="4973">R8172*Q8172</f>
        <v>880000</v>
      </c>
      <c r="U8172" s="71"/>
      <c r="V8172" s="71"/>
      <c r="W8172" s="474"/>
      <c r="X8172" s="71"/>
      <c r="Y8172" s="71"/>
    </row>
    <row r="8173" spans="1:25" ht="30" hidden="1" customHeight="1" x14ac:dyDescent="0.25">
      <c r="A8173" s="1145">
        <v>45903</v>
      </c>
      <c r="B8173" s="664" t="s">
        <v>444</v>
      </c>
      <c r="C8173" s="71" t="s">
        <v>3399</v>
      </c>
      <c r="D8173" s="71">
        <v>10</v>
      </c>
      <c r="E8173" s="102">
        <v>195000</v>
      </c>
      <c r="F8173" s="102">
        <f t="shared" si="4965"/>
        <v>2145000</v>
      </c>
      <c r="G8173" s="102">
        <f t="shared" si="4966"/>
        <v>1950000</v>
      </c>
      <c r="H8173" s="690" t="s">
        <v>2029</v>
      </c>
      <c r="I8173" s="71" t="s">
        <v>180</v>
      </c>
      <c r="J8173" s="53">
        <f t="shared" si="4967"/>
        <v>450000</v>
      </c>
      <c r="K8173" s="63">
        <f t="shared" si="4968"/>
        <v>0.23076923076923078</v>
      </c>
      <c r="L8173" s="1212" t="s">
        <v>4455</v>
      </c>
      <c r="M8173" s="468"/>
      <c r="N8173" s="1192">
        <f t="shared" si="4969"/>
        <v>45903</v>
      </c>
      <c r="O8173" s="71" t="s">
        <v>191</v>
      </c>
      <c r="P8173" s="103" t="str">
        <f t="shared" si="4970"/>
        <v>UV wash offset UV</v>
      </c>
      <c r="Q8173" s="71">
        <f t="shared" si="4971"/>
        <v>10</v>
      </c>
      <c r="R8173" s="102">
        <v>150000</v>
      </c>
      <c r="S8173" s="102">
        <f t="shared" si="4972"/>
        <v>1650000.0000000002</v>
      </c>
      <c r="T8173" s="102">
        <f t="shared" si="4973"/>
        <v>1500000</v>
      </c>
      <c r="U8173" s="71"/>
      <c r="V8173" s="71"/>
      <c r="W8173" s="474"/>
      <c r="X8173" s="71"/>
      <c r="Y8173" s="71"/>
    </row>
    <row r="8174" spans="1:25" ht="30" hidden="1" customHeight="1" x14ac:dyDescent="0.25">
      <c r="A8174" s="1145">
        <v>45908</v>
      </c>
      <c r="B8174" s="664" t="s">
        <v>2798</v>
      </c>
      <c r="C8174" s="71" t="s">
        <v>4239</v>
      </c>
      <c r="D8174" s="71">
        <v>2</v>
      </c>
      <c r="E8174" s="102">
        <v>252000</v>
      </c>
      <c r="F8174" s="102">
        <f t="shared" si="4965"/>
        <v>554400</v>
      </c>
      <c r="G8174" s="102">
        <f t="shared" si="4966"/>
        <v>504000</v>
      </c>
      <c r="H8174" s="690" t="s">
        <v>173</v>
      </c>
      <c r="I8174" s="71" t="s">
        <v>180</v>
      </c>
      <c r="J8174" s="53">
        <f>G8174-T8174-U8174</f>
        <v>117500</v>
      </c>
      <c r="K8174" s="63">
        <f t="shared" si="4968"/>
        <v>0.23313492063492064</v>
      </c>
      <c r="L8174" s="1212" t="s">
        <v>4455</v>
      </c>
      <c r="M8174" s="102" t="s">
        <v>4466</v>
      </c>
      <c r="N8174" s="1192">
        <f t="shared" si="4969"/>
        <v>45908</v>
      </c>
      <c r="O8174" s="71" t="s">
        <v>150</v>
      </c>
      <c r="P8174" s="103" t="str">
        <f t="shared" si="4970"/>
        <v>Saphira 건식 세정포 하이델 XL용</v>
      </c>
      <c r="Q8174" s="71">
        <f t="shared" si="4971"/>
        <v>2</v>
      </c>
      <c r="R8174" s="102">
        <v>187500</v>
      </c>
      <c r="S8174" s="102">
        <f t="shared" si="4972"/>
        <v>412500.00000000006</v>
      </c>
      <c r="T8174" s="102">
        <f t="shared" si="4973"/>
        <v>375000</v>
      </c>
      <c r="U8174" s="71">
        <v>11500</v>
      </c>
      <c r="V8174" s="71"/>
      <c r="W8174" s="474"/>
      <c r="X8174" s="71"/>
      <c r="Y8174" s="71"/>
    </row>
    <row r="8175" spans="1:25" ht="30" hidden="1" customHeight="1" x14ac:dyDescent="0.25">
      <c r="A8175" s="1145">
        <v>45911</v>
      </c>
      <c r="B8175" s="664" t="s">
        <v>2798</v>
      </c>
      <c r="C8175" s="71" t="s">
        <v>4240</v>
      </c>
      <c r="D8175" s="71">
        <v>10</v>
      </c>
      <c r="E8175" s="102">
        <v>133000</v>
      </c>
      <c r="F8175" s="102">
        <f t="shared" si="4965"/>
        <v>1463000.0000000002</v>
      </c>
      <c r="G8175" s="102">
        <f t="shared" si="4966"/>
        <v>1330000</v>
      </c>
      <c r="H8175" s="690" t="s">
        <v>173</v>
      </c>
      <c r="I8175" s="71" t="s">
        <v>109</v>
      </c>
      <c r="J8175" s="53">
        <f>G8175-T8175-U8175</f>
        <v>210000</v>
      </c>
      <c r="K8175" s="63">
        <f t="shared" si="4968"/>
        <v>0.15789473684210523</v>
      </c>
      <c r="L8175" s="1212" t="s">
        <v>4455</v>
      </c>
      <c r="M8175" s="102"/>
      <c r="N8175" s="1192">
        <f t="shared" si="4969"/>
        <v>45911</v>
      </c>
      <c r="O8175" s="71" t="s">
        <v>149</v>
      </c>
      <c r="P8175" s="103" t="str">
        <f t="shared" si="4970"/>
        <v>5MX 블랑켓 XL용</v>
      </c>
      <c r="Q8175" s="71">
        <f t="shared" si="4971"/>
        <v>10</v>
      </c>
      <c r="R8175" s="102">
        <v>112000</v>
      </c>
      <c r="S8175" s="102">
        <f t="shared" si="4972"/>
        <v>1232000</v>
      </c>
      <c r="T8175" s="102">
        <f t="shared" si="4973"/>
        <v>1120000</v>
      </c>
      <c r="U8175" s="71"/>
      <c r="V8175" s="71"/>
      <c r="W8175" s="474"/>
      <c r="X8175" s="71"/>
      <c r="Y8175" s="71"/>
    </row>
    <row r="8176" spans="1:25" ht="30" hidden="1" customHeight="1" x14ac:dyDescent="0.25">
      <c r="A8176" s="1145">
        <v>45916</v>
      </c>
      <c r="B8176" s="664" t="s">
        <v>2798</v>
      </c>
      <c r="C8176" s="71" t="s">
        <v>4238</v>
      </c>
      <c r="D8176" s="71">
        <v>10</v>
      </c>
      <c r="E8176" s="102">
        <v>162000</v>
      </c>
      <c r="F8176" s="102">
        <f t="shared" si="4965"/>
        <v>1782000.0000000002</v>
      </c>
      <c r="G8176" s="102">
        <f t="shared" si="4966"/>
        <v>1620000</v>
      </c>
      <c r="H8176" s="690" t="s">
        <v>173</v>
      </c>
      <c r="I8176" s="71" t="s">
        <v>109</v>
      </c>
      <c r="J8176" s="53">
        <f>G8176-T8176-U8176</f>
        <v>243000</v>
      </c>
      <c r="K8176" s="63">
        <f t="shared" si="4968"/>
        <v>0.14999999999999997</v>
      </c>
      <c r="L8176" s="1212" t="s">
        <v>4455</v>
      </c>
      <c r="M8176" s="468"/>
      <c r="N8176" s="1192">
        <f t="shared" si="4969"/>
        <v>45916</v>
      </c>
      <c r="O8176" s="71" t="s">
        <v>150</v>
      </c>
      <c r="P8176" s="103" t="str">
        <f t="shared" si="4970"/>
        <v>TUV 블랑켓 하이델 XL용</v>
      </c>
      <c r="Q8176" s="71">
        <f t="shared" si="4971"/>
        <v>10</v>
      </c>
      <c r="R8176" s="147">
        <v>137700</v>
      </c>
      <c r="S8176" s="102">
        <f t="shared" si="4972"/>
        <v>1514700.0000000002</v>
      </c>
      <c r="T8176" s="102">
        <f t="shared" si="4973"/>
        <v>1377000</v>
      </c>
      <c r="U8176" s="71"/>
      <c r="V8176" s="71"/>
      <c r="W8176" s="474"/>
      <c r="X8176" s="71"/>
      <c r="Y8176" s="71"/>
    </row>
    <row r="8177" spans="1:25" ht="30" hidden="1" customHeight="1" x14ac:dyDescent="0.25">
      <c r="A8177" s="1145">
        <v>45916</v>
      </c>
      <c r="B8177" s="664" t="s">
        <v>2798</v>
      </c>
      <c r="C8177" s="71" t="s">
        <v>4240</v>
      </c>
      <c r="D8177" s="71">
        <v>10</v>
      </c>
      <c r="E8177" s="102">
        <v>133000</v>
      </c>
      <c r="F8177" s="102">
        <f t="shared" si="4965"/>
        <v>1463000.0000000002</v>
      </c>
      <c r="G8177" s="102">
        <f t="shared" si="4966"/>
        <v>1330000</v>
      </c>
      <c r="H8177" s="690" t="s">
        <v>173</v>
      </c>
      <c r="I8177" s="71" t="s">
        <v>109</v>
      </c>
      <c r="J8177" s="53">
        <f>G8177-T8177-U8177</f>
        <v>210000</v>
      </c>
      <c r="K8177" s="63">
        <f t="shared" si="4968"/>
        <v>0.15789473684210523</v>
      </c>
      <c r="L8177" s="1212" t="s">
        <v>4455</v>
      </c>
      <c r="M8177" s="102"/>
      <c r="N8177" s="1192">
        <f t="shared" si="4969"/>
        <v>45916</v>
      </c>
      <c r="O8177" s="71" t="s">
        <v>149</v>
      </c>
      <c r="P8177" s="103" t="str">
        <f t="shared" si="4970"/>
        <v>5MX 블랑켓 XL용</v>
      </c>
      <c r="Q8177" s="71">
        <f t="shared" si="4971"/>
        <v>10</v>
      </c>
      <c r="R8177" s="102">
        <v>112000</v>
      </c>
      <c r="S8177" s="102">
        <f t="shared" si="4972"/>
        <v>1232000</v>
      </c>
      <c r="T8177" s="102">
        <f t="shared" si="4973"/>
        <v>1120000</v>
      </c>
      <c r="U8177" s="71"/>
      <c r="V8177" s="71"/>
      <c r="W8177" s="474"/>
      <c r="X8177" s="71"/>
      <c r="Y8177" s="71"/>
    </row>
    <row r="8178" spans="1:25" ht="30" hidden="1" customHeight="1" x14ac:dyDescent="0.25">
      <c r="A8178" s="1145">
        <v>45924</v>
      </c>
      <c r="B8178" s="664" t="s">
        <v>2798</v>
      </c>
      <c r="C8178" s="71" t="s">
        <v>4239</v>
      </c>
      <c r="D8178" s="71">
        <v>2</v>
      </c>
      <c r="E8178" s="102">
        <v>252000</v>
      </c>
      <c r="F8178" s="102">
        <f t="shared" ref="F8178:F8188" si="4974">(E8178*D8178)*1.1</f>
        <v>554400</v>
      </c>
      <c r="G8178" s="102">
        <f t="shared" ref="G8178:G8188" si="4975">(E8178*D8178)</f>
        <v>504000</v>
      </c>
      <c r="H8178" s="690" t="s">
        <v>173</v>
      </c>
      <c r="I8178" s="71" t="s">
        <v>180</v>
      </c>
      <c r="J8178" s="53">
        <f>G8178-T8178-U8178</f>
        <v>117500</v>
      </c>
      <c r="K8178" s="63">
        <f t="shared" ref="K8178:K8184" si="4976">(J8178/(F8178/11*10))</f>
        <v>0.23313492063492064</v>
      </c>
      <c r="L8178" s="1212" t="s">
        <v>4455</v>
      </c>
      <c r="M8178" s="102"/>
      <c r="N8178" s="1192">
        <f t="shared" ref="N8178:N8181" si="4977">A8178</f>
        <v>45924</v>
      </c>
      <c r="O8178" s="71" t="s">
        <v>150</v>
      </c>
      <c r="P8178" s="103" t="str">
        <f t="shared" ref="P8178:P8188" si="4978">(C8178)</f>
        <v>Saphira 건식 세정포 하이델 XL용</v>
      </c>
      <c r="Q8178" s="71">
        <f t="shared" ref="Q8178:Q8188" si="4979">D8178</f>
        <v>2</v>
      </c>
      <c r="R8178" s="102">
        <v>187500</v>
      </c>
      <c r="S8178" s="102">
        <f t="shared" ref="S8178:S8179" si="4980">R8178*Q8178*1.1</f>
        <v>412500.00000000006</v>
      </c>
      <c r="T8178" s="102">
        <f t="shared" ref="T8178:T8179" si="4981">R8178*Q8178</f>
        <v>375000</v>
      </c>
      <c r="U8178" s="71">
        <v>11500</v>
      </c>
      <c r="V8178" s="71"/>
      <c r="W8178" s="474"/>
      <c r="X8178" s="71"/>
      <c r="Y8178" s="71"/>
    </row>
    <row r="8179" spans="1:25" ht="30" hidden="1" customHeight="1" x14ac:dyDescent="0.25">
      <c r="A8179" s="1145">
        <v>45924</v>
      </c>
      <c r="B8179" s="664" t="s">
        <v>2798</v>
      </c>
      <c r="C8179" s="71" t="s">
        <v>4240</v>
      </c>
      <c r="D8179" s="71">
        <v>10</v>
      </c>
      <c r="E8179" s="102">
        <v>133000</v>
      </c>
      <c r="F8179" s="102">
        <f t="shared" si="4974"/>
        <v>1463000.0000000002</v>
      </c>
      <c r="G8179" s="102">
        <f t="shared" si="4975"/>
        <v>1330000</v>
      </c>
      <c r="H8179" s="690" t="s">
        <v>173</v>
      </c>
      <c r="I8179" s="71" t="s">
        <v>109</v>
      </c>
      <c r="J8179" s="53">
        <f t="shared" ref="J8179:J8184" si="4982">G8179-T8179</f>
        <v>210000</v>
      </c>
      <c r="K8179" s="63">
        <f t="shared" si="4976"/>
        <v>0.15789473684210523</v>
      </c>
      <c r="L8179" s="1212" t="s">
        <v>4455</v>
      </c>
      <c r="M8179" s="102"/>
      <c r="N8179" s="1192">
        <f t="shared" si="4977"/>
        <v>45924</v>
      </c>
      <c r="O8179" s="71" t="s">
        <v>150</v>
      </c>
      <c r="P8179" s="103" t="str">
        <f t="shared" si="4978"/>
        <v>5MX 블랑켓 XL용</v>
      </c>
      <c r="Q8179" s="71">
        <f t="shared" si="4979"/>
        <v>10</v>
      </c>
      <c r="R8179" s="102">
        <v>112000</v>
      </c>
      <c r="S8179" s="102">
        <f t="shared" si="4980"/>
        <v>1232000</v>
      </c>
      <c r="T8179" s="102">
        <f t="shared" si="4981"/>
        <v>1120000</v>
      </c>
      <c r="U8179" s="71"/>
      <c r="V8179" s="71"/>
      <c r="W8179" s="474"/>
      <c r="X8179" s="71"/>
      <c r="Y8179" s="71"/>
    </row>
    <row r="8180" spans="1:25" ht="30" hidden="1" customHeight="1" x14ac:dyDescent="0.25">
      <c r="A8180" s="1145">
        <v>45925</v>
      </c>
      <c r="B8180" s="664" t="s">
        <v>2798</v>
      </c>
      <c r="C8180" s="71" t="s">
        <v>4460</v>
      </c>
      <c r="D8180" s="71">
        <v>1</v>
      </c>
      <c r="E8180" s="102">
        <v>700000</v>
      </c>
      <c r="F8180" s="102">
        <f t="shared" si="4974"/>
        <v>770000.00000000012</v>
      </c>
      <c r="G8180" s="102">
        <f t="shared" si="4975"/>
        <v>700000</v>
      </c>
      <c r="H8180" s="690" t="s">
        <v>173</v>
      </c>
      <c r="I8180" s="71" t="s">
        <v>141</v>
      </c>
      <c r="J8180" s="53">
        <f t="shared" ref="J8180" si="4983">G8180-T8180</f>
        <v>200980</v>
      </c>
      <c r="K8180" s="63">
        <f t="shared" ref="K8180" si="4984">(J8180/(F8180/11*10))</f>
        <v>0.28711428571428566</v>
      </c>
      <c r="L8180" s="1212" t="s">
        <v>4455</v>
      </c>
      <c r="M8180" s="102"/>
      <c r="N8180" s="1192">
        <f t="shared" si="4977"/>
        <v>45925</v>
      </c>
      <c r="O8180" s="71" t="s">
        <v>4245</v>
      </c>
      <c r="P8180" s="103" t="str">
        <f t="shared" si="4978"/>
        <v>필름 ECO3 28인치</v>
      </c>
      <c r="Q8180" s="71">
        <f t="shared" si="4979"/>
        <v>1</v>
      </c>
      <c r="R8180" s="102">
        <v>499020</v>
      </c>
      <c r="S8180" s="102">
        <f t="shared" ref="S8180:S8215" si="4985">R8180*Q8180*1.1</f>
        <v>548922</v>
      </c>
      <c r="T8180" s="102">
        <f t="shared" ref="T8180:T8215" si="4986">R8180*Q8180</f>
        <v>499020</v>
      </c>
      <c r="U8180" s="71"/>
      <c r="V8180" s="71"/>
      <c r="W8180" s="474"/>
      <c r="X8180" s="71"/>
      <c r="Y8180" s="71"/>
    </row>
    <row r="8181" spans="1:25" ht="30" hidden="1" customHeight="1" x14ac:dyDescent="0.25">
      <c r="A8181" s="1145">
        <v>45903</v>
      </c>
      <c r="B8181" s="664" t="s">
        <v>2261</v>
      </c>
      <c r="C8181" s="71" t="s">
        <v>1121</v>
      </c>
      <c r="D8181" s="71">
        <v>10</v>
      </c>
      <c r="E8181" s="102">
        <v>80000</v>
      </c>
      <c r="F8181" s="102">
        <f t="shared" si="4974"/>
        <v>880000.00000000012</v>
      </c>
      <c r="G8181" s="102">
        <f t="shared" si="4975"/>
        <v>800000</v>
      </c>
      <c r="H8181" s="690" t="s">
        <v>1431</v>
      </c>
      <c r="I8181" s="71" t="s">
        <v>1431</v>
      </c>
      <c r="J8181" s="53">
        <f t="shared" ref="J8181" si="4987">G8181-T8181</f>
        <v>432950</v>
      </c>
      <c r="K8181" s="63">
        <f t="shared" ref="K8181" si="4988">(J8181/(F8181/11*10))</f>
        <v>0.54118749999999993</v>
      </c>
      <c r="L8181" s="1212" t="s">
        <v>4455</v>
      </c>
      <c r="M8181" s="468"/>
      <c r="N8181" s="1192">
        <f t="shared" si="4977"/>
        <v>45903</v>
      </c>
      <c r="O8181" s="71" t="s">
        <v>4468</v>
      </c>
      <c r="P8181" s="103" t="str">
        <f t="shared" si="4978"/>
        <v>포텐시오미터</v>
      </c>
      <c r="Q8181" s="71">
        <f t="shared" si="4979"/>
        <v>10</v>
      </c>
      <c r="R8181" s="147">
        <v>36705</v>
      </c>
      <c r="S8181" s="102">
        <f t="shared" si="4985"/>
        <v>403755.00000000006</v>
      </c>
      <c r="T8181" s="102">
        <f t="shared" si="4986"/>
        <v>367050</v>
      </c>
      <c r="U8181" s="71"/>
      <c r="V8181" s="71"/>
      <c r="W8181" s="474"/>
      <c r="X8181" s="71"/>
      <c r="Y8181" s="71"/>
    </row>
    <row r="8182" spans="1:25" ht="30" hidden="1" customHeight="1" x14ac:dyDescent="0.25">
      <c r="A8182" s="1145">
        <v>45918</v>
      </c>
      <c r="B8182" s="664" t="s">
        <v>546</v>
      </c>
      <c r="C8182" s="71" t="s">
        <v>2009</v>
      </c>
      <c r="D8182" s="71">
        <v>1</v>
      </c>
      <c r="E8182" s="102">
        <v>280000</v>
      </c>
      <c r="F8182" s="102">
        <f t="shared" si="4974"/>
        <v>308000</v>
      </c>
      <c r="G8182" s="102">
        <f t="shared" si="4975"/>
        <v>280000</v>
      </c>
      <c r="H8182" s="690" t="s">
        <v>985</v>
      </c>
      <c r="I8182" s="71" t="s">
        <v>985</v>
      </c>
      <c r="J8182" s="53"/>
      <c r="K8182" s="63"/>
      <c r="L8182" s="1212" t="s">
        <v>4455</v>
      </c>
      <c r="M8182" s="102"/>
      <c r="N8182" s="1192">
        <f t="shared" ref="N8182:N8213" si="4989">A8182</f>
        <v>45918</v>
      </c>
      <c r="O8182" s="71"/>
      <c r="P8182" s="103" t="str">
        <f t="shared" si="4978"/>
        <v>M600 서비스 비용</v>
      </c>
      <c r="Q8182" s="71">
        <f t="shared" si="4979"/>
        <v>1</v>
      </c>
      <c r="R8182" s="102"/>
      <c r="S8182" s="102">
        <f t="shared" si="4985"/>
        <v>0</v>
      </c>
      <c r="T8182" s="102">
        <f t="shared" si="4986"/>
        <v>0</v>
      </c>
      <c r="U8182" s="71"/>
      <c r="V8182" s="71"/>
      <c r="W8182" s="474"/>
      <c r="X8182" s="71"/>
      <c r="Y8182" s="71"/>
    </row>
    <row r="8183" spans="1:25" ht="30" hidden="1" customHeight="1" x14ac:dyDescent="0.25">
      <c r="A8183" s="1145">
        <v>45904</v>
      </c>
      <c r="B8183" s="664" t="s">
        <v>1593</v>
      </c>
      <c r="C8183" s="1020" t="s">
        <v>4404</v>
      </c>
      <c r="D8183" s="71">
        <v>40</v>
      </c>
      <c r="E8183" s="102">
        <v>94000</v>
      </c>
      <c r="F8183" s="102">
        <f t="shared" si="4974"/>
        <v>4136000.0000000005</v>
      </c>
      <c r="G8183" s="102">
        <f t="shared" si="4975"/>
        <v>3760000</v>
      </c>
      <c r="H8183" s="690" t="s">
        <v>142</v>
      </c>
      <c r="I8183" s="71" t="s">
        <v>142</v>
      </c>
      <c r="J8183" s="53">
        <f t="shared" si="4982"/>
        <v>1071371.666666667</v>
      </c>
      <c r="K8183" s="63">
        <f t="shared" si="4976"/>
        <v>0.28493927304964545</v>
      </c>
      <c r="L8183" s="1212" t="s">
        <v>4455</v>
      </c>
      <c r="M8183" s="468"/>
      <c r="N8183" s="1192">
        <f t="shared" si="4989"/>
        <v>45904</v>
      </c>
      <c r="O8183" s="71" t="s">
        <v>4408</v>
      </c>
      <c r="P8183" s="103" t="str">
        <f t="shared" si="4978"/>
        <v>Colorman 신문윤전기 습수약물
Technova Aquafount</v>
      </c>
      <c r="Q8183" s="71">
        <f t="shared" si="4979"/>
        <v>40</v>
      </c>
      <c r="R8183" s="147">
        <f>3226354/48</f>
        <v>67215.708333333328</v>
      </c>
      <c r="S8183" s="102">
        <f t="shared" si="4985"/>
        <v>2957491.1666666665</v>
      </c>
      <c r="T8183" s="102">
        <f t="shared" si="4986"/>
        <v>2688628.333333333</v>
      </c>
      <c r="U8183" s="71"/>
      <c r="V8183" s="71"/>
      <c r="W8183" s="474"/>
      <c r="X8183" s="71"/>
      <c r="Y8183" s="71"/>
    </row>
    <row r="8184" spans="1:25" ht="30" hidden="1" customHeight="1" x14ac:dyDescent="0.25">
      <c r="A8184" s="1145">
        <v>45904</v>
      </c>
      <c r="B8184" s="664" t="s">
        <v>1593</v>
      </c>
      <c r="C8184" s="1020" t="s">
        <v>4405</v>
      </c>
      <c r="D8184" s="71">
        <v>72</v>
      </c>
      <c r="E8184" s="102">
        <v>92000</v>
      </c>
      <c r="F8184" s="102">
        <f t="shared" si="4974"/>
        <v>7286400.0000000009</v>
      </c>
      <c r="G8184" s="102">
        <f t="shared" si="4975"/>
        <v>6624000</v>
      </c>
      <c r="H8184" s="690" t="s">
        <v>142</v>
      </c>
      <c r="I8184" s="71" t="s">
        <v>142</v>
      </c>
      <c r="J8184" s="53">
        <f t="shared" si="4982"/>
        <v>1183320</v>
      </c>
      <c r="K8184" s="63">
        <f t="shared" si="4976"/>
        <v>0.17864130434782607</v>
      </c>
      <c r="L8184" s="1212" t="s">
        <v>4455</v>
      </c>
      <c r="M8184" s="102"/>
      <c r="N8184" s="1192">
        <f t="shared" si="4989"/>
        <v>45904</v>
      </c>
      <c r="O8184" s="71" t="s">
        <v>4408</v>
      </c>
      <c r="P8184" s="103" t="str">
        <f t="shared" si="4978"/>
        <v>Colorman 신문윤전기 세척액
Technova Artemas Wash</v>
      </c>
      <c r="Q8184" s="71">
        <f t="shared" si="4979"/>
        <v>72</v>
      </c>
      <c r="R8184" s="102">
        <v>75565</v>
      </c>
      <c r="S8184" s="102">
        <f t="shared" si="4985"/>
        <v>5984748.0000000009</v>
      </c>
      <c r="T8184" s="102">
        <f t="shared" si="4986"/>
        <v>5440680</v>
      </c>
      <c r="U8184" s="71"/>
      <c r="V8184" s="71"/>
      <c r="W8184" s="474"/>
      <c r="X8184" s="71"/>
      <c r="Y8184" s="71"/>
    </row>
    <row r="8185" spans="1:25" ht="30" hidden="1" customHeight="1" x14ac:dyDescent="0.25">
      <c r="A8185" s="1145">
        <v>45899</v>
      </c>
      <c r="B8185" s="664" t="s">
        <v>575</v>
      </c>
      <c r="C8185" s="71" t="s">
        <v>4461</v>
      </c>
      <c r="D8185" s="71">
        <v>100</v>
      </c>
      <c r="E8185" s="102">
        <v>2500</v>
      </c>
      <c r="F8185" s="102">
        <f t="shared" si="4974"/>
        <v>275000</v>
      </c>
      <c r="G8185" s="102">
        <f t="shared" si="4975"/>
        <v>250000</v>
      </c>
      <c r="H8185" s="690" t="s">
        <v>1431</v>
      </c>
      <c r="I8185" s="71" t="s">
        <v>1431</v>
      </c>
      <c r="J8185" s="53">
        <f t="shared" ref="J8185:J8188" si="4990">G8185-T8185</f>
        <v>70000</v>
      </c>
      <c r="K8185" s="63">
        <f t="shared" ref="K8185:K8188" si="4991">(J8185/(F8185/11*10))</f>
        <v>0.28000000000000003</v>
      </c>
      <c r="L8185" s="1212" t="s">
        <v>4455</v>
      </c>
      <c r="M8185" s="468"/>
      <c r="N8185" s="1192">
        <f t="shared" si="4989"/>
        <v>45899</v>
      </c>
      <c r="O8185" s="71" t="s">
        <v>1431</v>
      </c>
      <c r="P8185" s="103" t="str">
        <f t="shared" si="4978"/>
        <v>접지 바늘</v>
      </c>
      <c r="Q8185" s="71">
        <f t="shared" si="4979"/>
        <v>100</v>
      </c>
      <c r="R8185" s="147">
        <v>1800</v>
      </c>
      <c r="S8185" s="102">
        <f t="shared" si="4985"/>
        <v>198000.00000000003</v>
      </c>
      <c r="T8185" s="102">
        <f t="shared" si="4986"/>
        <v>180000</v>
      </c>
      <c r="U8185" s="71"/>
      <c r="V8185" s="71"/>
      <c r="W8185" s="474"/>
      <c r="X8185" s="71"/>
      <c r="Y8185" s="71"/>
    </row>
    <row r="8186" spans="1:25" ht="30" hidden="1" customHeight="1" x14ac:dyDescent="0.25">
      <c r="A8186" s="1145">
        <v>45899</v>
      </c>
      <c r="B8186" s="664" t="s">
        <v>575</v>
      </c>
      <c r="C8186" s="71" t="s">
        <v>884</v>
      </c>
      <c r="D8186" s="71">
        <v>8</v>
      </c>
      <c r="E8186" s="102">
        <v>80000</v>
      </c>
      <c r="F8186" s="102">
        <f t="shared" si="4974"/>
        <v>704000</v>
      </c>
      <c r="G8186" s="102">
        <f t="shared" si="4975"/>
        <v>640000</v>
      </c>
      <c r="H8186" s="690" t="s">
        <v>1431</v>
      </c>
      <c r="I8186" s="71" t="s">
        <v>1431</v>
      </c>
      <c r="J8186" s="53">
        <f t="shared" si="4990"/>
        <v>388000</v>
      </c>
      <c r="K8186" s="63">
        <f t="shared" si="4991"/>
        <v>0.60624999999999996</v>
      </c>
      <c r="L8186" s="1212" t="s">
        <v>4455</v>
      </c>
      <c r="M8186" s="102"/>
      <c r="N8186" s="1192">
        <f t="shared" si="4989"/>
        <v>45899</v>
      </c>
      <c r="O8186" s="71" t="s">
        <v>1431</v>
      </c>
      <c r="P8186" s="103" t="str">
        <f t="shared" si="4978"/>
        <v>재단목</v>
      </c>
      <c r="Q8186" s="71">
        <f t="shared" si="4979"/>
        <v>8</v>
      </c>
      <c r="R8186" s="102">
        <v>31500</v>
      </c>
      <c r="S8186" s="102">
        <f t="shared" si="4985"/>
        <v>277200</v>
      </c>
      <c r="T8186" s="102">
        <f t="shared" si="4986"/>
        <v>252000</v>
      </c>
      <c r="U8186" s="71"/>
      <c r="V8186" s="71"/>
      <c r="W8186" s="474"/>
      <c r="X8186" s="71"/>
      <c r="Y8186" s="71"/>
    </row>
    <row r="8187" spans="1:25" ht="30" hidden="1" customHeight="1" x14ac:dyDescent="0.25">
      <c r="A8187" s="1145">
        <v>45899</v>
      </c>
      <c r="B8187" s="664" t="s">
        <v>575</v>
      </c>
      <c r="C8187" s="71" t="s">
        <v>4462</v>
      </c>
      <c r="D8187" s="71">
        <v>100</v>
      </c>
      <c r="E8187" s="102">
        <v>19000</v>
      </c>
      <c r="F8187" s="102">
        <f t="shared" si="4974"/>
        <v>2090000.0000000002</v>
      </c>
      <c r="G8187" s="102">
        <f t="shared" si="4975"/>
        <v>1900000</v>
      </c>
      <c r="H8187" s="690" t="s">
        <v>1431</v>
      </c>
      <c r="I8187" s="71" t="s">
        <v>1431</v>
      </c>
      <c r="J8187" s="53">
        <f t="shared" si="4990"/>
        <v>650000</v>
      </c>
      <c r="K8187" s="63">
        <f t="shared" si="4991"/>
        <v>0.34210526315789469</v>
      </c>
      <c r="L8187" s="1212" t="s">
        <v>4455</v>
      </c>
      <c r="M8187" s="468"/>
      <c r="N8187" s="1192">
        <f t="shared" si="4989"/>
        <v>45899</v>
      </c>
      <c r="O8187" s="71" t="s">
        <v>1431</v>
      </c>
      <c r="P8187" s="103" t="str">
        <f t="shared" si="4978"/>
        <v>이송가이드</v>
      </c>
      <c r="Q8187" s="71">
        <f t="shared" si="4979"/>
        <v>100</v>
      </c>
      <c r="R8187" s="147">
        <v>12500</v>
      </c>
      <c r="S8187" s="102">
        <f t="shared" si="4985"/>
        <v>1375000</v>
      </c>
      <c r="T8187" s="102">
        <f t="shared" si="4986"/>
        <v>1250000</v>
      </c>
      <c r="U8187" s="71"/>
      <c r="V8187" s="71"/>
      <c r="W8187" s="474"/>
      <c r="X8187" s="71"/>
      <c r="Y8187" s="71"/>
    </row>
    <row r="8188" spans="1:25" ht="30" hidden="1" customHeight="1" x14ac:dyDescent="0.25">
      <c r="A8188" s="1145">
        <v>45899</v>
      </c>
      <c r="B8188" s="664" t="s">
        <v>575</v>
      </c>
      <c r="C8188" s="71" t="s">
        <v>4463</v>
      </c>
      <c r="D8188" s="71">
        <v>6</v>
      </c>
      <c r="E8188" s="102">
        <v>450000</v>
      </c>
      <c r="F8188" s="102">
        <f t="shared" si="4974"/>
        <v>2970000.0000000005</v>
      </c>
      <c r="G8188" s="102">
        <f t="shared" si="4975"/>
        <v>2700000</v>
      </c>
      <c r="H8188" s="690" t="s">
        <v>1431</v>
      </c>
      <c r="I8188" s="71" t="s">
        <v>1431</v>
      </c>
      <c r="J8188" s="53">
        <f t="shared" si="4990"/>
        <v>828000</v>
      </c>
      <c r="K8188" s="63">
        <f t="shared" si="4991"/>
        <v>0.30666666666666659</v>
      </c>
      <c r="L8188" s="1212" t="s">
        <v>4455</v>
      </c>
      <c r="M8188" s="102"/>
      <c r="N8188" s="1192">
        <f t="shared" si="4989"/>
        <v>45899</v>
      </c>
      <c r="O8188" s="71" t="s">
        <v>1431</v>
      </c>
      <c r="P8188" s="103" t="str">
        <f t="shared" si="4978"/>
        <v>브레이크라이닝</v>
      </c>
      <c r="Q8188" s="71">
        <f t="shared" si="4979"/>
        <v>6</v>
      </c>
      <c r="R8188" s="102">
        <v>312000</v>
      </c>
      <c r="S8188" s="102">
        <f t="shared" si="4985"/>
        <v>2059200.0000000002</v>
      </c>
      <c r="T8188" s="102">
        <f t="shared" si="4986"/>
        <v>1872000</v>
      </c>
      <c r="U8188" s="71"/>
      <c r="V8188" s="71"/>
      <c r="W8188" s="474"/>
      <c r="X8188" s="71"/>
      <c r="Y8188" s="71"/>
    </row>
    <row r="8189" spans="1:25" ht="30" hidden="1" customHeight="1" x14ac:dyDescent="0.25">
      <c r="A8189" s="1210" t="s">
        <v>4470</v>
      </c>
      <c r="B8189" s="1211" t="s">
        <v>544</v>
      </c>
      <c r="C8189" s="960"/>
      <c r="D8189" s="960"/>
      <c r="E8189" s="952"/>
      <c r="F8189" s="952"/>
      <c r="G8189" s="952"/>
      <c r="H8189" s="1206"/>
      <c r="I8189" s="960"/>
      <c r="J8189" s="952"/>
      <c r="K8189" s="953"/>
      <c r="L8189" s="1212" t="s">
        <v>4472</v>
      </c>
      <c r="M8189" s="1207"/>
      <c r="N8189" s="1208" t="str">
        <f t="shared" si="4989"/>
        <v>2025,10</v>
      </c>
      <c r="O8189" s="960"/>
      <c r="P8189" s="1209"/>
      <c r="Q8189" s="960"/>
      <c r="R8189" s="952"/>
      <c r="S8189" s="952"/>
      <c r="T8189" s="952"/>
      <c r="U8189" s="960"/>
      <c r="V8189" s="960"/>
      <c r="W8189" s="474">
        <f>(G8189-T8189)</f>
        <v>0</v>
      </c>
      <c r="X8189" s="71"/>
      <c r="Y8189" s="71"/>
    </row>
    <row r="8190" spans="1:25" ht="30" hidden="1" customHeight="1" x14ac:dyDescent="0.25">
      <c r="A8190" s="1145">
        <v>45955</v>
      </c>
      <c r="B8190" s="664" t="s">
        <v>1060</v>
      </c>
      <c r="C8190" s="71" t="s">
        <v>3908</v>
      </c>
      <c r="D8190" s="71">
        <v>600</v>
      </c>
      <c r="E8190" s="102">
        <v>5900</v>
      </c>
      <c r="F8190" s="102">
        <f t="shared" ref="F8190:F8213" si="4992">(E8190*D8190)*1.1</f>
        <v>3894000.0000000005</v>
      </c>
      <c r="G8190" s="102">
        <f t="shared" ref="G8190:G8213" si="4993">(E8190*D8190)</f>
        <v>3540000</v>
      </c>
      <c r="H8190" s="690" t="s">
        <v>142</v>
      </c>
      <c r="I8190" s="71" t="s">
        <v>179</v>
      </c>
      <c r="J8190" s="53">
        <f>G8190-T8190-U8190</f>
        <v>1191600</v>
      </c>
      <c r="K8190" s="63">
        <f t="shared" ref="K8190:K8208" si="4994">(J8190/(F8190/11*10))</f>
        <v>0.33661016949152539</v>
      </c>
      <c r="L8190" s="1212" t="s">
        <v>4472</v>
      </c>
      <c r="M8190" s="102" t="s">
        <v>3964</v>
      </c>
      <c r="N8190" s="1192">
        <f t="shared" si="4989"/>
        <v>45955</v>
      </c>
      <c r="O8190" s="71" t="s">
        <v>662</v>
      </c>
      <c r="P8190" s="103" t="str">
        <f t="shared" ref="P8190:P8213" si="4995">(C8190)</f>
        <v>Saphira CTP 판 1030 x 790</v>
      </c>
      <c r="Q8190" s="71">
        <f t="shared" ref="Q8190:Q8213" si="4996">D8190</f>
        <v>600</v>
      </c>
      <c r="R8190" s="102">
        <v>3914</v>
      </c>
      <c r="S8190" s="102">
        <f t="shared" ref="S8190:S8208" si="4997">R8190*Q8190*1.1</f>
        <v>2583240</v>
      </c>
      <c r="T8190" s="102">
        <f t="shared" ref="T8190:T8208" si="4998">R8190*Q8190</f>
        <v>2348400</v>
      </c>
      <c r="U8190" s="71"/>
      <c r="V8190" s="71"/>
      <c r="W8190" s="474">
        <v>942000</v>
      </c>
      <c r="X8190" s="71"/>
      <c r="Y8190" s="71"/>
    </row>
    <row r="8191" spans="1:25" ht="30" hidden="1" customHeight="1" x14ac:dyDescent="0.25">
      <c r="A8191" s="1145">
        <v>45955</v>
      </c>
      <c r="B8191" s="664" t="s">
        <v>1060</v>
      </c>
      <c r="C8191" s="71" t="s">
        <v>3909</v>
      </c>
      <c r="D8191" s="71">
        <v>1200</v>
      </c>
      <c r="E8191" s="102">
        <v>3730</v>
      </c>
      <c r="F8191" s="102">
        <f t="shared" si="4992"/>
        <v>4923600</v>
      </c>
      <c r="G8191" s="102">
        <f t="shared" si="4993"/>
        <v>4476000</v>
      </c>
      <c r="H8191" s="690" t="s">
        <v>36</v>
      </c>
      <c r="I8191" s="71" t="s">
        <v>2529</v>
      </c>
      <c r="J8191" s="53">
        <f>G8191-T8191-U8191</f>
        <v>1509600</v>
      </c>
      <c r="K8191" s="63">
        <f t="shared" si="4994"/>
        <v>0.33726541554959788</v>
      </c>
      <c r="L8191" s="1212" t="s">
        <v>4472</v>
      </c>
      <c r="M8191" s="102" t="s">
        <v>3964</v>
      </c>
      <c r="N8191" s="1192">
        <f t="shared" si="4989"/>
        <v>45955</v>
      </c>
      <c r="O8191" s="71" t="s">
        <v>662</v>
      </c>
      <c r="P8191" s="103" t="str">
        <f t="shared" si="4995"/>
        <v>Saphira CTP 판 900 x 571</v>
      </c>
      <c r="Q8191" s="71">
        <f t="shared" si="4996"/>
        <v>1200</v>
      </c>
      <c r="R8191" s="102">
        <v>2472</v>
      </c>
      <c r="S8191" s="102">
        <f t="shared" si="4997"/>
        <v>3263040.0000000005</v>
      </c>
      <c r="T8191" s="102">
        <f t="shared" si="4998"/>
        <v>2966400</v>
      </c>
      <c r="U8191" s="71"/>
      <c r="V8191" s="71"/>
      <c r="W8191" s="474">
        <v>1274000</v>
      </c>
      <c r="X8191" s="71"/>
      <c r="Y8191" s="71"/>
    </row>
    <row r="8192" spans="1:25" ht="30" hidden="1" customHeight="1" x14ac:dyDescent="0.25">
      <c r="A8192" s="1145">
        <v>45955</v>
      </c>
      <c r="B8192" s="664" t="s">
        <v>1060</v>
      </c>
      <c r="C8192" s="71" t="s">
        <v>3910</v>
      </c>
      <c r="D8192" s="71">
        <v>2400</v>
      </c>
      <c r="E8192" s="102">
        <v>3530</v>
      </c>
      <c r="F8192" s="102">
        <f t="shared" si="4992"/>
        <v>9319200</v>
      </c>
      <c r="G8192" s="102">
        <f t="shared" si="4993"/>
        <v>8472000</v>
      </c>
      <c r="H8192" s="690" t="s">
        <v>36</v>
      </c>
      <c r="I8192" s="71" t="s">
        <v>2529</v>
      </c>
      <c r="J8192" s="53">
        <f t="shared" ref="J8192:J8208" si="4999">G8192-T8192</f>
        <v>2836800</v>
      </c>
      <c r="K8192" s="63">
        <f t="shared" si="4994"/>
        <v>0.33484419263456089</v>
      </c>
      <c r="L8192" s="1212" t="s">
        <v>4472</v>
      </c>
      <c r="M8192" s="102" t="s">
        <v>3964</v>
      </c>
      <c r="N8192" s="1192">
        <f t="shared" si="4989"/>
        <v>45955</v>
      </c>
      <c r="O8192" s="71" t="s">
        <v>662</v>
      </c>
      <c r="P8192" s="103" t="str">
        <f t="shared" si="4995"/>
        <v>Saphira CTP 판 883 x 552</v>
      </c>
      <c r="Q8192" s="71">
        <f t="shared" si="4996"/>
        <v>2400</v>
      </c>
      <c r="R8192" s="102">
        <v>2348</v>
      </c>
      <c r="S8192" s="102">
        <f t="shared" si="4997"/>
        <v>6198720.0000000009</v>
      </c>
      <c r="T8192" s="102">
        <f t="shared" si="4998"/>
        <v>5635200</v>
      </c>
      <c r="U8192" s="71"/>
      <c r="V8192" s="71"/>
      <c r="W8192" s="474">
        <v>3325000</v>
      </c>
      <c r="X8192" s="71"/>
      <c r="Y8192" s="71"/>
    </row>
    <row r="8193" spans="1:25" ht="30" hidden="1" customHeight="1" x14ac:dyDescent="0.25">
      <c r="A8193" s="1145">
        <v>45955</v>
      </c>
      <c r="B8193" s="664" t="s">
        <v>1060</v>
      </c>
      <c r="C8193" s="71" t="s">
        <v>3911</v>
      </c>
      <c r="D8193" s="71">
        <v>700</v>
      </c>
      <c r="E8193" s="102">
        <v>5990</v>
      </c>
      <c r="F8193" s="102">
        <f t="shared" si="4992"/>
        <v>4612300</v>
      </c>
      <c r="G8193" s="102">
        <f t="shared" si="4993"/>
        <v>4193000</v>
      </c>
      <c r="H8193" s="690" t="s">
        <v>36</v>
      </c>
      <c r="I8193" s="71" t="s">
        <v>2529</v>
      </c>
      <c r="J8193" s="53">
        <f t="shared" si="4999"/>
        <v>1416800</v>
      </c>
      <c r="K8193" s="63">
        <f t="shared" si="4994"/>
        <v>0.33789649415692824</v>
      </c>
      <c r="L8193" s="1212" t="s">
        <v>4472</v>
      </c>
      <c r="M8193" s="102" t="s">
        <v>3964</v>
      </c>
      <c r="N8193" s="1192">
        <f t="shared" si="4989"/>
        <v>45955</v>
      </c>
      <c r="O8193" s="71" t="s">
        <v>662</v>
      </c>
      <c r="P8193" s="103" t="str">
        <f t="shared" si="4995"/>
        <v>Saphira CTP 판 1030 x 800</v>
      </c>
      <c r="Q8193" s="71">
        <f t="shared" si="4996"/>
        <v>700</v>
      </c>
      <c r="R8193" s="102">
        <v>3966</v>
      </c>
      <c r="S8193" s="102">
        <f t="shared" si="4997"/>
        <v>3053820.0000000005</v>
      </c>
      <c r="T8193" s="102">
        <f t="shared" si="4998"/>
        <v>2776200</v>
      </c>
      <c r="U8193" s="71"/>
      <c r="V8193" s="71"/>
      <c r="W8193" s="474">
        <v>636000</v>
      </c>
      <c r="X8193" s="71"/>
      <c r="Y8193" s="71"/>
    </row>
    <row r="8194" spans="1:25" ht="30" hidden="1" customHeight="1" x14ac:dyDescent="0.25">
      <c r="A8194" s="1145">
        <v>45955</v>
      </c>
      <c r="B8194" s="664" t="s">
        <v>1060</v>
      </c>
      <c r="C8194" s="71" t="s">
        <v>3912</v>
      </c>
      <c r="D8194" s="71">
        <v>300</v>
      </c>
      <c r="E8194" s="102">
        <v>6210</v>
      </c>
      <c r="F8194" s="102">
        <f t="shared" si="4992"/>
        <v>2049300.0000000002</v>
      </c>
      <c r="G8194" s="102">
        <f t="shared" si="4993"/>
        <v>1863000</v>
      </c>
      <c r="H8194" s="690" t="s">
        <v>36</v>
      </c>
      <c r="I8194" s="71" t="s">
        <v>2529</v>
      </c>
      <c r="J8194" s="53">
        <f t="shared" si="4999"/>
        <v>627000</v>
      </c>
      <c r="K8194" s="63">
        <f t="shared" si="4994"/>
        <v>0.33655394524959736</v>
      </c>
      <c r="L8194" s="1212" t="s">
        <v>4472</v>
      </c>
      <c r="M8194" s="102" t="s">
        <v>3964</v>
      </c>
      <c r="N8194" s="1192">
        <f t="shared" si="4989"/>
        <v>45955</v>
      </c>
      <c r="O8194" s="71" t="s">
        <v>662</v>
      </c>
      <c r="P8194" s="103" t="str">
        <f t="shared" si="4995"/>
        <v>Saphira CTP 판 1055 x 811</v>
      </c>
      <c r="Q8194" s="71">
        <f t="shared" si="4996"/>
        <v>300</v>
      </c>
      <c r="R8194" s="102">
        <v>4120</v>
      </c>
      <c r="S8194" s="102">
        <f t="shared" si="4997"/>
        <v>1359600</v>
      </c>
      <c r="T8194" s="102">
        <f t="shared" si="4998"/>
        <v>1236000</v>
      </c>
      <c r="U8194" s="71"/>
      <c r="V8194" s="71"/>
      <c r="W8194" s="474">
        <v>1476000</v>
      </c>
      <c r="X8194" s="71"/>
      <c r="Y8194" s="71"/>
    </row>
    <row r="8195" spans="1:25" ht="30" hidden="1" customHeight="1" x14ac:dyDescent="0.25">
      <c r="A8195" s="1145">
        <v>45955</v>
      </c>
      <c r="B8195" s="664" t="s">
        <v>1060</v>
      </c>
      <c r="C8195" s="71" t="s">
        <v>3913</v>
      </c>
      <c r="D8195" s="71">
        <v>400</v>
      </c>
      <c r="E8195" s="102">
        <v>4430</v>
      </c>
      <c r="F8195" s="102">
        <f t="shared" si="4992"/>
        <v>1949200.0000000002</v>
      </c>
      <c r="G8195" s="102">
        <f t="shared" si="4993"/>
        <v>1772000</v>
      </c>
      <c r="H8195" s="690" t="s">
        <v>36</v>
      </c>
      <c r="I8195" s="71" t="s">
        <v>2529</v>
      </c>
      <c r="J8195" s="53">
        <f t="shared" si="4999"/>
        <v>597600</v>
      </c>
      <c r="K8195" s="63">
        <f t="shared" si="4994"/>
        <v>0.33724604966139948</v>
      </c>
      <c r="L8195" s="1212" t="s">
        <v>4472</v>
      </c>
      <c r="M8195" s="102" t="s">
        <v>3964</v>
      </c>
      <c r="N8195" s="1192">
        <f t="shared" si="4989"/>
        <v>45955</v>
      </c>
      <c r="O8195" s="71" t="s">
        <v>662</v>
      </c>
      <c r="P8195" s="103" t="str">
        <f t="shared" si="4995"/>
        <v>Saphira CTP 판 968 x 631</v>
      </c>
      <c r="Q8195" s="71">
        <f t="shared" si="4996"/>
        <v>400</v>
      </c>
      <c r="R8195" s="102">
        <v>2936</v>
      </c>
      <c r="S8195" s="102">
        <f t="shared" si="4997"/>
        <v>1291840</v>
      </c>
      <c r="T8195" s="102">
        <f t="shared" si="4998"/>
        <v>1174400</v>
      </c>
      <c r="U8195" s="71"/>
      <c r="V8195" s="71"/>
      <c r="W8195" s="474">
        <v>1416000</v>
      </c>
      <c r="X8195" s="71"/>
      <c r="Y8195" s="71"/>
    </row>
    <row r="8196" spans="1:25" ht="30" hidden="1" customHeight="1" x14ac:dyDescent="0.25">
      <c r="A8196" s="1145">
        <v>45955</v>
      </c>
      <c r="B8196" s="664" t="s">
        <v>1060</v>
      </c>
      <c r="C8196" s="71" t="s">
        <v>3914</v>
      </c>
      <c r="D8196" s="71">
        <v>20</v>
      </c>
      <c r="E8196" s="102">
        <v>53680</v>
      </c>
      <c r="F8196" s="102">
        <f t="shared" si="4992"/>
        <v>1180960</v>
      </c>
      <c r="G8196" s="102">
        <f t="shared" si="4993"/>
        <v>1073600</v>
      </c>
      <c r="H8196" s="690" t="s">
        <v>36</v>
      </c>
      <c r="I8196" s="71" t="s">
        <v>2529</v>
      </c>
      <c r="J8196" s="53">
        <f t="shared" si="4999"/>
        <v>249600</v>
      </c>
      <c r="K8196" s="63">
        <f t="shared" si="4994"/>
        <v>0.23248882265275708</v>
      </c>
      <c r="L8196" s="1212" t="s">
        <v>4472</v>
      </c>
      <c r="M8196" s="468"/>
      <c r="N8196" s="1192">
        <f t="shared" si="4989"/>
        <v>45955</v>
      </c>
      <c r="O8196" s="71" t="s">
        <v>662</v>
      </c>
      <c r="P8196" s="103" t="str">
        <f t="shared" si="4995"/>
        <v>사피라 현상액</v>
      </c>
      <c r="Q8196" s="71">
        <f t="shared" si="4996"/>
        <v>20</v>
      </c>
      <c r="R8196" s="102">
        <v>41200</v>
      </c>
      <c r="S8196" s="102">
        <f t="shared" si="4997"/>
        <v>906400.00000000012</v>
      </c>
      <c r="T8196" s="102">
        <f t="shared" si="4998"/>
        <v>824000</v>
      </c>
      <c r="U8196" s="71"/>
      <c r="V8196" s="71"/>
      <c r="W8196" s="474">
        <v>978750</v>
      </c>
      <c r="X8196" s="71"/>
      <c r="Y8196" s="71"/>
    </row>
    <row r="8197" spans="1:25" ht="30" hidden="1" customHeight="1" x14ac:dyDescent="0.25">
      <c r="A8197" s="1145">
        <v>45955</v>
      </c>
      <c r="B8197" s="664" t="s">
        <v>1061</v>
      </c>
      <c r="C8197" s="71" t="s">
        <v>3319</v>
      </c>
      <c r="D8197" s="71">
        <v>200</v>
      </c>
      <c r="E8197" s="102">
        <v>6328</v>
      </c>
      <c r="F8197" s="102">
        <f t="shared" si="4992"/>
        <v>1392160</v>
      </c>
      <c r="G8197" s="102">
        <f t="shared" si="4993"/>
        <v>1265600</v>
      </c>
      <c r="H8197" s="690" t="s">
        <v>36</v>
      </c>
      <c r="I8197" s="71" t="s">
        <v>3320</v>
      </c>
      <c r="J8197" s="53">
        <f t="shared" si="4999"/>
        <v>95600</v>
      </c>
      <c r="K8197" s="63">
        <f t="shared" si="4994"/>
        <v>7.5537294563843241E-2</v>
      </c>
      <c r="L8197" s="1212" t="s">
        <v>4471</v>
      </c>
      <c r="M8197" s="468"/>
      <c r="N8197" s="1192">
        <f t="shared" si="4989"/>
        <v>45955</v>
      </c>
      <c r="O8197" s="71" t="s">
        <v>146</v>
      </c>
      <c r="P8197" s="103" t="str">
        <f t="shared" si="4995"/>
        <v>프리미어(먹)</v>
      </c>
      <c r="Q8197" s="71">
        <f t="shared" si="4996"/>
        <v>200</v>
      </c>
      <c r="R8197" s="102">
        <v>5850</v>
      </c>
      <c r="S8197" s="102">
        <f t="shared" si="4997"/>
        <v>1287000</v>
      </c>
      <c r="T8197" s="102">
        <f t="shared" si="4998"/>
        <v>1170000</v>
      </c>
      <c r="U8197" s="71"/>
      <c r="V8197" s="71"/>
      <c r="W8197" s="474">
        <v>411200</v>
      </c>
      <c r="X8197" s="71"/>
      <c r="Y8197" s="71"/>
    </row>
    <row r="8198" spans="1:25" ht="30" hidden="1" customHeight="1" x14ac:dyDescent="0.25">
      <c r="A8198" s="1145">
        <v>45955</v>
      </c>
      <c r="B8198" s="664" t="s">
        <v>1061</v>
      </c>
      <c r="C8198" s="71" t="s">
        <v>3321</v>
      </c>
      <c r="D8198" s="71">
        <v>400</v>
      </c>
      <c r="E8198" s="102">
        <v>6780</v>
      </c>
      <c r="F8198" s="102">
        <f t="shared" si="4992"/>
        <v>2983200.0000000005</v>
      </c>
      <c r="G8198" s="102">
        <f t="shared" si="4993"/>
        <v>2712000</v>
      </c>
      <c r="H8198" s="690" t="s">
        <v>36</v>
      </c>
      <c r="I8198" s="71" t="s">
        <v>3320</v>
      </c>
      <c r="J8198" s="53">
        <f t="shared" si="4999"/>
        <v>200000</v>
      </c>
      <c r="K8198" s="63">
        <f t="shared" si="4994"/>
        <v>7.3746312684365767E-2</v>
      </c>
      <c r="L8198" s="1212" t="s">
        <v>4471</v>
      </c>
      <c r="M8198" s="468"/>
      <c r="N8198" s="1192">
        <f t="shared" si="4989"/>
        <v>45955</v>
      </c>
      <c r="O8198" s="71" t="s">
        <v>146</v>
      </c>
      <c r="P8198" s="103" t="str">
        <f t="shared" si="4995"/>
        <v>프리미어(적)</v>
      </c>
      <c r="Q8198" s="71">
        <f t="shared" si="4996"/>
        <v>400</v>
      </c>
      <c r="R8198" s="102">
        <v>6280</v>
      </c>
      <c r="S8198" s="102">
        <f t="shared" si="4997"/>
        <v>2763200</v>
      </c>
      <c r="T8198" s="102">
        <f t="shared" si="4998"/>
        <v>2512000</v>
      </c>
      <c r="U8198" s="71"/>
      <c r="V8198" s="71"/>
      <c r="W8198" s="474">
        <v>292000</v>
      </c>
      <c r="X8198" s="71"/>
      <c r="Y8198" s="71"/>
    </row>
    <row r="8199" spans="1:25" ht="30" hidden="1" customHeight="1" x14ac:dyDescent="0.25">
      <c r="A8199" s="1145">
        <v>45955</v>
      </c>
      <c r="B8199" s="664" t="s">
        <v>1061</v>
      </c>
      <c r="C8199" s="71" t="s">
        <v>1289</v>
      </c>
      <c r="D8199" s="71">
        <v>400</v>
      </c>
      <c r="E8199" s="102">
        <v>6498</v>
      </c>
      <c r="F8199" s="102">
        <f t="shared" si="4992"/>
        <v>2859120</v>
      </c>
      <c r="G8199" s="102">
        <f t="shared" si="4993"/>
        <v>2599200</v>
      </c>
      <c r="H8199" s="690" t="s">
        <v>36</v>
      </c>
      <c r="I8199" s="71" t="s">
        <v>3320</v>
      </c>
      <c r="J8199" s="53">
        <f t="shared" si="4999"/>
        <v>191200</v>
      </c>
      <c r="K8199" s="63">
        <f t="shared" si="4994"/>
        <v>7.3561095721760547E-2</v>
      </c>
      <c r="L8199" s="1212" t="s">
        <v>4471</v>
      </c>
      <c r="M8199" s="468"/>
      <c r="N8199" s="1192">
        <f t="shared" si="4989"/>
        <v>45955</v>
      </c>
      <c r="O8199" s="71" t="s">
        <v>146</v>
      </c>
      <c r="P8199" s="103" t="str">
        <f t="shared" si="4995"/>
        <v>프리미어(황)</v>
      </c>
      <c r="Q8199" s="71">
        <f t="shared" si="4996"/>
        <v>400</v>
      </c>
      <c r="R8199" s="102">
        <v>6020</v>
      </c>
      <c r="S8199" s="102">
        <f t="shared" si="4997"/>
        <v>2648800</v>
      </c>
      <c r="T8199" s="102">
        <f t="shared" si="4998"/>
        <v>2408000</v>
      </c>
      <c r="U8199" s="71"/>
      <c r="V8199" s="71"/>
      <c r="W8199" s="474">
        <v>640800</v>
      </c>
      <c r="X8199" s="71"/>
      <c r="Y8199" s="71"/>
    </row>
    <row r="8200" spans="1:25" ht="30" hidden="1" customHeight="1" x14ac:dyDescent="0.25">
      <c r="A8200" s="1145">
        <v>45955</v>
      </c>
      <c r="B8200" s="664" t="s">
        <v>1061</v>
      </c>
      <c r="C8200" s="71" t="s">
        <v>1290</v>
      </c>
      <c r="D8200" s="71">
        <v>400</v>
      </c>
      <c r="E8200" s="102">
        <v>7910</v>
      </c>
      <c r="F8200" s="102">
        <f t="shared" si="4992"/>
        <v>3480400.0000000005</v>
      </c>
      <c r="G8200" s="102">
        <f t="shared" si="4993"/>
        <v>3164000</v>
      </c>
      <c r="H8200" s="690" t="s">
        <v>36</v>
      </c>
      <c r="I8200" s="71" t="s">
        <v>3320</v>
      </c>
      <c r="J8200" s="53">
        <f t="shared" si="4999"/>
        <v>240000</v>
      </c>
      <c r="K8200" s="63">
        <f t="shared" si="4994"/>
        <v>7.5853350189633365E-2</v>
      </c>
      <c r="L8200" s="1212" t="s">
        <v>4471</v>
      </c>
      <c r="M8200" s="468"/>
      <c r="N8200" s="1192">
        <f t="shared" si="4989"/>
        <v>45955</v>
      </c>
      <c r="O8200" s="71" t="s">
        <v>146</v>
      </c>
      <c r="P8200" s="103" t="str">
        <f t="shared" si="4995"/>
        <v>프리미어(청)</v>
      </c>
      <c r="Q8200" s="71">
        <f t="shared" si="4996"/>
        <v>400</v>
      </c>
      <c r="R8200" s="102">
        <v>7310</v>
      </c>
      <c r="S8200" s="102">
        <f t="shared" si="4997"/>
        <v>3216400.0000000005</v>
      </c>
      <c r="T8200" s="102">
        <f t="shared" si="4998"/>
        <v>2924000</v>
      </c>
      <c r="U8200" s="71"/>
      <c r="V8200" s="71"/>
      <c r="W8200" s="474">
        <v>846000</v>
      </c>
      <c r="X8200" s="71"/>
      <c r="Y8200" s="71"/>
    </row>
    <row r="8201" spans="1:25" ht="30" hidden="1" customHeight="1" x14ac:dyDescent="0.25">
      <c r="A8201" s="1145">
        <v>45955</v>
      </c>
      <c r="B8201" s="664" t="s">
        <v>1061</v>
      </c>
      <c r="C8201" s="71" t="s">
        <v>3322</v>
      </c>
      <c r="D8201" s="71"/>
      <c r="E8201" s="102">
        <v>7150</v>
      </c>
      <c r="F8201" s="102">
        <f t="shared" si="4992"/>
        <v>0</v>
      </c>
      <c r="G8201" s="102">
        <f t="shared" si="4993"/>
        <v>0</v>
      </c>
      <c r="H8201" s="690" t="s">
        <v>36</v>
      </c>
      <c r="I8201" s="71" t="s">
        <v>3320</v>
      </c>
      <c r="J8201" s="53">
        <f t="shared" si="4999"/>
        <v>0</v>
      </c>
      <c r="K8201" s="63" t="e">
        <f t="shared" si="4994"/>
        <v>#DIV/0!</v>
      </c>
      <c r="L8201" s="1212" t="s">
        <v>4471</v>
      </c>
      <c r="M8201" s="468"/>
      <c r="N8201" s="1192">
        <f t="shared" si="4989"/>
        <v>45955</v>
      </c>
      <c r="O8201" s="71" t="s">
        <v>3323</v>
      </c>
      <c r="P8201" s="103" t="str">
        <f t="shared" si="4995"/>
        <v>한특 잉크(적)</v>
      </c>
      <c r="Q8201" s="71">
        <f t="shared" si="4996"/>
        <v>0</v>
      </c>
      <c r="R8201" s="102">
        <v>6500</v>
      </c>
      <c r="S8201" s="102">
        <f t="shared" si="4997"/>
        <v>0</v>
      </c>
      <c r="T8201" s="102">
        <f t="shared" si="4998"/>
        <v>0</v>
      </c>
      <c r="U8201" s="71"/>
      <c r="V8201" s="71"/>
      <c r="W8201" s="474">
        <v>0</v>
      </c>
      <c r="X8201" s="71"/>
      <c r="Y8201" s="71"/>
    </row>
    <row r="8202" spans="1:25" ht="30" hidden="1" customHeight="1" x14ac:dyDescent="0.25">
      <c r="A8202" s="1145">
        <v>45955</v>
      </c>
      <c r="B8202" s="664" t="s">
        <v>1061</v>
      </c>
      <c r="C8202" s="71" t="s">
        <v>3324</v>
      </c>
      <c r="D8202" s="71"/>
      <c r="E8202" s="102">
        <v>6900</v>
      </c>
      <c r="F8202" s="102">
        <f t="shared" si="4992"/>
        <v>0</v>
      </c>
      <c r="G8202" s="102">
        <f t="shared" si="4993"/>
        <v>0</v>
      </c>
      <c r="H8202" s="690" t="s">
        <v>36</v>
      </c>
      <c r="I8202" s="71" t="s">
        <v>3320</v>
      </c>
      <c r="J8202" s="53">
        <f t="shared" si="4999"/>
        <v>0</v>
      </c>
      <c r="K8202" s="63" t="e">
        <f t="shared" si="4994"/>
        <v>#DIV/0!</v>
      </c>
      <c r="L8202" s="1212" t="s">
        <v>4471</v>
      </c>
      <c r="M8202" s="468"/>
      <c r="N8202" s="1192">
        <f t="shared" si="4989"/>
        <v>45955</v>
      </c>
      <c r="O8202" s="71" t="s">
        <v>3323</v>
      </c>
      <c r="P8202" s="103" t="str">
        <f t="shared" si="4995"/>
        <v>한특 잉크(황)</v>
      </c>
      <c r="Q8202" s="71">
        <f t="shared" si="4996"/>
        <v>0</v>
      </c>
      <c r="R8202" s="102">
        <v>6200</v>
      </c>
      <c r="S8202" s="102">
        <f t="shared" si="4997"/>
        <v>0</v>
      </c>
      <c r="T8202" s="102">
        <f t="shared" si="4998"/>
        <v>0</v>
      </c>
      <c r="U8202" s="71"/>
      <c r="V8202" s="71"/>
      <c r="W8202" s="474">
        <v>0</v>
      </c>
      <c r="X8202" s="71"/>
      <c r="Y8202" s="71"/>
    </row>
    <row r="8203" spans="1:25" ht="28.5" hidden="1" customHeight="1" x14ac:dyDescent="0.25">
      <c r="A8203" s="1145">
        <v>45955</v>
      </c>
      <c r="B8203" s="664" t="s">
        <v>1061</v>
      </c>
      <c r="C8203" s="71" t="s">
        <v>3325</v>
      </c>
      <c r="D8203" s="71"/>
      <c r="E8203" s="102">
        <v>7500</v>
      </c>
      <c r="F8203" s="102">
        <f t="shared" si="4992"/>
        <v>0</v>
      </c>
      <c r="G8203" s="102">
        <f t="shared" si="4993"/>
        <v>0</v>
      </c>
      <c r="H8203" s="690" t="s">
        <v>36</v>
      </c>
      <c r="I8203" s="71" t="s">
        <v>3320</v>
      </c>
      <c r="J8203" s="53">
        <f t="shared" si="4999"/>
        <v>0</v>
      </c>
      <c r="K8203" s="63" t="e">
        <f t="shared" si="4994"/>
        <v>#DIV/0!</v>
      </c>
      <c r="L8203" s="1212" t="s">
        <v>4471</v>
      </c>
      <c r="M8203" s="468"/>
      <c r="N8203" s="1192">
        <f t="shared" si="4989"/>
        <v>45955</v>
      </c>
      <c r="O8203" s="71" t="s">
        <v>3323</v>
      </c>
      <c r="P8203" s="103" t="str">
        <f t="shared" si="4995"/>
        <v>한특 잉크(청)</v>
      </c>
      <c r="Q8203" s="71">
        <f t="shared" si="4996"/>
        <v>0</v>
      </c>
      <c r="R8203" s="102">
        <v>6600</v>
      </c>
      <c r="S8203" s="102">
        <f t="shared" si="4997"/>
        <v>0</v>
      </c>
      <c r="T8203" s="102">
        <f t="shared" si="4998"/>
        <v>0</v>
      </c>
      <c r="U8203" s="71"/>
      <c r="V8203" s="71"/>
      <c r="W8203" s="474">
        <v>0</v>
      </c>
      <c r="X8203" s="71"/>
      <c r="Y8203" s="71"/>
    </row>
    <row r="8204" spans="1:25" ht="30" hidden="1" customHeight="1" x14ac:dyDescent="0.25">
      <c r="A8204" s="1145">
        <v>45955</v>
      </c>
      <c r="B8204" s="664" t="s">
        <v>1061</v>
      </c>
      <c r="C8204" s="71" t="s">
        <v>3326</v>
      </c>
      <c r="D8204" s="71"/>
      <c r="E8204" s="102">
        <v>6450</v>
      </c>
      <c r="F8204" s="102">
        <f t="shared" si="4992"/>
        <v>0</v>
      </c>
      <c r="G8204" s="102">
        <f t="shared" si="4993"/>
        <v>0</v>
      </c>
      <c r="H8204" s="690" t="s">
        <v>36</v>
      </c>
      <c r="I8204" s="71" t="s">
        <v>3320</v>
      </c>
      <c r="J8204" s="53">
        <f t="shared" si="4999"/>
        <v>0</v>
      </c>
      <c r="K8204" s="63" t="e">
        <f t="shared" si="4994"/>
        <v>#DIV/0!</v>
      </c>
      <c r="L8204" s="1212" t="s">
        <v>4471</v>
      </c>
      <c r="M8204" s="468"/>
      <c r="N8204" s="1192">
        <f t="shared" si="4989"/>
        <v>45955</v>
      </c>
      <c r="O8204" s="71" t="s">
        <v>3323</v>
      </c>
      <c r="P8204" s="103" t="str">
        <f t="shared" si="4995"/>
        <v>한특 잉크(먹)</v>
      </c>
      <c r="Q8204" s="71">
        <f t="shared" si="4996"/>
        <v>0</v>
      </c>
      <c r="R8204" s="102">
        <v>5700</v>
      </c>
      <c r="S8204" s="102">
        <f t="shared" si="4997"/>
        <v>0</v>
      </c>
      <c r="T8204" s="102">
        <f t="shared" si="4998"/>
        <v>0</v>
      </c>
      <c r="U8204" s="71"/>
      <c r="V8204" s="71"/>
      <c r="W8204" s="474">
        <v>0</v>
      </c>
      <c r="X8204" s="71"/>
      <c r="Y8204" s="71"/>
    </row>
    <row r="8205" spans="1:25" ht="30" hidden="1" customHeight="1" x14ac:dyDescent="0.25">
      <c r="A8205" s="1145">
        <v>45955</v>
      </c>
      <c r="B8205" s="664" t="s">
        <v>1061</v>
      </c>
      <c r="C8205" s="71" t="s">
        <v>4215</v>
      </c>
      <c r="D8205" s="71"/>
      <c r="E8205" s="102">
        <v>33500</v>
      </c>
      <c r="F8205" s="102">
        <f t="shared" si="4992"/>
        <v>0</v>
      </c>
      <c r="G8205" s="102">
        <f t="shared" si="4993"/>
        <v>0</v>
      </c>
      <c r="H8205" s="690" t="s">
        <v>36</v>
      </c>
      <c r="I8205" s="71" t="s">
        <v>3320</v>
      </c>
      <c r="J8205" s="53">
        <f t="shared" si="4999"/>
        <v>0</v>
      </c>
      <c r="K8205" s="63" t="e">
        <f t="shared" si="4994"/>
        <v>#DIV/0!</v>
      </c>
      <c r="L8205" s="1212" t="s">
        <v>4471</v>
      </c>
      <c r="M8205" s="468"/>
      <c r="N8205" s="1192">
        <f t="shared" si="4989"/>
        <v>45955</v>
      </c>
      <c r="O8205" s="71" t="s">
        <v>2459</v>
      </c>
      <c r="P8205" s="103" t="str">
        <f t="shared" si="4995"/>
        <v>별색 - 프린피아 PT-803</v>
      </c>
      <c r="Q8205" s="71">
        <f t="shared" si="4996"/>
        <v>0</v>
      </c>
      <c r="R8205" s="102">
        <v>31000</v>
      </c>
      <c r="S8205" s="102">
        <f t="shared" si="4997"/>
        <v>0</v>
      </c>
      <c r="T8205" s="102">
        <f t="shared" si="4998"/>
        <v>0</v>
      </c>
      <c r="U8205" s="71"/>
      <c r="V8205" s="71"/>
      <c r="W8205" s="474"/>
      <c r="X8205" s="71"/>
      <c r="Y8205" s="71"/>
    </row>
    <row r="8206" spans="1:25" ht="30" hidden="1" customHeight="1" x14ac:dyDescent="0.25">
      <c r="A8206" s="1145">
        <v>45955</v>
      </c>
      <c r="B8206" s="664" t="s">
        <v>1061</v>
      </c>
      <c r="C8206" s="71" t="s">
        <v>4393</v>
      </c>
      <c r="D8206" s="71"/>
      <c r="E8206" s="102">
        <v>22400</v>
      </c>
      <c r="F8206" s="102">
        <f t="shared" si="4992"/>
        <v>0</v>
      </c>
      <c r="G8206" s="102">
        <f t="shared" si="4993"/>
        <v>0</v>
      </c>
      <c r="H8206" s="690" t="s">
        <v>36</v>
      </c>
      <c r="I8206" s="71" t="s">
        <v>3320</v>
      </c>
      <c r="J8206" s="53">
        <f t="shared" si="4999"/>
        <v>0</v>
      </c>
      <c r="K8206" s="63" t="e">
        <f t="shared" si="4994"/>
        <v>#DIV/0!</v>
      </c>
      <c r="L8206" s="1212" t="s">
        <v>4471</v>
      </c>
      <c r="M8206" s="468"/>
      <c r="N8206" s="1192">
        <f t="shared" si="4989"/>
        <v>45955</v>
      </c>
      <c r="O8206" s="71" t="s">
        <v>3323</v>
      </c>
      <c r="P8206" s="103" t="str">
        <f t="shared" si="4995"/>
        <v>별색 - 프린피아 PT-810C 형광</v>
      </c>
      <c r="Q8206" s="71">
        <f t="shared" si="4996"/>
        <v>0</v>
      </c>
      <c r="R8206" s="102">
        <v>11700</v>
      </c>
      <c r="S8206" s="102">
        <f t="shared" si="4997"/>
        <v>0</v>
      </c>
      <c r="T8206" s="102">
        <f t="shared" si="4998"/>
        <v>0</v>
      </c>
      <c r="U8206" s="71"/>
      <c r="V8206" s="71"/>
      <c r="W8206" s="474"/>
      <c r="X8206" s="71"/>
      <c r="Y8206" s="71"/>
    </row>
    <row r="8207" spans="1:25" ht="30" hidden="1" customHeight="1" x14ac:dyDescent="0.25">
      <c r="A8207" s="1145">
        <v>45955</v>
      </c>
      <c r="B8207" s="664" t="s">
        <v>3307</v>
      </c>
      <c r="C8207" s="71" t="s">
        <v>3916</v>
      </c>
      <c r="D8207" s="71">
        <v>0</v>
      </c>
      <c r="E8207" s="102">
        <v>218000</v>
      </c>
      <c r="F8207" s="102">
        <f t="shared" si="4992"/>
        <v>0</v>
      </c>
      <c r="G8207" s="102">
        <f t="shared" si="4993"/>
        <v>0</v>
      </c>
      <c r="H8207" s="690" t="s">
        <v>172</v>
      </c>
      <c r="I8207" s="71" t="s">
        <v>33</v>
      </c>
      <c r="J8207" s="53">
        <f t="shared" si="4999"/>
        <v>0</v>
      </c>
      <c r="K8207" s="63" t="e">
        <f t="shared" si="4994"/>
        <v>#DIV/0!</v>
      </c>
      <c r="L8207" s="1212" t="s">
        <v>4471</v>
      </c>
      <c r="M8207" s="468" t="s">
        <v>3965</v>
      </c>
      <c r="N8207" s="1192">
        <f t="shared" si="4989"/>
        <v>45955</v>
      </c>
      <c r="O8207" s="71" t="s">
        <v>662</v>
      </c>
      <c r="P8207" s="103" t="str">
        <f t="shared" si="4995"/>
        <v>윤전 블랑켓</v>
      </c>
      <c r="Q8207" s="71">
        <f t="shared" si="4996"/>
        <v>0</v>
      </c>
      <c r="R8207" s="102">
        <v>166500</v>
      </c>
      <c r="S8207" s="102">
        <f t="shared" si="4997"/>
        <v>0</v>
      </c>
      <c r="T8207" s="102">
        <f t="shared" si="4998"/>
        <v>0</v>
      </c>
      <c r="U8207" s="71"/>
      <c r="V8207" s="71" t="s">
        <v>728</v>
      </c>
      <c r="W8207" s="474">
        <v>464000</v>
      </c>
      <c r="X8207" s="71"/>
      <c r="Y8207" s="71"/>
    </row>
    <row r="8208" spans="1:25" ht="30" hidden="1" customHeight="1" x14ac:dyDescent="0.25">
      <c r="A8208" s="1145">
        <v>45955</v>
      </c>
      <c r="B8208" s="664" t="s">
        <v>3307</v>
      </c>
      <c r="C8208" s="71" t="s">
        <v>3918</v>
      </c>
      <c r="D8208" s="71">
        <v>1</v>
      </c>
      <c r="E8208" s="102">
        <v>2350000</v>
      </c>
      <c r="F8208" s="102">
        <f t="shared" si="4992"/>
        <v>2585000</v>
      </c>
      <c r="G8208" s="102">
        <f t="shared" si="4993"/>
        <v>2350000</v>
      </c>
      <c r="H8208" s="690" t="s">
        <v>36</v>
      </c>
      <c r="I8208" s="690" t="s">
        <v>36</v>
      </c>
      <c r="J8208" s="53">
        <f t="shared" si="4999"/>
        <v>600000</v>
      </c>
      <c r="K8208" s="63">
        <f t="shared" si="4994"/>
        <v>0.25531914893617019</v>
      </c>
      <c r="L8208" s="1212" t="s">
        <v>4471</v>
      </c>
      <c r="M8208" s="468"/>
      <c r="N8208" s="1192">
        <f t="shared" si="4989"/>
        <v>45955</v>
      </c>
      <c r="O8208" s="71" t="s">
        <v>3298</v>
      </c>
      <c r="P8208" s="103" t="str">
        <f t="shared" si="4995"/>
        <v>10월분 Apogee 사용료</v>
      </c>
      <c r="Q8208" s="71">
        <f t="shared" si="4996"/>
        <v>1</v>
      </c>
      <c r="R8208" s="147">
        <v>1750000</v>
      </c>
      <c r="S8208" s="102">
        <f t="shared" si="4997"/>
        <v>1925000.0000000002</v>
      </c>
      <c r="T8208" s="102">
        <f t="shared" si="4998"/>
        <v>1750000</v>
      </c>
      <c r="U8208" s="71"/>
      <c r="V8208" s="71"/>
      <c r="W8208" s="474"/>
      <c r="X8208" s="71"/>
      <c r="Y8208" s="71"/>
    </row>
    <row r="8209" spans="1:25" ht="30" customHeight="1" x14ac:dyDescent="0.25">
      <c r="A8209" s="1145">
        <v>45950</v>
      </c>
      <c r="B8209" s="664" t="s">
        <v>2352</v>
      </c>
      <c r="C8209" s="71" t="s">
        <v>3836</v>
      </c>
      <c r="D8209" s="71">
        <v>48</v>
      </c>
      <c r="E8209" s="102">
        <v>18500</v>
      </c>
      <c r="F8209" s="102">
        <f t="shared" si="4992"/>
        <v>976800.00000000012</v>
      </c>
      <c r="G8209" s="102">
        <f t="shared" si="4993"/>
        <v>888000</v>
      </c>
      <c r="H8209" s="690" t="s">
        <v>179</v>
      </c>
      <c r="I8209" s="71" t="s">
        <v>179</v>
      </c>
      <c r="J8209" s="53">
        <v>355968</v>
      </c>
      <c r="K8209" s="63">
        <v>0.40086486486486483</v>
      </c>
      <c r="L8209" s="1212" t="s">
        <v>4471</v>
      </c>
      <c r="M8209" s="468"/>
      <c r="N8209" s="1192">
        <f t="shared" si="4989"/>
        <v>45950</v>
      </c>
      <c r="O8209" s="71"/>
      <c r="P8209" s="103" t="str">
        <f t="shared" si="4995"/>
        <v>고모리 윤전 블랑켓 건식 세정포 - 국전용</v>
      </c>
      <c r="Q8209" s="71">
        <f t="shared" si="4996"/>
        <v>48</v>
      </c>
      <c r="R8209" s="102">
        <v>11084</v>
      </c>
      <c r="S8209" s="102">
        <v>585235.20000000007</v>
      </c>
      <c r="T8209" s="102">
        <v>532032</v>
      </c>
      <c r="U8209" s="71"/>
      <c r="V8209" s="71"/>
      <c r="W8209" s="474"/>
      <c r="X8209" s="71"/>
      <c r="Y8209" s="71"/>
    </row>
    <row r="8210" spans="1:25" ht="30" customHeight="1" x14ac:dyDescent="0.25">
      <c r="A8210" s="1145">
        <v>45950</v>
      </c>
      <c r="B8210" s="664" t="s">
        <v>2352</v>
      </c>
      <c r="C8210" s="71" t="s">
        <v>3837</v>
      </c>
      <c r="D8210" s="71">
        <v>48</v>
      </c>
      <c r="E8210" s="102">
        <v>13500</v>
      </c>
      <c r="F8210" s="102">
        <f t="shared" si="4992"/>
        <v>712800</v>
      </c>
      <c r="G8210" s="102">
        <f t="shared" si="4993"/>
        <v>648000</v>
      </c>
      <c r="H8210" s="690" t="s">
        <v>179</v>
      </c>
      <c r="I8210" s="71" t="s">
        <v>179</v>
      </c>
      <c r="J8210" s="53">
        <v>164320</v>
      </c>
      <c r="K8210" s="63">
        <v>0.3803703703703703</v>
      </c>
      <c r="L8210" s="1212" t="s">
        <v>4471</v>
      </c>
      <c r="M8210" s="468"/>
      <c r="N8210" s="1192">
        <f t="shared" si="4989"/>
        <v>45950</v>
      </c>
      <c r="O8210" s="71"/>
      <c r="P8210" s="103" t="str">
        <f t="shared" si="4995"/>
        <v>고모리 윤전 블랑켓 건식 세정포 - 4x6용</v>
      </c>
      <c r="Q8210" s="71">
        <f t="shared" si="4996"/>
        <v>48</v>
      </c>
      <c r="R8210" s="102">
        <v>8365</v>
      </c>
      <c r="S8210" s="102">
        <v>294448</v>
      </c>
      <c r="T8210" s="102">
        <v>267680</v>
      </c>
      <c r="U8210" s="71"/>
      <c r="V8210" s="71"/>
      <c r="W8210" s="474"/>
      <c r="X8210" s="71"/>
      <c r="Y8210" s="71"/>
    </row>
    <row r="8211" spans="1:25" ht="27" hidden="1" customHeight="1" x14ac:dyDescent="0.25">
      <c r="A8211" s="1145">
        <v>45932</v>
      </c>
      <c r="B8211" s="664" t="s">
        <v>2353</v>
      </c>
      <c r="C8211" s="71" t="s">
        <v>2648</v>
      </c>
      <c r="D8211" s="71">
        <v>4</v>
      </c>
      <c r="E8211" s="102">
        <v>50000</v>
      </c>
      <c r="F8211" s="102">
        <f t="shared" si="4992"/>
        <v>220000.00000000003</v>
      </c>
      <c r="G8211" s="102">
        <f t="shared" si="4993"/>
        <v>200000</v>
      </c>
      <c r="H8211" s="690" t="s">
        <v>179</v>
      </c>
      <c r="I8211" s="690" t="s">
        <v>179</v>
      </c>
      <c r="J8211" s="53">
        <f t="shared" ref="J8211:J8213" si="5000">G8211-T8211</f>
        <v>104000</v>
      </c>
      <c r="K8211" s="63">
        <f t="shared" ref="K8211:K8213" si="5001">(J8211/(F8211/11*10))</f>
        <v>0.51999999999999991</v>
      </c>
      <c r="L8211" s="1212" t="s">
        <v>4471</v>
      </c>
      <c r="M8211" s="468"/>
      <c r="N8211" s="1192">
        <f t="shared" si="4989"/>
        <v>45932</v>
      </c>
      <c r="O8211" s="71" t="s">
        <v>94</v>
      </c>
      <c r="P8211" s="103" t="str">
        <f t="shared" si="4995"/>
        <v>주머니 필터백</v>
      </c>
      <c r="Q8211" s="71">
        <f t="shared" si="4996"/>
        <v>4</v>
      </c>
      <c r="R8211" s="102">
        <v>24000</v>
      </c>
      <c r="S8211" s="102">
        <f t="shared" ref="S8211:S8212" si="5002">R8211*Q8211*1.1</f>
        <v>105600.00000000001</v>
      </c>
      <c r="T8211" s="102">
        <f t="shared" ref="T8211:T8212" si="5003">R8211*Q8211</f>
        <v>96000</v>
      </c>
      <c r="U8211" s="71"/>
      <c r="V8211" s="71"/>
      <c r="W8211" s="474"/>
      <c r="X8211" s="71"/>
      <c r="Y8211" s="71"/>
    </row>
    <row r="8212" spans="1:25" ht="30" hidden="1" customHeight="1" x14ac:dyDescent="0.25">
      <c r="A8212" s="1145">
        <v>45932</v>
      </c>
      <c r="B8212" s="664" t="s">
        <v>2353</v>
      </c>
      <c r="C8212" s="71" t="s">
        <v>584</v>
      </c>
      <c r="D8212" s="71">
        <v>4</v>
      </c>
      <c r="E8212" s="102">
        <v>270000</v>
      </c>
      <c r="F8212" s="102">
        <f t="shared" si="4992"/>
        <v>1188000</v>
      </c>
      <c r="G8212" s="102">
        <f t="shared" si="4993"/>
        <v>1080000</v>
      </c>
      <c r="H8212" s="690" t="s">
        <v>142</v>
      </c>
      <c r="I8212" s="71" t="s">
        <v>179</v>
      </c>
      <c r="J8212" s="53">
        <f t="shared" si="5000"/>
        <v>328000</v>
      </c>
      <c r="K8212" s="63">
        <f t="shared" si="5001"/>
        <v>0.3037037037037037</v>
      </c>
      <c r="L8212" s="1212" t="s">
        <v>4471</v>
      </c>
      <c r="M8212" s="468"/>
      <c r="N8212" s="1192">
        <f t="shared" si="4989"/>
        <v>45932</v>
      </c>
      <c r="O8212" s="71" t="s">
        <v>150</v>
      </c>
      <c r="P8212" s="103" t="str">
        <f t="shared" si="4995"/>
        <v>데리바리 석션벨트</v>
      </c>
      <c r="Q8212" s="71">
        <f t="shared" si="4996"/>
        <v>4</v>
      </c>
      <c r="R8212" s="102">
        <v>188000</v>
      </c>
      <c r="S8212" s="102">
        <f t="shared" si="5002"/>
        <v>827200.00000000012</v>
      </c>
      <c r="T8212" s="102">
        <f t="shared" si="5003"/>
        <v>752000</v>
      </c>
      <c r="U8212" s="71" t="str">
        <f>IF(J8212=W8212,"O", "X")</f>
        <v>O</v>
      </c>
      <c r="V8212" s="71"/>
      <c r="W8212" s="474">
        <f>(G8212-T8212)</f>
        <v>328000</v>
      </c>
      <c r="X8212" s="71"/>
      <c r="Y8212" s="71"/>
    </row>
    <row r="8213" spans="1:25" ht="30" hidden="1" customHeight="1" x14ac:dyDescent="0.25">
      <c r="A8213" s="1145">
        <v>45932</v>
      </c>
      <c r="B8213" s="664" t="s">
        <v>2353</v>
      </c>
      <c r="C8213" s="71" t="s">
        <v>4473</v>
      </c>
      <c r="D8213" s="71">
        <v>4</v>
      </c>
      <c r="E8213" s="102">
        <v>162000</v>
      </c>
      <c r="F8213" s="102">
        <f t="shared" si="4992"/>
        <v>712800</v>
      </c>
      <c r="G8213" s="102">
        <f t="shared" si="4993"/>
        <v>648000</v>
      </c>
      <c r="H8213" s="690" t="s">
        <v>142</v>
      </c>
      <c r="I8213" s="71" t="s">
        <v>179</v>
      </c>
      <c r="J8213" s="53">
        <f t="shared" si="5000"/>
        <v>0</v>
      </c>
      <c r="K8213" s="63">
        <f t="shared" si="5001"/>
        <v>0</v>
      </c>
      <c r="L8213" s="1212" t="s">
        <v>4471</v>
      </c>
      <c r="M8213" s="102"/>
      <c r="N8213" s="1192">
        <f t="shared" si="4989"/>
        <v>45932</v>
      </c>
      <c r="O8213" s="71" t="s">
        <v>2030</v>
      </c>
      <c r="P8213" s="103" t="str">
        <f t="shared" si="4995"/>
        <v>파우다 필터</v>
      </c>
      <c r="Q8213" s="71">
        <f t="shared" si="4996"/>
        <v>4</v>
      </c>
      <c r="R8213" s="102">
        <v>162000</v>
      </c>
      <c r="S8213" s="102">
        <f t="shared" si="4985"/>
        <v>712800</v>
      </c>
      <c r="T8213" s="102">
        <f t="shared" si="4986"/>
        <v>648000</v>
      </c>
      <c r="U8213" s="71"/>
      <c r="V8213" s="71"/>
      <c r="W8213" s="474"/>
      <c r="X8213" s="71"/>
      <c r="Y8213" s="71"/>
    </row>
    <row r="8214" spans="1:25" ht="27" hidden="1" customHeight="1" x14ac:dyDescent="0.25">
      <c r="A8214" s="1145">
        <v>45947</v>
      </c>
      <c r="B8214" s="664" t="s">
        <v>2353</v>
      </c>
      <c r="C8214" s="71" t="s">
        <v>2648</v>
      </c>
      <c r="D8214" s="71">
        <v>4</v>
      </c>
      <c r="E8214" s="102">
        <v>50000</v>
      </c>
      <c r="F8214" s="102">
        <f t="shared" ref="F8214:F8222" si="5004">(E8214*D8214)*1.1</f>
        <v>220000.00000000003</v>
      </c>
      <c r="G8214" s="102">
        <f t="shared" ref="G8214:G8222" si="5005">(E8214*D8214)</f>
        <v>200000</v>
      </c>
      <c r="H8214" s="690" t="s">
        <v>179</v>
      </c>
      <c r="I8214" s="690" t="s">
        <v>179</v>
      </c>
      <c r="J8214" s="53">
        <f t="shared" ref="J8214:J8222" si="5006">G8214-T8214</f>
        <v>104000</v>
      </c>
      <c r="K8214" s="63">
        <f t="shared" ref="K8214:K8222" si="5007">(J8214/(F8214/11*10))</f>
        <v>0.51999999999999991</v>
      </c>
      <c r="L8214" s="1212" t="s">
        <v>4471</v>
      </c>
      <c r="M8214" s="468"/>
      <c r="N8214" s="1192">
        <f t="shared" ref="N8214:N8217" si="5008">A8214</f>
        <v>45947</v>
      </c>
      <c r="O8214" s="71" t="s">
        <v>94</v>
      </c>
      <c r="P8214" s="103" t="str">
        <f t="shared" ref="P8214:P8222" si="5009">(C8214)</f>
        <v>주머니 필터백</v>
      </c>
      <c r="Q8214" s="71">
        <f t="shared" ref="Q8214:Q8222" si="5010">D8214</f>
        <v>4</v>
      </c>
      <c r="R8214" s="102">
        <v>24000</v>
      </c>
      <c r="S8214" s="102">
        <f t="shared" si="4985"/>
        <v>105600.00000000001</v>
      </c>
      <c r="T8214" s="102">
        <f t="shared" si="4986"/>
        <v>96000</v>
      </c>
      <c r="U8214" s="71"/>
      <c r="V8214" s="71"/>
      <c r="W8214" s="474"/>
      <c r="X8214" s="71"/>
      <c r="Y8214" s="71"/>
    </row>
    <row r="8215" spans="1:25" ht="30" hidden="1" customHeight="1" x14ac:dyDescent="0.25">
      <c r="A8215" s="1145">
        <v>45947</v>
      </c>
      <c r="B8215" s="664" t="s">
        <v>2353</v>
      </c>
      <c r="C8215" s="71" t="s">
        <v>3384</v>
      </c>
      <c r="D8215" s="71">
        <v>300</v>
      </c>
      <c r="E8215" s="102">
        <v>500</v>
      </c>
      <c r="F8215" s="102">
        <f t="shared" si="5004"/>
        <v>165000</v>
      </c>
      <c r="G8215" s="102">
        <f t="shared" si="5005"/>
        <v>150000</v>
      </c>
      <c r="H8215" s="690" t="s">
        <v>142</v>
      </c>
      <c r="I8215" s="71" t="s">
        <v>179</v>
      </c>
      <c r="J8215" s="53">
        <f t="shared" si="5006"/>
        <v>30000</v>
      </c>
      <c r="K8215" s="63">
        <f t="shared" si="5007"/>
        <v>0.2</v>
      </c>
      <c r="L8215" s="1212" t="s">
        <v>4471</v>
      </c>
      <c r="M8215" s="468"/>
      <c r="N8215" s="1192">
        <f t="shared" si="5008"/>
        <v>45947</v>
      </c>
      <c r="O8215" s="71"/>
      <c r="P8215" s="164" t="str">
        <f t="shared" si="5009"/>
        <v>고무사카 빨간색</v>
      </c>
      <c r="Q8215" s="71">
        <f t="shared" si="5010"/>
        <v>300</v>
      </c>
      <c r="R8215" s="690">
        <v>400</v>
      </c>
      <c r="S8215" s="102">
        <f t="shared" si="4985"/>
        <v>132000</v>
      </c>
      <c r="T8215" s="102">
        <f t="shared" si="4986"/>
        <v>120000</v>
      </c>
      <c r="U8215" s="71"/>
      <c r="V8215" s="71"/>
      <c r="W8215" s="474"/>
      <c r="X8215" s="71"/>
      <c r="Y8215" s="71"/>
    </row>
    <row r="8216" spans="1:25" ht="30" hidden="1" customHeight="1" x14ac:dyDescent="0.25">
      <c r="A8216" s="1145">
        <v>45947</v>
      </c>
      <c r="B8216" s="664" t="s">
        <v>2353</v>
      </c>
      <c r="C8216" s="71" t="s">
        <v>3862</v>
      </c>
      <c r="D8216" s="71">
        <v>50</v>
      </c>
      <c r="E8216" s="102">
        <v>4000</v>
      </c>
      <c r="F8216" s="102">
        <f t="shared" si="5004"/>
        <v>220000.00000000003</v>
      </c>
      <c r="G8216" s="102">
        <f t="shared" si="5005"/>
        <v>200000</v>
      </c>
      <c r="H8216" s="690" t="s">
        <v>142</v>
      </c>
      <c r="I8216" s="71" t="s">
        <v>179</v>
      </c>
      <c r="J8216" s="53">
        <f t="shared" si="5006"/>
        <v>35000</v>
      </c>
      <c r="K8216" s="63">
        <f t="shared" si="5007"/>
        <v>0.17499999999999996</v>
      </c>
      <c r="L8216" s="1212" t="s">
        <v>4471</v>
      </c>
      <c r="M8216" s="102"/>
      <c r="N8216" s="1192">
        <f t="shared" si="5008"/>
        <v>45947</v>
      </c>
      <c r="O8216" s="71"/>
      <c r="P8216" s="103" t="str">
        <f t="shared" si="5009"/>
        <v>고무장갑</v>
      </c>
      <c r="Q8216" s="71">
        <f t="shared" si="5010"/>
        <v>50</v>
      </c>
      <c r="R8216" s="102">
        <v>3300</v>
      </c>
      <c r="S8216" s="102">
        <f t="shared" ref="S8216:S8279" si="5011">R8216*Q8216*1.1</f>
        <v>181500.00000000003</v>
      </c>
      <c r="T8216" s="102">
        <f t="shared" ref="T8216:T8279" si="5012">R8216*Q8216</f>
        <v>165000</v>
      </c>
      <c r="U8216" s="71"/>
      <c r="V8216" s="71"/>
      <c r="W8216" s="474"/>
      <c r="X8216" s="71"/>
      <c r="Y8216" s="71"/>
    </row>
    <row r="8217" spans="1:25" ht="30" hidden="1" customHeight="1" x14ac:dyDescent="0.25">
      <c r="A8217" s="1145">
        <v>45957</v>
      </c>
      <c r="B8217" s="664" t="s">
        <v>2353</v>
      </c>
      <c r="C8217" s="71" t="s">
        <v>707</v>
      </c>
      <c r="D8217" s="71">
        <v>3</v>
      </c>
      <c r="E8217" s="102">
        <v>264000</v>
      </c>
      <c r="F8217" s="102">
        <f t="shared" si="5004"/>
        <v>871200.00000000012</v>
      </c>
      <c r="G8217" s="102">
        <f t="shared" si="5005"/>
        <v>792000</v>
      </c>
      <c r="H8217" s="690" t="s">
        <v>142</v>
      </c>
      <c r="I8217" s="71" t="s">
        <v>179</v>
      </c>
      <c r="J8217" s="53">
        <f t="shared" si="5006"/>
        <v>226800</v>
      </c>
      <c r="K8217" s="63">
        <f t="shared" si="5007"/>
        <v>0.28636363636363632</v>
      </c>
      <c r="L8217" s="1212" t="s">
        <v>4471</v>
      </c>
      <c r="M8217" s="468"/>
      <c r="N8217" s="1192">
        <f t="shared" si="5008"/>
        <v>45957</v>
      </c>
      <c r="O8217" s="71" t="s">
        <v>150</v>
      </c>
      <c r="P8217" s="103" t="str">
        <f t="shared" si="5009"/>
        <v>롤러 오일</v>
      </c>
      <c r="Q8217" s="71">
        <f t="shared" si="5010"/>
        <v>3</v>
      </c>
      <c r="R8217" s="147">
        <f>15700*12</f>
        <v>188400</v>
      </c>
      <c r="S8217" s="102">
        <f t="shared" si="5011"/>
        <v>621720</v>
      </c>
      <c r="T8217" s="102">
        <f t="shared" si="5012"/>
        <v>565200</v>
      </c>
      <c r="U8217" s="71"/>
      <c r="V8217" s="71"/>
      <c r="W8217" s="474"/>
      <c r="X8217" s="71"/>
      <c r="Y8217" s="71"/>
    </row>
    <row r="8218" spans="1:25" s="209" customFormat="1" ht="30" hidden="1" customHeight="1" x14ac:dyDescent="0.25">
      <c r="A8218" s="1145">
        <v>45947</v>
      </c>
      <c r="B8218" s="664" t="s">
        <v>2353</v>
      </c>
      <c r="C8218" s="71" t="s">
        <v>130</v>
      </c>
      <c r="D8218" s="71">
        <v>10</v>
      </c>
      <c r="E8218" s="102">
        <v>148000</v>
      </c>
      <c r="F8218" s="102">
        <f t="shared" si="5004"/>
        <v>1628000.0000000002</v>
      </c>
      <c r="G8218" s="102">
        <f t="shared" si="5005"/>
        <v>1480000</v>
      </c>
      <c r="H8218" s="690" t="s">
        <v>142</v>
      </c>
      <c r="I8218" s="71" t="s">
        <v>179</v>
      </c>
      <c r="J8218" s="53">
        <f t="shared" si="5006"/>
        <v>360000</v>
      </c>
      <c r="K8218" s="63">
        <f t="shared" si="5007"/>
        <v>0.2432432432432432</v>
      </c>
      <c r="L8218" s="1212" t="s">
        <v>4471</v>
      </c>
      <c r="M8218" s="468" t="s">
        <v>2050</v>
      </c>
      <c r="N8218" s="1192">
        <f t="shared" ref="N8218:N8222" si="5013">A8218</f>
        <v>45947</v>
      </c>
      <c r="O8218" s="71" t="s">
        <v>3383</v>
      </c>
      <c r="P8218" s="103" t="str">
        <f t="shared" si="5009"/>
        <v>XL106 Blanket(1077*885)</v>
      </c>
      <c r="Q8218" s="71">
        <f t="shared" si="5010"/>
        <v>10</v>
      </c>
      <c r="R8218" s="102">
        <v>112000</v>
      </c>
      <c r="S8218" s="102">
        <f t="shared" si="5011"/>
        <v>1232000</v>
      </c>
      <c r="T8218" s="102">
        <f t="shared" si="5012"/>
        <v>1120000</v>
      </c>
      <c r="U8218" s="71" t="s">
        <v>859</v>
      </c>
      <c r="V8218" s="71"/>
      <c r="W8218" s="474">
        <v>260000</v>
      </c>
      <c r="X8218" s="71"/>
      <c r="Y8218" s="71"/>
    </row>
    <row r="8219" spans="1:25" ht="28.9" hidden="1" customHeight="1" x14ac:dyDescent="0.25">
      <c r="A8219" s="1145">
        <v>45947</v>
      </c>
      <c r="B8219" s="664" t="s">
        <v>2353</v>
      </c>
      <c r="C8219" s="71" t="s">
        <v>129</v>
      </c>
      <c r="D8219" s="71">
        <v>7</v>
      </c>
      <c r="E8219" s="102">
        <v>325000</v>
      </c>
      <c r="F8219" s="102">
        <f t="shared" si="5004"/>
        <v>2502500</v>
      </c>
      <c r="G8219" s="102">
        <f t="shared" si="5005"/>
        <v>2275000</v>
      </c>
      <c r="H8219" s="690" t="s">
        <v>142</v>
      </c>
      <c r="I8219" s="71" t="s">
        <v>179</v>
      </c>
      <c r="J8219" s="53">
        <f t="shared" si="5006"/>
        <v>636440</v>
      </c>
      <c r="K8219" s="63">
        <f t="shared" si="5007"/>
        <v>0.27975384615384613</v>
      </c>
      <c r="L8219" s="1212" t="s">
        <v>4471</v>
      </c>
      <c r="M8219" s="468" t="s">
        <v>2050</v>
      </c>
      <c r="N8219" s="1192">
        <f t="shared" si="5013"/>
        <v>45947</v>
      </c>
      <c r="O8219" s="71" t="s">
        <v>149</v>
      </c>
      <c r="P8219" s="103" t="str">
        <f t="shared" si="5009"/>
        <v>세정포-XL106</v>
      </c>
      <c r="Q8219" s="71">
        <f t="shared" si="5010"/>
        <v>7</v>
      </c>
      <c r="R8219" s="102">
        <v>234080</v>
      </c>
      <c r="S8219" s="102">
        <f t="shared" si="5011"/>
        <v>1802416.0000000002</v>
      </c>
      <c r="T8219" s="102">
        <f t="shared" si="5012"/>
        <v>1638560</v>
      </c>
      <c r="U8219" s="71" t="str">
        <f>IF(J8219=W8219,"O", "X")</f>
        <v>O</v>
      </c>
      <c r="V8219" s="71"/>
      <c r="W8219" s="474">
        <f>(G8219-T8219)</f>
        <v>636440</v>
      </c>
      <c r="X8219" s="71"/>
      <c r="Y8219" s="71"/>
    </row>
    <row r="8220" spans="1:25" s="209" customFormat="1" ht="30" hidden="1" customHeight="1" x14ac:dyDescent="0.25">
      <c r="A8220" s="1145">
        <v>45947</v>
      </c>
      <c r="B8220" s="664" t="s">
        <v>2353</v>
      </c>
      <c r="C8220" s="71" t="s">
        <v>3299</v>
      </c>
      <c r="D8220" s="71">
        <v>10</v>
      </c>
      <c r="E8220" s="102">
        <v>83000</v>
      </c>
      <c r="F8220" s="102">
        <f t="shared" si="5004"/>
        <v>913000.00000000012</v>
      </c>
      <c r="G8220" s="102">
        <f t="shared" si="5005"/>
        <v>830000</v>
      </c>
      <c r="H8220" s="690" t="s">
        <v>142</v>
      </c>
      <c r="I8220" s="71" t="s">
        <v>179</v>
      </c>
      <c r="J8220" s="53">
        <f t="shared" si="5006"/>
        <v>355000</v>
      </c>
      <c r="K8220" s="63">
        <f t="shared" si="5007"/>
        <v>0.42771084337349391</v>
      </c>
      <c r="L8220" s="1212" t="s">
        <v>4471</v>
      </c>
      <c r="M8220" s="468" t="s">
        <v>2214</v>
      </c>
      <c r="N8220" s="1192">
        <f t="shared" si="5013"/>
        <v>45947</v>
      </c>
      <c r="O8220" s="71" t="s">
        <v>3383</v>
      </c>
      <c r="P8220" s="103" t="str">
        <f t="shared" si="5009"/>
        <v>매엽용 세척제(Wash k11)</v>
      </c>
      <c r="Q8220" s="71">
        <f t="shared" si="5010"/>
        <v>10</v>
      </c>
      <c r="R8220" s="102">
        <v>47500</v>
      </c>
      <c r="S8220" s="102">
        <f t="shared" si="5011"/>
        <v>522500.00000000006</v>
      </c>
      <c r="T8220" s="102">
        <f t="shared" si="5012"/>
        <v>475000</v>
      </c>
      <c r="U8220" s="71" t="s">
        <v>859</v>
      </c>
      <c r="V8220" s="71"/>
      <c r="W8220" s="474">
        <v>136000</v>
      </c>
      <c r="X8220" s="71"/>
      <c r="Y8220" s="71"/>
    </row>
    <row r="8221" spans="1:25" s="209" customFormat="1" ht="30" hidden="1" customHeight="1" x14ac:dyDescent="0.25">
      <c r="A8221" s="1145">
        <v>45947</v>
      </c>
      <c r="B8221" s="664" t="s">
        <v>2353</v>
      </c>
      <c r="C8221" s="71" t="s">
        <v>3843</v>
      </c>
      <c r="D8221" s="71">
        <v>5</v>
      </c>
      <c r="E8221" s="102">
        <v>180000</v>
      </c>
      <c r="F8221" s="102">
        <f t="shared" si="5004"/>
        <v>990000.00000000012</v>
      </c>
      <c r="G8221" s="102">
        <f t="shared" si="5005"/>
        <v>900000</v>
      </c>
      <c r="H8221" s="690" t="s">
        <v>179</v>
      </c>
      <c r="I8221" s="71" t="s">
        <v>179</v>
      </c>
      <c r="J8221" s="53">
        <f t="shared" si="5006"/>
        <v>240000</v>
      </c>
      <c r="K8221" s="63">
        <f t="shared" si="5007"/>
        <v>0.26666666666666661</v>
      </c>
      <c r="L8221" s="1212" t="s">
        <v>4471</v>
      </c>
      <c r="M8221" s="468"/>
      <c r="N8221" s="1192">
        <f t="shared" si="5013"/>
        <v>45947</v>
      </c>
      <c r="O8221" s="71" t="s">
        <v>3383</v>
      </c>
      <c r="P8221" s="103" t="str">
        <f t="shared" si="5009"/>
        <v>수이보 세척액(습수액 클리너)</v>
      </c>
      <c r="Q8221" s="71">
        <f t="shared" si="5010"/>
        <v>5</v>
      </c>
      <c r="R8221" s="102">
        <f>11000*12</f>
        <v>132000</v>
      </c>
      <c r="S8221" s="102">
        <f t="shared" si="5011"/>
        <v>726000.00000000012</v>
      </c>
      <c r="T8221" s="102">
        <f t="shared" si="5012"/>
        <v>660000</v>
      </c>
      <c r="U8221" s="71"/>
      <c r="V8221" s="71"/>
      <c r="W8221" s="474"/>
      <c r="X8221" s="71"/>
      <c r="Y8221" s="71"/>
    </row>
    <row r="8222" spans="1:25" s="209" customFormat="1" ht="30" hidden="1" customHeight="1" x14ac:dyDescent="0.25">
      <c r="A8222" s="1145">
        <v>45959</v>
      </c>
      <c r="B8222" s="664" t="s">
        <v>2353</v>
      </c>
      <c r="C8222" s="71" t="s">
        <v>3843</v>
      </c>
      <c r="D8222" s="71">
        <v>3</v>
      </c>
      <c r="E8222" s="102">
        <v>180000</v>
      </c>
      <c r="F8222" s="102">
        <f t="shared" si="5004"/>
        <v>594000</v>
      </c>
      <c r="G8222" s="102">
        <f t="shared" si="5005"/>
        <v>540000</v>
      </c>
      <c r="H8222" s="690" t="s">
        <v>179</v>
      </c>
      <c r="I8222" s="71" t="s">
        <v>179</v>
      </c>
      <c r="J8222" s="53">
        <f t="shared" si="5006"/>
        <v>144000</v>
      </c>
      <c r="K8222" s="63">
        <f t="shared" si="5007"/>
        <v>0.26666666666666666</v>
      </c>
      <c r="L8222" s="1212" t="s">
        <v>4471</v>
      </c>
      <c r="M8222" s="468"/>
      <c r="N8222" s="1192">
        <f t="shared" si="5013"/>
        <v>45959</v>
      </c>
      <c r="O8222" s="71" t="s">
        <v>3383</v>
      </c>
      <c r="P8222" s="103" t="str">
        <f t="shared" si="5009"/>
        <v>수이보 세척액(습수액 클리너)</v>
      </c>
      <c r="Q8222" s="71">
        <f t="shared" si="5010"/>
        <v>3</v>
      </c>
      <c r="R8222" s="102">
        <f>11000*12</f>
        <v>132000</v>
      </c>
      <c r="S8222" s="102">
        <f t="shared" si="5011"/>
        <v>435600.00000000006</v>
      </c>
      <c r="T8222" s="102">
        <f t="shared" si="5012"/>
        <v>396000</v>
      </c>
      <c r="U8222" s="71"/>
      <c r="V8222" s="71"/>
      <c r="W8222" s="474"/>
      <c r="X8222" s="71"/>
      <c r="Y8222" s="71"/>
    </row>
    <row r="8223" spans="1:25" ht="28.9" hidden="1" customHeight="1" x14ac:dyDescent="0.25">
      <c r="A8223" s="1145">
        <v>45959</v>
      </c>
      <c r="B8223" s="664" t="s">
        <v>2353</v>
      </c>
      <c r="C8223" s="71" t="s">
        <v>129</v>
      </c>
      <c r="D8223" s="71">
        <v>7</v>
      </c>
      <c r="E8223" s="102">
        <v>325000</v>
      </c>
      <c r="F8223" s="102">
        <f t="shared" ref="F8223:F8231" si="5014">(E8223*D8223)*1.1</f>
        <v>2502500</v>
      </c>
      <c r="G8223" s="102">
        <f t="shared" ref="G8223:G8231" si="5015">(E8223*D8223)</f>
        <v>2275000</v>
      </c>
      <c r="H8223" s="690" t="s">
        <v>142</v>
      </c>
      <c r="I8223" s="71" t="s">
        <v>179</v>
      </c>
      <c r="J8223" s="53">
        <f t="shared" ref="J8223:J8231" si="5016">G8223-T8223</f>
        <v>636440</v>
      </c>
      <c r="K8223" s="63">
        <f t="shared" ref="K8223:K8231" si="5017">(J8223/(F8223/11*10))</f>
        <v>0.27975384615384613</v>
      </c>
      <c r="L8223" s="1212" t="s">
        <v>4471</v>
      </c>
      <c r="M8223" s="468" t="s">
        <v>2050</v>
      </c>
      <c r="N8223" s="1192">
        <f t="shared" ref="N8223:N8231" si="5018">A8223</f>
        <v>45959</v>
      </c>
      <c r="O8223" s="71" t="s">
        <v>149</v>
      </c>
      <c r="P8223" s="103" t="str">
        <f t="shared" ref="P8223:P8231" si="5019">(C8223)</f>
        <v>세정포-XL106</v>
      </c>
      <c r="Q8223" s="71">
        <f t="shared" ref="Q8223:Q8231" si="5020">D8223</f>
        <v>7</v>
      </c>
      <c r="R8223" s="102">
        <v>234080</v>
      </c>
      <c r="S8223" s="102">
        <f t="shared" ref="S8223:S8231" si="5021">R8223*Q8223*1.1</f>
        <v>1802416.0000000002</v>
      </c>
      <c r="T8223" s="102">
        <f t="shared" ref="T8223:T8231" si="5022">R8223*Q8223</f>
        <v>1638560</v>
      </c>
      <c r="U8223" s="71" t="str">
        <f>IF(J8223=W8223,"O", "X")</f>
        <v>O</v>
      </c>
      <c r="V8223" s="71"/>
      <c r="W8223" s="474">
        <f>(G8223-T8223)</f>
        <v>636440</v>
      </c>
      <c r="X8223" s="71"/>
      <c r="Y8223" s="71"/>
    </row>
    <row r="8224" spans="1:25" ht="30" hidden="1" customHeight="1" x14ac:dyDescent="0.25">
      <c r="A8224" s="1145">
        <v>45959</v>
      </c>
      <c r="B8224" s="664" t="s">
        <v>2579</v>
      </c>
      <c r="C8224" s="71" t="s">
        <v>3738</v>
      </c>
      <c r="D8224" s="71">
        <v>10</v>
      </c>
      <c r="E8224" s="102">
        <v>130000</v>
      </c>
      <c r="F8224" s="102">
        <f t="shared" si="5014"/>
        <v>1430000</v>
      </c>
      <c r="G8224" s="102">
        <f t="shared" si="5015"/>
        <v>1300000</v>
      </c>
      <c r="H8224" s="690" t="s">
        <v>142</v>
      </c>
      <c r="I8224" s="71" t="s">
        <v>142</v>
      </c>
      <c r="J8224" s="53">
        <f t="shared" si="5016"/>
        <v>339000</v>
      </c>
      <c r="K8224" s="63">
        <f t="shared" si="5017"/>
        <v>0.26076923076923075</v>
      </c>
      <c r="L8224" s="1212" t="s">
        <v>4471</v>
      </c>
      <c r="M8224" s="468"/>
      <c r="N8224" s="1192">
        <f t="shared" si="5018"/>
        <v>45959</v>
      </c>
      <c r="O8224" s="71" t="s">
        <v>147</v>
      </c>
      <c r="P8224" s="103" t="str">
        <f t="shared" si="5019"/>
        <v>블랑켓 - 고모리 용 (1040*920)</v>
      </c>
      <c r="Q8224" s="71">
        <f t="shared" si="5020"/>
        <v>10</v>
      </c>
      <c r="R8224" s="102">
        <v>96100</v>
      </c>
      <c r="S8224" s="102">
        <f t="shared" si="5021"/>
        <v>1057100</v>
      </c>
      <c r="T8224" s="102">
        <f t="shared" si="5022"/>
        <v>961000</v>
      </c>
      <c r="U8224" s="71"/>
      <c r="V8224" s="71"/>
      <c r="W8224" s="474"/>
      <c r="X8224" s="71"/>
      <c r="Y8224" s="71"/>
    </row>
    <row r="8225" spans="1:25" ht="30" hidden="1" customHeight="1" x14ac:dyDescent="0.25">
      <c r="A8225" s="1145">
        <v>45959</v>
      </c>
      <c r="B8225" s="664" t="s">
        <v>2353</v>
      </c>
      <c r="C8225" s="71" t="s">
        <v>3728</v>
      </c>
      <c r="D8225" s="71">
        <v>40</v>
      </c>
      <c r="E8225" s="102">
        <v>35000</v>
      </c>
      <c r="F8225" s="102">
        <f t="shared" si="5014"/>
        <v>1540000.0000000002</v>
      </c>
      <c r="G8225" s="102">
        <f t="shared" si="5015"/>
        <v>1400000</v>
      </c>
      <c r="H8225" s="690" t="s">
        <v>142</v>
      </c>
      <c r="I8225" s="71" t="s">
        <v>142</v>
      </c>
      <c r="J8225" s="53">
        <f t="shared" si="5016"/>
        <v>212500</v>
      </c>
      <c r="K8225" s="63">
        <f t="shared" si="5017"/>
        <v>0.15178571428571427</v>
      </c>
      <c r="L8225" s="1212" t="s">
        <v>4471</v>
      </c>
      <c r="M8225" s="468" t="s">
        <v>3907</v>
      </c>
      <c r="N8225" s="1192">
        <f t="shared" si="5018"/>
        <v>45959</v>
      </c>
      <c r="O8225" s="71" t="s">
        <v>149</v>
      </c>
      <c r="P8225" s="103" t="str">
        <f t="shared" si="5019"/>
        <v>고모리 자동 세척액</v>
      </c>
      <c r="Q8225" s="71">
        <v>25</v>
      </c>
      <c r="R8225" s="102">
        <v>47500</v>
      </c>
      <c r="S8225" s="102">
        <f t="shared" si="5021"/>
        <v>1306250</v>
      </c>
      <c r="T8225" s="102">
        <f t="shared" si="5022"/>
        <v>1187500</v>
      </c>
      <c r="U8225" s="71"/>
      <c r="V8225" s="71"/>
      <c r="W8225" s="474"/>
      <c r="X8225" s="71"/>
      <c r="Y8225" s="71"/>
    </row>
    <row r="8226" spans="1:25" ht="30" customHeight="1" x14ac:dyDescent="0.25">
      <c r="A8226" s="1145">
        <v>45951</v>
      </c>
      <c r="B8226" s="664" t="s">
        <v>641</v>
      </c>
      <c r="C8226" s="71" t="s">
        <v>3293</v>
      </c>
      <c r="D8226" s="71">
        <v>20</v>
      </c>
      <c r="E8226" s="102">
        <v>84000</v>
      </c>
      <c r="F8226" s="102">
        <f t="shared" si="5014"/>
        <v>1848000.0000000002</v>
      </c>
      <c r="G8226" s="102">
        <f t="shared" si="5015"/>
        <v>1680000</v>
      </c>
      <c r="H8226" s="690" t="s">
        <v>172</v>
      </c>
      <c r="I8226" s="71" t="s">
        <v>38</v>
      </c>
      <c r="J8226" s="53">
        <f t="shared" si="5016"/>
        <v>660000</v>
      </c>
      <c r="K8226" s="63">
        <f t="shared" si="5017"/>
        <v>0.39285714285714279</v>
      </c>
      <c r="L8226" s="1212" t="s">
        <v>4471</v>
      </c>
      <c r="M8226" s="468"/>
      <c r="N8226" s="1192">
        <f t="shared" si="5018"/>
        <v>45951</v>
      </c>
      <c r="O8226" s="71" t="s">
        <v>3291</v>
      </c>
      <c r="P8226" s="103" t="str">
        <f t="shared" si="5019"/>
        <v>GOSS 신문윤전 습식세정포</v>
      </c>
      <c r="Q8226" s="71">
        <f t="shared" si="5020"/>
        <v>20</v>
      </c>
      <c r="R8226" s="102">
        <v>51000</v>
      </c>
      <c r="S8226" s="102">
        <f t="shared" si="5021"/>
        <v>1122000</v>
      </c>
      <c r="T8226" s="102">
        <f t="shared" si="5022"/>
        <v>1020000</v>
      </c>
      <c r="U8226" s="71"/>
      <c r="V8226" s="71"/>
      <c r="W8226" s="474"/>
      <c r="X8226" s="71"/>
      <c r="Y8226" s="71"/>
    </row>
    <row r="8227" spans="1:25" ht="30" customHeight="1" x14ac:dyDescent="0.25">
      <c r="A8227" s="1145">
        <v>45932</v>
      </c>
      <c r="B8227" s="664" t="s">
        <v>2536</v>
      </c>
      <c r="C8227" s="71" t="s">
        <v>3590</v>
      </c>
      <c r="D8227" s="71">
        <v>100</v>
      </c>
      <c r="E8227" s="102">
        <v>24000</v>
      </c>
      <c r="F8227" s="102">
        <f t="shared" si="5014"/>
        <v>2640000</v>
      </c>
      <c r="G8227" s="102">
        <f t="shared" si="5015"/>
        <v>2400000</v>
      </c>
      <c r="H8227" s="690" t="s">
        <v>142</v>
      </c>
      <c r="I8227" s="71" t="s">
        <v>179</v>
      </c>
      <c r="J8227" s="53">
        <f t="shared" si="5016"/>
        <v>760000</v>
      </c>
      <c r="K8227" s="63">
        <f t="shared" si="5017"/>
        <v>0.31666666666666665</v>
      </c>
      <c r="L8227" s="1212" t="s">
        <v>4471</v>
      </c>
      <c r="M8227" s="468"/>
      <c r="N8227" s="1192">
        <f t="shared" si="5018"/>
        <v>45932</v>
      </c>
      <c r="O8227" s="71" t="s">
        <v>3709</v>
      </c>
      <c r="P8227" s="103" t="str">
        <f t="shared" si="5019"/>
        <v>3M 양면 테이프</v>
      </c>
      <c r="Q8227" s="71">
        <f t="shared" si="5020"/>
        <v>100</v>
      </c>
      <c r="R8227" s="102">
        <v>16400</v>
      </c>
      <c r="S8227" s="102">
        <f t="shared" si="5021"/>
        <v>1804000.0000000002</v>
      </c>
      <c r="T8227" s="102">
        <f t="shared" si="5022"/>
        <v>1640000</v>
      </c>
      <c r="U8227" s="71"/>
      <c r="V8227" s="71"/>
      <c r="W8227" s="474"/>
      <c r="X8227" s="71"/>
      <c r="Y8227" s="71"/>
    </row>
    <row r="8228" spans="1:25" s="209" customFormat="1" ht="29.45" hidden="1" customHeight="1" x14ac:dyDescent="0.2">
      <c r="A8228" s="1145">
        <v>45960</v>
      </c>
      <c r="B8228" s="664" t="s">
        <v>4059</v>
      </c>
      <c r="C8228" s="71" t="s">
        <v>4061</v>
      </c>
      <c r="D8228" s="71">
        <v>10</v>
      </c>
      <c r="E8228" s="102">
        <v>130000</v>
      </c>
      <c r="F8228" s="102">
        <f t="shared" si="5014"/>
        <v>1430000</v>
      </c>
      <c r="G8228" s="102">
        <f t="shared" si="5015"/>
        <v>1300000</v>
      </c>
      <c r="H8228" s="165" t="s">
        <v>172</v>
      </c>
      <c r="I8228" s="71" t="s">
        <v>184</v>
      </c>
      <c r="J8228" s="53">
        <f t="shared" si="5016"/>
        <v>180000</v>
      </c>
      <c r="K8228" s="63">
        <f t="shared" si="5017"/>
        <v>0.13846153846153847</v>
      </c>
      <c r="L8228" s="1212" t="s">
        <v>4471</v>
      </c>
      <c r="M8228" s="468"/>
      <c r="N8228" s="1192">
        <f t="shared" si="5018"/>
        <v>45960</v>
      </c>
      <c r="O8228" s="71" t="s">
        <v>189</v>
      </c>
      <c r="P8228" s="103" t="str">
        <f t="shared" si="5019"/>
        <v>M600 Blanket(990*725)</v>
      </c>
      <c r="Q8228" s="71">
        <f t="shared" si="5020"/>
        <v>10</v>
      </c>
      <c r="R8228" s="102">
        <v>112000</v>
      </c>
      <c r="S8228" s="102">
        <f t="shared" si="5021"/>
        <v>1232000</v>
      </c>
      <c r="T8228" s="102">
        <f t="shared" si="5022"/>
        <v>1120000</v>
      </c>
      <c r="U8228" s="71"/>
      <c r="V8228" s="71"/>
      <c r="W8228" s="474">
        <v>80000</v>
      </c>
      <c r="X8228" s="71"/>
      <c r="Y8228" s="71"/>
    </row>
    <row r="8229" spans="1:25" ht="30" hidden="1" customHeight="1" x14ac:dyDescent="0.25">
      <c r="A8229" s="1145">
        <v>45932</v>
      </c>
      <c r="B8229" s="664" t="s">
        <v>2261</v>
      </c>
      <c r="C8229" s="760" t="s">
        <v>181</v>
      </c>
      <c r="D8229" s="71">
        <v>5</v>
      </c>
      <c r="E8229" s="102">
        <v>193000</v>
      </c>
      <c r="F8229" s="102">
        <f t="shared" si="5014"/>
        <v>1061500</v>
      </c>
      <c r="G8229" s="102">
        <f t="shared" si="5015"/>
        <v>965000</v>
      </c>
      <c r="H8229" s="690" t="s">
        <v>2029</v>
      </c>
      <c r="I8229" s="71" t="s">
        <v>182</v>
      </c>
      <c r="J8229" s="53">
        <f t="shared" si="5016"/>
        <v>345000</v>
      </c>
      <c r="K8229" s="63">
        <f t="shared" si="5017"/>
        <v>0.35751295336787564</v>
      </c>
      <c r="L8229" s="1212" t="s">
        <v>4471</v>
      </c>
      <c r="M8229" s="468"/>
      <c r="N8229" s="1192">
        <f t="shared" si="5018"/>
        <v>45932</v>
      </c>
      <c r="O8229" s="71" t="s">
        <v>2030</v>
      </c>
      <c r="P8229" s="103" t="str">
        <f t="shared" si="5019"/>
        <v>Fount Web 551AF</v>
      </c>
      <c r="Q8229" s="71">
        <f t="shared" si="5020"/>
        <v>5</v>
      </c>
      <c r="R8229" s="102">
        <v>124000</v>
      </c>
      <c r="S8229" s="102">
        <f t="shared" si="5021"/>
        <v>682000</v>
      </c>
      <c r="T8229" s="102">
        <f t="shared" si="5022"/>
        <v>620000</v>
      </c>
      <c r="U8229" s="71"/>
      <c r="V8229" s="71"/>
      <c r="W8229" s="474">
        <v>640000</v>
      </c>
      <c r="X8229" s="71"/>
      <c r="Y8229" s="71"/>
    </row>
    <row r="8230" spans="1:25" ht="30" hidden="1" customHeight="1" x14ac:dyDescent="0.25">
      <c r="A8230" s="1145">
        <v>45932</v>
      </c>
      <c r="B8230" s="664" t="s">
        <v>2261</v>
      </c>
      <c r="C8230" s="71" t="s">
        <v>277</v>
      </c>
      <c r="D8230" s="71">
        <v>5</v>
      </c>
      <c r="E8230" s="102">
        <v>172000</v>
      </c>
      <c r="F8230" s="102">
        <f t="shared" si="5014"/>
        <v>946000.00000000012</v>
      </c>
      <c r="G8230" s="102">
        <f t="shared" si="5015"/>
        <v>860000</v>
      </c>
      <c r="H8230" s="690" t="s">
        <v>172</v>
      </c>
      <c r="I8230" s="71" t="s">
        <v>108</v>
      </c>
      <c r="J8230" s="53">
        <f t="shared" si="5016"/>
        <v>215000</v>
      </c>
      <c r="K8230" s="63">
        <f t="shared" si="5017"/>
        <v>0.24999999999999997</v>
      </c>
      <c r="L8230" s="1212" t="s">
        <v>4471</v>
      </c>
      <c r="M8230" s="468"/>
      <c r="N8230" s="1192">
        <f t="shared" si="5018"/>
        <v>45932</v>
      </c>
      <c r="O8230" s="71" t="s">
        <v>662</v>
      </c>
      <c r="P8230" s="103" t="str">
        <f t="shared" si="5019"/>
        <v>윤전용 세척제(Web 504)</v>
      </c>
      <c r="Q8230" s="71">
        <f t="shared" si="5020"/>
        <v>5</v>
      </c>
      <c r="R8230" s="102">
        <v>129000</v>
      </c>
      <c r="S8230" s="102">
        <f t="shared" si="5021"/>
        <v>709500</v>
      </c>
      <c r="T8230" s="102">
        <f t="shared" si="5022"/>
        <v>645000</v>
      </c>
      <c r="U8230" s="71"/>
      <c r="V8230" s="71"/>
      <c r="W8230" s="474"/>
      <c r="X8230" s="71"/>
      <c r="Y8230" s="71"/>
    </row>
    <row r="8231" spans="1:25" ht="30" hidden="1" customHeight="1" x14ac:dyDescent="0.25">
      <c r="A8231" s="1145">
        <v>45932</v>
      </c>
      <c r="B8231" s="664" t="s">
        <v>2261</v>
      </c>
      <c r="C8231" s="71" t="s">
        <v>3299</v>
      </c>
      <c r="D8231" s="71">
        <v>10</v>
      </c>
      <c r="E8231" s="102">
        <v>52000</v>
      </c>
      <c r="F8231" s="102">
        <f t="shared" si="5014"/>
        <v>572000</v>
      </c>
      <c r="G8231" s="102">
        <f t="shared" si="5015"/>
        <v>520000</v>
      </c>
      <c r="H8231" s="690" t="s">
        <v>172</v>
      </c>
      <c r="I8231" s="71" t="s">
        <v>180</v>
      </c>
      <c r="J8231" s="53">
        <f t="shared" si="5016"/>
        <v>45000</v>
      </c>
      <c r="K8231" s="63">
        <f t="shared" si="5017"/>
        <v>8.6538461538461536E-2</v>
      </c>
      <c r="L8231" s="1212" t="s">
        <v>4471</v>
      </c>
      <c r="M8231" s="468" t="s">
        <v>3835</v>
      </c>
      <c r="N8231" s="1192">
        <f t="shared" si="5018"/>
        <v>45932</v>
      </c>
      <c r="O8231" s="71" t="s">
        <v>175</v>
      </c>
      <c r="P8231" s="103" t="str">
        <f t="shared" si="5019"/>
        <v>매엽용 세척제(Wash k11)</v>
      </c>
      <c r="Q8231" s="71">
        <f t="shared" si="5020"/>
        <v>10</v>
      </c>
      <c r="R8231" s="102">
        <v>47500</v>
      </c>
      <c r="S8231" s="102">
        <f t="shared" si="5021"/>
        <v>522500.00000000006</v>
      </c>
      <c r="T8231" s="102">
        <f t="shared" si="5022"/>
        <v>475000</v>
      </c>
      <c r="U8231" s="71"/>
      <c r="V8231" s="71"/>
      <c r="W8231" s="474"/>
      <c r="X8231" s="71"/>
      <c r="Y8231" s="71"/>
    </row>
    <row r="8232" spans="1:25" ht="30" hidden="1" customHeight="1" x14ac:dyDescent="0.25">
      <c r="A8232" s="1145">
        <v>45945</v>
      </c>
      <c r="B8232" s="664" t="s">
        <v>2261</v>
      </c>
      <c r="C8232" s="71" t="s">
        <v>3299</v>
      </c>
      <c r="D8232" s="71">
        <v>10</v>
      </c>
      <c r="E8232" s="102">
        <v>52000</v>
      </c>
      <c r="F8232" s="102">
        <f t="shared" ref="F8232:F8235" si="5023">(E8232*D8232)*1.1</f>
        <v>572000</v>
      </c>
      <c r="G8232" s="102">
        <f t="shared" ref="G8232:G8235" si="5024">(E8232*D8232)</f>
        <v>520000</v>
      </c>
      <c r="H8232" s="690" t="s">
        <v>172</v>
      </c>
      <c r="I8232" s="71" t="s">
        <v>180</v>
      </c>
      <c r="J8232" s="53">
        <f t="shared" ref="J8232:J8235" si="5025">G8232-T8232</f>
        <v>45000</v>
      </c>
      <c r="K8232" s="63">
        <f t="shared" ref="K8232:K8235" si="5026">(J8232/(F8232/11*10))</f>
        <v>8.6538461538461536E-2</v>
      </c>
      <c r="L8232" s="1212" t="s">
        <v>4471</v>
      </c>
      <c r="M8232" s="468" t="s">
        <v>3835</v>
      </c>
      <c r="N8232" s="1192">
        <f t="shared" ref="N8232:N8235" si="5027">A8232</f>
        <v>45945</v>
      </c>
      <c r="O8232" s="71" t="s">
        <v>175</v>
      </c>
      <c r="P8232" s="103" t="str">
        <f t="shared" ref="P8232:P8235" si="5028">(C8232)</f>
        <v>매엽용 세척제(Wash k11)</v>
      </c>
      <c r="Q8232" s="71">
        <f t="shared" ref="Q8232:Q8235" si="5029">D8232</f>
        <v>10</v>
      </c>
      <c r="R8232" s="102">
        <v>47500</v>
      </c>
      <c r="S8232" s="102">
        <f t="shared" ref="S8232:S8235" si="5030">R8232*Q8232*1.1</f>
        <v>522500.00000000006</v>
      </c>
      <c r="T8232" s="102">
        <f t="shared" ref="T8232:T8235" si="5031">R8232*Q8232</f>
        <v>475000</v>
      </c>
      <c r="U8232" s="71"/>
      <c r="V8232" s="71"/>
      <c r="W8232" s="474"/>
      <c r="X8232" s="71"/>
      <c r="Y8232" s="71"/>
    </row>
    <row r="8233" spans="1:25" s="209" customFormat="1" ht="31.15" hidden="1" customHeight="1" x14ac:dyDescent="0.2">
      <c r="A8233" s="1145">
        <v>45945</v>
      </c>
      <c r="B8233" s="664" t="s">
        <v>3289</v>
      </c>
      <c r="C8233" s="71" t="s">
        <v>3387</v>
      </c>
      <c r="D8233" s="71">
        <v>10</v>
      </c>
      <c r="E8233" s="102">
        <v>130000</v>
      </c>
      <c r="F8233" s="102">
        <f t="shared" si="5023"/>
        <v>1430000</v>
      </c>
      <c r="G8233" s="102">
        <f t="shared" si="5024"/>
        <v>1300000</v>
      </c>
      <c r="H8233" s="165" t="s">
        <v>172</v>
      </c>
      <c r="I8233" s="71" t="s">
        <v>184</v>
      </c>
      <c r="J8233" s="53">
        <f t="shared" si="5025"/>
        <v>180000</v>
      </c>
      <c r="K8233" s="63">
        <f t="shared" si="5026"/>
        <v>0.13846153846153847</v>
      </c>
      <c r="L8233" s="1212" t="s">
        <v>4471</v>
      </c>
      <c r="M8233" s="468"/>
      <c r="N8233" s="1192">
        <f t="shared" si="5027"/>
        <v>45945</v>
      </c>
      <c r="O8233" s="71" t="s">
        <v>189</v>
      </c>
      <c r="P8233" s="103" t="str">
        <f t="shared" si="5028"/>
        <v>Blanket(990*725)</v>
      </c>
      <c r="Q8233" s="71">
        <f t="shared" si="5029"/>
        <v>10</v>
      </c>
      <c r="R8233" s="102">
        <v>112000</v>
      </c>
      <c r="S8233" s="102">
        <f t="shared" si="5030"/>
        <v>1232000</v>
      </c>
      <c r="T8233" s="102">
        <f t="shared" si="5031"/>
        <v>1120000</v>
      </c>
      <c r="U8233" s="71"/>
      <c r="V8233" s="71"/>
      <c r="W8233" s="474">
        <v>80000</v>
      </c>
      <c r="X8233" s="71"/>
      <c r="Y8233" s="71"/>
    </row>
    <row r="8234" spans="1:25" ht="30" hidden="1" customHeight="1" x14ac:dyDescent="0.25">
      <c r="A8234" s="1145">
        <v>45951</v>
      </c>
      <c r="B8234" s="664" t="s">
        <v>2261</v>
      </c>
      <c r="C8234" s="760" t="s">
        <v>181</v>
      </c>
      <c r="D8234" s="71">
        <v>5</v>
      </c>
      <c r="E8234" s="102">
        <v>193000</v>
      </c>
      <c r="F8234" s="102">
        <f t="shared" si="5023"/>
        <v>1061500</v>
      </c>
      <c r="G8234" s="102">
        <f t="shared" si="5024"/>
        <v>965000</v>
      </c>
      <c r="H8234" s="690" t="s">
        <v>2029</v>
      </c>
      <c r="I8234" s="71" t="s">
        <v>182</v>
      </c>
      <c r="J8234" s="53">
        <f t="shared" si="5025"/>
        <v>345000</v>
      </c>
      <c r="K8234" s="63">
        <f t="shared" si="5026"/>
        <v>0.35751295336787564</v>
      </c>
      <c r="L8234" s="1212" t="s">
        <v>4471</v>
      </c>
      <c r="M8234" s="468"/>
      <c r="N8234" s="1192">
        <f t="shared" si="5027"/>
        <v>45951</v>
      </c>
      <c r="O8234" s="71" t="s">
        <v>2030</v>
      </c>
      <c r="P8234" s="103" t="str">
        <f t="shared" si="5028"/>
        <v>Fount Web 551AF</v>
      </c>
      <c r="Q8234" s="71">
        <f t="shared" si="5029"/>
        <v>5</v>
      </c>
      <c r="R8234" s="102">
        <v>124000</v>
      </c>
      <c r="S8234" s="102">
        <f t="shared" si="5030"/>
        <v>682000</v>
      </c>
      <c r="T8234" s="102">
        <f t="shared" si="5031"/>
        <v>620000</v>
      </c>
      <c r="U8234" s="71"/>
      <c r="V8234" s="71"/>
      <c r="W8234" s="474">
        <v>640000</v>
      </c>
      <c r="X8234" s="71"/>
      <c r="Y8234" s="71"/>
    </row>
    <row r="8235" spans="1:25" ht="30" hidden="1" customHeight="1" x14ac:dyDescent="0.25">
      <c r="A8235" s="1145">
        <v>45951</v>
      </c>
      <c r="B8235" s="664" t="s">
        <v>2261</v>
      </c>
      <c r="C8235" s="71" t="s">
        <v>277</v>
      </c>
      <c r="D8235" s="71">
        <v>10</v>
      </c>
      <c r="E8235" s="102">
        <v>172000</v>
      </c>
      <c r="F8235" s="102">
        <f t="shared" si="5023"/>
        <v>1892000.0000000002</v>
      </c>
      <c r="G8235" s="102">
        <f t="shared" si="5024"/>
        <v>1720000</v>
      </c>
      <c r="H8235" s="690" t="s">
        <v>172</v>
      </c>
      <c r="I8235" s="71" t="s">
        <v>108</v>
      </c>
      <c r="J8235" s="53">
        <f t="shared" si="5025"/>
        <v>430000</v>
      </c>
      <c r="K8235" s="63">
        <f t="shared" si="5026"/>
        <v>0.24999999999999997</v>
      </c>
      <c r="L8235" s="1212" t="s">
        <v>4471</v>
      </c>
      <c r="M8235" s="468"/>
      <c r="N8235" s="1192">
        <f t="shared" si="5027"/>
        <v>45951</v>
      </c>
      <c r="O8235" s="71" t="s">
        <v>662</v>
      </c>
      <c r="P8235" s="103" t="str">
        <f t="shared" si="5028"/>
        <v>윤전용 세척제(Web 504)</v>
      </c>
      <c r="Q8235" s="71">
        <f t="shared" si="5029"/>
        <v>10</v>
      </c>
      <c r="R8235" s="102">
        <v>129000</v>
      </c>
      <c r="S8235" s="102">
        <f t="shared" si="5030"/>
        <v>1419000</v>
      </c>
      <c r="T8235" s="102">
        <f t="shared" si="5031"/>
        <v>1290000</v>
      </c>
      <c r="U8235" s="71"/>
      <c r="V8235" s="71"/>
      <c r="W8235" s="474"/>
      <c r="X8235" s="71"/>
      <c r="Y8235" s="71"/>
    </row>
    <row r="8236" spans="1:25" ht="30" hidden="1" customHeight="1" x14ac:dyDescent="0.25">
      <c r="A8236" s="1145">
        <v>45951</v>
      </c>
      <c r="B8236" s="664" t="s">
        <v>2261</v>
      </c>
      <c r="C8236" s="71" t="s">
        <v>3299</v>
      </c>
      <c r="D8236" s="71">
        <v>10</v>
      </c>
      <c r="E8236" s="102">
        <v>52000</v>
      </c>
      <c r="F8236" s="102">
        <f t="shared" ref="F8236:F8237" si="5032">(E8236*D8236)*1.1</f>
        <v>572000</v>
      </c>
      <c r="G8236" s="102">
        <f t="shared" ref="G8236:G8237" si="5033">(E8236*D8236)</f>
        <v>520000</v>
      </c>
      <c r="H8236" s="690" t="s">
        <v>172</v>
      </c>
      <c r="I8236" s="71" t="s">
        <v>180</v>
      </c>
      <c r="J8236" s="53">
        <f t="shared" ref="J8236:J8237" si="5034">G8236-T8236</f>
        <v>45000</v>
      </c>
      <c r="K8236" s="63">
        <f t="shared" ref="K8236:K8237" si="5035">(J8236/(F8236/11*10))</f>
        <v>8.6538461538461536E-2</v>
      </c>
      <c r="L8236" s="1212" t="s">
        <v>4471</v>
      </c>
      <c r="M8236" s="468" t="s">
        <v>3835</v>
      </c>
      <c r="N8236" s="1192">
        <f t="shared" ref="N8236:N8237" si="5036">A8236</f>
        <v>45951</v>
      </c>
      <c r="O8236" s="71" t="s">
        <v>175</v>
      </c>
      <c r="P8236" s="103" t="str">
        <f t="shared" ref="P8236:P8237" si="5037">(C8236)</f>
        <v>매엽용 세척제(Wash k11)</v>
      </c>
      <c r="Q8236" s="71">
        <f t="shared" ref="Q8236:Q8237" si="5038">D8236</f>
        <v>10</v>
      </c>
      <c r="R8236" s="102">
        <v>47500</v>
      </c>
      <c r="S8236" s="102">
        <f t="shared" ref="S8236:S8237" si="5039">R8236*Q8236*1.1</f>
        <v>522500.00000000006</v>
      </c>
      <c r="T8236" s="102">
        <f t="shared" ref="T8236:T8237" si="5040">R8236*Q8236</f>
        <v>475000</v>
      </c>
      <c r="U8236" s="71"/>
      <c r="V8236" s="71"/>
      <c r="W8236" s="474"/>
      <c r="X8236" s="71"/>
      <c r="Y8236" s="71"/>
    </row>
    <row r="8237" spans="1:25" ht="30" hidden="1" customHeight="1" x14ac:dyDescent="0.25">
      <c r="A8237" s="1145">
        <v>45951</v>
      </c>
      <c r="B8237" s="664" t="s">
        <v>3289</v>
      </c>
      <c r="C8237" s="71" t="s">
        <v>2070</v>
      </c>
      <c r="D8237" s="71">
        <v>10</v>
      </c>
      <c r="E8237" s="102">
        <v>110000</v>
      </c>
      <c r="F8237" s="102">
        <f t="shared" si="5032"/>
        <v>1210000</v>
      </c>
      <c r="G8237" s="102">
        <f t="shared" si="5033"/>
        <v>1100000</v>
      </c>
      <c r="H8237" s="690" t="s">
        <v>172</v>
      </c>
      <c r="I8237" s="71" t="s">
        <v>33</v>
      </c>
      <c r="J8237" s="53">
        <f t="shared" si="5034"/>
        <v>206000</v>
      </c>
      <c r="K8237" s="63">
        <f t="shared" si="5035"/>
        <v>0.18727272727272729</v>
      </c>
      <c r="L8237" s="1212" t="s">
        <v>4471</v>
      </c>
      <c r="M8237" s="468" t="s">
        <v>4114</v>
      </c>
      <c r="N8237" s="1192">
        <f t="shared" si="5036"/>
        <v>45951</v>
      </c>
      <c r="O8237" s="71" t="s">
        <v>146</v>
      </c>
      <c r="P8237" s="103" t="str">
        <f t="shared" si="5037"/>
        <v>Blanket(1050*840)</v>
      </c>
      <c r="Q8237" s="71">
        <f t="shared" si="5038"/>
        <v>10</v>
      </c>
      <c r="R8237" s="102">
        <v>89400</v>
      </c>
      <c r="S8237" s="102">
        <f t="shared" si="5039"/>
        <v>983400.00000000012</v>
      </c>
      <c r="T8237" s="102">
        <f t="shared" si="5040"/>
        <v>894000</v>
      </c>
      <c r="U8237" s="71" t="str">
        <f>IF(J8237=W8237,"O", "X")</f>
        <v>X</v>
      </c>
      <c r="V8237" s="71"/>
      <c r="W8237" s="474">
        <v>275000</v>
      </c>
      <c r="X8237" s="71"/>
      <c r="Y8237" s="71"/>
    </row>
    <row r="8238" spans="1:25" ht="30" hidden="1" customHeight="1" x14ac:dyDescent="0.25">
      <c r="A8238" s="1145">
        <v>45958</v>
      </c>
      <c r="B8238" s="664" t="s">
        <v>2261</v>
      </c>
      <c r="C8238" s="71" t="s">
        <v>3299</v>
      </c>
      <c r="D8238" s="71">
        <v>10</v>
      </c>
      <c r="E8238" s="102">
        <v>52000</v>
      </c>
      <c r="F8238" s="102">
        <f t="shared" ref="F8238:F8256" si="5041">(E8238*D8238)*1.1</f>
        <v>572000</v>
      </c>
      <c r="G8238" s="102">
        <f t="shared" ref="G8238:G8256" si="5042">(E8238*D8238)</f>
        <v>520000</v>
      </c>
      <c r="H8238" s="690" t="s">
        <v>172</v>
      </c>
      <c r="I8238" s="71" t="s">
        <v>180</v>
      </c>
      <c r="J8238" s="53">
        <f t="shared" ref="J8238:J8243" si="5043">G8238-T8238</f>
        <v>45000</v>
      </c>
      <c r="K8238" s="63">
        <f t="shared" ref="K8238:K8243" si="5044">(J8238/(F8238/11*10))</f>
        <v>8.6538461538461536E-2</v>
      </c>
      <c r="L8238" s="1212" t="s">
        <v>4471</v>
      </c>
      <c r="M8238" s="468" t="s">
        <v>3835</v>
      </c>
      <c r="N8238" s="1192">
        <f t="shared" ref="N8238:N8293" si="5045">A8238</f>
        <v>45958</v>
      </c>
      <c r="O8238" s="71" t="s">
        <v>175</v>
      </c>
      <c r="P8238" s="103" t="str">
        <f t="shared" ref="P8238:P8256" si="5046">(C8238)</f>
        <v>매엽용 세척제(Wash k11)</v>
      </c>
      <c r="Q8238" s="71">
        <f t="shared" ref="Q8238:Q8258" si="5047">D8238</f>
        <v>10</v>
      </c>
      <c r="R8238" s="102">
        <v>47500</v>
      </c>
      <c r="S8238" s="102">
        <f t="shared" ref="S8238:S8243" si="5048">R8238*Q8238*1.1</f>
        <v>522500.00000000006</v>
      </c>
      <c r="T8238" s="102">
        <f t="shared" ref="T8238:T8243" si="5049">R8238*Q8238</f>
        <v>475000</v>
      </c>
      <c r="U8238" s="71"/>
      <c r="V8238" s="71"/>
      <c r="W8238" s="474"/>
      <c r="X8238" s="71"/>
      <c r="Y8238" s="71"/>
    </row>
    <row r="8239" spans="1:25" ht="29.45" hidden="1" customHeight="1" x14ac:dyDescent="0.25">
      <c r="A8239" s="1145">
        <v>45954</v>
      </c>
      <c r="B8239" s="664" t="s">
        <v>3296</v>
      </c>
      <c r="C8239" s="71" t="s">
        <v>3297</v>
      </c>
      <c r="D8239" s="71">
        <v>20</v>
      </c>
      <c r="E8239" s="102">
        <v>162500</v>
      </c>
      <c r="F8239" s="102">
        <f t="shared" si="5041"/>
        <v>3575000.0000000005</v>
      </c>
      <c r="G8239" s="102">
        <f t="shared" si="5042"/>
        <v>3250000</v>
      </c>
      <c r="H8239" s="690" t="s">
        <v>172</v>
      </c>
      <c r="I8239" s="71" t="s">
        <v>3295</v>
      </c>
      <c r="J8239" s="53">
        <f t="shared" si="5043"/>
        <v>850000</v>
      </c>
      <c r="K8239" s="63">
        <f t="shared" si="5044"/>
        <v>0.2615384615384615</v>
      </c>
      <c r="L8239" s="1212" t="s">
        <v>4471</v>
      </c>
      <c r="M8239" s="468"/>
      <c r="N8239" s="1192">
        <f t="shared" si="5045"/>
        <v>45954</v>
      </c>
      <c r="O8239" s="71" t="s">
        <v>662</v>
      </c>
      <c r="P8239" s="103" t="str">
        <f t="shared" si="5046"/>
        <v>실리콘 에멀전</v>
      </c>
      <c r="Q8239" s="71">
        <f t="shared" si="5047"/>
        <v>20</v>
      </c>
      <c r="R8239" s="102">
        <v>120000</v>
      </c>
      <c r="S8239" s="102">
        <f t="shared" si="5048"/>
        <v>2640000</v>
      </c>
      <c r="T8239" s="102">
        <f t="shared" si="5049"/>
        <v>2400000</v>
      </c>
      <c r="U8239" s="71"/>
      <c r="V8239" s="71"/>
      <c r="W8239" s="474"/>
      <c r="X8239" s="71"/>
      <c r="Y8239" s="71"/>
    </row>
    <row r="8240" spans="1:25" ht="30" hidden="1" customHeight="1" x14ac:dyDescent="0.25">
      <c r="A8240" s="1145">
        <v>45931</v>
      </c>
      <c r="B8240" s="664" t="s">
        <v>18</v>
      </c>
      <c r="C8240" s="71" t="s">
        <v>3305</v>
      </c>
      <c r="D8240" s="71">
        <v>15</v>
      </c>
      <c r="E8240" s="102">
        <v>86000</v>
      </c>
      <c r="F8240" s="102">
        <f t="shared" si="5041"/>
        <v>1419000</v>
      </c>
      <c r="G8240" s="102">
        <f t="shared" si="5042"/>
        <v>1290000</v>
      </c>
      <c r="H8240" s="690" t="s">
        <v>172</v>
      </c>
      <c r="I8240" s="71" t="s">
        <v>3295</v>
      </c>
      <c r="J8240" s="53">
        <f t="shared" si="5043"/>
        <v>240000</v>
      </c>
      <c r="K8240" s="63">
        <f t="shared" si="5044"/>
        <v>0.18604651162790697</v>
      </c>
      <c r="L8240" s="1212" t="s">
        <v>4471</v>
      </c>
      <c r="M8240" s="468" t="s">
        <v>3306</v>
      </c>
      <c r="N8240" s="1192">
        <f t="shared" si="5045"/>
        <v>45931</v>
      </c>
      <c r="O8240" s="71" t="s">
        <v>146</v>
      </c>
      <c r="P8240" s="103" t="str">
        <f t="shared" si="5046"/>
        <v>파우더</v>
      </c>
      <c r="Q8240" s="71">
        <f t="shared" si="5047"/>
        <v>15</v>
      </c>
      <c r="R8240" s="102">
        <v>70000</v>
      </c>
      <c r="S8240" s="102">
        <f t="shared" si="5048"/>
        <v>1155000</v>
      </c>
      <c r="T8240" s="102">
        <f t="shared" si="5049"/>
        <v>1050000</v>
      </c>
      <c r="U8240" s="71" t="s">
        <v>1915</v>
      </c>
      <c r="V8240" s="71"/>
      <c r="W8240" s="474"/>
      <c r="X8240" s="71"/>
      <c r="Y8240" s="71"/>
    </row>
    <row r="8241" spans="1:25" ht="30" hidden="1" customHeight="1" x14ac:dyDescent="0.25">
      <c r="A8241" s="1145">
        <v>45947</v>
      </c>
      <c r="B8241" s="664" t="s">
        <v>18</v>
      </c>
      <c r="C8241" s="71" t="s">
        <v>2070</v>
      </c>
      <c r="D8241" s="71">
        <v>10</v>
      </c>
      <c r="E8241" s="102">
        <v>115000</v>
      </c>
      <c r="F8241" s="102">
        <f t="shared" si="5041"/>
        <v>1265000</v>
      </c>
      <c r="G8241" s="102">
        <f t="shared" si="5042"/>
        <v>1150000</v>
      </c>
      <c r="H8241" s="690" t="s">
        <v>172</v>
      </c>
      <c r="I8241" s="71" t="s">
        <v>33</v>
      </c>
      <c r="J8241" s="53">
        <f t="shared" si="5043"/>
        <v>310000</v>
      </c>
      <c r="K8241" s="63">
        <f t="shared" si="5044"/>
        <v>0.26956521739130435</v>
      </c>
      <c r="L8241" s="1212" t="s">
        <v>4471</v>
      </c>
      <c r="M8241" s="468" t="s">
        <v>4374</v>
      </c>
      <c r="N8241" s="1192">
        <f t="shared" si="5045"/>
        <v>45947</v>
      </c>
      <c r="O8241" s="71" t="s">
        <v>149</v>
      </c>
      <c r="P8241" s="103" t="str">
        <f t="shared" si="5046"/>
        <v>Blanket(1050*840)</v>
      </c>
      <c r="Q8241" s="71">
        <f t="shared" si="5047"/>
        <v>10</v>
      </c>
      <c r="R8241" s="102">
        <v>84000</v>
      </c>
      <c r="S8241" s="102">
        <f t="shared" si="5048"/>
        <v>924000.00000000012</v>
      </c>
      <c r="T8241" s="102">
        <f t="shared" si="5049"/>
        <v>840000</v>
      </c>
      <c r="U8241" s="71" t="s">
        <v>859</v>
      </c>
      <c r="V8241" s="71"/>
      <c r="W8241" s="474"/>
      <c r="X8241" s="71"/>
      <c r="Y8241" s="71"/>
    </row>
    <row r="8242" spans="1:25" ht="30" hidden="1" customHeight="1" x14ac:dyDescent="0.25">
      <c r="A8242" s="1145">
        <v>45947</v>
      </c>
      <c r="B8242" s="664" t="s">
        <v>809</v>
      </c>
      <c r="C8242" s="71" t="s">
        <v>4028</v>
      </c>
      <c r="D8242" s="71">
        <v>15</v>
      </c>
      <c r="E8242" s="102">
        <v>125000</v>
      </c>
      <c r="F8242" s="102">
        <f t="shared" si="5041"/>
        <v>2062500.0000000002</v>
      </c>
      <c r="G8242" s="102">
        <f t="shared" si="5042"/>
        <v>1875000</v>
      </c>
      <c r="H8242" s="690" t="s">
        <v>172</v>
      </c>
      <c r="I8242" s="71" t="s">
        <v>33</v>
      </c>
      <c r="J8242" s="53">
        <f t="shared" si="5043"/>
        <v>295500</v>
      </c>
      <c r="K8242" s="63">
        <f t="shared" si="5044"/>
        <v>0.15759999999999999</v>
      </c>
      <c r="L8242" s="1212" t="s">
        <v>4471</v>
      </c>
      <c r="M8242" s="102"/>
      <c r="N8242" s="1192">
        <f t="shared" si="5045"/>
        <v>45947</v>
      </c>
      <c r="O8242" s="71" t="s">
        <v>147</v>
      </c>
      <c r="P8242" s="103" t="str">
        <f t="shared" si="5046"/>
        <v>Blanket(1077*885)</v>
      </c>
      <c r="Q8242" s="71">
        <f t="shared" si="5047"/>
        <v>15</v>
      </c>
      <c r="R8242" s="102">
        <v>105300</v>
      </c>
      <c r="S8242" s="102">
        <f t="shared" si="5048"/>
        <v>1737450.0000000002</v>
      </c>
      <c r="T8242" s="102">
        <f t="shared" si="5049"/>
        <v>1579500</v>
      </c>
      <c r="U8242" s="71"/>
      <c r="V8242" s="71"/>
      <c r="W8242" s="474"/>
      <c r="X8242" s="71"/>
      <c r="Y8242" s="71"/>
    </row>
    <row r="8243" spans="1:25" ht="30" hidden="1" customHeight="1" x14ac:dyDescent="0.25">
      <c r="A8243" s="1145">
        <v>45947</v>
      </c>
      <c r="B8243" s="664" t="s">
        <v>548</v>
      </c>
      <c r="C8243" s="71" t="s">
        <v>3382</v>
      </c>
      <c r="D8243" s="71">
        <v>1</v>
      </c>
      <c r="E8243" s="102">
        <v>168000</v>
      </c>
      <c r="F8243" s="102">
        <f t="shared" si="5041"/>
        <v>184800.00000000003</v>
      </c>
      <c r="G8243" s="102">
        <f t="shared" si="5042"/>
        <v>168000</v>
      </c>
      <c r="H8243" s="690" t="s">
        <v>2029</v>
      </c>
      <c r="I8243" s="71" t="s">
        <v>180</v>
      </c>
      <c r="J8243" s="53">
        <f t="shared" si="5043"/>
        <v>48000</v>
      </c>
      <c r="K8243" s="63">
        <f t="shared" si="5044"/>
        <v>0.28571428571428564</v>
      </c>
      <c r="L8243" s="1212" t="s">
        <v>4471</v>
      </c>
      <c r="M8243" s="468"/>
      <c r="N8243" s="1192">
        <f t="shared" si="5045"/>
        <v>45947</v>
      </c>
      <c r="O8243" s="71" t="s">
        <v>3383</v>
      </c>
      <c r="P8243" s="103" t="str">
        <f t="shared" si="5046"/>
        <v>판 클리너(12개)</v>
      </c>
      <c r="Q8243" s="71">
        <f t="shared" si="5047"/>
        <v>1</v>
      </c>
      <c r="R8243" s="102">
        <v>120000</v>
      </c>
      <c r="S8243" s="102">
        <f t="shared" si="5048"/>
        <v>132000</v>
      </c>
      <c r="T8243" s="102">
        <f t="shared" si="5049"/>
        <v>120000</v>
      </c>
      <c r="U8243" s="71" t="str">
        <f>IF(J8243=W8243,"O", "X")</f>
        <v>X</v>
      </c>
      <c r="V8243" s="71"/>
      <c r="W8243" s="474"/>
      <c r="X8243" s="71"/>
      <c r="Y8243" s="71"/>
    </row>
    <row r="8244" spans="1:25" ht="30" hidden="1" customHeight="1" x14ac:dyDescent="0.25">
      <c r="A8244" s="1145">
        <v>45950</v>
      </c>
      <c r="B8244" s="664" t="s">
        <v>26</v>
      </c>
      <c r="C8244" s="71" t="s">
        <v>2087</v>
      </c>
      <c r="D8244" s="71">
        <v>5</v>
      </c>
      <c r="E8244" s="102">
        <v>65000</v>
      </c>
      <c r="F8244" s="102">
        <f t="shared" si="5041"/>
        <v>357500</v>
      </c>
      <c r="G8244" s="102">
        <f t="shared" si="5042"/>
        <v>325000</v>
      </c>
      <c r="H8244" s="690" t="s">
        <v>172</v>
      </c>
      <c r="I8244" s="71" t="s">
        <v>3295</v>
      </c>
      <c r="J8244" s="53">
        <v>75000</v>
      </c>
      <c r="K8244" s="63">
        <v>0.23076923076923078</v>
      </c>
      <c r="L8244" s="1212" t="s">
        <v>4471</v>
      </c>
      <c r="M8244" s="468"/>
      <c r="N8244" s="1192">
        <f t="shared" si="5045"/>
        <v>45950</v>
      </c>
      <c r="O8244" s="71" t="s">
        <v>149</v>
      </c>
      <c r="P8244" s="103" t="str">
        <f t="shared" si="5046"/>
        <v>아스테이지(국전)</v>
      </c>
      <c r="Q8244" s="71">
        <f t="shared" si="5047"/>
        <v>5</v>
      </c>
      <c r="R8244" s="102">
        <v>50000</v>
      </c>
      <c r="S8244" s="102">
        <v>275000</v>
      </c>
      <c r="T8244" s="102">
        <v>250000</v>
      </c>
      <c r="U8244" s="71"/>
      <c r="V8244" s="71"/>
      <c r="W8244" s="474">
        <v>150000</v>
      </c>
      <c r="X8244" s="71"/>
      <c r="Y8244" s="71"/>
    </row>
    <row r="8245" spans="1:25" ht="30" hidden="1" customHeight="1" x14ac:dyDescent="0.25">
      <c r="A8245" s="1145">
        <v>45951</v>
      </c>
      <c r="B8245" s="664" t="s">
        <v>442</v>
      </c>
      <c r="C8245" s="71" t="s">
        <v>3433</v>
      </c>
      <c r="D8245" s="71">
        <v>5</v>
      </c>
      <c r="E8245" s="102">
        <v>132000</v>
      </c>
      <c r="F8245" s="102">
        <f t="shared" si="5041"/>
        <v>726000.00000000012</v>
      </c>
      <c r="G8245" s="102">
        <f t="shared" si="5042"/>
        <v>660000</v>
      </c>
      <c r="H8245" s="690" t="s">
        <v>2029</v>
      </c>
      <c r="I8245" s="71" t="s">
        <v>3385</v>
      </c>
      <c r="J8245" s="53">
        <f t="shared" ref="J8245" si="5050">G8245-T8245</f>
        <v>240000</v>
      </c>
      <c r="K8245" s="63">
        <f t="shared" ref="K8245" si="5051">(J8245/(F8245/11*10))</f>
        <v>0.36363636363636359</v>
      </c>
      <c r="L8245" s="1212" t="s">
        <v>4471</v>
      </c>
      <c r="M8245" s="468"/>
      <c r="N8245" s="1192">
        <f t="shared" si="5045"/>
        <v>45951</v>
      </c>
      <c r="O8245" s="71" t="s">
        <v>149</v>
      </c>
      <c r="P8245" s="164" t="str">
        <f t="shared" si="5046"/>
        <v>블랑켓-하이델베르그 국전용</v>
      </c>
      <c r="Q8245" s="71">
        <f t="shared" si="5047"/>
        <v>5</v>
      </c>
      <c r="R8245" s="102">
        <v>84000</v>
      </c>
      <c r="S8245" s="102">
        <f t="shared" ref="S8245:S8248" si="5052">R8245*Q8245*1.1</f>
        <v>462000.00000000006</v>
      </c>
      <c r="T8245" s="102">
        <f t="shared" ref="T8245:T8248" si="5053">R8245*Q8245</f>
        <v>420000</v>
      </c>
      <c r="U8245" s="71"/>
      <c r="V8245" s="71"/>
      <c r="W8245" s="474"/>
      <c r="X8245" s="71"/>
      <c r="Y8245" s="71"/>
    </row>
    <row r="8246" spans="1:25" ht="30" hidden="1" customHeight="1" x14ac:dyDescent="0.25">
      <c r="A8246" s="1145">
        <v>45952</v>
      </c>
      <c r="B8246" s="664" t="s">
        <v>442</v>
      </c>
      <c r="C8246" s="71" t="s">
        <v>2031</v>
      </c>
      <c r="D8246" s="71">
        <v>15</v>
      </c>
      <c r="E8246" s="102">
        <v>50000</v>
      </c>
      <c r="F8246" s="102">
        <f t="shared" si="5041"/>
        <v>825000.00000000012</v>
      </c>
      <c r="G8246" s="102">
        <f t="shared" si="5042"/>
        <v>750000</v>
      </c>
      <c r="H8246" s="690" t="s">
        <v>94</v>
      </c>
      <c r="I8246" s="71" t="s">
        <v>94</v>
      </c>
      <c r="J8246" s="53">
        <f t="shared" ref="J8246" si="5054">G8246-T8246</f>
        <v>390000</v>
      </c>
      <c r="K8246" s="63">
        <f t="shared" ref="K8246:K8250" si="5055">(J8246/(F8246/11*10))</f>
        <v>0.51999999999999991</v>
      </c>
      <c r="L8246" s="1212" t="s">
        <v>4471</v>
      </c>
      <c r="M8246" s="102"/>
      <c r="N8246" s="1192">
        <f t="shared" si="5045"/>
        <v>45952</v>
      </c>
      <c r="O8246" s="71" t="s">
        <v>94</v>
      </c>
      <c r="P8246" s="103" t="str">
        <f t="shared" si="5046"/>
        <v>필터백</v>
      </c>
      <c r="Q8246" s="71">
        <f t="shared" si="5047"/>
        <v>15</v>
      </c>
      <c r="R8246" s="102">
        <v>24000</v>
      </c>
      <c r="S8246" s="102">
        <f t="shared" si="5052"/>
        <v>396000.00000000006</v>
      </c>
      <c r="T8246" s="102">
        <f t="shared" si="5053"/>
        <v>360000</v>
      </c>
      <c r="U8246" s="71"/>
      <c r="V8246" s="71"/>
      <c r="W8246" s="474"/>
      <c r="X8246" s="71"/>
      <c r="Y8246" s="71"/>
    </row>
    <row r="8247" spans="1:25" s="209" customFormat="1" ht="30" hidden="1" customHeight="1" x14ac:dyDescent="0.25">
      <c r="A8247" s="1145">
        <v>45953</v>
      </c>
      <c r="B8247" s="664" t="s">
        <v>442</v>
      </c>
      <c r="C8247" s="71" t="s">
        <v>3833</v>
      </c>
      <c r="D8247" s="71">
        <v>1000</v>
      </c>
      <c r="E8247" s="102">
        <v>3850</v>
      </c>
      <c r="F8247" s="102">
        <f t="shared" si="5041"/>
        <v>4235000</v>
      </c>
      <c r="G8247" s="102">
        <f t="shared" si="5042"/>
        <v>3850000</v>
      </c>
      <c r="H8247" s="690" t="s">
        <v>2029</v>
      </c>
      <c r="I8247" s="71" t="s">
        <v>2230</v>
      </c>
      <c r="J8247" s="53">
        <f t="shared" ref="J8247" si="5056">G8247-T8247-U8247</f>
        <v>290000</v>
      </c>
      <c r="K8247" s="63">
        <f t="shared" si="5055"/>
        <v>7.5324675324675322E-2</v>
      </c>
      <c r="L8247" s="1212" t="s">
        <v>4471</v>
      </c>
      <c r="M8247" s="468" t="s">
        <v>3080</v>
      </c>
      <c r="N8247" s="1192">
        <f t="shared" si="5045"/>
        <v>45953</v>
      </c>
      <c r="O8247" s="71" t="s">
        <v>2030</v>
      </c>
      <c r="P8247" s="103" t="str">
        <f t="shared" si="5046"/>
        <v>CTP 판 1030*790</v>
      </c>
      <c r="Q8247" s="71">
        <f t="shared" si="5047"/>
        <v>1000</v>
      </c>
      <c r="R8247" s="102">
        <v>3450</v>
      </c>
      <c r="S8247" s="102">
        <f t="shared" si="5052"/>
        <v>3795000.0000000005</v>
      </c>
      <c r="T8247" s="102">
        <f t="shared" si="5053"/>
        <v>3450000</v>
      </c>
      <c r="U8247" s="71">
        <v>110000</v>
      </c>
      <c r="V8247" s="71"/>
      <c r="W8247" s="474"/>
      <c r="X8247" s="71"/>
      <c r="Y8247" s="71"/>
    </row>
    <row r="8248" spans="1:25" ht="30" hidden="1" customHeight="1" x14ac:dyDescent="0.25">
      <c r="A8248" s="1145">
        <v>45953</v>
      </c>
      <c r="B8248" s="664" t="s">
        <v>442</v>
      </c>
      <c r="C8248" s="71" t="s">
        <v>3834</v>
      </c>
      <c r="D8248" s="71">
        <v>7</v>
      </c>
      <c r="E8248" s="102">
        <v>57000</v>
      </c>
      <c r="F8248" s="102">
        <f t="shared" si="5041"/>
        <v>438900.00000000006</v>
      </c>
      <c r="G8248" s="102">
        <f t="shared" si="5042"/>
        <v>399000</v>
      </c>
      <c r="H8248" s="690" t="s">
        <v>2029</v>
      </c>
      <c r="I8248" s="71" t="s">
        <v>2230</v>
      </c>
      <c r="J8248" s="53">
        <f t="shared" ref="J8248:J8250" si="5057">G8248-T8248</f>
        <v>100723</v>
      </c>
      <c r="K8248" s="63">
        <f t="shared" si="5055"/>
        <v>0.25243859649122802</v>
      </c>
      <c r="L8248" s="1212" t="s">
        <v>4471</v>
      </c>
      <c r="M8248" s="468"/>
      <c r="N8248" s="1192">
        <f t="shared" si="5045"/>
        <v>45953</v>
      </c>
      <c r="O8248" s="71" t="s">
        <v>2030</v>
      </c>
      <c r="P8248" s="103" t="str">
        <f t="shared" si="5046"/>
        <v>CTP 현상액</v>
      </c>
      <c r="Q8248" s="71">
        <f t="shared" si="5047"/>
        <v>7</v>
      </c>
      <c r="R8248" s="102">
        <v>42611</v>
      </c>
      <c r="S8248" s="102">
        <f t="shared" si="5052"/>
        <v>328104.7</v>
      </c>
      <c r="T8248" s="102">
        <f t="shared" si="5053"/>
        <v>298277</v>
      </c>
      <c r="U8248" s="71"/>
      <c r="V8248" s="71"/>
      <c r="W8248" s="474"/>
      <c r="X8248" s="71"/>
      <c r="Y8248" s="71"/>
    </row>
    <row r="8249" spans="1:25" ht="30" hidden="1" customHeight="1" x14ac:dyDescent="0.25">
      <c r="A8249" s="1145">
        <v>45945</v>
      </c>
      <c r="B8249" s="664" t="s">
        <v>442</v>
      </c>
      <c r="C8249" s="71" t="s">
        <v>4474</v>
      </c>
      <c r="D8249" s="71">
        <v>1</v>
      </c>
      <c r="E8249" s="102">
        <v>300000</v>
      </c>
      <c r="F8249" s="102">
        <f t="shared" si="5041"/>
        <v>330000</v>
      </c>
      <c r="G8249" s="102">
        <f t="shared" si="5042"/>
        <v>300000</v>
      </c>
      <c r="H8249" s="690" t="s">
        <v>2029</v>
      </c>
      <c r="I8249" s="71" t="s">
        <v>2230</v>
      </c>
      <c r="J8249" s="53">
        <f t="shared" si="5057"/>
        <v>50000</v>
      </c>
      <c r="K8249" s="63">
        <f t="shared" si="5055"/>
        <v>0.16666666666666666</v>
      </c>
      <c r="L8249" s="1212" t="s">
        <v>4471</v>
      </c>
      <c r="M8249" s="102"/>
      <c r="N8249" s="1192">
        <f t="shared" si="5045"/>
        <v>45945</v>
      </c>
      <c r="O8249" s="71" t="s">
        <v>4265</v>
      </c>
      <c r="P8249" s="103" t="str">
        <f t="shared" si="5046"/>
        <v>소부기 춟장비 및 기술료</v>
      </c>
      <c r="Q8249" s="71">
        <f t="shared" si="5047"/>
        <v>1</v>
      </c>
      <c r="R8249" s="102">
        <v>250000</v>
      </c>
      <c r="S8249" s="102">
        <f t="shared" si="5011"/>
        <v>275000</v>
      </c>
      <c r="T8249" s="102">
        <f t="shared" si="5012"/>
        <v>250000</v>
      </c>
      <c r="U8249" s="71"/>
      <c r="V8249" s="71"/>
      <c r="W8249" s="474"/>
      <c r="X8249" s="71"/>
      <c r="Y8249" s="71"/>
    </row>
    <row r="8250" spans="1:25" ht="30" hidden="1" customHeight="1" x14ac:dyDescent="0.25">
      <c r="A8250" s="1145">
        <v>45945</v>
      </c>
      <c r="B8250" s="664" t="s">
        <v>442</v>
      </c>
      <c r="C8250" s="71" t="s">
        <v>4475</v>
      </c>
      <c r="D8250" s="71">
        <v>1</v>
      </c>
      <c r="E8250" s="102">
        <v>150000</v>
      </c>
      <c r="F8250" s="102">
        <f t="shared" si="5041"/>
        <v>165000</v>
      </c>
      <c r="G8250" s="102">
        <f t="shared" si="5042"/>
        <v>150000</v>
      </c>
      <c r="H8250" s="690" t="s">
        <v>2029</v>
      </c>
      <c r="I8250" s="71" t="s">
        <v>2230</v>
      </c>
      <c r="J8250" s="53">
        <f t="shared" si="5057"/>
        <v>50000</v>
      </c>
      <c r="K8250" s="63">
        <f t="shared" si="5055"/>
        <v>0.33333333333333331</v>
      </c>
      <c r="L8250" s="1212" t="s">
        <v>4471</v>
      </c>
      <c r="M8250" s="468"/>
      <c r="N8250" s="1192">
        <f t="shared" si="5045"/>
        <v>45945</v>
      </c>
      <c r="O8250" s="71" t="s">
        <v>4265</v>
      </c>
      <c r="P8250" s="103" t="str">
        <f t="shared" si="5046"/>
        <v>소부기 개폐기 기판</v>
      </c>
      <c r="Q8250" s="71">
        <f t="shared" si="5047"/>
        <v>1</v>
      </c>
      <c r="R8250" s="147">
        <v>100000</v>
      </c>
      <c r="S8250" s="102">
        <f t="shared" si="5011"/>
        <v>110000.00000000001</v>
      </c>
      <c r="T8250" s="102">
        <f t="shared" si="5012"/>
        <v>100000</v>
      </c>
      <c r="U8250" s="71"/>
      <c r="V8250" s="71"/>
      <c r="W8250" s="474"/>
      <c r="X8250" s="71"/>
      <c r="Y8250" s="71"/>
    </row>
    <row r="8251" spans="1:25" ht="30" hidden="1" customHeight="1" x14ac:dyDescent="0.25">
      <c r="A8251" s="1145">
        <v>45959</v>
      </c>
      <c r="B8251" s="664" t="s">
        <v>4476</v>
      </c>
      <c r="C8251" s="71" t="s">
        <v>2277</v>
      </c>
      <c r="D8251" s="71">
        <v>1</v>
      </c>
      <c r="E8251" s="102">
        <v>2600000</v>
      </c>
      <c r="F8251" s="102">
        <f t="shared" si="5041"/>
        <v>2860000</v>
      </c>
      <c r="G8251" s="102">
        <f t="shared" si="5042"/>
        <v>2600000</v>
      </c>
      <c r="H8251" s="690" t="s">
        <v>94</v>
      </c>
      <c r="I8251" s="71" t="s">
        <v>94</v>
      </c>
      <c r="J8251" s="53">
        <f t="shared" ref="J8251" si="5058">G8251-T8251</f>
        <v>550000</v>
      </c>
      <c r="K8251" s="63">
        <f t="shared" ref="K8251" si="5059">(J8251/(F8251/11*10))</f>
        <v>0.21153846153846154</v>
      </c>
      <c r="L8251" s="1212" t="s">
        <v>4471</v>
      </c>
      <c r="M8251" s="102"/>
      <c r="N8251" s="1192">
        <f t="shared" si="5045"/>
        <v>45959</v>
      </c>
      <c r="O8251" s="71" t="s">
        <v>150</v>
      </c>
      <c r="P8251" s="103" t="str">
        <f t="shared" si="5046"/>
        <v>도져</v>
      </c>
      <c r="Q8251" s="71">
        <f t="shared" si="5047"/>
        <v>1</v>
      </c>
      <c r="R8251" s="102">
        <v>2050000</v>
      </c>
      <c r="S8251" s="102">
        <f t="shared" si="5011"/>
        <v>2255000</v>
      </c>
      <c r="T8251" s="102">
        <f t="shared" si="5012"/>
        <v>2050000</v>
      </c>
      <c r="U8251" s="71"/>
      <c r="V8251" s="71"/>
      <c r="W8251" s="474"/>
      <c r="X8251" s="71"/>
      <c r="Y8251" s="71"/>
    </row>
    <row r="8252" spans="1:25" ht="30" hidden="1" customHeight="1" x14ac:dyDescent="0.25">
      <c r="A8252" s="1145">
        <v>45960</v>
      </c>
      <c r="B8252" s="664" t="s">
        <v>2103</v>
      </c>
      <c r="C8252" s="71" t="s">
        <v>3667</v>
      </c>
      <c r="D8252" s="71">
        <v>1084</v>
      </c>
      <c r="E8252" s="102">
        <v>1700</v>
      </c>
      <c r="F8252" s="102">
        <f t="shared" si="5041"/>
        <v>2027080.0000000002</v>
      </c>
      <c r="G8252" s="102">
        <f t="shared" si="5042"/>
        <v>1842800</v>
      </c>
      <c r="H8252" s="690" t="s">
        <v>173</v>
      </c>
      <c r="I8252" s="71" t="s">
        <v>2230</v>
      </c>
      <c r="J8252" s="53">
        <f t="shared" ref="J8252" si="5060">G8252-T8252</f>
        <v>1842800</v>
      </c>
      <c r="K8252" s="63">
        <f t="shared" ref="K8252" si="5061">(J8252/(F8252/11*10))</f>
        <v>0.99999999999999989</v>
      </c>
      <c r="L8252" s="1212" t="s">
        <v>4471</v>
      </c>
      <c r="M8252" s="102"/>
      <c r="N8252" s="1192">
        <f t="shared" si="5045"/>
        <v>45960</v>
      </c>
      <c r="O8252" s="71"/>
      <c r="P8252" s="103" t="str">
        <f t="shared" si="5046"/>
        <v>폐판</v>
      </c>
      <c r="Q8252" s="71">
        <f t="shared" si="5047"/>
        <v>1084</v>
      </c>
      <c r="R8252" s="102"/>
      <c r="S8252" s="102">
        <f t="shared" si="5011"/>
        <v>0</v>
      </c>
      <c r="T8252" s="102">
        <f t="shared" si="5012"/>
        <v>0</v>
      </c>
      <c r="U8252" s="71"/>
      <c r="V8252" s="71"/>
      <c r="W8252" s="474"/>
      <c r="X8252" s="71"/>
      <c r="Y8252" s="71"/>
    </row>
    <row r="8253" spans="1:25" ht="30" hidden="1" customHeight="1" x14ac:dyDescent="0.25">
      <c r="A8253" s="1145">
        <v>45931</v>
      </c>
      <c r="B8253" s="664" t="s">
        <v>2798</v>
      </c>
      <c r="C8253" s="71" t="s">
        <v>4240</v>
      </c>
      <c r="D8253" s="71">
        <v>10</v>
      </c>
      <c r="E8253" s="102">
        <v>133000</v>
      </c>
      <c r="F8253" s="102">
        <f t="shared" si="5041"/>
        <v>1463000.0000000002</v>
      </c>
      <c r="G8253" s="102">
        <f t="shared" si="5042"/>
        <v>1330000</v>
      </c>
      <c r="H8253" s="690" t="s">
        <v>173</v>
      </c>
      <c r="I8253" s="71" t="s">
        <v>109</v>
      </c>
      <c r="J8253" s="53">
        <f t="shared" ref="J8253:J8254" si="5062">G8253-T8253</f>
        <v>210000</v>
      </c>
      <c r="K8253" s="63">
        <f t="shared" ref="K8253:K8256" si="5063">(J8253/(F8253/11*10))</f>
        <v>0.15789473684210523</v>
      </c>
      <c r="L8253" s="1212" t="s">
        <v>4471</v>
      </c>
      <c r="M8253" s="102"/>
      <c r="N8253" s="1192">
        <f t="shared" si="5045"/>
        <v>45931</v>
      </c>
      <c r="O8253" s="71" t="s">
        <v>150</v>
      </c>
      <c r="P8253" s="103" t="str">
        <f t="shared" si="5046"/>
        <v>5MX 블랑켓 XL용</v>
      </c>
      <c r="Q8253" s="71">
        <f t="shared" si="5047"/>
        <v>10</v>
      </c>
      <c r="R8253" s="102">
        <v>112000</v>
      </c>
      <c r="S8253" s="102">
        <f t="shared" si="5011"/>
        <v>1232000</v>
      </c>
      <c r="T8253" s="102">
        <f t="shared" si="5012"/>
        <v>1120000</v>
      </c>
      <c r="U8253" s="71"/>
      <c r="V8253" s="71"/>
      <c r="W8253" s="474"/>
      <c r="X8253" s="71"/>
      <c r="Y8253" s="71"/>
    </row>
    <row r="8254" spans="1:25" ht="30" hidden="1" customHeight="1" x14ac:dyDescent="0.25">
      <c r="A8254" s="1145">
        <v>45946</v>
      </c>
      <c r="B8254" s="664" t="s">
        <v>2798</v>
      </c>
      <c r="C8254" s="71" t="s">
        <v>167</v>
      </c>
      <c r="D8254" s="71">
        <v>10</v>
      </c>
      <c r="E8254" s="102">
        <v>138000</v>
      </c>
      <c r="F8254" s="102">
        <f t="shared" si="5041"/>
        <v>1518000.0000000002</v>
      </c>
      <c r="G8254" s="102">
        <f t="shared" si="5042"/>
        <v>1380000</v>
      </c>
      <c r="H8254" s="690" t="s">
        <v>172</v>
      </c>
      <c r="I8254" s="71" t="s">
        <v>33</v>
      </c>
      <c r="J8254" s="53">
        <f t="shared" si="5062"/>
        <v>500000</v>
      </c>
      <c r="K8254" s="63">
        <f t="shared" si="5063"/>
        <v>0.36231884057971009</v>
      </c>
      <c r="L8254" s="1212" t="s">
        <v>4471</v>
      </c>
      <c r="M8254" s="468"/>
      <c r="N8254" s="1192">
        <f t="shared" si="5045"/>
        <v>45946</v>
      </c>
      <c r="O8254" s="71" t="s">
        <v>149</v>
      </c>
      <c r="P8254" s="103" t="str">
        <f t="shared" si="5046"/>
        <v>Blanket(1060*860)</v>
      </c>
      <c r="Q8254" s="71">
        <f t="shared" si="5047"/>
        <v>10</v>
      </c>
      <c r="R8254" s="102">
        <v>88000</v>
      </c>
      <c r="S8254" s="102">
        <f t="shared" si="5011"/>
        <v>968000.00000000012</v>
      </c>
      <c r="T8254" s="102">
        <f t="shared" si="5012"/>
        <v>880000</v>
      </c>
      <c r="U8254" s="71"/>
      <c r="V8254" s="71"/>
      <c r="W8254" s="474"/>
      <c r="X8254" s="71"/>
      <c r="Y8254" s="71"/>
    </row>
    <row r="8255" spans="1:25" ht="30" hidden="1" customHeight="1" x14ac:dyDescent="0.25">
      <c r="A8255" s="1145">
        <v>45951</v>
      </c>
      <c r="B8255" s="664" t="s">
        <v>2798</v>
      </c>
      <c r="C8255" s="71" t="s">
        <v>4239</v>
      </c>
      <c r="D8255" s="71">
        <v>2</v>
      </c>
      <c r="E8255" s="102">
        <v>252000</v>
      </c>
      <c r="F8255" s="102">
        <f t="shared" si="5041"/>
        <v>554400</v>
      </c>
      <c r="G8255" s="102">
        <f t="shared" si="5042"/>
        <v>504000</v>
      </c>
      <c r="H8255" s="690" t="s">
        <v>173</v>
      </c>
      <c r="I8255" s="71" t="s">
        <v>180</v>
      </c>
      <c r="J8255" s="53">
        <f>G8255-T8255-U8255</f>
        <v>117500</v>
      </c>
      <c r="K8255" s="63">
        <f t="shared" si="5063"/>
        <v>0.23313492063492064</v>
      </c>
      <c r="L8255" s="1212" t="s">
        <v>4471</v>
      </c>
      <c r="M8255" s="102"/>
      <c r="N8255" s="1192">
        <f t="shared" si="5045"/>
        <v>45951</v>
      </c>
      <c r="O8255" s="71" t="s">
        <v>150</v>
      </c>
      <c r="P8255" s="103" t="str">
        <f t="shared" si="5046"/>
        <v>Saphira 건식 세정포 하이델 XL용</v>
      </c>
      <c r="Q8255" s="71">
        <f t="shared" si="5047"/>
        <v>2</v>
      </c>
      <c r="R8255" s="102">
        <v>187500</v>
      </c>
      <c r="S8255" s="102">
        <f t="shared" si="5011"/>
        <v>412500.00000000006</v>
      </c>
      <c r="T8255" s="102">
        <f t="shared" si="5012"/>
        <v>375000</v>
      </c>
      <c r="U8255" s="71">
        <v>11500</v>
      </c>
      <c r="V8255" s="71"/>
      <c r="W8255" s="474"/>
      <c r="X8255" s="71"/>
      <c r="Y8255" s="71"/>
    </row>
    <row r="8256" spans="1:25" ht="30" hidden="1" customHeight="1" x14ac:dyDescent="0.25">
      <c r="A8256" s="1145">
        <v>45951</v>
      </c>
      <c r="B8256" s="664" t="s">
        <v>2798</v>
      </c>
      <c r="C8256" s="71" t="s">
        <v>4238</v>
      </c>
      <c r="D8256" s="71">
        <v>10</v>
      </c>
      <c r="E8256" s="102">
        <v>162000</v>
      </c>
      <c r="F8256" s="102">
        <f t="shared" si="5041"/>
        <v>1782000.0000000002</v>
      </c>
      <c r="G8256" s="102">
        <f t="shared" si="5042"/>
        <v>1620000</v>
      </c>
      <c r="H8256" s="690" t="s">
        <v>173</v>
      </c>
      <c r="I8256" s="71" t="s">
        <v>109</v>
      </c>
      <c r="J8256" s="53">
        <f>G8256-T8256-U8256</f>
        <v>243000</v>
      </c>
      <c r="K8256" s="63">
        <f t="shared" si="5063"/>
        <v>0.14999999999999997</v>
      </c>
      <c r="L8256" s="1212" t="s">
        <v>4471</v>
      </c>
      <c r="M8256" s="468"/>
      <c r="N8256" s="1192">
        <f t="shared" si="5045"/>
        <v>45951</v>
      </c>
      <c r="O8256" s="71" t="s">
        <v>150</v>
      </c>
      <c r="P8256" s="103" t="str">
        <f t="shared" si="5046"/>
        <v>TUV 블랑켓 하이델 XL용</v>
      </c>
      <c r="Q8256" s="71">
        <f t="shared" si="5047"/>
        <v>10</v>
      </c>
      <c r="R8256" s="147">
        <v>137700</v>
      </c>
      <c r="S8256" s="102">
        <f t="shared" si="5011"/>
        <v>1514700.0000000002</v>
      </c>
      <c r="T8256" s="102">
        <f t="shared" si="5012"/>
        <v>1377000</v>
      </c>
      <c r="U8256" s="71"/>
      <c r="V8256" s="71"/>
      <c r="W8256" s="474"/>
      <c r="X8256" s="71"/>
      <c r="Y8256" s="71"/>
    </row>
    <row r="8257" spans="1:25" ht="30" hidden="1" customHeight="1" x14ac:dyDescent="0.25">
      <c r="A8257" s="1145">
        <v>45952</v>
      </c>
      <c r="B8257" s="664" t="s">
        <v>2798</v>
      </c>
      <c r="C8257" s="71" t="s">
        <v>167</v>
      </c>
      <c r="D8257" s="71">
        <v>10</v>
      </c>
      <c r="E8257" s="102">
        <v>138000</v>
      </c>
      <c r="F8257" s="102">
        <f t="shared" ref="F8257:F8267" si="5064">(E8257*D8257)*1.1</f>
        <v>1518000.0000000002</v>
      </c>
      <c r="G8257" s="102">
        <f t="shared" ref="G8257:G8267" si="5065">(E8257*D8257)</f>
        <v>1380000</v>
      </c>
      <c r="H8257" s="690" t="s">
        <v>172</v>
      </c>
      <c r="I8257" s="71" t="s">
        <v>33</v>
      </c>
      <c r="J8257" s="53">
        <f t="shared" ref="J8257:J8260" si="5066">G8257-T8257</f>
        <v>500000</v>
      </c>
      <c r="K8257" s="63">
        <f t="shared" ref="K8257:K8260" si="5067">(J8257/(F8257/11*10))</f>
        <v>0.36231884057971009</v>
      </c>
      <c r="L8257" s="1212" t="s">
        <v>4471</v>
      </c>
      <c r="M8257" s="468"/>
      <c r="N8257" s="1192">
        <f t="shared" si="5045"/>
        <v>45952</v>
      </c>
      <c r="O8257" s="71" t="s">
        <v>149</v>
      </c>
      <c r="P8257" s="103" t="str">
        <f t="shared" ref="P8257:P8267" si="5068">(C8257)</f>
        <v>Blanket(1060*860)</v>
      </c>
      <c r="Q8257" s="71">
        <f t="shared" ref="Q8257" si="5069">D8257</f>
        <v>10</v>
      </c>
      <c r="R8257" s="102">
        <v>88000</v>
      </c>
      <c r="S8257" s="102">
        <f t="shared" ref="S8257" si="5070">R8257*Q8257*1.1</f>
        <v>968000.00000000012</v>
      </c>
      <c r="T8257" s="102">
        <f t="shared" ref="T8257" si="5071">R8257*Q8257</f>
        <v>880000</v>
      </c>
      <c r="U8257" s="71"/>
      <c r="V8257" s="71"/>
      <c r="W8257" s="474"/>
      <c r="X8257" s="71"/>
      <c r="Y8257" s="71"/>
    </row>
    <row r="8258" spans="1:25" ht="30" hidden="1" customHeight="1" x14ac:dyDescent="0.25">
      <c r="A8258" s="1145">
        <v>45945</v>
      </c>
      <c r="B8258" s="664" t="s">
        <v>591</v>
      </c>
      <c r="C8258" s="71" t="s">
        <v>3647</v>
      </c>
      <c r="D8258" s="71">
        <v>1</v>
      </c>
      <c r="E8258" s="102">
        <v>7381000</v>
      </c>
      <c r="F8258" s="102">
        <f t="shared" si="5064"/>
        <v>8119100.0000000009</v>
      </c>
      <c r="G8258" s="102">
        <f t="shared" si="5065"/>
        <v>7381000</v>
      </c>
      <c r="H8258" s="690" t="s">
        <v>173</v>
      </c>
      <c r="I8258" s="71" t="s">
        <v>143</v>
      </c>
      <c r="J8258" s="53">
        <f t="shared" si="5066"/>
        <v>2181000</v>
      </c>
      <c r="K8258" s="63">
        <f t="shared" si="5067"/>
        <v>0.29548841620376637</v>
      </c>
      <c r="L8258" s="1212" t="s">
        <v>4471</v>
      </c>
      <c r="M8258" s="102"/>
      <c r="N8258" s="1192">
        <f t="shared" si="5045"/>
        <v>45945</v>
      </c>
      <c r="O8258" s="71" t="s">
        <v>612</v>
      </c>
      <c r="P8258" s="103" t="str">
        <f t="shared" si="5068"/>
        <v>윤전 롤러 세트</v>
      </c>
      <c r="Q8258" s="71">
        <f t="shared" si="5047"/>
        <v>1</v>
      </c>
      <c r="R8258" s="102">
        <v>5200000</v>
      </c>
      <c r="S8258" s="102">
        <f t="shared" si="5011"/>
        <v>5720000</v>
      </c>
      <c r="T8258" s="102">
        <f t="shared" si="5012"/>
        <v>5200000</v>
      </c>
      <c r="U8258" s="71"/>
      <c r="V8258" s="71"/>
      <c r="W8258" s="474"/>
      <c r="X8258" s="71"/>
      <c r="Y8258" s="71"/>
    </row>
    <row r="8259" spans="1:25" ht="30" hidden="1" customHeight="1" x14ac:dyDescent="0.25">
      <c r="A8259" s="1145">
        <v>45961</v>
      </c>
      <c r="B8259" s="664" t="s">
        <v>1593</v>
      </c>
      <c r="C8259" s="1020" t="s">
        <v>4477</v>
      </c>
      <c r="D8259" s="71">
        <v>3</v>
      </c>
      <c r="E8259" s="102">
        <v>940000</v>
      </c>
      <c r="F8259" s="102">
        <f t="shared" si="5064"/>
        <v>3102000.0000000005</v>
      </c>
      <c r="G8259" s="102">
        <f t="shared" si="5065"/>
        <v>2820000</v>
      </c>
      <c r="H8259" s="690" t="s">
        <v>142</v>
      </c>
      <c r="I8259" s="71" t="s">
        <v>142</v>
      </c>
      <c r="J8259" s="53">
        <f>G8259-T8259-240000</f>
        <v>563528.75000000023</v>
      </c>
      <c r="K8259" s="63">
        <f t="shared" si="5067"/>
        <v>0.19983289007092203</v>
      </c>
      <c r="L8259" s="1212" t="s">
        <v>4471</v>
      </c>
      <c r="M8259" s="468" t="s">
        <v>4487</v>
      </c>
      <c r="N8259" s="1192">
        <f t="shared" si="5045"/>
        <v>45961</v>
      </c>
      <c r="O8259" s="71" t="s">
        <v>4408</v>
      </c>
      <c r="P8259" s="103" t="str">
        <f t="shared" si="5068"/>
        <v>Colorman 신문윤전기 습수약물 드럼
Technova Aquafount</v>
      </c>
      <c r="Q8259" s="71">
        <f t="shared" ref="Q8259:Q8267" si="5072">D8259</f>
        <v>3</v>
      </c>
      <c r="R8259" s="147">
        <f>3226354/48*10</f>
        <v>672157.08333333326</v>
      </c>
      <c r="S8259" s="102">
        <f t="shared" si="5011"/>
        <v>2218118.375</v>
      </c>
      <c r="T8259" s="102">
        <f t="shared" si="5012"/>
        <v>2016471.2499999998</v>
      </c>
      <c r="U8259" s="71"/>
      <c r="V8259" s="71"/>
      <c r="W8259" s="474"/>
      <c r="X8259" s="71"/>
      <c r="Y8259" s="71"/>
    </row>
    <row r="8260" spans="1:25" ht="30" hidden="1" customHeight="1" x14ac:dyDescent="0.25">
      <c r="A8260" s="1145">
        <v>45961</v>
      </c>
      <c r="B8260" s="664" t="s">
        <v>1593</v>
      </c>
      <c r="C8260" s="1020" t="s">
        <v>4405</v>
      </c>
      <c r="D8260" s="71">
        <v>76</v>
      </c>
      <c r="E8260" s="102">
        <v>92000</v>
      </c>
      <c r="F8260" s="102">
        <f t="shared" si="5064"/>
        <v>7691200.0000000009</v>
      </c>
      <c r="G8260" s="102">
        <f t="shared" si="5065"/>
        <v>6992000</v>
      </c>
      <c r="H8260" s="690" t="s">
        <v>142</v>
      </c>
      <c r="I8260" s="71" t="s">
        <v>142</v>
      </c>
      <c r="J8260" s="53">
        <f t="shared" si="5066"/>
        <v>1249060</v>
      </c>
      <c r="K8260" s="63">
        <f t="shared" si="5067"/>
        <v>0.17864130434782607</v>
      </c>
      <c r="L8260" s="1212" t="s">
        <v>4471</v>
      </c>
      <c r="M8260" s="102"/>
      <c r="N8260" s="1192">
        <f t="shared" si="5045"/>
        <v>45961</v>
      </c>
      <c r="O8260" s="71" t="s">
        <v>4408</v>
      </c>
      <c r="P8260" s="103" t="str">
        <f t="shared" si="5068"/>
        <v>Colorman 신문윤전기 세척액
Technova Artemas Wash</v>
      </c>
      <c r="Q8260" s="71">
        <f t="shared" si="5072"/>
        <v>76</v>
      </c>
      <c r="R8260" s="102">
        <v>75565</v>
      </c>
      <c r="S8260" s="102">
        <f t="shared" si="5011"/>
        <v>6317234.0000000009</v>
      </c>
      <c r="T8260" s="102">
        <f t="shared" si="5012"/>
        <v>5742940</v>
      </c>
      <c r="U8260" s="71"/>
      <c r="V8260" s="71"/>
      <c r="W8260" s="474"/>
      <c r="X8260" s="71"/>
      <c r="Y8260" s="71"/>
    </row>
    <row r="8261" spans="1:25" ht="30" hidden="1" customHeight="1" x14ac:dyDescent="0.25">
      <c r="A8261" s="1145">
        <v>45961</v>
      </c>
      <c r="B8261" s="664" t="s">
        <v>1593</v>
      </c>
      <c r="C8261" s="71" t="s">
        <v>4478</v>
      </c>
      <c r="D8261" s="71">
        <v>1</v>
      </c>
      <c r="E8261" s="102">
        <v>190000</v>
      </c>
      <c r="F8261" s="102">
        <f t="shared" si="5064"/>
        <v>209000.00000000003</v>
      </c>
      <c r="G8261" s="102">
        <f t="shared" si="5065"/>
        <v>190000</v>
      </c>
      <c r="H8261" s="690" t="s">
        <v>142</v>
      </c>
      <c r="I8261" s="71" t="s">
        <v>142</v>
      </c>
      <c r="J8261" s="53">
        <f t="shared" ref="J8261" si="5073">G8261-T8261</f>
        <v>3000</v>
      </c>
      <c r="K8261" s="63">
        <f t="shared" ref="K8261" si="5074">(J8261/(F8261/11*10))</f>
        <v>1.5789473684210523E-2</v>
      </c>
      <c r="L8261" s="1212" t="s">
        <v>4471</v>
      </c>
      <c r="M8261" s="102"/>
      <c r="N8261" s="1192">
        <f t="shared" si="5045"/>
        <v>45961</v>
      </c>
      <c r="O8261" s="71"/>
      <c r="P8261" s="103" t="str">
        <f t="shared" si="5068"/>
        <v>전동 드럼 오일</v>
      </c>
      <c r="Q8261" s="71">
        <f t="shared" si="5072"/>
        <v>1</v>
      </c>
      <c r="R8261" s="102">
        <v>187000</v>
      </c>
      <c r="S8261" s="102">
        <f t="shared" si="5011"/>
        <v>205700.00000000003</v>
      </c>
      <c r="T8261" s="102">
        <f t="shared" si="5012"/>
        <v>187000</v>
      </c>
      <c r="U8261" s="71"/>
      <c r="V8261" s="71"/>
      <c r="W8261" s="474"/>
      <c r="X8261" s="71"/>
      <c r="Y8261" s="71"/>
    </row>
    <row r="8262" spans="1:25" ht="30" hidden="1" customHeight="1" x14ac:dyDescent="0.25">
      <c r="A8262" s="1145">
        <v>45950</v>
      </c>
      <c r="B8262" s="664" t="s">
        <v>1178</v>
      </c>
      <c r="C8262" s="71" t="s">
        <v>4479</v>
      </c>
      <c r="D8262" s="71">
        <v>1</v>
      </c>
      <c r="E8262" s="102">
        <v>700000</v>
      </c>
      <c r="F8262" s="102">
        <f t="shared" si="5064"/>
        <v>770000.00000000012</v>
      </c>
      <c r="G8262" s="102">
        <f t="shared" si="5065"/>
        <v>700000</v>
      </c>
      <c r="H8262" s="690" t="s">
        <v>985</v>
      </c>
      <c r="I8262" s="690" t="s">
        <v>985</v>
      </c>
      <c r="J8262" s="53"/>
      <c r="K8262" s="63"/>
      <c r="L8262" s="1212" t="s">
        <v>4471</v>
      </c>
      <c r="M8262" s="468"/>
      <c r="N8262" s="1192">
        <f t="shared" si="5045"/>
        <v>45950</v>
      </c>
      <c r="O8262" s="71"/>
      <c r="P8262" s="103" t="str">
        <f t="shared" si="5068"/>
        <v>9/10-11 Vpak 방문 점검건</v>
      </c>
      <c r="Q8262" s="71">
        <f t="shared" si="5072"/>
        <v>1</v>
      </c>
      <c r="R8262" s="147"/>
      <c r="S8262" s="102">
        <f t="shared" si="5011"/>
        <v>0</v>
      </c>
      <c r="T8262" s="102">
        <f t="shared" si="5012"/>
        <v>0</v>
      </c>
      <c r="U8262" s="71"/>
      <c r="V8262" s="71"/>
      <c r="W8262" s="474"/>
      <c r="X8262" s="71"/>
      <c r="Y8262" s="71"/>
    </row>
    <row r="8263" spans="1:25" ht="30" hidden="1" customHeight="1" x14ac:dyDescent="0.25">
      <c r="A8263" s="1145">
        <v>45950</v>
      </c>
      <c r="B8263" s="664" t="s">
        <v>1178</v>
      </c>
      <c r="C8263" s="71" t="s">
        <v>4480</v>
      </c>
      <c r="D8263" s="71">
        <v>1</v>
      </c>
      <c r="E8263" s="102">
        <v>3150000</v>
      </c>
      <c r="F8263" s="102">
        <f t="shared" si="5064"/>
        <v>3465000.0000000005</v>
      </c>
      <c r="G8263" s="102">
        <f t="shared" si="5065"/>
        <v>3150000</v>
      </c>
      <c r="H8263" s="690" t="s">
        <v>985</v>
      </c>
      <c r="I8263" s="690" t="s">
        <v>985</v>
      </c>
      <c r="J8263" s="53"/>
      <c r="K8263" s="63"/>
      <c r="L8263" s="1212" t="s">
        <v>4471</v>
      </c>
      <c r="M8263" s="102"/>
      <c r="N8263" s="1192">
        <f t="shared" si="5045"/>
        <v>45950</v>
      </c>
      <c r="O8263" s="71"/>
      <c r="P8263" s="103" t="str">
        <f t="shared" si="5068"/>
        <v>8/12-14 ESI 방문 점검건</v>
      </c>
      <c r="Q8263" s="71">
        <f t="shared" si="5072"/>
        <v>1</v>
      </c>
      <c r="R8263" s="102"/>
      <c r="S8263" s="102">
        <f t="shared" si="5011"/>
        <v>0</v>
      </c>
      <c r="T8263" s="102">
        <f t="shared" si="5012"/>
        <v>0</v>
      </c>
      <c r="U8263" s="71"/>
      <c r="V8263" s="71"/>
      <c r="W8263" s="474"/>
      <c r="X8263" s="71"/>
      <c r="Y8263" s="71"/>
    </row>
    <row r="8264" spans="1:25" ht="30" hidden="1" customHeight="1" x14ac:dyDescent="0.25">
      <c r="A8264" s="1145">
        <v>45945</v>
      </c>
      <c r="B8264" s="664" t="s">
        <v>575</v>
      </c>
      <c r="C8264" s="71" t="s">
        <v>4481</v>
      </c>
      <c r="D8264" s="71">
        <v>1</v>
      </c>
      <c r="E8264" s="102">
        <v>2625000</v>
      </c>
      <c r="F8264" s="102">
        <f t="shared" si="5064"/>
        <v>2887500.0000000005</v>
      </c>
      <c r="G8264" s="102">
        <f t="shared" si="5065"/>
        <v>2625000</v>
      </c>
      <c r="H8264" s="690" t="s">
        <v>985</v>
      </c>
      <c r="I8264" s="690" t="s">
        <v>985</v>
      </c>
      <c r="J8264" s="53"/>
      <c r="K8264" s="63"/>
      <c r="L8264" s="1212" t="s">
        <v>4471</v>
      </c>
      <c r="M8264" s="468"/>
      <c r="N8264" s="1192">
        <f t="shared" si="5045"/>
        <v>45945</v>
      </c>
      <c r="O8264" s="71"/>
      <c r="P8264" s="103" t="str">
        <f t="shared" si="5068"/>
        <v>M600 서비스계약 4회차분</v>
      </c>
      <c r="Q8264" s="71">
        <f t="shared" si="5072"/>
        <v>1</v>
      </c>
      <c r="R8264" s="147"/>
      <c r="S8264" s="102">
        <f t="shared" si="5011"/>
        <v>0</v>
      </c>
      <c r="T8264" s="102">
        <f t="shared" si="5012"/>
        <v>0</v>
      </c>
      <c r="U8264" s="71"/>
      <c r="V8264" s="71"/>
      <c r="W8264" s="474"/>
      <c r="X8264" s="71"/>
      <c r="Y8264" s="71"/>
    </row>
    <row r="8265" spans="1:25" ht="30" hidden="1" customHeight="1" x14ac:dyDescent="0.25">
      <c r="A8265" s="1145">
        <v>45961</v>
      </c>
      <c r="B8265" s="664" t="s">
        <v>546</v>
      </c>
      <c r="C8265" s="71" t="s">
        <v>4482</v>
      </c>
      <c r="D8265" s="71">
        <v>1</v>
      </c>
      <c r="E8265" s="102">
        <v>6700000</v>
      </c>
      <c r="F8265" s="102">
        <f t="shared" si="5064"/>
        <v>7370000.0000000009</v>
      </c>
      <c r="G8265" s="102">
        <f t="shared" si="5065"/>
        <v>6700000</v>
      </c>
      <c r="H8265" s="690" t="s">
        <v>1431</v>
      </c>
      <c r="I8265" s="71" t="s">
        <v>1431</v>
      </c>
      <c r="J8265" s="53"/>
      <c r="K8265" s="63"/>
      <c r="L8265" s="1212" t="s">
        <v>4471</v>
      </c>
      <c r="M8265" s="102"/>
      <c r="N8265" s="1192">
        <f t="shared" si="5045"/>
        <v>45961</v>
      </c>
      <c r="O8265" s="71"/>
      <c r="P8265" s="103" t="str">
        <f t="shared" si="5068"/>
        <v>GENUBOX</v>
      </c>
      <c r="Q8265" s="71">
        <f t="shared" si="5072"/>
        <v>1</v>
      </c>
      <c r="R8265" s="102"/>
      <c r="S8265" s="102">
        <f t="shared" si="5011"/>
        <v>0</v>
      </c>
      <c r="T8265" s="102">
        <f t="shared" si="5012"/>
        <v>0</v>
      </c>
      <c r="U8265" s="71"/>
      <c r="V8265" s="71"/>
      <c r="W8265" s="474"/>
      <c r="X8265" s="71"/>
      <c r="Y8265" s="71"/>
    </row>
    <row r="8266" spans="1:25" ht="30" hidden="1" customHeight="1" x14ac:dyDescent="0.25">
      <c r="A8266" s="1145">
        <v>45961</v>
      </c>
      <c r="B8266" s="664" t="s">
        <v>546</v>
      </c>
      <c r="C8266" s="71" t="s">
        <v>4125</v>
      </c>
      <c r="D8266" s="71">
        <v>1</v>
      </c>
      <c r="E8266" s="102">
        <v>3800000</v>
      </c>
      <c r="F8266" s="102">
        <f t="shared" si="5064"/>
        <v>4180000.0000000005</v>
      </c>
      <c r="G8266" s="102">
        <f t="shared" si="5065"/>
        <v>3800000</v>
      </c>
      <c r="H8266" s="690" t="s">
        <v>985</v>
      </c>
      <c r="I8266" s="690" t="s">
        <v>985</v>
      </c>
      <c r="J8266" s="53"/>
      <c r="K8266" s="63"/>
      <c r="L8266" s="1212" t="s">
        <v>4471</v>
      </c>
      <c r="M8266" s="468"/>
      <c r="N8266" s="1192">
        <f t="shared" si="5045"/>
        <v>45961</v>
      </c>
      <c r="O8266" s="71"/>
      <c r="P8266" s="103" t="str">
        <f t="shared" si="5068"/>
        <v>자동 판걸이 업그레이드</v>
      </c>
      <c r="Q8266" s="71">
        <f t="shared" si="5072"/>
        <v>1</v>
      </c>
      <c r="R8266" s="147"/>
      <c r="S8266" s="102">
        <f t="shared" si="5011"/>
        <v>0</v>
      </c>
      <c r="T8266" s="102">
        <f t="shared" si="5012"/>
        <v>0</v>
      </c>
      <c r="U8266" s="71"/>
      <c r="V8266" s="71"/>
      <c r="W8266" s="474"/>
      <c r="X8266" s="71"/>
      <c r="Y8266" s="71"/>
    </row>
    <row r="8267" spans="1:25" ht="30" hidden="1" customHeight="1" x14ac:dyDescent="0.25">
      <c r="A8267" s="1145">
        <v>45935</v>
      </c>
      <c r="B8267" s="664" t="s">
        <v>4059</v>
      </c>
      <c r="C8267" s="71" t="s">
        <v>114</v>
      </c>
      <c r="D8267" s="71">
        <v>50</v>
      </c>
      <c r="E8267" s="102">
        <v>18000</v>
      </c>
      <c r="F8267" s="102">
        <f t="shared" si="5064"/>
        <v>990000.00000000012</v>
      </c>
      <c r="G8267" s="102">
        <f t="shared" si="5065"/>
        <v>900000</v>
      </c>
      <c r="H8267" s="690" t="s">
        <v>1431</v>
      </c>
      <c r="I8267" s="71" t="s">
        <v>1431</v>
      </c>
      <c r="J8267" s="53"/>
      <c r="K8267" s="63"/>
      <c r="L8267" s="1212" t="s">
        <v>4471</v>
      </c>
      <c r="M8267" s="102"/>
      <c r="N8267" s="1192">
        <f t="shared" si="5045"/>
        <v>45935</v>
      </c>
      <c r="O8267" s="71"/>
      <c r="P8267" s="103" t="str">
        <f t="shared" si="5068"/>
        <v>스트리퍼</v>
      </c>
      <c r="Q8267" s="71">
        <f t="shared" si="5072"/>
        <v>50</v>
      </c>
      <c r="R8267" s="102"/>
      <c r="S8267" s="102">
        <f t="shared" si="5011"/>
        <v>0</v>
      </c>
      <c r="T8267" s="102">
        <f t="shared" si="5012"/>
        <v>0</v>
      </c>
      <c r="U8267" s="71"/>
      <c r="V8267" s="71"/>
      <c r="W8267" s="474"/>
      <c r="X8267" s="71"/>
      <c r="Y8267" s="71"/>
    </row>
    <row r="8268" spans="1:25" ht="30" hidden="1" customHeight="1" x14ac:dyDescent="0.25">
      <c r="A8268" s="1210" t="s">
        <v>4488</v>
      </c>
      <c r="B8268" s="1211" t="s">
        <v>544</v>
      </c>
      <c r="C8268" s="960"/>
      <c r="D8268" s="960"/>
      <c r="E8268" s="952"/>
      <c r="F8268" s="952"/>
      <c r="G8268" s="952"/>
      <c r="H8268" s="1206"/>
      <c r="I8268" s="960"/>
      <c r="J8268" s="952"/>
      <c r="K8268" s="953"/>
      <c r="L8268" s="1212" t="s">
        <v>4490</v>
      </c>
      <c r="M8268" s="1207"/>
      <c r="N8268" s="1208" t="str">
        <f t="shared" si="5045"/>
        <v>2025,11</v>
      </c>
      <c r="O8268" s="960"/>
      <c r="P8268" s="1209"/>
      <c r="Q8268" s="960"/>
      <c r="R8268" s="952"/>
      <c r="S8268" s="952"/>
      <c r="T8268" s="952"/>
      <c r="U8268" s="960"/>
      <c r="V8268" s="960"/>
      <c r="W8268" s="474">
        <f>(G8268-T8268)</f>
        <v>0</v>
      </c>
      <c r="X8268" s="71"/>
      <c r="Y8268" s="71"/>
    </row>
    <row r="8269" spans="1:25" ht="30" hidden="1" customHeight="1" x14ac:dyDescent="0.25">
      <c r="A8269" s="1145">
        <v>45986</v>
      </c>
      <c r="B8269" s="664" t="s">
        <v>1060</v>
      </c>
      <c r="C8269" s="71" t="s">
        <v>3908</v>
      </c>
      <c r="D8269" s="71">
        <v>300</v>
      </c>
      <c r="E8269" s="102">
        <v>6000</v>
      </c>
      <c r="F8269" s="102">
        <f t="shared" ref="F8269:F8290" si="5075">(E8269*D8269)*1.1</f>
        <v>1980000.0000000002</v>
      </c>
      <c r="G8269" s="102">
        <f t="shared" ref="G8269:G8290" si="5076">(E8269*D8269)</f>
        <v>1800000</v>
      </c>
      <c r="H8269" s="690" t="s">
        <v>142</v>
      </c>
      <c r="I8269" s="71" t="s">
        <v>179</v>
      </c>
      <c r="J8269" s="53">
        <f>G8269-T8269-U8269</f>
        <v>625800</v>
      </c>
      <c r="K8269" s="63">
        <f t="shared" ref="K8269:K8289" si="5077">(J8269/(F8269/11*10))</f>
        <v>0.34766666666666662</v>
      </c>
      <c r="L8269" s="1212" t="s">
        <v>4490</v>
      </c>
      <c r="M8269" s="102" t="s">
        <v>3964</v>
      </c>
      <c r="N8269" s="1192">
        <f t="shared" si="5045"/>
        <v>45986</v>
      </c>
      <c r="O8269" s="71" t="s">
        <v>662</v>
      </c>
      <c r="P8269" s="103" t="str">
        <f t="shared" ref="P8269:P8299" si="5078">(C8269)</f>
        <v>Saphira CTP 판 1030 x 790</v>
      </c>
      <c r="Q8269" s="71">
        <f t="shared" ref="Q8269:Q8293" si="5079">D8269</f>
        <v>300</v>
      </c>
      <c r="R8269" s="102">
        <v>3914</v>
      </c>
      <c r="S8269" s="102">
        <f t="shared" ref="S8269:S8287" si="5080">R8269*Q8269*1.1</f>
        <v>1291620</v>
      </c>
      <c r="T8269" s="102">
        <f t="shared" ref="T8269:T8287" si="5081">R8269*Q8269</f>
        <v>1174200</v>
      </c>
      <c r="U8269" s="71"/>
      <c r="V8269" s="71"/>
      <c r="W8269" s="474">
        <v>942000</v>
      </c>
      <c r="X8269" s="71"/>
      <c r="Y8269" s="71"/>
    </row>
    <row r="8270" spans="1:25" ht="30" hidden="1" customHeight="1" x14ac:dyDescent="0.25">
      <c r="A8270" s="1145">
        <v>45986</v>
      </c>
      <c r="B8270" s="664" t="s">
        <v>1060</v>
      </c>
      <c r="C8270" s="71" t="s">
        <v>3909</v>
      </c>
      <c r="D8270" s="71">
        <v>2600</v>
      </c>
      <c r="E8270" s="102">
        <v>3790</v>
      </c>
      <c r="F8270" s="102">
        <f t="shared" si="5075"/>
        <v>10839400</v>
      </c>
      <c r="G8270" s="102">
        <f t="shared" si="5076"/>
        <v>9854000</v>
      </c>
      <c r="H8270" s="690" t="s">
        <v>36</v>
      </c>
      <c r="I8270" s="71" t="s">
        <v>2529</v>
      </c>
      <c r="J8270" s="53">
        <f>G8270-T8270-U8270</f>
        <v>3426800</v>
      </c>
      <c r="K8270" s="63">
        <f t="shared" si="5077"/>
        <v>0.34775725593667545</v>
      </c>
      <c r="L8270" s="1212" t="s">
        <v>4489</v>
      </c>
      <c r="M8270" s="102" t="s">
        <v>3964</v>
      </c>
      <c r="N8270" s="1192">
        <f t="shared" si="5045"/>
        <v>45986</v>
      </c>
      <c r="O8270" s="71" t="s">
        <v>662</v>
      </c>
      <c r="P8270" s="103" t="str">
        <f t="shared" si="5078"/>
        <v>Saphira CTP 판 900 x 571</v>
      </c>
      <c r="Q8270" s="71">
        <f t="shared" si="5079"/>
        <v>2600</v>
      </c>
      <c r="R8270" s="102">
        <v>2472</v>
      </c>
      <c r="S8270" s="102">
        <f t="shared" si="5080"/>
        <v>7069920.0000000009</v>
      </c>
      <c r="T8270" s="102">
        <f t="shared" si="5081"/>
        <v>6427200</v>
      </c>
      <c r="U8270" s="71"/>
      <c r="V8270" s="71"/>
      <c r="W8270" s="474">
        <v>1274000</v>
      </c>
      <c r="X8270" s="71"/>
      <c r="Y8270" s="71"/>
    </row>
    <row r="8271" spans="1:25" ht="30" hidden="1" customHeight="1" x14ac:dyDescent="0.25">
      <c r="A8271" s="1145">
        <v>45986</v>
      </c>
      <c r="B8271" s="664" t="s">
        <v>1060</v>
      </c>
      <c r="C8271" s="71" t="s">
        <v>3910</v>
      </c>
      <c r="D8271" s="71">
        <v>1500</v>
      </c>
      <c r="E8271" s="102">
        <v>3580</v>
      </c>
      <c r="F8271" s="102">
        <f t="shared" si="5075"/>
        <v>5907000.0000000009</v>
      </c>
      <c r="G8271" s="102">
        <f t="shared" si="5076"/>
        <v>5370000</v>
      </c>
      <c r="H8271" s="690" t="s">
        <v>36</v>
      </c>
      <c r="I8271" s="71" t="s">
        <v>2529</v>
      </c>
      <c r="J8271" s="53">
        <f t="shared" ref="J8271:J8289" si="5082">G8271-T8271</f>
        <v>1848000</v>
      </c>
      <c r="K8271" s="63">
        <f t="shared" si="5077"/>
        <v>0.34413407821229042</v>
      </c>
      <c r="L8271" s="1212" t="s">
        <v>4489</v>
      </c>
      <c r="M8271" s="102" t="s">
        <v>3964</v>
      </c>
      <c r="N8271" s="1192">
        <f t="shared" si="5045"/>
        <v>45986</v>
      </c>
      <c r="O8271" s="71" t="s">
        <v>662</v>
      </c>
      <c r="P8271" s="103" t="str">
        <f t="shared" si="5078"/>
        <v>Saphira CTP 판 883 x 552</v>
      </c>
      <c r="Q8271" s="71">
        <f t="shared" si="5079"/>
        <v>1500</v>
      </c>
      <c r="R8271" s="102">
        <v>2348</v>
      </c>
      <c r="S8271" s="102">
        <f t="shared" si="5080"/>
        <v>3874200.0000000005</v>
      </c>
      <c r="T8271" s="102">
        <f t="shared" si="5081"/>
        <v>3522000</v>
      </c>
      <c r="U8271" s="71"/>
      <c r="V8271" s="71"/>
      <c r="W8271" s="474">
        <v>3325000</v>
      </c>
      <c r="X8271" s="71"/>
      <c r="Y8271" s="71"/>
    </row>
    <row r="8272" spans="1:25" ht="30" hidden="1" customHeight="1" x14ac:dyDescent="0.25">
      <c r="A8272" s="1145">
        <v>45986</v>
      </c>
      <c r="B8272" s="664" t="s">
        <v>1060</v>
      </c>
      <c r="C8272" s="71" t="s">
        <v>3911</v>
      </c>
      <c r="D8272" s="71">
        <v>500</v>
      </c>
      <c r="E8272" s="102">
        <v>6090</v>
      </c>
      <c r="F8272" s="102">
        <f t="shared" si="5075"/>
        <v>3349500.0000000005</v>
      </c>
      <c r="G8272" s="102">
        <f t="shared" si="5076"/>
        <v>3045000</v>
      </c>
      <c r="H8272" s="690" t="s">
        <v>36</v>
      </c>
      <c r="I8272" s="71" t="s">
        <v>2529</v>
      </c>
      <c r="J8272" s="53">
        <f t="shared" si="5082"/>
        <v>1062000</v>
      </c>
      <c r="K8272" s="63">
        <f t="shared" si="5077"/>
        <v>0.34876847290640389</v>
      </c>
      <c r="L8272" s="1212" t="s">
        <v>4489</v>
      </c>
      <c r="M8272" s="102" t="s">
        <v>3964</v>
      </c>
      <c r="N8272" s="1192">
        <f t="shared" si="5045"/>
        <v>45986</v>
      </c>
      <c r="O8272" s="71" t="s">
        <v>662</v>
      </c>
      <c r="P8272" s="103" t="str">
        <f t="shared" si="5078"/>
        <v>Saphira CTP 판 1030 x 800</v>
      </c>
      <c r="Q8272" s="71">
        <f t="shared" si="5079"/>
        <v>500</v>
      </c>
      <c r="R8272" s="102">
        <v>3966</v>
      </c>
      <c r="S8272" s="102">
        <f t="shared" si="5080"/>
        <v>2181300</v>
      </c>
      <c r="T8272" s="102">
        <f t="shared" si="5081"/>
        <v>1983000</v>
      </c>
      <c r="U8272" s="71"/>
      <c r="V8272" s="71"/>
      <c r="W8272" s="474">
        <v>636000</v>
      </c>
      <c r="X8272" s="71"/>
      <c r="Y8272" s="71"/>
    </row>
    <row r="8273" spans="1:25" ht="30" hidden="1" customHeight="1" x14ac:dyDescent="0.25">
      <c r="A8273" s="1145">
        <v>45986</v>
      </c>
      <c r="B8273" s="664" t="s">
        <v>1060</v>
      </c>
      <c r="C8273" s="71" t="s">
        <v>3912</v>
      </c>
      <c r="D8273" s="71">
        <v>200</v>
      </c>
      <c r="E8273" s="102">
        <v>6310</v>
      </c>
      <c r="F8273" s="102">
        <f t="shared" si="5075"/>
        <v>1388200</v>
      </c>
      <c r="G8273" s="102">
        <f t="shared" si="5076"/>
        <v>1262000</v>
      </c>
      <c r="H8273" s="690" t="s">
        <v>36</v>
      </c>
      <c r="I8273" s="71" t="s">
        <v>2529</v>
      </c>
      <c r="J8273" s="53">
        <f t="shared" si="5082"/>
        <v>438000</v>
      </c>
      <c r="K8273" s="63">
        <f t="shared" si="5077"/>
        <v>0.34706814580031697</v>
      </c>
      <c r="L8273" s="1212" t="s">
        <v>4489</v>
      </c>
      <c r="M8273" s="102" t="s">
        <v>3964</v>
      </c>
      <c r="N8273" s="1192">
        <f t="shared" si="5045"/>
        <v>45986</v>
      </c>
      <c r="O8273" s="71" t="s">
        <v>662</v>
      </c>
      <c r="P8273" s="103" t="str">
        <f t="shared" si="5078"/>
        <v>Saphira CTP 판 1055 x 811</v>
      </c>
      <c r="Q8273" s="71">
        <f t="shared" si="5079"/>
        <v>200</v>
      </c>
      <c r="R8273" s="102">
        <v>4120</v>
      </c>
      <c r="S8273" s="102">
        <f t="shared" si="5080"/>
        <v>906400.00000000012</v>
      </c>
      <c r="T8273" s="102">
        <f t="shared" si="5081"/>
        <v>824000</v>
      </c>
      <c r="U8273" s="71"/>
      <c r="V8273" s="71"/>
      <c r="W8273" s="474">
        <v>1476000</v>
      </c>
      <c r="X8273" s="71"/>
      <c r="Y8273" s="71"/>
    </row>
    <row r="8274" spans="1:25" ht="30" hidden="1" customHeight="1" x14ac:dyDescent="0.25">
      <c r="A8274" s="1145">
        <v>45986</v>
      </c>
      <c r="B8274" s="664" t="s">
        <v>1060</v>
      </c>
      <c r="C8274" s="71" t="s">
        <v>3913</v>
      </c>
      <c r="D8274" s="71">
        <v>1300</v>
      </c>
      <c r="E8274" s="102">
        <v>4500</v>
      </c>
      <c r="F8274" s="102">
        <f t="shared" si="5075"/>
        <v>6435000.0000000009</v>
      </c>
      <c r="G8274" s="102">
        <f t="shared" si="5076"/>
        <v>5850000</v>
      </c>
      <c r="H8274" s="690" t="s">
        <v>36</v>
      </c>
      <c r="I8274" s="71" t="s">
        <v>2529</v>
      </c>
      <c r="J8274" s="53">
        <f t="shared" si="5082"/>
        <v>2033200</v>
      </c>
      <c r="K8274" s="63">
        <f t="shared" si="5077"/>
        <v>0.34755555555555551</v>
      </c>
      <c r="L8274" s="1212" t="s">
        <v>4489</v>
      </c>
      <c r="M8274" s="102" t="s">
        <v>3964</v>
      </c>
      <c r="N8274" s="1192">
        <f t="shared" si="5045"/>
        <v>45986</v>
      </c>
      <c r="O8274" s="71" t="s">
        <v>662</v>
      </c>
      <c r="P8274" s="103" t="str">
        <f t="shared" si="5078"/>
        <v>Saphira CTP 판 968 x 631</v>
      </c>
      <c r="Q8274" s="71">
        <f t="shared" si="5079"/>
        <v>1300</v>
      </c>
      <c r="R8274" s="102">
        <v>2936</v>
      </c>
      <c r="S8274" s="102">
        <f t="shared" si="5080"/>
        <v>4198480</v>
      </c>
      <c r="T8274" s="102">
        <f t="shared" si="5081"/>
        <v>3816800</v>
      </c>
      <c r="U8274" s="71"/>
      <c r="V8274" s="71"/>
      <c r="W8274" s="474">
        <v>1416000</v>
      </c>
      <c r="X8274" s="71"/>
      <c r="Y8274" s="71"/>
    </row>
    <row r="8275" spans="1:25" ht="30" hidden="1" customHeight="1" x14ac:dyDescent="0.25">
      <c r="A8275" s="1145">
        <v>45986</v>
      </c>
      <c r="B8275" s="664" t="s">
        <v>1060</v>
      </c>
      <c r="C8275" s="71" t="s">
        <v>3914</v>
      </c>
      <c r="D8275" s="71">
        <v>30</v>
      </c>
      <c r="E8275" s="102">
        <v>54560</v>
      </c>
      <c r="F8275" s="102">
        <f t="shared" si="5075"/>
        <v>1800480.0000000002</v>
      </c>
      <c r="G8275" s="102">
        <f t="shared" si="5076"/>
        <v>1636800</v>
      </c>
      <c r="H8275" s="690" t="s">
        <v>36</v>
      </c>
      <c r="I8275" s="71" t="s">
        <v>2529</v>
      </c>
      <c r="J8275" s="53">
        <f t="shared" si="5082"/>
        <v>400800</v>
      </c>
      <c r="K8275" s="63">
        <f t="shared" si="5077"/>
        <v>0.24486803519061581</v>
      </c>
      <c r="L8275" s="1212" t="s">
        <v>4489</v>
      </c>
      <c r="M8275" s="468"/>
      <c r="N8275" s="1192">
        <f t="shared" si="5045"/>
        <v>45986</v>
      </c>
      <c r="O8275" s="71" t="s">
        <v>662</v>
      </c>
      <c r="P8275" s="103" t="str">
        <f t="shared" si="5078"/>
        <v>사피라 현상액</v>
      </c>
      <c r="Q8275" s="71">
        <f t="shared" si="5079"/>
        <v>30</v>
      </c>
      <c r="R8275" s="102">
        <v>41200</v>
      </c>
      <c r="S8275" s="102">
        <f t="shared" si="5080"/>
        <v>1359600</v>
      </c>
      <c r="T8275" s="102">
        <f t="shared" si="5081"/>
        <v>1236000</v>
      </c>
      <c r="U8275" s="71"/>
      <c r="V8275" s="71"/>
      <c r="W8275" s="474">
        <v>978750</v>
      </c>
      <c r="X8275" s="71"/>
      <c r="Y8275" s="71"/>
    </row>
    <row r="8276" spans="1:25" ht="30" hidden="1" customHeight="1" x14ac:dyDescent="0.25">
      <c r="A8276" s="1145">
        <v>45986</v>
      </c>
      <c r="B8276" s="664" t="s">
        <v>1061</v>
      </c>
      <c r="C8276" s="71" t="s">
        <v>3319</v>
      </c>
      <c r="D8276" s="71">
        <v>200</v>
      </c>
      <c r="E8276" s="102">
        <v>6328</v>
      </c>
      <c r="F8276" s="102">
        <f t="shared" si="5075"/>
        <v>1392160</v>
      </c>
      <c r="G8276" s="102">
        <f t="shared" si="5076"/>
        <v>1265600</v>
      </c>
      <c r="H8276" s="690" t="s">
        <v>36</v>
      </c>
      <c r="I8276" s="71" t="s">
        <v>3320</v>
      </c>
      <c r="J8276" s="53">
        <f t="shared" si="5082"/>
        <v>95600</v>
      </c>
      <c r="K8276" s="63">
        <f t="shared" si="5077"/>
        <v>7.5537294563843241E-2</v>
      </c>
      <c r="L8276" s="1212" t="s">
        <v>4489</v>
      </c>
      <c r="M8276" s="468"/>
      <c r="N8276" s="1192">
        <f t="shared" si="5045"/>
        <v>45986</v>
      </c>
      <c r="O8276" s="71" t="s">
        <v>146</v>
      </c>
      <c r="P8276" s="103" t="str">
        <f t="shared" si="5078"/>
        <v>프리미어(먹)</v>
      </c>
      <c r="Q8276" s="71">
        <f t="shared" si="5079"/>
        <v>200</v>
      </c>
      <c r="R8276" s="102">
        <v>5850</v>
      </c>
      <c r="S8276" s="102">
        <f t="shared" si="5080"/>
        <v>1287000</v>
      </c>
      <c r="T8276" s="102">
        <f t="shared" si="5081"/>
        <v>1170000</v>
      </c>
      <c r="U8276" s="71"/>
      <c r="V8276" s="71"/>
      <c r="W8276" s="474">
        <v>411200</v>
      </c>
      <c r="X8276" s="71"/>
      <c r="Y8276" s="71"/>
    </row>
    <row r="8277" spans="1:25" ht="30" hidden="1" customHeight="1" x14ac:dyDescent="0.25">
      <c r="A8277" s="1145">
        <v>45986</v>
      </c>
      <c r="B8277" s="664" t="s">
        <v>1061</v>
      </c>
      <c r="C8277" s="71" t="s">
        <v>3321</v>
      </c>
      <c r="D8277" s="71">
        <v>200</v>
      </c>
      <c r="E8277" s="102">
        <v>6780</v>
      </c>
      <c r="F8277" s="102">
        <f t="shared" si="5075"/>
        <v>1491600.0000000002</v>
      </c>
      <c r="G8277" s="102">
        <f t="shared" si="5076"/>
        <v>1356000</v>
      </c>
      <c r="H8277" s="690" t="s">
        <v>36</v>
      </c>
      <c r="I8277" s="71" t="s">
        <v>3320</v>
      </c>
      <c r="J8277" s="53">
        <f t="shared" si="5082"/>
        <v>100000</v>
      </c>
      <c r="K8277" s="63">
        <f t="shared" si="5077"/>
        <v>7.3746312684365767E-2</v>
      </c>
      <c r="L8277" s="1212" t="s">
        <v>4489</v>
      </c>
      <c r="M8277" s="468"/>
      <c r="N8277" s="1192">
        <f t="shared" si="5045"/>
        <v>45986</v>
      </c>
      <c r="O8277" s="71" t="s">
        <v>146</v>
      </c>
      <c r="P8277" s="103" t="str">
        <f t="shared" si="5078"/>
        <v>프리미어(적)</v>
      </c>
      <c r="Q8277" s="71">
        <f t="shared" si="5079"/>
        <v>200</v>
      </c>
      <c r="R8277" s="102">
        <v>6280</v>
      </c>
      <c r="S8277" s="102">
        <f t="shared" si="5080"/>
        <v>1381600</v>
      </c>
      <c r="T8277" s="102">
        <f t="shared" si="5081"/>
        <v>1256000</v>
      </c>
      <c r="U8277" s="71"/>
      <c r="V8277" s="71"/>
      <c r="W8277" s="474">
        <v>292000</v>
      </c>
      <c r="X8277" s="71"/>
      <c r="Y8277" s="71"/>
    </row>
    <row r="8278" spans="1:25" ht="30" hidden="1" customHeight="1" x14ac:dyDescent="0.25">
      <c r="A8278" s="1145">
        <v>45986</v>
      </c>
      <c r="B8278" s="664" t="s">
        <v>1061</v>
      </c>
      <c r="C8278" s="71" t="s">
        <v>1289</v>
      </c>
      <c r="D8278" s="71">
        <v>400</v>
      </c>
      <c r="E8278" s="102">
        <v>6498</v>
      </c>
      <c r="F8278" s="102">
        <f t="shared" si="5075"/>
        <v>2859120</v>
      </c>
      <c r="G8278" s="102">
        <f t="shared" si="5076"/>
        <v>2599200</v>
      </c>
      <c r="H8278" s="690" t="s">
        <v>36</v>
      </c>
      <c r="I8278" s="71" t="s">
        <v>3320</v>
      </c>
      <c r="J8278" s="53">
        <f t="shared" si="5082"/>
        <v>191200</v>
      </c>
      <c r="K8278" s="63">
        <f t="shared" si="5077"/>
        <v>7.3561095721760547E-2</v>
      </c>
      <c r="L8278" s="1212" t="s">
        <v>4489</v>
      </c>
      <c r="M8278" s="468"/>
      <c r="N8278" s="1192">
        <f t="shared" si="5045"/>
        <v>45986</v>
      </c>
      <c r="O8278" s="71" t="s">
        <v>146</v>
      </c>
      <c r="P8278" s="103" t="str">
        <f t="shared" si="5078"/>
        <v>프리미어(황)</v>
      </c>
      <c r="Q8278" s="71">
        <f t="shared" si="5079"/>
        <v>400</v>
      </c>
      <c r="R8278" s="102">
        <v>6020</v>
      </c>
      <c r="S8278" s="102">
        <f t="shared" si="5080"/>
        <v>2648800</v>
      </c>
      <c r="T8278" s="102">
        <f t="shared" si="5081"/>
        <v>2408000</v>
      </c>
      <c r="U8278" s="71"/>
      <c r="V8278" s="71"/>
      <c r="W8278" s="474">
        <v>640800</v>
      </c>
      <c r="X8278" s="71"/>
      <c r="Y8278" s="71"/>
    </row>
    <row r="8279" spans="1:25" ht="30" hidden="1" customHeight="1" x14ac:dyDescent="0.25">
      <c r="A8279" s="1145">
        <v>45986</v>
      </c>
      <c r="B8279" s="664" t="s">
        <v>1061</v>
      </c>
      <c r="C8279" s="71" t="s">
        <v>1290</v>
      </c>
      <c r="D8279" s="71">
        <v>400</v>
      </c>
      <c r="E8279" s="102">
        <v>7910</v>
      </c>
      <c r="F8279" s="102">
        <f t="shared" si="5075"/>
        <v>3480400.0000000005</v>
      </c>
      <c r="G8279" s="102">
        <f t="shared" si="5076"/>
        <v>3164000</v>
      </c>
      <c r="H8279" s="690" t="s">
        <v>36</v>
      </c>
      <c r="I8279" s="71" t="s">
        <v>3320</v>
      </c>
      <c r="J8279" s="53">
        <f t="shared" si="5082"/>
        <v>240000</v>
      </c>
      <c r="K8279" s="63">
        <f t="shared" si="5077"/>
        <v>7.5853350189633365E-2</v>
      </c>
      <c r="L8279" s="1212" t="s">
        <v>4489</v>
      </c>
      <c r="M8279" s="468"/>
      <c r="N8279" s="1192">
        <f t="shared" si="5045"/>
        <v>45986</v>
      </c>
      <c r="O8279" s="71" t="s">
        <v>146</v>
      </c>
      <c r="P8279" s="103" t="str">
        <f t="shared" si="5078"/>
        <v>프리미어(청)</v>
      </c>
      <c r="Q8279" s="71">
        <f t="shared" si="5079"/>
        <v>400</v>
      </c>
      <c r="R8279" s="102">
        <v>7310</v>
      </c>
      <c r="S8279" s="102">
        <f t="shared" si="5080"/>
        <v>3216400.0000000005</v>
      </c>
      <c r="T8279" s="102">
        <f t="shared" si="5081"/>
        <v>2924000</v>
      </c>
      <c r="U8279" s="71"/>
      <c r="V8279" s="71"/>
      <c r="W8279" s="474">
        <v>846000</v>
      </c>
      <c r="X8279" s="71"/>
      <c r="Y8279" s="71"/>
    </row>
    <row r="8280" spans="1:25" ht="30" hidden="1" customHeight="1" x14ac:dyDescent="0.25">
      <c r="A8280" s="1145">
        <v>45986</v>
      </c>
      <c r="B8280" s="664" t="s">
        <v>1061</v>
      </c>
      <c r="C8280" s="71" t="s">
        <v>3322</v>
      </c>
      <c r="D8280" s="71"/>
      <c r="E8280" s="102">
        <v>7150</v>
      </c>
      <c r="F8280" s="102">
        <f t="shared" si="5075"/>
        <v>0</v>
      </c>
      <c r="G8280" s="102">
        <f t="shared" si="5076"/>
        <v>0</v>
      </c>
      <c r="H8280" s="690" t="s">
        <v>36</v>
      </c>
      <c r="I8280" s="71" t="s">
        <v>3320</v>
      </c>
      <c r="J8280" s="53">
        <f t="shared" si="5082"/>
        <v>0</v>
      </c>
      <c r="K8280" s="63" t="e">
        <f t="shared" si="5077"/>
        <v>#DIV/0!</v>
      </c>
      <c r="L8280" s="1212" t="s">
        <v>4489</v>
      </c>
      <c r="M8280" s="468"/>
      <c r="N8280" s="1192">
        <f t="shared" si="5045"/>
        <v>45986</v>
      </c>
      <c r="O8280" s="71" t="s">
        <v>3323</v>
      </c>
      <c r="P8280" s="103" t="str">
        <f t="shared" si="5078"/>
        <v>한특 잉크(적)</v>
      </c>
      <c r="Q8280" s="71">
        <f t="shared" si="5079"/>
        <v>0</v>
      </c>
      <c r="R8280" s="102">
        <v>6500</v>
      </c>
      <c r="S8280" s="102">
        <f t="shared" si="5080"/>
        <v>0</v>
      </c>
      <c r="T8280" s="102">
        <f t="shared" si="5081"/>
        <v>0</v>
      </c>
      <c r="U8280" s="71"/>
      <c r="V8280" s="71"/>
      <c r="W8280" s="474">
        <v>0</v>
      </c>
      <c r="X8280" s="71"/>
      <c r="Y8280" s="71"/>
    </row>
    <row r="8281" spans="1:25" ht="30" hidden="1" customHeight="1" x14ac:dyDescent="0.25">
      <c r="A8281" s="1145">
        <v>45986</v>
      </c>
      <c r="B8281" s="664" t="s">
        <v>1061</v>
      </c>
      <c r="C8281" s="71" t="s">
        <v>3324</v>
      </c>
      <c r="D8281" s="71"/>
      <c r="E8281" s="102">
        <v>6900</v>
      </c>
      <c r="F8281" s="102">
        <f t="shared" si="5075"/>
        <v>0</v>
      </c>
      <c r="G8281" s="102">
        <f t="shared" si="5076"/>
        <v>0</v>
      </c>
      <c r="H8281" s="690" t="s">
        <v>36</v>
      </c>
      <c r="I8281" s="71" t="s">
        <v>3320</v>
      </c>
      <c r="J8281" s="53">
        <f t="shared" si="5082"/>
        <v>0</v>
      </c>
      <c r="K8281" s="63" t="e">
        <f t="shared" si="5077"/>
        <v>#DIV/0!</v>
      </c>
      <c r="L8281" s="1212" t="s">
        <v>4489</v>
      </c>
      <c r="M8281" s="468"/>
      <c r="N8281" s="1192">
        <f t="shared" si="5045"/>
        <v>45986</v>
      </c>
      <c r="O8281" s="71" t="s">
        <v>3323</v>
      </c>
      <c r="P8281" s="103" t="str">
        <f t="shared" si="5078"/>
        <v>한특 잉크(황)</v>
      </c>
      <c r="Q8281" s="71">
        <f t="shared" si="5079"/>
        <v>0</v>
      </c>
      <c r="R8281" s="102">
        <v>6200</v>
      </c>
      <c r="S8281" s="102">
        <f t="shared" si="5080"/>
        <v>0</v>
      </c>
      <c r="T8281" s="102">
        <f t="shared" si="5081"/>
        <v>0</v>
      </c>
      <c r="U8281" s="71"/>
      <c r="V8281" s="71"/>
      <c r="W8281" s="474">
        <v>0</v>
      </c>
      <c r="X8281" s="71"/>
      <c r="Y8281" s="71"/>
    </row>
    <row r="8282" spans="1:25" ht="28.5" hidden="1" customHeight="1" x14ac:dyDescent="0.25">
      <c r="A8282" s="1145">
        <v>45986</v>
      </c>
      <c r="B8282" s="664" t="s">
        <v>1061</v>
      </c>
      <c r="C8282" s="71" t="s">
        <v>3325</v>
      </c>
      <c r="D8282" s="71"/>
      <c r="E8282" s="102">
        <v>7500</v>
      </c>
      <c r="F8282" s="102">
        <f t="shared" si="5075"/>
        <v>0</v>
      </c>
      <c r="G8282" s="102">
        <f t="shared" si="5076"/>
        <v>0</v>
      </c>
      <c r="H8282" s="690" t="s">
        <v>36</v>
      </c>
      <c r="I8282" s="71" t="s">
        <v>3320</v>
      </c>
      <c r="J8282" s="53">
        <f t="shared" si="5082"/>
        <v>0</v>
      </c>
      <c r="K8282" s="63" t="e">
        <f t="shared" si="5077"/>
        <v>#DIV/0!</v>
      </c>
      <c r="L8282" s="1212" t="s">
        <v>4489</v>
      </c>
      <c r="M8282" s="468"/>
      <c r="N8282" s="1192">
        <f t="shared" si="5045"/>
        <v>45986</v>
      </c>
      <c r="O8282" s="71" t="s">
        <v>3323</v>
      </c>
      <c r="P8282" s="103" t="str">
        <f t="shared" si="5078"/>
        <v>한특 잉크(청)</v>
      </c>
      <c r="Q8282" s="71">
        <f t="shared" si="5079"/>
        <v>0</v>
      </c>
      <c r="R8282" s="102">
        <v>6600</v>
      </c>
      <c r="S8282" s="102">
        <f t="shared" si="5080"/>
        <v>0</v>
      </c>
      <c r="T8282" s="102">
        <f t="shared" si="5081"/>
        <v>0</v>
      </c>
      <c r="U8282" s="71"/>
      <c r="V8282" s="71"/>
      <c r="W8282" s="474">
        <v>0</v>
      </c>
      <c r="X8282" s="71"/>
      <c r="Y8282" s="71"/>
    </row>
    <row r="8283" spans="1:25" ht="30" hidden="1" customHeight="1" x14ac:dyDescent="0.25">
      <c r="A8283" s="1145">
        <v>45986</v>
      </c>
      <c r="B8283" s="664" t="s">
        <v>1061</v>
      </c>
      <c r="C8283" s="71" t="s">
        <v>3326</v>
      </c>
      <c r="D8283" s="71"/>
      <c r="E8283" s="102">
        <v>6450</v>
      </c>
      <c r="F8283" s="102">
        <f t="shared" si="5075"/>
        <v>0</v>
      </c>
      <c r="G8283" s="102">
        <f t="shared" si="5076"/>
        <v>0</v>
      </c>
      <c r="H8283" s="690" t="s">
        <v>36</v>
      </c>
      <c r="I8283" s="71" t="s">
        <v>3320</v>
      </c>
      <c r="J8283" s="53">
        <f t="shared" si="5082"/>
        <v>0</v>
      </c>
      <c r="K8283" s="63" t="e">
        <f t="shared" si="5077"/>
        <v>#DIV/0!</v>
      </c>
      <c r="L8283" s="1212" t="s">
        <v>4489</v>
      </c>
      <c r="M8283" s="468"/>
      <c r="N8283" s="1192">
        <f t="shared" si="5045"/>
        <v>45986</v>
      </c>
      <c r="O8283" s="71" t="s">
        <v>3323</v>
      </c>
      <c r="P8283" s="103" t="str">
        <f t="shared" si="5078"/>
        <v>한특 잉크(먹)</v>
      </c>
      <c r="Q8283" s="71">
        <f t="shared" si="5079"/>
        <v>0</v>
      </c>
      <c r="R8283" s="102">
        <v>5700</v>
      </c>
      <c r="S8283" s="102">
        <f t="shared" si="5080"/>
        <v>0</v>
      </c>
      <c r="T8283" s="102">
        <f t="shared" si="5081"/>
        <v>0</v>
      </c>
      <c r="U8283" s="71"/>
      <c r="V8283" s="71"/>
      <c r="W8283" s="474">
        <v>0</v>
      </c>
      <c r="X8283" s="71"/>
      <c r="Y8283" s="71"/>
    </row>
    <row r="8284" spans="1:25" ht="30" hidden="1" customHeight="1" x14ac:dyDescent="0.25">
      <c r="A8284" s="1145">
        <v>45986</v>
      </c>
      <c r="B8284" s="664" t="s">
        <v>1061</v>
      </c>
      <c r="C8284" s="71" t="s">
        <v>4215</v>
      </c>
      <c r="D8284" s="71"/>
      <c r="E8284" s="102">
        <v>33500</v>
      </c>
      <c r="F8284" s="102">
        <f t="shared" si="5075"/>
        <v>0</v>
      </c>
      <c r="G8284" s="102">
        <f t="shared" si="5076"/>
        <v>0</v>
      </c>
      <c r="H8284" s="690" t="s">
        <v>36</v>
      </c>
      <c r="I8284" s="71" t="s">
        <v>3320</v>
      </c>
      <c r="J8284" s="53">
        <f t="shared" si="5082"/>
        <v>0</v>
      </c>
      <c r="K8284" s="63" t="e">
        <f t="shared" si="5077"/>
        <v>#DIV/0!</v>
      </c>
      <c r="L8284" s="1212" t="s">
        <v>4489</v>
      </c>
      <c r="M8284" s="468"/>
      <c r="N8284" s="1192">
        <f t="shared" si="5045"/>
        <v>45986</v>
      </c>
      <c r="O8284" s="71" t="s">
        <v>2459</v>
      </c>
      <c r="P8284" s="103" t="str">
        <f t="shared" si="5078"/>
        <v>별색 - 프린피아 PT-803</v>
      </c>
      <c r="Q8284" s="71">
        <f t="shared" si="5079"/>
        <v>0</v>
      </c>
      <c r="R8284" s="102">
        <v>31000</v>
      </c>
      <c r="S8284" s="102">
        <f t="shared" si="5080"/>
        <v>0</v>
      </c>
      <c r="T8284" s="102">
        <f t="shared" si="5081"/>
        <v>0</v>
      </c>
      <c r="U8284" s="71"/>
      <c r="V8284" s="71"/>
      <c r="W8284" s="474"/>
      <c r="X8284" s="71"/>
      <c r="Y8284" s="71"/>
    </row>
    <row r="8285" spans="1:25" ht="30" hidden="1" customHeight="1" x14ac:dyDescent="0.25">
      <c r="A8285" s="1145">
        <v>45986</v>
      </c>
      <c r="B8285" s="664" t="s">
        <v>1061</v>
      </c>
      <c r="C8285" s="71" t="s">
        <v>4393</v>
      </c>
      <c r="D8285" s="71"/>
      <c r="E8285" s="102">
        <v>22400</v>
      </c>
      <c r="F8285" s="102">
        <f t="shared" si="5075"/>
        <v>0</v>
      </c>
      <c r="G8285" s="102">
        <f t="shared" si="5076"/>
        <v>0</v>
      </c>
      <c r="H8285" s="690" t="s">
        <v>36</v>
      </c>
      <c r="I8285" s="71" t="s">
        <v>3320</v>
      </c>
      <c r="J8285" s="53">
        <f t="shared" si="5082"/>
        <v>0</v>
      </c>
      <c r="K8285" s="63" t="e">
        <f t="shared" si="5077"/>
        <v>#DIV/0!</v>
      </c>
      <c r="L8285" s="1212" t="s">
        <v>4489</v>
      </c>
      <c r="M8285" s="468"/>
      <c r="N8285" s="1192">
        <f t="shared" si="5045"/>
        <v>45986</v>
      </c>
      <c r="O8285" s="71" t="s">
        <v>3323</v>
      </c>
      <c r="P8285" s="103" t="str">
        <f t="shared" si="5078"/>
        <v>별색 - 프린피아 PT-810C 형광</v>
      </c>
      <c r="Q8285" s="71">
        <f t="shared" si="5079"/>
        <v>0</v>
      </c>
      <c r="R8285" s="102">
        <v>11700</v>
      </c>
      <c r="S8285" s="102">
        <f t="shared" si="5080"/>
        <v>0</v>
      </c>
      <c r="T8285" s="102">
        <f t="shared" si="5081"/>
        <v>0</v>
      </c>
      <c r="U8285" s="71"/>
      <c r="V8285" s="71"/>
      <c r="W8285" s="474"/>
      <c r="X8285" s="71"/>
      <c r="Y8285" s="71"/>
    </row>
    <row r="8286" spans="1:25" ht="30" hidden="1" customHeight="1" x14ac:dyDescent="0.25">
      <c r="A8286" s="1145">
        <v>45986</v>
      </c>
      <c r="B8286" s="664" t="s">
        <v>3307</v>
      </c>
      <c r="C8286" s="71" t="s">
        <v>3916</v>
      </c>
      <c r="D8286" s="71">
        <v>16</v>
      </c>
      <c r="E8286" s="102">
        <v>218000</v>
      </c>
      <c r="F8286" s="102">
        <f t="shared" si="5075"/>
        <v>3836800.0000000005</v>
      </c>
      <c r="G8286" s="102">
        <f t="shared" si="5076"/>
        <v>3488000</v>
      </c>
      <c r="H8286" s="690" t="s">
        <v>172</v>
      </c>
      <c r="I8286" s="71" t="s">
        <v>33</v>
      </c>
      <c r="J8286" s="53">
        <f t="shared" si="5082"/>
        <v>824000</v>
      </c>
      <c r="K8286" s="63">
        <f t="shared" si="5077"/>
        <v>0.23623853211009171</v>
      </c>
      <c r="L8286" s="1212" t="s">
        <v>4489</v>
      </c>
      <c r="M8286" s="468" t="s">
        <v>3965</v>
      </c>
      <c r="N8286" s="1192">
        <f t="shared" si="5045"/>
        <v>45986</v>
      </c>
      <c r="O8286" s="71" t="s">
        <v>662</v>
      </c>
      <c r="P8286" s="103" t="str">
        <f t="shared" si="5078"/>
        <v>윤전 블랑켓</v>
      </c>
      <c r="Q8286" s="71">
        <f t="shared" si="5079"/>
        <v>16</v>
      </c>
      <c r="R8286" s="102">
        <v>166500</v>
      </c>
      <c r="S8286" s="102">
        <f t="shared" si="5080"/>
        <v>2930400.0000000005</v>
      </c>
      <c r="T8286" s="102">
        <f t="shared" si="5081"/>
        <v>2664000</v>
      </c>
      <c r="U8286" s="71"/>
      <c r="V8286" s="71" t="s">
        <v>728</v>
      </c>
      <c r="W8286" s="474">
        <v>464000</v>
      </c>
      <c r="X8286" s="71"/>
      <c r="Y8286" s="71"/>
    </row>
    <row r="8287" spans="1:25" ht="30" hidden="1" customHeight="1" x14ac:dyDescent="0.25">
      <c r="A8287" s="1145">
        <v>45986</v>
      </c>
      <c r="B8287" s="664" t="s">
        <v>3307</v>
      </c>
      <c r="C8287" s="71" t="s">
        <v>3611</v>
      </c>
      <c r="D8287" s="71">
        <v>1</v>
      </c>
      <c r="E8287" s="102">
        <v>2350000</v>
      </c>
      <c r="F8287" s="102">
        <f t="shared" si="5075"/>
        <v>2585000</v>
      </c>
      <c r="G8287" s="102">
        <f t="shared" si="5076"/>
        <v>2350000</v>
      </c>
      <c r="H8287" s="690" t="s">
        <v>36</v>
      </c>
      <c r="I8287" s="690" t="s">
        <v>36</v>
      </c>
      <c r="J8287" s="53">
        <f t="shared" si="5082"/>
        <v>600000</v>
      </c>
      <c r="K8287" s="63">
        <f t="shared" si="5077"/>
        <v>0.25531914893617019</v>
      </c>
      <c r="L8287" s="1212" t="s">
        <v>4489</v>
      </c>
      <c r="M8287" s="468"/>
      <c r="N8287" s="1192">
        <f t="shared" si="5045"/>
        <v>45986</v>
      </c>
      <c r="O8287" s="71" t="s">
        <v>3298</v>
      </c>
      <c r="P8287" s="103" t="str">
        <f t="shared" si="5078"/>
        <v>11월분 Apogee 사용료</v>
      </c>
      <c r="Q8287" s="71">
        <f t="shared" si="5079"/>
        <v>1</v>
      </c>
      <c r="R8287" s="147">
        <v>1750000</v>
      </c>
      <c r="S8287" s="102">
        <f t="shared" si="5080"/>
        <v>1925000.0000000002</v>
      </c>
      <c r="T8287" s="102">
        <f t="shared" si="5081"/>
        <v>1750000</v>
      </c>
      <c r="U8287" s="71"/>
      <c r="V8287" s="71"/>
      <c r="W8287" s="474"/>
      <c r="X8287" s="71"/>
      <c r="Y8287" s="71"/>
    </row>
    <row r="8288" spans="1:25" ht="30" hidden="1" customHeight="1" x14ac:dyDescent="0.25">
      <c r="A8288" s="1145">
        <v>45979</v>
      </c>
      <c r="B8288" s="664" t="s">
        <v>4350</v>
      </c>
      <c r="C8288" s="71" t="s">
        <v>123</v>
      </c>
      <c r="D8288" s="71">
        <v>10</v>
      </c>
      <c r="E8288" s="102">
        <v>38000</v>
      </c>
      <c r="F8288" s="102">
        <f t="shared" si="5075"/>
        <v>418000.00000000006</v>
      </c>
      <c r="G8288" s="102">
        <f t="shared" si="5076"/>
        <v>380000</v>
      </c>
      <c r="H8288" s="690" t="s">
        <v>94</v>
      </c>
      <c r="I8288" s="690" t="s">
        <v>94</v>
      </c>
      <c r="J8288" s="53">
        <f t="shared" si="5082"/>
        <v>130000</v>
      </c>
      <c r="K8288" s="63">
        <f t="shared" si="5077"/>
        <v>0.34210526315789469</v>
      </c>
      <c r="L8288" s="1212" t="s">
        <v>4489</v>
      </c>
      <c r="M8288" s="102"/>
      <c r="N8288" s="1192">
        <f t="shared" si="5045"/>
        <v>45979</v>
      </c>
      <c r="O8288" s="71"/>
      <c r="P8288" s="103" t="str">
        <f t="shared" si="5078"/>
        <v>필터백</v>
      </c>
      <c r="Q8288" s="71">
        <f t="shared" si="5079"/>
        <v>10</v>
      </c>
      <c r="R8288" s="102">
        <v>25000</v>
      </c>
      <c r="S8288" s="102">
        <f t="shared" ref="S8280:S8343" si="5083">R8288*Q8288*1.1</f>
        <v>275000</v>
      </c>
      <c r="T8288" s="102">
        <f t="shared" ref="T8280:T8343" si="5084">R8288*Q8288</f>
        <v>250000</v>
      </c>
      <c r="U8288" s="71"/>
      <c r="V8288" s="71"/>
      <c r="W8288" s="474"/>
      <c r="X8288" s="71"/>
      <c r="Y8288" s="71"/>
    </row>
    <row r="8289" spans="1:25" ht="30" hidden="1" customHeight="1" x14ac:dyDescent="0.25">
      <c r="A8289" s="1145">
        <v>45985</v>
      </c>
      <c r="B8289" s="664" t="s">
        <v>4500</v>
      </c>
      <c r="C8289" s="71" t="s">
        <v>4491</v>
      </c>
      <c r="D8289" s="71">
        <v>8</v>
      </c>
      <c r="E8289" s="102">
        <v>230000</v>
      </c>
      <c r="F8289" s="102">
        <f t="shared" si="5075"/>
        <v>2024000.0000000002</v>
      </c>
      <c r="G8289" s="102">
        <f t="shared" si="5076"/>
        <v>1840000</v>
      </c>
      <c r="H8289" s="690" t="s">
        <v>173</v>
      </c>
      <c r="I8289" s="71" t="s">
        <v>109</v>
      </c>
      <c r="J8289" s="53">
        <f t="shared" si="5082"/>
        <v>508000</v>
      </c>
      <c r="K8289" s="63">
        <f t="shared" si="5077"/>
        <v>0.27608695652173909</v>
      </c>
      <c r="L8289" s="1212" t="s">
        <v>4489</v>
      </c>
      <c r="M8289" s="468"/>
      <c r="N8289" s="1192">
        <f t="shared" si="5045"/>
        <v>45985</v>
      </c>
      <c r="O8289" s="71" t="s">
        <v>150</v>
      </c>
      <c r="P8289" s="103" t="str">
        <f t="shared" si="5078"/>
        <v>GOSS 윤전 블랑켓</v>
      </c>
      <c r="Q8289" s="71">
        <v>8</v>
      </c>
      <c r="R8289" s="102">
        <v>166500</v>
      </c>
      <c r="S8289" s="102">
        <f t="shared" si="5083"/>
        <v>1465200.0000000002</v>
      </c>
      <c r="T8289" s="102">
        <f t="shared" si="5084"/>
        <v>1332000</v>
      </c>
      <c r="U8289" s="71"/>
      <c r="V8289" s="71"/>
      <c r="W8289" s="474"/>
      <c r="X8289" s="71"/>
      <c r="Y8289" s="71"/>
    </row>
    <row r="8290" spans="1:25" ht="30" hidden="1" customHeight="1" x14ac:dyDescent="0.25">
      <c r="A8290" s="1145">
        <v>45985</v>
      </c>
      <c r="B8290" s="664" t="s">
        <v>1155</v>
      </c>
      <c r="C8290" s="71" t="s">
        <v>123</v>
      </c>
      <c r="D8290" s="71">
        <v>10</v>
      </c>
      <c r="E8290" s="102">
        <v>37000</v>
      </c>
      <c r="F8290" s="102">
        <f t="shared" si="5075"/>
        <v>407000.00000000006</v>
      </c>
      <c r="G8290" s="102">
        <f t="shared" si="5076"/>
        <v>370000</v>
      </c>
      <c r="H8290" s="690" t="s">
        <v>94</v>
      </c>
      <c r="I8290" s="71" t="s">
        <v>94</v>
      </c>
      <c r="J8290" s="53">
        <f t="shared" ref="J8290:J8291" si="5085">G8290-T8290</f>
        <v>120000</v>
      </c>
      <c r="K8290" s="63">
        <f t="shared" ref="K8290:K8291" si="5086">(J8290/(F8290/11*10))</f>
        <v>0.32432432432432429</v>
      </c>
      <c r="L8290" s="1212" t="s">
        <v>4489</v>
      </c>
      <c r="M8290" s="102"/>
      <c r="N8290" s="1192">
        <f t="shared" si="5045"/>
        <v>45985</v>
      </c>
      <c r="O8290" s="71"/>
      <c r="P8290" s="103" t="str">
        <f t="shared" si="5078"/>
        <v>필터백</v>
      </c>
      <c r="Q8290" s="71">
        <f t="shared" si="5079"/>
        <v>10</v>
      </c>
      <c r="R8290" s="102">
        <v>25000</v>
      </c>
      <c r="S8290" s="102">
        <f t="shared" si="5083"/>
        <v>275000</v>
      </c>
      <c r="T8290" s="102">
        <f t="shared" si="5084"/>
        <v>250000</v>
      </c>
      <c r="U8290" s="71"/>
      <c r="V8290" s="71"/>
      <c r="W8290" s="474"/>
      <c r="X8290" s="71"/>
      <c r="Y8290" s="71"/>
    </row>
    <row r="8291" spans="1:25" ht="30" hidden="1" customHeight="1" x14ac:dyDescent="0.25">
      <c r="A8291" s="1145">
        <v>45986</v>
      </c>
      <c r="B8291" s="664" t="s">
        <v>856</v>
      </c>
      <c r="C8291" s="1020" t="s">
        <v>3606</v>
      </c>
      <c r="D8291" s="71">
        <v>5</v>
      </c>
      <c r="E8291" s="102">
        <v>960000</v>
      </c>
      <c r="F8291" s="102">
        <f t="shared" ref="F8291:F8293" si="5087">(E8291*D8291)*1.1</f>
        <v>5280000</v>
      </c>
      <c r="G8291" s="102">
        <f t="shared" ref="G8291:G8293" si="5088">(E8291*D8291)</f>
        <v>4800000</v>
      </c>
      <c r="H8291" s="690" t="s">
        <v>173</v>
      </c>
      <c r="I8291" s="71" t="s">
        <v>1022</v>
      </c>
      <c r="J8291" s="53">
        <f t="shared" si="5085"/>
        <v>2385720</v>
      </c>
      <c r="K8291" s="63">
        <f t="shared" si="5086"/>
        <v>0.49702499999999999</v>
      </c>
      <c r="L8291" s="1212" t="s">
        <v>4489</v>
      </c>
      <c r="M8291" s="468"/>
      <c r="N8291" s="1192">
        <f t="shared" si="5045"/>
        <v>45986</v>
      </c>
      <c r="O8291" s="71"/>
      <c r="P8291" s="103" t="str">
        <f t="shared" si="5078"/>
        <v xml:space="preserve"> UV Lamp, 2130259, (honle 정품)
 F_930HOZ 200W/mm D22,5
 Lg1005,5mm U1500HFC</v>
      </c>
      <c r="Q8291" s="71">
        <f t="shared" si="5079"/>
        <v>5</v>
      </c>
      <c r="R8291" s="102">
        <v>482856</v>
      </c>
      <c r="S8291" s="102">
        <f t="shared" si="5083"/>
        <v>2655708</v>
      </c>
      <c r="T8291" s="102">
        <f t="shared" si="5084"/>
        <v>2414280</v>
      </c>
      <c r="U8291" s="71"/>
      <c r="V8291" s="71"/>
      <c r="W8291" s="474"/>
      <c r="X8291" s="71"/>
      <c r="Y8291" s="71"/>
    </row>
    <row r="8292" spans="1:25" ht="30" hidden="1" customHeight="1" x14ac:dyDescent="0.25">
      <c r="A8292" s="1145">
        <v>45974</v>
      </c>
      <c r="B8292" s="664" t="s">
        <v>2579</v>
      </c>
      <c r="C8292" s="71" t="s">
        <v>4492</v>
      </c>
      <c r="D8292" s="71">
        <v>2</v>
      </c>
      <c r="E8292" s="102">
        <v>180000</v>
      </c>
      <c r="F8292" s="102">
        <f t="shared" si="5087"/>
        <v>396000.00000000006</v>
      </c>
      <c r="G8292" s="102">
        <f t="shared" si="5088"/>
        <v>360000</v>
      </c>
      <c r="H8292" s="690" t="s">
        <v>142</v>
      </c>
      <c r="I8292" s="690" t="s">
        <v>142</v>
      </c>
      <c r="J8292" s="53">
        <f t="shared" ref="J8292:J8293" si="5089">G8292-T8292</f>
        <v>120000</v>
      </c>
      <c r="K8292" s="63">
        <f t="shared" ref="K8292:K8293" si="5090">(J8292/(F8292/11*10))</f>
        <v>0.33333333333333326</v>
      </c>
      <c r="L8292" s="1212" t="s">
        <v>4489</v>
      </c>
      <c r="M8292" s="102"/>
      <c r="N8292" s="1192">
        <f t="shared" si="5045"/>
        <v>45974</v>
      </c>
      <c r="O8292" s="71" t="s">
        <v>191</v>
      </c>
      <c r="P8292" s="103" t="str">
        <f t="shared" si="5078"/>
        <v>RE 롤러 세정 크림</v>
      </c>
      <c r="Q8292" s="71">
        <f t="shared" si="5079"/>
        <v>2</v>
      </c>
      <c r="R8292" s="102">
        <v>120000</v>
      </c>
      <c r="S8292" s="102">
        <f t="shared" si="5083"/>
        <v>264000</v>
      </c>
      <c r="T8292" s="102">
        <f t="shared" si="5084"/>
        <v>240000</v>
      </c>
      <c r="U8292" s="71"/>
      <c r="V8292" s="71"/>
      <c r="W8292" s="474"/>
      <c r="X8292" s="71"/>
      <c r="Y8292" s="71"/>
    </row>
    <row r="8293" spans="1:25" ht="30" hidden="1" customHeight="1" x14ac:dyDescent="0.25">
      <c r="A8293" s="1145">
        <v>45980</v>
      </c>
      <c r="B8293" s="664" t="s">
        <v>2579</v>
      </c>
      <c r="C8293" s="71" t="s">
        <v>4493</v>
      </c>
      <c r="D8293" s="71">
        <v>1</v>
      </c>
      <c r="E8293" s="102">
        <v>1800000</v>
      </c>
      <c r="F8293" s="102">
        <f t="shared" si="5087"/>
        <v>1980000.0000000002</v>
      </c>
      <c r="G8293" s="102">
        <f t="shared" si="5088"/>
        <v>1800000</v>
      </c>
      <c r="H8293" s="690" t="s">
        <v>142</v>
      </c>
      <c r="I8293" s="690" t="s">
        <v>142</v>
      </c>
      <c r="J8293" s="53">
        <f t="shared" si="5089"/>
        <v>150000</v>
      </c>
      <c r="K8293" s="63">
        <f t="shared" si="5090"/>
        <v>8.3333333333333329E-2</v>
      </c>
      <c r="L8293" s="1212" t="s">
        <v>4489</v>
      </c>
      <c r="M8293" s="468"/>
      <c r="N8293" s="1192">
        <f t="shared" si="5045"/>
        <v>45980</v>
      </c>
      <c r="O8293" s="71" t="s">
        <v>2030</v>
      </c>
      <c r="P8293" s="103" t="str">
        <f t="shared" si="5078"/>
        <v>요비다시 실린더</v>
      </c>
      <c r="Q8293" s="71">
        <f t="shared" si="5079"/>
        <v>1</v>
      </c>
      <c r="R8293" s="147">
        <v>1650000</v>
      </c>
      <c r="S8293" s="102">
        <f t="shared" si="5083"/>
        <v>1815000.0000000002</v>
      </c>
      <c r="T8293" s="102">
        <f t="shared" si="5084"/>
        <v>1650000</v>
      </c>
      <c r="U8293" s="71"/>
      <c r="V8293" s="71"/>
      <c r="W8293" s="474"/>
      <c r="X8293" s="71"/>
      <c r="Y8293" s="71"/>
    </row>
    <row r="8294" spans="1:25" ht="28.9" hidden="1" customHeight="1" x14ac:dyDescent="0.25">
      <c r="A8294" s="1145">
        <v>45986</v>
      </c>
      <c r="B8294" s="664" t="s">
        <v>2353</v>
      </c>
      <c r="C8294" s="71" t="s">
        <v>129</v>
      </c>
      <c r="D8294" s="71">
        <v>7</v>
      </c>
      <c r="E8294" s="102">
        <v>325000</v>
      </c>
      <c r="F8294" s="102">
        <f t="shared" ref="F8294:F8299" si="5091">(E8294*D8294)*1.1</f>
        <v>2502500</v>
      </c>
      <c r="G8294" s="102">
        <f t="shared" ref="G8294:G8299" si="5092">(E8294*D8294)</f>
        <v>2275000</v>
      </c>
      <c r="H8294" s="690" t="s">
        <v>142</v>
      </c>
      <c r="I8294" s="71" t="s">
        <v>179</v>
      </c>
      <c r="J8294" s="53">
        <f t="shared" ref="J8294:J8299" si="5093">G8294-T8294</f>
        <v>636440</v>
      </c>
      <c r="K8294" s="63">
        <f t="shared" ref="K8294:K8299" si="5094">(J8294/(F8294/11*10))</f>
        <v>0.27975384615384613</v>
      </c>
      <c r="L8294" s="1212" t="s">
        <v>4489</v>
      </c>
      <c r="M8294" s="468" t="s">
        <v>2050</v>
      </c>
      <c r="N8294" s="1192">
        <f t="shared" ref="N8294" si="5095">A8294</f>
        <v>45986</v>
      </c>
      <c r="O8294" s="71" t="s">
        <v>149</v>
      </c>
      <c r="P8294" s="103" t="str">
        <f t="shared" si="5078"/>
        <v>세정포-XL106</v>
      </c>
      <c r="Q8294" s="71">
        <f t="shared" ref="Q8294:Q8299" si="5096">D8294</f>
        <v>7</v>
      </c>
      <c r="R8294" s="102">
        <v>234080</v>
      </c>
      <c r="S8294" s="102">
        <f t="shared" si="5083"/>
        <v>1802416.0000000002</v>
      </c>
      <c r="T8294" s="102">
        <f t="shared" si="5084"/>
        <v>1638560</v>
      </c>
      <c r="U8294" s="71" t="str">
        <f>IF(J8294=W8294,"O", "X")</f>
        <v>O</v>
      </c>
      <c r="V8294" s="71"/>
      <c r="W8294" s="474">
        <f>(G8294-T8294)</f>
        <v>636440</v>
      </c>
      <c r="X8294" s="71"/>
      <c r="Y8294" s="71"/>
    </row>
    <row r="8295" spans="1:25" s="209" customFormat="1" ht="30" hidden="1" customHeight="1" x14ac:dyDescent="0.25">
      <c r="A8295" s="1145">
        <v>45986</v>
      </c>
      <c r="B8295" s="664" t="s">
        <v>2353</v>
      </c>
      <c r="C8295" s="71" t="s">
        <v>130</v>
      </c>
      <c r="D8295" s="71">
        <v>20</v>
      </c>
      <c r="E8295" s="102">
        <v>148000</v>
      </c>
      <c r="F8295" s="102">
        <f t="shared" si="5091"/>
        <v>3256000.0000000005</v>
      </c>
      <c r="G8295" s="102">
        <f t="shared" si="5092"/>
        <v>2960000</v>
      </c>
      <c r="H8295" s="690" t="s">
        <v>142</v>
      </c>
      <c r="I8295" s="71" t="s">
        <v>179</v>
      </c>
      <c r="J8295" s="53">
        <f t="shared" si="5093"/>
        <v>720000</v>
      </c>
      <c r="K8295" s="63">
        <f t="shared" si="5094"/>
        <v>0.2432432432432432</v>
      </c>
      <c r="L8295" s="1212" t="s">
        <v>4489</v>
      </c>
      <c r="M8295" s="468" t="s">
        <v>2050</v>
      </c>
      <c r="N8295" s="1192">
        <f t="shared" ref="N8294:N8299" si="5097">A8295</f>
        <v>45986</v>
      </c>
      <c r="O8295" s="71" t="s">
        <v>3383</v>
      </c>
      <c r="P8295" s="103" t="str">
        <f t="shared" si="5078"/>
        <v>XL106 Blanket(1077*885)</v>
      </c>
      <c r="Q8295" s="71">
        <f t="shared" si="5096"/>
        <v>20</v>
      </c>
      <c r="R8295" s="102">
        <v>112000</v>
      </c>
      <c r="S8295" s="102">
        <f t="shared" si="5083"/>
        <v>2464000</v>
      </c>
      <c r="T8295" s="102">
        <f t="shared" si="5084"/>
        <v>2240000</v>
      </c>
      <c r="U8295" s="71" t="s">
        <v>859</v>
      </c>
      <c r="V8295" s="71"/>
      <c r="W8295" s="474">
        <v>260000</v>
      </c>
      <c r="X8295" s="71"/>
      <c r="Y8295" s="71"/>
    </row>
    <row r="8296" spans="1:25" ht="30" hidden="1" customHeight="1" x14ac:dyDescent="0.25">
      <c r="A8296" s="1145">
        <v>45986</v>
      </c>
      <c r="B8296" s="664" t="s">
        <v>2353</v>
      </c>
      <c r="C8296" s="71" t="s">
        <v>3727</v>
      </c>
      <c r="D8296" s="71">
        <v>3</v>
      </c>
      <c r="E8296" s="102">
        <v>225000</v>
      </c>
      <c r="F8296" s="102">
        <f t="shared" si="5091"/>
        <v>742500.00000000012</v>
      </c>
      <c r="G8296" s="102">
        <f t="shared" si="5092"/>
        <v>675000</v>
      </c>
      <c r="H8296" s="690" t="s">
        <v>142</v>
      </c>
      <c r="I8296" s="71" t="s">
        <v>142</v>
      </c>
      <c r="J8296" s="53">
        <f t="shared" si="5093"/>
        <v>300000</v>
      </c>
      <c r="K8296" s="63">
        <f t="shared" si="5094"/>
        <v>0.44444444444444436</v>
      </c>
      <c r="L8296" s="1212" t="s">
        <v>4489</v>
      </c>
      <c r="M8296" s="468"/>
      <c r="N8296" s="1192">
        <f t="shared" si="5097"/>
        <v>45986</v>
      </c>
      <c r="O8296" s="71" t="s">
        <v>189</v>
      </c>
      <c r="P8296" s="103" t="str">
        <f t="shared" si="5078"/>
        <v>압통 코팅제 - 퀵 프린트</v>
      </c>
      <c r="Q8296" s="71">
        <f t="shared" si="5096"/>
        <v>3</v>
      </c>
      <c r="R8296" s="102">
        <f>25000*5</f>
        <v>125000</v>
      </c>
      <c r="S8296" s="102">
        <f t="shared" si="5083"/>
        <v>412500.00000000006</v>
      </c>
      <c r="T8296" s="102">
        <f t="shared" si="5084"/>
        <v>375000</v>
      </c>
      <c r="U8296" s="71"/>
      <c r="V8296" s="71"/>
      <c r="W8296" s="474"/>
      <c r="X8296" s="71"/>
      <c r="Y8296" s="71"/>
    </row>
    <row r="8297" spans="1:25" s="209" customFormat="1" ht="30" hidden="1" customHeight="1" x14ac:dyDescent="0.25">
      <c r="A8297" s="1145">
        <v>45986</v>
      </c>
      <c r="B8297" s="664" t="s">
        <v>2353</v>
      </c>
      <c r="C8297" s="71" t="s">
        <v>3299</v>
      </c>
      <c r="D8297" s="71">
        <v>10</v>
      </c>
      <c r="E8297" s="102">
        <v>83000</v>
      </c>
      <c r="F8297" s="102">
        <f t="shared" si="5091"/>
        <v>913000.00000000012</v>
      </c>
      <c r="G8297" s="102">
        <f t="shared" si="5092"/>
        <v>830000</v>
      </c>
      <c r="H8297" s="690" t="s">
        <v>142</v>
      </c>
      <c r="I8297" s="71" t="s">
        <v>179</v>
      </c>
      <c r="J8297" s="53">
        <f t="shared" si="5093"/>
        <v>355000</v>
      </c>
      <c r="K8297" s="63">
        <f t="shared" si="5094"/>
        <v>0.42771084337349391</v>
      </c>
      <c r="L8297" s="1212" t="s">
        <v>4489</v>
      </c>
      <c r="M8297" s="468" t="s">
        <v>2214</v>
      </c>
      <c r="N8297" s="1192">
        <f t="shared" si="5097"/>
        <v>45986</v>
      </c>
      <c r="O8297" s="71" t="s">
        <v>3383</v>
      </c>
      <c r="P8297" s="103" t="str">
        <f t="shared" si="5078"/>
        <v>매엽용 세척제(Wash k11)</v>
      </c>
      <c r="Q8297" s="71">
        <f t="shared" si="5096"/>
        <v>10</v>
      </c>
      <c r="R8297" s="102">
        <v>47500</v>
      </c>
      <c r="S8297" s="102">
        <f t="shared" si="5083"/>
        <v>522500.00000000006</v>
      </c>
      <c r="T8297" s="102">
        <f t="shared" si="5084"/>
        <v>475000</v>
      </c>
      <c r="U8297" s="71" t="s">
        <v>859</v>
      </c>
      <c r="V8297" s="71"/>
      <c r="W8297" s="474">
        <v>136000</v>
      </c>
      <c r="X8297" s="71"/>
      <c r="Y8297" s="71"/>
    </row>
    <row r="8298" spans="1:25" s="209" customFormat="1" ht="30" hidden="1" customHeight="1" x14ac:dyDescent="0.25">
      <c r="A8298" s="1145">
        <v>45986</v>
      </c>
      <c r="B8298" s="664" t="s">
        <v>2353</v>
      </c>
      <c r="C8298" s="71" t="s">
        <v>3843</v>
      </c>
      <c r="D8298" s="71">
        <v>3</v>
      </c>
      <c r="E8298" s="102">
        <v>180000</v>
      </c>
      <c r="F8298" s="102">
        <f t="shared" si="5091"/>
        <v>594000</v>
      </c>
      <c r="G8298" s="102">
        <f t="shared" si="5092"/>
        <v>540000</v>
      </c>
      <c r="H8298" s="690" t="s">
        <v>179</v>
      </c>
      <c r="I8298" s="71" t="s">
        <v>179</v>
      </c>
      <c r="J8298" s="53">
        <f t="shared" si="5093"/>
        <v>144000</v>
      </c>
      <c r="K8298" s="63">
        <f t="shared" si="5094"/>
        <v>0.26666666666666666</v>
      </c>
      <c r="L8298" s="1212" t="s">
        <v>4489</v>
      </c>
      <c r="M8298" s="468"/>
      <c r="N8298" s="1192">
        <f t="shared" si="5097"/>
        <v>45986</v>
      </c>
      <c r="O8298" s="71" t="s">
        <v>3383</v>
      </c>
      <c r="P8298" s="103" t="str">
        <f t="shared" si="5078"/>
        <v>수이보 세척액(습수액 클리너)</v>
      </c>
      <c r="Q8298" s="71">
        <f t="shared" si="5096"/>
        <v>3</v>
      </c>
      <c r="R8298" s="102">
        <f>11000*12</f>
        <v>132000</v>
      </c>
      <c r="S8298" s="102">
        <f t="shared" si="5083"/>
        <v>435600.00000000006</v>
      </c>
      <c r="T8298" s="102">
        <f t="shared" si="5084"/>
        <v>396000</v>
      </c>
      <c r="U8298" s="71"/>
      <c r="V8298" s="71"/>
      <c r="W8298" s="474"/>
      <c r="X8298" s="71"/>
      <c r="Y8298" s="71"/>
    </row>
    <row r="8299" spans="1:25" ht="30" hidden="1" customHeight="1" x14ac:dyDescent="0.25">
      <c r="A8299" s="1145">
        <v>45986</v>
      </c>
      <c r="B8299" s="664" t="s">
        <v>2579</v>
      </c>
      <c r="C8299" s="71" t="s">
        <v>3738</v>
      </c>
      <c r="D8299" s="71">
        <v>10</v>
      </c>
      <c r="E8299" s="102">
        <v>130000</v>
      </c>
      <c r="F8299" s="102">
        <f t="shared" si="5091"/>
        <v>1430000</v>
      </c>
      <c r="G8299" s="102">
        <f t="shared" si="5092"/>
        <v>1300000</v>
      </c>
      <c r="H8299" s="690" t="s">
        <v>142</v>
      </c>
      <c r="I8299" s="71" t="s">
        <v>142</v>
      </c>
      <c r="J8299" s="53">
        <f t="shared" si="5093"/>
        <v>339000</v>
      </c>
      <c r="K8299" s="63">
        <f t="shared" si="5094"/>
        <v>0.26076923076923075</v>
      </c>
      <c r="L8299" s="1212" t="s">
        <v>4489</v>
      </c>
      <c r="M8299" s="468"/>
      <c r="N8299" s="1192">
        <f t="shared" si="5097"/>
        <v>45986</v>
      </c>
      <c r="O8299" s="71" t="s">
        <v>147</v>
      </c>
      <c r="P8299" s="103" t="str">
        <f t="shared" si="5078"/>
        <v>블랑켓 - 고모리 용 (1040*920)</v>
      </c>
      <c r="Q8299" s="71">
        <f t="shared" si="5096"/>
        <v>10</v>
      </c>
      <c r="R8299" s="102">
        <v>96100</v>
      </c>
      <c r="S8299" s="102">
        <f t="shared" si="5083"/>
        <v>1057100</v>
      </c>
      <c r="T8299" s="102">
        <f t="shared" si="5084"/>
        <v>961000</v>
      </c>
      <c r="U8299" s="71"/>
      <c r="V8299" s="71"/>
      <c r="W8299" s="474"/>
      <c r="X8299" s="71"/>
      <c r="Y8299" s="71"/>
    </row>
    <row r="8300" spans="1:25" ht="28.9" hidden="1" customHeight="1" x14ac:dyDescent="0.25">
      <c r="A8300" s="1145">
        <v>45986</v>
      </c>
      <c r="B8300" s="664" t="s">
        <v>2353</v>
      </c>
      <c r="C8300" s="71" t="s">
        <v>129</v>
      </c>
      <c r="D8300" s="71">
        <v>7</v>
      </c>
      <c r="E8300" s="102">
        <v>325000</v>
      </c>
      <c r="F8300" s="102">
        <f t="shared" ref="F8300:F8309" si="5098">(E8300*D8300)*1.1</f>
        <v>2502500</v>
      </c>
      <c r="G8300" s="102">
        <f t="shared" ref="G8300:G8309" si="5099">(E8300*D8300)</f>
        <v>2275000</v>
      </c>
      <c r="H8300" s="690" t="s">
        <v>142</v>
      </c>
      <c r="I8300" s="71" t="s">
        <v>179</v>
      </c>
      <c r="J8300" s="53">
        <f t="shared" ref="J8300:J8302" si="5100">G8300-T8300</f>
        <v>636440</v>
      </c>
      <c r="K8300" s="63">
        <f t="shared" ref="K8300:K8302" si="5101">(J8300/(F8300/11*10))</f>
        <v>0.27975384615384613</v>
      </c>
      <c r="L8300" s="1212" t="s">
        <v>4489</v>
      </c>
      <c r="M8300" s="468" t="s">
        <v>2050</v>
      </c>
      <c r="N8300" s="1192">
        <f t="shared" ref="N8300:N8309" si="5102">A8300</f>
        <v>45986</v>
      </c>
      <c r="O8300" s="71" t="s">
        <v>149</v>
      </c>
      <c r="P8300" s="103" t="str">
        <f t="shared" ref="P8300:P8309" si="5103">(C8300)</f>
        <v>세정포-XL106</v>
      </c>
      <c r="Q8300" s="71">
        <f t="shared" ref="Q8300:Q8309" si="5104">D8300</f>
        <v>7</v>
      </c>
      <c r="R8300" s="102">
        <v>234080</v>
      </c>
      <c r="S8300" s="102">
        <f t="shared" ref="S8300:S8302" si="5105">R8300*Q8300*1.1</f>
        <v>1802416.0000000002</v>
      </c>
      <c r="T8300" s="102">
        <f t="shared" ref="T8300:T8302" si="5106">R8300*Q8300</f>
        <v>1638560</v>
      </c>
      <c r="U8300" s="71" t="str">
        <f>IF(J8300=W8300,"O", "X")</f>
        <v>O</v>
      </c>
      <c r="V8300" s="71"/>
      <c r="W8300" s="474">
        <f>(G8300-T8300)</f>
        <v>636440</v>
      </c>
      <c r="X8300" s="71"/>
      <c r="Y8300" s="71"/>
    </row>
    <row r="8301" spans="1:25" s="209" customFormat="1" ht="30" hidden="1" customHeight="1" x14ac:dyDescent="0.25">
      <c r="A8301" s="1145">
        <v>45986</v>
      </c>
      <c r="B8301" s="664" t="s">
        <v>2353</v>
      </c>
      <c r="C8301" s="71" t="s">
        <v>130</v>
      </c>
      <c r="D8301" s="71">
        <v>10</v>
      </c>
      <c r="E8301" s="102">
        <v>148000</v>
      </c>
      <c r="F8301" s="102">
        <f t="shared" si="5098"/>
        <v>1628000.0000000002</v>
      </c>
      <c r="G8301" s="102">
        <f t="shared" si="5099"/>
        <v>1480000</v>
      </c>
      <c r="H8301" s="690" t="s">
        <v>142</v>
      </c>
      <c r="I8301" s="71" t="s">
        <v>179</v>
      </c>
      <c r="J8301" s="53">
        <f t="shared" si="5100"/>
        <v>360000</v>
      </c>
      <c r="K8301" s="63">
        <f t="shared" si="5101"/>
        <v>0.2432432432432432</v>
      </c>
      <c r="L8301" s="1212" t="s">
        <v>4489</v>
      </c>
      <c r="M8301" s="468" t="s">
        <v>2050</v>
      </c>
      <c r="N8301" s="1192">
        <f t="shared" si="5102"/>
        <v>45986</v>
      </c>
      <c r="O8301" s="71" t="s">
        <v>3383</v>
      </c>
      <c r="P8301" s="103" t="str">
        <f t="shared" si="5103"/>
        <v>XL106 Blanket(1077*885)</v>
      </c>
      <c r="Q8301" s="71">
        <f t="shared" si="5104"/>
        <v>10</v>
      </c>
      <c r="R8301" s="102">
        <v>112000</v>
      </c>
      <c r="S8301" s="102">
        <f t="shared" si="5105"/>
        <v>1232000</v>
      </c>
      <c r="T8301" s="102">
        <f t="shared" si="5106"/>
        <v>1120000</v>
      </c>
      <c r="U8301" s="71" t="s">
        <v>859</v>
      </c>
      <c r="V8301" s="71"/>
      <c r="W8301" s="474">
        <v>260000</v>
      </c>
      <c r="X8301" s="71"/>
      <c r="Y8301" s="71"/>
    </row>
    <row r="8302" spans="1:25" ht="30" customHeight="1" x14ac:dyDescent="0.25">
      <c r="A8302" s="1145">
        <v>45982</v>
      </c>
      <c r="B8302" s="664" t="s">
        <v>641</v>
      </c>
      <c r="C8302" s="71" t="s">
        <v>3293</v>
      </c>
      <c r="D8302" s="71">
        <v>40</v>
      </c>
      <c r="E8302" s="102">
        <v>84000</v>
      </c>
      <c r="F8302" s="102">
        <f t="shared" si="5098"/>
        <v>3696000.0000000005</v>
      </c>
      <c r="G8302" s="102">
        <f t="shared" si="5099"/>
        <v>3360000</v>
      </c>
      <c r="H8302" s="690" t="s">
        <v>172</v>
      </c>
      <c r="I8302" s="71" t="s">
        <v>38</v>
      </c>
      <c r="J8302" s="53">
        <f t="shared" si="5100"/>
        <v>1320000</v>
      </c>
      <c r="K8302" s="63">
        <f t="shared" si="5101"/>
        <v>0.39285714285714279</v>
      </c>
      <c r="L8302" s="1212" t="s">
        <v>4489</v>
      </c>
      <c r="M8302" s="468"/>
      <c r="N8302" s="1192">
        <f t="shared" si="5102"/>
        <v>45982</v>
      </c>
      <c r="O8302" s="71" t="s">
        <v>3291</v>
      </c>
      <c r="P8302" s="103" t="str">
        <f t="shared" si="5103"/>
        <v>GOSS 신문윤전 습식세정포</v>
      </c>
      <c r="Q8302" s="71">
        <f t="shared" si="5104"/>
        <v>40</v>
      </c>
      <c r="R8302" s="102">
        <v>51000</v>
      </c>
      <c r="S8302" s="102">
        <f t="shared" si="5105"/>
        <v>2244000</v>
      </c>
      <c r="T8302" s="102">
        <f t="shared" si="5106"/>
        <v>2040000</v>
      </c>
      <c r="U8302" s="71"/>
      <c r="V8302" s="71"/>
      <c r="W8302" s="474"/>
      <c r="X8302" s="71"/>
      <c r="Y8302" s="71"/>
    </row>
    <row r="8303" spans="1:25" ht="30" customHeight="1" x14ac:dyDescent="0.25">
      <c r="A8303" s="1145">
        <v>45974</v>
      </c>
      <c r="B8303" s="664" t="s">
        <v>2352</v>
      </c>
      <c r="C8303" s="71" t="s">
        <v>3836</v>
      </c>
      <c r="D8303" s="71">
        <v>48</v>
      </c>
      <c r="E8303" s="102">
        <v>18500</v>
      </c>
      <c r="F8303" s="102">
        <f t="shared" si="5098"/>
        <v>976800.00000000012</v>
      </c>
      <c r="G8303" s="102">
        <f t="shared" si="5099"/>
        <v>888000</v>
      </c>
      <c r="H8303" s="690" t="s">
        <v>179</v>
      </c>
      <c r="I8303" s="71" t="s">
        <v>179</v>
      </c>
      <c r="J8303" s="53">
        <v>355968</v>
      </c>
      <c r="K8303" s="63">
        <v>0.40086486486486483</v>
      </c>
      <c r="L8303" s="1212" t="s">
        <v>4489</v>
      </c>
      <c r="M8303" s="468"/>
      <c r="N8303" s="1192">
        <f t="shared" si="5102"/>
        <v>45974</v>
      </c>
      <c r="O8303" s="71"/>
      <c r="P8303" s="103" t="str">
        <f t="shared" si="5103"/>
        <v>고모리 윤전 블랑켓 건식 세정포 - 국전용</v>
      </c>
      <c r="Q8303" s="71">
        <f t="shared" si="5104"/>
        <v>48</v>
      </c>
      <c r="R8303" s="102">
        <v>11084</v>
      </c>
      <c r="S8303" s="102">
        <v>585235.20000000007</v>
      </c>
      <c r="T8303" s="102">
        <v>532032</v>
      </c>
      <c r="U8303" s="71"/>
      <c r="V8303" s="71"/>
      <c r="W8303" s="474"/>
      <c r="X8303" s="71"/>
      <c r="Y8303" s="71"/>
    </row>
    <row r="8304" spans="1:25" ht="30" customHeight="1" x14ac:dyDescent="0.25">
      <c r="A8304" s="1145">
        <v>45987</v>
      </c>
      <c r="B8304" s="664" t="s">
        <v>2352</v>
      </c>
      <c r="C8304" s="760" t="s">
        <v>218</v>
      </c>
      <c r="D8304" s="71">
        <v>3</v>
      </c>
      <c r="E8304" s="102">
        <v>286000</v>
      </c>
      <c r="F8304" s="102">
        <f t="shared" si="5098"/>
        <v>943800.00000000012</v>
      </c>
      <c r="G8304" s="102">
        <f t="shared" si="5099"/>
        <v>858000</v>
      </c>
      <c r="H8304" s="690" t="s">
        <v>142</v>
      </c>
      <c r="I8304" s="71" t="s">
        <v>179</v>
      </c>
      <c r="J8304" s="53">
        <f t="shared" ref="J8304:J8305" si="5107">G8304-T8304</f>
        <v>486000</v>
      </c>
      <c r="K8304" s="63">
        <f t="shared" ref="K8304:K8309" si="5108">(J8304/(F8304/11*10))</f>
        <v>0.56643356643356635</v>
      </c>
      <c r="L8304" s="1212" t="s">
        <v>4489</v>
      </c>
      <c r="M8304" s="468" t="s">
        <v>2053</v>
      </c>
      <c r="N8304" s="1192">
        <f t="shared" si="5102"/>
        <v>45987</v>
      </c>
      <c r="O8304" s="71" t="s">
        <v>150</v>
      </c>
      <c r="P8304" s="103" t="str">
        <f t="shared" si="5103"/>
        <v>Fount Web 551AF</v>
      </c>
      <c r="Q8304" s="71">
        <f t="shared" si="5104"/>
        <v>3</v>
      </c>
      <c r="R8304" s="102">
        <v>124000</v>
      </c>
      <c r="S8304" s="102">
        <f t="shared" ref="S8304:S8309" si="5109">R8304*Q8304*1.1</f>
        <v>409200.00000000006</v>
      </c>
      <c r="T8304" s="102">
        <f t="shared" ref="T8304:T8309" si="5110">R8304*Q8304</f>
        <v>372000</v>
      </c>
      <c r="U8304" s="71" t="str">
        <f>IF(J8304=W8304,"O", "X")</f>
        <v>O</v>
      </c>
      <c r="V8304" s="71"/>
      <c r="W8304" s="474">
        <f>(G8304-T8304)</f>
        <v>486000</v>
      </c>
      <c r="X8304" s="71"/>
      <c r="Y8304" s="71"/>
    </row>
    <row r="8305" spans="1:25" ht="30" hidden="1" customHeight="1" x14ac:dyDescent="0.25">
      <c r="A8305" s="1145">
        <v>45966</v>
      </c>
      <c r="B8305" s="664" t="s">
        <v>2798</v>
      </c>
      <c r="C8305" s="71" t="s">
        <v>3474</v>
      </c>
      <c r="D8305" s="71">
        <v>5</v>
      </c>
      <c r="E8305" s="102">
        <v>900000</v>
      </c>
      <c r="F8305" s="102">
        <f t="shared" si="5098"/>
        <v>4950000</v>
      </c>
      <c r="G8305" s="102">
        <f t="shared" si="5099"/>
        <v>4500000</v>
      </c>
      <c r="H8305" s="690" t="s">
        <v>172</v>
      </c>
      <c r="I8305" s="71" t="s">
        <v>33</v>
      </c>
      <c r="J8305" s="53">
        <f t="shared" si="5107"/>
        <v>2314500</v>
      </c>
      <c r="K8305" s="63">
        <f t="shared" si="5108"/>
        <v>0.51433333333333331</v>
      </c>
      <c r="L8305" s="1212" t="s">
        <v>4489</v>
      </c>
      <c r="M8305" s="468"/>
      <c r="N8305" s="1192">
        <f t="shared" si="5102"/>
        <v>45966</v>
      </c>
      <c r="O8305" s="71" t="s">
        <v>3490</v>
      </c>
      <c r="P8305" s="103" t="str">
        <f t="shared" si="5103"/>
        <v>UV Lamp - KBA 전선타입</v>
      </c>
      <c r="Q8305" s="71">
        <f t="shared" si="5104"/>
        <v>5</v>
      </c>
      <c r="R8305" s="102">
        <v>437100</v>
      </c>
      <c r="S8305" s="102">
        <f t="shared" si="5109"/>
        <v>2404050</v>
      </c>
      <c r="T8305" s="102">
        <f t="shared" si="5110"/>
        <v>2185500</v>
      </c>
      <c r="U8305" s="71" t="str">
        <f t="shared" ref="U8305" si="5111">IF(J8305=W8305,"O", "X")</f>
        <v>X</v>
      </c>
      <c r="V8305" s="71"/>
      <c r="W8305" s="474"/>
      <c r="X8305" s="71"/>
      <c r="Y8305" s="71"/>
    </row>
    <row r="8306" spans="1:25" ht="30" hidden="1" customHeight="1" x14ac:dyDescent="0.25">
      <c r="A8306" s="1145">
        <v>45968</v>
      </c>
      <c r="B8306" s="664" t="s">
        <v>2798</v>
      </c>
      <c r="C8306" s="71" t="s">
        <v>4240</v>
      </c>
      <c r="D8306" s="71">
        <v>10</v>
      </c>
      <c r="E8306" s="102">
        <v>133000</v>
      </c>
      <c r="F8306" s="102">
        <f t="shared" si="5098"/>
        <v>1463000.0000000002</v>
      </c>
      <c r="G8306" s="102">
        <f t="shared" si="5099"/>
        <v>1330000</v>
      </c>
      <c r="H8306" s="690" t="s">
        <v>173</v>
      </c>
      <c r="I8306" s="71" t="s">
        <v>109</v>
      </c>
      <c r="J8306" s="53">
        <f>G8306-T8306-U8306</f>
        <v>210000</v>
      </c>
      <c r="K8306" s="63">
        <f t="shared" si="5108"/>
        <v>0.15789473684210523</v>
      </c>
      <c r="L8306" s="1212" t="s">
        <v>4489</v>
      </c>
      <c r="M8306" s="102"/>
      <c r="N8306" s="1192">
        <f t="shared" si="5102"/>
        <v>45968</v>
      </c>
      <c r="O8306" s="71" t="s">
        <v>149</v>
      </c>
      <c r="P8306" s="103" t="str">
        <f t="shared" si="5103"/>
        <v>5MX 블랑켓 XL용</v>
      </c>
      <c r="Q8306" s="71">
        <f t="shared" si="5104"/>
        <v>10</v>
      </c>
      <c r="R8306" s="102">
        <v>112000</v>
      </c>
      <c r="S8306" s="102">
        <f t="shared" si="5109"/>
        <v>1232000</v>
      </c>
      <c r="T8306" s="102">
        <f t="shared" si="5110"/>
        <v>1120000</v>
      </c>
      <c r="U8306" s="71"/>
      <c r="V8306" s="71"/>
      <c r="W8306" s="474"/>
      <c r="X8306" s="71"/>
      <c r="Y8306" s="71"/>
    </row>
    <row r="8307" spans="1:25" ht="30" hidden="1" customHeight="1" x14ac:dyDescent="0.25">
      <c r="A8307" s="1145">
        <v>45968</v>
      </c>
      <c r="B8307" s="664" t="s">
        <v>2798</v>
      </c>
      <c r="C8307" s="71" t="s">
        <v>4239</v>
      </c>
      <c r="D8307" s="71">
        <v>3</v>
      </c>
      <c r="E8307" s="102">
        <v>252000</v>
      </c>
      <c r="F8307" s="102">
        <f t="shared" si="5098"/>
        <v>831600.00000000012</v>
      </c>
      <c r="G8307" s="102">
        <f t="shared" si="5099"/>
        <v>756000</v>
      </c>
      <c r="H8307" s="690" t="s">
        <v>173</v>
      </c>
      <c r="I8307" s="71" t="s">
        <v>180</v>
      </c>
      <c r="J8307" s="53">
        <f>G8307-T8307-U8307</f>
        <v>182000</v>
      </c>
      <c r="K8307" s="63">
        <f t="shared" si="5108"/>
        <v>0.2407407407407407</v>
      </c>
      <c r="L8307" s="1212" t="s">
        <v>4489</v>
      </c>
      <c r="M8307" s="102"/>
      <c r="N8307" s="1192">
        <f t="shared" si="5102"/>
        <v>45968</v>
      </c>
      <c r="O8307" s="71" t="s">
        <v>150</v>
      </c>
      <c r="P8307" s="103" t="str">
        <f t="shared" si="5103"/>
        <v>Saphira 건식 세정포 하이델 XL용</v>
      </c>
      <c r="Q8307" s="71">
        <f t="shared" si="5104"/>
        <v>3</v>
      </c>
      <c r="R8307" s="102">
        <v>187500</v>
      </c>
      <c r="S8307" s="102">
        <f t="shared" si="5109"/>
        <v>618750</v>
      </c>
      <c r="T8307" s="102">
        <f t="shared" si="5110"/>
        <v>562500</v>
      </c>
      <c r="U8307" s="71">
        <v>11500</v>
      </c>
      <c r="V8307" s="71"/>
      <c r="W8307" s="474"/>
      <c r="X8307" s="71"/>
      <c r="Y8307" s="71"/>
    </row>
    <row r="8308" spans="1:25" ht="30" hidden="1" customHeight="1" x14ac:dyDescent="0.25">
      <c r="A8308" s="1145">
        <v>45968</v>
      </c>
      <c r="B8308" s="664" t="s">
        <v>444</v>
      </c>
      <c r="C8308" s="71" t="s">
        <v>3399</v>
      </c>
      <c r="D8308" s="71">
        <v>10</v>
      </c>
      <c r="E8308" s="102">
        <v>195000</v>
      </c>
      <c r="F8308" s="102">
        <f t="shared" si="5098"/>
        <v>2145000</v>
      </c>
      <c r="G8308" s="102">
        <f t="shared" si="5099"/>
        <v>1950000</v>
      </c>
      <c r="H8308" s="690" t="s">
        <v>2029</v>
      </c>
      <c r="I8308" s="71" t="s">
        <v>180</v>
      </c>
      <c r="J8308" s="53">
        <f t="shared" ref="J8308:J8309" si="5112">G8308-T8308</f>
        <v>450000</v>
      </c>
      <c r="K8308" s="63">
        <f t="shared" si="5108"/>
        <v>0.23076923076923078</v>
      </c>
      <c r="L8308" s="1212" t="s">
        <v>4489</v>
      </c>
      <c r="M8308" s="468"/>
      <c r="N8308" s="1192">
        <f t="shared" si="5102"/>
        <v>45968</v>
      </c>
      <c r="O8308" s="71" t="s">
        <v>191</v>
      </c>
      <c r="P8308" s="103" t="str">
        <f t="shared" si="5103"/>
        <v>UV wash offset UV</v>
      </c>
      <c r="Q8308" s="71">
        <f t="shared" si="5104"/>
        <v>10</v>
      </c>
      <c r="R8308" s="102">
        <v>150000</v>
      </c>
      <c r="S8308" s="102">
        <f t="shared" si="5109"/>
        <v>1650000.0000000002</v>
      </c>
      <c r="T8308" s="102">
        <f t="shared" si="5110"/>
        <v>1500000</v>
      </c>
      <c r="U8308" s="71"/>
      <c r="V8308" s="71"/>
      <c r="W8308" s="474"/>
      <c r="X8308" s="71"/>
      <c r="Y8308" s="71"/>
    </row>
    <row r="8309" spans="1:25" ht="31.5" hidden="1" customHeight="1" x14ac:dyDescent="0.25">
      <c r="A8309" s="1145">
        <v>45969</v>
      </c>
      <c r="B8309" s="664" t="s">
        <v>545</v>
      </c>
      <c r="C8309" s="71" t="s">
        <v>911</v>
      </c>
      <c r="D8309" s="71">
        <v>1</v>
      </c>
      <c r="E8309" s="102">
        <v>250000</v>
      </c>
      <c r="F8309" s="102">
        <f t="shared" si="5098"/>
        <v>275000</v>
      </c>
      <c r="G8309" s="102">
        <f t="shared" si="5099"/>
        <v>250000</v>
      </c>
      <c r="H8309" s="690" t="s">
        <v>173</v>
      </c>
      <c r="I8309" s="71" t="s">
        <v>2231</v>
      </c>
      <c r="J8309" s="53">
        <f t="shared" si="5112"/>
        <v>175000</v>
      </c>
      <c r="K8309" s="63">
        <f t="shared" si="5108"/>
        <v>0.7</v>
      </c>
      <c r="L8309" s="1212" t="s">
        <v>4489</v>
      </c>
      <c r="M8309" s="468"/>
      <c r="N8309" s="1192">
        <f t="shared" si="5102"/>
        <v>45969</v>
      </c>
      <c r="O8309" s="71" t="s">
        <v>994</v>
      </c>
      <c r="P8309" s="103" t="str">
        <f t="shared" si="5103"/>
        <v>콤푸레샤 에어필터</v>
      </c>
      <c r="Q8309" s="71">
        <f t="shared" si="5104"/>
        <v>1</v>
      </c>
      <c r="R8309" s="102">
        <v>75000</v>
      </c>
      <c r="S8309" s="102">
        <f t="shared" si="5109"/>
        <v>82500</v>
      </c>
      <c r="T8309" s="102">
        <f t="shared" si="5110"/>
        <v>75000</v>
      </c>
      <c r="U8309" s="71" t="str">
        <f t="shared" ref="U8309" si="5113">IF(J8309=W8309,"O", "X")</f>
        <v>O</v>
      </c>
      <c r="V8309" s="71"/>
      <c r="W8309" s="474">
        <f>(G8309-T8309)</f>
        <v>175000</v>
      </c>
      <c r="X8309" s="71"/>
      <c r="Y8309" s="71"/>
    </row>
    <row r="8310" spans="1:25" ht="30" hidden="1" customHeight="1" x14ac:dyDescent="0.25">
      <c r="A8310" s="1145">
        <v>45983</v>
      </c>
      <c r="B8310" s="664" t="s">
        <v>2798</v>
      </c>
      <c r="C8310" s="71" t="s">
        <v>4240</v>
      </c>
      <c r="D8310" s="71">
        <v>10</v>
      </c>
      <c r="E8310" s="102">
        <v>133000</v>
      </c>
      <c r="F8310" s="102">
        <f t="shared" ref="F8310:F8318" si="5114">(E8310*D8310)*1.1</f>
        <v>1463000.0000000002</v>
      </c>
      <c r="G8310" s="102">
        <f t="shared" ref="G8310:G8318" si="5115">(E8310*D8310)</f>
        <v>1330000</v>
      </c>
      <c r="H8310" s="690" t="s">
        <v>173</v>
      </c>
      <c r="I8310" s="71" t="s">
        <v>109</v>
      </c>
      <c r="J8310" s="53">
        <f>G8310-T8310-U8310</f>
        <v>210000</v>
      </c>
      <c r="K8310" s="63">
        <f t="shared" ref="K8310" si="5116">(J8310/(F8310/11*10))</f>
        <v>0.15789473684210523</v>
      </c>
      <c r="L8310" s="1212" t="s">
        <v>4489</v>
      </c>
      <c r="M8310" s="102"/>
      <c r="N8310" s="1192">
        <f t="shared" ref="N8310:N8311" si="5117">A8310</f>
        <v>45983</v>
      </c>
      <c r="O8310" s="71" t="s">
        <v>149</v>
      </c>
      <c r="P8310" s="103" t="str">
        <f t="shared" ref="P8310:P8318" si="5118">(C8310)</f>
        <v>5MX 블랑켓 XL용</v>
      </c>
      <c r="Q8310" s="71">
        <f t="shared" ref="Q8310:Q8318" si="5119">D8310</f>
        <v>10</v>
      </c>
      <c r="R8310" s="102">
        <v>112000</v>
      </c>
      <c r="S8310" s="102">
        <f t="shared" ref="S8310" si="5120">R8310*Q8310*1.1</f>
        <v>1232000</v>
      </c>
      <c r="T8310" s="102">
        <f t="shared" ref="T8310" si="5121">R8310*Q8310</f>
        <v>1120000</v>
      </c>
      <c r="U8310" s="71"/>
      <c r="V8310" s="71"/>
      <c r="W8310" s="474"/>
      <c r="X8310" s="71"/>
      <c r="Y8310" s="71"/>
    </row>
    <row r="8311" spans="1:25" ht="30" hidden="1" customHeight="1" x14ac:dyDescent="0.25">
      <c r="A8311" s="1145"/>
      <c r="B8311" s="664" t="s">
        <v>2103</v>
      </c>
      <c r="C8311" s="71" t="s">
        <v>3667</v>
      </c>
      <c r="D8311" s="71">
        <v>1958</v>
      </c>
      <c r="E8311" s="102">
        <v>1800</v>
      </c>
      <c r="F8311" s="102">
        <f t="shared" si="5114"/>
        <v>3876840.0000000005</v>
      </c>
      <c r="G8311" s="102">
        <f t="shared" si="5115"/>
        <v>3524400</v>
      </c>
      <c r="H8311" s="690" t="s">
        <v>173</v>
      </c>
      <c r="I8311" s="71" t="s">
        <v>2230</v>
      </c>
      <c r="J8311" s="53">
        <f>G8311-T8311-U8311</f>
        <v>3524400</v>
      </c>
      <c r="K8311" s="63">
        <f t="shared" ref="K8311" si="5122">(J8311/(F8311/11*10))</f>
        <v>0.99999999999999989</v>
      </c>
      <c r="L8311" s="1212" t="s">
        <v>4489</v>
      </c>
      <c r="M8311" s="468"/>
      <c r="N8311" s="1192">
        <f t="shared" si="5117"/>
        <v>0</v>
      </c>
      <c r="O8311" s="71"/>
      <c r="P8311" s="103" t="str">
        <f t="shared" si="5118"/>
        <v>폐판</v>
      </c>
      <c r="Q8311" s="71">
        <f t="shared" si="5119"/>
        <v>1958</v>
      </c>
      <c r="R8311" s="147"/>
      <c r="S8311" s="102">
        <f t="shared" si="5083"/>
        <v>0</v>
      </c>
      <c r="T8311" s="102">
        <f t="shared" si="5084"/>
        <v>0</v>
      </c>
      <c r="U8311" s="71"/>
      <c r="V8311" s="71"/>
      <c r="W8311" s="474"/>
      <c r="X8311" s="71"/>
      <c r="Y8311" s="71"/>
    </row>
    <row r="8312" spans="1:25" ht="30" hidden="1" customHeight="1" x14ac:dyDescent="0.25">
      <c r="A8312" s="1145">
        <v>45971</v>
      </c>
      <c r="B8312" s="664" t="s">
        <v>26</v>
      </c>
      <c r="C8312" s="71" t="s">
        <v>2087</v>
      </c>
      <c r="D8312" s="71">
        <v>5</v>
      </c>
      <c r="E8312" s="102">
        <v>65000</v>
      </c>
      <c r="F8312" s="102">
        <f t="shared" si="5114"/>
        <v>357500</v>
      </c>
      <c r="G8312" s="102">
        <f t="shared" si="5115"/>
        <v>325000</v>
      </c>
      <c r="H8312" s="690" t="s">
        <v>172</v>
      </c>
      <c r="I8312" s="71" t="s">
        <v>3295</v>
      </c>
      <c r="J8312" s="53">
        <v>75000</v>
      </c>
      <c r="K8312" s="63">
        <v>0.23076923076923078</v>
      </c>
      <c r="L8312" s="1212" t="s">
        <v>4489</v>
      </c>
      <c r="M8312" s="468"/>
      <c r="N8312" s="1192">
        <f t="shared" ref="N8312:N8318" si="5123">A8312</f>
        <v>45971</v>
      </c>
      <c r="O8312" s="71" t="s">
        <v>149</v>
      </c>
      <c r="P8312" s="103" t="str">
        <f t="shared" si="5118"/>
        <v>아스테이지(국전)</v>
      </c>
      <c r="Q8312" s="71">
        <f t="shared" si="5119"/>
        <v>5</v>
      </c>
      <c r="R8312" s="102">
        <v>50000</v>
      </c>
      <c r="S8312" s="102">
        <v>275000</v>
      </c>
      <c r="T8312" s="102">
        <v>250000</v>
      </c>
      <c r="U8312" s="71"/>
      <c r="V8312" s="71"/>
      <c r="W8312" s="474">
        <v>150000</v>
      </c>
      <c r="X8312" s="71"/>
      <c r="Y8312" s="71"/>
    </row>
    <row r="8313" spans="1:25" ht="30" hidden="1" customHeight="1" x14ac:dyDescent="0.25">
      <c r="A8313" s="1145">
        <v>45971</v>
      </c>
      <c r="B8313" s="664" t="s">
        <v>26</v>
      </c>
      <c r="C8313" s="71" t="s">
        <v>2087</v>
      </c>
      <c r="D8313" s="71">
        <v>5</v>
      </c>
      <c r="E8313" s="102">
        <v>65000</v>
      </c>
      <c r="F8313" s="102">
        <f t="shared" si="5114"/>
        <v>357500</v>
      </c>
      <c r="G8313" s="102">
        <f t="shared" si="5115"/>
        <v>325000</v>
      </c>
      <c r="H8313" s="690" t="s">
        <v>172</v>
      </c>
      <c r="I8313" s="71" t="s">
        <v>3295</v>
      </c>
      <c r="J8313" s="53">
        <v>75000</v>
      </c>
      <c r="K8313" s="63">
        <v>0.23076923076923078</v>
      </c>
      <c r="L8313" s="1212" t="s">
        <v>4489</v>
      </c>
      <c r="M8313" s="468"/>
      <c r="N8313" s="1192">
        <f t="shared" si="5123"/>
        <v>45971</v>
      </c>
      <c r="O8313" s="71" t="s">
        <v>149</v>
      </c>
      <c r="P8313" s="103" t="str">
        <f t="shared" si="5118"/>
        <v>아스테이지(국전)</v>
      </c>
      <c r="Q8313" s="71">
        <f t="shared" si="5119"/>
        <v>5</v>
      </c>
      <c r="R8313" s="102">
        <v>50000</v>
      </c>
      <c r="S8313" s="102">
        <v>275000</v>
      </c>
      <c r="T8313" s="102">
        <v>250000</v>
      </c>
      <c r="U8313" s="71"/>
      <c r="V8313" s="71"/>
      <c r="W8313" s="474">
        <v>150000</v>
      </c>
      <c r="X8313" s="71"/>
      <c r="Y8313" s="71"/>
    </row>
    <row r="8314" spans="1:25" ht="30" hidden="1" customHeight="1" x14ac:dyDescent="0.25">
      <c r="A8314" s="1145">
        <v>45980</v>
      </c>
      <c r="B8314" s="664" t="s">
        <v>26</v>
      </c>
      <c r="C8314" s="71" t="s">
        <v>2087</v>
      </c>
      <c r="D8314" s="71">
        <v>5</v>
      </c>
      <c r="E8314" s="102">
        <v>65000</v>
      </c>
      <c r="F8314" s="102">
        <f t="shared" si="5114"/>
        <v>357500</v>
      </c>
      <c r="G8314" s="102">
        <f t="shared" si="5115"/>
        <v>325000</v>
      </c>
      <c r="H8314" s="690" t="s">
        <v>172</v>
      </c>
      <c r="I8314" s="71" t="s">
        <v>3295</v>
      </c>
      <c r="J8314" s="53">
        <v>75000</v>
      </c>
      <c r="K8314" s="63">
        <v>0.23076923076923078</v>
      </c>
      <c r="L8314" s="1212" t="s">
        <v>4489</v>
      </c>
      <c r="M8314" s="468"/>
      <c r="N8314" s="1192">
        <f t="shared" si="5123"/>
        <v>45980</v>
      </c>
      <c r="O8314" s="71" t="s">
        <v>149</v>
      </c>
      <c r="P8314" s="103" t="str">
        <f t="shared" si="5118"/>
        <v>아스테이지(국전)</v>
      </c>
      <c r="Q8314" s="71">
        <f t="shared" si="5119"/>
        <v>5</v>
      </c>
      <c r="R8314" s="102">
        <v>50000</v>
      </c>
      <c r="S8314" s="102">
        <v>275000</v>
      </c>
      <c r="T8314" s="102">
        <v>250000</v>
      </c>
      <c r="U8314" s="71"/>
      <c r="V8314" s="71"/>
      <c r="W8314" s="474">
        <v>150000</v>
      </c>
      <c r="X8314" s="71"/>
      <c r="Y8314" s="71"/>
    </row>
    <row r="8315" spans="1:25" s="209" customFormat="1" ht="30" hidden="1" customHeight="1" x14ac:dyDescent="0.25">
      <c r="A8315" s="1145">
        <v>45972</v>
      </c>
      <c r="B8315" s="664" t="s">
        <v>442</v>
      </c>
      <c r="C8315" s="71" t="s">
        <v>3833</v>
      </c>
      <c r="D8315" s="71">
        <v>1000</v>
      </c>
      <c r="E8315" s="102">
        <v>3000</v>
      </c>
      <c r="F8315" s="102">
        <f t="shared" si="5114"/>
        <v>3300000.0000000005</v>
      </c>
      <c r="G8315" s="102">
        <f t="shared" si="5115"/>
        <v>3000000</v>
      </c>
      <c r="H8315" s="690" t="s">
        <v>2029</v>
      </c>
      <c r="I8315" s="71" t="s">
        <v>2230</v>
      </c>
      <c r="J8315" s="53">
        <f t="shared" ref="J8315" si="5124">G8315-T8315-U8315</f>
        <v>-560000</v>
      </c>
      <c r="K8315" s="63">
        <f t="shared" ref="K8315:K8318" si="5125">(J8315/(F8315/11*10))</f>
        <v>-0.18666666666666665</v>
      </c>
      <c r="L8315" s="1212" t="s">
        <v>4489</v>
      </c>
      <c r="M8315" s="468" t="s">
        <v>3080</v>
      </c>
      <c r="N8315" s="1192">
        <f t="shared" si="5123"/>
        <v>45972</v>
      </c>
      <c r="O8315" s="71" t="s">
        <v>2030</v>
      </c>
      <c r="P8315" s="103" t="str">
        <f t="shared" si="5118"/>
        <v>CTP 판 1030*790</v>
      </c>
      <c r="Q8315" s="71">
        <f t="shared" si="5119"/>
        <v>1000</v>
      </c>
      <c r="R8315" s="102">
        <v>3450</v>
      </c>
      <c r="S8315" s="102">
        <f t="shared" ref="S8315:S8318" si="5126">R8315*Q8315*1.1</f>
        <v>3795000.0000000005</v>
      </c>
      <c r="T8315" s="102">
        <f t="shared" ref="T8315:T8318" si="5127">R8315*Q8315</f>
        <v>3450000</v>
      </c>
      <c r="U8315" s="71">
        <v>110000</v>
      </c>
      <c r="V8315" s="71"/>
      <c r="W8315" s="474"/>
      <c r="X8315" s="71"/>
      <c r="Y8315" s="71"/>
    </row>
    <row r="8316" spans="1:25" ht="30" hidden="1" customHeight="1" x14ac:dyDescent="0.25">
      <c r="A8316" s="1145">
        <v>45972</v>
      </c>
      <c r="B8316" s="664" t="s">
        <v>442</v>
      </c>
      <c r="C8316" s="71" t="s">
        <v>3834</v>
      </c>
      <c r="D8316" s="71">
        <v>6</v>
      </c>
      <c r="E8316" s="102">
        <v>57000</v>
      </c>
      <c r="F8316" s="102">
        <f t="shared" si="5114"/>
        <v>376200.00000000006</v>
      </c>
      <c r="G8316" s="102">
        <f t="shared" si="5115"/>
        <v>342000</v>
      </c>
      <c r="H8316" s="690" t="s">
        <v>2029</v>
      </c>
      <c r="I8316" s="71" t="s">
        <v>2230</v>
      </c>
      <c r="J8316" s="53">
        <f t="shared" ref="J8316:J8318" si="5128">G8316-T8316</f>
        <v>86334</v>
      </c>
      <c r="K8316" s="63">
        <f t="shared" si="5125"/>
        <v>0.25243859649122802</v>
      </c>
      <c r="L8316" s="1212" t="s">
        <v>4489</v>
      </c>
      <c r="M8316" s="468"/>
      <c r="N8316" s="1192">
        <f t="shared" si="5123"/>
        <v>45972</v>
      </c>
      <c r="O8316" s="71" t="s">
        <v>2030</v>
      </c>
      <c r="P8316" s="103" t="str">
        <f t="shared" si="5118"/>
        <v>CTP 현상액</v>
      </c>
      <c r="Q8316" s="71">
        <f t="shared" si="5119"/>
        <v>6</v>
      </c>
      <c r="R8316" s="102">
        <v>42611</v>
      </c>
      <c r="S8316" s="102">
        <f t="shared" si="5126"/>
        <v>281232.60000000003</v>
      </c>
      <c r="T8316" s="102">
        <f t="shared" si="5127"/>
        <v>255666</v>
      </c>
      <c r="U8316" s="71"/>
      <c r="V8316" s="71"/>
      <c r="W8316" s="474"/>
      <c r="X8316" s="71"/>
      <c r="Y8316" s="71"/>
    </row>
    <row r="8317" spans="1:25" ht="30" hidden="1" customHeight="1" x14ac:dyDescent="0.25">
      <c r="A8317" s="1145">
        <v>45973</v>
      </c>
      <c r="B8317" s="664" t="s">
        <v>442</v>
      </c>
      <c r="C8317" s="71" t="s">
        <v>3299</v>
      </c>
      <c r="D8317" s="71">
        <v>30</v>
      </c>
      <c r="E8317" s="102">
        <v>69000</v>
      </c>
      <c r="F8317" s="102">
        <f t="shared" si="5114"/>
        <v>2277000</v>
      </c>
      <c r="G8317" s="102">
        <f t="shared" si="5115"/>
        <v>2070000</v>
      </c>
      <c r="H8317" s="690" t="s">
        <v>172</v>
      </c>
      <c r="I8317" s="71" t="s">
        <v>180</v>
      </c>
      <c r="J8317" s="53">
        <f t="shared" si="5128"/>
        <v>645000</v>
      </c>
      <c r="K8317" s="63">
        <f t="shared" si="5125"/>
        <v>0.31159420289855072</v>
      </c>
      <c r="L8317" s="1212" t="s">
        <v>4489</v>
      </c>
      <c r="M8317" s="468" t="s">
        <v>3304</v>
      </c>
      <c r="N8317" s="1192">
        <f t="shared" si="5123"/>
        <v>45973</v>
      </c>
      <c r="O8317" s="71" t="s">
        <v>175</v>
      </c>
      <c r="P8317" s="103" t="str">
        <f t="shared" si="5118"/>
        <v>매엽용 세척제(Wash k11)</v>
      </c>
      <c r="Q8317" s="71">
        <f t="shared" si="5119"/>
        <v>30</v>
      </c>
      <c r="R8317" s="102">
        <v>47500</v>
      </c>
      <c r="S8317" s="102">
        <f t="shared" si="5126"/>
        <v>1567500.0000000002</v>
      </c>
      <c r="T8317" s="102">
        <f t="shared" si="5127"/>
        <v>1425000</v>
      </c>
      <c r="U8317" s="71" t="s">
        <v>859</v>
      </c>
      <c r="V8317" s="71"/>
      <c r="W8317" s="474"/>
      <c r="X8317" s="71"/>
      <c r="Y8317" s="71"/>
    </row>
    <row r="8318" spans="1:25" ht="30" hidden="1" customHeight="1" x14ac:dyDescent="0.25">
      <c r="A8318" s="1145">
        <v>45979</v>
      </c>
      <c r="B8318" s="664" t="s">
        <v>442</v>
      </c>
      <c r="C8318" s="71" t="s">
        <v>3433</v>
      </c>
      <c r="D8318" s="71">
        <v>6</v>
      </c>
      <c r="E8318" s="102">
        <v>132000</v>
      </c>
      <c r="F8318" s="102">
        <f t="shared" si="5114"/>
        <v>871200.00000000012</v>
      </c>
      <c r="G8318" s="102">
        <f t="shared" si="5115"/>
        <v>792000</v>
      </c>
      <c r="H8318" s="690" t="s">
        <v>2029</v>
      </c>
      <c r="I8318" s="71" t="s">
        <v>3385</v>
      </c>
      <c r="J8318" s="53">
        <f t="shared" si="5128"/>
        <v>288000</v>
      </c>
      <c r="K8318" s="63">
        <f t="shared" si="5125"/>
        <v>0.36363636363636359</v>
      </c>
      <c r="L8318" s="1212" t="s">
        <v>4489</v>
      </c>
      <c r="M8318" s="468"/>
      <c r="N8318" s="1192">
        <f t="shared" si="5123"/>
        <v>45979</v>
      </c>
      <c r="O8318" s="71" t="s">
        <v>149</v>
      </c>
      <c r="P8318" s="164" t="str">
        <f t="shared" si="5118"/>
        <v>블랑켓-하이델베르그 국전용</v>
      </c>
      <c r="Q8318" s="71">
        <f t="shared" si="5119"/>
        <v>6</v>
      </c>
      <c r="R8318" s="102">
        <v>84000</v>
      </c>
      <c r="S8318" s="102">
        <f t="shared" si="5126"/>
        <v>554400</v>
      </c>
      <c r="T8318" s="102">
        <f t="shared" si="5127"/>
        <v>504000</v>
      </c>
      <c r="U8318" s="71"/>
      <c r="V8318" s="71"/>
      <c r="W8318" s="474"/>
      <c r="X8318" s="71"/>
      <c r="Y8318" s="71"/>
    </row>
    <row r="8319" spans="1:25" s="209" customFormat="1" ht="30" hidden="1" customHeight="1" x14ac:dyDescent="0.25">
      <c r="A8319" s="1145">
        <v>45985</v>
      </c>
      <c r="B8319" s="664" t="s">
        <v>442</v>
      </c>
      <c r="C8319" s="71" t="s">
        <v>3833</v>
      </c>
      <c r="D8319" s="71">
        <v>1000</v>
      </c>
      <c r="E8319" s="102">
        <v>3000</v>
      </c>
      <c r="F8319" s="102">
        <f t="shared" ref="F8319:F8335" si="5129">(E8319*D8319)*1.1</f>
        <v>3300000.0000000005</v>
      </c>
      <c r="G8319" s="102">
        <f t="shared" ref="G8319:G8335" si="5130">(E8319*D8319)</f>
        <v>3000000</v>
      </c>
      <c r="H8319" s="690" t="s">
        <v>2029</v>
      </c>
      <c r="I8319" s="71" t="s">
        <v>2230</v>
      </c>
      <c r="J8319" s="53">
        <f t="shared" ref="J8319" si="5131">G8319-T8319-U8319</f>
        <v>-560000</v>
      </c>
      <c r="K8319" s="63">
        <f t="shared" ref="K8319:K8320" si="5132">(J8319/(F8319/11*10))</f>
        <v>-0.18666666666666665</v>
      </c>
      <c r="L8319" s="1212" t="s">
        <v>4489</v>
      </c>
      <c r="M8319" s="468" t="s">
        <v>3080</v>
      </c>
      <c r="N8319" s="1192">
        <f t="shared" ref="N8319:N8328" si="5133">A8319</f>
        <v>45985</v>
      </c>
      <c r="O8319" s="71" t="s">
        <v>2030</v>
      </c>
      <c r="P8319" s="103" t="str">
        <f t="shared" ref="P8319:P8335" si="5134">(C8319)</f>
        <v>CTP 판 1030*790</v>
      </c>
      <c r="Q8319" s="71">
        <f t="shared" ref="Q8319:Q8335" si="5135">D8319</f>
        <v>1000</v>
      </c>
      <c r="R8319" s="102">
        <v>3450</v>
      </c>
      <c r="S8319" s="102">
        <f t="shared" ref="S8319:S8320" si="5136">R8319*Q8319*1.1</f>
        <v>3795000.0000000005</v>
      </c>
      <c r="T8319" s="102">
        <f t="shared" ref="T8319:T8320" si="5137">R8319*Q8319</f>
        <v>3450000</v>
      </c>
      <c r="U8319" s="71">
        <v>110000</v>
      </c>
      <c r="V8319" s="71"/>
      <c r="W8319" s="474"/>
      <c r="X8319" s="71"/>
      <c r="Y8319" s="71"/>
    </row>
    <row r="8320" spans="1:25" ht="30" hidden="1" customHeight="1" x14ac:dyDescent="0.25">
      <c r="A8320" s="1145">
        <v>45985</v>
      </c>
      <c r="B8320" s="664" t="s">
        <v>442</v>
      </c>
      <c r="C8320" s="71" t="s">
        <v>3834</v>
      </c>
      <c r="D8320" s="71">
        <v>6</v>
      </c>
      <c r="E8320" s="102">
        <v>57000</v>
      </c>
      <c r="F8320" s="102">
        <f t="shared" si="5129"/>
        <v>376200.00000000006</v>
      </c>
      <c r="G8320" s="102">
        <f t="shared" si="5130"/>
        <v>342000</v>
      </c>
      <c r="H8320" s="690" t="s">
        <v>2029</v>
      </c>
      <c r="I8320" s="71" t="s">
        <v>2230</v>
      </c>
      <c r="J8320" s="53">
        <f t="shared" ref="J8320" si="5138">G8320-T8320</f>
        <v>86334</v>
      </c>
      <c r="K8320" s="63">
        <f t="shared" si="5132"/>
        <v>0.25243859649122802</v>
      </c>
      <c r="L8320" s="1212" t="s">
        <v>4489</v>
      </c>
      <c r="M8320" s="468"/>
      <c r="N8320" s="1192">
        <f t="shared" si="5133"/>
        <v>45985</v>
      </c>
      <c r="O8320" s="71" t="s">
        <v>2030</v>
      </c>
      <c r="P8320" s="103" t="str">
        <f t="shared" si="5134"/>
        <v>CTP 현상액</v>
      </c>
      <c r="Q8320" s="71">
        <f t="shared" si="5135"/>
        <v>6</v>
      </c>
      <c r="R8320" s="102">
        <v>42611</v>
      </c>
      <c r="S8320" s="102">
        <f t="shared" si="5136"/>
        <v>281232.60000000003</v>
      </c>
      <c r="T8320" s="102">
        <f t="shared" si="5137"/>
        <v>255666</v>
      </c>
      <c r="U8320" s="71"/>
      <c r="V8320" s="71"/>
      <c r="W8320" s="474"/>
      <c r="X8320" s="71"/>
      <c r="Y8320" s="71"/>
    </row>
    <row r="8321" spans="1:25" ht="30" hidden="1" customHeight="1" x14ac:dyDescent="0.25">
      <c r="A8321" s="1145">
        <v>45971</v>
      </c>
      <c r="B8321" s="664" t="s">
        <v>2261</v>
      </c>
      <c r="C8321" s="71" t="s">
        <v>236</v>
      </c>
      <c r="D8321" s="71">
        <v>1</v>
      </c>
      <c r="E8321" s="102">
        <v>105000</v>
      </c>
      <c r="F8321" s="102">
        <f t="shared" si="5129"/>
        <v>115500.00000000001</v>
      </c>
      <c r="G8321" s="102">
        <f t="shared" si="5130"/>
        <v>105000</v>
      </c>
      <c r="H8321" s="690" t="s">
        <v>2029</v>
      </c>
      <c r="I8321" s="71" t="s">
        <v>2231</v>
      </c>
      <c r="J8321" s="53">
        <f t="shared" ref="J8321" si="5139">G8321-T8321</f>
        <v>55000</v>
      </c>
      <c r="K8321" s="63">
        <f t="shared" ref="K8321" si="5140">(J8321/(F8321/11*10))</f>
        <v>0.52380952380952372</v>
      </c>
      <c r="L8321" s="1212" t="s">
        <v>4489</v>
      </c>
      <c r="M8321" s="102"/>
      <c r="N8321" s="1192">
        <f t="shared" si="5133"/>
        <v>45971</v>
      </c>
      <c r="O8321" s="71" t="s">
        <v>153</v>
      </c>
      <c r="P8321" s="103" t="str">
        <f t="shared" si="5134"/>
        <v>아스테이지(국전)</v>
      </c>
      <c r="Q8321" s="71">
        <f t="shared" si="5135"/>
        <v>1</v>
      </c>
      <c r="R8321" s="102">
        <v>50000</v>
      </c>
      <c r="S8321" s="102">
        <f t="shared" si="5083"/>
        <v>55000.000000000007</v>
      </c>
      <c r="T8321" s="102">
        <f t="shared" si="5084"/>
        <v>50000</v>
      </c>
      <c r="U8321" s="71"/>
      <c r="V8321" s="71"/>
      <c r="W8321" s="474"/>
      <c r="X8321" s="71"/>
      <c r="Y8321" s="71"/>
    </row>
    <row r="8322" spans="1:25" ht="29.45" hidden="1" customHeight="1" x14ac:dyDescent="0.25">
      <c r="A8322" s="1145">
        <v>45986</v>
      </c>
      <c r="B8322" s="664" t="s">
        <v>3296</v>
      </c>
      <c r="C8322" s="71" t="s">
        <v>3297</v>
      </c>
      <c r="D8322" s="71">
        <v>20</v>
      </c>
      <c r="E8322" s="102">
        <v>162500</v>
      </c>
      <c r="F8322" s="102">
        <f t="shared" si="5129"/>
        <v>3575000.0000000005</v>
      </c>
      <c r="G8322" s="102">
        <f t="shared" si="5130"/>
        <v>3250000</v>
      </c>
      <c r="H8322" s="690" t="s">
        <v>172</v>
      </c>
      <c r="I8322" s="71" t="s">
        <v>3295</v>
      </c>
      <c r="J8322" s="53">
        <f t="shared" ref="J8322:J8323" si="5141">G8322-T8322</f>
        <v>850000</v>
      </c>
      <c r="K8322" s="63">
        <f t="shared" ref="K8322:K8323" si="5142">(J8322/(F8322/11*10))</f>
        <v>0.2615384615384615</v>
      </c>
      <c r="L8322" s="1212" t="s">
        <v>4489</v>
      </c>
      <c r="M8322" s="468"/>
      <c r="N8322" s="1192">
        <f t="shared" si="5133"/>
        <v>45986</v>
      </c>
      <c r="O8322" s="71" t="s">
        <v>662</v>
      </c>
      <c r="P8322" s="103" t="str">
        <f t="shared" si="5134"/>
        <v>실리콘 에멀전</v>
      </c>
      <c r="Q8322" s="71">
        <f t="shared" si="5135"/>
        <v>20</v>
      </c>
      <c r="R8322" s="102">
        <v>120000</v>
      </c>
      <c r="S8322" s="102">
        <f t="shared" si="5083"/>
        <v>2640000</v>
      </c>
      <c r="T8322" s="102">
        <f t="shared" si="5084"/>
        <v>2400000</v>
      </c>
      <c r="U8322" s="71"/>
      <c r="V8322" s="71"/>
      <c r="W8322" s="474"/>
      <c r="X8322" s="71"/>
      <c r="Y8322" s="71"/>
    </row>
    <row r="8323" spans="1:25" s="209" customFormat="1" ht="30" hidden="1" customHeight="1" x14ac:dyDescent="0.25">
      <c r="A8323" s="1145">
        <v>45981</v>
      </c>
      <c r="B8323" s="664" t="s">
        <v>411</v>
      </c>
      <c r="C8323" s="71" t="s">
        <v>3413</v>
      </c>
      <c r="D8323" s="71">
        <v>10</v>
      </c>
      <c r="E8323" s="102">
        <v>90000</v>
      </c>
      <c r="F8323" s="102">
        <f t="shared" si="5129"/>
        <v>990000.00000000012</v>
      </c>
      <c r="G8323" s="102">
        <f t="shared" si="5130"/>
        <v>900000</v>
      </c>
      <c r="H8323" s="690" t="s">
        <v>2029</v>
      </c>
      <c r="I8323" s="71" t="s">
        <v>3385</v>
      </c>
      <c r="J8323" s="53">
        <f t="shared" si="5141"/>
        <v>400000</v>
      </c>
      <c r="K8323" s="63">
        <f t="shared" si="5142"/>
        <v>0.44444444444444436</v>
      </c>
      <c r="L8323" s="1212" t="s">
        <v>4496</v>
      </c>
      <c r="M8323" s="468"/>
      <c r="N8323" s="1192">
        <f t="shared" si="5133"/>
        <v>45981</v>
      </c>
      <c r="O8323" s="71" t="s">
        <v>190</v>
      </c>
      <c r="P8323" s="103" t="str">
        <f t="shared" si="5134"/>
        <v>아스테이지(국전)</v>
      </c>
      <c r="Q8323" s="71">
        <f t="shared" si="5135"/>
        <v>10</v>
      </c>
      <c r="R8323" s="102">
        <v>50000</v>
      </c>
      <c r="S8323" s="102">
        <f t="shared" si="5083"/>
        <v>550000</v>
      </c>
      <c r="T8323" s="102">
        <f t="shared" si="5084"/>
        <v>500000</v>
      </c>
      <c r="U8323" s="71"/>
      <c r="V8323" s="71"/>
      <c r="W8323" s="474">
        <v>500000</v>
      </c>
      <c r="X8323" s="71"/>
      <c r="Y8323" s="71"/>
    </row>
    <row r="8324" spans="1:25" ht="30" hidden="1" customHeight="1" x14ac:dyDescent="0.25">
      <c r="A8324" s="1145">
        <v>45979</v>
      </c>
      <c r="B8324" s="664" t="s">
        <v>546</v>
      </c>
      <c r="C8324" s="71" t="s">
        <v>114</v>
      </c>
      <c r="D8324" s="71">
        <v>50</v>
      </c>
      <c r="E8324" s="102">
        <v>18000</v>
      </c>
      <c r="F8324" s="102">
        <f t="shared" si="5129"/>
        <v>990000.00000000012</v>
      </c>
      <c r="G8324" s="102">
        <f t="shared" si="5130"/>
        <v>900000</v>
      </c>
      <c r="H8324" s="690" t="s">
        <v>1431</v>
      </c>
      <c r="I8324" s="690" t="s">
        <v>1431</v>
      </c>
      <c r="J8324" s="53"/>
      <c r="K8324" s="63"/>
      <c r="L8324" s="1212" t="s">
        <v>4489</v>
      </c>
      <c r="M8324" s="102"/>
      <c r="N8324" s="1192">
        <f t="shared" si="5133"/>
        <v>45979</v>
      </c>
      <c r="O8324" s="71" t="s">
        <v>1431</v>
      </c>
      <c r="P8324" s="103" t="str">
        <f t="shared" si="5134"/>
        <v>스트리퍼</v>
      </c>
      <c r="Q8324" s="71">
        <f t="shared" si="5135"/>
        <v>50</v>
      </c>
      <c r="R8324" s="102"/>
      <c r="S8324" s="102">
        <f t="shared" si="5083"/>
        <v>0</v>
      </c>
      <c r="T8324" s="102">
        <f t="shared" si="5084"/>
        <v>0</v>
      </c>
      <c r="U8324" s="71"/>
      <c r="V8324" s="71"/>
      <c r="W8324" s="474"/>
      <c r="X8324" s="71"/>
      <c r="Y8324" s="71"/>
    </row>
    <row r="8325" spans="1:25" ht="30" hidden="1" customHeight="1" x14ac:dyDescent="0.25">
      <c r="A8325" s="1145">
        <v>45979</v>
      </c>
      <c r="B8325" s="664" t="s">
        <v>546</v>
      </c>
      <c r="C8325" s="71" t="s">
        <v>934</v>
      </c>
      <c r="D8325" s="71">
        <v>20</v>
      </c>
      <c r="E8325" s="102">
        <v>4500</v>
      </c>
      <c r="F8325" s="102">
        <f t="shared" si="5129"/>
        <v>99000.000000000015</v>
      </c>
      <c r="G8325" s="102">
        <f t="shared" si="5130"/>
        <v>90000</v>
      </c>
      <c r="H8325" s="690" t="s">
        <v>1431</v>
      </c>
      <c r="I8325" s="690" t="s">
        <v>1431</v>
      </c>
      <c r="J8325" s="53"/>
      <c r="K8325" s="63"/>
      <c r="L8325" s="1212" t="s">
        <v>4489</v>
      </c>
      <c r="M8325" s="468"/>
      <c r="N8325" s="1192">
        <f t="shared" si="5133"/>
        <v>45979</v>
      </c>
      <c r="O8325" s="71" t="s">
        <v>1431</v>
      </c>
      <c r="P8325" s="103" t="str">
        <f t="shared" si="5134"/>
        <v>양면 테이프</v>
      </c>
      <c r="Q8325" s="71">
        <f t="shared" si="5135"/>
        <v>20</v>
      </c>
      <c r="R8325" s="147"/>
      <c r="S8325" s="102">
        <f t="shared" si="5083"/>
        <v>0</v>
      </c>
      <c r="T8325" s="102">
        <f t="shared" si="5084"/>
        <v>0</v>
      </c>
      <c r="U8325" s="71"/>
      <c r="V8325" s="71"/>
      <c r="W8325" s="474"/>
      <c r="X8325" s="71"/>
      <c r="Y8325" s="71"/>
    </row>
    <row r="8326" spans="1:25" ht="30" hidden="1" customHeight="1" x14ac:dyDescent="0.25">
      <c r="A8326" s="1145">
        <v>45979</v>
      </c>
      <c r="B8326" s="664" t="s">
        <v>546</v>
      </c>
      <c r="C8326" s="71" t="s">
        <v>1297</v>
      </c>
      <c r="D8326" s="71">
        <v>20</v>
      </c>
      <c r="E8326" s="102">
        <v>20000</v>
      </c>
      <c r="F8326" s="102">
        <f t="shared" si="5129"/>
        <v>440000.00000000006</v>
      </c>
      <c r="G8326" s="102">
        <f t="shared" si="5130"/>
        <v>400000</v>
      </c>
      <c r="H8326" s="690" t="s">
        <v>1431</v>
      </c>
      <c r="I8326" s="690" t="s">
        <v>1431</v>
      </c>
      <c r="J8326" s="53"/>
      <c r="K8326" s="63"/>
      <c r="L8326" s="1212" t="s">
        <v>4489</v>
      </c>
      <c r="M8326" s="102"/>
      <c r="N8326" s="1192">
        <f t="shared" si="5133"/>
        <v>45979</v>
      </c>
      <c r="O8326" s="71" t="s">
        <v>1431</v>
      </c>
      <c r="P8326" s="103" t="str">
        <f t="shared" si="5134"/>
        <v>잉크집 호일</v>
      </c>
      <c r="Q8326" s="71">
        <f t="shared" si="5135"/>
        <v>20</v>
      </c>
      <c r="R8326" s="102"/>
      <c r="S8326" s="102">
        <f t="shared" si="5083"/>
        <v>0</v>
      </c>
      <c r="T8326" s="102">
        <f t="shared" si="5084"/>
        <v>0</v>
      </c>
      <c r="U8326" s="71"/>
      <c r="V8326" s="71"/>
      <c r="W8326" s="474"/>
      <c r="X8326" s="71"/>
      <c r="Y8326" s="71"/>
    </row>
    <row r="8327" spans="1:25" ht="30" hidden="1" customHeight="1" x14ac:dyDescent="0.25">
      <c r="A8327" s="1145"/>
      <c r="B8327" s="664"/>
      <c r="C8327" s="71"/>
      <c r="D8327" s="71"/>
      <c r="E8327" s="102"/>
      <c r="F8327" s="102"/>
      <c r="G8327" s="102"/>
      <c r="H8327" s="690"/>
      <c r="I8327" s="71"/>
      <c r="J8327" s="53"/>
      <c r="K8327" s="63"/>
      <c r="L8327" s="1212"/>
      <c r="M8327" s="468"/>
      <c r="N8327" s="1192"/>
      <c r="O8327" s="71"/>
      <c r="P8327" s="103">
        <f t="shared" si="5134"/>
        <v>0</v>
      </c>
      <c r="Q8327" s="71">
        <f t="shared" si="5135"/>
        <v>0</v>
      </c>
      <c r="R8327" s="147"/>
      <c r="S8327" s="102">
        <f t="shared" si="5083"/>
        <v>0</v>
      </c>
      <c r="T8327" s="102">
        <f t="shared" si="5084"/>
        <v>0</v>
      </c>
      <c r="U8327" s="71"/>
      <c r="V8327" s="71"/>
      <c r="W8327" s="474"/>
      <c r="X8327" s="71"/>
      <c r="Y8327" s="71"/>
    </row>
    <row r="8328" spans="1:25" s="209" customFormat="1" ht="29.45" hidden="1" customHeight="1" x14ac:dyDescent="0.2">
      <c r="A8328" s="1145">
        <v>45978</v>
      </c>
      <c r="B8328" s="664" t="s">
        <v>4059</v>
      </c>
      <c r="C8328" s="71" t="s">
        <v>4061</v>
      </c>
      <c r="D8328" s="71">
        <v>10</v>
      </c>
      <c r="E8328" s="102">
        <v>130000</v>
      </c>
      <c r="F8328" s="102">
        <f t="shared" si="5129"/>
        <v>1430000</v>
      </c>
      <c r="G8328" s="102">
        <f t="shared" si="5130"/>
        <v>1300000</v>
      </c>
      <c r="H8328" s="165" t="s">
        <v>172</v>
      </c>
      <c r="I8328" s="71" t="s">
        <v>184</v>
      </c>
      <c r="J8328" s="53">
        <f t="shared" ref="J8328:J8335" si="5143">G8328-T8328</f>
        <v>180000</v>
      </c>
      <c r="K8328" s="63">
        <f t="shared" ref="K8328:K8335" si="5144">(J8328/(F8328/11*10))</f>
        <v>0.13846153846153847</v>
      </c>
      <c r="L8328" s="1212" t="s">
        <v>4489</v>
      </c>
      <c r="M8328" s="468"/>
      <c r="N8328" s="1192">
        <f t="shared" si="5133"/>
        <v>45978</v>
      </c>
      <c r="O8328" s="71" t="s">
        <v>189</v>
      </c>
      <c r="P8328" s="103" t="str">
        <f t="shared" si="5134"/>
        <v>M600 Blanket(990*725)</v>
      </c>
      <c r="Q8328" s="71">
        <f t="shared" si="5135"/>
        <v>10</v>
      </c>
      <c r="R8328" s="102">
        <v>112000</v>
      </c>
      <c r="S8328" s="102">
        <f t="shared" si="5083"/>
        <v>1232000</v>
      </c>
      <c r="T8328" s="102">
        <f t="shared" si="5084"/>
        <v>1120000</v>
      </c>
      <c r="U8328" s="71"/>
      <c r="V8328" s="71"/>
      <c r="W8328" s="474">
        <v>80000</v>
      </c>
      <c r="X8328" s="71"/>
      <c r="Y8328" s="71"/>
    </row>
    <row r="8329" spans="1:25" ht="30" hidden="1" customHeight="1" x14ac:dyDescent="0.25">
      <c r="A8329" s="1145">
        <v>45986</v>
      </c>
      <c r="B8329" s="664" t="s">
        <v>4059</v>
      </c>
      <c r="C8329" s="71" t="s">
        <v>4060</v>
      </c>
      <c r="D8329" s="71">
        <v>10</v>
      </c>
      <c r="E8329" s="102">
        <v>187000</v>
      </c>
      <c r="F8329" s="102">
        <f t="shared" si="5129"/>
        <v>2057000.0000000002</v>
      </c>
      <c r="G8329" s="102">
        <f t="shared" si="5130"/>
        <v>1870000</v>
      </c>
      <c r="H8329" s="690" t="s">
        <v>2029</v>
      </c>
      <c r="I8329" s="71" t="s">
        <v>109</v>
      </c>
      <c r="J8329" s="53">
        <f t="shared" si="5143"/>
        <v>170000</v>
      </c>
      <c r="K8329" s="63">
        <f t="shared" si="5144"/>
        <v>9.0909090909090898E-2</v>
      </c>
      <c r="L8329" s="1212" t="s">
        <v>4489</v>
      </c>
      <c r="M8329" s="102"/>
      <c r="N8329" s="1192">
        <f t="shared" ref="N8328:N8335" si="5145">A8329</f>
        <v>45986</v>
      </c>
      <c r="O8329" s="71" t="s">
        <v>189</v>
      </c>
      <c r="P8329" s="103" t="str">
        <f t="shared" si="5134"/>
        <v>미쯔비시 윤전용 블랑켓 1155*910</v>
      </c>
      <c r="Q8329" s="71">
        <f t="shared" si="5135"/>
        <v>10</v>
      </c>
      <c r="R8329" s="102">
        <v>170000</v>
      </c>
      <c r="S8329" s="102">
        <f t="shared" si="5083"/>
        <v>1870000.0000000002</v>
      </c>
      <c r="T8329" s="102">
        <f t="shared" si="5084"/>
        <v>1700000</v>
      </c>
      <c r="U8329" s="71"/>
      <c r="V8329" s="71"/>
      <c r="W8329" s="474"/>
      <c r="X8329" s="71"/>
      <c r="Y8329" s="71"/>
    </row>
    <row r="8330" spans="1:25" ht="30" hidden="1" customHeight="1" x14ac:dyDescent="0.25">
      <c r="A8330" s="1145">
        <v>45964</v>
      </c>
      <c r="B8330" s="664" t="s">
        <v>2261</v>
      </c>
      <c r="C8330" s="760" t="s">
        <v>181</v>
      </c>
      <c r="D8330" s="71">
        <v>5</v>
      </c>
      <c r="E8330" s="102">
        <v>193000</v>
      </c>
      <c r="F8330" s="102">
        <f t="shared" si="5129"/>
        <v>1061500</v>
      </c>
      <c r="G8330" s="102">
        <f t="shared" si="5130"/>
        <v>965000</v>
      </c>
      <c r="H8330" s="690" t="s">
        <v>2029</v>
      </c>
      <c r="I8330" s="71" t="s">
        <v>182</v>
      </c>
      <c r="J8330" s="53">
        <f t="shared" si="5143"/>
        <v>345000</v>
      </c>
      <c r="K8330" s="63">
        <f t="shared" si="5144"/>
        <v>0.35751295336787564</v>
      </c>
      <c r="L8330" s="1212" t="s">
        <v>4489</v>
      </c>
      <c r="M8330" s="468"/>
      <c r="N8330" s="1192">
        <f t="shared" si="5145"/>
        <v>45964</v>
      </c>
      <c r="O8330" s="71" t="s">
        <v>2030</v>
      </c>
      <c r="P8330" s="103" t="str">
        <f t="shared" si="5134"/>
        <v>Fount Web 551AF</v>
      </c>
      <c r="Q8330" s="71">
        <f t="shared" si="5135"/>
        <v>5</v>
      </c>
      <c r="R8330" s="102">
        <v>124000</v>
      </c>
      <c r="S8330" s="102">
        <f t="shared" si="5083"/>
        <v>682000</v>
      </c>
      <c r="T8330" s="102">
        <f t="shared" si="5084"/>
        <v>620000</v>
      </c>
      <c r="U8330" s="71"/>
      <c r="V8330" s="71"/>
      <c r="W8330" s="474">
        <v>640000</v>
      </c>
      <c r="X8330" s="71"/>
      <c r="Y8330" s="71"/>
    </row>
    <row r="8331" spans="1:25" ht="30" hidden="1" customHeight="1" x14ac:dyDescent="0.25">
      <c r="A8331" s="1145">
        <v>45964</v>
      </c>
      <c r="B8331" s="664" t="s">
        <v>2261</v>
      </c>
      <c r="C8331" s="71" t="s">
        <v>277</v>
      </c>
      <c r="D8331" s="71">
        <v>5</v>
      </c>
      <c r="E8331" s="102">
        <v>172000</v>
      </c>
      <c r="F8331" s="102">
        <f t="shared" si="5129"/>
        <v>946000.00000000012</v>
      </c>
      <c r="G8331" s="102">
        <f t="shared" si="5130"/>
        <v>860000</v>
      </c>
      <c r="H8331" s="690" t="s">
        <v>172</v>
      </c>
      <c r="I8331" s="71" t="s">
        <v>108</v>
      </c>
      <c r="J8331" s="53">
        <f t="shared" si="5143"/>
        <v>215000</v>
      </c>
      <c r="K8331" s="63">
        <f t="shared" si="5144"/>
        <v>0.24999999999999997</v>
      </c>
      <c r="L8331" s="1212" t="s">
        <v>4489</v>
      </c>
      <c r="M8331" s="468"/>
      <c r="N8331" s="1192">
        <f t="shared" si="5145"/>
        <v>45964</v>
      </c>
      <c r="O8331" s="71" t="s">
        <v>662</v>
      </c>
      <c r="P8331" s="103" t="str">
        <f t="shared" si="5134"/>
        <v>윤전용 세척제(Web 504)</v>
      </c>
      <c r="Q8331" s="71">
        <f t="shared" si="5135"/>
        <v>5</v>
      </c>
      <c r="R8331" s="102">
        <v>129000</v>
      </c>
      <c r="S8331" s="102">
        <f t="shared" si="5083"/>
        <v>709500</v>
      </c>
      <c r="T8331" s="102">
        <f t="shared" si="5084"/>
        <v>645000</v>
      </c>
      <c r="U8331" s="71"/>
      <c r="V8331" s="71"/>
      <c r="W8331" s="474"/>
      <c r="X8331" s="71"/>
      <c r="Y8331" s="71"/>
    </row>
    <row r="8332" spans="1:25" ht="30" hidden="1" customHeight="1" x14ac:dyDescent="0.25">
      <c r="A8332" s="1145">
        <v>45964</v>
      </c>
      <c r="B8332" s="664" t="s">
        <v>2261</v>
      </c>
      <c r="C8332" s="71" t="s">
        <v>3299</v>
      </c>
      <c r="D8332" s="71">
        <v>10</v>
      </c>
      <c r="E8332" s="102">
        <v>52000</v>
      </c>
      <c r="F8332" s="102">
        <f t="shared" si="5129"/>
        <v>572000</v>
      </c>
      <c r="G8332" s="102">
        <f t="shared" si="5130"/>
        <v>520000</v>
      </c>
      <c r="H8332" s="690" t="s">
        <v>172</v>
      </c>
      <c r="I8332" s="71" t="s">
        <v>180</v>
      </c>
      <c r="J8332" s="53">
        <f t="shared" si="5143"/>
        <v>45000</v>
      </c>
      <c r="K8332" s="63">
        <f t="shared" si="5144"/>
        <v>8.6538461538461536E-2</v>
      </c>
      <c r="L8332" s="1212" t="s">
        <v>4489</v>
      </c>
      <c r="M8332" s="468" t="s">
        <v>3835</v>
      </c>
      <c r="N8332" s="1192">
        <f t="shared" si="5145"/>
        <v>45964</v>
      </c>
      <c r="O8332" s="71" t="s">
        <v>175</v>
      </c>
      <c r="P8332" s="103" t="str">
        <f t="shared" si="5134"/>
        <v>매엽용 세척제(Wash k11)</v>
      </c>
      <c r="Q8332" s="71">
        <f t="shared" si="5135"/>
        <v>10</v>
      </c>
      <c r="R8332" s="102">
        <v>47500</v>
      </c>
      <c r="S8332" s="102">
        <f t="shared" si="5083"/>
        <v>522500.00000000006</v>
      </c>
      <c r="T8332" s="102">
        <f t="shared" si="5084"/>
        <v>475000</v>
      </c>
      <c r="U8332" s="71"/>
      <c r="V8332" s="71"/>
      <c r="W8332" s="474"/>
      <c r="X8332" s="71"/>
      <c r="Y8332" s="71"/>
    </row>
    <row r="8333" spans="1:25" ht="30" hidden="1" customHeight="1" x14ac:dyDescent="0.25">
      <c r="A8333" s="1145">
        <v>45971</v>
      </c>
      <c r="B8333" s="664" t="s">
        <v>2261</v>
      </c>
      <c r="C8333" s="760" t="s">
        <v>181</v>
      </c>
      <c r="D8333" s="71">
        <v>5</v>
      </c>
      <c r="E8333" s="102">
        <v>193000</v>
      </c>
      <c r="F8333" s="102">
        <f t="shared" si="5129"/>
        <v>1061500</v>
      </c>
      <c r="G8333" s="102">
        <f t="shared" si="5130"/>
        <v>965000</v>
      </c>
      <c r="H8333" s="690" t="s">
        <v>2029</v>
      </c>
      <c r="I8333" s="71" t="s">
        <v>182</v>
      </c>
      <c r="J8333" s="53">
        <f t="shared" si="5143"/>
        <v>345000</v>
      </c>
      <c r="K8333" s="63">
        <f t="shared" si="5144"/>
        <v>0.35751295336787564</v>
      </c>
      <c r="L8333" s="1212" t="s">
        <v>4489</v>
      </c>
      <c r="M8333" s="468"/>
      <c r="N8333" s="1192">
        <f t="shared" si="5145"/>
        <v>45971</v>
      </c>
      <c r="O8333" s="71" t="s">
        <v>2030</v>
      </c>
      <c r="P8333" s="103" t="str">
        <f t="shared" si="5134"/>
        <v>Fount Web 551AF</v>
      </c>
      <c r="Q8333" s="71">
        <f t="shared" si="5135"/>
        <v>5</v>
      </c>
      <c r="R8333" s="102">
        <v>124000</v>
      </c>
      <c r="S8333" s="102">
        <f t="shared" si="5083"/>
        <v>682000</v>
      </c>
      <c r="T8333" s="102">
        <f t="shared" si="5084"/>
        <v>620000</v>
      </c>
      <c r="U8333" s="71"/>
      <c r="V8333" s="71"/>
      <c r="W8333" s="474">
        <v>640000</v>
      </c>
      <c r="X8333" s="71"/>
      <c r="Y8333" s="71"/>
    </row>
    <row r="8334" spans="1:25" ht="30" hidden="1" customHeight="1" x14ac:dyDescent="0.25">
      <c r="A8334" s="1145">
        <v>45971</v>
      </c>
      <c r="B8334" s="664" t="s">
        <v>2261</v>
      </c>
      <c r="C8334" s="71" t="s">
        <v>277</v>
      </c>
      <c r="D8334" s="71">
        <v>5</v>
      </c>
      <c r="E8334" s="102">
        <v>172000</v>
      </c>
      <c r="F8334" s="102">
        <f t="shared" si="5129"/>
        <v>946000.00000000012</v>
      </c>
      <c r="G8334" s="102">
        <f t="shared" si="5130"/>
        <v>860000</v>
      </c>
      <c r="H8334" s="690" t="s">
        <v>172</v>
      </c>
      <c r="I8334" s="71" t="s">
        <v>108</v>
      </c>
      <c r="J8334" s="53">
        <f t="shared" si="5143"/>
        <v>215000</v>
      </c>
      <c r="K8334" s="63">
        <f t="shared" si="5144"/>
        <v>0.24999999999999997</v>
      </c>
      <c r="L8334" s="1212" t="s">
        <v>4489</v>
      </c>
      <c r="M8334" s="468"/>
      <c r="N8334" s="1192">
        <f t="shared" si="5145"/>
        <v>45971</v>
      </c>
      <c r="O8334" s="71" t="s">
        <v>662</v>
      </c>
      <c r="P8334" s="103" t="str">
        <f t="shared" si="5134"/>
        <v>윤전용 세척제(Web 504)</v>
      </c>
      <c r="Q8334" s="71">
        <f t="shared" si="5135"/>
        <v>5</v>
      </c>
      <c r="R8334" s="102">
        <v>129000</v>
      </c>
      <c r="S8334" s="102">
        <f t="shared" si="5083"/>
        <v>709500</v>
      </c>
      <c r="T8334" s="102">
        <f t="shared" si="5084"/>
        <v>645000</v>
      </c>
      <c r="U8334" s="71"/>
      <c r="V8334" s="71"/>
      <c r="W8334" s="474"/>
      <c r="X8334" s="71"/>
      <c r="Y8334" s="71"/>
    </row>
    <row r="8335" spans="1:25" ht="30" hidden="1" customHeight="1" x14ac:dyDescent="0.25">
      <c r="A8335" s="1145">
        <v>45971</v>
      </c>
      <c r="B8335" s="664" t="s">
        <v>2261</v>
      </c>
      <c r="C8335" s="71" t="s">
        <v>3299</v>
      </c>
      <c r="D8335" s="71">
        <v>10</v>
      </c>
      <c r="E8335" s="102">
        <v>52000</v>
      </c>
      <c r="F8335" s="102">
        <f t="shared" si="5129"/>
        <v>572000</v>
      </c>
      <c r="G8335" s="102">
        <f t="shared" si="5130"/>
        <v>520000</v>
      </c>
      <c r="H8335" s="690" t="s">
        <v>172</v>
      </c>
      <c r="I8335" s="71" t="s">
        <v>180</v>
      </c>
      <c r="J8335" s="53">
        <f t="shared" si="5143"/>
        <v>45000</v>
      </c>
      <c r="K8335" s="63">
        <f t="shared" si="5144"/>
        <v>8.6538461538461536E-2</v>
      </c>
      <c r="L8335" s="1212" t="s">
        <v>4489</v>
      </c>
      <c r="M8335" s="468" t="s">
        <v>3835</v>
      </c>
      <c r="N8335" s="1192">
        <f t="shared" si="5145"/>
        <v>45971</v>
      </c>
      <c r="O8335" s="71" t="s">
        <v>175</v>
      </c>
      <c r="P8335" s="103" t="str">
        <f t="shared" si="5134"/>
        <v>매엽용 세척제(Wash k11)</v>
      </c>
      <c r="Q8335" s="71">
        <f t="shared" si="5135"/>
        <v>10</v>
      </c>
      <c r="R8335" s="102">
        <v>47500</v>
      </c>
      <c r="S8335" s="102">
        <f t="shared" si="5083"/>
        <v>522500.00000000006</v>
      </c>
      <c r="T8335" s="102">
        <f t="shared" si="5084"/>
        <v>475000</v>
      </c>
      <c r="U8335" s="71"/>
      <c r="V8335" s="71"/>
      <c r="W8335" s="474"/>
      <c r="X8335" s="71"/>
      <c r="Y8335" s="71"/>
    </row>
    <row r="8336" spans="1:25" ht="30" hidden="1" customHeight="1" x14ac:dyDescent="0.25">
      <c r="A8336" s="1145">
        <v>45978</v>
      </c>
      <c r="B8336" s="664" t="s">
        <v>2261</v>
      </c>
      <c r="C8336" s="760" t="s">
        <v>181</v>
      </c>
      <c r="D8336" s="71">
        <v>10</v>
      </c>
      <c r="E8336" s="102">
        <v>193000</v>
      </c>
      <c r="F8336" s="102">
        <f t="shared" ref="F8336:F8339" si="5146">(E8336*D8336)*1.1</f>
        <v>2123000</v>
      </c>
      <c r="G8336" s="102">
        <f t="shared" ref="G8336:G8339" si="5147">(E8336*D8336)</f>
        <v>1930000</v>
      </c>
      <c r="H8336" s="690" t="s">
        <v>2029</v>
      </c>
      <c r="I8336" s="71" t="s">
        <v>182</v>
      </c>
      <c r="J8336" s="53">
        <f t="shared" ref="J8336:J8339" si="5148">G8336-T8336</f>
        <v>690000</v>
      </c>
      <c r="K8336" s="63">
        <f t="shared" ref="K8336:K8339" si="5149">(J8336/(F8336/11*10))</f>
        <v>0.35751295336787564</v>
      </c>
      <c r="L8336" s="1212" t="s">
        <v>4489</v>
      </c>
      <c r="M8336" s="468"/>
      <c r="N8336" s="1192">
        <f t="shared" ref="N8336:N8339" si="5150">A8336</f>
        <v>45978</v>
      </c>
      <c r="O8336" s="71" t="s">
        <v>2030</v>
      </c>
      <c r="P8336" s="103" t="str">
        <f t="shared" ref="P8336:P8339" si="5151">(C8336)</f>
        <v>Fount Web 551AF</v>
      </c>
      <c r="Q8336" s="71">
        <f t="shared" ref="Q8336:Q8339" si="5152">D8336</f>
        <v>10</v>
      </c>
      <c r="R8336" s="102">
        <v>124000</v>
      </c>
      <c r="S8336" s="102">
        <f t="shared" ref="S8336:S8339" si="5153">R8336*Q8336*1.1</f>
        <v>1364000</v>
      </c>
      <c r="T8336" s="102">
        <f t="shared" ref="T8336:T8339" si="5154">R8336*Q8336</f>
        <v>1240000</v>
      </c>
      <c r="U8336" s="71"/>
      <c r="V8336" s="71"/>
      <c r="W8336" s="474">
        <v>640000</v>
      </c>
      <c r="X8336" s="71"/>
      <c r="Y8336" s="71"/>
    </row>
    <row r="8337" spans="1:25" ht="30" hidden="1" customHeight="1" x14ac:dyDescent="0.25">
      <c r="A8337" s="1145">
        <v>45978</v>
      </c>
      <c r="B8337" s="664" t="s">
        <v>2261</v>
      </c>
      <c r="C8337" s="71" t="s">
        <v>277</v>
      </c>
      <c r="D8337" s="71">
        <v>5</v>
      </c>
      <c r="E8337" s="102">
        <v>172000</v>
      </c>
      <c r="F8337" s="102">
        <f t="shared" si="5146"/>
        <v>946000.00000000012</v>
      </c>
      <c r="G8337" s="102">
        <f t="shared" si="5147"/>
        <v>860000</v>
      </c>
      <c r="H8337" s="690" t="s">
        <v>172</v>
      </c>
      <c r="I8337" s="71" t="s">
        <v>108</v>
      </c>
      <c r="J8337" s="53">
        <f t="shared" si="5148"/>
        <v>215000</v>
      </c>
      <c r="K8337" s="63">
        <f t="shared" si="5149"/>
        <v>0.24999999999999997</v>
      </c>
      <c r="L8337" s="1212" t="s">
        <v>4489</v>
      </c>
      <c r="M8337" s="468"/>
      <c r="N8337" s="1192">
        <f t="shared" si="5150"/>
        <v>45978</v>
      </c>
      <c r="O8337" s="71" t="s">
        <v>662</v>
      </c>
      <c r="P8337" s="103" t="str">
        <f t="shared" si="5151"/>
        <v>윤전용 세척제(Web 504)</v>
      </c>
      <c r="Q8337" s="71">
        <f t="shared" si="5152"/>
        <v>5</v>
      </c>
      <c r="R8337" s="102">
        <v>129000</v>
      </c>
      <c r="S8337" s="102">
        <f t="shared" si="5153"/>
        <v>709500</v>
      </c>
      <c r="T8337" s="102">
        <f t="shared" si="5154"/>
        <v>645000</v>
      </c>
      <c r="U8337" s="71"/>
      <c r="V8337" s="71"/>
      <c r="W8337" s="474"/>
      <c r="X8337" s="71"/>
      <c r="Y8337" s="71"/>
    </row>
    <row r="8338" spans="1:25" ht="30" hidden="1" customHeight="1" x14ac:dyDescent="0.25">
      <c r="A8338" s="1145">
        <v>45978</v>
      </c>
      <c r="B8338" s="664" t="s">
        <v>2261</v>
      </c>
      <c r="C8338" s="71" t="s">
        <v>3299</v>
      </c>
      <c r="D8338" s="71">
        <v>10</v>
      </c>
      <c r="E8338" s="102">
        <v>52000</v>
      </c>
      <c r="F8338" s="102">
        <f t="shared" si="5146"/>
        <v>572000</v>
      </c>
      <c r="G8338" s="102">
        <f t="shared" si="5147"/>
        <v>520000</v>
      </c>
      <c r="H8338" s="690" t="s">
        <v>172</v>
      </c>
      <c r="I8338" s="71" t="s">
        <v>180</v>
      </c>
      <c r="J8338" s="53">
        <f t="shared" si="5148"/>
        <v>45000</v>
      </c>
      <c r="K8338" s="63">
        <f t="shared" si="5149"/>
        <v>8.6538461538461536E-2</v>
      </c>
      <c r="L8338" s="1212" t="s">
        <v>4489</v>
      </c>
      <c r="M8338" s="468" t="s">
        <v>3835</v>
      </c>
      <c r="N8338" s="1192">
        <f t="shared" si="5150"/>
        <v>45978</v>
      </c>
      <c r="O8338" s="71" t="s">
        <v>175</v>
      </c>
      <c r="P8338" s="103" t="str">
        <f t="shared" si="5151"/>
        <v>매엽용 세척제(Wash k11)</v>
      </c>
      <c r="Q8338" s="71">
        <f t="shared" si="5152"/>
        <v>10</v>
      </c>
      <c r="R8338" s="102">
        <v>47500</v>
      </c>
      <c r="S8338" s="102">
        <f t="shared" si="5153"/>
        <v>522500.00000000006</v>
      </c>
      <c r="T8338" s="102">
        <f t="shared" si="5154"/>
        <v>475000</v>
      </c>
      <c r="U8338" s="71"/>
      <c r="V8338" s="71"/>
      <c r="W8338" s="474"/>
      <c r="X8338" s="71"/>
      <c r="Y8338" s="71"/>
    </row>
    <row r="8339" spans="1:25" s="209" customFormat="1" ht="31.15" hidden="1" customHeight="1" x14ac:dyDescent="0.2">
      <c r="A8339" s="1145">
        <v>45978</v>
      </c>
      <c r="B8339" s="664" t="s">
        <v>3289</v>
      </c>
      <c r="C8339" s="71" t="s">
        <v>3387</v>
      </c>
      <c r="D8339" s="71">
        <v>10</v>
      </c>
      <c r="E8339" s="102">
        <v>130000</v>
      </c>
      <c r="F8339" s="102">
        <f t="shared" si="5146"/>
        <v>1430000</v>
      </c>
      <c r="G8339" s="102">
        <f t="shared" si="5147"/>
        <v>1300000</v>
      </c>
      <c r="H8339" s="165" t="s">
        <v>172</v>
      </c>
      <c r="I8339" s="71" t="s">
        <v>184</v>
      </c>
      <c r="J8339" s="53">
        <f t="shared" si="5148"/>
        <v>180000</v>
      </c>
      <c r="K8339" s="63">
        <f t="shared" si="5149"/>
        <v>0.13846153846153847</v>
      </c>
      <c r="L8339" s="1212" t="s">
        <v>4489</v>
      </c>
      <c r="M8339" s="468"/>
      <c r="N8339" s="1192">
        <f t="shared" si="5150"/>
        <v>45978</v>
      </c>
      <c r="O8339" s="71" t="s">
        <v>189</v>
      </c>
      <c r="P8339" s="103" t="str">
        <f t="shared" si="5151"/>
        <v>Blanket(990*725)</v>
      </c>
      <c r="Q8339" s="71">
        <f t="shared" si="5152"/>
        <v>10</v>
      </c>
      <c r="R8339" s="102">
        <v>112000</v>
      </c>
      <c r="S8339" s="102">
        <f t="shared" si="5153"/>
        <v>1232000</v>
      </c>
      <c r="T8339" s="102">
        <f t="shared" si="5154"/>
        <v>1120000</v>
      </c>
      <c r="U8339" s="71"/>
      <c r="V8339" s="71"/>
      <c r="W8339" s="474">
        <v>80000</v>
      </c>
      <c r="X8339" s="71"/>
      <c r="Y8339" s="71"/>
    </row>
    <row r="8340" spans="1:25" ht="30" hidden="1" customHeight="1" x14ac:dyDescent="0.25">
      <c r="A8340" s="1145">
        <v>45981</v>
      </c>
      <c r="B8340" s="664" t="s">
        <v>2261</v>
      </c>
      <c r="C8340" s="71" t="s">
        <v>3299</v>
      </c>
      <c r="D8340" s="71">
        <v>10</v>
      </c>
      <c r="E8340" s="102">
        <v>52000</v>
      </c>
      <c r="F8340" s="102">
        <f t="shared" ref="F8340" si="5155">(E8340*D8340)*1.1</f>
        <v>572000</v>
      </c>
      <c r="G8340" s="102">
        <f t="shared" ref="G8340" si="5156">(E8340*D8340)</f>
        <v>520000</v>
      </c>
      <c r="H8340" s="690" t="s">
        <v>172</v>
      </c>
      <c r="I8340" s="71" t="s">
        <v>180</v>
      </c>
      <c r="J8340" s="53">
        <f t="shared" ref="J8340" si="5157">G8340-T8340</f>
        <v>45000</v>
      </c>
      <c r="K8340" s="63">
        <f t="shared" ref="K8340" si="5158">(J8340/(F8340/11*10))</f>
        <v>8.6538461538461536E-2</v>
      </c>
      <c r="L8340" s="1212" t="s">
        <v>4489</v>
      </c>
      <c r="M8340" s="468" t="s">
        <v>3835</v>
      </c>
      <c r="N8340" s="1192">
        <f t="shared" ref="N8340" si="5159">A8340</f>
        <v>45981</v>
      </c>
      <c r="O8340" s="71" t="s">
        <v>175</v>
      </c>
      <c r="P8340" s="103" t="str">
        <f t="shared" ref="P8340" si="5160">(C8340)</f>
        <v>매엽용 세척제(Wash k11)</v>
      </c>
      <c r="Q8340" s="71">
        <f t="shared" ref="Q8340" si="5161">D8340</f>
        <v>10</v>
      </c>
      <c r="R8340" s="102">
        <v>47500</v>
      </c>
      <c r="S8340" s="102">
        <f t="shared" si="5083"/>
        <v>522500.00000000006</v>
      </c>
      <c r="T8340" s="102">
        <f t="shared" si="5084"/>
        <v>475000</v>
      </c>
      <c r="U8340" s="71"/>
      <c r="V8340" s="71"/>
      <c r="W8340" s="474"/>
      <c r="X8340" s="71"/>
      <c r="Y8340" s="71"/>
    </row>
    <row r="8341" spans="1:25" ht="30" hidden="1" customHeight="1" x14ac:dyDescent="0.25">
      <c r="A8341" s="1145">
        <v>45987</v>
      </c>
      <c r="B8341" s="664" t="s">
        <v>2261</v>
      </c>
      <c r="C8341" s="760" t="s">
        <v>181</v>
      </c>
      <c r="D8341" s="71">
        <v>5</v>
      </c>
      <c r="E8341" s="102">
        <v>193000</v>
      </c>
      <c r="F8341" s="102">
        <f t="shared" ref="F8341:F8345" si="5162">(E8341*D8341)*1.1</f>
        <v>1061500</v>
      </c>
      <c r="G8341" s="102">
        <f t="shared" ref="G8341:G8345" si="5163">(E8341*D8341)</f>
        <v>965000</v>
      </c>
      <c r="H8341" s="690" t="s">
        <v>2029</v>
      </c>
      <c r="I8341" s="71" t="s">
        <v>182</v>
      </c>
      <c r="J8341" s="53">
        <f t="shared" ref="J8341:J8345" si="5164">G8341-T8341</f>
        <v>345000</v>
      </c>
      <c r="K8341" s="63">
        <f t="shared" ref="K8341:K8345" si="5165">(J8341/(F8341/11*10))</f>
        <v>0.35751295336787564</v>
      </c>
      <c r="L8341" s="1212" t="s">
        <v>4489</v>
      </c>
      <c r="M8341" s="468"/>
      <c r="N8341" s="1192">
        <f t="shared" ref="N8341:N8345" si="5166">A8341</f>
        <v>45987</v>
      </c>
      <c r="O8341" s="71" t="s">
        <v>2030</v>
      </c>
      <c r="P8341" s="103" t="str">
        <f t="shared" ref="P8341:P8345" si="5167">(C8341)</f>
        <v>Fount Web 551AF</v>
      </c>
      <c r="Q8341" s="71">
        <f t="shared" ref="Q8341:Q8345" si="5168">D8341</f>
        <v>5</v>
      </c>
      <c r="R8341" s="102">
        <v>124000</v>
      </c>
      <c r="S8341" s="102">
        <f t="shared" si="5083"/>
        <v>682000</v>
      </c>
      <c r="T8341" s="102">
        <f t="shared" si="5084"/>
        <v>620000</v>
      </c>
      <c r="U8341" s="71"/>
      <c r="V8341" s="71"/>
      <c r="W8341" s="474">
        <v>640000</v>
      </c>
      <c r="X8341" s="71"/>
      <c r="Y8341" s="71"/>
    </row>
    <row r="8342" spans="1:25" ht="30" hidden="1" customHeight="1" x14ac:dyDescent="0.25">
      <c r="A8342" s="1145">
        <v>45987</v>
      </c>
      <c r="B8342" s="664" t="s">
        <v>2261</v>
      </c>
      <c r="C8342" s="71" t="s">
        <v>277</v>
      </c>
      <c r="D8342" s="71">
        <v>10</v>
      </c>
      <c r="E8342" s="102">
        <v>172000</v>
      </c>
      <c r="F8342" s="102">
        <f t="shared" si="5162"/>
        <v>1892000.0000000002</v>
      </c>
      <c r="G8342" s="102">
        <f t="shared" si="5163"/>
        <v>1720000</v>
      </c>
      <c r="H8342" s="690" t="s">
        <v>172</v>
      </c>
      <c r="I8342" s="71" t="s">
        <v>108</v>
      </c>
      <c r="J8342" s="53">
        <f t="shared" si="5164"/>
        <v>430000</v>
      </c>
      <c r="K8342" s="63">
        <f t="shared" si="5165"/>
        <v>0.24999999999999997</v>
      </c>
      <c r="L8342" s="1212" t="s">
        <v>4489</v>
      </c>
      <c r="M8342" s="468"/>
      <c r="N8342" s="1192">
        <f t="shared" si="5166"/>
        <v>45987</v>
      </c>
      <c r="O8342" s="71" t="s">
        <v>662</v>
      </c>
      <c r="P8342" s="103" t="str">
        <f t="shared" si="5167"/>
        <v>윤전용 세척제(Web 504)</v>
      </c>
      <c r="Q8342" s="71">
        <f t="shared" si="5168"/>
        <v>10</v>
      </c>
      <c r="R8342" s="102">
        <v>129000</v>
      </c>
      <c r="S8342" s="102">
        <f t="shared" si="5083"/>
        <v>1419000</v>
      </c>
      <c r="T8342" s="102">
        <f t="shared" si="5084"/>
        <v>1290000</v>
      </c>
      <c r="U8342" s="71"/>
      <c r="V8342" s="71"/>
      <c r="W8342" s="474"/>
      <c r="X8342" s="71"/>
      <c r="Y8342" s="71"/>
    </row>
    <row r="8343" spans="1:25" ht="30" hidden="1" customHeight="1" x14ac:dyDescent="0.25">
      <c r="A8343" s="1145">
        <v>45987</v>
      </c>
      <c r="B8343" s="664" t="s">
        <v>2261</v>
      </c>
      <c r="C8343" s="71" t="s">
        <v>3299</v>
      </c>
      <c r="D8343" s="71">
        <v>10</v>
      </c>
      <c r="E8343" s="102">
        <v>52000</v>
      </c>
      <c r="F8343" s="102">
        <f t="shared" si="5162"/>
        <v>572000</v>
      </c>
      <c r="G8343" s="102">
        <f t="shared" si="5163"/>
        <v>520000</v>
      </c>
      <c r="H8343" s="690" t="s">
        <v>172</v>
      </c>
      <c r="I8343" s="71" t="s">
        <v>180</v>
      </c>
      <c r="J8343" s="53">
        <f t="shared" si="5164"/>
        <v>45000</v>
      </c>
      <c r="K8343" s="63">
        <f t="shared" si="5165"/>
        <v>8.6538461538461536E-2</v>
      </c>
      <c r="L8343" s="1212" t="s">
        <v>4489</v>
      </c>
      <c r="M8343" s="468" t="s">
        <v>3835</v>
      </c>
      <c r="N8343" s="1192">
        <f t="shared" si="5166"/>
        <v>45987</v>
      </c>
      <c r="O8343" s="71" t="s">
        <v>175</v>
      </c>
      <c r="P8343" s="103" t="str">
        <f t="shared" si="5167"/>
        <v>매엽용 세척제(Wash k11)</v>
      </c>
      <c r="Q8343" s="71">
        <f t="shared" si="5168"/>
        <v>10</v>
      </c>
      <c r="R8343" s="102">
        <v>47500</v>
      </c>
      <c r="S8343" s="102">
        <f t="shared" si="5083"/>
        <v>522500.00000000006</v>
      </c>
      <c r="T8343" s="102">
        <f t="shared" si="5084"/>
        <v>475000</v>
      </c>
      <c r="U8343" s="71"/>
      <c r="V8343" s="71"/>
      <c r="W8343" s="474"/>
      <c r="X8343" s="71"/>
      <c r="Y8343" s="71"/>
    </row>
    <row r="8344" spans="1:25" ht="30" hidden="1" customHeight="1" x14ac:dyDescent="0.25">
      <c r="A8344" s="1145">
        <v>45986</v>
      </c>
      <c r="B8344" s="664" t="s">
        <v>1178</v>
      </c>
      <c r="C8344" s="71" t="s">
        <v>984</v>
      </c>
      <c r="D8344" s="71">
        <v>1</v>
      </c>
      <c r="E8344" s="102">
        <v>1740000</v>
      </c>
      <c r="F8344" s="102">
        <f t="shared" si="5162"/>
        <v>1914000.0000000002</v>
      </c>
      <c r="G8344" s="102">
        <f t="shared" si="5163"/>
        <v>1740000</v>
      </c>
      <c r="H8344" s="690" t="s">
        <v>4497</v>
      </c>
      <c r="I8344" s="71" t="s">
        <v>142</v>
      </c>
      <c r="J8344" s="53">
        <f t="shared" si="5164"/>
        <v>532500</v>
      </c>
      <c r="K8344" s="63">
        <f t="shared" si="5165"/>
        <v>0.30603448275862066</v>
      </c>
      <c r="L8344" s="1212" t="s">
        <v>4489</v>
      </c>
      <c r="M8344" s="102"/>
      <c r="N8344" s="1192">
        <f t="shared" si="5166"/>
        <v>45986</v>
      </c>
      <c r="O8344" s="71" t="s">
        <v>4494</v>
      </c>
      <c r="P8344" s="103" t="str">
        <f t="shared" si="5167"/>
        <v>CTP 현상액</v>
      </c>
      <c r="Q8344" s="71">
        <f t="shared" si="5168"/>
        <v>1</v>
      </c>
      <c r="R8344" s="102">
        <f>40250*30</f>
        <v>1207500</v>
      </c>
      <c r="S8344" s="102">
        <f t="shared" ref="S8344:S8407" si="5169">R8344*Q8344*1.1</f>
        <v>1328250</v>
      </c>
      <c r="T8344" s="102">
        <f t="shared" ref="T8344:T8407" si="5170">R8344*Q8344</f>
        <v>1207500</v>
      </c>
      <c r="U8344" s="71"/>
      <c r="V8344" s="71"/>
      <c r="W8344" s="474"/>
      <c r="X8344" s="71"/>
      <c r="Y8344" s="71"/>
    </row>
    <row r="8345" spans="1:25" ht="30" hidden="1" customHeight="1" x14ac:dyDescent="0.25">
      <c r="A8345" s="1145">
        <v>45986</v>
      </c>
      <c r="B8345" s="664" t="s">
        <v>1178</v>
      </c>
      <c r="C8345" s="71" t="s">
        <v>4495</v>
      </c>
      <c r="D8345" s="71">
        <v>1</v>
      </c>
      <c r="E8345" s="102">
        <v>2100000</v>
      </c>
      <c r="F8345" s="102">
        <f t="shared" si="5162"/>
        <v>2310000</v>
      </c>
      <c r="G8345" s="102">
        <f t="shared" si="5163"/>
        <v>2100000</v>
      </c>
      <c r="H8345" s="690" t="s">
        <v>1431</v>
      </c>
      <c r="I8345" s="71" t="s">
        <v>1431</v>
      </c>
      <c r="J8345" s="53">
        <f t="shared" si="5164"/>
        <v>438000</v>
      </c>
      <c r="K8345" s="63">
        <f t="shared" si="5165"/>
        <v>0.20857142857142857</v>
      </c>
      <c r="L8345" s="1212" t="s">
        <v>4489</v>
      </c>
      <c r="M8345" s="468"/>
      <c r="N8345" s="1192">
        <f t="shared" si="5166"/>
        <v>45986</v>
      </c>
      <c r="O8345" s="71" t="s">
        <v>1130</v>
      </c>
      <c r="P8345" s="103" t="str">
        <f t="shared" si="5167"/>
        <v>휠기어축제작</v>
      </c>
      <c r="Q8345" s="71">
        <f t="shared" si="5168"/>
        <v>1</v>
      </c>
      <c r="R8345" s="147">
        <v>1662000</v>
      </c>
      <c r="S8345" s="102">
        <f t="shared" si="5169"/>
        <v>1828200.0000000002</v>
      </c>
      <c r="T8345" s="102">
        <f t="shared" si="5170"/>
        <v>1662000</v>
      </c>
      <c r="U8345" s="71"/>
      <c r="V8345" s="71"/>
      <c r="W8345" s="474"/>
      <c r="X8345" s="71"/>
      <c r="Y8345" s="71"/>
    </row>
    <row r="8346" spans="1:25" ht="30" hidden="1" customHeight="1" x14ac:dyDescent="0.25">
      <c r="A8346" s="1145"/>
      <c r="B8346" s="664"/>
      <c r="C8346" s="71"/>
      <c r="D8346" s="71"/>
      <c r="E8346" s="102"/>
      <c r="F8346" s="102"/>
      <c r="G8346" s="102"/>
      <c r="H8346" s="690"/>
      <c r="I8346" s="71"/>
      <c r="J8346" s="53"/>
      <c r="K8346" s="63"/>
      <c r="L8346" s="1212"/>
      <c r="M8346" s="102"/>
      <c r="N8346" s="1192"/>
      <c r="O8346" s="71"/>
      <c r="P8346" s="103"/>
      <c r="Q8346" s="71"/>
      <c r="R8346" s="102"/>
      <c r="S8346" s="102">
        <f t="shared" si="5169"/>
        <v>0</v>
      </c>
      <c r="T8346" s="102">
        <f t="shared" si="5170"/>
        <v>0</v>
      </c>
      <c r="U8346" s="71"/>
      <c r="V8346" s="71"/>
      <c r="W8346" s="474"/>
      <c r="X8346" s="71"/>
      <c r="Y8346" s="71"/>
    </row>
    <row r="8347" spans="1:25" ht="30" hidden="1" customHeight="1" x14ac:dyDescent="0.25">
      <c r="A8347" s="1145"/>
      <c r="B8347" s="664"/>
      <c r="C8347" s="71"/>
      <c r="D8347" s="71"/>
      <c r="E8347" s="102"/>
      <c r="F8347" s="102"/>
      <c r="G8347" s="102"/>
      <c r="H8347" s="690"/>
      <c r="I8347" s="71"/>
      <c r="J8347" s="53"/>
      <c r="K8347" s="63"/>
      <c r="L8347" s="1212"/>
      <c r="M8347" s="468"/>
      <c r="N8347" s="1192"/>
      <c r="O8347" s="71"/>
      <c r="P8347" s="103"/>
      <c r="Q8347" s="71"/>
      <c r="R8347" s="147"/>
      <c r="S8347" s="102">
        <f t="shared" si="5169"/>
        <v>0</v>
      </c>
      <c r="T8347" s="102">
        <f t="shared" si="5170"/>
        <v>0</v>
      </c>
      <c r="U8347" s="71"/>
      <c r="V8347" s="71"/>
      <c r="W8347" s="474"/>
      <c r="X8347" s="71"/>
      <c r="Y8347" s="71"/>
    </row>
    <row r="8348" spans="1:25" ht="30" hidden="1" customHeight="1" x14ac:dyDescent="0.25">
      <c r="A8348" s="1145"/>
      <c r="B8348" s="664"/>
      <c r="C8348" s="71"/>
      <c r="D8348" s="71"/>
      <c r="E8348" s="102"/>
      <c r="F8348" s="102"/>
      <c r="G8348" s="102"/>
      <c r="H8348" s="690"/>
      <c r="I8348" s="71"/>
      <c r="J8348" s="53"/>
      <c r="K8348" s="63"/>
      <c r="L8348" s="1212"/>
      <c r="M8348" s="102"/>
      <c r="N8348" s="1192"/>
      <c r="O8348" s="71"/>
      <c r="P8348" s="103"/>
      <c r="Q8348" s="71"/>
      <c r="R8348" s="102"/>
      <c r="S8348" s="102">
        <f t="shared" si="5169"/>
        <v>0</v>
      </c>
      <c r="T8348" s="102">
        <f t="shared" si="5170"/>
        <v>0</v>
      </c>
      <c r="U8348" s="71"/>
      <c r="V8348" s="71"/>
      <c r="W8348" s="474"/>
      <c r="X8348" s="71"/>
      <c r="Y8348" s="71"/>
    </row>
    <row r="8349" spans="1:25" ht="30" hidden="1" customHeight="1" x14ac:dyDescent="0.25">
      <c r="A8349" s="1145"/>
      <c r="B8349" s="664"/>
      <c r="C8349" s="71"/>
      <c r="D8349" s="71"/>
      <c r="E8349" s="102"/>
      <c r="F8349" s="102"/>
      <c r="G8349" s="102"/>
      <c r="H8349" s="690"/>
      <c r="I8349" s="71"/>
      <c r="J8349" s="53"/>
      <c r="K8349" s="63"/>
      <c r="L8349" s="1212"/>
      <c r="M8349" s="468"/>
      <c r="N8349" s="1192"/>
      <c r="O8349" s="71"/>
      <c r="P8349" s="103"/>
      <c r="Q8349" s="71"/>
      <c r="R8349" s="147"/>
      <c r="S8349" s="102">
        <f t="shared" si="5169"/>
        <v>0</v>
      </c>
      <c r="T8349" s="102">
        <f t="shared" si="5170"/>
        <v>0</v>
      </c>
      <c r="U8349" s="71"/>
      <c r="V8349" s="71"/>
      <c r="W8349" s="474"/>
      <c r="X8349" s="71"/>
      <c r="Y8349" s="71"/>
    </row>
    <row r="8350" spans="1:25" ht="30" hidden="1" customHeight="1" x14ac:dyDescent="0.25">
      <c r="A8350" s="1145"/>
      <c r="B8350" s="664"/>
      <c r="C8350" s="71"/>
      <c r="D8350" s="71"/>
      <c r="E8350" s="102"/>
      <c r="F8350" s="102"/>
      <c r="G8350" s="102"/>
      <c r="H8350" s="690"/>
      <c r="I8350" s="71"/>
      <c r="J8350" s="53"/>
      <c r="K8350" s="63"/>
      <c r="L8350" s="1212"/>
      <c r="M8350" s="102"/>
      <c r="N8350" s="1192"/>
      <c r="O8350" s="71"/>
      <c r="P8350" s="103"/>
      <c r="Q8350" s="71"/>
      <c r="R8350" s="102"/>
      <c r="S8350" s="102">
        <f t="shared" si="5169"/>
        <v>0</v>
      </c>
      <c r="T8350" s="102">
        <f t="shared" si="5170"/>
        <v>0</v>
      </c>
      <c r="U8350" s="71"/>
      <c r="V8350" s="71"/>
      <c r="W8350" s="474"/>
      <c r="X8350" s="71"/>
      <c r="Y8350" s="71"/>
    </row>
    <row r="8351" spans="1:25" ht="30" hidden="1" customHeight="1" x14ac:dyDescent="0.25">
      <c r="A8351" s="1145"/>
      <c r="B8351" s="664"/>
      <c r="C8351" s="71"/>
      <c r="D8351" s="71"/>
      <c r="E8351" s="102"/>
      <c r="F8351" s="102"/>
      <c r="G8351" s="102"/>
      <c r="H8351" s="690"/>
      <c r="I8351" s="71"/>
      <c r="J8351" s="53"/>
      <c r="K8351" s="63"/>
      <c r="L8351" s="1212"/>
      <c r="M8351" s="102"/>
      <c r="N8351" s="1192"/>
      <c r="O8351" s="71"/>
      <c r="P8351" s="103"/>
      <c r="Q8351" s="71"/>
      <c r="R8351" s="102"/>
      <c r="S8351" s="102">
        <f t="shared" si="5169"/>
        <v>0</v>
      </c>
      <c r="T8351" s="102">
        <f t="shared" si="5170"/>
        <v>0</v>
      </c>
      <c r="U8351" s="71"/>
      <c r="V8351" s="71"/>
      <c r="W8351" s="474"/>
      <c r="X8351" s="71"/>
      <c r="Y8351" s="71"/>
    </row>
    <row r="8352" spans="1:25" ht="30" hidden="1" customHeight="1" x14ac:dyDescent="0.25">
      <c r="A8352" s="1145"/>
      <c r="B8352" s="664"/>
      <c r="C8352" s="71"/>
      <c r="D8352" s="71"/>
      <c r="E8352" s="102"/>
      <c r="F8352" s="102"/>
      <c r="G8352" s="102"/>
      <c r="H8352" s="690"/>
      <c r="I8352" s="71"/>
      <c r="J8352" s="53"/>
      <c r="K8352" s="63"/>
      <c r="L8352" s="1212"/>
      <c r="M8352" s="468"/>
      <c r="N8352" s="1192"/>
      <c r="O8352" s="71"/>
      <c r="P8352" s="103"/>
      <c r="Q8352" s="71"/>
      <c r="R8352" s="147"/>
      <c r="S8352" s="102">
        <f t="shared" si="5169"/>
        <v>0</v>
      </c>
      <c r="T8352" s="102">
        <f t="shared" si="5170"/>
        <v>0</v>
      </c>
      <c r="U8352" s="71"/>
      <c r="V8352" s="71"/>
      <c r="W8352" s="474"/>
      <c r="X8352" s="71"/>
      <c r="Y8352" s="71"/>
    </row>
    <row r="8353" spans="1:25" ht="30" hidden="1" customHeight="1" x14ac:dyDescent="0.25">
      <c r="A8353" s="1145"/>
      <c r="B8353" s="664"/>
      <c r="C8353" s="71"/>
      <c r="D8353" s="71"/>
      <c r="E8353" s="102"/>
      <c r="F8353" s="102"/>
      <c r="G8353" s="102"/>
      <c r="H8353" s="690"/>
      <c r="I8353" s="71"/>
      <c r="J8353" s="53"/>
      <c r="K8353" s="63"/>
      <c r="L8353" s="1212"/>
      <c r="M8353" s="102"/>
      <c r="N8353" s="1192"/>
      <c r="O8353" s="71"/>
      <c r="P8353" s="103"/>
      <c r="Q8353" s="71"/>
      <c r="R8353" s="102"/>
      <c r="S8353" s="102">
        <f t="shared" si="5169"/>
        <v>0</v>
      </c>
      <c r="T8353" s="102">
        <f t="shared" si="5170"/>
        <v>0</v>
      </c>
      <c r="U8353" s="71"/>
      <c r="V8353" s="71"/>
      <c r="W8353" s="474"/>
      <c r="X8353" s="71"/>
      <c r="Y8353" s="71"/>
    </row>
    <row r="8354" spans="1:25" ht="30" hidden="1" customHeight="1" x14ac:dyDescent="0.25">
      <c r="A8354" s="1145"/>
      <c r="B8354" s="664"/>
      <c r="C8354" s="71"/>
      <c r="D8354" s="71"/>
      <c r="E8354" s="102"/>
      <c r="F8354" s="102"/>
      <c r="G8354" s="102"/>
      <c r="H8354" s="690"/>
      <c r="I8354" s="71"/>
      <c r="J8354" s="53"/>
      <c r="K8354" s="63"/>
      <c r="L8354" s="1212"/>
      <c r="M8354" s="468"/>
      <c r="N8354" s="1192"/>
      <c r="O8354" s="71"/>
      <c r="P8354" s="103"/>
      <c r="Q8354" s="71"/>
      <c r="R8354" s="147"/>
      <c r="S8354" s="102">
        <f t="shared" si="5169"/>
        <v>0</v>
      </c>
      <c r="T8354" s="102">
        <f t="shared" si="5170"/>
        <v>0</v>
      </c>
      <c r="U8354" s="71"/>
      <c r="V8354" s="71"/>
      <c r="W8354" s="474"/>
      <c r="X8354" s="71"/>
      <c r="Y8354" s="71"/>
    </row>
    <row r="8355" spans="1:25" ht="30" hidden="1" customHeight="1" x14ac:dyDescent="0.25">
      <c r="A8355" s="1145"/>
      <c r="B8355" s="664"/>
      <c r="C8355" s="71"/>
      <c r="D8355" s="71"/>
      <c r="E8355" s="102"/>
      <c r="F8355" s="102"/>
      <c r="G8355" s="102"/>
      <c r="H8355" s="690"/>
      <c r="I8355" s="71"/>
      <c r="J8355" s="53"/>
      <c r="K8355" s="63"/>
      <c r="L8355" s="1212"/>
      <c r="M8355" s="102"/>
      <c r="N8355" s="1192"/>
      <c r="O8355" s="71"/>
      <c r="P8355" s="103"/>
      <c r="Q8355" s="71"/>
      <c r="R8355" s="102"/>
      <c r="S8355" s="102">
        <f t="shared" si="5169"/>
        <v>0</v>
      </c>
      <c r="T8355" s="102">
        <f t="shared" si="5170"/>
        <v>0</v>
      </c>
      <c r="U8355" s="71"/>
      <c r="V8355" s="71"/>
      <c r="W8355" s="474"/>
      <c r="X8355" s="71"/>
      <c r="Y8355" s="71"/>
    </row>
    <row r="8356" spans="1:25" ht="30" hidden="1" customHeight="1" x14ac:dyDescent="0.25">
      <c r="A8356" s="1145"/>
      <c r="B8356" s="664"/>
      <c r="C8356" s="71"/>
      <c r="D8356" s="71"/>
      <c r="E8356" s="102"/>
      <c r="F8356" s="102"/>
      <c r="G8356" s="102"/>
      <c r="H8356" s="690"/>
      <c r="I8356" s="71"/>
      <c r="J8356" s="53"/>
      <c r="K8356" s="63"/>
      <c r="L8356" s="1212"/>
      <c r="M8356" s="468"/>
      <c r="N8356" s="1192"/>
      <c r="O8356" s="71"/>
      <c r="P8356" s="103"/>
      <c r="Q8356" s="71"/>
      <c r="R8356" s="147"/>
      <c r="S8356" s="102">
        <f t="shared" si="5169"/>
        <v>0</v>
      </c>
      <c r="T8356" s="102">
        <f t="shared" si="5170"/>
        <v>0</v>
      </c>
      <c r="U8356" s="71"/>
      <c r="V8356" s="71"/>
      <c r="W8356" s="474"/>
      <c r="X8356" s="71"/>
      <c r="Y8356" s="71"/>
    </row>
    <row r="8357" spans="1:25" ht="30" hidden="1" customHeight="1" x14ac:dyDescent="0.25">
      <c r="A8357" s="1145"/>
      <c r="B8357" s="664"/>
      <c r="C8357" s="71"/>
      <c r="D8357" s="71"/>
      <c r="E8357" s="102"/>
      <c r="F8357" s="102"/>
      <c r="G8357" s="102"/>
      <c r="H8357" s="690"/>
      <c r="I8357" s="71"/>
      <c r="J8357" s="53"/>
      <c r="K8357" s="63"/>
      <c r="L8357" s="1212"/>
      <c r="M8357" s="102"/>
      <c r="N8357" s="1192"/>
      <c r="O8357" s="71"/>
      <c r="P8357" s="103"/>
      <c r="Q8357" s="71"/>
      <c r="R8357" s="102"/>
      <c r="S8357" s="102">
        <f t="shared" si="5169"/>
        <v>0</v>
      </c>
      <c r="T8357" s="102">
        <f t="shared" si="5170"/>
        <v>0</v>
      </c>
      <c r="U8357" s="71"/>
      <c r="V8357" s="71"/>
      <c r="W8357" s="474"/>
      <c r="X8357" s="71"/>
      <c r="Y8357" s="71"/>
    </row>
    <row r="8358" spans="1:25" ht="30" hidden="1" customHeight="1" x14ac:dyDescent="0.25">
      <c r="A8358" s="1145"/>
      <c r="B8358" s="664"/>
      <c r="C8358" s="71"/>
      <c r="D8358" s="71"/>
      <c r="E8358" s="102"/>
      <c r="F8358" s="102"/>
      <c r="G8358" s="102"/>
      <c r="H8358" s="690"/>
      <c r="I8358" s="71"/>
      <c r="J8358" s="53"/>
      <c r="K8358" s="63"/>
      <c r="L8358" s="1212"/>
      <c r="M8358" s="468"/>
      <c r="N8358" s="1192"/>
      <c r="O8358" s="71"/>
      <c r="P8358" s="103"/>
      <c r="Q8358" s="71"/>
      <c r="R8358" s="147"/>
      <c r="S8358" s="102">
        <f t="shared" si="5169"/>
        <v>0</v>
      </c>
      <c r="T8358" s="102">
        <f t="shared" si="5170"/>
        <v>0</v>
      </c>
      <c r="U8358" s="71"/>
      <c r="V8358" s="71"/>
      <c r="W8358" s="474"/>
      <c r="X8358" s="71"/>
      <c r="Y8358" s="71"/>
    </row>
    <row r="8359" spans="1:25" ht="30" hidden="1" customHeight="1" x14ac:dyDescent="0.25">
      <c r="A8359" s="1145"/>
      <c r="B8359" s="664"/>
      <c r="C8359" s="71"/>
      <c r="D8359" s="71"/>
      <c r="E8359" s="102"/>
      <c r="F8359" s="102"/>
      <c r="G8359" s="102"/>
      <c r="H8359" s="690"/>
      <c r="I8359" s="71"/>
      <c r="J8359" s="53"/>
      <c r="K8359" s="63"/>
      <c r="L8359" s="1212"/>
      <c r="M8359" s="102"/>
      <c r="N8359" s="1192"/>
      <c r="O8359" s="71"/>
      <c r="P8359" s="103"/>
      <c r="Q8359" s="71"/>
      <c r="R8359" s="102"/>
      <c r="S8359" s="102">
        <f t="shared" si="5169"/>
        <v>0</v>
      </c>
      <c r="T8359" s="102">
        <f t="shared" si="5170"/>
        <v>0</v>
      </c>
      <c r="U8359" s="71"/>
      <c r="V8359" s="71"/>
      <c r="W8359" s="474"/>
      <c r="X8359" s="71"/>
      <c r="Y8359" s="71"/>
    </row>
    <row r="8360" spans="1:25" ht="30" hidden="1" customHeight="1" x14ac:dyDescent="0.25">
      <c r="A8360" s="1145"/>
      <c r="B8360" s="664"/>
      <c r="C8360" s="71"/>
      <c r="D8360" s="71"/>
      <c r="E8360" s="102"/>
      <c r="F8360" s="102"/>
      <c r="G8360" s="102"/>
      <c r="H8360" s="690"/>
      <c r="I8360" s="71"/>
      <c r="J8360" s="53"/>
      <c r="K8360" s="63"/>
      <c r="L8360" s="1212"/>
      <c r="M8360" s="102"/>
      <c r="N8360" s="1192"/>
      <c r="O8360" s="71"/>
      <c r="P8360" s="103"/>
      <c r="Q8360" s="71"/>
      <c r="R8360" s="102"/>
      <c r="S8360" s="102">
        <f t="shared" si="5169"/>
        <v>0</v>
      </c>
      <c r="T8360" s="102">
        <f t="shared" si="5170"/>
        <v>0</v>
      </c>
      <c r="U8360" s="71"/>
      <c r="V8360" s="71"/>
      <c r="W8360" s="474"/>
      <c r="X8360" s="71"/>
      <c r="Y8360" s="71"/>
    </row>
    <row r="8361" spans="1:25" ht="30" hidden="1" customHeight="1" x14ac:dyDescent="0.25">
      <c r="A8361" s="1145"/>
      <c r="B8361" s="664"/>
      <c r="C8361" s="71"/>
      <c r="D8361" s="71"/>
      <c r="E8361" s="102"/>
      <c r="F8361" s="102"/>
      <c r="G8361" s="102"/>
      <c r="H8361" s="690"/>
      <c r="I8361" s="71"/>
      <c r="J8361" s="53"/>
      <c r="K8361" s="63"/>
      <c r="L8361" s="1212"/>
      <c r="M8361" s="468"/>
      <c r="N8361" s="1192"/>
      <c r="O8361" s="71"/>
      <c r="P8361" s="103"/>
      <c r="Q8361" s="71"/>
      <c r="R8361" s="147"/>
      <c r="S8361" s="102">
        <f t="shared" si="5169"/>
        <v>0</v>
      </c>
      <c r="T8361" s="102">
        <f t="shared" si="5170"/>
        <v>0</v>
      </c>
      <c r="U8361" s="71"/>
      <c r="V8361" s="71"/>
      <c r="W8361" s="474"/>
      <c r="X8361" s="71"/>
      <c r="Y8361" s="71"/>
    </row>
    <row r="8362" spans="1:25" ht="30" hidden="1" customHeight="1" x14ac:dyDescent="0.25">
      <c r="A8362" s="1145"/>
      <c r="B8362" s="664"/>
      <c r="C8362" s="71"/>
      <c r="D8362" s="71"/>
      <c r="E8362" s="102"/>
      <c r="F8362" s="102"/>
      <c r="G8362" s="102"/>
      <c r="H8362" s="690"/>
      <c r="I8362" s="71"/>
      <c r="J8362" s="53"/>
      <c r="K8362" s="63"/>
      <c r="L8362" s="1212"/>
      <c r="M8362" s="102"/>
      <c r="N8362" s="1192"/>
      <c r="O8362" s="71"/>
      <c r="P8362" s="103"/>
      <c r="Q8362" s="71"/>
      <c r="R8362" s="102"/>
      <c r="S8362" s="102">
        <f t="shared" si="5169"/>
        <v>0</v>
      </c>
      <c r="T8362" s="102">
        <f t="shared" si="5170"/>
        <v>0</v>
      </c>
      <c r="U8362" s="71"/>
      <c r="V8362" s="71"/>
      <c r="W8362" s="474"/>
      <c r="X8362" s="71"/>
      <c r="Y8362" s="71"/>
    </row>
    <row r="8363" spans="1:25" ht="30" hidden="1" customHeight="1" x14ac:dyDescent="0.25">
      <c r="A8363" s="1145"/>
      <c r="B8363" s="664"/>
      <c r="C8363" s="71"/>
      <c r="D8363" s="71"/>
      <c r="E8363" s="102"/>
      <c r="F8363" s="102"/>
      <c r="G8363" s="102"/>
      <c r="H8363" s="690"/>
      <c r="I8363" s="71"/>
      <c r="J8363" s="53"/>
      <c r="K8363" s="63"/>
      <c r="L8363" s="1212"/>
      <c r="M8363" s="468"/>
      <c r="N8363" s="1192"/>
      <c r="O8363" s="71"/>
      <c r="P8363" s="103"/>
      <c r="Q8363" s="71"/>
      <c r="R8363" s="147"/>
      <c r="S8363" s="102">
        <f t="shared" si="5169"/>
        <v>0</v>
      </c>
      <c r="T8363" s="102">
        <f t="shared" si="5170"/>
        <v>0</v>
      </c>
      <c r="U8363" s="71"/>
      <c r="V8363" s="71"/>
      <c r="W8363" s="474"/>
      <c r="X8363" s="71"/>
      <c r="Y8363" s="71"/>
    </row>
    <row r="8364" spans="1:25" ht="30" hidden="1" customHeight="1" x14ac:dyDescent="0.25">
      <c r="A8364" s="1145"/>
      <c r="B8364" s="664"/>
      <c r="C8364" s="71"/>
      <c r="D8364" s="71"/>
      <c r="E8364" s="102"/>
      <c r="F8364" s="102"/>
      <c r="G8364" s="102"/>
      <c r="H8364" s="690"/>
      <c r="I8364" s="71"/>
      <c r="J8364" s="53"/>
      <c r="K8364" s="63"/>
      <c r="L8364" s="1212"/>
      <c r="M8364" s="102"/>
      <c r="N8364" s="1192"/>
      <c r="O8364" s="71"/>
      <c r="P8364" s="103"/>
      <c r="Q8364" s="71"/>
      <c r="R8364" s="102"/>
      <c r="S8364" s="102">
        <f t="shared" si="5169"/>
        <v>0</v>
      </c>
      <c r="T8364" s="102">
        <f t="shared" si="5170"/>
        <v>0</v>
      </c>
      <c r="U8364" s="71"/>
      <c r="V8364" s="71"/>
      <c r="W8364" s="474"/>
      <c r="X8364" s="71"/>
      <c r="Y8364" s="71"/>
    </row>
    <row r="8365" spans="1:25" ht="30" hidden="1" customHeight="1" x14ac:dyDescent="0.25">
      <c r="A8365" s="1145"/>
      <c r="B8365" s="664"/>
      <c r="C8365" s="71"/>
      <c r="D8365" s="71"/>
      <c r="E8365" s="102"/>
      <c r="F8365" s="102"/>
      <c r="G8365" s="102"/>
      <c r="H8365" s="690"/>
      <c r="I8365" s="71"/>
      <c r="J8365" s="53"/>
      <c r="K8365" s="63"/>
      <c r="L8365" s="1212"/>
      <c r="M8365" s="468"/>
      <c r="N8365" s="1192"/>
      <c r="O8365" s="71"/>
      <c r="P8365" s="103"/>
      <c r="Q8365" s="71"/>
      <c r="R8365" s="147"/>
      <c r="S8365" s="102">
        <f t="shared" si="5169"/>
        <v>0</v>
      </c>
      <c r="T8365" s="102">
        <f t="shared" si="5170"/>
        <v>0</v>
      </c>
      <c r="U8365" s="71"/>
      <c r="V8365" s="71"/>
      <c r="W8365" s="474"/>
      <c r="X8365" s="71"/>
      <c r="Y8365" s="71"/>
    </row>
    <row r="8366" spans="1:25" ht="30" hidden="1" customHeight="1" x14ac:dyDescent="0.25">
      <c r="A8366" s="1145"/>
      <c r="B8366" s="664"/>
      <c r="C8366" s="71"/>
      <c r="D8366" s="71"/>
      <c r="E8366" s="102"/>
      <c r="F8366" s="102"/>
      <c r="G8366" s="102"/>
      <c r="H8366" s="690"/>
      <c r="I8366" s="71"/>
      <c r="J8366" s="53"/>
      <c r="K8366" s="63"/>
      <c r="L8366" s="1212"/>
      <c r="M8366" s="102"/>
      <c r="N8366" s="1192"/>
      <c r="O8366" s="71"/>
      <c r="P8366" s="103"/>
      <c r="Q8366" s="71"/>
      <c r="R8366" s="102"/>
      <c r="S8366" s="102">
        <f t="shared" si="5169"/>
        <v>0</v>
      </c>
      <c r="T8366" s="102">
        <f t="shared" si="5170"/>
        <v>0</v>
      </c>
      <c r="U8366" s="71"/>
      <c r="V8366" s="71"/>
      <c r="W8366" s="474"/>
      <c r="X8366" s="71"/>
      <c r="Y8366" s="71"/>
    </row>
    <row r="8367" spans="1:25" ht="30" hidden="1" customHeight="1" x14ac:dyDescent="0.25">
      <c r="A8367" s="1145"/>
      <c r="B8367" s="664"/>
      <c r="C8367" s="71"/>
      <c r="D8367" s="71"/>
      <c r="E8367" s="102"/>
      <c r="F8367" s="102"/>
      <c r="G8367" s="102"/>
      <c r="H8367" s="690"/>
      <c r="I8367" s="71"/>
      <c r="J8367" s="53"/>
      <c r="K8367" s="63"/>
      <c r="L8367" s="1212"/>
      <c r="M8367" s="468"/>
      <c r="N8367" s="1192"/>
      <c r="O8367" s="71"/>
      <c r="P8367" s="103"/>
      <c r="Q8367" s="71"/>
      <c r="R8367" s="147"/>
      <c r="S8367" s="102">
        <f t="shared" si="5169"/>
        <v>0</v>
      </c>
      <c r="T8367" s="102">
        <f t="shared" si="5170"/>
        <v>0</v>
      </c>
      <c r="U8367" s="71"/>
      <c r="V8367" s="71"/>
      <c r="W8367" s="474"/>
      <c r="X8367" s="71"/>
      <c r="Y8367" s="71"/>
    </row>
    <row r="8368" spans="1:25" ht="30" hidden="1" customHeight="1" x14ac:dyDescent="0.25">
      <c r="A8368" s="1145"/>
      <c r="B8368" s="664"/>
      <c r="C8368" s="71"/>
      <c r="D8368" s="71"/>
      <c r="E8368" s="102"/>
      <c r="F8368" s="102"/>
      <c r="G8368" s="102"/>
      <c r="H8368" s="690"/>
      <c r="I8368" s="71"/>
      <c r="J8368" s="53"/>
      <c r="K8368" s="63"/>
      <c r="L8368" s="1212"/>
      <c r="M8368" s="102"/>
      <c r="N8368" s="1192"/>
      <c r="O8368" s="71"/>
      <c r="P8368" s="103"/>
      <c r="Q8368" s="71"/>
      <c r="R8368" s="102"/>
      <c r="S8368" s="102">
        <f t="shared" si="5169"/>
        <v>0</v>
      </c>
      <c r="T8368" s="102">
        <f t="shared" si="5170"/>
        <v>0</v>
      </c>
      <c r="U8368" s="71"/>
      <c r="V8368" s="71"/>
      <c r="W8368" s="474"/>
      <c r="X8368" s="71"/>
      <c r="Y8368" s="71"/>
    </row>
    <row r="8369" spans="1:25" ht="30" hidden="1" customHeight="1" x14ac:dyDescent="0.25">
      <c r="A8369" s="1145"/>
      <c r="B8369" s="664"/>
      <c r="C8369" s="71"/>
      <c r="D8369" s="71"/>
      <c r="E8369" s="102"/>
      <c r="F8369" s="102"/>
      <c r="G8369" s="102"/>
      <c r="H8369" s="690"/>
      <c r="I8369" s="71"/>
      <c r="J8369" s="53"/>
      <c r="K8369" s="63"/>
      <c r="L8369" s="1212"/>
      <c r="M8369" s="102"/>
      <c r="N8369" s="1192"/>
      <c r="O8369" s="71"/>
      <c r="P8369" s="103"/>
      <c r="Q8369" s="71"/>
      <c r="R8369" s="102"/>
      <c r="S8369" s="102">
        <f t="shared" si="5169"/>
        <v>0</v>
      </c>
      <c r="T8369" s="102">
        <f t="shared" si="5170"/>
        <v>0</v>
      </c>
      <c r="U8369" s="71"/>
      <c r="V8369" s="71"/>
      <c r="W8369" s="474"/>
      <c r="X8369" s="71"/>
      <c r="Y8369" s="71"/>
    </row>
    <row r="8370" spans="1:25" ht="30" hidden="1" customHeight="1" x14ac:dyDescent="0.25">
      <c r="A8370" s="1145"/>
      <c r="B8370" s="664"/>
      <c r="C8370" s="71"/>
      <c r="D8370" s="71"/>
      <c r="E8370" s="102"/>
      <c r="F8370" s="102"/>
      <c r="G8370" s="102"/>
      <c r="H8370" s="690"/>
      <c r="I8370" s="71"/>
      <c r="J8370" s="53"/>
      <c r="K8370" s="63"/>
      <c r="L8370" s="1212"/>
      <c r="M8370" s="468"/>
      <c r="N8370" s="1192"/>
      <c r="O8370" s="71"/>
      <c r="P8370" s="103"/>
      <c r="Q8370" s="71"/>
      <c r="R8370" s="147"/>
      <c r="S8370" s="102">
        <f t="shared" si="5169"/>
        <v>0</v>
      </c>
      <c r="T8370" s="102">
        <f t="shared" si="5170"/>
        <v>0</v>
      </c>
      <c r="U8370" s="71"/>
      <c r="V8370" s="71"/>
      <c r="W8370" s="474"/>
      <c r="X8370" s="71"/>
      <c r="Y8370" s="71"/>
    </row>
    <row r="8371" spans="1:25" ht="30" hidden="1" customHeight="1" x14ac:dyDescent="0.25">
      <c r="A8371" s="1145"/>
      <c r="B8371" s="664"/>
      <c r="C8371" s="71"/>
      <c r="D8371" s="71"/>
      <c r="E8371" s="102"/>
      <c r="F8371" s="102"/>
      <c r="G8371" s="102"/>
      <c r="H8371" s="690"/>
      <c r="I8371" s="71"/>
      <c r="J8371" s="53"/>
      <c r="K8371" s="63"/>
      <c r="L8371" s="1212"/>
      <c r="M8371" s="102"/>
      <c r="N8371" s="1192"/>
      <c r="O8371" s="71"/>
      <c r="P8371" s="103"/>
      <c r="Q8371" s="71"/>
      <c r="R8371" s="102"/>
      <c r="S8371" s="102">
        <f t="shared" si="5169"/>
        <v>0</v>
      </c>
      <c r="T8371" s="102">
        <f t="shared" si="5170"/>
        <v>0</v>
      </c>
      <c r="U8371" s="71"/>
      <c r="V8371" s="71"/>
      <c r="W8371" s="474"/>
      <c r="X8371" s="71"/>
      <c r="Y8371" s="71"/>
    </row>
    <row r="8372" spans="1:25" ht="30" hidden="1" customHeight="1" x14ac:dyDescent="0.25">
      <c r="A8372" s="1145"/>
      <c r="B8372" s="664"/>
      <c r="C8372" s="71"/>
      <c r="D8372" s="71"/>
      <c r="E8372" s="102"/>
      <c r="F8372" s="102"/>
      <c r="G8372" s="102"/>
      <c r="H8372" s="690"/>
      <c r="I8372" s="71"/>
      <c r="J8372" s="53"/>
      <c r="K8372" s="63"/>
      <c r="L8372" s="1212"/>
      <c r="M8372" s="468"/>
      <c r="N8372" s="1192"/>
      <c r="O8372" s="71"/>
      <c r="P8372" s="103"/>
      <c r="Q8372" s="71"/>
      <c r="R8372" s="147"/>
      <c r="S8372" s="102">
        <f t="shared" si="5169"/>
        <v>0</v>
      </c>
      <c r="T8372" s="102">
        <f t="shared" si="5170"/>
        <v>0</v>
      </c>
      <c r="U8372" s="71"/>
      <c r="V8372" s="71"/>
      <c r="W8372" s="474"/>
      <c r="X8372" s="71"/>
      <c r="Y8372" s="71"/>
    </row>
    <row r="8373" spans="1:25" ht="30" hidden="1" customHeight="1" x14ac:dyDescent="0.25">
      <c r="A8373" s="1145"/>
      <c r="B8373" s="664"/>
      <c r="C8373" s="71"/>
      <c r="D8373" s="71"/>
      <c r="E8373" s="102"/>
      <c r="F8373" s="102"/>
      <c r="G8373" s="102"/>
      <c r="H8373" s="690"/>
      <c r="I8373" s="71"/>
      <c r="J8373" s="53"/>
      <c r="K8373" s="63"/>
      <c r="L8373" s="1212"/>
      <c r="M8373" s="102"/>
      <c r="N8373" s="1192"/>
      <c r="O8373" s="71"/>
      <c r="P8373" s="103"/>
      <c r="Q8373" s="71"/>
      <c r="R8373" s="102"/>
      <c r="S8373" s="102">
        <f t="shared" si="5169"/>
        <v>0</v>
      </c>
      <c r="T8373" s="102">
        <f t="shared" si="5170"/>
        <v>0</v>
      </c>
      <c r="U8373" s="71"/>
      <c r="V8373" s="71"/>
      <c r="W8373" s="474"/>
      <c r="X8373" s="71"/>
      <c r="Y8373" s="71"/>
    </row>
    <row r="8374" spans="1:25" ht="30" hidden="1" customHeight="1" x14ac:dyDescent="0.25">
      <c r="A8374" s="1145"/>
      <c r="B8374" s="664"/>
      <c r="C8374" s="71"/>
      <c r="D8374" s="71"/>
      <c r="E8374" s="102"/>
      <c r="F8374" s="102"/>
      <c r="G8374" s="102"/>
      <c r="H8374" s="690"/>
      <c r="I8374" s="71"/>
      <c r="J8374" s="53"/>
      <c r="K8374" s="63"/>
      <c r="L8374" s="1212"/>
      <c r="M8374" s="468"/>
      <c r="N8374" s="1192"/>
      <c r="O8374" s="71"/>
      <c r="P8374" s="103"/>
      <c r="Q8374" s="71"/>
      <c r="R8374" s="147"/>
      <c r="S8374" s="102">
        <f t="shared" si="5169"/>
        <v>0</v>
      </c>
      <c r="T8374" s="102">
        <f t="shared" si="5170"/>
        <v>0</v>
      </c>
      <c r="U8374" s="71"/>
      <c r="V8374" s="71"/>
      <c r="W8374" s="474"/>
      <c r="X8374" s="71"/>
      <c r="Y8374" s="71"/>
    </row>
    <row r="8375" spans="1:25" ht="30" hidden="1" customHeight="1" x14ac:dyDescent="0.25">
      <c r="A8375" s="1145"/>
      <c r="B8375" s="664"/>
      <c r="C8375" s="71"/>
      <c r="D8375" s="71"/>
      <c r="E8375" s="102"/>
      <c r="F8375" s="102"/>
      <c r="G8375" s="102"/>
      <c r="H8375" s="690"/>
      <c r="I8375" s="71"/>
      <c r="J8375" s="53"/>
      <c r="K8375" s="63"/>
      <c r="L8375" s="1212"/>
      <c r="M8375" s="102"/>
      <c r="N8375" s="1192"/>
      <c r="O8375" s="71"/>
      <c r="P8375" s="103"/>
      <c r="Q8375" s="71"/>
      <c r="R8375" s="102"/>
      <c r="S8375" s="102">
        <f t="shared" si="5169"/>
        <v>0</v>
      </c>
      <c r="T8375" s="102">
        <f t="shared" si="5170"/>
        <v>0</v>
      </c>
      <c r="U8375" s="71"/>
      <c r="V8375" s="71"/>
      <c r="W8375" s="474"/>
      <c r="X8375" s="71"/>
      <c r="Y8375" s="71"/>
    </row>
    <row r="8376" spans="1:25" ht="30" hidden="1" customHeight="1" x14ac:dyDescent="0.25">
      <c r="A8376" s="1145"/>
      <c r="B8376" s="664"/>
      <c r="C8376" s="71"/>
      <c r="D8376" s="71"/>
      <c r="E8376" s="102"/>
      <c r="F8376" s="102"/>
      <c r="G8376" s="102"/>
      <c r="H8376" s="690"/>
      <c r="I8376" s="71"/>
      <c r="J8376" s="53"/>
      <c r="K8376" s="63"/>
      <c r="L8376" s="1212"/>
      <c r="M8376" s="468"/>
      <c r="N8376" s="1192"/>
      <c r="O8376" s="71"/>
      <c r="P8376" s="103"/>
      <c r="Q8376" s="71"/>
      <c r="R8376" s="147"/>
      <c r="S8376" s="102">
        <f t="shared" si="5169"/>
        <v>0</v>
      </c>
      <c r="T8376" s="102">
        <f t="shared" si="5170"/>
        <v>0</v>
      </c>
      <c r="U8376" s="71"/>
      <c r="V8376" s="71"/>
      <c r="W8376" s="474"/>
      <c r="X8376" s="71"/>
      <c r="Y8376" s="71"/>
    </row>
    <row r="8377" spans="1:25" ht="30" hidden="1" customHeight="1" x14ac:dyDescent="0.25">
      <c r="A8377" s="1145"/>
      <c r="B8377" s="664"/>
      <c r="C8377" s="71"/>
      <c r="D8377" s="71"/>
      <c r="E8377" s="102"/>
      <c r="F8377" s="102"/>
      <c r="G8377" s="102"/>
      <c r="H8377" s="690"/>
      <c r="I8377" s="71"/>
      <c r="J8377" s="53"/>
      <c r="K8377" s="63"/>
      <c r="L8377" s="1212"/>
      <c r="M8377" s="102"/>
      <c r="N8377" s="1192"/>
      <c r="O8377" s="71"/>
      <c r="P8377" s="103"/>
      <c r="Q8377" s="71"/>
      <c r="R8377" s="102"/>
      <c r="S8377" s="102">
        <f t="shared" si="5169"/>
        <v>0</v>
      </c>
      <c r="T8377" s="102">
        <f t="shared" si="5170"/>
        <v>0</v>
      </c>
      <c r="U8377" s="71"/>
      <c r="V8377" s="71"/>
      <c r="W8377" s="474"/>
      <c r="X8377" s="71"/>
      <c r="Y8377" s="71"/>
    </row>
    <row r="8378" spans="1:25" ht="30" hidden="1" customHeight="1" x14ac:dyDescent="0.25">
      <c r="A8378" s="1145"/>
      <c r="B8378" s="664"/>
      <c r="C8378" s="71"/>
      <c r="D8378" s="71"/>
      <c r="E8378" s="102"/>
      <c r="F8378" s="102"/>
      <c r="G8378" s="102"/>
      <c r="H8378" s="690"/>
      <c r="I8378" s="71"/>
      <c r="J8378" s="53"/>
      <c r="K8378" s="63"/>
      <c r="L8378" s="1212"/>
      <c r="M8378" s="102"/>
      <c r="N8378" s="1192"/>
      <c r="O8378" s="71"/>
      <c r="P8378" s="103"/>
      <c r="Q8378" s="71"/>
      <c r="R8378" s="102"/>
      <c r="S8378" s="102">
        <f t="shared" si="5169"/>
        <v>0</v>
      </c>
      <c r="T8378" s="102">
        <f t="shared" si="5170"/>
        <v>0</v>
      </c>
      <c r="U8378" s="71"/>
      <c r="V8378" s="71"/>
      <c r="W8378" s="474"/>
      <c r="X8378" s="71"/>
      <c r="Y8378" s="71"/>
    </row>
    <row r="8379" spans="1:25" ht="30" hidden="1" customHeight="1" x14ac:dyDescent="0.25">
      <c r="A8379" s="1145"/>
      <c r="B8379" s="664"/>
      <c r="C8379" s="71"/>
      <c r="D8379" s="71"/>
      <c r="E8379" s="102"/>
      <c r="F8379" s="102"/>
      <c r="G8379" s="102"/>
      <c r="H8379" s="690"/>
      <c r="I8379" s="71"/>
      <c r="J8379" s="53"/>
      <c r="K8379" s="63"/>
      <c r="L8379" s="1212"/>
      <c r="M8379" s="468"/>
      <c r="N8379" s="1192"/>
      <c r="O8379" s="71"/>
      <c r="P8379" s="103"/>
      <c r="Q8379" s="71"/>
      <c r="R8379" s="147"/>
      <c r="S8379" s="102">
        <f t="shared" si="5169"/>
        <v>0</v>
      </c>
      <c r="T8379" s="102">
        <f t="shared" si="5170"/>
        <v>0</v>
      </c>
      <c r="U8379" s="71"/>
      <c r="V8379" s="71"/>
      <c r="W8379" s="474"/>
      <c r="X8379" s="71"/>
      <c r="Y8379" s="71"/>
    </row>
    <row r="8380" spans="1:25" ht="30" hidden="1" customHeight="1" x14ac:dyDescent="0.25">
      <c r="A8380" s="1145"/>
      <c r="B8380" s="664"/>
      <c r="C8380" s="71"/>
      <c r="D8380" s="71"/>
      <c r="E8380" s="102"/>
      <c r="F8380" s="102"/>
      <c r="G8380" s="102"/>
      <c r="H8380" s="690"/>
      <c r="I8380" s="71"/>
      <c r="J8380" s="53"/>
      <c r="K8380" s="63"/>
      <c r="L8380" s="1212"/>
      <c r="M8380" s="102"/>
      <c r="N8380" s="1192"/>
      <c r="O8380" s="71"/>
      <c r="P8380" s="103"/>
      <c r="Q8380" s="71"/>
      <c r="R8380" s="102"/>
      <c r="S8380" s="102">
        <f t="shared" si="5169"/>
        <v>0</v>
      </c>
      <c r="T8380" s="102">
        <f t="shared" si="5170"/>
        <v>0</v>
      </c>
      <c r="U8380" s="71"/>
      <c r="V8380" s="71"/>
      <c r="W8380" s="474"/>
      <c r="X8380" s="71"/>
      <c r="Y8380" s="71"/>
    </row>
    <row r="8381" spans="1:25" ht="30" hidden="1" customHeight="1" x14ac:dyDescent="0.25">
      <c r="A8381" s="1145"/>
      <c r="B8381" s="664"/>
      <c r="C8381" s="71"/>
      <c r="D8381" s="71"/>
      <c r="E8381" s="102"/>
      <c r="F8381" s="102"/>
      <c r="G8381" s="102"/>
      <c r="H8381" s="690"/>
      <c r="I8381" s="71"/>
      <c r="J8381" s="53"/>
      <c r="K8381" s="63"/>
      <c r="L8381" s="1212"/>
      <c r="M8381" s="468"/>
      <c r="N8381" s="1192"/>
      <c r="O8381" s="71"/>
      <c r="P8381" s="103"/>
      <c r="Q8381" s="71"/>
      <c r="R8381" s="147"/>
      <c r="S8381" s="102">
        <f t="shared" si="5169"/>
        <v>0</v>
      </c>
      <c r="T8381" s="102">
        <f t="shared" si="5170"/>
        <v>0</v>
      </c>
      <c r="U8381" s="71"/>
      <c r="V8381" s="71"/>
      <c r="W8381" s="474"/>
      <c r="X8381" s="71"/>
      <c r="Y8381" s="71"/>
    </row>
    <row r="8382" spans="1:25" ht="30" hidden="1" customHeight="1" x14ac:dyDescent="0.25">
      <c r="A8382" s="1145"/>
      <c r="B8382" s="664"/>
      <c r="C8382" s="71"/>
      <c r="D8382" s="71"/>
      <c r="E8382" s="102"/>
      <c r="F8382" s="102"/>
      <c r="G8382" s="102"/>
      <c r="H8382" s="690"/>
      <c r="I8382" s="71"/>
      <c r="J8382" s="53"/>
      <c r="K8382" s="63"/>
      <c r="L8382" s="1212"/>
      <c r="M8382" s="102"/>
      <c r="N8382" s="1192"/>
      <c r="O8382" s="71"/>
      <c r="P8382" s="103"/>
      <c r="Q8382" s="71"/>
      <c r="R8382" s="102"/>
      <c r="S8382" s="102">
        <f t="shared" si="5169"/>
        <v>0</v>
      </c>
      <c r="T8382" s="102">
        <f t="shared" si="5170"/>
        <v>0</v>
      </c>
      <c r="U8382" s="71"/>
      <c r="V8382" s="71"/>
      <c r="W8382" s="474"/>
      <c r="X8382" s="71"/>
      <c r="Y8382" s="71"/>
    </row>
    <row r="8383" spans="1:25" ht="30" hidden="1" customHeight="1" x14ac:dyDescent="0.25">
      <c r="A8383" s="1145"/>
      <c r="B8383" s="664"/>
      <c r="C8383" s="71"/>
      <c r="D8383" s="71"/>
      <c r="E8383" s="102"/>
      <c r="F8383" s="102"/>
      <c r="G8383" s="102"/>
      <c r="H8383" s="690"/>
      <c r="I8383" s="71"/>
      <c r="J8383" s="53"/>
      <c r="K8383" s="63"/>
      <c r="L8383" s="1212"/>
      <c r="M8383" s="468"/>
      <c r="N8383" s="1192"/>
      <c r="O8383" s="71"/>
      <c r="P8383" s="103"/>
      <c r="Q8383" s="71"/>
      <c r="R8383" s="147"/>
      <c r="S8383" s="102">
        <f t="shared" si="5169"/>
        <v>0</v>
      </c>
      <c r="T8383" s="102">
        <f t="shared" si="5170"/>
        <v>0</v>
      </c>
      <c r="U8383" s="71"/>
      <c r="V8383" s="71"/>
      <c r="W8383" s="474"/>
      <c r="X8383" s="71"/>
      <c r="Y8383" s="71"/>
    </row>
    <row r="8384" spans="1:25" ht="30" hidden="1" customHeight="1" x14ac:dyDescent="0.25">
      <c r="A8384" s="1145"/>
      <c r="B8384" s="664"/>
      <c r="C8384" s="71"/>
      <c r="D8384" s="71"/>
      <c r="E8384" s="102"/>
      <c r="F8384" s="102"/>
      <c r="G8384" s="102"/>
      <c r="H8384" s="690"/>
      <c r="I8384" s="71"/>
      <c r="J8384" s="53"/>
      <c r="K8384" s="63"/>
      <c r="L8384" s="1212"/>
      <c r="M8384" s="102"/>
      <c r="N8384" s="1192"/>
      <c r="O8384" s="71"/>
      <c r="P8384" s="103"/>
      <c r="Q8384" s="71"/>
      <c r="R8384" s="102"/>
      <c r="S8384" s="102">
        <f t="shared" si="5169"/>
        <v>0</v>
      </c>
      <c r="T8384" s="102">
        <f t="shared" si="5170"/>
        <v>0</v>
      </c>
      <c r="U8384" s="71"/>
      <c r="V8384" s="71"/>
      <c r="W8384" s="474"/>
      <c r="X8384" s="71"/>
      <c r="Y8384" s="71"/>
    </row>
    <row r="8385" spans="1:25" ht="30" hidden="1" customHeight="1" x14ac:dyDescent="0.25">
      <c r="A8385" s="1145"/>
      <c r="B8385" s="664"/>
      <c r="C8385" s="71"/>
      <c r="D8385" s="71"/>
      <c r="E8385" s="102"/>
      <c r="F8385" s="102"/>
      <c r="G8385" s="102"/>
      <c r="H8385" s="690"/>
      <c r="I8385" s="71"/>
      <c r="J8385" s="53"/>
      <c r="K8385" s="63"/>
      <c r="L8385" s="1212"/>
      <c r="M8385" s="468"/>
      <c r="N8385" s="1192"/>
      <c r="O8385" s="71"/>
      <c r="P8385" s="103"/>
      <c r="Q8385" s="71"/>
      <c r="R8385" s="147"/>
      <c r="S8385" s="102">
        <f t="shared" si="5169"/>
        <v>0</v>
      </c>
      <c r="T8385" s="102">
        <f t="shared" si="5170"/>
        <v>0</v>
      </c>
      <c r="U8385" s="71"/>
      <c r="V8385" s="71"/>
      <c r="W8385" s="474"/>
      <c r="X8385" s="71"/>
      <c r="Y8385" s="71"/>
    </row>
    <row r="8386" spans="1:25" ht="30" hidden="1" customHeight="1" x14ac:dyDescent="0.25">
      <c r="A8386" s="1145"/>
      <c r="B8386" s="664"/>
      <c r="C8386" s="71"/>
      <c r="D8386" s="71"/>
      <c r="E8386" s="102"/>
      <c r="F8386" s="102"/>
      <c r="G8386" s="102"/>
      <c r="H8386" s="690"/>
      <c r="I8386" s="71"/>
      <c r="J8386" s="53"/>
      <c r="K8386" s="63"/>
      <c r="L8386" s="1212"/>
      <c r="M8386" s="102"/>
      <c r="N8386" s="1192"/>
      <c r="O8386" s="71"/>
      <c r="P8386" s="103"/>
      <c r="Q8386" s="71"/>
      <c r="R8386" s="102"/>
      <c r="S8386" s="102">
        <f t="shared" si="5169"/>
        <v>0</v>
      </c>
      <c r="T8386" s="102">
        <f t="shared" si="5170"/>
        <v>0</v>
      </c>
      <c r="U8386" s="71"/>
      <c r="V8386" s="71"/>
      <c r="W8386" s="474"/>
      <c r="X8386" s="71"/>
      <c r="Y8386" s="71"/>
    </row>
    <row r="8387" spans="1:25" ht="30" hidden="1" customHeight="1" x14ac:dyDescent="0.25">
      <c r="A8387" s="1145"/>
      <c r="B8387" s="664"/>
      <c r="C8387" s="71"/>
      <c r="D8387" s="71"/>
      <c r="E8387" s="102"/>
      <c r="F8387" s="102"/>
      <c r="G8387" s="102"/>
      <c r="H8387" s="690"/>
      <c r="I8387" s="71"/>
      <c r="J8387" s="53"/>
      <c r="K8387" s="63"/>
      <c r="L8387" s="1212"/>
      <c r="M8387" s="102"/>
      <c r="N8387" s="1192"/>
      <c r="O8387" s="71"/>
      <c r="P8387" s="103"/>
      <c r="Q8387" s="71"/>
      <c r="R8387" s="102"/>
      <c r="S8387" s="102">
        <f t="shared" si="5169"/>
        <v>0</v>
      </c>
      <c r="T8387" s="102">
        <f t="shared" si="5170"/>
        <v>0</v>
      </c>
      <c r="U8387" s="71"/>
      <c r="V8387" s="71"/>
      <c r="W8387" s="474"/>
      <c r="X8387" s="71"/>
      <c r="Y8387" s="71"/>
    </row>
    <row r="8388" spans="1:25" ht="30" hidden="1" customHeight="1" x14ac:dyDescent="0.25">
      <c r="A8388" s="1145"/>
      <c r="B8388" s="664"/>
      <c r="C8388" s="71"/>
      <c r="D8388" s="71"/>
      <c r="E8388" s="102"/>
      <c r="F8388" s="102"/>
      <c r="G8388" s="102"/>
      <c r="H8388" s="690"/>
      <c r="I8388" s="71"/>
      <c r="J8388" s="53"/>
      <c r="K8388" s="63"/>
      <c r="L8388" s="1212"/>
      <c r="M8388" s="468"/>
      <c r="N8388" s="1192"/>
      <c r="O8388" s="71"/>
      <c r="P8388" s="103"/>
      <c r="Q8388" s="71"/>
      <c r="R8388" s="147"/>
      <c r="S8388" s="102">
        <f t="shared" si="5169"/>
        <v>0</v>
      </c>
      <c r="T8388" s="102">
        <f t="shared" si="5170"/>
        <v>0</v>
      </c>
      <c r="U8388" s="71"/>
      <c r="V8388" s="71"/>
      <c r="W8388" s="474"/>
      <c r="X8388" s="71"/>
      <c r="Y8388" s="71"/>
    </row>
    <row r="8389" spans="1:25" ht="30" hidden="1" customHeight="1" x14ac:dyDescent="0.25">
      <c r="A8389" s="1145"/>
      <c r="B8389" s="664"/>
      <c r="C8389" s="71"/>
      <c r="D8389" s="71"/>
      <c r="E8389" s="102"/>
      <c r="F8389" s="102"/>
      <c r="G8389" s="102"/>
      <c r="H8389" s="690"/>
      <c r="I8389" s="71"/>
      <c r="J8389" s="53"/>
      <c r="K8389" s="63"/>
      <c r="L8389" s="1212"/>
      <c r="M8389" s="102"/>
      <c r="N8389" s="1192"/>
      <c r="O8389" s="71"/>
      <c r="P8389" s="103"/>
      <c r="Q8389" s="71"/>
      <c r="R8389" s="102"/>
      <c r="S8389" s="102">
        <f t="shared" si="5169"/>
        <v>0</v>
      </c>
      <c r="T8389" s="102">
        <f t="shared" si="5170"/>
        <v>0</v>
      </c>
      <c r="U8389" s="71"/>
      <c r="V8389" s="71"/>
      <c r="W8389" s="474"/>
      <c r="X8389" s="71"/>
      <c r="Y8389" s="71"/>
    </row>
    <row r="8390" spans="1:25" ht="30" hidden="1" customHeight="1" x14ac:dyDescent="0.25">
      <c r="A8390" s="1145"/>
      <c r="B8390" s="664"/>
      <c r="C8390" s="71"/>
      <c r="D8390" s="71"/>
      <c r="E8390" s="102"/>
      <c r="F8390" s="102"/>
      <c r="G8390" s="102"/>
      <c r="H8390" s="690"/>
      <c r="I8390" s="71"/>
      <c r="J8390" s="53"/>
      <c r="K8390" s="63"/>
      <c r="L8390" s="1212"/>
      <c r="M8390" s="468"/>
      <c r="N8390" s="1192"/>
      <c r="O8390" s="71"/>
      <c r="P8390" s="103"/>
      <c r="Q8390" s="71"/>
      <c r="R8390" s="147"/>
      <c r="S8390" s="102">
        <f t="shared" si="5169"/>
        <v>0</v>
      </c>
      <c r="T8390" s="102">
        <f t="shared" si="5170"/>
        <v>0</v>
      </c>
      <c r="U8390" s="71"/>
      <c r="V8390" s="71"/>
      <c r="W8390" s="474"/>
      <c r="X8390" s="71"/>
      <c r="Y8390" s="71"/>
    </row>
    <row r="8391" spans="1:25" ht="30" hidden="1" customHeight="1" x14ac:dyDescent="0.25">
      <c r="A8391" s="1145"/>
      <c r="B8391" s="664"/>
      <c r="C8391" s="71"/>
      <c r="D8391" s="71"/>
      <c r="E8391" s="102"/>
      <c r="F8391" s="102"/>
      <c r="G8391" s="102"/>
      <c r="H8391" s="690"/>
      <c r="I8391" s="71"/>
      <c r="J8391" s="53"/>
      <c r="K8391" s="63"/>
      <c r="L8391" s="1212"/>
      <c r="M8391" s="102"/>
      <c r="N8391" s="1192"/>
      <c r="O8391" s="71"/>
      <c r="P8391" s="103"/>
      <c r="Q8391" s="71"/>
      <c r="R8391" s="102"/>
      <c r="S8391" s="102">
        <f t="shared" si="5169"/>
        <v>0</v>
      </c>
      <c r="T8391" s="102">
        <f t="shared" si="5170"/>
        <v>0</v>
      </c>
      <c r="U8391" s="71"/>
      <c r="V8391" s="71"/>
      <c r="W8391" s="474"/>
      <c r="X8391" s="71"/>
      <c r="Y8391" s="71"/>
    </row>
    <row r="8392" spans="1:25" ht="30" hidden="1" customHeight="1" x14ac:dyDescent="0.25">
      <c r="A8392" s="1145"/>
      <c r="B8392" s="664"/>
      <c r="C8392" s="71"/>
      <c r="D8392" s="71"/>
      <c r="E8392" s="102"/>
      <c r="F8392" s="102"/>
      <c r="G8392" s="102"/>
      <c r="H8392" s="690"/>
      <c r="I8392" s="71"/>
      <c r="J8392" s="53"/>
      <c r="K8392" s="63"/>
      <c r="L8392" s="1212"/>
      <c r="M8392" s="468"/>
      <c r="N8392" s="1192"/>
      <c r="O8392" s="71"/>
      <c r="P8392" s="103"/>
      <c r="Q8392" s="71"/>
      <c r="R8392" s="147"/>
      <c r="S8392" s="102">
        <f t="shared" si="5169"/>
        <v>0</v>
      </c>
      <c r="T8392" s="102">
        <f t="shared" si="5170"/>
        <v>0</v>
      </c>
      <c r="U8392" s="71"/>
      <c r="V8392" s="71"/>
      <c r="W8392" s="474"/>
      <c r="X8392" s="71"/>
      <c r="Y8392" s="71"/>
    </row>
    <row r="8393" spans="1:25" ht="30" hidden="1" customHeight="1" x14ac:dyDescent="0.25">
      <c r="A8393" s="1145"/>
      <c r="B8393" s="664"/>
      <c r="C8393" s="71"/>
      <c r="D8393" s="71"/>
      <c r="E8393" s="102"/>
      <c r="F8393" s="102"/>
      <c r="G8393" s="102"/>
      <c r="H8393" s="690"/>
      <c r="I8393" s="71"/>
      <c r="J8393" s="53"/>
      <c r="K8393" s="63"/>
      <c r="L8393" s="1212"/>
      <c r="M8393" s="102"/>
      <c r="N8393" s="1192"/>
      <c r="O8393" s="71"/>
      <c r="P8393" s="103"/>
      <c r="Q8393" s="71"/>
      <c r="R8393" s="102"/>
      <c r="S8393" s="102">
        <f t="shared" si="5169"/>
        <v>0</v>
      </c>
      <c r="T8393" s="102">
        <f t="shared" si="5170"/>
        <v>0</v>
      </c>
      <c r="U8393" s="71"/>
      <c r="V8393" s="71"/>
      <c r="W8393" s="474"/>
      <c r="X8393" s="71"/>
      <c r="Y8393" s="71"/>
    </row>
    <row r="8394" spans="1:25" ht="30" hidden="1" customHeight="1" x14ac:dyDescent="0.25">
      <c r="A8394" s="1145"/>
      <c r="B8394" s="664"/>
      <c r="C8394" s="71"/>
      <c r="D8394" s="71"/>
      <c r="E8394" s="102"/>
      <c r="F8394" s="102"/>
      <c r="G8394" s="102"/>
      <c r="H8394" s="690"/>
      <c r="I8394" s="71"/>
      <c r="J8394" s="53"/>
      <c r="K8394" s="63"/>
      <c r="L8394" s="1212"/>
      <c r="M8394" s="468"/>
      <c r="N8394" s="1192"/>
      <c r="O8394" s="71"/>
      <c r="P8394" s="103"/>
      <c r="Q8394" s="71"/>
      <c r="R8394" s="147"/>
      <c r="S8394" s="102">
        <f t="shared" si="5169"/>
        <v>0</v>
      </c>
      <c r="T8394" s="102">
        <f t="shared" si="5170"/>
        <v>0</v>
      </c>
      <c r="U8394" s="71"/>
      <c r="V8394" s="71"/>
      <c r="W8394" s="474"/>
      <c r="X8394" s="71"/>
      <c r="Y8394" s="71"/>
    </row>
    <row r="8395" spans="1:25" ht="30" hidden="1" customHeight="1" x14ac:dyDescent="0.25">
      <c r="A8395" s="1145"/>
      <c r="B8395" s="664"/>
      <c r="C8395" s="71"/>
      <c r="D8395" s="71"/>
      <c r="E8395" s="102"/>
      <c r="F8395" s="102"/>
      <c r="G8395" s="102"/>
      <c r="H8395" s="690"/>
      <c r="I8395" s="71"/>
      <c r="J8395" s="53"/>
      <c r="K8395" s="63"/>
      <c r="L8395" s="1212"/>
      <c r="M8395" s="102"/>
      <c r="N8395" s="1192"/>
      <c r="O8395" s="71"/>
      <c r="P8395" s="103"/>
      <c r="Q8395" s="71"/>
      <c r="R8395" s="102"/>
      <c r="S8395" s="102">
        <f t="shared" si="5169"/>
        <v>0</v>
      </c>
      <c r="T8395" s="102">
        <f t="shared" si="5170"/>
        <v>0</v>
      </c>
      <c r="U8395" s="71"/>
      <c r="V8395" s="71"/>
      <c r="W8395" s="474"/>
      <c r="X8395" s="71"/>
      <c r="Y8395" s="71"/>
    </row>
    <row r="8396" spans="1:25" ht="30" hidden="1" customHeight="1" x14ac:dyDescent="0.25">
      <c r="A8396" s="1145"/>
      <c r="B8396" s="664"/>
      <c r="C8396" s="71"/>
      <c r="D8396" s="71"/>
      <c r="E8396" s="102"/>
      <c r="F8396" s="102"/>
      <c r="G8396" s="102"/>
      <c r="H8396" s="690"/>
      <c r="I8396" s="71"/>
      <c r="J8396" s="53"/>
      <c r="K8396" s="63"/>
      <c r="L8396" s="1212"/>
      <c r="M8396" s="102"/>
      <c r="N8396" s="1192"/>
      <c r="O8396" s="71"/>
      <c r="P8396" s="103"/>
      <c r="Q8396" s="71"/>
      <c r="R8396" s="102"/>
      <c r="S8396" s="102">
        <f t="shared" si="5169"/>
        <v>0</v>
      </c>
      <c r="T8396" s="102">
        <f t="shared" si="5170"/>
        <v>0</v>
      </c>
      <c r="U8396" s="71"/>
      <c r="V8396" s="71"/>
      <c r="W8396" s="474"/>
      <c r="X8396" s="71"/>
      <c r="Y8396" s="71"/>
    </row>
    <row r="8397" spans="1:25" ht="30" hidden="1" customHeight="1" x14ac:dyDescent="0.25">
      <c r="A8397" s="1145"/>
      <c r="B8397" s="664"/>
      <c r="C8397" s="71"/>
      <c r="D8397" s="71"/>
      <c r="E8397" s="102"/>
      <c r="F8397" s="102"/>
      <c r="G8397" s="102"/>
      <c r="H8397" s="690"/>
      <c r="I8397" s="71"/>
      <c r="J8397" s="53"/>
      <c r="K8397" s="63"/>
      <c r="L8397" s="1212"/>
      <c r="M8397" s="468"/>
      <c r="N8397" s="1192"/>
      <c r="O8397" s="71"/>
      <c r="P8397" s="103"/>
      <c r="Q8397" s="71"/>
      <c r="R8397" s="147"/>
      <c r="S8397" s="102">
        <f t="shared" si="5169"/>
        <v>0</v>
      </c>
      <c r="T8397" s="102">
        <f t="shared" si="5170"/>
        <v>0</v>
      </c>
      <c r="U8397" s="71"/>
      <c r="V8397" s="71"/>
      <c r="W8397" s="474"/>
      <c r="X8397" s="71"/>
      <c r="Y8397" s="71"/>
    </row>
    <row r="8398" spans="1:25" ht="30" hidden="1" customHeight="1" x14ac:dyDescent="0.25">
      <c r="A8398" s="1145"/>
      <c r="B8398" s="664"/>
      <c r="C8398" s="71"/>
      <c r="D8398" s="71"/>
      <c r="E8398" s="102"/>
      <c r="F8398" s="102"/>
      <c r="G8398" s="102"/>
      <c r="H8398" s="690"/>
      <c r="I8398" s="71"/>
      <c r="J8398" s="53"/>
      <c r="K8398" s="63"/>
      <c r="L8398" s="1212"/>
      <c r="M8398" s="102"/>
      <c r="N8398" s="1192"/>
      <c r="O8398" s="71"/>
      <c r="P8398" s="103"/>
      <c r="Q8398" s="71"/>
      <c r="R8398" s="102"/>
      <c r="S8398" s="102">
        <f t="shared" si="5169"/>
        <v>0</v>
      </c>
      <c r="T8398" s="102">
        <f t="shared" si="5170"/>
        <v>0</v>
      </c>
      <c r="U8398" s="71"/>
      <c r="V8398" s="71"/>
      <c r="W8398" s="474"/>
      <c r="X8398" s="71"/>
      <c r="Y8398" s="71"/>
    </row>
    <row r="8399" spans="1:25" ht="30" hidden="1" customHeight="1" x14ac:dyDescent="0.25">
      <c r="A8399" s="1145"/>
      <c r="B8399" s="664"/>
      <c r="C8399" s="71"/>
      <c r="D8399" s="71"/>
      <c r="E8399" s="102"/>
      <c r="F8399" s="102"/>
      <c r="G8399" s="102"/>
      <c r="H8399" s="690"/>
      <c r="I8399" s="71"/>
      <c r="J8399" s="53"/>
      <c r="K8399" s="63"/>
      <c r="L8399" s="1212"/>
      <c r="M8399" s="468"/>
      <c r="N8399" s="1192"/>
      <c r="O8399" s="71"/>
      <c r="P8399" s="103"/>
      <c r="Q8399" s="71"/>
      <c r="R8399" s="147"/>
      <c r="S8399" s="102">
        <f t="shared" si="5169"/>
        <v>0</v>
      </c>
      <c r="T8399" s="102">
        <f t="shared" si="5170"/>
        <v>0</v>
      </c>
      <c r="U8399" s="71"/>
      <c r="V8399" s="71"/>
      <c r="W8399" s="474"/>
      <c r="X8399" s="71"/>
      <c r="Y8399" s="71"/>
    </row>
    <row r="8400" spans="1:25" ht="30" hidden="1" customHeight="1" x14ac:dyDescent="0.25">
      <c r="A8400" s="1145"/>
      <c r="B8400" s="664"/>
      <c r="C8400" s="71"/>
      <c r="D8400" s="71"/>
      <c r="E8400" s="102"/>
      <c r="F8400" s="102"/>
      <c r="G8400" s="102"/>
      <c r="H8400" s="690"/>
      <c r="I8400" s="71"/>
      <c r="J8400" s="53"/>
      <c r="K8400" s="63"/>
      <c r="L8400" s="1212"/>
      <c r="M8400" s="102"/>
      <c r="N8400" s="1192"/>
      <c r="O8400" s="71"/>
      <c r="P8400" s="103"/>
      <c r="Q8400" s="71"/>
      <c r="R8400" s="102"/>
      <c r="S8400" s="102">
        <f t="shared" si="5169"/>
        <v>0</v>
      </c>
      <c r="T8400" s="102">
        <f t="shared" si="5170"/>
        <v>0</v>
      </c>
      <c r="U8400" s="71"/>
      <c r="V8400" s="71"/>
      <c r="W8400" s="474"/>
      <c r="X8400" s="71"/>
      <c r="Y8400" s="71"/>
    </row>
    <row r="8401" spans="1:25" ht="30" hidden="1" customHeight="1" x14ac:dyDescent="0.25">
      <c r="A8401" s="1145"/>
      <c r="B8401" s="664"/>
      <c r="C8401" s="71"/>
      <c r="D8401" s="71"/>
      <c r="E8401" s="102"/>
      <c r="F8401" s="102"/>
      <c r="G8401" s="102"/>
      <c r="H8401" s="690"/>
      <c r="I8401" s="71"/>
      <c r="J8401" s="53"/>
      <c r="K8401" s="63"/>
      <c r="L8401" s="1212"/>
      <c r="M8401" s="468"/>
      <c r="N8401" s="1192"/>
      <c r="O8401" s="71"/>
      <c r="P8401" s="103"/>
      <c r="Q8401" s="71"/>
      <c r="R8401" s="147"/>
      <c r="S8401" s="102">
        <f t="shared" si="5169"/>
        <v>0</v>
      </c>
      <c r="T8401" s="102">
        <f t="shared" si="5170"/>
        <v>0</v>
      </c>
      <c r="U8401" s="71"/>
      <c r="V8401" s="71"/>
      <c r="W8401" s="474"/>
      <c r="X8401" s="71"/>
      <c r="Y8401" s="71"/>
    </row>
    <row r="8402" spans="1:25" ht="30" hidden="1" customHeight="1" x14ac:dyDescent="0.25">
      <c r="A8402" s="1145"/>
      <c r="B8402" s="664"/>
      <c r="C8402" s="71"/>
      <c r="D8402" s="71"/>
      <c r="E8402" s="102"/>
      <c r="F8402" s="102"/>
      <c r="G8402" s="102"/>
      <c r="H8402" s="690"/>
      <c r="I8402" s="71"/>
      <c r="J8402" s="53"/>
      <c r="K8402" s="63"/>
      <c r="L8402" s="1212"/>
      <c r="M8402" s="102"/>
      <c r="N8402" s="1192"/>
      <c r="O8402" s="71"/>
      <c r="P8402" s="103"/>
      <c r="Q8402" s="71"/>
      <c r="R8402" s="102"/>
      <c r="S8402" s="102">
        <f t="shared" si="5169"/>
        <v>0</v>
      </c>
      <c r="T8402" s="102">
        <f t="shared" si="5170"/>
        <v>0</v>
      </c>
      <c r="U8402" s="71"/>
      <c r="V8402" s="71"/>
      <c r="W8402" s="474"/>
      <c r="X8402" s="71"/>
      <c r="Y8402" s="71"/>
    </row>
    <row r="8403" spans="1:25" ht="30" hidden="1" customHeight="1" x14ac:dyDescent="0.25">
      <c r="A8403" s="1145"/>
      <c r="B8403" s="664"/>
      <c r="C8403" s="71"/>
      <c r="D8403" s="71"/>
      <c r="E8403" s="102"/>
      <c r="F8403" s="102"/>
      <c r="G8403" s="102"/>
      <c r="H8403" s="690"/>
      <c r="I8403" s="71"/>
      <c r="J8403" s="53"/>
      <c r="K8403" s="63"/>
      <c r="L8403" s="1212"/>
      <c r="M8403" s="468"/>
      <c r="N8403" s="1192"/>
      <c r="O8403" s="71"/>
      <c r="P8403" s="103"/>
      <c r="Q8403" s="71"/>
      <c r="R8403" s="147"/>
      <c r="S8403" s="102">
        <f t="shared" si="5169"/>
        <v>0</v>
      </c>
      <c r="T8403" s="102">
        <f t="shared" si="5170"/>
        <v>0</v>
      </c>
      <c r="U8403" s="71"/>
      <c r="V8403" s="71"/>
      <c r="W8403" s="474"/>
      <c r="X8403" s="71"/>
      <c r="Y8403" s="71"/>
    </row>
    <row r="8404" spans="1:25" ht="30" hidden="1" customHeight="1" x14ac:dyDescent="0.25">
      <c r="A8404" s="1145"/>
      <c r="B8404" s="664"/>
      <c r="C8404" s="71"/>
      <c r="D8404" s="71"/>
      <c r="E8404" s="102"/>
      <c r="F8404" s="102"/>
      <c r="G8404" s="102"/>
      <c r="H8404" s="690"/>
      <c r="I8404" s="71"/>
      <c r="J8404" s="53"/>
      <c r="K8404" s="63"/>
      <c r="L8404" s="1212"/>
      <c r="M8404" s="102"/>
      <c r="N8404" s="1192"/>
      <c r="O8404" s="71"/>
      <c r="P8404" s="103"/>
      <c r="Q8404" s="71"/>
      <c r="R8404" s="102"/>
      <c r="S8404" s="102">
        <f t="shared" si="5169"/>
        <v>0</v>
      </c>
      <c r="T8404" s="102">
        <f t="shared" si="5170"/>
        <v>0</v>
      </c>
      <c r="U8404" s="71"/>
      <c r="V8404" s="71"/>
      <c r="W8404" s="474"/>
      <c r="X8404" s="71"/>
      <c r="Y8404" s="71"/>
    </row>
    <row r="8405" spans="1:25" ht="30" hidden="1" customHeight="1" x14ac:dyDescent="0.25">
      <c r="A8405" s="1145"/>
      <c r="B8405" s="664"/>
      <c r="C8405" s="71"/>
      <c r="D8405" s="71"/>
      <c r="E8405" s="102"/>
      <c r="F8405" s="102"/>
      <c r="G8405" s="102"/>
      <c r="H8405" s="690"/>
      <c r="I8405" s="71"/>
      <c r="J8405" s="53"/>
      <c r="K8405" s="63"/>
      <c r="L8405" s="1212"/>
      <c r="M8405" s="102"/>
      <c r="N8405" s="1192"/>
      <c r="O8405" s="71"/>
      <c r="P8405" s="103"/>
      <c r="Q8405" s="71"/>
      <c r="R8405" s="102"/>
      <c r="S8405" s="102">
        <f t="shared" si="5169"/>
        <v>0</v>
      </c>
      <c r="T8405" s="102">
        <f t="shared" si="5170"/>
        <v>0</v>
      </c>
      <c r="U8405" s="71"/>
      <c r="V8405" s="71"/>
      <c r="W8405" s="474"/>
      <c r="X8405" s="71"/>
      <c r="Y8405" s="71"/>
    </row>
    <row r="8406" spans="1:25" ht="30" hidden="1" customHeight="1" x14ac:dyDescent="0.25">
      <c r="A8406" s="1145"/>
      <c r="B8406" s="664"/>
      <c r="C8406" s="71"/>
      <c r="D8406" s="71"/>
      <c r="E8406" s="102"/>
      <c r="F8406" s="102"/>
      <c r="G8406" s="102"/>
      <c r="H8406" s="690"/>
      <c r="I8406" s="71"/>
      <c r="J8406" s="53"/>
      <c r="K8406" s="63"/>
      <c r="L8406" s="1212"/>
      <c r="M8406" s="468"/>
      <c r="N8406" s="1192"/>
      <c r="O8406" s="71"/>
      <c r="P8406" s="103"/>
      <c r="Q8406" s="71"/>
      <c r="R8406" s="147"/>
      <c r="S8406" s="102">
        <f t="shared" si="5169"/>
        <v>0</v>
      </c>
      <c r="T8406" s="102">
        <f t="shared" si="5170"/>
        <v>0</v>
      </c>
      <c r="U8406" s="71"/>
      <c r="V8406" s="71"/>
      <c r="W8406" s="474"/>
      <c r="X8406" s="71"/>
      <c r="Y8406" s="71"/>
    </row>
    <row r="8407" spans="1:25" ht="30" hidden="1" customHeight="1" x14ac:dyDescent="0.25">
      <c r="A8407" s="1145"/>
      <c r="B8407" s="664"/>
      <c r="C8407" s="71"/>
      <c r="D8407" s="71"/>
      <c r="E8407" s="102"/>
      <c r="F8407" s="102"/>
      <c r="G8407" s="102"/>
      <c r="H8407" s="690"/>
      <c r="I8407" s="71"/>
      <c r="J8407" s="53"/>
      <c r="K8407" s="63"/>
      <c r="L8407" s="1212"/>
      <c r="M8407" s="102"/>
      <c r="N8407" s="1192"/>
      <c r="O8407" s="71"/>
      <c r="P8407" s="103"/>
      <c r="Q8407" s="71"/>
      <c r="R8407" s="102"/>
      <c r="S8407" s="102">
        <f t="shared" si="5169"/>
        <v>0</v>
      </c>
      <c r="T8407" s="102">
        <f t="shared" si="5170"/>
        <v>0</v>
      </c>
      <c r="U8407" s="71"/>
      <c r="V8407" s="71"/>
      <c r="W8407" s="474"/>
      <c r="X8407" s="71"/>
      <c r="Y8407" s="71"/>
    </row>
    <row r="8408" spans="1:25" ht="30" hidden="1" customHeight="1" x14ac:dyDescent="0.25">
      <c r="A8408" s="1145"/>
      <c r="B8408" s="664"/>
      <c r="C8408" s="71"/>
      <c r="D8408" s="71"/>
      <c r="E8408" s="102"/>
      <c r="F8408" s="102"/>
      <c r="G8408" s="102"/>
      <c r="H8408" s="690"/>
      <c r="I8408" s="71"/>
      <c r="J8408" s="53"/>
      <c r="K8408" s="63"/>
      <c r="L8408" s="1212"/>
      <c r="M8408" s="468"/>
      <c r="N8408" s="1192"/>
      <c r="O8408" s="71"/>
      <c r="P8408" s="103"/>
      <c r="Q8408" s="71"/>
      <c r="R8408" s="147"/>
      <c r="S8408" s="102">
        <f t="shared" ref="S8408:S8471" si="5171">R8408*Q8408*1.1</f>
        <v>0</v>
      </c>
      <c r="T8408" s="102">
        <f t="shared" ref="T8408:T8471" si="5172">R8408*Q8408</f>
        <v>0</v>
      </c>
      <c r="U8408" s="71"/>
      <c r="V8408" s="71"/>
      <c r="W8408" s="474"/>
      <c r="X8408" s="71"/>
      <c r="Y8408" s="71"/>
    </row>
    <row r="8409" spans="1:25" ht="30" hidden="1" customHeight="1" x14ac:dyDescent="0.25">
      <c r="A8409" s="1145"/>
      <c r="B8409" s="664"/>
      <c r="C8409" s="71"/>
      <c r="D8409" s="71"/>
      <c r="E8409" s="102"/>
      <c r="F8409" s="102"/>
      <c r="G8409" s="102"/>
      <c r="H8409" s="690"/>
      <c r="I8409" s="71"/>
      <c r="J8409" s="53"/>
      <c r="K8409" s="63"/>
      <c r="L8409" s="1212"/>
      <c r="M8409" s="102"/>
      <c r="N8409" s="1192"/>
      <c r="O8409" s="71"/>
      <c r="P8409" s="103"/>
      <c r="Q8409" s="71"/>
      <c r="R8409" s="102"/>
      <c r="S8409" s="102">
        <f t="shared" si="5171"/>
        <v>0</v>
      </c>
      <c r="T8409" s="102">
        <f t="shared" si="5172"/>
        <v>0</v>
      </c>
      <c r="U8409" s="71"/>
      <c r="V8409" s="71"/>
      <c r="W8409" s="474"/>
      <c r="X8409" s="71"/>
      <c r="Y8409" s="71"/>
    </row>
    <row r="8410" spans="1:25" ht="30" hidden="1" customHeight="1" x14ac:dyDescent="0.25">
      <c r="A8410" s="1145"/>
      <c r="B8410" s="664"/>
      <c r="C8410" s="71"/>
      <c r="D8410" s="71"/>
      <c r="E8410" s="102"/>
      <c r="F8410" s="102"/>
      <c r="G8410" s="102"/>
      <c r="H8410" s="690"/>
      <c r="I8410" s="71"/>
      <c r="J8410" s="53"/>
      <c r="K8410" s="63"/>
      <c r="L8410" s="1212"/>
      <c r="M8410" s="468"/>
      <c r="N8410" s="1192"/>
      <c r="O8410" s="71"/>
      <c r="P8410" s="103"/>
      <c r="Q8410" s="71"/>
      <c r="R8410" s="147"/>
      <c r="S8410" s="102">
        <f t="shared" si="5171"/>
        <v>0</v>
      </c>
      <c r="T8410" s="102">
        <f t="shared" si="5172"/>
        <v>0</v>
      </c>
      <c r="U8410" s="71"/>
      <c r="V8410" s="71"/>
      <c r="W8410" s="474"/>
      <c r="X8410" s="71"/>
      <c r="Y8410" s="71"/>
    </row>
    <row r="8411" spans="1:25" ht="30" hidden="1" customHeight="1" x14ac:dyDescent="0.25">
      <c r="A8411" s="1145"/>
      <c r="B8411" s="664"/>
      <c r="C8411" s="71"/>
      <c r="D8411" s="71"/>
      <c r="E8411" s="102"/>
      <c r="F8411" s="102"/>
      <c r="G8411" s="102"/>
      <c r="H8411" s="690"/>
      <c r="I8411" s="71"/>
      <c r="J8411" s="53"/>
      <c r="K8411" s="63"/>
      <c r="L8411" s="1212"/>
      <c r="M8411" s="102"/>
      <c r="N8411" s="1192"/>
      <c r="O8411" s="71"/>
      <c r="P8411" s="103"/>
      <c r="Q8411" s="71"/>
      <c r="R8411" s="102"/>
      <c r="S8411" s="102">
        <f t="shared" si="5171"/>
        <v>0</v>
      </c>
      <c r="T8411" s="102">
        <f t="shared" si="5172"/>
        <v>0</v>
      </c>
      <c r="U8411" s="71"/>
      <c r="V8411" s="71"/>
      <c r="W8411" s="474"/>
      <c r="X8411" s="71"/>
      <c r="Y8411" s="71"/>
    </row>
    <row r="8412" spans="1:25" ht="30" hidden="1" customHeight="1" x14ac:dyDescent="0.25">
      <c r="A8412" s="1145"/>
      <c r="B8412" s="664"/>
      <c r="C8412" s="71"/>
      <c r="D8412" s="71"/>
      <c r="E8412" s="102"/>
      <c r="F8412" s="102"/>
      <c r="G8412" s="102"/>
      <c r="H8412" s="690"/>
      <c r="I8412" s="71"/>
      <c r="J8412" s="53"/>
      <c r="K8412" s="63"/>
      <c r="L8412" s="1212"/>
      <c r="M8412" s="468"/>
      <c r="N8412" s="1192"/>
      <c r="O8412" s="71"/>
      <c r="P8412" s="103"/>
      <c r="Q8412" s="71"/>
      <c r="R8412" s="147"/>
      <c r="S8412" s="102">
        <f t="shared" si="5171"/>
        <v>0</v>
      </c>
      <c r="T8412" s="102">
        <f t="shared" si="5172"/>
        <v>0</v>
      </c>
      <c r="U8412" s="71"/>
      <c r="V8412" s="71"/>
      <c r="W8412" s="474"/>
      <c r="X8412" s="71"/>
      <c r="Y8412" s="71"/>
    </row>
    <row r="8413" spans="1:25" ht="30" hidden="1" customHeight="1" x14ac:dyDescent="0.25">
      <c r="A8413" s="1145"/>
      <c r="B8413" s="664"/>
      <c r="C8413" s="71"/>
      <c r="D8413" s="71"/>
      <c r="E8413" s="102"/>
      <c r="F8413" s="102"/>
      <c r="G8413" s="102"/>
      <c r="H8413" s="690"/>
      <c r="I8413" s="71"/>
      <c r="J8413" s="53"/>
      <c r="K8413" s="63"/>
      <c r="L8413" s="1212"/>
      <c r="M8413" s="102"/>
      <c r="N8413" s="1192"/>
      <c r="O8413" s="71"/>
      <c r="P8413" s="103"/>
      <c r="Q8413" s="71"/>
      <c r="R8413" s="102"/>
      <c r="S8413" s="102">
        <f t="shared" si="5171"/>
        <v>0</v>
      </c>
      <c r="T8413" s="102">
        <f t="shared" si="5172"/>
        <v>0</v>
      </c>
      <c r="U8413" s="71"/>
      <c r="V8413" s="71"/>
      <c r="W8413" s="474"/>
      <c r="X8413" s="71"/>
      <c r="Y8413" s="71"/>
    </row>
    <row r="8414" spans="1:25" ht="30" hidden="1" customHeight="1" x14ac:dyDescent="0.25">
      <c r="A8414" s="1145"/>
      <c r="B8414" s="664"/>
      <c r="C8414" s="71"/>
      <c r="D8414" s="71"/>
      <c r="E8414" s="102"/>
      <c r="F8414" s="102"/>
      <c r="G8414" s="102"/>
      <c r="H8414" s="690"/>
      <c r="I8414" s="71"/>
      <c r="J8414" s="53"/>
      <c r="K8414" s="63"/>
      <c r="L8414" s="1212"/>
      <c r="M8414" s="102"/>
      <c r="N8414" s="1192"/>
      <c r="O8414" s="71"/>
      <c r="P8414" s="103"/>
      <c r="Q8414" s="71"/>
      <c r="R8414" s="102"/>
      <c r="S8414" s="102">
        <f t="shared" si="5171"/>
        <v>0</v>
      </c>
      <c r="T8414" s="102">
        <f t="shared" si="5172"/>
        <v>0</v>
      </c>
      <c r="U8414" s="71"/>
      <c r="V8414" s="71"/>
      <c r="W8414" s="474"/>
      <c r="X8414" s="71"/>
      <c r="Y8414" s="71"/>
    </row>
    <row r="8415" spans="1:25" ht="30" hidden="1" customHeight="1" x14ac:dyDescent="0.25">
      <c r="A8415" s="1145"/>
      <c r="B8415" s="664"/>
      <c r="C8415" s="71"/>
      <c r="D8415" s="71"/>
      <c r="E8415" s="102"/>
      <c r="F8415" s="102"/>
      <c r="G8415" s="102"/>
      <c r="H8415" s="690"/>
      <c r="I8415" s="71"/>
      <c r="J8415" s="53"/>
      <c r="K8415" s="63"/>
      <c r="L8415" s="1212"/>
      <c r="M8415" s="468"/>
      <c r="N8415" s="1192"/>
      <c r="O8415" s="71"/>
      <c r="P8415" s="103"/>
      <c r="Q8415" s="71"/>
      <c r="R8415" s="147"/>
      <c r="S8415" s="102">
        <f t="shared" si="5171"/>
        <v>0</v>
      </c>
      <c r="T8415" s="102">
        <f t="shared" si="5172"/>
        <v>0</v>
      </c>
      <c r="U8415" s="71"/>
      <c r="V8415" s="71"/>
      <c r="W8415" s="474"/>
      <c r="X8415" s="71"/>
      <c r="Y8415" s="71"/>
    </row>
    <row r="8416" spans="1:25" ht="30" hidden="1" customHeight="1" x14ac:dyDescent="0.25">
      <c r="A8416" s="1145"/>
      <c r="B8416" s="664"/>
      <c r="C8416" s="71"/>
      <c r="D8416" s="71"/>
      <c r="E8416" s="102"/>
      <c r="F8416" s="102"/>
      <c r="G8416" s="102"/>
      <c r="H8416" s="690"/>
      <c r="I8416" s="71"/>
      <c r="J8416" s="53"/>
      <c r="K8416" s="63"/>
      <c r="L8416" s="1212"/>
      <c r="M8416" s="102"/>
      <c r="N8416" s="1192"/>
      <c r="O8416" s="71"/>
      <c r="P8416" s="103"/>
      <c r="Q8416" s="71"/>
      <c r="R8416" s="102"/>
      <c r="S8416" s="102">
        <f t="shared" si="5171"/>
        <v>0</v>
      </c>
      <c r="T8416" s="102">
        <f t="shared" si="5172"/>
        <v>0</v>
      </c>
      <c r="U8416" s="71"/>
      <c r="V8416" s="71"/>
      <c r="W8416" s="474"/>
      <c r="X8416" s="71"/>
      <c r="Y8416" s="71"/>
    </row>
    <row r="8417" spans="1:25" ht="30" hidden="1" customHeight="1" x14ac:dyDescent="0.25">
      <c r="A8417" s="1145"/>
      <c r="B8417" s="664"/>
      <c r="C8417" s="71"/>
      <c r="D8417" s="71"/>
      <c r="E8417" s="102"/>
      <c r="F8417" s="102"/>
      <c r="G8417" s="102"/>
      <c r="H8417" s="690"/>
      <c r="I8417" s="71"/>
      <c r="J8417" s="53"/>
      <c r="K8417" s="63"/>
      <c r="L8417" s="1212"/>
      <c r="M8417" s="468"/>
      <c r="N8417" s="1192"/>
      <c r="O8417" s="71"/>
      <c r="P8417" s="103"/>
      <c r="Q8417" s="71"/>
      <c r="R8417" s="147"/>
      <c r="S8417" s="102">
        <f t="shared" si="5171"/>
        <v>0</v>
      </c>
      <c r="T8417" s="102">
        <f t="shared" si="5172"/>
        <v>0</v>
      </c>
      <c r="U8417" s="71"/>
      <c r="V8417" s="71"/>
      <c r="W8417" s="474"/>
      <c r="X8417" s="71"/>
      <c r="Y8417" s="71"/>
    </row>
    <row r="8418" spans="1:25" ht="30" hidden="1" customHeight="1" x14ac:dyDescent="0.25">
      <c r="A8418" s="1145"/>
      <c r="B8418" s="664"/>
      <c r="C8418" s="71"/>
      <c r="D8418" s="71"/>
      <c r="E8418" s="102"/>
      <c r="F8418" s="102"/>
      <c r="G8418" s="102"/>
      <c r="H8418" s="690"/>
      <c r="I8418" s="71"/>
      <c r="J8418" s="53"/>
      <c r="K8418" s="63"/>
      <c r="L8418" s="1212"/>
      <c r="M8418" s="102"/>
      <c r="N8418" s="1192"/>
      <c r="O8418" s="71"/>
      <c r="P8418" s="103"/>
      <c r="Q8418" s="71"/>
      <c r="R8418" s="102"/>
      <c r="S8418" s="102">
        <f t="shared" si="5171"/>
        <v>0</v>
      </c>
      <c r="T8418" s="102">
        <f t="shared" si="5172"/>
        <v>0</v>
      </c>
      <c r="U8418" s="71"/>
      <c r="V8418" s="71"/>
      <c r="W8418" s="474"/>
      <c r="X8418" s="71"/>
      <c r="Y8418" s="71"/>
    </row>
    <row r="8419" spans="1:25" ht="30" hidden="1" customHeight="1" x14ac:dyDescent="0.25">
      <c r="A8419" s="1145"/>
      <c r="B8419" s="664"/>
      <c r="C8419" s="71"/>
      <c r="D8419" s="71"/>
      <c r="E8419" s="102"/>
      <c r="F8419" s="102"/>
      <c r="G8419" s="102"/>
      <c r="H8419" s="690"/>
      <c r="I8419" s="71"/>
      <c r="J8419" s="53"/>
      <c r="K8419" s="63"/>
      <c r="L8419" s="1212"/>
      <c r="M8419" s="468"/>
      <c r="N8419" s="1192"/>
      <c r="O8419" s="71"/>
      <c r="P8419" s="103"/>
      <c r="Q8419" s="71"/>
      <c r="R8419" s="147"/>
      <c r="S8419" s="102">
        <f t="shared" si="5171"/>
        <v>0</v>
      </c>
      <c r="T8419" s="102">
        <f t="shared" si="5172"/>
        <v>0</v>
      </c>
      <c r="U8419" s="71"/>
      <c r="V8419" s="71"/>
      <c r="W8419" s="474"/>
      <c r="X8419" s="71"/>
      <c r="Y8419" s="71"/>
    </row>
    <row r="8420" spans="1:25" ht="30" hidden="1" customHeight="1" x14ac:dyDescent="0.25">
      <c r="A8420" s="1145"/>
      <c r="B8420" s="664"/>
      <c r="C8420" s="71"/>
      <c r="D8420" s="71"/>
      <c r="E8420" s="102"/>
      <c r="F8420" s="102"/>
      <c r="G8420" s="102"/>
      <c r="H8420" s="690"/>
      <c r="I8420" s="71"/>
      <c r="J8420" s="53"/>
      <c r="K8420" s="63"/>
      <c r="L8420" s="1212"/>
      <c r="M8420" s="102"/>
      <c r="N8420" s="1192"/>
      <c r="O8420" s="71"/>
      <c r="P8420" s="103"/>
      <c r="Q8420" s="71"/>
      <c r="R8420" s="102"/>
      <c r="S8420" s="102">
        <f t="shared" si="5171"/>
        <v>0</v>
      </c>
      <c r="T8420" s="102">
        <f t="shared" si="5172"/>
        <v>0</v>
      </c>
      <c r="U8420" s="71"/>
      <c r="V8420" s="71"/>
      <c r="W8420" s="474"/>
      <c r="X8420" s="71"/>
      <c r="Y8420" s="71"/>
    </row>
    <row r="8421" spans="1:25" ht="30" hidden="1" customHeight="1" x14ac:dyDescent="0.25">
      <c r="A8421" s="1145"/>
      <c r="B8421" s="664"/>
      <c r="C8421" s="71"/>
      <c r="D8421" s="71"/>
      <c r="E8421" s="102"/>
      <c r="F8421" s="102"/>
      <c r="G8421" s="102"/>
      <c r="H8421" s="690"/>
      <c r="I8421" s="71"/>
      <c r="J8421" s="53"/>
      <c r="K8421" s="63"/>
      <c r="L8421" s="1212"/>
      <c r="M8421" s="468"/>
      <c r="N8421" s="1192"/>
      <c r="O8421" s="71"/>
      <c r="P8421" s="103"/>
      <c r="Q8421" s="71"/>
      <c r="R8421" s="147"/>
      <c r="S8421" s="102">
        <f t="shared" si="5171"/>
        <v>0</v>
      </c>
      <c r="T8421" s="102">
        <f t="shared" si="5172"/>
        <v>0</v>
      </c>
      <c r="U8421" s="71"/>
      <c r="V8421" s="71"/>
      <c r="W8421" s="474"/>
      <c r="X8421" s="71"/>
      <c r="Y8421" s="71"/>
    </row>
    <row r="8422" spans="1:25" ht="30" hidden="1" customHeight="1" x14ac:dyDescent="0.25">
      <c r="A8422" s="1145"/>
      <c r="B8422" s="664"/>
      <c r="C8422" s="71"/>
      <c r="D8422" s="71"/>
      <c r="E8422" s="102"/>
      <c r="F8422" s="102"/>
      <c r="G8422" s="102"/>
      <c r="H8422" s="690"/>
      <c r="I8422" s="71"/>
      <c r="J8422" s="53"/>
      <c r="K8422" s="63"/>
      <c r="L8422" s="1212"/>
      <c r="M8422" s="102"/>
      <c r="N8422" s="1192"/>
      <c r="O8422" s="71"/>
      <c r="P8422" s="103"/>
      <c r="Q8422" s="71"/>
      <c r="R8422" s="102"/>
      <c r="S8422" s="102">
        <f t="shared" si="5171"/>
        <v>0</v>
      </c>
      <c r="T8422" s="102">
        <f t="shared" si="5172"/>
        <v>0</v>
      </c>
      <c r="U8422" s="71"/>
      <c r="V8422" s="71"/>
      <c r="W8422" s="474"/>
      <c r="X8422" s="71"/>
      <c r="Y8422" s="71"/>
    </row>
    <row r="8423" spans="1:25" ht="30" hidden="1" customHeight="1" x14ac:dyDescent="0.25">
      <c r="A8423" s="1145"/>
      <c r="B8423" s="664"/>
      <c r="C8423" s="71"/>
      <c r="D8423" s="71"/>
      <c r="E8423" s="102"/>
      <c r="F8423" s="102"/>
      <c r="G8423" s="102"/>
      <c r="H8423" s="690"/>
      <c r="I8423" s="71"/>
      <c r="J8423" s="53"/>
      <c r="K8423" s="63"/>
      <c r="L8423" s="1212"/>
      <c r="M8423" s="102"/>
      <c r="N8423" s="1192"/>
      <c r="O8423" s="71"/>
      <c r="P8423" s="103"/>
      <c r="Q8423" s="71"/>
      <c r="R8423" s="102"/>
      <c r="S8423" s="102">
        <f t="shared" si="5171"/>
        <v>0</v>
      </c>
      <c r="T8423" s="102">
        <f t="shared" si="5172"/>
        <v>0</v>
      </c>
      <c r="U8423" s="71"/>
      <c r="V8423" s="71"/>
      <c r="W8423" s="474"/>
      <c r="X8423" s="71"/>
      <c r="Y8423" s="71"/>
    </row>
    <row r="8424" spans="1:25" ht="30" hidden="1" customHeight="1" x14ac:dyDescent="0.25">
      <c r="A8424" s="1145"/>
      <c r="B8424" s="664"/>
      <c r="C8424" s="71"/>
      <c r="D8424" s="71"/>
      <c r="E8424" s="102"/>
      <c r="F8424" s="102"/>
      <c r="G8424" s="102"/>
      <c r="H8424" s="690"/>
      <c r="I8424" s="71"/>
      <c r="J8424" s="53"/>
      <c r="K8424" s="63"/>
      <c r="L8424" s="1212"/>
      <c r="M8424" s="468"/>
      <c r="N8424" s="1192"/>
      <c r="O8424" s="71"/>
      <c r="P8424" s="103"/>
      <c r="Q8424" s="71"/>
      <c r="R8424" s="147"/>
      <c r="S8424" s="102">
        <f t="shared" si="5171"/>
        <v>0</v>
      </c>
      <c r="T8424" s="102">
        <f t="shared" si="5172"/>
        <v>0</v>
      </c>
      <c r="U8424" s="71"/>
      <c r="V8424" s="71"/>
      <c r="W8424" s="474"/>
      <c r="X8424" s="71"/>
      <c r="Y8424" s="71"/>
    </row>
    <row r="8425" spans="1:25" ht="30" hidden="1" customHeight="1" x14ac:dyDescent="0.25">
      <c r="A8425" s="1145"/>
      <c r="B8425" s="664"/>
      <c r="C8425" s="71"/>
      <c r="D8425" s="71"/>
      <c r="E8425" s="102"/>
      <c r="F8425" s="102"/>
      <c r="G8425" s="102"/>
      <c r="H8425" s="690"/>
      <c r="I8425" s="71"/>
      <c r="J8425" s="53"/>
      <c r="K8425" s="63"/>
      <c r="L8425" s="1212"/>
      <c r="M8425" s="102"/>
      <c r="N8425" s="1192"/>
      <c r="O8425" s="71"/>
      <c r="P8425" s="103"/>
      <c r="Q8425" s="71"/>
      <c r="R8425" s="102"/>
      <c r="S8425" s="102">
        <f t="shared" si="5171"/>
        <v>0</v>
      </c>
      <c r="T8425" s="102">
        <f t="shared" si="5172"/>
        <v>0</v>
      </c>
      <c r="U8425" s="71"/>
      <c r="V8425" s="71"/>
      <c r="W8425" s="474"/>
      <c r="X8425" s="71"/>
      <c r="Y8425" s="71"/>
    </row>
    <row r="8426" spans="1:25" ht="30" hidden="1" customHeight="1" x14ac:dyDescent="0.25">
      <c r="A8426" s="1145"/>
      <c r="B8426" s="664"/>
      <c r="C8426" s="71"/>
      <c r="D8426" s="71"/>
      <c r="E8426" s="102"/>
      <c r="F8426" s="102"/>
      <c r="G8426" s="102"/>
      <c r="H8426" s="690"/>
      <c r="I8426" s="71"/>
      <c r="J8426" s="53"/>
      <c r="K8426" s="63"/>
      <c r="L8426" s="1212"/>
      <c r="M8426" s="468"/>
      <c r="N8426" s="1192"/>
      <c r="O8426" s="71"/>
      <c r="P8426" s="103"/>
      <c r="Q8426" s="71"/>
      <c r="R8426" s="147"/>
      <c r="S8426" s="102">
        <f t="shared" si="5171"/>
        <v>0</v>
      </c>
      <c r="T8426" s="102">
        <f t="shared" si="5172"/>
        <v>0</v>
      </c>
      <c r="U8426" s="71"/>
      <c r="V8426" s="71"/>
      <c r="W8426" s="474"/>
      <c r="X8426" s="71"/>
      <c r="Y8426" s="71"/>
    </row>
    <row r="8427" spans="1:25" ht="30" hidden="1" customHeight="1" x14ac:dyDescent="0.25">
      <c r="A8427" s="1145"/>
      <c r="B8427" s="664"/>
      <c r="C8427" s="71"/>
      <c r="D8427" s="71"/>
      <c r="E8427" s="102"/>
      <c r="F8427" s="102"/>
      <c r="G8427" s="102"/>
      <c r="H8427" s="690"/>
      <c r="I8427" s="71"/>
      <c r="J8427" s="53"/>
      <c r="K8427" s="63"/>
      <c r="L8427" s="1212"/>
      <c r="M8427" s="102"/>
      <c r="N8427" s="1192"/>
      <c r="O8427" s="71"/>
      <c r="P8427" s="103"/>
      <c r="Q8427" s="71"/>
      <c r="R8427" s="102"/>
      <c r="S8427" s="102">
        <f t="shared" si="5171"/>
        <v>0</v>
      </c>
      <c r="T8427" s="102">
        <f t="shared" si="5172"/>
        <v>0</v>
      </c>
      <c r="U8427" s="71"/>
      <c r="V8427" s="71"/>
      <c r="W8427" s="474"/>
      <c r="X8427" s="71"/>
      <c r="Y8427" s="71"/>
    </row>
    <row r="8428" spans="1:25" ht="30" hidden="1" customHeight="1" x14ac:dyDescent="0.25">
      <c r="A8428" s="1145"/>
      <c r="B8428" s="664"/>
      <c r="C8428" s="71"/>
      <c r="D8428" s="71"/>
      <c r="E8428" s="102"/>
      <c r="F8428" s="102"/>
      <c r="G8428" s="102"/>
      <c r="H8428" s="690"/>
      <c r="I8428" s="71"/>
      <c r="J8428" s="53"/>
      <c r="K8428" s="63"/>
      <c r="L8428" s="1212"/>
      <c r="M8428" s="468"/>
      <c r="N8428" s="1192"/>
      <c r="O8428" s="71"/>
      <c r="P8428" s="103"/>
      <c r="Q8428" s="71"/>
      <c r="R8428" s="147"/>
      <c r="S8428" s="102">
        <f t="shared" si="5171"/>
        <v>0</v>
      </c>
      <c r="T8428" s="102">
        <f t="shared" si="5172"/>
        <v>0</v>
      </c>
      <c r="U8428" s="71"/>
      <c r="V8428" s="71"/>
      <c r="W8428" s="474"/>
      <c r="X8428" s="71"/>
      <c r="Y8428" s="71"/>
    </row>
    <row r="8429" spans="1:25" ht="30" hidden="1" customHeight="1" x14ac:dyDescent="0.25">
      <c r="A8429" s="1145"/>
      <c r="B8429" s="664"/>
      <c r="C8429" s="71"/>
      <c r="D8429" s="71"/>
      <c r="E8429" s="102"/>
      <c r="F8429" s="102"/>
      <c r="G8429" s="102"/>
      <c r="H8429" s="690"/>
      <c r="I8429" s="71"/>
      <c r="J8429" s="53"/>
      <c r="K8429" s="63"/>
      <c r="L8429" s="1212"/>
      <c r="M8429" s="102"/>
      <c r="N8429" s="1192"/>
      <c r="O8429" s="71"/>
      <c r="P8429" s="103"/>
      <c r="Q8429" s="71"/>
      <c r="R8429" s="102"/>
      <c r="S8429" s="102">
        <f t="shared" si="5171"/>
        <v>0</v>
      </c>
      <c r="T8429" s="102">
        <f t="shared" si="5172"/>
        <v>0</v>
      </c>
      <c r="U8429" s="71"/>
      <c r="V8429" s="71"/>
      <c r="W8429" s="474"/>
      <c r="X8429" s="71"/>
      <c r="Y8429" s="71"/>
    </row>
    <row r="8430" spans="1:25" ht="30" hidden="1" customHeight="1" x14ac:dyDescent="0.25">
      <c r="A8430" s="1145"/>
      <c r="B8430" s="664"/>
      <c r="C8430" s="71"/>
      <c r="D8430" s="71"/>
      <c r="E8430" s="102"/>
      <c r="F8430" s="102"/>
      <c r="G8430" s="102"/>
      <c r="H8430" s="690"/>
      <c r="I8430" s="71"/>
      <c r="J8430" s="53"/>
      <c r="K8430" s="63"/>
      <c r="L8430" s="1212"/>
      <c r="M8430" s="468"/>
      <c r="N8430" s="1192"/>
      <c r="O8430" s="71"/>
      <c r="P8430" s="103"/>
      <c r="Q8430" s="71"/>
      <c r="R8430" s="147"/>
      <c r="S8430" s="102">
        <f t="shared" si="5171"/>
        <v>0</v>
      </c>
      <c r="T8430" s="102">
        <f t="shared" si="5172"/>
        <v>0</v>
      </c>
      <c r="U8430" s="71"/>
      <c r="V8430" s="71"/>
      <c r="W8430" s="474"/>
      <c r="X8430" s="71"/>
      <c r="Y8430" s="71"/>
    </row>
    <row r="8431" spans="1:25" ht="30" hidden="1" customHeight="1" x14ac:dyDescent="0.25">
      <c r="A8431" s="1145"/>
      <c r="B8431" s="664"/>
      <c r="C8431" s="71"/>
      <c r="D8431" s="71"/>
      <c r="E8431" s="102"/>
      <c r="F8431" s="102"/>
      <c r="G8431" s="102"/>
      <c r="H8431" s="690"/>
      <c r="I8431" s="71"/>
      <c r="J8431" s="53"/>
      <c r="K8431" s="63"/>
      <c r="L8431" s="1212"/>
      <c r="M8431" s="102"/>
      <c r="N8431" s="1192"/>
      <c r="O8431" s="71"/>
      <c r="P8431" s="103"/>
      <c r="Q8431" s="71"/>
      <c r="R8431" s="102"/>
      <c r="S8431" s="102">
        <f t="shared" si="5171"/>
        <v>0</v>
      </c>
      <c r="T8431" s="102">
        <f t="shared" si="5172"/>
        <v>0</v>
      </c>
      <c r="U8431" s="71"/>
      <c r="V8431" s="71"/>
      <c r="W8431" s="474"/>
      <c r="X8431" s="71"/>
      <c r="Y8431" s="71"/>
    </row>
    <row r="8432" spans="1:25" ht="30" hidden="1" customHeight="1" x14ac:dyDescent="0.25">
      <c r="A8432" s="1145"/>
      <c r="B8432" s="664"/>
      <c r="C8432" s="71"/>
      <c r="D8432" s="71"/>
      <c r="E8432" s="102"/>
      <c r="F8432" s="102"/>
      <c r="G8432" s="102"/>
      <c r="H8432" s="690"/>
      <c r="I8432" s="71"/>
      <c r="J8432" s="53"/>
      <c r="K8432" s="63"/>
      <c r="L8432" s="1212"/>
      <c r="M8432" s="102"/>
      <c r="N8432" s="1192"/>
      <c r="O8432" s="71"/>
      <c r="P8432" s="103"/>
      <c r="Q8432" s="71"/>
      <c r="R8432" s="102"/>
      <c r="S8432" s="102">
        <f t="shared" si="5171"/>
        <v>0</v>
      </c>
      <c r="T8432" s="102">
        <f t="shared" si="5172"/>
        <v>0</v>
      </c>
      <c r="U8432" s="71"/>
      <c r="V8432" s="71"/>
      <c r="W8432" s="474"/>
      <c r="X8432" s="71"/>
      <c r="Y8432" s="71"/>
    </row>
    <row r="8433" spans="1:25" ht="30" hidden="1" customHeight="1" x14ac:dyDescent="0.25">
      <c r="A8433" s="1145"/>
      <c r="B8433" s="664"/>
      <c r="C8433" s="71"/>
      <c r="D8433" s="71"/>
      <c r="E8433" s="102"/>
      <c r="F8433" s="102"/>
      <c r="G8433" s="102"/>
      <c r="H8433" s="690"/>
      <c r="I8433" s="71"/>
      <c r="J8433" s="53"/>
      <c r="K8433" s="63"/>
      <c r="L8433" s="1212"/>
      <c r="M8433" s="468"/>
      <c r="N8433" s="1192"/>
      <c r="O8433" s="71"/>
      <c r="P8433" s="103"/>
      <c r="Q8433" s="71"/>
      <c r="R8433" s="147"/>
      <c r="S8433" s="102">
        <f t="shared" si="5171"/>
        <v>0</v>
      </c>
      <c r="T8433" s="102">
        <f t="shared" si="5172"/>
        <v>0</v>
      </c>
      <c r="U8433" s="71"/>
      <c r="V8433" s="71"/>
      <c r="W8433" s="474"/>
      <c r="X8433" s="71"/>
      <c r="Y8433" s="71"/>
    </row>
    <row r="8434" spans="1:25" ht="30" hidden="1" customHeight="1" x14ac:dyDescent="0.25">
      <c r="A8434" s="1145"/>
      <c r="B8434" s="664"/>
      <c r="C8434" s="71"/>
      <c r="D8434" s="71"/>
      <c r="E8434" s="102"/>
      <c r="F8434" s="102"/>
      <c r="G8434" s="102"/>
      <c r="H8434" s="690"/>
      <c r="I8434" s="71"/>
      <c r="J8434" s="53"/>
      <c r="K8434" s="63"/>
      <c r="L8434" s="1212"/>
      <c r="M8434" s="102"/>
      <c r="N8434" s="1192"/>
      <c r="O8434" s="71"/>
      <c r="P8434" s="103"/>
      <c r="Q8434" s="71"/>
      <c r="R8434" s="102"/>
      <c r="S8434" s="102">
        <f t="shared" si="5171"/>
        <v>0</v>
      </c>
      <c r="T8434" s="102">
        <f t="shared" si="5172"/>
        <v>0</v>
      </c>
      <c r="U8434" s="71"/>
      <c r="V8434" s="71"/>
      <c r="W8434" s="474"/>
      <c r="X8434" s="71"/>
      <c r="Y8434" s="71"/>
    </row>
    <row r="8435" spans="1:25" ht="30" hidden="1" customHeight="1" x14ac:dyDescent="0.25">
      <c r="A8435" s="1145"/>
      <c r="B8435" s="664"/>
      <c r="C8435" s="71"/>
      <c r="D8435" s="71"/>
      <c r="E8435" s="102"/>
      <c r="F8435" s="102"/>
      <c r="G8435" s="102"/>
      <c r="H8435" s="690"/>
      <c r="I8435" s="71"/>
      <c r="J8435" s="53"/>
      <c r="K8435" s="63"/>
      <c r="L8435" s="1212"/>
      <c r="M8435" s="468"/>
      <c r="N8435" s="1192"/>
      <c r="O8435" s="71"/>
      <c r="P8435" s="103"/>
      <c r="Q8435" s="71"/>
      <c r="R8435" s="147"/>
      <c r="S8435" s="102">
        <f t="shared" si="5171"/>
        <v>0</v>
      </c>
      <c r="T8435" s="102">
        <f t="shared" si="5172"/>
        <v>0</v>
      </c>
      <c r="U8435" s="71"/>
      <c r="V8435" s="71"/>
      <c r="W8435" s="474"/>
      <c r="X8435" s="71"/>
      <c r="Y8435" s="71"/>
    </row>
    <row r="8436" spans="1:25" ht="30" hidden="1" customHeight="1" x14ac:dyDescent="0.25">
      <c r="A8436" s="1145"/>
      <c r="B8436" s="664"/>
      <c r="C8436" s="71"/>
      <c r="D8436" s="71"/>
      <c r="E8436" s="102"/>
      <c r="F8436" s="102"/>
      <c r="G8436" s="102"/>
      <c r="H8436" s="690"/>
      <c r="I8436" s="71"/>
      <c r="J8436" s="53"/>
      <c r="K8436" s="63"/>
      <c r="L8436" s="1212"/>
      <c r="M8436" s="102"/>
      <c r="N8436" s="1192"/>
      <c r="O8436" s="71"/>
      <c r="P8436" s="103"/>
      <c r="Q8436" s="71"/>
      <c r="R8436" s="102"/>
      <c r="S8436" s="102">
        <f t="shared" si="5171"/>
        <v>0</v>
      </c>
      <c r="T8436" s="102">
        <f t="shared" si="5172"/>
        <v>0</v>
      </c>
      <c r="U8436" s="71"/>
      <c r="V8436" s="71"/>
      <c r="W8436" s="474"/>
      <c r="X8436" s="71"/>
      <c r="Y8436" s="71"/>
    </row>
    <row r="8437" spans="1:25" ht="30" hidden="1" customHeight="1" x14ac:dyDescent="0.25">
      <c r="A8437" s="1145"/>
      <c r="B8437" s="664"/>
      <c r="C8437" s="71"/>
      <c r="D8437" s="71"/>
      <c r="E8437" s="102"/>
      <c r="F8437" s="102"/>
      <c r="G8437" s="102"/>
      <c r="H8437" s="690"/>
      <c r="I8437" s="71"/>
      <c r="J8437" s="53"/>
      <c r="K8437" s="63"/>
      <c r="L8437" s="1212"/>
      <c r="M8437" s="468"/>
      <c r="N8437" s="1192"/>
      <c r="O8437" s="71"/>
      <c r="P8437" s="103"/>
      <c r="Q8437" s="71"/>
      <c r="R8437" s="147"/>
      <c r="S8437" s="102">
        <f t="shared" si="5171"/>
        <v>0</v>
      </c>
      <c r="T8437" s="102">
        <f t="shared" si="5172"/>
        <v>0</v>
      </c>
      <c r="U8437" s="71"/>
      <c r="V8437" s="71"/>
      <c r="W8437" s="474"/>
      <c r="X8437" s="71"/>
      <c r="Y8437" s="71"/>
    </row>
    <row r="8438" spans="1:25" ht="30" hidden="1" customHeight="1" x14ac:dyDescent="0.25">
      <c r="A8438" s="1145"/>
      <c r="B8438" s="664"/>
      <c r="C8438" s="71"/>
      <c r="D8438" s="71"/>
      <c r="E8438" s="102"/>
      <c r="F8438" s="102"/>
      <c r="G8438" s="102"/>
      <c r="H8438" s="690"/>
      <c r="I8438" s="71"/>
      <c r="J8438" s="53"/>
      <c r="K8438" s="63"/>
      <c r="L8438" s="1212"/>
      <c r="M8438" s="102"/>
      <c r="N8438" s="1192"/>
      <c r="O8438" s="71"/>
      <c r="P8438" s="103"/>
      <c r="Q8438" s="71"/>
      <c r="R8438" s="102"/>
      <c r="S8438" s="102">
        <f t="shared" si="5171"/>
        <v>0</v>
      </c>
      <c r="T8438" s="102">
        <f t="shared" si="5172"/>
        <v>0</v>
      </c>
      <c r="U8438" s="71"/>
      <c r="V8438" s="71"/>
      <c r="W8438" s="474"/>
      <c r="X8438" s="71"/>
      <c r="Y8438" s="71"/>
    </row>
    <row r="8439" spans="1:25" ht="30" hidden="1" customHeight="1" x14ac:dyDescent="0.25">
      <c r="A8439" s="1145"/>
      <c r="B8439" s="664"/>
      <c r="C8439" s="71"/>
      <c r="D8439" s="71"/>
      <c r="E8439" s="102"/>
      <c r="F8439" s="102"/>
      <c r="G8439" s="102"/>
      <c r="H8439" s="690"/>
      <c r="I8439" s="71"/>
      <c r="J8439" s="53"/>
      <c r="K8439" s="63"/>
      <c r="L8439" s="1212"/>
      <c r="M8439" s="468"/>
      <c r="N8439" s="1192"/>
      <c r="O8439" s="71"/>
      <c r="P8439" s="103"/>
      <c r="Q8439" s="71"/>
      <c r="R8439" s="147"/>
      <c r="S8439" s="102">
        <f t="shared" si="5171"/>
        <v>0</v>
      </c>
      <c r="T8439" s="102">
        <f t="shared" si="5172"/>
        <v>0</v>
      </c>
      <c r="U8439" s="71"/>
      <c r="V8439" s="71"/>
      <c r="W8439" s="474"/>
      <c r="X8439" s="71"/>
      <c r="Y8439" s="71"/>
    </row>
    <row r="8440" spans="1:25" ht="30" hidden="1" customHeight="1" x14ac:dyDescent="0.25">
      <c r="A8440" s="1145"/>
      <c r="B8440" s="664"/>
      <c r="C8440" s="71"/>
      <c r="D8440" s="71"/>
      <c r="E8440" s="102"/>
      <c r="F8440" s="102"/>
      <c r="G8440" s="102"/>
      <c r="H8440" s="690"/>
      <c r="I8440" s="71"/>
      <c r="J8440" s="53"/>
      <c r="K8440" s="63"/>
      <c r="L8440" s="1212"/>
      <c r="M8440" s="102"/>
      <c r="N8440" s="1192"/>
      <c r="O8440" s="71"/>
      <c r="P8440" s="103"/>
      <c r="Q8440" s="71"/>
      <c r="R8440" s="102"/>
      <c r="S8440" s="102">
        <f t="shared" si="5171"/>
        <v>0</v>
      </c>
      <c r="T8440" s="102">
        <f t="shared" si="5172"/>
        <v>0</v>
      </c>
      <c r="U8440" s="71"/>
      <c r="V8440" s="71"/>
      <c r="W8440" s="474"/>
      <c r="X8440" s="71"/>
      <c r="Y8440" s="71"/>
    </row>
    <row r="8441" spans="1:25" ht="30" hidden="1" customHeight="1" x14ac:dyDescent="0.25">
      <c r="A8441" s="1145"/>
      <c r="B8441" s="664"/>
      <c r="C8441" s="71"/>
      <c r="D8441" s="71"/>
      <c r="E8441" s="102"/>
      <c r="F8441" s="102"/>
      <c r="G8441" s="102"/>
      <c r="H8441" s="690"/>
      <c r="I8441" s="71"/>
      <c r="J8441" s="53"/>
      <c r="K8441" s="63"/>
      <c r="L8441" s="1212"/>
      <c r="M8441" s="102"/>
      <c r="N8441" s="1192"/>
      <c r="O8441" s="71"/>
      <c r="P8441" s="103"/>
      <c r="Q8441" s="71"/>
      <c r="R8441" s="102"/>
      <c r="S8441" s="102">
        <f t="shared" si="5171"/>
        <v>0</v>
      </c>
      <c r="T8441" s="102">
        <f t="shared" si="5172"/>
        <v>0</v>
      </c>
      <c r="U8441" s="71"/>
      <c r="V8441" s="71"/>
      <c r="W8441" s="474"/>
      <c r="X8441" s="71"/>
      <c r="Y8441" s="71"/>
    </row>
    <row r="8442" spans="1:25" ht="30" hidden="1" customHeight="1" x14ac:dyDescent="0.25">
      <c r="A8442" s="1145"/>
      <c r="B8442" s="664"/>
      <c r="C8442" s="71"/>
      <c r="D8442" s="71"/>
      <c r="E8442" s="102"/>
      <c r="F8442" s="102"/>
      <c r="G8442" s="102"/>
      <c r="H8442" s="690"/>
      <c r="I8442" s="71"/>
      <c r="J8442" s="53"/>
      <c r="K8442" s="63"/>
      <c r="L8442" s="1212"/>
      <c r="M8442" s="468"/>
      <c r="N8442" s="1192"/>
      <c r="O8442" s="71"/>
      <c r="P8442" s="103"/>
      <c r="Q8442" s="71"/>
      <c r="R8442" s="147"/>
      <c r="S8442" s="102">
        <f t="shared" si="5171"/>
        <v>0</v>
      </c>
      <c r="T8442" s="102">
        <f t="shared" si="5172"/>
        <v>0</v>
      </c>
      <c r="U8442" s="71"/>
      <c r="V8442" s="71"/>
      <c r="W8442" s="474"/>
      <c r="X8442" s="71"/>
      <c r="Y8442" s="71"/>
    </row>
    <row r="8443" spans="1:25" ht="30" hidden="1" customHeight="1" x14ac:dyDescent="0.25">
      <c r="A8443" s="1145"/>
      <c r="B8443" s="664"/>
      <c r="C8443" s="71"/>
      <c r="D8443" s="71"/>
      <c r="E8443" s="102"/>
      <c r="F8443" s="102"/>
      <c r="G8443" s="102"/>
      <c r="H8443" s="690"/>
      <c r="I8443" s="71"/>
      <c r="J8443" s="53"/>
      <c r="K8443" s="63"/>
      <c r="L8443" s="1212"/>
      <c r="M8443" s="102"/>
      <c r="N8443" s="1192"/>
      <c r="O8443" s="71"/>
      <c r="P8443" s="103"/>
      <c r="Q8443" s="71"/>
      <c r="R8443" s="102"/>
      <c r="S8443" s="102">
        <f t="shared" si="5171"/>
        <v>0</v>
      </c>
      <c r="T8443" s="102">
        <f t="shared" si="5172"/>
        <v>0</v>
      </c>
      <c r="U8443" s="71"/>
      <c r="V8443" s="71"/>
      <c r="W8443" s="474"/>
      <c r="X8443" s="71"/>
      <c r="Y8443" s="71"/>
    </row>
    <row r="8444" spans="1:25" ht="30" hidden="1" customHeight="1" x14ac:dyDescent="0.25">
      <c r="A8444" s="1145"/>
      <c r="B8444" s="664"/>
      <c r="C8444" s="71"/>
      <c r="D8444" s="71"/>
      <c r="E8444" s="102"/>
      <c r="F8444" s="102"/>
      <c r="G8444" s="102"/>
      <c r="H8444" s="690"/>
      <c r="I8444" s="71"/>
      <c r="J8444" s="53"/>
      <c r="K8444" s="63"/>
      <c r="L8444" s="1212"/>
      <c r="M8444" s="468"/>
      <c r="N8444" s="1192"/>
      <c r="O8444" s="71"/>
      <c r="P8444" s="103"/>
      <c r="Q8444" s="71"/>
      <c r="R8444" s="147"/>
      <c r="S8444" s="102">
        <f t="shared" si="5171"/>
        <v>0</v>
      </c>
      <c r="T8444" s="102">
        <f t="shared" si="5172"/>
        <v>0</v>
      </c>
      <c r="U8444" s="71"/>
      <c r="V8444" s="71"/>
      <c r="W8444" s="474"/>
      <c r="X8444" s="71"/>
      <c r="Y8444" s="71"/>
    </row>
    <row r="8445" spans="1:25" ht="30" hidden="1" customHeight="1" x14ac:dyDescent="0.25">
      <c r="A8445" s="1145"/>
      <c r="B8445" s="664"/>
      <c r="C8445" s="71"/>
      <c r="D8445" s="71"/>
      <c r="E8445" s="102"/>
      <c r="F8445" s="102"/>
      <c r="G8445" s="102"/>
      <c r="H8445" s="690"/>
      <c r="I8445" s="71"/>
      <c r="J8445" s="53"/>
      <c r="K8445" s="63"/>
      <c r="L8445" s="1212"/>
      <c r="M8445" s="102"/>
      <c r="N8445" s="1192"/>
      <c r="O8445" s="71"/>
      <c r="P8445" s="103"/>
      <c r="Q8445" s="71"/>
      <c r="R8445" s="102"/>
      <c r="S8445" s="102">
        <f t="shared" si="5171"/>
        <v>0</v>
      </c>
      <c r="T8445" s="102">
        <f t="shared" si="5172"/>
        <v>0</v>
      </c>
      <c r="U8445" s="71"/>
      <c r="V8445" s="71"/>
      <c r="W8445" s="474"/>
      <c r="X8445" s="71"/>
      <c r="Y8445" s="71"/>
    </row>
    <row r="8446" spans="1:25" ht="30" hidden="1" customHeight="1" x14ac:dyDescent="0.25">
      <c r="A8446" s="1145"/>
      <c r="B8446" s="664"/>
      <c r="C8446" s="71"/>
      <c r="D8446" s="71"/>
      <c r="E8446" s="102"/>
      <c r="F8446" s="102"/>
      <c r="G8446" s="102"/>
      <c r="H8446" s="690"/>
      <c r="I8446" s="71"/>
      <c r="J8446" s="53"/>
      <c r="K8446" s="63"/>
      <c r="L8446" s="1212"/>
      <c r="M8446" s="468"/>
      <c r="N8446" s="1192"/>
      <c r="O8446" s="71"/>
      <c r="P8446" s="103"/>
      <c r="Q8446" s="71"/>
      <c r="R8446" s="147"/>
      <c r="S8446" s="102">
        <f t="shared" si="5171"/>
        <v>0</v>
      </c>
      <c r="T8446" s="102">
        <f t="shared" si="5172"/>
        <v>0</v>
      </c>
      <c r="U8446" s="71"/>
      <c r="V8446" s="71"/>
      <c r="W8446" s="474"/>
      <c r="X8446" s="71"/>
      <c r="Y8446" s="71"/>
    </row>
    <row r="8447" spans="1:25" ht="30" hidden="1" customHeight="1" x14ac:dyDescent="0.25">
      <c r="A8447" s="1145"/>
      <c r="B8447" s="664"/>
      <c r="C8447" s="71"/>
      <c r="D8447" s="71"/>
      <c r="E8447" s="102"/>
      <c r="F8447" s="102"/>
      <c r="G8447" s="102"/>
      <c r="H8447" s="690"/>
      <c r="I8447" s="71"/>
      <c r="J8447" s="53"/>
      <c r="K8447" s="63"/>
      <c r="L8447" s="1212"/>
      <c r="M8447" s="102"/>
      <c r="N8447" s="1192"/>
      <c r="O8447" s="71"/>
      <c r="P8447" s="103"/>
      <c r="Q8447" s="71"/>
      <c r="R8447" s="102"/>
      <c r="S8447" s="102">
        <f t="shared" si="5171"/>
        <v>0</v>
      </c>
      <c r="T8447" s="102">
        <f t="shared" si="5172"/>
        <v>0</v>
      </c>
      <c r="U8447" s="71"/>
      <c r="V8447" s="71"/>
      <c r="W8447" s="474"/>
      <c r="X8447" s="71"/>
      <c r="Y8447" s="71"/>
    </row>
    <row r="8448" spans="1:25" ht="30" hidden="1" customHeight="1" x14ac:dyDescent="0.25">
      <c r="A8448" s="1145"/>
      <c r="B8448" s="664"/>
      <c r="C8448" s="71"/>
      <c r="D8448" s="71"/>
      <c r="E8448" s="102"/>
      <c r="F8448" s="102"/>
      <c r="G8448" s="102"/>
      <c r="H8448" s="690"/>
      <c r="I8448" s="71"/>
      <c r="J8448" s="53"/>
      <c r="K8448" s="63"/>
      <c r="L8448" s="1212"/>
      <c r="M8448" s="468"/>
      <c r="N8448" s="1192"/>
      <c r="O8448" s="71"/>
      <c r="P8448" s="103"/>
      <c r="Q8448" s="71"/>
      <c r="R8448" s="147"/>
      <c r="S8448" s="102">
        <f t="shared" si="5171"/>
        <v>0</v>
      </c>
      <c r="T8448" s="102">
        <f t="shared" si="5172"/>
        <v>0</v>
      </c>
      <c r="U8448" s="71"/>
      <c r="V8448" s="71"/>
      <c r="W8448" s="474"/>
      <c r="X8448" s="71"/>
      <c r="Y8448" s="71"/>
    </row>
    <row r="8449" spans="1:25" ht="30" hidden="1" customHeight="1" x14ac:dyDescent="0.25">
      <c r="A8449" s="1145"/>
      <c r="B8449" s="664"/>
      <c r="C8449" s="71"/>
      <c r="D8449" s="71"/>
      <c r="E8449" s="102"/>
      <c r="F8449" s="102"/>
      <c r="G8449" s="102"/>
      <c r="H8449" s="690"/>
      <c r="I8449" s="71"/>
      <c r="J8449" s="53"/>
      <c r="K8449" s="63"/>
      <c r="L8449" s="1212"/>
      <c r="M8449" s="102"/>
      <c r="N8449" s="1192"/>
      <c r="O8449" s="71"/>
      <c r="P8449" s="103"/>
      <c r="Q8449" s="71"/>
      <c r="R8449" s="102"/>
      <c r="S8449" s="102">
        <f t="shared" si="5171"/>
        <v>0</v>
      </c>
      <c r="T8449" s="102">
        <f t="shared" si="5172"/>
        <v>0</v>
      </c>
      <c r="U8449" s="71"/>
      <c r="V8449" s="71"/>
      <c r="W8449" s="474"/>
      <c r="X8449" s="71"/>
      <c r="Y8449" s="71"/>
    </row>
    <row r="8450" spans="1:25" ht="30" hidden="1" customHeight="1" x14ac:dyDescent="0.25">
      <c r="A8450" s="1145"/>
      <c r="B8450" s="664"/>
      <c r="C8450" s="71"/>
      <c r="D8450" s="71"/>
      <c r="E8450" s="102"/>
      <c r="F8450" s="102"/>
      <c r="G8450" s="102"/>
      <c r="H8450" s="690"/>
      <c r="I8450" s="71"/>
      <c r="J8450" s="53"/>
      <c r="K8450" s="63"/>
      <c r="L8450" s="1212"/>
      <c r="M8450" s="102"/>
      <c r="N8450" s="1192"/>
      <c r="O8450" s="71"/>
      <c r="P8450" s="103"/>
      <c r="Q8450" s="71"/>
      <c r="R8450" s="102"/>
      <c r="S8450" s="102">
        <f t="shared" si="5171"/>
        <v>0</v>
      </c>
      <c r="T8450" s="102">
        <f t="shared" si="5172"/>
        <v>0</v>
      </c>
      <c r="U8450" s="71"/>
      <c r="V8450" s="71"/>
      <c r="W8450" s="474"/>
      <c r="X8450" s="71"/>
      <c r="Y8450" s="71"/>
    </row>
    <row r="8451" spans="1:25" ht="30" hidden="1" customHeight="1" x14ac:dyDescent="0.25">
      <c r="A8451" s="1145"/>
      <c r="B8451" s="664"/>
      <c r="C8451" s="71"/>
      <c r="D8451" s="71"/>
      <c r="E8451" s="102"/>
      <c r="F8451" s="102"/>
      <c r="G8451" s="102"/>
      <c r="H8451" s="690"/>
      <c r="I8451" s="71"/>
      <c r="J8451" s="53"/>
      <c r="K8451" s="63"/>
      <c r="L8451" s="1212"/>
      <c r="M8451" s="468"/>
      <c r="N8451" s="1192"/>
      <c r="O8451" s="71"/>
      <c r="P8451" s="103"/>
      <c r="Q8451" s="71"/>
      <c r="R8451" s="147"/>
      <c r="S8451" s="102">
        <f t="shared" si="5171"/>
        <v>0</v>
      </c>
      <c r="T8451" s="102">
        <f t="shared" si="5172"/>
        <v>0</v>
      </c>
      <c r="U8451" s="71"/>
      <c r="V8451" s="71"/>
      <c r="W8451" s="474"/>
      <c r="X8451" s="71"/>
      <c r="Y8451" s="71"/>
    </row>
    <row r="8452" spans="1:25" ht="30" hidden="1" customHeight="1" x14ac:dyDescent="0.25">
      <c r="A8452" s="1145"/>
      <c r="B8452" s="664"/>
      <c r="C8452" s="71"/>
      <c r="D8452" s="71"/>
      <c r="E8452" s="102"/>
      <c r="F8452" s="102"/>
      <c r="G8452" s="102"/>
      <c r="H8452" s="690"/>
      <c r="I8452" s="71"/>
      <c r="J8452" s="53"/>
      <c r="K8452" s="63"/>
      <c r="L8452" s="1212"/>
      <c r="M8452" s="102"/>
      <c r="N8452" s="1192"/>
      <c r="O8452" s="71"/>
      <c r="P8452" s="103"/>
      <c r="Q8452" s="71"/>
      <c r="R8452" s="102"/>
      <c r="S8452" s="102">
        <f t="shared" si="5171"/>
        <v>0</v>
      </c>
      <c r="T8452" s="102">
        <f t="shared" si="5172"/>
        <v>0</v>
      </c>
      <c r="U8452" s="71"/>
      <c r="V8452" s="71"/>
      <c r="W8452" s="474"/>
      <c r="X8452" s="71"/>
      <c r="Y8452" s="71"/>
    </row>
    <row r="8453" spans="1:25" ht="30" hidden="1" customHeight="1" x14ac:dyDescent="0.25">
      <c r="A8453" s="1145"/>
      <c r="B8453" s="664"/>
      <c r="C8453" s="71"/>
      <c r="D8453" s="71"/>
      <c r="E8453" s="102"/>
      <c r="F8453" s="102"/>
      <c r="G8453" s="102"/>
      <c r="H8453" s="690"/>
      <c r="I8453" s="71"/>
      <c r="J8453" s="53"/>
      <c r="K8453" s="63"/>
      <c r="L8453" s="1212"/>
      <c r="M8453" s="468"/>
      <c r="N8453" s="1192"/>
      <c r="O8453" s="71"/>
      <c r="P8453" s="103"/>
      <c r="Q8453" s="71"/>
      <c r="R8453" s="147"/>
      <c r="S8453" s="102">
        <f t="shared" si="5171"/>
        <v>0</v>
      </c>
      <c r="T8453" s="102">
        <f t="shared" si="5172"/>
        <v>0</v>
      </c>
      <c r="U8453" s="71"/>
      <c r="V8453" s="71"/>
      <c r="W8453" s="474"/>
      <c r="X8453" s="71"/>
      <c r="Y8453" s="71"/>
    </row>
    <row r="8454" spans="1:25" ht="30" hidden="1" customHeight="1" x14ac:dyDescent="0.25">
      <c r="A8454" s="1145"/>
      <c r="B8454" s="664"/>
      <c r="C8454" s="71"/>
      <c r="D8454" s="71"/>
      <c r="E8454" s="102"/>
      <c r="F8454" s="102"/>
      <c r="G8454" s="102"/>
      <c r="H8454" s="690"/>
      <c r="I8454" s="71"/>
      <c r="J8454" s="53"/>
      <c r="K8454" s="63"/>
      <c r="L8454" s="1212"/>
      <c r="M8454" s="102"/>
      <c r="N8454" s="1192"/>
      <c r="O8454" s="71"/>
      <c r="P8454" s="103"/>
      <c r="Q8454" s="71"/>
      <c r="R8454" s="102"/>
      <c r="S8454" s="102">
        <f t="shared" si="5171"/>
        <v>0</v>
      </c>
      <c r="T8454" s="102">
        <f t="shared" si="5172"/>
        <v>0</v>
      </c>
      <c r="U8454" s="71"/>
      <c r="V8454" s="71"/>
      <c r="W8454" s="474"/>
      <c r="X8454" s="71"/>
      <c r="Y8454" s="71"/>
    </row>
    <row r="8455" spans="1:25" ht="30" hidden="1" customHeight="1" x14ac:dyDescent="0.25">
      <c r="A8455" s="1145"/>
      <c r="B8455" s="664"/>
      <c r="C8455" s="71"/>
      <c r="D8455" s="71"/>
      <c r="E8455" s="102"/>
      <c r="F8455" s="102"/>
      <c r="G8455" s="102"/>
      <c r="H8455" s="690"/>
      <c r="I8455" s="71"/>
      <c r="J8455" s="53"/>
      <c r="K8455" s="63"/>
      <c r="L8455" s="1212"/>
      <c r="M8455" s="468"/>
      <c r="N8455" s="1192"/>
      <c r="O8455" s="71"/>
      <c r="P8455" s="103"/>
      <c r="Q8455" s="71"/>
      <c r="R8455" s="147"/>
      <c r="S8455" s="102">
        <f t="shared" si="5171"/>
        <v>0</v>
      </c>
      <c r="T8455" s="102">
        <f t="shared" si="5172"/>
        <v>0</v>
      </c>
      <c r="U8455" s="71"/>
      <c r="V8455" s="71"/>
      <c r="W8455" s="474"/>
      <c r="X8455" s="71"/>
      <c r="Y8455" s="71"/>
    </row>
    <row r="8456" spans="1:25" ht="30" hidden="1" customHeight="1" x14ac:dyDescent="0.25">
      <c r="A8456" s="1145"/>
      <c r="B8456" s="664"/>
      <c r="C8456" s="71"/>
      <c r="D8456" s="71"/>
      <c r="E8456" s="102"/>
      <c r="F8456" s="102"/>
      <c r="G8456" s="102"/>
      <c r="H8456" s="690"/>
      <c r="I8456" s="71"/>
      <c r="J8456" s="53"/>
      <c r="K8456" s="63"/>
      <c r="L8456" s="1212"/>
      <c r="M8456" s="102"/>
      <c r="N8456" s="1192"/>
      <c r="O8456" s="71"/>
      <c r="P8456" s="103"/>
      <c r="Q8456" s="71"/>
      <c r="R8456" s="102"/>
      <c r="S8456" s="102">
        <f t="shared" si="5171"/>
        <v>0</v>
      </c>
      <c r="T8456" s="102">
        <f t="shared" si="5172"/>
        <v>0</v>
      </c>
      <c r="U8456" s="71"/>
      <c r="V8456" s="71"/>
      <c r="W8456" s="474"/>
      <c r="X8456" s="71"/>
      <c r="Y8456" s="71"/>
    </row>
    <row r="8457" spans="1:25" ht="30" hidden="1" customHeight="1" x14ac:dyDescent="0.25">
      <c r="A8457" s="1145"/>
      <c r="B8457" s="664"/>
      <c r="C8457" s="71"/>
      <c r="D8457" s="71"/>
      <c r="E8457" s="102"/>
      <c r="F8457" s="102"/>
      <c r="G8457" s="102"/>
      <c r="H8457" s="690"/>
      <c r="I8457" s="71"/>
      <c r="J8457" s="53"/>
      <c r="K8457" s="63"/>
      <c r="L8457" s="1212"/>
      <c r="M8457" s="468"/>
      <c r="N8457" s="1192"/>
      <c r="O8457" s="71"/>
      <c r="P8457" s="103"/>
      <c r="Q8457" s="71"/>
      <c r="R8457" s="147"/>
      <c r="S8457" s="102">
        <f t="shared" si="5171"/>
        <v>0</v>
      </c>
      <c r="T8457" s="102">
        <f t="shared" si="5172"/>
        <v>0</v>
      </c>
      <c r="U8457" s="71"/>
      <c r="V8457" s="71"/>
      <c r="W8457" s="474"/>
      <c r="X8457" s="71"/>
      <c r="Y8457" s="71"/>
    </row>
    <row r="8458" spans="1:25" ht="30" hidden="1" customHeight="1" x14ac:dyDescent="0.25">
      <c r="A8458" s="1145"/>
      <c r="B8458" s="664"/>
      <c r="C8458" s="71"/>
      <c r="D8458" s="71"/>
      <c r="E8458" s="102"/>
      <c r="F8458" s="102"/>
      <c r="G8458" s="102"/>
      <c r="H8458" s="690"/>
      <c r="I8458" s="71"/>
      <c r="J8458" s="53"/>
      <c r="K8458" s="63"/>
      <c r="L8458" s="1212"/>
      <c r="M8458" s="102"/>
      <c r="N8458" s="1192"/>
      <c r="O8458" s="71"/>
      <c r="P8458" s="103"/>
      <c r="Q8458" s="71"/>
      <c r="R8458" s="102"/>
      <c r="S8458" s="102">
        <f t="shared" si="5171"/>
        <v>0</v>
      </c>
      <c r="T8458" s="102">
        <f t="shared" si="5172"/>
        <v>0</v>
      </c>
      <c r="U8458" s="71"/>
      <c r="V8458" s="71"/>
      <c r="W8458" s="474"/>
      <c r="X8458" s="71"/>
      <c r="Y8458" s="71"/>
    </row>
    <row r="8459" spans="1:25" ht="30" hidden="1" customHeight="1" x14ac:dyDescent="0.25">
      <c r="A8459" s="1145"/>
      <c r="B8459" s="664"/>
      <c r="C8459" s="71"/>
      <c r="D8459" s="71"/>
      <c r="E8459" s="102"/>
      <c r="F8459" s="102"/>
      <c r="G8459" s="102"/>
      <c r="H8459" s="690"/>
      <c r="I8459" s="71"/>
      <c r="J8459" s="53"/>
      <c r="K8459" s="63"/>
      <c r="L8459" s="1212"/>
      <c r="M8459" s="102"/>
      <c r="N8459" s="1192"/>
      <c r="O8459" s="71"/>
      <c r="P8459" s="103"/>
      <c r="Q8459" s="71"/>
      <c r="R8459" s="102"/>
      <c r="S8459" s="102">
        <f t="shared" si="5171"/>
        <v>0</v>
      </c>
      <c r="T8459" s="102">
        <f t="shared" si="5172"/>
        <v>0</v>
      </c>
      <c r="U8459" s="71"/>
      <c r="V8459" s="71"/>
      <c r="W8459" s="474"/>
      <c r="X8459" s="71"/>
      <c r="Y8459" s="71"/>
    </row>
    <row r="8460" spans="1:25" ht="30" hidden="1" customHeight="1" x14ac:dyDescent="0.25">
      <c r="A8460" s="1145"/>
      <c r="B8460" s="664"/>
      <c r="C8460" s="71"/>
      <c r="D8460" s="71"/>
      <c r="E8460" s="102"/>
      <c r="F8460" s="102"/>
      <c r="G8460" s="102"/>
      <c r="H8460" s="690"/>
      <c r="I8460" s="71"/>
      <c r="J8460" s="53"/>
      <c r="K8460" s="63"/>
      <c r="L8460" s="1212"/>
      <c r="M8460" s="468"/>
      <c r="N8460" s="1192"/>
      <c r="O8460" s="71"/>
      <c r="P8460" s="103"/>
      <c r="Q8460" s="71"/>
      <c r="R8460" s="147"/>
      <c r="S8460" s="102">
        <f t="shared" si="5171"/>
        <v>0</v>
      </c>
      <c r="T8460" s="102">
        <f t="shared" si="5172"/>
        <v>0</v>
      </c>
      <c r="U8460" s="71"/>
      <c r="V8460" s="71"/>
      <c r="W8460" s="474"/>
      <c r="X8460" s="71"/>
      <c r="Y8460" s="71"/>
    </row>
    <row r="8461" spans="1:25" ht="30" hidden="1" customHeight="1" x14ac:dyDescent="0.25">
      <c r="A8461" s="1145"/>
      <c r="B8461" s="664"/>
      <c r="C8461" s="71"/>
      <c r="D8461" s="71"/>
      <c r="E8461" s="102"/>
      <c r="F8461" s="102"/>
      <c r="G8461" s="102"/>
      <c r="H8461" s="690"/>
      <c r="I8461" s="71"/>
      <c r="J8461" s="53"/>
      <c r="K8461" s="63"/>
      <c r="L8461" s="1212"/>
      <c r="M8461" s="102"/>
      <c r="N8461" s="1192"/>
      <c r="O8461" s="71"/>
      <c r="P8461" s="103"/>
      <c r="Q8461" s="71"/>
      <c r="R8461" s="102"/>
      <c r="S8461" s="102">
        <f t="shared" si="5171"/>
        <v>0</v>
      </c>
      <c r="T8461" s="102">
        <f t="shared" si="5172"/>
        <v>0</v>
      </c>
      <c r="U8461" s="71"/>
      <c r="V8461" s="71"/>
      <c r="W8461" s="474"/>
      <c r="X8461" s="71"/>
      <c r="Y8461" s="71"/>
    </row>
    <row r="8462" spans="1:25" ht="30" hidden="1" customHeight="1" x14ac:dyDescent="0.25">
      <c r="A8462" s="1145"/>
      <c r="B8462" s="664"/>
      <c r="C8462" s="71"/>
      <c r="D8462" s="71"/>
      <c r="E8462" s="102"/>
      <c r="F8462" s="102"/>
      <c r="G8462" s="102"/>
      <c r="H8462" s="690"/>
      <c r="I8462" s="71"/>
      <c r="J8462" s="53"/>
      <c r="K8462" s="63"/>
      <c r="L8462" s="1212"/>
      <c r="M8462" s="468"/>
      <c r="N8462" s="1192"/>
      <c r="O8462" s="71"/>
      <c r="P8462" s="103"/>
      <c r="Q8462" s="71"/>
      <c r="R8462" s="147"/>
      <c r="S8462" s="102">
        <f t="shared" si="5171"/>
        <v>0</v>
      </c>
      <c r="T8462" s="102">
        <f t="shared" si="5172"/>
        <v>0</v>
      </c>
      <c r="U8462" s="71"/>
      <c r="V8462" s="71"/>
      <c r="W8462" s="474"/>
      <c r="X8462" s="71"/>
      <c r="Y8462" s="71"/>
    </row>
    <row r="8463" spans="1:25" ht="30" hidden="1" customHeight="1" x14ac:dyDescent="0.25">
      <c r="A8463" s="1145"/>
      <c r="B8463" s="664"/>
      <c r="C8463" s="71"/>
      <c r="D8463" s="71"/>
      <c r="E8463" s="102"/>
      <c r="F8463" s="102"/>
      <c r="G8463" s="102"/>
      <c r="H8463" s="690"/>
      <c r="I8463" s="71"/>
      <c r="J8463" s="53"/>
      <c r="K8463" s="63"/>
      <c r="L8463" s="1212"/>
      <c r="M8463" s="102"/>
      <c r="N8463" s="1192"/>
      <c r="O8463" s="71"/>
      <c r="P8463" s="103"/>
      <c r="Q8463" s="71"/>
      <c r="R8463" s="102"/>
      <c r="S8463" s="102">
        <f t="shared" si="5171"/>
        <v>0</v>
      </c>
      <c r="T8463" s="102">
        <f t="shared" si="5172"/>
        <v>0</v>
      </c>
      <c r="U8463" s="71"/>
      <c r="V8463" s="71"/>
      <c r="W8463" s="474"/>
      <c r="X8463" s="71"/>
      <c r="Y8463" s="71"/>
    </row>
    <row r="8464" spans="1:25" ht="30" hidden="1" customHeight="1" x14ac:dyDescent="0.25">
      <c r="A8464" s="1145"/>
      <c r="B8464" s="664"/>
      <c r="C8464" s="71"/>
      <c r="D8464" s="71"/>
      <c r="E8464" s="102"/>
      <c r="F8464" s="102"/>
      <c r="G8464" s="102"/>
      <c r="H8464" s="690"/>
      <c r="I8464" s="71"/>
      <c r="J8464" s="53"/>
      <c r="K8464" s="63"/>
      <c r="L8464" s="1212"/>
      <c r="M8464" s="468"/>
      <c r="N8464" s="1192"/>
      <c r="O8464" s="71"/>
      <c r="P8464" s="103"/>
      <c r="Q8464" s="71"/>
      <c r="R8464" s="147"/>
      <c r="S8464" s="102">
        <f t="shared" si="5171"/>
        <v>0</v>
      </c>
      <c r="T8464" s="102">
        <f t="shared" si="5172"/>
        <v>0</v>
      </c>
      <c r="U8464" s="71"/>
      <c r="V8464" s="71"/>
      <c r="W8464" s="474"/>
      <c r="X8464" s="71"/>
      <c r="Y8464" s="71"/>
    </row>
    <row r="8465" spans="1:25" ht="30" hidden="1" customHeight="1" x14ac:dyDescent="0.25">
      <c r="A8465" s="1145"/>
      <c r="B8465" s="664"/>
      <c r="C8465" s="71"/>
      <c r="D8465" s="71"/>
      <c r="E8465" s="102"/>
      <c r="F8465" s="102"/>
      <c r="G8465" s="102"/>
      <c r="H8465" s="690"/>
      <c r="I8465" s="71"/>
      <c r="J8465" s="53"/>
      <c r="K8465" s="63"/>
      <c r="L8465" s="1212"/>
      <c r="M8465" s="102"/>
      <c r="N8465" s="1192"/>
      <c r="O8465" s="71"/>
      <c r="P8465" s="103"/>
      <c r="Q8465" s="71"/>
      <c r="R8465" s="102"/>
      <c r="S8465" s="102">
        <f t="shared" si="5171"/>
        <v>0</v>
      </c>
      <c r="T8465" s="102">
        <f t="shared" si="5172"/>
        <v>0</v>
      </c>
      <c r="U8465" s="71"/>
      <c r="V8465" s="71"/>
      <c r="W8465" s="474"/>
      <c r="X8465" s="71"/>
      <c r="Y8465" s="71"/>
    </row>
    <row r="8466" spans="1:25" ht="30" hidden="1" customHeight="1" x14ac:dyDescent="0.25">
      <c r="A8466" s="1145"/>
      <c r="B8466" s="664"/>
      <c r="C8466" s="71"/>
      <c r="D8466" s="71"/>
      <c r="E8466" s="102"/>
      <c r="F8466" s="102"/>
      <c r="G8466" s="102"/>
      <c r="H8466" s="690"/>
      <c r="I8466" s="71"/>
      <c r="J8466" s="53"/>
      <c r="K8466" s="63"/>
      <c r="L8466" s="1212"/>
      <c r="M8466" s="468"/>
      <c r="N8466" s="1192"/>
      <c r="O8466" s="71"/>
      <c r="P8466" s="103"/>
      <c r="Q8466" s="71"/>
      <c r="R8466" s="147"/>
      <c r="S8466" s="102">
        <f t="shared" si="5171"/>
        <v>0</v>
      </c>
      <c r="T8466" s="102">
        <f t="shared" si="5172"/>
        <v>0</v>
      </c>
      <c r="U8466" s="71"/>
      <c r="V8466" s="71"/>
      <c r="W8466" s="474"/>
      <c r="X8466" s="71"/>
      <c r="Y8466" s="71"/>
    </row>
    <row r="8467" spans="1:25" ht="30" hidden="1" customHeight="1" x14ac:dyDescent="0.25">
      <c r="A8467" s="1145"/>
      <c r="B8467" s="664"/>
      <c r="C8467" s="71"/>
      <c r="D8467" s="71"/>
      <c r="E8467" s="102"/>
      <c r="F8467" s="102"/>
      <c r="G8467" s="102"/>
      <c r="H8467" s="690"/>
      <c r="I8467" s="71"/>
      <c r="J8467" s="53"/>
      <c r="K8467" s="63"/>
      <c r="L8467" s="1212"/>
      <c r="M8467" s="102"/>
      <c r="N8467" s="1192"/>
      <c r="O8467" s="71"/>
      <c r="P8467" s="103"/>
      <c r="Q8467" s="71"/>
      <c r="R8467" s="102"/>
      <c r="S8467" s="102">
        <f t="shared" si="5171"/>
        <v>0</v>
      </c>
      <c r="T8467" s="102">
        <f t="shared" si="5172"/>
        <v>0</v>
      </c>
      <c r="U8467" s="71"/>
      <c r="V8467" s="71"/>
      <c r="W8467" s="474"/>
      <c r="X8467" s="71"/>
      <c r="Y8467" s="71"/>
    </row>
    <row r="8468" spans="1:25" ht="30" hidden="1" customHeight="1" x14ac:dyDescent="0.25">
      <c r="A8468" s="1145"/>
      <c r="B8468" s="664"/>
      <c r="C8468" s="71"/>
      <c r="D8468" s="71"/>
      <c r="E8468" s="102"/>
      <c r="F8468" s="102"/>
      <c r="G8468" s="102"/>
      <c r="H8468" s="690"/>
      <c r="I8468" s="71"/>
      <c r="J8468" s="53"/>
      <c r="K8468" s="63"/>
      <c r="L8468" s="1212"/>
      <c r="M8468" s="102"/>
      <c r="N8468" s="1192"/>
      <c r="O8468" s="71"/>
      <c r="P8468" s="103"/>
      <c r="Q8468" s="71"/>
      <c r="R8468" s="102"/>
      <c r="S8468" s="102">
        <f t="shared" si="5171"/>
        <v>0</v>
      </c>
      <c r="T8468" s="102">
        <f t="shared" si="5172"/>
        <v>0</v>
      </c>
      <c r="U8468" s="71"/>
      <c r="V8468" s="71"/>
      <c r="W8468" s="474"/>
      <c r="X8468" s="71"/>
      <c r="Y8468" s="71"/>
    </row>
    <row r="8469" spans="1:25" ht="30" hidden="1" customHeight="1" x14ac:dyDescent="0.25">
      <c r="A8469" s="1145"/>
      <c r="B8469" s="664"/>
      <c r="C8469" s="71"/>
      <c r="D8469" s="71"/>
      <c r="E8469" s="102"/>
      <c r="F8469" s="102"/>
      <c r="G8469" s="102"/>
      <c r="H8469" s="690"/>
      <c r="I8469" s="71"/>
      <c r="J8469" s="53"/>
      <c r="K8469" s="63"/>
      <c r="L8469" s="1212"/>
      <c r="M8469" s="468"/>
      <c r="N8469" s="1192"/>
      <c r="O8469" s="71"/>
      <c r="P8469" s="103"/>
      <c r="Q8469" s="71"/>
      <c r="R8469" s="147"/>
      <c r="S8469" s="102">
        <f t="shared" si="5171"/>
        <v>0</v>
      </c>
      <c r="T8469" s="102">
        <f t="shared" si="5172"/>
        <v>0</v>
      </c>
      <c r="U8469" s="71"/>
      <c r="V8469" s="71"/>
      <c r="W8469" s="474"/>
      <c r="X8469" s="71"/>
      <c r="Y8469" s="71"/>
    </row>
    <row r="8470" spans="1:25" ht="30" hidden="1" customHeight="1" x14ac:dyDescent="0.25">
      <c r="A8470" s="1145"/>
      <c r="B8470" s="664"/>
      <c r="C8470" s="71"/>
      <c r="D8470" s="71"/>
      <c r="E8470" s="102"/>
      <c r="F8470" s="102"/>
      <c r="G8470" s="102"/>
      <c r="H8470" s="690"/>
      <c r="I8470" s="71"/>
      <c r="J8470" s="53"/>
      <c r="K8470" s="63"/>
      <c r="L8470" s="1212"/>
      <c r="M8470" s="102"/>
      <c r="N8470" s="1192"/>
      <c r="O8470" s="71"/>
      <c r="P8470" s="103"/>
      <c r="Q8470" s="71"/>
      <c r="R8470" s="102"/>
      <c r="S8470" s="102">
        <f t="shared" si="5171"/>
        <v>0</v>
      </c>
      <c r="T8470" s="102">
        <f t="shared" si="5172"/>
        <v>0</v>
      </c>
      <c r="U8470" s="71"/>
      <c r="V8470" s="71"/>
      <c r="W8470" s="474"/>
      <c r="X8470" s="71"/>
      <c r="Y8470" s="71"/>
    </row>
    <row r="8471" spans="1:25" ht="30" hidden="1" customHeight="1" x14ac:dyDescent="0.25">
      <c r="A8471" s="1145"/>
      <c r="B8471" s="664"/>
      <c r="C8471" s="71"/>
      <c r="D8471" s="71"/>
      <c r="E8471" s="102"/>
      <c r="F8471" s="102"/>
      <c r="G8471" s="102"/>
      <c r="H8471" s="690"/>
      <c r="I8471" s="71"/>
      <c r="J8471" s="53"/>
      <c r="K8471" s="63"/>
      <c r="L8471" s="1212"/>
      <c r="M8471" s="468"/>
      <c r="N8471" s="1192"/>
      <c r="O8471" s="71"/>
      <c r="P8471" s="103"/>
      <c r="Q8471" s="71"/>
      <c r="R8471" s="147"/>
      <c r="S8471" s="102">
        <f t="shared" si="5171"/>
        <v>0</v>
      </c>
      <c r="T8471" s="102">
        <f t="shared" si="5172"/>
        <v>0</v>
      </c>
      <c r="U8471" s="71"/>
      <c r="V8471" s="71"/>
      <c r="W8471" s="474"/>
      <c r="X8471" s="71"/>
      <c r="Y8471" s="71"/>
    </row>
    <row r="8472" spans="1:25" ht="30" hidden="1" customHeight="1" x14ac:dyDescent="0.25">
      <c r="A8472" s="1145"/>
      <c r="B8472" s="664"/>
      <c r="C8472" s="71"/>
      <c r="D8472" s="71"/>
      <c r="E8472" s="102"/>
      <c r="F8472" s="102"/>
      <c r="G8472" s="102"/>
      <c r="H8472" s="690"/>
      <c r="I8472" s="71"/>
      <c r="J8472" s="53"/>
      <c r="K8472" s="63"/>
      <c r="L8472" s="1212"/>
      <c r="M8472" s="102"/>
      <c r="N8472" s="1192"/>
      <c r="O8472" s="71"/>
      <c r="P8472" s="103"/>
      <c r="Q8472" s="71"/>
      <c r="R8472" s="102"/>
      <c r="S8472" s="102">
        <f t="shared" ref="S8472:S8476" si="5173">R8472*Q8472*1.1</f>
        <v>0</v>
      </c>
      <c r="T8472" s="102">
        <f t="shared" ref="T8472:T8476" si="5174">R8472*Q8472</f>
        <v>0</v>
      </c>
      <c r="U8472" s="71"/>
      <c r="V8472" s="71"/>
      <c r="W8472" s="474"/>
      <c r="X8472" s="71"/>
      <c r="Y8472" s="71"/>
    </row>
    <row r="8473" spans="1:25" ht="30" hidden="1" customHeight="1" x14ac:dyDescent="0.25">
      <c r="A8473" s="1145"/>
      <c r="B8473" s="664"/>
      <c r="C8473" s="71"/>
      <c r="D8473" s="71"/>
      <c r="E8473" s="102"/>
      <c r="F8473" s="102"/>
      <c r="G8473" s="102"/>
      <c r="H8473" s="690"/>
      <c r="I8473" s="71"/>
      <c r="J8473" s="53"/>
      <c r="K8473" s="63"/>
      <c r="L8473" s="1212"/>
      <c r="M8473" s="468"/>
      <c r="N8473" s="1192"/>
      <c r="O8473" s="71"/>
      <c r="P8473" s="103"/>
      <c r="Q8473" s="71"/>
      <c r="R8473" s="147"/>
      <c r="S8473" s="102">
        <f t="shared" si="5173"/>
        <v>0</v>
      </c>
      <c r="T8473" s="102">
        <f t="shared" si="5174"/>
        <v>0</v>
      </c>
      <c r="U8473" s="71"/>
      <c r="V8473" s="71"/>
      <c r="W8473" s="474"/>
      <c r="X8473" s="71"/>
      <c r="Y8473" s="71"/>
    </row>
    <row r="8474" spans="1:25" ht="30" hidden="1" customHeight="1" x14ac:dyDescent="0.25">
      <c r="A8474" s="1145"/>
      <c r="B8474" s="664"/>
      <c r="C8474" s="71"/>
      <c r="D8474" s="71"/>
      <c r="E8474" s="102"/>
      <c r="F8474" s="102"/>
      <c r="G8474" s="102"/>
      <c r="H8474" s="690"/>
      <c r="I8474" s="71"/>
      <c r="J8474" s="53"/>
      <c r="K8474" s="63"/>
      <c r="L8474" s="1212"/>
      <c r="M8474" s="102"/>
      <c r="N8474" s="1192"/>
      <c r="O8474" s="71"/>
      <c r="P8474" s="103"/>
      <c r="Q8474" s="71"/>
      <c r="R8474" s="102"/>
      <c r="S8474" s="102">
        <f t="shared" si="5173"/>
        <v>0</v>
      </c>
      <c r="T8474" s="102">
        <f t="shared" si="5174"/>
        <v>0</v>
      </c>
      <c r="U8474" s="71"/>
      <c r="V8474" s="71"/>
      <c r="W8474" s="474"/>
      <c r="X8474" s="71"/>
      <c r="Y8474" s="71"/>
    </row>
    <row r="8475" spans="1:25" ht="30" hidden="1" customHeight="1" x14ac:dyDescent="0.25">
      <c r="A8475" s="1145"/>
      <c r="B8475" s="664"/>
      <c r="C8475" s="71"/>
      <c r="D8475" s="71"/>
      <c r="E8475" s="102"/>
      <c r="F8475" s="102"/>
      <c r="G8475" s="102"/>
      <c r="H8475" s="690"/>
      <c r="I8475" s="71"/>
      <c r="J8475" s="53"/>
      <c r="K8475" s="63"/>
      <c r="L8475" s="1212"/>
      <c r="M8475" s="468"/>
      <c r="N8475" s="1192"/>
      <c r="O8475" s="71"/>
      <c r="P8475" s="103"/>
      <c r="Q8475" s="71"/>
      <c r="R8475" s="147"/>
      <c r="S8475" s="102">
        <f t="shared" si="5173"/>
        <v>0</v>
      </c>
      <c r="T8475" s="102">
        <f t="shared" si="5174"/>
        <v>0</v>
      </c>
      <c r="U8475" s="71"/>
      <c r="V8475" s="71"/>
      <c r="W8475" s="474"/>
      <c r="X8475" s="71"/>
      <c r="Y8475" s="71"/>
    </row>
    <row r="8476" spans="1:25" ht="30" hidden="1" customHeight="1" x14ac:dyDescent="0.25">
      <c r="A8476" s="1145"/>
      <c r="B8476" s="664"/>
      <c r="C8476" s="71"/>
      <c r="D8476" s="71"/>
      <c r="E8476" s="102"/>
      <c r="F8476" s="102"/>
      <c r="G8476" s="102"/>
      <c r="H8476" s="690"/>
      <c r="I8476" s="71"/>
      <c r="J8476" s="53"/>
      <c r="K8476" s="63"/>
      <c r="L8476" s="1212"/>
      <c r="M8476" s="102"/>
      <c r="N8476" s="1192"/>
      <c r="O8476" s="71"/>
      <c r="P8476" s="103"/>
      <c r="Q8476" s="71"/>
      <c r="R8476" s="102"/>
      <c r="S8476" s="102">
        <f t="shared" si="5173"/>
        <v>0</v>
      </c>
      <c r="T8476" s="102">
        <f t="shared" si="5174"/>
        <v>0</v>
      </c>
      <c r="U8476" s="71"/>
      <c r="V8476" s="71"/>
      <c r="W8476" s="474"/>
      <c r="X8476" s="71"/>
      <c r="Y8476" s="71"/>
    </row>
    <row r="1048576" spans="2:15" x14ac:dyDescent="0.25">
      <c r="B1048576" s="664" t="s">
        <v>546</v>
      </c>
      <c r="J1048576" s="53">
        <f t="shared" ref="J1048576" si="5175">G1048576-T1048576</f>
        <v>0</v>
      </c>
      <c r="K1048576" s="63" t="e">
        <f t="shared" ref="K1048576" si="5176">(J1048576/(F1048576/11*10))</f>
        <v>#DIV/0!</v>
      </c>
      <c r="O1048576" s="71" t="s">
        <v>1431</v>
      </c>
    </row>
  </sheetData>
  <autoFilter ref="A1:BP8476" xr:uid="{00000000-0001-0000-0600-000000000000}">
    <filterColumn colId="1">
      <filters>
        <filter val="매일경제"/>
        <filter val="매일경제 윤전부"/>
      </filters>
    </filterColumn>
  </autoFilter>
  <mergeCells count="3">
    <mergeCell ref="M155:M164"/>
    <mergeCell ref="M1543:M1546"/>
    <mergeCell ref="M1739:M1741"/>
  </mergeCells>
  <phoneticPr fontId="16" type="noConversion"/>
  <pageMargins left="0.70866141732283472" right="0.70866141732283472" top="0.74803149606299213" bottom="0.74803149606299213" header="0.31496062992125984" footer="0.31496062992125984"/>
  <pageSetup paperSize="9" scale="10" orientation="portrait" r:id="rId1"/>
  <ignoredErrors>
    <ignoredError sqref="J36" evalError="1"/>
    <ignoredError sqref="J127 J142 S76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O804"/>
  <sheetViews>
    <sheetView zoomScale="55" zoomScaleNormal="55" workbookViewId="0">
      <pane ySplit="1" topLeftCell="A714" activePane="bottomLeft" state="frozen"/>
      <selection activeCell="A1889" sqref="A1889"/>
      <selection pane="bottomLeft" activeCell="E803" sqref="E803"/>
    </sheetView>
  </sheetViews>
  <sheetFormatPr defaultColWidth="9.03515625" defaultRowHeight="17.25" x14ac:dyDescent="0.25"/>
  <cols>
    <col min="1" max="1" width="30.69921875" style="138" customWidth="1"/>
    <col min="2" max="2" width="14.234375" style="135" customWidth="1"/>
    <col min="3" max="3" width="57.19140625" style="138" customWidth="1"/>
    <col min="4" max="4" width="14.60546875" style="135" customWidth="1"/>
    <col min="5" max="6" width="24.6328125" style="100" customWidth="1"/>
    <col min="7" max="7" width="24.01171875" style="105" customWidth="1"/>
    <col min="8" max="8" width="24.6328125" style="105" customWidth="1"/>
    <col min="9" max="9" width="17.69921875" style="98" customWidth="1"/>
    <col min="10" max="10" width="15.71875" style="930" customWidth="1"/>
    <col min="11" max="11" width="15.47265625" style="100" customWidth="1"/>
    <col min="12" max="12" width="30.203125" style="98" customWidth="1"/>
    <col min="13" max="13" width="16.5859375" style="98" hidden="1" customWidth="1"/>
    <col min="14" max="14" width="31.1953125" style="138" customWidth="1"/>
    <col min="15" max="15" width="9.03515625" style="135"/>
    <col min="16" max="16384" width="9.03515625" style="98"/>
  </cols>
  <sheetData>
    <row r="1" spans="1:14" s="126" customFormat="1" ht="50.1" customHeight="1" x14ac:dyDescent="0.1">
      <c r="A1" s="136" t="s">
        <v>248</v>
      </c>
      <c r="B1" s="130" t="s">
        <v>255</v>
      </c>
      <c r="C1" s="605" t="s">
        <v>160</v>
      </c>
      <c r="D1" s="607" t="s">
        <v>251</v>
      </c>
      <c r="E1" s="123" t="s">
        <v>157</v>
      </c>
      <c r="F1" s="123" t="s">
        <v>2423</v>
      </c>
      <c r="G1" s="124" t="s">
        <v>249</v>
      </c>
      <c r="H1" s="124" t="s">
        <v>598</v>
      </c>
      <c r="I1" s="77" t="s">
        <v>261</v>
      </c>
      <c r="J1" s="921" t="s">
        <v>270</v>
      </c>
      <c r="K1" s="221" t="s">
        <v>271</v>
      </c>
      <c r="L1" s="77" t="s">
        <v>239</v>
      </c>
      <c r="M1" s="77" t="s">
        <v>250</v>
      </c>
      <c r="N1" s="136" t="s">
        <v>257</v>
      </c>
    </row>
    <row r="2" spans="1:14" s="118" customFormat="1" ht="45" customHeight="1" x14ac:dyDescent="0.1">
      <c r="A2" s="137" t="s">
        <v>258</v>
      </c>
      <c r="B2" s="131"/>
      <c r="C2" s="606"/>
      <c r="D2" s="608"/>
      <c r="E2" s="119"/>
      <c r="F2" s="119"/>
      <c r="G2" s="120"/>
      <c r="H2" s="120"/>
      <c r="I2" s="121"/>
      <c r="J2" s="922"/>
      <c r="K2" s="222"/>
      <c r="L2" s="121"/>
      <c r="M2" s="121"/>
      <c r="N2" s="142"/>
    </row>
    <row r="3" spans="1:14" s="409" customFormat="1" ht="30" customHeight="1" x14ac:dyDescent="0.25">
      <c r="A3" s="611">
        <v>170131</v>
      </c>
      <c r="B3" s="139">
        <v>100</v>
      </c>
      <c r="C3" s="611" t="s">
        <v>605</v>
      </c>
      <c r="D3" s="139">
        <v>2</v>
      </c>
      <c r="E3" s="140">
        <v>3945.72</v>
      </c>
      <c r="F3" s="140"/>
      <c r="G3" s="104">
        <f>(I3*E3)+(J3*(E3/SUMIF(B:B,B3,E:E)))/D3+((K3*I3)*(E3/SUMIF(B:B,B3,E:E)))/D3</f>
        <v>3371039.4867090816</v>
      </c>
      <c r="H3" s="141">
        <f t="shared" ref="H3:H34" si="0">(G3*D3)</f>
        <v>6742078.9734181631</v>
      </c>
      <c r="I3" s="409">
        <v>831.03</v>
      </c>
      <c r="J3" s="923">
        <v>0</v>
      </c>
      <c r="K3" s="140">
        <v>240</v>
      </c>
      <c r="N3" s="611"/>
    </row>
    <row r="4" spans="1:14" s="409" customFormat="1" ht="30" customHeight="1" x14ac:dyDescent="0.25">
      <c r="A4" s="611"/>
      <c r="B4" s="139">
        <v>100</v>
      </c>
      <c r="C4" s="611" t="s">
        <v>607</v>
      </c>
      <c r="D4" s="139">
        <v>60</v>
      </c>
      <c r="E4" s="140">
        <v>1.8</v>
      </c>
      <c r="F4" s="140"/>
      <c r="G4" s="104">
        <f>(I4*E4)+(J4*(E4/SUMIF(B:B,B4,E:E)))/D4+((K4*I4)*(E4/SUMIF(B:B,B4,E:E)))/D4</f>
        <v>1497.2534068779703</v>
      </c>
      <c r="H4" s="141">
        <f t="shared" si="0"/>
        <v>89835.204412678213</v>
      </c>
      <c r="I4" s="409">
        <v>831.03</v>
      </c>
      <c r="J4" s="923">
        <v>0</v>
      </c>
      <c r="K4" s="140">
        <v>240</v>
      </c>
      <c r="N4" s="611"/>
    </row>
    <row r="5" spans="1:14" s="409" customFormat="1" ht="30" customHeight="1" x14ac:dyDescent="0.25">
      <c r="A5" s="611"/>
      <c r="B5" s="139">
        <v>100</v>
      </c>
      <c r="C5" s="611" t="s">
        <v>606</v>
      </c>
      <c r="D5" s="139">
        <v>1</v>
      </c>
      <c r="E5" s="140">
        <v>317.61</v>
      </c>
      <c r="F5" s="140"/>
      <c r="G5" s="104">
        <f>(I5*E5)+(J5*(E5/SUMIF(B:B,B5,E:E)))/D5+((K5*I5)*(E5/SUMIF(B:B,B5,E:E)))/D5</f>
        <v>278758.9589170714</v>
      </c>
      <c r="H5" s="141">
        <f t="shared" si="0"/>
        <v>278758.9589170714</v>
      </c>
      <c r="I5" s="409">
        <v>831.03</v>
      </c>
      <c r="J5" s="923">
        <v>0</v>
      </c>
      <c r="K5" s="140">
        <v>240</v>
      </c>
      <c r="N5" s="611"/>
    </row>
    <row r="6" spans="1:14" s="411" customFormat="1" ht="30" customHeight="1" x14ac:dyDescent="0.25">
      <c r="A6" s="612"/>
      <c r="B6" s="465">
        <v>100</v>
      </c>
      <c r="C6" s="612" t="s">
        <v>263</v>
      </c>
      <c r="D6" s="465">
        <v>36</v>
      </c>
      <c r="E6" s="466">
        <v>10.55</v>
      </c>
      <c r="F6" s="466"/>
      <c r="G6" s="113">
        <f>(I6*E6)+(J6*(E6/SUMIF(B:B,B6,E:E)))/D6+((K6*I6)*(E6/SUMIF(B:B,B6,E:E)))/D6</f>
        <v>8781.036632002395</v>
      </c>
      <c r="H6" s="467">
        <f t="shared" si="0"/>
        <v>316117.3187520862</v>
      </c>
      <c r="I6" s="411">
        <v>831.03</v>
      </c>
      <c r="J6" s="924">
        <v>0</v>
      </c>
      <c r="K6" s="466">
        <v>240</v>
      </c>
      <c r="N6" s="612"/>
    </row>
    <row r="7" spans="1:14" s="73" customFormat="1" ht="30" customHeight="1" x14ac:dyDescent="0.25">
      <c r="A7" s="80">
        <v>170512</v>
      </c>
      <c r="B7" s="132">
        <v>101</v>
      </c>
      <c r="C7" s="80" t="s">
        <v>259</v>
      </c>
      <c r="D7" s="132">
        <v>10</v>
      </c>
      <c r="E7" s="110">
        <v>35.909999999999997</v>
      </c>
      <c r="F7" s="110"/>
      <c r="G7" s="111">
        <f>(I7*E7)+(J7*(E7/SUMIF(B:B,B7,E:E)))/D7+((K7*I7)*(E7/SUMIF(B:B,101,E:E)))/D7</f>
        <v>31235.232201749637</v>
      </c>
      <c r="H7" s="111">
        <f t="shared" si="0"/>
        <v>312352.32201749639</v>
      </c>
      <c r="I7" s="73">
        <v>811.72</v>
      </c>
      <c r="J7" s="925">
        <v>0</v>
      </c>
      <c r="K7" s="110">
        <v>180</v>
      </c>
      <c r="N7" s="80"/>
    </row>
    <row r="8" spans="1:14" s="84" customFormat="1" ht="30" customHeight="1" x14ac:dyDescent="0.25">
      <c r="A8" s="85"/>
      <c r="B8" s="133">
        <v>101</v>
      </c>
      <c r="C8" s="85" t="s">
        <v>260</v>
      </c>
      <c r="D8" s="133">
        <v>2</v>
      </c>
      <c r="E8" s="112">
        <v>215.57</v>
      </c>
      <c r="F8" s="112"/>
      <c r="G8" s="113">
        <f>(I8*E8)+(J8*(E8/SUMIF(B:B,B8,E:E)))/D8+((K8*I8)*(E8/SUMIF(B:B,101,E:E)))/D8</f>
        <v>237605.44539125179</v>
      </c>
      <c r="H8" s="113">
        <f t="shared" si="0"/>
        <v>475210.89078250359</v>
      </c>
      <c r="I8" s="84">
        <v>811.72</v>
      </c>
      <c r="J8" s="926">
        <v>0</v>
      </c>
      <c r="K8" s="112">
        <v>180</v>
      </c>
      <c r="N8" s="85"/>
    </row>
    <row r="9" spans="1:14" s="88" customFormat="1" ht="30" customHeight="1" x14ac:dyDescent="0.25">
      <c r="A9" s="89">
        <v>170518</v>
      </c>
      <c r="B9" s="134">
        <v>102</v>
      </c>
      <c r="C9" s="89" t="s">
        <v>262</v>
      </c>
      <c r="D9" s="134">
        <v>3</v>
      </c>
      <c r="E9" s="116">
        <v>3386.95</v>
      </c>
      <c r="F9" s="116"/>
      <c r="G9" s="117">
        <f t="shared" ref="G9:G40" si="1">(I9*E9)+(J9*(E9/SUMIF(B:B,B9,E:E)))/D9+((K9*I9)*(E9/SUMIF(B:B,B9,E:E)))/D9</f>
        <v>2773606.6540000001</v>
      </c>
      <c r="H9" s="117">
        <f t="shared" si="0"/>
        <v>8320819.9620000003</v>
      </c>
      <c r="I9" s="88">
        <v>811.72</v>
      </c>
      <c r="J9" s="927">
        <v>0</v>
      </c>
      <c r="K9" s="116">
        <v>90</v>
      </c>
      <c r="L9" s="88" t="s">
        <v>623</v>
      </c>
      <c r="N9" s="89"/>
    </row>
    <row r="10" spans="1:14" s="73" customFormat="1" ht="30" customHeight="1" x14ac:dyDescent="0.25">
      <c r="A10" s="80">
        <v>170523</v>
      </c>
      <c r="B10" s="132">
        <v>103</v>
      </c>
      <c r="C10" s="80" t="s">
        <v>263</v>
      </c>
      <c r="D10" s="132">
        <v>30</v>
      </c>
      <c r="E10" s="114">
        <v>13.55</v>
      </c>
      <c r="F10" s="114"/>
      <c r="G10" s="104">
        <f t="shared" si="1"/>
        <v>11428.510991695943</v>
      </c>
      <c r="H10" s="111">
        <f t="shared" si="0"/>
        <v>342855.32975087827</v>
      </c>
      <c r="I10" s="115">
        <v>812.3</v>
      </c>
      <c r="J10" s="925">
        <v>0</v>
      </c>
      <c r="K10" s="110">
        <v>180</v>
      </c>
      <c r="L10" s="157" t="s">
        <v>266</v>
      </c>
      <c r="M10" s="1240" t="s">
        <v>268</v>
      </c>
      <c r="N10" s="80"/>
    </row>
    <row r="11" spans="1:14" s="71" customFormat="1" ht="30" customHeight="1" x14ac:dyDescent="0.25">
      <c r="A11" s="82"/>
      <c r="B11" s="103">
        <v>103</v>
      </c>
      <c r="C11" s="82" t="s">
        <v>264</v>
      </c>
      <c r="D11" s="103">
        <v>8</v>
      </c>
      <c r="E11" s="99">
        <v>130.74</v>
      </c>
      <c r="F11" s="99"/>
      <c r="G11" s="104">
        <f t="shared" si="1"/>
        <v>121463.6107511977</v>
      </c>
      <c r="H11" s="104">
        <f t="shared" si="0"/>
        <v>971708.88600958162</v>
      </c>
      <c r="I11" s="106">
        <v>812.3</v>
      </c>
      <c r="J11" s="928">
        <v>0</v>
      </c>
      <c r="K11" s="99">
        <v>180</v>
      </c>
      <c r="L11" s="73" t="s">
        <v>267</v>
      </c>
      <c r="M11" s="1241"/>
      <c r="N11" s="82"/>
    </row>
    <row r="12" spans="1:14" s="84" customFormat="1" ht="30" customHeight="1" x14ac:dyDescent="0.25">
      <c r="A12" s="85"/>
      <c r="B12" s="133">
        <v>103</v>
      </c>
      <c r="C12" s="85" t="s">
        <v>265</v>
      </c>
      <c r="D12" s="133">
        <v>30</v>
      </c>
      <c r="E12" s="112">
        <v>12.26</v>
      </c>
      <c r="F12" s="112"/>
      <c r="G12" s="113">
        <f t="shared" si="1"/>
        <v>10340.483007984669</v>
      </c>
      <c r="H12" s="113">
        <f t="shared" si="0"/>
        <v>310214.49023954006</v>
      </c>
      <c r="I12" s="127">
        <v>812.3</v>
      </c>
      <c r="J12" s="926">
        <v>0</v>
      </c>
      <c r="K12" s="112">
        <v>180</v>
      </c>
      <c r="L12" s="84" t="s">
        <v>267</v>
      </c>
      <c r="M12" s="1242"/>
      <c r="N12" s="85"/>
    </row>
    <row r="13" spans="1:14" s="73" customFormat="1" ht="30" customHeight="1" x14ac:dyDescent="0.25">
      <c r="A13" s="80">
        <v>170608</v>
      </c>
      <c r="B13" s="132">
        <v>104</v>
      </c>
      <c r="C13" s="80" t="s">
        <v>272</v>
      </c>
      <c r="D13" s="132">
        <v>300</v>
      </c>
      <c r="E13" s="110">
        <v>2.5</v>
      </c>
      <c r="F13" s="110"/>
      <c r="G13" s="104">
        <f t="shared" si="1"/>
        <v>2044.0597629467143</v>
      </c>
      <c r="H13" s="111">
        <f t="shared" si="0"/>
        <v>613217.92888401425</v>
      </c>
      <c r="I13" s="73">
        <v>817.49</v>
      </c>
      <c r="J13" s="925">
        <v>0</v>
      </c>
      <c r="K13" s="110">
        <v>360</v>
      </c>
      <c r="L13" s="73" t="s">
        <v>663</v>
      </c>
      <c r="N13" s="80"/>
    </row>
    <row r="14" spans="1:14" s="71" customFormat="1" ht="30" customHeight="1" x14ac:dyDescent="0.25">
      <c r="A14" s="82"/>
      <c r="B14" s="103">
        <v>104</v>
      </c>
      <c r="C14" s="82" t="s">
        <v>657</v>
      </c>
      <c r="D14" s="103">
        <v>1</v>
      </c>
      <c r="E14" s="99">
        <v>2923.13</v>
      </c>
      <c r="F14" s="99"/>
      <c r="G14" s="104">
        <f t="shared" si="1"/>
        <v>2507056.2171915011</v>
      </c>
      <c r="H14" s="104">
        <f t="shared" si="0"/>
        <v>2507056.2171915011</v>
      </c>
      <c r="I14" s="71">
        <v>817.49</v>
      </c>
      <c r="J14" s="928">
        <v>0</v>
      </c>
      <c r="K14" s="99">
        <v>360</v>
      </c>
      <c r="L14" s="71" t="s">
        <v>663</v>
      </c>
      <c r="N14" s="82"/>
    </row>
    <row r="15" spans="1:14" s="71" customFormat="1" ht="30" customHeight="1" x14ac:dyDescent="0.25">
      <c r="A15" s="82"/>
      <c r="B15" s="103">
        <v>104</v>
      </c>
      <c r="C15" s="203" t="s">
        <v>639</v>
      </c>
      <c r="D15" s="103">
        <v>1</v>
      </c>
      <c r="E15" s="99">
        <v>3196.52</v>
      </c>
      <c r="F15" s="99"/>
      <c r="G15" s="104">
        <f t="shared" si="1"/>
        <v>2741532.3093317701</v>
      </c>
      <c r="H15" s="104">
        <f t="shared" si="0"/>
        <v>2741532.3093317701</v>
      </c>
      <c r="I15" s="71">
        <v>817.49</v>
      </c>
      <c r="J15" s="928">
        <v>0</v>
      </c>
      <c r="K15" s="99">
        <v>360</v>
      </c>
      <c r="L15" s="71" t="s">
        <v>663</v>
      </c>
      <c r="N15" s="82"/>
    </row>
    <row r="16" spans="1:14" s="71" customFormat="1" ht="30" customHeight="1" x14ac:dyDescent="0.25">
      <c r="A16" s="82"/>
      <c r="B16" s="103">
        <v>104</v>
      </c>
      <c r="C16" s="82" t="s">
        <v>273</v>
      </c>
      <c r="D16" s="103">
        <v>4</v>
      </c>
      <c r="E16" s="99">
        <v>278.93</v>
      </c>
      <c r="F16" s="99"/>
      <c r="G16" s="104">
        <f t="shared" si="1"/>
        <v>230823.7485618112</v>
      </c>
      <c r="H16" s="104">
        <f t="shared" si="0"/>
        <v>923294.99424724479</v>
      </c>
      <c r="I16" s="71">
        <v>817.49</v>
      </c>
      <c r="J16" s="928">
        <v>0</v>
      </c>
      <c r="K16" s="99">
        <v>360</v>
      </c>
      <c r="L16" s="71" t="s">
        <v>663</v>
      </c>
      <c r="N16" s="82"/>
    </row>
    <row r="17" spans="1:14" s="71" customFormat="1" ht="30" customHeight="1" x14ac:dyDescent="0.25">
      <c r="A17" s="82"/>
      <c r="B17" s="103">
        <v>104</v>
      </c>
      <c r="C17" s="82" t="s">
        <v>665</v>
      </c>
      <c r="D17" s="103">
        <v>50</v>
      </c>
      <c r="E17" s="99">
        <v>28.73</v>
      </c>
      <c r="F17" s="99"/>
      <c r="G17" s="104">
        <f t="shared" si="1"/>
        <v>23509.570274701851</v>
      </c>
      <c r="H17" s="104">
        <f t="shared" si="0"/>
        <v>1175478.5137350925</v>
      </c>
      <c r="I17" s="71">
        <v>817.49</v>
      </c>
      <c r="J17" s="928">
        <v>0</v>
      </c>
      <c r="K17" s="99">
        <v>360</v>
      </c>
      <c r="L17" s="71" t="s">
        <v>663</v>
      </c>
      <c r="N17" s="82" t="s">
        <v>664</v>
      </c>
    </row>
    <row r="18" spans="1:14" s="71" customFormat="1" ht="30" customHeight="1" x14ac:dyDescent="0.25">
      <c r="A18" s="82"/>
      <c r="B18" s="103">
        <v>104</v>
      </c>
      <c r="C18" s="203" t="s">
        <v>635</v>
      </c>
      <c r="D18" s="103">
        <v>5</v>
      </c>
      <c r="E18" s="99">
        <v>218.44</v>
      </c>
      <c r="F18" s="99"/>
      <c r="G18" s="104">
        <f t="shared" si="1"/>
        <v>180327.53043392691</v>
      </c>
      <c r="H18" s="104">
        <f t="shared" si="0"/>
        <v>901637.65216963459</v>
      </c>
      <c r="I18" s="71">
        <v>817.49</v>
      </c>
      <c r="J18" s="928">
        <v>0</v>
      </c>
      <c r="K18" s="99">
        <v>360</v>
      </c>
      <c r="L18" s="71" t="s">
        <v>663</v>
      </c>
      <c r="N18" s="82"/>
    </row>
    <row r="19" spans="1:14" s="71" customFormat="1" ht="30" customHeight="1" x14ac:dyDescent="0.25">
      <c r="A19" s="82"/>
      <c r="B19" s="103">
        <v>104</v>
      </c>
      <c r="C19" s="82" t="s">
        <v>274</v>
      </c>
      <c r="D19" s="103">
        <v>10</v>
      </c>
      <c r="E19" s="99">
        <v>71.930000000000007</v>
      </c>
      <c r="F19" s="99"/>
      <c r="G19" s="104">
        <f t="shared" si="1"/>
        <v>59091.009685085977</v>
      </c>
      <c r="H19" s="104">
        <f t="shared" si="0"/>
        <v>590910.09685085982</v>
      </c>
      <c r="I19" s="71">
        <v>817.49</v>
      </c>
      <c r="J19" s="928">
        <v>0</v>
      </c>
      <c r="K19" s="99">
        <v>360</v>
      </c>
      <c r="L19" s="71" t="s">
        <v>663</v>
      </c>
      <c r="N19" s="82"/>
    </row>
    <row r="20" spans="1:14" s="84" customFormat="1" ht="30" customHeight="1" x14ac:dyDescent="0.25">
      <c r="A20" s="85"/>
      <c r="B20" s="133">
        <v>104</v>
      </c>
      <c r="C20" s="85" t="s">
        <v>275</v>
      </c>
      <c r="D20" s="133">
        <v>2</v>
      </c>
      <c r="E20" s="112">
        <v>605.80999999999995</v>
      </c>
      <c r="F20" s="112"/>
      <c r="G20" s="113">
        <f t="shared" si="1"/>
        <v>507411.78134494188</v>
      </c>
      <c r="H20" s="113">
        <f t="shared" si="0"/>
        <v>1014823.5626898838</v>
      </c>
      <c r="I20" s="84">
        <v>817.49</v>
      </c>
      <c r="J20" s="926">
        <v>0</v>
      </c>
      <c r="K20" s="112">
        <v>360</v>
      </c>
      <c r="L20" s="84" t="s">
        <v>276</v>
      </c>
      <c r="M20" s="84" t="s">
        <v>268</v>
      </c>
      <c r="N20" s="85"/>
    </row>
    <row r="21" spans="1:14" s="73" customFormat="1" ht="30" customHeight="1" x14ac:dyDescent="0.25">
      <c r="A21" s="80">
        <v>170623</v>
      </c>
      <c r="B21" s="132">
        <v>105</v>
      </c>
      <c r="C21" s="80" t="s">
        <v>534</v>
      </c>
      <c r="D21" s="132">
        <v>150</v>
      </c>
      <c r="E21" s="110">
        <v>9.9</v>
      </c>
      <c r="F21" s="110"/>
      <c r="G21" s="104">
        <f t="shared" si="1"/>
        <v>8192.9510298294172</v>
      </c>
      <c r="H21" s="111">
        <f t="shared" si="0"/>
        <v>1228942.6544744126</v>
      </c>
      <c r="I21" s="73">
        <v>827.23</v>
      </c>
      <c r="J21" s="925">
        <v>0</v>
      </c>
      <c r="K21" s="110">
        <v>320</v>
      </c>
      <c r="N21" s="80"/>
    </row>
    <row r="22" spans="1:14" s="71" customFormat="1" ht="30" customHeight="1" x14ac:dyDescent="0.25">
      <c r="A22" s="82"/>
      <c r="B22" s="103">
        <v>105</v>
      </c>
      <c r="C22" s="82" t="s">
        <v>535</v>
      </c>
      <c r="D22" s="103">
        <v>30</v>
      </c>
      <c r="E22" s="99">
        <v>9.9</v>
      </c>
      <c r="F22" s="99"/>
      <c r="G22" s="104">
        <f t="shared" si="1"/>
        <v>8206.4471491470831</v>
      </c>
      <c r="H22" s="104">
        <f t="shared" si="0"/>
        <v>246193.41447441251</v>
      </c>
      <c r="I22" s="71">
        <v>827.23</v>
      </c>
      <c r="J22" s="928">
        <v>0</v>
      </c>
      <c r="K22" s="99">
        <v>320</v>
      </c>
      <c r="N22" s="82"/>
    </row>
    <row r="23" spans="1:14" s="71" customFormat="1" ht="30" customHeight="1" x14ac:dyDescent="0.25">
      <c r="A23" s="82"/>
      <c r="B23" s="103">
        <v>105</v>
      </c>
      <c r="C23" s="82" t="s">
        <v>536</v>
      </c>
      <c r="D23" s="103">
        <v>60</v>
      </c>
      <c r="E23" s="99">
        <v>9.5</v>
      </c>
      <c r="F23" s="99"/>
      <c r="G23" s="104">
        <f t="shared" si="1"/>
        <v>7866.7792634796615</v>
      </c>
      <c r="H23" s="104">
        <f t="shared" si="0"/>
        <v>472006.75580877968</v>
      </c>
      <c r="I23" s="71">
        <v>827.23</v>
      </c>
      <c r="J23" s="928">
        <v>0</v>
      </c>
      <c r="K23" s="99">
        <v>320</v>
      </c>
      <c r="N23" s="82"/>
    </row>
    <row r="24" spans="1:14" s="71" customFormat="1" ht="30" customHeight="1" x14ac:dyDescent="0.25">
      <c r="A24" s="82"/>
      <c r="B24" s="103">
        <v>105</v>
      </c>
      <c r="C24" s="82" t="s">
        <v>537</v>
      </c>
      <c r="D24" s="103">
        <v>50</v>
      </c>
      <c r="E24" s="99">
        <v>9.5</v>
      </c>
      <c r="F24" s="99"/>
      <c r="G24" s="104">
        <f t="shared" si="1"/>
        <v>7868.3981161755937</v>
      </c>
      <c r="H24" s="104">
        <f t="shared" si="0"/>
        <v>393419.9058087797</v>
      </c>
      <c r="I24" s="71">
        <v>827.23</v>
      </c>
      <c r="J24" s="928">
        <v>0</v>
      </c>
      <c r="K24" s="99">
        <v>320</v>
      </c>
      <c r="N24" s="82"/>
    </row>
    <row r="25" spans="1:14" s="71" customFormat="1" ht="30" customHeight="1" x14ac:dyDescent="0.25">
      <c r="A25" s="82"/>
      <c r="B25" s="103">
        <v>105</v>
      </c>
      <c r="C25" s="82" t="s">
        <v>530</v>
      </c>
      <c r="D25" s="103">
        <v>1</v>
      </c>
      <c r="E25" s="99">
        <v>1827.38</v>
      </c>
      <c r="F25" s="99"/>
      <c r="G25" s="104">
        <f t="shared" si="1"/>
        <v>1605082.2639102906</v>
      </c>
      <c r="H25" s="104">
        <f t="shared" si="0"/>
        <v>1605082.2639102906</v>
      </c>
      <c r="I25" s="71">
        <v>827.23</v>
      </c>
      <c r="J25" s="928">
        <v>0</v>
      </c>
      <c r="K25" s="99">
        <v>320</v>
      </c>
      <c r="N25" s="82" t="s">
        <v>661</v>
      </c>
    </row>
    <row r="26" spans="1:14" s="84" customFormat="1" ht="30" customHeight="1" x14ac:dyDescent="0.25">
      <c r="A26" s="85"/>
      <c r="B26" s="133">
        <v>105</v>
      </c>
      <c r="C26" s="85" t="s">
        <v>531</v>
      </c>
      <c r="D26" s="133">
        <v>1</v>
      </c>
      <c r="E26" s="112">
        <v>3311.93</v>
      </c>
      <c r="F26" s="112"/>
      <c r="G26" s="113">
        <f t="shared" si="1"/>
        <v>2909039.2268233253</v>
      </c>
      <c r="H26" s="113">
        <f t="shared" si="0"/>
        <v>2909039.2268233253</v>
      </c>
      <c r="I26" s="84">
        <v>827.23</v>
      </c>
      <c r="J26" s="926">
        <v>0</v>
      </c>
      <c r="K26" s="112">
        <v>320</v>
      </c>
      <c r="N26" s="85"/>
    </row>
    <row r="27" spans="1:14" s="88" customFormat="1" ht="30" customHeight="1" x14ac:dyDescent="0.25">
      <c r="A27" s="89">
        <v>170629</v>
      </c>
      <c r="B27" s="134">
        <v>106</v>
      </c>
      <c r="C27" s="89" t="s">
        <v>658</v>
      </c>
      <c r="D27" s="134">
        <v>1</v>
      </c>
      <c r="E27" s="116">
        <f>E25+260</f>
        <v>2087.38</v>
      </c>
      <c r="F27" s="116"/>
      <c r="G27" s="117">
        <f t="shared" si="1"/>
        <v>1929921.9408000002</v>
      </c>
      <c r="H27" s="117">
        <f t="shared" si="0"/>
        <v>1929921.9408000002</v>
      </c>
      <c r="I27" s="88">
        <v>822.16</v>
      </c>
      <c r="J27" s="927">
        <v>0</v>
      </c>
      <c r="K27" s="116">
        <v>260</v>
      </c>
      <c r="L27" s="88" t="s">
        <v>659</v>
      </c>
      <c r="N27" s="89" t="s">
        <v>660</v>
      </c>
    </row>
    <row r="28" spans="1:14" s="88" customFormat="1" ht="30" customHeight="1" x14ac:dyDescent="0.25">
      <c r="A28" s="89">
        <v>170713</v>
      </c>
      <c r="B28" s="134">
        <v>107</v>
      </c>
      <c r="C28" s="89" t="s">
        <v>666</v>
      </c>
      <c r="D28" s="134">
        <v>8</v>
      </c>
      <c r="E28" s="116">
        <v>1367.93</v>
      </c>
      <c r="F28" s="116"/>
      <c r="G28" s="117">
        <f t="shared" si="1"/>
        <v>1224325.8761</v>
      </c>
      <c r="H28" s="117">
        <f t="shared" si="0"/>
        <v>9794607.0088</v>
      </c>
      <c r="I28" s="88">
        <v>839.77</v>
      </c>
      <c r="J28" s="927">
        <v>0</v>
      </c>
      <c r="K28" s="116">
        <v>720</v>
      </c>
      <c r="L28" s="88" t="s">
        <v>663</v>
      </c>
      <c r="N28" s="89"/>
    </row>
    <row r="29" spans="1:14" s="409" customFormat="1" ht="30" customHeight="1" x14ac:dyDescent="0.25">
      <c r="A29" s="80">
        <v>170720</v>
      </c>
      <c r="B29" s="132">
        <v>108</v>
      </c>
      <c r="C29" s="80" t="s">
        <v>682</v>
      </c>
      <c r="D29" s="132">
        <v>2</v>
      </c>
      <c r="E29" s="110">
        <v>161.24</v>
      </c>
      <c r="F29" s="110"/>
      <c r="G29" s="111">
        <f t="shared" si="1"/>
        <v>156492.48748915663</v>
      </c>
      <c r="H29" s="111">
        <f t="shared" si="0"/>
        <v>312984.97497831326</v>
      </c>
      <c r="I29" s="73">
        <v>839.73</v>
      </c>
      <c r="J29" s="925">
        <v>0</v>
      </c>
      <c r="K29" s="110">
        <v>90</v>
      </c>
      <c r="L29" s="73"/>
      <c r="M29" s="73"/>
      <c r="N29" s="80" t="s">
        <v>683</v>
      </c>
    </row>
    <row r="30" spans="1:14" s="411" customFormat="1" ht="30" customHeight="1" x14ac:dyDescent="0.25">
      <c r="A30" s="85"/>
      <c r="B30" s="133">
        <v>108</v>
      </c>
      <c r="C30" s="85" t="s">
        <v>685</v>
      </c>
      <c r="D30" s="133">
        <v>2</v>
      </c>
      <c r="E30" s="112">
        <v>127.6</v>
      </c>
      <c r="F30" s="112"/>
      <c r="G30" s="113">
        <f t="shared" si="1"/>
        <v>123842.97571084337</v>
      </c>
      <c r="H30" s="113">
        <f t="shared" si="0"/>
        <v>247685.95142168674</v>
      </c>
      <c r="I30" s="84">
        <v>839.73</v>
      </c>
      <c r="J30" s="926">
        <v>0</v>
      </c>
      <c r="K30" s="112">
        <v>90</v>
      </c>
      <c r="L30" s="84"/>
      <c r="M30" s="84"/>
      <c r="N30" s="85" t="s">
        <v>684</v>
      </c>
    </row>
    <row r="31" spans="1:14" s="88" customFormat="1" ht="30" customHeight="1" x14ac:dyDescent="0.25">
      <c r="A31" s="89">
        <v>170817</v>
      </c>
      <c r="B31" s="134">
        <v>109</v>
      </c>
      <c r="C31" s="89" t="s">
        <v>705</v>
      </c>
      <c r="D31" s="134">
        <v>4</v>
      </c>
      <c r="E31" s="116">
        <v>130.76</v>
      </c>
      <c r="F31" s="116"/>
      <c r="G31" s="117">
        <f t="shared" si="1"/>
        <v>128433.41259999998</v>
      </c>
      <c r="H31" s="117">
        <f t="shared" si="0"/>
        <v>513733.65039999993</v>
      </c>
      <c r="I31" s="88">
        <v>838.01</v>
      </c>
      <c r="J31" s="927">
        <v>0</v>
      </c>
      <c r="K31" s="116">
        <v>90</v>
      </c>
      <c r="L31" s="88" t="s">
        <v>266</v>
      </c>
      <c r="N31" s="89"/>
    </row>
    <row r="32" spans="1:14" s="409" customFormat="1" ht="30" customHeight="1" x14ac:dyDescent="0.25">
      <c r="A32" s="80">
        <v>170830</v>
      </c>
      <c r="B32" s="132">
        <v>110</v>
      </c>
      <c r="C32" s="80" t="s">
        <v>841</v>
      </c>
      <c r="D32" s="132">
        <v>2</v>
      </c>
      <c r="E32" s="110">
        <v>41.03</v>
      </c>
      <c r="F32" s="110"/>
      <c r="G32" s="104">
        <f t="shared" si="1"/>
        <v>43994.6656</v>
      </c>
      <c r="H32" s="111">
        <f t="shared" si="0"/>
        <v>87989.331200000001</v>
      </c>
      <c r="I32" s="73">
        <v>841.52</v>
      </c>
      <c r="J32" s="925">
        <v>0</v>
      </c>
      <c r="K32" s="110">
        <v>45</v>
      </c>
      <c r="L32" s="73"/>
      <c r="M32" s="73"/>
      <c r="N32" s="80"/>
    </row>
    <row r="33" spans="1:14" s="411" customFormat="1" ht="33" customHeight="1" x14ac:dyDescent="0.25">
      <c r="A33" s="85"/>
      <c r="B33" s="133">
        <v>110</v>
      </c>
      <c r="C33" s="85" t="s">
        <v>842</v>
      </c>
      <c r="D33" s="133">
        <v>5</v>
      </c>
      <c r="E33" s="112">
        <v>41.03</v>
      </c>
      <c r="F33" s="112"/>
      <c r="G33" s="113">
        <f t="shared" si="1"/>
        <v>38314.405599999998</v>
      </c>
      <c r="H33" s="113">
        <f t="shared" si="0"/>
        <v>191572.02799999999</v>
      </c>
      <c r="I33" s="84">
        <v>841.52</v>
      </c>
      <c r="J33" s="926">
        <v>0</v>
      </c>
      <c r="K33" s="112">
        <v>45</v>
      </c>
      <c r="L33" s="84"/>
      <c r="M33" s="84"/>
      <c r="N33" s="85"/>
    </row>
    <row r="34" spans="1:14" s="71" customFormat="1" ht="30" customHeight="1" x14ac:dyDescent="0.25">
      <c r="A34" s="82">
        <v>170920</v>
      </c>
      <c r="B34" s="103">
        <v>111</v>
      </c>
      <c r="C34" s="82" t="s">
        <v>860</v>
      </c>
      <c r="D34" s="103">
        <v>1</v>
      </c>
      <c r="E34" s="99">
        <v>538.36</v>
      </c>
      <c r="F34" s="99"/>
      <c r="G34" s="104">
        <f t="shared" si="1"/>
        <v>533379.58529904764</v>
      </c>
      <c r="H34" s="111">
        <f t="shared" si="0"/>
        <v>533379.58529904764</v>
      </c>
      <c r="I34" s="73">
        <v>846.94</v>
      </c>
      <c r="J34" s="925">
        <v>0</v>
      </c>
      <c r="K34" s="110">
        <v>350</v>
      </c>
      <c r="L34" s="1240" t="s">
        <v>869</v>
      </c>
      <c r="N34" s="82"/>
    </row>
    <row r="35" spans="1:14" s="71" customFormat="1" ht="30" customHeight="1" x14ac:dyDescent="0.25">
      <c r="A35" s="82"/>
      <c r="B35" s="103">
        <v>111</v>
      </c>
      <c r="C35" s="82" t="s">
        <v>889</v>
      </c>
      <c r="D35" s="103">
        <v>4</v>
      </c>
      <c r="E35" s="99">
        <v>143.91999999999999</v>
      </c>
      <c r="F35" s="99"/>
      <c r="G35" s="104">
        <f t="shared" si="1"/>
        <v>127065.84952291354</v>
      </c>
      <c r="H35" s="111">
        <f t="shared" ref="H35:H45" si="2">(G35*D35)</f>
        <v>508263.39809165418</v>
      </c>
      <c r="I35" s="73">
        <v>846.94</v>
      </c>
      <c r="J35" s="925">
        <v>0</v>
      </c>
      <c r="K35" s="110">
        <v>350</v>
      </c>
      <c r="L35" s="1241"/>
      <c r="N35" s="82"/>
    </row>
    <row r="36" spans="1:14" s="71" customFormat="1" ht="30" customHeight="1" x14ac:dyDescent="0.25">
      <c r="A36" s="82"/>
      <c r="B36" s="103">
        <v>111</v>
      </c>
      <c r="C36" s="82" t="s">
        <v>890</v>
      </c>
      <c r="D36" s="103">
        <v>2</v>
      </c>
      <c r="E36" s="99">
        <v>113.33</v>
      </c>
      <c r="F36" s="99"/>
      <c r="G36" s="104">
        <f t="shared" si="1"/>
        <v>104132.64230739011</v>
      </c>
      <c r="H36" s="111">
        <f t="shared" si="2"/>
        <v>208265.28461478022</v>
      </c>
      <c r="I36" s="73">
        <v>846.94</v>
      </c>
      <c r="J36" s="925">
        <v>0</v>
      </c>
      <c r="K36" s="110">
        <v>350</v>
      </c>
      <c r="L36" s="1243"/>
      <c r="N36" s="82"/>
    </row>
    <row r="37" spans="1:14" s="71" customFormat="1" ht="30" customHeight="1" x14ac:dyDescent="0.25">
      <c r="A37" s="82"/>
      <c r="B37" s="103">
        <v>111</v>
      </c>
      <c r="C37" s="82" t="s">
        <v>861</v>
      </c>
      <c r="D37" s="103">
        <v>1</v>
      </c>
      <c r="E37" s="99">
        <v>380</v>
      </c>
      <c r="F37" s="99"/>
      <c r="G37" s="104">
        <f t="shared" si="1"/>
        <v>376484.58729035984</v>
      </c>
      <c r="H37" s="111">
        <f t="shared" si="2"/>
        <v>376484.58729035984</v>
      </c>
      <c r="I37" s="73">
        <v>846.94</v>
      </c>
      <c r="J37" s="925">
        <v>0</v>
      </c>
      <c r="K37" s="110">
        <v>350</v>
      </c>
      <c r="N37" s="82"/>
    </row>
    <row r="38" spans="1:14" s="71" customFormat="1" ht="30" customHeight="1" x14ac:dyDescent="0.25">
      <c r="A38" s="82"/>
      <c r="B38" s="103">
        <v>111</v>
      </c>
      <c r="C38" s="82" t="s">
        <v>888</v>
      </c>
      <c r="D38" s="103">
        <v>2</v>
      </c>
      <c r="E38" s="99">
        <v>509.92</v>
      </c>
      <c r="F38" s="99"/>
      <c r="G38" s="104">
        <f t="shared" si="1"/>
        <v>468537.16549355304</v>
      </c>
      <c r="H38" s="806">
        <f>(G38*D38)+SUM(H39:H41)</f>
        <v>972711.23253822746</v>
      </c>
      <c r="I38" s="73">
        <v>846.94</v>
      </c>
      <c r="J38" s="925">
        <v>0</v>
      </c>
      <c r="K38" s="110">
        <v>350</v>
      </c>
      <c r="L38" s="1244" t="s">
        <v>659</v>
      </c>
      <c r="N38" s="82"/>
    </row>
    <row r="39" spans="1:14" s="71" customFormat="1" ht="30" customHeight="1" x14ac:dyDescent="0.25">
      <c r="A39" s="82"/>
      <c r="B39" s="103">
        <v>111</v>
      </c>
      <c r="C39" s="82" t="s">
        <v>862</v>
      </c>
      <c r="D39" s="103">
        <v>4</v>
      </c>
      <c r="E39" s="99">
        <v>2.9</v>
      </c>
      <c r="F39" s="99"/>
      <c r="G39" s="104">
        <f t="shared" si="1"/>
        <v>2560.38746259345</v>
      </c>
      <c r="H39" s="111">
        <f t="shared" si="2"/>
        <v>10241.5498503738</v>
      </c>
      <c r="I39" s="73">
        <v>846.94</v>
      </c>
      <c r="J39" s="925">
        <v>0</v>
      </c>
      <c r="K39" s="110">
        <v>350</v>
      </c>
      <c r="L39" s="1241"/>
      <c r="N39" s="82"/>
    </row>
    <row r="40" spans="1:14" s="71" customFormat="1" ht="30" customHeight="1" x14ac:dyDescent="0.25">
      <c r="A40" s="82"/>
      <c r="B40" s="103">
        <v>111</v>
      </c>
      <c r="C40" s="82" t="s">
        <v>863</v>
      </c>
      <c r="D40" s="103">
        <v>4</v>
      </c>
      <c r="E40" s="99">
        <v>2.9</v>
      </c>
      <c r="F40" s="99"/>
      <c r="G40" s="104">
        <f t="shared" si="1"/>
        <v>2560.38746259345</v>
      </c>
      <c r="H40" s="111">
        <f t="shared" si="2"/>
        <v>10241.5498503738</v>
      </c>
      <c r="I40" s="73">
        <v>846.94</v>
      </c>
      <c r="J40" s="925">
        <v>0</v>
      </c>
      <c r="K40" s="110">
        <v>350</v>
      </c>
      <c r="L40" s="1241"/>
      <c r="N40" s="82"/>
    </row>
    <row r="41" spans="1:14" s="71" customFormat="1" ht="30" customHeight="1" x14ac:dyDescent="0.25">
      <c r="A41" s="82"/>
      <c r="B41" s="103">
        <v>111</v>
      </c>
      <c r="C41" s="82" t="s">
        <v>864</v>
      </c>
      <c r="D41" s="103">
        <v>6</v>
      </c>
      <c r="E41" s="99">
        <v>2.9</v>
      </c>
      <c r="F41" s="99"/>
      <c r="G41" s="104">
        <f t="shared" ref="G41:G72" si="3">(I41*E41)+(J41*(E41/SUMIF(B:B,B41,E:E)))/D41+((K41*I41)*(E41/SUMIF(B:B,B41,E:E)))/D41</f>
        <v>2525.6336417289667</v>
      </c>
      <c r="H41" s="111">
        <f t="shared" si="2"/>
        <v>15153.8018503738</v>
      </c>
      <c r="I41" s="73">
        <v>846.94</v>
      </c>
      <c r="J41" s="925">
        <v>0</v>
      </c>
      <c r="K41" s="110">
        <v>350</v>
      </c>
      <c r="L41" s="1241"/>
      <c r="N41" s="82"/>
    </row>
    <row r="42" spans="1:14" s="71" customFormat="1" ht="30" customHeight="1" x14ac:dyDescent="0.25">
      <c r="A42" s="82"/>
      <c r="B42" s="103">
        <v>111</v>
      </c>
      <c r="C42" s="82" t="s">
        <v>865</v>
      </c>
      <c r="D42" s="103">
        <v>2</v>
      </c>
      <c r="E42" s="99">
        <v>175.87</v>
      </c>
      <c r="F42" s="99"/>
      <c r="G42" s="104">
        <f t="shared" si="3"/>
        <v>161597.17464573105</v>
      </c>
      <c r="H42" s="111">
        <f t="shared" si="2"/>
        <v>323194.3492914621</v>
      </c>
      <c r="I42" s="73">
        <v>846.94</v>
      </c>
      <c r="J42" s="925">
        <v>0</v>
      </c>
      <c r="K42" s="110">
        <v>350</v>
      </c>
      <c r="L42" s="1241"/>
      <c r="N42" s="82"/>
    </row>
    <row r="43" spans="1:14" s="84" customFormat="1" ht="30" customHeight="1" x14ac:dyDescent="0.25">
      <c r="A43" s="85"/>
      <c r="B43" s="133">
        <v>111</v>
      </c>
      <c r="C43" s="85" t="s">
        <v>866</v>
      </c>
      <c r="D43" s="133">
        <v>2</v>
      </c>
      <c r="E43" s="112">
        <v>191.17</v>
      </c>
      <c r="F43" s="112"/>
      <c r="G43" s="113">
        <f t="shared" si="3"/>
        <v>175655.49483723432</v>
      </c>
      <c r="H43" s="113">
        <f t="shared" si="2"/>
        <v>351310.98967446864</v>
      </c>
      <c r="I43" s="84">
        <v>846.94</v>
      </c>
      <c r="J43" s="926">
        <v>0</v>
      </c>
      <c r="K43" s="112">
        <v>350</v>
      </c>
      <c r="L43" s="1242"/>
      <c r="N43" s="85"/>
    </row>
    <row r="44" spans="1:14" s="88" customFormat="1" ht="30" customHeight="1" x14ac:dyDescent="0.25">
      <c r="A44" s="89">
        <v>170929</v>
      </c>
      <c r="B44" s="134">
        <v>112</v>
      </c>
      <c r="C44" s="89" t="s">
        <v>867</v>
      </c>
      <c r="D44" s="134">
        <v>1</v>
      </c>
      <c r="E44" s="116">
        <v>805.74</v>
      </c>
      <c r="F44" s="116"/>
      <c r="G44" s="117">
        <f t="shared" si="3"/>
        <v>925698.57120000012</v>
      </c>
      <c r="H44" s="117">
        <f t="shared" si="2"/>
        <v>925698.57120000012</v>
      </c>
      <c r="I44" s="88">
        <v>1148.8800000000001</v>
      </c>
      <c r="J44" s="927">
        <v>0</v>
      </c>
      <c r="K44" s="116">
        <v>0</v>
      </c>
      <c r="N44" s="89" t="s">
        <v>868</v>
      </c>
    </row>
    <row r="45" spans="1:14" s="73" customFormat="1" ht="30" customHeight="1" x14ac:dyDescent="0.25">
      <c r="A45" s="80">
        <v>171030</v>
      </c>
      <c r="B45" s="132">
        <v>113</v>
      </c>
      <c r="C45" s="80" t="s">
        <v>879</v>
      </c>
      <c r="D45" s="132">
        <v>100</v>
      </c>
      <c r="E45" s="99">
        <v>11</v>
      </c>
      <c r="F45" s="99"/>
      <c r="G45" s="104">
        <f t="shared" si="3"/>
        <v>9268.0802972894198</v>
      </c>
      <c r="H45" s="111">
        <f t="shared" si="2"/>
        <v>926808.02972894197</v>
      </c>
      <c r="I45" s="805">
        <v>836.7</v>
      </c>
      <c r="J45" s="925">
        <v>0</v>
      </c>
      <c r="K45" s="110">
        <v>240</v>
      </c>
      <c r="L45" s="1240" t="s">
        <v>869</v>
      </c>
      <c r="N45" s="80"/>
    </row>
    <row r="46" spans="1:14" s="71" customFormat="1" ht="30" customHeight="1" x14ac:dyDescent="0.25">
      <c r="A46" s="82"/>
      <c r="B46" s="103">
        <v>113</v>
      </c>
      <c r="C46" s="82" t="s">
        <v>880</v>
      </c>
      <c r="D46" s="103">
        <v>30</v>
      </c>
      <c r="E46" s="99">
        <v>11</v>
      </c>
      <c r="F46" s="99"/>
      <c r="G46" s="104">
        <f t="shared" si="3"/>
        <v>9429.5574759545325</v>
      </c>
      <c r="H46" s="111">
        <f t="shared" ref="H46:H51" si="4">(G46*D46)</f>
        <v>282886.72427863599</v>
      </c>
      <c r="I46" s="805">
        <v>837.7</v>
      </c>
      <c r="J46" s="925">
        <v>0</v>
      </c>
      <c r="K46" s="110">
        <v>240</v>
      </c>
      <c r="L46" s="1241"/>
      <c r="N46" s="82"/>
    </row>
    <row r="47" spans="1:14" s="71" customFormat="1" ht="30" customHeight="1" x14ac:dyDescent="0.25">
      <c r="A47" s="82"/>
      <c r="B47" s="103">
        <v>113</v>
      </c>
      <c r="C47" s="82" t="s">
        <v>870</v>
      </c>
      <c r="D47" s="103">
        <v>50</v>
      </c>
      <c r="E47" s="99">
        <v>9.27</v>
      </c>
      <c r="F47" s="99"/>
      <c r="G47" s="104">
        <f t="shared" si="3"/>
        <v>7883.5184409793064</v>
      </c>
      <c r="H47" s="111">
        <f t="shared" si="4"/>
        <v>394175.92204896529</v>
      </c>
      <c r="I47" s="805">
        <v>838.7</v>
      </c>
      <c r="J47" s="925">
        <v>0</v>
      </c>
      <c r="K47" s="110">
        <v>240</v>
      </c>
      <c r="L47" s="1241"/>
      <c r="N47" s="82" t="s">
        <v>878</v>
      </c>
    </row>
    <row r="48" spans="1:14" s="71" customFormat="1" ht="30" customHeight="1" x14ac:dyDescent="0.25">
      <c r="A48" s="82"/>
      <c r="B48" s="103">
        <v>113</v>
      </c>
      <c r="C48" s="82" t="s">
        <v>871</v>
      </c>
      <c r="D48" s="103">
        <v>5</v>
      </c>
      <c r="E48" s="99">
        <v>35.909999999999997</v>
      </c>
      <c r="F48" s="99"/>
      <c r="G48" s="104">
        <f t="shared" si="3"/>
        <v>34372.146661906147</v>
      </c>
      <c r="H48" s="111">
        <f t="shared" si="4"/>
        <v>171860.73330953074</v>
      </c>
      <c r="I48" s="805">
        <v>839.7</v>
      </c>
      <c r="J48" s="925">
        <v>0</v>
      </c>
      <c r="K48" s="110">
        <v>240</v>
      </c>
      <c r="L48" s="1241"/>
      <c r="N48" s="82" t="s">
        <v>877</v>
      </c>
    </row>
    <row r="49" spans="1:14" s="71" customFormat="1" ht="30" customHeight="1" x14ac:dyDescent="0.25">
      <c r="A49" s="82"/>
      <c r="B49" s="103">
        <v>113</v>
      </c>
      <c r="C49" s="82" t="s">
        <v>872</v>
      </c>
      <c r="D49" s="103">
        <v>8</v>
      </c>
      <c r="E49" s="99">
        <v>28.73</v>
      </c>
      <c r="F49" s="99"/>
      <c r="G49" s="104">
        <f t="shared" si="3"/>
        <v>26265.229770037891</v>
      </c>
      <c r="H49" s="111">
        <f t="shared" si="4"/>
        <v>210121.83816030313</v>
      </c>
      <c r="I49" s="805">
        <v>840.7</v>
      </c>
      <c r="J49" s="925">
        <v>0</v>
      </c>
      <c r="K49" s="110">
        <v>240</v>
      </c>
      <c r="L49" s="1241"/>
      <c r="N49" s="82" t="s">
        <v>875</v>
      </c>
    </row>
    <row r="50" spans="1:14" s="71" customFormat="1" ht="30" customHeight="1" x14ac:dyDescent="0.25">
      <c r="A50" s="82"/>
      <c r="B50" s="103">
        <v>113</v>
      </c>
      <c r="C50" s="82" t="s">
        <v>873</v>
      </c>
      <c r="D50" s="103">
        <v>2</v>
      </c>
      <c r="E50" s="99">
        <v>101.92</v>
      </c>
      <c r="F50" s="99"/>
      <c r="G50" s="104">
        <f t="shared" si="3"/>
        <v>115789.93365899156</v>
      </c>
      <c r="H50" s="111">
        <f t="shared" si="4"/>
        <v>231579.86731798312</v>
      </c>
      <c r="I50" s="805">
        <v>841.7</v>
      </c>
      <c r="J50" s="925">
        <v>0</v>
      </c>
      <c r="K50" s="110">
        <v>240</v>
      </c>
      <c r="L50" s="1243"/>
      <c r="N50" s="82" t="s">
        <v>876</v>
      </c>
    </row>
    <row r="51" spans="1:14" s="84" customFormat="1" ht="30" customHeight="1" x14ac:dyDescent="0.25">
      <c r="A51" s="85"/>
      <c r="B51" s="133">
        <v>113</v>
      </c>
      <c r="C51" s="85" t="s">
        <v>894</v>
      </c>
      <c r="D51" s="133">
        <v>1</v>
      </c>
      <c r="E51" s="112">
        <v>145.27000000000001</v>
      </c>
      <c r="F51" s="112"/>
      <c r="G51" s="113">
        <f t="shared" si="3"/>
        <v>208051.69282978724</v>
      </c>
      <c r="H51" s="113">
        <f t="shared" si="4"/>
        <v>208051.69282978724</v>
      </c>
      <c r="I51" s="832">
        <v>842.7</v>
      </c>
      <c r="J51" s="926">
        <v>0</v>
      </c>
      <c r="K51" s="112">
        <v>240</v>
      </c>
      <c r="N51" s="85" t="s">
        <v>874</v>
      </c>
    </row>
    <row r="52" spans="1:14" s="73" customFormat="1" ht="30" customHeight="1" x14ac:dyDescent="0.25">
      <c r="A52" s="80">
        <v>171117</v>
      </c>
      <c r="B52" s="132">
        <v>114</v>
      </c>
      <c r="C52" s="80" t="s">
        <v>927</v>
      </c>
      <c r="D52" s="132">
        <v>2</v>
      </c>
      <c r="E52" s="110">
        <v>127.6</v>
      </c>
      <c r="F52" s="110"/>
      <c r="G52" s="104">
        <f t="shared" si="3"/>
        <v>140485.5314747786</v>
      </c>
      <c r="H52" s="111">
        <f t="shared" ref="H52:H58" si="5">(G52*D52)</f>
        <v>280971.06294955721</v>
      </c>
      <c r="I52" s="805">
        <v>841.7</v>
      </c>
      <c r="J52" s="925">
        <v>0</v>
      </c>
      <c r="K52" s="110">
        <v>80</v>
      </c>
      <c r="L52" s="1240" t="s">
        <v>266</v>
      </c>
      <c r="N52" s="80"/>
    </row>
    <row r="53" spans="1:14" s="84" customFormat="1" ht="30" customHeight="1" x14ac:dyDescent="0.25">
      <c r="A53" s="85"/>
      <c r="B53" s="133">
        <v>114</v>
      </c>
      <c r="C53" s="85" t="s">
        <v>928</v>
      </c>
      <c r="D53" s="133">
        <v>30</v>
      </c>
      <c r="E53" s="112">
        <v>2.25</v>
      </c>
      <c r="F53" s="112"/>
      <c r="G53" s="113">
        <f t="shared" si="3"/>
        <v>1935.0137755102041</v>
      </c>
      <c r="H53" s="113">
        <f t="shared" si="5"/>
        <v>58050.413265306124</v>
      </c>
      <c r="I53" s="832">
        <v>842.7</v>
      </c>
      <c r="J53" s="926">
        <v>0</v>
      </c>
      <c r="K53" s="112">
        <v>80</v>
      </c>
      <c r="L53" s="1242"/>
      <c r="N53" s="85"/>
    </row>
    <row r="54" spans="1:14" s="73" customFormat="1" ht="30" customHeight="1" x14ac:dyDescent="0.25">
      <c r="A54" s="80">
        <v>171130</v>
      </c>
      <c r="B54" s="132">
        <v>115</v>
      </c>
      <c r="C54" s="80" t="s">
        <v>929</v>
      </c>
      <c r="D54" s="132">
        <v>1</v>
      </c>
      <c r="E54" s="110">
        <v>178.29</v>
      </c>
      <c r="F54" s="110"/>
      <c r="G54" s="104">
        <f t="shared" si="3"/>
        <v>233900.23243080598</v>
      </c>
      <c r="H54" s="111">
        <f t="shared" si="5"/>
        <v>233900.23243080598</v>
      </c>
      <c r="I54" s="805">
        <v>841.7</v>
      </c>
      <c r="J54" s="925">
        <v>0</v>
      </c>
      <c r="K54" s="110">
        <v>180</v>
      </c>
      <c r="L54" s="73" t="s">
        <v>266</v>
      </c>
      <c r="N54" s="80"/>
    </row>
    <row r="55" spans="1:14" s="84" customFormat="1" ht="30" customHeight="1" x14ac:dyDescent="0.25">
      <c r="A55" s="85"/>
      <c r="B55" s="133">
        <v>115</v>
      </c>
      <c r="C55" s="85" t="s">
        <v>930</v>
      </c>
      <c r="D55" s="133">
        <v>6</v>
      </c>
      <c r="E55" s="112">
        <v>143.91999999999999</v>
      </c>
      <c r="F55" s="112"/>
      <c r="G55" s="113">
        <f t="shared" si="3"/>
        <v>132573.52738474906</v>
      </c>
      <c r="H55" s="113">
        <f t="shared" si="5"/>
        <v>795441.16430849442</v>
      </c>
      <c r="I55" s="832">
        <v>842.7</v>
      </c>
      <c r="J55" s="926">
        <v>0</v>
      </c>
      <c r="K55" s="112">
        <v>180</v>
      </c>
      <c r="L55" s="84" t="s">
        <v>266</v>
      </c>
      <c r="N55" s="85"/>
    </row>
    <row r="56" spans="1:14" s="88" customFormat="1" ht="30" customHeight="1" x14ac:dyDescent="0.25">
      <c r="A56" s="89">
        <v>171215</v>
      </c>
      <c r="B56" s="134">
        <v>116</v>
      </c>
      <c r="C56" s="89" t="s">
        <v>961</v>
      </c>
      <c r="D56" s="134">
        <v>1</v>
      </c>
      <c r="E56" s="116">
        <v>3765.08</v>
      </c>
      <c r="F56" s="116"/>
      <c r="G56" s="117">
        <f t="shared" si="3"/>
        <v>3194822.7323999996</v>
      </c>
      <c r="H56" s="117">
        <f t="shared" si="5"/>
        <v>3194822.7323999996</v>
      </c>
      <c r="I56" s="88">
        <v>816.03</v>
      </c>
      <c r="J56" s="927">
        <v>0</v>
      </c>
      <c r="K56" s="116">
        <v>150</v>
      </c>
      <c r="L56" s="88" t="s">
        <v>869</v>
      </c>
      <c r="N56" s="89" t="s">
        <v>962</v>
      </c>
    </row>
    <row r="57" spans="1:14" s="73" customFormat="1" ht="30" customHeight="1" x14ac:dyDescent="0.25">
      <c r="A57" s="80">
        <v>171226</v>
      </c>
      <c r="B57" s="132">
        <v>117</v>
      </c>
      <c r="C57" s="80" t="s">
        <v>986</v>
      </c>
      <c r="D57" s="132">
        <v>1</v>
      </c>
      <c r="E57" s="110">
        <v>3186.6</v>
      </c>
      <c r="F57" s="110"/>
      <c r="G57" s="111">
        <f t="shared" si="3"/>
        <v>2879362.0594160794</v>
      </c>
      <c r="H57" s="111">
        <f t="shared" si="5"/>
        <v>2879362.0594160794</v>
      </c>
      <c r="I57" s="73">
        <v>814.47</v>
      </c>
      <c r="J57" s="925">
        <v>0</v>
      </c>
      <c r="K57" s="110">
        <v>350</v>
      </c>
      <c r="L57" s="1240" t="s">
        <v>663</v>
      </c>
      <c r="N57" s="80"/>
    </row>
    <row r="58" spans="1:14" s="84" customFormat="1" ht="30" customHeight="1" x14ac:dyDescent="0.25">
      <c r="A58" s="85"/>
      <c r="B58" s="133">
        <v>117</v>
      </c>
      <c r="C58" s="85" t="s">
        <v>987</v>
      </c>
      <c r="D58" s="133">
        <v>34</v>
      </c>
      <c r="E58" s="112">
        <v>12.26</v>
      </c>
      <c r="F58" s="112"/>
      <c r="G58" s="113">
        <f t="shared" si="3"/>
        <v>10017.535805409427</v>
      </c>
      <c r="H58" s="113">
        <f t="shared" si="5"/>
        <v>340596.21738392051</v>
      </c>
      <c r="I58" s="84">
        <v>814.47</v>
      </c>
      <c r="J58" s="926">
        <v>0</v>
      </c>
      <c r="K58" s="112">
        <v>350</v>
      </c>
      <c r="L58" s="1241"/>
      <c r="N58" s="85"/>
    </row>
    <row r="59" spans="1:14" s="73" customFormat="1" ht="30" customHeight="1" x14ac:dyDescent="0.25">
      <c r="A59" s="80">
        <v>180118</v>
      </c>
      <c r="B59" s="132">
        <v>118</v>
      </c>
      <c r="C59" s="80" t="s">
        <v>1028</v>
      </c>
      <c r="D59" s="132">
        <v>50</v>
      </c>
      <c r="E59" s="110">
        <v>11</v>
      </c>
      <c r="F59" s="110"/>
      <c r="G59" s="104">
        <f t="shared" si="3"/>
        <v>8978.9711412767774</v>
      </c>
      <c r="H59" s="104">
        <f>(G59*D59)</f>
        <v>448948.55706383887</v>
      </c>
      <c r="I59" s="73">
        <v>809.33</v>
      </c>
      <c r="J59" s="925">
        <v>0</v>
      </c>
      <c r="K59" s="110">
        <v>262</v>
      </c>
      <c r="L59" s="157"/>
      <c r="N59" s="80"/>
    </row>
    <row r="60" spans="1:14" s="71" customFormat="1" ht="30" customHeight="1" x14ac:dyDescent="0.25">
      <c r="A60" s="82"/>
      <c r="B60" s="103">
        <v>118</v>
      </c>
      <c r="C60" s="82" t="s">
        <v>1029</v>
      </c>
      <c r="D60" s="103">
        <v>30</v>
      </c>
      <c r="E60" s="99">
        <v>11</v>
      </c>
      <c r="F60" s="99"/>
      <c r="G60" s="104">
        <f t="shared" si="3"/>
        <v>9029.865235461295</v>
      </c>
      <c r="H60" s="104">
        <f t="shared" ref="H60:H65" si="6">(G60*D60)</f>
        <v>270895.95706383884</v>
      </c>
      <c r="I60" s="73">
        <v>809.33</v>
      </c>
      <c r="J60" s="928">
        <v>0</v>
      </c>
      <c r="K60" s="110">
        <v>262</v>
      </c>
      <c r="N60" s="82"/>
    </row>
    <row r="61" spans="1:14" s="71" customFormat="1" ht="30" customHeight="1" x14ac:dyDescent="0.25">
      <c r="A61" s="82"/>
      <c r="B61" s="103">
        <v>118</v>
      </c>
      <c r="C61" s="82" t="s">
        <v>1029</v>
      </c>
      <c r="D61" s="103">
        <v>70</v>
      </c>
      <c r="E61" s="99">
        <v>11</v>
      </c>
      <c r="F61" s="99"/>
      <c r="G61" s="104">
        <f t="shared" si="3"/>
        <v>8957.1593866262701</v>
      </c>
      <c r="H61" s="104">
        <f t="shared" si="6"/>
        <v>627001.15706383891</v>
      </c>
      <c r="I61" s="73">
        <v>809.33</v>
      </c>
      <c r="J61" s="928">
        <v>0</v>
      </c>
      <c r="K61" s="110">
        <v>262</v>
      </c>
      <c r="N61" s="82"/>
    </row>
    <row r="62" spans="1:14" s="71" customFormat="1" ht="30" customHeight="1" x14ac:dyDescent="0.25">
      <c r="A62" s="82"/>
      <c r="B62" s="103">
        <v>118</v>
      </c>
      <c r="C62" s="82" t="s">
        <v>1030</v>
      </c>
      <c r="D62" s="103">
        <v>40</v>
      </c>
      <c r="E62" s="99">
        <v>11</v>
      </c>
      <c r="F62" s="99"/>
      <c r="G62" s="104">
        <f t="shared" si="3"/>
        <v>8998.0564265959729</v>
      </c>
      <c r="H62" s="104">
        <f t="shared" si="6"/>
        <v>359922.25706383889</v>
      </c>
      <c r="I62" s="73">
        <v>809.33</v>
      </c>
      <c r="J62" s="928">
        <v>0</v>
      </c>
      <c r="K62" s="110">
        <v>262</v>
      </c>
      <c r="N62" s="82"/>
    </row>
    <row r="63" spans="1:14" s="71" customFormat="1" ht="30" customHeight="1" x14ac:dyDescent="0.25">
      <c r="A63" s="82"/>
      <c r="B63" s="103">
        <v>118</v>
      </c>
      <c r="C63" s="82" t="s">
        <v>1031</v>
      </c>
      <c r="D63" s="103">
        <v>2</v>
      </c>
      <c r="E63" s="99">
        <v>550.72</v>
      </c>
      <c r="F63" s="99"/>
      <c r="G63" s="104">
        <f t="shared" si="3"/>
        <v>541265.56606351491</v>
      </c>
      <c r="H63" s="104">
        <f t="shared" si="6"/>
        <v>1082531.1321270298</v>
      </c>
      <c r="I63" s="73">
        <v>809.33</v>
      </c>
      <c r="J63" s="928">
        <v>0</v>
      </c>
      <c r="K63" s="110">
        <v>262</v>
      </c>
      <c r="L63" s="71" t="s">
        <v>869</v>
      </c>
      <c r="N63" s="82"/>
    </row>
    <row r="64" spans="1:14" s="71" customFormat="1" ht="30" customHeight="1" x14ac:dyDescent="0.25">
      <c r="A64" s="82"/>
      <c r="B64" s="103">
        <v>118</v>
      </c>
      <c r="C64" s="82" t="s">
        <v>1032</v>
      </c>
      <c r="D64" s="103">
        <v>20</v>
      </c>
      <c r="E64" s="99">
        <v>2.8</v>
      </c>
      <c r="F64" s="99"/>
      <c r="G64" s="104">
        <f t="shared" si="3"/>
        <v>2314.7047262670394</v>
      </c>
      <c r="H64" s="104">
        <f t="shared" si="6"/>
        <v>46294.094525340784</v>
      </c>
      <c r="I64" s="73">
        <v>809.33</v>
      </c>
      <c r="J64" s="928">
        <v>0</v>
      </c>
      <c r="K64" s="110">
        <v>262</v>
      </c>
      <c r="N64" s="82"/>
    </row>
    <row r="65" spans="1:14" s="84" customFormat="1" ht="30" customHeight="1" x14ac:dyDescent="0.25">
      <c r="A65" s="85"/>
      <c r="B65" s="133">
        <v>118</v>
      </c>
      <c r="C65" s="85" t="s">
        <v>263</v>
      </c>
      <c r="D65" s="133">
        <v>30</v>
      </c>
      <c r="E65" s="112">
        <v>13.55</v>
      </c>
      <c r="F65" s="112"/>
      <c r="G65" s="113">
        <f t="shared" si="3"/>
        <v>11123.152176409141</v>
      </c>
      <c r="H65" s="113">
        <f t="shared" si="6"/>
        <v>333694.56529227423</v>
      </c>
      <c r="I65" s="84">
        <v>809.33</v>
      </c>
      <c r="J65" s="926">
        <v>0</v>
      </c>
      <c r="K65" s="112">
        <v>262</v>
      </c>
      <c r="L65" s="84" t="s">
        <v>266</v>
      </c>
      <c r="N65" s="85"/>
    </row>
    <row r="66" spans="1:14" s="73" customFormat="1" ht="30" customHeight="1" x14ac:dyDescent="0.25">
      <c r="A66" s="80">
        <v>180207</v>
      </c>
      <c r="B66" s="132">
        <v>119</v>
      </c>
      <c r="C66" s="80" t="s">
        <v>930</v>
      </c>
      <c r="D66" s="132">
        <v>4</v>
      </c>
      <c r="E66" s="110">
        <v>152.91999999999999</v>
      </c>
      <c r="F66" s="110"/>
      <c r="G66" s="111">
        <f t="shared" si="3"/>
        <v>130763.07461276076</v>
      </c>
      <c r="H66" s="111">
        <f t="shared" ref="H66:H73" si="7">(G66*D66)</f>
        <v>523052.29845104303</v>
      </c>
      <c r="I66" s="73">
        <v>823.81</v>
      </c>
      <c r="J66" s="925">
        <v>0</v>
      </c>
      <c r="K66" s="110">
        <v>280</v>
      </c>
      <c r="L66" s="73" t="s">
        <v>1084</v>
      </c>
      <c r="N66" s="80"/>
    </row>
    <row r="67" spans="1:14" s="71" customFormat="1" ht="30" customHeight="1" x14ac:dyDescent="0.25">
      <c r="A67" s="82"/>
      <c r="B67" s="103">
        <v>119</v>
      </c>
      <c r="C67" s="82" t="s">
        <v>1062</v>
      </c>
      <c r="D67" s="103">
        <v>20</v>
      </c>
      <c r="E67" s="99">
        <v>9.7200000000000006</v>
      </c>
      <c r="F67" s="99"/>
      <c r="G67" s="104">
        <f t="shared" si="3"/>
        <v>8068.2759939995231</v>
      </c>
      <c r="H67" s="104">
        <f t="shared" si="7"/>
        <v>161365.51987999046</v>
      </c>
      <c r="I67" s="73">
        <v>823.81</v>
      </c>
      <c r="J67" s="928">
        <v>0</v>
      </c>
      <c r="K67" s="99">
        <v>280</v>
      </c>
      <c r="L67" s="71" t="s">
        <v>267</v>
      </c>
      <c r="N67" s="82"/>
    </row>
    <row r="68" spans="1:14" s="71" customFormat="1" ht="30" customHeight="1" x14ac:dyDescent="0.25">
      <c r="A68" s="82"/>
      <c r="B68" s="103">
        <v>119</v>
      </c>
      <c r="C68" s="82" t="s">
        <v>1063</v>
      </c>
      <c r="D68" s="103">
        <v>2</v>
      </c>
      <c r="E68" s="99">
        <v>127.6</v>
      </c>
      <c r="F68" s="99"/>
      <c r="G68" s="104">
        <f t="shared" si="3"/>
        <v>113105.33759911424</v>
      </c>
      <c r="H68" s="104">
        <f t="shared" si="7"/>
        <v>226210.67519822848</v>
      </c>
      <c r="I68" s="73">
        <v>823.81</v>
      </c>
      <c r="J68" s="928">
        <v>0</v>
      </c>
      <c r="K68" s="99">
        <v>280</v>
      </c>
      <c r="L68" s="71" t="s">
        <v>267</v>
      </c>
      <c r="N68" s="82"/>
    </row>
    <row r="69" spans="1:14" s="71" customFormat="1" ht="30" customHeight="1" x14ac:dyDescent="0.25">
      <c r="A69" s="82"/>
      <c r="B69" s="103">
        <v>119</v>
      </c>
      <c r="C69" s="82" t="s">
        <v>1019</v>
      </c>
      <c r="D69" s="103">
        <v>2</v>
      </c>
      <c r="E69" s="99">
        <v>420</v>
      </c>
      <c r="F69" s="99"/>
      <c r="G69" s="104">
        <f t="shared" si="3"/>
        <v>372290.29617263307</v>
      </c>
      <c r="H69" s="104">
        <f t="shared" si="7"/>
        <v>744580.59234526614</v>
      </c>
      <c r="I69" s="73">
        <v>823.81</v>
      </c>
      <c r="J69" s="928">
        <v>0</v>
      </c>
      <c r="K69" s="99">
        <v>280</v>
      </c>
      <c r="L69" s="71" t="s">
        <v>1091</v>
      </c>
      <c r="N69" s="82"/>
    </row>
    <row r="70" spans="1:14" s="71" customFormat="1" ht="30" customHeight="1" x14ac:dyDescent="0.25">
      <c r="A70" s="82"/>
      <c r="B70" s="103">
        <v>119</v>
      </c>
      <c r="C70" s="82" t="s">
        <v>1083</v>
      </c>
      <c r="D70" s="103">
        <v>20</v>
      </c>
      <c r="E70" s="99">
        <v>99.56</v>
      </c>
      <c r="F70" s="99"/>
      <c r="G70" s="104">
        <f t="shared" si="3"/>
        <v>82641.724070225566</v>
      </c>
      <c r="H70" s="104">
        <f t="shared" si="7"/>
        <v>1652834.4814045113</v>
      </c>
      <c r="I70" s="73">
        <v>823.81</v>
      </c>
      <c r="J70" s="928">
        <v>0</v>
      </c>
      <c r="K70" s="99">
        <v>280</v>
      </c>
      <c r="L70" s="71" t="s">
        <v>1085</v>
      </c>
      <c r="N70" s="82"/>
    </row>
    <row r="71" spans="1:14" s="71" customFormat="1" ht="30" customHeight="1" x14ac:dyDescent="0.25">
      <c r="A71" s="82"/>
      <c r="B71" s="103">
        <v>119</v>
      </c>
      <c r="C71" s="82" t="s">
        <v>883</v>
      </c>
      <c r="D71" s="103">
        <v>20</v>
      </c>
      <c r="E71" s="99">
        <v>6.91</v>
      </c>
      <c r="F71" s="99"/>
      <c r="G71" s="104">
        <f t="shared" si="3"/>
        <v>5735.7805677506885</v>
      </c>
      <c r="H71" s="104">
        <f t="shared" si="7"/>
        <v>114715.61135501377</v>
      </c>
      <c r="I71" s="73">
        <v>823.81</v>
      </c>
      <c r="J71" s="928">
        <v>0</v>
      </c>
      <c r="K71" s="99">
        <v>280</v>
      </c>
      <c r="L71" s="71" t="s">
        <v>267</v>
      </c>
      <c r="N71" s="82"/>
    </row>
    <row r="72" spans="1:14" s="71" customFormat="1" ht="30" customHeight="1" x14ac:dyDescent="0.25">
      <c r="A72" s="82"/>
      <c r="B72" s="103">
        <v>119</v>
      </c>
      <c r="C72" s="82" t="s">
        <v>1020</v>
      </c>
      <c r="D72" s="103">
        <v>1</v>
      </c>
      <c r="E72" s="99">
        <v>664.63</v>
      </c>
      <c r="F72" s="99"/>
      <c r="G72" s="104">
        <f t="shared" si="3"/>
        <v>630734.49086770066</v>
      </c>
      <c r="H72" s="104">
        <f t="shared" si="7"/>
        <v>630734.49086770066</v>
      </c>
      <c r="I72" s="73">
        <v>823.81</v>
      </c>
      <c r="J72" s="928">
        <v>0</v>
      </c>
      <c r="K72" s="99">
        <v>280</v>
      </c>
      <c r="L72" s="71" t="s">
        <v>267</v>
      </c>
      <c r="N72" s="82"/>
    </row>
    <row r="73" spans="1:14" s="84" customFormat="1" ht="30" customHeight="1" x14ac:dyDescent="0.25">
      <c r="A73" s="85"/>
      <c r="B73" s="133">
        <v>119</v>
      </c>
      <c r="C73" s="85" t="s">
        <v>1021</v>
      </c>
      <c r="D73" s="133">
        <v>1</v>
      </c>
      <c r="E73" s="112">
        <v>361.18</v>
      </c>
      <c r="F73" s="112"/>
      <c r="G73" s="113">
        <f t="shared" ref="G73:G94" si="8">(I73*E73)+(J73*(E73/SUMIF(B:B,B73,E:E)))/D73+((K73*I73)*(E73/SUMIF(B:B,B73,E:E)))/D73</f>
        <v>342760.15739824588</v>
      </c>
      <c r="H73" s="113">
        <f t="shared" si="7"/>
        <v>342760.15739824588</v>
      </c>
      <c r="I73" s="84">
        <v>823.81</v>
      </c>
      <c r="J73" s="926">
        <v>0</v>
      </c>
      <c r="K73" s="112">
        <v>280</v>
      </c>
      <c r="L73" s="84" t="s">
        <v>267</v>
      </c>
      <c r="N73" s="85"/>
    </row>
    <row r="74" spans="1:14" s="73" customFormat="1" ht="30" customHeight="1" x14ac:dyDescent="0.25">
      <c r="A74" s="80">
        <v>180214</v>
      </c>
      <c r="B74" s="132">
        <v>120</v>
      </c>
      <c r="C74" s="80" t="s">
        <v>1086</v>
      </c>
      <c r="D74" s="132">
        <v>2</v>
      </c>
      <c r="E74" s="110">
        <v>127.6</v>
      </c>
      <c r="F74" s="110"/>
      <c r="G74" s="111">
        <f t="shared" si="8"/>
        <v>122673.69939770777</v>
      </c>
      <c r="H74" s="111">
        <f t="shared" ref="H74:H82" si="9">(G74*D74)</f>
        <v>245347.39879541553</v>
      </c>
      <c r="I74" s="73">
        <v>828.69</v>
      </c>
      <c r="J74" s="925">
        <v>0</v>
      </c>
      <c r="K74" s="110">
        <v>140</v>
      </c>
      <c r="L74" s="73" t="s">
        <v>266</v>
      </c>
      <c r="N74" s="80"/>
    </row>
    <row r="75" spans="1:14" s="71" customFormat="1" ht="30" customHeight="1" x14ac:dyDescent="0.25">
      <c r="A75" s="82"/>
      <c r="B75" s="103">
        <v>120</v>
      </c>
      <c r="C75" s="82" t="s">
        <v>1019</v>
      </c>
      <c r="D75" s="103">
        <v>1</v>
      </c>
      <c r="E75" s="99">
        <v>217.53</v>
      </c>
      <c r="F75" s="99"/>
      <c r="G75" s="104">
        <f t="shared" si="8"/>
        <v>237998.54125898704</v>
      </c>
      <c r="H75" s="104">
        <f t="shared" si="9"/>
        <v>237998.54125898704</v>
      </c>
      <c r="I75" s="71">
        <v>828.69</v>
      </c>
      <c r="J75" s="928">
        <v>0</v>
      </c>
      <c r="K75" s="99">
        <v>140</v>
      </c>
      <c r="L75" s="71" t="s">
        <v>817</v>
      </c>
      <c r="N75" s="82"/>
    </row>
    <row r="76" spans="1:14" s="71" customFormat="1" ht="30" customHeight="1" x14ac:dyDescent="0.25">
      <c r="A76" s="82"/>
      <c r="B76" s="103">
        <v>120</v>
      </c>
      <c r="C76" s="82" t="s">
        <v>1088</v>
      </c>
      <c r="D76" s="103">
        <v>5</v>
      </c>
      <c r="E76" s="99">
        <v>46</v>
      </c>
      <c r="F76" s="99"/>
      <c r="G76" s="104">
        <f t="shared" si="8"/>
        <v>40561.468364559747</v>
      </c>
      <c r="H76" s="104">
        <f t="shared" si="9"/>
        <v>202807.34182279874</v>
      </c>
      <c r="I76" s="71">
        <v>828.69</v>
      </c>
      <c r="J76" s="928">
        <v>0</v>
      </c>
      <c r="K76" s="99">
        <v>140</v>
      </c>
      <c r="L76" s="71" t="s">
        <v>817</v>
      </c>
      <c r="N76" s="1248" t="s">
        <v>1090</v>
      </c>
    </row>
    <row r="77" spans="1:14" s="71" customFormat="1" ht="30" customHeight="1" x14ac:dyDescent="0.25">
      <c r="A77" s="82"/>
      <c r="B77" s="103">
        <v>120</v>
      </c>
      <c r="C77" s="82" t="s">
        <v>1089</v>
      </c>
      <c r="D77" s="103">
        <v>11</v>
      </c>
      <c r="E77" s="99">
        <v>46</v>
      </c>
      <c r="F77" s="99"/>
      <c r="G77" s="104">
        <f t="shared" si="8"/>
        <v>39229.616529345345</v>
      </c>
      <c r="H77" s="104">
        <f t="shared" si="9"/>
        <v>431525.78182279877</v>
      </c>
      <c r="I77" s="71">
        <v>828.69</v>
      </c>
      <c r="J77" s="928">
        <v>0</v>
      </c>
      <c r="K77" s="99">
        <v>140</v>
      </c>
      <c r="L77" s="71" t="s">
        <v>817</v>
      </c>
      <c r="N77" s="1249"/>
    </row>
    <row r="78" spans="1:14" s="71" customFormat="1" ht="30" customHeight="1" x14ac:dyDescent="0.25">
      <c r="A78" s="82">
        <v>180305</v>
      </c>
      <c r="B78" s="103">
        <v>121</v>
      </c>
      <c r="C78" s="82" t="s">
        <v>1157</v>
      </c>
      <c r="D78" s="103">
        <v>1</v>
      </c>
      <c r="E78" s="99">
        <v>277.29000000000002</v>
      </c>
      <c r="F78" s="99"/>
      <c r="G78" s="104">
        <f t="shared" si="8"/>
        <v>307068.24577481399</v>
      </c>
      <c r="H78" s="104">
        <f t="shared" si="9"/>
        <v>307068.24577481399</v>
      </c>
      <c r="I78" s="71">
        <v>823.03</v>
      </c>
      <c r="J78" s="928">
        <v>0</v>
      </c>
      <c r="K78" s="99">
        <v>280</v>
      </c>
      <c r="L78" s="71" t="s">
        <v>266</v>
      </c>
      <c r="N78" s="82"/>
    </row>
    <row r="79" spans="1:14" s="71" customFormat="1" ht="30" customHeight="1" x14ac:dyDescent="0.25">
      <c r="A79" s="82"/>
      <c r="B79" s="103">
        <v>121</v>
      </c>
      <c r="C79" s="82" t="s">
        <v>888</v>
      </c>
      <c r="D79" s="103">
        <v>1</v>
      </c>
      <c r="E79" s="99">
        <f>509.92+2.9*8</f>
        <v>533.12</v>
      </c>
      <c r="F79" s="99"/>
      <c r="G79" s="104">
        <f t="shared" si="8"/>
        <v>590371.89652518602</v>
      </c>
      <c r="H79" s="104">
        <f t="shared" si="9"/>
        <v>590371.89652518602</v>
      </c>
      <c r="I79" s="71">
        <v>823.03</v>
      </c>
      <c r="J79" s="928">
        <v>0</v>
      </c>
      <c r="K79" s="99">
        <v>280</v>
      </c>
      <c r="L79" s="71" t="s">
        <v>1158</v>
      </c>
      <c r="N79" s="82"/>
    </row>
    <row r="80" spans="1:14" s="71" customFormat="1" ht="30" customHeight="1" x14ac:dyDescent="0.25">
      <c r="A80" s="82"/>
      <c r="B80" s="103">
        <v>122</v>
      </c>
      <c r="C80" s="82" t="s">
        <v>1170</v>
      </c>
      <c r="D80" s="103">
        <v>1</v>
      </c>
      <c r="E80" s="99">
        <v>26400</v>
      </c>
      <c r="F80" s="99"/>
      <c r="G80" s="104">
        <f t="shared" si="8"/>
        <v>28865232.000000004</v>
      </c>
      <c r="H80" s="104">
        <f t="shared" si="9"/>
        <v>28865232.000000004</v>
      </c>
      <c r="I80" s="71">
        <v>1093.3800000000001</v>
      </c>
      <c r="J80" s="928"/>
      <c r="K80" s="99">
        <v>0</v>
      </c>
      <c r="L80" s="71" t="s">
        <v>869</v>
      </c>
      <c r="N80" s="82" t="s">
        <v>1239</v>
      </c>
    </row>
    <row r="81" spans="1:14" s="71" customFormat="1" ht="30" customHeight="1" x14ac:dyDescent="0.25">
      <c r="A81" s="82"/>
      <c r="B81" s="103">
        <v>123</v>
      </c>
      <c r="C81" s="82" t="s">
        <v>1171</v>
      </c>
      <c r="D81" s="103">
        <v>1</v>
      </c>
      <c r="E81" s="99">
        <v>33000</v>
      </c>
      <c r="F81" s="99"/>
      <c r="G81" s="104">
        <f t="shared" si="8"/>
        <v>35841960</v>
      </c>
      <c r="H81" s="104">
        <f t="shared" si="9"/>
        <v>35841960</v>
      </c>
      <c r="I81" s="71">
        <v>1086.1199999999999</v>
      </c>
      <c r="J81" s="928">
        <v>0</v>
      </c>
      <c r="K81" s="99">
        <v>0</v>
      </c>
      <c r="L81" s="71" t="s">
        <v>869</v>
      </c>
      <c r="N81" s="82" t="s">
        <v>1239</v>
      </c>
    </row>
    <row r="82" spans="1:14" s="71" customFormat="1" ht="30" customHeight="1" x14ac:dyDescent="0.25">
      <c r="A82" s="82"/>
      <c r="B82" s="103">
        <v>124</v>
      </c>
      <c r="C82" s="82" t="s">
        <v>1172</v>
      </c>
      <c r="D82" s="103">
        <v>1</v>
      </c>
      <c r="E82" s="99">
        <v>6600</v>
      </c>
      <c r="F82" s="99"/>
      <c r="G82" s="104">
        <f t="shared" si="8"/>
        <v>7594000</v>
      </c>
      <c r="H82" s="104">
        <f t="shared" si="9"/>
        <v>7594000</v>
      </c>
      <c r="I82" s="71">
        <v>1065</v>
      </c>
      <c r="J82" s="928">
        <v>565000</v>
      </c>
      <c r="K82" s="99">
        <v>0</v>
      </c>
      <c r="L82" s="71" t="s">
        <v>869</v>
      </c>
      <c r="N82" s="82"/>
    </row>
    <row r="83" spans="1:14" s="71" customFormat="1" ht="30" customHeight="1" x14ac:dyDescent="0.25">
      <c r="A83" s="82">
        <v>180409</v>
      </c>
      <c r="B83" s="103">
        <v>125</v>
      </c>
      <c r="C83" s="82" t="s">
        <v>1182</v>
      </c>
      <c r="D83" s="103">
        <v>30</v>
      </c>
      <c r="E83" s="99">
        <v>13.55</v>
      </c>
      <c r="F83" s="99"/>
      <c r="G83" s="104">
        <f t="shared" si="8"/>
        <v>11730.59237118987</v>
      </c>
      <c r="H83" s="104">
        <f t="shared" ref="H83:H95" si="10">(G83*D83)</f>
        <v>351917.77113569609</v>
      </c>
      <c r="I83" s="71">
        <v>815.18</v>
      </c>
      <c r="J83" s="928">
        <v>0</v>
      </c>
      <c r="K83" s="99">
        <v>380</v>
      </c>
      <c r="L83" s="71" t="s">
        <v>266</v>
      </c>
      <c r="N83" s="82"/>
    </row>
    <row r="84" spans="1:14" s="71" customFormat="1" ht="30" customHeight="1" x14ac:dyDescent="0.25">
      <c r="A84" s="82"/>
      <c r="B84" s="103">
        <v>125</v>
      </c>
      <c r="C84" s="82" t="s">
        <v>1183</v>
      </c>
      <c r="D84" s="103">
        <v>6</v>
      </c>
      <c r="E84" s="99">
        <v>28.73</v>
      </c>
      <c r="F84" s="99"/>
      <c r="G84" s="104">
        <f t="shared" si="8"/>
        <v>30681.108062097774</v>
      </c>
      <c r="H84" s="104">
        <f t="shared" si="10"/>
        <v>184086.64837258664</v>
      </c>
      <c r="I84" s="71">
        <v>815.18</v>
      </c>
      <c r="J84" s="928">
        <v>0</v>
      </c>
      <c r="K84" s="99">
        <v>380</v>
      </c>
      <c r="L84" s="71" t="s">
        <v>1084</v>
      </c>
      <c r="N84" s="82"/>
    </row>
    <row r="85" spans="1:14" s="71" customFormat="1" ht="30" customHeight="1" x14ac:dyDescent="0.25">
      <c r="A85" s="82"/>
      <c r="B85" s="103">
        <v>125</v>
      </c>
      <c r="C85" s="82" t="s">
        <v>879</v>
      </c>
      <c r="D85" s="103">
        <v>200</v>
      </c>
      <c r="E85" s="99">
        <v>11</v>
      </c>
      <c r="F85" s="99"/>
      <c r="G85" s="104">
        <f t="shared" si="8"/>
        <v>9050.3815175249656</v>
      </c>
      <c r="H85" s="104">
        <f t="shared" si="10"/>
        <v>1810076.3035049932</v>
      </c>
      <c r="I85" s="71">
        <v>815.18</v>
      </c>
      <c r="J85" s="928">
        <v>0</v>
      </c>
      <c r="K85" s="99">
        <v>380</v>
      </c>
      <c r="L85" s="71" t="s">
        <v>266</v>
      </c>
      <c r="N85" s="82" t="s">
        <v>1185</v>
      </c>
    </row>
    <row r="86" spans="1:14" s="71" customFormat="1" ht="30" customHeight="1" x14ac:dyDescent="0.25">
      <c r="A86" s="82"/>
      <c r="B86" s="103">
        <v>125</v>
      </c>
      <c r="C86" s="82" t="s">
        <v>880</v>
      </c>
      <c r="D86" s="103">
        <v>50</v>
      </c>
      <c r="E86" s="99">
        <v>11</v>
      </c>
      <c r="F86" s="99"/>
      <c r="G86" s="104">
        <f t="shared" si="8"/>
        <v>9300.5860700998619</v>
      </c>
      <c r="H86" s="104">
        <f t="shared" si="10"/>
        <v>465029.30350499309</v>
      </c>
      <c r="I86" s="71">
        <v>815.18</v>
      </c>
      <c r="J86" s="928">
        <v>0</v>
      </c>
      <c r="K86" s="99">
        <v>380</v>
      </c>
      <c r="L86" s="71" t="s">
        <v>266</v>
      </c>
      <c r="N86" s="82" t="s">
        <v>1185</v>
      </c>
    </row>
    <row r="87" spans="1:14" s="71" customFormat="1" ht="30" customHeight="1" x14ac:dyDescent="0.25">
      <c r="A87" s="82"/>
      <c r="B87" s="103">
        <v>125</v>
      </c>
      <c r="C87" s="82" t="s">
        <v>1184</v>
      </c>
      <c r="D87" s="103">
        <v>8</v>
      </c>
      <c r="E87" s="99">
        <v>140</v>
      </c>
      <c r="F87" s="99"/>
      <c r="G87" s="104">
        <f t="shared" si="8"/>
        <v>140662.04648521636</v>
      </c>
      <c r="H87" s="104">
        <f t="shared" si="10"/>
        <v>1125296.3718817309</v>
      </c>
      <c r="I87" s="71">
        <v>815.18</v>
      </c>
      <c r="J87" s="928">
        <v>0</v>
      </c>
      <c r="K87" s="99">
        <v>380</v>
      </c>
      <c r="L87" s="71" t="s">
        <v>266</v>
      </c>
      <c r="N87" s="82"/>
    </row>
    <row r="88" spans="1:14" s="71" customFormat="1" ht="30" customHeight="1" x14ac:dyDescent="0.25">
      <c r="A88" s="82">
        <v>180430</v>
      </c>
      <c r="B88" s="103">
        <v>126</v>
      </c>
      <c r="C88" s="82" t="s">
        <v>1238</v>
      </c>
      <c r="D88" s="103">
        <v>6</v>
      </c>
      <c r="E88" s="99">
        <v>45.82</v>
      </c>
      <c r="F88" s="99"/>
      <c r="G88" s="104">
        <f t="shared" si="8"/>
        <v>52569.807466666665</v>
      </c>
      <c r="H88" s="104">
        <f t="shared" si="10"/>
        <v>315418.84479999996</v>
      </c>
      <c r="I88" s="71">
        <v>819.44</v>
      </c>
      <c r="J88" s="928">
        <v>0</v>
      </c>
      <c r="K88" s="99">
        <v>110</v>
      </c>
      <c r="L88" s="71" t="s">
        <v>276</v>
      </c>
      <c r="N88" s="82"/>
    </row>
    <row r="89" spans="1:14" s="71" customFormat="1" ht="30" customHeight="1" x14ac:dyDescent="0.25">
      <c r="A89" s="82">
        <v>180516</v>
      </c>
      <c r="B89" s="103">
        <v>127</v>
      </c>
      <c r="C89" s="82" t="s">
        <v>1215</v>
      </c>
      <c r="D89" s="103">
        <v>2</v>
      </c>
      <c r="E89" s="99">
        <v>354.55</v>
      </c>
      <c r="F89" s="99"/>
      <c r="G89" s="104">
        <f t="shared" si="8"/>
        <v>445556.31186722021</v>
      </c>
      <c r="H89" s="104">
        <f t="shared" si="10"/>
        <v>891112.62373444042</v>
      </c>
      <c r="I89" s="71">
        <v>1083.51</v>
      </c>
      <c r="J89" s="928">
        <v>373240</v>
      </c>
      <c r="K89" s="99">
        <v>110</v>
      </c>
      <c r="L89" s="1244" t="s">
        <v>1085</v>
      </c>
      <c r="N89" s="1248" t="s">
        <v>1239</v>
      </c>
    </row>
    <row r="90" spans="1:14" s="71" customFormat="1" ht="30" customHeight="1" x14ac:dyDescent="0.25">
      <c r="A90" s="82"/>
      <c r="B90" s="103">
        <v>127</v>
      </c>
      <c r="C90" s="82" t="s">
        <v>1216</v>
      </c>
      <c r="D90" s="103">
        <v>2</v>
      </c>
      <c r="E90" s="99">
        <v>401.82</v>
      </c>
      <c r="F90" s="99"/>
      <c r="G90" s="104">
        <f t="shared" si="8"/>
        <v>504959.63117892091</v>
      </c>
      <c r="H90" s="104">
        <f t="shared" si="10"/>
        <v>1009919.2623578418</v>
      </c>
      <c r="I90" s="71">
        <v>1083.51</v>
      </c>
      <c r="J90" s="928">
        <v>373240</v>
      </c>
      <c r="K90" s="99">
        <v>110</v>
      </c>
      <c r="L90" s="1241"/>
      <c r="N90" s="1246"/>
    </row>
    <row r="91" spans="1:14" s="71" customFormat="1" ht="30" customHeight="1" x14ac:dyDescent="0.25">
      <c r="A91" s="82"/>
      <c r="B91" s="103">
        <v>127</v>
      </c>
      <c r="C91" s="82" t="s">
        <v>1217</v>
      </c>
      <c r="D91" s="103">
        <v>4</v>
      </c>
      <c r="E91" s="99">
        <v>661.83</v>
      </c>
      <c r="F91" s="99"/>
      <c r="G91" s="104">
        <f t="shared" si="8"/>
        <v>774404.3638613699</v>
      </c>
      <c r="H91" s="104">
        <f t="shared" si="10"/>
        <v>3097617.4554454796</v>
      </c>
      <c r="I91" s="71">
        <v>1083.51</v>
      </c>
      <c r="J91" s="928">
        <v>373240</v>
      </c>
      <c r="K91" s="99">
        <v>110</v>
      </c>
      <c r="L91" s="1241"/>
      <c r="N91" s="1246"/>
    </row>
    <row r="92" spans="1:14" s="71" customFormat="1" ht="30" customHeight="1" x14ac:dyDescent="0.25">
      <c r="A92" s="82"/>
      <c r="B92" s="103">
        <v>127</v>
      </c>
      <c r="C92" s="82" t="s">
        <v>1218</v>
      </c>
      <c r="D92" s="103">
        <v>10</v>
      </c>
      <c r="E92" s="99">
        <v>3.59</v>
      </c>
      <c r="F92" s="99"/>
      <c r="G92" s="104">
        <f t="shared" si="8"/>
        <v>4014.1378062238446</v>
      </c>
      <c r="H92" s="104">
        <f t="shared" si="10"/>
        <v>40141.378062238444</v>
      </c>
      <c r="I92" s="71">
        <v>1083.51</v>
      </c>
      <c r="J92" s="928">
        <v>373240</v>
      </c>
      <c r="K92" s="99">
        <v>110</v>
      </c>
      <c r="L92" s="1243"/>
      <c r="N92" s="1249"/>
    </row>
    <row r="93" spans="1:14" s="71" customFormat="1" ht="30" customHeight="1" x14ac:dyDescent="0.25">
      <c r="A93" s="82">
        <v>180522</v>
      </c>
      <c r="B93" s="103">
        <v>128</v>
      </c>
      <c r="C93" s="82" t="s">
        <v>1240</v>
      </c>
      <c r="D93" s="103">
        <v>150</v>
      </c>
      <c r="E93" s="99">
        <v>37.770000000000003</v>
      </c>
      <c r="F93" s="99"/>
      <c r="G93" s="104">
        <f t="shared" si="8"/>
        <v>42946.724700000006</v>
      </c>
      <c r="H93" s="104">
        <f t="shared" si="10"/>
        <v>6442008.705000001</v>
      </c>
      <c r="I93" s="71">
        <v>1083.51</v>
      </c>
      <c r="J93" s="928">
        <v>0</v>
      </c>
      <c r="K93" s="99">
        <v>280</v>
      </c>
      <c r="L93" s="71" t="s">
        <v>276</v>
      </c>
      <c r="N93" s="82" t="s">
        <v>1239</v>
      </c>
    </row>
    <row r="94" spans="1:14" s="71" customFormat="1" ht="30" customHeight="1" x14ac:dyDescent="0.25">
      <c r="A94" s="82">
        <v>180528</v>
      </c>
      <c r="B94" s="103">
        <v>129</v>
      </c>
      <c r="C94" s="82" t="s">
        <v>1269</v>
      </c>
      <c r="D94" s="103">
        <v>3</v>
      </c>
      <c r="E94" s="99">
        <v>778.45</v>
      </c>
      <c r="F94" s="99"/>
      <c r="G94" s="104">
        <f t="shared" si="8"/>
        <v>882018.95000000007</v>
      </c>
      <c r="H94" s="104">
        <f t="shared" si="10"/>
        <v>2646056.85</v>
      </c>
      <c r="I94" s="71">
        <v>1091</v>
      </c>
      <c r="J94" s="928">
        <v>0</v>
      </c>
      <c r="K94" s="99">
        <v>90</v>
      </c>
      <c r="N94" s="82" t="s">
        <v>1239</v>
      </c>
    </row>
    <row r="95" spans="1:14" s="71" customFormat="1" ht="30" customHeight="1" x14ac:dyDescent="0.25">
      <c r="A95" s="82">
        <v>180608</v>
      </c>
      <c r="B95" s="103">
        <v>130</v>
      </c>
      <c r="C95" s="82" t="s">
        <v>1275</v>
      </c>
      <c r="D95" s="103">
        <v>1</v>
      </c>
      <c r="E95" s="99">
        <v>38280.879999999997</v>
      </c>
      <c r="F95" s="99"/>
      <c r="G95" s="104">
        <f>(I95*E95)+(J95*(E95/SUMIF(B:B,B95,E:E)))/D95+((K95*I95)*(E95/SUMIF(B:B,B95,E:E)))/D95+2*G88</f>
        <v>31902418.533333328</v>
      </c>
      <c r="H95" s="104">
        <f t="shared" si="10"/>
        <v>31902418.533333328</v>
      </c>
      <c r="I95" s="71">
        <v>810.93</v>
      </c>
      <c r="J95" s="928">
        <v>0</v>
      </c>
      <c r="K95" s="99">
        <v>930</v>
      </c>
      <c r="L95" s="71" t="s">
        <v>663</v>
      </c>
      <c r="N95" s="82" t="s">
        <v>1276</v>
      </c>
    </row>
    <row r="96" spans="1:14" s="71" customFormat="1" ht="30" customHeight="1" x14ac:dyDescent="0.25">
      <c r="A96" s="82">
        <v>180615</v>
      </c>
      <c r="B96" s="103">
        <v>131</v>
      </c>
      <c r="C96" s="82" t="s">
        <v>1308</v>
      </c>
      <c r="D96" s="103">
        <v>400</v>
      </c>
      <c r="E96" s="99">
        <v>8.2200000000000006</v>
      </c>
      <c r="F96" s="99"/>
      <c r="G96" s="104">
        <f t="shared" ref="G96:G119" si="11">(I96*E96)+(J96*(E96/SUMIF(B:B,B96,E:E)))/D96+((K96*I96)*(E96/SUMIF(B:B,B96,E:E)))/D96</f>
        <v>9511.1768499999998</v>
      </c>
      <c r="H96" s="104">
        <f t="shared" ref="H96:H101" si="12">(G96*D96)</f>
        <v>3804470.7399999998</v>
      </c>
      <c r="I96" s="71">
        <v>1081.43</v>
      </c>
      <c r="J96" s="928">
        <v>0</v>
      </c>
      <c r="K96" s="99">
        <v>230</v>
      </c>
      <c r="N96" s="82" t="s">
        <v>1239</v>
      </c>
    </row>
    <row r="97" spans="1:14" s="71" customFormat="1" ht="30" customHeight="1" x14ac:dyDescent="0.25">
      <c r="A97" s="82">
        <v>180705</v>
      </c>
      <c r="B97" s="103">
        <v>132</v>
      </c>
      <c r="C97" s="82" t="s">
        <v>1269</v>
      </c>
      <c r="D97" s="103">
        <v>1</v>
      </c>
      <c r="E97" s="99">
        <v>760.68</v>
      </c>
      <c r="F97" s="99"/>
      <c r="G97" s="104">
        <f t="shared" si="11"/>
        <v>968773.26874776348</v>
      </c>
      <c r="H97" s="104">
        <f t="shared" si="12"/>
        <v>968773.26874776348</v>
      </c>
      <c r="I97" s="71">
        <v>1126.74</v>
      </c>
      <c r="J97" s="928">
        <v>0</v>
      </c>
      <c r="K97" s="99">
        <v>110</v>
      </c>
      <c r="N97" s="82" t="s">
        <v>1239</v>
      </c>
    </row>
    <row r="98" spans="1:14" s="71" customFormat="1" ht="30" customHeight="1" x14ac:dyDescent="0.25">
      <c r="A98" s="82"/>
      <c r="B98" s="103">
        <v>132</v>
      </c>
      <c r="C98" s="82" t="s">
        <v>871</v>
      </c>
      <c r="D98" s="103">
        <v>10</v>
      </c>
      <c r="E98" s="99">
        <v>26.26</v>
      </c>
      <c r="F98" s="99"/>
      <c r="G98" s="104">
        <f t="shared" si="11"/>
        <v>29973.747409003037</v>
      </c>
      <c r="H98" s="104">
        <f t="shared" si="12"/>
        <v>299737.47409003036</v>
      </c>
      <c r="I98" s="71">
        <v>1126.74</v>
      </c>
      <c r="J98" s="928">
        <v>0</v>
      </c>
      <c r="K98" s="99">
        <v>110</v>
      </c>
      <c r="L98" s="71" t="s">
        <v>1158</v>
      </c>
      <c r="N98" s="82" t="s">
        <v>1239</v>
      </c>
    </row>
    <row r="99" spans="1:14" s="71" customFormat="1" ht="30" customHeight="1" x14ac:dyDescent="0.25">
      <c r="A99" s="82"/>
      <c r="B99" s="103">
        <v>132</v>
      </c>
      <c r="C99" s="82" t="s">
        <v>1311</v>
      </c>
      <c r="D99" s="103">
        <v>5</v>
      </c>
      <c r="E99" s="99">
        <v>57.22</v>
      </c>
      <c r="F99" s="99"/>
      <c r="G99" s="104">
        <f t="shared" si="11"/>
        <v>66152.295672441236</v>
      </c>
      <c r="H99" s="104">
        <f t="shared" si="12"/>
        <v>330761.4783622062</v>
      </c>
      <c r="I99" s="71">
        <v>1126.74</v>
      </c>
      <c r="J99" s="928">
        <v>0</v>
      </c>
      <c r="K99" s="99">
        <v>110</v>
      </c>
      <c r="L99" s="71" t="s">
        <v>276</v>
      </c>
      <c r="N99" s="82" t="s">
        <v>1239</v>
      </c>
    </row>
    <row r="100" spans="1:14" s="71" customFormat="1" ht="30" customHeight="1" x14ac:dyDescent="0.25">
      <c r="A100" s="82">
        <v>180717</v>
      </c>
      <c r="B100" s="103">
        <v>133</v>
      </c>
      <c r="C100" s="82" t="s">
        <v>927</v>
      </c>
      <c r="D100" s="103">
        <v>10</v>
      </c>
      <c r="E100" s="99">
        <v>107.85</v>
      </c>
      <c r="F100" s="99"/>
      <c r="G100" s="104">
        <f t="shared" si="11"/>
        <v>125468.6007270328</v>
      </c>
      <c r="H100" s="104">
        <f t="shared" si="12"/>
        <v>1254686.007270328</v>
      </c>
      <c r="I100" s="71">
        <v>1129.3</v>
      </c>
      <c r="J100" s="928">
        <v>0</v>
      </c>
      <c r="K100" s="99">
        <v>120</v>
      </c>
      <c r="L100" s="71" t="s">
        <v>1319</v>
      </c>
      <c r="N100" s="82" t="s">
        <v>1239</v>
      </c>
    </row>
    <row r="101" spans="1:14" s="71" customFormat="1" ht="30" customHeight="1" x14ac:dyDescent="0.25">
      <c r="A101" s="82"/>
      <c r="B101" s="103">
        <v>133</v>
      </c>
      <c r="C101" s="82" t="s">
        <v>861</v>
      </c>
      <c r="D101" s="103">
        <v>1</v>
      </c>
      <c r="E101" s="99">
        <v>290</v>
      </c>
      <c r="F101" s="99"/>
      <c r="G101" s="104">
        <f t="shared" si="11"/>
        <v>426277.04272967199</v>
      </c>
      <c r="H101" s="104">
        <f t="shared" si="12"/>
        <v>426277.04272967199</v>
      </c>
      <c r="I101" s="71">
        <v>1129.3</v>
      </c>
      <c r="J101" s="928">
        <v>0</v>
      </c>
      <c r="K101" s="99">
        <v>120</v>
      </c>
      <c r="L101" s="71" t="s">
        <v>276</v>
      </c>
      <c r="N101" s="82" t="s">
        <v>1239</v>
      </c>
    </row>
    <row r="102" spans="1:14" s="71" customFormat="1" ht="30" customHeight="1" x14ac:dyDescent="0.25">
      <c r="A102" s="82">
        <v>180625</v>
      </c>
      <c r="B102" s="103">
        <v>134</v>
      </c>
      <c r="C102" s="82" t="s">
        <v>1370</v>
      </c>
      <c r="D102" s="103">
        <v>1</v>
      </c>
      <c r="E102" s="99">
        <v>1187.95</v>
      </c>
      <c r="F102" s="99"/>
      <c r="G102" s="104">
        <f t="shared" si="11"/>
        <v>1336918.9300000002</v>
      </c>
      <c r="H102" s="104">
        <f t="shared" ref="H102:H115" si="13">(G102*D102)</f>
        <v>1336918.9300000002</v>
      </c>
      <c r="I102" s="71">
        <v>1125.4000000000001</v>
      </c>
      <c r="J102" s="928">
        <v>0</v>
      </c>
      <c r="K102" s="99">
        <v>0</v>
      </c>
      <c r="L102" s="71" t="s">
        <v>659</v>
      </c>
      <c r="N102" s="82" t="s">
        <v>1239</v>
      </c>
    </row>
    <row r="103" spans="1:14" s="71" customFormat="1" ht="30" customHeight="1" x14ac:dyDescent="0.25">
      <c r="A103" s="82">
        <v>180813</v>
      </c>
      <c r="B103" s="103">
        <v>135</v>
      </c>
      <c r="C103" s="82" t="s">
        <v>1406</v>
      </c>
      <c r="D103" s="103">
        <v>1</v>
      </c>
      <c r="E103" s="99">
        <v>290</v>
      </c>
      <c r="F103" s="99"/>
      <c r="G103" s="104">
        <f t="shared" si="11"/>
        <v>459490.58072373003</v>
      </c>
      <c r="H103" s="104">
        <f t="shared" si="13"/>
        <v>459490.58072373003</v>
      </c>
      <c r="I103" s="71">
        <v>1133.6500000000001</v>
      </c>
      <c r="J103" s="928">
        <v>0</v>
      </c>
      <c r="K103" s="99">
        <v>120</v>
      </c>
      <c r="L103" s="1244" t="s">
        <v>869</v>
      </c>
      <c r="N103" s="82"/>
    </row>
    <row r="104" spans="1:14" s="71" customFormat="1" ht="30" customHeight="1" x14ac:dyDescent="0.25">
      <c r="A104" s="82"/>
      <c r="B104" s="103">
        <v>135</v>
      </c>
      <c r="C104" s="82" t="s">
        <v>1407</v>
      </c>
      <c r="D104" s="103">
        <v>8</v>
      </c>
      <c r="E104" s="99">
        <v>0</v>
      </c>
      <c r="F104" s="99"/>
      <c r="G104" s="104">
        <f t="shared" si="11"/>
        <v>0</v>
      </c>
      <c r="H104" s="104">
        <f t="shared" si="13"/>
        <v>0</v>
      </c>
      <c r="I104" s="71">
        <v>1133.6500000000001</v>
      </c>
      <c r="J104" s="928">
        <v>0</v>
      </c>
      <c r="K104" s="99">
        <v>120</v>
      </c>
      <c r="L104" s="1241"/>
      <c r="N104" s="82"/>
    </row>
    <row r="105" spans="1:14" s="71" customFormat="1" ht="30" customHeight="1" x14ac:dyDescent="0.25">
      <c r="A105" s="82"/>
      <c r="B105" s="103">
        <v>135</v>
      </c>
      <c r="C105" s="82" t="s">
        <v>934</v>
      </c>
      <c r="D105" s="103">
        <v>32</v>
      </c>
      <c r="E105" s="99">
        <v>2</v>
      </c>
      <c r="F105" s="99"/>
      <c r="G105" s="104">
        <f t="shared" si="11"/>
        <v>2295.4750173973557</v>
      </c>
      <c r="H105" s="104">
        <f t="shared" si="13"/>
        <v>73455.200556715383</v>
      </c>
      <c r="I105" s="71">
        <v>1133.6500000000001</v>
      </c>
      <c r="J105" s="928">
        <v>0</v>
      </c>
      <c r="K105" s="99">
        <v>120</v>
      </c>
      <c r="L105" s="1241"/>
      <c r="N105" s="82"/>
    </row>
    <row r="106" spans="1:14" s="71" customFormat="1" ht="30" customHeight="1" x14ac:dyDescent="0.25">
      <c r="A106" s="82"/>
      <c r="B106" s="103">
        <v>135</v>
      </c>
      <c r="C106" s="82" t="s">
        <v>1403</v>
      </c>
      <c r="D106" s="103">
        <v>32</v>
      </c>
      <c r="E106" s="99">
        <v>2</v>
      </c>
      <c r="F106" s="99"/>
      <c r="G106" s="104">
        <f t="shared" si="11"/>
        <v>2295.4750173973557</v>
      </c>
      <c r="H106" s="104">
        <f t="shared" si="13"/>
        <v>73455.200556715383</v>
      </c>
      <c r="I106" s="71">
        <v>1133.6500000000001</v>
      </c>
      <c r="J106" s="928">
        <v>0</v>
      </c>
      <c r="K106" s="99">
        <v>120</v>
      </c>
      <c r="L106" s="1241"/>
      <c r="N106" s="82"/>
    </row>
    <row r="107" spans="1:14" s="71" customFormat="1" ht="30" customHeight="1" x14ac:dyDescent="0.25">
      <c r="A107" s="82"/>
      <c r="B107" s="103">
        <v>135</v>
      </c>
      <c r="C107" s="82" t="s">
        <v>1404</v>
      </c>
      <c r="D107" s="103">
        <v>32</v>
      </c>
      <c r="E107" s="99">
        <v>7.77</v>
      </c>
      <c r="F107" s="99"/>
      <c r="G107" s="104">
        <f t="shared" si="11"/>
        <v>8917.9204425887274</v>
      </c>
      <c r="H107" s="104">
        <f t="shared" si="13"/>
        <v>285373.45416283928</v>
      </c>
      <c r="I107" s="71">
        <v>1133.6500000000001</v>
      </c>
      <c r="J107" s="928">
        <v>0</v>
      </c>
      <c r="K107" s="99">
        <v>120</v>
      </c>
      <c r="L107" s="1243"/>
      <c r="N107" s="82"/>
    </row>
    <row r="108" spans="1:14" s="71" customFormat="1" ht="30" customHeight="1" x14ac:dyDescent="0.25">
      <c r="A108" s="82">
        <v>181020</v>
      </c>
      <c r="B108" s="103">
        <v>136</v>
      </c>
      <c r="C108" s="82" t="s">
        <v>1460</v>
      </c>
      <c r="D108" s="103">
        <v>1</v>
      </c>
      <c r="E108" s="99">
        <v>7417.58</v>
      </c>
      <c r="F108" s="99"/>
      <c r="G108" s="104">
        <f t="shared" si="11"/>
        <v>8812661.640071962</v>
      </c>
      <c r="H108" s="104">
        <f t="shared" si="13"/>
        <v>8812661.640071962</v>
      </c>
      <c r="I108" s="71">
        <v>1145.28</v>
      </c>
      <c r="J108" s="928">
        <v>0</v>
      </c>
      <c r="K108" s="99">
        <v>1152</v>
      </c>
      <c r="L108" s="1244" t="s">
        <v>276</v>
      </c>
      <c r="N108" s="82"/>
    </row>
    <row r="109" spans="1:14" s="71" customFormat="1" ht="30" customHeight="1" x14ac:dyDescent="0.25">
      <c r="A109" s="82"/>
      <c r="B109" s="103">
        <v>136</v>
      </c>
      <c r="C109" s="82" t="s">
        <v>1460</v>
      </c>
      <c r="D109" s="103">
        <v>1</v>
      </c>
      <c r="E109" s="99">
        <v>7417.58</v>
      </c>
      <c r="F109" s="99"/>
      <c r="G109" s="104">
        <f t="shared" si="11"/>
        <v>8812661.640071962</v>
      </c>
      <c r="H109" s="104">
        <f t="shared" si="13"/>
        <v>8812661.640071962</v>
      </c>
      <c r="I109" s="71">
        <v>1145.28</v>
      </c>
      <c r="J109" s="928">
        <v>0</v>
      </c>
      <c r="K109" s="99">
        <v>1152</v>
      </c>
      <c r="L109" s="1241"/>
      <c r="N109" s="82"/>
    </row>
    <row r="110" spans="1:14" s="71" customFormat="1" ht="30" customHeight="1" x14ac:dyDescent="0.25">
      <c r="A110" s="82"/>
      <c r="B110" s="103">
        <v>136</v>
      </c>
      <c r="C110" s="82" t="s">
        <v>1461</v>
      </c>
      <c r="D110" s="103">
        <v>1</v>
      </c>
      <c r="E110" s="99">
        <v>7417.58</v>
      </c>
      <c r="F110" s="99"/>
      <c r="G110" s="104">
        <f t="shared" si="11"/>
        <v>8812661.640071962</v>
      </c>
      <c r="H110" s="104">
        <f t="shared" si="13"/>
        <v>8812661.640071962</v>
      </c>
      <c r="I110" s="71">
        <v>1145.28</v>
      </c>
      <c r="J110" s="928">
        <v>0</v>
      </c>
      <c r="K110" s="99">
        <v>1152</v>
      </c>
      <c r="L110" s="1241"/>
      <c r="N110" s="82"/>
    </row>
    <row r="111" spans="1:14" s="71" customFormat="1" ht="30" customHeight="1" x14ac:dyDescent="0.25">
      <c r="A111" s="82"/>
      <c r="B111" s="103">
        <v>136</v>
      </c>
      <c r="C111" s="82" t="s">
        <v>1461</v>
      </c>
      <c r="D111" s="103">
        <v>1</v>
      </c>
      <c r="E111" s="99">
        <v>7417.58</v>
      </c>
      <c r="F111" s="99"/>
      <c r="G111" s="104">
        <f t="shared" si="11"/>
        <v>8812661.640071962</v>
      </c>
      <c r="H111" s="104">
        <f t="shared" si="13"/>
        <v>8812661.640071962</v>
      </c>
      <c r="I111" s="71">
        <v>1145.28</v>
      </c>
      <c r="J111" s="928">
        <v>0</v>
      </c>
      <c r="K111" s="99">
        <v>1152</v>
      </c>
      <c r="L111" s="1241"/>
      <c r="N111" s="82"/>
    </row>
    <row r="112" spans="1:14" s="71" customFormat="1" ht="30" customHeight="1" x14ac:dyDescent="0.25">
      <c r="A112" s="82"/>
      <c r="B112" s="103">
        <v>136</v>
      </c>
      <c r="C112" s="82" t="s">
        <v>1462</v>
      </c>
      <c r="D112" s="103">
        <v>2</v>
      </c>
      <c r="E112" s="99">
        <v>899.1</v>
      </c>
      <c r="F112" s="99"/>
      <c r="G112" s="104">
        <f t="shared" si="11"/>
        <v>1048960.969435351</v>
      </c>
      <c r="H112" s="104">
        <f t="shared" si="13"/>
        <v>2097921.9388707019</v>
      </c>
      <c r="I112" s="71">
        <v>1145.28</v>
      </c>
      <c r="J112" s="928">
        <v>0</v>
      </c>
      <c r="K112" s="99">
        <v>1152</v>
      </c>
      <c r="L112" s="1243"/>
      <c r="N112" s="82"/>
    </row>
    <row r="113" spans="1:14" s="71" customFormat="1" ht="30" customHeight="1" x14ac:dyDescent="0.25">
      <c r="A113" s="82"/>
      <c r="B113" s="103">
        <v>136</v>
      </c>
      <c r="C113" s="82" t="s">
        <v>1463</v>
      </c>
      <c r="D113" s="103">
        <v>50</v>
      </c>
      <c r="E113" s="99">
        <v>6.43</v>
      </c>
      <c r="F113" s="99"/>
      <c r="G113" s="104">
        <f t="shared" si="11"/>
        <v>7369.6541886254827</v>
      </c>
      <c r="H113" s="104">
        <f t="shared" si="13"/>
        <v>368482.70943127415</v>
      </c>
      <c r="I113" s="71">
        <v>1145.28</v>
      </c>
      <c r="J113" s="928">
        <v>0</v>
      </c>
      <c r="K113" s="99">
        <v>1152</v>
      </c>
      <c r="L113" s="1244" t="s">
        <v>869</v>
      </c>
      <c r="N113" s="82" t="s">
        <v>870</v>
      </c>
    </row>
    <row r="114" spans="1:14" s="71" customFormat="1" ht="30" customHeight="1" x14ac:dyDescent="0.25">
      <c r="A114" s="82"/>
      <c r="B114" s="103">
        <v>136</v>
      </c>
      <c r="C114" s="82" t="s">
        <v>1464</v>
      </c>
      <c r="D114" s="103">
        <v>20</v>
      </c>
      <c r="E114" s="99">
        <v>7.99</v>
      </c>
      <c r="F114" s="99"/>
      <c r="G114" s="104">
        <f t="shared" si="11"/>
        <v>9167.8848948357754</v>
      </c>
      <c r="H114" s="104">
        <f t="shared" si="13"/>
        <v>183357.69789671552</v>
      </c>
      <c r="I114" s="71">
        <v>1145.28</v>
      </c>
      <c r="J114" s="928">
        <v>0</v>
      </c>
      <c r="K114" s="99">
        <v>1152</v>
      </c>
      <c r="L114" s="1241"/>
      <c r="N114" s="82" t="s">
        <v>870</v>
      </c>
    </row>
    <row r="115" spans="1:14" s="71" customFormat="1" ht="30" customHeight="1" x14ac:dyDescent="0.25">
      <c r="A115" s="82"/>
      <c r="B115" s="103">
        <v>136</v>
      </c>
      <c r="C115" s="82" t="s">
        <v>1465</v>
      </c>
      <c r="D115" s="103">
        <v>10</v>
      </c>
      <c r="E115" s="99">
        <v>5.12</v>
      </c>
      <c r="F115" s="99"/>
      <c r="G115" s="104">
        <f t="shared" si="11"/>
        <v>5885.7460399397169</v>
      </c>
      <c r="H115" s="104">
        <f t="shared" si="13"/>
        <v>58857.460399397169</v>
      </c>
      <c r="I115" s="71">
        <v>1145.28</v>
      </c>
      <c r="J115" s="928">
        <v>0</v>
      </c>
      <c r="K115" s="99">
        <v>1152</v>
      </c>
      <c r="L115" s="1241"/>
      <c r="N115" s="82" t="s">
        <v>870</v>
      </c>
    </row>
    <row r="116" spans="1:14" s="71" customFormat="1" ht="30" customHeight="1" x14ac:dyDescent="0.25">
      <c r="A116" s="82"/>
      <c r="B116" s="103">
        <v>136</v>
      </c>
      <c r="C116" s="82" t="s">
        <v>1466</v>
      </c>
      <c r="D116" s="103">
        <v>4</v>
      </c>
      <c r="E116" s="99">
        <v>26.26</v>
      </c>
      <c r="F116" s="99"/>
      <c r="G116" s="104">
        <f t="shared" si="11"/>
        <v>30356.019925398909</v>
      </c>
      <c r="H116" s="104">
        <f t="shared" ref="H116:H134" si="14">(G116*D116)</f>
        <v>121424.07970159563</v>
      </c>
      <c r="I116" s="71">
        <v>1145.28</v>
      </c>
      <c r="J116" s="928">
        <v>0</v>
      </c>
      <c r="K116" s="99">
        <v>1152</v>
      </c>
      <c r="L116" s="1241"/>
      <c r="N116" s="82" t="s">
        <v>871</v>
      </c>
    </row>
    <row r="117" spans="1:14" s="71" customFormat="1" ht="30" customHeight="1" x14ac:dyDescent="0.25">
      <c r="A117" s="82"/>
      <c r="B117" s="103">
        <v>136</v>
      </c>
      <c r="C117" s="82" t="s">
        <v>1532</v>
      </c>
      <c r="D117" s="103">
        <v>2</v>
      </c>
      <c r="E117" s="99">
        <v>23.94</v>
      </c>
      <c r="F117" s="99"/>
      <c r="G117" s="104">
        <f t="shared" si="11"/>
        <v>27930.292079059396</v>
      </c>
      <c r="H117" s="104">
        <f t="shared" si="14"/>
        <v>55860.584158118792</v>
      </c>
      <c r="I117" s="71">
        <v>1145.28</v>
      </c>
      <c r="J117" s="928">
        <v>0</v>
      </c>
      <c r="K117" s="99">
        <v>1152</v>
      </c>
      <c r="L117" s="1241"/>
      <c r="N117" s="82" t="s">
        <v>1533</v>
      </c>
    </row>
    <row r="118" spans="1:14" s="71" customFormat="1" ht="30" customHeight="1" x14ac:dyDescent="0.25">
      <c r="A118" s="82"/>
      <c r="B118" s="103">
        <v>136</v>
      </c>
      <c r="C118" s="82" t="s">
        <v>259</v>
      </c>
      <c r="D118" s="103">
        <v>10</v>
      </c>
      <c r="E118" s="99">
        <v>26.26</v>
      </c>
      <c r="F118" s="99"/>
      <c r="G118" s="104">
        <f t="shared" si="11"/>
        <v>30187.439650159566</v>
      </c>
      <c r="H118" s="104">
        <f t="shared" si="14"/>
        <v>301874.39650159568</v>
      </c>
      <c r="I118" s="71">
        <v>1145.28</v>
      </c>
      <c r="J118" s="928">
        <v>0</v>
      </c>
      <c r="K118" s="99">
        <v>1152</v>
      </c>
      <c r="L118" s="1241"/>
      <c r="N118" s="82" t="s">
        <v>871</v>
      </c>
    </row>
    <row r="119" spans="1:14" s="71" customFormat="1" ht="30" customHeight="1" x14ac:dyDescent="0.25">
      <c r="A119" s="82"/>
      <c r="B119" s="103">
        <v>136</v>
      </c>
      <c r="C119" s="82" t="s">
        <v>1467</v>
      </c>
      <c r="D119" s="103">
        <v>4</v>
      </c>
      <c r="E119" s="99">
        <v>162.44</v>
      </c>
      <c r="F119" s="99"/>
      <c r="G119" s="104">
        <f t="shared" si="11"/>
        <v>187777.29918818732</v>
      </c>
      <c r="H119" s="104">
        <f t="shared" si="14"/>
        <v>751109.19675274927</v>
      </c>
      <c r="I119" s="71">
        <v>1145.28</v>
      </c>
      <c r="J119" s="928">
        <v>0</v>
      </c>
      <c r="K119" s="99">
        <v>1152</v>
      </c>
      <c r="L119" s="1243"/>
      <c r="N119" s="82" t="s">
        <v>1534</v>
      </c>
    </row>
    <row r="120" spans="1:14" s="71" customFormat="1" ht="30" customHeight="1" x14ac:dyDescent="0.25">
      <c r="A120" s="82">
        <v>180904</v>
      </c>
      <c r="B120" s="103">
        <v>137</v>
      </c>
      <c r="C120" s="82" t="s">
        <v>1468</v>
      </c>
      <c r="D120" s="103">
        <v>1</v>
      </c>
      <c r="E120" s="99">
        <f>12923.08+1349.95</f>
        <v>14273.03</v>
      </c>
      <c r="F120" s="99"/>
      <c r="G120" s="104">
        <f>(I120*E120)+(J120*(E120/SUMIF(B:B,B120,E:E)))/D120+((K120*I120)*(E120/SUMIF(B:B,B120,E:E)))/D120+360000</f>
        <v>17075243.218965411</v>
      </c>
      <c r="H120" s="104">
        <f t="shared" si="14"/>
        <v>17075243.218965411</v>
      </c>
      <c r="I120" s="71">
        <v>1123.47</v>
      </c>
      <c r="J120" s="928">
        <v>279117</v>
      </c>
      <c r="K120" s="99">
        <v>830</v>
      </c>
      <c r="N120" s="82"/>
    </row>
    <row r="121" spans="1:14" s="71" customFormat="1" ht="30" customHeight="1" x14ac:dyDescent="0.25">
      <c r="A121" s="82"/>
      <c r="B121" s="103">
        <v>137</v>
      </c>
      <c r="C121" s="82" t="s">
        <v>1469</v>
      </c>
      <c r="D121" s="103">
        <v>1</v>
      </c>
      <c r="E121" s="99">
        <v>3532.65</v>
      </c>
      <c r="F121" s="99"/>
      <c r="G121" s="104">
        <f t="shared" ref="G121:G152" si="15">(I121*E121)+(J121*(E121/SUMIF(B:B,B121,E:E)))/D121+((K121*I121)*(E121/SUMIF(B:B,B121,E:E)))/D121</f>
        <v>4018828.359663642</v>
      </c>
      <c r="H121" s="104">
        <f t="shared" si="14"/>
        <v>4018828.359663642</v>
      </c>
      <c r="I121" s="71">
        <v>1123.47</v>
      </c>
      <c r="J121" s="928">
        <v>360000</v>
      </c>
      <c r="K121" s="99">
        <v>0</v>
      </c>
      <c r="N121" s="82"/>
    </row>
    <row r="122" spans="1:14" s="71" customFormat="1" ht="30" customHeight="1" x14ac:dyDescent="0.25">
      <c r="A122" s="82"/>
      <c r="B122" s="103">
        <v>137</v>
      </c>
      <c r="C122" s="82" t="s">
        <v>1470</v>
      </c>
      <c r="D122" s="103">
        <v>1</v>
      </c>
      <c r="E122" s="99">
        <v>7628.35</v>
      </c>
      <c r="F122" s="99"/>
      <c r="G122" s="104">
        <f t="shared" si="15"/>
        <v>6484097.5</v>
      </c>
      <c r="H122" s="104">
        <f t="shared" si="14"/>
        <v>6484097.5</v>
      </c>
      <c r="I122" s="71">
        <v>850</v>
      </c>
      <c r="J122" s="928">
        <v>0</v>
      </c>
      <c r="K122" s="99">
        <v>0</v>
      </c>
      <c r="N122" s="82"/>
    </row>
    <row r="123" spans="1:14" s="71" customFormat="1" ht="30" customHeight="1" x14ac:dyDescent="0.25">
      <c r="A123" s="82">
        <v>181026</v>
      </c>
      <c r="B123" s="103">
        <v>138</v>
      </c>
      <c r="C123" s="82" t="s">
        <v>1474</v>
      </c>
      <c r="D123" s="103">
        <v>1</v>
      </c>
      <c r="E123" s="99">
        <v>1344.86</v>
      </c>
      <c r="F123" s="99"/>
      <c r="G123" s="104">
        <f t="shared" si="15"/>
        <v>1821509.0540463841</v>
      </c>
      <c r="H123" s="104">
        <f t="shared" si="14"/>
        <v>1821509.0540463841</v>
      </c>
      <c r="I123" s="71">
        <v>1150</v>
      </c>
      <c r="J123" s="928">
        <v>0</v>
      </c>
      <c r="K123" s="99">
        <v>770.45</v>
      </c>
      <c r="N123" s="82"/>
    </row>
    <row r="124" spans="1:14" s="71" customFormat="1" ht="30" customHeight="1" x14ac:dyDescent="0.25">
      <c r="A124" s="82"/>
      <c r="B124" s="103">
        <v>138</v>
      </c>
      <c r="C124" s="82" t="s">
        <v>1473</v>
      </c>
      <c r="D124" s="103">
        <v>1</v>
      </c>
      <c r="E124" s="99">
        <v>891.7</v>
      </c>
      <c r="F124" s="99"/>
      <c r="G124" s="104">
        <f t="shared" si="15"/>
        <v>1207738.81555936</v>
      </c>
      <c r="H124" s="104">
        <f t="shared" si="14"/>
        <v>1207738.81555936</v>
      </c>
      <c r="I124" s="71">
        <v>1150</v>
      </c>
      <c r="J124" s="928">
        <v>0</v>
      </c>
      <c r="K124" s="99">
        <v>770.45</v>
      </c>
      <c r="N124" s="82"/>
    </row>
    <row r="125" spans="1:14" s="71" customFormat="1" ht="30" customHeight="1" x14ac:dyDescent="0.25">
      <c r="A125" s="82"/>
      <c r="B125" s="103">
        <v>138</v>
      </c>
      <c r="C125" s="82" t="s">
        <v>1475</v>
      </c>
      <c r="D125" s="103">
        <v>1</v>
      </c>
      <c r="E125" s="99">
        <v>1293.69</v>
      </c>
      <c r="F125" s="99"/>
      <c r="G125" s="104">
        <f t="shared" si="15"/>
        <v>1752203.239094974</v>
      </c>
      <c r="H125" s="104">
        <f t="shared" si="14"/>
        <v>1752203.239094974</v>
      </c>
      <c r="I125" s="71">
        <v>1150</v>
      </c>
      <c r="J125" s="928">
        <v>0</v>
      </c>
      <c r="K125" s="99">
        <v>770.45</v>
      </c>
      <c r="N125" s="82"/>
    </row>
    <row r="126" spans="1:14" s="71" customFormat="1" ht="30" customHeight="1" x14ac:dyDescent="0.25">
      <c r="A126" s="82"/>
      <c r="B126" s="103">
        <v>138</v>
      </c>
      <c r="C126" s="82" t="s">
        <v>1476</v>
      </c>
      <c r="D126" s="103">
        <v>1</v>
      </c>
      <c r="E126" s="99">
        <v>482.39</v>
      </c>
      <c r="F126" s="99"/>
      <c r="G126" s="104">
        <f t="shared" si="15"/>
        <v>653360.0170883477</v>
      </c>
      <c r="H126" s="104">
        <f t="shared" si="14"/>
        <v>653360.0170883477</v>
      </c>
      <c r="I126" s="71">
        <v>1150</v>
      </c>
      <c r="J126" s="928">
        <v>0</v>
      </c>
      <c r="K126" s="99">
        <v>770.45</v>
      </c>
      <c r="N126" s="82"/>
    </row>
    <row r="127" spans="1:14" s="71" customFormat="1" ht="30" customHeight="1" x14ac:dyDescent="0.25">
      <c r="A127" s="82"/>
      <c r="B127" s="103">
        <v>138</v>
      </c>
      <c r="C127" s="82" t="s">
        <v>1472</v>
      </c>
      <c r="D127" s="103">
        <v>1</v>
      </c>
      <c r="E127" s="99">
        <v>321.60000000000002</v>
      </c>
      <c r="F127" s="99"/>
      <c r="G127" s="104">
        <f t="shared" si="15"/>
        <v>435582.37421093433</v>
      </c>
      <c r="H127" s="104">
        <f t="shared" si="14"/>
        <v>435582.37421093433</v>
      </c>
      <c r="I127" s="71">
        <v>1150</v>
      </c>
      <c r="J127" s="928">
        <v>0</v>
      </c>
      <c r="K127" s="99">
        <v>770.45</v>
      </c>
      <c r="N127" s="82"/>
    </row>
    <row r="128" spans="1:14" s="71" customFormat="1" ht="30" customHeight="1" x14ac:dyDescent="0.25">
      <c r="A128" s="82">
        <v>181001</v>
      </c>
      <c r="B128" s="103">
        <v>139</v>
      </c>
      <c r="C128" s="82" t="s">
        <v>1477</v>
      </c>
      <c r="D128" s="103">
        <v>1</v>
      </c>
      <c r="E128" s="99">
        <v>3415.45</v>
      </c>
      <c r="F128" s="99"/>
      <c r="G128" s="104">
        <f t="shared" si="15"/>
        <v>4502767.5</v>
      </c>
      <c r="H128" s="104">
        <f t="shared" si="14"/>
        <v>4502767.5</v>
      </c>
      <c r="I128" s="71">
        <v>1150</v>
      </c>
      <c r="J128" s="928">
        <v>0</v>
      </c>
      <c r="K128" s="99">
        <v>500</v>
      </c>
      <c r="N128" s="82"/>
    </row>
    <row r="129" spans="1:14" s="71" customFormat="1" ht="30" customHeight="1" x14ac:dyDescent="0.25">
      <c r="A129" s="82">
        <v>181029</v>
      </c>
      <c r="B129" s="103">
        <v>140</v>
      </c>
      <c r="C129" s="82" t="s">
        <v>1535</v>
      </c>
      <c r="D129" s="103">
        <v>8</v>
      </c>
      <c r="E129" s="99">
        <v>108.62</v>
      </c>
      <c r="F129" s="99"/>
      <c r="G129" s="104">
        <f t="shared" si="15"/>
        <v>128065.92295487149</v>
      </c>
      <c r="H129" s="104">
        <f t="shared" si="14"/>
        <v>1024527.383638972</v>
      </c>
      <c r="I129" s="71">
        <v>1145.29</v>
      </c>
      <c r="J129" s="928">
        <v>0</v>
      </c>
      <c r="K129" s="99">
        <v>160</v>
      </c>
      <c r="L129" s="71" t="s">
        <v>276</v>
      </c>
      <c r="N129" s="82" t="s">
        <v>1184</v>
      </c>
    </row>
    <row r="130" spans="1:14" s="71" customFormat="1" ht="30" customHeight="1" x14ac:dyDescent="0.25">
      <c r="A130" s="82"/>
      <c r="B130" s="103">
        <v>140</v>
      </c>
      <c r="C130" s="82" t="s">
        <v>1536</v>
      </c>
      <c r="D130" s="103">
        <v>4</v>
      </c>
      <c r="E130" s="99">
        <v>13.6</v>
      </c>
      <c r="F130" s="99"/>
      <c r="G130" s="104">
        <f t="shared" si="15"/>
        <v>16493.592957949775</v>
      </c>
      <c r="H130" s="104">
        <f t="shared" si="14"/>
        <v>65974.371831799101</v>
      </c>
      <c r="I130" s="71">
        <v>1145.29</v>
      </c>
      <c r="J130" s="928">
        <v>0</v>
      </c>
      <c r="K130" s="99">
        <v>160</v>
      </c>
      <c r="L130" s="71" t="s">
        <v>276</v>
      </c>
      <c r="N130" s="82" t="s">
        <v>1550</v>
      </c>
    </row>
    <row r="131" spans="1:14" s="71" customFormat="1" ht="30" customHeight="1" x14ac:dyDescent="0.25">
      <c r="A131" s="82"/>
      <c r="B131" s="103">
        <v>140</v>
      </c>
      <c r="C131" s="82" t="s">
        <v>1537</v>
      </c>
      <c r="D131" s="103">
        <v>3</v>
      </c>
      <c r="E131" s="99">
        <v>133.15</v>
      </c>
      <c r="F131" s="99"/>
      <c r="G131" s="104">
        <f t="shared" si="15"/>
        <v>164474.28102460908</v>
      </c>
      <c r="H131" s="104">
        <f t="shared" si="14"/>
        <v>493422.84307382721</v>
      </c>
      <c r="I131" s="71">
        <v>1145.29</v>
      </c>
      <c r="J131" s="928">
        <v>0</v>
      </c>
      <c r="K131" s="99">
        <v>160</v>
      </c>
      <c r="L131" s="71" t="s">
        <v>276</v>
      </c>
      <c r="N131" s="82" t="s">
        <v>1549</v>
      </c>
    </row>
    <row r="132" spans="1:14" s="71" customFormat="1" ht="30" customHeight="1" x14ac:dyDescent="0.25">
      <c r="A132" s="82"/>
      <c r="B132" s="103">
        <v>140</v>
      </c>
      <c r="C132" s="82" t="s">
        <v>1538</v>
      </c>
      <c r="D132" s="103">
        <v>1</v>
      </c>
      <c r="E132" s="99">
        <v>111.69</v>
      </c>
      <c r="F132" s="99"/>
      <c r="G132" s="104">
        <f t="shared" si="15"/>
        <v>158062.20836865011</v>
      </c>
      <c r="H132" s="104">
        <f t="shared" si="14"/>
        <v>158062.20836865011</v>
      </c>
      <c r="I132" s="71">
        <v>1145.29</v>
      </c>
      <c r="J132" s="928">
        <v>0</v>
      </c>
      <c r="K132" s="99">
        <v>160</v>
      </c>
      <c r="L132" s="71" t="s">
        <v>869</v>
      </c>
      <c r="N132" s="82" t="s">
        <v>1551</v>
      </c>
    </row>
    <row r="133" spans="1:14" s="71" customFormat="1" ht="30" customHeight="1" x14ac:dyDescent="0.25">
      <c r="A133" s="82"/>
      <c r="B133" s="103">
        <v>140</v>
      </c>
      <c r="C133" s="82" t="s">
        <v>1540</v>
      </c>
      <c r="D133" s="103">
        <v>1</v>
      </c>
      <c r="E133" s="99">
        <v>188.75</v>
      </c>
      <c r="F133" s="99"/>
      <c r="G133" s="104">
        <f t="shared" si="15"/>
        <v>267116.49950382946</v>
      </c>
      <c r="H133" s="104">
        <f t="shared" si="14"/>
        <v>267116.49950382946</v>
      </c>
      <c r="I133" s="71">
        <v>1145.29</v>
      </c>
      <c r="J133" s="928">
        <v>0</v>
      </c>
      <c r="K133" s="99">
        <v>160</v>
      </c>
      <c r="L133" s="71" t="s">
        <v>869</v>
      </c>
      <c r="N133" s="82" t="s">
        <v>1551</v>
      </c>
    </row>
    <row r="134" spans="1:14" s="71" customFormat="1" ht="30" customHeight="1" x14ac:dyDescent="0.25">
      <c r="A134" s="82"/>
      <c r="B134" s="103">
        <v>140</v>
      </c>
      <c r="C134" s="82" t="s">
        <v>1539</v>
      </c>
      <c r="D134" s="103">
        <v>1</v>
      </c>
      <c r="E134" s="99">
        <v>123.14</v>
      </c>
      <c r="F134" s="99"/>
      <c r="G134" s="104">
        <f t="shared" si="15"/>
        <v>174266.09668292216</v>
      </c>
      <c r="H134" s="104">
        <f t="shared" si="14"/>
        <v>174266.09668292216</v>
      </c>
      <c r="I134" s="71">
        <v>1145.29</v>
      </c>
      <c r="J134" s="928">
        <v>0</v>
      </c>
      <c r="K134" s="99">
        <v>160</v>
      </c>
      <c r="L134" s="71" t="s">
        <v>869</v>
      </c>
      <c r="N134" s="82" t="s">
        <v>1551</v>
      </c>
    </row>
    <row r="135" spans="1:14" s="71" customFormat="1" ht="30" customHeight="1" x14ac:dyDescent="0.25">
      <c r="A135" s="82">
        <v>181107</v>
      </c>
      <c r="B135" s="103">
        <v>141</v>
      </c>
      <c r="C135" s="82" t="s">
        <v>1538</v>
      </c>
      <c r="D135" s="103">
        <v>1</v>
      </c>
      <c r="E135" s="99">
        <v>192.19</v>
      </c>
      <c r="F135" s="99"/>
      <c r="G135" s="104">
        <f t="shared" si="15"/>
        <v>234549.96666155919</v>
      </c>
      <c r="H135" s="104">
        <f t="shared" ref="H135:H144" si="16">(G135*D135)</f>
        <v>234549.96666155919</v>
      </c>
      <c r="I135" s="71">
        <v>1150.56</v>
      </c>
      <c r="J135" s="928">
        <v>0</v>
      </c>
      <c r="K135" s="99">
        <v>280</v>
      </c>
      <c r="L135" s="71" t="s">
        <v>869</v>
      </c>
      <c r="N135" s="82" t="s">
        <v>1551</v>
      </c>
    </row>
    <row r="136" spans="1:14" s="71" customFormat="1" ht="30" customHeight="1" x14ac:dyDescent="0.25">
      <c r="A136" s="82"/>
      <c r="B136" s="103">
        <v>141</v>
      </c>
      <c r="C136" s="82" t="s">
        <v>1541</v>
      </c>
      <c r="D136" s="103">
        <v>250</v>
      </c>
      <c r="E136" s="99">
        <v>8.5</v>
      </c>
      <c r="F136" s="99"/>
      <c r="G136" s="104">
        <f t="shared" si="15"/>
        <v>9782.1347883287017</v>
      </c>
      <c r="H136" s="104">
        <f t="shared" si="16"/>
        <v>2445533.6970821754</v>
      </c>
      <c r="I136" s="71">
        <v>1150.56</v>
      </c>
      <c r="J136" s="928">
        <v>0</v>
      </c>
      <c r="K136" s="99">
        <v>280</v>
      </c>
      <c r="N136" s="82"/>
    </row>
    <row r="137" spans="1:14" s="71" customFormat="1" ht="30" customHeight="1" x14ac:dyDescent="0.25">
      <c r="A137" s="82"/>
      <c r="B137" s="103">
        <v>141</v>
      </c>
      <c r="C137" s="82" t="s">
        <v>1029</v>
      </c>
      <c r="D137" s="103">
        <v>60</v>
      </c>
      <c r="E137" s="99">
        <v>8.5</v>
      </c>
      <c r="F137" s="99"/>
      <c r="G137" s="104">
        <f t="shared" si="15"/>
        <v>9789.6549513695863</v>
      </c>
      <c r="H137" s="104">
        <f t="shared" si="16"/>
        <v>587379.29708217515</v>
      </c>
      <c r="I137" s="71">
        <v>1150.56</v>
      </c>
      <c r="J137" s="928">
        <v>0</v>
      </c>
      <c r="K137" s="99">
        <v>280</v>
      </c>
      <c r="N137" s="82"/>
    </row>
    <row r="138" spans="1:14" s="71" customFormat="1" ht="30" customHeight="1" x14ac:dyDescent="0.25">
      <c r="A138" s="82"/>
      <c r="B138" s="103">
        <v>141</v>
      </c>
      <c r="C138" s="82" t="s">
        <v>1542</v>
      </c>
      <c r="D138" s="103">
        <v>50</v>
      </c>
      <c r="E138" s="99">
        <v>4.09</v>
      </c>
      <c r="F138" s="99"/>
      <c r="G138" s="104">
        <f t="shared" si="15"/>
        <v>4711.5038613319921</v>
      </c>
      <c r="H138" s="104">
        <f t="shared" si="16"/>
        <v>235575.1930665996</v>
      </c>
      <c r="I138" s="71">
        <v>1150.56</v>
      </c>
      <c r="J138" s="928">
        <v>0</v>
      </c>
      <c r="K138" s="99">
        <v>280</v>
      </c>
      <c r="L138" s="71" t="s">
        <v>1548</v>
      </c>
      <c r="N138" s="82"/>
    </row>
    <row r="139" spans="1:14" s="71" customFormat="1" ht="30" customHeight="1" x14ac:dyDescent="0.25">
      <c r="A139" s="82"/>
      <c r="B139" s="103">
        <v>141</v>
      </c>
      <c r="C139" s="82" t="s">
        <v>1543</v>
      </c>
      <c r="D139" s="103">
        <v>1</v>
      </c>
      <c r="E139" s="99">
        <v>4399.0600000000004</v>
      </c>
      <c r="F139" s="99"/>
      <c r="G139" s="104">
        <f t="shared" si="15"/>
        <v>5368642.3661074908</v>
      </c>
      <c r="H139" s="104">
        <f t="shared" si="16"/>
        <v>5368642.3661074908</v>
      </c>
      <c r="I139" s="71">
        <v>1150.56</v>
      </c>
      <c r="J139" s="928">
        <v>0</v>
      </c>
      <c r="K139" s="99">
        <v>280</v>
      </c>
      <c r="L139" s="71" t="s">
        <v>1552</v>
      </c>
      <c r="N139" s="82"/>
    </row>
    <row r="140" spans="1:14" s="71" customFormat="1" ht="30" customHeight="1" x14ac:dyDescent="0.25">
      <c r="A140" s="82">
        <v>181203</v>
      </c>
      <c r="B140" s="103">
        <v>142</v>
      </c>
      <c r="C140" s="82" t="s">
        <v>272</v>
      </c>
      <c r="D140" s="103">
        <v>100</v>
      </c>
      <c r="E140" s="99">
        <v>1.42</v>
      </c>
      <c r="F140" s="99"/>
      <c r="G140" s="104">
        <f t="shared" si="15"/>
        <v>1618.1169398075906</v>
      </c>
      <c r="H140" s="104">
        <f t="shared" si="16"/>
        <v>161811.69398075907</v>
      </c>
      <c r="I140" s="71">
        <v>1139.04</v>
      </c>
      <c r="J140" s="928">
        <v>0</v>
      </c>
      <c r="K140" s="99">
        <v>370</v>
      </c>
      <c r="L140" s="71" t="s">
        <v>276</v>
      </c>
      <c r="N140" s="82" t="s">
        <v>1547</v>
      </c>
    </row>
    <row r="141" spans="1:14" s="71" customFormat="1" ht="30" customHeight="1" x14ac:dyDescent="0.25">
      <c r="A141" s="82"/>
      <c r="B141" s="103">
        <v>142</v>
      </c>
      <c r="C141" s="82" t="s">
        <v>1544</v>
      </c>
      <c r="D141" s="103">
        <v>1</v>
      </c>
      <c r="E141" s="99">
        <v>1379.95</v>
      </c>
      <c r="F141" s="99"/>
      <c r="G141" s="104">
        <f t="shared" si="15"/>
        <v>1637913.9471186448</v>
      </c>
      <c r="H141" s="104">
        <f t="shared" si="16"/>
        <v>1637913.9471186448</v>
      </c>
      <c r="I141" s="71">
        <v>1139.04</v>
      </c>
      <c r="J141" s="928">
        <v>0</v>
      </c>
      <c r="K141" s="99">
        <v>370</v>
      </c>
      <c r="N141" s="82"/>
    </row>
    <row r="142" spans="1:14" s="71" customFormat="1" ht="30" customHeight="1" x14ac:dyDescent="0.25">
      <c r="A142" s="82"/>
      <c r="B142" s="103">
        <v>142</v>
      </c>
      <c r="C142" s="82" t="s">
        <v>1460</v>
      </c>
      <c r="D142" s="103">
        <v>1</v>
      </c>
      <c r="E142" s="99">
        <v>7417.58</v>
      </c>
      <c r="F142" s="99"/>
      <c r="G142" s="104">
        <f t="shared" si="15"/>
        <v>8804201.410100596</v>
      </c>
      <c r="H142" s="104">
        <f t="shared" si="16"/>
        <v>8804201.410100596</v>
      </c>
      <c r="I142" s="71">
        <v>1139.04</v>
      </c>
      <c r="J142" s="928">
        <v>0</v>
      </c>
      <c r="K142" s="99">
        <v>370</v>
      </c>
      <c r="L142" s="71" t="s">
        <v>276</v>
      </c>
      <c r="N142" s="82"/>
    </row>
    <row r="143" spans="1:14" s="71" customFormat="1" ht="30" customHeight="1" x14ac:dyDescent="0.25">
      <c r="A143" s="82">
        <v>181208</v>
      </c>
      <c r="B143" s="103">
        <v>143</v>
      </c>
      <c r="C143" s="82" t="s">
        <v>263</v>
      </c>
      <c r="D143" s="103">
        <v>30</v>
      </c>
      <c r="E143" s="99">
        <v>10.8</v>
      </c>
      <c r="F143" s="99"/>
      <c r="G143" s="104">
        <f t="shared" si="15"/>
        <v>12645.859508717551</v>
      </c>
      <c r="H143" s="104">
        <f t="shared" si="16"/>
        <v>379375.78526152653</v>
      </c>
      <c r="I143" s="71">
        <v>1139.04</v>
      </c>
      <c r="J143" s="928">
        <v>0</v>
      </c>
      <c r="K143" s="99">
        <v>130</v>
      </c>
      <c r="L143" s="71" t="s">
        <v>266</v>
      </c>
      <c r="N143" s="82" t="s">
        <v>1546</v>
      </c>
    </row>
    <row r="144" spans="1:14" s="71" customFormat="1" ht="30" customHeight="1" x14ac:dyDescent="0.25">
      <c r="A144" s="82"/>
      <c r="B144" s="103">
        <v>143</v>
      </c>
      <c r="C144" s="82" t="s">
        <v>1545</v>
      </c>
      <c r="D144" s="103">
        <v>1</v>
      </c>
      <c r="E144" s="99">
        <v>144.06</v>
      </c>
      <c r="F144" s="99"/>
      <c r="G144" s="104">
        <f t="shared" si="15"/>
        <v>301838.47713847342</v>
      </c>
      <c r="H144" s="104">
        <f t="shared" si="16"/>
        <v>301838.47713847342</v>
      </c>
      <c r="I144" s="71">
        <v>1139.04</v>
      </c>
      <c r="J144" s="928">
        <v>0</v>
      </c>
      <c r="K144" s="99">
        <v>130</v>
      </c>
      <c r="L144" s="71" t="s">
        <v>869</v>
      </c>
      <c r="N144" s="82" t="s">
        <v>1551</v>
      </c>
    </row>
    <row r="145" spans="1:14" s="71" customFormat="1" ht="30" customHeight="1" x14ac:dyDescent="0.25">
      <c r="A145" s="82">
        <v>190113</v>
      </c>
      <c r="B145" s="103">
        <v>144</v>
      </c>
      <c r="C145" s="82" t="s">
        <v>1666</v>
      </c>
      <c r="D145" s="103">
        <v>30</v>
      </c>
      <c r="E145" s="99">
        <v>7.71</v>
      </c>
      <c r="F145" s="99"/>
      <c r="G145" s="104">
        <f t="shared" si="15"/>
        <v>8737.3826222362877</v>
      </c>
      <c r="H145" s="104">
        <f t="shared" ref="H145:H151" si="17">(G145*D145)</f>
        <v>262121.47866708864</v>
      </c>
      <c r="I145" s="71">
        <v>1131.9000000000001</v>
      </c>
      <c r="J145" s="928">
        <v>0</v>
      </c>
      <c r="K145" s="99">
        <v>480</v>
      </c>
      <c r="L145" s="71" t="s">
        <v>817</v>
      </c>
      <c r="N145" s="82"/>
    </row>
    <row r="146" spans="1:14" s="71" customFormat="1" ht="30" customHeight="1" x14ac:dyDescent="0.25">
      <c r="A146" s="82"/>
      <c r="B146" s="103">
        <v>144</v>
      </c>
      <c r="C146" s="82" t="s">
        <v>1667</v>
      </c>
      <c r="D146" s="103">
        <v>1</v>
      </c>
      <c r="E146" s="99">
        <v>529</v>
      </c>
      <c r="F146" s="99"/>
      <c r="G146" s="104">
        <f t="shared" si="15"/>
        <v>620251.31075095595</v>
      </c>
      <c r="H146" s="104">
        <f t="shared" si="17"/>
        <v>620251.31075095595</v>
      </c>
      <c r="I146" s="71">
        <v>1131.9000000000001</v>
      </c>
      <c r="J146" s="928">
        <v>0</v>
      </c>
      <c r="K146" s="99">
        <v>480</v>
      </c>
      <c r="N146" s="82"/>
    </row>
    <row r="147" spans="1:14" s="71" customFormat="1" ht="30" customHeight="1" x14ac:dyDescent="0.25">
      <c r="A147" s="82"/>
      <c r="B147" s="103">
        <v>144</v>
      </c>
      <c r="C147" s="82" t="s">
        <v>1668</v>
      </c>
      <c r="D147" s="103">
        <v>3</v>
      </c>
      <c r="E147" s="99">
        <v>2260.96</v>
      </c>
      <c r="F147" s="99"/>
      <c r="G147" s="104">
        <f t="shared" si="15"/>
        <v>2589777.2550393711</v>
      </c>
      <c r="H147" s="104">
        <f t="shared" si="17"/>
        <v>7769331.7651181128</v>
      </c>
      <c r="I147" s="71">
        <v>1131.9000000000001</v>
      </c>
      <c r="J147" s="928">
        <v>0</v>
      </c>
      <c r="K147" s="99">
        <v>480</v>
      </c>
      <c r="L147" s="1244" t="s">
        <v>1671</v>
      </c>
      <c r="N147" s="82"/>
    </row>
    <row r="148" spans="1:14" s="71" customFormat="1" ht="30" customHeight="1" x14ac:dyDescent="0.25">
      <c r="A148" s="82"/>
      <c r="B148" s="103">
        <v>144</v>
      </c>
      <c r="C148" s="82" t="s">
        <v>1669</v>
      </c>
      <c r="D148" s="103">
        <v>1</v>
      </c>
      <c r="E148" s="99">
        <v>2260.96</v>
      </c>
      <c r="F148" s="99"/>
      <c r="G148" s="104">
        <f t="shared" si="15"/>
        <v>2650970.5171181122</v>
      </c>
      <c r="H148" s="104">
        <f t="shared" si="17"/>
        <v>2650970.5171181122</v>
      </c>
      <c r="I148" s="71">
        <v>1131.9000000000001</v>
      </c>
      <c r="J148" s="928">
        <v>0</v>
      </c>
      <c r="K148" s="99">
        <v>480</v>
      </c>
      <c r="L148" s="1243"/>
      <c r="N148" s="82"/>
    </row>
    <row r="149" spans="1:14" s="71" customFormat="1" ht="30" customHeight="1" x14ac:dyDescent="0.25">
      <c r="A149" s="82"/>
      <c r="B149" s="103">
        <v>144</v>
      </c>
      <c r="C149" s="1027" t="s">
        <v>1542</v>
      </c>
      <c r="D149" s="103">
        <v>250</v>
      </c>
      <c r="E149" s="99">
        <v>7.5</v>
      </c>
      <c r="F149" s="99"/>
      <c r="G149" s="104">
        <f t="shared" si="15"/>
        <v>8490.4679325567649</v>
      </c>
      <c r="H149" s="104">
        <f t="shared" si="17"/>
        <v>2122616.9831391913</v>
      </c>
      <c r="I149" s="71">
        <v>1131.9000000000001</v>
      </c>
      <c r="J149" s="928">
        <v>0</v>
      </c>
      <c r="K149" s="99">
        <v>480</v>
      </c>
      <c r="N149" s="82"/>
    </row>
    <row r="150" spans="1:14" s="71" customFormat="1" ht="30" customHeight="1" x14ac:dyDescent="0.25">
      <c r="A150" s="82"/>
      <c r="B150" s="103">
        <v>144</v>
      </c>
      <c r="C150" s="82" t="s">
        <v>1462</v>
      </c>
      <c r="D150" s="103">
        <v>2</v>
      </c>
      <c r="E150" s="99">
        <v>899.1</v>
      </c>
      <c r="F150" s="99"/>
      <c r="G150" s="104">
        <f t="shared" si="15"/>
        <v>1035942.0093631234</v>
      </c>
      <c r="H150" s="104">
        <f t="shared" si="17"/>
        <v>2071884.0187262469</v>
      </c>
      <c r="I150" s="71">
        <v>1131.9000000000001</v>
      </c>
      <c r="J150" s="928">
        <v>0</v>
      </c>
      <c r="K150" s="99">
        <v>480</v>
      </c>
      <c r="L150" s="1244" t="s">
        <v>276</v>
      </c>
      <c r="N150" s="82"/>
    </row>
    <row r="151" spans="1:14" s="71" customFormat="1" ht="30" customHeight="1" x14ac:dyDescent="0.25">
      <c r="A151" s="82"/>
      <c r="B151" s="103">
        <v>144</v>
      </c>
      <c r="C151" s="82" t="s">
        <v>1670</v>
      </c>
      <c r="D151" s="103">
        <v>1</v>
      </c>
      <c r="E151" s="99">
        <v>7417.58</v>
      </c>
      <c r="F151" s="99"/>
      <c r="G151" s="104">
        <f t="shared" si="15"/>
        <v>8697095.8744802941</v>
      </c>
      <c r="H151" s="104">
        <f t="shared" si="17"/>
        <v>8697095.8744802941</v>
      </c>
      <c r="I151" s="71">
        <v>1131.9000000000001</v>
      </c>
      <c r="J151" s="928">
        <v>0</v>
      </c>
      <c r="K151" s="99">
        <v>480</v>
      </c>
      <c r="L151" s="1243"/>
      <c r="N151" s="82"/>
    </row>
    <row r="152" spans="1:14" s="71" customFormat="1" ht="30" customHeight="1" x14ac:dyDescent="0.25">
      <c r="A152" s="82">
        <v>190122</v>
      </c>
      <c r="B152" s="103">
        <v>145</v>
      </c>
      <c r="C152" s="82" t="s">
        <v>1672</v>
      </c>
      <c r="D152" s="103">
        <v>50</v>
      </c>
      <c r="E152" s="99">
        <v>4.09</v>
      </c>
      <c r="F152" s="99"/>
      <c r="G152" s="104">
        <f t="shared" si="15"/>
        <v>4683.4465853471247</v>
      </c>
      <c r="H152" s="104">
        <f t="shared" ref="H152:H163" si="18">(G152*D152)</f>
        <v>234172.32926735622</v>
      </c>
      <c r="I152" s="71">
        <v>1131.3</v>
      </c>
      <c r="J152" s="928">
        <v>0</v>
      </c>
      <c r="K152" s="99">
        <v>135</v>
      </c>
      <c r="N152" s="82"/>
    </row>
    <row r="153" spans="1:14" s="71" customFormat="1" ht="30" customHeight="1" x14ac:dyDescent="0.25">
      <c r="A153" s="82">
        <v>190122</v>
      </c>
      <c r="B153" s="103">
        <v>145</v>
      </c>
      <c r="C153" s="82" t="s">
        <v>606</v>
      </c>
      <c r="D153" s="103">
        <v>4</v>
      </c>
      <c r="E153" s="99">
        <v>217.3</v>
      </c>
      <c r="F153" s="99"/>
      <c r="G153" s="104">
        <f t="shared" ref="G153:G184" si="19">(I153*E153)+(J153*(E153/SUMIF(B:B,B153,E:E)))/D153+((K153*I153)*(E153/SUMIF(B:B,B153,E:E)))/D153</f>
        <v>283307.49518316094</v>
      </c>
      <c r="H153" s="104">
        <f t="shared" si="18"/>
        <v>1133229.9807326437</v>
      </c>
      <c r="I153" s="71">
        <v>1131.3</v>
      </c>
      <c r="J153" s="928">
        <v>0</v>
      </c>
      <c r="K153" s="99">
        <v>135</v>
      </c>
      <c r="L153" s="71" t="s">
        <v>276</v>
      </c>
      <c r="N153" s="82"/>
    </row>
    <row r="154" spans="1:14" s="71" customFormat="1" ht="30" customHeight="1" x14ac:dyDescent="0.25">
      <c r="A154" s="82">
        <v>190208</v>
      </c>
      <c r="B154" s="103">
        <v>149</v>
      </c>
      <c r="C154" s="82" t="s">
        <v>1837</v>
      </c>
      <c r="D154" s="103">
        <v>1</v>
      </c>
      <c r="E154" s="99">
        <v>13340.56</v>
      </c>
      <c r="F154" s="99"/>
      <c r="G154" s="104">
        <f t="shared" si="19"/>
        <v>15888413.431355981</v>
      </c>
      <c r="H154" s="104">
        <f>(G154*D154)</f>
        <v>15888413.431355981</v>
      </c>
      <c r="I154" s="71">
        <v>1150</v>
      </c>
      <c r="J154" s="928">
        <v>0</v>
      </c>
      <c r="K154" s="99">
        <v>480</v>
      </c>
      <c r="L154" s="71" t="s">
        <v>869</v>
      </c>
      <c r="N154" s="82"/>
    </row>
    <row r="155" spans="1:14" s="71" customFormat="1" ht="30" customHeight="1" x14ac:dyDescent="0.25">
      <c r="A155" s="82"/>
      <c r="B155" s="103">
        <v>149</v>
      </c>
      <c r="C155" s="82" t="s">
        <v>264</v>
      </c>
      <c r="D155" s="103">
        <v>8</v>
      </c>
      <c r="E155" s="99">
        <v>127.62</v>
      </c>
      <c r="F155" s="99"/>
      <c r="G155" s="104">
        <f t="shared" si="19"/>
        <v>147416.82108050233</v>
      </c>
      <c r="H155" s="104">
        <f>(G155*D155)</f>
        <v>1179334.5686440186</v>
      </c>
      <c r="I155" s="71">
        <v>1150</v>
      </c>
      <c r="J155" s="928">
        <v>0</v>
      </c>
      <c r="K155" s="99">
        <v>480</v>
      </c>
      <c r="N155" s="82"/>
    </row>
    <row r="156" spans="1:14" s="71" customFormat="1" ht="30" customHeight="1" x14ac:dyDescent="0.25">
      <c r="A156" s="82">
        <v>190213</v>
      </c>
      <c r="B156" s="103">
        <v>146</v>
      </c>
      <c r="C156" s="82" t="s">
        <v>1763</v>
      </c>
      <c r="D156" s="103">
        <v>2</v>
      </c>
      <c r="E156" s="99">
        <v>548.95000000000005</v>
      </c>
      <c r="F156" s="99"/>
      <c r="G156" s="104">
        <f t="shared" si="19"/>
        <v>680373.39999236166</v>
      </c>
      <c r="H156" s="104">
        <f t="shared" si="18"/>
        <v>1360746.7999847233</v>
      </c>
      <c r="I156" s="71">
        <v>1130.92</v>
      </c>
      <c r="J156" s="928">
        <v>0</v>
      </c>
      <c r="K156" s="99">
        <v>320</v>
      </c>
      <c r="L156" s="96" t="s">
        <v>869</v>
      </c>
      <c r="N156" s="82"/>
    </row>
    <row r="157" spans="1:14" s="71" customFormat="1" ht="30" customHeight="1" x14ac:dyDescent="0.25">
      <c r="A157" s="82"/>
      <c r="B157" s="103">
        <v>146</v>
      </c>
      <c r="C157" s="82" t="s">
        <v>1765</v>
      </c>
      <c r="D157" s="103">
        <v>2</v>
      </c>
      <c r="E157" s="99">
        <v>315.04000000000002</v>
      </c>
      <c r="F157" s="99"/>
      <c r="G157" s="104">
        <f t="shared" si="19"/>
        <v>390463.31347771862</v>
      </c>
      <c r="H157" s="104">
        <f t="shared" si="18"/>
        <v>780926.62695543724</v>
      </c>
      <c r="I157" s="71">
        <v>1130.92</v>
      </c>
      <c r="J157" s="928">
        <v>0</v>
      </c>
      <c r="K157" s="99">
        <v>320</v>
      </c>
      <c r="L157" s="409" t="s">
        <v>266</v>
      </c>
      <c r="N157" s="82" t="s">
        <v>1767</v>
      </c>
    </row>
    <row r="158" spans="1:14" s="71" customFormat="1" ht="30" customHeight="1" x14ac:dyDescent="0.25">
      <c r="A158" s="82"/>
      <c r="B158" s="103">
        <v>146</v>
      </c>
      <c r="C158" s="82" t="s">
        <v>1764</v>
      </c>
      <c r="D158" s="103">
        <v>3</v>
      </c>
      <c r="E158" s="99">
        <v>660</v>
      </c>
      <c r="F158" s="99"/>
      <c r="G158" s="104">
        <f t="shared" si="19"/>
        <v>794142.22329290304</v>
      </c>
      <c r="H158" s="104">
        <f t="shared" si="18"/>
        <v>2382426.6698787091</v>
      </c>
      <c r="I158" s="71">
        <v>1130.92</v>
      </c>
      <c r="J158" s="928">
        <v>0</v>
      </c>
      <c r="K158" s="99">
        <v>320</v>
      </c>
      <c r="L158" s="409" t="s">
        <v>869</v>
      </c>
      <c r="N158" s="82"/>
    </row>
    <row r="159" spans="1:14" s="71" customFormat="1" ht="30" customHeight="1" x14ac:dyDescent="0.25">
      <c r="A159" s="82"/>
      <c r="B159" s="103">
        <v>146</v>
      </c>
      <c r="C159" s="82" t="s">
        <v>264</v>
      </c>
      <c r="D159" s="103">
        <v>8</v>
      </c>
      <c r="E159" s="99">
        <v>131.1</v>
      </c>
      <c r="F159" s="99"/>
      <c r="G159" s="104">
        <f t="shared" si="19"/>
        <v>151819.32879187475</v>
      </c>
      <c r="H159" s="104">
        <f t="shared" si="18"/>
        <v>1214554.630334998</v>
      </c>
      <c r="I159" s="71">
        <v>1130.92</v>
      </c>
      <c r="J159" s="928">
        <v>0</v>
      </c>
      <c r="K159" s="99">
        <v>320</v>
      </c>
      <c r="L159" s="409" t="s">
        <v>266</v>
      </c>
      <c r="N159" s="82"/>
    </row>
    <row r="160" spans="1:14" s="71" customFormat="1" ht="30" customHeight="1" x14ac:dyDescent="0.25">
      <c r="A160" s="82"/>
      <c r="B160" s="103">
        <v>146</v>
      </c>
      <c r="C160" s="82" t="s">
        <v>263</v>
      </c>
      <c r="D160" s="103">
        <v>30</v>
      </c>
      <c r="E160" s="99">
        <v>10.8</v>
      </c>
      <c r="F160" s="99"/>
      <c r="G160" s="104">
        <f t="shared" si="19"/>
        <v>12292.047856297479</v>
      </c>
      <c r="H160" s="104">
        <f t="shared" si="18"/>
        <v>368761.43568892434</v>
      </c>
      <c r="I160" s="71">
        <v>1130.92</v>
      </c>
      <c r="J160" s="928">
        <v>0</v>
      </c>
      <c r="K160" s="99">
        <v>320</v>
      </c>
      <c r="L160" s="409" t="s">
        <v>266</v>
      </c>
      <c r="N160" s="82"/>
    </row>
    <row r="161" spans="1:14" s="71" customFormat="1" ht="30" customHeight="1" x14ac:dyDescent="0.25">
      <c r="A161" s="82"/>
      <c r="B161" s="103">
        <v>146</v>
      </c>
      <c r="C161" s="82" t="s">
        <v>1032</v>
      </c>
      <c r="D161" s="103">
        <v>40</v>
      </c>
      <c r="E161" s="99">
        <v>2</v>
      </c>
      <c r="F161" s="99"/>
      <c r="G161" s="104">
        <f t="shared" si="19"/>
        <v>2272.6888689302054</v>
      </c>
      <c r="H161" s="104">
        <f t="shared" si="18"/>
        <v>90907.554757208214</v>
      </c>
      <c r="I161" s="71">
        <v>1130.92</v>
      </c>
      <c r="J161" s="928">
        <v>0</v>
      </c>
      <c r="K161" s="99">
        <v>320</v>
      </c>
      <c r="L161" s="73" t="s">
        <v>266</v>
      </c>
      <c r="N161" s="82" t="s">
        <v>928</v>
      </c>
    </row>
    <row r="162" spans="1:14" s="71" customFormat="1" ht="30" customHeight="1" x14ac:dyDescent="0.25">
      <c r="A162" s="82">
        <v>190228</v>
      </c>
      <c r="B162" s="103">
        <v>147</v>
      </c>
      <c r="C162" s="82" t="s">
        <v>1768</v>
      </c>
      <c r="D162" s="103">
        <v>30</v>
      </c>
      <c r="E162" s="99">
        <v>7.71</v>
      </c>
      <c r="F162" s="99"/>
      <c r="G162" s="104">
        <f t="shared" si="19"/>
        <v>8804.2423540961699</v>
      </c>
      <c r="H162" s="104">
        <f t="shared" si="18"/>
        <v>264127.27062288509</v>
      </c>
      <c r="I162" s="71">
        <v>1136.25</v>
      </c>
      <c r="J162" s="928">
        <v>0</v>
      </c>
      <c r="K162" s="99">
        <v>120</v>
      </c>
      <c r="L162" s="71" t="s">
        <v>266</v>
      </c>
      <c r="N162" s="82"/>
    </row>
    <row r="163" spans="1:14" s="71" customFormat="1" ht="30" customHeight="1" x14ac:dyDescent="0.25">
      <c r="A163" s="82"/>
      <c r="B163" s="103">
        <v>147</v>
      </c>
      <c r="C163" s="82" t="s">
        <v>1769</v>
      </c>
      <c r="D163" s="103">
        <v>1</v>
      </c>
      <c r="E163" s="99">
        <v>793.16</v>
      </c>
      <c r="F163" s="99"/>
      <c r="G163" s="104">
        <f t="shared" si="19"/>
        <v>1036265.4043771148</v>
      </c>
      <c r="H163" s="104">
        <f t="shared" si="18"/>
        <v>1036265.4043771148</v>
      </c>
      <c r="I163" s="71">
        <v>1136.25</v>
      </c>
      <c r="J163" s="928">
        <v>0</v>
      </c>
      <c r="K163" s="99">
        <v>120</v>
      </c>
      <c r="L163" s="71" t="s">
        <v>1807</v>
      </c>
      <c r="N163" s="82"/>
    </row>
    <row r="164" spans="1:14" s="71" customFormat="1" ht="30" customHeight="1" x14ac:dyDescent="0.25">
      <c r="A164" s="82">
        <v>190311</v>
      </c>
      <c r="B164" s="103">
        <v>148</v>
      </c>
      <c r="C164" s="82" t="s">
        <v>1808</v>
      </c>
      <c r="D164" s="103">
        <v>2</v>
      </c>
      <c r="E164" s="99">
        <v>348.26</v>
      </c>
      <c r="F164" s="99"/>
      <c r="G164" s="104">
        <f t="shared" si="19"/>
        <v>436796.4610175743</v>
      </c>
      <c r="H164" s="104">
        <f t="shared" ref="H164:H175" si="20">(G164*D164)</f>
        <v>873592.9220351486</v>
      </c>
      <c r="I164" s="71">
        <v>1136.25</v>
      </c>
      <c r="J164" s="928">
        <v>0</v>
      </c>
      <c r="K164" s="99">
        <v>380</v>
      </c>
      <c r="L164" s="1244" t="s">
        <v>1085</v>
      </c>
      <c r="N164" s="82"/>
    </row>
    <row r="165" spans="1:14" s="71" customFormat="1" ht="30" customHeight="1" x14ac:dyDescent="0.25">
      <c r="A165" s="82"/>
      <c r="B165" s="103">
        <v>148</v>
      </c>
      <c r="C165" s="82" t="s">
        <v>1809</v>
      </c>
      <c r="D165" s="103">
        <v>1</v>
      </c>
      <c r="E165" s="99">
        <v>394.7</v>
      </c>
      <c r="F165" s="99"/>
      <c r="G165" s="104">
        <f t="shared" si="19"/>
        <v>541607.48170841672</v>
      </c>
      <c r="H165" s="104">
        <f t="shared" si="20"/>
        <v>541607.48170841672</v>
      </c>
      <c r="I165" s="71">
        <v>1136.25</v>
      </c>
      <c r="J165" s="928">
        <v>0</v>
      </c>
      <c r="K165" s="99">
        <v>380</v>
      </c>
      <c r="L165" s="1241"/>
      <c r="N165" s="82"/>
    </row>
    <row r="166" spans="1:14" s="71" customFormat="1" ht="30" customHeight="1" x14ac:dyDescent="0.25">
      <c r="A166" s="82"/>
      <c r="B166" s="103">
        <v>148</v>
      </c>
      <c r="C166" s="82" t="s">
        <v>1810</v>
      </c>
      <c r="D166" s="103">
        <v>1</v>
      </c>
      <c r="E166" s="99">
        <v>394.7</v>
      </c>
      <c r="F166" s="99"/>
      <c r="G166" s="104">
        <f t="shared" si="19"/>
        <v>541607.48170841672</v>
      </c>
      <c r="H166" s="104">
        <f t="shared" si="20"/>
        <v>541607.48170841672</v>
      </c>
      <c r="I166" s="71">
        <v>1136.25</v>
      </c>
      <c r="J166" s="928">
        <v>0</v>
      </c>
      <c r="K166" s="99">
        <v>380</v>
      </c>
      <c r="L166" s="1241"/>
      <c r="N166" s="82"/>
    </row>
    <row r="167" spans="1:14" s="71" customFormat="1" ht="30" customHeight="1" x14ac:dyDescent="0.25">
      <c r="A167" s="82"/>
      <c r="B167" s="103">
        <v>148</v>
      </c>
      <c r="C167" s="82" t="s">
        <v>1811</v>
      </c>
      <c r="D167" s="103">
        <v>1</v>
      </c>
      <c r="E167" s="99">
        <v>441.13</v>
      </c>
      <c r="F167" s="99"/>
      <c r="G167" s="104">
        <f t="shared" si="19"/>
        <v>605318.74437809433</v>
      </c>
      <c r="H167" s="104">
        <f t="shared" si="20"/>
        <v>605318.74437809433</v>
      </c>
      <c r="I167" s="71">
        <v>1136.25</v>
      </c>
      <c r="J167" s="928">
        <v>0</v>
      </c>
      <c r="K167" s="99">
        <v>380</v>
      </c>
      <c r="L167" s="1241"/>
      <c r="N167" s="82"/>
    </row>
    <row r="168" spans="1:14" s="71" customFormat="1" ht="30" customHeight="1" x14ac:dyDescent="0.25">
      <c r="A168" s="82"/>
      <c r="B168" s="103">
        <v>148</v>
      </c>
      <c r="C168" s="82" t="s">
        <v>1812</v>
      </c>
      <c r="D168" s="103">
        <v>10</v>
      </c>
      <c r="E168" s="99">
        <v>3.52</v>
      </c>
      <c r="F168" s="99"/>
      <c r="G168" s="104">
        <f t="shared" si="19"/>
        <v>4082.654526377914</v>
      </c>
      <c r="H168" s="104">
        <f t="shared" si="20"/>
        <v>40826.545263779139</v>
      </c>
      <c r="I168" s="71">
        <v>1136.25</v>
      </c>
      <c r="J168" s="928">
        <v>0</v>
      </c>
      <c r="K168" s="99">
        <v>380</v>
      </c>
      <c r="L168" s="1241"/>
      <c r="N168" s="82"/>
    </row>
    <row r="169" spans="1:14" s="71" customFormat="1" ht="30" customHeight="1" x14ac:dyDescent="0.25">
      <c r="A169" s="82"/>
      <c r="B169" s="103">
        <v>148</v>
      </c>
      <c r="C169" s="82" t="s">
        <v>1813</v>
      </c>
      <c r="D169" s="103">
        <v>1</v>
      </c>
      <c r="E169" s="99">
        <v>101.03</v>
      </c>
      <c r="F169" s="99"/>
      <c r="G169" s="104">
        <f t="shared" si="19"/>
        <v>138633.40227261549</v>
      </c>
      <c r="H169" s="104">
        <f t="shared" si="20"/>
        <v>138633.40227261549</v>
      </c>
      <c r="I169" s="71">
        <v>1136.25</v>
      </c>
      <c r="J169" s="928">
        <v>0</v>
      </c>
      <c r="K169" s="99">
        <v>380</v>
      </c>
      <c r="L169" s="1241"/>
      <c r="N169" s="82"/>
    </row>
    <row r="170" spans="1:14" s="71" customFormat="1" ht="30" customHeight="1" x14ac:dyDescent="0.25">
      <c r="A170" s="82"/>
      <c r="B170" s="103">
        <v>148</v>
      </c>
      <c r="C170" s="82" t="s">
        <v>1818</v>
      </c>
      <c r="D170" s="103">
        <v>3</v>
      </c>
      <c r="E170" s="99">
        <v>13.93</v>
      </c>
      <c r="F170" s="99"/>
      <c r="G170" s="104">
        <f t="shared" si="19"/>
        <v>16923.558667087444</v>
      </c>
      <c r="H170" s="104">
        <f t="shared" si="20"/>
        <v>50770.676001262327</v>
      </c>
      <c r="I170" s="71">
        <v>1136.25</v>
      </c>
      <c r="J170" s="928">
        <v>0</v>
      </c>
      <c r="K170" s="99">
        <v>380</v>
      </c>
      <c r="L170" s="1241"/>
      <c r="N170" s="82"/>
    </row>
    <row r="171" spans="1:14" s="71" customFormat="1" ht="30" customHeight="1" x14ac:dyDescent="0.25">
      <c r="A171" s="82"/>
      <c r="B171" s="103">
        <v>148</v>
      </c>
      <c r="C171" s="82" t="s">
        <v>1814</v>
      </c>
      <c r="D171" s="103">
        <v>1</v>
      </c>
      <c r="E171" s="99">
        <v>78.94</v>
      </c>
      <c r="F171" s="99"/>
      <c r="G171" s="104">
        <f t="shared" si="19"/>
        <v>108321.49634168333</v>
      </c>
      <c r="H171" s="104">
        <f t="shared" si="20"/>
        <v>108321.49634168333</v>
      </c>
      <c r="I171" s="71">
        <v>1136.25</v>
      </c>
      <c r="J171" s="928">
        <v>0</v>
      </c>
      <c r="K171" s="99">
        <v>380</v>
      </c>
      <c r="L171" s="1241"/>
      <c r="N171" s="82"/>
    </row>
    <row r="172" spans="1:14" s="71" customFormat="1" ht="30" customHeight="1" x14ac:dyDescent="0.25">
      <c r="A172" s="82"/>
      <c r="B172" s="103">
        <v>148</v>
      </c>
      <c r="C172" s="82" t="s">
        <v>1815</v>
      </c>
      <c r="D172" s="103">
        <v>2</v>
      </c>
      <c r="E172" s="99">
        <v>15.78</v>
      </c>
      <c r="F172" s="99"/>
      <c r="G172" s="104">
        <f t="shared" si="19"/>
        <v>19791.673332732218</v>
      </c>
      <c r="H172" s="104">
        <f t="shared" si="20"/>
        <v>39583.346665464436</v>
      </c>
      <c r="I172" s="71">
        <v>1136.25</v>
      </c>
      <c r="J172" s="928">
        <v>0</v>
      </c>
      <c r="K172" s="99">
        <v>380</v>
      </c>
      <c r="L172" s="1241"/>
      <c r="N172" s="82"/>
    </row>
    <row r="173" spans="1:14" s="71" customFormat="1" ht="30" customHeight="1" x14ac:dyDescent="0.25">
      <c r="A173" s="82"/>
      <c r="B173" s="103">
        <v>148</v>
      </c>
      <c r="C173" s="82" t="s">
        <v>1816</v>
      </c>
      <c r="D173" s="103">
        <v>4</v>
      </c>
      <c r="E173" s="99">
        <v>22.83</v>
      </c>
      <c r="F173" s="99"/>
      <c r="G173" s="104">
        <f t="shared" si="19"/>
        <v>27287.274174153248</v>
      </c>
      <c r="H173" s="104">
        <f t="shared" si="20"/>
        <v>109149.09669661299</v>
      </c>
      <c r="I173" s="71">
        <v>1136.25</v>
      </c>
      <c r="J173" s="928">
        <v>0</v>
      </c>
      <c r="K173" s="99">
        <v>380</v>
      </c>
      <c r="L173" s="1241"/>
      <c r="N173" s="82"/>
    </row>
    <row r="174" spans="1:14" s="71" customFormat="1" ht="30" customHeight="1" x14ac:dyDescent="0.25">
      <c r="A174" s="82"/>
      <c r="B174" s="103">
        <v>148</v>
      </c>
      <c r="C174" s="82" t="s">
        <v>1817</v>
      </c>
      <c r="D174" s="103">
        <v>2</v>
      </c>
      <c r="E174" s="99">
        <v>7.98</v>
      </c>
      <c r="F174" s="99"/>
      <c r="G174" s="104">
        <f t="shared" si="19"/>
        <v>10008.716932522377</v>
      </c>
      <c r="H174" s="104">
        <f t="shared" si="20"/>
        <v>20017.433865044753</v>
      </c>
      <c r="I174" s="71">
        <v>1136.25</v>
      </c>
      <c r="J174" s="928">
        <v>0</v>
      </c>
      <c r="K174" s="99">
        <v>380</v>
      </c>
      <c r="L174" s="1243"/>
      <c r="N174" s="82"/>
    </row>
    <row r="175" spans="1:14" s="71" customFormat="1" ht="30" customHeight="1" x14ac:dyDescent="0.25">
      <c r="A175" s="82"/>
      <c r="B175" s="103">
        <v>148</v>
      </c>
      <c r="C175" s="82" t="s">
        <v>1819</v>
      </c>
      <c r="D175" s="103">
        <v>96</v>
      </c>
      <c r="E175" s="99">
        <v>7.14</v>
      </c>
      <c r="F175" s="99"/>
      <c r="G175" s="104">
        <f t="shared" si="19"/>
        <v>8130.3738079527193</v>
      </c>
      <c r="H175" s="104">
        <f t="shared" si="20"/>
        <v>780515.88556346111</v>
      </c>
      <c r="I175" s="71">
        <v>1136.25</v>
      </c>
      <c r="J175" s="928">
        <v>0</v>
      </c>
      <c r="K175" s="99">
        <v>380</v>
      </c>
      <c r="L175" s="71" t="s">
        <v>266</v>
      </c>
      <c r="N175" s="82"/>
    </row>
    <row r="176" spans="1:14" s="71" customFormat="1" ht="30" customHeight="1" x14ac:dyDescent="0.25">
      <c r="A176" s="82">
        <v>190325</v>
      </c>
      <c r="B176" s="103">
        <v>150</v>
      </c>
      <c r="C176" s="82" t="s">
        <v>1865</v>
      </c>
      <c r="D176" s="103">
        <v>1</v>
      </c>
      <c r="E176" s="99">
        <v>3948.44</v>
      </c>
      <c r="F176" s="99"/>
      <c r="G176" s="104">
        <f t="shared" si="19"/>
        <v>4697206.2664382961</v>
      </c>
      <c r="H176" s="104">
        <f t="shared" ref="H176:H185" si="21">(G176*D176)</f>
        <v>4697206.2664382961</v>
      </c>
      <c r="I176" s="71">
        <v>1142.31</v>
      </c>
      <c r="J176" s="928">
        <v>0</v>
      </c>
      <c r="K176" s="99">
        <v>320</v>
      </c>
      <c r="L176" s="71" t="s">
        <v>869</v>
      </c>
      <c r="N176" s="82"/>
    </row>
    <row r="177" spans="1:14" s="71" customFormat="1" ht="30" customHeight="1" x14ac:dyDescent="0.25">
      <c r="A177" s="82"/>
      <c r="B177" s="103">
        <v>150</v>
      </c>
      <c r="C177" s="82" t="s">
        <v>1866</v>
      </c>
      <c r="D177" s="103">
        <v>1</v>
      </c>
      <c r="E177" s="99">
        <v>3775.42</v>
      </c>
      <c r="F177" s="99"/>
      <c r="G177" s="104">
        <f t="shared" si="19"/>
        <v>4491375.4501617029</v>
      </c>
      <c r="H177" s="104">
        <f t="shared" si="21"/>
        <v>4491375.4501617029</v>
      </c>
      <c r="I177" s="71">
        <v>1142.31</v>
      </c>
      <c r="J177" s="928">
        <v>0</v>
      </c>
      <c r="K177" s="99">
        <v>320</v>
      </c>
      <c r="L177" s="71" t="s">
        <v>1671</v>
      </c>
      <c r="N177" s="82"/>
    </row>
    <row r="178" spans="1:14" s="71" customFormat="1" ht="30" customHeight="1" x14ac:dyDescent="0.25">
      <c r="A178" s="82">
        <v>190319</v>
      </c>
      <c r="B178" s="103">
        <v>151</v>
      </c>
      <c r="C178" s="82" t="s">
        <v>1867</v>
      </c>
      <c r="D178" s="103">
        <v>1</v>
      </c>
      <c r="E178" s="99">
        <v>3051.48</v>
      </c>
      <c r="F178" s="99"/>
      <c r="G178" s="104">
        <f t="shared" si="19"/>
        <v>3574341.8684937498</v>
      </c>
      <c r="H178" s="104">
        <f t="shared" si="21"/>
        <v>3574341.8684937498</v>
      </c>
      <c r="I178" s="71">
        <v>1143.21</v>
      </c>
      <c r="J178" s="928">
        <v>0</v>
      </c>
      <c r="K178" s="99">
        <v>180</v>
      </c>
      <c r="L178" s="71" t="s">
        <v>869</v>
      </c>
      <c r="N178" s="82"/>
    </row>
    <row r="179" spans="1:14" s="71" customFormat="1" ht="30" customHeight="1" x14ac:dyDescent="0.25">
      <c r="A179" s="82"/>
      <c r="B179" s="103">
        <v>151</v>
      </c>
      <c r="C179" s="82" t="s">
        <v>1868</v>
      </c>
      <c r="D179" s="103">
        <v>1</v>
      </c>
      <c r="E179" s="99">
        <v>4261.95</v>
      </c>
      <c r="F179" s="99"/>
      <c r="G179" s="104">
        <f t="shared" si="19"/>
        <v>4992222.241806251</v>
      </c>
      <c r="H179" s="104">
        <f t="shared" si="21"/>
        <v>4992222.241806251</v>
      </c>
      <c r="I179" s="71">
        <v>1143.21</v>
      </c>
      <c r="J179" s="928">
        <v>0</v>
      </c>
      <c r="K179" s="99">
        <v>180</v>
      </c>
      <c r="L179" s="71" t="s">
        <v>869</v>
      </c>
      <c r="N179" s="82"/>
    </row>
    <row r="180" spans="1:14" s="71" customFormat="1" ht="30" customHeight="1" x14ac:dyDescent="0.25">
      <c r="A180" s="82">
        <v>190426</v>
      </c>
      <c r="B180" s="103">
        <v>152</v>
      </c>
      <c r="C180" s="82" t="s">
        <v>1896</v>
      </c>
      <c r="D180" s="103">
        <v>1</v>
      </c>
      <c r="E180" s="99">
        <v>558</v>
      </c>
      <c r="F180" s="99"/>
      <c r="G180" s="104">
        <f t="shared" si="19"/>
        <v>761262.60990066733</v>
      </c>
      <c r="H180" s="104">
        <f t="shared" si="21"/>
        <v>761262.60990066733</v>
      </c>
      <c r="I180" s="71">
        <v>1150</v>
      </c>
      <c r="J180" s="928">
        <v>0</v>
      </c>
      <c r="K180" s="99">
        <v>160</v>
      </c>
      <c r="L180" s="71" t="s">
        <v>869</v>
      </c>
      <c r="N180" s="82"/>
    </row>
    <row r="181" spans="1:14" s="71" customFormat="1" ht="30" customHeight="1" x14ac:dyDescent="0.25">
      <c r="A181" s="82"/>
      <c r="B181" s="103">
        <v>152</v>
      </c>
      <c r="C181" s="82" t="s">
        <v>1897</v>
      </c>
      <c r="D181" s="103">
        <v>7</v>
      </c>
      <c r="E181" s="99">
        <v>181.76</v>
      </c>
      <c r="F181" s="99"/>
      <c r="G181" s="104">
        <f t="shared" si="19"/>
        <v>214587.6712687008</v>
      </c>
      <c r="H181" s="104">
        <f t="shared" si="21"/>
        <v>1502113.6988809055</v>
      </c>
      <c r="I181" s="71">
        <v>1150</v>
      </c>
      <c r="J181" s="928">
        <v>0</v>
      </c>
      <c r="K181" s="99">
        <v>160</v>
      </c>
      <c r="N181" s="82"/>
    </row>
    <row r="182" spans="1:14" s="71" customFormat="1" ht="30" customHeight="1" x14ac:dyDescent="0.25">
      <c r="A182" s="82"/>
      <c r="B182" s="103">
        <v>152</v>
      </c>
      <c r="C182" s="82" t="s">
        <v>682</v>
      </c>
      <c r="D182" s="103">
        <v>2</v>
      </c>
      <c r="E182" s="99">
        <v>118.97</v>
      </c>
      <c r="F182" s="99"/>
      <c r="G182" s="104">
        <f t="shared" si="19"/>
        <v>149561.3456092136</v>
      </c>
      <c r="H182" s="104">
        <f t="shared" si="21"/>
        <v>299122.69121842721</v>
      </c>
      <c r="I182" s="71">
        <v>1150</v>
      </c>
      <c r="J182" s="928">
        <v>0</v>
      </c>
      <c r="K182" s="1093">
        <v>160</v>
      </c>
      <c r="N182" s="82"/>
    </row>
    <row r="183" spans="1:14" s="71" customFormat="1" ht="30" customHeight="1" x14ac:dyDescent="0.25">
      <c r="A183" s="82">
        <v>190523</v>
      </c>
      <c r="B183" s="103">
        <v>153</v>
      </c>
      <c r="C183" s="82" t="s">
        <v>1899</v>
      </c>
      <c r="D183" s="103">
        <v>3</v>
      </c>
      <c r="E183" s="99">
        <v>116.34</v>
      </c>
      <c r="F183" s="99"/>
      <c r="G183" s="104">
        <f t="shared" si="19"/>
        <v>173291.38331092958</v>
      </c>
      <c r="H183" s="104">
        <f t="shared" si="21"/>
        <v>519874.14993278874</v>
      </c>
      <c r="I183" s="71">
        <v>1200</v>
      </c>
      <c r="J183" s="928">
        <v>0</v>
      </c>
      <c r="K183" s="1093">
        <v>140</v>
      </c>
      <c r="N183" s="82"/>
    </row>
    <row r="184" spans="1:14" s="71" customFormat="1" ht="30" customHeight="1" x14ac:dyDescent="0.25">
      <c r="A184" s="82"/>
      <c r="B184" s="103">
        <v>153</v>
      </c>
      <c r="C184" s="82" t="s">
        <v>1900</v>
      </c>
      <c r="D184" s="103">
        <v>8</v>
      </c>
      <c r="E184" s="99">
        <v>77.08</v>
      </c>
      <c r="F184" s="99"/>
      <c r="G184" s="104">
        <f t="shared" si="19"/>
        <v>100864.7312584014</v>
      </c>
      <c r="H184" s="104">
        <f t="shared" si="21"/>
        <v>806917.8500672112</v>
      </c>
      <c r="I184" s="71">
        <v>1200</v>
      </c>
      <c r="J184" s="928">
        <v>0</v>
      </c>
      <c r="K184" s="1093">
        <v>140</v>
      </c>
      <c r="N184" s="82"/>
    </row>
    <row r="185" spans="1:14" s="71" customFormat="1" ht="30" customHeight="1" x14ac:dyDescent="0.25">
      <c r="A185" s="82">
        <v>190529</v>
      </c>
      <c r="B185" s="103">
        <v>154</v>
      </c>
      <c r="C185" s="82" t="s">
        <v>1670</v>
      </c>
      <c r="D185" s="103">
        <v>1</v>
      </c>
      <c r="E185" s="99">
        <v>5640.93</v>
      </c>
      <c r="F185" s="99"/>
      <c r="G185" s="104">
        <f t="shared" ref="G185:G216" si="22">(I185*E185)+(J185*(E185/SUMIF(B:B,B185,E:E)))/D185+((K185*I185)*(E185/SUMIF(B:B,B185,E:E)))/D185</f>
        <v>7303420.6500000004</v>
      </c>
      <c r="H185" s="104">
        <f t="shared" si="21"/>
        <v>7303420.6500000004</v>
      </c>
      <c r="I185" s="71">
        <v>1205</v>
      </c>
      <c r="J185" s="928">
        <v>0</v>
      </c>
      <c r="K185" s="1093">
        <v>420</v>
      </c>
      <c r="N185" s="82"/>
    </row>
    <row r="186" spans="1:14" s="71" customFormat="1" ht="30" customHeight="1" x14ac:dyDescent="0.25">
      <c r="A186" s="82">
        <v>190613</v>
      </c>
      <c r="B186" s="103">
        <v>155</v>
      </c>
      <c r="C186" s="82" t="s">
        <v>1542</v>
      </c>
      <c r="D186" s="103">
        <v>596</v>
      </c>
      <c r="E186" s="99">
        <v>8</v>
      </c>
      <c r="F186" s="99"/>
      <c r="G186" s="104">
        <f t="shared" si="22"/>
        <v>10007.453409125081</v>
      </c>
      <c r="H186" s="104">
        <f t="shared" ref="H186:H196" si="23">(G186*D186)</f>
        <v>5964442.2318385486</v>
      </c>
      <c r="I186" s="71">
        <v>1250</v>
      </c>
      <c r="J186" s="928">
        <v>0</v>
      </c>
      <c r="K186" s="1093">
        <v>580</v>
      </c>
      <c r="N186" s="82"/>
    </row>
    <row r="187" spans="1:14" s="71" customFormat="1" ht="30" customHeight="1" x14ac:dyDescent="0.25">
      <c r="A187" s="82"/>
      <c r="B187" s="103">
        <v>155</v>
      </c>
      <c r="C187" s="82" t="s">
        <v>1932</v>
      </c>
      <c r="D187" s="103">
        <v>6</v>
      </c>
      <c r="E187" s="99">
        <v>113.8</v>
      </c>
      <c r="F187" s="99"/>
      <c r="G187" s="104">
        <f t="shared" si="22"/>
        <v>152781.79131722386</v>
      </c>
      <c r="H187" s="104">
        <f t="shared" si="23"/>
        <v>916690.74790334317</v>
      </c>
      <c r="I187" s="71">
        <v>1250</v>
      </c>
      <c r="J187" s="928">
        <v>0</v>
      </c>
      <c r="K187" s="1093">
        <v>580</v>
      </c>
      <c r="N187" s="82"/>
    </row>
    <row r="188" spans="1:14" s="71" customFormat="1" ht="30" customHeight="1" x14ac:dyDescent="0.25">
      <c r="A188" s="82"/>
      <c r="B188" s="103">
        <v>155</v>
      </c>
      <c r="C188" s="82" t="s">
        <v>1933</v>
      </c>
      <c r="D188" s="103">
        <v>8</v>
      </c>
      <c r="E188" s="99">
        <v>181.76</v>
      </c>
      <c r="F188" s="99"/>
      <c r="G188" s="104">
        <f t="shared" si="22"/>
        <v>239815.9384214759</v>
      </c>
      <c r="H188" s="104">
        <f t="shared" si="23"/>
        <v>1918527.5073718072</v>
      </c>
      <c r="I188" s="71">
        <v>1250</v>
      </c>
      <c r="J188" s="928">
        <v>0</v>
      </c>
      <c r="K188" s="1093">
        <v>580</v>
      </c>
      <c r="N188" s="82"/>
    </row>
    <row r="189" spans="1:14" s="71" customFormat="1" ht="30" customHeight="1" x14ac:dyDescent="0.25">
      <c r="A189" s="82"/>
      <c r="B189" s="103">
        <v>155</v>
      </c>
      <c r="C189" s="82" t="s">
        <v>274</v>
      </c>
      <c r="D189" s="103">
        <v>10</v>
      </c>
      <c r="E189" s="99">
        <v>61.96</v>
      </c>
      <c r="F189" s="99"/>
      <c r="G189" s="104">
        <f t="shared" si="22"/>
        <v>80890.508558955305</v>
      </c>
      <c r="H189" s="104">
        <f t="shared" si="23"/>
        <v>808905.085589553</v>
      </c>
      <c r="I189" s="71">
        <v>1250</v>
      </c>
      <c r="J189" s="928">
        <v>0</v>
      </c>
      <c r="K189" s="1093">
        <v>580</v>
      </c>
      <c r="N189" s="82"/>
    </row>
    <row r="190" spans="1:14" s="71" customFormat="1" ht="30" customHeight="1" x14ac:dyDescent="0.25">
      <c r="A190" s="82"/>
      <c r="B190" s="103">
        <v>155</v>
      </c>
      <c r="C190" s="82" t="s">
        <v>263</v>
      </c>
      <c r="D190" s="103">
        <v>36</v>
      </c>
      <c r="E190" s="99">
        <v>10.8</v>
      </c>
      <c r="F190" s="99"/>
      <c r="G190" s="104">
        <f t="shared" si="22"/>
        <v>13666.583693945544</v>
      </c>
      <c r="H190" s="104">
        <f t="shared" si="23"/>
        <v>491997.0129820396</v>
      </c>
      <c r="I190" s="71">
        <v>1250</v>
      </c>
      <c r="J190" s="928">
        <v>0</v>
      </c>
      <c r="K190" s="1093">
        <v>580</v>
      </c>
      <c r="N190" s="82"/>
    </row>
    <row r="191" spans="1:14" s="71" customFormat="1" ht="30" customHeight="1" x14ac:dyDescent="0.25">
      <c r="A191" s="82"/>
      <c r="B191" s="103">
        <v>155</v>
      </c>
      <c r="C191" s="82" t="s">
        <v>1934</v>
      </c>
      <c r="D191" s="103">
        <v>2</v>
      </c>
      <c r="E191" s="99">
        <v>362.25</v>
      </c>
      <c r="F191" s="99"/>
      <c r="G191" s="104">
        <f t="shared" si="22"/>
        <v>553387.40521962242</v>
      </c>
      <c r="H191" s="104">
        <f t="shared" si="23"/>
        <v>1106774.8104392448</v>
      </c>
      <c r="I191" s="71">
        <v>1250</v>
      </c>
      <c r="J191" s="928">
        <v>0</v>
      </c>
      <c r="K191" s="1093">
        <v>580</v>
      </c>
      <c r="N191" s="82"/>
    </row>
    <row r="192" spans="1:14" s="71" customFormat="1" ht="30" customHeight="1" x14ac:dyDescent="0.25">
      <c r="A192" s="82"/>
      <c r="B192" s="103">
        <v>155</v>
      </c>
      <c r="C192" s="82" t="s">
        <v>1935</v>
      </c>
      <c r="D192" s="103">
        <v>4</v>
      </c>
      <c r="E192" s="1093">
        <v>233.96</v>
      </c>
      <c r="F192" s="1093"/>
      <c r="G192" s="104">
        <f t="shared" si="22"/>
        <v>324928.26752958295</v>
      </c>
      <c r="H192" s="104">
        <f t="shared" si="23"/>
        <v>1299713.0701183318</v>
      </c>
      <c r="I192" s="71">
        <v>1250</v>
      </c>
      <c r="J192" s="928">
        <v>0</v>
      </c>
      <c r="K192" s="1093">
        <v>580</v>
      </c>
      <c r="N192" s="82"/>
    </row>
    <row r="193" spans="1:14" s="71" customFormat="1" ht="30" customHeight="1" x14ac:dyDescent="0.25">
      <c r="A193" s="82"/>
      <c r="B193" s="103">
        <v>155</v>
      </c>
      <c r="C193" s="82" t="s">
        <v>1936</v>
      </c>
      <c r="D193" s="103">
        <v>6</v>
      </c>
      <c r="E193" s="1093">
        <v>20.66</v>
      </c>
      <c r="F193" s="1093"/>
      <c r="G193" s="104">
        <f t="shared" si="22"/>
        <v>27737.010620508303</v>
      </c>
      <c r="H193" s="104">
        <f t="shared" si="23"/>
        <v>166422.06372304983</v>
      </c>
      <c r="I193" s="71">
        <v>1250</v>
      </c>
      <c r="J193" s="928">
        <v>0</v>
      </c>
      <c r="K193" s="1093">
        <v>580</v>
      </c>
      <c r="N193" s="82"/>
    </row>
    <row r="194" spans="1:14" s="71" customFormat="1" ht="28.35" customHeight="1" x14ac:dyDescent="0.25">
      <c r="A194" s="82"/>
      <c r="B194" s="103">
        <v>155</v>
      </c>
      <c r="C194" s="82" t="s">
        <v>1937</v>
      </c>
      <c r="D194" s="103">
        <v>28</v>
      </c>
      <c r="E194" s="99">
        <v>22.46</v>
      </c>
      <c r="F194" s="99"/>
      <c r="G194" s="104">
        <f t="shared" si="22"/>
        <v>28520.413067382968</v>
      </c>
      <c r="H194" s="104">
        <f t="shared" si="23"/>
        <v>798571.56588672311</v>
      </c>
      <c r="I194" s="71">
        <v>1250</v>
      </c>
      <c r="J194" s="928">
        <v>0</v>
      </c>
      <c r="K194" s="1093">
        <v>580</v>
      </c>
      <c r="N194" s="82"/>
    </row>
    <row r="195" spans="1:14" s="71" customFormat="1" ht="30" customHeight="1" x14ac:dyDescent="0.25">
      <c r="A195" s="82"/>
      <c r="B195" s="103">
        <v>155</v>
      </c>
      <c r="C195" s="82" t="s">
        <v>1938</v>
      </c>
      <c r="D195" s="103">
        <v>2</v>
      </c>
      <c r="E195" s="99">
        <v>290</v>
      </c>
      <c r="F195" s="99"/>
      <c r="G195" s="104">
        <f t="shared" si="22"/>
        <v>443015.45207367977</v>
      </c>
      <c r="H195" s="104">
        <f t="shared" si="23"/>
        <v>886030.90414735954</v>
      </c>
      <c r="I195" s="71">
        <v>1250</v>
      </c>
      <c r="J195" s="928">
        <v>0</v>
      </c>
      <c r="K195" s="1093">
        <v>580</v>
      </c>
      <c r="N195" s="82"/>
    </row>
    <row r="196" spans="1:14" s="71" customFormat="1" ht="30" customHeight="1" x14ac:dyDescent="0.25">
      <c r="A196" s="82">
        <v>190704</v>
      </c>
      <c r="B196" s="103">
        <v>156</v>
      </c>
      <c r="C196" s="82" t="s">
        <v>1939</v>
      </c>
      <c r="D196" s="103">
        <v>150</v>
      </c>
      <c r="E196" s="99">
        <v>37.770000000000003</v>
      </c>
      <c r="F196" s="99"/>
      <c r="G196" s="104">
        <f t="shared" si="22"/>
        <v>46414.596666666672</v>
      </c>
      <c r="H196" s="104">
        <f t="shared" si="23"/>
        <v>6962189.5000000009</v>
      </c>
      <c r="I196" s="71">
        <v>1189</v>
      </c>
      <c r="J196" s="928">
        <v>0</v>
      </c>
      <c r="K196" s="1093">
        <v>190</v>
      </c>
      <c r="N196" s="82"/>
    </row>
    <row r="197" spans="1:14" s="71" customFormat="1" ht="30" customHeight="1" x14ac:dyDescent="0.25">
      <c r="A197" s="82">
        <v>190801</v>
      </c>
      <c r="B197" s="103">
        <v>157</v>
      </c>
      <c r="C197" s="82" t="s">
        <v>2059</v>
      </c>
      <c r="D197" s="103">
        <v>1</v>
      </c>
      <c r="E197" s="99">
        <v>1888.84</v>
      </c>
      <c r="F197" s="99"/>
      <c r="G197" s="104">
        <f t="shared" si="22"/>
        <v>2458608</v>
      </c>
      <c r="H197" s="104">
        <f t="shared" ref="H197:H204" si="24">(G197*D197)</f>
        <v>2458608</v>
      </c>
      <c r="I197" s="71">
        <v>1200</v>
      </c>
      <c r="J197" s="928">
        <v>0</v>
      </c>
      <c r="K197" s="1093">
        <v>160</v>
      </c>
      <c r="N197" s="82"/>
    </row>
    <row r="198" spans="1:14" s="71" customFormat="1" ht="30" customHeight="1" x14ac:dyDescent="0.25">
      <c r="A198" s="82">
        <v>190715</v>
      </c>
      <c r="B198" s="103">
        <v>158</v>
      </c>
      <c r="C198" s="82" t="s">
        <v>1542</v>
      </c>
      <c r="D198" s="103">
        <v>200</v>
      </c>
      <c r="E198" s="99">
        <v>8</v>
      </c>
      <c r="F198" s="99"/>
      <c r="G198" s="104">
        <f t="shared" si="22"/>
        <v>10059.574468085106</v>
      </c>
      <c r="H198" s="104">
        <f t="shared" si="24"/>
        <v>2011914.8936170212</v>
      </c>
      <c r="I198" s="71">
        <v>1200</v>
      </c>
      <c r="J198" s="928">
        <v>0</v>
      </c>
      <c r="K198" s="1093">
        <v>180</v>
      </c>
      <c r="N198" s="82"/>
    </row>
    <row r="199" spans="1:14" s="71" customFormat="1" ht="30" customHeight="1" x14ac:dyDescent="0.25">
      <c r="A199" s="82"/>
      <c r="B199" s="103">
        <v>158</v>
      </c>
      <c r="C199" s="82" t="s">
        <v>263</v>
      </c>
      <c r="D199" s="103">
        <v>30</v>
      </c>
      <c r="E199" s="99">
        <v>10.8</v>
      </c>
      <c r="F199" s="99"/>
      <c r="G199" s="104">
        <f t="shared" si="22"/>
        <v>17096.170212765959</v>
      </c>
      <c r="H199" s="104">
        <f t="shared" si="24"/>
        <v>512885.10638297879</v>
      </c>
      <c r="I199" s="71">
        <v>1200</v>
      </c>
      <c r="J199" s="928">
        <v>0</v>
      </c>
      <c r="K199" s="1093">
        <v>180</v>
      </c>
      <c r="N199" s="82"/>
    </row>
    <row r="200" spans="1:14" s="71" customFormat="1" ht="30" customHeight="1" x14ac:dyDescent="0.25">
      <c r="A200" s="82">
        <v>190816</v>
      </c>
      <c r="B200" s="103">
        <v>159</v>
      </c>
      <c r="C200" s="82" t="s">
        <v>2060</v>
      </c>
      <c r="D200" s="103">
        <v>20</v>
      </c>
      <c r="E200" s="99">
        <v>56.44</v>
      </c>
      <c r="F200" s="99"/>
      <c r="G200" s="104">
        <f t="shared" si="22"/>
        <v>75660.345525291836</v>
      </c>
      <c r="H200" s="104">
        <f t="shared" si="24"/>
        <v>1513206.9105058368</v>
      </c>
      <c r="I200" s="71">
        <v>1188</v>
      </c>
      <c r="J200" s="928">
        <v>0</v>
      </c>
      <c r="K200" s="1093">
        <v>198</v>
      </c>
      <c r="N200" s="82"/>
    </row>
    <row r="201" spans="1:14" s="71" customFormat="1" ht="30" customHeight="1" x14ac:dyDescent="0.25">
      <c r="A201" s="82"/>
      <c r="B201" s="103">
        <v>159</v>
      </c>
      <c r="C201" s="82" t="s">
        <v>1936</v>
      </c>
      <c r="D201" s="103">
        <v>22</v>
      </c>
      <c r="E201" s="99">
        <v>20.66</v>
      </c>
      <c r="F201" s="99"/>
      <c r="G201" s="104">
        <f t="shared" si="22"/>
        <v>27409.147704280156</v>
      </c>
      <c r="H201" s="104">
        <f t="shared" si="24"/>
        <v>603001.24949416344</v>
      </c>
      <c r="I201" s="71">
        <v>1188</v>
      </c>
      <c r="J201" s="928">
        <v>0</v>
      </c>
      <c r="K201" s="1093">
        <v>198</v>
      </c>
      <c r="N201" s="82"/>
    </row>
    <row r="202" spans="1:14" s="71" customFormat="1" ht="30" customHeight="1" x14ac:dyDescent="0.25">
      <c r="A202" s="82">
        <v>190826</v>
      </c>
      <c r="B202" s="103">
        <v>160</v>
      </c>
      <c r="C202" s="82" t="s">
        <v>264</v>
      </c>
      <c r="D202" s="103">
        <v>8</v>
      </c>
      <c r="E202" s="99">
        <v>127.62</v>
      </c>
      <c r="F202" s="99"/>
      <c r="G202" s="104">
        <f t="shared" si="22"/>
        <v>160804.02831814825</v>
      </c>
      <c r="H202" s="104">
        <f t="shared" si="24"/>
        <v>1286432.226545186</v>
      </c>
      <c r="I202" s="71">
        <v>1200</v>
      </c>
      <c r="J202" s="928">
        <v>0</v>
      </c>
      <c r="K202" s="99">
        <v>130</v>
      </c>
      <c r="N202" s="82"/>
    </row>
    <row r="203" spans="1:14" s="71" customFormat="1" ht="30" customHeight="1" x14ac:dyDescent="0.25">
      <c r="A203" s="82"/>
      <c r="B203" s="103">
        <v>160</v>
      </c>
      <c r="C203" s="82" t="s">
        <v>2092</v>
      </c>
      <c r="D203" s="103">
        <v>4</v>
      </c>
      <c r="E203" s="99">
        <v>197.26</v>
      </c>
      <c r="F203" s="99"/>
      <c r="G203" s="104">
        <f t="shared" si="22"/>
        <v>260391.94336370353</v>
      </c>
      <c r="H203" s="104">
        <f t="shared" si="24"/>
        <v>1041567.7734548141</v>
      </c>
      <c r="I203" s="71">
        <v>1200</v>
      </c>
      <c r="J203" s="928">
        <v>0</v>
      </c>
      <c r="K203" s="99">
        <v>130</v>
      </c>
      <c r="L203" s="71" t="s">
        <v>3208</v>
      </c>
      <c r="N203" s="82"/>
    </row>
    <row r="204" spans="1:14" s="71" customFormat="1" ht="30" customHeight="1" x14ac:dyDescent="0.25">
      <c r="A204" s="82">
        <v>190910</v>
      </c>
      <c r="B204" s="103">
        <v>161</v>
      </c>
      <c r="C204" s="82" t="s">
        <v>1407</v>
      </c>
      <c r="D204" s="103">
        <v>3</v>
      </c>
      <c r="E204" s="99">
        <v>324.62</v>
      </c>
      <c r="F204" s="99"/>
      <c r="G204" s="104">
        <f t="shared" si="22"/>
        <v>326929.6333333333</v>
      </c>
      <c r="H204" s="104">
        <f t="shared" si="24"/>
        <v>980788.89999999991</v>
      </c>
      <c r="I204" s="71">
        <v>865</v>
      </c>
      <c r="J204" s="928">
        <v>0</v>
      </c>
      <c r="K204" s="99">
        <v>160</v>
      </c>
      <c r="N204" s="82"/>
    </row>
    <row r="205" spans="1:14" s="71" customFormat="1" ht="30" customHeight="1" x14ac:dyDescent="0.25">
      <c r="A205" s="82">
        <v>191007</v>
      </c>
      <c r="B205" s="103">
        <v>162</v>
      </c>
      <c r="C205" s="82" t="s">
        <v>2176</v>
      </c>
      <c r="D205" s="103">
        <v>12</v>
      </c>
      <c r="E205" s="1093">
        <v>34.93</v>
      </c>
      <c r="F205" s="1093"/>
      <c r="G205" s="104">
        <f t="shared" si="22"/>
        <v>37276.6</v>
      </c>
      <c r="H205" s="104">
        <f>(G205*D205)</f>
        <v>447319.19999999995</v>
      </c>
      <c r="I205" s="71">
        <v>870</v>
      </c>
      <c r="J205" s="928">
        <v>0</v>
      </c>
      <c r="K205" s="99">
        <v>95</v>
      </c>
      <c r="N205" s="82"/>
    </row>
    <row r="206" spans="1:14" s="71" customFormat="1" ht="30" customHeight="1" x14ac:dyDescent="0.25">
      <c r="A206" s="82">
        <v>191029</v>
      </c>
      <c r="B206" s="103">
        <v>163</v>
      </c>
      <c r="C206" s="82" t="s">
        <v>1088</v>
      </c>
      <c r="D206" s="103">
        <v>10</v>
      </c>
      <c r="E206" s="1093">
        <v>46.3</v>
      </c>
      <c r="F206" s="1093"/>
      <c r="G206" s="104">
        <f t="shared" si="22"/>
        <v>45720</v>
      </c>
      <c r="H206" s="104">
        <f>(G206*D206)</f>
        <v>457200</v>
      </c>
      <c r="I206" s="71">
        <v>900</v>
      </c>
      <c r="J206" s="928">
        <v>0</v>
      </c>
      <c r="K206" s="99">
        <v>45</v>
      </c>
      <c r="N206" s="82"/>
    </row>
    <row r="207" spans="1:14" s="71" customFormat="1" ht="30" customHeight="1" x14ac:dyDescent="0.25">
      <c r="A207" s="82">
        <v>191202</v>
      </c>
      <c r="B207" s="103">
        <v>164</v>
      </c>
      <c r="C207" s="82" t="s">
        <v>2194</v>
      </c>
      <c r="D207" s="103">
        <v>2</v>
      </c>
      <c r="E207" s="99">
        <v>146.79</v>
      </c>
      <c r="F207" s="99"/>
      <c r="G207" s="104">
        <f t="shared" si="22"/>
        <v>137854.14499038178</v>
      </c>
      <c r="H207" s="104">
        <f>(G207*D207)</f>
        <v>275708.28998076357</v>
      </c>
      <c r="I207" s="71">
        <v>900</v>
      </c>
      <c r="J207" s="928">
        <v>0</v>
      </c>
      <c r="K207" s="1093">
        <v>80</v>
      </c>
      <c r="L207" s="1244" t="s">
        <v>276</v>
      </c>
      <c r="N207" s="82" t="s">
        <v>2242</v>
      </c>
    </row>
    <row r="208" spans="1:14" s="71" customFormat="1" ht="30" customHeight="1" x14ac:dyDescent="0.25">
      <c r="A208" s="82">
        <v>191202</v>
      </c>
      <c r="B208" s="103">
        <v>164</v>
      </c>
      <c r="C208" s="82" t="s">
        <v>1031</v>
      </c>
      <c r="D208" s="103">
        <v>1</v>
      </c>
      <c r="E208" s="99">
        <v>773.34</v>
      </c>
      <c r="F208" s="99"/>
      <c r="G208" s="104">
        <f t="shared" si="22"/>
        <v>756519.71001923643</v>
      </c>
      <c r="H208" s="104">
        <f>(G208*D208)</f>
        <v>756519.71001923643</v>
      </c>
      <c r="I208" s="71">
        <v>900</v>
      </c>
      <c r="J208" s="928">
        <v>0</v>
      </c>
      <c r="K208" s="1093">
        <v>80</v>
      </c>
      <c r="L208" s="1243"/>
      <c r="N208" s="82" t="s">
        <v>2195</v>
      </c>
    </row>
    <row r="209" spans="1:14" s="71" customFormat="1" ht="30" customHeight="1" x14ac:dyDescent="0.25">
      <c r="A209" s="82">
        <v>191204</v>
      </c>
      <c r="B209" s="103">
        <v>165</v>
      </c>
      <c r="C209" s="82" t="s">
        <v>275</v>
      </c>
      <c r="D209" s="103">
        <v>2</v>
      </c>
      <c r="E209" s="99">
        <v>370.66</v>
      </c>
      <c r="F209" s="99"/>
      <c r="G209" s="104">
        <f t="shared" si="22"/>
        <v>332651.22176005557</v>
      </c>
      <c r="H209" s="104">
        <f t="shared" ref="H209:H226" si="25">(G209*D209)</f>
        <v>665302.44352011115</v>
      </c>
      <c r="I209" s="71">
        <v>870</v>
      </c>
      <c r="J209" s="928"/>
      <c r="K209" s="1093">
        <v>240</v>
      </c>
      <c r="L209" s="1244" t="s">
        <v>1158</v>
      </c>
      <c r="N209" s="82"/>
    </row>
    <row r="210" spans="1:14" s="71" customFormat="1" ht="30" customHeight="1" x14ac:dyDescent="0.25">
      <c r="A210" s="82"/>
      <c r="B210" s="103">
        <v>165</v>
      </c>
      <c r="C210" s="82" t="s">
        <v>2232</v>
      </c>
      <c r="D210" s="103">
        <v>2</v>
      </c>
      <c r="E210" s="99">
        <v>463.34</v>
      </c>
      <c r="F210" s="99"/>
      <c r="G210" s="104">
        <f t="shared" si="22"/>
        <v>415827.4890473861</v>
      </c>
      <c r="H210" s="104">
        <f t="shared" si="25"/>
        <v>831654.9780947722</v>
      </c>
      <c r="I210" s="71">
        <v>870</v>
      </c>
      <c r="J210" s="928"/>
      <c r="K210" s="1093">
        <v>240</v>
      </c>
      <c r="L210" s="1241"/>
      <c r="N210" s="82"/>
    </row>
    <row r="211" spans="1:14" s="71" customFormat="1" ht="30" customHeight="1" x14ac:dyDescent="0.25">
      <c r="A211" s="82"/>
      <c r="B211" s="103">
        <v>165</v>
      </c>
      <c r="C211" s="82" t="s">
        <v>2233</v>
      </c>
      <c r="D211" s="103">
        <v>2</v>
      </c>
      <c r="E211" s="99">
        <v>221.48</v>
      </c>
      <c r="F211" s="99"/>
      <c r="G211" s="104">
        <f t="shared" si="22"/>
        <v>198768.66291322801</v>
      </c>
      <c r="H211" s="104">
        <f t="shared" si="25"/>
        <v>397537.32582645601</v>
      </c>
      <c r="I211" s="71">
        <v>870</v>
      </c>
      <c r="J211" s="928"/>
      <c r="K211" s="1093">
        <v>240</v>
      </c>
      <c r="L211" s="1241"/>
      <c r="N211" s="82"/>
    </row>
    <row r="212" spans="1:14" s="71" customFormat="1" ht="30" customHeight="1" x14ac:dyDescent="0.25">
      <c r="A212" s="82"/>
      <c r="B212" s="103">
        <v>165</v>
      </c>
      <c r="C212" s="82" t="s">
        <v>2234</v>
      </c>
      <c r="D212" s="103">
        <v>1</v>
      </c>
      <c r="E212" s="99">
        <v>283.52</v>
      </c>
      <c r="F212" s="99"/>
      <c r="G212" s="104">
        <f t="shared" si="22"/>
        <v>262231.32683003804</v>
      </c>
      <c r="H212" s="104">
        <f t="shared" si="25"/>
        <v>262231.32683003804</v>
      </c>
      <c r="I212" s="71">
        <v>870</v>
      </c>
      <c r="J212" s="928"/>
      <c r="K212" s="1093">
        <v>240</v>
      </c>
      <c r="L212" s="1241"/>
      <c r="N212" s="82"/>
    </row>
    <row r="213" spans="1:14" s="71" customFormat="1" ht="30" customHeight="1" x14ac:dyDescent="0.25">
      <c r="A213" s="82"/>
      <c r="B213" s="103">
        <v>165</v>
      </c>
      <c r="C213" s="82" t="s">
        <v>2235</v>
      </c>
      <c r="D213" s="103">
        <v>1</v>
      </c>
      <c r="E213" s="99">
        <v>265.8</v>
      </c>
      <c r="F213" s="99"/>
      <c r="G213" s="104">
        <f t="shared" si="22"/>
        <v>245841.86890316065</v>
      </c>
      <c r="H213" s="104">
        <f t="shared" si="25"/>
        <v>245841.86890316065</v>
      </c>
      <c r="I213" s="71">
        <v>870</v>
      </c>
      <c r="J213" s="928"/>
      <c r="K213" s="1093">
        <v>240</v>
      </c>
      <c r="L213" s="1241"/>
      <c r="N213" s="82"/>
    </row>
    <row r="214" spans="1:14" s="71" customFormat="1" ht="30" customHeight="1" x14ac:dyDescent="0.25">
      <c r="A214" s="82"/>
      <c r="B214" s="103">
        <v>165</v>
      </c>
      <c r="C214" s="82" t="s">
        <v>2236</v>
      </c>
      <c r="D214" s="103">
        <v>1</v>
      </c>
      <c r="E214" s="99">
        <v>76.400000000000006</v>
      </c>
      <c r="F214" s="99"/>
      <c r="G214" s="104">
        <f t="shared" si="22"/>
        <v>70663.351332586433</v>
      </c>
      <c r="H214" s="104">
        <f t="shared" si="25"/>
        <v>70663.351332586433</v>
      </c>
      <c r="I214" s="71">
        <v>870</v>
      </c>
      <c r="J214" s="928"/>
      <c r="K214" s="1093">
        <v>240</v>
      </c>
      <c r="L214" s="1243"/>
      <c r="N214" s="82"/>
    </row>
    <row r="215" spans="1:14" s="71" customFormat="1" ht="30" customHeight="1" x14ac:dyDescent="0.25">
      <c r="A215" s="82"/>
      <c r="B215" s="103">
        <v>165</v>
      </c>
      <c r="C215" s="82" t="s">
        <v>2236</v>
      </c>
      <c r="D215" s="103">
        <v>1</v>
      </c>
      <c r="E215" s="99">
        <v>76.400000000000006</v>
      </c>
      <c r="F215" s="99"/>
      <c r="G215" s="104">
        <f t="shared" si="22"/>
        <v>70663.351332586433</v>
      </c>
      <c r="H215" s="104">
        <f t="shared" si="25"/>
        <v>70663.351332586433</v>
      </c>
      <c r="I215" s="71">
        <v>870</v>
      </c>
      <c r="J215" s="928"/>
      <c r="K215" s="1093">
        <v>240</v>
      </c>
      <c r="L215" s="1244" t="s">
        <v>2239</v>
      </c>
      <c r="N215" s="82"/>
    </row>
    <row r="216" spans="1:14" s="71" customFormat="1" ht="30" customHeight="1" x14ac:dyDescent="0.25">
      <c r="A216" s="82"/>
      <c r="B216" s="103">
        <v>165</v>
      </c>
      <c r="C216" s="82" t="s">
        <v>2235</v>
      </c>
      <c r="D216" s="103">
        <v>1</v>
      </c>
      <c r="E216" s="99">
        <v>265.8</v>
      </c>
      <c r="F216" s="99"/>
      <c r="G216" s="104">
        <f t="shared" si="22"/>
        <v>245841.86890316065</v>
      </c>
      <c r="H216" s="104">
        <f t="shared" si="25"/>
        <v>245841.86890316065</v>
      </c>
      <c r="I216" s="71">
        <v>870</v>
      </c>
      <c r="J216" s="928"/>
      <c r="K216" s="1093">
        <v>240</v>
      </c>
      <c r="L216" s="1243"/>
      <c r="N216" s="82"/>
    </row>
    <row r="217" spans="1:14" s="71" customFormat="1" ht="30" customHeight="1" x14ac:dyDescent="0.25">
      <c r="A217" s="82"/>
      <c r="B217" s="103">
        <v>165</v>
      </c>
      <c r="C217" s="82" t="s">
        <v>1899</v>
      </c>
      <c r="D217" s="103">
        <v>3</v>
      </c>
      <c r="E217" s="99">
        <v>161.72999999999999</v>
      </c>
      <c r="F217" s="99"/>
      <c r="G217" s="104">
        <f t="shared" ref="G217:G249" si="26">(I217*E217)+(J217*(E217/SUMIF(B:B,B217,E:E)))/D217+((K217*I217)*(E217/SUMIF(B:B,B217,E:E)))/D217</f>
        <v>143665.45851230016</v>
      </c>
      <c r="H217" s="104">
        <f t="shared" si="25"/>
        <v>430996.37553690048</v>
      </c>
      <c r="I217" s="71">
        <v>870</v>
      </c>
      <c r="J217" s="928"/>
      <c r="K217" s="1093">
        <v>240</v>
      </c>
      <c r="L217" s="1244" t="s">
        <v>659</v>
      </c>
      <c r="N217" s="82"/>
    </row>
    <row r="218" spans="1:14" s="71" customFormat="1" ht="30" customHeight="1" x14ac:dyDescent="0.25">
      <c r="A218" s="82"/>
      <c r="B218" s="103">
        <v>165</v>
      </c>
      <c r="C218" s="82" t="s">
        <v>2237</v>
      </c>
      <c r="D218" s="103">
        <v>3</v>
      </c>
      <c r="E218" s="1093">
        <v>177.57</v>
      </c>
      <c r="F218" s="1093"/>
      <c r="G218" s="104">
        <f t="shared" si="26"/>
        <v>157736.19902324333</v>
      </c>
      <c r="H218" s="104">
        <f t="shared" si="25"/>
        <v>473208.59706972999</v>
      </c>
      <c r="I218" s="71">
        <v>870</v>
      </c>
      <c r="J218" s="928"/>
      <c r="K218" s="1093">
        <v>240</v>
      </c>
      <c r="L218" s="1241"/>
      <c r="N218" s="82"/>
    </row>
    <row r="219" spans="1:14" s="71" customFormat="1" ht="30" customHeight="1" x14ac:dyDescent="0.25">
      <c r="A219" s="82"/>
      <c r="B219" s="103">
        <v>165</v>
      </c>
      <c r="C219" s="82" t="s">
        <v>1933</v>
      </c>
      <c r="D219" s="103">
        <v>3</v>
      </c>
      <c r="E219" s="1093">
        <v>339.76</v>
      </c>
      <c r="F219" s="1093"/>
      <c r="G219" s="104">
        <f t="shared" si="26"/>
        <v>301810.27752512903</v>
      </c>
      <c r="H219" s="104">
        <f t="shared" si="25"/>
        <v>905430.83257538709</v>
      </c>
      <c r="I219" s="71">
        <v>870</v>
      </c>
      <c r="J219" s="928"/>
      <c r="K219" s="1093">
        <v>240</v>
      </c>
      <c r="L219" s="1243"/>
      <c r="N219" s="82"/>
    </row>
    <row r="220" spans="1:14" s="71" customFormat="1" ht="30" customHeight="1" x14ac:dyDescent="0.25">
      <c r="A220" s="82"/>
      <c r="B220" s="103">
        <v>165</v>
      </c>
      <c r="C220" s="82" t="s">
        <v>263</v>
      </c>
      <c r="D220" s="103">
        <v>20</v>
      </c>
      <c r="E220" s="99">
        <v>14.67</v>
      </c>
      <c r="F220" s="99"/>
      <c r="G220" s="104">
        <f t="shared" si="26"/>
        <v>12803.178667571363</v>
      </c>
      <c r="H220" s="104">
        <f t="shared" si="25"/>
        <v>256063.57335142727</v>
      </c>
      <c r="I220" s="71">
        <v>870</v>
      </c>
      <c r="J220" s="928"/>
      <c r="K220" s="1093">
        <v>240</v>
      </c>
      <c r="L220" s="71" t="s">
        <v>2241</v>
      </c>
      <c r="N220" s="82"/>
    </row>
    <row r="221" spans="1:14" s="71" customFormat="1" ht="30" customHeight="1" x14ac:dyDescent="0.25">
      <c r="A221" s="82"/>
      <c r="B221" s="103">
        <v>165</v>
      </c>
      <c r="C221" s="82" t="s">
        <v>1899</v>
      </c>
      <c r="D221" s="103">
        <v>3</v>
      </c>
      <c r="E221" s="99">
        <v>161.72999999999999</v>
      </c>
      <c r="F221" s="99"/>
      <c r="G221" s="104">
        <f t="shared" si="26"/>
        <v>143665.45851230016</v>
      </c>
      <c r="H221" s="104">
        <f t="shared" si="25"/>
        <v>430996.37553690048</v>
      </c>
      <c r="I221" s="71">
        <v>870</v>
      </c>
      <c r="J221" s="928"/>
      <c r="K221" s="1093">
        <v>240</v>
      </c>
      <c r="L221" s="1244" t="s">
        <v>2240</v>
      </c>
      <c r="N221" s="82"/>
    </row>
    <row r="222" spans="1:14" s="71" customFormat="1" ht="30" customHeight="1" x14ac:dyDescent="0.25">
      <c r="A222" s="82"/>
      <c r="B222" s="103">
        <v>165</v>
      </c>
      <c r="C222" s="82" t="s">
        <v>2238</v>
      </c>
      <c r="D222" s="103">
        <v>1</v>
      </c>
      <c r="E222" s="99">
        <v>336.6</v>
      </c>
      <c r="F222" s="99"/>
      <c r="G222" s="104">
        <f t="shared" si="26"/>
        <v>311325.70757262554</v>
      </c>
      <c r="H222" s="104">
        <f t="shared" si="25"/>
        <v>311325.70757262554</v>
      </c>
      <c r="I222" s="71">
        <v>870</v>
      </c>
      <c r="J222" s="928"/>
      <c r="K222" s="1093">
        <v>240</v>
      </c>
      <c r="L222" s="1241"/>
      <c r="N222" s="82"/>
    </row>
    <row r="223" spans="1:14" s="71" customFormat="1" ht="30" customHeight="1" x14ac:dyDescent="0.25">
      <c r="A223" s="82"/>
      <c r="B223" s="103">
        <v>165</v>
      </c>
      <c r="C223" s="82" t="s">
        <v>1765</v>
      </c>
      <c r="D223" s="103">
        <v>2</v>
      </c>
      <c r="E223" s="99">
        <v>586.91999999999996</v>
      </c>
      <c r="F223" s="99"/>
      <c r="G223" s="104">
        <f t="shared" si="26"/>
        <v>526735.16180707864</v>
      </c>
      <c r="H223" s="104">
        <f t="shared" si="25"/>
        <v>1053470.3236141573</v>
      </c>
      <c r="I223" s="71">
        <v>870</v>
      </c>
      <c r="J223" s="928"/>
      <c r="K223" s="1093">
        <v>240</v>
      </c>
      <c r="L223" s="1243"/>
      <c r="N223" s="82"/>
    </row>
    <row r="224" spans="1:14" s="71" customFormat="1" ht="30" customHeight="1" x14ac:dyDescent="0.25">
      <c r="A224" s="82">
        <v>191210</v>
      </c>
      <c r="B224" s="103">
        <v>166</v>
      </c>
      <c r="C224" s="82" t="s">
        <v>2243</v>
      </c>
      <c r="D224" s="103">
        <v>12</v>
      </c>
      <c r="E224" s="99">
        <v>95.31</v>
      </c>
      <c r="F224" s="99"/>
      <c r="G224" s="104">
        <f t="shared" si="26"/>
        <v>87633.903684050936</v>
      </c>
      <c r="H224" s="104">
        <f t="shared" si="25"/>
        <v>1051606.8442086112</v>
      </c>
      <c r="I224" s="71">
        <v>870</v>
      </c>
      <c r="J224" s="928"/>
      <c r="K224" s="1093">
        <v>90</v>
      </c>
      <c r="N224" s="82"/>
    </row>
    <row r="225" spans="1:14" s="71" customFormat="1" ht="30" customHeight="1" x14ac:dyDescent="0.25">
      <c r="A225" s="82"/>
      <c r="B225" s="103">
        <v>166</v>
      </c>
      <c r="C225" s="82" t="s">
        <v>2244</v>
      </c>
      <c r="D225" s="103">
        <v>4</v>
      </c>
      <c r="E225" s="99">
        <v>36.61</v>
      </c>
      <c r="F225" s="99"/>
      <c r="G225" s="104">
        <f t="shared" si="26"/>
        <v>37283.08894784718</v>
      </c>
      <c r="H225" s="104">
        <f t="shared" si="25"/>
        <v>149132.35579138872</v>
      </c>
      <c r="I225" s="71">
        <v>870</v>
      </c>
      <c r="J225" s="928"/>
      <c r="K225" s="1093">
        <v>90</v>
      </c>
      <c r="N225" s="82"/>
    </row>
    <row r="226" spans="1:14" s="71" customFormat="1" ht="30" customHeight="1" x14ac:dyDescent="0.25">
      <c r="A226" s="82">
        <v>200115</v>
      </c>
      <c r="B226" s="103">
        <v>167</v>
      </c>
      <c r="C226" s="82" t="s">
        <v>2287</v>
      </c>
      <c r="D226" s="103">
        <v>100</v>
      </c>
      <c r="E226" s="99">
        <v>6.5</v>
      </c>
      <c r="F226" s="99"/>
      <c r="G226" s="104">
        <f t="shared" si="26"/>
        <v>5906.0208143144055</v>
      </c>
      <c r="H226" s="104">
        <f t="shared" si="25"/>
        <v>590602.08143144054</v>
      </c>
      <c r="I226" s="71">
        <v>872</v>
      </c>
      <c r="J226" s="928"/>
      <c r="K226" s="1093">
        <v>230</v>
      </c>
      <c r="L226" s="71" t="s">
        <v>267</v>
      </c>
      <c r="N226" s="82"/>
    </row>
    <row r="227" spans="1:14" s="71" customFormat="1" ht="30" customHeight="1" x14ac:dyDescent="0.25">
      <c r="A227" s="82"/>
      <c r="B227" s="103">
        <v>167</v>
      </c>
      <c r="C227" s="82" t="s">
        <v>1308</v>
      </c>
      <c r="D227" s="103">
        <v>200</v>
      </c>
      <c r="E227" s="99">
        <v>11</v>
      </c>
      <c r="F227" s="99"/>
      <c r="G227" s="104">
        <f t="shared" si="26"/>
        <v>9793.4022274968047</v>
      </c>
      <c r="H227" s="104">
        <f t="shared" ref="H227:H232" si="27">(G227*D227)</f>
        <v>1958680.445499361</v>
      </c>
      <c r="I227" s="71">
        <v>872</v>
      </c>
      <c r="J227" s="928"/>
      <c r="K227" s="1093">
        <v>230</v>
      </c>
      <c r="N227" s="82"/>
    </row>
    <row r="228" spans="1:14" s="71" customFormat="1" ht="30" customHeight="1" x14ac:dyDescent="0.25">
      <c r="A228" s="82"/>
      <c r="B228" s="103">
        <v>167</v>
      </c>
      <c r="C228" s="82" t="s">
        <v>871</v>
      </c>
      <c r="D228" s="103">
        <v>10</v>
      </c>
      <c r="E228" s="99">
        <v>37.270000000000003</v>
      </c>
      <c r="F228" s="99"/>
      <c r="G228" s="104">
        <f t="shared" si="26"/>
        <v>46147.187306919848</v>
      </c>
      <c r="H228" s="104">
        <f t="shared" si="27"/>
        <v>461471.87306919845</v>
      </c>
      <c r="I228" s="71">
        <v>872</v>
      </c>
      <c r="J228" s="928"/>
      <c r="K228" s="99">
        <v>230</v>
      </c>
      <c r="L228" s="71" t="s">
        <v>2241</v>
      </c>
      <c r="N228" s="82"/>
    </row>
    <row r="229" spans="1:14" s="71" customFormat="1" ht="30" customHeight="1" x14ac:dyDescent="0.25">
      <c r="A229" s="82">
        <v>191231</v>
      </c>
      <c r="B229" s="103">
        <v>168</v>
      </c>
      <c r="C229" s="82" t="s">
        <v>2288</v>
      </c>
      <c r="D229" s="103">
        <v>1</v>
      </c>
      <c r="E229" s="99">
        <v>4497.0200000000004</v>
      </c>
      <c r="F229" s="99"/>
      <c r="G229" s="104">
        <f t="shared" si="26"/>
        <v>4013714.7818929777</v>
      </c>
      <c r="H229" s="104">
        <f t="shared" si="27"/>
        <v>4013714.7818929777</v>
      </c>
      <c r="I229" s="71">
        <v>870</v>
      </c>
      <c r="J229" s="928"/>
      <c r="K229" s="99">
        <v>230</v>
      </c>
      <c r="L229" s="1244" t="s">
        <v>2290</v>
      </c>
      <c r="N229" s="82"/>
    </row>
    <row r="230" spans="1:14" s="71" customFormat="1" ht="30" customHeight="1" x14ac:dyDescent="0.25">
      <c r="A230" s="82"/>
      <c r="B230" s="103">
        <v>168</v>
      </c>
      <c r="C230" s="82" t="s">
        <v>2289</v>
      </c>
      <c r="D230" s="103">
        <v>1</v>
      </c>
      <c r="E230" s="99">
        <v>4385.3900000000003</v>
      </c>
      <c r="F230" s="99"/>
      <c r="G230" s="104">
        <f t="shared" si="26"/>
        <v>3914081.918107023</v>
      </c>
      <c r="H230" s="104">
        <f t="shared" si="27"/>
        <v>3914081.918107023</v>
      </c>
      <c r="I230" s="71">
        <v>870</v>
      </c>
      <c r="J230" s="928"/>
      <c r="K230" s="99">
        <v>230</v>
      </c>
      <c r="L230" s="1243"/>
      <c r="N230" s="82"/>
    </row>
    <row r="231" spans="1:14" s="71" customFormat="1" ht="30" customHeight="1" x14ac:dyDescent="0.25">
      <c r="A231" s="82">
        <v>200128</v>
      </c>
      <c r="B231" s="103">
        <v>169</v>
      </c>
      <c r="C231" s="82" t="s">
        <v>2293</v>
      </c>
      <c r="D231" s="103">
        <v>4</v>
      </c>
      <c r="E231" s="1093">
        <v>341.57</v>
      </c>
      <c r="F231" s="1093"/>
      <c r="G231" s="104">
        <f t="shared" si="26"/>
        <v>302272.45748973242</v>
      </c>
      <c r="H231" s="104">
        <f t="shared" si="27"/>
        <v>1209089.8299589297</v>
      </c>
      <c r="I231" s="71">
        <v>870</v>
      </c>
      <c r="J231" s="928"/>
      <c r="K231" s="99">
        <v>320</v>
      </c>
      <c r="N231" s="82"/>
    </row>
    <row r="232" spans="1:14" s="71" customFormat="1" ht="30" customHeight="1" x14ac:dyDescent="0.25">
      <c r="A232" s="82"/>
      <c r="B232" s="103">
        <v>169</v>
      </c>
      <c r="C232" s="82" t="s">
        <v>2289</v>
      </c>
      <c r="D232" s="103">
        <v>2</v>
      </c>
      <c r="E232" s="1093">
        <v>4313.87</v>
      </c>
      <c r="F232" s="1093"/>
      <c r="G232" s="104">
        <f t="shared" si="26"/>
        <v>3882053.7850205349</v>
      </c>
      <c r="H232" s="104">
        <f t="shared" si="27"/>
        <v>7764107.5700410698</v>
      </c>
      <c r="I232" s="71">
        <v>870</v>
      </c>
      <c r="J232" s="928"/>
      <c r="K232" s="99">
        <v>320</v>
      </c>
      <c r="N232" s="82"/>
    </row>
    <row r="233" spans="1:14" s="71" customFormat="1" ht="30" customHeight="1" x14ac:dyDescent="0.25">
      <c r="A233" s="82">
        <v>200106</v>
      </c>
      <c r="B233" s="103">
        <v>170</v>
      </c>
      <c r="C233" s="82" t="s">
        <v>2327</v>
      </c>
      <c r="D233" s="103">
        <v>6</v>
      </c>
      <c r="E233" s="99">
        <v>14.97</v>
      </c>
      <c r="F233" s="99"/>
      <c r="G233" s="104">
        <f t="shared" si="26"/>
        <v>14024.723453155353</v>
      </c>
      <c r="H233" s="104">
        <f t="shared" ref="H233:H245" si="28">(G233*D233)</f>
        <v>84148.340718932115</v>
      </c>
      <c r="I233" s="71">
        <v>870</v>
      </c>
      <c r="J233" s="928"/>
      <c r="K233" s="99">
        <f>870+872.23</f>
        <v>1742.23</v>
      </c>
      <c r="N233" s="82"/>
    </row>
    <row r="234" spans="1:14" s="71" customFormat="1" ht="30" customHeight="1" x14ac:dyDescent="0.25">
      <c r="A234" s="82"/>
      <c r="B234" s="103">
        <v>170</v>
      </c>
      <c r="C234" s="82" t="s">
        <v>2328</v>
      </c>
      <c r="D234" s="103">
        <v>2</v>
      </c>
      <c r="E234" s="99">
        <v>2128.31</v>
      </c>
      <c r="F234" s="99"/>
      <c r="G234" s="104">
        <f t="shared" si="26"/>
        <v>2278495.9452074282</v>
      </c>
      <c r="H234" s="104">
        <f t="shared" si="28"/>
        <v>4556991.8904148564</v>
      </c>
      <c r="I234" s="71">
        <v>870</v>
      </c>
      <c r="J234" s="928"/>
      <c r="K234" s="99">
        <f>870+872.23</f>
        <v>1742.23</v>
      </c>
      <c r="N234" s="82"/>
    </row>
    <row r="235" spans="1:14" s="71" customFormat="1" ht="30" customHeight="1" x14ac:dyDescent="0.25">
      <c r="A235" s="82"/>
      <c r="B235" s="103">
        <v>170</v>
      </c>
      <c r="C235" s="82" t="s">
        <v>2330</v>
      </c>
      <c r="D235" s="103">
        <v>18</v>
      </c>
      <c r="E235" s="1093">
        <v>10.38</v>
      </c>
      <c r="F235" s="1093"/>
      <c r="G235" s="104">
        <f t="shared" si="26"/>
        <v>9261.9192483578845</v>
      </c>
      <c r="H235" s="104">
        <f t="shared" si="28"/>
        <v>166714.54647044191</v>
      </c>
      <c r="I235" s="71">
        <v>870</v>
      </c>
      <c r="J235" s="928"/>
      <c r="K235" s="99">
        <f>870+872.23</f>
        <v>1742.23</v>
      </c>
      <c r="N235" s="82"/>
    </row>
    <row r="236" spans="1:14" s="71" customFormat="1" ht="30" customHeight="1" x14ac:dyDescent="0.25">
      <c r="A236" s="82"/>
      <c r="B236" s="103">
        <v>170</v>
      </c>
      <c r="C236" s="82" t="s">
        <v>2329</v>
      </c>
      <c r="D236" s="103">
        <v>3</v>
      </c>
      <c r="E236" s="1093">
        <v>1625</v>
      </c>
      <c r="F236" s="1093"/>
      <c r="G236" s="104">
        <f t="shared" si="26"/>
        <v>1631029.6407985899</v>
      </c>
      <c r="H236" s="104">
        <f t="shared" si="28"/>
        <v>4893088.9223957695</v>
      </c>
      <c r="I236" s="71">
        <v>870</v>
      </c>
      <c r="J236" s="928"/>
      <c r="K236" s="99">
        <f>870+872.23</f>
        <v>1742.23</v>
      </c>
      <c r="N236" s="82"/>
    </row>
    <row r="237" spans="1:14" s="71" customFormat="1" ht="30" customHeight="1" x14ac:dyDescent="0.25">
      <c r="A237" s="82">
        <v>191120</v>
      </c>
      <c r="B237" s="103">
        <v>171</v>
      </c>
      <c r="C237" s="82" t="s">
        <v>2332</v>
      </c>
      <c r="D237" s="103">
        <v>1</v>
      </c>
      <c r="E237" s="99">
        <v>4457.22</v>
      </c>
      <c r="F237" s="99"/>
      <c r="G237" s="104">
        <f t="shared" si="26"/>
        <v>3982181.4000000004</v>
      </c>
      <c r="H237" s="104">
        <f t="shared" si="28"/>
        <v>3982181.4000000004</v>
      </c>
      <c r="I237" s="71">
        <v>870</v>
      </c>
      <c r="J237" s="928"/>
      <c r="K237" s="99">
        <v>120</v>
      </c>
      <c r="N237" s="82"/>
    </row>
    <row r="238" spans="1:14" s="71" customFormat="1" ht="30" customHeight="1" x14ac:dyDescent="0.25">
      <c r="A238" s="82">
        <v>191213</v>
      </c>
      <c r="B238" s="103">
        <v>172</v>
      </c>
      <c r="C238" s="82" t="s">
        <v>2333</v>
      </c>
      <c r="D238" s="103">
        <v>1</v>
      </c>
      <c r="E238" s="99">
        <v>4428.6000000000004</v>
      </c>
      <c r="F238" s="99"/>
      <c r="G238" s="104">
        <f t="shared" si="26"/>
        <v>3922383.9654944856</v>
      </c>
      <c r="H238" s="104">
        <f t="shared" si="28"/>
        <v>3922383.9654944856</v>
      </c>
      <c r="I238" s="71">
        <v>870</v>
      </c>
      <c r="J238" s="928"/>
      <c r="K238" s="99">
        <v>120</v>
      </c>
      <c r="N238" s="82"/>
    </row>
    <row r="239" spans="1:14" s="71" customFormat="1" ht="30" customHeight="1" x14ac:dyDescent="0.25">
      <c r="A239" s="82"/>
      <c r="B239" s="103">
        <v>172</v>
      </c>
      <c r="C239" s="82" t="s">
        <v>2334</v>
      </c>
      <c r="D239" s="103">
        <v>1</v>
      </c>
      <c r="E239" s="1093">
        <v>1015.42</v>
      </c>
      <c r="F239" s="1093"/>
      <c r="G239" s="104">
        <f t="shared" si="26"/>
        <v>899351.29075608763</v>
      </c>
      <c r="H239" s="104">
        <f t="shared" si="28"/>
        <v>899351.29075608763</v>
      </c>
      <c r="I239" s="71">
        <v>870</v>
      </c>
      <c r="J239" s="928"/>
      <c r="K239" s="99">
        <v>120</v>
      </c>
      <c r="N239" s="82"/>
    </row>
    <row r="240" spans="1:14" s="71" customFormat="1" ht="30" customHeight="1" x14ac:dyDescent="0.25">
      <c r="A240" s="82"/>
      <c r="B240" s="103">
        <v>172</v>
      </c>
      <c r="C240" s="82" t="s">
        <v>2335</v>
      </c>
      <c r="D240" s="103">
        <v>5</v>
      </c>
      <c r="E240" s="1093">
        <v>46.34</v>
      </c>
      <c r="F240" s="1093"/>
      <c r="G240" s="104">
        <f t="shared" si="26"/>
        <v>40461.250981394325</v>
      </c>
      <c r="H240" s="104">
        <f t="shared" si="28"/>
        <v>202306.25490697162</v>
      </c>
      <c r="I240" s="71">
        <v>870</v>
      </c>
      <c r="J240" s="928"/>
      <c r="K240" s="99">
        <v>120</v>
      </c>
      <c r="N240" s="82"/>
    </row>
    <row r="241" spans="1:14" s="71" customFormat="1" ht="30" customHeight="1" x14ac:dyDescent="0.25">
      <c r="A241" s="82"/>
      <c r="B241" s="103">
        <v>172</v>
      </c>
      <c r="C241" s="82" t="s">
        <v>2336</v>
      </c>
      <c r="D241" s="103">
        <v>1</v>
      </c>
      <c r="E241" s="99">
        <v>1161.9100000000001</v>
      </c>
      <c r="F241" s="99"/>
      <c r="G241" s="104">
        <f t="shared" si="26"/>
        <v>1029096.5888424553</v>
      </c>
      <c r="H241" s="104">
        <f t="shared" si="28"/>
        <v>1029096.5888424553</v>
      </c>
      <c r="I241" s="71">
        <v>870</v>
      </c>
      <c r="J241" s="928"/>
      <c r="K241" s="99">
        <v>120</v>
      </c>
      <c r="N241" s="82"/>
    </row>
    <row r="242" spans="1:14" s="71" customFormat="1" ht="30" customHeight="1" x14ac:dyDescent="0.25">
      <c r="A242" s="82">
        <v>200210</v>
      </c>
      <c r="B242" s="103">
        <v>173</v>
      </c>
      <c r="C242" s="82" t="s">
        <v>927</v>
      </c>
      <c r="D242" s="103">
        <v>2</v>
      </c>
      <c r="E242" s="99">
        <v>158.21</v>
      </c>
      <c r="F242" s="99"/>
      <c r="G242" s="104">
        <f t="shared" si="26"/>
        <v>209277.71416758228</v>
      </c>
      <c r="H242" s="104">
        <f t="shared" si="28"/>
        <v>418555.42833516456</v>
      </c>
      <c r="I242" s="71">
        <v>870</v>
      </c>
      <c r="J242" s="928"/>
      <c r="K242" s="99">
        <v>180</v>
      </c>
      <c r="N242" s="82"/>
    </row>
    <row r="243" spans="1:14" s="71" customFormat="1" ht="30" customHeight="1" x14ac:dyDescent="0.25">
      <c r="A243" s="82"/>
      <c r="B243" s="103">
        <v>173</v>
      </c>
      <c r="C243" s="82" t="s">
        <v>1182</v>
      </c>
      <c r="D243" s="103">
        <v>30</v>
      </c>
      <c r="E243" s="1093">
        <v>14.72</v>
      </c>
      <c r="F243" s="1093"/>
      <c r="G243" s="104">
        <f t="shared" si="26"/>
        <v>13250.732388827852</v>
      </c>
      <c r="H243" s="104">
        <f t="shared" si="28"/>
        <v>397521.97166483552</v>
      </c>
      <c r="I243" s="71">
        <v>870</v>
      </c>
      <c r="J243" s="928"/>
      <c r="K243" s="99">
        <v>180</v>
      </c>
      <c r="N243" s="82"/>
    </row>
    <row r="244" spans="1:14" s="71" customFormat="1" ht="30" customHeight="1" x14ac:dyDescent="0.25">
      <c r="A244" s="82">
        <v>200130</v>
      </c>
      <c r="B244" s="103">
        <v>174</v>
      </c>
      <c r="C244" s="82" t="s">
        <v>927</v>
      </c>
      <c r="D244" s="103">
        <v>3</v>
      </c>
      <c r="E244" s="1093">
        <v>173.7</v>
      </c>
      <c r="F244" s="1093"/>
      <c r="G244" s="104">
        <f t="shared" si="26"/>
        <v>197519</v>
      </c>
      <c r="H244" s="104">
        <f t="shared" si="28"/>
        <v>592557</v>
      </c>
      <c r="I244" s="71">
        <v>870</v>
      </c>
      <c r="J244" s="928"/>
      <c r="K244" s="99">
        <v>160</v>
      </c>
      <c r="N244" s="82"/>
    </row>
    <row r="245" spans="1:14" s="71" customFormat="1" ht="30" customHeight="1" x14ac:dyDescent="0.25">
      <c r="A245" s="82">
        <v>200202</v>
      </c>
      <c r="B245" s="103">
        <v>175</v>
      </c>
      <c r="C245" s="82" t="s">
        <v>2364</v>
      </c>
      <c r="D245" s="103">
        <v>1</v>
      </c>
      <c r="E245" s="1093">
        <v>2012.77</v>
      </c>
      <c r="F245" s="1093"/>
      <c r="G245" s="104">
        <f t="shared" si="26"/>
        <v>1909186.776545871</v>
      </c>
      <c r="H245" s="104">
        <f t="shared" si="28"/>
        <v>1909186.776545871</v>
      </c>
      <c r="I245" s="71">
        <v>880</v>
      </c>
      <c r="J245" s="928"/>
      <c r="K245" s="99">
        <v>185</v>
      </c>
      <c r="N245" s="82"/>
    </row>
    <row r="246" spans="1:14" s="71" customFormat="1" ht="30" customHeight="1" x14ac:dyDescent="0.25">
      <c r="A246" s="82"/>
      <c r="B246" s="103">
        <v>175</v>
      </c>
      <c r="C246" s="82" t="s">
        <v>2365</v>
      </c>
      <c r="D246" s="103">
        <v>1</v>
      </c>
      <c r="E246" s="1093">
        <v>256.95999999999998</v>
      </c>
      <c r="F246" s="1093"/>
      <c r="G246" s="104">
        <f t="shared" si="26"/>
        <v>243736.06229287348</v>
      </c>
      <c r="H246" s="104">
        <f t="shared" ref="H246:H258" si="29">(G246*D246)</f>
        <v>243736.06229287348</v>
      </c>
      <c r="I246" s="71">
        <v>880</v>
      </c>
      <c r="J246" s="928"/>
      <c r="K246" s="99">
        <v>185</v>
      </c>
      <c r="N246" s="82"/>
    </row>
    <row r="247" spans="1:14" s="71" customFormat="1" ht="30" customHeight="1" x14ac:dyDescent="0.25">
      <c r="A247" s="82"/>
      <c r="B247" s="103">
        <v>175</v>
      </c>
      <c r="C247" s="82" t="s">
        <v>2366</v>
      </c>
      <c r="D247" s="103">
        <v>1</v>
      </c>
      <c r="E247" s="1093">
        <v>102.73</v>
      </c>
      <c r="F247" s="1093"/>
      <c r="G247" s="104">
        <f t="shared" si="26"/>
        <v>97443.203920247892</v>
      </c>
      <c r="H247" s="104">
        <f t="shared" si="29"/>
        <v>97443.203920247892</v>
      </c>
      <c r="I247" s="71">
        <v>880</v>
      </c>
      <c r="J247" s="928"/>
      <c r="K247" s="99">
        <v>185</v>
      </c>
      <c r="N247" s="82"/>
    </row>
    <row r="248" spans="1:14" s="71" customFormat="1" ht="30" customHeight="1" x14ac:dyDescent="0.25">
      <c r="A248" s="82"/>
      <c r="B248" s="103">
        <v>175</v>
      </c>
      <c r="C248" s="82" t="s">
        <v>2327</v>
      </c>
      <c r="D248" s="103">
        <v>16</v>
      </c>
      <c r="E248" s="1093">
        <v>2.9</v>
      </c>
      <c r="F248" s="1093"/>
      <c r="G248" s="104">
        <f t="shared" si="26"/>
        <v>2564.4223275629797</v>
      </c>
      <c r="H248" s="104">
        <f t="shared" si="29"/>
        <v>41030.757241007675</v>
      </c>
      <c r="I248" s="71">
        <v>880</v>
      </c>
      <c r="J248" s="928"/>
      <c r="K248" s="99">
        <v>185</v>
      </c>
      <c r="N248" s="82"/>
    </row>
    <row r="249" spans="1:14" s="71" customFormat="1" ht="30" customHeight="1" x14ac:dyDescent="0.25">
      <c r="A249" s="82">
        <v>200325</v>
      </c>
      <c r="B249" s="103">
        <v>176</v>
      </c>
      <c r="C249" s="82" t="s">
        <v>2369</v>
      </c>
      <c r="D249" s="103">
        <v>7</v>
      </c>
      <c r="E249" s="1093">
        <v>499.2</v>
      </c>
      <c r="F249" s="1093"/>
      <c r="G249" s="104">
        <f t="shared" si="26"/>
        <v>462176</v>
      </c>
      <c r="H249" s="104">
        <f t="shared" si="29"/>
        <v>3235232</v>
      </c>
      <c r="I249" s="71">
        <v>880</v>
      </c>
      <c r="J249" s="928"/>
      <c r="K249" s="99">
        <v>182</v>
      </c>
      <c r="L249" s="71" t="s">
        <v>2370</v>
      </c>
      <c r="N249" s="82"/>
    </row>
    <row r="250" spans="1:14" s="71" customFormat="1" ht="30" customHeight="1" x14ac:dyDescent="0.25">
      <c r="A250" s="82">
        <v>200401</v>
      </c>
      <c r="B250" s="103">
        <v>177</v>
      </c>
      <c r="C250" s="82" t="s">
        <v>2391</v>
      </c>
      <c r="D250" s="103">
        <v>2</v>
      </c>
      <c r="E250" s="1093">
        <v>585.83000000000004</v>
      </c>
      <c r="F250" s="1093">
        <f t="shared" ref="F250:F315" si="30">E250*D250</f>
        <v>1171.6600000000001</v>
      </c>
      <c r="G250" s="104">
        <f t="shared" ref="G250:G313" si="31">(I250*E250)+(J250*(F250/SUMIF(B:B,B250,F:F)))/D250+((K250*I250)*(F250/SUMIF(B:B,B250,F:F)))/D250</f>
        <v>530826.75554081949</v>
      </c>
      <c r="H250" s="104">
        <f t="shared" si="29"/>
        <v>1061653.511081639</v>
      </c>
      <c r="I250" s="71">
        <v>880</v>
      </c>
      <c r="J250" s="928"/>
      <c r="K250" s="99">
        <v>630</v>
      </c>
      <c r="L250" s="71" t="s">
        <v>1807</v>
      </c>
      <c r="N250" s="82"/>
    </row>
    <row r="251" spans="1:14" s="71" customFormat="1" ht="30" customHeight="1" x14ac:dyDescent="0.25">
      <c r="A251" s="82"/>
      <c r="B251" s="103">
        <v>177</v>
      </c>
      <c r="C251" s="82" t="s">
        <v>2392</v>
      </c>
      <c r="D251" s="103">
        <v>10</v>
      </c>
      <c r="E251" s="1093">
        <v>73.91</v>
      </c>
      <c r="F251" s="1093">
        <f t="shared" si="30"/>
        <v>739.09999999999991</v>
      </c>
      <c r="G251" s="104">
        <f t="shared" si="31"/>
        <v>66970.632268784393</v>
      </c>
      <c r="H251" s="104">
        <f t="shared" si="29"/>
        <v>669706.32268784393</v>
      </c>
      <c r="I251" s="71">
        <v>880</v>
      </c>
      <c r="J251" s="928"/>
      <c r="K251" s="99">
        <v>630</v>
      </c>
      <c r="L251" s="71" t="s">
        <v>276</v>
      </c>
      <c r="N251" s="82"/>
    </row>
    <row r="252" spans="1:14" s="71" customFormat="1" ht="30" customHeight="1" x14ac:dyDescent="0.25">
      <c r="A252" s="82"/>
      <c r="B252" s="103">
        <v>177</v>
      </c>
      <c r="C252" s="82" t="s">
        <v>2393</v>
      </c>
      <c r="D252" s="103">
        <v>2</v>
      </c>
      <c r="E252" s="1093">
        <v>3142.59</v>
      </c>
      <c r="F252" s="1093">
        <f t="shared" si="30"/>
        <v>6285.18</v>
      </c>
      <c r="G252" s="104">
        <f t="shared" si="31"/>
        <v>2847534.0178806544</v>
      </c>
      <c r="H252" s="104">
        <f t="shared" si="29"/>
        <v>5695068.0357613089</v>
      </c>
      <c r="I252" s="71">
        <v>880</v>
      </c>
      <c r="J252" s="928"/>
      <c r="K252" s="99">
        <v>630</v>
      </c>
      <c r="L252" s="71" t="s">
        <v>276</v>
      </c>
      <c r="N252" s="82"/>
    </row>
    <row r="253" spans="1:14" s="71" customFormat="1" ht="30" customHeight="1" x14ac:dyDescent="0.25">
      <c r="A253" s="82"/>
      <c r="B253" s="103">
        <v>177</v>
      </c>
      <c r="C253" s="82" t="s">
        <v>2394</v>
      </c>
      <c r="D253" s="103">
        <v>2</v>
      </c>
      <c r="E253" s="1093">
        <v>525.72</v>
      </c>
      <c r="F253" s="1093">
        <f t="shared" si="30"/>
        <v>1051.44</v>
      </c>
      <c r="G253" s="104">
        <f t="shared" si="31"/>
        <v>476360.44914551935</v>
      </c>
      <c r="H253" s="104">
        <f t="shared" si="29"/>
        <v>952720.8982910387</v>
      </c>
      <c r="I253" s="71">
        <v>880</v>
      </c>
      <c r="J253" s="928"/>
      <c r="K253" s="99">
        <v>630</v>
      </c>
      <c r="L253" s="71" t="s">
        <v>659</v>
      </c>
      <c r="N253" s="82"/>
    </row>
    <row r="254" spans="1:14" s="71" customFormat="1" ht="30" customHeight="1" x14ac:dyDescent="0.25">
      <c r="A254" s="82"/>
      <c r="B254" s="103">
        <v>177</v>
      </c>
      <c r="C254" s="82" t="s">
        <v>1184</v>
      </c>
      <c r="D254" s="103">
        <v>8</v>
      </c>
      <c r="E254" s="1093">
        <v>230</v>
      </c>
      <c r="F254" s="1093">
        <f t="shared" si="30"/>
        <v>1840</v>
      </c>
      <c r="G254" s="104">
        <f t="shared" si="31"/>
        <v>208405.43122473836</v>
      </c>
      <c r="H254" s="104">
        <f t="shared" si="29"/>
        <v>1667243.4497979069</v>
      </c>
      <c r="I254" s="71">
        <v>880</v>
      </c>
      <c r="J254" s="928"/>
      <c r="K254" s="99">
        <v>630</v>
      </c>
      <c r="L254" s="71" t="s">
        <v>266</v>
      </c>
      <c r="N254" s="82"/>
    </row>
    <row r="255" spans="1:14" s="71" customFormat="1" ht="30" customHeight="1" x14ac:dyDescent="0.25">
      <c r="A255" s="82"/>
      <c r="B255" s="103">
        <v>177</v>
      </c>
      <c r="C255" s="82" t="s">
        <v>928</v>
      </c>
      <c r="D255" s="103">
        <v>32</v>
      </c>
      <c r="E255" s="1093">
        <v>2.9</v>
      </c>
      <c r="F255" s="1093">
        <f t="shared" si="30"/>
        <v>92.8</v>
      </c>
      <c r="G255" s="104">
        <f t="shared" si="31"/>
        <v>2627.7206545727881</v>
      </c>
      <c r="H255" s="104">
        <f t="shared" si="29"/>
        <v>84087.06094632922</v>
      </c>
      <c r="I255" s="71">
        <v>880</v>
      </c>
      <c r="J255" s="928"/>
      <c r="K255" s="99">
        <v>630</v>
      </c>
      <c r="L255" s="71" t="s">
        <v>266</v>
      </c>
      <c r="N255" s="82"/>
    </row>
    <row r="256" spans="1:14" s="71" customFormat="1" ht="30" customHeight="1" x14ac:dyDescent="0.25">
      <c r="A256" s="82"/>
      <c r="B256" s="103">
        <v>177</v>
      </c>
      <c r="C256" s="82" t="s">
        <v>2395</v>
      </c>
      <c r="D256" s="103">
        <v>4</v>
      </c>
      <c r="E256" s="1093">
        <v>2128.31</v>
      </c>
      <c r="F256" s="1093">
        <f t="shared" si="30"/>
        <v>8513.24</v>
      </c>
      <c r="G256" s="104">
        <f t="shared" si="31"/>
        <v>1928484.1883909691</v>
      </c>
      <c r="H256" s="104">
        <f t="shared" si="29"/>
        <v>7713936.7535638763</v>
      </c>
      <c r="I256" s="71">
        <v>880</v>
      </c>
      <c r="J256" s="928"/>
      <c r="K256" s="99">
        <v>630</v>
      </c>
      <c r="L256" s="71" t="s">
        <v>869</v>
      </c>
      <c r="N256" s="82"/>
    </row>
    <row r="257" spans="1:14" s="71" customFormat="1" ht="30" customHeight="1" x14ac:dyDescent="0.25">
      <c r="A257" s="82"/>
      <c r="B257" s="103">
        <v>177</v>
      </c>
      <c r="C257" s="82" t="s">
        <v>2396</v>
      </c>
      <c r="D257" s="103">
        <v>8</v>
      </c>
      <c r="E257" s="1093">
        <v>189.92</v>
      </c>
      <c r="F257" s="1093">
        <f t="shared" si="30"/>
        <v>1519.36</v>
      </c>
      <c r="G257" s="104">
        <f t="shared" si="31"/>
        <v>172088.51955740131</v>
      </c>
      <c r="H257" s="104">
        <f t="shared" si="29"/>
        <v>1376708.1564592104</v>
      </c>
      <c r="I257" s="71">
        <v>880</v>
      </c>
      <c r="J257" s="928"/>
      <c r="K257" s="99">
        <v>630</v>
      </c>
      <c r="L257" s="71" t="s">
        <v>1807</v>
      </c>
      <c r="N257" s="82"/>
    </row>
    <row r="258" spans="1:14" s="71" customFormat="1" ht="30" customHeight="1" x14ac:dyDescent="0.25">
      <c r="A258" s="82"/>
      <c r="B258" s="103">
        <v>177</v>
      </c>
      <c r="C258" s="82" t="s">
        <v>1031</v>
      </c>
      <c r="D258" s="103">
        <v>1</v>
      </c>
      <c r="E258" s="1093">
        <v>20</v>
      </c>
      <c r="F258" s="1093">
        <f t="shared" si="30"/>
        <v>20</v>
      </c>
      <c r="G258" s="104">
        <f t="shared" si="31"/>
        <v>18122.211410846812</v>
      </c>
      <c r="H258" s="104">
        <f t="shared" si="29"/>
        <v>18122.211410846812</v>
      </c>
      <c r="I258" s="71">
        <v>880</v>
      </c>
      <c r="J258" s="928"/>
      <c r="K258" s="99">
        <v>630</v>
      </c>
      <c r="L258" s="71" t="s">
        <v>276</v>
      </c>
      <c r="N258" s="82"/>
    </row>
    <row r="259" spans="1:14" s="71" customFormat="1" ht="30" customHeight="1" x14ac:dyDescent="0.25">
      <c r="A259" s="82">
        <v>200414</v>
      </c>
      <c r="B259" s="103">
        <v>178</v>
      </c>
      <c r="C259" s="82" t="s">
        <v>2412</v>
      </c>
      <c r="D259" s="103">
        <v>4</v>
      </c>
      <c r="E259" s="1093">
        <v>230.33</v>
      </c>
      <c r="F259" s="1093">
        <f t="shared" si="30"/>
        <v>921.32</v>
      </c>
      <c r="G259" s="104">
        <f t="shared" si="31"/>
        <v>222542.24582466928</v>
      </c>
      <c r="H259" s="104">
        <f t="shared" ref="H259:H268" si="32">(G259*D259)</f>
        <v>890168.98329867714</v>
      </c>
      <c r="I259" s="71">
        <v>880</v>
      </c>
      <c r="J259" s="928"/>
      <c r="K259" s="99">
        <v>130</v>
      </c>
      <c r="L259" s="71" t="s">
        <v>2413</v>
      </c>
      <c r="N259" s="82"/>
    </row>
    <row r="260" spans="1:14" s="71" customFormat="1" ht="30" customHeight="1" x14ac:dyDescent="0.25">
      <c r="A260" s="82"/>
      <c r="B260" s="103">
        <v>178</v>
      </c>
      <c r="C260" s="82" t="s">
        <v>1937</v>
      </c>
      <c r="D260" s="103">
        <v>14</v>
      </c>
      <c r="E260" s="1093">
        <v>29</v>
      </c>
      <c r="F260" s="1093">
        <f t="shared" si="30"/>
        <v>406</v>
      </c>
      <c r="G260" s="104">
        <f t="shared" si="31"/>
        <v>28019.472621523069</v>
      </c>
      <c r="H260" s="104">
        <f t="shared" si="32"/>
        <v>392272.61670132296</v>
      </c>
      <c r="I260" s="71">
        <v>880</v>
      </c>
      <c r="J260" s="928"/>
      <c r="K260" s="99">
        <v>130</v>
      </c>
      <c r="L260" s="71" t="s">
        <v>2413</v>
      </c>
      <c r="N260" s="82"/>
    </row>
    <row r="261" spans="1:14" s="71" customFormat="1" ht="30" customHeight="1" x14ac:dyDescent="0.25">
      <c r="A261" s="82">
        <v>200311</v>
      </c>
      <c r="B261" s="103">
        <v>179</v>
      </c>
      <c r="C261" s="82" t="s">
        <v>2414</v>
      </c>
      <c r="D261" s="103">
        <v>1</v>
      </c>
      <c r="E261" s="1093">
        <v>38458.19</v>
      </c>
      <c r="F261" s="1093">
        <f t="shared" si="30"/>
        <v>38458.19</v>
      </c>
      <c r="G261" s="104">
        <f t="shared" si="31"/>
        <v>34154559.200000003</v>
      </c>
      <c r="H261" s="104">
        <f t="shared" si="32"/>
        <v>34154559.200000003</v>
      </c>
      <c r="I261" s="71">
        <v>880</v>
      </c>
      <c r="J261" s="928">
        <v>311352</v>
      </c>
      <c r="K261" s="99"/>
      <c r="N261" s="82"/>
    </row>
    <row r="262" spans="1:14" s="71" customFormat="1" ht="30" customHeight="1" x14ac:dyDescent="0.25">
      <c r="A262" s="82">
        <v>200430</v>
      </c>
      <c r="B262" s="103">
        <v>180</v>
      </c>
      <c r="C262" s="82" t="s">
        <v>2441</v>
      </c>
      <c r="D262" s="103">
        <v>3</v>
      </c>
      <c r="E262" s="99">
        <v>94.94</v>
      </c>
      <c r="F262" s="99">
        <f t="shared" si="30"/>
        <v>284.82</v>
      </c>
      <c r="G262" s="104">
        <f t="shared" si="31"/>
        <v>110327.91519717204</v>
      </c>
      <c r="H262" s="104">
        <f t="shared" si="32"/>
        <v>330983.74559151614</v>
      </c>
      <c r="I262" s="71">
        <v>880</v>
      </c>
      <c r="J262" s="928"/>
      <c r="K262" s="99">
        <v>1148</v>
      </c>
      <c r="L262" s="71" t="s">
        <v>2241</v>
      </c>
      <c r="N262" s="82"/>
    </row>
    <row r="263" spans="1:14" s="71" customFormat="1" ht="30" customHeight="1" x14ac:dyDescent="0.25">
      <c r="A263" s="82"/>
      <c r="B263" s="103">
        <v>180</v>
      </c>
      <c r="C263" s="82" t="s">
        <v>2059</v>
      </c>
      <c r="D263" s="103">
        <v>1</v>
      </c>
      <c r="E263" s="99">
        <v>1335.38</v>
      </c>
      <c r="F263" s="99">
        <f t="shared" si="30"/>
        <v>1335.38</v>
      </c>
      <c r="G263" s="104">
        <f t="shared" si="31"/>
        <v>1551818.9529808261</v>
      </c>
      <c r="H263" s="104">
        <f t="shared" si="32"/>
        <v>1551818.9529808261</v>
      </c>
      <c r="I263" s="71">
        <v>880</v>
      </c>
      <c r="J263" s="928"/>
      <c r="K263" s="99">
        <v>1148</v>
      </c>
      <c r="L263" s="71" t="s">
        <v>1319</v>
      </c>
      <c r="N263" s="82"/>
    </row>
    <row r="264" spans="1:14" s="71" customFormat="1" ht="30" customHeight="1" x14ac:dyDescent="0.25">
      <c r="A264" s="82"/>
      <c r="B264" s="103">
        <v>180</v>
      </c>
      <c r="C264" s="82" t="s">
        <v>2442</v>
      </c>
      <c r="D264" s="103">
        <v>1</v>
      </c>
      <c r="E264" s="99">
        <v>553.52</v>
      </c>
      <c r="F264" s="99">
        <f t="shared" si="30"/>
        <v>553.52</v>
      </c>
      <c r="G264" s="104">
        <f t="shared" si="31"/>
        <v>643234.75479185453</v>
      </c>
      <c r="H264" s="104">
        <f t="shared" si="32"/>
        <v>643234.75479185453</v>
      </c>
      <c r="I264" s="71">
        <v>880</v>
      </c>
      <c r="J264" s="928"/>
      <c r="K264" s="99">
        <v>1148</v>
      </c>
      <c r="L264" s="71" t="s">
        <v>2241</v>
      </c>
      <c r="N264" s="82"/>
    </row>
    <row r="265" spans="1:14" s="71" customFormat="1" ht="30" customHeight="1" x14ac:dyDescent="0.25">
      <c r="A265" s="82"/>
      <c r="B265" s="103">
        <v>180</v>
      </c>
      <c r="C265" s="82" t="s">
        <v>2443</v>
      </c>
      <c r="D265" s="103">
        <v>30</v>
      </c>
      <c r="E265" s="1093">
        <v>10.32</v>
      </c>
      <c r="F265" s="1093">
        <f t="shared" si="30"/>
        <v>309.60000000000002</v>
      </c>
      <c r="G265" s="104">
        <f t="shared" si="31"/>
        <v>11992.66994770187</v>
      </c>
      <c r="H265" s="104">
        <f t="shared" si="32"/>
        <v>359780.09843105613</v>
      </c>
      <c r="I265" s="71">
        <v>880</v>
      </c>
      <c r="J265" s="928"/>
      <c r="K265" s="99">
        <v>1148</v>
      </c>
      <c r="L265" s="71" t="s">
        <v>266</v>
      </c>
      <c r="N265" s="82"/>
    </row>
    <row r="266" spans="1:14" s="71" customFormat="1" ht="30" customHeight="1" x14ac:dyDescent="0.25">
      <c r="A266" s="82"/>
      <c r="B266" s="103">
        <v>180</v>
      </c>
      <c r="C266" s="82" t="s">
        <v>2444</v>
      </c>
      <c r="D266" s="103">
        <v>1</v>
      </c>
      <c r="E266" s="1093">
        <v>551.32000000000005</v>
      </c>
      <c r="F266" s="1093">
        <f t="shared" si="30"/>
        <v>551.32000000000005</v>
      </c>
      <c r="G266" s="104">
        <f t="shared" si="31"/>
        <v>640678.17786501895</v>
      </c>
      <c r="H266" s="104">
        <f t="shared" si="32"/>
        <v>640678.17786501895</v>
      </c>
      <c r="I266" s="71">
        <v>880</v>
      </c>
      <c r="J266" s="928"/>
      <c r="K266" s="99">
        <v>1148</v>
      </c>
      <c r="L266" s="71" t="s">
        <v>266</v>
      </c>
      <c r="N266" s="82"/>
    </row>
    <row r="267" spans="1:14" s="71" customFormat="1" ht="30" customHeight="1" x14ac:dyDescent="0.25">
      <c r="A267" s="82"/>
      <c r="B267" s="103">
        <v>180</v>
      </c>
      <c r="C267" s="82" t="s">
        <v>2412</v>
      </c>
      <c r="D267" s="103">
        <v>1</v>
      </c>
      <c r="E267" s="99">
        <v>230.33</v>
      </c>
      <c r="F267" s="99">
        <f t="shared" si="30"/>
        <v>230.33</v>
      </c>
      <c r="G267" s="104">
        <f t="shared" si="31"/>
        <v>267661.98343548179</v>
      </c>
      <c r="H267" s="104">
        <f t="shared" si="32"/>
        <v>267661.98343548179</v>
      </c>
      <c r="I267" s="71">
        <v>880</v>
      </c>
      <c r="J267" s="928"/>
      <c r="K267" s="99">
        <v>1148</v>
      </c>
      <c r="N267" s="82"/>
    </row>
    <row r="268" spans="1:14" s="71" customFormat="1" ht="30" customHeight="1" x14ac:dyDescent="0.25">
      <c r="A268" s="82"/>
      <c r="B268" s="103">
        <v>180</v>
      </c>
      <c r="C268" s="82" t="s">
        <v>1899</v>
      </c>
      <c r="D268" s="103">
        <v>2</v>
      </c>
      <c r="E268" s="99">
        <v>158.21</v>
      </c>
      <c r="F268" s="99">
        <f t="shared" si="30"/>
        <v>316.42</v>
      </c>
      <c r="G268" s="104">
        <f t="shared" si="31"/>
        <v>183852.74345212337</v>
      </c>
      <c r="H268" s="104">
        <f t="shared" si="32"/>
        <v>367705.48690424673</v>
      </c>
      <c r="I268" s="71">
        <v>880</v>
      </c>
      <c r="J268" s="928"/>
      <c r="K268" s="99">
        <v>1148</v>
      </c>
      <c r="L268" s="71" t="s">
        <v>266</v>
      </c>
      <c r="N268" s="82"/>
    </row>
    <row r="269" spans="1:14" s="71" customFormat="1" ht="30" customHeight="1" x14ac:dyDescent="0.25">
      <c r="A269" s="82">
        <v>200601</v>
      </c>
      <c r="B269" s="103">
        <v>181</v>
      </c>
      <c r="C269" s="82" t="s">
        <v>2473</v>
      </c>
      <c r="D269" s="103">
        <v>4</v>
      </c>
      <c r="E269" s="99">
        <v>178.8</v>
      </c>
      <c r="F269" s="99">
        <f t="shared" si="30"/>
        <v>715.2</v>
      </c>
      <c r="G269" s="104">
        <f t="shared" si="31"/>
        <v>165804.74113526026</v>
      </c>
      <c r="H269" s="104">
        <f t="shared" ref="H269:H275" si="33">(G269*D269)</f>
        <v>663218.96454104106</v>
      </c>
      <c r="I269" s="71">
        <v>880</v>
      </c>
      <c r="J269" s="928"/>
      <c r="K269" s="99">
        <v>420</v>
      </c>
      <c r="L269" s="71" t="s">
        <v>2477</v>
      </c>
      <c r="N269" s="82"/>
    </row>
    <row r="270" spans="1:14" s="71" customFormat="1" ht="30" customHeight="1" x14ac:dyDescent="0.25">
      <c r="A270" s="82"/>
      <c r="B270" s="103">
        <v>181</v>
      </c>
      <c r="C270" s="82" t="s">
        <v>2474</v>
      </c>
      <c r="D270" s="103">
        <v>3</v>
      </c>
      <c r="E270" s="1093">
        <v>456.88</v>
      </c>
      <c r="F270" s="1093">
        <f t="shared" si="30"/>
        <v>1370.6399999999999</v>
      </c>
      <c r="G270" s="104">
        <f t="shared" si="31"/>
        <v>428488.2449638446</v>
      </c>
      <c r="H270" s="104">
        <f t="shared" si="33"/>
        <v>1285464.7348915339</v>
      </c>
      <c r="I270" s="71">
        <v>890</v>
      </c>
      <c r="J270" s="928"/>
      <c r="K270" s="99">
        <v>420</v>
      </c>
      <c r="L270" s="71" t="s">
        <v>1158</v>
      </c>
      <c r="N270" s="82"/>
    </row>
    <row r="271" spans="1:14" s="71" customFormat="1" ht="30" customHeight="1" x14ac:dyDescent="0.25">
      <c r="A271" s="82"/>
      <c r="B271" s="103">
        <v>181</v>
      </c>
      <c r="C271" s="82" t="s">
        <v>2475</v>
      </c>
      <c r="D271" s="103">
        <v>8</v>
      </c>
      <c r="E271" s="1093">
        <v>230</v>
      </c>
      <c r="F271" s="1093">
        <f t="shared" si="30"/>
        <v>1840</v>
      </c>
      <c r="G271" s="104">
        <f t="shared" si="31"/>
        <v>215707.1798758629</v>
      </c>
      <c r="H271" s="104">
        <f t="shared" si="33"/>
        <v>1725657.4390069032</v>
      </c>
      <c r="I271" s="71">
        <v>890</v>
      </c>
      <c r="J271" s="928"/>
      <c r="K271" s="99">
        <v>420</v>
      </c>
      <c r="L271" s="71" t="s">
        <v>1158</v>
      </c>
      <c r="N271" s="82"/>
    </row>
    <row r="272" spans="1:14" s="71" customFormat="1" ht="30" customHeight="1" x14ac:dyDescent="0.25">
      <c r="A272" s="82"/>
      <c r="B272" s="103">
        <v>181</v>
      </c>
      <c r="C272" s="82" t="s">
        <v>2476</v>
      </c>
      <c r="D272" s="103">
        <v>1</v>
      </c>
      <c r="E272" s="99">
        <v>3884.88</v>
      </c>
      <c r="F272" s="99">
        <f t="shared" si="30"/>
        <v>3884.88</v>
      </c>
      <c r="G272" s="104">
        <f t="shared" si="31"/>
        <v>3643463.0824180101</v>
      </c>
      <c r="H272" s="104">
        <f t="shared" si="33"/>
        <v>3643463.0824180101</v>
      </c>
      <c r="I272" s="71">
        <v>890</v>
      </c>
      <c r="J272" s="928"/>
      <c r="K272" s="99">
        <v>420</v>
      </c>
      <c r="L272" s="71" t="s">
        <v>2477</v>
      </c>
      <c r="N272" s="82"/>
    </row>
    <row r="273" spans="1:14" s="71" customFormat="1" ht="30" customHeight="1" x14ac:dyDescent="0.25">
      <c r="A273" s="82">
        <v>200708</v>
      </c>
      <c r="B273" s="103">
        <v>182</v>
      </c>
      <c r="C273" s="82" t="s">
        <v>2479</v>
      </c>
      <c r="D273" s="103">
        <v>31</v>
      </c>
      <c r="E273" s="1093">
        <v>55.92</v>
      </c>
      <c r="F273" s="104">
        <f t="shared" si="30"/>
        <v>1733.52</v>
      </c>
      <c r="G273" s="104">
        <f t="shared" si="31"/>
        <v>53015.226474745061</v>
      </c>
      <c r="H273" s="104">
        <f t="shared" si="33"/>
        <v>1643472.020717097</v>
      </c>
      <c r="I273" s="1132">
        <v>890</v>
      </c>
      <c r="J273" s="104"/>
      <c r="K273" s="1093">
        <v>240</v>
      </c>
      <c r="L273" s="71" t="s">
        <v>663</v>
      </c>
      <c r="N273" s="82"/>
    </row>
    <row r="274" spans="1:14" s="71" customFormat="1" ht="30" customHeight="1" x14ac:dyDescent="0.25">
      <c r="A274" s="82"/>
      <c r="B274" s="103">
        <v>182</v>
      </c>
      <c r="C274" s="82" t="s">
        <v>2480</v>
      </c>
      <c r="D274" s="103">
        <v>3</v>
      </c>
      <c r="E274" s="1093">
        <v>79.92</v>
      </c>
      <c r="F274" s="104">
        <f t="shared" si="30"/>
        <v>239.76</v>
      </c>
      <c r="G274" s="104">
        <f t="shared" si="31"/>
        <v>75768.542558326633</v>
      </c>
      <c r="H274" s="104">
        <f t="shared" si="33"/>
        <v>227305.62767497991</v>
      </c>
      <c r="I274" s="1132">
        <v>890</v>
      </c>
      <c r="J274" s="104"/>
      <c r="K274" s="1093">
        <v>240</v>
      </c>
      <c r="N274" s="82"/>
    </row>
    <row r="275" spans="1:14" s="71" customFormat="1" ht="30" customHeight="1" x14ac:dyDescent="0.25">
      <c r="A275" s="82"/>
      <c r="B275" s="103">
        <v>182</v>
      </c>
      <c r="C275" s="82" t="s">
        <v>2481</v>
      </c>
      <c r="D275" s="103">
        <v>2</v>
      </c>
      <c r="E275" s="1093">
        <v>853</v>
      </c>
      <c r="F275" s="104">
        <f t="shared" si="30"/>
        <v>1706</v>
      </c>
      <c r="G275" s="104">
        <f t="shared" si="31"/>
        <v>808690.77580396167</v>
      </c>
      <c r="H275" s="104">
        <f t="shared" si="33"/>
        <v>1617381.5516079233</v>
      </c>
      <c r="I275" s="1132">
        <v>890</v>
      </c>
      <c r="J275" s="104"/>
      <c r="K275" s="1093">
        <v>240</v>
      </c>
      <c r="L275" s="71" t="s">
        <v>2482</v>
      </c>
      <c r="N275" s="82"/>
    </row>
    <row r="276" spans="1:14" s="71" customFormat="1" ht="30" customHeight="1" x14ac:dyDescent="0.25">
      <c r="A276" s="82">
        <v>200320</v>
      </c>
      <c r="B276" s="103">
        <v>183</v>
      </c>
      <c r="C276" s="82" t="s">
        <v>2499</v>
      </c>
      <c r="D276" s="103">
        <v>6</v>
      </c>
      <c r="E276" s="1093">
        <v>120</v>
      </c>
      <c r="F276" s="1026">
        <f t="shared" si="30"/>
        <v>720</v>
      </c>
      <c r="G276" s="104">
        <f t="shared" si="31"/>
        <v>113758.20032881951</v>
      </c>
      <c r="H276" s="104">
        <f t="shared" ref="H276:H281" si="34">(G276*D276)</f>
        <v>682549.20197291707</v>
      </c>
      <c r="I276" s="71">
        <v>880</v>
      </c>
      <c r="J276" s="928"/>
      <c r="K276" s="99">
        <v>320</v>
      </c>
      <c r="L276" s="1244" t="s">
        <v>869</v>
      </c>
      <c r="N276" s="82"/>
    </row>
    <row r="277" spans="1:14" s="71" customFormat="1" ht="30" customHeight="1" x14ac:dyDescent="0.25">
      <c r="A277" s="82"/>
      <c r="B277" s="103">
        <v>183</v>
      </c>
      <c r="C277" s="82" t="s">
        <v>263</v>
      </c>
      <c r="D277" s="103">
        <v>6</v>
      </c>
      <c r="E277" s="99">
        <v>14.72</v>
      </c>
      <c r="F277" s="101">
        <f t="shared" si="30"/>
        <v>88.320000000000007</v>
      </c>
      <c r="G277" s="104">
        <f t="shared" si="31"/>
        <v>13954.339240335194</v>
      </c>
      <c r="H277" s="104">
        <f t="shared" si="34"/>
        <v>83726.035442011169</v>
      </c>
      <c r="I277" s="71">
        <v>880</v>
      </c>
      <c r="J277" s="928"/>
      <c r="K277" s="99">
        <v>320</v>
      </c>
      <c r="L277" s="1241"/>
      <c r="N277" s="82"/>
    </row>
    <row r="278" spans="1:14" s="71" customFormat="1" ht="30" customHeight="1" x14ac:dyDescent="0.25">
      <c r="A278" s="82"/>
      <c r="B278" s="103">
        <v>183</v>
      </c>
      <c r="C278" s="82" t="s">
        <v>2392</v>
      </c>
      <c r="D278" s="103">
        <v>5</v>
      </c>
      <c r="E278" s="99">
        <v>73.91</v>
      </c>
      <c r="F278" s="101">
        <f t="shared" si="30"/>
        <v>369.54999999999995</v>
      </c>
      <c r="G278" s="104">
        <f t="shared" si="31"/>
        <v>70065.571552525405</v>
      </c>
      <c r="H278" s="104">
        <f t="shared" si="34"/>
        <v>350327.85776262701</v>
      </c>
      <c r="I278" s="71">
        <v>880</v>
      </c>
      <c r="J278" s="928"/>
      <c r="K278" s="99">
        <v>320</v>
      </c>
      <c r="L278" s="1241"/>
      <c r="N278" s="82"/>
    </row>
    <row r="279" spans="1:14" s="71" customFormat="1" ht="30" customHeight="1" x14ac:dyDescent="0.25">
      <c r="A279" s="82"/>
      <c r="B279" s="103">
        <v>183</v>
      </c>
      <c r="C279" s="82" t="s">
        <v>1467</v>
      </c>
      <c r="D279" s="103">
        <v>4</v>
      </c>
      <c r="E279" s="99">
        <v>164.93</v>
      </c>
      <c r="F279" s="99">
        <f t="shared" si="30"/>
        <v>659.72</v>
      </c>
      <c r="G279" s="104">
        <f t="shared" si="31"/>
        <v>156351.16650193502</v>
      </c>
      <c r="H279" s="104">
        <f t="shared" si="34"/>
        <v>625404.66600774007</v>
      </c>
      <c r="I279" s="71">
        <v>880</v>
      </c>
      <c r="J279" s="928"/>
      <c r="K279" s="99">
        <v>320</v>
      </c>
      <c r="L279" s="1241"/>
      <c r="N279" s="82"/>
    </row>
    <row r="280" spans="1:14" s="71" customFormat="1" ht="30" customHeight="1" x14ac:dyDescent="0.25">
      <c r="A280" s="82"/>
      <c r="B280" s="103">
        <v>183</v>
      </c>
      <c r="C280" s="82" t="s">
        <v>2500</v>
      </c>
      <c r="D280" s="103">
        <v>1</v>
      </c>
      <c r="E280" s="1093">
        <v>464.5</v>
      </c>
      <c r="F280" s="1026">
        <f t="shared" si="30"/>
        <v>464.5</v>
      </c>
      <c r="G280" s="104">
        <f t="shared" si="31"/>
        <v>440339.03377280553</v>
      </c>
      <c r="H280" s="104">
        <f t="shared" si="34"/>
        <v>440339.03377280553</v>
      </c>
      <c r="I280" s="71">
        <v>880</v>
      </c>
      <c r="J280" s="928"/>
      <c r="K280" s="99">
        <v>320</v>
      </c>
      <c r="L280" s="1241"/>
      <c r="N280" s="82"/>
    </row>
    <row r="281" spans="1:14" s="71" customFormat="1" ht="30" customHeight="1" x14ac:dyDescent="0.25">
      <c r="A281" s="82"/>
      <c r="B281" s="103">
        <v>183</v>
      </c>
      <c r="C281" s="82" t="s">
        <v>2501</v>
      </c>
      <c r="D281" s="103">
        <v>8</v>
      </c>
      <c r="E281" s="1093">
        <v>230</v>
      </c>
      <c r="F281" s="1026">
        <f t="shared" si="30"/>
        <v>1840</v>
      </c>
      <c r="G281" s="104">
        <f t="shared" si="31"/>
        <v>218036.55063023738</v>
      </c>
      <c r="H281" s="104">
        <f t="shared" si="34"/>
        <v>1744292.4050418991</v>
      </c>
      <c r="I281" s="71">
        <v>880</v>
      </c>
      <c r="J281" s="928"/>
      <c r="K281" s="99">
        <v>320</v>
      </c>
      <c r="L281" s="1243"/>
      <c r="N281" s="82"/>
    </row>
    <row r="282" spans="1:14" s="71" customFormat="1" ht="30" customHeight="1" x14ac:dyDescent="0.25">
      <c r="A282" s="82">
        <v>200727</v>
      </c>
      <c r="B282" s="103">
        <v>184</v>
      </c>
      <c r="C282" s="82" t="s">
        <v>2518</v>
      </c>
      <c r="D282" s="103">
        <v>10</v>
      </c>
      <c r="E282" s="1093">
        <v>51</v>
      </c>
      <c r="F282" s="1093">
        <f t="shared" si="30"/>
        <v>510</v>
      </c>
      <c r="G282" s="104">
        <f t="shared" si="31"/>
        <v>49817.377293345067</v>
      </c>
      <c r="H282" s="104">
        <f t="shared" ref="H282:H287" si="35">(G282*D282)</f>
        <v>498173.77293345064</v>
      </c>
      <c r="I282" s="71">
        <v>880</v>
      </c>
      <c r="J282" s="928"/>
      <c r="K282" s="101">
        <v>130</v>
      </c>
      <c r="L282" s="1244" t="s">
        <v>2241</v>
      </c>
      <c r="N282" s="82"/>
    </row>
    <row r="283" spans="1:14" s="71" customFormat="1" ht="30" customHeight="1" x14ac:dyDescent="0.25">
      <c r="A283" s="82"/>
      <c r="B283" s="103">
        <v>184</v>
      </c>
      <c r="C283" s="82" t="s">
        <v>2519</v>
      </c>
      <c r="D283" s="103">
        <v>10</v>
      </c>
      <c r="E283" s="99">
        <v>51</v>
      </c>
      <c r="F283" s="99">
        <f t="shared" si="30"/>
        <v>510</v>
      </c>
      <c r="G283" s="104">
        <f t="shared" si="31"/>
        <v>49817.377293345067</v>
      </c>
      <c r="H283" s="104">
        <f t="shared" si="35"/>
        <v>498173.77293345064</v>
      </c>
      <c r="I283" s="71">
        <v>880</v>
      </c>
      <c r="J283" s="928"/>
      <c r="K283" s="99">
        <v>130</v>
      </c>
      <c r="L283" s="1243"/>
      <c r="N283" s="82"/>
    </row>
    <row r="284" spans="1:14" s="71" customFormat="1" ht="30" customHeight="1" x14ac:dyDescent="0.25">
      <c r="A284" s="82"/>
      <c r="B284" s="103">
        <v>184</v>
      </c>
      <c r="C284" s="82" t="s">
        <v>2520</v>
      </c>
      <c r="D284" s="103">
        <v>1</v>
      </c>
      <c r="E284" s="99">
        <v>27.92</v>
      </c>
      <c r="F284" s="99">
        <f t="shared" si="30"/>
        <v>27.92</v>
      </c>
      <c r="G284" s="104">
        <f t="shared" si="31"/>
        <v>27272.572039807732</v>
      </c>
      <c r="H284" s="104">
        <f t="shared" si="35"/>
        <v>27272.572039807732</v>
      </c>
      <c r="I284" s="71">
        <v>880</v>
      </c>
      <c r="J284" s="928"/>
      <c r="K284" s="1093">
        <v>130</v>
      </c>
      <c r="L284" s="1244" t="s">
        <v>2523</v>
      </c>
      <c r="N284" s="82"/>
    </row>
    <row r="285" spans="1:14" s="71" customFormat="1" ht="30" customHeight="1" x14ac:dyDescent="0.25">
      <c r="A285" s="82"/>
      <c r="B285" s="103">
        <v>184</v>
      </c>
      <c r="C285" s="82" t="s">
        <v>2521</v>
      </c>
      <c r="D285" s="103">
        <v>4</v>
      </c>
      <c r="E285" s="99">
        <v>17.52</v>
      </c>
      <c r="F285" s="99">
        <f t="shared" si="30"/>
        <v>70.08</v>
      </c>
      <c r="G285" s="104">
        <f t="shared" si="31"/>
        <v>17113.734317243248</v>
      </c>
      <c r="H285" s="104">
        <f t="shared" si="35"/>
        <v>68454.937268972993</v>
      </c>
      <c r="I285" s="71">
        <v>880</v>
      </c>
      <c r="J285" s="928"/>
      <c r="K285" s="1093">
        <v>130</v>
      </c>
      <c r="L285" s="1241"/>
      <c r="N285" s="82"/>
    </row>
    <row r="286" spans="1:14" s="71" customFormat="1" ht="30" customHeight="1" x14ac:dyDescent="0.25">
      <c r="A286" s="82"/>
      <c r="B286" s="103">
        <v>184</v>
      </c>
      <c r="C286" s="82" t="s">
        <v>2522</v>
      </c>
      <c r="D286" s="103">
        <v>4</v>
      </c>
      <c r="E286" s="1093">
        <v>15.92</v>
      </c>
      <c r="F286" s="1093">
        <f t="shared" si="30"/>
        <v>63.68</v>
      </c>
      <c r="G286" s="104">
        <f t="shared" si="31"/>
        <v>15550.836206079481</v>
      </c>
      <c r="H286" s="104">
        <f t="shared" si="35"/>
        <v>62203.344824317923</v>
      </c>
      <c r="I286" s="71">
        <v>880</v>
      </c>
      <c r="J286" s="928"/>
      <c r="K286" s="1093">
        <v>130</v>
      </c>
      <c r="L286" s="1243"/>
      <c r="N286" s="82"/>
    </row>
    <row r="287" spans="1:14" s="71" customFormat="1" ht="30" customHeight="1" x14ac:dyDescent="0.25">
      <c r="A287" s="82">
        <v>200814</v>
      </c>
      <c r="B287" s="103">
        <v>185</v>
      </c>
      <c r="C287" s="82" t="s">
        <v>2524</v>
      </c>
      <c r="D287" s="103">
        <v>1</v>
      </c>
      <c r="E287" s="1093">
        <v>3600</v>
      </c>
      <c r="F287" s="1093">
        <f t="shared" si="30"/>
        <v>3600</v>
      </c>
      <c r="G287" s="104">
        <f t="shared" si="31"/>
        <v>3340800</v>
      </c>
      <c r="H287" s="104">
        <f t="shared" si="35"/>
        <v>3340800</v>
      </c>
      <c r="I287" s="71">
        <v>870</v>
      </c>
      <c r="J287" s="928"/>
      <c r="K287" s="1093">
        <v>240</v>
      </c>
      <c r="L287" s="71" t="s">
        <v>2545</v>
      </c>
      <c r="N287" s="82"/>
    </row>
    <row r="288" spans="1:14" s="71" customFormat="1" ht="30" customHeight="1" x14ac:dyDescent="0.25">
      <c r="A288" s="82">
        <v>200909</v>
      </c>
      <c r="B288" s="103">
        <v>186</v>
      </c>
      <c r="C288" s="82" t="s">
        <v>2546</v>
      </c>
      <c r="D288" s="103">
        <v>5</v>
      </c>
      <c r="E288" s="101">
        <v>51</v>
      </c>
      <c r="F288" s="99">
        <f t="shared" si="30"/>
        <v>255</v>
      </c>
      <c r="G288" s="104">
        <f t="shared" si="31"/>
        <v>55518.949671772425</v>
      </c>
      <c r="H288" s="104">
        <f t="shared" ref="H288:H294" si="36">(G288*D288)</f>
        <v>277594.74835886213</v>
      </c>
      <c r="I288" s="71">
        <v>880</v>
      </c>
      <c r="J288" s="928"/>
      <c r="K288" s="99">
        <v>65</v>
      </c>
      <c r="N288" s="82"/>
    </row>
    <row r="289" spans="1:14" s="71" customFormat="1" ht="30" customHeight="1" x14ac:dyDescent="0.25">
      <c r="A289" s="82"/>
      <c r="B289" s="103">
        <v>186</v>
      </c>
      <c r="C289" s="82" t="s">
        <v>2547</v>
      </c>
      <c r="D289" s="103">
        <v>8</v>
      </c>
      <c r="E289" s="101">
        <v>2.4</v>
      </c>
      <c r="F289" s="99">
        <f t="shared" si="30"/>
        <v>19.2</v>
      </c>
      <c r="G289" s="104">
        <f t="shared" si="31"/>
        <v>2612.6564551422321</v>
      </c>
      <c r="H289" s="104">
        <f t="shared" si="36"/>
        <v>20901.251641137856</v>
      </c>
      <c r="I289" s="71">
        <v>880</v>
      </c>
      <c r="J289" s="928"/>
      <c r="K289" s="99">
        <v>65</v>
      </c>
      <c r="N289" s="82"/>
    </row>
    <row r="290" spans="1:14" s="71" customFormat="1" ht="30" customHeight="1" x14ac:dyDescent="0.25">
      <c r="A290" s="82">
        <v>200910</v>
      </c>
      <c r="B290" s="103">
        <v>187</v>
      </c>
      <c r="C290" s="82" t="s">
        <v>2548</v>
      </c>
      <c r="D290" s="103">
        <v>2</v>
      </c>
      <c r="E290" s="99">
        <v>61</v>
      </c>
      <c r="F290" s="99">
        <f t="shared" si="30"/>
        <v>122</v>
      </c>
      <c r="G290" s="104">
        <f t="shared" si="31"/>
        <v>68210.099610220874</v>
      </c>
      <c r="H290" s="104">
        <f t="shared" si="36"/>
        <v>136420.19922044175</v>
      </c>
      <c r="I290" s="71">
        <v>880</v>
      </c>
      <c r="J290" s="928"/>
      <c r="K290" s="99">
        <v>100</v>
      </c>
      <c r="N290" s="82"/>
    </row>
    <row r="291" spans="1:14" s="71" customFormat="1" ht="30" customHeight="1" x14ac:dyDescent="0.25">
      <c r="A291" s="82"/>
      <c r="B291" s="103">
        <v>187</v>
      </c>
      <c r="C291" s="82" t="s">
        <v>2548</v>
      </c>
      <c r="D291" s="103">
        <v>2</v>
      </c>
      <c r="E291" s="1026">
        <v>69</v>
      </c>
      <c r="F291" s="1093">
        <f t="shared" si="30"/>
        <v>138</v>
      </c>
      <c r="G291" s="104">
        <f t="shared" si="31"/>
        <v>77155.686444348205</v>
      </c>
      <c r="H291" s="104">
        <f t="shared" si="36"/>
        <v>154311.37288869641</v>
      </c>
      <c r="I291" s="71">
        <v>880</v>
      </c>
      <c r="J291" s="928"/>
      <c r="K291" s="99">
        <v>100</v>
      </c>
      <c r="N291" s="82"/>
    </row>
    <row r="292" spans="1:14" s="71" customFormat="1" ht="30" customHeight="1" x14ac:dyDescent="0.25">
      <c r="A292" s="82"/>
      <c r="B292" s="103">
        <v>187</v>
      </c>
      <c r="C292" s="82" t="s">
        <v>2549</v>
      </c>
      <c r="D292" s="103">
        <v>12</v>
      </c>
      <c r="E292" s="1026">
        <v>2.4</v>
      </c>
      <c r="F292" s="1093">
        <f t="shared" si="30"/>
        <v>28.799999999999997</v>
      </c>
      <c r="G292" s="104">
        <f t="shared" si="31"/>
        <v>2683.6760502381985</v>
      </c>
      <c r="H292" s="104">
        <f t="shared" si="36"/>
        <v>32204.112602858382</v>
      </c>
      <c r="I292" s="71">
        <v>880</v>
      </c>
      <c r="J292" s="928"/>
      <c r="K292" s="99">
        <v>100</v>
      </c>
      <c r="N292" s="82"/>
    </row>
    <row r="293" spans="1:14" s="71" customFormat="1" ht="30" customHeight="1" x14ac:dyDescent="0.25">
      <c r="A293" s="82"/>
      <c r="B293" s="103">
        <v>187</v>
      </c>
      <c r="C293" s="82" t="s">
        <v>2550</v>
      </c>
      <c r="D293" s="103">
        <v>12</v>
      </c>
      <c r="E293" s="101">
        <v>6.72</v>
      </c>
      <c r="F293" s="99">
        <f t="shared" si="30"/>
        <v>80.64</v>
      </c>
      <c r="G293" s="104">
        <f t="shared" si="31"/>
        <v>7514.2929406669546</v>
      </c>
      <c r="H293" s="104">
        <f t="shared" si="36"/>
        <v>90171.515288003458</v>
      </c>
      <c r="I293" s="71">
        <v>880</v>
      </c>
      <c r="J293" s="928"/>
      <c r="K293" s="99">
        <v>100</v>
      </c>
      <c r="N293" s="82"/>
    </row>
    <row r="294" spans="1:14" s="71" customFormat="1" ht="30" customHeight="1" x14ac:dyDescent="0.25">
      <c r="A294" s="82">
        <v>200929</v>
      </c>
      <c r="B294" s="103">
        <v>188</v>
      </c>
      <c r="C294" s="82" t="s">
        <v>1768</v>
      </c>
      <c r="D294" s="103">
        <v>30</v>
      </c>
      <c r="E294" s="99">
        <v>11.06</v>
      </c>
      <c r="F294" s="99">
        <f t="shared" si="30"/>
        <v>331.8</v>
      </c>
      <c r="G294" s="104">
        <f t="shared" si="31"/>
        <v>9889.2521102874034</v>
      </c>
      <c r="H294" s="104">
        <f t="shared" si="36"/>
        <v>296677.56330862211</v>
      </c>
      <c r="I294" s="71">
        <v>860</v>
      </c>
      <c r="J294" s="928"/>
      <c r="K294" s="99">
        <v>630</v>
      </c>
      <c r="L294" s="71" t="s">
        <v>2241</v>
      </c>
      <c r="N294" s="82"/>
    </row>
    <row r="295" spans="1:14" s="71" customFormat="1" ht="30" customHeight="1" x14ac:dyDescent="0.25">
      <c r="A295" s="82"/>
      <c r="B295" s="103">
        <v>188</v>
      </c>
      <c r="C295" s="82" t="s">
        <v>2561</v>
      </c>
      <c r="D295" s="103">
        <v>10</v>
      </c>
      <c r="E295" s="99">
        <v>38.44</v>
      </c>
      <c r="F295" s="99">
        <f t="shared" si="30"/>
        <v>384.4</v>
      </c>
      <c r="G295" s="104">
        <f t="shared" si="31"/>
        <v>34370.963030691484</v>
      </c>
      <c r="H295" s="104">
        <f t="shared" ref="H295:H303" si="37">(G295*D295)</f>
        <v>343709.63030691486</v>
      </c>
      <c r="I295" s="71">
        <v>860</v>
      </c>
      <c r="J295" s="928"/>
      <c r="K295" s="99">
        <v>630</v>
      </c>
      <c r="L295" s="71" t="s">
        <v>2241</v>
      </c>
      <c r="N295" s="82"/>
    </row>
    <row r="296" spans="1:14" s="71" customFormat="1" ht="30" customHeight="1" x14ac:dyDescent="0.25">
      <c r="A296" s="82"/>
      <c r="B296" s="103">
        <v>188</v>
      </c>
      <c r="C296" s="82" t="s">
        <v>263</v>
      </c>
      <c r="D296" s="103">
        <v>140</v>
      </c>
      <c r="E296" s="1093">
        <v>14.72</v>
      </c>
      <c r="F296" s="1093">
        <f t="shared" si="30"/>
        <v>2060.8000000000002</v>
      </c>
      <c r="G296" s="104">
        <f t="shared" si="31"/>
        <v>13161.825593438569</v>
      </c>
      <c r="H296" s="104">
        <f t="shared" si="37"/>
        <v>1842655.5830813996</v>
      </c>
      <c r="I296" s="71">
        <v>860</v>
      </c>
      <c r="J296" s="928"/>
      <c r="K296" s="99">
        <v>630</v>
      </c>
      <c r="L296" s="71" t="s">
        <v>2585</v>
      </c>
      <c r="N296" s="82"/>
    </row>
    <row r="297" spans="1:14" s="71" customFormat="1" ht="30" customHeight="1" x14ac:dyDescent="0.25">
      <c r="A297" s="82"/>
      <c r="B297" s="103">
        <v>188</v>
      </c>
      <c r="C297" s="82" t="s">
        <v>2479</v>
      </c>
      <c r="D297" s="103">
        <v>20</v>
      </c>
      <c r="E297" s="1093">
        <v>316.73</v>
      </c>
      <c r="F297" s="1093">
        <f t="shared" si="30"/>
        <v>6334.6</v>
      </c>
      <c r="G297" s="104">
        <f t="shared" si="31"/>
        <v>283202.78669903515</v>
      </c>
      <c r="H297" s="104">
        <f t="shared" si="37"/>
        <v>5664055.7339807032</v>
      </c>
      <c r="I297" s="71">
        <v>860</v>
      </c>
      <c r="J297" s="928"/>
      <c r="K297" s="99">
        <v>630</v>
      </c>
      <c r="N297" s="82"/>
    </row>
    <row r="298" spans="1:14" s="71" customFormat="1" ht="30" customHeight="1" x14ac:dyDescent="0.25">
      <c r="A298" s="82"/>
      <c r="B298" s="103">
        <v>188</v>
      </c>
      <c r="C298" s="82" t="s">
        <v>2562</v>
      </c>
      <c r="D298" s="103">
        <v>1</v>
      </c>
      <c r="E298" s="99">
        <v>1998.81</v>
      </c>
      <c r="F298" s="99">
        <f t="shared" si="30"/>
        <v>1998.81</v>
      </c>
      <c r="G298" s="104">
        <f t="shared" si="31"/>
        <v>1787227.4873927271</v>
      </c>
      <c r="H298" s="104">
        <f t="shared" si="37"/>
        <v>1787227.4873927271</v>
      </c>
      <c r="I298" s="71">
        <v>860</v>
      </c>
      <c r="J298" s="928"/>
      <c r="K298" s="99">
        <v>630</v>
      </c>
      <c r="L298" s="71" t="s">
        <v>1807</v>
      </c>
      <c r="N298" s="82"/>
    </row>
    <row r="299" spans="1:14" s="71" customFormat="1" ht="30" customHeight="1" x14ac:dyDescent="0.25">
      <c r="A299" s="82"/>
      <c r="B299" s="103">
        <v>188</v>
      </c>
      <c r="C299" s="82" t="s">
        <v>2563</v>
      </c>
      <c r="D299" s="103">
        <v>1</v>
      </c>
      <c r="E299" s="99">
        <v>36.86</v>
      </c>
      <c r="F299" s="99">
        <f t="shared" si="30"/>
        <v>36.86</v>
      </c>
      <c r="G299" s="104">
        <f t="shared" si="31"/>
        <v>32958.21272922185</v>
      </c>
      <c r="H299" s="104">
        <f t="shared" si="37"/>
        <v>32958.21272922185</v>
      </c>
      <c r="I299" s="71">
        <v>860</v>
      </c>
      <c r="J299" s="928"/>
      <c r="K299" s="99">
        <v>630</v>
      </c>
      <c r="L299" s="71" t="s">
        <v>1807</v>
      </c>
      <c r="N299" s="82"/>
    </row>
    <row r="300" spans="1:14" s="71" customFormat="1" ht="30" customHeight="1" x14ac:dyDescent="0.25">
      <c r="A300" s="82"/>
      <c r="B300" s="103">
        <v>188</v>
      </c>
      <c r="C300" s="82" t="s">
        <v>2564</v>
      </c>
      <c r="D300" s="103">
        <v>50</v>
      </c>
      <c r="E300" s="1093">
        <v>11</v>
      </c>
      <c r="F300" s="1093">
        <f t="shared" si="30"/>
        <v>550</v>
      </c>
      <c r="G300" s="104">
        <f t="shared" si="31"/>
        <v>9835.6033646619744</v>
      </c>
      <c r="H300" s="104">
        <f t="shared" si="37"/>
        <v>491780.1682330987</v>
      </c>
      <c r="I300" s="71">
        <v>860</v>
      </c>
      <c r="J300" s="928"/>
      <c r="K300" s="99">
        <v>630</v>
      </c>
      <c r="N300" s="82"/>
    </row>
    <row r="301" spans="1:14" s="71" customFormat="1" ht="30" customHeight="1" x14ac:dyDescent="0.25">
      <c r="A301" s="82"/>
      <c r="B301" s="103">
        <v>188</v>
      </c>
      <c r="C301" s="82" t="s">
        <v>1029</v>
      </c>
      <c r="D301" s="103">
        <v>100</v>
      </c>
      <c r="E301" s="1093">
        <v>11</v>
      </c>
      <c r="F301" s="1093">
        <f t="shared" si="30"/>
        <v>1100</v>
      </c>
      <c r="G301" s="104">
        <f t="shared" si="31"/>
        <v>9835.6033646619744</v>
      </c>
      <c r="H301" s="104">
        <f t="shared" si="37"/>
        <v>983560.33646619739</v>
      </c>
      <c r="I301" s="71">
        <v>860</v>
      </c>
      <c r="J301" s="928"/>
      <c r="K301" s="99">
        <v>630</v>
      </c>
      <c r="N301" s="82"/>
    </row>
    <row r="302" spans="1:14" s="71" customFormat="1" ht="30" customHeight="1" x14ac:dyDescent="0.25">
      <c r="A302" s="82"/>
      <c r="B302" s="103">
        <v>188</v>
      </c>
      <c r="C302" s="82" t="s">
        <v>2565</v>
      </c>
      <c r="D302" s="103">
        <v>200</v>
      </c>
      <c r="E302" s="99">
        <v>11</v>
      </c>
      <c r="F302" s="99">
        <f t="shared" si="30"/>
        <v>2200</v>
      </c>
      <c r="G302" s="104">
        <f t="shared" si="31"/>
        <v>9835.6033646619744</v>
      </c>
      <c r="H302" s="104">
        <f t="shared" si="37"/>
        <v>1967120.6729323948</v>
      </c>
      <c r="I302" s="71">
        <v>860</v>
      </c>
      <c r="J302" s="928"/>
      <c r="K302" s="99">
        <v>630</v>
      </c>
      <c r="N302" s="82"/>
    </row>
    <row r="303" spans="1:14" s="71" customFormat="1" ht="30" customHeight="1" x14ac:dyDescent="0.25">
      <c r="A303" s="82"/>
      <c r="B303" s="103">
        <v>188</v>
      </c>
      <c r="C303" s="82" t="s">
        <v>2443</v>
      </c>
      <c r="D303" s="103">
        <v>3</v>
      </c>
      <c r="E303" s="99">
        <v>290</v>
      </c>
      <c r="F303" s="99">
        <f t="shared" si="30"/>
        <v>870</v>
      </c>
      <c r="G303" s="104">
        <f t="shared" si="31"/>
        <v>259302.27052290659</v>
      </c>
      <c r="H303" s="104">
        <f t="shared" si="37"/>
        <v>777906.8115687198</v>
      </c>
      <c r="I303" s="71">
        <v>860</v>
      </c>
      <c r="J303" s="928"/>
      <c r="K303" s="99">
        <v>630</v>
      </c>
      <c r="L303" s="71" t="s">
        <v>2586</v>
      </c>
      <c r="N303" s="82"/>
    </row>
    <row r="304" spans="1:14" s="71" customFormat="1" ht="30" customHeight="1" x14ac:dyDescent="0.25">
      <c r="A304" s="82">
        <v>201022</v>
      </c>
      <c r="B304" s="103">
        <v>189</v>
      </c>
      <c r="C304" s="82" t="s">
        <v>2587</v>
      </c>
      <c r="D304" s="103">
        <v>48</v>
      </c>
      <c r="E304" s="1093">
        <v>7.34</v>
      </c>
      <c r="F304" s="1093">
        <f t="shared" si="30"/>
        <v>352.32</v>
      </c>
      <c r="G304" s="104">
        <f t="shared" si="31"/>
        <v>6557.5077749848306</v>
      </c>
      <c r="H304" s="104">
        <f t="shared" ref="H304:H315" si="38">(G304*D304)</f>
        <v>314760.37319927185</v>
      </c>
      <c r="I304" s="71">
        <v>840</v>
      </c>
      <c r="J304" s="928"/>
      <c r="K304" s="99">
        <v>110</v>
      </c>
      <c r="N304" s="82"/>
    </row>
    <row r="305" spans="1:14" s="71" customFormat="1" ht="30" customHeight="1" x14ac:dyDescent="0.25">
      <c r="A305" s="82"/>
      <c r="B305" s="103">
        <v>189</v>
      </c>
      <c r="C305" s="82" t="s">
        <v>894</v>
      </c>
      <c r="D305" s="103">
        <v>1</v>
      </c>
      <c r="E305" s="1093">
        <v>145.27000000000001</v>
      </c>
      <c r="F305" s="1093">
        <f t="shared" si="30"/>
        <v>145.27000000000001</v>
      </c>
      <c r="G305" s="104">
        <f t="shared" si="31"/>
        <v>129783.26355204993</v>
      </c>
      <c r="H305" s="104">
        <f t="shared" si="38"/>
        <v>129783.26355204993</v>
      </c>
      <c r="I305" s="71">
        <v>840</v>
      </c>
      <c r="J305" s="928"/>
      <c r="K305" s="99">
        <v>110</v>
      </c>
      <c r="L305" s="71" t="s">
        <v>2545</v>
      </c>
      <c r="N305" s="82"/>
    </row>
    <row r="306" spans="1:14" s="71" customFormat="1" ht="30" customHeight="1" x14ac:dyDescent="0.25">
      <c r="A306" s="82"/>
      <c r="B306" s="103">
        <v>189</v>
      </c>
      <c r="C306" s="82" t="s">
        <v>2588</v>
      </c>
      <c r="D306" s="103">
        <v>2</v>
      </c>
      <c r="E306" s="99">
        <v>341.48</v>
      </c>
      <c r="F306" s="99">
        <f t="shared" si="30"/>
        <v>682.96</v>
      </c>
      <c r="G306" s="104">
        <f t="shared" si="31"/>
        <v>305075.98841986654</v>
      </c>
      <c r="H306" s="104">
        <f t="shared" si="38"/>
        <v>610151.97683973308</v>
      </c>
      <c r="I306" s="71">
        <v>840</v>
      </c>
      <c r="J306" s="928"/>
      <c r="K306" s="99">
        <v>110</v>
      </c>
      <c r="N306" s="82"/>
    </row>
    <row r="307" spans="1:14" s="71" customFormat="1" ht="30" customHeight="1" x14ac:dyDescent="0.25">
      <c r="A307" s="82"/>
      <c r="B307" s="103">
        <v>189</v>
      </c>
      <c r="C307" s="82" t="s">
        <v>1030</v>
      </c>
      <c r="D307" s="103">
        <v>50</v>
      </c>
      <c r="E307" s="99">
        <v>11</v>
      </c>
      <c r="F307" s="99">
        <f t="shared" si="30"/>
        <v>550</v>
      </c>
      <c r="G307" s="104">
        <f t="shared" si="31"/>
        <v>9827.3277281789033</v>
      </c>
      <c r="H307" s="104">
        <f t="shared" si="38"/>
        <v>491366.38640894514</v>
      </c>
      <c r="I307" s="71">
        <v>840</v>
      </c>
      <c r="J307" s="928"/>
      <c r="K307" s="99">
        <v>110</v>
      </c>
      <c r="N307" s="82"/>
    </row>
    <row r="308" spans="1:14" s="71" customFormat="1" ht="30" customHeight="1" x14ac:dyDescent="0.25">
      <c r="A308" s="82">
        <v>200812</v>
      </c>
      <c r="B308" s="103">
        <v>190</v>
      </c>
      <c r="C308" s="82" t="s">
        <v>2624</v>
      </c>
      <c r="D308" s="103">
        <v>10</v>
      </c>
      <c r="E308" s="1093">
        <v>51</v>
      </c>
      <c r="F308" s="1093">
        <f t="shared" si="30"/>
        <v>510</v>
      </c>
      <c r="G308" s="104">
        <f t="shared" si="31"/>
        <v>45510.375927396097</v>
      </c>
      <c r="H308" s="104">
        <f t="shared" si="38"/>
        <v>455103.75927396095</v>
      </c>
      <c r="I308" s="71">
        <v>870</v>
      </c>
      <c r="J308" s="928"/>
      <c r="K308" s="99">
        <v>180</v>
      </c>
      <c r="N308" s="82"/>
    </row>
    <row r="309" spans="1:14" s="71" customFormat="1" ht="30" customHeight="1" x14ac:dyDescent="0.25">
      <c r="A309" s="82"/>
      <c r="B309" s="103">
        <v>190</v>
      </c>
      <c r="C309" s="82" t="s">
        <v>2624</v>
      </c>
      <c r="D309" s="103">
        <v>10</v>
      </c>
      <c r="E309" s="1093">
        <v>51</v>
      </c>
      <c r="F309" s="1093">
        <f t="shared" si="30"/>
        <v>510</v>
      </c>
      <c r="G309" s="104">
        <f t="shared" si="31"/>
        <v>45510.375927396097</v>
      </c>
      <c r="H309" s="104">
        <f t="shared" si="38"/>
        <v>455103.75927396095</v>
      </c>
      <c r="I309" s="71">
        <v>870</v>
      </c>
      <c r="J309" s="928"/>
      <c r="K309" s="99">
        <v>180</v>
      </c>
      <c r="N309" s="82"/>
    </row>
    <row r="310" spans="1:14" s="71" customFormat="1" ht="30" customHeight="1" x14ac:dyDescent="0.25">
      <c r="A310" s="82"/>
      <c r="B310" s="103">
        <v>190</v>
      </c>
      <c r="C310" s="82" t="s">
        <v>2625</v>
      </c>
      <c r="D310" s="103">
        <v>10</v>
      </c>
      <c r="E310" s="99">
        <v>79.92</v>
      </c>
      <c r="F310" s="99">
        <f t="shared" si="30"/>
        <v>799.2</v>
      </c>
      <c r="G310" s="104">
        <f t="shared" si="31"/>
        <v>71317.436159166595</v>
      </c>
      <c r="H310" s="104">
        <f t="shared" si="38"/>
        <v>713174.36159166601</v>
      </c>
      <c r="I310" s="71">
        <v>870</v>
      </c>
      <c r="J310" s="928"/>
      <c r="K310" s="99">
        <v>180</v>
      </c>
      <c r="N310" s="82"/>
    </row>
    <row r="311" spans="1:14" s="71" customFormat="1" ht="30" customHeight="1" x14ac:dyDescent="0.25">
      <c r="A311" s="82"/>
      <c r="B311" s="103">
        <v>190</v>
      </c>
      <c r="C311" s="82" t="s">
        <v>2626</v>
      </c>
      <c r="D311" s="103">
        <v>50</v>
      </c>
      <c r="E311" s="99">
        <v>10.95</v>
      </c>
      <c r="F311" s="99">
        <f t="shared" si="30"/>
        <v>547.5</v>
      </c>
      <c r="G311" s="104">
        <f t="shared" si="31"/>
        <v>9771.3454197056326</v>
      </c>
      <c r="H311" s="104">
        <f t="shared" si="38"/>
        <v>488567.27098528162</v>
      </c>
      <c r="I311" s="71">
        <v>870</v>
      </c>
      <c r="J311" s="928"/>
      <c r="K311" s="99">
        <v>180</v>
      </c>
      <c r="N311" s="82"/>
    </row>
    <row r="312" spans="1:14" s="71" customFormat="1" ht="30" customHeight="1" x14ac:dyDescent="0.25">
      <c r="A312" s="82"/>
      <c r="B312" s="103">
        <v>190</v>
      </c>
      <c r="C312" s="82" t="s">
        <v>2627</v>
      </c>
      <c r="D312" s="103">
        <v>3</v>
      </c>
      <c r="E312" s="1093">
        <v>191.92</v>
      </c>
      <c r="F312" s="1093">
        <f t="shared" si="30"/>
        <v>575.76</v>
      </c>
      <c r="G312" s="104">
        <f t="shared" si="31"/>
        <v>171261.79113697761</v>
      </c>
      <c r="H312" s="104">
        <f t="shared" si="38"/>
        <v>513785.37341093284</v>
      </c>
      <c r="I312" s="71">
        <v>870</v>
      </c>
      <c r="J312" s="928"/>
      <c r="K312" s="99">
        <v>180</v>
      </c>
      <c r="N312" s="82"/>
    </row>
    <row r="313" spans="1:14" s="71" customFormat="1" ht="30" customHeight="1" x14ac:dyDescent="0.25">
      <c r="A313" s="82"/>
      <c r="B313" s="103">
        <v>190</v>
      </c>
      <c r="C313" s="82" t="s">
        <v>2628</v>
      </c>
      <c r="D313" s="103">
        <v>6</v>
      </c>
      <c r="E313" s="1093">
        <v>158.21</v>
      </c>
      <c r="F313" s="1093">
        <f t="shared" si="30"/>
        <v>949.26</v>
      </c>
      <c r="G313" s="104">
        <f t="shared" si="31"/>
        <v>141180.32500928111</v>
      </c>
      <c r="H313" s="104">
        <f t="shared" si="38"/>
        <v>847081.95005568664</v>
      </c>
      <c r="I313" s="71">
        <v>870</v>
      </c>
      <c r="J313" s="928"/>
      <c r="K313" s="99">
        <v>180</v>
      </c>
      <c r="N313" s="82"/>
    </row>
    <row r="314" spans="1:14" s="71" customFormat="1" ht="30" customHeight="1" x14ac:dyDescent="0.25">
      <c r="A314" s="82"/>
      <c r="B314" s="103">
        <v>190</v>
      </c>
      <c r="C314" s="82" t="s">
        <v>2629</v>
      </c>
      <c r="D314" s="103">
        <v>3</v>
      </c>
      <c r="E314" s="99">
        <v>303.92</v>
      </c>
      <c r="F314" s="99">
        <f t="shared" si="30"/>
        <v>911.76</v>
      </c>
      <c r="G314" s="104">
        <f t="shared" ref="G314:G377" si="39">(I314*E314)+(J314*(F314/SUMIF(B:B,B314,F:F)))/D314+((K314*I314)*(F314/SUMIF(B:B,B314,F:F)))/D314</f>
        <v>271206.14611478866</v>
      </c>
      <c r="H314" s="104">
        <f t="shared" si="38"/>
        <v>813618.43834436592</v>
      </c>
      <c r="I314" s="71">
        <v>870</v>
      </c>
      <c r="J314" s="928"/>
      <c r="K314" s="99">
        <v>180</v>
      </c>
      <c r="N314" s="82"/>
    </row>
    <row r="315" spans="1:14" s="71" customFormat="1" ht="30" customHeight="1" x14ac:dyDescent="0.25">
      <c r="A315" s="82"/>
      <c r="B315" s="103">
        <v>190</v>
      </c>
      <c r="C315" s="82" t="s">
        <v>2630</v>
      </c>
      <c r="D315" s="103">
        <v>200</v>
      </c>
      <c r="E315" s="99">
        <v>11</v>
      </c>
      <c r="F315" s="99">
        <f t="shared" si="30"/>
        <v>2200</v>
      </c>
      <c r="G315" s="104">
        <f t="shared" si="39"/>
        <v>9815.9634353207257</v>
      </c>
      <c r="H315" s="104">
        <f t="shared" si="38"/>
        <v>1963192.6870641452</v>
      </c>
      <c r="I315" s="71">
        <v>870</v>
      </c>
      <c r="J315" s="928"/>
      <c r="K315" s="99">
        <v>180</v>
      </c>
      <c r="N315" s="82"/>
    </row>
    <row r="316" spans="1:14" s="71" customFormat="1" ht="30" customHeight="1" x14ac:dyDescent="0.25">
      <c r="A316" s="1145">
        <v>44165</v>
      </c>
      <c r="B316" s="103">
        <v>191</v>
      </c>
      <c r="C316" s="82" t="s">
        <v>2661</v>
      </c>
      <c r="D316" s="103">
        <v>12</v>
      </c>
      <c r="E316" s="1093">
        <v>118.73</v>
      </c>
      <c r="F316" s="99">
        <f t="shared" ref="F316:F360" si="40">E316*D316</f>
        <v>1424.76</v>
      </c>
      <c r="G316" s="104">
        <f t="shared" si="39"/>
        <v>126801.34483489634</v>
      </c>
      <c r="H316" s="104">
        <f>(G316*D316)</f>
        <v>1521616.1380187562</v>
      </c>
      <c r="I316" s="71">
        <v>870</v>
      </c>
      <c r="J316" s="928"/>
      <c r="K316" s="99">
        <v>380</v>
      </c>
      <c r="L316" s="71" t="s">
        <v>1807</v>
      </c>
      <c r="N316" s="82"/>
    </row>
    <row r="317" spans="1:14" s="71" customFormat="1" ht="30" customHeight="1" x14ac:dyDescent="0.25">
      <c r="A317" s="1145">
        <v>44165</v>
      </c>
      <c r="B317" s="103">
        <v>191</v>
      </c>
      <c r="C317" s="82" t="s">
        <v>2662</v>
      </c>
      <c r="D317" s="103">
        <v>30</v>
      </c>
      <c r="E317" s="1093">
        <v>8.17</v>
      </c>
      <c r="F317" s="99">
        <f t="shared" si="40"/>
        <v>245.1</v>
      </c>
      <c r="G317" s="104">
        <f t="shared" si="39"/>
        <v>8725.4020660414644</v>
      </c>
      <c r="H317" s="104">
        <f>(G317*D317)</f>
        <v>261762.06198124393</v>
      </c>
      <c r="I317" s="71">
        <v>870</v>
      </c>
      <c r="J317" s="928"/>
      <c r="K317" s="99">
        <v>380</v>
      </c>
      <c r="L317" s="71" t="s">
        <v>1807</v>
      </c>
      <c r="N317" s="82"/>
    </row>
    <row r="318" spans="1:14" s="71" customFormat="1" ht="30" customHeight="1" x14ac:dyDescent="0.25">
      <c r="A318" s="1145">
        <v>44187</v>
      </c>
      <c r="B318" s="103">
        <v>192</v>
      </c>
      <c r="C318" s="82" t="s">
        <v>2780</v>
      </c>
      <c r="D318" s="103">
        <v>1</v>
      </c>
      <c r="E318" s="99">
        <v>995.6</v>
      </c>
      <c r="F318" s="99">
        <f t="shared" si="40"/>
        <v>995.6</v>
      </c>
      <c r="G318" s="104">
        <f t="shared" si="39"/>
        <v>946484.65646731574</v>
      </c>
      <c r="H318" s="104">
        <f t="shared" ref="H318:H327" si="41">(G318*D318)</f>
        <v>946484.65646731574</v>
      </c>
      <c r="I318" s="71">
        <v>870</v>
      </c>
      <c r="J318" s="928"/>
      <c r="K318" s="99">
        <v>100</v>
      </c>
      <c r="L318" s="71" t="s">
        <v>2784</v>
      </c>
      <c r="N318" s="82"/>
    </row>
    <row r="319" spans="1:14" s="71" customFormat="1" ht="30" customHeight="1" x14ac:dyDescent="0.25">
      <c r="A319" s="1145">
        <v>44187</v>
      </c>
      <c r="B319" s="103">
        <v>192</v>
      </c>
      <c r="C319" s="82" t="s">
        <v>2781</v>
      </c>
      <c r="D319" s="103">
        <v>1</v>
      </c>
      <c r="E319" s="99">
        <v>82.9</v>
      </c>
      <c r="F319" s="99">
        <f t="shared" si="40"/>
        <v>82.9</v>
      </c>
      <c r="G319" s="104">
        <f t="shared" si="39"/>
        <v>78810.343532684288</v>
      </c>
      <c r="H319" s="104">
        <f t="shared" si="41"/>
        <v>78810.343532684288</v>
      </c>
      <c r="I319" s="71">
        <v>870</v>
      </c>
      <c r="J319" s="928"/>
      <c r="K319" s="99">
        <v>100</v>
      </c>
      <c r="L319" s="71" t="s">
        <v>2784</v>
      </c>
      <c r="N319" s="82"/>
    </row>
    <row r="320" spans="1:14" s="71" customFormat="1" ht="30" customHeight="1" x14ac:dyDescent="0.25">
      <c r="A320" s="1145">
        <v>44165</v>
      </c>
      <c r="B320" s="103">
        <v>193</v>
      </c>
      <c r="C320" s="82" t="s">
        <v>2782</v>
      </c>
      <c r="D320" s="103">
        <v>4</v>
      </c>
      <c r="E320" s="99">
        <v>141</v>
      </c>
      <c r="F320" s="99">
        <f t="shared" si="40"/>
        <v>564</v>
      </c>
      <c r="G320" s="104">
        <f t="shared" si="39"/>
        <v>127696.21276281905</v>
      </c>
      <c r="H320" s="104">
        <f t="shared" si="41"/>
        <v>510784.8510512762</v>
      </c>
      <c r="I320" s="71">
        <v>870</v>
      </c>
      <c r="J320" s="928"/>
      <c r="K320" s="99">
        <v>200</v>
      </c>
      <c r="L320" s="71" t="s">
        <v>2241</v>
      </c>
      <c r="N320" s="82"/>
    </row>
    <row r="321" spans="1:14" s="71" customFormat="1" ht="30" customHeight="1" x14ac:dyDescent="0.25">
      <c r="A321" s="82"/>
      <c r="B321" s="103">
        <v>193</v>
      </c>
      <c r="C321" s="82" t="s">
        <v>2588</v>
      </c>
      <c r="D321" s="103">
        <v>2</v>
      </c>
      <c r="E321" s="99">
        <v>237.52</v>
      </c>
      <c r="F321" s="99">
        <f t="shared" si="40"/>
        <v>475.04</v>
      </c>
      <c r="G321" s="104">
        <f t="shared" si="39"/>
        <v>215109.25145691336</v>
      </c>
      <c r="H321" s="104">
        <f t="shared" si="41"/>
        <v>430218.50291382673</v>
      </c>
      <c r="I321" s="71">
        <v>870</v>
      </c>
      <c r="J321" s="928"/>
      <c r="K321" s="99">
        <v>200</v>
      </c>
      <c r="L321" s="71" t="s">
        <v>659</v>
      </c>
      <c r="N321" s="82"/>
    </row>
    <row r="322" spans="1:14" s="71" customFormat="1" ht="30" customHeight="1" x14ac:dyDescent="0.25">
      <c r="A322" s="82"/>
      <c r="B322" s="103">
        <v>193</v>
      </c>
      <c r="C322" s="82" t="s">
        <v>1308</v>
      </c>
      <c r="D322" s="103">
        <v>100</v>
      </c>
      <c r="E322" s="99">
        <v>7.3</v>
      </c>
      <c r="F322" s="99">
        <f t="shared" si="40"/>
        <v>730</v>
      </c>
      <c r="G322" s="104">
        <f t="shared" si="39"/>
        <v>6611.2223628977245</v>
      </c>
      <c r="H322" s="104">
        <f t="shared" si="41"/>
        <v>661122.23628977244</v>
      </c>
      <c r="I322" s="71">
        <v>870</v>
      </c>
      <c r="J322" s="928"/>
      <c r="K322" s="99">
        <v>200</v>
      </c>
      <c r="N322" s="82"/>
    </row>
    <row r="323" spans="1:14" s="71" customFormat="1" ht="30" customHeight="1" x14ac:dyDescent="0.25">
      <c r="A323" s="82"/>
      <c r="B323" s="103">
        <v>193</v>
      </c>
      <c r="C323" s="82" t="s">
        <v>2783</v>
      </c>
      <c r="D323" s="103">
        <v>2</v>
      </c>
      <c r="E323" s="99">
        <v>400.88</v>
      </c>
      <c r="F323" s="99">
        <f t="shared" si="40"/>
        <v>801.76</v>
      </c>
      <c r="G323" s="104">
        <f t="shared" si="39"/>
        <v>363055.72888197802</v>
      </c>
      <c r="H323" s="104">
        <f t="shared" si="41"/>
        <v>726111.45776395604</v>
      </c>
      <c r="I323" s="71">
        <v>870</v>
      </c>
      <c r="J323" s="928"/>
      <c r="K323" s="99">
        <v>200</v>
      </c>
      <c r="L323" s="71" t="s">
        <v>2784</v>
      </c>
      <c r="N323" s="82"/>
    </row>
    <row r="324" spans="1:14" s="71" customFormat="1" ht="30" customHeight="1" x14ac:dyDescent="0.25">
      <c r="A324" s="82"/>
      <c r="B324" s="103">
        <v>193</v>
      </c>
      <c r="C324" s="82" t="s">
        <v>927</v>
      </c>
      <c r="D324" s="103">
        <v>5</v>
      </c>
      <c r="E324" s="99">
        <v>158.21</v>
      </c>
      <c r="F324" s="99">
        <f t="shared" si="40"/>
        <v>791.05000000000007</v>
      </c>
      <c r="G324" s="104">
        <f t="shared" si="39"/>
        <v>143282.3958950752</v>
      </c>
      <c r="H324" s="104">
        <f t="shared" si="41"/>
        <v>716411.97947537596</v>
      </c>
      <c r="I324" s="71">
        <v>870</v>
      </c>
      <c r="J324" s="928"/>
      <c r="K324" s="99">
        <v>200</v>
      </c>
      <c r="L324" s="71" t="s">
        <v>276</v>
      </c>
      <c r="N324" s="82"/>
    </row>
    <row r="325" spans="1:14" s="71" customFormat="1" ht="30" customHeight="1" x14ac:dyDescent="0.25">
      <c r="A325" s="82"/>
      <c r="B325" s="103">
        <v>193</v>
      </c>
      <c r="C325" s="82" t="s">
        <v>1184</v>
      </c>
      <c r="D325" s="103">
        <v>8</v>
      </c>
      <c r="E325" s="99">
        <v>189.92</v>
      </c>
      <c r="F325" s="99">
        <f t="shared" si="40"/>
        <v>1519.36</v>
      </c>
      <c r="G325" s="104">
        <f t="shared" si="39"/>
        <v>172000.45906322406</v>
      </c>
      <c r="H325" s="104">
        <f t="shared" si="41"/>
        <v>1376003.6725057925</v>
      </c>
      <c r="I325" s="71">
        <v>870</v>
      </c>
      <c r="J325" s="928"/>
      <c r="K325" s="99">
        <v>200</v>
      </c>
      <c r="L325" s="71" t="s">
        <v>2545</v>
      </c>
      <c r="N325" s="82"/>
    </row>
    <row r="326" spans="1:14" s="71" customFormat="1" ht="30" customHeight="1" x14ac:dyDescent="0.25">
      <c r="A326" s="1145">
        <v>44243</v>
      </c>
      <c r="B326" s="103">
        <v>194</v>
      </c>
      <c r="C326" s="82" t="s">
        <v>2859</v>
      </c>
      <c r="D326" s="103">
        <v>3</v>
      </c>
      <c r="E326" s="99">
        <v>396.9</v>
      </c>
      <c r="F326" s="99">
        <f t="shared" si="40"/>
        <v>1190.6999999999998</v>
      </c>
      <c r="G326" s="104">
        <f t="shared" si="39"/>
        <v>379517.06070409942</v>
      </c>
      <c r="H326" s="104">
        <f t="shared" si="41"/>
        <v>1138551.1821122982</v>
      </c>
      <c r="I326" s="71">
        <v>870</v>
      </c>
      <c r="J326" s="928"/>
      <c r="K326" s="99">
        <v>675</v>
      </c>
      <c r="N326" s="82"/>
    </row>
    <row r="327" spans="1:14" s="71" customFormat="1" ht="30" customHeight="1" x14ac:dyDescent="0.25">
      <c r="A327" s="82"/>
      <c r="B327" s="103">
        <v>194</v>
      </c>
      <c r="C327" s="82" t="s">
        <v>2860</v>
      </c>
      <c r="D327" s="103">
        <v>3</v>
      </c>
      <c r="E327" s="99">
        <v>849.15</v>
      </c>
      <c r="F327" s="99">
        <f t="shared" si="40"/>
        <v>2547.4499999999998</v>
      </c>
      <c r="G327" s="104">
        <f t="shared" si="39"/>
        <v>811959.97000979097</v>
      </c>
      <c r="H327" s="104">
        <f t="shared" si="41"/>
        <v>2435879.9100293731</v>
      </c>
      <c r="I327" s="71">
        <v>870</v>
      </c>
      <c r="J327" s="928"/>
      <c r="K327" s="99">
        <v>675</v>
      </c>
      <c r="N327" s="82"/>
    </row>
    <row r="328" spans="1:14" s="71" customFormat="1" ht="30" customHeight="1" x14ac:dyDescent="0.25">
      <c r="A328" s="82"/>
      <c r="B328" s="103">
        <v>194</v>
      </c>
      <c r="C328" s="82" t="s">
        <v>2861</v>
      </c>
      <c r="D328" s="103">
        <v>2</v>
      </c>
      <c r="E328" s="99">
        <v>734.08</v>
      </c>
      <c r="F328" s="99">
        <f t="shared" si="40"/>
        <v>1468.16</v>
      </c>
      <c r="G328" s="104">
        <f t="shared" si="39"/>
        <v>701929.66470563202</v>
      </c>
      <c r="H328" s="104">
        <f t="shared" ref="H328:H338" si="42">(G328*D328)</f>
        <v>1403859.329411264</v>
      </c>
      <c r="I328" s="71">
        <v>870</v>
      </c>
      <c r="J328" s="928"/>
      <c r="K328" s="99">
        <v>675</v>
      </c>
      <c r="N328" s="82"/>
    </row>
    <row r="329" spans="1:14" s="71" customFormat="1" ht="30" customHeight="1" x14ac:dyDescent="0.25">
      <c r="A329" s="82"/>
      <c r="B329" s="103">
        <v>194</v>
      </c>
      <c r="C329" s="82" t="s">
        <v>2862</v>
      </c>
      <c r="D329" s="103">
        <v>3</v>
      </c>
      <c r="E329" s="99">
        <v>18.62</v>
      </c>
      <c r="F329" s="99">
        <f t="shared" si="40"/>
        <v>55.86</v>
      </c>
      <c r="G329" s="104">
        <f t="shared" si="39"/>
        <v>17804.504082414544</v>
      </c>
      <c r="H329" s="104">
        <f t="shared" si="42"/>
        <v>53413.512247243634</v>
      </c>
      <c r="I329" s="71">
        <v>870</v>
      </c>
      <c r="J329" s="928"/>
      <c r="K329" s="99">
        <v>675</v>
      </c>
      <c r="N329" s="82"/>
    </row>
    <row r="330" spans="1:14" s="71" customFormat="1" ht="30" customHeight="1" x14ac:dyDescent="0.25">
      <c r="A330" s="82"/>
      <c r="B330" s="103">
        <v>194</v>
      </c>
      <c r="C330" s="82" t="s">
        <v>2863</v>
      </c>
      <c r="D330" s="103">
        <v>4</v>
      </c>
      <c r="E330" s="99">
        <v>29.67</v>
      </c>
      <c r="F330" s="99">
        <f t="shared" si="40"/>
        <v>118.68</v>
      </c>
      <c r="G330" s="104">
        <f t="shared" si="39"/>
        <v>28370.549738197609</v>
      </c>
      <c r="H330" s="104">
        <f t="shared" si="42"/>
        <v>113482.19895279044</v>
      </c>
      <c r="I330" s="71">
        <v>870</v>
      </c>
      <c r="J330" s="928"/>
      <c r="K330" s="99">
        <v>675</v>
      </c>
      <c r="N330" s="82"/>
    </row>
    <row r="331" spans="1:14" s="71" customFormat="1" ht="30" customHeight="1" x14ac:dyDescent="0.25">
      <c r="A331" s="82"/>
      <c r="B331" s="103">
        <v>194</v>
      </c>
      <c r="C331" s="82" t="s">
        <v>2864</v>
      </c>
      <c r="D331" s="103">
        <v>2</v>
      </c>
      <c r="E331" s="99">
        <v>15.22</v>
      </c>
      <c r="F331" s="99">
        <f t="shared" si="40"/>
        <v>30.44</v>
      </c>
      <c r="G331" s="104">
        <f t="shared" si="39"/>
        <v>14553.41311140437</v>
      </c>
      <c r="H331" s="104">
        <f t="shared" si="42"/>
        <v>29106.826222808741</v>
      </c>
      <c r="I331" s="71">
        <v>870</v>
      </c>
      <c r="J331" s="928"/>
      <c r="K331" s="99">
        <v>675</v>
      </c>
      <c r="N331" s="82"/>
    </row>
    <row r="332" spans="1:14" s="71" customFormat="1" ht="30" customHeight="1" x14ac:dyDescent="0.25">
      <c r="A332" s="82"/>
      <c r="B332" s="103">
        <v>194</v>
      </c>
      <c r="C332" s="82" t="s">
        <v>2176</v>
      </c>
      <c r="D332" s="103">
        <v>12</v>
      </c>
      <c r="E332" s="99">
        <v>42.42</v>
      </c>
      <c r="F332" s="99">
        <f t="shared" si="40"/>
        <v>509.04</v>
      </c>
      <c r="G332" s="104">
        <f t="shared" si="39"/>
        <v>40562.140879485763</v>
      </c>
      <c r="H332" s="104">
        <f t="shared" si="42"/>
        <v>486745.69055382919</v>
      </c>
      <c r="I332" s="71">
        <v>870</v>
      </c>
      <c r="J332" s="928"/>
      <c r="K332" s="99">
        <v>675</v>
      </c>
      <c r="N332" s="82"/>
    </row>
    <row r="333" spans="1:14" s="71" customFormat="1" ht="30" customHeight="1" x14ac:dyDescent="0.25">
      <c r="A333" s="82"/>
      <c r="B333" s="103">
        <v>194</v>
      </c>
      <c r="C333" s="82" t="s">
        <v>2865</v>
      </c>
      <c r="D333" s="103">
        <v>2</v>
      </c>
      <c r="E333" s="99">
        <v>431.93</v>
      </c>
      <c r="F333" s="99">
        <f t="shared" si="40"/>
        <v>863.86</v>
      </c>
      <c r="G333" s="104">
        <f t="shared" si="39"/>
        <v>413012.85973777197</v>
      </c>
      <c r="H333" s="104">
        <f t="shared" si="42"/>
        <v>826025.71947554394</v>
      </c>
      <c r="I333" s="71">
        <v>870</v>
      </c>
      <c r="J333" s="928"/>
      <c r="K333" s="99">
        <v>675</v>
      </c>
      <c r="N333" s="82"/>
    </row>
    <row r="334" spans="1:14" s="71" customFormat="1" ht="30" customHeight="1" x14ac:dyDescent="0.25">
      <c r="A334" s="82"/>
      <c r="B334" s="103">
        <v>194</v>
      </c>
      <c r="C334" s="82" t="s">
        <v>2866</v>
      </c>
      <c r="D334" s="103">
        <v>5</v>
      </c>
      <c r="E334" s="99">
        <v>5.64</v>
      </c>
      <c r="F334" s="99">
        <f t="shared" si="40"/>
        <v>28.2</v>
      </c>
      <c r="G334" s="104">
        <f t="shared" si="39"/>
        <v>5392.9861989698175</v>
      </c>
      <c r="H334" s="104">
        <f t="shared" si="42"/>
        <v>26964.930994849088</v>
      </c>
      <c r="I334" s="71">
        <v>870</v>
      </c>
      <c r="J334" s="928"/>
      <c r="K334" s="99">
        <v>675</v>
      </c>
      <c r="N334" s="82"/>
    </row>
    <row r="335" spans="1:14" s="71" customFormat="1" ht="30" customHeight="1" x14ac:dyDescent="0.25">
      <c r="A335" s="1145">
        <v>44252</v>
      </c>
      <c r="B335" s="103">
        <v>195</v>
      </c>
      <c r="C335" s="82" t="s">
        <v>2443</v>
      </c>
      <c r="D335" s="103">
        <v>1</v>
      </c>
      <c r="E335" s="99">
        <v>608</v>
      </c>
      <c r="F335" s="99">
        <f t="shared" si="40"/>
        <v>608</v>
      </c>
      <c r="G335" s="104">
        <f t="shared" si="39"/>
        <v>546207.46465842868</v>
      </c>
      <c r="H335" s="104">
        <f t="shared" si="42"/>
        <v>546207.46465842868</v>
      </c>
      <c r="I335" s="71">
        <v>870</v>
      </c>
      <c r="J335" s="928"/>
      <c r="K335" s="99">
        <v>830</v>
      </c>
      <c r="N335" s="82"/>
    </row>
    <row r="336" spans="1:14" s="71" customFormat="1" ht="30" customHeight="1" x14ac:dyDescent="0.25">
      <c r="A336" s="82"/>
      <c r="B336" s="103">
        <v>195</v>
      </c>
      <c r="C336" s="82" t="s">
        <v>2867</v>
      </c>
      <c r="D336" s="103">
        <v>1</v>
      </c>
      <c r="E336" s="99">
        <v>6990.97</v>
      </c>
      <c r="F336" s="99">
        <f t="shared" si="40"/>
        <v>6990.97</v>
      </c>
      <c r="G336" s="104">
        <f t="shared" si="39"/>
        <v>6280460.5250051562</v>
      </c>
      <c r="H336" s="104">
        <f t="shared" si="42"/>
        <v>6280460.5250051562</v>
      </c>
      <c r="I336" s="71">
        <v>870</v>
      </c>
      <c r="J336" s="928"/>
      <c r="K336" s="99">
        <v>830</v>
      </c>
      <c r="N336" s="82"/>
    </row>
    <row r="337" spans="1:14" s="71" customFormat="1" ht="30" customHeight="1" x14ac:dyDescent="0.25">
      <c r="A337" s="82"/>
      <c r="B337" s="103">
        <v>195</v>
      </c>
      <c r="C337" s="82" t="s">
        <v>2867</v>
      </c>
      <c r="D337" s="103">
        <v>1</v>
      </c>
      <c r="E337" s="99">
        <v>6990.97</v>
      </c>
      <c r="F337" s="99">
        <f t="shared" si="40"/>
        <v>6990.97</v>
      </c>
      <c r="G337" s="104">
        <f t="shared" si="39"/>
        <v>6280460.5250051562</v>
      </c>
      <c r="H337" s="104">
        <f t="shared" si="42"/>
        <v>6280460.5250051562</v>
      </c>
      <c r="I337" s="71">
        <v>870</v>
      </c>
      <c r="J337" s="928"/>
      <c r="K337" s="99">
        <v>830</v>
      </c>
      <c r="N337" s="82"/>
    </row>
    <row r="338" spans="1:14" s="71" customFormat="1" ht="30" customHeight="1" x14ac:dyDescent="0.25">
      <c r="A338" s="82"/>
      <c r="B338" s="103">
        <v>195</v>
      </c>
      <c r="C338" s="82" t="s">
        <v>2868</v>
      </c>
      <c r="D338" s="103">
        <v>1</v>
      </c>
      <c r="E338" s="99">
        <v>10865.21</v>
      </c>
      <c r="F338" s="99">
        <f t="shared" si="40"/>
        <v>10865.21</v>
      </c>
      <c r="G338" s="104">
        <f t="shared" si="39"/>
        <v>9760951.9853312578</v>
      </c>
      <c r="H338" s="104">
        <f t="shared" si="42"/>
        <v>9760951.9853312578</v>
      </c>
      <c r="I338" s="71">
        <v>870</v>
      </c>
      <c r="J338" s="928"/>
      <c r="K338" s="99">
        <v>830</v>
      </c>
      <c r="N338" s="82"/>
    </row>
    <row r="339" spans="1:14" s="71" customFormat="1" ht="30" customHeight="1" x14ac:dyDescent="0.25">
      <c r="A339" s="1145">
        <v>44223</v>
      </c>
      <c r="B339" s="103">
        <v>196</v>
      </c>
      <c r="C339" s="82" t="s">
        <v>1899</v>
      </c>
      <c r="D339" s="103">
        <v>2</v>
      </c>
      <c r="E339" s="99">
        <v>158.21</v>
      </c>
      <c r="F339" s="99">
        <f t="shared" si="40"/>
        <v>316.42</v>
      </c>
      <c r="G339" s="104">
        <f t="shared" si="39"/>
        <v>146381.3468743118</v>
      </c>
      <c r="H339" s="104">
        <f t="shared" ref="H339:H350" si="43">(G339*D339)</f>
        <v>292762.6937486236</v>
      </c>
      <c r="I339" s="71">
        <v>870</v>
      </c>
      <c r="J339" s="928"/>
      <c r="K339" s="99">
        <v>320</v>
      </c>
      <c r="N339" s="82"/>
    </row>
    <row r="340" spans="1:14" s="71" customFormat="1" ht="30" customHeight="1" x14ac:dyDescent="0.25">
      <c r="A340" s="82"/>
      <c r="B340" s="103">
        <v>196</v>
      </c>
      <c r="C340" s="82" t="s">
        <v>2871</v>
      </c>
      <c r="D340" s="103">
        <v>3</v>
      </c>
      <c r="E340" s="99">
        <v>140.61000000000001</v>
      </c>
      <c r="F340" s="99">
        <f t="shared" si="40"/>
        <v>421.83000000000004</v>
      </c>
      <c r="G340" s="104">
        <f t="shared" si="39"/>
        <v>130097.22004928251</v>
      </c>
      <c r="H340" s="104">
        <f t="shared" si="43"/>
        <v>390291.66014784749</v>
      </c>
      <c r="I340" s="71">
        <v>870</v>
      </c>
      <c r="J340" s="928"/>
      <c r="K340" s="99">
        <v>320</v>
      </c>
      <c r="N340" s="82"/>
    </row>
    <row r="341" spans="1:14" s="71" customFormat="1" ht="30" customHeight="1" x14ac:dyDescent="0.25">
      <c r="A341" s="82"/>
      <c r="B341" s="103">
        <v>196</v>
      </c>
      <c r="C341" s="82" t="s">
        <v>2872</v>
      </c>
      <c r="D341" s="103">
        <v>10</v>
      </c>
      <c r="E341" s="99">
        <v>37</v>
      </c>
      <c r="F341" s="99">
        <f t="shared" si="40"/>
        <v>370</v>
      </c>
      <c r="G341" s="104">
        <f t="shared" si="39"/>
        <v>34233.675711709351</v>
      </c>
      <c r="H341" s="104">
        <f t="shared" si="43"/>
        <v>342336.75711709354</v>
      </c>
      <c r="I341" s="71">
        <v>870</v>
      </c>
      <c r="J341" s="928"/>
      <c r="K341" s="99">
        <v>320</v>
      </c>
      <c r="N341" s="82"/>
    </row>
    <row r="342" spans="1:14" s="71" customFormat="1" ht="30" customHeight="1" x14ac:dyDescent="0.25">
      <c r="A342" s="82"/>
      <c r="B342" s="103">
        <v>196</v>
      </c>
      <c r="C342" s="82" t="s">
        <v>2873</v>
      </c>
      <c r="D342" s="103">
        <v>4</v>
      </c>
      <c r="E342" s="99">
        <v>37</v>
      </c>
      <c r="F342" s="99">
        <f t="shared" si="40"/>
        <v>148</v>
      </c>
      <c r="G342" s="104">
        <f t="shared" si="39"/>
        <v>34233.675711709351</v>
      </c>
      <c r="H342" s="104">
        <f t="shared" si="43"/>
        <v>136934.7028468374</v>
      </c>
      <c r="I342" s="71">
        <v>870</v>
      </c>
      <c r="J342" s="928"/>
      <c r="K342" s="99">
        <v>320</v>
      </c>
      <c r="N342" s="82"/>
    </row>
    <row r="343" spans="1:14" s="71" customFormat="1" ht="30" customHeight="1" x14ac:dyDescent="0.25">
      <c r="A343" s="82"/>
      <c r="B343" s="103">
        <v>196</v>
      </c>
      <c r="C343" s="82" t="s">
        <v>2475</v>
      </c>
      <c r="D343" s="103">
        <v>1</v>
      </c>
      <c r="E343" s="99">
        <v>167.55</v>
      </c>
      <c r="F343" s="99">
        <f t="shared" si="40"/>
        <v>167.55</v>
      </c>
      <c r="G343" s="104">
        <f t="shared" si="39"/>
        <v>155023.03690532167</v>
      </c>
      <c r="H343" s="104">
        <f t="shared" si="43"/>
        <v>155023.03690532167</v>
      </c>
      <c r="I343" s="71">
        <v>870</v>
      </c>
      <c r="J343" s="928"/>
      <c r="K343" s="99">
        <v>320</v>
      </c>
      <c r="N343" s="82"/>
    </row>
    <row r="344" spans="1:14" s="71" customFormat="1" ht="30" customHeight="1" x14ac:dyDescent="0.25">
      <c r="A344" s="82"/>
      <c r="B344" s="103">
        <v>196</v>
      </c>
      <c r="C344" s="82" t="s">
        <v>2874</v>
      </c>
      <c r="D344" s="103">
        <v>1</v>
      </c>
      <c r="E344" s="99">
        <v>1574.03</v>
      </c>
      <c r="F344" s="99">
        <f t="shared" si="40"/>
        <v>1574.03</v>
      </c>
      <c r="G344" s="104">
        <f t="shared" si="39"/>
        <v>1456346.8265000505</v>
      </c>
      <c r="H344" s="104">
        <f t="shared" si="43"/>
        <v>1456346.8265000505</v>
      </c>
      <c r="I344" s="71">
        <v>870</v>
      </c>
      <c r="J344" s="928"/>
      <c r="K344" s="99">
        <v>320</v>
      </c>
      <c r="L344" s="71" t="s">
        <v>869</v>
      </c>
      <c r="N344" s="82" t="s">
        <v>3053</v>
      </c>
    </row>
    <row r="345" spans="1:14" s="71" customFormat="1" ht="30" customHeight="1" x14ac:dyDescent="0.25">
      <c r="A345" s="82"/>
      <c r="B345" s="103">
        <v>196</v>
      </c>
      <c r="C345" s="82" t="s">
        <v>2875</v>
      </c>
      <c r="D345" s="103">
        <v>1</v>
      </c>
      <c r="E345" s="99">
        <v>590.33000000000004</v>
      </c>
      <c r="F345" s="99">
        <f t="shared" si="40"/>
        <v>590.33000000000004</v>
      </c>
      <c r="G345" s="104">
        <f t="shared" si="39"/>
        <v>546193.66980792931</v>
      </c>
      <c r="H345" s="104">
        <f t="shared" si="43"/>
        <v>546193.66980792931</v>
      </c>
      <c r="I345" s="71">
        <v>870</v>
      </c>
      <c r="J345" s="928"/>
      <c r="K345" s="99">
        <v>320</v>
      </c>
      <c r="N345" s="82"/>
    </row>
    <row r="346" spans="1:14" s="71" customFormat="1" ht="30" customHeight="1" x14ac:dyDescent="0.25">
      <c r="A346" s="82"/>
      <c r="B346" s="103">
        <v>196</v>
      </c>
      <c r="C346" s="82" t="s">
        <v>2876</v>
      </c>
      <c r="D346" s="103">
        <v>1</v>
      </c>
      <c r="E346" s="99">
        <v>734.33</v>
      </c>
      <c r="F346" s="99">
        <f t="shared" si="40"/>
        <v>734.33</v>
      </c>
      <c r="G346" s="104">
        <f t="shared" si="39"/>
        <v>679427.43473998737</v>
      </c>
      <c r="H346" s="104">
        <f t="shared" si="43"/>
        <v>679427.43473998737</v>
      </c>
      <c r="I346" s="71">
        <v>870</v>
      </c>
      <c r="J346" s="928"/>
      <c r="K346" s="99">
        <v>320</v>
      </c>
      <c r="N346" s="82"/>
    </row>
    <row r="347" spans="1:14" s="71" customFormat="1" ht="30" customHeight="1" x14ac:dyDescent="0.25">
      <c r="A347" s="82"/>
      <c r="B347" s="103">
        <v>196</v>
      </c>
      <c r="C347" s="82" t="s">
        <v>2877</v>
      </c>
      <c r="D347" s="103">
        <v>4</v>
      </c>
      <c r="E347" s="99">
        <v>170.7</v>
      </c>
      <c r="F347" s="99">
        <f t="shared" si="40"/>
        <v>682.8</v>
      </c>
      <c r="G347" s="104">
        <f t="shared" si="39"/>
        <v>157937.52551321045</v>
      </c>
      <c r="H347" s="104">
        <f t="shared" si="43"/>
        <v>631750.1020528418</v>
      </c>
      <c r="I347" s="71">
        <v>870</v>
      </c>
      <c r="J347" s="928"/>
      <c r="K347" s="99">
        <v>320</v>
      </c>
      <c r="N347" s="82"/>
    </row>
    <row r="348" spans="1:14" s="71" customFormat="1" ht="30" customHeight="1" x14ac:dyDescent="0.25">
      <c r="A348" s="82"/>
      <c r="B348" s="103">
        <v>196</v>
      </c>
      <c r="C348" s="82" t="s">
        <v>862</v>
      </c>
      <c r="D348" s="103">
        <v>8</v>
      </c>
      <c r="E348" s="99">
        <v>4.38</v>
      </c>
      <c r="F348" s="99">
        <f t="shared" si="40"/>
        <v>35.04</v>
      </c>
      <c r="G348" s="104">
        <f t="shared" si="39"/>
        <v>4052.5270166834312</v>
      </c>
      <c r="H348" s="104">
        <f t="shared" si="43"/>
        <v>32420.216133467449</v>
      </c>
      <c r="I348" s="71">
        <v>870</v>
      </c>
      <c r="J348" s="928"/>
      <c r="K348" s="99">
        <v>320</v>
      </c>
      <c r="N348" s="82"/>
    </row>
    <row r="349" spans="1:14" s="71" customFormat="1" ht="30" customHeight="1" x14ac:dyDescent="0.25">
      <c r="A349" s="1145">
        <v>44279</v>
      </c>
      <c r="B349" s="103">
        <v>197</v>
      </c>
      <c r="C349" s="82" t="s">
        <v>2475</v>
      </c>
      <c r="D349" s="103">
        <v>8</v>
      </c>
      <c r="E349" s="99">
        <v>206.96</v>
      </c>
      <c r="F349" s="99">
        <f t="shared" si="40"/>
        <v>1655.68</v>
      </c>
      <c r="G349" s="104">
        <f t="shared" si="39"/>
        <v>183824.90061004224</v>
      </c>
      <c r="H349" s="104">
        <f t="shared" si="43"/>
        <v>1470599.2048803379</v>
      </c>
      <c r="I349" s="71">
        <v>870</v>
      </c>
      <c r="J349" s="928"/>
      <c r="K349" s="99">
        <v>290</v>
      </c>
      <c r="N349" s="82"/>
    </row>
    <row r="350" spans="1:14" s="71" customFormat="1" ht="30" customHeight="1" x14ac:dyDescent="0.25">
      <c r="A350" s="1145"/>
      <c r="B350" s="103">
        <v>197</v>
      </c>
      <c r="C350" s="82" t="s">
        <v>2953</v>
      </c>
      <c r="D350" s="103">
        <v>4</v>
      </c>
      <c r="E350" s="99">
        <v>38.17</v>
      </c>
      <c r="F350" s="99">
        <f t="shared" si="40"/>
        <v>152.68</v>
      </c>
      <c r="G350" s="104">
        <f t="shared" si="39"/>
        <v>33903.152571923623</v>
      </c>
      <c r="H350" s="104">
        <f t="shared" si="43"/>
        <v>135612.61028769449</v>
      </c>
      <c r="I350" s="71">
        <v>870</v>
      </c>
      <c r="J350" s="928"/>
      <c r="K350" s="99">
        <v>290</v>
      </c>
      <c r="N350" s="82"/>
    </row>
    <row r="351" spans="1:14" s="71" customFormat="1" ht="30" customHeight="1" x14ac:dyDescent="0.25">
      <c r="A351" s="82"/>
      <c r="B351" s="103">
        <v>197</v>
      </c>
      <c r="C351" s="82" t="s">
        <v>2954</v>
      </c>
      <c r="D351" s="103">
        <v>4</v>
      </c>
      <c r="E351" s="99">
        <v>129.97</v>
      </c>
      <c r="F351" s="99">
        <f t="shared" si="40"/>
        <v>519.88</v>
      </c>
      <c r="G351" s="104">
        <f t="shared" si="39"/>
        <v>115441.25595422878</v>
      </c>
      <c r="H351" s="104">
        <f t="shared" ref="H351:H360" si="44">(G351*D351)</f>
        <v>461765.02381691511</v>
      </c>
      <c r="I351" s="71">
        <v>870</v>
      </c>
      <c r="J351" s="928"/>
      <c r="K351" s="99">
        <v>290</v>
      </c>
      <c r="N351" s="82"/>
    </row>
    <row r="352" spans="1:14" s="71" customFormat="1" ht="30" customHeight="1" x14ac:dyDescent="0.25">
      <c r="A352" s="82"/>
      <c r="B352" s="103">
        <v>197</v>
      </c>
      <c r="C352" s="82" t="s">
        <v>2955</v>
      </c>
      <c r="D352" s="103">
        <v>50</v>
      </c>
      <c r="E352" s="99">
        <v>12.55</v>
      </c>
      <c r="F352" s="99">
        <f t="shared" si="40"/>
        <v>627.5</v>
      </c>
      <c r="G352" s="104">
        <f t="shared" si="39"/>
        <v>11147.093654116883</v>
      </c>
      <c r="H352" s="104">
        <f t="shared" si="44"/>
        <v>557354.68270584417</v>
      </c>
      <c r="I352" s="71">
        <v>870</v>
      </c>
      <c r="J352" s="928"/>
      <c r="K352" s="99">
        <v>290</v>
      </c>
      <c r="N352" s="82"/>
    </row>
    <row r="353" spans="1:14" s="71" customFormat="1" ht="30" customHeight="1" x14ac:dyDescent="0.25">
      <c r="A353" s="82"/>
      <c r="B353" s="103">
        <v>197</v>
      </c>
      <c r="C353" s="82" t="s">
        <v>2956</v>
      </c>
      <c r="D353" s="103">
        <v>100</v>
      </c>
      <c r="E353" s="99">
        <v>11</v>
      </c>
      <c r="F353" s="99">
        <f t="shared" si="40"/>
        <v>1100</v>
      </c>
      <c r="G353" s="104">
        <f t="shared" si="39"/>
        <v>9770.3609717359122</v>
      </c>
      <c r="H353" s="104">
        <f t="shared" si="44"/>
        <v>977036.09717359126</v>
      </c>
      <c r="I353" s="71">
        <v>870</v>
      </c>
      <c r="J353" s="928"/>
      <c r="K353" s="99">
        <v>290</v>
      </c>
      <c r="N353" s="82"/>
    </row>
    <row r="354" spans="1:14" s="71" customFormat="1" ht="30" customHeight="1" x14ac:dyDescent="0.25">
      <c r="A354" s="82"/>
      <c r="B354" s="103">
        <v>197</v>
      </c>
      <c r="C354" s="82" t="s">
        <v>2956</v>
      </c>
      <c r="D354" s="103">
        <v>30</v>
      </c>
      <c r="E354" s="99">
        <v>11</v>
      </c>
      <c r="F354" s="99">
        <f t="shared" si="40"/>
        <v>330</v>
      </c>
      <c r="G354" s="104">
        <f t="shared" si="39"/>
        <v>9770.3609717359122</v>
      </c>
      <c r="H354" s="104">
        <f t="shared" si="44"/>
        <v>293110.82915207738</v>
      </c>
      <c r="I354" s="71">
        <v>870</v>
      </c>
      <c r="J354" s="928"/>
      <c r="K354" s="99">
        <v>290</v>
      </c>
      <c r="N354" s="82"/>
    </row>
    <row r="355" spans="1:14" s="71" customFormat="1" ht="30" customHeight="1" x14ac:dyDescent="0.25">
      <c r="A355" s="82"/>
      <c r="B355" s="103">
        <v>197</v>
      </c>
      <c r="C355" s="82" t="s">
        <v>2956</v>
      </c>
      <c r="D355" s="103">
        <v>30</v>
      </c>
      <c r="E355" s="99">
        <v>11</v>
      </c>
      <c r="F355" s="99">
        <f t="shared" si="40"/>
        <v>330</v>
      </c>
      <c r="G355" s="104">
        <f t="shared" si="39"/>
        <v>9770.3609717359122</v>
      </c>
      <c r="H355" s="104">
        <f t="shared" si="44"/>
        <v>293110.82915207738</v>
      </c>
      <c r="I355" s="71">
        <v>870</v>
      </c>
      <c r="J355" s="928"/>
      <c r="K355" s="99">
        <v>290</v>
      </c>
      <c r="N355" s="82"/>
    </row>
    <row r="356" spans="1:14" s="71" customFormat="1" ht="30" customHeight="1" x14ac:dyDescent="0.25">
      <c r="A356" s="82"/>
      <c r="B356" s="103">
        <v>197</v>
      </c>
      <c r="C356" s="82" t="s">
        <v>2957</v>
      </c>
      <c r="D356" s="103">
        <v>2</v>
      </c>
      <c r="E356" s="99">
        <v>4255.92</v>
      </c>
      <c r="F356" s="99">
        <f t="shared" si="40"/>
        <v>8511.84</v>
      </c>
      <c r="G356" s="104">
        <f t="shared" si="39"/>
        <v>3780170.4242573008</v>
      </c>
      <c r="H356" s="104">
        <f t="shared" si="44"/>
        <v>7560340.8485146016</v>
      </c>
      <c r="I356" s="71">
        <v>870</v>
      </c>
      <c r="J356" s="928"/>
      <c r="K356" s="99">
        <v>290</v>
      </c>
      <c r="N356" s="82"/>
    </row>
    <row r="357" spans="1:14" s="71" customFormat="1" ht="30" customHeight="1" x14ac:dyDescent="0.25">
      <c r="A357" s="82"/>
      <c r="B357" s="103">
        <v>197</v>
      </c>
      <c r="C357" s="82" t="s">
        <v>2958</v>
      </c>
      <c r="D357" s="103">
        <v>1</v>
      </c>
      <c r="E357" s="99">
        <v>279.92</v>
      </c>
      <c r="F357" s="99">
        <f t="shared" si="40"/>
        <v>279.92</v>
      </c>
      <c r="G357" s="104">
        <f t="shared" si="39"/>
        <v>248629.04029166518</v>
      </c>
      <c r="H357" s="104">
        <f t="shared" si="44"/>
        <v>248629.04029166518</v>
      </c>
      <c r="I357" s="71">
        <v>870</v>
      </c>
      <c r="J357" s="928"/>
      <c r="K357" s="99">
        <v>290</v>
      </c>
      <c r="N357" s="82"/>
    </row>
    <row r="358" spans="1:14" s="71" customFormat="1" ht="30" customHeight="1" x14ac:dyDescent="0.25">
      <c r="A358" s="82"/>
      <c r="B358" s="103">
        <v>197</v>
      </c>
      <c r="C358" s="82" t="s">
        <v>2959</v>
      </c>
      <c r="D358" s="103">
        <v>2</v>
      </c>
      <c r="E358" s="99">
        <v>172</v>
      </c>
      <c r="F358" s="99">
        <f t="shared" si="40"/>
        <v>344</v>
      </c>
      <c r="G358" s="104">
        <f t="shared" si="39"/>
        <v>152772.9170125979</v>
      </c>
      <c r="H358" s="104">
        <f t="shared" si="44"/>
        <v>305545.8340251958</v>
      </c>
      <c r="I358" s="71">
        <v>870</v>
      </c>
      <c r="J358" s="928"/>
      <c r="K358" s="99">
        <v>290</v>
      </c>
      <c r="N358" s="82"/>
    </row>
    <row r="359" spans="1:14" s="71" customFormat="1" ht="30" customHeight="1" x14ac:dyDescent="0.25">
      <c r="A359" s="1145">
        <v>44299</v>
      </c>
      <c r="B359" s="103">
        <v>198</v>
      </c>
      <c r="C359" s="82" t="s">
        <v>2988</v>
      </c>
      <c r="D359" s="103">
        <v>50</v>
      </c>
      <c r="E359" s="99">
        <v>7.99</v>
      </c>
      <c r="F359" s="99">
        <f t="shared" si="40"/>
        <v>399.5</v>
      </c>
      <c r="G359" s="104">
        <f t="shared" si="39"/>
        <v>7217.9854228043732</v>
      </c>
      <c r="H359" s="104">
        <f t="shared" si="44"/>
        <v>360899.27114021865</v>
      </c>
      <c r="I359" s="71">
        <v>870</v>
      </c>
      <c r="J359" s="928"/>
      <c r="K359" s="99">
        <v>480</v>
      </c>
      <c r="N359" s="82"/>
    </row>
    <row r="360" spans="1:14" s="71" customFormat="1" ht="30" customHeight="1" x14ac:dyDescent="0.25">
      <c r="A360" s="82"/>
      <c r="B360" s="103">
        <v>198</v>
      </c>
      <c r="C360" s="82" t="s">
        <v>1308</v>
      </c>
      <c r="D360" s="103">
        <v>130</v>
      </c>
      <c r="E360" s="99">
        <v>11</v>
      </c>
      <c r="F360" s="99">
        <f t="shared" si="40"/>
        <v>1430</v>
      </c>
      <c r="G360" s="104">
        <f t="shared" si="39"/>
        <v>9937.1513956005128</v>
      </c>
      <c r="H360" s="104">
        <f t="shared" si="44"/>
        <v>1291829.6814280667</v>
      </c>
      <c r="I360" s="71">
        <v>870</v>
      </c>
      <c r="J360" s="928"/>
      <c r="K360" s="99">
        <v>480</v>
      </c>
      <c r="N360" s="82"/>
    </row>
    <row r="361" spans="1:14" s="71" customFormat="1" ht="30" customHeight="1" x14ac:dyDescent="0.25">
      <c r="A361" s="82"/>
      <c r="B361" s="103">
        <v>198</v>
      </c>
      <c r="C361" s="82" t="s">
        <v>2989</v>
      </c>
      <c r="D361" s="103">
        <v>1</v>
      </c>
      <c r="E361" s="99">
        <v>5003.0200000000004</v>
      </c>
      <c r="F361" s="99">
        <f t="shared" ref="F361:F369" si="45">E361*D361</f>
        <v>5003.0200000000004</v>
      </c>
      <c r="G361" s="104">
        <f t="shared" si="39"/>
        <v>4519615.1977470256</v>
      </c>
      <c r="H361" s="104">
        <f t="shared" ref="H361:H369" si="46">(G361*D361)</f>
        <v>4519615.1977470256</v>
      </c>
      <c r="I361" s="71">
        <v>870</v>
      </c>
      <c r="J361" s="928"/>
      <c r="K361" s="99">
        <v>480</v>
      </c>
      <c r="N361" s="82"/>
    </row>
    <row r="362" spans="1:14" s="71" customFormat="1" ht="30" customHeight="1" x14ac:dyDescent="0.25">
      <c r="A362" s="82"/>
      <c r="B362" s="103">
        <v>198</v>
      </c>
      <c r="C362" s="82" t="s">
        <v>2990</v>
      </c>
      <c r="D362" s="103">
        <v>1</v>
      </c>
      <c r="E362" s="99">
        <v>5003.0200000000004</v>
      </c>
      <c r="F362" s="99">
        <f t="shared" si="45"/>
        <v>5003.0200000000004</v>
      </c>
      <c r="G362" s="104">
        <f t="shared" si="39"/>
        <v>4519615.1977470256</v>
      </c>
      <c r="H362" s="104">
        <f t="shared" si="46"/>
        <v>4519615.1977470256</v>
      </c>
      <c r="I362" s="71">
        <v>870</v>
      </c>
      <c r="J362" s="928"/>
      <c r="K362" s="99">
        <v>480</v>
      </c>
      <c r="N362" s="82"/>
    </row>
    <row r="363" spans="1:14" s="71" customFormat="1" ht="30" customHeight="1" x14ac:dyDescent="0.25">
      <c r="A363" s="82"/>
      <c r="B363" s="103">
        <v>198</v>
      </c>
      <c r="C363" s="82" t="s">
        <v>2991</v>
      </c>
      <c r="D363" s="103">
        <v>1</v>
      </c>
      <c r="E363" s="99">
        <v>675.92</v>
      </c>
      <c r="F363" s="99">
        <f t="shared" si="45"/>
        <v>675.92</v>
      </c>
      <c r="G363" s="104">
        <f t="shared" si="39"/>
        <v>610610.85193766351</v>
      </c>
      <c r="H363" s="104">
        <f t="shared" si="46"/>
        <v>610610.85193766351</v>
      </c>
      <c r="I363" s="71">
        <v>870</v>
      </c>
      <c r="J363" s="928"/>
      <c r="K363" s="99">
        <v>480</v>
      </c>
      <c r="N363" s="82"/>
    </row>
    <row r="364" spans="1:14" s="71" customFormat="1" ht="30" customHeight="1" x14ac:dyDescent="0.25">
      <c r="A364" s="1145">
        <v>44316</v>
      </c>
      <c r="B364" s="103">
        <v>199</v>
      </c>
      <c r="C364" s="82" t="s">
        <v>2992</v>
      </c>
      <c r="D364" s="103">
        <v>30</v>
      </c>
      <c r="E364" s="99">
        <v>150.97</v>
      </c>
      <c r="F364" s="99">
        <f t="shared" si="45"/>
        <v>4529.1000000000004</v>
      </c>
      <c r="G364" s="104">
        <f t="shared" si="39"/>
        <v>138034.94626639088</v>
      </c>
      <c r="H364" s="104">
        <f t="shared" si="46"/>
        <v>4141048.3879917264</v>
      </c>
      <c r="I364" s="71">
        <v>870</v>
      </c>
      <c r="J364" s="928"/>
      <c r="K364" s="99">
        <v>300</v>
      </c>
      <c r="N364" s="82"/>
    </row>
    <row r="365" spans="1:14" s="71" customFormat="1" ht="30" customHeight="1" x14ac:dyDescent="0.25">
      <c r="A365" s="82"/>
      <c r="B365" s="103">
        <v>199</v>
      </c>
      <c r="C365" s="82" t="s">
        <v>927</v>
      </c>
      <c r="D365" s="103">
        <v>2</v>
      </c>
      <c r="E365" s="99">
        <v>679.92</v>
      </c>
      <c r="F365" s="99">
        <f t="shared" si="45"/>
        <v>1359.84</v>
      </c>
      <c r="G365" s="104">
        <f t="shared" si="39"/>
        <v>621664.70600413647</v>
      </c>
      <c r="H365" s="104">
        <f t="shared" si="46"/>
        <v>1243329.4120082729</v>
      </c>
      <c r="I365" s="71">
        <v>870</v>
      </c>
      <c r="J365" s="928"/>
      <c r="K365" s="99">
        <v>300</v>
      </c>
      <c r="N365" s="82"/>
    </row>
    <row r="366" spans="1:14" s="71" customFormat="1" ht="30" customHeight="1" x14ac:dyDescent="0.25">
      <c r="A366" s="1145">
        <v>44335</v>
      </c>
      <c r="B366" s="103">
        <v>200</v>
      </c>
      <c r="C366" s="82" t="s">
        <v>2993</v>
      </c>
      <c r="D366" s="103">
        <v>9</v>
      </c>
      <c r="E366" s="99">
        <v>197.25</v>
      </c>
      <c r="F366" s="99">
        <f t="shared" si="45"/>
        <v>1775.25</v>
      </c>
      <c r="G366" s="104">
        <f t="shared" si="39"/>
        <v>191402.56010256609</v>
      </c>
      <c r="H366" s="104">
        <f t="shared" si="46"/>
        <v>1722623.0409230948</v>
      </c>
      <c r="I366" s="71">
        <v>870</v>
      </c>
      <c r="J366" s="928"/>
      <c r="K366" s="99">
        <v>240</v>
      </c>
      <c r="N366" s="82"/>
    </row>
    <row r="367" spans="1:14" s="71" customFormat="1" ht="30" customHeight="1" x14ac:dyDescent="0.25">
      <c r="A367" s="82"/>
      <c r="B367" s="103">
        <v>200</v>
      </c>
      <c r="C367" s="82" t="s">
        <v>1532</v>
      </c>
      <c r="D367" s="103">
        <v>8</v>
      </c>
      <c r="E367" s="99">
        <v>38.17</v>
      </c>
      <c r="F367" s="99">
        <f t="shared" si="45"/>
        <v>305.36</v>
      </c>
      <c r="G367" s="104">
        <f t="shared" si="39"/>
        <v>37038.457384613168</v>
      </c>
      <c r="H367" s="104">
        <f t="shared" si="46"/>
        <v>296307.65907690534</v>
      </c>
      <c r="I367" s="71">
        <v>870</v>
      </c>
      <c r="J367" s="928"/>
      <c r="K367" s="99">
        <v>240</v>
      </c>
      <c r="L367" s="71" t="s">
        <v>659</v>
      </c>
      <c r="N367" s="82"/>
    </row>
    <row r="368" spans="1:14" s="71" customFormat="1" ht="30" customHeight="1" x14ac:dyDescent="0.25">
      <c r="A368" s="1145">
        <v>44351</v>
      </c>
      <c r="B368" s="103">
        <v>201</v>
      </c>
      <c r="C368" s="82" t="s">
        <v>3022</v>
      </c>
      <c r="D368" s="103">
        <v>12</v>
      </c>
      <c r="E368" s="99">
        <v>316.73</v>
      </c>
      <c r="F368" s="99">
        <f t="shared" si="45"/>
        <v>3800.76</v>
      </c>
      <c r="G368" s="104">
        <f t="shared" si="39"/>
        <v>281568.12962634297</v>
      </c>
      <c r="H368" s="104">
        <f t="shared" si="46"/>
        <v>3378817.5555161154</v>
      </c>
      <c r="I368" s="71">
        <v>870</v>
      </c>
      <c r="J368" s="928"/>
      <c r="K368" s="99">
        <v>120</v>
      </c>
      <c r="N368" s="82"/>
    </row>
    <row r="369" spans="1:14" s="71" customFormat="1" ht="30" customHeight="1" x14ac:dyDescent="0.25">
      <c r="A369" s="82"/>
      <c r="B369" s="103">
        <v>201</v>
      </c>
      <c r="C369" s="82" t="s">
        <v>3023</v>
      </c>
      <c r="D369" s="103">
        <v>20</v>
      </c>
      <c r="E369" s="99">
        <v>84.92</v>
      </c>
      <c r="F369" s="99">
        <f t="shared" si="45"/>
        <v>1698.4</v>
      </c>
      <c r="G369" s="104">
        <f t="shared" si="39"/>
        <v>75492.582224194251</v>
      </c>
      <c r="H369" s="104">
        <f t="shared" si="46"/>
        <v>1509851.644483885</v>
      </c>
      <c r="I369" s="71">
        <v>870</v>
      </c>
      <c r="J369" s="928"/>
      <c r="K369" s="99">
        <v>120</v>
      </c>
      <c r="N369" s="82"/>
    </row>
    <row r="370" spans="1:14" s="71" customFormat="1" ht="30" customHeight="1" x14ac:dyDescent="0.25">
      <c r="A370" s="1145">
        <v>44341</v>
      </c>
      <c r="B370" s="103">
        <v>202</v>
      </c>
      <c r="C370" s="82" t="s">
        <v>3024</v>
      </c>
      <c r="D370" s="103">
        <v>1</v>
      </c>
      <c r="E370" s="99">
        <v>6785.28</v>
      </c>
      <c r="F370" s="99">
        <f t="shared" ref="F370:F400" si="47">E370*D370</f>
        <v>6785.28</v>
      </c>
      <c r="G370" s="104">
        <f t="shared" si="39"/>
        <v>6860193.5999999996</v>
      </c>
      <c r="H370" s="104">
        <f>(G370*D370)</f>
        <v>6860193.5999999996</v>
      </c>
      <c r="I370" s="71">
        <v>870</v>
      </c>
      <c r="J370" s="928"/>
      <c r="K370" s="99">
        <v>1100</v>
      </c>
      <c r="N370" s="82"/>
    </row>
    <row r="371" spans="1:14" s="71" customFormat="1" ht="30" customHeight="1" x14ac:dyDescent="0.25">
      <c r="A371" s="1145">
        <v>44372</v>
      </c>
      <c r="B371" s="103">
        <v>203</v>
      </c>
      <c r="C371" s="82" t="s">
        <v>1184</v>
      </c>
      <c r="D371" s="103">
        <v>8</v>
      </c>
      <c r="E371" s="99">
        <v>206.96</v>
      </c>
      <c r="F371" s="99">
        <f t="shared" si="47"/>
        <v>1655.68</v>
      </c>
      <c r="G371" s="104">
        <f t="shared" si="39"/>
        <v>199630.2</v>
      </c>
      <c r="H371" s="104">
        <f>(G371*D371)</f>
        <v>1597041.6</v>
      </c>
      <c r="I371" s="71">
        <v>870</v>
      </c>
      <c r="J371" s="928"/>
      <c r="K371" s="99">
        <v>180</v>
      </c>
      <c r="N371" s="82"/>
    </row>
    <row r="372" spans="1:14" s="71" customFormat="1" ht="30" customHeight="1" x14ac:dyDescent="0.25">
      <c r="A372" s="1145">
        <v>44355</v>
      </c>
      <c r="B372" s="103">
        <v>204</v>
      </c>
      <c r="C372" s="82" t="s">
        <v>927</v>
      </c>
      <c r="D372" s="103">
        <v>5</v>
      </c>
      <c r="E372" s="99">
        <v>191.92</v>
      </c>
      <c r="F372" s="99">
        <f t="shared" si="47"/>
        <v>959.59999999999991</v>
      </c>
      <c r="G372" s="104">
        <f t="shared" si="39"/>
        <v>180940.5777260272</v>
      </c>
      <c r="H372" s="104">
        <f>(G372*D372)</f>
        <v>904702.88863013603</v>
      </c>
      <c r="I372" s="71">
        <v>870</v>
      </c>
      <c r="J372" s="928"/>
      <c r="K372" s="99">
        <v>120</v>
      </c>
      <c r="N372" s="82"/>
    </row>
    <row r="373" spans="1:14" s="71" customFormat="1" ht="30" customHeight="1" x14ac:dyDescent="0.25">
      <c r="A373" s="82"/>
      <c r="B373" s="103">
        <v>204</v>
      </c>
      <c r="C373" s="82" t="s">
        <v>927</v>
      </c>
      <c r="D373" s="103">
        <v>3</v>
      </c>
      <c r="E373" s="99">
        <v>158.21</v>
      </c>
      <c r="F373" s="99">
        <f t="shared" si="47"/>
        <v>474.63</v>
      </c>
      <c r="G373" s="104">
        <f t="shared" si="39"/>
        <v>149159.07045662132</v>
      </c>
      <c r="H373" s="104">
        <f>(G373*D373)</f>
        <v>447477.21136986394</v>
      </c>
      <c r="I373" s="71">
        <v>870</v>
      </c>
      <c r="J373" s="928"/>
      <c r="K373" s="99">
        <v>120</v>
      </c>
      <c r="L373" s="71" t="s">
        <v>3169</v>
      </c>
      <c r="N373" s="82"/>
    </row>
    <row r="374" spans="1:14" s="71" customFormat="1" ht="30" customHeight="1" x14ac:dyDescent="0.25">
      <c r="A374" s="1145">
        <v>44391</v>
      </c>
      <c r="B374" s="103">
        <v>205</v>
      </c>
      <c r="C374" s="82" t="s">
        <v>2859</v>
      </c>
      <c r="D374" s="103">
        <v>3</v>
      </c>
      <c r="E374" s="99">
        <v>396.9</v>
      </c>
      <c r="F374" s="99">
        <f t="shared" si="47"/>
        <v>1190.6999999999998</v>
      </c>
      <c r="G374" s="104">
        <f t="shared" si="39"/>
        <v>452603</v>
      </c>
      <c r="H374" s="104">
        <f>(G374*D374)</f>
        <v>1357809</v>
      </c>
      <c r="I374" s="71">
        <v>870</v>
      </c>
      <c r="J374" s="928"/>
      <c r="K374" s="99">
        <v>370</v>
      </c>
      <c r="L374" s="71" t="s">
        <v>276</v>
      </c>
      <c r="N374" s="82"/>
    </row>
    <row r="375" spans="1:14" s="71" customFormat="1" ht="31.5" customHeight="1" x14ac:dyDescent="0.25">
      <c r="A375" s="1145">
        <v>44467</v>
      </c>
      <c r="B375" s="103">
        <v>206</v>
      </c>
      <c r="C375" s="82" t="s">
        <v>3142</v>
      </c>
      <c r="D375" s="103">
        <v>3</v>
      </c>
      <c r="E375" s="99">
        <v>213.5</v>
      </c>
      <c r="F375" s="99">
        <f t="shared" si="47"/>
        <v>640.5</v>
      </c>
      <c r="G375" s="104">
        <f t="shared" si="39"/>
        <v>196562.9529804324</v>
      </c>
      <c r="H375" s="104">
        <f t="shared" ref="H375:H386" si="48">(G375*D375)</f>
        <v>589688.85894129716</v>
      </c>
      <c r="I375" s="71">
        <v>880</v>
      </c>
      <c r="J375" s="928"/>
      <c r="K375" s="99">
        <v>250</v>
      </c>
      <c r="L375" s="71" t="s">
        <v>1807</v>
      </c>
      <c r="N375" s="82"/>
    </row>
    <row r="376" spans="1:14" s="71" customFormat="1" ht="30" customHeight="1" x14ac:dyDescent="0.25">
      <c r="A376" s="82"/>
      <c r="B376" s="103">
        <v>206</v>
      </c>
      <c r="C376" s="82" t="s">
        <v>2520</v>
      </c>
      <c r="D376" s="103">
        <v>5</v>
      </c>
      <c r="E376" s="99">
        <v>29.27</v>
      </c>
      <c r="F376" s="99">
        <f t="shared" si="47"/>
        <v>146.35</v>
      </c>
      <c r="G376" s="104">
        <f t="shared" si="39"/>
        <v>26947.998284483634</v>
      </c>
      <c r="H376" s="104">
        <f t="shared" si="48"/>
        <v>134739.99142241816</v>
      </c>
      <c r="I376" s="71">
        <v>880</v>
      </c>
      <c r="J376" s="928"/>
      <c r="K376" s="99">
        <v>250</v>
      </c>
      <c r="L376" s="1244" t="s">
        <v>266</v>
      </c>
      <c r="N376" s="82"/>
    </row>
    <row r="377" spans="1:14" s="71" customFormat="1" ht="30" customHeight="1" x14ac:dyDescent="0.25">
      <c r="A377" s="82"/>
      <c r="B377" s="103">
        <v>206</v>
      </c>
      <c r="C377" s="82" t="s">
        <v>3143</v>
      </c>
      <c r="D377" s="103">
        <v>5</v>
      </c>
      <c r="E377" s="99">
        <v>16.420000000000002</v>
      </c>
      <c r="F377" s="99">
        <f t="shared" si="47"/>
        <v>82.100000000000009</v>
      </c>
      <c r="G377" s="104">
        <f t="shared" si="39"/>
        <v>15117.394322897893</v>
      </c>
      <c r="H377" s="104">
        <f t="shared" si="48"/>
        <v>75586.971614489463</v>
      </c>
      <c r="I377" s="71">
        <v>880</v>
      </c>
      <c r="J377" s="928"/>
      <c r="K377" s="99">
        <v>250</v>
      </c>
      <c r="L377" s="1241"/>
      <c r="N377" s="82"/>
    </row>
    <row r="378" spans="1:14" s="71" customFormat="1" ht="30" customHeight="1" x14ac:dyDescent="0.25">
      <c r="A378" s="82"/>
      <c r="B378" s="103">
        <v>206</v>
      </c>
      <c r="C378" s="82" t="s">
        <v>3144</v>
      </c>
      <c r="D378" s="103">
        <v>5</v>
      </c>
      <c r="E378" s="99">
        <v>39.380000000000003</v>
      </c>
      <c r="F378" s="99">
        <f t="shared" si="47"/>
        <v>196.9</v>
      </c>
      <c r="G378" s="104">
        <f t="shared" ref="G378:G441" si="49">(I378*E378)+(J378*(F378/SUMIF(B:B,B378,F:F)))/D378+((K378*I378)*(F378/SUMIF(B:B,B378,F:F)))/D378</f>
        <v>36255.967627023085</v>
      </c>
      <c r="H378" s="104">
        <f t="shared" si="48"/>
        <v>181279.83813511542</v>
      </c>
      <c r="I378" s="71">
        <v>880</v>
      </c>
      <c r="J378" s="928"/>
      <c r="K378" s="99">
        <v>250</v>
      </c>
      <c r="L378" s="1241"/>
      <c r="N378" s="82"/>
    </row>
    <row r="379" spans="1:14" s="71" customFormat="1" ht="30" customHeight="1" x14ac:dyDescent="0.25">
      <c r="A379" s="82"/>
      <c r="B379" s="103">
        <v>206</v>
      </c>
      <c r="C379" s="82" t="s">
        <v>3143</v>
      </c>
      <c r="D379" s="103">
        <v>2</v>
      </c>
      <c r="E379" s="99">
        <v>23.55</v>
      </c>
      <c r="F379" s="99">
        <f t="shared" si="47"/>
        <v>47.1</v>
      </c>
      <c r="G379" s="104">
        <f t="shared" si="49"/>
        <v>21681.768349832237</v>
      </c>
      <c r="H379" s="104">
        <f t="shared" si="48"/>
        <v>43363.536699664473</v>
      </c>
      <c r="I379" s="71">
        <v>880</v>
      </c>
      <c r="J379" s="928"/>
      <c r="K379" s="99">
        <v>250</v>
      </c>
      <c r="L379" s="1241"/>
      <c r="N379" s="82"/>
    </row>
    <row r="380" spans="1:14" s="71" customFormat="1" ht="30" customHeight="1" x14ac:dyDescent="0.25">
      <c r="A380" s="82"/>
      <c r="B380" s="103">
        <v>206</v>
      </c>
      <c r="C380" s="82" t="s">
        <v>3145</v>
      </c>
      <c r="D380" s="103">
        <v>4</v>
      </c>
      <c r="E380" s="99">
        <v>19.809999999999999</v>
      </c>
      <c r="F380" s="99">
        <f t="shared" si="47"/>
        <v>79.239999999999995</v>
      </c>
      <c r="G380" s="104">
        <f t="shared" si="49"/>
        <v>18238.46416179094</v>
      </c>
      <c r="H380" s="104">
        <f t="shared" si="48"/>
        <v>72953.85664716376</v>
      </c>
      <c r="I380" s="71">
        <v>880</v>
      </c>
      <c r="J380" s="928"/>
      <c r="K380" s="99">
        <v>250</v>
      </c>
      <c r="L380" s="1241"/>
      <c r="N380" s="82"/>
    </row>
    <row r="381" spans="1:14" s="71" customFormat="1" ht="30" customHeight="1" x14ac:dyDescent="0.25">
      <c r="A381" s="82"/>
      <c r="B381" s="103">
        <v>206</v>
      </c>
      <c r="C381" s="82" t="s">
        <v>2662</v>
      </c>
      <c r="D381" s="103">
        <v>6</v>
      </c>
      <c r="E381" s="99">
        <v>16.75</v>
      </c>
      <c r="F381" s="99">
        <f t="shared" si="47"/>
        <v>100.5</v>
      </c>
      <c r="G381" s="104">
        <f t="shared" si="49"/>
        <v>15421.215280666242</v>
      </c>
      <c r="H381" s="104">
        <f t="shared" si="48"/>
        <v>92527.29168399745</v>
      </c>
      <c r="I381" s="71">
        <v>880</v>
      </c>
      <c r="J381" s="928"/>
      <c r="K381" s="99">
        <v>250</v>
      </c>
      <c r="L381" s="1241"/>
      <c r="N381" s="82"/>
    </row>
    <row r="382" spans="1:14" s="71" customFormat="1" ht="30" customHeight="1" x14ac:dyDescent="0.25">
      <c r="A382" s="82"/>
      <c r="B382" s="103">
        <v>206</v>
      </c>
      <c r="C382" s="82" t="s">
        <v>2176</v>
      </c>
      <c r="D382" s="103">
        <v>12</v>
      </c>
      <c r="E382" s="99">
        <v>42.42</v>
      </c>
      <c r="F382" s="99">
        <f t="shared" si="47"/>
        <v>509.04</v>
      </c>
      <c r="G382" s="104">
        <f t="shared" si="49"/>
        <v>39054.803116767878</v>
      </c>
      <c r="H382" s="104">
        <f t="shared" si="48"/>
        <v>468657.63740121457</v>
      </c>
      <c r="I382" s="71">
        <v>880</v>
      </c>
      <c r="J382" s="928"/>
      <c r="K382" s="99">
        <v>250</v>
      </c>
      <c r="L382" s="1243"/>
      <c r="N382" s="82"/>
    </row>
    <row r="383" spans="1:14" s="71" customFormat="1" ht="30" customHeight="1" x14ac:dyDescent="0.25">
      <c r="A383" s="82"/>
      <c r="B383" s="103">
        <v>206</v>
      </c>
      <c r="C383" s="82" t="s">
        <v>3146</v>
      </c>
      <c r="D383" s="103">
        <v>1</v>
      </c>
      <c r="E383" s="99">
        <v>89.8</v>
      </c>
      <c r="F383" s="99">
        <f t="shared" si="47"/>
        <v>89.8</v>
      </c>
      <c r="G383" s="104">
        <f t="shared" si="49"/>
        <v>82676.12729575095</v>
      </c>
      <c r="H383" s="104">
        <f t="shared" si="48"/>
        <v>82676.12729575095</v>
      </c>
      <c r="I383" s="71">
        <v>880</v>
      </c>
      <c r="J383" s="928"/>
      <c r="K383" s="99">
        <v>250</v>
      </c>
      <c r="N383" s="82"/>
    </row>
    <row r="384" spans="1:14" s="71" customFormat="1" ht="30" customHeight="1" x14ac:dyDescent="0.25">
      <c r="A384" s="82"/>
      <c r="B384" s="103">
        <v>206</v>
      </c>
      <c r="C384" s="82" t="s">
        <v>3147</v>
      </c>
      <c r="D384" s="103">
        <v>1</v>
      </c>
      <c r="E384" s="99">
        <v>2890</v>
      </c>
      <c r="F384" s="99">
        <f t="shared" si="47"/>
        <v>2890</v>
      </c>
      <c r="G384" s="104">
        <f t="shared" si="49"/>
        <v>2660735.0543955485</v>
      </c>
      <c r="H384" s="104">
        <f t="shared" si="48"/>
        <v>2660735.0543955485</v>
      </c>
      <c r="I384" s="71">
        <v>880</v>
      </c>
      <c r="J384" s="928"/>
      <c r="K384" s="99">
        <v>250</v>
      </c>
      <c r="L384" s="1244" t="s">
        <v>266</v>
      </c>
      <c r="N384" s="82"/>
    </row>
    <row r="385" spans="1:14" s="71" customFormat="1" ht="30" customHeight="1" x14ac:dyDescent="0.25">
      <c r="A385" s="82"/>
      <c r="B385" s="103">
        <v>206</v>
      </c>
      <c r="C385" s="82" t="s">
        <v>3148</v>
      </c>
      <c r="D385" s="103">
        <v>1</v>
      </c>
      <c r="E385" s="99">
        <v>627.91999999999996</v>
      </c>
      <c r="F385" s="99">
        <f t="shared" si="47"/>
        <v>627.91999999999996</v>
      </c>
      <c r="G385" s="104">
        <f t="shared" si="49"/>
        <v>578106.83576334</v>
      </c>
      <c r="H385" s="104">
        <f t="shared" si="48"/>
        <v>578106.83576334</v>
      </c>
      <c r="I385" s="71">
        <v>880</v>
      </c>
      <c r="J385" s="928"/>
      <c r="K385" s="99">
        <v>250</v>
      </c>
      <c r="L385" s="1243"/>
      <c r="N385" s="82"/>
    </row>
    <row r="386" spans="1:14" s="71" customFormat="1" ht="30" customHeight="1" x14ac:dyDescent="0.25">
      <c r="A386" s="1145">
        <v>44419</v>
      </c>
      <c r="B386" s="71">
        <v>207</v>
      </c>
      <c r="C386" s="82" t="s">
        <v>3170</v>
      </c>
      <c r="D386" s="103">
        <v>3</v>
      </c>
      <c r="E386" s="99">
        <v>158.21</v>
      </c>
      <c r="F386" s="99">
        <f t="shared" si="47"/>
        <v>474.63</v>
      </c>
      <c r="G386" s="104">
        <f t="shared" si="49"/>
        <v>147610.6995015736</v>
      </c>
      <c r="H386" s="104">
        <f t="shared" si="48"/>
        <v>442832.09850472084</v>
      </c>
      <c r="I386" s="71">
        <v>880</v>
      </c>
      <c r="J386" s="928"/>
      <c r="K386" s="99">
        <v>280</v>
      </c>
      <c r="L386" s="71" t="s">
        <v>3169</v>
      </c>
      <c r="N386" s="82"/>
    </row>
    <row r="387" spans="1:14" s="71" customFormat="1" ht="31.5" customHeight="1" x14ac:dyDescent="0.25">
      <c r="A387" s="82"/>
      <c r="B387" s="103">
        <v>207</v>
      </c>
      <c r="C387" s="82" t="s">
        <v>1308</v>
      </c>
      <c r="D387" s="103">
        <v>100</v>
      </c>
      <c r="E387" s="99">
        <v>11</v>
      </c>
      <c r="F387" s="99">
        <f t="shared" si="47"/>
        <v>1100</v>
      </c>
      <c r="G387" s="104">
        <f t="shared" si="49"/>
        <v>10263.053501784396</v>
      </c>
      <c r="H387" s="104">
        <f t="shared" ref="H387:H395" si="50">(G387*D387)</f>
        <v>1026305.3501784396</v>
      </c>
      <c r="I387" s="71">
        <v>880</v>
      </c>
      <c r="J387" s="928"/>
      <c r="K387" s="99">
        <v>280</v>
      </c>
      <c r="N387" s="82"/>
    </row>
    <row r="388" spans="1:14" s="71" customFormat="1" ht="30" customHeight="1" x14ac:dyDescent="0.25">
      <c r="A388" s="82"/>
      <c r="B388" s="103">
        <v>207</v>
      </c>
      <c r="C388" s="82" t="s">
        <v>1308</v>
      </c>
      <c r="D388" s="103">
        <v>200</v>
      </c>
      <c r="E388" s="99">
        <v>11</v>
      </c>
      <c r="F388" s="99">
        <f t="shared" si="47"/>
        <v>2200</v>
      </c>
      <c r="G388" s="104">
        <f t="shared" si="49"/>
        <v>10263.053501784396</v>
      </c>
      <c r="H388" s="104">
        <f t="shared" si="50"/>
        <v>2052610.7003568793</v>
      </c>
      <c r="I388" s="71">
        <v>880</v>
      </c>
      <c r="J388" s="928"/>
      <c r="K388" s="99">
        <v>280</v>
      </c>
      <c r="N388" s="82"/>
    </row>
    <row r="389" spans="1:14" s="71" customFormat="1" ht="30" customHeight="1" x14ac:dyDescent="0.25">
      <c r="A389" s="82"/>
      <c r="B389" s="103">
        <v>207</v>
      </c>
      <c r="C389" s="82" t="s">
        <v>1308</v>
      </c>
      <c r="D389" s="103">
        <v>100</v>
      </c>
      <c r="E389" s="99">
        <v>7</v>
      </c>
      <c r="F389" s="99">
        <f t="shared" si="47"/>
        <v>700</v>
      </c>
      <c r="G389" s="104">
        <f t="shared" si="49"/>
        <v>6531.0340465900708</v>
      </c>
      <c r="H389" s="104">
        <f t="shared" si="50"/>
        <v>653103.40465900709</v>
      </c>
      <c r="I389" s="71">
        <v>880</v>
      </c>
      <c r="J389" s="928"/>
      <c r="K389" s="99">
        <v>280</v>
      </c>
      <c r="N389" s="82"/>
    </row>
    <row r="390" spans="1:14" s="71" customFormat="1" ht="30" customHeight="1" x14ac:dyDescent="0.25">
      <c r="A390" s="82"/>
      <c r="B390" s="103">
        <v>207</v>
      </c>
      <c r="C390" s="82" t="s">
        <v>861</v>
      </c>
      <c r="D390" s="103">
        <v>30</v>
      </c>
      <c r="E390" s="99">
        <v>5.8</v>
      </c>
      <c r="F390" s="99">
        <f t="shared" si="47"/>
        <v>174</v>
      </c>
      <c r="G390" s="104">
        <f t="shared" si="49"/>
        <v>5411.4282100317732</v>
      </c>
      <c r="H390" s="104">
        <f t="shared" si="50"/>
        <v>162342.84630095318</v>
      </c>
      <c r="I390" s="71">
        <v>880</v>
      </c>
      <c r="J390" s="928"/>
      <c r="K390" s="99">
        <v>280</v>
      </c>
      <c r="L390" s="71" t="s">
        <v>3169</v>
      </c>
      <c r="N390" s="82"/>
    </row>
    <row r="391" spans="1:14" s="71" customFormat="1" ht="30" customHeight="1" x14ac:dyDescent="0.25">
      <c r="A391" s="1145">
        <v>44512</v>
      </c>
      <c r="B391" s="103">
        <v>208</v>
      </c>
      <c r="C391" s="82" t="s">
        <v>1184</v>
      </c>
      <c r="D391" s="103">
        <v>8</v>
      </c>
      <c r="E391" s="99">
        <v>263.92</v>
      </c>
      <c r="F391" s="99">
        <f t="shared" si="47"/>
        <v>2111.36</v>
      </c>
      <c r="G391" s="104">
        <f t="shared" si="49"/>
        <v>246058.06142292096</v>
      </c>
      <c r="H391" s="104">
        <f t="shared" si="50"/>
        <v>1968464.4913833677</v>
      </c>
      <c r="I391" s="71">
        <v>880</v>
      </c>
      <c r="J391" s="928"/>
      <c r="K391" s="99">
        <v>380</v>
      </c>
      <c r="L391" s="71" t="s">
        <v>3169</v>
      </c>
      <c r="N391" s="82"/>
    </row>
    <row r="392" spans="1:14" s="71" customFormat="1" ht="30" customHeight="1" x14ac:dyDescent="0.25">
      <c r="A392" s="82"/>
      <c r="B392" s="103">
        <v>208</v>
      </c>
      <c r="C392" s="82" t="s">
        <v>861</v>
      </c>
      <c r="D392" s="103">
        <v>50</v>
      </c>
      <c r="E392" s="99">
        <v>12.16</v>
      </c>
      <c r="F392" s="99">
        <f t="shared" si="47"/>
        <v>608</v>
      </c>
      <c r="G392" s="104">
        <f t="shared" si="49"/>
        <v>11337.018895508936</v>
      </c>
      <c r="H392" s="104">
        <f t="shared" si="50"/>
        <v>566850.94477544678</v>
      </c>
      <c r="I392" s="71">
        <v>880</v>
      </c>
      <c r="J392" s="928"/>
      <c r="K392" s="99">
        <v>380</v>
      </c>
      <c r="L392" s="71" t="s">
        <v>3206</v>
      </c>
      <c r="N392" s="82"/>
    </row>
    <row r="393" spans="1:14" s="71" customFormat="1" ht="30" customHeight="1" x14ac:dyDescent="0.25">
      <c r="A393" s="82"/>
      <c r="B393" s="103">
        <v>208</v>
      </c>
      <c r="C393" s="82" t="s">
        <v>1182</v>
      </c>
      <c r="D393" s="103">
        <v>100</v>
      </c>
      <c r="E393" s="99">
        <v>14.72</v>
      </c>
      <c r="F393" s="99">
        <f t="shared" si="47"/>
        <v>1472</v>
      </c>
      <c r="G393" s="104">
        <f t="shared" si="49"/>
        <v>13723.759715616083</v>
      </c>
      <c r="H393" s="104">
        <f t="shared" si="50"/>
        <v>1372375.9715616084</v>
      </c>
      <c r="I393" s="71">
        <v>880</v>
      </c>
      <c r="J393" s="928"/>
      <c r="K393" s="99">
        <v>380</v>
      </c>
      <c r="L393" s="71" t="s">
        <v>3206</v>
      </c>
      <c r="N393" s="82"/>
    </row>
    <row r="394" spans="1:14" s="71" customFormat="1" ht="30" customHeight="1" x14ac:dyDescent="0.25">
      <c r="A394" s="82"/>
      <c r="B394" s="103">
        <v>208</v>
      </c>
      <c r="C394" s="82" t="s">
        <v>3205</v>
      </c>
      <c r="D394" s="103">
        <v>200</v>
      </c>
      <c r="E394" s="99">
        <v>11</v>
      </c>
      <c r="F394" s="99">
        <f t="shared" si="47"/>
        <v>2200</v>
      </c>
      <c r="G394" s="104">
        <f t="shared" si="49"/>
        <v>10255.526961397887</v>
      </c>
      <c r="H394" s="104">
        <f t="shared" si="50"/>
        <v>2051105.3922795774</v>
      </c>
      <c r="I394" s="71">
        <v>880</v>
      </c>
      <c r="J394" s="928"/>
      <c r="K394" s="99">
        <v>380</v>
      </c>
      <c r="N394" s="82"/>
    </row>
    <row r="395" spans="1:14" s="71" customFormat="1" ht="30" customHeight="1" x14ac:dyDescent="0.25">
      <c r="A395" s="1145">
        <v>44550</v>
      </c>
      <c r="B395" s="103">
        <v>209</v>
      </c>
      <c r="C395" s="82" t="s">
        <v>3207</v>
      </c>
      <c r="D395" s="103">
        <v>20</v>
      </c>
      <c r="E395" s="99">
        <v>71.92</v>
      </c>
      <c r="F395" s="99">
        <f t="shared" si="47"/>
        <v>1438.4</v>
      </c>
      <c r="G395" s="104">
        <f t="shared" si="49"/>
        <v>72089.600000000006</v>
      </c>
      <c r="H395" s="104">
        <f t="shared" si="50"/>
        <v>1441792</v>
      </c>
      <c r="I395" s="71">
        <v>880</v>
      </c>
      <c r="J395" s="928"/>
      <c r="K395" s="99">
        <v>200</v>
      </c>
      <c r="L395" s="71" t="s">
        <v>2413</v>
      </c>
      <c r="N395" s="82"/>
    </row>
    <row r="396" spans="1:14" s="71" customFormat="1" ht="30" customHeight="1" x14ac:dyDescent="0.25">
      <c r="A396" s="1145">
        <v>44543</v>
      </c>
      <c r="B396" s="103">
        <v>210</v>
      </c>
      <c r="C396" s="82" t="s">
        <v>3251</v>
      </c>
      <c r="D396" s="103">
        <v>60</v>
      </c>
      <c r="E396" s="99">
        <v>11.06</v>
      </c>
      <c r="F396" s="99">
        <f t="shared" si="47"/>
        <v>663.6</v>
      </c>
      <c r="G396" s="104">
        <f t="shared" si="49"/>
        <v>10280.54773080248</v>
      </c>
      <c r="H396" s="104">
        <f>(G396*D396)</f>
        <v>616832.86384814885</v>
      </c>
      <c r="I396" s="71">
        <v>871.06</v>
      </c>
      <c r="J396" s="928"/>
      <c r="K396" s="99">
        <v>400</v>
      </c>
      <c r="N396" s="82"/>
    </row>
    <row r="397" spans="1:14" s="71" customFormat="1" ht="30" customHeight="1" x14ac:dyDescent="0.25">
      <c r="A397" s="82"/>
      <c r="B397" s="103">
        <v>210</v>
      </c>
      <c r="C397" s="82" t="s">
        <v>1308</v>
      </c>
      <c r="D397" s="103">
        <v>30</v>
      </c>
      <c r="E397" s="99">
        <v>11</v>
      </c>
      <c r="F397" s="99">
        <f t="shared" si="47"/>
        <v>330</v>
      </c>
      <c r="G397" s="104">
        <f t="shared" si="49"/>
        <v>10224.776224125433</v>
      </c>
      <c r="H397" s="104">
        <f>(G397*D397)</f>
        <v>306743.28672376298</v>
      </c>
      <c r="I397" s="71">
        <v>871.06</v>
      </c>
      <c r="J397" s="928"/>
      <c r="K397" s="99">
        <v>400</v>
      </c>
      <c r="N397" s="82"/>
    </row>
    <row r="398" spans="1:14" s="71" customFormat="1" ht="31.5" customHeight="1" x14ac:dyDescent="0.25">
      <c r="A398" s="82"/>
      <c r="B398" s="103">
        <v>210</v>
      </c>
      <c r="C398" s="82" t="s">
        <v>3252</v>
      </c>
      <c r="D398" s="103">
        <v>1</v>
      </c>
      <c r="E398" s="99">
        <v>4965.92</v>
      </c>
      <c r="F398" s="99">
        <f t="shared" si="47"/>
        <v>4965.92</v>
      </c>
      <c r="G398" s="104">
        <f t="shared" si="49"/>
        <v>4615947.3406280885</v>
      </c>
      <c r="H398" s="104">
        <f>(G398*D398)</f>
        <v>4615947.3406280885</v>
      </c>
      <c r="I398" s="71">
        <v>871.06</v>
      </c>
      <c r="J398" s="928"/>
      <c r="K398" s="99">
        <v>400</v>
      </c>
      <c r="N398" s="82"/>
    </row>
    <row r="399" spans="1:14" s="71" customFormat="1" ht="30" customHeight="1" x14ac:dyDescent="0.25">
      <c r="A399" s="1145">
        <v>44552</v>
      </c>
      <c r="B399" s="103">
        <v>211</v>
      </c>
      <c r="C399" s="82" t="s">
        <v>3253</v>
      </c>
      <c r="D399" s="103">
        <v>10</v>
      </c>
      <c r="E399" s="99">
        <v>51</v>
      </c>
      <c r="F399" s="99">
        <f t="shared" si="47"/>
        <v>510</v>
      </c>
      <c r="G399" s="104">
        <f t="shared" si="49"/>
        <v>56720.80909090909</v>
      </c>
      <c r="H399" s="104">
        <f>(G399*D399)</f>
        <v>567208.09090909094</v>
      </c>
      <c r="I399" s="71">
        <v>873.85</v>
      </c>
      <c r="J399" s="928"/>
      <c r="K399" s="99">
        <v>300</v>
      </c>
      <c r="N399" s="82"/>
    </row>
    <row r="400" spans="1:14" s="71" customFormat="1" ht="30" customHeight="1" x14ac:dyDescent="0.25">
      <c r="A400" s="82"/>
      <c r="B400" s="103">
        <v>211</v>
      </c>
      <c r="C400" s="82" t="s">
        <v>3254</v>
      </c>
      <c r="D400" s="103">
        <v>10</v>
      </c>
      <c r="E400" s="99">
        <v>59</v>
      </c>
      <c r="F400" s="99">
        <f t="shared" si="47"/>
        <v>590</v>
      </c>
      <c r="G400" s="104">
        <f t="shared" si="49"/>
        <v>65618.190909090918</v>
      </c>
      <c r="H400" s="104">
        <f>(G400*D400)</f>
        <v>656181.90909090918</v>
      </c>
      <c r="I400" s="71">
        <v>873.85</v>
      </c>
      <c r="J400" s="928"/>
      <c r="K400" s="99">
        <v>300</v>
      </c>
      <c r="N400" s="82"/>
    </row>
    <row r="401" spans="1:14" s="71" customFormat="1" ht="30" customHeight="1" x14ac:dyDescent="0.25">
      <c r="A401" s="1145">
        <v>44586</v>
      </c>
      <c r="B401" s="103">
        <v>212</v>
      </c>
      <c r="C401" s="82" t="s">
        <v>3255</v>
      </c>
      <c r="D401" s="103">
        <v>1</v>
      </c>
      <c r="E401" s="99">
        <v>93</v>
      </c>
      <c r="F401" s="99">
        <f t="shared" ref="F401:F460" si="51">E401*D401</f>
        <v>93</v>
      </c>
      <c r="G401" s="104">
        <f t="shared" si="49"/>
        <v>85175.035390944628</v>
      </c>
      <c r="H401" s="104">
        <f t="shared" ref="H401:H410" si="52">(G401*D401)</f>
        <v>85175.035390944628</v>
      </c>
      <c r="I401" s="71">
        <v>891.27</v>
      </c>
      <c r="J401" s="928"/>
      <c r="K401" s="99">
        <v>320</v>
      </c>
      <c r="N401" s="82"/>
    </row>
    <row r="402" spans="1:14" s="71" customFormat="1" ht="30" customHeight="1" x14ac:dyDescent="0.25">
      <c r="A402" s="82"/>
      <c r="B402" s="103">
        <v>212</v>
      </c>
      <c r="C402" s="82" t="s">
        <v>3256</v>
      </c>
      <c r="D402" s="103">
        <v>4</v>
      </c>
      <c r="E402" s="99">
        <v>85.3</v>
      </c>
      <c r="F402" s="99">
        <f t="shared" si="51"/>
        <v>341.2</v>
      </c>
      <c r="G402" s="104">
        <f t="shared" si="49"/>
        <v>78122.908804812643</v>
      </c>
      <c r="H402" s="104">
        <f t="shared" si="52"/>
        <v>312491.63521925057</v>
      </c>
      <c r="I402" s="71">
        <v>891.27</v>
      </c>
      <c r="J402" s="928"/>
      <c r="K402" s="99">
        <v>320</v>
      </c>
      <c r="N402" s="82"/>
    </row>
    <row r="403" spans="1:14" s="71" customFormat="1" ht="30" customHeight="1" x14ac:dyDescent="0.25">
      <c r="A403" s="82"/>
      <c r="B403" s="103">
        <v>212</v>
      </c>
      <c r="C403" s="82" t="s">
        <v>3257</v>
      </c>
      <c r="D403" s="103">
        <v>1</v>
      </c>
      <c r="E403" s="99">
        <v>4255.92</v>
      </c>
      <c r="F403" s="99">
        <f t="shared" si="51"/>
        <v>4255.92</v>
      </c>
      <c r="G403" s="104">
        <f t="shared" si="49"/>
        <v>3897829.4260325702</v>
      </c>
      <c r="H403" s="104">
        <f t="shared" si="52"/>
        <v>3897829.4260325702</v>
      </c>
      <c r="I403" s="71">
        <v>891.27</v>
      </c>
      <c r="J403" s="928"/>
      <c r="K403" s="99">
        <v>320</v>
      </c>
      <c r="L403" s="71" t="s">
        <v>817</v>
      </c>
      <c r="N403" s="82"/>
    </row>
    <row r="404" spans="1:14" s="71" customFormat="1" ht="30" customHeight="1" x14ac:dyDescent="0.25">
      <c r="A404" s="82"/>
      <c r="B404" s="103">
        <v>212</v>
      </c>
      <c r="C404" s="82" t="s">
        <v>3258</v>
      </c>
      <c r="D404" s="103">
        <v>25</v>
      </c>
      <c r="E404" s="99">
        <v>12.55</v>
      </c>
      <c r="F404" s="99">
        <f t="shared" si="51"/>
        <v>313.75</v>
      </c>
      <c r="G404" s="104">
        <f t="shared" si="49"/>
        <v>11494.050474799516</v>
      </c>
      <c r="H404" s="104">
        <f t="shared" si="52"/>
        <v>287351.26186998794</v>
      </c>
      <c r="I404" s="71">
        <v>891.27</v>
      </c>
      <c r="J404" s="928"/>
      <c r="K404" s="99">
        <v>320</v>
      </c>
      <c r="N404" s="82"/>
    </row>
    <row r="405" spans="1:14" s="71" customFormat="1" ht="30" customHeight="1" x14ac:dyDescent="0.25">
      <c r="A405" s="82"/>
      <c r="B405" s="103">
        <v>212</v>
      </c>
      <c r="C405" s="82" t="s">
        <v>3259</v>
      </c>
      <c r="D405" s="103">
        <v>10</v>
      </c>
      <c r="E405" s="99">
        <v>38.44</v>
      </c>
      <c r="F405" s="99">
        <f t="shared" si="51"/>
        <v>384.4</v>
      </c>
      <c r="G405" s="104">
        <f t="shared" si="49"/>
        <v>35205.681294923779</v>
      </c>
      <c r="H405" s="104">
        <f t="shared" si="52"/>
        <v>352056.81294923776</v>
      </c>
      <c r="I405" s="71">
        <v>891.27</v>
      </c>
      <c r="J405" s="928"/>
      <c r="K405" s="99">
        <v>320</v>
      </c>
      <c r="N405" s="82"/>
    </row>
    <row r="406" spans="1:14" s="71" customFormat="1" ht="30" customHeight="1" x14ac:dyDescent="0.25">
      <c r="A406" s="82"/>
      <c r="B406" s="103">
        <v>212</v>
      </c>
      <c r="C406" s="82" t="s">
        <v>3205</v>
      </c>
      <c r="D406" s="103">
        <v>34</v>
      </c>
      <c r="E406" s="99">
        <v>11</v>
      </c>
      <c r="F406" s="99">
        <f t="shared" si="51"/>
        <v>374</v>
      </c>
      <c r="G406" s="104">
        <f t="shared" si="49"/>
        <v>10074.466551617104</v>
      </c>
      <c r="H406" s="104">
        <f t="shared" si="52"/>
        <v>342531.86275498156</v>
      </c>
      <c r="I406" s="71">
        <v>891.27</v>
      </c>
      <c r="J406" s="928"/>
      <c r="K406" s="99">
        <v>320</v>
      </c>
      <c r="N406" s="82"/>
    </row>
    <row r="407" spans="1:14" s="71" customFormat="1" ht="30" customHeight="1" x14ac:dyDescent="0.25">
      <c r="A407" s="82"/>
      <c r="B407" s="103">
        <v>212</v>
      </c>
      <c r="C407" s="82" t="s">
        <v>3260</v>
      </c>
      <c r="D407" s="103">
        <v>200</v>
      </c>
      <c r="E407" s="99">
        <v>11</v>
      </c>
      <c r="F407" s="99">
        <f t="shared" si="51"/>
        <v>2200</v>
      </c>
      <c r="G407" s="104">
        <f t="shared" si="49"/>
        <v>10074.466551617104</v>
      </c>
      <c r="H407" s="104">
        <f t="shared" si="52"/>
        <v>2014893.3103234209</v>
      </c>
      <c r="I407" s="71">
        <v>891.27</v>
      </c>
      <c r="J407" s="928"/>
      <c r="K407" s="99">
        <v>320</v>
      </c>
      <c r="N407" s="82"/>
    </row>
    <row r="408" spans="1:14" s="71" customFormat="1" ht="30" customHeight="1" x14ac:dyDescent="0.25">
      <c r="A408" s="82"/>
      <c r="B408" s="103">
        <v>212</v>
      </c>
      <c r="C408" s="82" t="s">
        <v>3261</v>
      </c>
      <c r="D408" s="103">
        <v>50</v>
      </c>
      <c r="E408" s="99">
        <v>11</v>
      </c>
      <c r="F408" s="99">
        <f t="shared" si="51"/>
        <v>550</v>
      </c>
      <c r="G408" s="104">
        <f t="shared" si="49"/>
        <v>10074.466551617104</v>
      </c>
      <c r="H408" s="104">
        <f t="shared" si="52"/>
        <v>503723.32758085523</v>
      </c>
      <c r="I408" s="71">
        <v>891.27</v>
      </c>
      <c r="J408" s="928"/>
      <c r="K408" s="99">
        <v>320</v>
      </c>
      <c r="N408" s="82"/>
    </row>
    <row r="409" spans="1:14" s="71" customFormat="1" ht="31.5" customHeight="1" x14ac:dyDescent="0.25">
      <c r="A409" s="82"/>
      <c r="B409" s="103">
        <v>212</v>
      </c>
      <c r="C409" s="82" t="s">
        <v>3262</v>
      </c>
      <c r="D409" s="103">
        <v>1</v>
      </c>
      <c r="E409" s="99">
        <v>2452</v>
      </c>
      <c r="F409" s="99">
        <f t="shared" si="51"/>
        <v>2452</v>
      </c>
      <c r="G409" s="104">
        <f t="shared" si="49"/>
        <v>2245690.1804150129</v>
      </c>
      <c r="H409" s="104">
        <f t="shared" si="52"/>
        <v>2245690.1804150129</v>
      </c>
      <c r="I409" s="71">
        <v>891.27</v>
      </c>
      <c r="J409" s="928"/>
      <c r="K409" s="99">
        <v>320</v>
      </c>
      <c r="N409" s="82"/>
    </row>
    <row r="410" spans="1:14" s="71" customFormat="1" ht="30" customHeight="1" x14ac:dyDescent="0.25">
      <c r="A410" s="82"/>
      <c r="B410" s="103">
        <v>212</v>
      </c>
      <c r="C410" s="82" t="s">
        <v>860</v>
      </c>
      <c r="D410" s="103">
        <v>1</v>
      </c>
      <c r="E410" s="99">
        <v>633.91999999999996</v>
      </c>
      <c r="F410" s="99">
        <f t="shared" si="51"/>
        <v>633.91999999999996</v>
      </c>
      <c r="G410" s="104">
        <f t="shared" si="49"/>
        <v>580582.34876373771</v>
      </c>
      <c r="H410" s="104">
        <f t="shared" si="52"/>
        <v>580582.34876373771</v>
      </c>
      <c r="I410" s="71">
        <v>891.27</v>
      </c>
      <c r="J410" s="928"/>
      <c r="K410" s="99">
        <v>320</v>
      </c>
      <c r="N410" s="82"/>
    </row>
    <row r="411" spans="1:14" s="71" customFormat="1" ht="30" customHeight="1" x14ac:dyDescent="0.25">
      <c r="A411" s="1145">
        <v>44851</v>
      </c>
      <c r="B411" s="103">
        <v>213</v>
      </c>
      <c r="C411" s="82" t="s">
        <v>1370</v>
      </c>
      <c r="D411" s="103">
        <v>1</v>
      </c>
      <c r="E411" s="99">
        <v>4127.92</v>
      </c>
      <c r="F411" s="99">
        <f t="shared" si="51"/>
        <v>4127.92</v>
      </c>
      <c r="G411" s="104">
        <f t="shared" si="49"/>
        <v>4408745.2121706894</v>
      </c>
      <c r="H411" s="104">
        <f t="shared" ref="H411:H427" si="53">(G411*D411)</f>
        <v>4408745.2121706894</v>
      </c>
      <c r="I411" s="71">
        <v>1000</v>
      </c>
      <c r="J411" s="928"/>
      <c r="K411" s="99">
        <v>320</v>
      </c>
      <c r="L411" s="71" t="s">
        <v>817</v>
      </c>
      <c r="N411" s="82"/>
    </row>
    <row r="412" spans="1:14" s="71" customFormat="1" ht="30" customHeight="1" x14ac:dyDescent="0.25">
      <c r="A412" s="82"/>
      <c r="B412" s="103">
        <v>213</v>
      </c>
      <c r="C412" s="82" t="s">
        <v>2782</v>
      </c>
      <c r="D412" s="103">
        <v>2</v>
      </c>
      <c r="E412" s="99">
        <v>287.92</v>
      </c>
      <c r="F412" s="99">
        <f t="shared" si="51"/>
        <v>575.84</v>
      </c>
      <c r="G412" s="104">
        <f t="shared" si="49"/>
        <v>307507.39391465549</v>
      </c>
      <c r="H412" s="104">
        <f t="shared" si="53"/>
        <v>615014.78782931098</v>
      </c>
      <c r="I412" s="71">
        <v>1000</v>
      </c>
      <c r="J412" s="928"/>
      <c r="K412" s="99">
        <v>320</v>
      </c>
      <c r="L412" s="71" t="s">
        <v>276</v>
      </c>
      <c r="N412" s="82"/>
    </row>
    <row r="413" spans="1:14" s="71" customFormat="1" ht="30" customHeight="1" x14ac:dyDescent="0.25">
      <c r="A413" s="1145">
        <v>44845</v>
      </c>
      <c r="B413" s="103">
        <v>214</v>
      </c>
      <c r="C413" s="82" t="s">
        <v>3503</v>
      </c>
      <c r="D413" s="103">
        <v>1</v>
      </c>
      <c r="E413" s="99">
        <v>4564.93</v>
      </c>
      <c r="F413" s="99">
        <f t="shared" si="51"/>
        <v>4564.93</v>
      </c>
      <c r="G413" s="104">
        <f t="shared" si="49"/>
        <v>4854930</v>
      </c>
      <c r="H413" s="104">
        <f t="shared" si="53"/>
        <v>4854930</v>
      </c>
      <c r="I413" s="71">
        <v>1000</v>
      </c>
      <c r="J413" s="928"/>
      <c r="K413" s="99">
        <v>290</v>
      </c>
      <c r="N413" s="82"/>
    </row>
    <row r="414" spans="1:14" s="71" customFormat="1" ht="30" customHeight="1" x14ac:dyDescent="0.25">
      <c r="A414" s="1145">
        <v>44802</v>
      </c>
      <c r="B414" s="103">
        <v>215</v>
      </c>
      <c r="C414" s="82" t="s">
        <v>3509</v>
      </c>
      <c r="D414" s="103">
        <v>20</v>
      </c>
      <c r="E414" s="99">
        <v>29</v>
      </c>
      <c r="F414" s="99">
        <f t="shared" si="51"/>
        <v>580</v>
      </c>
      <c r="G414" s="104">
        <f t="shared" si="49"/>
        <v>31441.766590887702</v>
      </c>
      <c r="H414" s="104">
        <f t="shared" si="53"/>
        <v>628835.33181775408</v>
      </c>
      <c r="I414" s="71">
        <v>1000</v>
      </c>
      <c r="J414" s="928"/>
      <c r="K414" s="99">
        <v>340</v>
      </c>
      <c r="L414" s="71" t="s">
        <v>2413</v>
      </c>
      <c r="N414" s="82"/>
    </row>
    <row r="415" spans="1:14" s="71" customFormat="1" ht="30" customHeight="1" x14ac:dyDescent="0.25">
      <c r="A415" s="82"/>
      <c r="B415" s="103">
        <v>215</v>
      </c>
      <c r="C415" s="82" t="s">
        <v>3504</v>
      </c>
      <c r="D415" s="103">
        <v>1</v>
      </c>
      <c r="E415" s="99">
        <v>562.79</v>
      </c>
      <c r="F415" s="99">
        <f t="shared" si="51"/>
        <v>562.79</v>
      </c>
      <c r="G415" s="104">
        <f t="shared" si="49"/>
        <v>610176.26964433421</v>
      </c>
      <c r="H415" s="104">
        <f t="shared" si="53"/>
        <v>610176.26964433421</v>
      </c>
      <c r="I415" s="71">
        <v>1000</v>
      </c>
      <c r="J415" s="928"/>
      <c r="K415" s="99">
        <v>340</v>
      </c>
      <c r="L415" s="71" t="s">
        <v>276</v>
      </c>
      <c r="N415" s="82"/>
    </row>
    <row r="416" spans="1:14" s="71" customFormat="1" ht="30" customHeight="1" x14ac:dyDescent="0.25">
      <c r="A416" s="82"/>
      <c r="B416" s="103">
        <v>215</v>
      </c>
      <c r="C416" s="82" t="s">
        <v>1308</v>
      </c>
      <c r="D416" s="103">
        <v>200</v>
      </c>
      <c r="E416" s="99">
        <v>11</v>
      </c>
      <c r="F416" s="99">
        <f t="shared" si="51"/>
        <v>2200</v>
      </c>
      <c r="G416" s="104">
        <f t="shared" si="49"/>
        <v>11926.187327578094</v>
      </c>
      <c r="H416" s="104">
        <f t="shared" si="53"/>
        <v>2385237.4655156187</v>
      </c>
      <c r="I416" s="71">
        <v>1000</v>
      </c>
      <c r="J416" s="928"/>
      <c r="K416" s="99">
        <v>340</v>
      </c>
      <c r="N416" s="82"/>
    </row>
    <row r="417" spans="1:14" s="71" customFormat="1" ht="30" customHeight="1" x14ac:dyDescent="0.25">
      <c r="A417" s="82"/>
      <c r="B417" s="103">
        <v>215</v>
      </c>
      <c r="C417" s="82" t="s">
        <v>1308</v>
      </c>
      <c r="D417" s="103">
        <v>50</v>
      </c>
      <c r="E417" s="99">
        <v>11</v>
      </c>
      <c r="F417" s="99">
        <f t="shared" si="51"/>
        <v>550</v>
      </c>
      <c r="G417" s="104">
        <f t="shared" si="49"/>
        <v>11926.187327578094</v>
      </c>
      <c r="H417" s="104">
        <f t="shared" si="53"/>
        <v>596309.36637890467</v>
      </c>
      <c r="I417" s="71">
        <v>1000</v>
      </c>
      <c r="J417" s="928"/>
      <c r="K417" s="99">
        <v>340</v>
      </c>
      <c r="N417" s="82"/>
    </row>
    <row r="418" spans="1:14" s="71" customFormat="1" ht="30" customHeight="1" x14ac:dyDescent="0.25">
      <c r="A418" s="82"/>
      <c r="B418" s="103">
        <v>215</v>
      </c>
      <c r="C418" s="82" t="s">
        <v>3505</v>
      </c>
      <c r="D418" s="103">
        <v>1</v>
      </c>
      <c r="E418" s="99">
        <v>145.27000000000001</v>
      </c>
      <c r="F418" s="99">
        <f t="shared" si="51"/>
        <v>145.27000000000001</v>
      </c>
      <c r="G418" s="104">
        <f t="shared" si="49"/>
        <v>157501.56664338816</v>
      </c>
      <c r="H418" s="104">
        <f t="shared" si="53"/>
        <v>157501.56664338816</v>
      </c>
      <c r="I418" s="71">
        <v>1000</v>
      </c>
      <c r="J418" s="928"/>
      <c r="K418" s="99">
        <v>340</v>
      </c>
      <c r="L418" s="71" t="s">
        <v>266</v>
      </c>
      <c r="N418" s="82"/>
    </row>
    <row r="419" spans="1:14" s="71" customFormat="1" ht="30" customHeight="1" x14ac:dyDescent="0.25">
      <c r="A419" s="1145">
        <v>44796</v>
      </c>
      <c r="B419" s="103">
        <v>216</v>
      </c>
      <c r="C419" s="82" t="s">
        <v>3506</v>
      </c>
      <c r="D419" s="103">
        <v>3</v>
      </c>
      <c r="E419" s="99">
        <v>213.5</v>
      </c>
      <c r="F419" s="99">
        <f t="shared" si="51"/>
        <v>640.5</v>
      </c>
      <c r="G419" s="104">
        <f t="shared" si="49"/>
        <v>244950.42492917847</v>
      </c>
      <c r="H419" s="104">
        <f t="shared" si="53"/>
        <v>734851.27478753543</v>
      </c>
      <c r="I419" s="71">
        <v>1000</v>
      </c>
      <c r="J419" s="928"/>
      <c r="K419" s="99">
        <v>130</v>
      </c>
      <c r="L419" s="71" t="s">
        <v>1807</v>
      </c>
      <c r="N419" s="82"/>
    </row>
    <row r="420" spans="1:14" s="71" customFormat="1" ht="30" customHeight="1" x14ac:dyDescent="0.25">
      <c r="A420" s="1145"/>
      <c r="B420" s="103">
        <v>216</v>
      </c>
      <c r="C420" s="82" t="s">
        <v>3507</v>
      </c>
      <c r="D420" s="103">
        <v>2</v>
      </c>
      <c r="E420" s="99">
        <v>62</v>
      </c>
      <c r="F420" s="99">
        <f t="shared" si="51"/>
        <v>124</v>
      </c>
      <c r="G420" s="104">
        <f t="shared" si="49"/>
        <v>71133.144475920679</v>
      </c>
      <c r="H420" s="104">
        <f t="shared" si="53"/>
        <v>142266.28895184136</v>
      </c>
      <c r="I420" s="71">
        <v>1000</v>
      </c>
      <c r="J420" s="928"/>
      <c r="K420" s="99">
        <v>130</v>
      </c>
      <c r="L420" s="71" t="s">
        <v>276</v>
      </c>
      <c r="N420" s="82"/>
    </row>
    <row r="421" spans="1:14" s="71" customFormat="1" ht="30" customHeight="1" x14ac:dyDescent="0.25">
      <c r="A421" s="82"/>
      <c r="B421" s="103">
        <v>216</v>
      </c>
      <c r="C421" s="82" t="s">
        <v>3508</v>
      </c>
      <c r="D421" s="103">
        <v>2</v>
      </c>
      <c r="E421" s="99">
        <v>59</v>
      </c>
      <c r="F421" s="99">
        <f t="shared" si="51"/>
        <v>118</v>
      </c>
      <c r="G421" s="104">
        <f t="shared" si="49"/>
        <v>67691.218130311609</v>
      </c>
      <c r="H421" s="104">
        <f t="shared" si="53"/>
        <v>135382.43626062322</v>
      </c>
      <c r="I421" s="71">
        <v>1000</v>
      </c>
      <c r="J421" s="928"/>
      <c r="K421" s="99">
        <v>130</v>
      </c>
      <c r="L421" s="71" t="s">
        <v>276</v>
      </c>
      <c r="N421" s="82"/>
    </row>
    <row r="422" spans="1:14" s="71" customFormat="1" ht="31.5" customHeight="1" x14ac:dyDescent="0.25">
      <c r="A422" s="1145">
        <v>44869</v>
      </c>
      <c r="B422" s="103">
        <v>217</v>
      </c>
      <c r="C422" s="82" t="s">
        <v>3516</v>
      </c>
      <c r="D422" s="103">
        <v>1</v>
      </c>
      <c r="E422" s="99">
        <v>295.32</v>
      </c>
      <c r="F422" s="99">
        <f t="shared" si="51"/>
        <v>295.32</v>
      </c>
      <c r="G422" s="104">
        <f t="shared" si="49"/>
        <v>423906.35703918722</v>
      </c>
      <c r="H422" s="104">
        <f t="shared" si="53"/>
        <v>423906.35703918722</v>
      </c>
      <c r="I422" s="71">
        <v>1000</v>
      </c>
      <c r="J422" s="928"/>
      <c r="K422" s="99">
        <v>180</v>
      </c>
      <c r="N422" s="82"/>
    </row>
    <row r="423" spans="1:14" s="71" customFormat="1" ht="30" customHeight="1" x14ac:dyDescent="0.25">
      <c r="A423" s="1145"/>
      <c r="B423" s="103">
        <v>217</v>
      </c>
      <c r="C423" s="82" t="s">
        <v>3517</v>
      </c>
      <c r="D423" s="103">
        <v>1</v>
      </c>
      <c r="E423" s="99">
        <v>118.08</v>
      </c>
      <c r="F423" s="99">
        <f t="shared" si="51"/>
        <v>118.08</v>
      </c>
      <c r="G423" s="104">
        <f t="shared" si="49"/>
        <v>169493.64296081278</v>
      </c>
      <c r="H423" s="104">
        <f t="shared" si="53"/>
        <v>169493.64296081278</v>
      </c>
      <c r="I423" s="71">
        <v>1000</v>
      </c>
      <c r="J423" s="928"/>
      <c r="K423" s="99">
        <v>180</v>
      </c>
      <c r="N423" s="82"/>
    </row>
    <row r="424" spans="1:14" s="71" customFormat="1" ht="30" customHeight="1" x14ac:dyDescent="0.25">
      <c r="A424" s="1145">
        <v>44768</v>
      </c>
      <c r="B424" s="103">
        <v>218</v>
      </c>
      <c r="C424" s="82" t="s">
        <v>3518</v>
      </c>
      <c r="D424" s="103">
        <v>1</v>
      </c>
      <c r="E424" s="99">
        <v>395.75</v>
      </c>
      <c r="F424" s="99">
        <f t="shared" si="51"/>
        <v>395.75</v>
      </c>
      <c r="G424" s="104">
        <f t="shared" si="49"/>
        <v>505750</v>
      </c>
      <c r="H424" s="104">
        <f t="shared" si="53"/>
        <v>505750</v>
      </c>
      <c r="I424" s="71">
        <v>1000</v>
      </c>
      <c r="J424" s="928"/>
      <c r="K424" s="99">
        <v>110</v>
      </c>
      <c r="L424" s="71" t="s">
        <v>3169</v>
      </c>
      <c r="N424" s="82"/>
    </row>
    <row r="425" spans="1:14" s="71" customFormat="1" ht="30" customHeight="1" x14ac:dyDescent="0.25">
      <c r="A425" s="1145">
        <v>44740</v>
      </c>
      <c r="B425" s="103">
        <v>219</v>
      </c>
      <c r="C425" s="82" t="s">
        <v>3519</v>
      </c>
      <c r="D425" s="103">
        <v>3</v>
      </c>
      <c r="E425" s="99">
        <v>4795.2</v>
      </c>
      <c r="F425" s="99">
        <f t="shared" si="51"/>
        <v>14385.599999999999</v>
      </c>
      <c r="G425" s="104">
        <f t="shared" si="49"/>
        <v>4901866.666666667</v>
      </c>
      <c r="H425" s="104">
        <f t="shared" si="53"/>
        <v>14705600</v>
      </c>
      <c r="I425" s="71">
        <v>1000</v>
      </c>
      <c r="J425" s="928"/>
      <c r="K425" s="99">
        <v>320</v>
      </c>
      <c r="L425" s="71" t="s">
        <v>3520</v>
      </c>
      <c r="N425" s="82"/>
    </row>
    <row r="426" spans="1:14" s="71" customFormat="1" ht="30" customHeight="1" x14ac:dyDescent="0.25">
      <c r="A426" s="1145">
        <v>44733</v>
      </c>
      <c r="B426" s="103">
        <v>220</v>
      </c>
      <c r="C426" s="82" t="s">
        <v>3518</v>
      </c>
      <c r="D426" s="103">
        <v>1</v>
      </c>
      <c r="E426" s="99">
        <v>395.75</v>
      </c>
      <c r="F426" s="99">
        <f t="shared" si="51"/>
        <v>395.75</v>
      </c>
      <c r="G426" s="104">
        <f t="shared" si="49"/>
        <v>505750</v>
      </c>
      <c r="H426" s="104">
        <f t="shared" si="53"/>
        <v>505750</v>
      </c>
      <c r="I426" s="71">
        <v>1000</v>
      </c>
      <c r="J426" s="928"/>
      <c r="K426" s="99">
        <v>110</v>
      </c>
      <c r="L426" s="71" t="s">
        <v>3169</v>
      </c>
      <c r="N426" s="82"/>
    </row>
    <row r="427" spans="1:14" s="71" customFormat="1" ht="30" customHeight="1" x14ac:dyDescent="0.25">
      <c r="A427" s="1145">
        <v>44725</v>
      </c>
      <c r="B427" s="103">
        <v>221</v>
      </c>
      <c r="C427" s="82" t="s">
        <v>3521</v>
      </c>
      <c r="D427" s="103">
        <v>2</v>
      </c>
      <c r="E427" s="99">
        <v>899.71</v>
      </c>
      <c r="F427" s="99">
        <f t="shared" si="51"/>
        <v>1799.42</v>
      </c>
      <c r="G427" s="104">
        <f t="shared" si="49"/>
        <v>936697.81064358982</v>
      </c>
      <c r="H427" s="104">
        <f t="shared" si="53"/>
        <v>1873395.6212871796</v>
      </c>
      <c r="I427" s="71">
        <v>1000</v>
      </c>
      <c r="J427" s="928"/>
      <c r="K427" s="99">
        <v>300</v>
      </c>
      <c r="L427" s="1250" t="s">
        <v>3570</v>
      </c>
      <c r="N427" s="82"/>
    </row>
    <row r="428" spans="1:14" s="71" customFormat="1" ht="30" customHeight="1" x14ac:dyDescent="0.25">
      <c r="A428" s="82"/>
      <c r="B428" s="103">
        <v>221</v>
      </c>
      <c r="C428" s="82" t="s">
        <v>3522</v>
      </c>
      <c r="D428" s="103">
        <v>8</v>
      </c>
      <c r="E428" s="99">
        <v>30.92</v>
      </c>
      <c r="F428" s="99">
        <f t="shared" si="51"/>
        <v>247.36</v>
      </c>
      <c r="G428" s="104">
        <f t="shared" si="49"/>
        <v>32191.146375053959</v>
      </c>
      <c r="H428" s="104">
        <f t="shared" ref="H428:H433" si="54">(G428*D428)</f>
        <v>257529.17100043167</v>
      </c>
      <c r="I428" s="71">
        <v>1000</v>
      </c>
      <c r="J428" s="928"/>
      <c r="K428" s="99">
        <v>300</v>
      </c>
      <c r="L428" s="1251"/>
      <c r="N428" s="82"/>
    </row>
    <row r="429" spans="1:14" s="71" customFormat="1" ht="30" customHeight="1" x14ac:dyDescent="0.25">
      <c r="A429" s="82"/>
      <c r="B429" s="103">
        <v>221</v>
      </c>
      <c r="C429" s="82" t="s">
        <v>3523</v>
      </c>
      <c r="D429" s="103">
        <v>4</v>
      </c>
      <c r="E429" s="99">
        <v>158.41</v>
      </c>
      <c r="F429" s="99">
        <f t="shared" si="51"/>
        <v>633.64</v>
      </c>
      <c r="G429" s="104">
        <f t="shared" si="49"/>
        <v>164922.36407737056</v>
      </c>
      <c r="H429" s="104">
        <f t="shared" si="54"/>
        <v>659689.45630948222</v>
      </c>
      <c r="I429" s="71">
        <v>1000</v>
      </c>
      <c r="J429" s="928"/>
      <c r="K429" s="99">
        <v>300</v>
      </c>
      <c r="L429" s="1251"/>
      <c r="N429" s="82"/>
    </row>
    <row r="430" spans="1:14" s="71" customFormat="1" ht="30" customHeight="1" x14ac:dyDescent="0.25">
      <c r="A430" s="82"/>
      <c r="B430" s="103">
        <v>221</v>
      </c>
      <c r="C430" s="82" t="s">
        <v>3524</v>
      </c>
      <c r="D430" s="103">
        <v>1</v>
      </c>
      <c r="E430" s="99">
        <v>1862.07</v>
      </c>
      <c r="F430" s="99">
        <f t="shared" si="51"/>
        <v>1862.07</v>
      </c>
      <c r="G430" s="104">
        <f t="shared" si="49"/>
        <v>1938621.2137967893</v>
      </c>
      <c r="H430" s="104">
        <f t="shared" si="54"/>
        <v>1938621.2137967893</v>
      </c>
      <c r="I430" s="71">
        <v>1000</v>
      </c>
      <c r="J430" s="928"/>
      <c r="K430" s="99">
        <v>300</v>
      </c>
      <c r="L430" s="1251"/>
      <c r="N430" s="82"/>
    </row>
    <row r="431" spans="1:14" s="71" customFormat="1" ht="30" customHeight="1" x14ac:dyDescent="0.25">
      <c r="A431" s="82"/>
      <c r="B431" s="103">
        <v>221</v>
      </c>
      <c r="C431" s="82" t="s">
        <v>3525</v>
      </c>
      <c r="D431" s="103">
        <v>1</v>
      </c>
      <c r="E431" s="99">
        <v>2403.38</v>
      </c>
      <c r="F431" s="99">
        <f t="shared" si="51"/>
        <v>2403.38</v>
      </c>
      <c r="G431" s="104">
        <f t="shared" si="49"/>
        <v>2502184.9086312153</v>
      </c>
      <c r="H431" s="104">
        <f t="shared" si="54"/>
        <v>2502184.9086312153</v>
      </c>
      <c r="I431" s="71">
        <v>1000</v>
      </c>
      <c r="J431" s="928"/>
      <c r="K431" s="99">
        <v>300</v>
      </c>
      <c r="L431" s="1251"/>
      <c r="N431" s="82"/>
    </row>
    <row r="432" spans="1:14" s="71" customFormat="1" ht="30" customHeight="1" x14ac:dyDescent="0.25">
      <c r="A432" s="82"/>
      <c r="B432" s="103">
        <v>221</v>
      </c>
      <c r="C432" s="82" t="s">
        <v>3526</v>
      </c>
      <c r="D432" s="103">
        <v>4</v>
      </c>
      <c r="E432" s="99">
        <v>55.31</v>
      </c>
      <c r="F432" s="99">
        <f t="shared" si="51"/>
        <v>221.24</v>
      </c>
      <c r="G432" s="104">
        <f t="shared" si="49"/>
        <v>57583.839133384041</v>
      </c>
      <c r="H432" s="104">
        <f t="shared" si="54"/>
        <v>230335.35653353616</v>
      </c>
      <c r="I432" s="71">
        <v>1000</v>
      </c>
      <c r="J432" s="928"/>
      <c r="K432" s="99">
        <v>300</v>
      </c>
      <c r="L432" s="1251"/>
      <c r="N432" s="82"/>
    </row>
    <row r="433" spans="1:14" s="71" customFormat="1" ht="31.5" customHeight="1" x14ac:dyDescent="0.25">
      <c r="A433" s="82"/>
      <c r="B433" s="103">
        <v>221</v>
      </c>
      <c r="C433" s="82" t="s">
        <v>3527</v>
      </c>
      <c r="D433" s="103">
        <v>4</v>
      </c>
      <c r="E433" s="99">
        <v>32.56</v>
      </c>
      <c r="F433" s="99">
        <f t="shared" si="51"/>
        <v>130.24</v>
      </c>
      <c r="G433" s="104">
        <f t="shared" si="49"/>
        <v>33898.568110341432</v>
      </c>
      <c r="H433" s="104">
        <f t="shared" si="54"/>
        <v>135594.27244136573</v>
      </c>
      <c r="I433" s="71">
        <v>1000</v>
      </c>
      <c r="J433" s="928"/>
      <c r="K433" s="99">
        <v>300</v>
      </c>
      <c r="L433" s="1252"/>
      <c r="N433" s="82"/>
    </row>
    <row r="434" spans="1:14" s="71" customFormat="1" ht="30" customHeight="1" x14ac:dyDescent="0.25">
      <c r="A434" s="1145">
        <v>44725</v>
      </c>
      <c r="B434" s="103">
        <v>222</v>
      </c>
      <c r="C434" s="82" t="s">
        <v>3528</v>
      </c>
      <c r="D434" s="103">
        <v>1</v>
      </c>
      <c r="E434" s="99">
        <v>1912.95</v>
      </c>
      <c r="F434" s="99">
        <f t="shared" si="51"/>
        <v>1912.95</v>
      </c>
      <c r="G434" s="104">
        <f t="shared" si="49"/>
        <v>2057460.4255094822</v>
      </c>
      <c r="H434" s="104">
        <f t="shared" ref="H434:H466" si="55">(G434*D434)</f>
        <v>2057460.4255094822</v>
      </c>
      <c r="I434" s="71">
        <v>1000</v>
      </c>
      <c r="J434" s="928"/>
      <c r="K434" s="99">
        <v>695</v>
      </c>
      <c r="L434" s="71" t="s">
        <v>869</v>
      </c>
      <c r="N434" s="82"/>
    </row>
    <row r="435" spans="1:14" s="71" customFormat="1" ht="30" customHeight="1" x14ac:dyDescent="0.25">
      <c r="A435" s="82"/>
      <c r="B435" s="103">
        <v>222</v>
      </c>
      <c r="C435" s="82" t="s">
        <v>3529</v>
      </c>
      <c r="D435" s="103">
        <v>1</v>
      </c>
      <c r="E435" s="99">
        <v>685.44</v>
      </c>
      <c r="F435" s="99">
        <f t="shared" si="51"/>
        <v>685.44</v>
      </c>
      <c r="G435" s="104">
        <f t="shared" si="49"/>
        <v>737220.35289015365</v>
      </c>
      <c r="H435" s="104">
        <f t="shared" si="55"/>
        <v>737220.35289015365</v>
      </c>
      <c r="I435" s="71">
        <v>1000</v>
      </c>
      <c r="J435" s="928"/>
      <c r="K435" s="99">
        <v>695</v>
      </c>
      <c r="L435" s="71" t="s">
        <v>869</v>
      </c>
      <c r="N435" s="82"/>
    </row>
    <row r="436" spans="1:14" s="71" customFormat="1" ht="30" customHeight="1" x14ac:dyDescent="0.25">
      <c r="A436" s="82"/>
      <c r="B436" s="103">
        <v>222</v>
      </c>
      <c r="C436" s="82" t="s">
        <v>3530</v>
      </c>
      <c r="D436" s="103">
        <v>1</v>
      </c>
      <c r="E436" s="99">
        <v>6601.64</v>
      </c>
      <c r="F436" s="99">
        <f t="shared" si="51"/>
        <v>6601.64</v>
      </c>
      <c r="G436" s="104">
        <f t="shared" si="49"/>
        <v>7100349.221600364</v>
      </c>
      <c r="H436" s="104">
        <f t="shared" si="55"/>
        <v>7100349.221600364</v>
      </c>
      <c r="I436" s="71">
        <v>1000</v>
      </c>
      <c r="J436" s="928"/>
      <c r="K436" s="99">
        <v>695</v>
      </c>
      <c r="L436" s="71" t="s">
        <v>869</v>
      </c>
      <c r="N436" s="82"/>
    </row>
    <row r="437" spans="1:14" s="71" customFormat="1" ht="30" customHeight="1" x14ac:dyDescent="0.25">
      <c r="A437" s="1145">
        <v>44704</v>
      </c>
      <c r="B437" s="103">
        <v>223</v>
      </c>
      <c r="C437" s="82" t="s">
        <v>3531</v>
      </c>
      <c r="D437" s="103">
        <v>1</v>
      </c>
      <c r="E437" s="99">
        <v>3815.93</v>
      </c>
      <c r="F437" s="99">
        <f t="shared" si="51"/>
        <v>3815.93</v>
      </c>
      <c r="G437" s="104">
        <f t="shared" si="49"/>
        <v>4088605.6013215818</v>
      </c>
      <c r="H437" s="104">
        <f t="shared" si="55"/>
        <v>4088605.6013215818</v>
      </c>
      <c r="I437" s="71">
        <v>1000</v>
      </c>
      <c r="J437" s="928"/>
      <c r="K437" s="99">
        <v>380</v>
      </c>
      <c r="L437" s="1244" t="s">
        <v>266</v>
      </c>
      <c r="N437" s="82" t="s">
        <v>3554</v>
      </c>
    </row>
    <row r="438" spans="1:14" s="71" customFormat="1" ht="30" customHeight="1" x14ac:dyDescent="0.25">
      <c r="A438" s="82"/>
      <c r="B438" s="103">
        <v>223</v>
      </c>
      <c r="C438" s="82" t="s">
        <v>3532</v>
      </c>
      <c r="D438" s="103">
        <v>12</v>
      </c>
      <c r="E438" s="99">
        <v>50.41</v>
      </c>
      <c r="F438" s="99">
        <f t="shared" si="51"/>
        <v>604.91999999999996</v>
      </c>
      <c r="G438" s="104">
        <f t="shared" si="49"/>
        <v>54012.156502509461</v>
      </c>
      <c r="H438" s="104">
        <f t="shared" si="55"/>
        <v>648145.87803011353</v>
      </c>
      <c r="I438" s="71">
        <v>1000</v>
      </c>
      <c r="J438" s="928"/>
      <c r="K438" s="99">
        <v>380</v>
      </c>
      <c r="L438" s="1241"/>
      <c r="N438" s="1248" t="s">
        <v>3559</v>
      </c>
    </row>
    <row r="439" spans="1:14" s="71" customFormat="1" ht="30" customHeight="1" x14ac:dyDescent="0.25">
      <c r="A439" s="82"/>
      <c r="B439" s="103">
        <v>223</v>
      </c>
      <c r="C439" s="82" t="s">
        <v>3533</v>
      </c>
      <c r="D439" s="103">
        <v>4</v>
      </c>
      <c r="E439" s="99">
        <v>32</v>
      </c>
      <c r="F439" s="99">
        <f t="shared" si="51"/>
        <v>128</v>
      </c>
      <c r="G439" s="104">
        <f t="shared" si="49"/>
        <v>34286.629797268455</v>
      </c>
      <c r="H439" s="104">
        <f t="shared" si="55"/>
        <v>137146.51918907382</v>
      </c>
      <c r="I439" s="71">
        <v>1000</v>
      </c>
      <c r="J439" s="928"/>
      <c r="K439" s="99">
        <v>380</v>
      </c>
      <c r="L439" s="1241"/>
      <c r="N439" s="1246"/>
    </row>
    <row r="440" spans="1:14" s="71" customFormat="1" ht="30" customHeight="1" x14ac:dyDescent="0.25">
      <c r="A440" s="82"/>
      <c r="B440" s="103">
        <v>223</v>
      </c>
      <c r="C440" s="82" t="s">
        <v>3144</v>
      </c>
      <c r="D440" s="103">
        <v>2</v>
      </c>
      <c r="E440" s="99">
        <v>40.51</v>
      </c>
      <c r="F440" s="99">
        <f t="shared" si="51"/>
        <v>81.02</v>
      </c>
      <c r="G440" s="104">
        <f t="shared" si="49"/>
        <v>43404.730408979536</v>
      </c>
      <c r="H440" s="104">
        <f t="shared" si="55"/>
        <v>86809.460817959072</v>
      </c>
      <c r="I440" s="71">
        <v>1000</v>
      </c>
      <c r="J440" s="928"/>
      <c r="K440" s="99">
        <v>380</v>
      </c>
      <c r="L440" s="1241"/>
      <c r="N440" s="1246"/>
    </row>
    <row r="441" spans="1:14" s="71" customFormat="1" ht="30" customHeight="1" x14ac:dyDescent="0.25">
      <c r="A441" s="82"/>
      <c r="B441" s="103">
        <v>223</v>
      </c>
      <c r="C441" s="82" t="s">
        <v>3534</v>
      </c>
      <c r="D441" s="103">
        <v>300</v>
      </c>
      <c r="E441" s="99">
        <v>1.3</v>
      </c>
      <c r="F441" s="99">
        <f t="shared" si="51"/>
        <v>390</v>
      </c>
      <c r="G441" s="104">
        <f t="shared" si="49"/>
        <v>1392.8943355140309</v>
      </c>
      <c r="H441" s="104">
        <f t="shared" si="55"/>
        <v>417868.30065420928</v>
      </c>
      <c r="I441" s="71">
        <v>1000</v>
      </c>
      <c r="J441" s="928"/>
      <c r="K441" s="99">
        <v>380</v>
      </c>
      <c r="L441" s="1243"/>
      <c r="N441" s="1249"/>
    </row>
    <row r="442" spans="1:14" s="71" customFormat="1" ht="30" customHeight="1" x14ac:dyDescent="0.25">
      <c r="A442" s="82"/>
      <c r="B442" s="103">
        <v>223</v>
      </c>
      <c r="C442" s="82" t="s">
        <v>860</v>
      </c>
      <c r="D442" s="103">
        <v>1</v>
      </c>
      <c r="E442" s="99">
        <v>298</v>
      </c>
      <c r="F442" s="99">
        <f t="shared" si="51"/>
        <v>298</v>
      </c>
      <c r="G442" s="104">
        <f t="shared" ref="G442:G495" si="56">(I442*E442)+(J442*(F442/SUMIF(B:B,B442,F:F)))/D442+((K442*I442)*(F442/SUMIF(B:B,B442,F:F)))/D442</f>
        <v>319294.23998706246</v>
      </c>
      <c r="H442" s="104">
        <f t="shared" si="55"/>
        <v>319294.23998706246</v>
      </c>
      <c r="I442" s="71">
        <v>1000</v>
      </c>
      <c r="J442" s="928"/>
      <c r="K442" s="99">
        <v>380</v>
      </c>
      <c r="L442" s="71" t="s">
        <v>869</v>
      </c>
      <c r="N442" s="82"/>
    </row>
    <row r="443" spans="1:14" s="71" customFormat="1" ht="30" customHeight="1" x14ac:dyDescent="0.25">
      <c r="A443" s="1145">
        <v>44679</v>
      </c>
      <c r="B443" s="103">
        <v>224</v>
      </c>
      <c r="C443" s="82" t="s">
        <v>3535</v>
      </c>
      <c r="D443" s="103">
        <v>98</v>
      </c>
      <c r="E443" s="99">
        <v>12.55</v>
      </c>
      <c r="F443" s="99">
        <f t="shared" si="51"/>
        <v>1229.9000000000001</v>
      </c>
      <c r="G443" s="104">
        <f t="shared" si="56"/>
        <v>13279.326958583091</v>
      </c>
      <c r="H443" s="104">
        <f t="shared" si="55"/>
        <v>1301374.0419411429</v>
      </c>
      <c r="I443" s="71">
        <v>1000</v>
      </c>
      <c r="J443" s="928"/>
      <c r="K443" s="99">
        <v>480</v>
      </c>
      <c r="L443" s="71" t="s">
        <v>869</v>
      </c>
      <c r="N443" s="82"/>
    </row>
    <row r="444" spans="1:14" s="71" customFormat="1" ht="30" customHeight="1" x14ac:dyDescent="0.25">
      <c r="A444" s="82"/>
      <c r="B444" s="103">
        <v>224</v>
      </c>
      <c r="C444" s="82" t="s">
        <v>1184</v>
      </c>
      <c r="D444" s="103">
        <v>8</v>
      </c>
      <c r="E444" s="99">
        <v>219.9</v>
      </c>
      <c r="F444" s="99">
        <f t="shared" si="51"/>
        <v>1759.2</v>
      </c>
      <c r="G444" s="104">
        <f t="shared" si="56"/>
        <v>232679.20304322086</v>
      </c>
      <c r="H444" s="104">
        <f t="shared" si="55"/>
        <v>1861433.6243457668</v>
      </c>
      <c r="I444" s="71">
        <v>1000</v>
      </c>
      <c r="J444" s="928"/>
      <c r="K444" s="99">
        <v>480</v>
      </c>
      <c r="L444" s="71" t="s">
        <v>869</v>
      </c>
      <c r="N444" s="82"/>
    </row>
    <row r="445" spans="1:14" s="71" customFormat="1" ht="30" customHeight="1" x14ac:dyDescent="0.25">
      <c r="A445" s="1145"/>
      <c r="B445" s="103">
        <v>224</v>
      </c>
      <c r="C445" s="82" t="s">
        <v>3536</v>
      </c>
      <c r="D445" s="103">
        <v>50</v>
      </c>
      <c r="E445" s="99">
        <v>11.45</v>
      </c>
      <c r="F445" s="99">
        <f t="shared" si="51"/>
        <v>572.5</v>
      </c>
      <c r="G445" s="104">
        <f t="shared" si="56"/>
        <v>12115.401886516047</v>
      </c>
      <c r="H445" s="104">
        <f t="shared" si="55"/>
        <v>605770.09432580229</v>
      </c>
      <c r="I445" s="71">
        <v>1000</v>
      </c>
      <c r="J445" s="928"/>
      <c r="K445" s="99">
        <v>480</v>
      </c>
      <c r="L445" s="71" t="s">
        <v>869</v>
      </c>
      <c r="N445" s="82"/>
    </row>
    <row r="446" spans="1:14" s="71" customFormat="1" ht="30" customHeight="1" x14ac:dyDescent="0.25">
      <c r="A446" s="82"/>
      <c r="B446" s="103">
        <v>224</v>
      </c>
      <c r="C446" s="82" t="s">
        <v>3537</v>
      </c>
      <c r="D446" s="103">
        <v>6</v>
      </c>
      <c r="E446" s="99">
        <v>85.3</v>
      </c>
      <c r="F446" s="99">
        <f t="shared" si="51"/>
        <v>511.79999999999995</v>
      </c>
      <c r="G446" s="104">
        <f t="shared" si="56"/>
        <v>90257.098770289856</v>
      </c>
      <c r="H446" s="104">
        <f t="shared" si="55"/>
        <v>541542.59262173914</v>
      </c>
      <c r="I446" s="71">
        <v>1000</v>
      </c>
      <c r="J446" s="928"/>
      <c r="K446" s="99">
        <v>480</v>
      </c>
      <c r="L446" s="71" t="s">
        <v>869</v>
      </c>
      <c r="N446" s="82"/>
    </row>
    <row r="447" spans="1:14" s="71" customFormat="1" ht="30" customHeight="1" x14ac:dyDescent="0.25">
      <c r="A447" s="82"/>
      <c r="B447" s="103">
        <v>224</v>
      </c>
      <c r="C447" s="82" t="s">
        <v>3550</v>
      </c>
      <c r="D447" s="103">
        <v>1</v>
      </c>
      <c r="E447" s="99">
        <v>2427.0700000000002</v>
      </c>
      <c r="F447" s="99">
        <f t="shared" si="51"/>
        <v>2427.0700000000002</v>
      </c>
      <c r="G447" s="104">
        <f t="shared" si="56"/>
        <v>2568116.0224197819</v>
      </c>
      <c r="H447" s="104">
        <f t="shared" si="55"/>
        <v>2568116.0224197819</v>
      </c>
      <c r="I447" s="71">
        <v>1000</v>
      </c>
      <c r="J447" s="928"/>
      <c r="K447" s="99">
        <v>480</v>
      </c>
      <c r="L447" s="71" t="s">
        <v>266</v>
      </c>
      <c r="N447" s="82"/>
    </row>
    <row r="448" spans="1:14" s="71" customFormat="1" ht="30" customHeight="1" x14ac:dyDescent="0.25">
      <c r="A448" s="82"/>
      <c r="B448" s="103">
        <v>224</v>
      </c>
      <c r="C448" s="82" t="s">
        <v>1184</v>
      </c>
      <c r="D448" s="103">
        <v>8</v>
      </c>
      <c r="E448" s="99">
        <v>219.9</v>
      </c>
      <c r="F448" s="99">
        <f t="shared" si="51"/>
        <v>1759.2</v>
      </c>
      <c r="G448" s="104">
        <f t="shared" si="56"/>
        <v>232679.20304322086</v>
      </c>
      <c r="H448" s="104">
        <f t="shared" si="55"/>
        <v>1861433.6243457668</v>
      </c>
      <c r="I448" s="71">
        <v>1000</v>
      </c>
      <c r="J448" s="928"/>
      <c r="K448" s="99">
        <v>480</v>
      </c>
      <c r="L448" s="71" t="s">
        <v>266</v>
      </c>
      <c r="N448" s="82"/>
    </row>
    <row r="449" spans="1:14" s="71" customFormat="1" ht="30" customHeight="1" x14ac:dyDescent="0.25">
      <c r="A449" s="1145">
        <v>44634</v>
      </c>
      <c r="B449" s="103">
        <v>225</v>
      </c>
      <c r="C449" s="82" t="s">
        <v>3538</v>
      </c>
      <c r="D449" s="103">
        <v>1</v>
      </c>
      <c r="E449" s="99">
        <v>731.27</v>
      </c>
      <c r="F449" s="99">
        <f t="shared" si="51"/>
        <v>731.27</v>
      </c>
      <c r="G449" s="104">
        <f t="shared" si="56"/>
        <v>911270</v>
      </c>
      <c r="H449" s="104">
        <f t="shared" si="55"/>
        <v>911270</v>
      </c>
      <c r="I449" s="71">
        <v>1000</v>
      </c>
      <c r="J449" s="928"/>
      <c r="K449" s="99">
        <v>180</v>
      </c>
      <c r="N449" s="82"/>
    </row>
    <row r="450" spans="1:14" s="71" customFormat="1" ht="30" customHeight="1" x14ac:dyDescent="0.25">
      <c r="A450" s="1145">
        <v>44634</v>
      </c>
      <c r="B450" s="103">
        <v>226</v>
      </c>
      <c r="C450" s="82" t="s">
        <v>3539</v>
      </c>
      <c r="D450" s="103">
        <v>1</v>
      </c>
      <c r="E450" s="99">
        <v>285.61</v>
      </c>
      <c r="F450" s="99">
        <f t="shared" si="51"/>
        <v>285.61</v>
      </c>
      <c r="G450" s="104">
        <f t="shared" si="56"/>
        <v>465610</v>
      </c>
      <c r="H450" s="104">
        <f t="shared" si="55"/>
        <v>465610</v>
      </c>
      <c r="I450" s="71">
        <v>1000</v>
      </c>
      <c r="J450" s="928"/>
      <c r="K450" s="99">
        <v>180</v>
      </c>
      <c r="N450" s="82"/>
    </row>
    <row r="451" spans="1:14" s="71" customFormat="1" ht="30" customHeight="1" x14ac:dyDescent="0.25">
      <c r="A451" s="1145">
        <v>44616</v>
      </c>
      <c r="B451" s="103">
        <v>227</v>
      </c>
      <c r="C451" s="82" t="s">
        <v>2783</v>
      </c>
      <c r="D451" s="103">
        <v>1</v>
      </c>
      <c r="E451" s="99">
        <v>430.58</v>
      </c>
      <c r="F451" s="99">
        <f t="shared" si="51"/>
        <v>430.58</v>
      </c>
      <c r="G451" s="104">
        <f t="shared" si="56"/>
        <v>516629.45508806524</v>
      </c>
      <c r="H451" s="104">
        <f t="shared" si="55"/>
        <v>516629.45508806524</v>
      </c>
      <c r="I451" s="71">
        <v>1000</v>
      </c>
      <c r="J451" s="928"/>
      <c r="K451" s="99">
        <v>150</v>
      </c>
      <c r="N451" s="82"/>
    </row>
    <row r="452" spans="1:14" s="71" customFormat="1" ht="30" customHeight="1" x14ac:dyDescent="0.25">
      <c r="A452" s="82"/>
      <c r="B452" s="103">
        <v>227</v>
      </c>
      <c r="C452" s="82" t="s">
        <v>3540</v>
      </c>
      <c r="D452" s="103">
        <v>8</v>
      </c>
      <c r="E452" s="99">
        <v>40</v>
      </c>
      <c r="F452" s="99">
        <f t="shared" si="51"/>
        <v>320</v>
      </c>
      <c r="G452" s="104">
        <f t="shared" si="56"/>
        <v>47993.818113991845</v>
      </c>
      <c r="H452" s="104">
        <f t="shared" si="55"/>
        <v>383950.54491193476</v>
      </c>
      <c r="I452" s="71">
        <v>1000</v>
      </c>
      <c r="J452" s="928"/>
      <c r="K452" s="99">
        <v>150</v>
      </c>
      <c r="N452" s="82"/>
    </row>
    <row r="453" spans="1:14" s="71" customFormat="1" ht="30" customHeight="1" x14ac:dyDescent="0.25">
      <c r="A453" s="1145">
        <v>44608</v>
      </c>
      <c r="B453" s="103">
        <v>228</v>
      </c>
      <c r="C453" s="82" t="s">
        <v>1308</v>
      </c>
      <c r="D453" s="103">
        <v>66</v>
      </c>
      <c r="E453" s="99">
        <v>11</v>
      </c>
      <c r="F453" s="99">
        <f t="shared" si="51"/>
        <v>726</v>
      </c>
      <c r="G453" s="104">
        <f t="shared" si="56"/>
        <v>11690.757549808757</v>
      </c>
      <c r="H453" s="104">
        <f t="shared" si="55"/>
        <v>771589.998287378</v>
      </c>
      <c r="I453" s="71">
        <v>1000</v>
      </c>
      <c r="J453" s="928"/>
      <c r="K453" s="99">
        <v>330</v>
      </c>
      <c r="N453" s="82"/>
    </row>
    <row r="454" spans="1:14" s="71" customFormat="1" ht="30" customHeight="1" x14ac:dyDescent="0.25">
      <c r="A454" s="82"/>
      <c r="B454" s="103">
        <v>228</v>
      </c>
      <c r="C454" s="82" t="s">
        <v>3541</v>
      </c>
      <c r="D454" s="103">
        <v>30</v>
      </c>
      <c r="E454" s="99">
        <v>150.97</v>
      </c>
      <c r="F454" s="99">
        <f t="shared" si="51"/>
        <v>4529.1000000000004</v>
      </c>
      <c r="G454" s="104">
        <f t="shared" si="56"/>
        <v>160450.33339042074</v>
      </c>
      <c r="H454" s="104">
        <f t="shared" si="55"/>
        <v>4813510.0017126221</v>
      </c>
      <c r="I454" s="71">
        <v>1000</v>
      </c>
      <c r="J454" s="928"/>
      <c r="K454" s="99">
        <v>330</v>
      </c>
      <c r="N454" s="82"/>
    </row>
    <row r="455" spans="1:14" s="71" customFormat="1" ht="30" customHeight="1" x14ac:dyDescent="0.25">
      <c r="A455" s="1145">
        <v>44599</v>
      </c>
      <c r="B455" s="103">
        <v>229</v>
      </c>
      <c r="C455" s="82" t="s">
        <v>3542</v>
      </c>
      <c r="D455" s="103">
        <v>1</v>
      </c>
      <c r="E455" s="99">
        <v>14000</v>
      </c>
      <c r="F455" s="99">
        <f t="shared" si="51"/>
        <v>14000</v>
      </c>
      <c r="G455" s="104">
        <f t="shared" si="56"/>
        <v>14330000</v>
      </c>
      <c r="H455" s="104">
        <f t="shared" si="55"/>
        <v>14330000</v>
      </c>
      <c r="I455" s="71">
        <v>1000</v>
      </c>
      <c r="J455" s="928"/>
      <c r="K455" s="99">
        <v>330</v>
      </c>
      <c r="N455" s="82"/>
    </row>
    <row r="456" spans="1:14" s="71" customFormat="1" ht="30" customHeight="1" x14ac:dyDescent="0.25">
      <c r="A456" s="1145">
        <v>44589</v>
      </c>
      <c r="B456" s="103">
        <v>230</v>
      </c>
      <c r="C456" s="82" t="s">
        <v>3543</v>
      </c>
      <c r="D456" s="103">
        <v>4</v>
      </c>
      <c r="E456" s="99">
        <v>155</v>
      </c>
      <c r="F456" s="99">
        <f t="shared" si="51"/>
        <v>620</v>
      </c>
      <c r="G456" s="104">
        <f t="shared" si="56"/>
        <v>184312.88085732298</v>
      </c>
      <c r="H456" s="104">
        <f t="shared" si="55"/>
        <v>737251.5234292919</v>
      </c>
      <c r="I456" s="71">
        <v>1000</v>
      </c>
      <c r="J456" s="928"/>
      <c r="K456" s="99">
        <v>180</v>
      </c>
      <c r="N456" s="82"/>
    </row>
    <row r="457" spans="1:14" s="71" customFormat="1" ht="30" customHeight="1" x14ac:dyDescent="0.25">
      <c r="A457" s="82"/>
      <c r="B457" s="103">
        <v>230</v>
      </c>
      <c r="C457" s="82" t="s">
        <v>3251</v>
      </c>
      <c r="D457" s="103">
        <v>30</v>
      </c>
      <c r="E457" s="99">
        <v>11.06</v>
      </c>
      <c r="F457" s="99">
        <f t="shared" si="51"/>
        <v>331.8</v>
      </c>
      <c r="G457" s="104">
        <f t="shared" si="56"/>
        <v>13151.615885690271</v>
      </c>
      <c r="H457" s="104">
        <f t="shared" si="55"/>
        <v>394548.47657070815</v>
      </c>
      <c r="I457" s="71">
        <v>1000</v>
      </c>
      <c r="J457" s="928"/>
      <c r="K457" s="99">
        <v>180</v>
      </c>
      <c r="N457" s="82"/>
    </row>
    <row r="458" spans="1:14" s="71" customFormat="1" ht="30" customHeight="1" x14ac:dyDescent="0.25">
      <c r="A458" s="1145">
        <v>44893</v>
      </c>
      <c r="B458" s="103">
        <v>231</v>
      </c>
      <c r="C458" s="82" t="s">
        <v>3637</v>
      </c>
      <c r="D458" s="103">
        <v>30</v>
      </c>
      <c r="E458" s="99">
        <v>11.41</v>
      </c>
      <c r="F458" s="99">
        <f t="shared" si="51"/>
        <v>342.3</v>
      </c>
      <c r="G458" s="104">
        <f t="shared" si="56"/>
        <v>12507.812991533081</v>
      </c>
      <c r="H458" s="104">
        <f t="shared" si="55"/>
        <v>375234.38974599243</v>
      </c>
      <c r="I458" s="71">
        <v>1000</v>
      </c>
      <c r="J458" s="928"/>
      <c r="K458" s="99">
        <v>460</v>
      </c>
      <c r="N458" s="82"/>
    </row>
    <row r="459" spans="1:14" s="71" customFormat="1" ht="30" customHeight="1" x14ac:dyDescent="0.25">
      <c r="A459" s="1145"/>
      <c r="B459" s="103">
        <v>231</v>
      </c>
      <c r="C459" s="82" t="s">
        <v>1308</v>
      </c>
      <c r="D459" s="103">
        <v>320</v>
      </c>
      <c r="E459" s="99">
        <v>9.5</v>
      </c>
      <c r="F459" s="99">
        <f t="shared" si="51"/>
        <v>3040</v>
      </c>
      <c r="G459" s="104">
        <f t="shared" si="56"/>
        <v>10414.042368059971</v>
      </c>
      <c r="H459" s="104">
        <f t="shared" si="55"/>
        <v>3332493.5577791906</v>
      </c>
      <c r="I459" s="71">
        <v>1000</v>
      </c>
      <c r="J459" s="928"/>
      <c r="K459" s="99">
        <v>460</v>
      </c>
      <c r="N459" s="82"/>
    </row>
    <row r="460" spans="1:14" s="71" customFormat="1" ht="30" customHeight="1" x14ac:dyDescent="0.25">
      <c r="A460" s="1145"/>
      <c r="B460" s="103">
        <v>231</v>
      </c>
      <c r="C460" s="82" t="s">
        <v>3638</v>
      </c>
      <c r="D460" s="103">
        <v>2</v>
      </c>
      <c r="E460" s="99">
        <v>404.93</v>
      </c>
      <c r="F460" s="99">
        <f t="shared" si="51"/>
        <v>809.86</v>
      </c>
      <c r="G460" s="104">
        <f t="shared" si="56"/>
        <v>443890.33432616043</v>
      </c>
      <c r="H460" s="104">
        <f t="shared" si="55"/>
        <v>887780.66865232086</v>
      </c>
      <c r="I460" s="71">
        <v>1000</v>
      </c>
      <c r="J460" s="928"/>
      <c r="K460" s="99">
        <v>460</v>
      </c>
      <c r="N460" s="82"/>
    </row>
    <row r="461" spans="1:14" s="71" customFormat="1" ht="30" customHeight="1" x14ac:dyDescent="0.25">
      <c r="A461" s="82"/>
      <c r="B461" s="103">
        <v>231</v>
      </c>
      <c r="C461" s="82" t="s">
        <v>1182</v>
      </c>
      <c r="D461" s="103">
        <v>40</v>
      </c>
      <c r="E461" s="99">
        <v>14.72</v>
      </c>
      <c r="F461" s="99">
        <f>E461*D461</f>
        <v>588.80000000000007</v>
      </c>
      <c r="G461" s="104">
        <f t="shared" si="56"/>
        <v>16136.284595562398</v>
      </c>
      <c r="H461" s="104">
        <f t="shared" si="55"/>
        <v>645451.38382249593</v>
      </c>
      <c r="I461" s="71">
        <v>1000</v>
      </c>
      <c r="J461" s="928"/>
      <c r="K461" s="99">
        <v>460</v>
      </c>
      <c r="N461" s="82"/>
    </row>
    <row r="462" spans="1:14" s="71" customFormat="1" ht="30" customHeight="1" x14ac:dyDescent="0.25">
      <c r="A462" s="1145">
        <v>44914</v>
      </c>
      <c r="B462" s="103">
        <v>232</v>
      </c>
      <c r="C462" s="82" t="s">
        <v>861</v>
      </c>
      <c r="D462" s="103">
        <v>50</v>
      </c>
      <c r="E462" s="99">
        <v>12.16</v>
      </c>
      <c r="F462" s="99">
        <f t="shared" ref="F462:F495" si="57">E462*D462</f>
        <v>608</v>
      </c>
      <c r="G462" s="104">
        <f t="shared" si="56"/>
        <v>13792.885722115649</v>
      </c>
      <c r="H462" s="104">
        <f t="shared" si="55"/>
        <v>689644.28610578238</v>
      </c>
      <c r="I462" s="71">
        <v>1000</v>
      </c>
      <c r="J462" s="928"/>
      <c r="K462" s="99">
        <v>490</v>
      </c>
      <c r="N462" s="82"/>
    </row>
    <row r="463" spans="1:14" s="71" customFormat="1" ht="30" customHeight="1" x14ac:dyDescent="0.25">
      <c r="A463" s="82"/>
      <c r="B463" s="103">
        <v>232</v>
      </c>
      <c r="C463" s="82" t="s">
        <v>1308</v>
      </c>
      <c r="D463" s="103">
        <v>150</v>
      </c>
      <c r="E463" s="99">
        <v>9.5</v>
      </c>
      <c r="F463" s="99">
        <f t="shared" si="57"/>
        <v>1425</v>
      </c>
      <c r="G463" s="104">
        <f t="shared" si="56"/>
        <v>10775.69197040285</v>
      </c>
      <c r="H463" s="104">
        <f t="shared" si="55"/>
        <v>1616353.7955604275</v>
      </c>
      <c r="I463" s="71">
        <v>1000</v>
      </c>
      <c r="J463" s="928"/>
      <c r="K463" s="99">
        <v>490</v>
      </c>
      <c r="N463" s="82"/>
    </row>
    <row r="464" spans="1:14" s="71" customFormat="1" ht="30" customHeight="1" x14ac:dyDescent="0.25">
      <c r="A464" s="82"/>
      <c r="B464" s="103">
        <v>232</v>
      </c>
      <c r="C464" s="82" t="s">
        <v>1308</v>
      </c>
      <c r="D464" s="103">
        <v>50</v>
      </c>
      <c r="E464" s="99">
        <v>9.5</v>
      </c>
      <c r="F464" s="99">
        <f t="shared" si="57"/>
        <v>475</v>
      </c>
      <c r="G464" s="104">
        <f t="shared" si="56"/>
        <v>10775.69197040285</v>
      </c>
      <c r="H464" s="104">
        <f t="shared" si="55"/>
        <v>538784.59852014249</v>
      </c>
      <c r="I464" s="71">
        <v>1000</v>
      </c>
      <c r="J464" s="928"/>
      <c r="K464" s="99">
        <v>490</v>
      </c>
      <c r="N464" s="82"/>
    </row>
    <row r="465" spans="1:14" s="71" customFormat="1" ht="30" customHeight="1" x14ac:dyDescent="0.25">
      <c r="A465" s="82"/>
      <c r="B465" s="103">
        <v>232</v>
      </c>
      <c r="C465" s="82" t="s">
        <v>3637</v>
      </c>
      <c r="D465" s="103">
        <v>100</v>
      </c>
      <c r="E465" s="99">
        <v>11.41</v>
      </c>
      <c r="F465" s="99">
        <f t="shared" si="57"/>
        <v>1141</v>
      </c>
      <c r="G465" s="104">
        <f t="shared" si="56"/>
        <v>12942.173198136476</v>
      </c>
      <c r="H465" s="104">
        <f t="shared" si="55"/>
        <v>1294217.3198136475</v>
      </c>
      <c r="I465" s="71">
        <v>1000</v>
      </c>
      <c r="J465" s="928"/>
      <c r="K465" s="99">
        <v>490</v>
      </c>
      <c r="N465" s="82"/>
    </row>
    <row r="466" spans="1:14" s="71" customFormat="1" ht="30" customHeight="1" x14ac:dyDescent="0.25">
      <c r="A466" s="1145">
        <v>44931</v>
      </c>
      <c r="B466" s="103">
        <v>233</v>
      </c>
      <c r="C466" s="82" t="s">
        <v>3669</v>
      </c>
      <c r="D466" s="103">
        <v>1</v>
      </c>
      <c r="E466" s="99">
        <v>275</v>
      </c>
      <c r="F466" s="99">
        <f t="shared" si="57"/>
        <v>275</v>
      </c>
      <c r="G466" s="104">
        <f t="shared" si="56"/>
        <v>340000</v>
      </c>
      <c r="H466" s="104">
        <f t="shared" si="55"/>
        <v>340000</v>
      </c>
      <c r="I466" s="71">
        <v>1000</v>
      </c>
      <c r="J466" s="928"/>
      <c r="K466" s="99">
        <v>65</v>
      </c>
      <c r="N466" s="82"/>
    </row>
    <row r="467" spans="1:14" s="71" customFormat="1" ht="30" customHeight="1" x14ac:dyDescent="0.25">
      <c r="A467" s="1145">
        <v>44972</v>
      </c>
      <c r="B467" s="103">
        <v>234</v>
      </c>
      <c r="C467" s="82" t="s">
        <v>3694</v>
      </c>
      <c r="D467" s="103">
        <v>2</v>
      </c>
      <c r="E467" s="99">
        <v>244.72</v>
      </c>
      <c r="F467" s="99">
        <f t="shared" si="57"/>
        <v>489.44</v>
      </c>
      <c r="G467" s="104">
        <f t="shared" si="56"/>
        <v>268330.73293097346</v>
      </c>
      <c r="H467" s="104">
        <f t="shared" ref="H467:H474" si="58">(G467*D467)</f>
        <v>536661.46586194693</v>
      </c>
      <c r="I467" s="71">
        <v>1000</v>
      </c>
      <c r="J467" s="928"/>
      <c r="K467" s="99">
        <v>360</v>
      </c>
      <c r="N467" s="82"/>
    </row>
    <row r="468" spans="1:14" s="71" customFormat="1" ht="30" customHeight="1" x14ac:dyDescent="0.25">
      <c r="A468" s="82"/>
      <c r="B468" s="103">
        <v>234</v>
      </c>
      <c r="C468" s="82" t="s">
        <v>3170</v>
      </c>
      <c r="D468" s="103">
        <v>4</v>
      </c>
      <c r="E468" s="99">
        <v>161.41999999999999</v>
      </c>
      <c r="F468" s="99">
        <f t="shared" si="57"/>
        <v>645.67999999999995</v>
      </c>
      <c r="G468" s="104">
        <f t="shared" si="56"/>
        <v>176993.8987811284</v>
      </c>
      <c r="H468" s="104">
        <f t="shared" si="58"/>
        <v>707975.59512451361</v>
      </c>
      <c r="I468" s="71">
        <v>1000</v>
      </c>
      <c r="J468" s="928"/>
      <c r="K468" s="99">
        <v>360</v>
      </c>
      <c r="N468" s="82"/>
    </row>
    <row r="469" spans="1:14" s="71" customFormat="1" ht="30" customHeight="1" x14ac:dyDescent="0.25">
      <c r="A469" s="1145"/>
      <c r="B469" s="103">
        <v>234</v>
      </c>
      <c r="C469" s="82" t="s">
        <v>3535</v>
      </c>
      <c r="D469" s="103">
        <v>100</v>
      </c>
      <c r="E469" s="99">
        <v>12.8</v>
      </c>
      <c r="F469" s="99">
        <f t="shared" si="57"/>
        <v>1280</v>
      </c>
      <c r="G469" s="104">
        <f t="shared" si="56"/>
        <v>14034.951706098645</v>
      </c>
      <c r="H469" s="104">
        <f t="shared" si="58"/>
        <v>1403495.1706098646</v>
      </c>
      <c r="I469" s="71">
        <v>1000</v>
      </c>
      <c r="J469" s="928"/>
      <c r="K469" s="99">
        <v>360</v>
      </c>
      <c r="N469" s="82"/>
    </row>
    <row r="470" spans="1:14" s="71" customFormat="1" ht="30" customHeight="1" x14ac:dyDescent="0.25">
      <c r="A470" s="82"/>
      <c r="B470" s="103">
        <v>234</v>
      </c>
      <c r="C470" s="82" t="s">
        <v>3695</v>
      </c>
      <c r="D470" s="103">
        <v>8</v>
      </c>
      <c r="E470" s="99">
        <v>85.3</v>
      </c>
      <c r="F470" s="99">
        <f t="shared" si="57"/>
        <v>682.4</v>
      </c>
      <c r="G470" s="104">
        <f t="shared" si="56"/>
        <v>93529.795353923007</v>
      </c>
      <c r="H470" s="104">
        <f t="shared" si="58"/>
        <v>748238.36283138406</v>
      </c>
      <c r="I470" s="71">
        <v>1000</v>
      </c>
      <c r="J470" s="928"/>
      <c r="K470" s="99">
        <v>360</v>
      </c>
      <c r="N470" s="82"/>
    </row>
    <row r="471" spans="1:14" s="71" customFormat="1" ht="30" customHeight="1" x14ac:dyDescent="0.25">
      <c r="A471" s="82"/>
      <c r="B471" s="103">
        <v>234</v>
      </c>
      <c r="C471" s="82" t="s">
        <v>1183</v>
      </c>
      <c r="D471" s="103">
        <v>10</v>
      </c>
      <c r="E471" s="99">
        <v>45</v>
      </c>
      <c r="F471" s="99">
        <f t="shared" si="57"/>
        <v>450</v>
      </c>
      <c r="G471" s="104">
        <f t="shared" si="56"/>
        <v>49341.627091753049</v>
      </c>
      <c r="H471" s="104">
        <f t="shared" si="58"/>
        <v>493416.27091753052</v>
      </c>
      <c r="I471" s="71">
        <v>1000</v>
      </c>
      <c r="J471" s="928"/>
      <c r="K471" s="99">
        <v>360</v>
      </c>
      <c r="N471" s="82"/>
    </row>
    <row r="472" spans="1:14" s="71" customFormat="1" ht="30" customHeight="1" x14ac:dyDescent="0.25">
      <c r="A472" s="82"/>
      <c r="B472" s="103">
        <v>234</v>
      </c>
      <c r="C472" s="82" t="s">
        <v>3696</v>
      </c>
      <c r="D472" s="103">
        <v>4</v>
      </c>
      <c r="E472" s="99">
        <v>45.95</v>
      </c>
      <c r="F472" s="99">
        <f t="shared" si="57"/>
        <v>183.8</v>
      </c>
      <c r="G472" s="104">
        <f t="shared" si="56"/>
        <v>50383.283663690061</v>
      </c>
      <c r="H472" s="104">
        <f t="shared" si="58"/>
        <v>201533.13465476024</v>
      </c>
      <c r="I472" s="71">
        <v>1000</v>
      </c>
      <c r="J472" s="928"/>
      <c r="K472" s="99">
        <v>360</v>
      </c>
      <c r="N472" s="82"/>
    </row>
    <row r="473" spans="1:14" s="71" customFormat="1" ht="30" customHeight="1" x14ac:dyDescent="0.25">
      <c r="A473" s="1145">
        <v>44944</v>
      </c>
      <c r="B473" s="103">
        <v>235</v>
      </c>
      <c r="C473" s="82" t="s">
        <v>3697</v>
      </c>
      <c r="D473" s="103">
        <v>1</v>
      </c>
      <c r="E473" s="99">
        <v>18334.439999999999</v>
      </c>
      <c r="F473" s="99">
        <f t="shared" si="57"/>
        <v>18334.439999999999</v>
      </c>
      <c r="G473" s="104">
        <f t="shared" si="56"/>
        <v>18559440</v>
      </c>
      <c r="H473" s="104">
        <f t="shared" si="58"/>
        <v>18559440</v>
      </c>
      <c r="I473" s="71">
        <v>1000</v>
      </c>
      <c r="J473" s="928"/>
      <c r="K473" s="99">
        <v>225</v>
      </c>
      <c r="N473" s="82"/>
    </row>
    <row r="474" spans="1:14" s="71" customFormat="1" ht="30" customHeight="1" x14ac:dyDescent="0.25">
      <c r="A474" s="1145">
        <v>44943</v>
      </c>
      <c r="B474" s="103">
        <v>236</v>
      </c>
      <c r="C474" s="82" t="s">
        <v>1184</v>
      </c>
      <c r="D474" s="103">
        <v>24</v>
      </c>
      <c r="E474" s="99">
        <v>219.9</v>
      </c>
      <c r="F474" s="99">
        <f t="shared" si="57"/>
        <v>5277.6</v>
      </c>
      <c r="G474" s="104">
        <f t="shared" si="56"/>
        <v>243920.51839409809</v>
      </c>
      <c r="H474" s="104">
        <f t="shared" si="58"/>
        <v>5854092.4414583538</v>
      </c>
      <c r="I474" s="71">
        <v>1000</v>
      </c>
      <c r="J474" s="928"/>
      <c r="K474" s="99">
        <v>995</v>
      </c>
      <c r="N474" s="82"/>
    </row>
    <row r="475" spans="1:14" s="71" customFormat="1" ht="30" customHeight="1" x14ac:dyDescent="0.25">
      <c r="A475" s="82"/>
      <c r="B475" s="103">
        <v>236</v>
      </c>
      <c r="C475" s="82" t="s">
        <v>3712</v>
      </c>
      <c r="D475" s="103">
        <v>1</v>
      </c>
      <c r="E475" s="99">
        <v>3831.3</v>
      </c>
      <c r="F475" s="99">
        <f t="shared" si="57"/>
        <v>3831.3</v>
      </c>
      <c r="G475" s="104">
        <f t="shared" si="56"/>
        <v>4249807.5585416462</v>
      </c>
      <c r="H475" s="104">
        <f>(G475*D475)</f>
        <v>4249807.5585416462</v>
      </c>
      <c r="I475" s="71">
        <v>1000</v>
      </c>
      <c r="J475" s="928"/>
      <c r="K475" s="99">
        <v>995</v>
      </c>
      <c r="N475" s="82"/>
    </row>
    <row r="476" spans="1:14" s="71" customFormat="1" ht="30" customHeight="1" x14ac:dyDescent="0.25">
      <c r="A476" s="1145">
        <v>44961</v>
      </c>
      <c r="B476" s="103">
        <v>237</v>
      </c>
      <c r="C476" s="82" t="s">
        <v>3713</v>
      </c>
      <c r="D476" s="103">
        <v>10</v>
      </c>
      <c r="E476" s="99">
        <v>135</v>
      </c>
      <c r="F476" s="99">
        <f t="shared" si="57"/>
        <v>1350</v>
      </c>
      <c r="G476" s="104">
        <f t="shared" si="56"/>
        <v>144774.48431855778</v>
      </c>
      <c r="H476" s="104">
        <f>(G476*D476)</f>
        <v>1447744.8431855778</v>
      </c>
      <c r="I476" s="71">
        <v>1000</v>
      </c>
      <c r="J476" s="928"/>
      <c r="K476" s="99">
        <v>257.36</v>
      </c>
      <c r="N476" s="82"/>
    </row>
    <row r="477" spans="1:14" s="71" customFormat="1" ht="30" customHeight="1" x14ac:dyDescent="0.25">
      <c r="A477" s="82"/>
      <c r="B477" s="103">
        <v>237</v>
      </c>
      <c r="C477" s="82" t="s">
        <v>3532</v>
      </c>
      <c r="D477" s="103">
        <v>12</v>
      </c>
      <c r="E477" s="99">
        <v>50.41</v>
      </c>
      <c r="F477" s="99">
        <f t="shared" si="57"/>
        <v>604.91999999999996</v>
      </c>
      <c r="G477" s="104">
        <f t="shared" si="56"/>
        <v>54059.864848137018</v>
      </c>
      <c r="H477" s="104">
        <f>(G477*D477)</f>
        <v>648718.37817764422</v>
      </c>
      <c r="I477" s="71">
        <v>1000</v>
      </c>
      <c r="J477" s="928"/>
      <c r="K477" s="99">
        <v>257.36</v>
      </c>
      <c r="N477" s="82"/>
    </row>
    <row r="478" spans="1:14" s="71" customFormat="1" ht="30" customHeight="1" x14ac:dyDescent="0.25">
      <c r="A478" s="1145"/>
      <c r="B478" s="103">
        <v>237</v>
      </c>
      <c r="C478" s="82" t="s">
        <v>1184</v>
      </c>
      <c r="D478" s="103">
        <v>8</v>
      </c>
      <c r="E478" s="99">
        <v>199.95</v>
      </c>
      <c r="F478" s="99">
        <f t="shared" si="57"/>
        <v>1599.6</v>
      </c>
      <c r="G478" s="104">
        <f t="shared" si="56"/>
        <v>214427.09732959725</v>
      </c>
      <c r="H478" s="104">
        <f>(G478*D478)</f>
        <v>1715416.778636778</v>
      </c>
      <c r="I478" s="71">
        <v>1000</v>
      </c>
      <c r="J478" s="928"/>
      <c r="K478" s="99">
        <v>257.36</v>
      </c>
      <c r="N478" s="82"/>
    </row>
    <row r="479" spans="1:14" s="71" customFormat="1" ht="30" customHeight="1" x14ac:dyDescent="0.25">
      <c r="A479" s="1145">
        <v>45030</v>
      </c>
      <c r="B479" s="103">
        <v>238</v>
      </c>
      <c r="C479" s="82" t="s">
        <v>3739</v>
      </c>
      <c r="D479" s="103">
        <v>30</v>
      </c>
      <c r="E479" s="99">
        <v>179.93</v>
      </c>
      <c r="F479" s="99">
        <f t="shared" si="57"/>
        <v>5397.9000000000005</v>
      </c>
      <c r="G479" s="104">
        <f t="shared" si="56"/>
        <v>191198.07045220863</v>
      </c>
      <c r="H479" s="104">
        <f t="shared" ref="H479:H485" si="59">(G479*D479)</f>
        <v>5735942.1135662589</v>
      </c>
      <c r="I479" s="71">
        <v>1000</v>
      </c>
      <c r="J479" s="928"/>
      <c r="K479" s="99">
        <v>497</v>
      </c>
      <c r="N479" s="82"/>
    </row>
    <row r="480" spans="1:14" s="71" customFormat="1" ht="30" customHeight="1" x14ac:dyDescent="0.25">
      <c r="A480" s="1145"/>
      <c r="B480" s="103">
        <v>238</v>
      </c>
      <c r="C480" s="82" t="s">
        <v>3740</v>
      </c>
      <c r="D480" s="103">
        <v>9</v>
      </c>
      <c r="E480" s="99">
        <v>20.32</v>
      </c>
      <c r="F480" s="99">
        <f t="shared" si="57"/>
        <v>182.88</v>
      </c>
      <c r="G480" s="104">
        <f t="shared" si="56"/>
        <v>21592.534827926855</v>
      </c>
      <c r="H480" s="104">
        <f t="shared" si="59"/>
        <v>194332.8134513417</v>
      </c>
      <c r="I480" s="71">
        <v>1000</v>
      </c>
      <c r="J480" s="928"/>
      <c r="K480" s="99">
        <v>497</v>
      </c>
      <c r="N480" s="82"/>
    </row>
    <row r="481" spans="1:14" s="71" customFormat="1" ht="30" customHeight="1" x14ac:dyDescent="0.25">
      <c r="A481" s="1145"/>
      <c r="B481" s="103">
        <v>238</v>
      </c>
      <c r="C481" s="82" t="s">
        <v>2662</v>
      </c>
      <c r="D481" s="103">
        <v>30</v>
      </c>
      <c r="E481" s="99">
        <v>8.99</v>
      </c>
      <c r="F481" s="99">
        <f t="shared" si="57"/>
        <v>269.7</v>
      </c>
      <c r="G481" s="104">
        <f t="shared" si="56"/>
        <v>9552.9964617648839</v>
      </c>
      <c r="H481" s="104">
        <f t="shared" si="59"/>
        <v>286589.89385294652</v>
      </c>
      <c r="I481" s="71">
        <v>1000</v>
      </c>
      <c r="J481" s="928"/>
      <c r="K481" s="99">
        <v>497</v>
      </c>
      <c r="N481" s="82"/>
    </row>
    <row r="482" spans="1:14" s="71" customFormat="1" ht="30" customHeight="1" x14ac:dyDescent="0.25">
      <c r="A482" s="1145"/>
      <c r="B482" s="103">
        <v>238</v>
      </c>
      <c r="C482" s="82" t="s">
        <v>3741</v>
      </c>
      <c r="D482" s="103">
        <v>500</v>
      </c>
      <c r="E482" s="99">
        <v>1.4</v>
      </c>
      <c r="F482" s="99">
        <f t="shared" si="57"/>
        <v>700</v>
      </c>
      <c r="G482" s="104">
        <f t="shared" si="56"/>
        <v>1487.6746436563778</v>
      </c>
      <c r="H482" s="104">
        <f t="shared" si="59"/>
        <v>743837.32182818896</v>
      </c>
      <c r="I482" s="71">
        <v>1000</v>
      </c>
      <c r="J482" s="928"/>
      <c r="K482" s="99">
        <v>497</v>
      </c>
      <c r="N482" s="82"/>
    </row>
    <row r="483" spans="1:14" s="71" customFormat="1" ht="30" customHeight="1" x14ac:dyDescent="0.25">
      <c r="A483" s="82"/>
      <c r="B483" s="103">
        <v>238</v>
      </c>
      <c r="C483" s="82" t="s">
        <v>3742</v>
      </c>
      <c r="D483" s="103">
        <v>4</v>
      </c>
      <c r="E483" s="99">
        <v>287.92</v>
      </c>
      <c r="F483" s="99">
        <f t="shared" si="57"/>
        <v>1151.68</v>
      </c>
      <c r="G483" s="104">
        <f t="shared" si="56"/>
        <v>305950.91671538883</v>
      </c>
      <c r="H483" s="104">
        <f t="shared" si="59"/>
        <v>1223803.6668615553</v>
      </c>
      <c r="I483" s="71">
        <v>1000</v>
      </c>
      <c r="J483" s="928"/>
      <c r="K483" s="99">
        <v>497</v>
      </c>
      <c r="N483" s="82"/>
    </row>
    <row r="484" spans="1:14" s="71" customFormat="1" ht="30" customHeight="1" x14ac:dyDescent="0.25">
      <c r="A484" s="1145"/>
      <c r="B484" s="103">
        <v>238</v>
      </c>
      <c r="C484" s="82" t="s">
        <v>3743</v>
      </c>
      <c r="D484" s="103">
        <v>3</v>
      </c>
      <c r="E484" s="99">
        <v>78</v>
      </c>
      <c r="F484" s="99">
        <f t="shared" si="57"/>
        <v>234</v>
      </c>
      <c r="G484" s="104">
        <f t="shared" si="56"/>
        <v>82884.730146569622</v>
      </c>
      <c r="H484" s="104">
        <f t="shared" si="59"/>
        <v>248654.19043970888</v>
      </c>
      <c r="I484" s="71">
        <v>1000</v>
      </c>
      <c r="J484" s="928"/>
      <c r="K484" s="99">
        <v>497</v>
      </c>
      <c r="N484" s="82"/>
    </row>
    <row r="485" spans="1:14" s="71" customFormat="1" ht="31.5" customHeight="1" x14ac:dyDescent="0.25">
      <c r="A485" s="1145">
        <v>45018</v>
      </c>
      <c r="B485" s="103">
        <v>289</v>
      </c>
      <c r="C485" s="82" t="s">
        <v>3762</v>
      </c>
      <c r="D485" s="103">
        <v>1</v>
      </c>
      <c r="E485" s="99">
        <v>7695</v>
      </c>
      <c r="F485" s="99">
        <f t="shared" si="57"/>
        <v>7695</v>
      </c>
      <c r="G485" s="104">
        <f t="shared" si="56"/>
        <v>8675000</v>
      </c>
      <c r="H485" s="104">
        <f t="shared" si="59"/>
        <v>8675000</v>
      </c>
      <c r="I485" s="71">
        <v>1000</v>
      </c>
      <c r="J485" s="928"/>
      <c r="K485" s="99">
        <v>980</v>
      </c>
      <c r="N485" s="82"/>
    </row>
    <row r="486" spans="1:14" s="71" customFormat="1" ht="30" customHeight="1" x14ac:dyDescent="0.25">
      <c r="A486" s="1145">
        <v>45051</v>
      </c>
      <c r="B486" s="103">
        <v>290</v>
      </c>
      <c r="C486" s="82" t="s">
        <v>865</v>
      </c>
      <c r="D486" s="103">
        <v>1</v>
      </c>
      <c r="E486" s="99">
        <v>2339.96</v>
      </c>
      <c r="F486" s="99">
        <f t="shared" si="57"/>
        <v>2339.96</v>
      </c>
      <c r="G486" s="104">
        <f t="shared" si="56"/>
        <v>2529960</v>
      </c>
      <c r="H486" s="104">
        <f>(G486*D486)</f>
        <v>2529960</v>
      </c>
      <c r="I486" s="71">
        <v>1000</v>
      </c>
      <c r="J486" s="928"/>
      <c r="K486" s="99">
        <v>190</v>
      </c>
      <c r="L486" s="1244"/>
      <c r="N486" s="82"/>
    </row>
    <row r="487" spans="1:14" s="71" customFormat="1" ht="30" customHeight="1" x14ac:dyDescent="0.25">
      <c r="A487" s="1145">
        <v>45084</v>
      </c>
      <c r="B487" s="103">
        <v>291</v>
      </c>
      <c r="C487" s="82" t="s">
        <v>3763</v>
      </c>
      <c r="D487" s="103">
        <v>2</v>
      </c>
      <c r="E487" s="99">
        <v>145.27000000000001</v>
      </c>
      <c r="F487" s="99">
        <f t="shared" si="57"/>
        <v>290.54000000000002</v>
      </c>
      <c r="G487" s="104">
        <f t="shared" si="56"/>
        <v>150056.96411506904</v>
      </c>
      <c r="H487" s="104">
        <f t="shared" ref="H487:H495" si="60">(G487*D487)</f>
        <v>300113.92823013809</v>
      </c>
      <c r="I487" s="71">
        <v>1000</v>
      </c>
      <c r="J487" s="928"/>
      <c r="K487" s="99">
        <v>320</v>
      </c>
      <c r="L487" s="1241"/>
      <c r="N487" s="82"/>
    </row>
    <row r="488" spans="1:14" s="71" customFormat="1" ht="30" customHeight="1" x14ac:dyDescent="0.25">
      <c r="A488" s="82"/>
      <c r="B488" s="103">
        <v>291</v>
      </c>
      <c r="C488" s="82" t="s">
        <v>3764</v>
      </c>
      <c r="D488" s="103">
        <v>1</v>
      </c>
      <c r="E488" s="99">
        <v>1887</v>
      </c>
      <c r="F488" s="99">
        <f t="shared" si="57"/>
        <v>1887</v>
      </c>
      <c r="G488" s="104">
        <f t="shared" si="56"/>
        <v>1949180.7756944674</v>
      </c>
      <c r="H488" s="104">
        <f t="shared" si="60"/>
        <v>1949180.7756944674</v>
      </c>
      <c r="I488" s="71">
        <v>1000</v>
      </c>
      <c r="J488" s="928"/>
      <c r="K488" s="99">
        <v>320</v>
      </c>
      <c r="L488" s="1241"/>
      <c r="N488" s="82"/>
    </row>
    <row r="489" spans="1:14" s="71" customFormat="1" ht="30" customHeight="1" x14ac:dyDescent="0.25">
      <c r="A489" s="82"/>
      <c r="B489" s="103">
        <v>291</v>
      </c>
      <c r="C489" s="82" t="s">
        <v>3765</v>
      </c>
      <c r="D489" s="103">
        <v>1</v>
      </c>
      <c r="E489" s="99">
        <v>2868</v>
      </c>
      <c r="F489" s="99">
        <f t="shared" si="57"/>
        <v>2868</v>
      </c>
      <c r="G489" s="104">
        <f t="shared" si="56"/>
        <v>2962506.8705308596</v>
      </c>
      <c r="H489" s="104">
        <f t="shared" si="60"/>
        <v>2962506.8705308596</v>
      </c>
      <c r="I489" s="71">
        <v>1000</v>
      </c>
      <c r="J489" s="928"/>
      <c r="K489" s="99">
        <v>320</v>
      </c>
      <c r="L489" s="1241"/>
      <c r="N489" s="82"/>
    </row>
    <row r="490" spans="1:14" s="71" customFormat="1" ht="30" customHeight="1" x14ac:dyDescent="0.25">
      <c r="A490" s="82"/>
      <c r="B490" s="103">
        <v>291</v>
      </c>
      <c r="C490" s="82" t="s">
        <v>3766</v>
      </c>
      <c r="D490" s="103">
        <v>1</v>
      </c>
      <c r="E490" s="99">
        <v>1668</v>
      </c>
      <c r="F490" s="99">
        <f t="shared" si="57"/>
        <v>1668</v>
      </c>
      <c r="G490" s="104">
        <f t="shared" si="56"/>
        <v>1722964.2468777804</v>
      </c>
      <c r="H490" s="104">
        <f t="shared" si="60"/>
        <v>1722964.2468777804</v>
      </c>
      <c r="I490" s="71">
        <v>1000</v>
      </c>
      <c r="J490" s="928"/>
      <c r="K490" s="99">
        <v>320</v>
      </c>
      <c r="L490" s="1241"/>
      <c r="N490" s="82"/>
    </row>
    <row r="491" spans="1:14" s="71" customFormat="1" ht="30" customHeight="1" x14ac:dyDescent="0.25">
      <c r="A491" s="82"/>
      <c r="B491" s="103">
        <v>291</v>
      </c>
      <c r="C491" s="82" t="s">
        <v>3767</v>
      </c>
      <c r="D491" s="103">
        <v>5</v>
      </c>
      <c r="E491" s="99">
        <v>190</v>
      </c>
      <c r="F491" s="99">
        <f t="shared" si="57"/>
        <v>950</v>
      </c>
      <c r="G491" s="928">
        <f t="shared" si="56"/>
        <v>196260.91541173757</v>
      </c>
      <c r="H491" s="104">
        <f t="shared" si="60"/>
        <v>981304.57705868781</v>
      </c>
      <c r="I491" s="71">
        <v>1000</v>
      </c>
      <c r="J491" s="928"/>
      <c r="K491" s="99">
        <v>320</v>
      </c>
      <c r="L491" s="1241"/>
      <c r="N491" s="82"/>
    </row>
    <row r="492" spans="1:14" s="71" customFormat="1" ht="30" customHeight="1" x14ac:dyDescent="0.25">
      <c r="A492" s="82"/>
      <c r="B492" s="103">
        <v>291</v>
      </c>
      <c r="C492" s="82" t="s">
        <v>3768</v>
      </c>
      <c r="D492" s="103">
        <v>3</v>
      </c>
      <c r="E492" s="99">
        <v>682.5</v>
      </c>
      <c r="F492" s="99">
        <f t="shared" si="57"/>
        <v>2047.5</v>
      </c>
      <c r="G492" s="928">
        <f t="shared" si="56"/>
        <v>704989.86720268894</v>
      </c>
      <c r="H492" s="104">
        <f t="shared" si="60"/>
        <v>2114969.6016080668</v>
      </c>
      <c r="I492" s="71">
        <v>1000</v>
      </c>
      <c r="J492" s="928"/>
      <c r="K492" s="99">
        <v>320</v>
      </c>
      <c r="L492" s="1243"/>
      <c r="N492" s="82"/>
    </row>
    <row r="493" spans="1:14" s="71" customFormat="1" ht="30" customHeight="1" x14ac:dyDescent="0.25">
      <c r="A493" s="1145">
        <v>45043</v>
      </c>
      <c r="B493" s="103">
        <v>292</v>
      </c>
      <c r="C493" s="82" t="s">
        <v>3802</v>
      </c>
      <c r="D493" s="103">
        <v>12</v>
      </c>
      <c r="E493" s="99">
        <v>149.94999999999999</v>
      </c>
      <c r="F493" s="99">
        <f t="shared" si="57"/>
        <v>1799.3999999999999</v>
      </c>
      <c r="G493" s="928">
        <f t="shared" si="56"/>
        <v>166387.98074287907</v>
      </c>
      <c r="H493" s="104">
        <f t="shared" si="60"/>
        <v>1996655.7689145487</v>
      </c>
      <c r="I493" s="71">
        <v>1000</v>
      </c>
      <c r="J493" s="928"/>
      <c r="K493" s="99">
        <v>240</v>
      </c>
      <c r="N493" s="82"/>
    </row>
    <row r="494" spans="1:14" s="71" customFormat="1" ht="30" customHeight="1" x14ac:dyDescent="0.25">
      <c r="A494" s="82"/>
      <c r="B494" s="103">
        <v>292</v>
      </c>
      <c r="C494" s="82" t="s">
        <v>3803</v>
      </c>
      <c r="D494" s="103">
        <v>4</v>
      </c>
      <c r="E494" s="99">
        <v>52.53</v>
      </c>
      <c r="F494" s="99">
        <f t="shared" si="57"/>
        <v>210.12</v>
      </c>
      <c r="G494" s="928">
        <f t="shared" si="56"/>
        <v>58288.500356275006</v>
      </c>
      <c r="H494" s="104">
        <f t="shared" si="60"/>
        <v>233154.00142510002</v>
      </c>
      <c r="I494" s="71">
        <v>1000</v>
      </c>
      <c r="J494" s="928"/>
      <c r="K494" s="99">
        <v>240</v>
      </c>
      <c r="L494" s="1244"/>
      <c r="N494" s="82"/>
    </row>
    <row r="495" spans="1:14" s="71" customFormat="1" ht="30" customHeight="1" x14ac:dyDescent="0.25">
      <c r="A495" s="82"/>
      <c r="B495" s="103">
        <v>292</v>
      </c>
      <c r="C495" s="82" t="s">
        <v>3804</v>
      </c>
      <c r="D495" s="103">
        <v>4</v>
      </c>
      <c r="E495" s="99">
        <v>44.95</v>
      </c>
      <c r="F495" s="99">
        <f t="shared" si="57"/>
        <v>179.8</v>
      </c>
      <c r="G495" s="928">
        <f t="shared" si="56"/>
        <v>49877.557415087787</v>
      </c>
      <c r="H495" s="104">
        <f t="shared" si="60"/>
        <v>199510.22966035115</v>
      </c>
      <c r="I495" s="71">
        <v>1000</v>
      </c>
      <c r="J495" s="928"/>
      <c r="K495" s="99">
        <v>240</v>
      </c>
      <c r="L495" s="1243"/>
      <c r="N495" s="82"/>
    </row>
    <row r="496" spans="1:14" s="71" customFormat="1" ht="30" customHeight="1" x14ac:dyDescent="0.25">
      <c r="A496" s="1145">
        <v>45169</v>
      </c>
      <c r="B496" s="71">
        <v>293</v>
      </c>
      <c r="C496" s="82"/>
      <c r="D496" s="103"/>
      <c r="E496" s="99"/>
      <c r="F496" s="99"/>
      <c r="G496" s="104"/>
      <c r="H496" s="104"/>
      <c r="J496" s="928"/>
      <c r="K496" s="99"/>
      <c r="N496" s="82"/>
    </row>
    <row r="497" spans="1:14" s="71" customFormat="1" ht="31.5" customHeight="1" x14ac:dyDescent="0.25">
      <c r="A497" s="82"/>
      <c r="B497" s="103">
        <v>293</v>
      </c>
      <c r="C497" s="82" t="s">
        <v>2522</v>
      </c>
      <c r="D497" s="103">
        <v>6</v>
      </c>
      <c r="E497" s="99">
        <v>23</v>
      </c>
      <c r="F497" s="99">
        <f t="shared" ref="F497:F507" si="61">E497*D497</f>
        <v>138</v>
      </c>
      <c r="G497" s="928">
        <f t="shared" ref="G497:G528" si="62">(I497*E497)+(J497*(F497/SUMIF(B:B,B497,F:F)))/D497+((K497*I497)*(F497/SUMIF(B:B,B497,F:F)))/D497</f>
        <v>28182.264424237546</v>
      </c>
      <c r="H497" s="104">
        <f t="shared" ref="H497:H500" si="63">(G497*D497)</f>
        <v>169093.58654542529</v>
      </c>
      <c r="I497" s="71">
        <v>1000</v>
      </c>
      <c r="J497" s="928"/>
      <c r="K497" s="99">
        <v>280</v>
      </c>
      <c r="L497" s="71" t="s">
        <v>1671</v>
      </c>
      <c r="N497" s="82"/>
    </row>
    <row r="498" spans="1:14" s="71" customFormat="1" ht="30" customHeight="1" x14ac:dyDescent="0.25">
      <c r="A498" s="82"/>
      <c r="B498" s="103">
        <v>293</v>
      </c>
      <c r="C498" s="82" t="s">
        <v>3897</v>
      </c>
      <c r="D498" s="103">
        <v>6</v>
      </c>
      <c r="E498" s="99">
        <v>35</v>
      </c>
      <c r="F498" s="99">
        <f t="shared" si="61"/>
        <v>210</v>
      </c>
      <c r="G498" s="928">
        <f t="shared" si="62"/>
        <v>42886.054558622352</v>
      </c>
      <c r="H498" s="104">
        <f t="shared" si="63"/>
        <v>257316.3273517341</v>
      </c>
      <c r="I498" s="71">
        <v>1000</v>
      </c>
      <c r="J498" s="928"/>
      <c r="K498" s="99">
        <v>280</v>
      </c>
      <c r="L498" s="71" t="s">
        <v>1671</v>
      </c>
      <c r="N498" s="82"/>
    </row>
    <row r="499" spans="1:14" s="71" customFormat="1" ht="30" customHeight="1" x14ac:dyDescent="0.25">
      <c r="A499" s="82"/>
      <c r="B499" s="103">
        <v>293</v>
      </c>
      <c r="C499" s="82" t="s">
        <v>2479</v>
      </c>
      <c r="D499" s="103">
        <v>5</v>
      </c>
      <c r="E499" s="99">
        <v>125</v>
      </c>
      <c r="F499" s="99">
        <f t="shared" si="61"/>
        <v>625</v>
      </c>
      <c r="G499" s="928">
        <f t="shared" si="62"/>
        <v>153164.4805665084</v>
      </c>
      <c r="H499" s="104">
        <f t="shared" si="63"/>
        <v>765822.40283254196</v>
      </c>
      <c r="I499" s="71">
        <v>1000</v>
      </c>
      <c r="J499" s="928"/>
      <c r="K499" s="99">
        <v>280</v>
      </c>
      <c r="L499" s="71" t="s">
        <v>1671</v>
      </c>
      <c r="N499" s="82"/>
    </row>
    <row r="500" spans="1:14" s="71" customFormat="1" ht="30" customHeight="1" x14ac:dyDescent="0.25">
      <c r="A500" s="82"/>
      <c r="B500" s="103">
        <v>293</v>
      </c>
      <c r="C500" s="82" t="s">
        <v>2662</v>
      </c>
      <c r="D500" s="103">
        <v>30</v>
      </c>
      <c r="E500" s="99">
        <v>8.99</v>
      </c>
      <c r="F500" s="99">
        <f t="shared" si="61"/>
        <v>269.7</v>
      </c>
      <c r="G500" s="928">
        <f t="shared" si="62"/>
        <v>11015.589442343284</v>
      </c>
      <c r="H500" s="104">
        <f t="shared" si="63"/>
        <v>330467.68327029853</v>
      </c>
      <c r="I500" s="71">
        <v>1000</v>
      </c>
      <c r="J500" s="928"/>
      <c r="K500" s="99">
        <v>280</v>
      </c>
      <c r="L500" s="71" t="s">
        <v>1671</v>
      </c>
      <c r="N500" s="82"/>
    </row>
    <row r="501" spans="1:14" s="71" customFormat="1" ht="30" customHeight="1" x14ac:dyDescent="0.25">
      <c r="A501" s="1145">
        <v>45180</v>
      </c>
      <c r="B501" s="103">
        <v>294</v>
      </c>
      <c r="C501" s="82" t="s">
        <v>3898</v>
      </c>
      <c r="D501" s="103">
        <v>1</v>
      </c>
      <c r="E501" s="99">
        <v>2909.95</v>
      </c>
      <c r="F501" s="99">
        <f t="shared" si="61"/>
        <v>2909.95</v>
      </c>
      <c r="G501" s="928">
        <f t="shared" si="62"/>
        <v>3139950</v>
      </c>
      <c r="H501" s="104">
        <f t="shared" ref="H501:H507" si="64">(G501*D501)</f>
        <v>3139950</v>
      </c>
      <c r="I501" s="71">
        <v>1000</v>
      </c>
      <c r="J501" s="928"/>
      <c r="K501" s="99">
        <v>230</v>
      </c>
      <c r="L501" s="71" t="s">
        <v>276</v>
      </c>
      <c r="N501" s="82"/>
    </row>
    <row r="502" spans="1:14" s="71" customFormat="1" ht="30" customHeight="1" x14ac:dyDescent="0.25">
      <c r="A502" s="1145">
        <v>45187</v>
      </c>
      <c r="B502" s="103">
        <v>295</v>
      </c>
      <c r="C502" s="82" t="s">
        <v>861</v>
      </c>
      <c r="D502" s="103">
        <v>50</v>
      </c>
      <c r="E502" s="99">
        <v>12.16</v>
      </c>
      <c r="F502" s="99">
        <f t="shared" si="61"/>
        <v>608</v>
      </c>
      <c r="G502" s="104">
        <f t="shared" si="62"/>
        <v>15760</v>
      </c>
      <c r="H502" s="104">
        <f t="shared" si="64"/>
        <v>788000</v>
      </c>
      <c r="I502" s="71">
        <v>1000</v>
      </c>
      <c r="J502" s="928"/>
      <c r="K502" s="99">
        <v>180</v>
      </c>
      <c r="L502" s="71" t="s">
        <v>266</v>
      </c>
      <c r="N502" s="82"/>
    </row>
    <row r="503" spans="1:14" s="71" customFormat="1" ht="30" customHeight="1" x14ac:dyDescent="0.25">
      <c r="A503" s="1145">
        <v>45246</v>
      </c>
      <c r="B503" s="103">
        <v>296</v>
      </c>
      <c r="C503" s="82" t="s">
        <v>1370</v>
      </c>
      <c r="D503" s="103">
        <v>1</v>
      </c>
      <c r="E503" s="99">
        <v>2427.0500000000002</v>
      </c>
      <c r="F503" s="99">
        <f t="shared" si="61"/>
        <v>2427.0500000000002</v>
      </c>
      <c r="G503" s="104">
        <f t="shared" si="62"/>
        <v>2601621.2830041656</v>
      </c>
      <c r="H503" s="104">
        <f t="shared" si="64"/>
        <v>2601621.2830041656</v>
      </c>
      <c r="I503" s="71">
        <v>1000</v>
      </c>
      <c r="J503" s="928"/>
      <c r="K503" s="99">
        <v>360</v>
      </c>
      <c r="L503" s="71" t="s">
        <v>659</v>
      </c>
      <c r="N503" s="82"/>
    </row>
    <row r="504" spans="1:14" s="71" customFormat="1" ht="30" customHeight="1" x14ac:dyDescent="0.25">
      <c r="A504" s="82"/>
      <c r="B504" s="103">
        <v>296</v>
      </c>
      <c r="C504" s="82" t="s">
        <v>3949</v>
      </c>
      <c r="D504" s="103">
        <v>2</v>
      </c>
      <c r="E504" s="99">
        <v>594.35</v>
      </c>
      <c r="F504" s="99">
        <f t="shared" si="61"/>
        <v>1188.7</v>
      </c>
      <c r="G504" s="104">
        <f t="shared" si="62"/>
        <v>637100.02247729793</v>
      </c>
      <c r="H504" s="104">
        <f t="shared" si="64"/>
        <v>1274200.0449545959</v>
      </c>
      <c r="I504" s="71">
        <v>1000</v>
      </c>
      <c r="J504" s="928"/>
      <c r="K504" s="99">
        <v>360</v>
      </c>
      <c r="L504" s="71" t="s">
        <v>659</v>
      </c>
      <c r="N504" s="82"/>
    </row>
    <row r="505" spans="1:14" s="71" customFormat="1" ht="30" customHeight="1" x14ac:dyDescent="0.25">
      <c r="A505" s="1145"/>
      <c r="B505" s="103">
        <v>296</v>
      </c>
      <c r="C505" s="82" t="s">
        <v>3950</v>
      </c>
      <c r="D505" s="103">
        <v>1</v>
      </c>
      <c r="E505" s="99">
        <v>39.299999999999997</v>
      </c>
      <c r="F505" s="99">
        <f t="shared" si="61"/>
        <v>39.299999999999997</v>
      </c>
      <c r="G505" s="104">
        <f t="shared" si="62"/>
        <v>42126.744987562561</v>
      </c>
      <c r="H505" s="104">
        <f t="shared" si="64"/>
        <v>42126.744987562561</v>
      </c>
      <c r="I505" s="71">
        <v>1000</v>
      </c>
      <c r="J505" s="928"/>
      <c r="K505" s="99">
        <v>360</v>
      </c>
      <c r="L505" s="71" t="s">
        <v>266</v>
      </c>
      <c r="N505" s="82"/>
    </row>
    <row r="506" spans="1:14" s="71" customFormat="1" ht="30" customHeight="1" x14ac:dyDescent="0.25">
      <c r="A506" s="1145"/>
      <c r="B506" s="103">
        <v>296</v>
      </c>
      <c r="C506" s="82" t="s">
        <v>3713</v>
      </c>
      <c r="D506" s="103">
        <v>10</v>
      </c>
      <c r="E506" s="99">
        <v>135</v>
      </c>
      <c r="F506" s="99">
        <f t="shared" si="61"/>
        <v>1350</v>
      </c>
      <c r="G506" s="104">
        <f t="shared" si="62"/>
        <v>144710.19270536758</v>
      </c>
      <c r="H506" s="104">
        <f t="shared" si="64"/>
        <v>1447101.9270536758</v>
      </c>
      <c r="I506" s="71">
        <v>1000</v>
      </c>
      <c r="J506" s="928"/>
      <c r="K506" s="99">
        <v>360</v>
      </c>
      <c r="L506" s="71" t="s">
        <v>266</v>
      </c>
      <c r="N506" s="82"/>
    </row>
    <row r="507" spans="1:14" s="71" customFormat="1" ht="30" customHeight="1" x14ac:dyDescent="0.25">
      <c r="A507" s="1145">
        <v>45198</v>
      </c>
      <c r="B507" s="103">
        <v>297</v>
      </c>
      <c r="C507" s="82" t="s">
        <v>2333</v>
      </c>
      <c r="D507" s="103">
        <v>2</v>
      </c>
      <c r="E507" s="99">
        <v>4965.92</v>
      </c>
      <c r="F507" s="99">
        <f t="shared" si="61"/>
        <v>9931.84</v>
      </c>
      <c r="G507" s="104">
        <f t="shared" si="62"/>
        <v>5125920</v>
      </c>
      <c r="H507" s="104">
        <f t="shared" si="64"/>
        <v>10251840</v>
      </c>
      <c r="I507" s="71">
        <v>1000</v>
      </c>
      <c r="J507" s="928"/>
      <c r="K507" s="99">
        <v>480</v>
      </c>
      <c r="L507" s="71" t="s">
        <v>659</v>
      </c>
      <c r="N507" s="82"/>
    </row>
    <row r="508" spans="1:14" s="71" customFormat="1" ht="31.5" customHeight="1" x14ac:dyDescent="0.25">
      <c r="A508" s="82"/>
      <c r="B508" s="103">
        <v>297</v>
      </c>
      <c r="C508" s="82" t="s">
        <v>2332</v>
      </c>
      <c r="D508" s="103">
        <v>1</v>
      </c>
      <c r="E508" s="99">
        <v>4965.92</v>
      </c>
      <c r="F508" s="99">
        <f t="shared" ref="F508:F548" si="65">E508*D508</f>
        <v>4965.92</v>
      </c>
      <c r="G508" s="104">
        <f t="shared" si="62"/>
        <v>5125920</v>
      </c>
      <c r="H508" s="104">
        <f t="shared" ref="H508" si="66">(G508*D508)</f>
        <v>5125920</v>
      </c>
      <c r="I508" s="71">
        <v>1000</v>
      </c>
      <c r="J508" s="928"/>
      <c r="K508" s="99">
        <v>480</v>
      </c>
      <c r="L508" s="71" t="s">
        <v>659</v>
      </c>
      <c r="N508" s="82"/>
    </row>
    <row r="509" spans="1:14" s="71" customFormat="1" ht="30" customHeight="1" x14ac:dyDescent="0.25">
      <c r="A509" s="1145">
        <v>45274</v>
      </c>
      <c r="B509" s="103">
        <v>298</v>
      </c>
      <c r="C509" s="82" t="s">
        <v>3985</v>
      </c>
      <c r="D509" s="103">
        <v>2</v>
      </c>
      <c r="E509" s="99">
        <v>244.72</v>
      </c>
      <c r="F509" s="99">
        <f t="shared" si="65"/>
        <v>489.44</v>
      </c>
      <c r="G509" s="104">
        <f t="shared" si="62"/>
        <v>256743.92797042168</v>
      </c>
      <c r="H509" s="104">
        <f t="shared" ref="H509" si="67">(G509*D509)</f>
        <v>513487.85594084335</v>
      </c>
      <c r="I509" s="71">
        <v>1000</v>
      </c>
      <c r="J509" s="928"/>
      <c r="K509" s="99">
        <v>360</v>
      </c>
      <c r="L509" s="71" t="s">
        <v>3990</v>
      </c>
      <c r="N509" s="82"/>
    </row>
    <row r="510" spans="1:14" s="71" customFormat="1" ht="30" customHeight="1" x14ac:dyDescent="0.25">
      <c r="A510" s="82"/>
      <c r="B510" s="103">
        <v>298</v>
      </c>
      <c r="C510" s="82" t="s">
        <v>3986</v>
      </c>
      <c r="D510" s="103">
        <v>2</v>
      </c>
      <c r="E510" s="99">
        <v>150</v>
      </c>
      <c r="F510" s="99">
        <f t="shared" si="65"/>
        <v>300</v>
      </c>
      <c r="G510" s="104">
        <f t="shared" si="62"/>
        <v>157370.01142351772</v>
      </c>
      <c r="H510" s="104">
        <f t="shared" ref="H510:H513" si="68">(G510*D510)</f>
        <v>314740.02284703543</v>
      </c>
      <c r="I510" s="71">
        <v>1000</v>
      </c>
      <c r="J510" s="928"/>
      <c r="K510" s="99">
        <v>360</v>
      </c>
      <c r="L510" s="71" t="s">
        <v>3989</v>
      </c>
      <c r="N510" s="82"/>
    </row>
    <row r="511" spans="1:14" s="71" customFormat="1" ht="30" customHeight="1" x14ac:dyDescent="0.25">
      <c r="A511" s="1145"/>
      <c r="B511" s="103">
        <v>298</v>
      </c>
      <c r="C511" s="82" t="s">
        <v>3987</v>
      </c>
      <c r="D511" s="103">
        <v>10</v>
      </c>
      <c r="E511" s="99">
        <v>140</v>
      </c>
      <c r="F511" s="99">
        <f t="shared" si="65"/>
        <v>1400</v>
      </c>
      <c r="G511" s="104">
        <f t="shared" si="62"/>
        <v>146878.67732861653</v>
      </c>
      <c r="H511" s="104">
        <f t="shared" si="68"/>
        <v>1468786.7732861652</v>
      </c>
      <c r="I511" s="71">
        <v>1000</v>
      </c>
      <c r="J511" s="928"/>
      <c r="K511" s="99">
        <v>360</v>
      </c>
      <c r="L511" s="71" t="s">
        <v>3989</v>
      </c>
      <c r="N511" s="82"/>
    </row>
    <row r="512" spans="1:14" s="71" customFormat="1" ht="30" customHeight="1" x14ac:dyDescent="0.25">
      <c r="A512" s="82"/>
      <c r="B512" s="103">
        <v>298</v>
      </c>
      <c r="C512" s="82" t="s">
        <v>3987</v>
      </c>
      <c r="D512" s="103">
        <v>10</v>
      </c>
      <c r="E512" s="99">
        <v>140</v>
      </c>
      <c r="F512" s="99">
        <f t="shared" si="65"/>
        <v>1400</v>
      </c>
      <c r="G512" s="104">
        <f t="shared" si="62"/>
        <v>146878.67732861653</v>
      </c>
      <c r="H512" s="104">
        <f t="shared" si="68"/>
        <v>1468786.7732861652</v>
      </c>
      <c r="I512" s="71">
        <v>1000</v>
      </c>
      <c r="J512" s="928"/>
      <c r="K512" s="99">
        <v>360</v>
      </c>
      <c r="L512" s="71" t="s">
        <v>3989</v>
      </c>
      <c r="N512" s="82"/>
    </row>
    <row r="513" spans="1:14" s="71" customFormat="1" ht="30" customHeight="1" x14ac:dyDescent="0.25">
      <c r="A513" s="82"/>
      <c r="B513" s="103">
        <v>298</v>
      </c>
      <c r="C513" s="82" t="s">
        <v>3988</v>
      </c>
      <c r="D513" s="103">
        <v>1</v>
      </c>
      <c r="E513" s="99">
        <v>3737.55</v>
      </c>
      <c r="F513" s="99">
        <f t="shared" si="65"/>
        <v>3737.55</v>
      </c>
      <c r="G513" s="104">
        <f t="shared" si="62"/>
        <v>3921188.5746397907</v>
      </c>
      <c r="H513" s="104">
        <f t="shared" si="68"/>
        <v>3921188.5746397907</v>
      </c>
      <c r="I513" s="71">
        <v>1000</v>
      </c>
      <c r="J513" s="928"/>
      <c r="K513" s="99">
        <v>360</v>
      </c>
      <c r="L513" s="71" t="s">
        <v>4011</v>
      </c>
      <c r="N513" s="82"/>
    </row>
    <row r="514" spans="1:14" s="71" customFormat="1" ht="30" customHeight="1" x14ac:dyDescent="0.25">
      <c r="A514" s="1145">
        <v>45280</v>
      </c>
      <c r="B514" s="103">
        <v>299</v>
      </c>
      <c r="C514" s="82" t="s">
        <v>3991</v>
      </c>
      <c r="D514" s="103">
        <v>6</v>
      </c>
      <c r="E514" s="99">
        <v>213.5</v>
      </c>
      <c r="F514" s="99">
        <f t="shared" si="65"/>
        <v>1281</v>
      </c>
      <c r="G514" s="104">
        <f t="shared" si="62"/>
        <v>250166.66666666666</v>
      </c>
      <c r="H514" s="104">
        <f t="shared" ref="H514" si="69">(G514*D514)</f>
        <v>1501000</v>
      </c>
      <c r="I514" s="71">
        <v>1000</v>
      </c>
      <c r="J514" s="928"/>
      <c r="K514" s="99">
        <v>220</v>
      </c>
      <c r="L514" s="71" t="s">
        <v>3992</v>
      </c>
      <c r="N514" s="82"/>
    </row>
    <row r="515" spans="1:14" s="71" customFormat="1" ht="30" customHeight="1" x14ac:dyDescent="0.25">
      <c r="A515" s="1145">
        <v>45212</v>
      </c>
      <c r="B515" s="103">
        <v>300</v>
      </c>
      <c r="C515" s="82" t="s">
        <v>3993</v>
      </c>
      <c r="D515" s="103">
        <v>200</v>
      </c>
      <c r="E515" s="99">
        <v>10</v>
      </c>
      <c r="F515" s="99">
        <f t="shared" si="65"/>
        <v>2000</v>
      </c>
      <c r="G515" s="104">
        <f t="shared" si="62"/>
        <v>10727.296390504571</v>
      </c>
      <c r="H515" s="104">
        <f t="shared" ref="H515:H519" si="70">(G515*D515)</f>
        <v>2145459.2781009143</v>
      </c>
      <c r="I515" s="71">
        <v>1000</v>
      </c>
      <c r="J515" s="928"/>
      <c r="K515" s="99">
        <v>380</v>
      </c>
      <c r="N515" s="82"/>
    </row>
    <row r="516" spans="1:14" s="71" customFormat="1" ht="30" customHeight="1" x14ac:dyDescent="0.25">
      <c r="A516" s="82"/>
      <c r="B516" s="103">
        <v>300</v>
      </c>
      <c r="C516" s="82" t="s">
        <v>3978</v>
      </c>
      <c r="D516" s="103">
        <v>1</v>
      </c>
      <c r="E516" s="99">
        <v>1070.52</v>
      </c>
      <c r="F516" s="99">
        <f t="shared" si="65"/>
        <v>1070.52</v>
      </c>
      <c r="G516" s="104">
        <f t="shared" si="62"/>
        <v>1148378.5331962954</v>
      </c>
      <c r="H516" s="104">
        <f t="shared" si="70"/>
        <v>1148378.5331962954</v>
      </c>
      <c r="I516" s="71">
        <v>1000</v>
      </c>
      <c r="J516" s="928"/>
      <c r="K516" s="99">
        <v>380</v>
      </c>
      <c r="L516" s="71" t="s">
        <v>869</v>
      </c>
      <c r="N516" s="82"/>
    </row>
    <row r="517" spans="1:14" s="71" customFormat="1" ht="30" customHeight="1" x14ac:dyDescent="0.25">
      <c r="A517" s="82"/>
      <c r="B517" s="103">
        <v>300</v>
      </c>
      <c r="C517" s="82" t="s">
        <v>3980</v>
      </c>
      <c r="D517" s="103">
        <v>1</v>
      </c>
      <c r="E517" s="99">
        <v>792.06</v>
      </c>
      <c r="F517" s="99">
        <f t="shared" si="65"/>
        <v>792.06</v>
      </c>
      <c r="G517" s="104">
        <f t="shared" si="62"/>
        <v>849666.23790630512</v>
      </c>
      <c r="H517" s="104">
        <f t="shared" si="70"/>
        <v>849666.23790630512</v>
      </c>
      <c r="I517" s="71">
        <v>1000</v>
      </c>
      <c r="J517" s="928"/>
      <c r="K517" s="99">
        <v>380</v>
      </c>
      <c r="L517" s="71" t="s">
        <v>869</v>
      </c>
      <c r="N517" s="82"/>
    </row>
    <row r="518" spans="1:14" s="71" customFormat="1" ht="30" customHeight="1" x14ac:dyDescent="0.25">
      <c r="A518" s="82"/>
      <c r="B518" s="103">
        <v>300</v>
      </c>
      <c r="C518" s="82" t="s">
        <v>3982</v>
      </c>
      <c r="D518" s="103">
        <v>1</v>
      </c>
      <c r="E518" s="99">
        <v>571.20000000000005</v>
      </c>
      <c r="F518" s="99">
        <f t="shared" si="65"/>
        <v>571.20000000000005</v>
      </c>
      <c r="G518" s="104">
        <f t="shared" si="62"/>
        <v>612743.16982562118</v>
      </c>
      <c r="H518" s="104">
        <f t="shared" si="70"/>
        <v>612743.16982562118</v>
      </c>
      <c r="I518" s="71">
        <v>1000</v>
      </c>
      <c r="J518" s="928"/>
      <c r="K518" s="99">
        <v>380</v>
      </c>
      <c r="L518" s="71" t="s">
        <v>869</v>
      </c>
      <c r="N518" s="82"/>
    </row>
    <row r="519" spans="1:14" s="71" customFormat="1" ht="31.5" customHeight="1" x14ac:dyDescent="0.25">
      <c r="A519" s="82"/>
      <c r="B519" s="103">
        <v>300</v>
      </c>
      <c r="C519" s="82" t="s">
        <v>927</v>
      </c>
      <c r="D519" s="103">
        <v>5</v>
      </c>
      <c r="E519" s="99">
        <v>158.21</v>
      </c>
      <c r="F519" s="99">
        <f t="shared" si="65"/>
        <v>791.05000000000007</v>
      </c>
      <c r="G519" s="104">
        <f t="shared" si="62"/>
        <v>169716.55619417282</v>
      </c>
      <c r="H519" s="104">
        <f t="shared" si="70"/>
        <v>848582.78097086411</v>
      </c>
      <c r="I519" s="71">
        <v>1000</v>
      </c>
      <c r="J519" s="928"/>
      <c r="K519" s="99">
        <v>380</v>
      </c>
      <c r="L519" s="71" t="s">
        <v>869</v>
      </c>
      <c r="N519" s="82"/>
    </row>
    <row r="520" spans="1:14" s="71" customFormat="1" ht="30" customHeight="1" x14ac:dyDescent="0.25">
      <c r="A520" s="1145">
        <v>45306</v>
      </c>
      <c r="B520" s="103">
        <v>301</v>
      </c>
      <c r="C520" s="82" t="s">
        <v>4012</v>
      </c>
      <c r="D520" s="103">
        <v>1</v>
      </c>
      <c r="E520" s="99">
        <v>204.05</v>
      </c>
      <c r="F520" s="99">
        <f t="shared" si="65"/>
        <v>204.05</v>
      </c>
      <c r="G520" s="104">
        <f t="shared" si="62"/>
        <v>215932.82417256446</v>
      </c>
      <c r="H520" s="104">
        <f t="shared" ref="H520:H525" si="71">(G520*D520)</f>
        <v>215932.82417256446</v>
      </c>
      <c r="I520" s="71">
        <v>1000</v>
      </c>
      <c r="J520" s="928"/>
      <c r="K520" s="99">
        <v>320</v>
      </c>
      <c r="L520" s="71" t="s">
        <v>2477</v>
      </c>
      <c r="N520" s="82"/>
    </row>
    <row r="521" spans="1:14" s="71" customFormat="1" ht="30" customHeight="1" x14ac:dyDescent="0.25">
      <c r="A521" s="1145"/>
      <c r="B521" s="103">
        <v>301</v>
      </c>
      <c r="C521" s="82" t="s">
        <v>2874</v>
      </c>
      <c r="D521" s="103">
        <v>1</v>
      </c>
      <c r="E521" s="99">
        <v>3628.73</v>
      </c>
      <c r="F521" s="99">
        <f t="shared" si="65"/>
        <v>3628.73</v>
      </c>
      <c r="G521" s="104">
        <f t="shared" si="62"/>
        <v>3840048.6011257526</v>
      </c>
      <c r="H521" s="104">
        <f t="shared" si="71"/>
        <v>3840048.6011257526</v>
      </c>
      <c r="I521" s="71">
        <v>1000</v>
      </c>
      <c r="J521" s="928"/>
      <c r="K521" s="99">
        <v>320</v>
      </c>
      <c r="L521" s="71" t="s">
        <v>2477</v>
      </c>
      <c r="N521" s="82"/>
    </row>
    <row r="522" spans="1:14" s="71" customFormat="1" ht="30" customHeight="1" x14ac:dyDescent="0.25">
      <c r="A522" s="82"/>
      <c r="B522" s="103">
        <v>301</v>
      </c>
      <c r="C522" s="82" t="s">
        <v>4013</v>
      </c>
      <c r="D522" s="103">
        <v>1</v>
      </c>
      <c r="E522" s="99">
        <v>995.6</v>
      </c>
      <c r="F522" s="99">
        <f t="shared" si="65"/>
        <v>995.6</v>
      </c>
      <c r="G522" s="104">
        <f t="shared" si="62"/>
        <v>1053578.6314442793</v>
      </c>
      <c r="H522" s="104">
        <f t="shared" si="71"/>
        <v>1053578.6314442793</v>
      </c>
      <c r="I522" s="71">
        <v>1000</v>
      </c>
      <c r="J522" s="928"/>
      <c r="K522" s="99">
        <v>320</v>
      </c>
      <c r="L522" s="71" t="s">
        <v>2477</v>
      </c>
      <c r="N522" s="82"/>
    </row>
    <row r="523" spans="1:14" s="71" customFormat="1" ht="30" customHeight="1" x14ac:dyDescent="0.25">
      <c r="A523" s="1145"/>
      <c r="B523" s="103">
        <v>301</v>
      </c>
      <c r="C523" s="82" t="s">
        <v>4014</v>
      </c>
      <c r="D523" s="103">
        <v>1</v>
      </c>
      <c r="E523" s="99">
        <v>267.23</v>
      </c>
      <c r="F523" s="99">
        <f t="shared" si="65"/>
        <v>267.23</v>
      </c>
      <c r="G523" s="104">
        <f t="shared" si="62"/>
        <v>282792.10293376329</v>
      </c>
      <c r="H523" s="104">
        <f t="shared" si="71"/>
        <v>282792.10293376329</v>
      </c>
      <c r="I523" s="71">
        <v>1000</v>
      </c>
      <c r="J523" s="928"/>
      <c r="K523" s="99">
        <v>320</v>
      </c>
      <c r="L523" s="71" t="s">
        <v>2477</v>
      </c>
      <c r="N523" s="82"/>
    </row>
    <row r="524" spans="1:14" s="71" customFormat="1" ht="30" customHeight="1" x14ac:dyDescent="0.25">
      <c r="A524" s="1145"/>
      <c r="B524" s="103">
        <v>301</v>
      </c>
      <c r="C524" s="82" t="s">
        <v>4015</v>
      </c>
      <c r="D524" s="103">
        <v>1</v>
      </c>
      <c r="E524" s="99">
        <v>371.18</v>
      </c>
      <c r="F524" s="99">
        <f t="shared" si="65"/>
        <v>371.18</v>
      </c>
      <c r="G524" s="104">
        <f t="shared" si="62"/>
        <v>392795.61713488103</v>
      </c>
      <c r="H524" s="104">
        <f t="shared" si="71"/>
        <v>392795.61713488103</v>
      </c>
      <c r="I524" s="71">
        <v>1000</v>
      </c>
      <c r="J524" s="928"/>
      <c r="K524" s="99">
        <v>320</v>
      </c>
      <c r="L524" s="71" t="s">
        <v>2477</v>
      </c>
      <c r="N524" s="82"/>
    </row>
    <row r="525" spans="1:14" s="71" customFormat="1" ht="30" customHeight="1" x14ac:dyDescent="0.25">
      <c r="A525" s="82"/>
      <c r="B525" s="103">
        <v>301</v>
      </c>
      <c r="C525" s="82" t="s">
        <v>4016</v>
      </c>
      <c r="D525" s="103">
        <v>5</v>
      </c>
      <c r="E525" s="99">
        <v>5.64</v>
      </c>
      <c r="F525" s="99">
        <f t="shared" si="65"/>
        <v>28.2</v>
      </c>
      <c r="G525" s="104">
        <f t="shared" si="62"/>
        <v>5968.4446377518434</v>
      </c>
      <c r="H525" s="104">
        <f t="shared" si="71"/>
        <v>29842.223188759217</v>
      </c>
      <c r="I525" s="71">
        <v>1000</v>
      </c>
      <c r="J525" s="928"/>
      <c r="K525" s="99">
        <v>320</v>
      </c>
      <c r="N525" s="82"/>
    </row>
    <row r="526" spans="1:14" s="71" customFormat="1" ht="30" customHeight="1" x14ac:dyDescent="0.25">
      <c r="A526" s="1145">
        <v>45292</v>
      </c>
      <c r="B526" s="103">
        <v>302</v>
      </c>
      <c r="C526" s="82" t="s">
        <v>4017</v>
      </c>
      <c r="D526" s="103">
        <v>2</v>
      </c>
      <c r="E526" s="99">
        <v>319.60000000000002</v>
      </c>
      <c r="F526" s="99">
        <f t="shared" si="65"/>
        <v>639.20000000000005</v>
      </c>
      <c r="G526" s="104">
        <f t="shared" si="62"/>
        <v>484600</v>
      </c>
      <c r="H526" s="104">
        <f t="shared" ref="H526" si="72">(G526*D526)</f>
        <v>969200</v>
      </c>
      <c r="I526" s="71">
        <v>1000</v>
      </c>
      <c r="J526" s="928">
        <v>180000</v>
      </c>
      <c r="K526" s="99">
        <v>150</v>
      </c>
      <c r="L526" s="71" t="s">
        <v>869</v>
      </c>
      <c r="N526" s="82"/>
    </row>
    <row r="527" spans="1:14" s="71" customFormat="1" ht="30" customHeight="1" x14ac:dyDescent="0.25">
      <c r="A527" s="1145">
        <v>45337</v>
      </c>
      <c r="B527" s="103">
        <v>303</v>
      </c>
      <c r="C527" s="82" t="s">
        <v>2522</v>
      </c>
      <c r="D527" s="103">
        <v>4</v>
      </c>
      <c r="E527" s="99">
        <v>23.55</v>
      </c>
      <c r="F527" s="99">
        <f t="shared" si="65"/>
        <v>94.2</v>
      </c>
      <c r="G527" s="104">
        <f t="shared" si="62"/>
        <v>24586.655796820745</v>
      </c>
      <c r="H527" s="104">
        <f t="shared" ref="H527:H535" si="73">(G527*D527)</f>
        <v>98346.623187282981</v>
      </c>
      <c r="I527" s="71">
        <v>1000</v>
      </c>
      <c r="J527" s="928"/>
      <c r="K527" s="99">
        <v>250</v>
      </c>
      <c r="L527" s="71" t="s">
        <v>266</v>
      </c>
      <c r="N527" s="82"/>
    </row>
    <row r="528" spans="1:14" s="71" customFormat="1" ht="30" customHeight="1" x14ac:dyDescent="0.25">
      <c r="A528" s="82"/>
      <c r="B528" s="103">
        <v>303</v>
      </c>
      <c r="C528" s="82" t="s">
        <v>4043</v>
      </c>
      <c r="D528" s="103">
        <v>1</v>
      </c>
      <c r="E528" s="99">
        <v>995.6</v>
      </c>
      <c r="F528" s="99">
        <f t="shared" si="65"/>
        <v>995.6</v>
      </c>
      <c r="G528" s="104">
        <f t="shared" si="62"/>
        <v>1039425.6692702648</v>
      </c>
      <c r="H528" s="104">
        <f t="shared" si="73"/>
        <v>1039425.6692702648</v>
      </c>
      <c r="I528" s="71">
        <v>1000</v>
      </c>
      <c r="J528" s="928"/>
      <c r="K528" s="99">
        <v>250</v>
      </c>
      <c r="L528" s="71" t="s">
        <v>869</v>
      </c>
      <c r="N528" s="82"/>
    </row>
    <row r="529" spans="1:14" s="71" customFormat="1" ht="30" customHeight="1" x14ac:dyDescent="0.25">
      <c r="A529" s="1145"/>
      <c r="B529" s="103">
        <v>303</v>
      </c>
      <c r="C529" s="82" t="s">
        <v>4045</v>
      </c>
      <c r="D529" s="103">
        <v>8</v>
      </c>
      <c r="E529" s="99">
        <v>239.92</v>
      </c>
      <c r="F529" s="99">
        <f t="shared" si="65"/>
        <v>1919.36</v>
      </c>
      <c r="G529" s="104">
        <f t="shared" ref="G529:G560" si="74">(I529*E529)+(J529*(F529/SUMIF(B:B,B529,F:F)))/D529+((K529*I529)*(F529/SUMIF(B:B,B529,F:F)))/D529</f>
        <v>250481.12351478697</v>
      </c>
      <c r="H529" s="104">
        <f t="shared" si="73"/>
        <v>2003848.9881182958</v>
      </c>
      <c r="I529" s="71">
        <v>1000</v>
      </c>
      <c r="J529" s="928"/>
      <c r="K529" s="99">
        <v>250</v>
      </c>
      <c r="L529" s="71" t="s">
        <v>266</v>
      </c>
      <c r="N529" s="82"/>
    </row>
    <row r="530" spans="1:14" s="71" customFormat="1" ht="30" customHeight="1" x14ac:dyDescent="0.25">
      <c r="A530" s="1145"/>
      <c r="B530" s="103">
        <v>303</v>
      </c>
      <c r="C530" s="82" t="s">
        <v>4044</v>
      </c>
      <c r="D530" s="103">
        <v>8</v>
      </c>
      <c r="E530" s="99">
        <v>227.77</v>
      </c>
      <c r="F530" s="99">
        <f t="shared" si="65"/>
        <v>1822.16</v>
      </c>
      <c r="G530" s="104">
        <f t="shared" si="74"/>
        <v>237796.28835846545</v>
      </c>
      <c r="H530" s="104">
        <f t="shared" si="73"/>
        <v>1902370.3068677236</v>
      </c>
      <c r="I530" s="71">
        <v>1000</v>
      </c>
      <c r="J530" s="928"/>
      <c r="K530" s="99">
        <v>250</v>
      </c>
      <c r="L530" s="71" t="s">
        <v>266</v>
      </c>
      <c r="N530" s="82"/>
    </row>
    <row r="531" spans="1:14" s="71" customFormat="1" ht="30" customHeight="1" x14ac:dyDescent="0.25">
      <c r="A531" s="82"/>
      <c r="B531" s="103">
        <v>303</v>
      </c>
      <c r="C531" s="82" t="s">
        <v>4046</v>
      </c>
      <c r="D531" s="103">
        <v>2</v>
      </c>
      <c r="E531" s="99">
        <v>424</v>
      </c>
      <c r="F531" s="99">
        <f t="shared" si="65"/>
        <v>848</v>
      </c>
      <c r="G531" s="104">
        <f t="shared" si="74"/>
        <v>442664.20627821638</v>
      </c>
      <c r="H531" s="104">
        <f t="shared" si="73"/>
        <v>885328.41255643277</v>
      </c>
      <c r="I531" s="71">
        <v>1000</v>
      </c>
      <c r="J531" s="928"/>
      <c r="K531" s="99">
        <v>250</v>
      </c>
      <c r="L531" s="71" t="s">
        <v>266</v>
      </c>
      <c r="N531" s="82"/>
    </row>
    <row r="532" spans="1:14" s="71" customFormat="1" ht="31.5" customHeight="1" x14ac:dyDescent="0.25">
      <c r="A532" s="1145">
        <v>45306</v>
      </c>
      <c r="B532" s="103">
        <v>304</v>
      </c>
      <c r="C532" s="82" t="s">
        <v>4050</v>
      </c>
      <c r="D532" s="103">
        <v>1</v>
      </c>
      <c r="E532" s="99">
        <v>1681.43</v>
      </c>
      <c r="F532" s="99">
        <f t="shared" si="65"/>
        <v>1681.43</v>
      </c>
      <c r="G532" s="104">
        <f t="shared" si="74"/>
        <v>1739871.7525400543</v>
      </c>
      <c r="H532" s="104">
        <f t="shared" si="73"/>
        <v>1739871.7525400543</v>
      </c>
      <c r="I532" s="71">
        <v>1000</v>
      </c>
      <c r="J532" s="928"/>
      <c r="K532" s="99">
        <v>250</v>
      </c>
      <c r="L532" s="71" t="s">
        <v>3989</v>
      </c>
      <c r="N532" s="82" t="s">
        <v>4051</v>
      </c>
    </row>
    <row r="533" spans="1:14" s="71" customFormat="1" ht="30" customHeight="1" x14ac:dyDescent="0.25">
      <c r="A533" s="1145"/>
      <c r="B533" s="103">
        <v>304</v>
      </c>
      <c r="C533" s="82" t="s">
        <v>4047</v>
      </c>
      <c r="D533" s="103">
        <v>2</v>
      </c>
      <c r="E533" s="99">
        <v>1040.18</v>
      </c>
      <c r="F533" s="99">
        <f t="shared" si="65"/>
        <v>2080.36</v>
      </c>
      <c r="G533" s="104">
        <f t="shared" si="74"/>
        <v>1076333.715680768</v>
      </c>
      <c r="H533" s="104">
        <f t="shared" si="73"/>
        <v>2152667.431361536</v>
      </c>
      <c r="I533" s="71">
        <v>1000</v>
      </c>
      <c r="J533" s="928"/>
      <c r="K533" s="99">
        <v>250</v>
      </c>
      <c r="L533" s="71" t="s">
        <v>266</v>
      </c>
      <c r="N533" s="82"/>
    </row>
    <row r="534" spans="1:14" s="71" customFormat="1" ht="30" customHeight="1" x14ac:dyDescent="0.25">
      <c r="A534" s="1145"/>
      <c r="B534" s="103">
        <v>304</v>
      </c>
      <c r="C534" s="82" t="s">
        <v>4048</v>
      </c>
      <c r="D534" s="103">
        <v>1</v>
      </c>
      <c r="E534" s="99">
        <v>2066.1799999999998</v>
      </c>
      <c r="F534" s="99">
        <f t="shared" si="65"/>
        <v>2066.1799999999998</v>
      </c>
      <c r="G534" s="104">
        <f t="shared" si="74"/>
        <v>2137994.5746556255</v>
      </c>
      <c r="H534" s="104">
        <f t="shared" si="73"/>
        <v>2137994.5746556255</v>
      </c>
      <c r="I534" s="71">
        <v>1000</v>
      </c>
      <c r="J534" s="928"/>
      <c r="K534" s="99">
        <v>250</v>
      </c>
      <c r="L534" s="71" t="s">
        <v>266</v>
      </c>
      <c r="N534" s="82"/>
    </row>
    <row r="535" spans="1:14" s="71" customFormat="1" ht="30" customHeight="1" x14ac:dyDescent="0.25">
      <c r="A535" s="1145"/>
      <c r="B535" s="103">
        <v>304</v>
      </c>
      <c r="C535" s="82" t="s">
        <v>4049</v>
      </c>
      <c r="D535" s="103">
        <v>1</v>
      </c>
      <c r="E535" s="99">
        <v>1364.79</v>
      </c>
      <c r="F535" s="99">
        <f t="shared" si="65"/>
        <v>1364.79</v>
      </c>
      <c r="G535" s="104">
        <f t="shared" si="74"/>
        <v>1412226.2414427842</v>
      </c>
      <c r="H535" s="104">
        <f t="shared" si="73"/>
        <v>1412226.2414427842</v>
      </c>
      <c r="I535" s="71">
        <v>1000</v>
      </c>
      <c r="J535" s="928"/>
      <c r="K535" s="99">
        <v>250</v>
      </c>
      <c r="L535" s="71" t="s">
        <v>266</v>
      </c>
      <c r="N535" s="82"/>
    </row>
    <row r="536" spans="1:14" s="71" customFormat="1" ht="30" customHeight="1" x14ac:dyDescent="0.25">
      <c r="A536" s="1145">
        <v>45359</v>
      </c>
      <c r="B536" s="103">
        <v>305</v>
      </c>
      <c r="C536" s="82" t="s">
        <v>4072</v>
      </c>
      <c r="D536" s="103">
        <v>5</v>
      </c>
      <c r="E536" s="99">
        <v>50.3</v>
      </c>
      <c r="F536" s="99">
        <f t="shared" si="65"/>
        <v>251.5</v>
      </c>
      <c r="G536" s="104">
        <f t="shared" si="74"/>
        <v>74300</v>
      </c>
      <c r="H536" s="104">
        <f t="shared" ref="H536" si="75">(G536*D536)</f>
        <v>371500</v>
      </c>
      <c r="I536" s="71">
        <v>1000</v>
      </c>
      <c r="J536" s="928"/>
      <c r="K536" s="99">
        <v>120</v>
      </c>
      <c r="L536" s="71" t="s">
        <v>2477</v>
      </c>
      <c r="N536" s="82"/>
    </row>
    <row r="537" spans="1:14" s="71" customFormat="1" ht="30" customHeight="1" x14ac:dyDescent="0.25">
      <c r="A537" s="1145">
        <v>45373</v>
      </c>
      <c r="B537" s="103">
        <v>306</v>
      </c>
      <c r="C537" s="82" t="s">
        <v>4073</v>
      </c>
      <c r="D537" s="103">
        <v>1</v>
      </c>
      <c r="E537" s="99">
        <v>650.79999999999995</v>
      </c>
      <c r="F537" s="99">
        <f t="shared" si="65"/>
        <v>650.79999999999995</v>
      </c>
      <c r="G537" s="104">
        <f t="shared" si="74"/>
        <v>695360.88507693971</v>
      </c>
      <c r="H537" s="104">
        <f t="shared" ref="H537:H541" si="76">(G537*D537)</f>
        <v>695360.88507693971</v>
      </c>
      <c r="I537" s="71">
        <v>1000</v>
      </c>
      <c r="J537" s="928"/>
      <c r="K537" s="99">
        <v>190</v>
      </c>
      <c r="N537" s="82"/>
    </row>
    <row r="538" spans="1:14" s="71" customFormat="1" ht="30" customHeight="1" x14ac:dyDescent="0.25">
      <c r="A538" s="82"/>
      <c r="B538" s="103">
        <v>306</v>
      </c>
      <c r="C538" s="82" t="s">
        <v>3143</v>
      </c>
      <c r="D538" s="103">
        <v>10</v>
      </c>
      <c r="E538" s="99">
        <v>73.91</v>
      </c>
      <c r="F538" s="99">
        <f t="shared" si="65"/>
        <v>739.09999999999991</v>
      </c>
      <c r="G538" s="104">
        <f t="shared" si="74"/>
        <v>78970.686871598969</v>
      </c>
      <c r="H538" s="104">
        <f t="shared" si="76"/>
        <v>789706.86871598964</v>
      </c>
      <c r="I538" s="71">
        <v>1000</v>
      </c>
      <c r="J538" s="928"/>
      <c r="K538" s="99">
        <v>190</v>
      </c>
      <c r="N538" s="82"/>
    </row>
    <row r="539" spans="1:14" s="71" customFormat="1" ht="30" customHeight="1" x14ac:dyDescent="0.25">
      <c r="A539" s="82"/>
      <c r="B539" s="103">
        <v>306</v>
      </c>
      <c r="C539" s="82" t="s">
        <v>3537</v>
      </c>
      <c r="D539" s="103">
        <v>10</v>
      </c>
      <c r="E539" s="99">
        <v>85.3</v>
      </c>
      <c r="F539" s="99">
        <f t="shared" si="65"/>
        <v>853</v>
      </c>
      <c r="G539" s="104">
        <f t="shared" si="74"/>
        <v>91140.570831381308</v>
      </c>
      <c r="H539" s="104">
        <f t="shared" si="76"/>
        <v>911405.70831381308</v>
      </c>
      <c r="I539" s="71">
        <v>1000</v>
      </c>
      <c r="J539" s="928"/>
      <c r="K539" s="99">
        <v>190</v>
      </c>
      <c r="N539" s="82"/>
    </row>
    <row r="540" spans="1:14" s="71" customFormat="1" ht="30" customHeight="1" x14ac:dyDescent="0.25">
      <c r="A540" s="82"/>
      <c r="B540" s="103">
        <v>306</v>
      </c>
      <c r="C540" s="82" t="s">
        <v>4075</v>
      </c>
      <c r="D540" s="103">
        <v>8</v>
      </c>
      <c r="E540" s="99">
        <v>48</v>
      </c>
      <c r="F540" s="99">
        <f t="shared" si="65"/>
        <v>384</v>
      </c>
      <c r="G540" s="104">
        <f t="shared" si="74"/>
        <v>51286.604922699917</v>
      </c>
      <c r="H540" s="104">
        <f t="shared" si="76"/>
        <v>410292.83938159933</v>
      </c>
      <c r="I540" s="71">
        <v>1000</v>
      </c>
      <c r="J540" s="928"/>
      <c r="K540" s="99">
        <v>190</v>
      </c>
      <c r="N540" s="82"/>
    </row>
    <row r="541" spans="1:14" s="71" customFormat="1" ht="30" customHeight="1" x14ac:dyDescent="0.25">
      <c r="A541" s="82"/>
      <c r="B541" s="103">
        <v>306</v>
      </c>
      <c r="C541" s="82" t="s">
        <v>4074</v>
      </c>
      <c r="D541" s="103">
        <v>4</v>
      </c>
      <c r="E541" s="99">
        <v>37</v>
      </c>
      <c r="F541" s="99">
        <f t="shared" si="65"/>
        <v>148</v>
      </c>
      <c r="G541" s="104">
        <f t="shared" si="74"/>
        <v>39533.424627914523</v>
      </c>
      <c r="H541" s="104">
        <f t="shared" si="76"/>
        <v>158133.69851165809</v>
      </c>
      <c r="I541" s="71">
        <v>1000</v>
      </c>
      <c r="J541" s="928"/>
      <c r="K541" s="99">
        <v>190</v>
      </c>
      <c r="N541" s="82"/>
    </row>
    <row r="542" spans="1:14" s="71" customFormat="1" ht="30" customHeight="1" x14ac:dyDescent="0.25">
      <c r="A542" s="82">
        <v>240311</v>
      </c>
      <c r="B542" s="103">
        <v>307</v>
      </c>
      <c r="C542" s="82" t="s">
        <v>1308</v>
      </c>
      <c r="D542" s="103">
        <v>200</v>
      </c>
      <c r="E542" s="99">
        <v>9.5</v>
      </c>
      <c r="F542" s="99">
        <f t="shared" si="65"/>
        <v>1900</v>
      </c>
      <c r="G542" s="104">
        <f t="shared" si="74"/>
        <v>10328.543111992072</v>
      </c>
      <c r="H542" s="104">
        <f t="shared" ref="H542:H544" si="77">(G542*D542)</f>
        <v>2065708.6223984144</v>
      </c>
      <c r="I542" s="71">
        <v>1000</v>
      </c>
      <c r="J542" s="928"/>
      <c r="K542" s="99">
        <v>220</v>
      </c>
      <c r="N542" s="82"/>
    </row>
    <row r="543" spans="1:14" s="71" customFormat="1" ht="31.5" customHeight="1" x14ac:dyDescent="0.25">
      <c r="A543" s="82"/>
      <c r="B543" s="103">
        <v>307</v>
      </c>
      <c r="C543" s="82" t="s">
        <v>1032</v>
      </c>
      <c r="D543" s="103">
        <v>40</v>
      </c>
      <c r="E543" s="99">
        <v>3</v>
      </c>
      <c r="F543" s="99">
        <f t="shared" si="65"/>
        <v>120</v>
      </c>
      <c r="G543" s="104">
        <f t="shared" si="74"/>
        <v>3261.6451932606542</v>
      </c>
      <c r="H543" s="104">
        <f t="shared" si="77"/>
        <v>130465.80773042617</v>
      </c>
      <c r="I543" s="71">
        <v>1000</v>
      </c>
      <c r="J543" s="928"/>
      <c r="K543" s="99">
        <v>220</v>
      </c>
      <c r="N543" s="82"/>
    </row>
    <row r="544" spans="1:14" s="71" customFormat="1" ht="30" customHeight="1" x14ac:dyDescent="0.25">
      <c r="A544" s="1145"/>
      <c r="B544" s="103">
        <v>307</v>
      </c>
      <c r="C544" s="82" t="s">
        <v>871</v>
      </c>
      <c r="D544" s="103">
        <v>10</v>
      </c>
      <c r="E544" s="99">
        <v>50.25</v>
      </c>
      <c r="F544" s="99">
        <f t="shared" si="65"/>
        <v>502.5</v>
      </c>
      <c r="G544" s="104">
        <f t="shared" si="74"/>
        <v>54632.556987115953</v>
      </c>
      <c r="H544" s="104">
        <f t="shared" si="77"/>
        <v>546325.5698711595</v>
      </c>
      <c r="I544" s="71">
        <v>1000</v>
      </c>
      <c r="J544" s="928"/>
      <c r="K544" s="99">
        <v>220</v>
      </c>
      <c r="N544" s="82"/>
    </row>
    <row r="545" spans="1:14" s="71" customFormat="1" ht="30" customHeight="1" x14ac:dyDescent="0.25">
      <c r="A545" s="1221">
        <v>45442</v>
      </c>
      <c r="B545" s="103">
        <v>308</v>
      </c>
      <c r="C545" s="82" t="s">
        <v>3712</v>
      </c>
      <c r="D545" s="103">
        <v>2</v>
      </c>
      <c r="E545" s="99">
        <v>4001.68</v>
      </c>
      <c r="F545" s="99">
        <f t="shared" si="65"/>
        <v>8003.36</v>
      </c>
      <c r="G545" s="104">
        <f t="shared" si="74"/>
        <v>4438568.654422353</v>
      </c>
      <c r="H545" s="104">
        <f t="shared" ref="H545:H547" si="78">(G545*D545)</f>
        <v>8877137.308844706</v>
      </c>
      <c r="I545" s="71">
        <v>1000</v>
      </c>
      <c r="J545" s="928"/>
      <c r="K545" s="99">
        <v>1072</v>
      </c>
      <c r="L545" s="71" t="s">
        <v>1671</v>
      </c>
      <c r="N545" s="82"/>
    </row>
    <row r="546" spans="1:14" s="71" customFormat="1" ht="30" customHeight="1" x14ac:dyDescent="0.25">
      <c r="A546" s="82"/>
      <c r="B546" s="103">
        <v>308</v>
      </c>
      <c r="C546" s="82" t="s">
        <v>4138</v>
      </c>
      <c r="D546" s="103">
        <v>2</v>
      </c>
      <c r="E546" s="99">
        <v>367.81</v>
      </c>
      <c r="F546" s="99">
        <f t="shared" si="65"/>
        <v>735.62</v>
      </c>
      <c r="G546" s="104">
        <f t="shared" si="74"/>
        <v>407966.13841763604</v>
      </c>
      <c r="H546" s="104">
        <f t="shared" si="78"/>
        <v>815932.27683527209</v>
      </c>
      <c r="I546" s="71">
        <v>1000</v>
      </c>
      <c r="J546" s="928"/>
      <c r="K546" s="99">
        <v>1072</v>
      </c>
      <c r="L546" s="71" t="s">
        <v>1671</v>
      </c>
      <c r="N546" s="82"/>
    </row>
    <row r="547" spans="1:14" s="71" customFormat="1" ht="30" customHeight="1" x14ac:dyDescent="0.25">
      <c r="A547" s="1145"/>
      <c r="B547" s="103">
        <v>308</v>
      </c>
      <c r="C547" s="82" t="s">
        <v>2549</v>
      </c>
      <c r="D547" s="103">
        <v>12</v>
      </c>
      <c r="E547" s="99">
        <v>90</v>
      </c>
      <c r="F547" s="99">
        <f t="shared" si="65"/>
        <v>1080</v>
      </c>
      <c r="G547" s="104">
        <f t="shared" si="74"/>
        <v>99825.867860001745</v>
      </c>
      <c r="H547" s="104">
        <f t="shared" si="78"/>
        <v>1197910.4143200209</v>
      </c>
      <c r="I547" s="71">
        <v>1000</v>
      </c>
      <c r="J547" s="928"/>
      <c r="K547" s="99">
        <v>1072</v>
      </c>
      <c r="L547" s="71" t="s">
        <v>1671</v>
      </c>
      <c r="N547" s="82"/>
    </row>
    <row r="548" spans="1:14" s="71" customFormat="1" ht="30" customHeight="1" x14ac:dyDescent="0.25">
      <c r="A548" s="1221">
        <v>45380</v>
      </c>
      <c r="B548" s="103">
        <v>309</v>
      </c>
      <c r="C548" s="82" t="s">
        <v>4139</v>
      </c>
      <c r="D548" s="103">
        <v>2</v>
      </c>
      <c r="E548" s="99">
        <v>4855.88</v>
      </c>
      <c r="F548" s="99">
        <f t="shared" si="65"/>
        <v>9711.76</v>
      </c>
      <c r="G548" s="104">
        <f t="shared" si="74"/>
        <v>5035880</v>
      </c>
      <c r="H548" s="104">
        <f t="shared" ref="H548:H561" si="79">(G548*D548)</f>
        <v>10071760</v>
      </c>
      <c r="I548" s="71">
        <v>1000</v>
      </c>
      <c r="J548" s="928"/>
      <c r="K548" s="99">
        <v>360</v>
      </c>
      <c r="L548" s="71" t="s">
        <v>1158</v>
      </c>
      <c r="N548" s="82"/>
    </row>
    <row r="549" spans="1:14" s="71" customFormat="1" ht="30" customHeight="1" x14ac:dyDescent="0.25">
      <c r="A549" s="1145">
        <v>45700</v>
      </c>
      <c r="B549" s="103">
        <v>310</v>
      </c>
      <c r="C549" s="82" t="s">
        <v>4326</v>
      </c>
      <c r="D549" s="103">
        <v>9</v>
      </c>
      <c r="E549" s="99">
        <v>16.13</v>
      </c>
      <c r="F549" s="99">
        <f t="shared" ref="F549:F562" si="80">E549*D549</f>
        <v>145.16999999999999</v>
      </c>
      <c r="G549" s="104">
        <f t="shared" si="74"/>
        <v>29047.665104935499</v>
      </c>
      <c r="H549" s="104">
        <f t="shared" si="79"/>
        <v>261428.98594441949</v>
      </c>
      <c r="I549" s="71">
        <v>1500</v>
      </c>
      <c r="J549" s="928"/>
      <c r="K549" s="99">
        <v>250</v>
      </c>
      <c r="N549" s="82"/>
    </row>
    <row r="550" spans="1:14" s="71" customFormat="1" ht="30" customHeight="1" x14ac:dyDescent="0.25">
      <c r="A550" s="1145"/>
      <c r="B550" s="103">
        <v>310</v>
      </c>
      <c r="C550" s="82" t="s">
        <v>2176</v>
      </c>
      <c r="D550" s="103">
        <v>12</v>
      </c>
      <c r="E550" s="99">
        <v>27.17</v>
      </c>
      <c r="F550" s="99">
        <f t="shared" si="80"/>
        <v>326.04000000000002</v>
      </c>
      <c r="G550" s="104">
        <f t="shared" si="74"/>
        <v>44678.528656697257</v>
      </c>
      <c r="H550" s="104">
        <f t="shared" si="79"/>
        <v>536142.34388036712</v>
      </c>
      <c r="I550" s="71">
        <v>1500</v>
      </c>
      <c r="J550" s="928"/>
      <c r="K550" s="99">
        <v>120</v>
      </c>
      <c r="N550" s="82"/>
    </row>
    <row r="551" spans="1:14" s="71" customFormat="1" ht="30" customHeight="1" x14ac:dyDescent="0.25">
      <c r="A551" s="1145"/>
      <c r="B551" s="103">
        <v>310</v>
      </c>
      <c r="C551" s="82" t="s">
        <v>4327</v>
      </c>
      <c r="D551" s="103">
        <v>4</v>
      </c>
      <c r="E551" s="99">
        <v>11.3</v>
      </c>
      <c r="F551" s="99">
        <f t="shared" si="80"/>
        <v>45.2</v>
      </c>
      <c r="G551" s="104">
        <f t="shared" si="74"/>
        <v>19533.675630575701</v>
      </c>
      <c r="H551" s="104">
        <f t="shared" si="79"/>
        <v>78134.702522302803</v>
      </c>
      <c r="I551" s="71">
        <v>1500</v>
      </c>
      <c r="J551" s="928"/>
      <c r="K551" s="99">
        <v>190</v>
      </c>
      <c r="N551" s="82"/>
    </row>
    <row r="552" spans="1:14" s="71" customFormat="1" ht="30" customHeight="1" x14ac:dyDescent="0.25">
      <c r="A552" s="82"/>
      <c r="B552" s="103">
        <v>310</v>
      </c>
      <c r="C552" s="82" t="s">
        <v>2443</v>
      </c>
      <c r="D552" s="103">
        <v>50</v>
      </c>
      <c r="E552" s="99">
        <v>7.6189999999999998</v>
      </c>
      <c r="F552" s="99">
        <f t="shared" si="80"/>
        <v>380.95</v>
      </c>
      <c r="G552" s="104">
        <f t="shared" si="74"/>
        <v>13170.537577819139</v>
      </c>
      <c r="H552" s="104">
        <f t="shared" si="79"/>
        <v>658526.87889095698</v>
      </c>
      <c r="I552" s="71">
        <v>1500</v>
      </c>
      <c r="J552" s="928"/>
      <c r="K552" s="99">
        <v>190</v>
      </c>
      <c r="N552" s="82"/>
    </row>
    <row r="553" spans="1:14" s="71" customFormat="1" ht="30" customHeight="1" x14ac:dyDescent="0.25">
      <c r="A553" s="82"/>
      <c r="B553" s="103">
        <v>310</v>
      </c>
      <c r="C553" s="82" t="s">
        <v>1542</v>
      </c>
      <c r="D553" s="103">
        <v>50</v>
      </c>
      <c r="E553" s="99">
        <v>6.9824000000000002</v>
      </c>
      <c r="F553" s="99">
        <f t="shared" si="80"/>
        <v>349.12</v>
      </c>
      <c r="G553" s="104">
        <f t="shared" si="74"/>
        <v>12070.08289583467</v>
      </c>
      <c r="H553" s="104">
        <f t="shared" si="79"/>
        <v>603504.14479173347</v>
      </c>
      <c r="I553" s="71">
        <v>1500</v>
      </c>
      <c r="J553" s="928"/>
      <c r="K553" s="99">
        <v>190</v>
      </c>
      <c r="N553" s="82"/>
    </row>
    <row r="554" spans="1:14" s="71" customFormat="1" ht="30" customHeight="1" x14ac:dyDescent="0.25">
      <c r="A554" s="1145">
        <v>45677</v>
      </c>
      <c r="B554" s="103">
        <v>311</v>
      </c>
      <c r="C554" s="82" t="s">
        <v>2522</v>
      </c>
      <c r="D554" s="103">
        <v>3</v>
      </c>
      <c r="E554" s="99">
        <v>18.760000000000002</v>
      </c>
      <c r="F554" s="99">
        <f t="shared" si="80"/>
        <v>56.28</v>
      </c>
      <c r="G554" s="104">
        <f t="shared" si="74"/>
        <v>30457.022928039707</v>
      </c>
      <c r="H554" s="104">
        <f t="shared" si="79"/>
        <v>91371.068784119125</v>
      </c>
      <c r="I554" s="71">
        <v>1500</v>
      </c>
      <c r="J554" s="928"/>
      <c r="K554" s="99">
        <v>248.87</v>
      </c>
      <c r="N554" s="82"/>
    </row>
    <row r="555" spans="1:14" s="71" customFormat="1" ht="30" customHeight="1" x14ac:dyDescent="0.25">
      <c r="A555" s="82"/>
      <c r="B555" s="103">
        <v>311</v>
      </c>
      <c r="C555" s="82" t="s">
        <v>2862</v>
      </c>
      <c r="D555" s="103">
        <v>5</v>
      </c>
      <c r="E555" s="99">
        <v>12.292</v>
      </c>
      <c r="F555" s="99">
        <f t="shared" si="80"/>
        <v>61.46</v>
      </c>
      <c r="G555" s="104">
        <f t="shared" si="74"/>
        <v>19956.16875434243</v>
      </c>
      <c r="H555" s="104">
        <f t="shared" si="79"/>
        <v>99780.843771712156</v>
      </c>
      <c r="I555" s="71">
        <v>1500</v>
      </c>
      <c r="J555" s="928"/>
      <c r="K555" s="99">
        <v>248.87</v>
      </c>
      <c r="N555" s="82"/>
    </row>
    <row r="556" spans="1:14" s="71" customFormat="1" ht="30" customHeight="1" x14ac:dyDescent="0.25">
      <c r="A556" s="82"/>
      <c r="B556" s="103">
        <v>311</v>
      </c>
      <c r="C556" s="82" t="s">
        <v>3023</v>
      </c>
      <c r="D556" s="103">
        <v>10</v>
      </c>
      <c r="E556" s="99">
        <v>93.38</v>
      </c>
      <c r="F556" s="99">
        <f t="shared" si="80"/>
        <v>933.8</v>
      </c>
      <c r="G556" s="104">
        <f t="shared" si="74"/>
        <v>151603.24099255583</v>
      </c>
      <c r="H556" s="104">
        <f t="shared" si="79"/>
        <v>1516032.4099255584</v>
      </c>
      <c r="I556" s="71">
        <v>1500</v>
      </c>
      <c r="J556" s="928"/>
      <c r="K556" s="99">
        <v>248.87</v>
      </c>
      <c r="N556" s="82"/>
    </row>
    <row r="557" spans="1:14" s="71" customFormat="1" ht="31.5" customHeight="1" x14ac:dyDescent="0.25">
      <c r="A557" s="82"/>
      <c r="B557" s="103">
        <v>311</v>
      </c>
      <c r="C557" s="82" t="s">
        <v>2662</v>
      </c>
      <c r="D557" s="103">
        <v>4</v>
      </c>
      <c r="E557" s="99">
        <v>46.45</v>
      </c>
      <c r="F557" s="99">
        <f t="shared" si="80"/>
        <v>185.8</v>
      </c>
      <c r="G557" s="104">
        <f t="shared" si="74"/>
        <v>75411.978411910677</v>
      </c>
      <c r="H557" s="104">
        <f t="shared" si="79"/>
        <v>301647.91364764271</v>
      </c>
      <c r="I557" s="71">
        <v>1500</v>
      </c>
      <c r="J557" s="928"/>
      <c r="K557" s="99">
        <v>248.87</v>
      </c>
      <c r="N557" s="82"/>
    </row>
    <row r="558" spans="1:14" s="71" customFormat="1" ht="30" customHeight="1" x14ac:dyDescent="0.25">
      <c r="A558" s="1145"/>
      <c r="B558" s="103">
        <v>311</v>
      </c>
      <c r="C558" s="82" t="s">
        <v>2662</v>
      </c>
      <c r="D558" s="103">
        <v>30</v>
      </c>
      <c r="E558" s="99">
        <v>8.1199999999999992</v>
      </c>
      <c r="F558" s="99">
        <f t="shared" si="80"/>
        <v>243.59999999999997</v>
      </c>
      <c r="G558" s="104">
        <f t="shared" si="74"/>
        <v>13182.890521091809</v>
      </c>
      <c r="H558" s="104">
        <f t="shared" si="79"/>
        <v>395486.71563275426</v>
      </c>
      <c r="I558" s="71">
        <v>1500</v>
      </c>
      <c r="J558" s="928"/>
      <c r="K558" s="99">
        <v>248.87</v>
      </c>
      <c r="N558" s="82"/>
    </row>
    <row r="559" spans="1:14" s="71" customFormat="1" ht="30" customHeight="1" x14ac:dyDescent="0.25">
      <c r="A559" s="1221"/>
      <c r="B559" s="103">
        <v>311</v>
      </c>
      <c r="C559" s="82" t="s">
        <v>4328</v>
      </c>
      <c r="D559" s="103">
        <v>4</v>
      </c>
      <c r="E559" s="99">
        <v>22.49</v>
      </c>
      <c r="F559" s="99">
        <f t="shared" si="80"/>
        <v>89.96</v>
      </c>
      <c r="G559" s="104">
        <f t="shared" si="74"/>
        <v>36512.710322580642</v>
      </c>
      <c r="H559" s="104">
        <f t="shared" si="79"/>
        <v>146050.84129032257</v>
      </c>
      <c r="I559" s="71">
        <v>1500</v>
      </c>
      <c r="J559" s="928"/>
      <c r="K559" s="99">
        <v>248.87</v>
      </c>
      <c r="N559" s="82"/>
    </row>
    <row r="560" spans="1:14" s="71" customFormat="1" ht="30" customHeight="1" x14ac:dyDescent="0.25">
      <c r="A560" s="82"/>
      <c r="B560" s="103">
        <v>311</v>
      </c>
      <c r="C560" s="82" t="s">
        <v>2475</v>
      </c>
      <c r="D560" s="103">
        <v>8</v>
      </c>
      <c r="E560" s="99">
        <v>181.45</v>
      </c>
      <c r="F560" s="99">
        <f t="shared" si="80"/>
        <v>1451.6</v>
      </c>
      <c r="G560" s="104">
        <f t="shared" si="74"/>
        <v>294585.65086848638</v>
      </c>
      <c r="H560" s="104">
        <f t="shared" si="79"/>
        <v>2356685.206947891</v>
      </c>
      <c r="I560" s="71">
        <v>1500</v>
      </c>
      <c r="J560" s="928"/>
      <c r="K560" s="99">
        <v>248.87</v>
      </c>
      <c r="N560" s="82"/>
    </row>
    <row r="561" spans="1:14" s="71" customFormat="1" ht="30" customHeight="1" x14ac:dyDescent="0.25">
      <c r="A561" s="1221">
        <v>45628</v>
      </c>
      <c r="B561" s="103">
        <v>312</v>
      </c>
      <c r="C561" s="71" t="s">
        <v>4307</v>
      </c>
      <c r="D561" s="103">
        <v>10</v>
      </c>
      <c r="E561" s="99">
        <v>3.4</v>
      </c>
      <c r="F561" s="99">
        <f t="shared" si="80"/>
        <v>34</v>
      </c>
      <c r="G561" s="104">
        <f t="shared" ref="G561:G567" si="81">(I561*E561)+(J561*(F561/SUMIF(B:B,B561,F:F)))/D561+((K561*I561)*(F561/SUMIF(B:B,B561,F:F)))/D561</f>
        <v>6900.9587217043945</v>
      </c>
      <c r="H561" s="104">
        <f t="shared" si="79"/>
        <v>69009.58721704394</v>
      </c>
      <c r="I561" s="71">
        <v>1500</v>
      </c>
      <c r="J561" s="928"/>
      <c r="K561" s="99">
        <v>106.08</v>
      </c>
      <c r="N561" s="82"/>
    </row>
    <row r="562" spans="1:14" s="71" customFormat="1" ht="30" customHeight="1" x14ac:dyDescent="0.25">
      <c r="B562" s="103">
        <v>312</v>
      </c>
      <c r="C562" s="82" t="s">
        <v>4329</v>
      </c>
      <c r="D562" s="103">
        <v>6</v>
      </c>
      <c r="E562" s="99">
        <v>6.48</v>
      </c>
      <c r="F562" s="99">
        <f t="shared" si="80"/>
        <v>38.880000000000003</v>
      </c>
      <c r="G562" s="104">
        <f t="shared" si="81"/>
        <v>13152.415446071904</v>
      </c>
      <c r="H562" s="104">
        <f t="shared" ref="H562:H563" si="82">(G562*D562)</f>
        <v>78914.49267643143</v>
      </c>
      <c r="I562" s="71">
        <v>1500</v>
      </c>
      <c r="J562" s="928"/>
      <c r="K562" s="99">
        <v>106.08</v>
      </c>
      <c r="N562" s="82"/>
    </row>
    <row r="563" spans="1:14" s="71" customFormat="1" ht="30" customHeight="1" x14ac:dyDescent="0.25">
      <c r="A563" s="1145"/>
      <c r="B563" s="103">
        <v>312</v>
      </c>
      <c r="C563" s="71" t="s">
        <v>694</v>
      </c>
      <c r="D563" s="103">
        <v>1</v>
      </c>
      <c r="E563" s="99">
        <v>89.77</v>
      </c>
      <c r="F563" s="99">
        <f t="shared" ref="F563:F569" si="83">E563*D563</f>
        <v>89.77</v>
      </c>
      <c r="G563" s="104">
        <f t="shared" si="81"/>
        <v>182205.60719041279</v>
      </c>
      <c r="H563" s="104">
        <f t="shared" si="82"/>
        <v>182205.60719041279</v>
      </c>
      <c r="I563" s="71">
        <v>1500</v>
      </c>
      <c r="J563" s="928"/>
      <c r="K563" s="99">
        <v>106.08</v>
      </c>
      <c r="N563" s="82"/>
    </row>
    <row r="564" spans="1:14" s="71" customFormat="1" ht="30" customHeight="1" x14ac:dyDescent="0.25">
      <c r="A564" s="1221"/>
      <c r="B564" s="103">
        <v>312</v>
      </c>
      <c r="C564" s="71" t="s">
        <v>4309</v>
      </c>
      <c r="D564" s="103">
        <v>1</v>
      </c>
      <c r="E564" s="99">
        <v>137.75</v>
      </c>
      <c r="F564" s="99">
        <f t="shared" si="83"/>
        <v>137.75</v>
      </c>
      <c r="G564" s="104">
        <f t="shared" si="81"/>
        <v>279590.31291611184</v>
      </c>
      <c r="H564" s="104">
        <f t="shared" ref="H564:H570" si="84">(G564*D564)</f>
        <v>279590.31291611184</v>
      </c>
      <c r="I564" s="71">
        <v>1500</v>
      </c>
      <c r="J564" s="928"/>
      <c r="K564" s="99">
        <v>106.08</v>
      </c>
      <c r="N564" s="82"/>
    </row>
    <row r="565" spans="1:14" s="71" customFormat="1" ht="30" customHeight="1" x14ac:dyDescent="0.25">
      <c r="A565" s="1145">
        <v>45861</v>
      </c>
      <c r="B565" s="103">
        <v>313</v>
      </c>
      <c r="C565" s="1027" t="s">
        <v>3741</v>
      </c>
      <c r="D565" s="103">
        <v>100</v>
      </c>
      <c r="E565" s="101">
        <v>1.03</v>
      </c>
      <c r="F565" s="101">
        <f t="shared" si="83"/>
        <v>103</v>
      </c>
      <c r="G565" s="104">
        <f t="shared" si="81"/>
        <v>1822.3518550775127</v>
      </c>
      <c r="H565" s="104">
        <f t="shared" si="84"/>
        <v>182235.18550775127</v>
      </c>
      <c r="I565" s="71">
        <v>1650</v>
      </c>
      <c r="J565" s="928"/>
      <c r="K565" s="99">
        <v>249</v>
      </c>
      <c r="N565" s="82"/>
    </row>
    <row r="566" spans="1:14" s="71" customFormat="1" ht="30" customHeight="1" x14ac:dyDescent="0.25">
      <c r="A566" s="1221"/>
      <c r="B566" s="103">
        <v>313</v>
      </c>
      <c r="C566" s="82" t="s">
        <v>4469</v>
      </c>
      <c r="D566" s="103">
        <v>8</v>
      </c>
      <c r="E566" s="101">
        <v>17.7</v>
      </c>
      <c r="F566" s="101">
        <f t="shared" si="83"/>
        <v>141.6</v>
      </c>
      <c r="G566" s="104">
        <f t="shared" si="81"/>
        <v>31316.143529001914</v>
      </c>
      <c r="H566" s="104">
        <f t="shared" si="84"/>
        <v>250529.14823201532</v>
      </c>
      <c r="I566" s="71">
        <v>1650</v>
      </c>
      <c r="J566" s="928"/>
      <c r="K566" s="99">
        <v>249</v>
      </c>
      <c r="N566" s="82"/>
    </row>
    <row r="567" spans="1:14" s="71" customFormat="1" ht="30" customHeight="1" x14ac:dyDescent="0.25">
      <c r="A567" s="1221"/>
      <c r="B567" s="103">
        <v>313</v>
      </c>
      <c r="C567" s="82" t="s">
        <v>1542</v>
      </c>
      <c r="D567" s="103">
        <v>100</v>
      </c>
      <c r="E567" s="101">
        <v>7.1</v>
      </c>
      <c r="F567" s="101">
        <f t="shared" si="83"/>
        <v>710</v>
      </c>
      <c r="G567" s="104">
        <f t="shared" si="81"/>
        <v>12561.842884514894</v>
      </c>
      <c r="H567" s="104">
        <f t="shared" si="84"/>
        <v>1256184.2884514893</v>
      </c>
      <c r="I567" s="71">
        <v>1650</v>
      </c>
      <c r="J567" s="928"/>
      <c r="K567" s="99">
        <v>249</v>
      </c>
      <c r="N567" s="82"/>
    </row>
    <row r="568" spans="1:14" s="71" customFormat="1" ht="30" customHeight="1" x14ac:dyDescent="0.25">
      <c r="A568" s="1145"/>
      <c r="B568" s="103"/>
      <c r="C568" s="82"/>
      <c r="D568" s="103"/>
      <c r="E568" s="99"/>
      <c r="F568" s="99">
        <f t="shared" si="83"/>
        <v>0</v>
      </c>
      <c r="G568" s="104" t="e">
        <f t="shared" ref="G568:G573" si="85">(I568*E568)+(J568*(F568/SUMIF(B:B,B568,F:F)))/D568+((K568*I568)*(F568/SUMIF(B:B,B568,F:F)))/D568</f>
        <v>#DIV/0!</v>
      </c>
      <c r="H568" s="104" t="e">
        <f t="shared" si="84"/>
        <v>#DIV/0!</v>
      </c>
      <c r="I568" s="71">
        <v>1000</v>
      </c>
      <c r="J568" s="928"/>
      <c r="K568" s="99"/>
      <c r="N568" s="82"/>
    </row>
    <row r="569" spans="1:14" s="71" customFormat="1" ht="30" customHeight="1" x14ac:dyDescent="0.25">
      <c r="A569" s="1221"/>
      <c r="B569" s="103"/>
      <c r="C569" s="82"/>
      <c r="D569" s="103"/>
      <c r="E569" s="99"/>
      <c r="F569" s="99">
        <f t="shared" si="83"/>
        <v>0</v>
      </c>
      <c r="G569" s="104" t="e">
        <f t="shared" si="85"/>
        <v>#DIV/0!</v>
      </c>
      <c r="H569" s="104" t="e">
        <f t="shared" si="84"/>
        <v>#DIV/0!</v>
      </c>
      <c r="I569" s="71">
        <v>1000</v>
      </c>
      <c r="J569" s="928"/>
      <c r="K569" s="99"/>
      <c r="N569" s="82"/>
    </row>
    <row r="570" spans="1:14" s="71" customFormat="1" ht="30" customHeight="1" x14ac:dyDescent="0.25">
      <c r="A570" s="1145"/>
      <c r="B570" s="103"/>
      <c r="C570" s="82"/>
      <c r="D570" s="103"/>
      <c r="E570" s="99"/>
      <c r="F570" s="99">
        <f t="shared" ref="F570:F573" si="86">E570*D570</f>
        <v>0</v>
      </c>
      <c r="G570" s="104" t="e">
        <f t="shared" si="85"/>
        <v>#DIV/0!</v>
      </c>
      <c r="H570" s="104" t="e">
        <f t="shared" si="84"/>
        <v>#DIV/0!</v>
      </c>
      <c r="I570" s="71">
        <v>1000</v>
      </c>
      <c r="J570" s="928"/>
      <c r="K570" s="99"/>
      <c r="N570" s="82"/>
    </row>
    <row r="571" spans="1:14" s="71" customFormat="1" ht="30" customHeight="1" x14ac:dyDescent="0.25">
      <c r="A571" s="1221"/>
      <c r="B571" s="103"/>
      <c r="C571" s="82"/>
      <c r="D571" s="103"/>
      <c r="E571" s="99"/>
      <c r="F571" s="99">
        <f t="shared" si="86"/>
        <v>0</v>
      </c>
      <c r="G571" s="104" t="e">
        <f t="shared" si="85"/>
        <v>#DIV/0!</v>
      </c>
      <c r="H571" s="104" t="e">
        <f t="shared" ref="H571:H573" si="87">(G571*D571)</f>
        <v>#DIV/0!</v>
      </c>
      <c r="I571" s="71">
        <v>1000</v>
      </c>
      <c r="J571" s="928"/>
      <c r="K571" s="99"/>
      <c r="N571" s="82"/>
    </row>
    <row r="572" spans="1:14" s="71" customFormat="1" ht="30" customHeight="1" x14ac:dyDescent="0.25">
      <c r="A572" s="1145"/>
      <c r="B572" s="103"/>
      <c r="C572" s="82"/>
      <c r="D572" s="103"/>
      <c r="E572" s="99"/>
      <c r="F572" s="99">
        <f t="shared" si="86"/>
        <v>0</v>
      </c>
      <c r="G572" s="104" t="e">
        <f t="shared" si="85"/>
        <v>#DIV/0!</v>
      </c>
      <c r="H572" s="104" t="e">
        <f t="shared" si="87"/>
        <v>#DIV/0!</v>
      </c>
      <c r="I572" s="71">
        <v>1000</v>
      </c>
      <c r="J572" s="928"/>
      <c r="K572" s="99"/>
      <c r="N572" s="82"/>
    </row>
    <row r="573" spans="1:14" s="71" customFormat="1" ht="30" customHeight="1" x14ac:dyDescent="0.25">
      <c r="A573" s="1221"/>
      <c r="B573" s="103"/>
      <c r="C573" s="82"/>
      <c r="D573" s="103"/>
      <c r="E573" s="99"/>
      <c r="F573" s="99">
        <f t="shared" si="86"/>
        <v>0</v>
      </c>
      <c r="G573" s="104" t="e">
        <f t="shared" si="85"/>
        <v>#DIV/0!</v>
      </c>
      <c r="H573" s="104" t="e">
        <f t="shared" si="87"/>
        <v>#DIV/0!</v>
      </c>
      <c r="I573" s="71">
        <v>1000</v>
      </c>
      <c r="J573" s="928"/>
      <c r="K573" s="99"/>
      <c r="N573" s="82"/>
    </row>
    <row r="592" spans="1:14" s="118" customFormat="1" ht="45" customHeight="1" x14ac:dyDescent="0.1">
      <c r="A592" s="137" t="s">
        <v>253</v>
      </c>
      <c r="B592" s="131"/>
      <c r="C592" s="606"/>
      <c r="D592" s="608"/>
      <c r="E592" s="119"/>
      <c r="F592" s="119"/>
      <c r="G592" s="120"/>
      <c r="H592" s="120">
        <f>(G592*D592)</f>
        <v>0</v>
      </c>
      <c r="I592" s="121"/>
      <c r="J592" s="922"/>
      <c r="K592" s="222">
        <v>0</v>
      </c>
      <c r="L592" s="121"/>
      <c r="M592" s="121"/>
      <c r="N592" s="142"/>
    </row>
    <row r="593" spans="1:14" s="73" customFormat="1" ht="30" customHeight="1" x14ac:dyDescent="0.25">
      <c r="A593" s="80">
        <v>170609</v>
      </c>
      <c r="B593" s="132">
        <v>201</v>
      </c>
      <c r="C593" s="80" t="s">
        <v>252</v>
      </c>
      <c r="D593" s="132">
        <v>6</v>
      </c>
      <c r="E593" s="128">
        <v>26.52</v>
      </c>
      <c r="F593" s="128"/>
      <c r="G593" s="111">
        <f t="shared" ref="G593:G633" si="88">(I593*E593)+(J593*(E593/SUMIF(B:B,B593,E:E)))/D593+((K593*I593)*(E593/SUMIF(B:B,B593,E:E)))/D593</f>
        <v>34845.282066232423</v>
      </c>
      <c r="H593" s="111">
        <f>(G593*D593)</f>
        <v>209071.69239739454</v>
      </c>
      <c r="I593" s="73">
        <v>1267.08</v>
      </c>
      <c r="J593" s="925">
        <v>0</v>
      </c>
      <c r="K593" s="128">
        <v>110</v>
      </c>
      <c r="L593" s="903" t="s">
        <v>254</v>
      </c>
      <c r="M593" s="464"/>
      <c r="N593" s="1245"/>
    </row>
    <row r="594" spans="1:14" s="71" customFormat="1" ht="30" customHeight="1" x14ac:dyDescent="0.25">
      <c r="A594" s="82"/>
      <c r="B594" s="103">
        <v>201</v>
      </c>
      <c r="C594" s="82" t="s">
        <v>269</v>
      </c>
      <c r="D594" s="103">
        <v>5</v>
      </c>
      <c r="E594" s="101">
        <v>3.6</v>
      </c>
      <c r="F594" s="128"/>
      <c r="G594" s="111">
        <f t="shared" si="88"/>
        <v>4763.856944725645</v>
      </c>
      <c r="H594" s="104">
        <f>(G594*D594)</f>
        <v>23819.284723628225</v>
      </c>
      <c r="I594" s="71">
        <v>1267.08</v>
      </c>
      <c r="J594" s="928">
        <v>0</v>
      </c>
      <c r="K594" s="101">
        <v>110</v>
      </c>
      <c r="L594" s="409" t="s">
        <v>254</v>
      </c>
      <c r="M594" s="464"/>
      <c r="N594" s="1246"/>
    </row>
    <row r="595" spans="1:14" s="84" customFormat="1" ht="30" customHeight="1" x14ac:dyDescent="0.25">
      <c r="A595" s="85"/>
      <c r="B595" s="133">
        <v>201</v>
      </c>
      <c r="C595" s="85" t="s">
        <v>256</v>
      </c>
      <c r="D595" s="133">
        <v>2</v>
      </c>
      <c r="E595" s="129">
        <v>64.12</v>
      </c>
      <c r="F595" s="769"/>
      <c r="G595" s="467">
        <f t="shared" si="88"/>
        <v>90256.208999866911</v>
      </c>
      <c r="H595" s="113">
        <f>(G595*D595)</f>
        <v>180512.41799973382</v>
      </c>
      <c r="I595" s="84">
        <v>1267.08</v>
      </c>
      <c r="J595" s="926">
        <v>0</v>
      </c>
      <c r="K595" s="129">
        <v>110</v>
      </c>
      <c r="L595" s="411"/>
      <c r="N595" s="1247"/>
    </row>
    <row r="596" spans="1:14" s="73" customFormat="1" ht="30" customHeight="1" x14ac:dyDescent="0.25">
      <c r="A596" s="80">
        <v>170803</v>
      </c>
      <c r="B596" s="132">
        <v>202</v>
      </c>
      <c r="C596" s="80" t="s">
        <v>680</v>
      </c>
      <c r="D596" s="132">
        <v>2</v>
      </c>
      <c r="E596" s="128">
        <v>723.24</v>
      </c>
      <c r="F596" s="128"/>
      <c r="G596" s="111">
        <f t="shared" si="88"/>
        <v>978718.87492911948</v>
      </c>
      <c r="H596" s="111">
        <f t="shared" ref="H596:H607" si="89">(G596*D596)</f>
        <v>1957437.749858239</v>
      </c>
      <c r="I596" s="73">
        <v>1317.25</v>
      </c>
      <c r="J596" s="925">
        <v>191650</v>
      </c>
      <c r="K596" s="128">
        <v>275</v>
      </c>
      <c r="L596" s="73" t="s">
        <v>774</v>
      </c>
      <c r="N596" s="80"/>
    </row>
    <row r="597" spans="1:14" s="84" customFormat="1" ht="30" customHeight="1" x14ac:dyDescent="0.25">
      <c r="A597" s="85"/>
      <c r="B597" s="133">
        <v>202</v>
      </c>
      <c r="C597" s="85" t="s">
        <v>681</v>
      </c>
      <c r="D597" s="133">
        <v>2</v>
      </c>
      <c r="E597" s="129">
        <v>186.12</v>
      </c>
      <c r="F597" s="129"/>
      <c r="G597" s="113">
        <f t="shared" si="88"/>
        <v>251865.43471296903</v>
      </c>
      <c r="H597" s="113">
        <f t="shared" si="89"/>
        <v>503730.86942593806</v>
      </c>
      <c r="I597" s="84">
        <v>1317.25</v>
      </c>
      <c r="J597" s="926">
        <v>191650</v>
      </c>
      <c r="K597" s="129">
        <v>275</v>
      </c>
      <c r="L597" s="84" t="s">
        <v>774</v>
      </c>
      <c r="N597" s="85"/>
    </row>
    <row r="598" spans="1:14" s="73" customFormat="1" ht="30" customHeight="1" x14ac:dyDescent="0.25">
      <c r="A598" s="80">
        <v>170824</v>
      </c>
      <c r="B598" s="132">
        <v>203</v>
      </c>
      <c r="C598" s="80" t="s">
        <v>778</v>
      </c>
      <c r="D598" s="132">
        <v>1</v>
      </c>
      <c r="E598" s="128">
        <v>189.56</v>
      </c>
      <c r="F598" s="128"/>
      <c r="G598" s="111">
        <f t="shared" si="88"/>
        <v>272604.35969205515</v>
      </c>
      <c r="H598" s="111">
        <f t="shared" si="89"/>
        <v>272604.35969205515</v>
      </c>
      <c r="I598" s="73">
        <v>1354.7</v>
      </c>
      <c r="J598" s="925">
        <v>0</v>
      </c>
      <c r="K598" s="128">
        <v>165</v>
      </c>
      <c r="L598" s="73" t="s">
        <v>818</v>
      </c>
      <c r="N598" s="80"/>
    </row>
    <row r="599" spans="1:14" s="71" customFormat="1" ht="30" customHeight="1" x14ac:dyDescent="0.25">
      <c r="A599" s="82"/>
      <c r="B599" s="103">
        <v>203</v>
      </c>
      <c r="C599" s="82" t="s">
        <v>775</v>
      </c>
      <c r="D599" s="103">
        <v>1</v>
      </c>
      <c r="E599" s="101">
        <v>34.68</v>
      </c>
      <c r="F599" s="101"/>
      <c r="G599" s="104">
        <f t="shared" si="88"/>
        <v>49872.964729481289</v>
      </c>
      <c r="H599" s="104">
        <f t="shared" si="89"/>
        <v>49872.964729481289</v>
      </c>
      <c r="I599" s="73">
        <v>1354.7</v>
      </c>
      <c r="J599" s="928">
        <v>0</v>
      </c>
      <c r="K599" s="101">
        <v>165</v>
      </c>
      <c r="L599" s="71" t="s">
        <v>818</v>
      </c>
      <c r="N599" s="82"/>
    </row>
    <row r="600" spans="1:14" s="84" customFormat="1" ht="30" customHeight="1" x14ac:dyDescent="0.25">
      <c r="A600" s="85"/>
      <c r="B600" s="133">
        <v>203</v>
      </c>
      <c r="C600" s="85" t="s">
        <v>777</v>
      </c>
      <c r="D600" s="133">
        <v>1</v>
      </c>
      <c r="E600" s="129">
        <v>2249.2800000000002</v>
      </c>
      <c r="F600" s="129"/>
      <c r="G600" s="113">
        <f t="shared" si="88"/>
        <v>3234667.3041155618</v>
      </c>
      <c r="H600" s="113">
        <f t="shared" si="89"/>
        <v>3234667.3041155618</v>
      </c>
      <c r="I600" s="84">
        <v>1354.7</v>
      </c>
      <c r="J600" s="926">
        <v>0</v>
      </c>
      <c r="K600" s="129">
        <v>165</v>
      </c>
      <c r="L600" s="84" t="s">
        <v>828</v>
      </c>
      <c r="N600" s="85"/>
    </row>
    <row r="601" spans="1:14" s="157" customFormat="1" ht="30" customHeight="1" x14ac:dyDescent="0.25">
      <c r="A601" s="159">
        <v>170908</v>
      </c>
      <c r="B601" s="633">
        <v>204</v>
      </c>
      <c r="C601" s="159" t="s">
        <v>814</v>
      </c>
      <c r="D601" s="633">
        <v>1</v>
      </c>
      <c r="E601" s="770">
        <v>17.84</v>
      </c>
      <c r="F601" s="770"/>
      <c r="G601" s="158">
        <f t="shared" si="88"/>
        <v>30121.411199999999</v>
      </c>
      <c r="H601" s="158">
        <f t="shared" si="89"/>
        <v>30121.411199999999</v>
      </c>
      <c r="I601" s="157">
        <v>1351.08</v>
      </c>
      <c r="J601" s="929">
        <v>0</v>
      </c>
      <c r="K601" s="770">
        <v>135.30000000000001</v>
      </c>
      <c r="L601" s="157" t="s">
        <v>817</v>
      </c>
      <c r="N601" s="159"/>
    </row>
    <row r="602" spans="1:14" s="411" customFormat="1" ht="30" customHeight="1" x14ac:dyDescent="0.25">
      <c r="A602" s="612"/>
      <c r="B602" s="465">
        <v>204</v>
      </c>
      <c r="C602" s="612" t="s">
        <v>815</v>
      </c>
      <c r="D602" s="465">
        <v>1</v>
      </c>
      <c r="E602" s="769">
        <v>173.92</v>
      </c>
      <c r="F602" s="769"/>
      <c r="G602" s="467">
        <f t="shared" si="88"/>
        <v>293649.9908017937</v>
      </c>
      <c r="H602" s="467">
        <f t="shared" si="89"/>
        <v>293649.9908017937</v>
      </c>
      <c r="I602" s="411">
        <v>1351.08</v>
      </c>
      <c r="J602" s="924">
        <v>0</v>
      </c>
      <c r="K602" s="769">
        <v>135.30000000000001</v>
      </c>
      <c r="L602" s="411" t="s">
        <v>817</v>
      </c>
      <c r="N602" s="612"/>
    </row>
    <row r="603" spans="1:14" s="88" customFormat="1" ht="30" customHeight="1" x14ac:dyDescent="0.25">
      <c r="A603" s="89">
        <v>170913</v>
      </c>
      <c r="B603" s="134">
        <v>205</v>
      </c>
      <c r="C603" s="89" t="s">
        <v>813</v>
      </c>
      <c r="D603" s="134">
        <v>4</v>
      </c>
      <c r="E603" s="768">
        <f>563*0.8</f>
        <v>450.40000000000003</v>
      </c>
      <c r="F603" s="768"/>
      <c r="G603" s="117">
        <f t="shared" si="88"/>
        <v>793524.93945001788</v>
      </c>
      <c r="H603" s="117">
        <f t="shared" si="89"/>
        <v>3174099.7578000715</v>
      </c>
      <c r="I603" s="88">
        <v>1361.23</v>
      </c>
      <c r="J603" s="927">
        <v>523527</v>
      </c>
      <c r="K603" s="768">
        <v>612.79999999999995</v>
      </c>
      <c r="L603" s="88" t="s">
        <v>816</v>
      </c>
      <c r="N603" s="89" t="s">
        <v>827</v>
      </c>
    </row>
    <row r="604" spans="1:14" s="88" customFormat="1" ht="30" customHeight="1" x14ac:dyDescent="0.25">
      <c r="A604" s="89">
        <v>170913</v>
      </c>
      <c r="B604" s="134">
        <v>206</v>
      </c>
      <c r="C604" s="89" t="s">
        <v>777</v>
      </c>
      <c r="D604" s="134">
        <v>1</v>
      </c>
      <c r="E604" s="768">
        <v>2249.2800000000002</v>
      </c>
      <c r="F604" s="768"/>
      <c r="G604" s="117">
        <f t="shared" si="88"/>
        <v>3142924.8686626805</v>
      </c>
      <c r="H604" s="117">
        <f t="shared" si="89"/>
        <v>3142924.8686626805</v>
      </c>
      <c r="I604" s="88">
        <v>1356.34</v>
      </c>
      <c r="J604" s="927"/>
      <c r="K604" s="768">
        <v>189</v>
      </c>
      <c r="N604" s="89"/>
    </row>
    <row r="605" spans="1:14" s="73" customFormat="1" ht="30" customHeight="1" x14ac:dyDescent="0.25">
      <c r="A605" s="80">
        <v>170926</v>
      </c>
      <c r="B605" s="132">
        <v>207</v>
      </c>
      <c r="C605" s="80" t="s">
        <v>843</v>
      </c>
      <c r="D605" s="132">
        <v>1</v>
      </c>
      <c r="E605" s="128">
        <v>8.7200000000000006</v>
      </c>
      <c r="F605" s="128"/>
      <c r="G605" s="111">
        <f t="shared" si="88"/>
        <v>16832.643374986339</v>
      </c>
      <c r="H605" s="111">
        <f t="shared" si="89"/>
        <v>16832.643374986339</v>
      </c>
      <c r="I605" s="73">
        <v>1350</v>
      </c>
      <c r="J605" s="925">
        <v>0</v>
      </c>
      <c r="K605" s="128">
        <v>118</v>
      </c>
      <c r="L605" s="1240" t="s">
        <v>818</v>
      </c>
      <c r="N605" s="80"/>
    </row>
    <row r="606" spans="1:14" s="71" customFormat="1" ht="30" customHeight="1" x14ac:dyDescent="0.25">
      <c r="A606" s="82"/>
      <c r="B606" s="103">
        <v>207</v>
      </c>
      <c r="C606" s="82" t="s">
        <v>844</v>
      </c>
      <c r="D606" s="103">
        <v>1</v>
      </c>
      <c r="E606" s="101">
        <v>17.16</v>
      </c>
      <c r="F606" s="101"/>
      <c r="G606" s="104">
        <f t="shared" si="88"/>
        <v>33124.789026922655</v>
      </c>
      <c r="H606" s="104">
        <f t="shared" si="89"/>
        <v>33124.789026922655</v>
      </c>
      <c r="I606" s="71">
        <v>1350</v>
      </c>
      <c r="J606" s="928">
        <v>0</v>
      </c>
      <c r="K606" s="101">
        <v>118</v>
      </c>
      <c r="L606" s="1241"/>
      <c r="N606" s="82"/>
    </row>
    <row r="607" spans="1:14" s="71" customFormat="1" ht="30" customHeight="1" x14ac:dyDescent="0.25">
      <c r="A607" s="82"/>
      <c r="B607" s="103">
        <v>207</v>
      </c>
      <c r="C607" s="82" t="s">
        <v>845</v>
      </c>
      <c r="D607" s="103">
        <v>1</v>
      </c>
      <c r="E607" s="101">
        <v>36.64</v>
      </c>
      <c r="F607" s="101"/>
      <c r="G607" s="104">
        <f t="shared" si="88"/>
        <v>70727.987759116906</v>
      </c>
      <c r="H607" s="104">
        <f t="shared" si="89"/>
        <v>70727.987759116906</v>
      </c>
      <c r="I607" s="71">
        <v>1350</v>
      </c>
      <c r="J607" s="928">
        <v>0</v>
      </c>
      <c r="K607" s="101">
        <v>118</v>
      </c>
      <c r="L607" s="1243"/>
      <c r="N607" s="82"/>
    </row>
    <row r="608" spans="1:14" s="84" customFormat="1" ht="30" customHeight="1" x14ac:dyDescent="0.25">
      <c r="A608" s="85"/>
      <c r="B608" s="133">
        <v>207</v>
      </c>
      <c r="C608" s="85" t="s">
        <v>256</v>
      </c>
      <c r="D608" s="133">
        <v>1</v>
      </c>
      <c r="E608" s="129">
        <v>18.96</v>
      </c>
      <c r="F608" s="129"/>
      <c r="G608" s="113">
        <f t="shared" si="88"/>
        <v>36599.417246529927</v>
      </c>
      <c r="H608" s="113">
        <f t="shared" ref="H608:H614" si="90">(G608*D608)</f>
        <v>36599.417246529927</v>
      </c>
      <c r="I608" s="84">
        <v>1350</v>
      </c>
      <c r="J608" s="926">
        <v>0</v>
      </c>
      <c r="K608" s="129">
        <v>118</v>
      </c>
      <c r="L608" s="84" t="s">
        <v>828</v>
      </c>
      <c r="N608" s="85"/>
    </row>
    <row r="609" spans="1:14" s="88" customFormat="1" ht="30" customHeight="1" x14ac:dyDescent="0.25">
      <c r="A609" s="89">
        <v>170910</v>
      </c>
      <c r="B609" s="134">
        <v>208</v>
      </c>
      <c r="C609" s="89" t="s">
        <v>895</v>
      </c>
      <c r="D609" s="134">
        <v>1</v>
      </c>
      <c r="E609" s="768">
        <v>203.6</v>
      </c>
      <c r="F609" s="768"/>
      <c r="G609" s="117">
        <f t="shared" si="88"/>
        <v>316874.17731697659</v>
      </c>
      <c r="H609" s="117">
        <f t="shared" si="90"/>
        <v>316874.17731697659</v>
      </c>
      <c r="I609" s="88">
        <v>1358.05</v>
      </c>
      <c r="J609" s="927">
        <v>0</v>
      </c>
      <c r="K609" s="768">
        <v>73.8</v>
      </c>
      <c r="L609" s="88" t="s">
        <v>817</v>
      </c>
      <c r="N609" s="89" t="s">
        <v>896</v>
      </c>
    </row>
    <row r="610" spans="1:14" s="88" customFormat="1" ht="30" customHeight="1" x14ac:dyDescent="0.25">
      <c r="A610" s="89">
        <v>170825</v>
      </c>
      <c r="B610" s="134">
        <v>209</v>
      </c>
      <c r="C610" s="89" t="s">
        <v>925</v>
      </c>
      <c r="D610" s="134">
        <v>200</v>
      </c>
      <c r="E610" s="768">
        <v>11.93</v>
      </c>
      <c r="F610" s="768"/>
      <c r="G610" s="117">
        <f t="shared" si="88"/>
        <v>16498.115802027431</v>
      </c>
      <c r="H610" s="117">
        <f t="shared" si="90"/>
        <v>3299623.1604054859</v>
      </c>
      <c r="I610" s="88">
        <v>1300</v>
      </c>
      <c r="J610" s="927">
        <v>886000</v>
      </c>
      <c r="K610" s="768">
        <v>388</v>
      </c>
      <c r="N610" s="89"/>
    </row>
    <row r="611" spans="1:14" s="88" customFormat="1" ht="30" customHeight="1" x14ac:dyDescent="0.25">
      <c r="A611" s="89">
        <v>171121</v>
      </c>
      <c r="B611" s="134">
        <v>210</v>
      </c>
      <c r="C611" s="89" t="s">
        <v>932</v>
      </c>
      <c r="D611" s="134">
        <v>1</v>
      </c>
      <c r="E611" s="768">
        <v>42.68</v>
      </c>
      <c r="F611" s="768"/>
      <c r="G611" s="117">
        <f t="shared" si="88"/>
        <v>56168.911403275117</v>
      </c>
      <c r="H611" s="117">
        <f t="shared" si="90"/>
        <v>56168.911403275117</v>
      </c>
      <c r="I611" s="88">
        <v>1300</v>
      </c>
      <c r="J611" s="927">
        <v>0</v>
      </c>
      <c r="K611" s="768">
        <v>62.1</v>
      </c>
      <c r="L611" s="88" t="s">
        <v>933</v>
      </c>
      <c r="N611" s="89"/>
    </row>
    <row r="612" spans="1:14" s="88" customFormat="1" ht="30" customHeight="1" x14ac:dyDescent="0.25">
      <c r="A612" s="89">
        <v>171121</v>
      </c>
      <c r="B612" s="134">
        <v>211</v>
      </c>
      <c r="C612" s="89" t="s">
        <v>926</v>
      </c>
      <c r="D612" s="134">
        <v>1</v>
      </c>
      <c r="E612" s="768">
        <v>454.88</v>
      </c>
      <c r="F612" s="768"/>
      <c r="G612" s="117">
        <f t="shared" si="88"/>
        <v>736803.65302365099</v>
      </c>
      <c r="H612" s="117">
        <f t="shared" si="90"/>
        <v>736803.65302365099</v>
      </c>
      <c r="I612" s="88">
        <v>1300</v>
      </c>
      <c r="J612" s="927">
        <v>0</v>
      </c>
      <c r="K612" s="768">
        <v>138.94999999999999</v>
      </c>
      <c r="L612" s="88" t="s">
        <v>816</v>
      </c>
      <c r="N612" s="89"/>
    </row>
    <row r="613" spans="1:14" s="88" customFormat="1" ht="30" customHeight="1" x14ac:dyDescent="0.25">
      <c r="A613" s="89">
        <v>171130</v>
      </c>
      <c r="B613" s="134">
        <v>212</v>
      </c>
      <c r="C613" s="89" t="s">
        <v>979</v>
      </c>
      <c r="D613" s="134">
        <v>1</v>
      </c>
      <c r="E613" s="768">
        <v>34.68</v>
      </c>
      <c r="F613" s="768"/>
      <c r="G613" s="117">
        <f t="shared" si="88"/>
        <v>45435.16700114285</v>
      </c>
      <c r="H613" s="117">
        <f t="shared" si="90"/>
        <v>45435.16700114285</v>
      </c>
      <c r="I613" s="88">
        <v>1300</v>
      </c>
      <c r="J613" s="927">
        <v>0</v>
      </c>
      <c r="K613" s="768">
        <v>59.5</v>
      </c>
      <c r="L613" s="88" t="s">
        <v>267</v>
      </c>
      <c r="N613" s="89"/>
    </row>
    <row r="614" spans="1:14" s="157" customFormat="1" ht="30" customHeight="1" x14ac:dyDescent="0.25">
      <c r="A614" s="159">
        <v>171215</v>
      </c>
      <c r="B614" s="633">
        <v>213</v>
      </c>
      <c r="C614" s="159" t="s">
        <v>969</v>
      </c>
      <c r="D614" s="633">
        <v>1</v>
      </c>
      <c r="E614" s="770">
        <v>42.92</v>
      </c>
      <c r="F614" s="128"/>
      <c r="G614" s="104">
        <f t="shared" si="88"/>
        <v>56405.712916671</v>
      </c>
      <c r="H614" s="104">
        <f t="shared" si="90"/>
        <v>56405.712916671</v>
      </c>
      <c r="I614" s="157">
        <v>1297.33</v>
      </c>
      <c r="J614" s="929">
        <v>0</v>
      </c>
      <c r="K614" s="770">
        <v>58</v>
      </c>
      <c r="L614" s="157" t="s">
        <v>818</v>
      </c>
      <c r="N614" s="159"/>
    </row>
    <row r="615" spans="1:14" s="71" customFormat="1" ht="30" customHeight="1" x14ac:dyDescent="0.25">
      <c r="A615" s="82">
        <v>171215</v>
      </c>
      <c r="B615" s="103">
        <v>214</v>
      </c>
      <c r="C615" s="82" t="s">
        <v>977</v>
      </c>
      <c r="D615" s="103">
        <v>1</v>
      </c>
      <c r="E615" s="101">
        <v>205.76</v>
      </c>
      <c r="F615" s="101"/>
      <c r="G615" s="104">
        <f t="shared" si="88"/>
        <v>278877.13160494488</v>
      </c>
      <c r="H615" s="104">
        <f>(G615*D615)</f>
        <v>278877.13160494488</v>
      </c>
      <c r="I615" s="71">
        <v>1297.33</v>
      </c>
      <c r="J615" s="928">
        <v>0</v>
      </c>
      <c r="K615" s="101">
        <v>222.53</v>
      </c>
      <c r="L615" s="1244" t="s">
        <v>970</v>
      </c>
      <c r="N615" s="82"/>
    </row>
    <row r="616" spans="1:14" s="84" customFormat="1" ht="30" customHeight="1" x14ac:dyDescent="0.25">
      <c r="A616" s="85">
        <v>171215</v>
      </c>
      <c r="B616" s="133">
        <v>214</v>
      </c>
      <c r="C616" s="85" t="s">
        <v>975</v>
      </c>
      <c r="D616" s="133">
        <v>1</v>
      </c>
      <c r="E616" s="129">
        <v>204.96</v>
      </c>
      <c r="F616" s="129"/>
      <c r="G616" s="113">
        <f t="shared" si="88"/>
        <v>277792.85037786496</v>
      </c>
      <c r="H616" s="113">
        <f>(G616*D616)</f>
        <v>277792.85037786496</v>
      </c>
      <c r="I616" s="84">
        <v>1297.33</v>
      </c>
      <c r="J616" s="926">
        <v>0</v>
      </c>
      <c r="K616" s="129">
        <v>222.53</v>
      </c>
      <c r="L616" s="1242"/>
      <c r="N616" s="85"/>
    </row>
    <row r="617" spans="1:14" s="411" customFormat="1" ht="30" customHeight="1" x14ac:dyDescent="0.25">
      <c r="A617" s="612">
        <v>180126</v>
      </c>
      <c r="B617" s="465">
        <v>215</v>
      </c>
      <c r="C617" s="612" t="s">
        <v>1035</v>
      </c>
      <c r="D617" s="465">
        <v>1</v>
      </c>
      <c r="E617" s="769">
        <v>68</v>
      </c>
      <c r="F617" s="769"/>
      <c r="G617" s="113">
        <f t="shared" si="88"/>
        <v>98822.172031049748</v>
      </c>
      <c r="H617" s="113">
        <f t="shared" ref="H617:H622" si="91">(G617*D617)</f>
        <v>98822.172031049748</v>
      </c>
      <c r="I617" s="88">
        <v>1320</v>
      </c>
      <c r="J617" s="927">
        <v>0</v>
      </c>
      <c r="K617" s="769">
        <v>83.5</v>
      </c>
      <c r="L617" s="411" t="s">
        <v>869</v>
      </c>
      <c r="N617" s="612"/>
    </row>
    <row r="618" spans="1:14" s="73" customFormat="1" ht="30" customHeight="1" x14ac:dyDescent="0.25">
      <c r="A618" s="80">
        <v>180129</v>
      </c>
      <c r="B618" s="132">
        <v>216</v>
      </c>
      <c r="C618" s="80" t="s">
        <v>1036</v>
      </c>
      <c r="D618" s="132">
        <v>5</v>
      </c>
      <c r="E618" s="128">
        <v>28.76</v>
      </c>
      <c r="F618" s="128"/>
      <c r="G618" s="104">
        <f t="shared" si="88"/>
        <v>38693.940976801117</v>
      </c>
      <c r="H618" s="104">
        <f t="shared" si="91"/>
        <v>193469.70488400559</v>
      </c>
      <c r="I618" s="73">
        <v>1315.34</v>
      </c>
      <c r="J618" s="925">
        <v>0</v>
      </c>
      <c r="K618" s="128">
        <v>155</v>
      </c>
      <c r="L618" s="73" t="s">
        <v>1136</v>
      </c>
      <c r="N618" s="80"/>
    </row>
    <row r="619" spans="1:14" s="84" customFormat="1" ht="30" customHeight="1" x14ac:dyDescent="0.25">
      <c r="A619" s="85">
        <v>180129</v>
      </c>
      <c r="B619" s="133">
        <v>216</v>
      </c>
      <c r="C619" s="85" t="s">
        <v>1037</v>
      </c>
      <c r="D619" s="133">
        <v>1</v>
      </c>
      <c r="E619" s="129">
        <v>992.84</v>
      </c>
      <c r="F619" s="129"/>
      <c r="G619" s="113">
        <f t="shared" si="88"/>
        <v>1455186.9216415898</v>
      </c>
      <c r="H619" s="113">
        <f t="shared" si="91"/>
        <v>1455186.9216415898</v>
      </c>
      <c r="I619" s="84">
        <v>1315.34</v>
      </c>
      <c r="J619" s="926">
        <v>0</v>
      </c>
      <c r="K619" s="129">
        <v>155</v>
      </c>
      <c r="L619" s="84" t="s">
        <v>818</v>
      </c>
      <c r="N619" s="85"/>
    </row>
    <row r="620" spans="1:14" s="73" customFormat="1" ht="30" customHeight="1" x14ac:dyDescent="0.25">
      <c r="A620" s="80"/>
      <c r="B620" s="132">
        <v>217</v>
      </c>
      <c r="C620" s="80" t="s">
        <v>1039</v>
      </c>
      <c r="D620" s="132">
        <v>3</v>
      </c>
      <c r="E620" s="128">
        <v>6492</v>
      </c>
      <c r="F620" s="128"/>
      <c r="G620" s="111">
        <f t="shared" si="88"/>
        <v>11131176.963125546</v>
      </c>
      <c r="H620" s="111">
        <f t="shared" si="91"/>
        <v>33393530.889376637</v>
      </c>
      <c r="I620" s="73">
        <v>1335.53</v>
      </c>
      <c r="J620" s="925">
        <f>3682463+1660000</f>
        <v>5342463</v>
      </c>
      <c r="K620" s="128">
        <v>2330</v>
      </c>
      <c r="L620" s="73" t="s">
        <v>1042</v>
      </c>
      <c r="N620" s="80"/>
    </row>
    <row r="621" spans="1:14" s="71" customFormat="1" ht="30" customHeight="1" x14ac:dyDescent="0.25">
      <c r="A621" s="82"/>
      <c r="B621" s="103">
        <v>217</v>
      </c>
      <c r="C621" s="82" t="s">
        <v>1040</v>
      </c>
      <c r="D621" s="103">
        <v>7</v>
      </c>
      <c r="E621" s="101">
        <v>310.57</v>
      </c>
      <c r="F621" s="101"/>
      <c r="G621" s="104">
        <f t="shared" si="88"/>
        <v>465230.18275782285</v>
      </c>
      <c r="H621" s="104">
        <f t="shared" si="91"/>
        <v>3256611.27930476</v>
      </c>
      <c r="I621" s="71">
        <v>1335.53</v>
      </c>
      <c r="J621" s="925">
        <f>3682463+1660000</f>
        <v>5342463</v>
      </c>
      <c r="K621" s="101">
        <v>2330</v>
      </c>
      <c r="N621" s="82" t="s">
        <v>1092</v>
      </c>
    </row>
    <row r="622" spans="1:14" s="84" customFormat="1" ht="30" customHeight="1" x14ac:dyDescent="0.25">
      <c r="A622" s="85"/>
      <c r="B622" s="133">
        <v>217</v>
      </c>
      <c r="C622" s="85" t="s">
        <v>1041</v>
      </c>
      <c r="D622" s="133">
        <v>6</v>
      </c>
      <c r="E622" s="129">
        <v>218.25</v>
      </c>
      <c r="F622" s="129"/>
      <c r="G622" s="113">
        <f t="shared" si="88"/>
        <v>332845.33141344355</v>
      </c>
      <c r="H622" s="113">
        <f t="shared" si="91"/>
        <v>1997071.9884806613</v>
      </c>
      <c r="I622" s="84">
        <v>1335.53</v>
      </c>
      <c r="J622" s="926">
        <f>3682463+1660000</f>
        <v>5342463</v>
      </c>
      <c r="K622" s="129">
        <v>2330</v>
      </c>
      <c r="N622" s="85"/>
    </row>
    <row r="623" spans="1:14" s="73" customFormat="1" ht="30" customHeight="1" x14ac:dyDescent="0.25">
      <c r="A623" s="80"/>
      <c r="B623" s="132">
        <v>218</v>
      </c>
      <c r="C623" s="917" t="s">
        <v>1134</v>
      </c>
      <c r="D623" s="132">
        <v>30</v>
      </c>
      <c r="E623" s="128">
        <v>6.08</v>
      </c>
      <c r="F623" s="128"/>
      <c r="G623" s="111">
        <f t="shared" si="88"/>
        <v>8243.8790067686605</v>
      </c>
      <c r="H623" s="111">
        <f t="shared" ref="H623:H630" si="92">(G623*D623)</f>
        <v>247316.37020305981</v>
      </c>
      <c r="I623" s="73">
        <v>1353.71</v>
      </c>
      <c r="J623" s="925">
        <v>26940</v>
      </c>
      <c r="K623" s="110">
        <v>0</v>
      </c>
      <c r="L623" s="1240" t="s">
        <v>1136</v>
      </c>
      <c r="N623" s="80"/>
    </row>
    <row r="624" spans="1:14" s="73" customFormat="1" ht="30" customHeight="1" x14ac:dyDescent="0.25">
      <c r="A624" s="80"/>
      <c r="B624" s="132">
        <v>218</v>
      </c>
      <c r="C624" s="917" t="s">
        <v>1135</v>
      </c>
      <c r="D624" s="132">
        <v>5</v>
      </c>
      <c r="E624" s="128">
        <v>4</v>
      </c>
      <c r="F624" s="128"/>
      <c r="G624" s="111">
        <f t="shared" si="88"/>
        <v>5467.4276582973425</v>
      </c>
      <c r="H624" s="111">
        <f t="shared" si="92"/>
        <v>27337.138291486714</v>
      </c>
      <c r="I624" s="73">
        <v>1353.71</v>
      </c>
      <c r="J624" s="925">
        <v>26940</v>
      </c>
      <c r="K624" s="110">
        <v>0</v>
      </c>
      <c r="L624" s="1241"/>
      <c r="N624" s="80"/>
    </row>
    <row r="625" spans="1:14" s="71" customFormat="1" ht="30" customHeight="1" x14ac:dyDescent="0.25">
      <c r="A625" s="82"/>
      <c r="B625" s="103">
        <v>218</v>
      </c>
      <c r="C625" s="82" t="s">
        <v>1135</v>
      </c>
      <c r="D625" s="103">
        <v>5</v>
      </c>
      <c r="E625" s="101">
        <v>4</v>
      </c>
      <c r="F625" s="101"/>
      <c r="G625" s="104">
        <f t="shared" si="88"/>
        <v>5467.4276582973425</v>
      </c>
      <c r="H625" s="104">
        <f t="shared" si="92"/>
        <v>27337.138291486714</v>
      </c>
      <c r="I625" s="71">
        <v>1353.71</v>
      </c>
      <c r="J625" s="928">
        <v>26940</v>
      </c>
      <c r="K625" s="99">
        <v>0</v>
      </c>
      <c r="L625" s="1243"/>
      <c r="N625" s="82"/>
    </row>
    <row r="626" spans="1:14" s="71" customFormat="1" ht="30" customHeight="1" x14ac:dyDescent="0.25">
      <c r="A626" s="82"/>
      <c r="B626" s="103">
        <v>219</v>
      </c>
      <c r="C626" s="82" t="s">
        <v>1097</v>
      </c>
      <c r="D626" s="103">
        <v>1</v>
      </c>
      <c r="E626" s="101">
        <f>2580.84+95</f>
        <v>2675.84</v>
      </c>
      <c r="F626" s="128"/>
      <c r="G626" s="111">
        <f t="shared" si="88"/>
        <v>4103569.2941581868</v>
      </c>
      <c r="H626" s="111">
        <f t="shared" si="92"/>
        <v>4103569.2941581868</v>
      </c>
      <c r="I626" s="979">
        <v>1384.04</v>
      </c>
      <c r="J626" s="928">
        <v>300000</v>
      </c>
      <c r="K626" s="101">
        <v>600</v>
      </c>
      <c r="L626" s="71" t="s">
        <v>869</v>
      </c>
      <c r="N626" s="82"/>
    </row>
    <row r="627" spans="1:14" s="71" customFormat="1" ht="30" customHeight="1" x14ac:dyDescent="0.25">
      <c r="A627" s="82"/>
      <c r="B627" s="103">
        <v>219</v>
      </c>
      <c r="C627" s="82" t="s">
        <v>1124</v>
      </c>
      <c r="D627" s="103">
        <v>1</v>
      </c>
      <c r="E627" s="101">
        <v>42.92</v>
      </c>
      <c r="F627" s="101"/>
      <c r="G627" s="104">
        <f t="shared" si="88"/>
        <v>65820.525182847021</v>
      </c>
      <c r="H627" s="104">
        <f t="shared" si="92"/>
        <v>65820.525182847021</v>
      </c>
      <c r="I627" s="979">
        <v>1384.04</v>
      </c>
      <c r="J627" s="928">
        <v>300000</v>
      </c>
      <c r="K627" s="101">
        <v>600</v>
      </c>
      <c r="L627" s="71" t="s">
        <v>818</v>
      </c>
      <c r="N627" s="82"/>
    </row>
    <row r="628" spans="1:14" s="71" customFormat="1" ht="30" customHeight="1" x14ac:dyDescent="0.25">
      <c r="A628" s="82"/>
      <c r="B628" s="103">
        <v>219</v>
      </c>
      <c r="C628" s="82" t="s">
        <v>1066</v>
      </c>
      <c r="D628" s="103">
        <v>1</v>
      </c>
      <c r="E628" s="101">
        <v>46.24</v>
      </c>
      <c r="F628" s="101"/>
      <c r="G628" s="104">
        <f t="shared" si="88"/>
        <v>70911.954437438151</v>
      </c>
      <c r="H628" s="104">
        <f t="shared" si="92"/>
        <v>70911.954437438151</v>
      </c>
      <c r="I628" s="979">
        <v>1384.04</v>
      </c>
      <c r="J628" s="928">
        <v>300000</v>
      </c>
      <c r="K628" s="101">
        <v>600</v>
      </c>
      <c r="L628" s="71" t="s">
        <v>818</v>
      </c>
      <c r="N628" s="82"/>
    </row>
    <row r="629" spans="1:14" s="71" customFormat="1" ht="30" customHeight="1" x14ac:dyDescent="0.25">
      <c r="A629" s="82">
        <v>180314</v>
      </c>
      <c r="B629" s="103">
        <v>220</v>
      </c>
      <c r="C629" s="82" t="s">
        <v>1137</v>
      </c>
      <c r="D629" s="103">
        <v>1</v>
      </c>
      <c r="E629" s="101">
        <v>2035.64</v>
      </c>
      <c r="F629" s="128"/>
      <c r="G629" s="111">
        <f t="shared" si="88"/>
        <v>3039829.7955152858</v>
      </c>
      <c r="H629" s="111">
        <f t="shared" si="92"/>
        <v>3039829.7955152858</v>
      </c>
      <c r="I629" s="979">
        <v>1342.15</v>
      </c>
      <c r="J629" s="928">
        <v>0</v>
      </c>
      <c r="K629" s="101">
        <v>380</v>
      </c>
      <c r="L629" s="71" t="s">
        <v>1138</v>
      </c>
      <c r="N629" s="82"/>
    </row>
    <row r="630" spans="1:14" s="71" customFormat="1" ht="30" customHeight="1" x14ac:dyDescent="0.25">
      <c r="A630" s="82"/>
      <c r="B630" s="103">
        <v>220</v>
      </c>
      <c r="C630" s="82" t="s">
        <v>1139</v>
      </c>
      <c r="D630" s="103">
        <v>1</v>
      </c>
      <c r="E630" s="101">
        <v>942.76</v>
      </c>
      <c r="F630" s="128"/>
      <c r="G630" s="111">
        <f t="shared" si="88"/>
        <v>1407827.4832583317</v>
      </c>
      <c r="H630" s="111">
        <f t="shared" si="92"/>
        <v>1407827.4832583317</v>
      </c>
      <c r="I630" s="979">
        <v>1342.15</v>
      </c>
      <c r="J630" s="928">
        <v>0</v>
      </c>
      <c r="K630" s="101">
        <v>380</v>
      </c>
      <c r="L630" s="71" t="s">
        <v>818</v>
      </c>
      <c r="N630" s="82"/>
    </row>
    <row r="631" spans="1:14" s="71" customFormat="1" ht="30" customHeight="1" x14ac:dyDescent="0.25">
      <c r="A631" s="82">
        <v>180704</v>
      </c>
      <c r="B631" s="103">
        <v>221</v>
      </c>
      <c r="C631" s="82" t="s">
        <v>1309</v>
      </c>
      <c r="D631" s="103">
        <v>100</v>
      </c>
      <c r="E631" s="101">
        <v>9.1999999999999993</v>
      </c>
      <c r="F631" s="128"/>
      <c r="G631" s="111">
        <f t="shared" si="88"/>
        <v>12059.883849643038</v>
      </c>
      <c r="H631" s="111">
        <f>(G631*D631)</f>
        <v>1205988.3849643038</v>
      </c>
      <c r="I631" s="71">
        <v>1310.68</v>
      </c>
      <c r="J631" s="928">
        <v>96460</v>
      </c>
      <c r="K631" s="101"/>
      <c r="L631" s="71" t="s">
        <v>1310</v>
      </c>
      <c r="N631" s="82"/>
    </row>
    <row r="632" spans="1:14" s="71" customFormat="1" ht="30" customHeight="1" x14ac:dyDescent="0.25">
      <c r="A632" s="82">
        <v>180729</v>
      </c>
      <c r="B632" s="103">
        <v>222</v>
      </c>
      <c r="C632" s="82" t="s">
        <v>1327</v>
      </c>
      <c r="D632" s="103">
        <v>1</v>
      </c>
      <c r="E632" s="101">
        <f>70.76+5.72+174.2+15.52+340</f>
        <v>606.20000000000005</v>
      </c>
      <c r="F632" s="128"/>
      <c r="G632" s="111">
        <f t="shared" si="88"/>
        <v>825114.31579250342</v>
      </c>
      <c r="H632" s="111">
        <f>(G632*D632)</f>
        <v>825114.31579250342</v>
      </c>
      <c r="I632" s="71">
        <v>1333.92</v>
      </c>
      <c r="J632" s="928">
        <v>0</v>
      </c>
      <c r="K632" s="101">
        <v>200</v>
      </c>
      <c r="L632" s="71" t="s">
        <v>1328</v>
      </c>
      <c r="N632" s="82"/>
    </row>
    <row r="633" spans="1:14" s="71" customFormat="1" ht="30" customHeight="1" x14ac:dyDescent="0.25">
      <c r="A633" s="82">
        <v>180928</v>
      </c>
      <c r="B633" s="103">
        <v>223</v>
      </c>
      <c r="C633" s="82" t="s">
        <v>777</v>
      </c>
      <c r="D633" s="103">
        <v>1</v>
      </c>
      <c r="E633" s="101">
        <v>2249.2800000000002</v>
      </c>
      <c r="F633" s="128"/>
      <c r="G633" s="111">
        <f t="shared" si="88"/>
        <v>3050015.3550258568</v>
      </c>
      <c r="H633" s="111">
        <f>(G633*D633)</f>
        <v>3050015.3550258568</v>
      </c>
      <c r="I633" s="71">
        <v>1316.23</v>
      </c>
      <c r="J633" s="928">
        <v>0</v>
      </c>
      <c r="K633" s="101">
        <v>196</v>
      </c>
      <c r="N633" s="82"/>
    </row>
    <row r="634" spans="1:14" s="71" customFormat="1" ht="30" customHeight="1" x14ac:dyDescent="0.25">
      <c r="A634" s="82">
        <v>180912</v>
      </c>
      <c r="B634" s="103">
        <v>224</v>
      </c>
      <c r="C634" s="82" t="s">
        <v>1037</v>
      </c>
      <c r="D634" s="103"/>
      <c r="E634" s="101"/>
      <c r="F634" s="101"/>
      <c r="G634" s="104"/>
      <c r="H634" s="104"/>
      <c r="J634" s="928"/>
      <c r="K634" s="101"/>
      <c r="N634" s="82"/>
    </row>
    <row r="635" spans="1:14" s="71" customFormat="1" ht="30" customHeight="1" x14ac:dyDescent="0.25">
      <c r="A635" s="82">
        <v>180915</v>
      </c>
      <c r="B635" s="103">
        <v>225</v>
      </c>
      <c r="C635" s="82" t="s">
        <v>1418</v>
      </c>
      <c r="D635" s="103">
        <v>2</v>
      </c>
      <c r="E635" s="101">
        <f>6356.6*3</f>
        <v>19069.800000000003</v>
      </c>
      <c r="F635" s="128"/>
      <c r="G635" s="111">
        <f t="shared" ref="G635:G678" si="93">(I635*E635)+(J635*(E635/SUMIF(B:B,B635,E:E)))/D635+((K635*I635)*(E635/SUMIF(B:B,B635,E:E)))/D635</f>
        <v>28260305.123817597</v>
      </c>
      <c r="H635" s="111">
        <f t="shared" ref="H635:H652" si="94">(G635*D635)</f>
        <v>56520610.247635193</v>
      </c>
      <c r="I635" s="71">
        <v>1305.1400000000001</v>
      </c>
      <c r="J635" s="928">
        <f>2661640+3450000+1000000</f>
        <v>7111640</v>
      </c>
      <c r="K635" s="101"/>
      <c r="L635" s="71" t="s">
        <v>1420</v>
      </c>
      <c r="N635" s="82" t="s">
        <v>1421</v>
      </c>
    </row>
    <row r="636" spans="1:14" s="71" customFormat="1" ht="30" customHeight="1" x14ac:dyDescent="0.25">
      <c r="A636" s="82"/>
      <c r="B636" s="103">
        <v>225</v>
      </c>
      <c r="C636" s="82" t="s">
        <v>1419</v>
      </c>
      <c r="D636" s="103">
        <v>20</v>
      </c>
      <c r="E636" s="101">
        <v>311</v>
      </c>
      <c r="F636" s="128"/>
      <c r="G636" s="111">
        <f t="shared" si="93"/>
        <v>405900.59789369273</v>
      </c>
      <c r="H636" s="111">
        <f t="shared" si="94"/>
        <v>8118011.9578738548</v>
      </c>
      <c r="I636" s="71">
        <v>1305.1400000000001</v>
      </c>
      <c r="J636" s="1016">
        <v>2661.64</v>
      </c>
      <c r="K636" s="101"/>
      <c r="N636" s="82"/>
    </row>
    <row r="637" spans="1:14" s="71" customFormat="1" ht="30" customHeight="1" x14ac:dyDescent="0.25">
      <c r="A637" s="82">
        <v>181009</v>
      </c>
      <c r="B637" s="103">
        <v>226</v>
      </c>
      <c r="C637" s="82" t="s">
        <v>777</v>
      </c>
      <c r="D637" s="103">
        <v>1</v>
      </c>
      <c r="E637" s="101">
        <v>2249.2800000000002</v>
      </c>
      <c r="F637" s="128"/>
      <c r="G637" s="111">
        <f t="shared" si="93"/>
        <v>3154492.8091017632</v>
      </c>
      <c r="H637" s="111">
        <f t="shared" si="94"/>
        <v>3154492.8091017632</v>
      </c>
      <c r="I637" s="71">
        <v>1301.79</v>
      </c>
      <c r="J637" s="928">
        <v>0</v>
      </c>
      <c r="K637" s="101">
        <v>196</v>
      </c>
      <c r="N637" s="82"/>
    </row>
    <row r="638" spans="1:14" s="71" customFormat="1" ht="30" customHeight="1" x14ac:dyDescent="0.25">
      <c r="A638" s="82">
        <v>181022</v>
      </c>
      <c r="B638" s="103">
        <v>227</v>
      </c>
      <c r="C638" s="82" t="s">
        <v>681</v>
      </c>
      <c r="D638" s="103">
        <v>1</v>
      </c>
      <c r="E638" s="101">
        <v>104.16</v>
      </c>
      <c r="F638" s="101"/>
      <c r="G638" s="104">
        <f t="shared" si="93"/>
        <v>150696.47274460507</v>
      </c>
      <c r="H638" s="104">
        <f t="shared" si="94"/>
        <v>150696.47274460507</v>
      </c>
      <c r="I638" s="71">
        <v>1316.82</v>
      </c>
      <c r="J638" s="928">
        <v>0</v>
      </c>
      <c r="K638" s="101">
        <v>173</v>
      </c>
      <c r="L638" s="71" t="s">
        <v>1571</v>
      </c>
      <c r="N638" s="82" t="s">
        <v>1570</v>
      </c>
    </row>
    <row r="639" spans="1:14" s="71" customFormat="1" ht="30" customHeight="1" x14ac:dyDescent="0.25">
      <c r="A639" s="82"/>
      <c r="B639" s="103">
        <v>227</v>
      </c>
      <c r="C639" s="82" t="s">
        <v>1560</v>
      </c>
      <c r="D639" s="103">
        <v>1</v>
      </c>
      <c r="E639" s="101">
        <v>942.76</v>
      </c>
      <c r="F639" s="101"/>
      <c r="G639" s="104">
        <f t="shared" si="93"/>
        <v>1363965.1175566807</v>
      </c>
      <c r="H639" s="104">
        <f t="shared" si="94"/>
        <v>1363965.1175566807</v>
      </c>
      <c r="I639" s="71">
        <v>1316.82</v>
      </c>
      <c r="J639" s="928">
        <v>0</v>
      </c>
      <c r="K639" s="101">
        <v>173</v>
      </c>
      <c r="L639" s="71" t="s">
        <v>1571</v>
      </c>
      <c r="N639" s="82" t="s">
        <v>1570</v>
      </c>
    </row>
    <row r="640" spans="1:14" s="71" customFormat="1" ht="30" customHeight="1" x14ac:dyDescent="0.25">
      <c r="A640" s="82"/>
      <c r="B640" s="103">
        <v>227</v>
      </c>
      <c r="C640" s="82" t="s">
        <v>1561</v>
      </c>
      <c r="D640" s="103">
        <v>1</v>
      </c>
      <c r="E640" s="101">
        <v>235.44</v>
      </c>
      <c r="F640" s="101"/>
      <c r="G640" s="104">
        <f t="shared" si="93"/>
        <v>340629.58470612339</v>
      </c>
      <c r="H640" s="104">
        <f t="shared" si="94"/>
        <v>340629.58470612339</v>
      </c>
      <c r="I640" s="71">
        <v>1316.82</v>
      </c>
      <c r="J640" s="928">
        <v>0</v>
      </c>
      <c r="K640" s="101">
        <v>173</v>
      </c>
      <c r="L640" s="71" t="s">
        <v>1569</v>
      </c>
      <c r="N640" s="82" t="s">
        <v>1570</v>
      </c>
    </row>
    <row r="641" spans="1:14" s="71" customFormat="1" ht="30" customHeight="1" x14ac:dyDescent="0.25">
      <c r="A641" s="82">
        <v>181108</v>
      </c>
      <c r="B641" s="103">
        <v>228</v>
      </c>
      <c r="C641" s="82" t="s">
        <v>1562</v>
      </c>
      <c r="D641" s="103">
        <v>1</v>
      </c>
      <c r="E641" s="101">
        <v>1571.16</v>
      </c>
      <c r="F641" s="101"/>
      <c r="G641" s="104">
        <f t="shared" si="93"/>
        <v>2288325.8034157762</v>
      </c>
      <c r="H641" s="104">
        <f t="shared" si="94"/>
        <v>2288325.8034157762</v>
      </c>
      <c r="I641" s="71">
        <v>1308.48</v>
      </c>
      <c r="J641" s="928">
        <v>0</v>
      </c>
      <c r="K641" s="101">
        <v>196</v>
      </c>
      <c r="L641" s="71" t="s">
        <v>1568</v>
      </c>
      <c r="N641" s="82"/>
    </row>
    <row r="642" spans="1:14" s="71" customFormat="1" ht="30" customHeight="1" x14ac:dyDescent="0.25">
      <c r="A642" s="82">
        <v>181113</v>
      </c>
      <c r="B642" s="103">
        <v>229</v>
      </c>
      <c r="C642" s="82" t="s">
        <v>1563</v>
      </c>
      <c r="D642" s="103">
        <v>1</v>
      </c>
      <c r="E642" s="101">
        <v>209.12</v>
      </c>
      <c r="F642" s="101"/>
      <c r="G642" s="104">
        <f t="shared" si="93"/>
        <v>278321.91934134194</v>
      </c>
      <c r="H642" s="104">
        <f t="shared" si="94"/>
        <v>278321.91934134194</v>
      </c>
      <c r="I642" s="71">
        <v>1311.08</v>
      </c>
      <c r="J642" s="928">
        <v>0</v>
      </c>
      <c r="K642" s="101">
        <v>232</v>
      </c>
      <c r="L642" s="1244" t="s">
        <v>1567</v>
      </c>
      <c r="N642" s="82"/>
    </row>
    <row r="643" spans="1:14" s="71" customFormat="1" ht="30" customHeight="1" x14ac:dyDescent="0.25">
      <c r="A643" s="82"/>
      <c r="B643" s="103">
        <v>229</v>
      </c>
      <c r="C643" s="82" t="s">
        <v>1564</v>
      </c>
      <c r="D643" s="103">
        <v>1</v>
      </c>
      <c r="E643" s="101">
        <v>39.28</v>
      </c>
      <c r="F643" s="101"/>
      <c r="G643" s="104">
        <f t="shared" si="93"/>
        <v>52278.524252715724</v>
      </c>
      <c r="H643" s="104">
        <f t="shared" si="94"/>
        <v>52278.524252715724</v>
      </c>
      <c r="I643" s="71">
        <v>1311.08</v>
      </c>
      <c r="J643" s="928">
        <v>0</v>
      </c>
      <c r="K643" s="101">
        <v>232</v>
      </c>
      <c r="L643" s="1241"/>
      <c r="N643" s="82"/>
    </row>
    <row r="644" spans="1:14" s="71" customFormat="1" ht="30" customHeight="1" x14ac:dyDescent="0.25">
      <c r="A644" s="82"/>
      <c r="B644" s="103">
        <v>229</v>
      </c>
      <c r="C644" s="82" t="s">
        <v>1565</v>
      </c>
      <c r="D644" s="103">
        <v>1</v>
      </c>
      <c r="E644" s="101">
        <v>2.72</v>
      </c>
      <c r="F644" s="101"/>
      <c r="G644" s="104">
        <f t="shared" si="93"/>
        <v>3620.1014757481357</v>
      </c>
      <c r="H644" s="104">
        <f t="shared" si="94"/>
        <v>3620.1014757481357</v>
      </c>
      <c r="I644" s="71">
        <v>1311.08</v>
      </c>
      <c r="J644" s="928">
        <v>0</v>
      </c>
      <c r="K644" s="101">
        <v>232</v>
      </c>
      <c r="L644" s="1241"/>
      <c r="N644" s="82"/>
    </row>
    <row r="645" spans="1:14" s="71" customFormat="1" ht="30" customHeight="1" x14ac:dyDescent="0.25">
      <c r="A645" s="82"/>
      <c r="B645" s="103">
        <v>229</v>
      </c>
      <c r="C645" s="82" t="s">
        <v>1035</v>
      </c>
      <c r="D645" s="103">
        <v>12</v>
      </c>
      <c r="E645" s="101">
        <f>652.8/12</f>
        <v>54.4</v>
      </c>
      <c r="F645" s="101"/>
      <c r="G645" s="104">
        <f t="shared" si="93"/>
        <v>71412.691792913552</v>
      </c>
      <c r="H645" s="104">
        <f t="shared" si="94"/>
        <v>856952.30151496269</v>
      </c>
      <c r="I645" s="71">
        <v>1311.08</v>
      </c>
      <c r="J645" s="928">
        <v>0</v>
      </c>
      <c r="K645" s="101">
        <v>232</v>
      </c>
      <c r="L645" s="1241"/>
      <c r="N645" s="82"/>
    </row>
    <row r="646" spans="1:14" s="71" customFormat="1" ht="30" customHeight="1" x14ac:dyDescent="0.25">
      <c r="A646" s="82"/>
      <c r="B646" s="103">
        <v>229</v>
      </c>
      <c r="C646" s="82" t="s">
        <v>1139</v>
      </c>
      <c r="D646" s="103">
        <v>1</v>
      </c>
      <c r="E646" s="101">
        <v>942.76</v>
      </c>
      <c r="F646" s="101"/>
      <c r="G646" s="104">
        <f t="shared" si="93"/>
        <v>1254737.8188515853</v>
      </c>
      <c r="H646" s="104">
        <f t="shared" si="94"/>
        <v>1254737.8188515853</v>
      </c>
      <c r="I646" s="71">
        <v>1311.08</v>
      </c>
      <c r="J646" s="928">
        <v>0</v>
      </c>
      <c r="K646" s="101">
        <v>232</v>
      </c>
      <c r="L646" s="1241"/>
      <c r="N646" s="82"/>
    </row>
    <row r="647" spans="1:14" s="71" customFormat="1" ht="30" customHeight="1" x14ac:dyDescent="0.25">
      <c r="A647" s="82"/>
      <c r="B647" s="103">
        <v>229</v>
      </c>
      <c r="C647" s="82" t="s">
        <v>1566</v>
      </c>
      <c r="D647" s="103">
        <v>1</v>
      </c>
      <c r="E647" s="101">
        <v>83.16</v>
      </c>
      <c r="F647" s="101"/>
      <c r="G647" s="104">
        <f t="shared" si="93"/>
        <v>110679.27894235843</v>
      </c>
      <c r="H647" s="104">
        <f t="shared" si="94"/>
        <v>110679.27894235843</v>
      </c>
      <c r="I647" s="71">
        <v>1311.08</v>
      </c>
      <c r="J647" s="928">
        <v>0</v>
      </c>
      <c r="K647" s="101">
        <v>232</v>
      </c>
      <c r="L647" s="1243"/>
      <c r="N647" s="82"/>
    </row>
    <row r="648" spans="1:14" s="71" customFormat="1" ht="30" customHeight="1" x14ac:dyDescent="0.25">
      <c r="A648" s="82">
        <v>181113</v>
      </c>
      <c r="B648" s="103">
        <v>230</v>
      </c>
      <c r="C648" s="82" t="s">
        <v>1572</v>
      </c>
      <c r="D648" s="103">
        <v>1</v>
      </c>
      <c r="E648" s="101">
        <v>207.44</v>
      </c>
      <c r="F648" s="101"/>
      <c r="G648" s="104">
        <f t="shared" si="93"/>
        <v>329935.40595949651</v>
      </c>
      <c r="H648" s="104">
        <f t="shared" si="94"/>
        <v>329935.40595949651</v>
      </c>
      <c r="I648" s="71">
        <v>1311.08</v>
      </c>
      <c r="J648" s="928">
        <v>0</v>
      </c>
      <c r="K648" s="101">
        <v>192</v>
      </c>
      <c r="L648" s="1244" t="s">
        <v>1576</v>
      </c>
    </row>
    <row r="649" spans="1:14" s="71" customFormat="1" ht="30" customHeight="1" x14ac:dyDescent="0.25">
      <c r="A649" s="82"/>
      <c r="B649" s="103">
        <v>230</v>
      </c>
      <c r="C649" s="82" t="s">
        <v>1573</v>
      </c>
      <c r="D649" s="103">
        <v>1</v>
      </c>
      <c r="E649" s="1026">
        <v>73.12</v>
      </c>
      <c r="F649" s="1026"/>
      <c r="G649" s="104">
        <f t="shared" si="93"/>
        <v>116298.09527457762</v>
      </c>
      <c r="H649" s="104">
        <f t="shared" si="94"/>
        <v>116298.09527457762</v>
      </c>
      <c r="I649" s="71">
        <v>1311.08</v>
      </c>
      <c r="J649" s="928">
        <v>0</v>
      </c>
      <c r="K649" s="101">
        <v>192</v>
      </c>
      <c r="L649" s="1241"/>
    </row>
    <row r="650" spans="1:14" s="71" customFormat="1" ht="30" customHeight="1" x14ac:dyDescent="0.25">
      <c r="A650" s="82"/>
      <c r="B650" s="103">
        <v>230</v>
      </c>
      <c r="C650" s="82" t="s">
        <v>1574</v>
      </c>
      <c r="D650" s="103">
        <v>1</v>
      </c>
      <c r="E650" s="1026">
        <v>402.16</v>
      </c>
      <c r="F650" s="1026"/>
      <c r="G650" s="104">
        <f t="shared" si="93"/>
        <v>639639.52401017689</v>
      </c>
      <c r="H650" s="104">
        <f t="shared" si="94"/>
        <v>639639.52401017689</v>
      </c>
      <c r="I650" s="71">
        <v>1311.08</v>
      </c>
      <c r="J650" s="928">
        <v>0</v>
      </c>
      <c r="K650" s="101">
        <v>192</v>
      </c>
      <c r="L650" s="1021"/>
    </row>
    <row r="651" spans="1:14" s="71" customFormat="1" ht="30" customHeight="1" x14ac:dyDescent="0.25">
      <c r="A651" s="82"/>
      <c r="B651" s="103">
        <v>230</v>
      </c>
      <c r="C651" s="82" t="s">
        <v>1575</v>
      </c>
      <c r="D651" s="103">
        <v>1</v>
      </c>
      <c r="E651" s="1026">
        <v>52.08</v>
      </c>
      <c r="F651" s="1026"/>
      <c r="G651" s="104">
        <f t="shared" si="93"/>
        <v>82833.76370213351</v>
      </c>
      <c r="H651" s="104">
        <f t="shared" si="94"/>
        <v>82833.76370213351</v>
      </c>
      <c r="I651" s="71">
        <v>1311.08</v>
      </c>
      <c r="J651" s="928">
        <v>0</v>
      </c>
      <c r="K651" s="101">
        <v>192</v>
      </c>
      <c r="L651" s="1022"/>
    </row>
    <row r="652" spans="1:14" s="71" customFormat="1" ht="30" customHeight="1" x14ac:dyDescent="0.25">
      <c r="A652" s="82">
        <v>181115</v>
      </c>
      <c r="B652" s="103">
        <v>231</v>
      </c>
      <c r="C652" s="82" t="s">
        <v>1577</v>
      </c>
      <c r="D652" s="103">
        <v>1</v>
      </c>
      <c r="E652" s="1026">
        <v>1405.76</v>
      </c>
      <c r="F652" s="1026"/>
      <c r="G652" s="104">
        <f t="shared" si="93"/>
        <v>2021432.8113349797</v>
      </c>
      <c r="H652" s="104">
        <f t="shared" si="94"/>
        <v>2021432.8113349797</v>
      </c>
      <c r="I652" s="71">
        <v>1320</v>
      </c>
      <c r="J652" s="928">
        <v>0</v>
      </c>
      <c r="K652" s="101">
        <v>165</v>
      </c>
      <c r="L652" s="71" t="s">
        <v>1578</v>
      </c>
    </row>
    <row r="653" spans="1:14" s="71" customFormat="1" ht="30" customHeight="1" x14ac:dyDescent="0.25">
      <c r="A653" s="82">
        <v>181005</v>
      </c>
      <c r="B653" s="103">
        <v>232</v>
      </c>
      <c r="C653" s="82" t="s">
        <v>925</v>
      </c>
      <c r="D653" s="103">
        <v>200</v>
      </c>
      <c r="E653" s="1026">
        <v>12.72</v>
      </c>
      <c r="F653" s="1026"/>
      <c r="G653" s="104">
        <f t="shared" si="93"/>
        <v>17807.499206077049</v>
      </c>
      <c r="H653" s="104">
        <f t="shared" ref="H653:H660" si="95">(G653*D653)</f>
        <v>3561499.8412154098</v>
      </c>
      <c r="I653" s="71">
        <v>1300.21</v>
      </c>
      <c r="J653" s="928">
        <v>549153</v>
      </c>
      <c r="K653" s="101">
        <v>426</v>
      </c>
    </row>
    <row r="654" spans="1:14" s="71" customFormat="1" ht="30" customHeight="1" x14ac:dyDescent="0.25">
      <c r="A654" s="82">
        <v>181214</v>
      </c>
      <c r="B654" s="103">
        <v>233</v>
      </c>
      <c r="C654" s="82" t="s">
        <v>1139</v>
      </c>
      <c r="D654" s="103">
        <v>2</v>
      </c>
      <c r="E654" s="1026">
        <v>942.76</v>
      </c>
      <c r="F654" s="1026"/>
      <c r="G654" s="104">
        <f t="shared" si="93"/>
        <v>1359408.2670082774</v>
      </c>
      <c r="H654" s="104">
        <f t="shared" si="95"/>
        <v>2718816.5340165547</v>
      </c>
      <c r="I654" s="71">
        <v>1320</v>
      </c>
      <c r="J654" s="928">
        <v>0</v>
      </c>
      <c r="K654" s="101">
        <v>225</v>
      </c>
      <c r="L654" s="71" t="s">
        <v>1626</v>
      </c>
    </row>
    <row r="655" spans="1:14" s="71" customFormat="1" ht="30" customHeight="1" x14ac:dyDescent="0.25">
      <c r="A655" s="82">
        <v>181212</v>
      </c>
      <c r="B655" s="103">
        <v>234</v>
      </c>
      <c r="C655" s="82" t="s">
        <v>1621</v>
      </c>
      <c r="D655" s="103">
        <v>1</v>
      </c>
      <c r="E655" s="1026">
        <v>315.44</v>
      </c>
      <c r="F655" s="1026"/>
      <c r="G655" s="104">
        <f t="shared" si="93"/>
        <v>462964.01170739537</v>
      </c>
      <c r="H655" s="104">
        <f t="shared" si="95"/>
        <v>462964.01170739537</v>
      </c>
      <c r="I655" s="71">
        <v>1320</v>
      </c>
      <c r="J655" s="928">
        <v>0</v>
      </c>
      <c r="K655" s="101">
        <v>223</v>
      </c>
      <c r="L655" s="1244" t="s">
        <v>1627</v>
      </c>
    </row>
    <row r="656" spans="1:14" s="71" customFormat="1" ht="30" customHeight="1" x14ac:dyDescent="0.25">
      <c r="A656" s="82"/>
      <c r="B656" s="103">
        <v>234</v>
      </c>
      <c r="C656" s="82" t="s">
        <v>1139</v>
      </c>
      <c r="D656" s="103">
        <v>1</v>
      </c>
      <c r="E656" s="1026">
        <v>942.76</v>
      </c>
      <c r="F656" s="1026"/>
      <c r="G656" s="104">
        <f t="shared" si="93"/>
        <v>1383667.1052411364</v>
      </c>
      <c r="H656" s="104">
        <f t="shared" si="95"/>
        <v>1383667.1052411364</v>
      </c>
      <c r="I656" s="71">
        <v>1320</v>
      </c>
      <c r="J656" s="928">
        <v>0</v>
      </c>
      <c r="K656" s="101">
        <v>223</v>
      </c>
      <c r="L656" s="1241"/>
    </row>
    <row r="657" spans="1:14" s="71" customFormat="1" ht="30" customHeight="1" x14ac:dyDescent="0.25">
      <c r="A657" s="82"/>
      <c r="B657" s="103">
        <v>234</v>
      </c>
      <c r="C657" s="82" t="s">
        <v>1622</v>
      </c>
      <c r="D657" s="103">
        <v>1</v>
      </c>
      <c r="E657" s="1026">
        <v>42.92</v>
      </c>
      <c r="F657" s="1026"/>
      <c r="G657" s="104">
        <f t="shared" si="93"/>
        <v>62992.693959172619</v>
      </c>
      <c r="H657" s="104">
        <f t="shared" si="95"/>
        <v>62992.693959172619</v>
      </c>
      <c r="I657" s="71">
        <v>1320</v>
      </c>
      <c r="J657" s="928">
        <v>0</v>
      </c>
      <c r="K657" s="101">
        <v>223</v>
      </c>
      <c r="L657" s="1241"/>
    </row>
    <row r="658" spans="1:14" s="71" customFormat="1" ht="30" customHeight="1" x14ac:dyDescent="0.25">
      <c r="A658" s="82"/>
      <c r="B658" s="103">
        <v>234</v>
      </c>
      <c r="C658" s="82" t="s">
        <v>1623</v>
      </c>
      <c r="D658" s="103">
        <v>1</v>
      </c>
      <c r="E658" s="1026">
        <v>46.24</v>
      </c>
      <c r="F658" s="1026"/>
      <c r="G658" s="104">
        <f t="shared" si="93"/>
        <v>67865.381376331352</v>
      </c>
      <c r="H658" s="104">
        <f t="shared" si="95"/>
        <v>67865.381376331352</v>
      </c>
      <c r="I658" s="71">
        <v>1320</v>
      </c>
      <c r="J658" s="928">
        <v>0</v>
      </c>
      <c r="K658" s="101">
        <v>223</v>
      </c>
      <c r="L658" s="1241"/>
    </row>
    <row r="659" spans="1:14" s="71" customFormat="1" ht="30" customHeight="1" x14ac:dyDescent="0.25">
      <c r="A659" s="82"/>
      <c r="B659" s="103">
        <v>234</v>
      </c>
      <c r="C659" s="82" t="s">
        <v>1624</v>
      </c>
      <c r="D659" s="103">
        <v>1</v>
      </c>
      <c r="E659" s="1026">
        <v>50.72</v>
      </c>
      <c r="F659" s="1026"/>
      <c r="G659" s="104">
        <f t="shared" si="93"/>
        <v>74440.574035629892</v>
      </c>
      <c r="H659" s="104">
        <f t="shared" si="95"/>
        <v>74440.574035629892</v>
      </c>
      <c r="I659" s="71">
        <v>1320</v>
      </c>
      <c r="J659" s="928">
        <v>0</v>
      </c>
      <c r="K659" s="101">
        <v>223</v>
      </c>
      <c r="L659" s="1243"/>
    </row>
    <row r="660" spans="1:14" s="71" customFormat="1" ht="30" customHeight="1" x14ac:dyDescent="0.25">
      <c r="A660" s="82">
        <v>181119</v>
      </c>
      <c r="B660" s="103">
        <v>235</v>
      </c>
      <c r="C660" s="82" t="s">
        <v>1563</v>
      </c>
      <c r="D660" s="103">
        <v>1</v>
      </c>
      <c r="E660" s="1026">
        <v>209.12</v>
      </c>
      <c r="F660" s="1026"/>
      <c r="G660" s="104">
        <f t="shared" si="93"/>
        <v>277452.56470192352</v>
      </c>
      <c r="H660" s="104">
        <f t="shared" si="95"/>
        <v>277452.56470192352</v>
      </c>
      <c r="I660" s="71">
        <v>1320</v>
      </c>
      <c r="J660" s="928">
        <v>0</v>
      </c>
      <c r="K660" s="101">
        <v>95</v>
      </c>
      <c r="L660" s="71" t="s">
        <v>1625</v>
      </c>
    </row>
    <row r="661" spans="1:14" s="71" customFormat="1" ht="30" customHeight="1" x14ac:dyDescent="0.25">
      <c r="A661" s="82">
        <v>190109</v>
      </c>
      <c r="B661" s="103">
        <v>236</v>
      </c>
      <c r="C661" s="82" t="s">
        <v>1662</v>
      </c>
      <c r="D661" s="103">
        <v>1</v>
      </c>
      <c r="E661" s="1026">
        <v>610.16</v>
      </c>
      <c r="F661" s="1026"/>
      <c r="G661" s="104">
        <f t="shared" si="93"/>
        <v>841917.28631987236</v>
      </c>
      <c r="H661" s="104">
        <f t="shared" ref="H661:H669" si="96">(G661*D661)</f>
        <v>841917.28631987236</v>
      </c>
      <c r="I661" s="71">
        <v>1350</v>
      </c>
      <c r="J661" s="928">
        <v>0</v>
      </c>
      <c r="K661" s="101">
        <v>103</v>
      </c>
      <c r="L661" s="71" t="s">
        <v>1663</v>
      </c>
    </row>
    <row r="662" spans="1:14" s="71" customFormat="1" ht="30" customHeight="1" x14ac:dyDescent="0.25">
      <c r="A662" s="82">
        <v>190115</v>
      </c>
      <c r="B662" s="103">
        <v>237</v>
      </c>
      <c r="C662" s="82" t="s">
        <v>1664</v>
      </c>
      <c r="D662" s="103">
        <v>1</v>
      </c>
      <c r="E662" s="1026">
        <v>177.6</v>
      </c>
      <c r="F662" s="1026"/>
      <c r="G662" s="104">
        <f t="shared" si="93"/>
        <v>283200.95495239447</v>
      </c>
      <c r="H662" s="104">
        <f t="shared" si="96"/>
        <v>283200.95495239447</v>
      </c>
      <c r="I662" s="71">
        <v>1350</v>
      </c>
      <c r="J662" s="928">
        <v>0</v>
      </c>
      <c r="K662" s="101">
        <v>102</v>
      </c>
      <c r="L662" s="71" t="s">
        <v>1665</v>
      </c>
    </row>
    <row r="663" spans="1:14" s="71" customFormat="1" ht="30" customHeight="1" x14ac:dyDescent="0.25">
      <c r="A663" s="82">
        <v>190122</v>
      </c>
      <c r="B663" s="103">
        <v>238</v>
      </c>
      <c r="C663" s="82" t="s">
        <v>1766</v>
      </c>
      <c r="D663" s="103">
        <v>1</v>
      </c>
      <c r="E663" s="101">
        <v>808.92</v>
      </c>
      <c r="F663" s="101"/>
      <c r="G663" s="104">
        <f t="shared" si="93"/>
        <v>1138859.8000405114</v>
      </c>
      <c r="H663" s="104">
        <f t="shared" si="96"/>
        <v>1138859.8000405114</v>
      </c>
      <c r="I663" s="71">
        <v>1293.08</v>
      </c>
      <c r="J663" s="928">
        <v>0</v>
      </c>
      <c r="K663" s="1026">
        <v>123</v>
      </c>
      <c r="L663" s="71" t="s">
        <v>869</v>
      </c>
    </row>
    <row r="664" spans="1:14" s="71" customFormat="1" ht="30" customHeight="1" x14ac:dyDescent="0.25">
      <c r="A664" s="82">
        <v>190216</v>
      </c>
      <c r="B664" s="103">
        <v>239</v>
      </c>
      <c r="C664" s="82" t="s">
        <v>1770</v>
      </c>
      <c r="D664" s="103">
        <v>10</v>
      </c>
      <c r="E664" s="101">
        <v>4.12</v>
      </c>
      <c r="F664" s="101"/>
      <c r="G664" s="104">
        <f t="shared" si="93"/>
        <v>5593.8281876029478</v>
      </c>
      <c r="H664" s="104">
        <f t="shared" si="96"/>
        <v>55938.281876029476</v>
      </c>
      <c r="I664" s="71">
        <v>1284.42</v>
      </c>
      <c r="J664" s="928">
        <v>0</v>
      </c>
      <c r="K664" s="1026">
        <v>158</v>
      </c>
      <c r="L664" s="71" t="s">
        <v>1772</v>
      </c>
      <c r="N664" s="82"/>
    </row>
    <row r="665" spans="1:14" s="71" customFormat="1" ht="30" customHeight="1" x14ac:dyDescent="0.25">
      <c r="A665" s="82"/>
      <c r="B665" s="103">
        <v>239</v>
      </c>
      <c r="C665" s="82" t="s">
        <v>1771</v>
      </c>
      <c r="D665" s="103">
        <v>1</v>
      </c>
      <c r="E665" s="101">
        <v>272.72000000000003</v>
      </c>
      <c r="F665" s="101"/>
      <c r="G665" s="104">
        <f t="shared" si="93"/>
        <v>550205.20452397061</v>
      </c>
      <c r="H665" s="104">
        <f t="shared" si="96"/>
        <v>550205.20452397061</v>
      </c>
      <c r="I665" s="71">
        <v>1284.42</v>
      </c>
      <c r="J665" s="928">
        <v>0</v>
      </c>
      <c r="K665" s="1026">
        <v>158</v>
      </c>
      <c r="L665" s="71" t="s">
        <v>1328</v>
      </c>
      <c r="N665" s="82"/>
    </row>
    <row r="666" spans="1:14" s="71" customFormat="1" ht="30" customHeight="1" x14ac:dyDescent="0.25">
      <c r="A666" s="82">
        <v>190223</v>
      </c>
      <c r="B666" s="103">
        <v>240</v>
      </c>
      <c r="C666" s="82" t="s">
        <v>1773</v>
      </c>
      <c r="D666" s="103">
        <v>1</v>
      </c>
      <c r="E666" s="101">
        <v>84.24</v>
      </c>
      <c r="F666" s="101"/>
      <c r="G666" s="104">
        <f t="shared" si="93"/>
        <v>245531.9996802698</v>
      </c>
      <c r="H666" s="104">
        <f t="shared" si="96"/>
        <v>245531.9996802698</v>
      </c>
      <c r="I666" s="71">
        <v>1286.97</v>
      </c>
      <c r="J666" s="928">
        <v>0</v>
      </c>
      <c r="K666" s="1026">
        <v>150</v>
      </c>
      <c r="L666" s="71" t="s">
        <v>1777</v>
      </c>
      <c r="N666" s="82"/>
    </row>
    <row r="667" spans="1:14" s="71" customFormat="1" ht="30" customHeight="1" x14ac:dyDescent="0.25">
      <c r="A667" s="82"/>
      <c r="B667" s="103">
        <v>240</v>
      </c>
      <c r="C667" s="82" t="s">
        <v>1774</v>
      </c>
      <c r="D667" s="103">
        <v>3</v>
      </c>
      <c r="E667" s="101">
        <v>30.24</v>
      </c>
      <c r="F667" s="101"/>
      <c r="G667" s="104">
        <f t="shared" si="93"/>
        <v>55325.212597639125</v>
      </c>
      <c r="H667" s="104">
        <f t="shared" si="96"/>
        <v>165975.63779291738</v>
      </c>
      <c r="I667" s="71">
        <v>1286.97</v>
      </c>
      <c r="J667" s="928">
        <v>0</v>
      </c>
      <c r="K667" s="1026">
        <v>150</v>
      </c>
      <c r="L667" s="71" t="s">
        <v>1777</v>
      </c>
      <c r="N667" s="82"/>
    </row>
    <row r="668" spans="1:14" s="71" customFormat="1" ht="30" customHeight="1" x14ac:dyDescent="0.25">
      <c r="A668" s="82"/>
      <c r="B668" s="103">
        <v>240</v>
      </c>
      <c r="C668" s="82" t="s">
        <v>1775</v>
      </c>
      <c r="D668" s="103">
        <v>3</v>
      </c>
      <c r="E668" s="101">
        <v>4.12</v>
      </c>
      <c r="F668" s="101"/>
      <c r="G668" s="104">
        <f t="shared" si="93"/>
        <v>7537.6943089376055</v>
      </c>
      <c r="H668" s="104">
        <f t="shared" si="96"/>
        <v>22613.082926812815</v>
      </c>
      <c r="I668" s="71">
        <v>1286.97</v>
      </c>
      <c r="J668" s="928">
        <v>0</v>
      </c>
      <c r="K668" s="1026">
        <v>150</v>
      </c>
      <c r="L668" s="71" t="s">
        <v>1777</v>
      </c>
      <c r="N668" s="82"/>
    </row>
    <row r="669" spans="1:14" s="71" customFormat="1" ht="30" customHeight="1" x14ac:dyDescent="0.25">
      <c r="A669" s="82">
        <v>190117</v>
      </c>
      <c r="B669" s="103">
        <v>241</v>
      </c>
      <c r="C669" s="82" t="s">
        <v>1776</v>
      </c>
      <c r="D669" s="103">
        <v>10</v>
      </c>
      <c r="E669" s="101">
        <f>34.05*0.8</f>
        <v>27.24</v>
      </c>
      <c r="F669" s="101"/>
      <c r="G669" s="104">
        <f t="shared" si="93"/>
        <v>43212</v>
      </c>
      <c r="H669" s="104">
        <f t="shared" si="96"/>
        <v>432120</v>
      </c>
      <c r="I669" s="71">
        <v>1300</v>
      </c>
      <c r="J669" s="928">
        <v>0</v>
      </c>
      <c r="K669" s="1026">
        <v>60</v>
      </c>
      <c r="L669" s="71" t="s">
        <v>1772</v>
      </c>
      <c r="N669" s="82"/>
    </row>
    <row r="670" spans="1:14" s="71" customFormat="1" ht="30" customHeight="1" x14ac:dyDescent="0.25">
      <c r="A670" s="82">
        <v>190320</v>
      </c>
      <c r="B670" s="103">
        <v>242</v>
      </c>
      <c r="C670" s="82" t="s">
        <v>1873</v>
      </c>
      <c r="D670" s="103">
        <v>30</v>
      </c>
      <c r="E670" s="101">
        <v>22.56</v>
      </c>
      <c r="F670" s="101"/>
      <c r="G670" s="104">
        <f t="shared" si="93"/>
        <v>30162.604439385315</v>
      </c>
      <c r="H670" s="104">
        <f t="shared" ref="H670:H677" si="97">(G670*D670)</f>
        <v>904878.1331815595</v>
      </c>
      <c r="I670" s="71">
        <v>1300</v>
      </c>
      <c r="J670" s="928">
        <v>0</v>
      </c>
      <c r="K670" s="1026">
        <v>60</v>
      </c>
      <c r="L670" s="71" t="s">
        <v>1085</v>
      </c>
      <c r="N670" s="82"/>
    </row>
    <row r="671" spans="1:14" s="71" customFormat="1" ht="30" customHeight="1" x14ac:dyDescent="0.25">
      <c r="A671" s="82"/>
      <c r="B671" s="103">
        <v>242</v>
      </c>
      <c r="C671" s="82" t="s">
        <v>1874</v>
      </c>
      <c r="D671" s="103">
        <v>20</v>
      </c>
      <c r="E671" s="101">
        <v>47.72</v>
      </c>
      <c r="F671" s="101"/>
      <c r="G671" s="104">
        <f t="shared" si="93"/>
        <v>64684.093340922023</v>
      </c>
      <c r="H671" s="104">
        <f t="shared" si="97"/>
        <v>1293681.8668184404</v>
      </c>
      <c r="I671" s="71">
        <v>1300</v>
      </c>
      <c r="J671" s="928">
        <v>0</v>
      </c>
      <c r="K671" s="1026">
        <v>60</v>
      </c>
      <c r="L671" s="71" t="s">
        <v>1085</v>
      </c>
      <c r="N671" s="82"/>
    </row>
    <row r="672" spans="1:14" s="71" customFormat="1" ht="30" customHeight="1" x14ac:dyDescent="0.25">
      <c r="A672" s="82">
        <v>190610</v>
      </c>
      <c r="B672" s="103">
        <v>243</v>
      </c>
      <c r="C672" s="82" t="s">
        <v>681</v>
      </c>
      <c r="D672" s="103">
        <v>2</v>
      </c>
      <c r="E672" s="101">
        <f>381.35*0.8</f>
        <v>305.08000000000004</v>
      </c>
      <c r="F672" s="101"/>
      <c r="G672" s="104">
        <f t="shared" si="93"/>
        <v>508383.00000000006</v>
      </c>
      <c r="H672" s="104">
        <f t="shared" si="97"/>
        <v>1016766.0000000001</v>
      </c>
      <c r="I672" s="71">
        <v>1350</v>
      </c>
      <c r="J672" s="928"/>
      <c r="K672" s="1026">
        <v>143</v>
      </c>
      <c r="L672" s="71" t="s">
        <v>818</v>
      </c>
      <c r="N672" s="82"/>
    </row>
    <row r="673" spans="1:14" s="71" customFormat="1" ht="30" customHeight="1" x14ac:dyDescent="0.25">
      <c r="A673" s="82">
        <v>191130</v>
      </c>
      <c r="B673" s="103">
        <v>244</v>
      </c>
      <c r="C673" s="82" t="s">
        <v>925</v>
      </c>
      <c r="D673" s="103">
        <v>200</v>
      </c>
      <c r="E673" s="101">
        <v>12.72</v>
      </c>
      <c r="F673" s="101"/>
      <c r="G673" s="104">
        <f t="shared" si="93"/>
        <v>24453.5</v>
      </c>
      <c r="H673" s="104">
        <f t="shared" si="97"/>
        <v>4890700</v>
      </c>
      <c r="I673" s="71">
        <v>1350</v>
      </c>
      <c r="J673" s="928">
        <v>754300</v>
      </c>
      <c r="K673" s="1026">
        <v>520</v>
      </c>
      <c r="N673" s="82"/>
    </row>
    <row r="674" spans="1:14" s="71" customFormat="1" ht="30" customHeight="1" x14ac:dyDescent="0.25">
      <c r="A674" s="82">
        <v>200111</v>
      </c>
      <c r="B674" s="103">
        <v>245</v>
      </c>
      <c r="C674" s="82" t="s">
        <v>2242</v>
      </c>
      <c r="D674" s="103">
        <v>1</v>
      </c>
      <c r="E674" s="101">
        <v>364.16</v>
      </c>
      <c r="F674" s="101"/>
      <c r="G674" s="104">
        <f t="shared" si="93"/>
        <v>581405.44000000006</v>
      </c>
      <c r="H674" s="104">
        <f t="shared" si="97"/>
        <v>581405.44000000006</v>
      </c>
      <c r="I674" s="71">
        <v>1309</v>
      </c>
      <c r="J674" s="928"/>
      <c r="K674" s="1026">
        <v>80</v>
      </c>
      <c r="N674" s="82" t="s">
        <v>2314</v>
      </c>
    </row>
    <row r="675" spans="1:14" s="71" customFormat="1" ht="30" customHeight="1" x14ac:dyDescent="0.25">
      <c r="A675" s="82">
        <v>200110</v>
      </c>
      <c r="B675" s="103">
        <v>246</v>
      </c>
      <c r="C675" s="82" t="s">
        <v>2291</v>
      </c>
      <c r="D675" s="103">
        <v>1</v>
      </c>
      <c r="E675" s="101">
        <v>2647.96</v>
      </c>
      <c r="F675" s="101"/>
      <c r="G675" s="104">
        <f t="shared" si="93"/>
        <v>4386774.6400000006</v>
      </c>
      <c r="H675" s="104">
        <f t="shared" si="97"/>
        <v>4386774.6400000006</v>
      </c>
      <c r="I675" s="71">
        <v>1309</v>
      </c>
      <c r="J675" s="928">
        <v>527895</v>
      </c>
      <c r="K675" s="1026">
        <v>300</v>
      </c>
      <c r="L675" s="71" t="s">
        <v>817</v>
      </c>
      <c r="N675" s="82" t="s">
        <v>2315</v>
      </c>
    </row>
    <row r="676" spans="1:14" s="71" customFormat="1" ht="30" customHeight="1" x14ac:dyDescent="0.25">
      <c r="A676" s="82">
        <v>191126</v>
      </c>
      <c r="B676" s="103">
        <v>247</v>
      </c>
      <c r="C676" s="82" t="s">
        <v>2292</v>
      </c>
      <c r="D676" s="103">
        <v>2</v>
      </c>
      <c r="E676" s="101">
        <v>942.76</v>
      </c>
      <c r="F676" s="1026">
        <f t="shared" ref="F676:F704" si="98">E676*D676</f>
        <v>1885.52</v>
      </c>
      <c r="G676" s="104">
        <f t="shared" si="93"/>
        <v>1343090.6</v>
      </c>
      <c r="H676" s="104">
        <f t="shared" si="97"/>
        <v>2686181.2</v>
      </c>
      <c r="I676" s="71">
        <v>1310</v>
      </c>
      <c r="J676" s="928"/>
      <c r="K676" s="1026">
        <v>165</v>
      </c>
      <c r="N676" s="82"/>
    </row>
    <row r="677" spans="1:14" s="71" customFormat="1" ht="30" customHeight="1" x14ac:dyDescent="0.25">
      <c r="A677" s="82">
        <v>200313</v>
      </c>
      <c r="B677" s="103">
        <v>248</v>
      </c>
      <c r="C677" s="82" t="s">
        <v>2362</v>
      </c>
      <c r="D677" s="103">
        <v>1</v>
      </c>
      <c r="E677" s="101">
        <v>2249.2800000000002</v>
      </c>
      <c r="F677" s="1026">
        <f t="shared" si="98"/>
        <v>2249.2800000000002</v>
      </c>
      <c r="G677" s="104">
        <f t="shared" si="93"/>
        <v>3301128.0000000005</v>
      </c>
      <c r="H677" s="104">
        <f t="shared" si="97"/>
        <v>3301128.0000000005</v>
      </c>
      <c r="I677" s="71">
        <v>1350</v>
      </c>
      <c r="J677" s="928"/>
      <c r="K677" s="1026">
        <v>196</v>
      </c>
      <c r="N677" s="82"/>
    </row>
    <row r="678" spans="1:14" s="71" customFormat="1" ht="30" customHeight="1" x14ac:dyDescent="0.25">
      <c r="A678" s="82">
        <v>200727</v>
      </c>
      <c r="B678" s="103">
        <v>249</v>
      </c>
      <c r="C678" s="82" t="s">
        <v>2292</v>
      </c>
      <c r="D678" s="103">
        <v>1</v>
      </c>
      <c r="E678" s="101">
        <v>942.76</v>
      </c>
      <c r="F678" s="1026">
        <f t="shared" si="98"/>
        <v>942.76</v>
      </c>
      <c r="G678" s="104">
        <f t="shared" si="93"/>
        <v>1622180.72</v>
      </c>
      <c r="H678" s="104">
        <f t="shared" ref="H678:H683" si="99">(G678*D678)</f>
        <v>1622180.72</v>
      </c>
      <c r="I678" s="71">
        <v>1420</v>
      </c>
      <c r="J678" s="928">
        <f>1502019*0.08</f>
        <v>120161.52</v>
      </c>
      <c r="K678" s="1026">
        <v>115</v>
      </c>
      <c r="N678" s="82"/>
    </row>
    <row r="679" spans="1:14" s="71" customFormat="1" ht="30" customHeight="1" x14ac:dyDescent="0.25">
      <c r="A679" s="82">
        <v>201021</v>
      </c>
      <c r="B679" s="103">
        <v>250</v>
      </c>
      <c r="C679" s="82" t="s">
        <v>2589</v>
      </c>
      <c r="D679" s="103">
        <v>1</v>
      </c>
      <c r="E679" s="101">
        <v>2060.1799999999998</v>
      </c>
      <c r="F679" s="1026">
        <f t="shared" si="98"/>
        <v>2060.1799999999998</v>
      </c>
      <c r="G679" s="928">
        <f t="shared" ref="G679:G704" si="100">(I679*E679)+(J679*(F679/SUMIF(B:B,B679,F:F)))/D679+((K679*I679)*(F679/SUMIF(B:B,B679,F:F)))/D679</f>
        <v>2981043</v>
      </c>
      <c r="H679" s="104">
        <f t="shared" si="99"/>
        <v>2981043</v>
      </c>
      <c r="I679" s="71">
        <v>1350</v>
      </c>
      <c r="J679" s="928"/>
      <c r="K679" s="101">
        <v>148</v>
      </c>
      <c r="N679" s="82"/>
    </row>
    <row r="680" spans="1:14" s="71" customFormat="1" ht="30" customHeight="1" x14ac:dyDescent="0.25">
      <c r="A680" s="82">
        <v>201018</v>
      </c>
      <c r="B680" s="103">
        <v>251</v>
      </c>
      <c r="C680" s="82" t="s">
        <v>925</v>
      </c>
      <c r="D680" s="103">
        <v>210</v>
      </c>
      <c r="E680" s="101">
        <v>12.72</v>
      </c>
      <c r="F680" s="1026">
        <f t="shared" si="98"/>
        <v>2671.2000000000003</v>
      </c>
      <c r="G680" s="928">
        <f t="shared" si="100"/>
        <v>23052.71428571429</v>
      </c>
      <c r="H680" s="104">
        <f t="shared" si="99"/>
        <v>4841070.0000000009</v>
      </c>
      <c r="I680" s="71">
        <v>1330</v>
      </c>
      <c r="J680" s="928">
        <v>599434</v>
      </c>
      <c r="K680" s="101">
        <v>518</v>
      </c>
    </row>
    <row r="681" spans="1:14" s="71" customFormat="1" ht="30" customHeight="1" x14ac:dyDescent="0.25">
      <c r="A681" s="82">
        <v>201127</v>
      </c>
      <c r="B681" s="103">
        <v>252</v>
      </c>
      <c r="C681" s="82" t="s">
        <v>2773</v>
      </c>
      <c r="D681" s="103">
        <v>2</v>
      </c>
      <c r="E681" s="101">
        <f>2878.95/2</f>
        <v>1439.4749999999999</v>
      </c>
      <c r="F681" s="1026">
        <f t="shared" si="98"/>
        <v>2878.95</v>
      </c>
      <c r="G681" s="928">
        <f t="shared" si="100"/>
        <v>2097536.3419546052</v>
      </c>
      <c r="H681" s="104">
        <f t="shared" si="99"/>
        <v>4195072.6839092104</v>
      </c>
      <c r="I681" s="71">
        <v>1350</v>
      </c>
      <c r="J681" s="928"/>
      <c r="K681" s="101">
        <v>235</v>
      </c>
    </row>
    <row r="682" spans="1:14" s="71" customFormat="1" ht="30" customHeight="1" x14ac:dyDescent="0.25">
      <c r="A682" s="82">
        <v>201127</v>
      </c>
      <c r="B682" s="103">
        <v>252</v>
      </c>
      <c r="C682" s="82" t="s">
        <v>2774</v>
      </c>
      <c r="D682" s="103">
        <v>2</v>
      </c>
      <c r="E682" s="1026">
        <f>81.75/2</f>
        <v>40.875</v>
      </c>
      <c r="F682" s="1026">
        <f t="shared" si="98"/>
        <v>81.75</v>
      </c>
      <c r="G682" s="928">
        <f t="shared" si="100"/>
        <v>59561.158045394674</v>
      </c>
      <c r="H682" s="104">
        <f t="shared" si="99"/>
        <v>119122.31609078935</v>
      </c>
      <c r="I682" s="71">
        <v>1350</v>
      </c>
      <c r="J682" s="928"/>
      <c r="K682" s="101">
        <v>235</v>
      </c>
    </row>
    <row r="683" spans="1:14" s="71" customFormat="1" ht="30" customHeight="1" x14ac:dyDescent="0.25">
      <c r="A683" s="1145">
        <v>44244</v>
      </c>
      <c r="B683" s="103">
        <v>253</v>
      </c>
      <c r="C683" s="82" t="s">
        <v>2878</v>
      </c>
      <c r="D683" s="103">
        <v>2</v>
      </c>
      <c r="E683" s="1026">
        <v>470</v>
      </c>
      <c r="F683" s="1026">
        <f t="shared" si="98"/>
        <v>940</v>
      </c>
      <c r="G683" s="928">
        <f t="shared" si="100"/>
        <v>791370</v>
      </c>
      <c r="H683" s="104">
        <f t="shared" si="99"/>
        <v>1582740</v>
      </c>
      <c r="I683" s="71">
        <v>1370</v>
      </c>
      <c r="J683" s="928">
        <v>116840</v>
      </c>
      <c r="K683" s="101">
        <v>130</v>
      </c>
    </row>
    <row r="684" spans="1:14" s="71" customFormat="1" ht="30" customHeight="1" x14ac:dyDescent="0.25">
      <c r="A684" s="1145">
        <v>44344</v>
      </c>
      <c r="B684" s="103">
        <v>254</v>
      </c>
      <c r="C684" s="82" t="s">
        <v>925</v>
      </c>
      <c r="D684" s="103">
        <v>210</v>
      </c>
      <c r="E684" s="101">
        <v>12.72</v>
      </c>
      <c r="F684" s="1026">
        <f t="shared" si="98"/>
        <v>2671.2000000000003</v>
      </c>
      <c r="G684" s="928">
        <f t="shared" si="100"/>
        <v>24069.647619047621</v>
      </c>
      <c r="H684" s="104">
        <f t="shared" ref="H684:H704" si="101">(G684*D684)</f>
        <v>5054626</v>
      </c>
      <c r="I684" s="71">
        <v>1370</v>
      </c>
      <c r="J684" s="928">
        <v>615552</v>
      </c>
      <c r="K684" s="101">
        <v>569</v>
      </c>
    </row>
    <row r="685" spans="1:14" s="71" customFormat="1" ht="30" customHeight="1" x14ac:dyDescent="0.25">
      <c r="A685" s="1145">
        <v>44398</v>
      </c>
      <c r="B685" s="103">
        <v>255</v>
      </c>
      <c r="C685" s="82" t="s">
        <v>2291</v>
      </c>
      <c r="D685" s="103">
        <v>1</v>
      </c>
      <c r="E685" s="1026">
        <v>2393.4</v>
      </c>
      <c r="F685" s="1026">
        <f t="shared" si="98"/>
        <v>2393.4</v>
      </c>
      <c r="G685" s="928">
        <f t="shared" si="100"/>
        <v>4362890.0626910841</v>
      </c>
      <c r="H685" s="104">
        <f t="shared" si="101"/>
        <v>4362890.0626910841</v>
      </c>
      <c r="I685" s="71">
        <v>1400</v>
      </c>
      <c r="J685" s="928">
        <v>615272</v>
      </c>
      <c r="K685" s="101">
        <f>248+95</f>
        <v>343</v>
      </c>
      <c r="L685" s="71" t="s">
        <v>817</v>
      </c>
    </row>
    <row r="686" spans="1:14" s="71" customFormat="1" ht="30" customHeight="1" x14ac:dyDescent="0.25">
      <c r="A686" s="82"/>
      <c r="B686" s="103">
        <v>255</v>
      </c>
      <c r="C686" s="82" t="s">
        <v>3102</v>
      </c>
      <c r="D686" s="103">
        <v>1</v>
      </c>
      <c r="E686" s="1026">
        <v>27.92</v>
      </c>
      <c r="F686" s="1026">
        <f t="shared" si="98"/>
        <v>27.92</v>
      </c>
      <c r="G686" s="928">
        <f t="shared" si="100"/>
        <v>50894.915413359689</v>
      </c>
      <c r="H686" s="104">
        <f t="shared" si="101"/>
        <v>50894.915413359689</v>
      </c>
      <c r="I686" s="71">
        <v>1400</v>
      </c>
      <c r="J686" s="928">
        <v>615272</v>
      </c>
      <c r="K686" s="101">
        <f>248+95</f>
        <v>343</v>
      </c>
    </row>
    <row r="687" spans="1:14" s="71" customFormat="1" ht="30" customHeight="1" x14ac:dyDescent="0.25">
      <c r="A687" s="82"/>
      <c r="B687" s="103">
        <v>255</v>
      </c>
      <c r="C687" s="82" t="s">
        <v>3103</v>
      </c>
      <c r="D687" s="103">
        <v>1</v>
      </c>
      <c r="E687" s="1026">
        <v>156.6</v>
      </c>
      <c r="F687" s="1026">
        <f t="shared" si="98"/>
        <v>156.6</v>
      </c>
      <c r="G687" s="928">
        <f t="shared" si="100"/>
        <v>285463.60149470367</v>
      </c>
      <c r="H687" s="104">
        <f t="shared" si="101"/>
        <v>285463.60149470367</v>
      </c>
      <c r="I687" s="71">
        <v>1400</v>
      </c>
      <c r="J687" s="928">
        <v>615272</v>
      </c>
      <c r="K687" s="101">
        <f>248+95</f>
        <v>343</v>
      </c>
    </row>
    <row r="688" spans="1:14" s="71" customFormat="1" ht="30" customHeight="1" x14ac:dyDescent="0.25">
      <c r="A688" s="82"/>
      <c r="B688" s="103">
        <v>255</v>
      </c>
      <c r="C688" s="82" t="s">
        <v>3104</v>
      </c>
      <c r="D688" s="103">
        <v>1</v>
      </c>
      <c r="E688" s="99">
        <v>12.56</v>
      </c>
      <c r="F688" s="1026">
        <f t="shared" si="98"/>
        <v>12.56</v>
      </c>
      <c r="G688" s="928">
        <f t="shared" si="100"/>
        <v>22895.420400852352</v>
      </c>
      <c r="H688" s="104">
        <f t="shared" si="101"/>
        <v>22895.420400852352</v>
      </c>
      <c r="I688" s="71">
        <v>1400</v>
      </c>
      <c r="J688" s="928">
        <v>615272</v>
      </c>
      <c r="K688" s="101">
        <f>248+95</f>
        <v>343</v>
      </c>
    </row>
    <row r="689" spans="1:14" s="71" customFormat="1" ht="30" customHeight="1" x14ac:dyDescent="0.25">
      <c r="A689" s="82" t="s">
        <v>3670</v>
      </c>
      <c r="B689" s="103">
        <v>256</v>
      </c>
      <c r="C689" s="82" t="s">
        <v>3671</v>
      </c>
      <c r="D689" s="103">
        <v>1</v>
      </c>
      <c r="E689" s="1026">
        <v>627.36</v>
      </c>
      <c r="F689" s="1026">
        <f t="shared" si="98"/>
        <v>627.36</v>
      </c>
      <c r="G689" s="928">
        <f t="shared" si="100"/>
        <v>1099768.3200000001</v>
      </c>
      <c r="H689" s="104">
        <f t="shared" si="101"/>
        <v>1099768.3200000001</v>
      </c>
      <c r="I689" s="71">
        <v>1400</v>
      </c>
      <c r="J689" s="928">
        <f>1018304*0.08</f>
        <v>81464.320000000007</v>
      </c>
      <c r="K689" s="101">
        <v>100</v>
      </c>
    </row>
    <row r="690" spans="1:14" s="71" customFormat="1" ht="30" customHeight="1" x14ac:dyDescent="0.25">
      <c r="A690" s="1221">
        <v>45766</v>
      </c>
      <c r="B690" s="103">
        <v>257</v>
      </c>
      <c r="C690" s="82" t="s">
        <v>4384</v>
      </c>
      <c r="D690" s="103">
        <v>1</v>
      </c>
      <c r="E690" s="1130">
        <v>2016.24</v>
      </c>
      <c r="F690" s="99">
        <f t="shared" si="98"/>
        <v>2016.24</v>
      </c>
      <c r="G690" s="928">
        <f t="shared" si="100"/>
        <v>3954872.5745355687</v>
      </c>
      <c r="H690" s="104">
        <f t="shared" si="101"/>
        <v>3954872.5745355687</v>
      </c>
      <c r="I690" s="71">
        <v>1650</v>
      </c>
      <c r="J690" s="928"/>
      <c r="K690" s="99">
        <v>400</v>
      </c>
      <c r="N690" s="82"/>
    </row>
    <row r="691" spans="1:14" s="71" customFormat="1" ht="30" customHeight="1" x14ac:dyDescent="0.25">
      <c r="A691" s="82"/>
      <c r="B691" s="103">
        <v>257</v>
      </c>
      <c r="C691" s="82" t="s">
        <v>4385</v>
      </c>
      <c r="D691" s="103">
        <v>1</v>
      </c>
      <c r="E691" s="1130">
        <v>102.48</v>
      </c>
      <c r="F691" s="99">
        <f t="shared" si="98"/>
        <v>102.48</v>
      </c>
      <c r="G691" s="928">
        <f t="shared" si="100"/>
        <v>201015.42546443135</v>
      </c>
      <c r="H691" s="104">
        <f t="shared" si="101"/>
        <v>201015.42546443135</v>
      </c>
      <c r="I691" s="71">
        <v>1650</v>
      </c>
      <c r="J691" s="928"/>
      <c r="K691" s="99">
        <v>400</v>
      </c>
      <c r="N691" s="82"/>
    </row>
    <row r="692" spans="1:14" s="71" customFormat="1" ht="30" customHeight="1" x14ac:dyDescent="0.25">
      <c r="A692" s="82"/>
      <c r="B692" s="103"/>
      <c r="C692" s="82"/>
      <c r="D692" s="103"/>
      <c r="E692" s="99"/>
      <c r="F692" s="99">
        <f t="shared" si="98"/>
        <v>0</v>
      </c>
      <c r="G692" s="928" t="e">
        <f t="shared" si="100"/>
        <v>#DIV/0!</v>
      </c>
      <c r="H692" s="104" t="e">
        <f t="shared" si="101"/>
        <v>#DIV/0!</v>
      </c>
      <c r="J692" s="928"/>
      <c r="K692" s="99"/>
      <c r="N692" s="82"/>
    </row>
    <row r="693" spans="1:14" s="71" customFormat="1" ht="30" customHeight="1" x14ac:dyDescent="0.25">
      <c r="A693" s="82"/>
      <c r="C693" s="82"/>
      <c r="D693" s="103"/>
      <c r="E693" s="99"/>
      <c r="F693" s="99">
        <f t="shared" si="98"/>
        <v>0</v>
      </c>
      <c r="G693" s="928" t="e">
        <f t="shared" si="100"/>
        <v>#DIV/0!</v>
      </c>
      <c r="H693" s="104" t="e">
        <f t="shared" si="101"/>
        <v>#DIV/0!</v>
      </c>
      <c r="J693" s="928"/>
      <c r="K693" s="99"/>
      <c r="N693" s="82"/>
    </row>
    <row r="694" spans="1:14" s="71" customFormat="1" ht="30" customHeight="1" x14ac:dyDescent="0.25">
      <c r="A694" s="82"/>
      <c r="B694" s="103"/>
      <c r="C694" s="82"/>
      <c r="D694" s="103"/>
      <c r="E694" s="99"/>
      <c r="F694" s="99">
        <f t="shared" si="98"/>
        <v>0</v>
      </c>
      <c r="G694" s="928" t="e">
        <f t="shared" si="100"/>
        <v>#DIV/0!</v>
      </c>
      <c r="H694" s="104" t="e">
        <f t="shared" si="101"/>
        <v>#DIV/0!</v>
      </c>
      <c r="J694" s="928"/>
      <c r="K694" s="99"/>
      <c r="N694" s="82"/>
    </row>
    <row r="695" spans="1:14" s="71" customFormat="1" ht="30" customHeight="1" x14ac:dyDescent="0.25">
      <c r="A695" s="82"/>
      <c r="B695" s="103"/>
      <c r="C695" s="82"/>
      <c r="D695" s="103"/>
      <c r="E695" s="99"/>
      <c r="F695" s="99">
        <f t="shared" si="98"/>
        <v>0</v>
      </c>
      <c r="G695" s="928" t="e">
        <f t="shared" si="100"/>
        <v>#DIV/0!</v>
      </c>
      <c r="H695" s="104" t="e">
        <f t="shared" si="101"/>
        <v>#DIV/0!</v>
      </c>
      <c r="J695" s="928"/>
      <c r="K695" s="99"/>
      <c r="N695" s="82"/>
    </row>
    <row r="696" spans="1:14" s="71" customFormat="1" ht="30" customHeight="1" x14ac:dyDescent="0.25">
      <c r="A696" s="1221"/>
      <c r="B696" s="103"/>
      <c r="C696" s="82"/>
      <c r="D696" s="103"/>
      <c r="E696" s="101"/>
      <c r="F696" s="101">
        <f t="shared" si="98"/>
        <v>0</v>
      </c>
      <c r="G696" s="104" t="e">
        <f t="shared" si="100"/>
        <v>#DIV/0!</v>
      </c>
      <c r="H696" s="104" t="e">
        <f t="shared" si="101"/>
        <v>#DIV/0!</v>
      </c>
      <c r="J696" s="928"/>
      <c r="K696" s="101"/>
      <c r="N696" s="82"/>
    </row>
    <row r="697" spans="1:14" s="71" customFormat="1" ht="30" customHeight="1" x14ac:dyDescent="0.25">
      <c r="A697" s="82"/>
      <c r="B697" s="103"/>
      <c r="C697" s="82"/>
      <c r="D697" s="103"/>
      <c r="E697" s="101"/>
      <c r="F697" s="101">
        <f t="shared" si="98"/>
        <v>0</v>
      </c>
      <c r="G697" s="928" t="e">
        <f t="shared" si="100"/>
        <v>#DIV/0!</v>
      </c>
      <c r="H697" s="104" t="e">
        <f t="shared" si="101"/>
        <v>#DIV/0!</v>
      </c>
      <c r="J697" s="928"/>
      <c r="K697" s="101"/>
      <c r="N697" s="82"/>
    </row>
    <row r="698" spans="1:14" s="71" customFormat="1" ht="30" customHeight="1" x14ac:dyDescent="0.25">
      <c r="A698" s="82"/>
      <c r="B698" s="103"/>
      <c r="C698" s="82"/>
      <c r="D698" s="103"/>
      <c r="E698" s="101"/>
      <c r="F698" s="101">
        <f t="shared" si="98"/>
        <v>0</v>
      </c>
      <c r="G698" s="928" t="e">
        <f t="shared" si="100"/>
        <v>#DIV/0!</v>
      </c>
      <c r="H698" s="104" t="e">
        <f t="shared" si="101"/>
        <v>#DIV/0!</v>
      </c>
      <c r="J698" s="928"/>
      <c r="K698" s="101"/>
      <c r="N698" s="82"/>
    </row>
    <row r="699" spans="1:14" s="71" customFormat="1" ht="30" customHeight="1" x14ac:dyDescent="0.25">
      <c r="A699" s="82"/>
      <c r="B699" s="103"/>
      <c r="C699" s="82"/>
      <c r="D699" s="103"/>
      <c r="E699" s="101"/>
      <c r="F699" s="101">
        <f t="shared" si="98"/>
        <v>0</v>
      </c>
      <c r="G699" s="928" t="e">
        <f t="shared" si="100"/>
        <v>#DIV/0!</v>
      </c>
      <c r="H699" s="104" t="e">
        <f t="shared" si="101"/>
        <v>#DIV/0!</v>
      </c>
      <c r="J699" s="928"/>
      <c r="K699" s="101"/>
      <c r="N699" s="82"/>
    </row>
    <row r="700" spans="1:14" s="71" customFormat="1" ht="30" customHeight="1" x14ac:dyDescent="0.25">
      <c r="A700" s="1221"/>
      <c r="B700" s="103"/>
      <c r="C700" s="82"/>
      <c r="D700" s="103"/>
      <c r="E700" s="1130"/>
      <c r="F700" s="99">
        <f t="shared" si="98"/>
        <v>0</v>
      </c>
      <c r="G700" s="928" t="e">
        <f t="shared" si="100"/>
        <v>#DIV/0!</v>
      </c>
      <c r="H700" s="104" t="e">
        <f t="shared" si="101"/>
        <v>#DIV/0!</v>
      </c>
      <c r="J700" s="928"/>
      <c r="K700" s="99"/>
      <c r="N700" s="82"/>
    </row>
    <row r="701" spans="1:14" s="71" customFormat="1" ht="30" customHeight="1" x14ac:dyDescent="0.25">
      <c r="A701" s="82"/>
      <c r="B701" s="103"/>
      <c r="C701" s="82"/>
      <c r="D701" s="103"/>
      <c r="E701" s="1130"/>
      <c r="F701" s="99">
        <f t="shared" si="98"/>
        <v>0</v>
      </c>
      <c r="G701" s="928" t="e">
        <f t="shared" si="100"/>
        <v>#DIV/0!</v>
      </c>
      <c r="H701" s="104" t="e">
        <f t="shared" si="101"/>
        <v>#DIV/0!</v>
      </c>
      <c r="J701" s="928"/>
      <c r="K701" s="99"/>
      <c r="N701" s="82"/>
    </row>
    <row r="702" spans="1:14" s="71" customFormat="1" ht="30" customHeight="1" x14ac:dyDescent="0.25">
      <c r="A702" s="82"/>
      <c r="B702" s="103"/>
      <c r="C702" s="82"/>
      <c r="D702" s="103"/>
      <c r="E702" s="99"/>
      <c r="F702" s="99">
        <f t="shared" si="98"/>
        <v>0</v>
      </c>
      <c r="G702" s="928" t="e">
        <f t="shared" si="100"/>
        <v>#DIV/0!</v>
      </c>
      <c r="H702" s="104" t="e">
        <f t="shared" si="101"/>
        <v>#DIV/0!</v>
      </c>
      <c r="J702" s="928"/>
      <c r="K702" s="99"/>
      <c r="N702" s="82"/>
    </row>
    <row r="703" spans="1:14" s="71" customFormat="1" ht="30" customHeight="1" x14ac:dyDescent="0.25">
      <c r="A703" s="82"/>
      <c r="C703" s="82"/>
      <c r="D703" s="103"/>
      <c r="E703" s="99"/>
      <c r="F703" s="99">
        <f t="shared" si="98"/>
        <v>0</v>
      </c>
      <c r="G703" s="928" t="e">
        <f t="shared" si="100"/>
        <v>#DIV/0!</v>
      </c>
      <c r="H703" s="104" t="e">
        <f t="shared" si="101"/>
        <v>#DIV/0!</v>
      </c>
      <c r="J703" s="928"/>
      <c r="K703" s="99"/>
      <c r="N703" s="82"/>
    </row>
    <row r="704" spans="1:14" s="71" customFormat="1" ht="30" customHeight="1" x14ac:dyDescent="0.25">
      <c r="A704" s="82"/>
      <c r="B704" s="103"/>
      <c r="C704" s="82"/>
      <c r="D704" s="103"/>
      <c r="E704" s="99"/>
      <c r="F704" s="99">
        <f t="shared" si="98"/>
        <v>0</v>
      </c>
      <c r="G704" s="928" t="e">
        <f t="shared" si="100"/>
        <v>#DIV/0!</v>
      </c>
      <c r="H704" s="104" t="e">
        <f t="shared" si="101"/>
        <v>#DIV/0!</v>
      </c>
      <c r="J704" s="928"/>
      <c r="K704" s="99"/>
      <c r="N704" s="82"/>
    </row>
    <row r="714" spans="1:14" s="118" customFormat="1" ht="45" customHeight="1" x14ac:dyDescent="0.1">
      <c r="A714" s="137" t="s">
        <v>1341</v>
      </c>
      <c r="B714" s="131"/>
      <c r="C714" s="606"/>
      <c r="D714" s="608"/>
      <c r="E714" s="119"/>
      <c r="F714" s="119"/>
      <c r="G714" s="120"/>
      <c r="H714" s="120">
        <f t="shared" ref="H714:H728" si="102">(G714*D714)</f>
        <v>0</v>
      </c>
      <c r="I714" s="121"/>
      <c r="J714" s="922"/>
      <c r="K714" s="222"/>
      <c r="L714" s="121"/>
      <c r="M714" s="121"/>
      <c r="N714" s="142"/>
    </row>
    <row r="715" spans="1:14" s="71" customFormat="1" ht="30" customHeight="1" x14ac:dyDescent="0.25">
      <c r="A715" s="82">
        <v>171226</v>
      </c>
      <c r="B715" s="103">
        <v>301</v>
      </c>
      <c r="C715" s="82" t="s">
        <v>963</v>
      </c>
      <c r="D715" s="103">
        <v>1</v>
      </c>
      <c r="E715" s="99">
        <v>527.03</v>
      </c>
      <c r="F715" s="99"/>
      <c r="G715" s="104">
        <f t="shared" ref="G715:G735" si="103">(I715*E715)+(J715*(E715/SUMIF(B:B,B715,E:E)))/D715+((K715*I715)*(E715/SUMIF(B:B,B715,E:E)))/D715</f>
        <v>580265.99968844058</v>
      </c>
      <c r="H715" s="104">
        <f t="shared" si="102"/>
        <v>580265.99968844058</v>
      </c>
      <c r="I715" s="71">
        <v>1096.21</v>
      </c>
      <c r="J715" s="928">
        <v>0</v>
      </c>
      <c r="K715" s="99">
        <v>26.5</v>
      </c>
      <c r="N715" s="82"/>
    </row>
    <row r="716" spans="1:14" s="71" customFormat="1" ht="30" customHeight="1" x14ac:dyDescent="0.25">
      <c r="A716" s="82"/>
      <c r="B716" s="103">
        <v>301</v>
      </c>
      <c r="C716" s="82" t="s">
        <v>964</v>
      </c>
      <c r="D716" s="103">
        <v>1</v>
      </c>
      <c r="E716" s="99">
        <v>50.86</v>
      </c>
      <c r="F716" s="99"/>
      <c r="G716" s="104">
        <f t="shared" si="103"/>
        <v>55997.436093114418</v>
      </c>
      <c r="H716" s="104">
        <f t="shared" si="102"/>
        <v>55997.436093114418</v>
      </c>
      <c r="I716" s="71">
        <v>1096.21</v>
      </c>
      <c r="J716" s="928">
        <v>0</v>
      </c>
      <c r="K716" s="99">
        <v>26.5</v>
      </c>
      <c r="N716" s="82"/>
    </row>
    <row r="717" spans="1:14" s="71" customFormat="1" ht="30" customHeight="1" x14ac:dyDescent="0.25">
      <c r="A717" s="82">
        <v>171123</v>
      </c>
      <c r="B717" s="103">
        <v>302</v>
      </c>
      <c r="C717" s="82" t="s">
        <v>965</v>
      </c>
      <c r="D717" s="103">
        <v>1</v>
      </c>
      <c r="E717" s="99">
        <v>3983</v>
      </c>
      <c r="F717" s="99"/>
      <c r="G717" s="104">
        <f t="shared" si="103"/>
        <v>4511478.6562717892</v>
      </c>
      <c r="H717" s="104">
        <f t="shared" si="102"/>
        <v>4511478.6562717892</v>
      </c>
      <c r="I717" s="71">
        <v>1125.75</v>
      </c>
      <c r="J717" s="928">
        <v>0</v>
      </c>
      <c r="K717" s="99">
        <v>26.5</v>
      </c>
      <c r="N717" s="82"/>
    </row>
    <row r="718" spans="1:14" s="71" customFormat="1" ht="30" customHeight="1" x14ac:dyDescent="0.25">
      <c r="A718" s="82">
        <v>180808</v>
      </c>
      <c r="B718" s="103">
        <v>303</v>
      </c>
      <c r="C718" s="82" t="s">
        <v>1342</v>
      </c>
      <c r="D718" s="103">
        <v>1</v>
      </c>
      <c r="E718" s="99">
        <v>26680</v>
      </c>
      <c r="F718" s="99"/>
      <c r="G718" s="104">
        <f t="shared" si="103"/>
        <v>33736545.92618335</v>
      </c>
      <c r="H718" s="104">
        <f t="shared" si="102"/>
        <v>33736545.92618335</v>
      </c>
      <c r="I718" s="71">
        <v>1129.3</v>
      </c>
      <c r="J718" s="928">
        <v>3865145</v>
      </c>
      <c r="K718" s="99">
        <v>0</v>
      </c>
      <c r="N718" s="82" t="s">
        <v>1239</v>
      </c>
    </row>
    <row r="719" spans="1:14" s="71" customFormat="1" ht="30" customHeight="1" x14ac:dyDescent="0.25">
      <c r="A719" s="82">
        <v>180903</v>
      </c>
      <c r="B719" s="103">
        <v>304</v>
      </c>
      <c r="C719" s="82" t="s">
        <v>1450</v>
      </c>
      <c r="D719" s="103">
        <v>4</v>
      </c>
      <c r="E719" s="99">
        <f>1.35*20</f>
        <v>27</v>
      </c>
      <c r="F719" s="99"/>
      <c r="G719" s="104">
        <f t="shared" si="103"/>
        <v>32507.434222150434</v>
      </c>
      <c r="H719" s="104">
        <f t="shared" si="102"/>
        <v>130029.73688860174</v>
      </c>
      <c r="I719" s="71">
        <v>1136.17</v>
      </c>
      <c r="J719" s="928">
        <f t="shared" ref="J719:J724" si="104">871000+400000</f>
        <v>1271000</v>
      </c>
      <c r="K719" s="99">
        <v>392.5</v>
      </c>
      <c r="N719" s="1253" t="s">
        <v>1557</v>
      </c>
    </row>
    <row r="720" spans="1:14" s="71" customFormat="1" ht="30" customHeight="1" x14ac:dyDescent="0.25">
      <c r="A720" s="82"/>
      <c r="B720" s="103">
        <v>304</v>
      </c>
      <c r="C720" s="82" t="s">
        <v>1856</v>
      </c>
      <c r="D720" s="103">
        <v>4</v>
      </c>
      <c r="E720" s="99">
        <f>2.1*20</f>
        <v>42</v>
      </c>
      <c r="F720" s="99"/>
      <c r="G720" s="104">
        <f t="shared" si="103"/>
        <v>50567.119901122889</v>
      </c>
      <c r="H720" s="104">
        <f t="shared" si="102"/>
        <v>202268.47960449156</v>
      </c>
      <c r="I720" s="71">
        <v>1136.17</v>
      </c>
      <c r="J720" s="928">
        <f t="shared" si="104"/>
        <v>1271000</v>
      </c>
      <c r="K720" s="99">
        <v>392.5</v>
      </c>
      <c r="N720" s="1254"/>
    </row>
    <row r="721" spans="1:14" s="71" customFormat="1" ht="30" customHeight="1" x14ac:dyDescent="0.25">
      <c r="A721" s="82"/>
      <c r="B721" s="103">
        <v>304</v>
      </c>
      <c r="C721" s="82" t="s">
        <v>1451</v>
      </c>
      <c r="D721" s="103">
        <v>20</v>
      </c>
      <c r="E721" s="99">
        <f>1.65*20</f>
        <v>33</v>
      </c>
      <c r="F721" s="99"/>
      <c r="G721" s="104">
        <f t="shared" si="103"/>
        <v>37941.149698747889</v>
      </c>
      <c r="H721" s="104">
        <f t="shared" si="102"/>
        <v>758822.99397495785</v>
      </c>
      <c r="I721" s="71">
        <v>1136.17</v>
      </c>
      <c r="J721" s="928">
        <f t="shared" si="104"/>
        <v>1271000</v>
      </c>
      <c r="K721" s="99">
        <v>392.5</v>
      </c>
      <c r="L721" s="71" t="s">
        <v>1559</v>
      </c>
      <c r="N721" s="1254"/>
    </row>
    <row r="722" spans="1:14" s="71" customFormat="1" ht="30" customHeight="1" x14ac:dyDescent="0.25">
      <c r="A722" s="82"/>
      <c r="B722" s="103">
        <v>304</v>
      </c>
      <c r="C722" s="82" t="s">
        <v>1452</v>
      </c>
      <c r="D722" s="103">
        <v>10</v>
      </c>
      <c r="E722" s="99">
        <f>0.875*20</f>
        <v>17.5</v>
      </c>
      <c r="F722" s="99"/>
      <c r="G722" s="104">
        <f t="shared" si="103"/>
        <v>20357.638316853816</v>
      </c>
      <c r="H722" s="104">
        <f t="shared" si="102"/>
        <v>203576.38316853816</v>
      </c>
      <c r="I722" s="71">
        <v>1136.17</v>
      </c>
      <c r="J722" s="928">
        <f t="shared" si="104"/>
        <v>1271000</v>
      </c>
      <c r="K722" s="99">
        <v>392.5</v>
      </c>
      <c r="N722" s="1254"/>
    </row>
    <row r="723" spans="1:14" s="71" customFormat="1" ht="30" customHeight="1" x14ac:dyDescent="0.25">
      <c r="A723" s="82"/>
      <c r="B723" s="103">
        <v>304</v>
      </c>
      <c r="C723" s="82" t="s">
        <v>1453</v>
      </c>
      <c r="D723" s="103">
        <v>5</v>
      </c>
      <c r="E723" s="99">
        <f>1.7*20</f>
        <v>34</v>
      </c>
      <c r="F723" s="99"/>
      <c r="G723" s="104">
        <f t="shared" si="103"/>
        <v>40474.186031203397</v>
      </c>
      <c r="H723" s="104">
        <f t="shared" si="102"/>
        <v>202370.93015601698</v>
      </c>
      <c r="I723" s="71">
        <v>1136.17</v>
      </c>
      <c r="J723" s="928">
        <f t="shared" si="104"/>
        <v>1271000</v>
      </c>
      <c r="K723" s="99">
        <v>392.5</v>
      </c>
      <c r="N723" s="1254"/>
    </row>
    <row r="724" spans="1:14" s="71" customFormat="1" ht="30" customHeight="1" x14ac:dyDescent="0.25">
      <c r="A724" s="82"/>
      <c r="B724" s="103">
        <v>304</v>
      </c>
      <c r="C724" s="82" t="s">
        <v>1454</v>
      </c>
      <c r="D724" s="103">
        <v>10</v>
      </c>
      <c r="E724" s="99">
        <f>2.4*10</f>
        <v>24</v>
      </c>
      <c r="F724" s="99"/>
      <c r="G724" s="104">
        <f t="shared" si="103"/>
        <v>27919.046834542376</v>
      </c>
      <c r="H724" s="104">
        <f t="shared" si="102"/>
        <v>279190.46834542375</v>
      </c>
      <c r="I724" s="71">
        <v>1136.17</v>
      </c>
      <c r="J724" s="928">
        <f t="shared" si="104"/>
        <v>1271000</v>
      </c>
      <c r="K724" s="99">
        <v>392.5</v>
      </c>
      <c r="L724" s="71" t="s">
        <v>1558</v>
      </c>
      <c r="N724" s="1254"/>
    </row>
    <row r="725" spans="1:14" s="71" customFormat="1" ht="30" customHeight="1" x14ac:dyDescent="0.25">
      <c r="A725" s="82">
        <v>180913</v>
      </c>
      <c r="B725" s="103">
        <v>305</v>
      </c>
      <c r="C725" s="82" t="s">
        <v>1455</v>
      </c>
      <c r="D725" s="103">
        <v>20</v>
      </c>
      <c r="E725" s="99">
        <v>82.63</v>
      </c>
      <c r="F725" s="99"/>
      <c r="G725" s="104">
        <f t="shared" si="103"/>
        <v>113916.83713244551</v>
      </c>
      <c r="H725" s="104">
        <f t="shared" si="102"/>
        <v>2278336.7426489103</v>
      </c>
      <c r="I725" s="71">
        <v>1126.73</v>
      </c>
      <c r="J725" s="928">
        <v>1040379</v>
      </c>
      <c r="K725" s="99">
        <v>0</v>
      </c>
      <c r="N725" s="1254"/>
    </row>
    <row r="726" spans="1:14" s="71" customFormat="1" ht="30" customHeight="1" x14ac:dyDescent="0.25">
      <c r="A726" s="82"/>
      <c r="B726" s="103">
        <v>305</v>
      </c>
      <c r="C726" s="82" t="s">
        <v>1456</v>
      </c>
      <c r="D726" s="103">
        <v>20</v>
      </c>
      <c r="E726" s="99">
        <v>73.569999999999993</v>
      </c>
      <c r="F726" s="99"/>
      <c r="G726" s="104">
        <f t="shared" si="103"/>
        <v>101426.3791338983</v>
      </c>
      <c r="H726" s="104">
        <f t="shared" si="102"/>
        <v>2028527.582677966</v>
      </c>
      <c r="I726" s="71">
        <v>1126.73</v>
      </c>
      <c r="J726" s="928">
        <v>1040379</v>
      </c>
      <c r="K726" s="99">
        <v>0</v>
      </c>
      <c r="N726" s="1255"/>
    </row>
    <row r="727" spans="1:14" s="71" customFormat="1" ht="30" customHeight="1" x14ac:dyDescent="0.25">
      <c r="A727" s="82">
        <v>180907</v>
      </c>
      <c r="B727" s="103">
        <v>306</v>
      </c>
      <c r="C727" s="82" t="s">
        <v>1457</v>
      </c>
      <c r="D727" s="103">
        <v>10</v>
      </c>
      <c r="E727" s="99">
        <v>219</v>
      </c>
      <c r="F727" s="99"/>
      <c r="G727" s="104">
        <f t="shared" si="103"/>
        <v>266801.77679123171</v>
      </c>
      <c r="H727" s="104">
        <f t="shared" si="102"/>
        <v>2668017.7679123171</v>
      </c>
      <c r="I727" s="71">
        <v>1145.28</v>
      </c>
      <c r="J727" s="928">
        <v>0</v>
      </c>
      <c r="K727" s="99">
        <v>710</v>
      </c>
      <c r="N727" s="82"/>
    </row>
    <row r="728" spans="1:14" s="71" customFormat="1" ht="30" customHeight="1" x14ac:dyDescent="0.25">
      <c r="A728" s="82">
        <v>190101</v>
      </c>
      <c r="B728" s="103">
        <v>307</v>
      </c>
      <c r="C728" s="82" t="s">
        <v>1660</v>
      </c>
      <c r="D728" s="103">
        <v>1</v>
      </c>
      <c r="E728" s="99">
        <v>280</v>
      </c>
      <c r="F728" s="99"/>
      <c r="G728" s="104">
        <f t="shared" si="103"/>
        <v>538075.85703865788</v>
      </c>
      <c r="H728" s="104">
        <f t="shared" si="102"/>
        <v>538075.85703865788</v>
      </c>
      <c r="I728" s="71">
        <v>1150</v>
      </c>
      <c r="J728" s="928">
        <v>0</v>
      </c>
      <c r="K728" s="99">
        <v>230</v>
      </c>
      <c r="N728" s="82"/>
    </row>
    <row r="729" spans="1:14" s="71" customFormat="1" ht="30" customHeight="1" x14ac:dyDescent="0.25">
      <c r="A729" s="82">
        <v>181206</v>
      </c>
      <c r="B729" s="103">
        <v>308</v>
      </c>
      <c r="C729" s="82" t="s">
        <v>1514</v>
      </c>
      <c r="D729" s="103">
        <v>4</v>
      </c>
      <c r="E729" s="99">
        <v>219</v>
      </c>
      <c r="F729" s="99"/>
      <c r="G729" s="104">
        <f t="shared" si="103"/>
        <v>251956.79932586855</v>
      </c>
      <c r="H729" s="104">
        <f t="shared" ref="H729:H735" si="105">(G729*D729)</f>
        <v>1007827.1973034742</v>
      </c>
      <c r="I729" s="71">
        <v>1139</v>
      </c>
      <c r="J729" s="928">
        <v>0</v>
      </c>
      <c r="K729" s="99">
        <v>200</v>
      </c>
      <c r="N729" s="82"/>
    </row>
    <row r="730" spans="1:14" s="71" customFormat="1" ht="30" customHeight="1" x14ac:dyDescent="0.25">
      <c r="A730" s="82"/>
      <c r="B730" s="103">
        <v>308</v>
      </c>
      <c r="C730" s="82" t="s">
        <v>1515</v>
      </c>
      <c r="D730" s="103">
        <v>2</v>
      </c>
      <c r="E730" s="99">
        <v>279</v>
      </c>
      <c r="F730" s="99"/>
      <c r="G730" s="104">
        <f t="shared" si="103"/>
        <v>324191.11883029516</v>
      </c>
      <c r="H730" s="104">
        <f t="shared" si="105"/>
        <v>648382.23766059033</v>
      </c>
      <c r="I730" s="71">
        <v>1139</v>
      </c>
      <c r="J730" s="928">
        <v>0</v>
      </c>
      <c r="K730" s="99">
        <v>200</v>
      </c>
      <c r="N730" s="82"/>
    </row>
    <row r="731" spans="1:14" s="71" customFormat="1" ht="30" customHeight="1" x14ac:dyDescent="0.25">
      <c r="A731" s="82">
        <v>190124</v>
      </c>
      <c r="B731" s="103">
        <v>309</v>
      </c>
      <c r="C731" s="82" t="s">
        <v>1778</v>
      </c>
      <c r="D731" s="103">
        <v>1</v>
      </c>
      <c r="E731" s="99">
        <v>259</v>
      </c>
      <c r="F731" s="99"/>
      <c r="G731" s="104">
        <f t="shared" si="103"/>
        <v>298735.21562500001</v>
      </c>
      <c r="H731" s="104">
        <f t="shared" si="105"/>
        <v>298735.21562500001</v>
      </c>
      <c r="I731" s="71">
        <v>1131.3</v>
      </c>
      <c r="J731" s="928">
        <v>0</v>
      </c>
      <c r="K731" s="99">
        <v>100</v>
      </c>
      <c r="N731" s="82"/>
    </row>
    <row r="732" spans="1:14" s="71" customFormat="1" ht="30" customHeight="1" x14ac:dyDescent="0.25">
      <c r="A732" s="82">
        <v>190219</v>
      </c>
      <c r="B732" s="103">
        <v>310</v>
      </c>
      <c r="C732" s="82" t="s">
        <v>1823</v>
      </c>
      <c r="D732" s="103">
        <v>10</v>
      </c>
      <c r="E732" s="99">
        <v>219</v>
      </c>
      <c r="F732" s="99"/>
      <c r="G732" s="104">
        <f t="shared" si="103"/>
        <v>264716.96523543709</v>
      </c>
      <c r="H732" s="104">
        <f t="shared" si="105"/>
        <v>2647169.6523543708</v>
      </c>
      <c r="I732" s="71">
        <v>1150</v>
      </c>
      <c r="J732" s="928"/>
      <c r="K732" s="99">
        <v>300</v>
      </c>
      <c r="N732" s="82"/>
    </row>
    <row r="733" spans="1:14" s="71" customFormat="1" ht="30" customHeight="1" x14ac:dyDescent="0.25">
      <c r="A733" s="82"/>
      <c r="B733" s="103">
        <v>310</v>
      </c>
      <c r="C733" s="82" t="s">
        <v>1822</v>
      </c>
      <c r="D733" s="103">
        <v>10</v>
      </c>
      <c r="E733" s="99">
        <v>299</v>
      </c>
      <c r="F733" s="99"/>
      <c r="G733" s="104">
        <f t="shared" si="103"/>
        <v>361417.22650865617</v>
      </c>
      <c r="H733" s="104">
        <f t="shared" si="105"/>
        <v>3614172.2650865614</v>
      </c>
      <c r="I733" s="71">
        <v>1150</v>
      </c>
      <c r="J733" s="928"/>
      <c r="K733" s="99">
        <v>300</v>
      </c>
      <c r="N733" s="82"/>
    </row>
    <row r="734" spans="1:14" s="71" customFormat="1" ht="30" customHeight="1" x14ac:dyDescent="0.25">
      <c r="A734" s="82">
        <v>181212</v>
      </c>
      <c r="B734" s="103">
        <v>311</v>
      </c>
      <c r="C734" s="82" t="s">
        <v>1451</v>
      </c>
      <c r="D734" s="103">
        <v>20</v>
      </c>
      <c r="E734" s="99">
        <f>3.15*20</f>
        <v>63</v>
      </c>
      <c r="F734" s="99"/>
      <c r="G734" s="104">
        <f t="shared" si="103"/>
        <v>82528.137632697777</v>
      </c>
      <c r="H734" s="104">
        <f t="shared" si="105"/>
        <v>1650562.7526539555</v>
      </c>
      <c r="I734" s="71">
        <v>1136.17</v>
      </c>
      <c r="J734" s="928">
        <f>871000+400000</f>
        <v>1271000</v>
      </c>
      <c r="K734" s="99">
        <v>392.5</v>
      </c>
      <c r="N734" s="82"/>
    </row>
    <row r="735" spans="1:14" s="71" customFormat="1" ht="30" customHeight="1" x14ac:dyDescent="0.25">
      <c r="A735" s="82"/>
      <c r="B735" s="103">
        <v>311</v>
      </c>
      <c r="C735" s="82" t="s">
        <v>1454</v>
      </c>
      <c r="D735" s="103">
        <v>10</v>
      </c>
      <c r="E735" s="99">
        <f>4.8*10</f>
        <v>48</v>
      </c>
      <c r="F735" s="99"/>
      <c r="G735" s="104">
        <f t="shared" si="103"/>
        <v>71221.002106968022</v>
      </c>
      <c r="H735" s="104">
        <f t="shared" si="105"/>
        <v>712210.02106968022</v>
      </c>
      <c r="I735" s="71">
        <v>1136.17</v>
      </c>
      <c r="J735" s="928">
        <f>871000+400000</f>
        <v>1271000</v>
      </c>
      <c r="K735" s="99">
        <v>392.5</v>
      </c>
      <c r="N735" s="82"/>
    </row>
    <row r="736" spans="1:14" s="71" customFormat="1" ht="30" customHeight="1" x14ac:dyDescent="0.25">
      <c r="A736" s="82">
        <v>190705</v>
      </c>
      <c r="B736" s="103">
        <v>312</v>
      </c>
      <c r="C736" s="82" t="s">
        <v>2006</v>
      </c>
      <c r="D736" s="103">
        <v>1</v>
      </c>
      <c r="E736" s="99"/>
      <c r="F736" s="99"/>
      <c r="G736" s="104">
        <f>18404896+2486091+369035+1000000+322800</f>
        <v>22582822</v>
      </c>
      <c r="H736" s="104"/>
      <c r="J736" s="928"/>
      <c r="K736" s="99"/>
      <c r="N736" s="82" t="s">
        <v>2020</v>
      </c>
    </row>
    <row r="737" spans="1:14" s="71" customFormat="1" ht="30" customHeight="1" x14ac:dyDescent="0.25">
      <c r="A737" s="82">
        <v>191105</v>
      </c>
      <c r="B737" s="103">
        <v>313</v>
      </c>
      <c r="C737" s="82" t="s">
        <v>2177</v>
      </c>
      <c r="D737" s="103">
        <v>5</v>
      </c>
      <c r="E737" s="99">
        <v>219</v>
      </c>
      <c r="F737" s="99">
        <f t="shared" ref="F737:F748" si="106">E737*D737</f>
        <v>1095</v>
      </c>
      <c r="G737" s="104">
        <f>(I737*E737)+(J737*(D737/SUMIF(B:B,B737,D:D)))/D737+((K737*I737)*(D737/SUMIF(B:B,B737,D:D)))/D737</f>
        <v>267086.96330275229</v>
      </c>
      <c r="H737" s="104">
        <f t="shared" ref="H737:H745" si="107">(G737*D737)</f>
        <v>1335434.8165137614</v>
      </c>
      <c r="I737" s="71">
        <v>1200</v>
      </c>
      <c r="J737" s="928">
        <v>934558</v>
      </c>
      <c r="K737" s="99">
        <v>0</v>
      </c>
      <c r="L737" s="71" t="s">
        <v>1042</v>
      </c>
      <c r="N737" s="82"/>
    </row>
    <row r="738" spans="1:14" s="71" customFormat="1" ht="30" customHeight="1" x14ac:dyDescent="0.25">
      <c r="A738" s="82">
        <v>191105</v>
      </c>
      <c r="B738" s="103">
        <v>313</v>
      </c>
      <c r="C738" s="82" t="s">
        <v>3216</v>
      </c>
      <c r="D738" s="103">
        <v>5</v>
      </c>
      <c r="E738" s="99">
        <v>279</v>
      </c>
      <c r="F738" s="99">
        <f t="shared" si="106"/>
        <v>1395</v>
      </c>
      <c r="G738" s="104">
        <f>(I738*E738)+(J738*(D738/SUMIF(B:B,B738,D:D)))/D738+((K738*I738)*(D738/SUMIF(B:B,B738,D:D)))/D738</f>
        <v>339086.96330275229</v>
      </c>
      <c r="H738" s="104">
        <f t="shared" si="107"/>
        <v>1695434.8165137614</v>
      </c>
      <c r="I738" s="71">
        <v>1200</v>
      </c>
      <c r="J738" s="928">
        <v>934558</v>
      </c>
      <c r="K738" s="99">
        <v>0</v>
      </c>
      <c r="L738" s="71" t="s">
        <v>2178</v>
      </c>
      <c r="N738" s="82"/>
    </row>
    <row r="739" spans="1:14" s="71" customFormat="1" ht="30" customHeight="1" x14ac:dyDescent="0.25">
      <c r="A739" s="82">
        <v>191206</v>
      </c>
      <c r="B739" s="103">
        <v>314</v>
      </c>
      <c r="C739" s="82" t="s">
        <v>2245</v>
      </c>
      <c r="D739" s="103">
        <v>2</v>
      </c>
      <c r="E739" s="99">
        <v>265</v>
      </c>
      <c r="F739" s="99">
        <f t="shared" si="106"/>
        <v>530</v>
      </c>
      <c r="G739" s="104">
        <f>(I739*E739)+(J739*(D739/SUMIF(B:B,B739,D:D)))/D739+((K739*I739)*(D739/SUMIF(B:B,B739,D:D)))/D739</f>
        <v>438000</v>
      </c>
      <c r="H739" s="104">
        <f t="shared" si="107"/>
        <v>876000</v>
      </c>
      <c r="I739" s="71">
        <v>1200</v>
      </c>
      <c r="J739" s="928"/>
      <c r="K739" s="99">
        <v>200</v>
      </c>
      <c r="N739" s="82"/>
    </row>
    <row r="740" spans="1:14" s="71" customFormat="1" ht="30" customHeight="1" x14ac:dyDescent="0.25">
      <c r="A740" s="82">
        <v>200331</v>
      </c>
      <c r="B740" s="103">
        <v>1315</v>
      </c>
      <c r="C740" s="82" t="s">
        <v>2415</v>
      </c>
      <c r="D740" s="103">
        <v>2</v>
      </c>
      <c r="E740" s="1130">
        <v>102</v>
      </c>
      <c r="F740" s="1130">
        <f t="shared" si="106"/>
        <v>204</v>
      </c>
      <c r="G740" s="104">
        <f t="shared" ref="G740:G752" si="108">(I740*E740)+(J740*(F740/SUMIF(B:B,B740,F:F)))/D740+((K740*I740)*(F740/SUMIF(B:B,B740,F:F)))/D740</f>
        <v>161160</v>
      </c>
      <c r="H740" s="104">
        <f t="shared" si="107"/>
        <v>322320</v>
      </c>
      <c r="I740" s="71">
        <v>1580</v>
      </c>
      <c r="J740" s="928"/>
      <c r="K740" s="1130">
        <v>0</v>
      </c>
      <c r="L740" s="71" t="s">
        <v>2422</v>
      </c>
      <c r="N740" s="82"/>
    </row>
    <row r="741" spans="1:14" s="71" customFormat="1" ht="30" customHeight="1" x14ac:dyDescent="0.25">
      <c r="A741" s="82"/>
      <c r="B741" s="103">
        <v>1315</v>
      </c>
      <c r="C741" s="82" t="s">
        <v>2416</v>
      </c>
      <c r="D741" s="103">
        <v>1</v>
      </c>
      <c r="E741" s="1130">
        <v>98</v>
      </c>
      <c r="F741" s="1130">
        <f t="shared" si="106"/>
        <v>98</v>
      </c>
      <c r="G741" s="104">
        <f t="shared" si="108"/>
        <v>154840</v>
      </c>
      <c r="H741" s="104">
        <f t="shared" si="107"/>
        <v>154840</v>
      </c>
      <c r="I741" s="71">
        <v>1580</v>
      </c>
      <c r="J741" s="928"/>
      <c r="K741" s="1130">
        <v>0</v>
      </c>
      <c r="N741" s="82"/>
    </row>
    <row r="742" spans="1:14" s="71" customFormat="1" ht="30" customHeight="1" x14ac:dyDescent="0.25">
      <c r="A742" s="82"/>
      <c r="B742" s="103">
        <v>315</v>
      </c>
      <c r="C742" s="82" t="s">
        <v>2417</v>
      </c>
      <c r="D742" s="103">
        <v>10</v>
      </c>
      <c r="E742" s="1130">
        <v>84</v>
      </c>
      <c r="F742" s="1130">
        <f t="shared" si="106"/>
        <v>840</v>
      </c>
      <c r="G742" s="104">
        <f t="shared" si="108"/>
        <v>221228</v>
      </c>
      <c r="H742" s="104">
        <f t="shared" si="107"/>
        <v>2212280</v>
      </c>
      <c r="I742" s="71">
        <v>1580</v>
      </c>
      <c r="J742" s="928">
        <v>360520</v>
      </c>
      <c r="K742" s="1130">
        <v>332</v>
      </c>
      <c r="L742" s="71" t="s">
        <v>2418</v>
      </c>
      <c r="N742" s="82"/>
    </row>
    <row r="743" spans="1:14" s="71" customFormat="1" ht="30" customHeight="1" x14ac:dyDescent="0.25">
      <c r="A743" s="82">
        <v>200418</v>
      </c>
      <c r="B743" s="103">
        <v>316</v>
      </c>
      <c r="C743" s="82" t="s">
        <v>2419</v>
      </c>
      <c r="D743" s="103">
        <v>3</v>
      </c>
      <c r="E743" s="1131">
        <v>108</v>
      </c>
      <c r="F743" s="1130">
        <f t="shared" si="106"/>
        <v>324</v>
      </c>
      <c r="G743" s="104">
        <f t="shared" si="108"/>
        <v>263952</v>
      </c>
      <c r="H743" s="104">
        <f t="shared" si="107"/>
        <v>791856</v>
      </c>
      <c r="I743" s="71">
        <v>1580</v>
      </c>
      <c r="J743" s="928">
        <v>311352</v>
      </c>
      <c r="K743" s="1131">
        <v>294</v>
      </c>
      <c r="L743" s="71" t="s">
        <v>2421</v>
      </c>
      <c r="N743" s="82"/>
    </row>
    <row r="744" spans="1:14" s="71" customFormat="1" ht="30" customHeight="1" x14ac:dyDescent="0.25">
      <c r="A744" s="82"/>
      <c r="B744" s="103">
        <v>316</v>
      </c>
      <c r="C744" s="82" t="s">
        <v>2420</v>
      </c>
      <c r="D744" s="103">
        <v>7</v>
      </c>
      <c r="E744" s="1131">
        <v>82</v>
      </c>
      <c r="F744" s="1130">
        <f t="shared" si="106"/>
        <v>574</v>
      </c>
      <c r="G744" s="104">
        <f t="shared" si="108"/>
        <v>200408</v>
      </c>
      <c r="H744" s="104">
        <f t="shared" si="107"/>
        <v>1402856</v>
      </c>
      <c r="I744" s="71">
        <v>1580</v>
      </c>
      <c r="J744" s="928">
        <v>311352</v>
      </c>
      <c r="K744" s="1131">
        <v>294</v>
      </c>
      <c r="L744" s="71" t="s">
        <v>2421</v>
      </c>
      <c r="N744" s="82"/>
    </row>
    <row r="745" spans="1:14" s="71" customFormat="1" ht="30" customHeight="1" x14ac:dyDescent="0.25">
      <c r="A745" s="82">
        <v>200502</v>
      </c>
      <c r="B745" s="103">
        <v>317</v>
      </c>
      <c r="C745" s="82" t="s">
        <v>2445</v>
      </c>
      <c r="D745" s="103">
        <v>3</v>
      </c>
      <c r="E745" s="1130">
        <v>110</v>
      </c>
      <c r="F745" s="1130">
        <f t="shared" si="106"/>
        <v>330</v>
      </c>
      <c r="G745" s="104">
        <f t="shared" si="108"/>
        <v>306500</v>
      </c>
      <c r="H745" s="104">
        <f t="shared" si="107"/>
        <v>919500</v>
      </c>
      <c r="I745" s="71">
        <v>1580</v>
      </c>
      <c r="J745" s="928">
        <v>66300</v>
      </c>
      <c r="K745" s="101">
        <v>210</v>
      </c>
      <c r="L745" s="71" t="s">
        <v>2446</v>
      </c>
      <c r="N745" s="82"/>
    </row>
    <row r="746" spans="1:14" s="71" customFormat="1" ht="30" customHeight="1" x14ac:dyDescent="0.25">
      <c r="A746" s="82" t="s">
        <v>2593</v>
      </c>
      <c r="B746" s="103">
        <v>318</v>
      </c>
      <c r="C746" s="82" t="s">
        <v>2445</v>
      </c>
      <c r="D746" s="103">
        <v>5</v>
      </c>
      <c r="E746" s="101">
        <v>110</v>
      </c>
      <c r="F746" s="101">
        <f t="shared" si="106"/>
        <v>550</v>
      </c>
      <c r="G746" s="104">
        <f t="shared" si="108"/>
        <v>223435</v>
      </c>
      <c r="H746" s="104">
        <f t="shared" ref="H746:H753" si="109">(G746*D746)</f>
        <v>1117175</v>
      </c>
      <c r="I746" s="71">
        <v>1530</v>
      </c>
      <c r="J746" s="928">
        <v>50000</v>
      </c>
      <c r="K746" s="101">
        <v>147.5</v>
      </c>
      <c r="L746" s="71" t="s">
        <v>2590</v>
      </c>
      <c r="N746" s="82" t="s">
        <v>2592</v>
      </c>
    </row>
    <row r="747" spans="1:14" s="71" customFormat="1" ht="30" customHeight="1" x14ac:dyDescent="0.25">
      <c r="A747" s="82" t="s">
        <v>2593</v>
      </c>
      <c r="B747" s="103">
        <v>319</v>
      </c>
      <c r="C747" s="82" t="s">
        <v>2445</v>
      </c>
      <c r="D747" s="103">
        <v>3</v>
      </c>
      <c r="E747" s="101">
        <v>110</v>
      </c>
      <c r="F747" s="101">
        <f t="shared" si="106"/>
        <v>330</v>
      </c>
      <c r="G747" s="104">
        <f t="shared" si="108"/>
        <v>260191.66666666666</v>
      </c>
      <c r="H747" s="104">
        <f t="shared" si="109"/>
        <v>780575</v>
      </c>
      <c r="I747" s="71">
        <v>1530</v>
      </c>
      <c r="J747" s="928">
        <v>50000</v>
      </c>
      <c r="K747" s="101">
        <v>147.5</v>
      </c>
      <c r="L747" s="71" t="s">
        <v>2591</v>
      </c>
      <c r="N747" s="82" t="s">
        <v>2592</v>
      </c>
    </row>
    <row r="748" spans="1:14" s="71" customFormat="1" ht="30" customHeight="1" x14ac:dyDescent="0.25">
      <c r="A748" s="82" t="s">
        <v>2599</v>
      </c>
      <c r="B748" s="103">
        <v>320</v>
      </c>
      <c r="C748" s="82" t="s">
        <v>2600</v>
      </c>
      <c r="D748" s="103">
        <v>1</v>
      </c>
      <c r="E748" s="99">
        <v>852.65</v>
      </c>
      <c r="F748" s="99">
        <f t="shared" si="106"/>
        <v>852.65</v>
      </c>
      <c r="G748" s="104">
        <f t="shared" si="108"/>
        <v>1023180</v>
      </c>
      <c r="H748" s="104">
        <f t="shared" si="109"/>
        <v>1023180</v>
      </c>
      <c r="I748" s="71">
        <v>1200</v>
      </c>
      <c r="J748" s="928"/>
      <c r="K748" s="99"/>
      <c r="L748" s="71" t="s">
        <v>1042</v>
      </c>
      <c r="N748" s="82" t="s">
        <v>2601</v>
      </c>
    </row>
    <row r="749" spans="1:14" s="71" customFormat="1" ht="30" customHeight="1" x14ac:dyDescent="0.25">
      <c r="A749" s="82" t="s">
        <v>2593</v>
      </c>
      <c r="B749" s="103">
        <v>321</v>
      </c>
      <c r="C749" s="82" t="s">
        <v>2777</v>
      </c>
      <c r="D749" s="103">
        <v>10</v>
      </c>
      <c r="E749" s="1130">
        <v>84</v>
      </c>
      <c r="F749" s="99">
        <f t="shared" ref="F749:F756" si="110">E749*D749</f>
        <v>840</v>
      </c>
      <c r="G749" s="104">
        <f t="shared" si="108"/>
        <v>165345</v>
      </c>
      <c r="H749" s="104">
        <f t="shared" si="109"/>
        <v>1653450</v>
      </c>
      <c r="I749" s="71">
        <v>1510</v>
      </c>
      <c r="J749" s="928"/>
      <c r="K749" s="1130">
        <v>255</v>
      </c>
      <c r="L749" s="71" t="s">
        <v>1042</v>
      </c>
      <c r="N749" s="82"/>
    </row>
    <row r="750" spans="1:14" s="71" customFormat="1" ht="30" customHeight="1" x14ac:dyDescent="0.25">
      <c r="A750" s="82" t="s">
        <v>2825</v>
      </c>
      <c r="B750" s="103">
        <v>322</v>
      </c>
      <c r="C750" s="82" t="s">
        <v>2826</v>
      </c>
      <c r="D750" s="103">
        <v>4</v>
      </c>
      <c r="E750" s="99">
        <v>238</v>
      </c>
      <c r="F750" s="99">
        <f t="shared" si="110"/>
        <v>952</v>
      </c>
      <c r="G750" s="104">
        <f t="shared" si="108"/>
        <v>500175</v>
      </c>
      <c r="H750" s="104">
        <f t="shared" si="109"/>
        <v>2000700</v>
      </c>
      <c r="I750" s="71">
        <v>1350</v>
      </c>
      <c r="J750" s="928"/>
      <c r="K750" s="99">
        <v>530</v>
      </c>
      <c r="L750" s="71" t="s">
        <v>2827</v>
      </c>
      <c r="N750" s="82"/>
    </row>
    <row r="751" spans="1:14" s="71" customFormat="1" ht="30" customHeight="1" x14ac:dyDescent="0.25">
      <c r="A751" s="1145">
        <v>44244</v>
      </c>
      <c r="B751" s="103">
        <v>323</v>
      </c>
      <c r="C751" s="82" t="s">
        <v>2777</v>
      </c>
      <c r="D751" s="103">
        <v>10</v>
      </c>
      <c r="E751" s="1130">
        <v>84</v>
      </c>
      <c r="F751" s="99">
        <f t="shared" si="110"/>
        <v>840</v>
      </c>
      <c r="G751" s="104">
        <f t="shared" si="108"/>
        <v>143406.18556701031</v>
      </c>
      <c r="H751" s="104">
        <f t="shared" si="109"/>
        <v>1434061.8556701031</v>
      </c>
      <c r="I751" s="71">
        <v>1600</v>
      </c>
      <c r="J751" s="928"/>
      <c r="K751" s="99">
        <v>130</v>
      </c>
      <c r="L751" s="71" t="s">
        <v>1042</v>
      </c>
      <c r="N751" s="82" t="s">
        <v>2898</v>
      </c>
    </row>
    <row r="752" spans="1:14" s="71" customFormat="1" ht="30" customHeight="1" x14ac:dyDescent="0.25">
      <c r="A752" s="82"/>
      <c r="B752" s="103">
        <v>323</v>
      </c>
      <c r="C752" s="82" t="s">
        <v>2445</v>
      </c>
      <c r="D752" s="103">
        <v>10</v>
      </c>
      <c r="E752" s="1130">
        <v>110</v>
      </c>
      <c r="F752" s="99">
        <f t="shared" si="110"/>
        <v>1100</v>
      </c>
      <c r="G752" s="104">
        <f t="shared" si="108"/>
        <v>187793.81443298969</v>
      </c>
      <c r="H752" s="104">
        <f t="shared" si="109"/>
        <v>1877938.1443298969</v>
      </c>
      <c r="I752" s="71">
        <v>1600</v>
      </c>
      <c r="J752" s="928"/>
      <c r="K752" s="99">
        <v>130</v>
      </c>
      <c r="L752" s="71" t="s">
        <v>2590</v>
      </c>
      <c r="N752" s="82" t="s">
        <v>2898</v>
      </c>
    </row>
    <row r="753" spans="1:14" s="71" customFormat="1" ht="30" customHeight="1" x14ac:dyDescent="0.25">
      <c r="A753" s="1145">
        <v>44274</v>
      </c>
      <c r="B753" s="103">
        <v>324</v>
      </c>
      <c r="C753" s="82" t="s">
        <v>1455</v>
      </c>
      <c r="D753" s="103">
        <v>48</v>
      </c>
      <c r="E753" s="99">
        <v>82.63</v>
      </c>
      <c r="F753" s="99">
        <f t="shared" si="110"/>
        <v>3966.24</v>
      </c>
      <c r="G753" s="104">
        <f>(I753*E753)+(J753*(E753/SUMIF(B:B,B753,E:E)))/D753+((K753*I753)*(E753/SUMIF(B:B,B753,E:E)))/D753</f>
        <v>131794.58333333334</v>
      </c>
      <c r="H753" s="104">
        <f t="shared" si="109"/>
        <v>6326140</v>
      </c>
      <c r="I753" s="71">
        <v>1200</v>
      </c>
      <c r="J753" s="928">
        <v>1566652</v>
      </c>
      <c r="K753" s="99">
        <v>0</v>
      </c>
      <c r="L753" s="71" t="s">
        <v>869</v>
      </c>
      <c r="N753" s="82"/>
    </row>
    <row r="754" spans="1:14" s="71" customFormat="1" ht="30" customHeight="1" x14ac:dyDescent="0.25">
      <c r="A754" s="1145">
        <v>44397</v>
      </c>
      <c r="B754" s="103">
        <v>325</v>
      </c>
      <c r="C754" s="82" t="s">
        <v>3054</v>
      </c>
      <c r="D754" s="103">
        <v>200</v>
      </c>
      <c r="E754" s="99">
        <v>5.6</v>
      </c>
      <c r="F754" s="99">
        <f t="shared" si="110"/>
        <v>1120</v>
      </c>
      <c r="G754" s="104">
        <f>(I754*E754)+(J754*(E754/SUMIF(B:B,B754,E:E)))/D754+((K754*I754)*(E754/SUMIF(B:B,B754,E:E)))/D754</f>
        <v>8220</v>
      </c>
      <c r="H754" s="104">
        <f t="shared" ref="H754:H760" si="111">(G754*D754)</f>
        <v>1644000</v>
      </c>
      <c r="I754" s="71">
        <v>1200</v>
      </c>
      <c r="J754" s="928">
        <v>300000</v>
      </c>
      <c r="K754" s="99"/>
      <c r="L754" s="71" t="s">
        <v>2413</v>
      </c>
      <c r="N754" s="82"/>
    </row>
    <row r="755" spans="1:14" s="71" customFormat="1" ht="30" customHeight="1" x14ac:dyDescent="0.25">
      <c r="A755" s="1145">
        <v>44398</v>
      </c>
      <c r="B755" s="103">
        <v>326</v>
      </c>
      <c r="C755" s="82" t="s">
        <v>3055</v>
      </c>
      <c r="D755" s="103">
        <v>4</v>
      </c>
      <c r="E755" s="101">
        <f>291*0.8</f>
        <v>232.8</v>
      </c>
      <c r="F755" s="101">
        <f t="shared" si="110"/>
        <v>931.2</v>
      </c>
      <c r="G755" s="104">
        <f>(I755*E755)+(J755*(E755/SUMIF(B:B,B755,E:E)))/D755+((K755*I755)*(E755/SUMIF(B:B,B755,E:E)))/D755</f>
        <v>437098.5</v>
      </c>
      <c r="H755" s="104">
        <f t="shared" si="111"/>
        <v>1748394</v>
      </c>
      <c r="I755" s="71">
        <v>1370</v>
      </c>
      <c r="J755" s="928">
        <v>0</v>
      </c>
      <c r="K755" s="101">
        <v>345</v>
      </c>
      <c r="L755" s="71" t="s">
        <v>1042</v>
      </c>
      <c r="N755" s="82"/>
    </row>
    <row r="756" spans="1:14" s="71" customFormat="1" ht="30" customHeight="1" x14ac:dyDescent="0.25">
      <c r="A756" s="1145">
        <v>44411</v>
      </c>
      <c r="B756" s="103">
        <v>327</v>
      </c>
      <c r="C756" s="82" t="s">
        <v>3055</v>
      </c>
      <c r="D756" s="103">
        <v>6</v>
      </c>
      <c r="E756" s="101">
        <f>291*0.8</f>
        <v>232.8</v>
      </c>
      <c r="F756" s="101">
        <f t="shared" si="110"/>
        <v>1396.8000000000002</v>
      </c>
      <c r="G756" s="104">
        <f>(I756*E756)+(J756*(E756/SUMIF(B:B,B756,E:E)))/D756+((K756*I756)*(E756/SUMIF(B:B,B756,E:E)))/D756</f>
        <v>406844.33333333331</v>
      </c>
      <c r="H756" s="104">
        <f t="shared" si="111"/>
        <v>2441066</v>
      </c>
      <c r="I756" s="71">
        <v>1370</v>
      </c>
      <c r="J756" s="928">
        <v>0</v>
      </c>
      <c r="K756" s="101">
        <v>385</v>
      </c>
      <c r="L756" s="71" t="s">
        <v>1042</v>
      </c>
      <c r="N756" s="82"/>
    </row>
    <row r="757" spans="1:14" s="71" customFormat="1" ht="30" customHeight="1" x14ac:dyDescent="0.25">
      <c r="A757" s="1145">
        <v>44455</v>
      </c>
      <c r="B757" s="103">
        <v>328</v>
      </c>
      <c r="C757" s="82" t="s">
        <v>3172</v>
      </c>
      <c r="D757" s="103">
        <v>3</v>
      </c>
      <c r="E757" s="99">
        <v>190</v>
      </c>
      <c r="F757" s="101">
        <f t="shared" ref="F757:F774" si="112">E757*D757</f>
        <v>570</v>
      </c>
      <c r="G757" s="104">
        <f>(I757*E757)+(J757*(E757/SUMIF(B:B,B757,E:E)))/D757+((K757*I757)*(E757/SUMIF(B:B,B757,E:E)))/D757</f>
        <v>376750</v>
      </c>
      <c r="H757" s="104">
        <f t="shared" si="111"/>
        <v>1130250</v>
      </c>
      <c r="I757" s="71">
        <v>1370</v>
      </c>
      <c r="J757" s="928"/>
      <c r="K757" s="99">
        <v>255</v>
      </c>
      <c r="L757" s="71" t="s">
        <v>3173</v>
      </c>
      <c r="N757" s="82" t="s">
        <v>2825</v>
      </c>
    </row>
    <row r="758" spans="1:14" s="71" customFormat="1" ht="30" customHeight="1" x14ac:dyDescent="0.25">
      <c r="A758" s="1145">
        <v>44487</v>
      </c>
      <c r="B758" s="103">
        <v>329</v>
      </c>
      <c r="C758" s="82" t="s">
        <v>3055</v>
      </c>
      <c r="D758" s="103">
        <v>20</v>
      </c>
      <c r="E758" s="99">
        <v>232.8</v>
      </c>
      <c r="F758" s="99">
        <f t="shared" si="112"/>
        <v>4656</v>
      </c>
      <c r="G758" s="928">
        <f t="shared" ref="G758:G804" si="113">(I758*E758)+(J758*(F758/SUMIF(B:B,B758,F:F)))/D758+((K758*I758)*(F758/SUMIF(B:B,B758,F:F)))/D758</f>
        <v>364488.5</v>
      </c>
      <c r="H758" s="104">
        <f t="shared" si="111"/>
        <v>7289770</v>
      </c>
      <c r="I758" s="71">
        <v>1370</v>
      </c>
      <c r="J758" s="928"/>
      <c r="K758" s="99">
        <v>665</v>
      </c>
      <c r="L758" s="71" t="s">
        <v>1042</v>
      </c>
      <c r="N758" s="82"/>
    </row>
    <row r="759" spans="1:14" s="71" customFormat="1" ht="30" customHeight="1" x14ac:dyDescent="0.25">
      <c r="A759" s="1145">
        <v>44750</v>
      </c>
      <c r="B759" s="103">
        <v>330</v>
      </c>
      <c r="C759" s="82" t="s">
        <v>3454</v>
      </c>
      <c r="D759" s="103">
        <v>3</v>
      </c>
      <c r="E759" s="1130">
        <v>102</v>
      </c>
      <c r="F759" s="1130">
        <f t="shared" si="112"/>
        <v>306</v>
      </c>
      <c r="G759" s="928">
        <f t="shared" si="113"/>
        <v>235787.53347609565</v>
      </c>
      <c r="H759" s="104">
        <f t="shared" si="111"/>
        <v>707362.60042828694</v>
      </c>
      <c r="I759" s="71">
        <v>1593.47</v>
      </c>
      <c r="J759" s="928"/>
      <c r="K759" s="1213">
        <v>226.25</v>
      </c>
      <c r="L759" s="71" t="s">
        <v>933</v>
      </c>
      <c r="N759" s="82"/>
    </row>
    <row r="760" spans="1:14" s="71" customFormat="1" ht="30" customHeight="1" x14ac:dyDescent="0.25">
      <c r="A760" s="1145">
        <v>44750</v>
      </c>
      <c r="B760" s="103">
        <v>330</v>
      </c>
      <c r="C760" s="82" t="s">
        <v>3455</v>
      </c>
      <c r="D760" s="103">
        <v>2</v>
      </c>
      <c r="E760" s="1130">
        <v>98</v>
      </c>
      <c r="F760" s="1130">
        <f t="shared" si="112"/>
        <v>196</v>
      </c>
      <c r="G760" s="928">
        <f t="shared" si="113"/>
        <v>226540.96353585657</v>
      </c>
      <c r="H760" s="104">
        <f t="shared" si="111"/>
        <v>453081.92707171314</v>
      </c>
      <c r="I760" s="71">
        <v>1593.47</v>
      </c>
      <c r="J760" s="928"/>
      <c r="K760" s="1213">
        <v>226.25</v>
      </c>
      <c r="L760" s="71" t="s">
        <v>933</v>
      </c>
      <c r="N760" s="82"/>
    </row>
    <row r="761" spans="1:14" s="71" customFormat="1" ht="30" customHeight="1" x14ac:dyDescent="0.25">
      <c r="A761" s="1145">
        <v>44725</v>
      </c>
      <c r="B761" s="103">
        <v>331</v>
      </c>
      <c r="C761" s="82" t="s">
        <v>3493</v>
      </c>
      <c r="D761" s="103">
        <v>320</v>
      </c>
      <c r="E761" s="99">
        <v>5.3</v>
      </c>
      <c r="F761" s="99">
        <f t="shared" si="112"/>
        <v>1696</v>
      </c>
      <c r="G761" s="928">
        <f t="shared" si="113"/>
        <v>11083.769254032259</v>
      </c>
      <c r="H761" s="104">
        <f t="shared" ref="H761:H767" si="114">(G761*D761)</f>
        <v>3546806.1612903229</v>
      </c>
      <c r="I761" s="71">
        <v>1400</v>
      </c>
      <c r="J761" s="928">
        <v>2057241</v>
      </c>
      <c r="K761" s="99"/>
      <c r="L761" s="71" t="s">
        <v>276</v>
      </c>
      <c r="N761" s="82"/>
    </row>
    <row r="762" spans="1:14" s="71" customFormat="1" ht="30" customHeight="1" x14ac:dyDescent="0.25">
      <c r="A762" s="82"/>
      <c r="B762" s="103">
        <v>331</v>
      </c>
      <c r="C762" s="71" t="s">
        <v>3479</v>
      </c>
      <c r="D762" s="103">
        <v>320</v>
      </c>
      <c r="E762" s="99">
        <v>4</v>
      </c>
      <c r="F762" s="99">
        <f t="shared" si="112"/>
        <v>1280</v>
      </c>
      <c r="G762" s="928">
        <f t="shared" si="113"/>
        <v>8365.1088709677424</v>
      </c>
      <c r="H762" s="104">
        <f t="shared" si="114"/>
        <v>2676834.8387096776</v>
      </c>
      <c r="I762" s="71">
        <v>1400</v>
      </c>
      <c r="J762" s="928">
        <v>2057241</v>
      </c>
      <c r="K762" s="99"/>
      <c r="L762" s="71" t="s">
        <v>276</v>
      </c>
      <c r="N762" s="82"/>
    </row>
    <row r="763" spans="1:14" s="71" customFormat="1" ht="30" customHeight="1" x14ac:dyDescent="0.25">
      <c r="A763" s="1145">
        <v>45042</v>
      </c>
      <c r="B763" s="103">
        <v>332</v>
      </c>
      <c r="C763" s="103" t="s">
        <v>3753</v>
      </c>
      <c r="D763" s="103">
        <v>2</v>
      </c>
      <c r="E763" s="1130">
        <v>122.17</v>
      </c>
      <c r="F763" s="1130">
        <f t="shared" si="112"/>
        <v>244.34</v>
      </c>
      <c r="G763" s="928">
        <f t="shared" si="113"/>
        <v>388399.44</v>
      </c>
      <c r="H763" s="104">
        <f t="shared" si="114"/>
        <v>776798.88</v>
      </c>
      <c r="I763" s="71">
        <v>1650</v>
      </c>
      <c r="J763" s="928">
        <f>F763*I763*0.08</f>
        <v>32252.880000000001</v>
      </c>
      <c r="K763" s="1130">
        <v>206.9</v>
      </c>
      <c r="L763" s="71" t="s">
        <v>3770</v>
      </c>
      <c r="N763" s="82"/>
    </row>
    <row r="764" spans="1:14" s="71" customFormat="1" ht="30" customHeight="1" x14ac:dyDescent="0.25">
      <c r="A764" s="1145">
        <v>45107</v>
      </c>
      <c r="B764" s="103">
        <v>333</v>
      </c>
      <c r="C764" s="82" t="s">
        <v>3797</v>
      </c>
      <c r="D764" s="103">
        <v>20</v>
      </c>
      <c r="E764" s="101">
        <v>158.35</v>
      </c>
      <c r="F764" s="101">
        <f t="shared" si="112"/>
        <v>3167</v>
      </c>
      <c r="G764" s="928">
        <f t="shared" si="113"/>
        <v>287044.71796240925</v>
      </c>
      <c r="H764" s="104">
        <f t="shared" si="114"/>
        <v>5740894.3592481855</v>
      </c>
      <c r="I764" s="71">
        <v>1450</v>
      </c>
      <c r="J764" s="928">
        <v>100000</v>
      </c>
      <c r="K764" s="101">
        <v>809.45</v>
      </c>
      <c r="L764" s="71" t="s">
        <v>3801</v>
      </c>
      <c r="N764" s="82"/>
    </row>
    <row r="765" spans="1:14" s="71" customFormat="1" ht="30" customHeight="1" x14ac:dyDescent="0.25">
      <c r="A765" s="82"/>
      <c r="B765" s="103">
        <v>333</v>
      </c>
      <c r="C765" s="82" t="s">
        <v>3798</v>
      </c>
      <c r="D765" s="103">
        <v>1</v>
      </c>
      <c r="E765" s="101">
        <v>159.5</v>
      </c>
      <c r="F765" s="101">
        <f t="shared" si="112"/>
        <v>159.5</v>
      </c>
      <c r="G765" s="928">
        <f t="shared" si="113"/>
        <v>289129.34963690728</v>
      </c>
      <c r="H765" s="104">
        <f t="shared" si="114"/>
        <v>289129.34963690728</v>
      </c>
      <c r="I765" s="71">
        <v>1450</v>
      </c>
      <c r="J765" s="928">
        <v>100000</v>
      </c>
      <c r="K765" s="101">
        <v>809.45</v>
      </c>
      <c r="N765" s="82"/>
    </row>
    <row r="766" spans="1:14" s="71" customFormat="1" ht="30" customHeight="1" x14ac:dyDescent="0.25">
      <c r="A766" s="82"/>
      <c r="B766" s="103">
        <v>333</v>
      </c>
      <c r="C766" s="82" t="s">
        <v>3799</v>
      </c>
      <c r="D766" s="103">
        <v>10</v>
      </c>
      <c r="E766" s="101">
        <v>7.75</v>
      </c>
      <c r="F766" s="101">
        <f t="shared" si="112"/>
        <v>77.5</v>
      </c>
      <c r="G766" s="928">
        <f t="shared" si="113"/>
        <v>14048.604762921826</v>
      </c>
      <c r="H766" s="104">
        <f t="shared" si="114"/>
        <v>140486.04762921826</v>
      </c>
      <c r="I766" s="71">
        <v>1450</v>
      </c>
      <c r="J766" s="928">
        <v>100000</v>
      </c>
      <c r="K766" s="101">
        <v>809.45</v>
      </c>
      <c r="N766" s="82"/>
    </row>
    <row r="767" spans="1:14" s="71" customFormat="1" ht="30" customHeight="1" x14ac:dyDescent="0.25">
      <c r="A767" s="82"/>
      <c r="B767" s="103">
        <v>333</v>
      </c>
      <c r="C767" s="82" t="s">
        <v>3800</v>
      </c>
      <c r="D767" s="103">
        <v>10</v>
      </c>
      <c r="E767" s="101">
        <v>10.75</v>
      </c>
      <c r="F767" s="101">
        <f t="shared" si="112"/>
        <v>107.5</v>
      </c>
      <c r="G767" s="928">
        <f t="shared" si="113"/>
        <v>19486.774348568986</v>
      </c>
      <c r="H767" s="104">
        <f t="shared" si="114"/>
        <v>194867.74348568986</v>
      </c>
      <c r="I767" s="71">
        <v>1450</v>
      </c>
      <c r="J767" s="928">
        <v>100000</v>
      </c>
      <c r="K767" s="101">
        <v>809.45</v>
      </c>
      <c r="N767" s="82"/>
    </row>
    <row r="768" spans="1:14" s="71" customFormat="1" ht="30" customHeight="1" x14ac:dyDescent="0.25">
      <c r="A768" s="1221">
        <v>45300</v>
      </c>
      <c r="B768" s="103">
        <v>334</v>
      </c>
      <c r="C768" s="82" t="s">
        <v>2415</v>
      </c>
      <c r="D768" s="103">
        <v>3</v>
      </c>
      <c r="E768" s="1130">
        <v>102</v>
      </c>
      <c r="F768" s="99">
        <f t="shared" si="112"/>
        <v>306</v>
      </c>
      <c r="G768" s="928">
        <f t="shared" si="113"/>
        <v>239406.59760956175</v>
      </c>
      <c r="H768" s="104">
        <f t="shared" ref="H768:H769" si="115">(G768*D768)</f>
        <v>718219.79282868525</v>
      </c>
      <c r="I768" s="71">
        <v>1600</v>
      </c>
      <c r="J768" s="928">
        <f>E768*0.08*I768</f>
        <v>13056</v>
      </c>
      <c r="K768" s="99">
        <v>226.25</v>
      </c>
      <c r="N768" s="82"/>
    </row>
    <row r="769" spans="1:14" s="71" customFormat="1" ht="30" customHeight="1" x14ac:dyDescent="0.25">
      <c r="A769" s="82"/>
      <c r="B769" s="103">
        <v>334</v>
      </c>
      <c r="C769" s="82" t="s">
        <v>2416</v>
      </c>
      <c r="D769" s="103">
        <v>2</v>
      </c>
      <c r="E769" s="1130">
        <v>98</v>
      </c>
      <c r="F769" s="99">
        <f t="shared" si="112"/>
        <v>196</v>
      </c>
      <c r="G769" s="928">
        <f t="shared" si="113"/>
        <v>229918.15139442228</v>
      </c>
      <c r="H769" s="104">
        <f t="shared" si="115"/>
        <v>459836.30278884456</v>
      </c>
      <c r="I769" s="71">
        <v>1600</v>
      </c>
      <c r="J769" s="928">
        <f>E769*0.08*I769</f>
        <v>12544</v>
      </c>
      <c r="K769" s="99">
        <v>226.25</v>
      </c>
      <c r="N769" s="82"/>
    </row>
    <row r="770" spans="1:14" s="71" customFormat="1" ht="30" customHeight="1" x14ac:dyDescent="0.25">
      <c r="A770" s="82"/>
      <c r="B770" s="103">
        <v>335</v>
      </c>
      <c r="C770" s="82" t="s">
        <v>4113</v>
      </c>
      <c r="D770" s="103">
        <v>4</v>
      </c>
      <c r="E770" s="99">
        <v>29.95</v>
      </c>
      <c r="F770" s="99">
        <f t="shared" si="112"/>
        <v>119.8</v>
      </c>
      <c r="G770" s="928">
        <f t="shared" si="113"/>
        <v>51903.643499157355</v>
      </c>
      <c r="H770" s="104">
        <f t="shared" ref="H770:H779" si="116">(G770*D770)</f>
        <v>207614.57399662942</v>
      </c>
      <c r="I770" s="71">
        <v>1500</v>
      </c>
      <c r="J770" s="928"/>
      <c r="K770" s="99">
        <v>248.87</v>
      </c>
      <c r="N770" s="82"/>
    </row>
    <row r="771" spans="1:14" s="71" customFormat="1" ht="30" customHeight="1" x14ac:dyDescent="0.25">
      <c r="A771" s="82"/>
      <c r="B771" s="71">
        <v>335</v>
      </c>
      <c r="C771" s="82" t="s">
        <v>4113</v>
      </c>
      <c r="D771" s="103">
        <v>4</v>
      </c>
      <c r="E771" s="99">
        <v>109.95</v>
      </c>
      <c r="F771" s="99">
        <f t="shared" si="112"/>
        <v>439.8</v>
      </c>
      <c r="G771" s="928">
        <f t="shared" si="113"/>
        <v>190544.42747019537</v>
      </c>
      <c r="H771" s="104">
        <f t="shared" si="116"/>
        <v>762177.70988078148</v>
      </c>
      <c r="I771" s="71">
        <v>1500</v>
      </c>
      <c r="J771" s="928"/>
      <c r="K771" s="99">
        <v>248.87</v>
      </c>
      <c r="N771" s="82"/>
    </row>
    <row r="772" spans="1:14" s="71" customFormat="1" ht="30" customHeight="1" x14ac:dyDescent="0.25">
      <c r="A772" s="82"/>
      <c r="B772" s="103">
        <v>335</v>
      </c>
      <c r="C772" s="82" t="s">
        <v>1542</v>
      </c>
      <c r="D772" s="103">
        <v>100</v>
      </c>
      <c r="E772" s="99">
        <v>6.95</v>
      </c>
      <c r="F772" s="99">
        <f t="shared" si="112"/>
        <v>695</v>
      </c>
      <c r="G772" s="928">
        <f t="shared" si="113"/>
        <v>12044.418107483927</v>
      </c>
      <c r="H772" s="104">
        <f t="shared" si="116"/>
        <v>1204441.8107483927</v>
      </c>
      <c r="I772" s="71">
        <v>1500</v>
      </c>
      <c r="J772" s="928"/>
      <c r="K772" s="99">
        <v>248.87</v>
      </c>
      <c r="N772" s="82"/>
    </row>
    <row r="773" spans="1:14" s="71" customFormat="1" ht="30" customHeight="1" x14ac:dyDescent="0.25">
      <c r="A773" s="82"/>
      <c r="B773" s="103">
        <v>335</v>
      </c>
      <c r="C773" s="82" t="s">
        <v>1542</v>
      </c>
      <c r="D773" s="103">
        <v>50</v>
      </c>
      <c r="E773" s="99">
        <v>6.95</v>
      </c>
      <c r="F773" s="99">
        <f t="shared" si="112"/>
        <v>347.5</v>
      </c>
      <c r="G773" s="928">
        <f t="shared" si="113"/>
        <v>12044.418107483927</v>
      </c>
      <c r="H773" s="104">
        <f t="shared" si="116"/>
        <v>602220.90537419636</v>
      </c>
      <c r="I773" s="71">
        <v>1500</v>
      </c>
      <c r="J773" s="928"/>
      <c r="K773" s="99">
        <v>248.87</v>
      </c>
      <c r="N773" s="82"/>
    </row>
    <row r="774" spans="1:14" s="71" customFormat="1" ht="30" customHeight="1" x14ac:dyDescent="0.25">
      <c r="A774" s="1221">
        <v>45506</v>
      </c>
      <c r="B774" s="103">
        <v>336</v>
      </c>
      <c r="C774" s="82" t="s">
        <v>4187</v>
      </c>
      <c r="D774" s="103">
        <v>10</v>
      </c>
      <c r="E774" s="101">
        <v>269.904</v>
      </c>
      <c r="F774" s="101">
        <f t="shared" si="112"/>
        <v>2699.04</v>
      </c>
      <c r="G774" s="104">
        <f t="shared" si="113"/>
        <v>482856</v>
      </c>
      <c r="H774" s="104">
        <f t="shared" si="116"/>
        <v>4828560</v>
      </c>
      <c r="I774" s="71">
        <v>1500</v>
      </c>
      <c r="J774" s="928"/>
      <c r="K774" s="101">
        <v>520</v>
      </c>
      <c r="L774" s="71" t="s">
        <v>2421</v>
      </c>
      <c r="N774" s="82" t="s">
        <v>4188</v>
      </c>
    </row>
    <row r="775" spans="1:14" s="71" customFormat="1" ht="30" customHeight="1" x14ac:dyDescent="0.25">
      <c r="A775" s="82"/>
      <c r="B775" s="103">
        <v>337</v>
      </c>
      <c r="C775" s="82" t="s">
        <v>4321</v>
      </c>
      <c r="D775" s="103">
        <v>10</v>
      </c>
      <c r="E775" s="99">
        <v>450</v>
      </c>
      <c r="F775" s="101">
        <f t="shared" ref="F775:F784" si="117">E775*D775</f>
        <v>4500</v>
      </c>
      <c r="G775" s="928">
        <f t="shared" si="113"/>
        <v>658811.75861649006</v>
      </c>
      <c r="H775" s="104">
        <f t="shared" si="116"/>
        <v>6588117.586164901</v>
      </c>
      <c r="I775" s="71">
        <v>1433</v>
      </c>
      <c r="J775" s="928"/>
      <c r="K775" s="99">
        <v>640</v>
      </c>
      <c r="L775" s="71" t="s">
        <v>2590</v>
      </c>
      <c r="N775" s="82"/>
    </row>
    <row r="776" spans="1:14" s="71" customFormat="1" ht="30" customHeight="1" x14ac:dyDescent="0.25">
      <c r="A776" s="82"/>
      <c r="B776" s="103">
        <v>337</v>
      </c>
      <c r="C776" s="82" t="s">
        <v>4318</v>
      </c>
      <c r="D776" s="103">
        <v>10</v>
      </c>
      <c r="E776" s="99">
        <v>461.7</v>
      </c>
      <c r="F776" s="101">
        <f t="shared" si="117"/>
        <v>4617</v>
      </c>
      <c r="G776" s="928">
        <f t="shared" si="113"/>
        <v>675940.86434051883</v>
      </c>
      <c r="H776" s="104">
        <f t="shared" si="116"/>
        <v>6759408.6434051879</v>
      </c>
      <c r="I776" s="71">
        <v>1433</v>
      </c>
      <c r="J776" s="928"/>
      <c r="K776" s="99">
        <v>640</v>
      </c>
      <c r="N776" s="82"/>
    </row>
    <row r="777" spans="1:14" s="71" customFormat="1" ht="30" customHeight="1" x14ac:dyDescent="0.25">
      <c r="A777" s="82"/>
      <c r="B777" s="103">
        <v>337</v>
      </c>
      <c r="C777" s="82" t="s">
        <v>4319</v>
      </c>
      <c r="D777" s="103">
        <v>30</v>
      </c>
      <c r="E777" s="99">
        <v>483.9</v>
      </c>
      <c r="F777" s="101">
        <f t="shared" si="117"/>
        <v>14517</v>
      </c>
      <c r="G777" s="928">
        <f t="shared" si="113"/>
        <v>708442.24443226564</v>
      </c>
      <c r="H777" s="104">
        <f t="shared" si="116"/>
        <v>21253267.332967971</v>
      </c>
      <c r="I777" s="71">
        <v>1433</v>
      </c>
      <c r="J777" s="928"/>
      <c r="K777" s="99">
        <v>640</v>
      </c>
      <c r="N777" s="82"/>
    </row>
    <row r="778" spans="1:14" s="71" customFormat="1" ht="30" customHeight="1" x14ac:dyDescent="0.25">
      <c r="A778" s="1221"/>
      <c r="B778" s="103">
        <v>337</v>
      </c>
      <c r="C778" s="82" t="s">
        <v>4322</v>
      </c>
      <c r="D778" s="103">
        <v>10</v>
      </c>
      <c r="E778" s="99">
        <v>495</v>
      </c>
      <c r="F778" s="99">
        <f t="shared" si="117"/>
        <v>4950</v>
      </c>
      <c r="G778" s="928">
        <f t="shared" si="113"/>
        <v>724692.93447813904</v>
      </c>
      <c r="H778" s="104">
        <f t="shared" si="116"/>
        <v>7246929.3447813904</v>
      </c>
      <c r="I778" s="71">
        <v>1433</v>
      </c>
      <c r="J778" s="928"/>
      <c r="K778" s="99">
        <v>640</v>
      </c>
      <c r="L778" s="71" t="s">
        <v>4323</v>
      </c>
      <c r="N778" s="82" t="s">
        <v>4324</v>
      </c>
    </row>
    <row r="779" spans="1:14" s="71" customFormat="1" ht="30" customHeight="1" x14ac:dyDescent="0.25">
      <c r="A779" s="82"/>
      <c r="B779" s="103">
        <v>337</v>
      </c>
      <c r="C779" s="82" t="s">
        <v>4320</v>
      </c>
      <c r="D779" s="103">
        <v>2</v>
      </c>
      <c r="E779" s="99">
        <v>487.8</v>
      </c>
      <c r="F779" s="99">
        <f t="shared" si="117"/>
        <v>975.6</v>
      </c>
      <c r="G779" s="928">
        <f t="shared" si="113"/>
        <v>714151.94634027523</v>
      </c>
      <c r="H779" s="104">
        <f t="shared" si="116"/>
        <v>1428303.8926805505</v>
      </c>
      <c r="I779" s="71">
        <v>1433</v>
      </c>
      <c r="J779" s="928"/>
      <c r="K779" s="99">
        <v>640</v>
      </c>
      <c r="L779" s="71" t="s">
        <v>4323</v>
      </c>
      <c r="N779" s="82" t="s">
        <v>4325</v>
      </c>
    </row>
    <row r="780" spans="1:14" s="71" customFormat="1" ht="30" customHeight="1" x14ac:dyDescent="0.25">
      <c r="A780" s="1221">
        <v>45713</v>
      </c>
      <c r="B780" s="103">
        <v>338</v>
      </c>
      <c r="C780" s="82" t="s">
        <v>3055</v>
      </c>
      <c r="D780" s="103">
        <v>20</v>
      </c>
      <c r="E780" s="101">
        <v>232.8</v>
      </c>
      <c r="F780" s="99">
        <f t="shared" si="117"/>
        <v>4656</v>
      </c>
      <c r="G780" s="928">
        <f t="shared" si="113"/>
        <v>433036.80000000005</v>
      </c>
      <c r="H780" s="104">
        <f t="shared" ref="H780:H789" si="118">(G780*D780)</f>
        <v>8660736</v>
      </c>
      <c r="I780" s="71">
        <v>1611</v>
      </c>
      <c r="J780" s="928"/>
      <c r="K780" s="101">
        <v>720</v>
      </c>
      <c r="N780" s="82" t="s">
        <v>4340</v>
      </c>
    </row>
    <row r="781" spans="1:14" s="71" customFormat="1" ht="30" customHeight="1" x14ac:dyDescent="0.25">
      <c r="A781" s="1221">
        <v>45677</v>
      </c>
      <c r="B781" s="71">
        <v>339</v>
      </c>
      <c r="C781" s="82" t="s">
        <v>4341</v>
      </c>
      <c r="D781" s="103">
        <v>10</v>
      </c>
      <c r="E781" s="99">
        <v>233.6</v>
      </c>
      <c r="F781" s="99">
        <f t="shared" si="117"/>
        <v>2336</v>
      </c>
      <c r="G781" s="928">
        <f t="shared" si="113"/>
        <v>460101.6</v>
      </c>
      <c r="H781" s="104">
        <f t="shared" si="118"/>
        <v>4601016</v>
      </c>
      <c r="I781" s="71">
        <v>1611</v>
      </c>
      <c r="J781" s="928"/>
      <c r="K781" s="99">
        <v>520</v>
      </c>
      <c r="N781" s="82"/>
    </row>
    <row r="782" spans="1:14" s="71" customFormat="1" ht="30" customHeight="1" x14ac:dyDescent="0.25">
      <c r="A782" s="1221">
        <v>45821</v>
      </c>
      <c r="B782" s="103">
        <v>340</v>
      </c>
      <c r="C782" s="82" t="s">
        <v>4375</v>
      </c>
      <c r="D782" s="103">
        <v>20</v>
      </c>
      <c r="E782" s="99">
        <f>305*0.9</f>
        <v>274.5</v>
      </c>
      <c r="F782" s="99">
        <f t="shared" si="117"/>
        <v>5490</v>
      </c>
      <c r="G782" s="928">
        <f t="shared" si="113"/>
        <v>409460.84742089297</v>
      </c>
      <c r="H782" s="104">
        <f t="shared" si="118"/>
        <v>8189216.9484178592</v>
      </c>
      <c r="I782" s="71">
        <v>1450</v>
      </c>
      <c r="J782" s="928">
        <v>210000</v>
      </c>
      <c r="K782" s="99">
        <v>750</v>
      </c>
      <c r="N782" s="82" t="s">
        <v>4381</v>
      </c>
    </row>
    <row r="783" spans="1:14" s="71" customFormat="1" ht="30" customHeight="1" x14ac:dyDescent="0.25">
      <c r="A783" s="82"/>
      <c r="B783" s="103">
        <v>340</v>
      </c>
      <c r="C783" s="82" t="s">
        <v>4376</v>
      </c>
      <c r="D783" s="103">
        <v>20</v>
      </c>
      <c r="E783" s="99">
        <f>325*0.9</f>
        <v>292.5</v>
      </c>
      <c r="F783" s="99">
        <f t="shared" si="117"/>
        <v>5850</v>
      </c>
      <c r="G783" s="928">
        <f t="shared" si="113"/>
        <v>436310.7390550499</v>
      </c>
      <c r="H783" s="104">
        <f t="shared" si="118"/>
        <v>8726214.7811009977</v>
      </c>
      <c r="I783" s="71">
        <v>1450</v>
      </c>
      <c r="J783" s="928">
        <v>210000</v>
      </c>
      <c r="K783" s="99">
        <v>750</v>
      </c>
      <c r="N783" s="82" t="s">
        <v>4381</v>
      </c>
    </row>
    <row r="784" spans="1:14" s="71" customFormat="1" ht="30" customHeight="1" x14ac:dyDescent="0.25">
      <c r="A784" s="1221"/>
      <c r="B784" s="103">
        <v>340</v>
      </c>
      <c r="C784" s="82" t="s">
        <v>4377</v>
      </c>
      <c r="D784" s="103">
        <v>20</v>
      </c>
      <c r="E784" s="101">
        <f>566*0.9</f>
        <v>509.40000000000003</v>
      </c>
      <c r="F784" s="101">
        <f t="shared" si="117"/>
        <v>10188</v>
      </c>
      <c r="G784" s="104">
        <f t="shared" si="113"/>
        <v>759851.9332466406</v>
      </c>
      <c r="H784" s="104">
        <f t="shared" si="118"/>
        <v>15197038.664932812</v>
      </c>
      <c r="I784" s="71">
        <v>1450</v>
      </c>
      <c r="J784" s="928">
        <v>210000</v>
      </c>
      <c r="K784" s="99">
        <v>750</v>
      </c>
      <c r="N784" s="82" t="s">
        <v>4383</v>
      </c>
    </row>
    <row r="785" spans="1:14" s="71" customFormat="1" ht="30" customHeight="1" x14ac:dyDescent="0.25">
      <c r="A785" s="82"/>
      <c r="B785" s="103">
        <v>340</v>
      </c>
      <c r="C785" s="82" t="s">
        <v>4378</v>
      </c>
      <c r="D785" s="103">
        <v>5</v>
      </c>
      <c r="E785" s="101">
        <f>640*0.9</f>
        <v>576</v>
      </c>
      <c r="F785" s="101">
        <f t="shared" ref="F785:F804" si="119">E785*D785</f>
        <v>2880</v>
      </c>
      <c r="G785" s="928">
        <f t="shared" si="113"/>
        <v>859196.53229302133</v>
      </c>
      <c r="H785" s="104">
        <f t="shared" si="118"/>
        <v>4295982.6614651065</v>
      </c>
      <c r="I785" s="71">
        <v>1450</v>
      </c>
      <c r="J785" s="928">
        <v>210000</v>
      </c>
      <c r="K785" s="99">
        <v>750</v>
      </c>
      <c r="N785" s="82" t="s">
        <v>4382</v>
      </c>
    </row>
    <row r="786" spans="1:14" s="71" customFormat="1" ht="30" customHeight="1" x14ac:dyDescent="0.25">
      <c r="A786" s="82"/>
      <c r="B786" s="103">
        <v>340</v>
      </c>
      <c r="C786" s="82" t="s">
        <v>4379</v>
      </c>
      <c r="D786" s="103">
        <v>10</v>
      </c>
      <c r="E786" s="101">
        <f>499*0.9</f>
        <v>449.1</v>
      </c>
      <c r="F786" s="101">
        <f t="shared" si="119"/>
        <v>4491</v>
      </c>
      <c r="G786" s="928">
        <f t="shared" si="113"/>
        <v>669904.79627221508</v>
      </c>
      <c r="H786" s="104">
        <f t="shared" si="118"/>
        <v>6699047.9627221506</v>
      </c>
      <c r="I786" s="71">
        <v>1450</v>
      </c>
      <c r="J786" s="928">
        <v>210000</v>
      </c>
      <c r="K786" s="99">
        <v>750</v>
      </c>
      <c r="N786" s="82" t="s">
        <v>2421</v>
      </c>
    </row>
    <row r="787" spans="1:14" s="71" customFormat="1" ht="30" customHeight="1" x14ac:dyDescent="0.25">
      <c r="A787" s="82"/>
      <c r="B787" s="103">
        <v>340</v>
      </c>
      <c r="C787" s="82" t="s">
        <v>4380</v>
      </c>
      <c r="D787" s="103">
        <v>5</v>
      </c>
      <c r="E787" s="101">
        <f>499*0.9</f>
        <v>449.1</v>
      </c>
      <c r="F787" s="101">
        <f t="shared" si="119"/>
        <v>2245.5</v>
      </c>
      <c r="G787" s="928">
        <f t="shared" si="113"/>
        <v>669904.79627221508</v>
      </c>
      <c r="H787" s="104">
        <f t="shared" si="118"/>
        <v>3349523.9813610753</v>
      </c>
      <c r="I787" s="71">
        <v>1450</v>
      </c>
      <c r="J787" s="928">
        <v>210000</v>
      </c>
      <c r="K787" s="99">
        <v>750</v>
      </c>
      <c r="N787" s="82" t="s">
        <v>2421</v>
      </c>
    </row>
    <row r="788" spans="1:14" s="71" customFormat="1" ht="30" customHeight="1" x14ac:dyDescent="0.25">
      <c r="A788" s="1221">
        <v>45860</v>
      </c>
      <c r="B788" s="103">
        <v>341</v>
      </c>
      <c r="C788" s="1027" t="s">
        <v>4404</v>
      </c>
      <c r="D788" s="103">
        <v>40</v>
      </c>
      <c r="E788" s="99">
        <v>1.65</v>
      </c>
      <c r="F788" s="99">
        <f t="shared" si="119"/>
        <v>66</v>
      </c>
      <c r="G788" s="928">
        <f t="shared" si="113"/>
        <v>7020.897982062781</v>
      </c>
      <c r="H788" s="104">
        <f t="shared" si="118"/>
        <v>280835.91928251123</v>
      </c>
      <c r="I788" s="71">
        <v>1470</v>
      </c>
      <c r="J788" s="928"/>
      <c r="K788" s="99">
        <v>845</v>
      </c>
      <c r="N788" s="82"/>
    </row>
    <row r="789" spans="1:14" s="71" customFormat="1" ht="30" customHeight="1" x14ac:dyDescent="0.25">
      <c r="A789" s="82" t="s">
        <v>4414</v>
      </c>
      <c r="B789" s="103">
        <v>341</v>
      </c>
      <c r="C789" s="1027" t="s">
        <v>4405</v>
      </c>
      <c r="D789" s="103">
        <v>200</v>
      </c>
      <c r="E789" s="99">
        <v>1.7</v>
      </c>
      <c r="F789" s="99">
        <f t="shared" si="119"/>
        <v>340</v>
      </c>
      <c r="G789" s="928">
        <f t="shared" si="113"/>
        <v>7233.6524663677128</v>
      </c>
      <c r="H789" s="104">
        <f t="shared" si="118"/>
        <v>1446730.4932735425</v>
      </c>
      <c r="I789" s="71">
        <v>1470</v>
      </c>
      <c r="J789" s="928"/>
      <c r="K789" s="99">
        <v>845</v>
      </c>
      <c r="N789" s="1226">
        <f>H789/10</f>
        <v>144673.04932735424</v>
      </c>
    </row>
    <row r="790" spans="1:14" s="71" customFormat="1" ht="30" customHeight="1" x14ac:dyDescent="0.25">
      <c r="A790" s="82"/>
      <c r="B790" s="103">
        <v>341</v>
      </c>
      <c r="C790" s="1027" t="s">
        <v>4406</v>
      </c>
      <c r="D790" s="103">
        <v>40</v>
      </c>
      <c r="E790" s="99">
        <v>1</v>
      </c>
      <c r="F790" s="99">
        <f t="shared" si="119"/>
        <v>40</v>
      </c>
      <c r="G790" s="928">
        <f t="shared" si="113"/>
        <v>4255.0896860986541</v>
      </c>
      <c r="H790" s="104">
        <f t="shared" ref="H790:H804" si="120">(G790*D790)</f>
        <v>170203.58744394616</v>
      </c>
      <c r="I790" s="71">
        <v>1470</v>
      </c>
      <c r="J790" s="928"/>
      <c r="K790" s="99">
        <v>845</v>
      </c>
      <c r="N790" s="82"/>
    </row>
    <row r="791" spans="1:14" s="71" customFormat="1" ht="30" customHeight="1" x14ac:dyDescent="0.25">
      <c r="A791" s="82"/>
      <c r="B791" s="71">
        <v>342</v>
      </c>
      <c r="C791" s="1027" t="s">
        <v>4404</v>
      </c>
      <c r="D791" s="103">
        <v>960</v>
      </c>
      <c r="E791" s="99">
        <v>1.65</v>
      </c>
      <c r="F791" s="99">
        <f t="shared" si="119"/>
        <v>1584</v>
      </c>
      <c r="G791" s="928">
        <f t="shared" si="113"/>
        <v>3068.2477525684931</v>
      </c>
      <c r="H791" s="104">
        <f t="shared" si="120"/>
        <v>2945517.8424657532</v>
      </c>
      <c r="I791" s="71">
        <v>1470</v>
      </c>
      <c r="J791" s="928">
        <v>3390000</v>
      </c>
      <c r="K791" s="99">
        <v>170</v>
      </c>
      <c r="N791" s="1226">
        <f>H791/46</f>
        <v>64032.996575342462</v>
      </c>
    </row>
    <row r="792" spans="1:14" s="71" customFormat="1" ht="30" customHeight="1" x14ac:dyDescent="0.25">
      <c r="A792" s="82"/>
      <c r="B792" s="103">
        <v>342</v>
      </c>
      <c r="C792" s="1027" t="s">
        <v>4405</v>
      </c>
      <c r="D792" s="103">
        <v>4000</v>
      </c>
      <c r="E792" s="99">
        <v>1.7</v>
      </c>
      <c r="F792" s="99">
        <f t="shared" si="119"/>
        <v>6800</v>
      </c>
      <c r="G792" s="928">
        <f t="shared" si="113"/>
        <v>3161.2249571917805</v>
      </c>
      <c r="H792" s="104">
        <f t="shared" si="120"/>
        <v>12644899.828767123</v>
      </c>
      <c r="I792" s="71">
        <v>1470</v>
      </c>
      <c r="J792" s="928">
        <v>3390000</v>
      </c>
      <c r="K792" s="99">
        <v>170</v>
      </c>
      <c r="N792" s="1226">
        <f>H792/200</f>
        <v>63224.499143835616</v>
      </c>
    </row>
    <row r="793" spans="1:14" s="71" customFormat="1" ht="30" customHeight="1" x14ac:dyDescent="0.25">
      <c r="A793" s="82"/>
      <c r="B793" s="103">
        <v>342</v>
      </c>
      <c r="C793" s="1027" t="s">
        <v>4406</v>
      </c>
      <c r="D793" s="103">
        <v>960</v>
      </c>
      <c r="E793" s="99">
        <v>1</v>
      </c>
      <c r="F793" s="99">
        <f t="shared" si="119"/>
        <v>960</v>
      </c>
      <c r="G793" s="928">
        <f t="shared" si="113"/>
        <v>1859.5440924657535</v>
      </c>
      <c r="H793" s="104">
        <f t="shared" si="120"/>
        <v>1785162.3287671234</v>
      </c>
      <c r="I793" s="71">
        <v>1470</v>
      </c>
      <c r="J793" s="928">
        <v>3390000</v>
      </c>
      <c r="K793" s="99">
        <v>170</v>
      </c>
      <c r="N793" s="1226">
        <f>H793/48</f>
        <v>37190.881849315068</v>
      </c>
    </row>
    <row r="794" spans="1:14" s="71" customFormat="1" ht="30" customHeight="1" x14ac:dyDescent="0.25">
      <c r="A794" s="1221">
        <v>45868</v>
      </c>
      <c r="B794" s="103">
        <v>343</v>
      </c>
      <c r="C794" s="82" t="s">
        <v>4443</v>
      </c>
      <c r="D794" s="103">
        <v>6</v>
      </c>
      <c r="E794" s="101">
        <v>16</v>
      </c>
      <c r="F794" s="101">
        <f t="shared" si="119"/>
        <v>96</v>
      </c>
      <c r="G794" s="104">
        <f t="shared" si="113"/>
        <v>34699.401197604791</v>
      </c>
      <c r="H794" s="104">
        <f t="shared" si="120"/>
        <v>208196.40718562875</v>
      </c>
      <c r="I794" s="71">
        <v>1650</v>
      </c>
      <c r="J794" s="928"/>
      <c r="K794" s="101">
        <v>315</v>
      </c>
      <c r="N794" s="82"/>
    </row>
    <row r="795" spans="1:14" s="71" customFormat="1" ht="30" customHeight="1" x14ac:dyDescent="0.25">
      <c r="A795" s="82" t="s">
        <v>266</v>
      </c>
      <c r="B795" s="103">
        <v>343</v>
      </c>
      <c r="C795" s="82" t="s">
        <v>4444</v>
      </c>
      <c r="D795" s="103">
        <v>6</v>
      </c>
      <c r="E795" s="101">
        <v>25</v>
      </c>
      <c r="F795" s="101">
        <f t="shared" si="119"/>
        <v>150</v>
      </c>
      <c r="G795" s="928">
        <f t="shared" si="113"/>
        <v>54217.814371257482</v>
      </c>
      <c r="H795" s="104">
        <f t="shared" si="120"/>
        <v>325306.88622754486</v>
      </c>
      <c r="I795" s="71">
        <v>1650</v>
      </c>
      <c r="J795" s="928"/>
      <c r="K795" s="101">
        <v>315</v>
      </c>
      <c r="N795" s="82"/>
    </row>
    <row r="796" spans="1:14" s="71" customFormat="1" ht="30" customHeight="1" x14ac:dyDescent="0.25">
      <c r="A796" s="82"/>
      <c r="B796" s="103">
        <v>343</v>
      </c>
      <c r="C796" s="71" t="s">
        <v>4445</v>
      </c>
      <c r="D796" s="103">
        <v>90</v>
      </c>
      <c r="E796" s="101">
        <v>8.4</v>
      </c>
      <c r="F796" s="101">
        <f t="shared" si="119"/>
        <v>756</v>
      </c>
      <c r="G796" s="928">
        <f t="shared" si="113"/>
        <v>18217.185628742514</v>
      </c>
      <c r="H796" s="104">
        <f t="shared" si="120"/>
        <v>1639546.7065868264</v>
      </c>
      <c r="I796" s="71">
        <v>1650</v>
      </c>
      <c r="J796" s="928"/>
      <c r="K796" s="101">
        <v>315</v>
      </c>
      <c r="N796" s="82"/>
    </row>
    <row r="797" spans="1:14" s="71" customFormat="1" ht="30" customHeight="1" x14ac:dyDescent="0.25">
      <c r="A797" s="1221">
        <v>45882</v>
      </c>
      <c r="B797" s="103">
        <v>344</v>
      </c>
      <c r="C797" s="1027" t="s">
        <v>4446</v>
      </c>
      <c r="D797" s="103">
        <v>1</v>
      </c>
      <c r="E797" s="101">
        <v>261.25</v>
      </c>
      <c r="F797" s="101">
        <f t="shared" si="119"/>
        <v>261.25</v>
      </c>
      <c r="G797" s="928">
        <f t="shared" si="113"/>
        <v>628345.10869565222</v>
      </c>
      <c r="H797" s="104">
        <f t="shared" si="120"/>
        <v>628345.10869565222</v>
      </c>
      <c r="I797" s="71">
        <v>1650</v>
      </c>
      <c r="J797" s="928"/>
      <c r="K797" s="101">
        <v>250</v>
      </c>
      <c r="N797" s="82"/>
    </row>
    <row r="798" spans="1:14" s="71" customFormat="1" ht="30" customHeight="1" x14ac:dyDescent="0.25">
      <c r="A798" s="1221" t="s">
        <v>266</v>
      </c>
      <c r="B798" s="103">
        <v>344</v>
      </c>
      <c r="C798" s="82" t="s">
        <v>4447</v>
      </c>
      <c r="D798" s="103">
        <v>4</v>
      </c>
      <c r="E798" s="101">
        <v>71.25</v>
      </c>
      <c r="F798" s="99">
        <f t="shared" si="119"/>
        <v>285</v>
      </c>
      <c r="G798" s="928">
        <f t="shared" si="113"/>
        <v>171366.84782608695</v>
      </c>
      <c r="H798" s="104">
        <f t="shared" si="120"/>
        <v>685467.39130434778</v>
      </c>
      <c r="I798" s="71">
        <v>1650</v>
      </c>
      <c r="J798" s="928"/>
      <c r="K798" s="99">
        <v>250</v>
      </c>
      <c r="N798" s="82"/>
    </row>
    <row r="799" spans="1:14" s="71" customFormat="1" ht="30" customHeight="1" x14ac:dyDescent="0.25">
      <c r="A799" s="82"/>
      <c r="B799" s="103">
        <v>345</v>
      </c>
      <c r="C799" s="82" t="s">
        <v>4448</v>
      </c>
      <c r="D799" s="103">
        <v>8</v>
      </c>
      <c r="E799" s="101">
        <v>167.2</v>
      </c>
      <c r="F799" s="99">
        <f t="shared" si="119"/>
        <v>1337.6</v>
      </c>
      <c r="G799" s="928">
        <f t="shared" si="113"/>
        <v>312386.25</v>
      </c>
      <c r="H799" s="104">
        <f t="shared" si="120"/>
        <v>2499090</v>
      </c>
      <c r="I799" s="71">
        <v>1650</v>
      </c>
      <c r="J799" s="928"/>
      <c r="K799" s="99">
        <v>177</v>
      </c>
      <c r="N799" s="82"/>
    </row>
    <row r="800" spans="1:14" s="71" customFormat="1" ht="30" customHeight="1" x14ac:dyDescent="0.25">
      <c r="A800" s="82"/>
      <c r="B800" s="103">
        <v>346</v>
      </c>
      <c r="C800" s="82" t="s">
        <v>4449</v>
      </c>
      <c r="D800" s="103">
        <v>2</v>
      </c>
      <c r="E800" s="99">
        <v>236.55</v>
      </c>
      <c r="F800" s="99">
        <f t="shared" si="119"/>
        <v>473.1</v>
      </c>
      <c r="G800" s="928">
        <f t="shared" si="113"/>
        <v>477757.5</v>
      </c>
      <c r="H800" s="104">
        <f t="shared" si="120"/>
        <v>955515</v>
      </c>
      <c r="I800" s="71">
        <v>1650</v>
      </c>
      <c r="J800" s="928"/>
      <c r="K800" s="99">
        <v>106</v>
      </c>
      <c r="N800" s="82"/>
    </row>
    <row r="801" spans="1:14" s="71" customFormat="1" ht="30" customHeight="1" x14ac:dyDescent="0.25">
      <c r="A801" s="82"/>
      <c r="C801" s="82"/>
      <c r="D801" s="103"/>
      <c r="E801" s="99"/>
      <c r="F801" s="99">
        <f t="shared" si="119"/>
        <v>0</v>
      </c>
      <c r="G801" s="928" t="e">
        <f t="shared" si="113"/>
        <v>#DIV/0!</v>
      </c>
      <c r="H801" s="104" t="e">
        <f t="shared" si="120"/>
        <v>#DIV/0!</v>
      </c>
      <c r="J801" s="928"/>
      <c r="K801" s="99"/>
      <c r="N801" s="82"/>
    </row>
    <row r="802" spans="1:14" s="71" customFormat="1" ht="30" customHeight="1" x14ac:dyDescent="0.25">
      <c r="A802" s="82"/>
      <c r="B802" s="103"/>
      <c r="C802" s="82"/>
      <c r="D802" s="103"/>
      <c r="E802" s="99"/>
      <c r="F802" s="99">
        <f t="shared" si="119"/>
        <v>0</v>
      </c>
      <c r="G802" s="928" t="e">
        <f t="shared" si="113"/>
        <v>#DIV/0!</v>
      </c>
      <c r="H802" s="104" t="e">
        <f t="shared" si="120"/>
        <v>#DIV/0!</v>
      </c>
      <c r="J802" s="928"/>
      <c r="K802" s="99"/>
      <c r="N802" s="82"/>
    </row>
    <row r="803" spans="1:14" s="71" customFormat="1" ht="30" customHeight="1" x14ac:dyDescent="0.25">
      <c r="A803" s="82"/>
      <c r="B803" s="103"/>
      <c r="C803" s="82"/>
      <c r="D803" s="103"/>
      <c r="E803" s="99"/>
      <c r="F803" s="99">
        <f t="shared" si="119"/>
        <v>0</v>
      </c>
      <c r="G803" s="928" t="e">
        <f t="shared" si="113"/>
        <v>#DIV/0!</v>
      </c>
      <c r="H803" s="104" t="e">
        <f t="shared" si="120"/>
        <v>#DIV/0!</v>
      </c>
      <c r="J803" s="928"/>
      <c r="K803" s="99"/>
      <c r="N803" s="82"/>
    </row>
    <row r="804" spans="1:14" s="71" customFormat="1" ht="30" customHeight="1" x14ac:dyDescent="0.25">
      <c r="A804" s="1221"/>
      <c r="B804" s="103"/>
      <c r="C804" s="82"/>
      <c r="D804" s="103"/>
      <c r="E804" s="101"/>
      <c r="F804" s="101">
        <f t="shared" si="119"/>
        <v>0</v>
      </c>
      <c r="G804" s="104" t="e">
        <f t="shared" si="113"/>
        <v>#DIV/0!</v>
      </c>
      <c r="H804" s="104" t="e">
        <f t="shared" si="120"/>
        <v>#DIV/0!</v>
      </c>
      <c r="J804" s="928"/>
      <c r="K804" s="101"/>
      <c r="N804" s="82"/>
    </row>
  </sheetData>
  <autoFilter ref="A1:M395" xr:uid="{00000000-0009-0000-0000-000007000000}"/>
  <mergeCells count="39">
    <mergeCell ref="L648:L649"/>
    <mergeCell ref="L276:L281"/>
    <mergeCell ref="L89:L92"/>
    <mergeCell ref="L229:L230"/>
    <mergeCell ref="N719:N726"/>
    <mergeCell ref="N89:N92"/>
    <mergeCell ref="L655:L659"/>
    <mergeCell ref="L164:L174"/>
    <mergeCell ref="L209:L214"/>
    <mergeCell ref="L215:L216"/>
    <mergeCell ref="L282:L283"/>
    <mergeCell ref="L642:L647"/>
    <mergeCell ref="L113:L119"/>
    <mergeCell ref="L605:L607"/>
    <mergeCell ref="L623:L625"/>
    <mergeCell ref="L615:L616"/>
    <mergeCell ref="L57:L58"/>
    <mergeCell ref="L207:L208"/>
    <mergeCell ref="L376:L382"/>
    <mergeCell ref="L384:L385"/>
    <mergeCell ref="N76:N77"/>
    <mergeCell ref="N593:N595"/>
    <mergeCell ref="L103:L107"/>
    <mergeCell ref="L217:L219"/>
    <mergeCell ref="L221:L223"/>
    <mergeCell ref="L150:L151"/>
    <mergeCell ref="L147:L148"/>
    <mergeCell ref="L284:L286"/>
    <mergeCell ref="L108:L112"/>
    <mergeCell ref="L486:L492"/>
    <mergeCell ref="L494:L495"/>
    <mergeCell ref="L437:L441"/>
    <mergeCell ref="N438:N441"/>
    <mergeCell ref="L427:L433"/>
    <mergeCell ref="M10:M12"/>
    <mergeCell ref="L34:L36"/>
    <mergeCell ref="L38:L43"/>
    <mergeCell ref="L45:L50"/>
    <mergeCell ref="L52:L53"/>
  </mergeCells>
  <phoneticPr fontId="2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1ACF-04BC-41F4-981F-0139442E0463}">
  <sheetPr>
    <pageSetUpPr fitToPage="1"/>
  </sheetPr>
  <dimension ref="A1:P70"/>
  <sheetViews>
    <sheetView zoomScale="70" zoomScaleNormal="70" workbookViewId="0">
      <selection activeCell="N13" sqref="N13"/>
    </sheetView>
  </sheetViews>
  <sheetFormatPr defaultRowHeight="16.5" x14ac:dyDescent="0.25"/>
  <cols>
    <col min="1" max="1" width="15.22265625" customWidth="1"/>
    <col min="2" max="2" width="14.109375" customWidth="1"/>
    <col min="3" max="3" width="15.22265625" customWidth="1"/>
    <col min="4" max="4" width="15.71875" bestFit="1" customWidth="1"/>
    <col min="5" max="5" width="16.5859375" customWidth="1"/>
    <col min="6" max="6" width="16.5859375" bestFit="1" customWidth="1"/>
    <col min="7" max="13" width="15.22265625" customWidth="1"/>
    <col min="14" max="14" width="15.71875" customWidth="1"/>
    <col min="15" max="15" width="16.5859375" bestFit="1" customWidth="1"/>
    <col min="16" max="23" width="20.30078125" customWidth="1"/>
  </cols>
  <sheetData>
    <row r="1" spans="1:15" ht="23.25" customHeight="1" x14ac:dyDescent="0.25">
      <c r="A1" s="12" t="s">
        <v>29</v>
      </c>
    </row>
    <row r="2" spans="1:15" x14ac:dyDescent="0.25">
      <c r="A2" s="13"/>
      <c r="B2" s="14">
        <v>2023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5" x14ac:dyDescent="0.25">
      <c r="A3" s="15" t="s">
        <v>30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>
        <v>12</v>
      </c>
      <c r="N3" s="16" t="s">
        <v>31</v>
      </c>
      <c r="O3" s="1095" t="s">
        <v>51</v>
      </c>
    </row>
    <row r="4" spans="1:15" x14ac:dyDescent="0.25">
      <c r="A4" s="1133" t="s">
        <v>34</v>
      </c>
      <c r="B4" s="4">
        <f t="shared" ref="B4:B19" ca="1" si="0">SUMIF(INDIRECT("Report!I5612:I5676"),A4,INDIRECT("Report!G5612:G5676"))</f>
        <v>6726000</v>
      </c>
      <c r="C4" s="4">
        <f t="shared" ref="C4:C19" ca="1" si="1">SUMIF(INDIRECT("Report!I5677:I5748"),A4,INDIRECT("Report!G5677:G5748"))</f>
        <v>500000</v>
      </c>
      <c r="D4" s="4">
        <f t="shared" ref="D4:D19" ca="1" si="2">SUMIF(INDIRECT("Report!I5749:I5818"),A4,INDIRECT("Report!G5749:G5818"))</f>
        <v>180000</v>
      </c>
      <c r="E4" s="4">
        <f t="shared" ref="E4:E19" ca="1" si="3">SUMIF(INDIRECT("Report!I5819:I5885"),A4,INDIRECT("Report!G5819:G5885"))</f>
        <v>3363000</v>
      </c>
      <c r="F4" s="4">
        <f t="shared" ref="F4:F19" ca="1" si="4">SUMIF(INDIRECT("Report!I5886:I5962"),A4,INDIRECT("Report!G5886:G5962"))</f>
        <v>404000</v>
      </c>
      <c r="G4" s="4">
        <f t="shared" ref="G4:G19" ca="1" si="5">SUMIF(INDIRECT("Report!I5963:I6041"),A4,INDIRECT("Report!G5963:G6041"))</f>
        <v>3915000</v>
      </c>
      <c r="H4" s="4">
        <f t="shared" ref="H4:H19" ca="1" si="6">SUMIF(INDIRECT("Report!I6042:I6109"),A4,INDIRECT("Report!G6042:G6109"))</f>
        <v>3363000</v>
      </c>
      <c r="I4" s="4">
        <f t="shared" ref="I4:I19" ca="1" si="7">SUMIF(INDIRECT("Report!I6110:I6174"),A4,INDIRECT("Report!G6110:G6174"))</f>
        <v>3647000</v>
      </c>
      <c r="J4" s="4">
        <f t="shared" ref="J4:J19" ca="1" si="8">SUMIF(INDIRECT("Report!I6175:I6250"),A4,INDIRECT("Report!G6175:G6250"))</f>
        <v>3693000</v>
      </c>
      <c r="K4" s="4">
        <f t="shared" ref="K4:K19" ca="1" si="9">SUMIF(INDIRECT("Report!I6251:I6319"),A4,INDIRECT("Report!G6251:G6319"))</f>
        <v>4113000</v>
      </c>
      <c r="L4" s="4">
        <f t="shared" ref="L4:L19" ca="1" si="10">SUMIF(INDIRECT("Report!I6321:I6421"),A4,INDIRECT("Report!G6321:G6421"))</f>
        <v>6633000</v>
      </c>
      <c r="M4" s="4">
        <f t="shared" ref="M4:M19" ca="1" si="11">SUMIF(INDIRECT("Report!I6422:I6510"),A4,INDIRECT("Report!G6422:G6510"))</f>
        <v>3554000</v>
      </c>
      <c r="N4" s="1137">
        <f t="shared" ref="N4:N15" ca="1" si="12">SUM(B4:M4)</f>
        <v>40091000</v>
      </c>
      <c r="O4" s="1204">
        <f t="shared" ref="O4:O19" ca="1" si="13">N4/$N$20</f>
        <v>1.5967865446936784E-2</v>
      </c>
    </row>
    <row r="5" spans="1:15" x14ac:dyDescent="0.25">
      <c r="A5" s="1133" t="s">
        <v>35</v>
      </c>
      <c r="B5" s="4">
        <f t="shared" ca="1" si="0"/>
        <v>0</v>
      </c>
      <c r="C5" s="4">
        <f t="shared" ca="1" si="1"/>
        <v>5790000</v>
      </c>
      <c r="D5" s="4">
        <f t="shared" ca="1" si="2"/>
        <v>2895000</v>
      </c>
      <c r="E5" s="4">
        <f t="shared" ca="1" si="3"/>
        <v>1930000</v>
      </c>
      <c r="F5" s="4">
        <f t="shared" ca="1" si="4"/>
        <v>2895000</v>
      </c>
      <c r="G5" s="4">
        <f t="shared" ca="1" si="5"/>
        <v>1930000</v>
      </c>
      <c r="H5" s="4">
        <f t="shared" ca="1" si="6"/>
        <v>2895000</v>
      </c>
      <c r="I5" s="4">
        <f t="shared" ca="1" si="7"/>
        <v>2895000</v>
      </c>
      <c r="J5" s="4">
        <f t="shared" ca="1" si="8"/>
        <v>1930000</v>
      </c>
      <c r="K5" s="4">
        <f t="shared" ca="1" si="9"/>
        <v>5790000</v>
      </c>
      <c r="L5" s="4">
        <f t="shared" ca="1" si="10"/>
        <v>3860000</v>
      </c>
      <c r="M5" s="4">
        <f t="shared" ca="1" si="11"/>
        <v>4825000</v>
      </c>
      <c r="N5" s="1137">
        <f t="shared" ca="1" si="12"/>
        <v>37635000</v>
      </c>
      <c r="O5" s="1204">
        <f t="shared" ca="1" si="13"/>
        <v>1.4989663916975529E-2</v>
      </c>
    </row>
    <row r="6" spans="1:15" x14ac:dyDescent="0.25">
      <c r="A6" s="1133" t="s">
        <v>37</v>
      </c>
      <c r="B6" s="4">
        <f t="shared" ca="1" si="0"/>
        <v>11781000</v>
      </c>
      <c r="C6" s="4">
        <f t="shared" ca="1" si="1"/>
        <v>0</v>
      </c>
      <c r="D6" s="4">
        <f t="shared" ca="1" si="2"/>
        <v>0</v>
      </c>
      <c r="E6" s="4">
        <f t="shared" ca="1" si="3"/>
        <v>6644000</v>
      </c>
      <c r="F6" s="4">
        <f t="shared" ca="1" si="4"/>
        <v>23780000</v>
      </c>
      <c r="G6" s="4">
        <f t="shared" ca="1" si="5"/>
        <v>0</v>
      </c>
      <c r="H6" s="4">
        <f t="shared" ca="1" si="6"/>
        <v>0</v>
      </c>
      <c r="I6" s="4">
        <f t="shared" ca="1" si="7"/>
        <v>0</v>
      </c>
      <c r="J6" s="4">
        <f t="shared" ca="1" si="8"/>
        <v>8558000</v>
      </c>
      <c r="K6" s="4">
        <f t="shared" ca="1" si="9"/>
        <v>0</v>
      </c>
      <c r="L6" s="4">
        <f t="shared" ca="1" si="10"/>
        <v>0</v>
      </c>
      <c r="M6" s="4">
        <f t="shared" ca="1" si="11"/>
        <v>0</v>
      </c>
      <c r="N6" s="1137">
        <f t="shared" ca="1" si="12"/>
        <v>50763000</v>
      </c>
      <c r="O6" s="1204">
        <f t="shared" ca="1" si="13"/>
        <v>2.0218421932175601E-2</v>
      </c>
    </row>
    <row r="7" spans="1:15" x14ac:dyDescent="0.25">
      <c r="A7" s="1133" t="s">
        <v>33</v>
      </c>
      <c r="B7" s="4">
        <f t="shared" ca="1" si="0"/>
        <v>4044000</v>
      </c>
      <c r="C7" s="4">
        <f t="shared" ca="1" si="1"/>
        <v>9074000</v>
      </c>
      <c r="D7" s="4">
        <f t="shared" ca="1" si="2"/>
        <v>8774000</v>
      </c>
      <c r="E7" s="4">
        <f t="shared" ca="1" si="3"/>
        <v>10760000</v>
      </c>
      <c r="F7" s="4">
        <f t="shared" ca="1" si="4"/>
        <v>6805000</v>
      </c>
      <c r="G7" s="4">
        <f t="shared" ca="1" si="5"/>
        <v>8054000</v>
      </c>
      <c r="H7" s="4">
        <f t="shared" ca="1" si="6"/>
        <v>8094000</v>
      </c>
      <c r="I7" s="4">
        <f t="shared" ca="1" si="7"/>
        <v>8484000</v>
      </c>
      <c r="J7" s="4">
        <f t="shared" ca="1" si="8"/>
        <v>7914000</v>
      </c>
      <c r="K7" s="4">
        <f t="shared" ca="1" si="9"/>
        <v>5440000</v>
      </c>
      <c r="L7" s="4">
        <f t="shared" ca="1" si="10"/>
        <v>13408000</v>
      </c>
      <c r="M7" s="4">
        <f t="shared" ca="1" si="11"/>
        <v>7268000</v>
      </c>
      <c r="N7" s="1137">
        <f t="shared" ca="1" si="12"/>
        <v>98119000</v>
      </c>
      <c r="O7" s="1204">
        <f t="shared" ca="1" si="13"/>
        <v>3.9079868044897617E-2</v>
      </c>
    </row>
    <row r="8" spans="1:15" s="19" customFormat="1" x14ac:dyDescent="0.25">
      <c r="A8" s="1134" t="s">
        <v>38</v>
      </c>
      <c r="B8" s="4">
        <f t="shared" ca="1" si="0"/>
        <v>10707000</v>
      </c>
      <c r="C8" s="4">
        <f t="shared" ca="1" si="1"/>
        <v>14800000</v>
      </c>
      <c r="D8" s="4">
        <f t="shared" ca="1" si="2"/>
        <v>13278000</v>
      </c>
      <c r="E8" s="4">
        <f t="shared" ca="1" si="3"/>
        <v>6835000</v>
      </c>
      <c r="F8" s="4">
        <f t="shared" ca="1" si="4"/>
        <v>22325000</v>
      </c>
      <c r="G8" s="4">
        <f t="shared" ca="1" si="5"/>
        <v>9603000</v>
      </c>
      <c r="H8" s="4">
        <f t="shared" ca="1" si="6"/>
        <v>10370000</v>
      </c>
      <c r="I8" s="4">
        <f t="shared" ca="1" si="7"/>
        <v>11198000</v>
      </c>
      <c r="J8" s="4">
        <f t="shared" ca="1" si="8"/>
        <v>12431000</v>
      </c>
      <c r="K8" s="4">
        <f t="shared" ca="1" si="9"/>
        <v>14870000</v>
      </c>
      <c r="L8" s="4">
        <f t="shared" ca="1" si="10"/>
        <v>14051000</v>
      </c>
      <c r="M8" s="4">
        <f t="shared" ca="1" si="11"/>
        <v>19523000</v>
      </c>
      <c r="N8" s="1137">
        <f t="shared" ca="1" si="12"/>
        <v>159991000</v>
      </c>
      <c r="O8" s="1204">
        <f t="shared" ca="1" si="13"/>
        <v>6.3722899421836898E-2</v>
      </c>
    </row>
    <row r="9" spans="1:15" x14ac:dyDescent="0.25">
      <c r="A9" s="1135" t="s">
        <v>32</v>
      </c>
      <c r="B9" s="4">
        <f t="shared" ca="1" si="0"/>
        <v>0</v>
      </c>
      <c r="C9" s="4">
        <f t="shared" ca="1" si="1"/>
        <v>0</v>
      </c>
      <c r="D9" s="4">
        <f t="shared" ca="1" si="2"/>
        <v>0</v>
      </c>
      <c r="E9" s="4">
        <f t="shared" ca="1" si="3"/>
        <v>0</v>
      </c>
      <c r="F9" s="4">
        <f t="shared" ca="1" si="4"/>
        <v>0</v>
      </c>
      <c r="G9" s="4">
        <f t="shared" ca="1" si="5"/>
        <v>0</v>
      </c>
      <c r="H9" s="4">
        <f t="shared" ca="1" si="6"/>
        <v>0</v>
      </c>
      <c r="I9" s="4">
        <f t="shared" ca="1" si="7"/>
        <v>0</v>
      </c>
      <c r="J9" s="4">
        <f t="shared" ca="1" si="8"/>
        <v>0</v>
      </c>
      <c r="K9" s="4">
        <f t="shared" ca="1" si="9"/>
        <v>0</v>
      </c>
      <c r="L9" s="4">
        <f t="shared" ca="1" si="10"/>
        <v>0</v>
      </c>
      <c r="M9" s="4">
        <f t="shared" ca="1" si="11"/>
        <v>0</v>
      </c>
      <c r="N9" s="1137">
        <f t="shared" ca="1" si="12"/>
        <v>0</v>
      </c>
      <c r="O9" s="1204">
        <f t="shared" ca="1" si="13"/>
        <v>0</v>
      </c>
    </row>
    <row r="10" spans="1:15" x14ac:dyDescent="0.25">
      <c r="A10" s="1136" t="s">
        <v>2226</v>
      </c>
      <c r="B10" s="4">
        <f t="shared" ca="1" si="0"/>
        <v>0</v>
      </c>
      <c r="C10" s="4">
        <f t="shared" ca="1" si="1"/>
        <v>0</v>
      </c>
      <c r="D10" s="4">
        <f t="shared" ca="1" si="2"/>
        <v>0</v>
      </c>
      <c r="E10" s="4">
        <f t="shared" ca="1" si="3"/>
        <v>0</v>
      </c>
      <c r="F10" s="4">
        <f t="shared" ca="1" si="4"/>
        <v>1580000</v>
      </c>
      <c r="G10" s="4">
        <f t="shared" ca="1" si="5"/>
        <v>0</v>
      </c>
      <c r="H10" s="4">
        <f t="shared" ca="1" si="6"/>
        <v>0</v>
      </c>
      <c r="I10" s="4">
        <f t="shared" ca="1" si="7"/>
        <v>0</v>
      </c>
      <c r="J10" s="4">
        <f t="shared" ca="1" si="8"/>
        <v>0</v>
      </c>
      <c r="K10" s="4">
        <f t="shared" ca="1" si="9"/>
        <v>0</v>
      </c>
      <c r="L10" s="4">
        <f t="shared" ca="1" si="10"/>
        <v>0</v>
      </c>
      <c r="M10" s="4">
        <f t="shared" ca="1" si="11"/>
        <v>4650000</v>
      </c>
      <c r="N10" s="1137">
        <f t="shared" ca="1" si="12"/>
        <v>6230000</v>
      </c>
      <c r="O10" s="1204">
        <f t="shared" ca="1" si="13"/>
        <v>2.481349972173709E-3</v>
      </c>
    </row>
    <row r="11" spans="1:15" x14ac:dyDescent="0.25">
      <c r="A11" s="1136" t="s">
        <v>2228</v>
      </c>
      <c r="B11" s="4">
        <f t="shared" ca="1" si="0"/>
        <v>0</v>
      </c>
      <c r="C11" s="4">
        <f t="shared" ca="1" si="1"/>
        <v>2695000</v>
      </c>
      <c r="D11" s="4">
        <f t="shared" ca="1" si="2"/>
        <v>4820000</v>
      </c>
      <c r="E11" s="4">
        <f t="shared" ca="1" si="3"/>
        <v>2447200</v>
      </c>
      <c r="F11" s="4">
        <f t="shared" ca="1" si="4"/>
        <v>4576000</v>
      </c>
      <c r="G11" s="4">
        <f t="shared" ca="1" si="5"/>
        <v>7096400</v>
      </c>
      <c r="H11" s="4">
        <f t="shared" ca="1" si="6"/>
        <v>4820000</v>
      </c>
      <c r="I11" s="4">
        <f t="shared" ca="1" si="7"/>
        <v>7169200</v>
      </c>
      <c r="J11" s="4">
        <f t="shared" ca="1" si="8"/>
        <v>4820000</v>
      </c>
      <c r="K11" s="4">
        <f t="shared" ca="1" si="9"/>
        <v>6621050</v>
      </c>
      <c r="L11" s="4">
        <f t="shared" ca="1" si="10"/>
        <v>4592000</v>
      </c>
      <c r="M11" s="4">
        <f t="shared" ca="1" si="11"/>
        <v>0</v>
      </c>
      <c r="N11" s="1137">
        <f t="shared" ca="1" si="12"/>
        <v>49656850</v>
      </c>
      <c r="O11" s="1204">
        <f t="shared" ca="1" si="13"/>
        <v>1.9777852867694068E-2</v>
      </c>
    </row>
    <row r="12" spans="1:15" x14ac:dyDescent="0.25">
      <c r="A12" s="1136" t="s">
        <v>2229</v>
      </c>
      <c r="B12" s="4">
        <f t="shared" ca="1" si="0"/>
        <v>8188000</v>
      </c>
      <c r="C12" s="4">
        <f t="shared" ca="1" si="1"/>
        <v>11748000</v>
      </c>
      <c r="D12" s="4">
        <f t="shared" ca="1" si="2"/>
        <v>7835000</v>
      </c>
      <c r="E12" s="4">
        <f t="shared" ca="1" si="3"/>
        <v>11680000</v>
      </c>
      <c r="F12" s="4">
        <f t="shared" ca="1" si="4"/>
        <v>11555000</v>
      </c>
      <c r="G12" s="4">
        <f t="shared" ca="1" si="5"/>
        <v>8355000</v>
      </c>
      <c r="H12" s="4">
        <f t="shared" ca="1" si="6"/>
        <v>9660000</v>
      </c>
      <c r="I12" s="4">
        <f t="shared" ca="1" si="7"/>
        <v>8075000</v>
      </c>
      <c r="J12" s="4">
        <f t="shared" ca="1" si="8"/>
        <v>8025000</v>
      </c>
      <c r="K12" s="4">
        <f t="shared" ca="1" si="9"/>
        <v>9725000</v>
      </c>
      <c r="L12" s="4">
        <f t="shared" ca="1" si="10"/>
        <v>18084000</v>
      </c>
      <c r="M12" s="4">
        <f t="shared" ca="1" si="11"/>
        <v>12170000</v>
      </c>
      <c r="N12" s="1137">
        <f t="shared" ca="1" si="12"/>
        <v>125100000</v>
      </c>
      <c r="O12" s="1204">
        <f t="shared" ca="1" si="13"/>
        <v>4.982614470608844E-2</v>
      </c>
    </row>
    <row r="13" spans="1:15" s="19" customFormat="1" x14ac:dyDescent="0.25">
      <c r="A13" s="1133" t="s">
        <v>39</v>
      </c>
      <c r="B13" s="4">
        <f t="shared" ca="1" si="0"/>
        <v>2870000</v>
      </c>
      <c r="C13" s="4">
        <f t="shared" ca="1" si="1"/>
        <v>1985000</v>
      </c>
      <c r="D13" s="4">
        <f t="shared" ca="1" si="2"/>
        <v>4450000</v>
      </c>
      <c r="E13" s="4">
        <f t="shared" ca="1" si="3"/>
        <v>0</v>
      </c>
      <c r="F13" s="4">
        <f t="shared" ca="1" si="4"/>
        <v>500000</v>
      </c>
      <c r="G13" s="4">
        <f t="shared" ca="1" si="5"/>
        <v>3230000</v>
      </c>
      <c r="H13" s="4">
        <f t="shared" ca="1" si="6"/>
        <v>2020000</v>
      </c>
      <c r="I13" s="4">
        <f t="shared" ca="1" si="7"/>
        <v>750000</v>
      </c>
      <c r="J13" s="4">
        <f t="shared" ca="1" si="8"/>
        <v>840000</v>
      </c>
      <c r="K13" s="4">
        <f t="shared" ca="1" si="9"/>
        <v>0</v>
      </c>
      <c r="L13" s="4">
        <f t="shared" ca="1" si="10"/>
        <v>1365000</v>
      </c>
      <c r="M13" s="4">
        <f t="shared" ca="1" si="11"/>
        <v>1500000</v>
      </c>
      <c r="N13" s="1137">
        <f t="shared" ca="1" si="12"/>
        <v>19510000</v>
      </c>
      <c r="O13" s="1204">
        <f t="shared" ca="1" si="13"/>
        <v>7.7706481472085177E-3</v>
      </c>
    </row>
    <row r="14" spans="1:15" s="19" customFormat="1" x14ac:dyDescent="0.25">
      <c r="A14" s="1138" t="s">
        <v>40</v>
      </c>
      <c r="B14" s="4">
        <f t="shared" ca="1" si="0"/>
        <v>11530000</v>
      </c>
      <c r="C14" s="4">
        <f t="shared" ca="1" si="1"/>
        <v>41860000</v>
      </c>
      <c r="D14" s="4">
        <f t="shared" ca="1" si="2"/>
        <v>20660000</v>
      </c>
      <c r="E14" s="4">
        <f t="shared" ca="1" si="3"/>
        <v>426428000</v>
      </c>
      <c r="F14" s="4">
        <f t="shared" ca="1" si="4"/>
        <v>20800000</v>
      </c>
      <c r="G14" s="4">
        <f t="shared" ca="1" si="5"/>
        <v>99835000</v>
      </c>
      <c r="H14" s="4">
        <f t="shared" ca="1" si="6"/>
        <v>54011000</v>
      </c>
      <c r="I14" s="4">
        <f t="shared" ca="1" si="7"/>
        <v>0</v>
      </c>
      <c r="J14" s="4">
        <f t="shared" ca="1" si="8"/>
        <v>9410000</v>
      </c>
      <c r="K14" s="4">
        <f t="shared" ca="1" si="9"/>
        <v>9950000</v>
      </c>
      <c r="L14" s="4">
        <f t="shared" ca="1" si="10"/>
        <v>106536364</v>
      </c>
      <c r="M14" s="4">
        <f t="shared" ca="1" si="11"/>
        <v>10310000</v>
      </c>
      <c r="N14" s="1140">
        <f t="shared" ca="1" si="12"/>
        <v>811330364</v>
      </c>
      <c r="O14" s="1204">
        <f t="shared" ca="1" si="13"/>
        <v>0.32314519681141013</v>
      </c>
    </row>
    <row r="15" spans="1:15" x14ac:dyDescent="0.25">
      <c r="A15" s="1139" t="s">
        <v>281</v>
      </c>
      <c r="B15" s="4">
        <f t="shared" ca="1" si="0"/>
        <v>1115000</v>
      </c>
      <c r="C15" s="4">
        <f t="shared" ca="1" si="1"/>
        <v>1000000</v>
      </c>
      <c r="D15" s="4">
        <f t="shared" ca="1" si="2"/>
        <v>0</v>
      </c>
      <c r="E15" s="4">
        <f t="shared" ca="1" si="3"/>
        <v>2625000</v>
      </c>
      <c r="F15" s="4">
        <f t="shared" ca="1" si="4"/>
        <v>5780000</v>
      </c>
      <c r="G15" s="4">
        <f t="shared" ca="1" si="5"/>
        <v>4215000</v>
      </c>
      <c r="H15" s="4">
        <f t="shared" ca="1" si="6"/>
        <v>16760000</v>
      </c>
      <c r="I15" s="4">
        <f t="shared" ca="1" si="7"/>
        <v>2625000</v>
      </c>
      <c r="J15" s="4">
        <f t="shared" ca="1" si="8"/>
        <v>0</v>
      </c>
      <c r="K15" s="4">
        <f t="shared" ca="1" si="9"/>
        <v>6425000</v>
      </c>
      <c r="L15" s="4">
        <f t="shared" ca="1" si="10"/>
        <v>0</v>
      </c>
      <c r="M15" s="4">
        <f t="shared" ca="1" si="11"/>
        <v>700000</v>
      </c>
      <c r="N15" s="1140">
        <f t="shared" ca="1" si="12"/>
        <v>41245000</v>
      </c>
      <c r="O15" s="1204">
        <f t="shared" ca="1" si="13"/>
        <v>1.6427492713050502E-2</v>
      </c>
    </row>
    <row r="16" spans="1:15" x14ac:dyDescent="0.25">
      <c r="A16" s="1114" t="s">
        <v>2227</v>
      </c>
      <c r="B16" s="4">
        <f t="shared" ca="1" si="0"/>
        <v>0</v>
      </c>
      <c r="C16" s="4">
        <f t="shared" ca="1" si="1"/>
        <v>0</v>
      </c>
      <c r="D16" s="4">
        <f t="shared" ca="1" si="2"/>
        <v>0</v>
      </c>
      <c r="E16" s="4">
        <f t="shared" ca="1" si="3"/>
        <v>0</v>
      </c>
      <c r="F16" s="4">
        <f t="shared" ca="1" si="4"/>
        <v>0</v>
      </c>
      <c r="G16" s="4">
        <f t="shared" ca="1" si="5"/>
        <v>0</v>
      </c>
      <c r="H16" s="4">
        <f t="shared" ca="1" si="6"/>
        <v>0</v>
      </c>
      <c r="I16" s="4">
        <f t="shared" ca="1" si="7"/>
        <v>0</v>
      </c>
      <c r="J16" s="4">
        <f t="shared" ca="1" si="8"/>
        <v>0</v>
      </c>
      <c r="K16" s="4">
        <f t="shared" ca="1" si="9"/>
        <v>0</v>
      </c>
      <c r="L16" s="4">
        <f t="shared" ca="1" si="10"/>
        <v>0</v>
      </c>
      <c r="M16" s="4">
        <f t="shared" ca="1" si="11"/>
        <v>0</v>
      </c>
      <c r="N16" s="1111">
        <f ca="1">SUM(B16:M16)</f>
        <v>0</v>
      </c>
      <c r="O16" s="1204">
        <f t="shared" ca="1" si="13"/>
        <v>0</v>
      </c>
    </row>
    <row r="17" spans="1:16" s="19" customFormat="1" x14ac:dyDescent="0.25">
      <c r="A17" s="1114" t="s">
        <v>187</v>
      </c>
      <c r="B17" s="4">
        <f t="shared" ca="1" si="0"/>
        <v>18125600</v>
      </c>
      <c r="C17" s="4">
        <f t="shared" ca="1" si="1"/>
        <v>11040400</v>
      </c>
      <c r="D17" s="4">
        <f t="shared" ca="1" si="2"/>
        <v>12340000</v>
      </c>
      <c r="E17" s="4">
        <f t="shared" ca="1" si="3"/>
        <v>11529800</v>
      </c>
      <c r="F17" s="4">
        <f t="shared" ca="1" si="4"/>
        <v>11040400</v>
      </c>
      <c r="G17" s="4">
        <f t="shared" ca="1" si="5"/>
        <v>12306000</v>
      </c>
      <c r="H17" s="4">
        <f t="shared" ca="1" si="6"/>
        <v>6263200</v>
      </c>
      <c r="I17" s="4">
        <f t="shared" ca="1" si="7"/>
        <v>11162800</v>
      </c>
      <c r="J17" s="4">
        <f t="shared" ca="1" si="8"/>
        <v>8954800</v>
      </c>
      <c r="K17" s="4">
        <f t="shared" ca="1" si="9"/>
        <v>11040400</v>
      </c>
      <c r="L17" s="4">
        <f t="shared" ca="1" si="10"/>
        <v>15855500</v>
      </c>
      <c r="M17" s="4">
        <f t="shared" ca="1" si="11"/>
        <v>8384800</v>
      </c>
      <c r="N17" s="1111">
        <f ca="1">SUM(B17:M17)</f>
        <v>138043700</v>
      </c>
      <c r="O17" s="1205">
        <f t="shared" ca="1" si="13"/>
        <v>5.4981497777488897E-2</v>
      </c>
      <c r="P17" s="1116"/>
    </row>
    <row r="18" spans="1:16" s="19" customFormat="1" x14ac:dyDescent="0.25">
      <c r="A18" s="1110" t="s">
        <v>2272</v>
      </c>
      <c r="B18" s="4">
        <f t="shared" ca="1" si="0"/>
        <v>44426200</v>
      </c>
      <c r="C18" s="4">
        <f t="shared" ca="1" si="1"/>
        <v>52394800</v>
      </c>
      <c r="D18" s="4">
        <f t="shared" ca="1" si="2"/>
        <v>50781000</v>
      </c>
      <c r="E18" s="4">
        <f t="shared" ca="1" si="3"/>
        <v>46094600</v>
      </c>
      <c r="F18" s="4">
        <f t="shared" ca="1" si="4"/>
        <v>45011600</v>
      </c>
      <c r="G18" s="4">
        <f t="shared" ca="1" si="5"/>
        <v>28430600</v>
      </c>
      <c r="H18" s="4">
        <f t="shared" ca="1" si="6"/>
        <v>36735400</v>
      </c>
      <c r="I18" s="4">
        <f t="shared" ca="1" si="7"/>
        <v>39965000</v>
      </c>
      <c r="J18" s="4">
        <f t="shared" ca="1" si="8"/>
        <v>42638400</v>
      </c>
      <c r="K18" s="4">
        <f t="shared" ca="1" si="9"/>
        <v>40540000</v>
      </c>
      <c r="L18" s="4">
        <f t="shared" ca="1" si="10"/>
        <v>34572600</v>
      </c>
      <c r="M18" s="4">
        <f t="shared" ca="1" si="11"/>
        <v>39547200</v>
      </c>
      <c r="N18" s="1111">
        <f ca="1">SUM(B18:M18)</f>
        <v>501137400</v>
      </c>
      <c r="O18" s="1205">
        <f t="shared" ca="1" si="13"/>
        <v>0.1995982782576573</v>
      </c>
      <c r="P18" s="1116"/>
    </row>
    <row r="19" spans="1:16" s="19" customFormat="1" ht="17.25" thickBot="1" x14ac:dyDescent="0.3">
      <c r="A19" s="1141" t="s">
        <v>179</v>
      </c>
      <c r="B19" s="4">
        <f t="shared" ca="1" si="0"/>
        <v>22602636</v>
      </c>
      <c r="C19" s="4">
        <f t="shared" ca="1" si="1"/>
        <v>78982850</v>
      </c>
      <c r="D19" s="4">
        <f t="shared" ca="1" si="2"/>
        <v>23599455</v>
      </c>
      <c r="E19" s="4">
        <f t="shared" ca="1" si="3"/>
        <v>23999000</v>
      </c>
      <c r="F19" s="4">
        <f t="shared" ca="1" si="4"/>
        <v>24131000</v>
      </c>
      <c r="G19" s="4">
        <f t="shared" ca="1" si="5"/>
        <v>27078000</v>
      </c>
      <c r="H19" s="4">
        <f t="shared" ca="1" si="6"/>
        <v>16298000</v>
      </c>
      <c r="I19" s="4">
        <f t="shared" ca="1" si="7"/>
        <v>17866000</v>
      </c>
      <c r="J19" s="4">
        <f t="shared" ca="1" si="8"/>
        <v>25671000</v>
      </c>
      <c r="K19" s="4">
        <f t="shared" ca="1" si="9"/>
        <v>24691636.800000001</v>
      </c>
      <c r="L19" s="4">
        <f t="shared" ca="1" si="10"/>
        <v>71886728</v>
      </c>
      <c r="M19" s="4">
        <f t="shared" ca="1" si="11"/>
        <v>75071454.5</v>
      </c>
      <c r="N19" s="1142">
        <f ca="1">SUM(B19:M19)</f>
        <v>431877760.30000001</v>
      </c>
      <c r="O19" s="1205">
        <f t="shared" ca="1" si="13"/>
        <v>0.1720128199844059</v>
      </c>
      <c r="P19" s="1116"/>
    </row>
    <row r="20" spans="1:16" ht="17.25" thickTop="1" x14ac:dyDescent="0.25">
      <c r="A20" s="1144" t="s">
        <v>2180</v>
      </c>
      <c r="B20" s="9">
        <f ca="1">SUM(B4:B19)</f>
        <v>142115436</v>
      </c>
      <c r="C20" s="9">
        <f ca="1">SUM(C4:C19)</f>
        <v>231870050</v>
      </c>
      <c r="D20" s="9">
        <f ca="1">SUM(D4:D19)</f>
        <v>149612455</v>
      </c>
      <c r="E20" s="9">
        <f t="shared" ref="E20:O20" ca="1" si="14">SUM(E4:E19)</f>
        <v>554335600</v>
      </c>
      <c r="F20" s="9">
        <f t="shared" ca="1" si="14"/>
        <v>181183000</v>
      </c>
      <c r="G20" s="9">
        <f t="shared" ca="1" si="14"/>
        <v>214048000</v>
      </c>
      <c r="H20" s="9">
        <f t="shared" ca="1" si="14"/>
        <v>171289600</v>
      </c>
      <c r="I20" s="9">
        <f t="shared" ca="1" si="14"/>
        <v>113837000</v>
      </c>
      <c r="J20" s="9">
        <f t="shared" ca="1" si="14"/>
        <v>134885200</v>
      </c>
      <c r="K20" s="9">
        <f t="shared" ca="1" si="14"/>
        <v>139206086.80000001</v>
      </c>
      <c r="L20" s="9">
        <f ca="1">SUM(L4:L19)</f>
        <v>290844192</v>
      </c>
      <c r="M20" s="9">
        <f ca="1">SUM(M4:M19)</f>
        <v>187503454.5</v>
      </c>
      <c r="N20" s="1143">
        <f ca="1">SUM(N4:N19)</f>
        <v>2510730074.3000002</v>
      </c>
      <c r="O20" s="1115">
        <f t="shared" ca="1" si="14"/>
        <v>0.99999999999999989</v>
      </c>
      <c r="P20" s="1116"/>
    </row>
    <row r="21" spans="1:16" ht="10.5" customHeight="1" x14ac:dyDescent="0.25">
      <c r="O21" s="1116"/>
      <c r="P21" s="1116"/>
    </row>
    <row r="22" spans="1:16" ht="23.25" customHeight="1" x14ac:dyDescent="0.25">
      <c r="A22" s="12" t="s">
        <v>41</v>
      </c>
      <c r="O22" s="1116"/>
      <c r="P22" s="1116"/>
    </row>
    <row r="23" spans="1:16" x14ac:dyDescent="0.25">
      <c r="A23" s="13"/>
      <c r="B23" s="14">
        <v>2023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191"/>
      <c r="P23" s="1146"/>
    </row>
    <row r="24" spans="1:16" x14ac:dyDescent="0.25">
      <c r="A24" s="15" t="s">
        <v>30</v>
      </c>
      <c r="B24" s="16">
        <v>1</v>
      </c>
      <c r="C24" s="16">
        <v>2</v>
      </c>
      <c r="D24" s="16">
        <v>3</v>
      </c>
      <c r="E24" s="16">
        <v>4</v>
      </c>
      <c r="F24" s="16">
        <v>5</v>
      </c>
      <c r="G24" s="16">
        <v>6</v>
      </c>
      <c r="H24" s="16">
        <v>7</v>
      </c>
      <c r="I24" s="16">
        <v>8</v>
      </c>
      <c r="J24" s="16">
        <v>9</v>
      </c>
      <c r="K24" s="16">
        <v>10</v>
      </c>
      <c r="L24" s="16">
        <v>11</v>
      </c>
      <c r="M24" s="16">
        <v>12</v>
      </c>
      <c r="N24" s="16" t="s">
        <v>31</v>
      </c>
      <c r="O24" s="1146" t="s">
        <v>51</v>
      </c>
      <c r="P24" s="1146" t="s">
        <v>3231</v>
      </c>
    </row>
    <row r="25" spans="1:16" x14ac:dyDescent="0.25">
      <c r="A25" s="1133" t="s">
        <v>34</v>
      </c>
      <c r="B25" s="4">
        <f t="shared" ref="B25:B40" ca="1" si="15">SUMIF(INDIRECT("Report!I5612:I5676"),A25,INDIRECT("Report!J5612:J5676"))</f>
        <v>3041720</v>
      </c>
      <c r="C25" s="4">
        <f t="shared" ref="C25:C40" ca="1" si="16">SUMIF(INDIRECT("Report!I5677:I5748"),A25,INDIRECT("Report!J5677:J5748"))</f>
        <v>205700</v>
      </c>
      <c r="D25" s="4">
        <f t="shared" ref="D25:D40" ca="1" si="17">SUMIF(INDIRECT("Report!I5749:I5818"),A25,INDIRECT("Report!J5749:J5818"))</f>
        <v>-170000</v>
      </c>
      <c r="E25" s="4">
        <f t="shared" ref="E25:E40" ca="1" si="18">SUMIF(INDIRECT("Report!I5819:I5885"),A25,INDIRECT("Report!J5819:J5885"))</f>
        <v>601940</v>
      </c>
      <c r="F25" s="4">
        <f t="shared" ref="F25:F40" ca="1" si="19">SUMIF(INDIRECT("Report!I5886:I5962"),A25,INDIRECT("Report!J5886:J5962"))</f>
        <v>144000</v>
      </c>
      <c r="G25" s="4">
        <f t="shared" ref="G25:G40" ca="1" si="20">SUMIF(INDIRECT("Report!I5963:I6041"),A25,INDIRECT("Report!J5963:J6041"))</f>
        <v>800780</v>
      </c>
      <c r="H25" s="4">
        <f t="shared" ref="H25:H40" ca="1" si="21">SUMIF(INDIRECT("Report!I6042:I6109"),A25,INDIRECT("Report!J6042:J6109"))</f>
        <v>601940</v>
      </c>
      <c r="I25" s="4">
        <f t="shared" ref="I25:I40" ca="1" si="22">SUMIF(INDIRECT("Report!I6110:I6174"),A25,INDIRECT("Report!J6110:J6174"))</f>
        <v>695940</v>
      </c>
      <c r="J25" s="4">
        <f t="shared" ref="J25:J40" ca="1" si="23">SUMIF(INDIRECT("Report!I6175:I6250"),A25,INDIRECT("Report!J6175:J6250"))</f>
        <v>231940</v>
      </c>
      <c r="K25" s="4">
        <f t="shared" ref="K25:K40" ca="1" si="24">SUMIF(INDIRECT("Report!I6251:I6319"),A25,INDIRECT("Report!J6251:J6319"))</f>
        <v>1083580</v>
      </c>
      <c r="L25" s="4">
        <f t="shared" ref="L25:L40" ca="1" si="25">SUMIF(INDIRECT("Report!I6321:I6421"),A25,INDIRECT("Report!J6321:J6421"))</f>
        <v>2223060</v>
      </c>
      <c r="M25" s="4">
        <f t="shared" ref="M25:M40" ca="1" si="26">SUMIF(INDIRECT("Report!I6422:I6510"),A25,INDIRECT("Report!J6422:J6510"))</f>
        <v>668940</v>
      </c>
      <c r="N25" s="1137">
        <f t="shared" ref="N25:N40" ca="1" si="27">SUM(B25:M25)</f>
        <v>10129540</v>
      </c>
      <c r="O25" s="1204">
        <f t="shared" ref="O25:O40" ca="1" si="28">N25/$N$41</f>
        <v>1.94619953649172E-2</v>
      </c>
      <c r="P25" s="1203">
        <f ca="1">N25/N4</f>
        <v>0.25266369010501111</v>
      </c>
    </row>
    <row r="26" spans="1:16" x14ac:dyDescent="0.25">
      <c r="A26" s="1133" t="s">
        <v>35</v>
      </c>
      <c r="B26" s="4">
        <f t="shared" ca="1" si="15"/>
        <v>0</v>
      </c>
      <c r="C26" s="4">
        <f t="shared" ca="1" si="16"/>
        <v>2442000</v>
      </c>
      <c r="D26" s="4">
        <f t="shared" ca="1" si="17"/>
        <v>1035000</v>
      </c>
      <c r="E26" s="4">
        <f t="shared" ca="1" si="18"/>
        <v>690000</v>
      </c>
      <c r="F26" s="4">
        <f t="shared" ca="1" si="19"/>
        <v>1035000</v>
      </c>
      <c r="G26" s="4">
        <f t="shared" ca="1" si="20"/>
        <v>690000</v>
      </c>
      <c r="H26" s="4">
        <f t="shared" ca="1" si="21"/>
        <v>1035000</v>
      </c>
      <c r="I26" s="4">
        <f t="shared" ca="1" si="22"/>
        <v>1035000</v>
      </c>
      <c r="J26" s="4">
        <f t="shared" ca="1" si="23"/>
        <v>690000</v>
      </c>
      <c r="K26" s="4">
        <f t="shared" ca="1" si="24"/>
        <v>2070000</v>
      </c>
      <c r="L26" s="4">
        <f t="shared" ca="1" si="25"/>
        <v>1380000</v>
      </c>
      <c r="M26" s="4">
        <f t="shared" ca="1" si="26"/>
        <v>1725000</v>
      </c>
      <c r="N26" s="1137">
        <f t="shared" ca="1" si="27"/>
        <v>13827000</v>
      </c>
      <c r="O26" s="1204">
        <f t="shared" ca="1" si="28"/>
        <v>2.6565965474316715E-2</v>
      </c>
      <c r="P26" s="1203">
        <f t="shared" ref="P26:P40" ca="1" si="29">N26/N5</f>
        <v>0.36739736946990831</v>
      </c>
    </row>
    <row r="27" spans="1:16" x14ac:dyDescent="0.25">
      <c r="A27" s="1133" t="s">
        <v>37</v>
      </c>
      <c r="B27" s="4">
        <f t="shared" ca="1" si="15"/>
        <v>2134500</v>
      </c>
      <c r="C27" s="4">
        <f t="shared" ca="1" si="16"/>
        <v>0</v>
      </c>
      <c r="D27" s="4">
        <f t="shared" ca="1" si="17"/>
        <v>0</v>
      </c>
      <c r="E27" s="4">
        <f t="shared" ca="1" si="18"/>
        <v>2004000</v>
      </c>
      <c r="F27" s="4">
        <f t="shared" ca="1" si="19"/>
        <v>3720000</v>
      </c>
      <c r="G27" s="4">
        <f t="shared" ca="1" si="20"/>
        <v>0</v>
      </c>
      <c r="H27" s="4">
        <f t="shared" ca="1" si="21"/>
        <v>0</v>
      </c>
      <c r="I27" s="4">
        <f t="shared" ca="1" si="22"/>
        <v>0</v>
      </c>
      <c r="J27" s="4">
        <f t="shared" ca="1" si="23"/>
        <v>1823000</v>
      </c>
      <c r="K27" s="4">
        <f t="shared" ca="1" si="24"/>
        <v>0</v>
      </c>
      <c r="L27" s="4">
        <f t="shared" ca="1" si="25"/>
        <v>0</v>
      </c>
      <c r="M27" s="4">
        <f t="shared" ca="1" si="26"/>
        <v>0</v>
      </c>
      <c r="N27" s="1137">
        <f t="shared" ca="1" si="27"/>
        <v>9681500</v>
      </c>
      <c r="O27" s="1204">
        <f t="shared" ca="1" si="28"/>
        <v>1.8601171240297771E-2</v>
      </c>
      <c r="P27" s="1203">
        <f t="shared" ca="1" si="29"/>
        <v>0.19071961861986092</v>
      </c>
    </row>
    <row r="28" spans="1:16" x14ac:dyDescent="0.25">
      <c r="A28" s="1133" t="s">
        <v>33</v>
      </c>
      <c r="B28" s="4">
        <f t="shared" ca="1" si="15"/>
        <v>800000</v>
      </c>
      <c r="C28" s="4">
        <f t="shared" ca="1" si="16"/>
        <v>1544000</v>
      </c>
      <c r="D28" s="4">
        <f t="shared" ca="1" si="17"/>
        <v>3262500</v>
      </c>
      <c r="E28" s="4">
        <f t="shared" ca="1" si="18"/>
        <v>3466500</v>
      </c>
      <c r="F28" s="4">
        <f t="shared" ca="1" si="19"/>
        <v>1098000</v>
      </c>
      <c r="G28" s="4">
        <f t="shared" ca="1" si="20"/>
        <v>1614000</v>
      </c>
      <c r="H28" s="4">
        <f t="shared" ca="1" si="21"/>
        <v>1447800</v>
      </c>
      <c r="I28" s="4">
        <f t="shared" ca="1" si="22"/>
        <v>1876000</v>
      </c>
      <c r="J28" s="4">
        <f t="shared" ca="1" si="23"/>
        <v>1418000</v>
      </c>
      <c r="K28" s="4">
        <f t="shared" ca="1" si="24"/>
        <v>1284000</v>
      </c>
      <c r="L28" s="4">
        <f t="shared" ca="1" si="25"/>
        <v>2358000</v>
      </c>
      <c r="M28" s="4">
        <f t="shared" ca="1" si="26"/>
        <v>1490000</v>
      </c>
      <c r="N28" s="1137">
        <f t="shared" ca="1" si="27"/>
        <v>21658800</v>
      </c>
      <c r="O28" s="1204">
        <f t="shared" ca="1" si="28"/>
        <v>4.1613287988365576E-2</v>
      </c>
      <c r="P28" s="1203">
        <f t="shared" ca="1" si="29"/>
        <v>0.2207401216889695</v>
      </c>
    </row>
    <row r="29" spans="1:16" s="19" customFormat="1" x14ac:dyDescent="0.25">
      <c r="A29" s="1134" t="s">
        <v>38</v>
      </c>
      <c r="B29" s="4">
        <f t="shared" ca="1" si="15"/>
        <v>4039000</v>
      </c>
      <c r="C29" s="4">
        <f t="shared" ca="1" si="16"/>
        <v>4297500</v>
      </c>
      <c r="D29" s="4">
        <f t="shared" ca="1" si="17"/>
        <v>4513033</v>
      </c>
      <c r="E29" s="4">
        <f t="shared" ca="1" si="18"/>
        <v>1986522</v>
      </c>
      <c r="F29" s="4">
        <f t="shared" ca="1" si="19"/>
        <v>7398975</v>
      </c>
      <c r="G29" s="4">
        <f t="shared" ca="1" si="20"/>
        <v>3009000</v>
      </c>
      <c r="H29" s="4">
        <f t="shared" ca="1" si="21"/>
        <v>3133000</v>
      </c>
      <c r="I29" s="4">
        <f t="shared" ca="1" si="22"/>
        <v>3106500</v>
      </c>
      <c r="J29" s="4">
        <f t="shared" ca="1" si="23"/>
        <v>3599000</v>
      </c>
      <c r="K29" s="4">
        <f t="shared" ca="1" si="24"/>
        <v>4350000</v>
      </c>
      <c r="L29" s="4">
        <f t="shared" ca="1" si="25"/>
        <v>4382385</v>
      </c>
      <c r="M29" s="4">
        <f t="shared" ca="1" si="26"/>
        <v>6083000</v>
      </c>
      <c r="N29" s="1137">
        <f t="shared" ca="1" si="27"/>
        <v>49897915</v>
      </c>
      <c r="O29" s="1204">
        <f t="shared" ca="1" si="28"/>
        <v>9.5869406749865493E-2</v>
      </c>
      <c r="P29" s="1203">
        <f t="shared" ca="1" si="29"/>
        <v>0.31187951197254843</v>
      </c>
    </row>
    <row r="30" spans="1:16" x14ac:dyDescent="0.25">
      <c r="A30" s="1135" t="s">
        <v>32</v>
      </c>
      <c r="B30" s="4">
        <f t="shared" ca="1" si="15"/>
        <v>0</v>
      </c>
      <c r="C30" s="4">
        <f t="shared" ca="1" si="16"/>
        <v>0</v>
      </c>
      <c r="D30" s="4">
        <f t="shared" ca="1" si="17"/>
        <v>0</v>
      </c>
      <c r="E30" s="4">
        <f t="shared" ca="1" si="18"/>
        <v>0</v>
      </c>
      <c r="F30" s="4">
        <f t="shared" ca="1" si="19"/>
        <v>0</v>
      </c>
      <c r="G30" s="4">
        <f t="shared" ca="1" si="20"/>
        <v>0</v>
      </c>
      <c r="H30" s="4">
        <f t="shared" ca="1" si="21"/>
        <v>0</v>
      </c>
      <c r="I30" s="4">
        <f t="shared" ca="1" si="22"/>
        <v>0</v>
      </c>
      <c r="J30" s="4">
        <f t="shared" ca="1" si="23"/>
        <v>0</v>
      </c>
      <c r="K30" s="4">
        <f t="shared" ca="1" si="24"/>
        <v>0</v>
      </c>
      <c r="L30" s="4">
        <f t="shared" ca="1" si="25"/>
        <v>0</v>
      </c>
      <c r="M30" s="4">
        <f t="shared" ca="1" si="26"/>
        <v>0</v>
      </c>
      <c r="N30" s="1137">
        <f t="shared" ca="1" si="27"/>
        <v>0</v>
      </c>
      <c r="O30" s="1204">
        <f t="shared" ca="1" si="28"/>
        <v>0</v>
      </c>
      <c r="P30" s="1203" t="e">
        <f t="shared" ca="1" si="29"/>
        <v>#DIV/0!</v>
      </c>
    </row>
    <row r="31" spans="1:16" x14ac:dyDescent="0.25">
      <c r="A31" s="1136" t="s">
        <v>2226</v>
      </c>
      <c r="B31" s="4">
        <f t="shared" ca="1" si="15"/>
        <v>0</v>
      </c>
      <c r="C31" s="4">
        <f t="shared" ca="1" si="16"/>
        <v>0</v>
      </c>
      <c r="D31" s="4">
        <f t="shared" ca="1" si="17"/>
        <v>0</v>
      </c>
      <c r="E31" s="4">
        <f t="shared" ca="1" si="18"/>
        <v>0</v>
      </c>
      <c r="F31" s="4">
        <f t="shared" ca="1" si="19"/>
        <v>803201.12</v>
      </c>
      <c r="G31" s="4">
        <f t="shared" ca="1" si="20"/>
        <v>0</v>
      </c>
      <c r="H31" s="4">
        <f t="shared" ca="1" si="21"/>
        <v>0</v>
      </c>
      <c r="I31" s="4">
        <f t="shared" ca="1" si="22"/>
        <v>0</v>
      </c>
      <c r="J31" s="4">
        <f t="shared" ca="1" si="23"/>
        <v>0</v>
      </c>
      <c r="K31" s="4">
        <f t="shared" ca="1" si="24"/>
        <v>0</v>
      </c>
      <c r="L31" s="4">
        <f t="shared" ca="1" si="25"/>
        <v>0</v>
      </c>
      <c r="M31" s="4">
        <f t="shared" ca="1" si="26"/>
        <v>2722500</v>
      </c>
      <c r="N31" s="1137">
        <f t="shared" ca="1" si="27"/>
        <v>3525701.12</v>
      </c>
      <c r="O31" s="1204">
        <f t="shared" ca="1" si="28"/>
        <v>6.7739679053069914E-3</v>
      </c>
      <c r="P31" s="1203">
        <f t="shared" ca="1" si="29"/>
        <v>0.56592313322632426</v>
      </c>
    </row>
    <row r="32" spans="1:16" x14ac:dyDescent="0.25">
      <c r="A32" s="1136" t="s">
        <v>2228</v>
      </c>
      <c r="B32" s="4">
        <f t="shared" ca="1" si="15"/>
        <v>0</v>
      </c>
      <c r="C32" s="4">
        <f t="shared" ca="1" si="16"/>
        <v>484540</v>
      </c>
      <c r="D32" s="4">
        <f t="shared" ca="1" si="17"/>
        <v>478400</v>
      </c>
      <c r="E32" s="4">
        <f t="shared" ca="1" si="18"/>
        <v>2447200</v>
      </c>
      <c r="F32" s="4">
        <f t="shared" ca="1" si="19"/>
        <v>379000</v>
      </c>
      <c r="G32" s="4">
        <f t="shared" ca="1" si="20"/>
        <v>2816800</v>
      </c>
      <c r="H32" s="4">
        <f t="shared" ca="1" si="21"/>
        <v>540400</v>
      </c>
      <c r="I32" s="4">
        <f t="shared" ca="1" si="22"/>
        <v>2827600</v>
      </c>
      <c r="J32" s="4">
        <f t="shared" ca="1" si="23"/>
        <v>478400</v>
      </c>
      <c r="K32" s="4">
        <f t="shared" ca="1" si="24"/>
        <v>2438090</v>
      </c>
      <c r="L32" s="4">
        <f t="shared" ca="1" si="25"/>
        <v>368040</v>
      </c>
      <c r="M32" s="4">
        <f t="shared" ca="1" si="26"/>
        <v>0</v>
      </c>
      <c r="N32" s="1137">
        <f t="shared" ca="1" si="27"/>
        <v>13258470</v>
      </c>
      <c r="O32" s="1204">
        <f t="shared" ca="1" si="28"/>
        <v>2.5473642602318936E-2</v>
      </c>
      <c r="P32" s="1203">
        <f t="shared" ca="1" si="29"/>
        <v>0.26700183358388618</v>
      </c>
    </row>
    <row r="33" spans="1:16" x14ac:dyDescent="0.25">
      <c r="A33" s="1136" t="s">
        <v>2229</v>
      </c>
      <c r="B33" s="4">
        <f t="shared" ca="1" si="15"/>
        <v>4498000</v>
      </c>
      <c r="C33" s="4">
        <f t="shared" ca="1" si="16"/>
        <v>3192000</v>
      </c>
      <c r="D33" s="4">
        <f t="shared" ca="1" si="17"/>
        <v>4255000</v>
      </c>
      <c r="E33" s="4">
        <f t="shared" ca="1" si="18"/>
        <v>3430000</v>
      </c>
      <c r="F33" s="4">
        <f t="shared" ca="1" si="19"/>
        <v>3371200</v>
      </c>
      <c r="G33" s="4">
        <f t="shared" ca="1" si="20"/>
        <v>2107000</v>
      </c>
      <c r="H33" s="4">
        <f t="shared" ca="1" si="21"/>
        <v>2574400</v>
      </c>
      <c r="I33" s="4">
        <f t="shared" ca="1" si="22"/>
        <v>2097000</v>
      </c>
      <c r="J33" s="4">
        <f t="shared" ca="1" si="23"/>
        <v>2374000</v>
      </c>
      <c r="K33" s="4">
        <f t="shared" ca="1" si="24"/>
        <v>2647000</v>
      </c>
      <c r="L33" s="4">
        <f t="shared" ca="1" si="25"/>
        <v>3707000</v>
      </c>
      <c r="M33" s="4">
        <f t="shared" ca="1" si="26"/>
        <v>5140000</v>
      </c>
      <c r="N33" s="1137">
        <f t="shared" ca="1" si="27"/>
        <v>39392600</v>
      </c>
      <c r="O33" s="1204">
        <f t="shared" ca="1" si="28"/>
        <v>7.5685430790740485E-2</v>
      </c>
      <c r="P33" s="1203">
        <f t="shared" ca="1" si="29"/>
        <v>0.31488888888888888</v>
      </c>
    </row>
    <row r="34" spans="1:16" s="19" customFormat="1" x14ac:dyDescent="0.25">
      <c r="A34" s="1133" t="s">
        <v>39</v>
      </c>
      <c r="B34" s="4">
        <f t="shared" ca="1" si="15"/>
        <v>1007819</v>
      </c>
      <c r="C34" s="4">
        <f t="shared" ca="1" si="16"/>
        <v>1122800</v>
      </c>
      <c r="D34" s="4">
        <f t="shared" ca="1" si="17"/>
        <v>1794000</v>
      </c>
      <c r="E34" s="4">
        <f t="shared" ca="1" si="18"/>
        <v>0</v>
      </c>
      <c r="F34" s="4">
        <f t="shared" ca="1" si="19"/>
        <v>260000</v>
      </c>
      <c r="G34" s="4">
        <f t="shared" ca="1" si="20"/>
        <v>2210530</v>
      </c>
      <c r="H34" s="4">
        <f t="shared" ca="1" si="21"/>
        <v>1260120</v>
      </c>
      <c r="I34" s="4">
        <f t="shared" ca="1" si="22"/>
        <v>390000</v>
      </c>
      <c r="J34" s="4">
        <f t="shared" ca="1" si="23"/>
        <v>360000</v>
      </c>
      <c r="K34" s="4">
        <f t="shared" ca="1" si="24"/>
        <v>0</v>
      </c>
      <c r="L34" s="4">
        <f t="shared" ca="1" si="25"/>
        <v>885410</v>
      </c>
      <c r="M34" s="4">
        <f t="shared" ca="1" si="26"/>
        <v>780000</v>
      </c>
      <c r="N34" s="1137">
        <f t="shared" ca="1" si="27"/>
        <v>10070679</v>
      </c>
      <c r="O34" s="1204">
        <f t="shared" ca="1" si="28"/>
        <v>1.9348905085479595E-2</v>
      </c>
      <c r="P34" s="1203">
        <f t="shared" ca="1" si="29"/>
        <v>0.51618036904151721</v>
      </c>
    </row>
    <row r="35" spans="1:16" s="19" customFormat="1" x14ac:dyDescent="0.25">
      <c r="A35" s="1138" t="s">
        <v>40</v>
      </c>
      <c r="B35" s="4">
        <f t="shared" ca="1" si="15"/>
        <v>4278200</v>
      </c>
      <c r="C35" s="4">
        <f t="shared" ca="1" si="16"/>
        <v>16193478.534138054</v>
      </c>
      <c r="D35" s="4">
        <f t="shared" ca="1" si="17"/>
        <v>7571670</v>
      </c>
      <c r="E35" s="4">
        <f t="shared" ca="1" si="18"/>
        <v>5203073</v>
      </c>
      <c r="F35" s="4">
        <f t="shared" ca="1" si="19"/>
        <v>8586040</v>
      </c>
      <c r="G35" s="4">
        <f t="shared" ca="1" si="20"/>
        <v>3238038</v>
      </c>
      <c r="H35" s="4">
        <f t="shared" ca="1" si="21"/>
        <v>94920</v>
      </c>
      <c r="I35" s="4">
        <f t="shared" ca="1" si="22"/>
        <v>0</v>
      </c>
      <c r="J35" s="4">
        <f t="shared" ca="1" si="23"/>
        <v>4007342</v>
      </c>
      <c r="K35" s="4">
        <f t="shared" ca="1" si="24"/>
        <v>952200</v>
      </c>
      <c r="L35" s="4">
        <f t="shared" ca="1" si="25"/>
        <v>23377364</v>
      </c>
      <c r="M35" s="4">
        <f t="shared" ca="1" si="26"/>
        <v>4034059.0590717783</v>
      </c>
      <c r="N35" s="1140">
        <f t="shared" ca="1" si="27"/>
        <v>77536384.593209833</v>
      </c>
      <c r="O35" s="1204">
        <f t="shared" ca="1" si="28"/>
        <v>0.14897149895903339</v>
      </c>
      <c r="P35" s="1203">
        <f t="shared" ca="1" si="29"/>
        <v>9.5566970045274716E-2</v>
      </c>
    </row>
    <row r="36" spans="1:16" x14ac:dyDescent="0.25">
      <c r="A36" s="1139" t="s">
        <v>281</v>
      </c>
      <c r="B36" s="4">
        <f t="shared" ca="1" si="15"/>
        <v>415000</v>
      </c>
      <c r="C36" s="4">
        <f t="shared" ca="1" si="16"/>
        <v>0</v>
      </c>
      <c r="D36" s="4">
        <f t="shared" ca="1" si="17"/>
        <v>0</v>
      </c>
      <c r="E36" s="4">
        <f t="shared" ca="1" si="18"/>
        <v>0</v>
      </c>
      <c r="F36" s="4">
        <f t="shared" ca="1" si="19"/>
        <v>0</v>
      </c>
      <c r="G36" s="4">
        <f t="shared" ca="1" si="20"/>
        <v>0</v>
      </c>
      <c r="H36" s="4">
        <f t="shared" ca="1" si="21"/>
        <v>0</v>
      </c>
      <c r="I36" s="4">
        <f t="shared" ca="1" si="22"/>
        <v>0</v>
      </c>
      <c r="J36" s="4">
        <f t="shared" ca="1" si="23"/>
        <v>0</v>
      </c>
      <c r="K36" s="4">
        <f t="shared" ca="1" si="24"/>
        <v>0</v>
      </c>
      <c r="L36" s="4">
        <f t="shared" ca="1" si="25"/>
        <v>0</v>
      </c>
      <c r="M36" s="4">
        <f t="shared" ca="1" si="26"/>
        <v>0</v>
      </c>
      <c r="N36" s="1140">
        <f t="shared" ca="1" si="27"/>
        <v>415000</v>
      </c>
      <c r="O36" s="1204">
        <f t="shared" ca="1" si="28"/>
        <v>7.9734401329582968E-4</v>
      </c>
      <c r="P36" s="1203">
        <f t="shared" ca="1" si="29"/>
        <v>1.0061825675839495E-2</v>
      </c>
    </row>
    <row r="37" spans="1:16" x14ac:dyDescent="0.25">
      <c r="A37" s="1114" t="s">
        <v>2227</v>
      </c>
      <c r="B37" s="4">
        <f t="shared" ca="1" si="15"/>
        <v>0</v>
      </c>
      <c r="C37" s="4">
        <f t="shared" ca="1" si="16"/>
        <v>0</v>
      </c>
      <c r="D37" s="4">
        <f t="shared" ca="1" si="17"/>
        <v>0</v>
      </c>
      <c r="E37" s="4">
        <f t="shared" ca="1" si="18"/>
        <v>0</v>
      </c>
      <c r="F37" s="4">
        <f t="shared" ca="1" si="19"/>
        <v>0</v>
      </c>
      <c r="G37" s="4">
        <f t="shared" ca="1" si="20"/>
        <v>0</v>
      </c>
      <c r="H37" s="4">
        <f t="shared" ca="1" si="21"/>
        <v>0</v>
      </c>
      <c r="I37" s="4">
        <f t="shared" ca="1" si="22"/>
        <v>0</v>
      </c>
      <c r="J37" s="4">
        <f t="shared" ca="1" si="23"/>
        <v>0</v>
      </c>
      <c r="K37" s="4">
        <f t="shared" ca="1" si="24"/>
        <v>0</v>
      </c>
      <c r="L37" s="4">
        <f t="shared" ca="1" si="25"/>
        <v>0</v>
      </c>
      <c r="M37" s="4">
        <f t="shared" ca="1" si="26"/>
        <v>0</v>
      </c>
      <c r="N37" s="1111">
        <f t="shared" ca="1" si="27"/>
        <v>0</v>
      </c>
      <c r="O37" s="1204">
        <f t="shared" ca="1" si="28"/>
        <v>0</v>
      </c>
      <c r="P37" s="1203"/>
    </row>
    <row r="38" spans="1:16" s="19" customFormat="1" x14ac:dyDescent="0.25">
      <c r="A38" s="1114" t="s">
        <v>187</v>
      </c>
      <c r="B38" s="4">
        <f t="shared" ca="1" si="15"/>
        <v>1353600</v>
      </c>
      <c r="C38" s="4">
        <f t="shared" ca="1" si="16"/>
        <v>822400</v>
      </c>
      <c r="D38" s="4">
        <f t="shared" ca="1" si="17"/>
        <v>918000</v>
      </c>
      <c r="E38" s="4">
        <f t="shared" ca="1" si="18"/>
        <v>961800</v>
      </c>
      <c r="F38" s="4">
        <f t="shared" ca="1" si="19"/>
        <v>822400</v>
      </c>
      <c r="G38" s="4">
        <f t="shared" ca="1" si="20"/>
        <v>918000</v>
      </c>
      <c r="H38" s="4">
        <f t="shared" ca="1" si="21"/>
        <v>451200</v>
      </c>
      <c r="I38" s="4">
        <f t="shared" ca="1" si="22"/>
        <v>722400</v>
      </c>
      <c r="J38" s="4">
        <f t="shared" ca="1" si="23"/>
        <v>656800</v>
      </c>
      <c r="K38" s="4">
        <f t="shared" ca="1" si="24"/>
        <v>822400</v>
      </c>
      <c r="L38" s="4">
        <f t="shared" ca="1" si="25"/>
        <v>1010500</v>
      </c>
      <c r="M38" s="4">
        <f t="shared" ca="1" si="26"/>
        <v>626800</v>
      </c>
      <c r="N38" s="1111">
        <f t="shared" ca="1" si="27"/>
        <v>10086300</v>
      </c>
      <c r="O38" s="1204">
        <f t="shared" ca="1" si="28"/>
        <v>1.9378917882664402E-2</v>
      </c>
      <c r="P38" s="1203">
        <f t="shared" ca="1" si="29"/>
        <v>7.3065992870373658E-2</v>
      </c>
    </row>
    <row r="39" spans="1:16" s="19" customFormat="1" x14ac:dyDescent="0.25">
      <c r="A39" s="1110" t="s">
        <v>2272</v>
      </c>
      <c r="B39" s="4">
        <f t="shared" ca="1" si="15"/>
        <v>13561900</v>
      </c>
      <c r="C39" s="4">
        <f t="shared" ca="1" si="16"/>
        <v>15048500</v>
      </c>
      <c r="D39" s="4">
        <f t="shared" ca="1" si="17"/>
        <v>15189500</v>
      </c>
      <c r="E39" s="4">
        <f t="shared" ca="1" si="18"/>
        <v>14027700</v>
      </c>
      <c r="F39" s="4">
        <f t="shared" ca="1" si="19"/>
        <v>13772400</v>
      </c>
      <c r="G39" s="4">
        <f t="shared" ca="1" si="20"/>
        <v>8660200</v>
      </c>
      <c r="H39" s="4">
        <f t="shared" ca="1" si="21"/>
        <v>10743400</v>
      </c>
      <c r="I39" s="4">
        <f t="shared" ca="1" si="22"/>
        <v>11501250</v>
      </c>
      <c r="J39" s="4">
        <f t="shared" ca="1" si="23"/>
        <v>12978400</v>
      </c>
      <c r="K39" s="4">
        <f t="shared" ca="1" si="24"/>
        <v>12364500</v>
      </c>
      <c r="L39" s="4">
        <f t="shared" ca="1" si="25"/>
        <v>10718700</v>
      </c>
      <c r="M39" s="4">
        <f t="shared" ca="1" si="26"/>
        <v>11805800</v>
      </c>
      <c r="N39" s="1111">
        <f t="shared" ca="1" si="27"/>
        <v>150372250</v>
      </c>
      <c r="O39" s="1204">
        <f t="shared" ca="1" si="28"/>
        <v>0.28891183928511766</v>
      </c>
      <c r="P39" s="1203">
        <f t="shared" ca="1" si="29"/>
        <v>0.30006191914632596</v>
      </c>
    </row>
    <row r="40" spans="1:16" s="19" customFormat="1" ht="17.25" thickBot="1" x14ac:dyDescent="0.3">
      <c r="A40" s="1141" t="s">
        <v>179</v>
      </c>
      <c r="B40" s="4">
        <f t="shared" ca="1" si="15"/>
        <v>6914285</v>
      </c>
      <c r="C40" s="4">
        <f t="shared" ca="1" si="16"/>
        <v>5902640</v>
      </c>
      <c r="D40" s="4">
        <f t="shared" ca="1" si="17"/>
        <v>7942411</v>
      </c>
      <c r="E40" s="4">
        <f t="shared" ca="1" si="18"/>
        <v>6882500</v>
      </c>
      <c r="F40" s="4">
        <f t="shared" ca="1" si="19"/>
        <v>9292018.2243055329</v>
      </c>
      <c r="G40" s="4">
        <f t="shared" ca="1" si="20"/>
        <v>8760524</v>
      </c>
      <c r="H40" s="4">
        <f t="shared" ca="1" si="21"/>
        <v>4802420</v>
      </c>
      <c r="I40" s="4">
        <f t="shared" ca="1" si="22"/>
        <v>5285578</v>
      </c>
      <c r="J40" s="4">
        <f t="shared" ca="1" si="23"/>
        <v>7451019</v>
      </c>
      <c r="K40" s="4">
        <f t="shared" ca="1" si="24"/>
        <v>7369328.7999999998</v>
      </c>
      <c r="L40" s="4">
        <f t="shared" ca="1" si="25"/>
        <v>30923008</v>
      </c>
      <c r="M40" s="4">
        <f t="shared" ca="1" si="26"/>
        <v>9100106.5</v>
      </c>
      <c r="N40" s="1142">
        <f t="shared" ca="1" si="27"/>
        <v>110625838.52430554</v>
      </c>
      <c r="O40" s="1204">
        <f t="shared" ca="1" si="28"/>
        <v>0.21254662665827995</v>
      </c>
      <c r="P40" s="1203">
        <f t="shared" ca="1" si="29"/>
        <v>0.25615081093191805</v>
      </c>
    </row>
    <row r="41" spans="1:16" ht="17.25" thickTop="1" x14ac:dyDescent="0.25">
      <c r="A41" s="1144" t="s">
        <v>2181</v>
      </c>
      <c r="B41" s="9">
        <f t="shared" ref="B41:O41" ca="1" si="30">SUM(B25:B40)</f>
        <v>42044024</v>
      </c>
      <c r="C41" s="9">
        <f t="shared" ca="1" si="30"/>
        <v>51255558.534138054</v>
      </c>
      <c r="D41" s="9">
        <f ca="1">SUM(D25:D40)</f>
        <v>46789514</v>
      </c>
      <c r="E41" s="9">
        <f t="shared" ca="1" si="30"/>
        <v>41701235</v>
      </c>
      <c r="F41" s="9">
        <f ca="1">SUM(F25:F40)</f>
        <v>50682234.34430553</v>
      </c>
      <c r="G41" s="9">
        <f t="shared" ca="1" si="30"/>
        <v>34824872</v>
      </c>
      <c r="H41" s="9">
        <f t="shared" ca="1" si="30"/>
        <v>26684600</v>
      </c>
      <c r="I41" s="9">
        <f t="shared" ca="1" si="30"/>
        <v>29537268</v>
      </c>
      <c r="J41" s="9">
        <f t="shared" ca="1" si="30"/>
        <v>36067901</v>
      </c>
      <c r="K41" s="9">
        <f t="shared" ca="1" si="30"/>
        <v>35381098.799999997</v>
      </c>
      <c r="L41" s="9">
        <f ca="1">SUM(L25:L40)</f>
        <v>81333467</v>
      </c>
      <c r="M41" s="9">
        <f t="shared" ca="1" si="30"/>
        <v>44176205.559071779</v>
      </c>
      <c r="N41" s="1143">
        <f t="shared" ca="1" si="30"/>
        <v>520477978.23751539</v>
      </c>
      <c r="O41" s="1115">
        <f t="shared" ca="1" si="30"/>
        <v>0.99999999999999989</v>
      </c>
      <c r="P41" s="1116"/>
    </row>
    <row r="42" spans="1:16" x14ac:dyDescent="0.25">
      <c r="A42" s="21" t="s">
        <v>43</v>
      </c>
      <c r="B42" s="22">
        <f t="shared" ref="B42:N42" ca="1" si="31">B41/B20</f>
        <v>0.29584417557569187</v>
      </c>
      <c r="C42" s="22">
        <f t="shared" ca="1" si="31"/>
        <v>0.22105294984901264</v>
      </c>
      <c r="D42" s="22">
        <f t="shared" ca="1" si="31"/>
        <v>0.31273809389732959</v>
      </c>
      <c r="E42" s="22">
        <f t="shared" ca="1" si="31"/>
        <v>7.5227416388195162E-2</v>
      </c>
      <c r="F42" s="22">
        <f t="shared" ca="1" si="31"/>
        <v>0.27972952398572454</v>
      </c>
      <c r="G42" s="22">
        <f t="shared" ca="1" si="31"/>
        <v>0.16269655404395275</v>
      </c>
      <c r="H42" s="22">
        <f t="shared" ca="1" si="31"/>
        <v>0.15578645755492451</v>
      </c>
      <c r="I42" s="22">
        <f t="shared" ca="1" si="31"/>
        <v>0.25946983845322696</v>
      </c>
      <c r="J42" s="22">
        <f t="shared" ca="1" si="31"/>
        <v>0.26739702354298323</v>
      </c>
      <c r="K42" s="22">
        <f t="shared" ca="1" si="31"/>
        <v>0.25416344653687939</v>
      </c>
      <c r="L42" s="22">
        <f t="shared" ca="1" si="31"/>
        <v>0.27964617907859063</v>
      </c>
      <c r="M42" s="22">
        <f t="shared" ca="1" si="31"/>
        <v>0.23560208891549664</v>
      </c>
      <c r="N42" s="26">
        <f t="shared" ca="1" si="31"/>
        <v>0.20730144732210068</v>
      </c>
      <c r="O42" s="1116"/>
      <c r="P42" s="1116"/>
    </row>
    <row r="51" spans="1:8" x14ac:dyDescent="0.25">
      <c r="A51" s="1229"/>
      <c r="B51" s="1229"/>
      <c r="C51" s="5"/>
      <c r="D51" s="5"/>
      <c r="E51" s="5"/>
      <c r="F51" s="5"/>
      <c r="G51" s="1229"/>
      <c r="H51" s="1229"/>
    </row>
    <row r="70" spans="1:8" x14ac:dyDescent="0.25">
      <c r="A70" s="1229"/>
      <c r="B70" s="1229"/>
      <c r="C70" s="5"/>
      <c r="D70" s="5"/>
      <c r="E70" s="5"/>
      <c r="F70" s="5"/>
      <c r="G70" s="1230"/>
      <c r="H70" s="1230"/>
    </row>
  </sheetData>
  <mergeCells count="4">
    <mergeCell ref="A51:B51"/>
    <mergeCell ref="G51:H51"/>
    <mergeCell ref="A70:B70"/>
    <mergeCell ref="G70:H70"/>
  </mergeCells>
  <phoneticPr fontId="95" type="noConversion"/>
  <printOptions horizontalCentered="1"/>
  <pageMargins left="0.23622047244094491" right="0.19685039370078741" top="0.11811023622047245" bottom="0.19685039370078741" header="0.11811023622047245" footer="0.11811023622047245"/>
  <pageSetup paperSize="9" scale="26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A1:P70"/>
  <sheetViews>
    <sheetView zoomScale="70" zoomScaleNormal="70" workbookViewId="0">
      <selection activeCell="L20" sqref="L20:M20"/>
    </sheetView>
  </sheetViews>
  <sheetFormatPr defaultRowHeight="16.5" x14ac:dyDescent="0.25"/>
  <cols>
    <col min="1" max="1" width="15.22265625" customWidth="1"/>
    <col min="2" max="2" width="14.109375" customWidth="1"/>
    <col min="3" max="3" width="15.22265625" customWidth="1"/>
    <col min="4" max="4" width="15.71875" bestFit="1" customWidth="1"/>
    <col min="5" max="5" width="16.5859375" customWidth="1"/>
    <col min="6" max="6" width="16.5859375" bestFit="1" customWidth="1"/>
    <col min="7" max="8" width="12.625" bestFit="1" customWidth="1"/>
    <col min="9" max="9" width="12.625" customWidth="1"/>
    <col min="10" max="10" width="13.2421875" customWidth="1"/>
    <col min="11" max="13" width="12.625" customWidth="1"/>
    <col min="14" max="14" width="15.71875" customWidth="1"/>
    <col min="15" max="15" width="16.5859375" bestFit="1" customWidth="1"/>
    <col min="16" max="23" width="20.30078125" customWidth="1"/>
  </cols>
  <sheetData>
    <row r="1" spans="1:15" ht="23.25" customHeight="1" x14ac:dyDescent="0.25">
      <c r="A1" s="12" t="s">
        <v>29</v>
      </c>
    </row>
    <row r="2" spans="1:15" x14ac:dyDescent="0.25">
      <c r="A2" s="13"/>
      <c r="B2" s="14">
        <v>2020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5" x14ac:dyDescent="0.25">
      <c r="A3" s="15" t="s">
        <v>30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>
        <v>12</v>
      </c>
      <c r="N3" s="16" t="s">
        <v>31</v>
      </c>
      <c r="O3" s="5" t="s">
        <v>51</v>
      </c>
    </row>
    <row r="4" spans="1:15" x14ac:dyDescent="0.25">
      <c r="A4" s="1133" t="s">
        <v>34</v>
      </c>
      <c r="B4" s="4">
        <f ca="1">SUMIF(INDIRECT("Report!I2740:I2817"),A4,INDIRECT("Report!G2740:G2817"))</f>
        <v>2352000</v>
      </c>
      <c r="C4" s="4">
        <f ca="1">SUMIF(INDIRECT("Report!I2818:I2896"),A4,INDIRECT("Report!G2818:G2896"))</f>
        <v>2445000</v>
      </c>
      <c r="D4" s="4">
        <f ca="1">SUMIF(INDIRECT("Report!I2897:I2968"),A4,INDIRECT("Report!G2897:G2968"))</f>
        <v>9799000</v>
      </c>
      <c r="E4" s="4">
        <f t="shared" ref="E4:E19" ca="1" si="0">SUMIF(INDIRECT("Report!I2969:I3034"),A4,INDIRECT("Report!G2969:G3034"))</f>
        <v>287000</v>
      </c>
      <c r="F4" s="4">
        <f t="shared" ref="F4:F19" ca="1" si="1">SUMIF(INDIRECT("Report!I3035:I3105"),A4,INDIRECT("Report!G3035:G3105"))</f>
        <v>0</v>
      </c>
      <c r="G4" s="4">
        <f t="shared" ref="G4:G19" ca="1" si="2">SUMIF(INDIRECT("Report!I3106:I3177"),A4,INDIRECT("Report!G3106:G3177"))</f>
        <v>2598000</v>
      </c>
      <c r="H4" s="4">
        <f t="shared" ref="H4:H19" ca="1" si="3">SUMIF(INDIRECT("Report!I3178:I3236"),A4,INDIRECT("Report!G3178:G3236"))</f>
        <v>2445000</v>
      </c>
      <c r="I4" s="4">
        <f t="shared" ref="I4:I19" ca="1" si="4">SUMIF(INDIRECT("Report!I3237:I3307"),A4,INDIRECT("Report!G3237:G3307"))</f>
        <v>2557000</v>
      </c>
      <c r="J4" s="4">
        <f t="shared" ref="J4:J19" ca="1" si="5">SUMIF(INDIRECT("Report!I3308:I3380"),A4,INDIRECT("Report!G3308:G3380"))</f>
        <v>2445000</v>
      </c>
      <c r="K4" s="4">
        <f t="shared" ref="K4:K19" ca="1" si="6">SUMIF(INDIRECT("Report!I3381:I3466"),A4,INDIRECT("Report!G3381:G3466"))</f>
        <v>2557000</v>
      </c>
      <c r="L4" s="4">
        <f ca="1">SUMIF(INDIRECT("Report!I3467:I3565"),A4,INDIRECT("Report!G3467:G3565"))</f>
        <v>4890000</v>
      </c>
      <c r="M4" s="4">
        <f ca="1">SUMIF(INDIRECT("Report!I3566:I3669"),A4,INDIRECT("Report!G3566:G3669"))</f>
        <v>4950000</v>
      </c>
      <c r="N4" s="1137">
        <f t="shared" ref="N4:N18" ca="1" si="7">SUM(B4:M4)</f>
        <v>37325000</v>
      </c>
      <c r="O4" s="1115">
        <f t="shared" ref="O4:O19" ca="1" si="8">N4/$N$20</f>
        <v>1.7375421822813007E-2</v>
      </c>
    </row>
    <row r="5" spans="1:15" x14ac:dyDescent="0.25">
      <c r="A5" s="1133" t="s">
        <v>35</v>
      </c>
      <c r="B5" s="4">
        <f t="shared" ref="B5:B19" ca="1" si="9">SUMIF(INDIRECT("Report!I2740:I2817"),A5,INDIRECT("Report!G2740:G2817"))</f>
        <v>2502500</v>
      </c>
      <c r="C5" s="4">
        <f t="shared" ref="C5:C19" ca="1" si="10">SUMIF(INDIRECT("Report!I2818:I2896"),A5,INDIRECT("Report!G2818:G2896"))</f>
        <v>0</v>
      </c>
      <c r="D5" s="4">
        <f t="shared" ref="D5:D19" ca="1" si="11">SUMIF(INDIRECT("Report!I2897:I2968"),A5,INDIRECT("Report!G2897:G2968"))</f>
        <v>0</v>
      </c>
      <c r="E5" s="4">
        <f t="shared" ca="1" si="0"/>
        <v>962500</v>
      </c>
      <c r="F5" s="4">
        <f t="shared" ca="1" si="1"/>
        <v>2887500</v>
      </c>
      <c r="G5" s="4">
        <f t="shared" ca="1" si="2"/>
        <v>962500</v>
      </c>
      <c r="H5" s="4">
        <f t="shared" ca="1" si="3"/>
        <v>1502500</v>
      </c>
      <c r="I5" s="4">
        <f t="shared" ca="1" si="4"/>
        <v>1925000</v>
      </c>
      <c r="J5" s="4">
        <f t="shared" ca="1" si="5"/>
        <v>962500</v>
      </c>
      <c r="K5" s="4">
        <f t="shared" ca="1" si="6"/>
        <v>2887500</v>
      </c>
      <c r="L5" s="4">
        <f t="shared" ref="L5:L19" ca="1" si="12">SUMIF(INDIRECT("Report!I3467:I3565"),A5,INDIRECT("Report!G3467:G3565"))</f>
        <v>3850000</v>
      </c>
      <c r="M5" s="4">
        <f t="shared" ref="M5:M19" ca="1" si="13">SUMIF(INDIRECT("Report!I3566:I3669"),A5,INDIRECT("Report!G3566:G3669"))</f>
        <v>5775000</v>
      </c>
      <c r="N5" s="1137">
        <f t="shared" ca="1" si="7"/>
        <v>24217500</v>
      </c>
      <c r="O5" s="1115">
        <f t="shared" ca="1" si="8"/>
        <v>1.1273657816315445E-2</v>
      </c>
    </row>
    <row r="6" spans="1:15" x14ac:dyDescent="0.25">
      <c r="A6" s="1133" t="s">
        <v>37</v>
      </c>
      <c r="B6" s="4">
        <f t="shared" ca="1" si="9"/>
        <v>0</v>
      </c>
      <c r="C6" s="4">
        <f t="shared" ca="1" si="10"/>
        <v>10050000</v>
      </c>
      <c r="D6" s="4">
        <f t="shared" ca="1" si="11"/>
        <v>0</v>
      </c>
      <c r="E6" s="4">
        <f t="shared" ca="1" si="0"/>
        <v>10480000</v>
      </c>
      <c r="F6" s="4">
        <f t="shared" ca="1" si="1"/>
        <v>0</v>
      </c>
      <c r="G6" s="4">
        <f t="shared" ca="1" si="2"/>
        <v>0</v>
      </c>
      <c r="H6" s="4">
        <f t="shared" ca="1" si="3"/>
        <v>0</v>
      </c>
      <c r="I6" s="4">
        <f t="shared" ca="1" si="4"/>
        <v>0</v>
      </c>
      <c r="J6" s="4">
        <f t="shared" ca="1" si="5"/>
        <v>20900000</v>
      </c>
      <c r="K6" s="4">
        <f t="shared" ca="1" si="6"/>
        <v>12400000</v>
      </c>
      <c r="L6" s="4">
        <f t="shared" ca="1" si="12"/>
        <v>5420000</v>
      </c>
      <c r="M6" s="4">
        <f t="shared" ca="1" si="13"/>
        <v>5080000</v>
      </c>
      <c r="N6" s="1137">
        <f t="shared" ca="1" si="7"/>
        <v>64330000</v>
      </c>
      <c r="O6" s="1115">
        <f t="shared" ca="1" si="8"/>
        <v>2.9946708261528752E-2</v>
      </c>
    </row>
    <row r="7" spans="1:15" x14ac:dyDescent="0.25">
      <c r="A7" s="1133" t="s">
        <v>33</v>
      </c>
      <c r="B7" s="4">
        <f t="shared" ca="1" si="9"/>
        <v>6374000</v>
      </c>
      <c r="C7" s="4">
        <f t="shared" ca="1" si="10"/>
        <v>7499000</v>
      </c>
      <c r="D7" s="4">
        <f t="shared" ca="1" si="11"/>
        <v>9674000</v>
      </c>
      <c r="E7" s="4">
        <f t="shared" ca="1" si="0"/>
        <v>5096000</v>
      </c>
      <c r="F7" s="4">
        <f t="shared" ca="1" si="1"/>
        <v>5140000</v>
      </c>
      <c r="G7" s="4">
        <f t="shared" ca="1" si="2"/>
        <v>6062000</v>
      </c>
      <c r="H7" s="4">
        <f t="shared" ca="1" si="3"/>
        <v>6847000</v>
      </c>
      <c r="I7" s="4">
        <f t="shared" ca="1" si="4"/>
        <v>6276000</v>
      </c>
      <c r="J7" s="4">
        <f t="shared" ca="1" si="5"/>
        <v>7304000</v>
      </c>
      <c r="K7" s="4">
        <f t="shared" ca="1" si="6"/>
        <v>5754000</v>
      </c>
      <c r="L7" s="4">
        <f t="shared" ca="1" si="12"/>
        <v>4080000</v>
      </c>
      <c r="M7" s="4">
        <f t="shared" ca="1" si="13"/>
        <v>7552000</v>
      </c>
      <c r="N7" s="1137">
        <f t="shared" ca="1" si="7"/>
        <v>77658000</v>
      </c>
      <c r="O7" s="1115">
        <f t="shared" ca="1" si="8"/>
        <v>3.6151118765331884E-2</v>
      </c>
    </row>
    <row r="8" spans="1:15" s="19" customFormat="1" x14ac:dyDescent="0.25">
      <c r="A8" s="1134" t="s">
        <v>38</v>
      </c>
      <c r="B8" s="4">
        <f t="shared" ca="1" si="9"/>
        <v>16715000</v>
      </c>
      <c r="C8" s="4">
        <f t="shared" ca="1" si="10"/>
        <v>14486000</v>
      </c>
      <c r="D8" s="4">
        <f t="shared" ca="1" si="11"/>
        <v>14466000</v>
      </c>
      <c r="E8" s="4">
        <f t="shared" ca="1" si="0"/>
        <v>19758000</v>
      </c>
      <c r="F8" s="4">
        <f t="shared" ca="1" si="1"/>
        <v>11719000</v>
      </c>
      <c r="G8" s="4">
        <f t="shared" ca="1" si="2"/>
        <v>5910000</v>
      </c>
      <c r="H8" s="4">
        <f t="shared" ca="1" si="3"/>
        <v>9342000</v>
      </c>
      <c r="I8" s="4">
        <f t="shared" ca="1" si="4"/>
        <v>15634000</v>
      </c>
      <c r="J8" s="4">
        <f t="shared" ca="1" si="5"/>
        <v>13088000</v>
      </c>
      <c r="K8" s="4">
        <f t="shared" ca="1" si="6"/>
        <v>12370000</v>
      </c>
      <c r="L8" s="4">
        <f t="shared" ca="1" si="12"/>
        <v>14852000</v>
      </c>
      <c r="M8" s="4">
        <f t="shared" ca="1" si="13"/>
        <v>17000000</v>
      </c>
      <c r="N8" s="1137">
        <f t="shared" ca="1" si="7"/>
        <v>165340000</v>
      </c>
      <c r="O8" s="1115">
        <f t="shared" ca="1" si="8"/>
        <v>7.6968579884364438E-2</v>
      </c>
    </row>
    <row r="9" spans="1:15" x14ac:dyDescent="0.25">
      <c r="A9" s="1135" t="s">
        <v>32</v>
      </c>
      <c r="B9" s="4">
        <f t="shared" ca="1" si="9"/>
        <v>0</v>
      </c>
      <c r="C9" s="4">
        <f t="shared" ca="1" si="10"/>
        <v>0</v>
      </c>
      <c r="D9" s="4">
        <f t="shared" ca="1" si="11"/>
        <v>0</v>
      </c>
      <c r="E9" s="4">
        <f t="shared" ca="1" si="0"/>
        <v>0</v>
      </c>
      <c r="F9" s="4">
        <f t="shared" ca="1" si="1"/>
        <v>0</v>
      </c>
      <c r="G9" s="4">
        <f t="shared" ca="1" si="2"/>
        <v>0</v>
      </c>
      <c r="H9" s="4">
        <f t="shared" ca="1" si="3"/>
        <v>0</v>
      </c>
      <c r="I9" s="4">
        <f t="shared" ca="1" si="4"/>
        <v>0</v>
      </c>
      <c r="J9" s="4">
        <f t="shared" ca="1" si="5"/>
        <v>0</v>
      </c>
      <c r="K9" s="4">
        <f t="shared" ca="1" si="6"/>
        <v>0</v>
      </c>
      <c r="L9" s="4">
        <f t="shared" ca="1" si="12"/>
        <v>0</v>
      </c>
      <c r="M9" s="4">
        <f t="shared" ca="1" si="13"/>
        <v>0</v>
      </c>
      <c r="N9" s="1137">
        <f t="shared" ca="1" si="7"/>
        <v>0</v>
      </c>
      <c r="O9" s="1115">
        <f t="shared" ca="1" si="8"/>
        <v>0</v>
      </c>
    </row>
    <row r="10" spans="1:15" x14ac:dyDescent="0.25">
      <c r="A10" s="1136" t="s">
        <v>2226</v>
      </c>
      <c r="B10" s="4">
        <f t="shared" ca="1" si="9"/>
        <v>-6500000</v>
      </c>
      <c r="C10" s="4">
        <f t="shared" ca="1" si="10"/>
        <v>1300000</v>
      </c>
      <c r="D10" s="4">
        <f t="shared" ca="1" si="11"/>
        <v>3050000</v>
      </c>
      <c r="E10" s="4">
        <f t="shared" ca="1" si="0"/>
        <v>15440000</v>
      </c>
      <c r="F10" s="4">
        <f t="shared" ca="1" si="1"/>
        <v>2100000</v>
      </c>
      <c r="G10" s="4">
        <f t="shared" ca="1" si="2"/>
        <v>4450000</v>
      </c>
      <c r="H10" s="4">
        <f t="shared" ca="1" si="3"/>
        <v>5100000</v>
      </c>
      <c r="I10" s="4">
        <f t="shared" ca="1" si="4"/>
        <v>1220000</v>
      </c>
      <c r="J10" s="4">
        <f t="shared" ca="1" si="5"/>
        <v>5490000</v>
      </c>
      <c r="K10" s="4">
        <f t="shared" ca="1" si="6"/>
        <v>3930000</v>
      </c>
      <c r="L10" s="4">
        <f t="shared" ca="1" si="12"/>
        <v>610000</v>
      </c>
      <c r="M10" s="4">
        <f t="shared" ca="1" si="13"/>
        <v>4880000</v>
      </c>
      <c r="N10" s="1137">
        <f t="shared" ca="1" si="7"/>
        <v>41070000</v>
      </c>
      <c r="O10" s="1115">
        <f t="shared" ca="1" si="8"/>
        <v>1.9118782967526594E-2</v>
      </c>
    </row>
    <row r="11" spans="1:15" x14ac:dyDescent="0.25">
      <c r="A11" s="1136" t="s">
        <v>2228</v>
      </c>
      <c r="B11" s="4">
        <f t="shared" ca="1" si="9"/>
        <v>4170000</v>
      </c>
      <c r="C11" s="4">
        <f t="shared" ca="1" si="10"/>
        <v>1894000</v>
      </c>
      <c r="D11" s="4">
        <f t="shared" ca="1" si="11"/>
        <v>8194000</v>
      </c>
      <c r="E11" s="4">
        <f t="shared" ca="1" si="0"/>
        <v>2158400</v>
      </c>
      <c r="F11" s="4">
        <f t="shared" ca="1" si="1"/>
        <v>1710000</v>
      </c>
      <c r="G11" s="4">
        <f t="shared" ca="1" si="2"/>
        <v>2870100</v>
      </c>
      <c r="H11" s="4">
        <f t="shared" ca="1" si="3"/>
        <v>3788000</v>
      </c>
      <c r="I11" s="4">
        <f t="shared" ca="1" si="4"/>
        <v>4870400</v>
      </c>
      <c r="J11" s="4">
        <f t="shared" ca="1" si="5"/>
        <v>3604000</v>
      </c>
      <c r="K11" s="4">
        <f t="shared" ca="1" si="6"/>
        <v>5834000</v>
      </c>
      <c r="L11" s="4">
        <f t="shared" ca="1" si="12"/>
        <v>3821000</v>
      </c>
      <c r="M11" s="4">
        <f t="shared" ca="1" si="13"/>
        <v>5498000</v>
      </c>
      <c r="N11" s="1137">
        <f t="shared" ca="1" si="7"/>
        <v>48411900</v>
      </c>
      <c r="O11" s="1115">
        <f t="shared" ca="1" si="8"/>
        <v>2.2536562190056023E-2</v>
      </c>
    </row>
    <row r="12" spans="1:15" x14ac:dyDescent="0.25">
      <c r="A12" s="1136" t="s">
        <v>2229</v>
      </c>
      <c r="B12" s="4">
        <f t="shared" ca="1" si="9"/>
        <v>3475000</v>
      </c>
      <c r="C12" s="4">
        <f t="shared" ca="1" si="10"/>
        <v>3433000</v>
      </c>
      <c r="D12" s="4">
        <f t="shared" ca="1" si="11"/>
        <v>3220000</v>
      </c>
      <c r="E12" s="4">
        <f t="shared" ca="1" si="0"/>
        <v>9388000</v>
      </c>
      <c r="F12" s="4">
        <f t="shared" ca="1" si="1"/>
        <v>3814000</v>
      </c>
      <c r="G12" s="4">
        <f t="shared" ca="1" si="2"/>
        <v>4395000</v>
      </c>
      <c r="H12" s="4">
        <f t="shared" ca="1" si="3"/>
        <v>3035000</v>
      </c>
      <c r="I12" s="4">
        <f t="shared" ca="1" si="4"/>
        <v>1875000</v>
      </c>
      <c r="J12" s="4">
        <f t="shared" ca="1" si="5"/>
        <v>18049000</v>
      </c>
      <c r="K12" s="4">
        <f t="shared" ca="1" si="6"/>
        <v>4135000</v>
      </c>
      <c r="L12" s="4">
        <f t="shared" ca="1" si="12"/>
        <v>9814000</v>
      </c>
      <c r="M12" s="4">
        <f t="shared" ca="1" si="13"/>
        <v>8560000</v>
      </c>
      <c r="N12" s="1137">
        <f t="shared" ca="1" si="7"/>
        <v>73193000</v>
      </c>
      <c r="O12" s="1115">
        <f t="shared" ca="1" si="8"/>
        <v>3.4072585384518482E-2</v>
      </c>
    </row>
    <row r="13" spans="1:15" s="19" customFormat="1" x14ac:dyDescent="0.25">
      <c r="A13" s="1133" t="s">
        <v>39</v>
      </c>
      <c r="B13" s="4">
        <f t="shared" ca="1" si="9"/>
        <v>2400000</v>
      </c>
      <c r="C13" s="4">
        <f t="shared" ca="1" si="10"/>
        <v>400000</v>
      </c>
      <c r="D13" s="4">
        <f t="shared" ca="1" si="11"/>
        <v>7800000</v>
      </c>
      <c r="E13" s="4">
        <f t="shared" ca="1" si="0"/>
        <v>0</v>
      </c>
      <c r="F13" s="4">
        <f t="shared" ca="1" si="1"/>
        <v>300000</v>
      </c>
      <c r="G13" s="4">
        <f t="shared" ca="1" si="2"/>
        <v>1100000</v>
      </c>
      <c r="H13" s="4">
        <f t="shared" ca="1" si="3"/>
        <v>2500000</v>
      </c>
      <c r="I13" s="4">
        <f t="shared" ca="1" si="4"/>
        <v>1390000</v>
      </c>
      <c r="J13" s="4">
        <f t="shared" ca="1" si="5"/>
        <v>600000</v>
      </c>
      <c r="K13" s="4">
        <f t="shared" ca="1" si="6"/>
        <v>4000000</v>
      </c>
      <c r="L13" s="4">
        <f t="shared" ca="1" si="12"/>
        <v>3080000</v>
      </c>
      <c r="M13" s="4">
        <f t="shared" ca="1" si="13"/>
        <v>4400000</v>
      </c>
      <c r="N13" s="1137">
        <f t="shared" ca="1" si="7"/>
        <v>27970000</v>
      </c>
      <c r="O13" s="1115">
        <f t="shared" ca="1" si="8"/>
        <v>1.3020510338488406E-2</v>
      </c>
    </row>
    <row r="14" spans="1:15" s="19" customFormat="1" x14ac:dyDescent="0.25">
      <c r="A14" s="1138" t="s">
        <v>40</v>
      </c>
      <c r="B14" s="4">
        <f t="shared" ca="1" si="9"/>
        <v>6550000</v>
      </c>
      <c r="C14" s="4">
        <f t="shared" ca="1" si="10"/>
        <v>32473000</v>
      </c>
      <c r="D14" s="4">
        <f t="shared" ca="1" si="11"/>
        <v>10006000</v>
      </c>
      <c r="E14" s="4">
        <f t="shared" ca="1" si="0"/>
        <v>81036363</v>
      </c>
      <c r="F14" s="4">
        <f t="shared" ca="1" si="1"/>
        <v>20480000</v>
      </c>
      <c r="G14" s="4">
        <f t="shared" ca="1" si="2"/>
        <v>32580000</v>
      </c>
      <c r="H14" s="4">
        <f t="shared" ca="1" si="3"/>
        <v>22490000</v>
      </c>
      <c r="I14" s="4">
        <f t="shared" ca="1" si="4"/>
        <v>2600000</v>
      </c>
      <c r="J14" s="4">
        <f t="shared" ca="1" si="5"/>
        <v>24534000</v>
      </c>
      <c r="K14" s="4">
        <f t="shared" ca="1" si="6"/>
        <v>15993500</v>
      </c>
      <c r="L14" s="4">
        <f t="shared" ca="1" si="12"/>
        <v>33914000</v>
      </c>
      <c r="M14" s="4">
        <f t="shared" ca="1" si="13"/>
        <v>13400000</v>
      </c>
      <c r="N14" s="1140">
        <f ca="1">SUM(B14:M14)</f>
        <v>296056863</v>
      </c>
      <c r="O14" s="1115">
        <f t="shared" ca="1" si="8"/>
        <v>0.13781950108945104</v>
      </c>
    </row>
    <row r="15" spans="1:15" x14ac:dyDescent="0.25">
      <c r="A15" s="1139" t="s">
        <v>281</v>
      </c>
      <c r="B15" s="4">
        <f t="shared" ca="1" si="9"/>
        <v>10025888</v>
      </c>
      <c r="C15" s="4">
        <f t="shared" ca="1" si="10"/>
        <v>2400000</v>
      </c>
      <c r="D15" s="4">
        <f t="shared" ca="1" si="11"/>
        <v>22500000</v>
      </c>
      <c r="E15" s="4">
        <f t="shared" ca="1" si="0"/>
        <v>3050000</v>
      </c>
      <c r="F15" s="4">
        <f t="shared" ca="1" si="1"/>
        <v>23500000</v>
      </c>
      <c r="G15" s="4">
        <f t="shared" ca="1" si="2"/>
        <v>3100000</v>
      </c>
      <c r="H15" s="4">
        <f t="shared" ca="1" si="3"/>
        <v>0</v>
      </c>
      <c r="I15" s="4">
        <f t="shared" ca="1" si="4"/>
        <v>7000000</v>
      </c>
      <c r="J15" s="4">
        <f t="shared" ca="1" si="5"/>
        <v>3650000</v>
      </c>
      <c r="K15" s="4">
        <f t="shared" ca="1" si="6"/>
        <v>2500000</v>
      </c>
      <c r="L15" s="4">
        <f t="shared" ca="1" si="12"/>
        <v>40700000</v>
      </c>
      <c r="M15" s="4">
        <f t="shared" ca="1" si="13"/>
        <v>7100000</v>
      </c>
      <c r="N15" s="1140">
        <f t="shared" ca="1" si="7"/>
        <v>125525888</v>
      </c>
      <c r="O15" s="1115">
        <f t="shared" ca="1" si="8"/>
        <v>5.8434434124130775E-2</v>
      </c>
    </row>
    <row r="16" spans="1:15" x14ac:dyDescent="0.25">
      <c r="A16" s="1114" t="s">
        <v>2227</v>
      </c>
      <c r="B16" s="4">
        <f t="shared" ca="1" si="9"/>
        <v>0</v>
      </c>
      <c r="C16" s="4">
        <f t="shared" ca="1" si="10"/>
        <v>0</v>
      </c>
      <c r="D16" s="4">
        <f t="shared" ca="1" si="11"/>
        <v>0</v>
      </c>
      <c r="E16" s="4">
        <f t="shared" ca="1" si="0"/>
        <v>0</v>
      </c>
      <c r="F16" s="4">
        <f t="shared" ca="1" si="1"/>
        <v>0</v>
      </c>
      <c r="G16" s="4">
        <f t="shared" ca="1" si="2"/>
        <v>0</v>
      </c>
      <c r="H16" s="4">
        <f t="shared" ca="1" si="3"/>
        <v>0</v>
      </c>
      <c r="I16" s="4">
        <f t="shared" ca="1" si="4"/>
        <v>0</v>
      </c>
      <c r="J16" s="4">
        <f t="shared" ca="1" si="5"/>
        <v>45000000</v>
      </c>
      <c r="K16" s="4">
        <f t="shared" ca="1" si="6"/>
        <v>0</v>
      </c>
      <c r="L16" s="4">
        <f t="shared" ca="1" si="12"/>
        <v>0</v>
      </c>
      <c r="M16" s="4">
        <f t="shared" ca="1" si="13"/>
        <v>0</v>
      </c>
      <c r="N16" s="1111">
        <f t="shared" ca="1" si="7"/>
        <v>45000000</v>
      </c>
      <c r="O16" s="1115">
        <f t="shared" ca="1" si="8"/>
        <v>2.0948264756238053E-2</v>
      </c>
    </row>
    <row r="17" spans="1:16" s="19" customFormat="1" x14ac:dyDescent="0.25">
      <c r="A17" s="1114" t="s">
        <v>187</v>
      </c>
      <c r="B17" s="4">
        <f t="shared" ca="1" si="9"/>
        <v>16310000</v>
      </c>
      <c r="C17" s="4">
        <f t="shared" ca="1" si="10"/>
        <v>12755000</v>
      </c>
      <c r="D17" s="4">
        <f t="shared" ca="1" si="11"/>
        <v>8440000</v>
      </c>
      <c r="E17" s="4">
        <f t="shared" ca="1" si="0"/>
        <v>9970000</v>
      </c>
      <c r="F17" s="4">
        <f t="shared" ca="1" si="1"/>
        <v>8125000</v>
      </c>
      <c r="G17" s="4">
        <f t="shared" ca="1" si="2"/>
        <v>9785000</v>
      </c>
      <c r="H17" s="4">
        <f t="shared" ca="1" si="3"/>
        <v>17030000</v>
      </c>
      <c r="I17" s="4">
        <f t="shared" ca="1" si="4"/>
        <v>8635000</v>
      </c>
      <c r="J17" s="4">
        <f t="shared" ca="1" si="5"/>
        <v>9665000</v>
      </c>
      <c r="K17" s="4">
        <f t="shared" ca="1" si="6"/>
        <v>10225000</v>
      </c>
      <c r="L17" s="4">
        <f t="shared" ca="1" si="12"/>
        <v>10955000</v>
      </c>
      <c r="M17" s="4">
        <f t="shared" ca="1" si="13"/>
        <v>14405000</v>
      </c>
      <c r="N17" s="1111">
        <f t="shared" ca="1" si="7"/>
        <v>136300000</v>
      </c>
      <c r="O17" s="1117">
        <f t="shared" ca="1" si="8"/>
        <v>6.3449966361672147E-2</v>
      </c>
      <c r="P17" s="1116"/>
    </row>
    <row r="18" spans="1:16" s="19" customFormat="1" x14ac:dyDescent="0.25">
      <c r="A18" s="1110" t="s">
        <v>2272</v>
      </c>
      <c r="B18" s="4">
        <f t="shared" ca="1" si="9"/>
        <v>64555500</v>
      </c>
      <c r="C18" s="4">
        <f t="shared" ca="1" si="10"/>
        <v>71270000</v>
      </c>
      <c r="D18" s="4">
        <f t="shared" ca="1" si="11"/>
        <v>49126000</v>
      </c>
      <c r="E18" s="4">
        <f t="shared" ca="1" si="0"/>
        <v>54359500</v>
      </c>
      <c r="F18" s="4">
        <f t="shared" ca="1" si="1"/>
        <v>51012500</v>
      </c>
      <c r="G18" s="4">
        <f t="shared" ca="1" si="2"/>
        <v>55471500</v>
      </c>
      <c r="H18" s="4">
        <f t="shared" ca="1" si="3"/>
        <v>49204000</v>
      </c>
      <c r="I18" s="4">
        <f t="shared" ca="1" si="4"/>
        <v>48498000</v>
      </c>
      <c r="J18" s="4">
        <f t="shared" ca="1" si="5"/>
        <v>49575500</v>
      </c>
      <c r="K18" s="4">
        <f t="shared" ca="1" si="6"/>
        <v>47854500</v>
      </c>
      <c r="L18" s="4">
        <f t="shared" ca="1" si="12"/>
        <v>74417800</v>
      </c>
      <c r="M18" s="4">
        <f t="shared" ca="1" si="13"/>
        <v>65416000</v>
      </c>
      <c r="N18" s="1111">
        <f t="shared" ca="1" si="7"/>
        <v>680760800</v>
      </c>
      <c r="O18" s="1117">
        <f t="shared" ca="1" si="8"/>
        <v>0.31690572164596492</v>
      </c>
      <c r="P18" s="1116"/>
    </row>
    <row r="19" spans="1:16" s="19" customFormat="1" ht="17.25" thickBot="1" x14ac:dyDescent="0.3">
      <c r="A19" s="1141" t="s">
        <v>179</v>
      </c>
      <c r="B19" s="4">
        <f t="shared" ca="1" si="9"/>
        <v>23303000</v>
      </c>
      <c r="C19" s="4">
        <f t="shared" ca="1" si="10"/>
        <v>26144000</v>
      </c>
      <c r="D19" s="4">
        <f t="shared" ca="1" si="11"/>
        <v>24786000</v>
      </c>
      <c r="E19" s="4">
        <f t="shared" ca="1" si="0"/>
        <v>10837300</v>
      </c>
      <c r="F19" s="4">
        <f t="shared" ca="1" si="1"/>
        <v>6983000</v>
      </c>
      <c r="G19" s="4">
        <f t="shared" ca="1" si="2"/>
        <v>94632900</v>
      </c>
      <c r="H19" s="4">
        <f t="shared" ca="1" si="3"/>
        <v>7955900</v>
      </c>
      <c r="I19" s="4">
        <f t="shared" ca="1" si="4"/>
        <v>17735000</v>
      </c>
      <c r="J19" s="4">
        <f t="shared" ca="1" si="5"/>
        <v>16126200</v>
      </c>
      <c r="K19" s="4">
        <f t="shared" ca="1" si="6"/>
        <v>19664000</v>
      </c>
      <c r="L19" s="4">
        <f t="shared" ca="1" si="12"/>
        <v>14207600</v>
      </c>
      <c r="M19" s="4">
        <f t="shared" ca="1" si="13"/>
        <v>42615436</v>
      </c>
      <c r="N19" s="1142">
        <f ca="1">SUM(B19:M19)</f>
        <v>304990336</v>
      </c>
      <c r="O19" s="1117">
        <f t="shared" ca="1" si="8"/>
        <v>0.14197818459160003</v>
      </c>
      <c r="P19" s="1116"/>
    </row>
    <row r="20" spans="1:16" ht="17.25" thickTop="1" x14ac:dyDescent="0.25">
      <c r="A20" s="1144" t="s">
        <v>2180</v>
      </c>
      <c r="B20" s="9">
        <f ca="1">SUM(B4:B19)</f>
        <v>152232888</v>
      </c>
      <c r="C20" s="9">
        <f ca="1">SUM(C4:C19)</f>
        <v>186549000</v>
      </c>
      <c r="D20" s="9">
        <f ca="1">SUM(D4:D19)</f>
        <v>171061000</v>
      </c>
      <c r="E20" s="9">
        <f t="shared" ref="E20:O20" ca="1" si="14">SUM(E4:E19)</f>
        <v>222823063</v>
      </c>
      <c r="F20" s="9">
        <f t="shared" ca="1" si="14"/>
        <v>137771000</v>
      </c>
      <c r="G20" s="9">
        <f t="shared" ca="1" si="14"/>
        <v>223917000</v>
      </c>
      <c r="H20" s="9">
        <f t="shared" ca="1" si="14"/>
        <v>131239400</v>
      </c>
      <c r="I20" s="9">
        <f t="shared" ca="1" si="14"/>
        <v>120215400</v>
      </c>
      <c r="J20" s="9">
        <f t="shared" ca="1" si="14"/>
        <v>220993200</v>
      </c>
      <c r="K20" s="9">
        <f t="shared" ca="1" si="14"/>
        <v>150104500</v>
      </c>
      <c r="L20" s="9">
        <f t="shared" ca="1" si="14"/>
        <v>224611400</v>
      </c>
      <c r="M20" s="9">
        <f t="shared" ca="1" si="14"/>
        <v>206631436</v>
      </c>
      <c r="N20" s="1143">
        <f ca="1">SUM(N4:N19)</f>
        <v>2148149287</v>
      </c>
      <c r="O20" s="1115">
        <f t="shared" ca="1" si="14"/>
        <v>1</v>
      </c>
      <c r="P20" s="1116"/>
    </row>
    <row r="21" spans="1:16" ht="10.5" customHeight="1" x14ac:dyDescent="0.25">
      <c r="O21" s="1116"/>
      <c r="P21" s="1116"/>
    </row>
    <row r="22" spans="1:16" ht="23.25" customHeight="1" x14ac:dyDescent="0.25">
      <c r="A22" s="12" t="s">
        <v>41</v>
      </c>
      <c r="O22" s="1116"/>
      <c r="P22" s="1116"/>
    </row>
    <row r="23" spans="1:16" x14ac:dyDescent="0.25">
      <c r="A23" s="13"/>
      <c r="B23" s="14">
        <v>2020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116"/>
      <c r="P23" s="1118" t="s">
        <v>54</v>
      </c>
    </row>
    <row r="24" spans="1:16" x14ac:dyDescent="0.25">
      <c r="A24" s="15" t="s">
        <v>30</v>
      </c>
      <c r="B24" s="16">
        <v>1</v>
      </c>
      <c r="C24" s="16">
        <v>2</v>
      </c>
      <c r="D24" s="16">
        <v>3</v>
      </c>
      <c r="E24" s="16">
        <v>4</v>
      </c>
      <c r="F24" s="16">
        <v>5</v>
      </c>
      <c r="G24" s="16">
        <v>6</v>
      </c>
      <c r="H24" s="16">
        <v>7</v>
      </c>
      <c r="I24" s="16">
        <v>8</v>
      </c>
      <c r="J24" s="16">
        <v>9</v>
      </c>
      <c r="K24" s="16">
        <v>10</v>
      </c>
      <c r="L24" s="16">
        <v>11</v>
      </c>
      <c r="M24" s="16">
        <v>12</v>
      </c>
      <c r="N24" s="16" t="s">
        <v>31</v>
      </c>
      <c r="O24" s="1118" t="s">
        <v>51</v>
      </c>
      <c r="P24" s="1118" t="s">
        <v>44</v>
      </c>
    </row>
    <row r="25" spans="1:16" x14ac:dyDescent="0.25">
      <c r="A25" s="1133" t="s">
        <v>34</v>
      </c>
      <c r="B25" s="4">
        <f ca="1">SUMIF(INDIRECT("Report!I2740:I2817"),A25,INDIRECT("Report!J2740:J2817"))</f>
        <v>445860</v>
      </c>
      <c r="C25" s="4">
        <f ca="1">SUMIF(INDIRECT("Report!I2818:I2896"),A25,INDIRECT("Report!J2818:J2896"))</f>
        <v>478860</v>
      </c>
      <c r="D25" s="4">
        <f ca="1">SUMIF(INDIRECT("Report!I2897:I2968"),A25,INDIRECT("Report!J2897:J2968"))</f>
        <v>1929440</v>
      </c>
      <c r="E25" s="4">
        <f t="shared" ref="E25:E40" ca="1" si="15">SUMIF(INDIRECT("Report!I2969:I3034"),A25,INDIRECT("Report!J2969:J3034"))</f>
        <v>112000</v>
      </c>
      <c r="F25" s="4">
        <f t="shared" ref="F25:F40" ca="1" si="16">SUMIF(INDIRECT("Report!I3035:I3105"),A25,INDIRECT("Report!J3035:J3105"))</f>
        <v>0</v>
      </c>
      <c r="G25" s="4">
        <f t="shared" ref="G25:G40" ca="1" si="17">SUMIF(INDIRECT("Report!I3106:I3177"),A25,INDIRECT("Report!J3106:J3177"))</f>
        <v>541860</v>
      </c>
      <c r="H25" s="4">
        <f t="shared" ref="H25:H40" ca="1" si="18">SUMIF(INDIRECT("Report!I3178:I3236"),A25,INDIRECT("Report!J3178:J3236"))</f>
        <v>478860</v>
      </c>
      <c r="I25" s="4">
        <f t="shared" ref="I25:I40" ca="1" si="19">SUMIF(INDIRECT("Report!I3237:I3307"),A25,INDIRECT("Report!J3237:J3307"))</f>
        <v>525860</v>
      </c>
      <c r="J25" s="4">
        <f t="shared" ref="J25:J40" ca="1" si="20">SUMIF(INDIRECT("Report!I3308:I3380"),A25,INDIRECT("Report!J3308:J3380"))</f>
        <v>478860</v>
      </c>
      <c r="K25" s="4">
        <f t="shared" ref="K25:K40" ca="1" si="21">SUMIF(INDIRECT("Report!I3381:I3466"),A25,INDIRECT("Report!J3381:J3466"))</f>
        <v>525860</v>
      </c>
      <c r="L25" s="4">
        <f ca="1">SUMIF(INDIRECT("Report!I3467:I3565"),A25,INDIRECT("Report!J3467:J3565"))</f>
        <v>957720</v>
      </c>
      <c r="M25" s="4">
        <f ca="1">SUMIF(INDIRECT("Report!I3566:I3669"),A25,INDIRECT("Report!J3566:J3669"))</f>
        <v>987720</v>
      </c>
      <c r="N25" s="1137">
        <f t="shared" ref="N25:N40" ca="1" si="22">SUM(B25:M25)</f>
        <v>7462900</v>
      </c>
      <c r="O25" s="1115">
        <f t="shared" ref="O25:O40" ca="1" si="23">N25/$N$41</f>
        <v>1.2846717183146721E-2</v>
      </c>
      <c r="P25" s="1116"/>
    </row>
    <row r="26" spans="1:16" x14ac:dyDescent="0.25">
      <c r="A26" s="1133" t="s">
        <v>35</v>
      </c>
      <c r="B26" s="4">
        <f t="shared" ref="B26:B40" ca="1" si="24">SUMIF(INDIRECT("Report!I2740:I2817"),A26,INDIRECT("Report!J2740:J2817"))</f>
        <v>1040000</v>
      </c>
      <c r="C26" s="4">
        <f t="shared" ref="C26:C40" ca="1" si="25">SUMIF(INDIRECT("Report!I2818:I2896"),A26,INDIRECT("Report!J2818:J2896"))</f>
        <v>0</v>
      </c>
      <c r="D26" s="4">
        <f t="shared" ref="D26:D40" ca="1" si="26">SUMIF(INDIRECT("Report!I2897:I2968"),A26,INDIRECT("Report!J2897:J2968"))</f>
        <v>0</v>
      </c>
      <c r="E26" s="4">
        <f t="shared" ca="1" si="15"/>
        <v>400000</v>
      </c>
      <c r="F26" s="4">
        <f t="shared" ca="1" si="16"/>
        <v>1200000</v>
      </c>
      <c r="G26" s="4">
        <f t="shared" ca="1" si="17"/>
        <v>400000</v>
      </c>
      <c r="H26" s="4">
        <f t="shared" ca="1" si="18"/>
        <v>660000</v>
      </c>
      <c r="I26" s="4">
        <f t="shared" ca="1" si="19"/>
        <v>800000</v>
      </c>
      <c r="J26" s="4">
        <f t="shared" ca="1" si="20"/>
        <v>400000</v>
      </c>
      <c r="K26" s="4">
        <f t="shared" ca="1" si="21"/>
        <v>1200000</v>
      </c>
      <c r="L26" s="4">
        <f t="shared" ref="L26:L40" ca="1" si="27">SUMIF(INDIRECT("Report!I3467:I3565"),A26,INDIRECT("Report!J3467:J3565"))</f>
        <v>1600000</v>
      </c>
      <c r="M26" s="4">
        <f t="shared" ref="M26:M40" ca="1" si="28">SUMIF(INDIRECT("Report!I3566:I3669"),A26,INDIRECT("Report!J3566:J3669"))</f>
        <v>2400000</v>
      </c>
      <c r="N26" s="1137">
        <f t="shared" ca="1" si="22"/>
        <v>10100000</v>
      </c>
      <c r="O26" s="1115">
        <f t="shared" ca="1" si="23"/>
        <v>1.7386249788926809E-2</v>
      </c>
      <c r="P26" s="1116"/>
    </row>
    <row r="27" spans="1:16" x14ac:dyDescent="0.25">
      <c r="A27" s="1133" t="s">
        <v>37</v>
      </c>
      <c r="B27" s="4">
        <f t="shared" ca="1" si="24"/>
        <v>0</v>
      </c>
      <c r="C27" s="4">
        <f t="shared" ca="1" si="25"/>
        <v>1810000</v>
      </c>
      <c r="D27" s="4">
        <f t="shared" ca="1" si="26"/>
        <v>0</v>
      </c>
      <c r="E27" s="4">
        <f t="shared" ca="1" si="15"/>
        <v>1040000</v>
      </c>
      <c r="F27" s="4">
        <f t="shared" ca="1" si="16"/>
        <v>0</v>
      </c>
      <c r="G27" s="4">
        <f t="shared" ca="1" si="17"/>
        <v>0</v>
      </c>
      <c r="H27" s="4">
        <f t="shared" ca="1" si="18"/>
        <v>0</v>
      </c>
      <c r="I27" s="4">
        <f t="shared" ca="1" si="19"/>
        <v>0</v>
      </c>
      <c r="J27" s="4">
        <f t="shared" ca="1" si="20"/>
        <v>2752600</v>
      </c>
      <c r="K27" s="4">
        <f t="shared" ca="1" si="21"/>
        <v>1281600</v>
      </c>
      <c r="L27" s="4">
        <f t="shared" ca="1" si="27"/>
        <v>950000</v>
      </c>
      <c r="M27" s="4">
        <f t="shared" ca="1" si="28"/>
        <v>20000</v>
      </c>
      <c r="N27" s="1137">
        <f t="shared" ca="1" si="22"/>
        <v>7854200</v>
      </c>
      <c r="O27" s="1115">
        <f t="shared" ca="1" si="23"/>
        <v>1.3520305256652369E-2</v>
      </c>
      <c r="P27" s="1116"/>
    </row>
    <row r="28" spans="1:16" x14ac:dyDescent="0.25">
      <c r="A28" s="1133" t="s">
        <v>33</v>
      </c>
      <c r="B28" s="4">
        <f t="shared" ca="1" si="24"/>
        <v>1838920</v>
      </c>
      <c r="C28" s="4">
        <f t="shared" ca="1" si="25"/>
        <v>2193420</v>
      </c>
      <c r="D28" s="4">
        <f t="shared" ca="1" si="26"/>
        <v>2292920</v>
      </c>
      <c r="E28" s="4">
        <f t="shared" ca="1" si="15"/>
        <v>1467920</v>
      </c>
      <c r="F28" s="4">
        <f t="shared" ca="1" si="16"/>
        <v>1017000</v>
      </c>
      <c r="G28" s="4">
        <f t="shared" ca="1" si="17"/>
        <v>1077000</v>
      </c>
      <c r="H28" s="4">
        <f t="shared" ca="1" si="18"/>
        <v>1794420</v>
      </c>
      <c r="I28" s="4">
        <f t="shared" ca="1" si="19"/>
        <v>1551920</v>
      </c>
      <c r="J28" s="4">
        <f t="shared" ca="1" si="20"/>
        <v>1953920</v>
      </c>
      <c r="K28" s="4">
        <f t="shared" ca="1" si="21"/>
        <v>1474420</v>
      </c>
      <c r="L28" s="4">
        <f t="shared" ca="1" si="27"/>
        <v>761000</v>
      </c>
      <c r="M28" s="4">
        <f t="shared" ca="1" si="28"/>
        <v>2237240</v>
      </c>
      <c r="N28" s="1137">
        <f t="shared" ca="1" si="22"/>
        <v>19660100</v>
      </c>
      <c r="O28" s="1115">
        <f t="shared" ca="1" si="23"/>
        <v>3.3843109849037614E-2</v>
      </c>
      <c r="P28" s="1116"/>
    </row>
    <row r="29" spans="1:16" s="19" customFormat="1" x14ac:dyDescent="0.25">
      <c r="A29" s="1134" t="s">
        <v>38</v>
      </c>
      <c r="B29" s="4">
        <f t="shared" ca="1" si="24"/>
        <v>4548791</v>
      </c>
      <c r="C29" s="4">
        <f t="shared" ca="1" si="25"/>
        <v>3579654</v>
      </c>
      <c r="D29" s="4">
        <f t="shared" ca="1" si="26"/>
        <v>3686000</v>
      </c>
      <c r="E29" s="4">
        <f t="shared" ca="1" si="15"/>
        <v>7358290</v>
      </c>
      <c r="F29" s="4">
        <f t="shared" ca="1" si="16"/>
        <v>3125000</v>
      </c>
      <c r="G29" s="4">
        <f t="shared" ca="1" si="17"/>
        <v>1464000</v>
      </c>
      <c r="H29" s="4">
        <f t="shared" ca="1" si="18"/>
        <v>2411000</v>
      </c>
      <c r="I29" s="4">
        <f t="shared" ca="1" si="19"/>
        <v>3959000</v>
      </c>
      <c r="J29" s="4">
        <f t="shared" ca="1" si="20"/>
        <v>3435000</v>
      </c>
      <c r="K29" s="4">
        <f t="shared" ca="1" si="21"/>
        <v>3276000</v>
      </c>
      <c r="L29" s="4">
        <f t="shared" ca="1" si="27"/>
        <v>3990000</v>
      </c>
      <c r="M29" s="4">
        <f t="shared" ca="1" si="28"/>
        <v>4586000</v>
      </c>
      <c r="N29" s="1137">
        <f t="shared" ca="1" si="22"/>
        <v>45418735</v>
      </c>
      <c r="O29" s="1115">
        <f t="shared" ca="1" si="23"/>
        <v>7.8184304139314126E-2</v>
      </c>
      <c r="P29" s="1116"/>
    </row>
    <row r="30" spans="1:16" x14ac:dyDescent="0.25">
      <c r="A30" s="1135" t="s">
        <v>32</v>
      </c>
      <c r="B30" s="4">
        <f t="shared" ca="1" si="24"/>
        <v>0</v>
      </c>
      <c r="C30" s="4">
        <f t="shared" ca="1" si="25"/>
        <v>0</v>
      </c>
      <c r="D30" s="4">
        <f t="shared" ca="1" si="26"/>
        <v>0</v>
      </c>
      <c r="E30" s="4">
        <f t="shared" ca="1" si="15"/>
        <v>0</v>
      </c>
      <c r="F30" s="4">
        <f t="shared" ca="1" si="16"/>
        <v>0</v>
      </c>
      <c r="G30" s="4">
        <f t="shared" ca="1" si="17"/>
        <v>0</v>
      </c>
      <c r="H30" s="4">
        <f t="shared" ca="1" si="18"/>
        <v>0</v>
      </c>
      <c r="I30" s="4">
        <f t="shared" ca="1" si="19"/>
        <v>0</v>
      </c>
      <c r="J30" s="4">
        <f t="shared" ca="1" si="20"/>
        <v>0</v>
      </c>
      <c r="K30" s="4">
        <f t="shared" ca="1" si="21"/>
        <v>0</v>
      </c>
      <c r="L30" s="4">
        <f t="shared" ca="1" si="27"/>
        <v>0</v>
      </c>
      <c r="M30" s="4">
        <f t="shared" ca="1" si="28"/>
        <v>0</v>
      </c>
      <c r="N30" s="1137">
        <f t="shared" ca="1" si="22"/>
        <v>0</v>
      </c>
      <c r="O30" s="1115">
        <f t="shared" ca="1" si="23"/>
        <v>0</v>
      </c>
      <c r="P30" s="1116"/>
    </row>
    <row r="31" spans="1:16" x14ac:dyDescent="0.25">
      <c r="A31" s="1136" t="s">
        <v>2226</v>
      </c>
      <c r="B31" s="4">
        <f t="shared" ca="1" si="24"/>
        <v>0</v>
      </c>
      <c r="C31" s="4">
        <f t="shared" ca="1" si="25"/>
        <v>0</v>
      </c>
      <c r="D31" s="4">
        <f t="shared" ca="1" si="26"/>
        <v>1325020</v>
      </c>
      <c r="E31" s="4">
        <f t="shared" ca="1" si="15"/>
        <v>6933608</v>
      </c>
      <c r="F31" s="4">
        <f t="shared" ca="1" si="16"/>
        <v>1180500</v>
      </c>
      <c r="G31" s="4">
        <f t="shared" ca="1" si="17"/>
        <v>1450000</v>
      </c>
      <c r="H31" s="4">
        <f t="shared" ca="1" si="18"/>
        <v>759222</v>
      </c>
      <c r="I31" s="4">
        <f t="shared" ca="1" si="19"/>
        <v>530008</v>
      </c>
      <c r="J31" s="4">
        <f t="shared" ca="1" si="20"/>
        <v>2385036</v>
      </c>
      <c r="K31" s="4">
        <f t="shared" ca="1" si="21"/>
        <v>2126334</v>
      </c>
      <c r="L31" s="4">
        <f t="shared" ca="1" si="27"/>
        <v>268940</v>
      </c>
      <c r="M31" s="4">
        <f t="shared" ca="1" si="28"/>
        <v>2706191.5359999998</v>
      </c>
      <c r="N31" s="1137">
        <f t="shared" ca="1" si="22"/>
        <v>19664859.535999998</v>
      </c>
      <c r="O31" s="1115">
        <f t="shared" ca="1" si="23"/>
        <v>3.3851302966045077E-2</v>
      </c>
      <c r="P31" s="1116"/>
    </row>
    <row r="32" spans="1:16" x14ac:dyDescent="0.25">
      <c r="A32" s="1136" t="s">
        <v>2228</v>
      </c>
      <c r="B32" s="4">
        <f t="shared" ca="1" si="24"/>
        <v>-145000</v>
      </c>
      <c r="C32" s="4">
        <f t="shared" ca="1" si="25"/>
        <v>-146000</v>
      </c>
      <c r="D32" s="4">
        <f t="shared" ca="1" si="26"/>
        <v>-446000</v>
      </c>
      <c r="E32" s="4">
        <f t="shared" ca="1" si="15"/>
        <v>2158400</v>
      </c>
      <c r="F32" s="4">
        <f t="shared" ca="1" si="16"/>
        <v>-190000</v>
      </c>
      <c r="G32" s="4">
        <f t="shared" ca="1" si="17"/>
        <v>970100</v>
      </c>
      <c r="H32" s="4">
        <f t="shared" ca="1" si="18"/>
        <v>-292000</v>
      </c>
      <c r="I32" s="4">
        <f t="shared" ca="1" si="19"/>
        <v>895400</v>
      </c>
      <c r="J32" s="4">
        <f t="shared" ca="1" si="20"/>
        <v>-336000</v>
      </c>
      <c r="K32" s="4">
        <f t="shared" ca="1" si="21"/>
        <v>1644000</v>
      </c>
      <c r="L32" s="4">
        <f t="shared" ca="1" si="27"/>
        <v>-289000</v>
      </c>
      <c r="M32" s="4">
        <f t="shared" ca="1" si="28"/>
        <v>-482000</v>
      </c>
      <c r="N32" s="1137">
        <f t="shared" ca="1" si="22"/>
        <v>3341900</v>
      </c>
      <c r="O32" s="1115">
        <f t="shared" ca="1" si="23"/>
        <v>5.7527829870905444E-3</v>
      </c>
      <c r="P32" s="1116"/>
    </row>
    <row r="33" spans="1:16" x14ac:dyDescent="0.25">
      <c r="A33" s="1136" t="s">
        <v>2229</v>
      </c>
      <c r="B33" s="4">
        <f t="shared" ca="1" si="24"/>
        <v>997000</v>
      </c>
      <c r="C33" s="4">
        <f t="shared" ca="1" si="25"/>
        <v>1033000</v>
      </c>
      <c r="D33" s="4">
        <f t="shared" ca="1" si="26"/>
        <v>1045000</v>
      </c>
      <c r="E33" s="4">
        <f t="shared" ca="1" si="15"/>
        <v>2102000</v>
      </c>
      <c r="F33" s="4">
        <f t="shared" ca="1" si="16"/>
        <v>1034000</v>
      </c>
      <c r="G33" s="4">
        <f t="shared" ca="1" si="17"/>
        <v>1145000</v>
      </c>
      <c r="H33" s="4">
        <f t="shared" ca="1" si="18"/>
        <v>1060000</v>
      </c>
      <c r="I33" s="4">
        <f t="shared" ca="1" si="19"/>
        <v>675000</v>
      </c>
      <c r="J33" s="4">
        <f t="shared" ca="1" si="20"/>
        <v>6432000</v>
      </c>
      <c r="K33" s="4">
        <f t="shared" ca="1" si="21"/>
        <v>1145000</v>
      </c>
      <c r="L33" s="4">
        <f t="shared" ca="1" si="27"/>
        <v>2052000</v>
      </c>
      <c r="M33" s="4">
        <f t="shared" ca="1" si="28"/>
        <v>3564000</v>
      </c>
      <c r="N33" s="1137">
        <f t="shared" ca="1" si="22"/>
        <v>22284000</v>
      </c>
      <c r="O33" s="1115">
        <f t="shared" ca="1" si="23"/>
        <v>3.8359919831331184E-2</v>
      </c>
      <c r="P33" s="1116"/>
    </row>
    <row r="34" spans="1:16" s="19" customFormat="1" x14ac:dyDescent="0.25">
      <c r="A34" s="1133" t="s">
        <v>39</v>
      </c>
      <c r="B34" s="4">
        <f t="shared" ca="1" si="24"/>
        <v>83499</v>
      </c>
      <c r="C34" s="4">
        <f t="shared" ca="1" si="25"/>
        <v>175390</v>
      </c>
      <c r="D34" s="4">
        <f t="shared" ca="1" si="26"/>
        <v>2866872</v>
      </c>
      <c r="E34" s="4">
        <f t="shared" ca="1" si="15"/>
        <v>0</v>
      </c>
      <c r="F34" s="4">
        <f t="shared" ca="1" si="16"/>
        <v>75000</v>
      </c>
      <c r="G34" s="4">
        <f t="shared" ca="1" si="17"/>
        <v>435390</v>
      </c>
      <c r="H34" s="4">
        <f t="shared" ca="1" si="18"/>
        <v>773371</v>
      </c>
      <c r="I34" s="4">
        <f t="shared" ca="1" si="19"/>
        <v>534110</v>
      </c>
      <c r="J34" s="4">
        <f t="shared" ca="1" si="20"/>
        <v>130460</v>
      </c>
      <c r="K34" s="4">
        <f t="shared" ca="1" si="21"/>
        <v>1018957</v>
      </c>
      <c r="L34" s="4">
        <f t="shared" ca="1" si="27"/>
        <v>1674330</v>
      </c>
      <c r="M34" s="4">
        <f t="shared" ca="1" si="28"/>
        <v>1300000</v>
      </c>
      <c r="N34" s="1137">
        <f t="shared" ca="1" si="22"/>
        <v>9067379</v>
      </c>
      <c r="O34" s="1115">
        <f t="shared" ca="1" si="23"/>
        <v>1.5608684774739541E-2</v>
      </c>
      <c r="P34" s="1116"/>
    </row>
    <row r="35" spans="1:16" s="19" customFormat="1" x14ac:dyDescent="0.25">
      <c r="A35" s="1138" t="s">
        <v>40</v>
      </c>
      <c r="B35" s="4">
        <f t="shared" ca="1" si="24"/>
        <v>1094170</v>
      </c>
      <c r="C35" s="4">
        <f t="shared" ca="1" si="25"/>
        <v>5658985</v>
      </c>
      <c r="D35" s="4">
        <f t="shared" ca="1" si="26"/>
        <v>3785610</v>
      </c>
      <c r="E35" s="4">
        <f t="shared" ca="1" si="15"/>
        <v>34051331.852204517</v>
      </c>
      <c r="F35" s="4">
        <f t="shared" ca="1" si="16"/>
        <v>8706100</v>
      </c>
      <c r="G35" s="4">
        <f t="shared" ca="1" si="17"/>
        <v>12765797</v>
      </c>
      <c r="H35" s="4">
        <f t="shared" ca="1" si="18"/>
        <v>10398738</v>
      </c>
      <c r="I35" s="4">
        <f t="shared" ca="1" si="19"/>
        <v>980000</v>
      </c>
      <c r="J35" s="4">
        <f t="shared" ca="1" si="20"/>
        <v>10402397</v>
      </c>
      <c r="K35" s="4">
        <f t="shared" ca="1" si="21"/>
        <v>8317533</v>
      </c>
      <c r="L35" s="4">
        <f t="shared" ca="1" si="27"/>
        <v>12231500</v>
      </c>
      <c r="M35" s="4">
        <f t="shared" ca="1" si="28"/>
        <v>5449000</v>
      </c>
      <c r="N35" s="1140">
        <f t="shared" ca="1" si="22"/>
        <v>113841161.85220452</v>
      </c>
      <c r="O35" s="1115">
        <f t="shared" ca="1" si="23"/>
        <v>0.19596741348753202</v>
      </c>
      <c r="P35" s="1116"/>
    </row>
    <row r="36" spans="1:16" x14ac:dyDescent="0.25">
      <c r="A36" s="1139" t="s">
        <v>281</v>
      </c>
      <c r="B36" s="4">
        <f t="shared" ca="1" si="24"/>
        <v>850000</v>
      </c>
      <c r="C36" s="4">
        <f t="shared" ca="1" si="25"/>
        <v>284000</v>
      </c>
      <c r="D36" s="4">
        <f t="shared" ca="1" si="26"/>
        <v>0</v>
      </c>
      <c r="E36" s="4">
        <f t="shared" ca="1" si="15"/>
        <v>3050000</v>
      </c>
      <c r="F36" s="4">
        <f t="shared" ca="1" si="16"/>
        <v>1000000</v>
      </c>
      <c r="G36" s="4">
        <f t="shared" ca="1" si="17"/>
        <v>3100000</v>
      </c>
      <c r="H36" s="4">
        <f t="shared" ca="1" si="18"/>
        <v>0</v>
      </c>
      <c r="I36" s="4">
        <f t="shared" ca="1" si="19"/>
        <v>4500000</v>
      </c>
      <c r="J36" s="4">
        <f t="shared" ca="1" si="20"/>
        <v>1500000</v>
      </c>
      <c r="K36" s="4">
        <f t="shared" ca="1" si="21"/>
        <v>0</v>
      </c>
      <c r="L36" s="4">
        <f t="shared" ca="1" si="27"/>
        <v>4500000</v>
      </c>
      <c r="M36" s="4">
        <f t="shared" ca="1" si="28"/>
        <v>3400000</v>
      </c>
      <c r="N36" s="1140">
        <f t="shared" ca="1" si="22"/>
        <v>22184000</v>
      </c>
      <c r="O36" s="1115">
        <f t="shared" ca="1" si="23"/>
        <v>3.8187778744312111E-2</v>
      </c>
      <c r="P36" s="1116"/>
    </row>
    <row r="37" spans="1:16" x14ac:dyDescent="0.25">
      <c r="A37" s="1114" t="s">
        <v>2227</v>
      </c>
      <c r="B37" s="4">
        <f t="shared" ca="1" si="24"/>
        <v>0</v>
      </c>
      <c r="C37" s="4">
        <f t="shared" ca="1" si="25"/>
        <v>0</v>
      </c>
      <c r="D37" s="4">
        <f t="shared" ca="1" si="26"/>
        <v>0</v>
      </c>
      <c r="E37" s="4">
        <f t="shared" ca="1" si="15"/>
        <v>0</v>
      </c>
      <c r="F37" s="4">
        <f t="shared" ca="1" si="16"/>
        <v>0</v>
      </c>
      <c r="G37" s="4">
        <f t="shared" ca="1" si="17"/>
        <v>0</v>
      </c>
      <c r="H37" s="4">
        <f t="shared" ca="1" si="18"/>
        <v>0</v>
      </c>
      <c r="I37" s="4">
        <f t="shared" ca="1" si="19"/>
        <v>0</v>
      </c>
      <c r="J37" s="4">
        <f t="shared" ca="1" si="20"/>
        <v>0</v>
      </c>
      <c r="K37" s="4">
        <f t="shared" ca="1" si="21"/>
        <v>0</v>
      </c>
      <c r="L37" s="4">
        <f t="shared" ca="1" si="27"/>
        <v>0</v>
      </c>
      <c r="M37" s="4">
        <f t="shared" ca="1" si="28"/>
        <v>0</v>
      </c>
      <c r="N37" s="1111">
        <f t="shared" ca="1" si="22"/>
        <v>0</v>
      </c>
      <c r="O37" s="1115">
        <f t="shared" ca="1" si="23"/>
        <v>0</v>
      </c>
      <c r="P37" s="1116"/>
    </row>
    <row r="38" spans="1:16" s="19" customFormat="1" x14ac:dyDescent="0.25">
      <c r="A38" s="1114" t="s">
        <v>187</v>
      </c>
      <c r="B38" s="4">
        <f t="shared" ca="1" si="24"/>
        <v>825000</v>
      </c>
      <c r="C38" s="4">
        <f t="shared" ca="1" si="25"/>
        <v>1032000</v>
      </c>
      <c r="D38" s="4">
        <f t="shared" ca="1" si="26"/>
        <v>592000</v>
      </c>
      <c r="E38" s="4">
        <f t="shared" ca="1" si="15"/>
        <v>914000</v>
      </c>
      <c r="F38" s="4">
        <f t="shared" ca="1" si="16"/>
        <v>677000</v>
      </c>
      <c r="G38" s="4">
        <f t="shared" ca="1" si="17"/>
        <v>806000</v>
      </c>
      <c r="H38" s="4">
        <f t="shared" ca="1" si="18"/>
        <v>1466000</v>
      </c>
      <c r="I38" s="4">
        <f t="shared" ca="1" si="19"/>
        <v>765000</v>
      </c>
      <c r="J38" s="4">
        <f t="shared" ca="1" si="20"/>
        <v>807000</v>
      </c>
      <c r="K38" s="4">
        <f t="shared" ca="1" si="21"/>
        <v>847000</v>
      </c>
      <c r="L38" s="4">
        <f t="shared" ca="1" si="27"/>
        <v>977000</v>
      </c>
      <c r="M38" s="4">
        <f t="shared" ca="1" si="28"/>
        <v>1301000</v>
      </c>
      <c r="N38" s="1111">
        <f t="shared" ca="1" si="22"/>
        <v>11009000</v>
      </c>
      <c r="O38" s="1115">
        <f t="shared" ca="1" si="23"/>
        <v>1.895101226993022E-2</v>
      </c>
      <c r="P38" s="1116"/>
    </row>
    <row r="39" spans="1:16" s="19" customFormat="1" x14ac:dyDescent="0.25">
      <c r="A39" s="1110" t="s">
        <v>2272</v>
      </c>
      <c r="B39" s="4">
        <f t="shared" ca="1" si="24"/>
        <v>22470626.582278479</v>
      </c>
      <c r="C39" s="4">
        <f t="shared" ca="1" si="25"/>
        <v>22832830.763180532</v>
      </c>
      <c r="D39" s="4">
        <f t="shared" ca="1" si="26"/>
        <v>16308428.683790093</v>
      </c>
      <c r="E39" s="4">
        <f t="shared" ca="1" si="15"/>
        <v>16738762.221949115</v>
      </c>
      <c r="F39" s="4">
        <f t="shared" ca="1" si="16"/>
        <v>15546182.831510376</v>
      </c>
      <c r="G39" s="4">
        <f t="shared" ca="1" si="17"/>
        <v>17002765.853508655</v>
      </c>
      <c r="H39" s="4">
        <f t="shared" ca="1" si="18"/>
        <v>13935089.086887056</v>
      </c>
      <c r="I39" s="4">
        <f t="shared" ca="1" si="19"/>
        <v>13408445.194789227</v>
      </c>
      <c r="J39" s="4">
        <f t="shared" ca="1" si="20"/>
        <v>14664499.781246159</v>
      </c>
      <c r="K39" s="4">
        <f t="shared" ca="1" si="21"/>
        <v>15568126.029249106</v>
      </c>
      <c r="L39" s="4">
        <f t="shared" ca="1" si="27"/>
        <v>20412432.911392406</v>
      </c>
      <c r="M39" s="4">
        <f t="shared" ca="1" si="28"/>
        <v>17359052.009340055</v>
      </c>
      <c r="N39" s="1111">
        <f t="shared" ca="1" si="22"/>
        <v>206247241.94912124</v>
      </c>
      <c r="O39" s="1115">
        <f t="shared" ca="1" si="23"/>
        <v>0.35503624423808372</v>
      </c>
      <c r="P39" s="1116"/>
    </row>
    <row r="40" spans="1:16" s="19" customFormat="1" ht="17.25" thickBot="1" x14ac:dyDescent="0.3">
      <c r="A40" s="1141" t="s">
        <v>179</v>
      </c>
      <c r="B40" s="4">
        <f t="shared" ca="1" si="24"/>
        <v>7210338.75</v>
      </c>
      <c r="C40" s="4">
        <f t="shared" ca="1" si="25"/>
        <v>8193617</v>
      </c>
      <c r="D40" s="4">
        <f t="shared" ca="1" si="26"/>
        <v>8987259.75</v>
      </c>
      <c r="E40" s="4">
        <f t="shared" ca="1" si="15"/>
        <v>3086083</v>
      </c>
      <c r="F40" s="4">
        <f t="shared" ca="1" si="16"/>
        <v>1924156</v>
      </c>
      <c r="G40" s="4">
        <f t="shared" ca="1" si="17"/>
        <v>14997562.75</v>
      </c>
      <c r="H40" s="4">
        <f t="shared" ca="1" si="18"/>
        <v>6091900</v>
      </c>
      <c r="I40" s="4">
        <f t="shared" ca="1" si="19"/>
        <v>5214500</v>
      </c>
      <c r="J40" s="4">
        <f t="shared" ca="1" si="20"/>
        <v>2693056</v>
      </c>
      <c r="K40" s="4">
        <f t="shared" ca="1" si="21"/>
        <v>6775825</v>
      </c>
      <c r="L40" s="4">
        <f t="shared" ca="1" si="27"/>
        <v>4201500</v>
      </c>
      <c r="M40" s="4">
        <f t="shared" ca="1" si="28"/>
        <v>13407561</v>
      </c>
      <c r="N40" s="1142">
        <f t="shared" ca="1" si="22"/>
        <v>82783359.25</v>
      </c>
      <c r="O40" s="1115">
        <f t="shared" ca="1" si="23"/>
        <v>0.14250417448385788</v>
      </c>
      <c r="P40" s="1116"/>
    </row>
    <row r="41" spans="1:16" ht="17.25" thickTop="1" x14ac:dyDescent="0.25">
      <c r="A41" s="1144" t="s">
        <v>2181</v>
      </c>
      <c r="B41" s="9">
        <f t="shared" ref="B41:O41" ca="1" si="29">SUM(B25:B40)</f>
        <v>41259205.332278475</v>
      </c>
      <c r="C41" s="9">
        <f t="shared" ca="1" si="29"/>
        <v>47125756.763180532</v>
      </c>
      <c r="D41" s="9">
        <f t="shared" ca="1" si="29"/>
        <v>42372550.433790095</v>
      </c>
      <c r="E41" s="9">
        <f t="shared" ca="1" si="29"/>
        <v>79412395.074153632</v>
      </c>
      <c r="F41" s="9">
        <f t="shared" ca="1" si="29"/>
        <v>35294938.83151038</v>
      </c>
      <c r="G41" s="9">
        <f t="shared" ca="1" si="29"/>
        <v>56155475.603508651</v>
      </c>
      <c r="H41" s="9">
        <f t="shared" ca="1" si="29"/>
        <v>39536600.086887054</v>
      </c>
      <c r="I41" s="9">
        <f t="shared" ca="1" si="29"/>
        <v>34339243.194789231</v>
      </c>
      <c r="J41" s="9">
        <f t="shared" ca="1" si="29"/>
        <v>47698828.781246156</v>
      </c>
      <c r="K41" s="9">
        <f t="shared" ca="1" si="29"/>
        <v>45200655.029249102</v>
      </c>
      <c r="L41" s="9">
        <f t="shared" ca="1" si="29"/>
        <v>54287422.911392406</v>
      </c>
      <c r="M41" s="9">
        <f t="shared" ca="1" si="29"/>
        <v>58235764.545340054</v>
      </c>
      <c r="N41" s="1143">
        <f t="shared" ca="1" si="29"/>
        <v>580918836.58732581</v>
      </c>
      <c r="O41" s="1115">
        <f t="shared" ca="1" si="29"/>
        <v>0.99999999999999989</v>
      </c>
      <c r="P41" s="1116"/>
    </row>
    <row r="42" spans="1:16" x14ac:dyDescent="0.25">
      <c r="A42" s="21" t="s">
        <v>43</v>
      </c>
      <c r="B42" s="22">
        <f t="shared" ref="B42:N42" ca="1" si="30">B41/B20</f>
        <v>0.27102688436337408</v>
      </c>
      <c r="C42" s="22">
        <f t="shared" ca="1" si="30"/>
        <v>0.25261865120252874</v>
      </c>
      <c r="D42" s="22">
        <f t="shared" ca="1" si="30"/>
        <v>0.24770433023184768</v>
      </c>
      <c r="E42" s="22">
        <f t="shared" ca="1" si="30"/>
        <v>0.35639217056339284</v>
      </c>
      <c r="F42" s="22">
        <f t="shared" ca="1" si="30"/>
        <v>0.25618554580797398</v>
      </c>
      <c r="G42" s="22">
        <f t="shared" ca="1" si="30"/>
        <v>0.25078701306068163</v>
      </c>
      <c r="H42" s="22">
        <f t="shared" ca="1" si="30"/>
        <v>0.30125556873078552</v>
      </c>
      <c r="I42" s="22">
        <f t="shared" ca="1" si="30"/>
        <v>0.2856476224742357</v>
      </c>
      <c r="J42" s="22">
        <f t="shared" ca="1" si="30"/>
        <v>0.21583844562297011</v>
      </c>
      <c r="K42" s="22">
        <f t="shared" ca="1" si="30"/>
        <v>0.3011279144146185</v>
      </c>
      <c r="L42" s="22">
        <f t="shared" ca="1" si="30"/>
        <v>0.24169486905558848</v>
      </c>
      <c r="M42" s="22">
        <f t="shared" ca="1" si="30"/>
        <v>0.28183400199251413</v>
      </c>
      <c r="N42" s="26">
        <f t="shared" ca="1" si="30"/>
        <v>0.27042759090482421</v>
      </c>
      <c r="O42" s="1116"/>
      <c r="P42" s="1116"/>
    </row>
    <row r="51" spans="1:8" x14ac:dyDescent="0.25">
      <c r="A51" s="1229"/>
      <c r="B51" s="1229"/>
      <c r="C51" s="5"/>
      <c r="D51" s="5"/>
      <c r="E51" s="5"/>
      <c r="F51" s="5"/>
      <c r="G51" s="1229"/>
      <c r="H51" s="1229"/>
    </row>
    <row r="70" spans="1:8" x14ac:dyDescent="0.25">
      <c r="A70" s="1229"/>
      <c r="B70" s="1229"/>
      <c r="C70" s="5"/>
      <c r="D70" s="5"/>
      <c r="E70" s="5"/>
      <c r="F70" s="5"/>
      <c r="G70" s="1230"/>
      <c r="H70" s="1230"/>
    </row>
  </sheetData>
  <mergeCells count="4">
    <mergeCell ref="A51:B51"/>
    <mergeCell ref="G51:H51"/>
    <mergeCell ref="A70:B70"/>
    <mergeCell ref="G70:H70"/>
  </mergeCells>
  <phoneticPr fontId="31" type="noConversion"/>
  <printOptions horizontalCentered="1"/>
  <pageMargins left="0.23622047244094491" right="0.19685039370078741" top="0.11811023622047245" bottom="0.19685039370078741" header="0.11811023622047245" footer="0.11811023622047245"/>
  <pageSetup paperSize="9" scale="21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P70"/>
  <sheetViews>
    <sheetView zoomScale="70" zoomScaleNormal="70" workbookViewId="0">
      <selection activeCell="J4" sqref="B4:J13"/>
    </sheetView>
  </sheetViews>
  <sheetFormatPr defaultRowHeight="16.5" x14ac:dyDescent="0.25"/>
  <cols>
    <col min="1" max="1" width="15.22265625" customWidth="1"/>
    <col min="2" max="2" width="14.109375" customWidth="1"/>
    <col min="3" max="3" width="15.22265625" customWidth="1"/>
    <col min="4" max="4" width="15.71875" bestFit="1" customWidth="1"/>
    <col min="5" max="5" width="16.5859375" customWidth="1"/>
    <col min="6" max="6" width="16.5859375" bestFit="1" customWidth="1"/>
    <col min="7" max="13" width="15.22265625" customWidth="1"/>
    <col min="14" max="14" width="15.71875" customWidth="1"/>
    <col min="15" max="15" width="16.5859375" bestFit="1" customWidth="1"/>
    <col min="16" max="23" width="20.30078125" customWidth="1"/>
  </cols>
  <sheetData>
    <row r="1" spans="1:15" ht="23.25" customHeight="1" x14ac:dyDescent="0.25">
      <c r="A1" s="12" t="s">
        <v>29</v>
      </c>
    </row>
    <row r="2" spans="1:15" x14ac:dyDescent="0.25">
      <c r="A2" s="13"/>
      <c r="B2" s="14">
        <v>2021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5" x14ac:dyDescent="0.25">
      <c r="A3" s="15" t="s">
        <v>30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>
        <v>12</v>
      </c>
      <c r="N3" s="16" t="s">
        <v>31</v>
      </c>
      <c r="O3" s="1095" t="s">
        <v>51</v>
      </c>
    </row>
    <row r="4" spans="1:15" x14ac:dyDescent="0.25">
      <c r="A4" s="1133" t="s">
        <v>34</v>
      </c>
      <c r="B4" s="4">
        <f ca="1">SUMIF(INDIRECT("Report!I3669:I3751"),A4,INDIRECT("Report!G3669:G3751"))</f>
        <v>1549000</v>
      </c>
      <c r="C4" s="4">
        <f ca="1">SUMIF(INDIRECT("Report!I3752:I3834"),A4,INDIRECT("Report!G3752:G3834"))</f>
        <v>4961000</v>
      </c>
      <c r="D4" s="4">
        <f ca="1">SUMIF(INDIRECT("Report!I3835:I3916"),A4,INDIRECT("Report!G3835:G3916"))</f>
        <v>2352000</v>
      </c>
      <c r="E4" s="4">
        <f t="shared" ref="E4:E19" ca="1" si="0">SUMIF(INDIRECT("Report!I3916:I3995"),A4,INDIRECT("Report!G3916:G3995"))</f>
        <v>2691000</v>
      </c>
      <c r="F4" s="4">
        <f t="shared" ref="F4:F19" ca="1" si="1">SUMIF(INDIRECT("Report!I3996:I4075"),A4,INDIRECT("Report!G3996:G4075"))</f>
        <v>0</v>
      </c>
      <c r="G4" s="4">
        <f ca="1">SUMIF(INDIRECT("Report!I4076:I4169"),A4,INDIRECT("Report!G4076:G4169"))</f>
        <v>5043000</v>
      </c>
      <c r="H4" s="4">
        <f ca="1">SUMIF(INDIRECT("Report!I4170:I4254"),A4,INDIRECT("Report!G4170:G4254"))</f>
        <v>4797000</v>
      </c>
      <c r="I4" s="4">
        <f ca="1">SUMIF(INDIRECT("Report!I4255:I4333"),A4,INDIRECT("Report!G4255:G4333"))</f>
        <v>2891000</v>
      </c>
      <c r="J4" s="4">
        <f ca="1">SUMIF(INDIRECT("Report!I4334:I4406"),A4,INDIRECT("Report!G4334:G4406"))</f>
        <v>2738000</v>
      </c>
      <c r="K4" s="4">
        <f t="shared" ref="K4:K19" ca="1" si="2">SUMIF(INDIRECT("Report!I4407:I4495"),A4,INDIRECT("Report!G4407:G4495"))</f>
        <v>5536000</v>
      </c>
      <c r="L4" s="4">
        <f t="shared" ref="L4:L19" ca="1" si="3">SUMIF(INDIRECT("Report!I4496:I4593"),A4,INDIRECT("Report!G4496:G4593"))</f>
        <v>10766000</v>
      </c>
      <c r="M4" s="4">
        <f t="shared" ref="M4:M19" ca="1" si="4">SUMIF(INDIRECT("Report!I4594:I4691"),A4,INDIRECT("Report!G4594:G4691"))</f>
        <v>13099000</v>
      </c>
      <c r="N4" s="1137">
        <f t="shared" ref="N4:N15" ca="1" si="5">SUM(B4:M4)</f>
        <v>56423000</v>
      </c>
      <c r="O4" s="1204">
        <f t="shared" ref="O4:O19" ca="1" si="6">N4/$N$20</f>
        <v>2.5101850980877236E-2</v>
      </c>
    </row>
    <row r="5" spans="1:15" x14ac:dyDescent="0.25">
      <c r="A5" s="1133" t="s">
        <v>35</v>
      </c>
      <c r="B5" s="4">
        <f t="shared" ref="B5:B19" ca="1" si="7">SUMIF(INDIRECT("Report!I3669:I3751"),A5,INDIRECT("Report!G3669:G3751"))</f>
        <v>4812500</v>
      </c>
      <c r="C5" s="4">
        <f t="shared" ref="C5:C19" ca="1" si="8">SUMIF(INDIRECT("Report!I3752:I3834"),A5,INDIRECT("Report!G3752:G3834"))</f>
        <v>1925000</v>
      </c>
      <c r="D5" s="4">
        <f t="shared" ref="D5:D19" ca="1" si="9">SUMIF(INDIRECT("Report!I3835:I3916"),A5,INDIRECT("Report!G3835:G3916"))</f>
        <v>2465000</v>
      </c>
      <c r="E5" s="4">
        <f t="shared" ca="1" si="0"/>
        <v>577500</v>
      </c>
      <c r="F5" s="4">
        <f t="shared" ca="1" si="1"/>
        <v>1925000</v>
      </c>
      <c r="G5" s="4">
        <f t="shared" ref="G5:G19" ca="1" si="10">SUMIF(INDIRECT("Report!I4076:I4169"),A5,INDIRECT("Report!G4076:G4169"))</f>
        <v>2887500</v>
      </c>
      <c r="H5" s="4">
        <f t="shared" ref="H5:H19" ca="1" si="11">SUMIF(INDIRECT("Report!I4170:I4254"),A5,INDIRECT("Report!G4170:G4254"))</f>
        <v>3161500</v>
      </c>
      <c r="I5" s="4">
        <f t="shared" ref="I5:I19" ca="1" si="12">SUMIF(INDIRECT("Report!I4255:I4333"),A5,INDIRECT("Report!G4255:G4333"))</f>
        <v>2236000</v>
      </c>
      <c r="J5" s="4">
        <f t="shared" ref="J5:J19" ca="1" si="13">SUMIF(INDIRECT("Report!I4334:I4406"),A5,INDIRECT("Report!G4334:G4406"))</f>
        <v>1925000</v>
      </c>
      <c r="K5" s="4">
        <f t="shared" ca="1" si="2"/>
        <v>4161000</v>
      </c>
      <c r="L5" s="4">
        <f t="shared" ca="1" si="3"/>
        <v>6708000</v>
      </c>
      <c r="M5" s="4">
        <f t="shared" ca="1" si="4"/>
        <v>5775000</v>
      </c>
      <c r="N5" s="1137">
        <f t="shared" ca="1" si="5"/>
        <v>38559000</v>
      </c>
      <c r="O5" s="1204">
        <f t="shared" ca="1" si="6"/>
        <v>1.7154392215437773E-2</v>
      </c>
    </row>
    <row r="6" spans="1:15" x14ac:dyDescent="0.25">
      <c r="A6" s="1133" t="s">
        <v>37</v>
      </c>
      <c r="B6" s="4">
        <f t="shared" ca="1" si="7"/>
        <v>0</v>
      </c>
      <c r="C6" s="4">
        <f t="shared" ca="1" si="8"/>
        <v>0</v>
      </c>
      <c r="D6" s="4">
        <f t="shared" ca="1" si="9"/>
        <v>5880000</v>
      </c>
      <c r="E6" s="4">
        <f t="shared" ca="1" si="0"/>
        <v>0</v>
      </c>
      <c r="F6" s="4">
        <f t="shared" ca="1" si="1"/>
        <v>0</v>
      </c>
      <c r="G6" s="4">
        <f t="shared" ca="1" si="10"/>
        <v>8540000</v>
      </c>
      <c r="H6" s="4">
        <f t="shared" ca="1" si="11"/>
        <v>18310000</v>
      </c>
      <c r="I6" s="4">
        <f t="shared" ca="1" si="12"/>
        <v>0</v>
      </c>
      <c r="J6" s="4">
        <f t="shared" ca="1" si="13"/>
        <v>0</v>
      </c>
      <c r="K6" s="4">
        <f t="shared" ca="1" si="2"/>
        <v>0</v>
      </c>
      <c r="L6" s="4">
        <f t="shared" ca="1" si="3"/>
        <v>6630000</v>
      </c>
      <c r="M6" s="4">
        <f t="shared" ca="1" si="4"/>
        <v>5350000</v>
      </c>
      <c r="N6" s="1137">
        <f t="shared" ca="1" si="5"/>
        <v>44710000</v>
      </c>
      <c r="O6" s="1204">
        <f t="shared" ca="1" si="6"/>
        <v>1.989089125631429E-2</v>
      </c>
    </row>
    <row r="7" spans="1:15" x14ac:dyDescent="0.25">
      <c r="A7" s="1133" t="s">
        <v>33</v>
      </c>
      <c r="B7" s="4">
        <f t="shared" ca="1" si="7"/>
        <v>7244000</v>
      </c>
      <c r="C7" s="4">
        <f t="shared" ca="1" si="8"/>
        <v>6176000</v>
      </c>
      <c r="D7" s="4">
        <f t="shared" ca="1" si="9"/>
        <v>6962000</v>
      </c>
      <c r="E7" s="4">
        <f t="shared" ca="1" si="0"/>
        <v>7124000</v>
      </c>
      <c r="F7" s="4">
        <f t="shared" ca="1" si="1"/>
        <v>4944000</v>
      </c>
      <c r="G7" s="4">
        <f t="shared" ca="1" si="10"/>
        <v>8784000</v>
      </c>
      <c r="H7" s="4">
        <f t="shared" ca="1" si="11"/>
        <v>8024000</v>
      </c>
      <c r="I7" s="4">
        <f t="shared" ca="1" si="12"/>
        <v>9614000</v>
      </c>
      <c r="J7" s="4">
        <f t="shared" ca="1" si="13"/>
        <v>6224000</v>
      </c>
      <c r="K7" s="4">
        <f t="shared" ca="1" si="2"/>
        <v>11868000</v>
      </c>
      <c r="L7" s="4">
        <f t="shared" ca="1" si="3"/>
        <v>11050000</v>
      </c>
      <c r="M7" s="4">
        <f t="shared" ca="1" si="4"/>
        <v>10774000</v>
      </c>
      <c r="N7" s="1137">
        <f t="shared" ca="1" si="5"/>
        <v>98788000</v>
      </c>
      <c r="O7" s="1204">
        <f t="shared" ca="1" si="6"/>
        <v>4.3949482563828586E-2</v>
      </c>
    </row>
    <row r="8" spans="1:15" s="19" customFormat="1" x14ac:dyDescent="0.25">
      <c r="A8" s="1134" t="s">
        <v>38</v>
      </c>
      <c r="B8" s="4">
        <f t="shared" ca="1" si="7"/>
        <v>11604000</v>
      </c>
      <c r="C8" s="4">
        <f t="shared" ca="1" si="8"/>
        <v>10205000</v>
      </c>
      <c r="D8" s="4">
        <f t="shared" ca="1" si="9"/>
        <v>12907000</v>
      </c>
      <c r="E8" s="4">
        <f t="shared" ca="1" si="0"/>
        <v>13514000</v>
      </c>
      <c r="F8" s="4">
        <f t="shared" ca="1" si="1"/>
        <v>8129000</v>
      </c>
      <c r="G8" s="4">
        <f t="shared" ca="1" si="10"/>
        <v>11783000</v>
      </c>
      <c r="H8" s="4">
        <f t="shared" ca="1" si="11"/>
        <v>12672000</v>
      </c>
      <c r="I8" s="4">
        <f t="shared" ca="1" si="12"/>
        <v>9992500</v>
      </c>
      <c r="J8" s="4">
        <f t="shared" ca="1" si="13"/>
        <v>6966000</v>
      </c>
      <c r="K8" s="4">
        <f t="shared" ca="1" si="2"/>
        <v>13868500</v>
      </c>
      <c r="L8" s="4">
        <f t="shared" ca="1" si="3"/>
        <v>15325000</v>
      </c>
      <c r="M8" s="4">
        <f t="shared" ca="1" si="4"/>
        <v>14110000</v>
      </c>
      <c r="N8" s="1137">
        <f t="shared" ca="1" si="5"/>
        <v>141076000</v>
      </c>
      <c r="O8" s="1204">
        <f t="shared" ca="1" si="6"/>
        <v>6.2762857858997878E-2</v>
      </c>
    </row>
    <row r="9" spans="1:15" x14ac:dyDescent="0.25">
      <c r="A9" s="1135" t="s">
        <v>32</v>
      </c>
      <c r="B9" s="4">
        <f t="shared" ca="1" si="7"/>
        <v>0</v>
      </c>
      <c r="C9" s="4">
        <f t="shared" ca="1" si="8"/>
        <v>0</v>
      </c>
      <c r="D9" s="4">
        <f t="shared" ca="1" si="9"/>
        <v>0</v>
      </c>
      <c r="E9" s="4">
        <f t="shared" ca="1" si="0"/>
        <v>7300000</v>
      </c>
      <c r="F9" s="4">
        <f t="shared" ca="1" si="1"/>
        <v>0</v>
      </c>
      <c r="G9" s="4">
        <f t="shared" ca="1" si="10"/>
        <v>1800000</v>
      </c>
      <c r="H9" s="4">
        <f t="shared" ca="1" si="11"/>
        <v>8600000</v>
      </c>
      <c r="I9" s="4">
        <f t="shared" ca="1" si="12"/>
        <v>0</v>
      </c>
      <c r="J9" s="4">
        <f t="shared" ca="1" si="13"/>
        <v>0</v>
      </c>
      <c r="K9" s="4">
        <f t="shared" ca="1" si="2"/>
        <v>0</v>
      </c>
      <c r="L9" s="4">
        <f t="shared" ca="1" si="3"/>
        <v>0</v>
      </c>
      <c r="M9" s="4">
        <f t="shared" ca="1" si="4"/>
        <v>0</v>
      </c>
      <c r="N9" s="1137">
        <f t="shared" ca="1" si="5"/>
        <v>17700000</v>
      </c>
      <c r="O9" s="1204">
        <f t="shared" ca="1" si="6"/>
        <v>7.8744973213322068E-3</v>
      </c>
    </row>
    <row r="10" spans="1:15" x14ac:dyDescent="0.25">
      <c r="A10" s="1136" t="s">
        <v>2226</v>
      </c>
      <c r="B10" s="4">
        <f t="shared" ca="1" si="7"/>
        <v>5650000</v>
      </c>
      <c r="C10" s="4">
        <f t="shared" ca="1" si="8"/>
        <v>6080000</v>
      </c>
      <c r="D10" s="4">
        <f t="shared" ca="1" si="9"/>
        <v>0</v>
      </c>
      <c r="E10" s="4">
        <f t="shared" ca="1" si="0"/>
        <v>0</v>
      </c>
      <c r="F10" s="4">
        <f t="shared" ca="1" si="1"/>
        <v>35350000</v>
      </c>
      <c r="G10" s="4">
        <f t="shared" ca="1" si="10"/>
        <v>0</v>
      </c>
      <c r="H10" s="4">
        <f t="shared" ca="1" si="11"/>
        <v>4660000</v>
      </c>
      <c r="I10" s="4">
        <f t="shared" ca="1" si="12"/>
        <v>13560000</v>
      </c>
      <c r="J10" s="4">
        <f t="shared" ca="1" si="13"/>
        <v>0</v>
      </c>
      <c r="K10" s="4">
        <f t="shared" ca="1" si="2"/>
        <v>5000000</v>
      </c>
      <c r="L10" s="4">
        <f t="shared" ca="1" si="3"/>
        <v>0</v>
      </c>
      <c r="M10" s="4">
        <f t="shared" ca="1" si="4"/>
        <v>0</v>
      </c>
      <c r="N10" s="1137">
        <f t="shared" ca="1" si="5"/>
        <v>70300000</v>
      </c>
      <c r="O10" s="1204">
        <f t="shared" ca="1" si="6"/>
        <v>3.1275545858172549E-2</v>
      </c>
    </row>
    <row r="11" spans="1:15" x14ac:dyDescent="0.25">
      <c r="A11" s="1136" t="s">
        <v>2228</v>
      </c>
      <c r="B11" s="4">
        <f t="shared" ca="1" si="7"/>
        <v>3742000</v>
      </c>
      <c r="C11" s="4">
        <f t="shared" ca="1" si="8"/>
        <v>3821000</v>
      </c>
      <c r="D11" s="4">
        <f t="shared" ca="1" si="9"/>
        <v>3821000</v>
      </c>
      <c r="E11" s="4">
        <f t="shared" ca="1" si="0"/>
        <v>6258500</v>
      </c>
      <c r="F11" s="4">
        <f t="shared" ca="1" si="1"/>
        <v>3604000</v>
      </c>
      <c r="G11" s="4">
        <f t="shared" ca="1" si="10"/>
        <v>11586000</v>
      </c>
      <c r="H11" s="4">
        <f t="shared" ca="1" si="11"/>
        <v>0</v>
      </c>
      <c r="I11" s="4">
        <f t="shared" ca="1" si="12"/>
        <v>2138000</v>
      </c>
      <c r="J11" s="4">
        <f t="shared" ca="1" si="13"/>
        <v>7189600</v>
      </c>
      <c r="K11" s="4">
        <f t="shared" ca="1" si="2"/>
        <v>2175000</v>
      </c>
      <c r="L11" s="4">
        <f t="shared" ca="1" si="3"/>
        <v>13088000</v>
      </c>
      <c r="M11" s="4">
        <f t="shared" ca="1" si="4"/>
        <v>8760000</v>
      </c>
      <c r="N11" s="1137">
        <f t="shared" ca="1" si="5"/>
        <v>66183100</v>
      </c>
      <c r="O11" s="1204">
        <f t="shared" ca="1" si="6"/>
        <v>2.9443991167653196E-2</v>
      </c>
    </row>
    <row r="12" spans="1:15" x14ac:dyDescent="0.25">
      <c r="A12" s="1136" t="s">
        <v>2229</v>
      </c>
      <c r="B12" s="4">
        <f t="shared" ca="1" si="7"/>
        <v>8595000</v>
      </c>
      <c r="C12" s="4">
        <f t="shared" ca="1" si="8"/>
        <v>9355000</v>
      </c>
      <c r="D12" s="4">
        <f t="shared" ca="1" si="9"/>
        <v>6804000</v>
      </c>
      <c r="E12" s="4">
        <f t="shared" ca="1" si="0"/>
        <v>6309000</v>
      </c>
      <c r="F12" s="4">
        <f t="shared" ca="1" si="1"/>
        <v>8170000</v>
      </c>
      <c r="G12" s="4">
        <f t="shared" ca="1" si="10"/>
        <v>4755000</v>
      </c>
      <c r="H12" s="4">
        <f t="shared" ca="1" si="11"/>
        <v>10003000</v>
      </c>
      <c r="I12" s="4">
        <f t="shared" ca="1" si="12"/>
        <v>6830000</v>
      </c>
      <c r="J12" s="4">
        <f t="shared" ca="1" si="13"/>
        <v>8329000</v>
      </c>
      <c r="K12" s="4">
        <f t="shared" ca="1" si="2"/>
        <v>8215000</v>
      </c>
      <c r="L12" s="4">
        <f t="shared" ca="1" si="3"/>
        <v>13763800</v>
      </c>
      <c r="M12" s="4">
        <f t="shared" ca="1" si="4"/>
        <v>10443000</v>
      </c>
      <c r="N12" s="1137">
        <f t="shared" ca="1" si="5"/>
        <v>101571800</v>
      </c>
      <c r="O12" s="1204">
        <f t="shared" ca="1" si="6"/>
        <v>4.5187958588863875E-2</v>
      </c>
    </row>
    <row r="13" spans="1:15" s="19" customFormat="1" x14ac:dyDescent="0.25">
      <c r="A13" s="1133" t="s">
        <v>39</v>
      </c>
      <c r="B13" s="4">
        <f t="shared" ca="1" si="7"/>
        <v>2900000</v>
      </c>
      <c r="C13" s="4">
        <f t="shared" ca="1" si="8"/>
        <v>3200000</v>
      </c>
      <c r="D13" s="4">
        <f t="shared" ca="1" si="9"/>
        <v>18205000</v>
      </c>
      <c r="E13" s="4">
        <f t="shared" ca="1" si="0"/>
        <v>1640000</v>
      </c>
      <c r="F13" s="4">
        <f t="shared" ca="1" si="1"/>
        <v>40700000</v>
      </c>
      <c r="G13" s="4">
        <f t="shared" ca="1" si="10"/>
        <v>850000</v>
      </c>
      <c r="H13" s="4">
        <f t="shared" ca="1" si="11"/>
        <v>1430000</v>
      </c>
      <c r="I13" s="4">
        <f t="shared" ca="1" si="12"/>
        <v>0</v>
      </c>
      <c r="J13" s="4">
        <f t="shared" ca="1" si="13"/>
        <v>0</v>
      </c>
      <c r="K13" s="4">
        <f t="shared" ca="1" si="2"/>
        <v>800000</v>
      </c>
      <c r="L13" s="4">
        <f t="shared" ca="1" si="3"/>
        <v>2000000</v>
      </c>
      <c r="M13" s="4">
        <f t="shared" ca="1" si="4"/>
        <v>700000</v>
      </c>
      <c r="N13" s="1137">
        <f t="shared" ca="1" si="5"/>
        <v>72425000</v>
      </c>
      <c r="O13" s="1204">
        <f t="shared" ca="1" si="6"/>
        <v>3.222093042358673E-2</v>
      </c>
    </row>
    <row r="14" spans="1:15" s="19" customFormat="1" x14ac:dyDescent="0.25">
      <c r="A14" s="1138" t="s">
        <v>40</v>
      </c>
      <c r="B14" s="4">
        <f t="shared" ca="1" si="7"/>
        <v>10310000</v>
      </c>
      <c r="C14" s="4">
        <f t="shared" ca="1" si="8"/>
        <v>21082727.272727273</v>
      </c>
      <c r="D14" s="4">
        <f t="shared" ca="1" si="9"/>
        <v>33410000</v>
      </c>
      <c r="E14" s="4">
        <f t="shared" ca="1" si="0"/>
        <v>27135000</v>
      </c>
      <c r="F14" s="4">
        <f t="shared" ca="1" si="1"/>
        <v>31480000</v>
      </c>
      <c r="G14" s="4">
        <f t="shared" ca="1" si="10"/>
        <v>15845000</v>
      </c>
      <c r="H14" s="4">
        <f t="shared" ca="1" si="11"/>
        <v>13990000</v>
      </c>
      <c r="I14" s="4">
        <f t="shared" ca="1" si="12"/>
        <v>89072727</v>
      </c>
      <c r="J14" s="4">
        <f t="shared" ca="1" si="13"/>
        <v>11400000</v>
      </c>
      <c r="K14" s="4">
        <f t="shared" ca="1" si="2"/>
        <v>8300000</v>
      </c>
      <c r="L14" s="4">
        <f t="shared" ca="1" si="3"/>
        <v>30759080</v>
      </c>
      <c r="M14" s="4">
        <f t="shared" ca="1" si="4"/>
        <v>95565000</v>
      </c>
      <c r="N14" s="1140">
        <f t="shared" ca="1" si="5"/>
        <v>388349534.27272725</v>
      </c>
      <c r="O14" s="1204">
        <f t="shared" ca="1" si="6"/>
        <v>0.17277160267633904</v>
      </c>
    </row>
    <row r="15" spans="1:15" x14ac:dyDescent="0.25">
      <c r="A15" s="1139" t="s">
        <v>281</v>
      </c>
      <c r="B15" s="4">
        <f t="shared" ca="1" si="7"/>
        <v>3500000</v>
      </c>
      <c r="C15" s="4">
        <f t="shared" ca="1" si="8"/>
        <v>18650000</v>
      </c>
      <c r="D15" s="4">
        <f t="shared" ca="1" si="9"/>
        <v>2600000</v>
      </c>
      <c r="E15" s="4">
        <f t="shared" ca="1" si="0"/>
        <v>12625000</v>
      </c>
      <c r="F15" s="4">
        <f t="shared" ca="1" si="1"/>
        <v>4800000</v>
      </c>
      <c r="G15" s="4">
        <f t="shared" ca="1" si="10"/>
        <v>15995000</v>
      </c>
      <c r="H15" s="4">
        <f t="shared" ca="1" si="11"/>
        <v>1170000</v>
      </c>
      <c r="I15" s="4">
        <f t="shared" ca="1" si="12"/>
        <v>3015000</v>
      </c>
      <c r="J15" s="4">
        <f t="shared" ca="1" si="13"/>
        <v>30127000</v>
      </c>
      <c r="K15" s="4">
        <f t="shared" ca="1" si="2"/>
        <v>3635000</v>
      </c>
      <c r="L15" s="4">
        <f t="shared" ca="1" si="3"/>
        <v>82527630</v>
      </c>
      <c r="M15" s="4">
        <f t="shared" ca="1" si="4"/>
        <v>2300000</v>
      </c>
      <c r="N15" s="1140">
        <f t="shared" ca="1" si="5"/>
        <v>180944630</v>
      </c>
      <c r="O15" s="1204">
        <f t="shared" ca="1" si="6"/>
        <v>8.0499887245449001E-2</v>
      </c>
    </row>
    <row r="16" spans="1:15" x14ac:dyDescent="0.25">
      <c r="A16" s="1114" t="s">
        <v>2227</v>
      </c>
      <c r="B16" s="4">
        <f t="shared" ca="1" si="7"/>
        <v>0</v>
      </c>
      <c r="C16" s="4">
        <f t="shared" ca="1" si="8"/>
        <v>0</v>
      </c>
      <c r="D16" s="4">
        <f t="shared" ca="1" si="9"/>
        <v>0</v>
      </c>
      <c r="E16" s="4">
        <f t="shared" ca="1" si="0"/>
        <v>0</v>
      </c>
      <c r="F16" s="4">
        <f t="shared" ca="1" si="1"/>
        <v>0</v>
      </c>
      <c r="G16" s="4">
        <f t="shared" ca="1" si="10"/>
        <v>0</v>
      </c>
      <c r="H16" s="4">
        <f t="shared" ca="1" si="11"/>
        <v>0</v>
      </c>
      <c r="I16" s="4">
        <f t="shared" ca="1" si="12"/>
        <v>0</v>
      </c>
      <c r="J16" s="4">
        <f t="shared" ca="1" si="13"/>
        <v>0</v>
      </c>
      <c r="K16" s="4">
        <f t="shared" ca="1" si="2"/>
        <v>0</v>
      </c>
      <c r="L16" s="4">
        <f t="shared" ca="1" si="3"/>
        <v>0</v>
      </c>
      <c r="M16" s="4">
        <f t="shared" ca="1" si="4"/>
        <v>0</v>
      </c>
      <c r="N16" s="1111">
        <f ca="1">SUM(B16:M16)</f>
        <v>0</v>
      </c>
      <c r="O16" s="1204">
        <f t="shared" ca="1" si="6"/>
        <v>0</v>
      </c>
    </row>
    <row r="17" spans="1:16" s="19" customFormat="1" x14ac:dyDescent="0.25">
      <c r="A17" s="1114" t="s">
        <v>187</v>
      </c>
      <c r="B17" s="4">
        <f t="shared" ca="1" si="7"/>
        <v>13505000</v>
      </c>
      <c r="C17" s="4">
        <f t="shared" ca="1" si="8"/>
        <v>11024400</v>
      </c>
      <c r="D17" s="4">
        <f t="shared" ca="1" si="9"/>
        <v>14550000</v>
      </c>
      <c r="E17" s="4">
        <f t="shared" ca="1" si="0"/>
        <v>11910500</v>
      </c>
      <c r="F17" s="4">
        <f t="shared" ca="1" si="1"/>
        <v>11265000</v>
      </c>
      <c r="G17" s="4">
        <f t="shared" ca="1" si="10"/>
        <v>12295500</v>
      </c>
      <c r="H17" s="4">
        <f t="shared" ca="1" si="11"/>
        <v>16300000</v>
      </c>
      <c r="I17" s="4">
        <f t="shared" ca="1" si="12"/>
        <v>12500000</v>
      </c>
      <c r="J17" s="4">
        <f t="shared" ca="1" si="13"/>
        <v>12040000</v>
      </c>
      <c r="K17" s="4">
        <f t="shared" ca="1" si="2"/>
        <v>10665000</v>
      </c>
      <c r="L17" s="4">
        <f t="shared" ca="1" si="3"/>
        <v>18855000</v>
      </c>
      <c r="M17" s="4">
        <f t="shared" ca="1" si="4"/>
        <v>15582500</v>
      </c>
      <c r="N17" s="1111">
        <f ca="1">SUM(B17:M17)</f>
        <v>160492900</v>
      </c>
      <c r="O17" s="1205">
        <f t="shared" ca="1" si="6"/>
        <v>7.140118142049931E-2</v>
      </c>
      <c r="P17" s="1116"/>
    </row>
    <row r="18" spans="1:16" s="19" customFormat="1" x14ac:dyDescent="0.25">
      <c r="A18" s="1110" t="s">
        <v>2272</v>
      </c>
      <c r="B18" s="4">
        <f t="shared" ca="1" si="7"/>
        <v>51544000</v>
      </c>
      <c r="C18" s="4">
        <f t="shared" ca="1" si="8"/>
        <v>53535000</v>
      </c>
      <c r="D18" s="4">
        <f t="shared" ca="1" si="9"/>
        <v>59968420</v>
      </c>
      <c r="E18" s="4">
        <f t="shared" ca="1" si="0"/>
        <v>52447500</v>
      </c>
      <c r="F18" s="4">
        <f t="shared" ca="1" si="1"/>
        <v>53597500</v>
      </c>
      <c r="G18" s="4">
        <f t="shared" ca="1" si="10"/>
        <v>52505000</v>
      </c>
      <c r="H18" s="4">
        <f t="shared" ca="1" si="11"/>
        <v>50019000</v>
      </c>
      <c r="I18" s="4">
        <f t="shared" ca="1" si="12"/>
        <v>40982000</v>
      </c>
      <c r="J18" s="4">
        <f t="shared" ca="1" si="13"/>
        <v>25741000</v>
      </c>
      <c r="K18" s="4">
        <f t="shared" ca="1" si="2"/>
        <v>40527000</v>
      </c>
      <c r="L18" s="4">
        <f t="shared" ca="1" si="3"/>
        <v>38435000</v>
      </c>
      <c r="M18" s="4">
        <f t="shared" ca="1" si="4"/>
        <v>48458500</v>
      </c>
      <c r="N18" s="1111">
        <f ca="1">SUM(B18:M18)</f>
        <v>567759920</v>
      </c>
      <c r="O18" s="1205">
        <f t="shared" ca="1" si="6"/>
        <v>0.25258892481354733</v>
      </c>
      <c r="P18" s="1116"/>
    </row>
    <row r="19" spans="1:16" s="19" customFormat="1" ht="17.25" thickBot="1" x14ac:dyDescent="0.3">
      <c r="A19" s="1141" t="s">
        <v>179</v>
      </c>
      <c r="B19" s="4">
        <f t="shared" ca="1" si="7"/>
        <v>26958400</v>
      </c>
      <c r="C19" s="4">
        <f t="shared" ca="1" si="8"/>
        <v>14598000</v>
      </c>
      <c r="D19" s="4">
        <f t="shared" ca="1" si="9"/>
        <v>31151636</v>
      </c>
      <c r="E19" s="4">
        <f t="shared" ca="1" si="0"/>
        <v>23809000</v>
      </c>
      <c r="F19" s="4">
        <f t="shared" ca="1" si="1"/>
        <v>16988000</v>
      </c>
      <c r="G19" s="4">
        <f t="shared" ca="1" si="10"/>
        <v>20249273</v>
      </c>
      <c r="H19" s="4">
        <f t="shared" ca="1" si="11"/>
        <v>11933000</v>
      </c>
      <c r="I19" s="4">
        <f t="shared" ca="1" si="12"/>
        <v>19500273</v>
      </c>
      <c r="J19" s="4">
        <f t="shared" ca="1" si="13"/>
        <v>25523061</v>
      </c>
      <c r="K19" s="4">
        <f t="shared" ca="1" si="2"/>
        <v>9736000</v>
      </c>
      <c r="L19" s="4">
        <f t="shared" ca="1" si="3"/>
        <v>22138000</v>
      </c>
      <c r="M19" s="4">
        <f t="shared" ca="1" si="4"/>
        <v>19895000</v>
      </c>
      <c r="N19" s="1142">
        <f ca="1">SUM(B19:M19)</f>
        <v>242479643</v>
      </c>
      <c r="O19" s="1205">
        <f t="shared" ca="1" si="6"/>
        <v>0.10787600560910111</v>
      </c>
      <c r="P19" s="1116"/>
    </row>
    <row r="20" spans="1:16" ht="17.25" thickTop="1" x14ac:dyDescent="0.25">
      <c r="A20" s="1144" t="s">
        <v>2180</v>
      </c>
      <c r="B20" s="9">
        <f ca="1">SUM(B4:B19)</f>
        <v>151913900</v>
      </c>
      <c r="C20" s="9">
        <f ca="1">SUM(C4:C19)</f>
        <v>164613127.27272728</v>
      </c>
      <c r="D20" s="9">
        <f ca="1">SUM(D4:D19)</f>
        <v>201076056</v>
      </c>
      <c r="E20" s="9">
        <f t="shared" ref="E20:O20" ca="1" si="14">SUM(E4:E19)</f>
        <v>173341000</v>
      </c>
      <c r="F20" s="9">
        <f t="shared" ca="1" si="14"/>
        <v>220952500</v>
      </c>
      <c r="G20" s="9">
        <f t="shared" ca="1" si="14"/>
        <v>172918273</v>
      </c>
      <c r="H20" s="9">
        <f t="shared" ca="1" si="14"/>
        <v>165069500</v>
      </c>
      <c r="I20" s="9">
        <f t="shared" ca="1" si="14"/>
        <v>212331500</v>
      </c>
      <c r="J20" s="9">
        <f t="shared" ca="1" si="14"/>
        <v>138202661</v>
      </c>
      <c r="K20" s="9">
        <f t="shared" ca="1" si="14"/>
        <v>124486500</v>
      </c>
      <c r="L20" s="9">
        <f ca="1">SUM(L4:L19)</f>
        <v>272045510</v>
      </c>
      <c r="M20" s="9">
        <f ca="1">SUM(M4:M19)</f>
        <v>250812000</v>
      </c>
      <c r="N20" s="1143">
        <f ca="1">SUM(N4:N19)</f>
        <v>2247762527.272727</v>
      </c>
      <c r="O20" s="1115">
        <f t="shared" ca="1" si="14"/>
        <v>1.0000000000000002</v>
      </c>
      <c r="P20" s="1116"/>
    </row>
    <row r="21" spans="1:16" ht="10.5" customHeight="1" x14ac:dyDescent="0.25">
      <c r="O21" s="1116"/>
      <c r="P21" s="1116"/>
    </row>
    <row r="22" spans="1:16" ht="23.25" customHeight="1" x14ac:dyDescent="0.25">
      <c r="A22" s="12" t="s">
        <v>41</v>
      </c>
      <c r="O22" s="1116"/>
      <c r="P22" s="1116"/>
    </row>
    <row r="23" spans="1:16" x14ac:dyDescent="0.25">
      <c r="A23" s="13"/>
      <c r="B23" s="14">
        <v>2021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191"/>
      <c r="P23" s="1146"/>
    </row>
    <row r="24" spans="1:16" x14ac:dyDescent="0.25">
      <c r="A24" s="15" t="s">
        <v>30</v>
      </c>
      <c r="B24" s="16">
        <v>1</v>
      </c>
      <c r="C24" s="16">
        <v>2</v>
      </c>
      <c r="D24" s="16">
        <v>3</v>
      </c>
      <c r="E24" s="16">
        <v>4</v>
      </c>
      <c r="F24" s="16">
        <v>5</v>
      </c>
      <c r="G24" s="16">
        <v>6</v>
      </c>
      <c r="H24" s="16">
        <v>7</v>
      </c>
      <c r="I24" s="16">
        <v>8</v>
      </c>
      <c r="J24" s="16">
        <v>9</v>
      </c>
      <c r="K24" s="16">
        <v>10</v>
      </c>
      <c r="L24" s="16">
        <v>11</v>
      </c>
      <c r="M24" s="16">
        <v>12</v>
      </c>
      <c r="N24" s="16" t="s">
        <v>31</v>
      </c>
      <c r="O24" s="1146" t="s">
        <v>51</v>
      </c>
      <c r="P24" s="1146" t="s">
        <v>3231</v>
      </c>
    </row>
    <row r="25" spans="1:16" x14ac:dyDescent="0.25">
      <c r="A25" s="1133" t="s">
        <v>34</v>
      </c>
      <c r="B25" s="4">
        <f ca="1">SUMIF(INDIRECT("Report!I3669:I3751"),A25,INDIRECT("Report!J3669:J3751"))</f>
        <v>322880</v>
      </c>
      <c r="C25" s="4">
        <f ca="1">SUMIF(INDIRECT("Report!I3752:I3834"),A25,INDIRECT("Report!J3752:J3834"))</f>
        <v>988720</v>
      </c>
      <c r="D25" s="4">
        <f ca="1">SUMIF(INDIRECT("Report!I3835:I3916"),A25,INDIRECT("Report!J3835:J3916"))</f>
        <v>445860</v>
      </c>
      <c r="E25" s="4">
        <f t="shared" ref="E25:E40" ca="1" si="15">SUMIF(INDIRECT("Report!I3916:I3995"),A25,INDIRECT("Report!J3916:J3995"))</f>
        <v>574860</v>
      </c>
      <c r="F25" s="4">
        <f t="shared" ref="F25:F40" ca="1" si="16">SUMIF(INDIRECT("Report!I3996:I4075"),A25,INDIRECT("Report!J3996:J4075"))</f>
        <v>0</v>
      </c>
      <c r="G25" s="4">
        <f ca="1">SUMIF(INDIRECT("Report!I4076:I4169"),A25,INDIRECT("Report!J4076:J4169"))</f>
        <v>1704690</v>
      </c>
      <c r="H25" s="4">
        <f ca="1">SUMIF(INDIRECT("Report!I4170:I4254"),A25,INDIRECT("Report!J4170:J4254"))</f>
        <v>1552640</v>
      </c>
      <c r="I25" s="4">
        <f ca="1">SUMIF(INDIRECT("Report!I4255:I4333"),A25,INDIRECT("Report!J4255:J4333"))</f>
        <v>750500</v>
      </c>
      <c r="J25" s="4">
        <f ca="1">SUMIF(INDIRECT("Report!I4334:I4406"),A25,INDIRECT("Report!J4334:J4406"))</f>
        <v>1085820</v>
      </c>
      <c r="K25" s="4">
        <f t="shared" ref="K25:K40" ca="1" si="17">SUMIF(INDIRECT("Report!I4407:I4495"),A25,INDIRECT("Report!J4407:J4495"))</f>
        <v>1872680</v>
      </c>
      <c r="L25" s="4">
        <f t="shared" ref="L25:L40" ca="1" si="18">SUMIF(INDIRECT("Report!I4496:I4593"),A25,INDIRECT("Report!J4496:J4593"))</f>
        <v>3108670</v>
      </c>
      <c r="M25" s="4"/>
      <c r="N25" s="1137">
        <f t="shared" ref="N25:N40" ca="1" si="19">SUM(B25:M25)</f>
        <v>12407320</v>
      </c>
      <c r="O25" s="1204">
        <f t="shared" ref="O25:O40" ca="1" si="20">N25/$N$41</f>
        <v>2.6259698106552463E-2</v>
      </c>
      <c r="P25" s="1203">
        <f ca="1">N25/N4</f>
        <v>0.21989826843663046</v>
      </c>
    </row>
    <row r="26" spans="1:16" x14ac:dyDescent="0.25">
      <c r="A26" s="1133" t="s">
        <v>35</v>
      </c>
      <c r="B26" s="4">
        <f t="shared" ref="B26:B40" ca="1" si="21">SUMIF(INDIRECT("Report!I3669:I3751"),A26,INDIRECT("Report!J3669:J3751"))</f>
        <v>2000000</v>
      </c>
      <c r="C26" s="4">
        <f t="shared" ref="C26:C40" ca="1" si="22">SUMIF(INDIRECT("Report!I3752:I3834"),A26,INDIRECT("Report!J3752:J3834"))</f>
        <v>800000</v>
      </c>
      <c r="D26" s="4">
        <f t="shared" ref="D26:D40" ca="1" si="23">SUMIF(INDIRECT("Report!I3835:I3916"),A26,INDIRECT("Report!J3835:J3916"))</f>
        <v>1060000</v>
      </c>
      <c r="E26" s="4">
        <f t="shared" ca="1" si="15"/>
        <v>240000</v>
      </c>
      <c r="F26" s="4">
        <f t="shared" ca="1" si="16"/>
        <v>800000</v>
      </c>
      <c r="G26" s="4">
        <f t="shared" ref="G26:G40" ca="1" si="24">SUMIF(INDIRECT("Report!I4076:I4169"),A26,INDIRECT("Report!J4076:J4169"))</f>
        <v>1200000</v>
      </c>
      <c r="H26" s="4">
        <f t="shared" ref="H26:H40" ca="1" si="25">SUMIF(INDIRECT("Report!I4170:I4254"),A26,INDIRECT("Report!J4170:J4254"))</f>
        <v>1314000</v>
      </c>
      <c r="I26" s="4">
        <f t="shared" ref="I26:I40" ca="1" si="26">SUMIF(INDIRECT("Report!I4255:I4333"),A26,INDIRECT("Report!J4255:J4333"))</f>
        <v>951000</v>
      </c>
      <c r="J26" s="4">
        <f t="shared" ref="J26:J40" ca="1" si="27">SUMIF(INDIRECT("Report!I4334:I4406"),A26,INDIRECT("Report!J4334:J4406"))</f>
        <v>800000</v>
      </c>
      <c r="K26" s="4">
        <f t="shared" ca="1" si="17"/>
        <v>1751000</v>
      </c>
      <c r="L26" s="4">
        <f t="shared" ca="1" si="18"/>
        <v>2853000</v>
      </c>
      <c r="M26" s="4"/>
      <c r="N26" s="1137">
        <f t="shared" ca="1" si="19"/>
        <v>13769000</v>
      </c>
      <c r="O26" s="1204">
        <f t="shared" ca="1" si="20"/>
        <v>2.9141650511884991E-2</v>
      </c>
      <c r="P26" s="1203">
        <f t="shared" ref="P26:P40" ca="1" si="28">N26/N5</f>
        <v>0.35708913612904897</v>
      </c>
    </row>
    <row r="27" spans="1:16" x14ac:dyDescent="0.25">
      <c r="A27" s="1133" t="s">
        <v>37</v>
      </c>
      <c r="B27" s="4">
        <f t="shared" ca="1" si="21"/>
        <v>0</v>
      </c>
      <c r="C27" s="4">
        <f t="shared" ca="1" si="22"/>
        <v>0</v>
      </c>
      <c r="D27" s="4">
        <f t="shared" ca="1" si="23"/>
        <v>1500000</v>
      </c>
      <c r="E27" s="4">
        <f t="shared" ca="1" si="15"/>
        <v>0</v>
      </c>
      <c r="F27" s="4">
        <f t="shared" ca="1" si="16"/>
        <v>0</v>
      </c>
      <c r="G27" s="4">
        <f t="shared" ca="1" si="24"/>
        <v>2180000</v>
      </c>
      <c r="H27" s="4">
        <f t="shared" ca="1" si="25"/>
        <v>3300000</v>
      </c>
      <c r="I27" s="4">
        <f t="shared" ca="1" si="26"/>
        <v>0</v>
      </c>
      <c r="J27" s="4">
        <f t="shared" ca="1" si="27"/>
        <v>0</v>
      </c>
      <c r="K27" s="4">
        <f t="shared" ca="1" si="17"/>
        <v>0</v>
      </c>
      <c r="L27" s="4">
        <f t="shared" ca="1" si="18"/>
        <v>1320000</v>
      </c>
      <c r="M27" s="4"/>
      <c r="N27" s="1137">
        <f t="shared" ca="1" si="19"/>
        <v>8300000</v>
      </c>
      <c r="O27" s="1204">
        <f t="shared" ca="1" si="20"/>
        <v>1.7566685979275576E-2</v>
      </c>
      <c r="P27" s="1203">
        <f t="shared" ca="1" si="28"/>
        <v>0.18564079624245136</v>
      </c>
    </row>
    <row r="28" spans="1:16" x14ac:dyDescent="0.25">
      <c r="A28" s="1133" t="s">
        <v>33</v>
      </c>
      <c r="B28" s="4">
        <f t="shared" ca="1" si="21"/>
        <v>1578920</v>
      </c>
      <c r="C28" s="4">
        <f t="shared" ca="1" si="22"/>
        <v>2053840</v>
      </c>
      <c r="D28" s="4">
        <f t="shared" ca="1" si="23"/>
        <v>1005000</v>
      </c>
      <c r="E28" s="4">
        <f t="shared" ca="1" si="15"/>
        <v>1860920</v>
      </c>
      <c r="F28" s="4">
        <f t="shared" ca="1" si="16"/>
        <v>1227920</v>
      </c>
      <c r="G28" s="4">
        <f t="shared" ca="1" si="24"/>
        <v>1812920</v>
      </c>
      <c r="H28" s="4">
        <f t="shared" ca="1" si="25"/>
        <v>1868920</v>
      </c>
      <c r="I28" s="4">
        <f t="shared" ca="1" si="26"/>
        <v>1898000</v>
      </c>
      <c r="J28" s="4">
        <f t="shared" ca="1" si="27"/>
        <v>1441000</v>
      </c>
      <c r="K28" s="4">
        <f t="shared" ca="1" si="17"/>
        <v>2350000</v>
      </c>
      <c r="L28" s="4">
        <f t="shared" ca="1" si="18"/>
        <v>2351000</v>
      </c>
      <c r="M28" s="4"/>
      <c r="N28" s="1137">
        <f t="shared" ca="1" si="19"/>
        <v>19448440</v>
      </c>
      <c r="O28" s="1204">
        <f t="shared" ca="1" si="20"/>
        <v>4.1162004610455695E-2</v>
      </c>
      <c r="P28" s="1203">
        <f t="shared" ca="1" si="28"/>
        <v>0.19687047009758271</v>
      </c>
    </row>
    <row r="29" spans="1:16" s="19" customFormat="1" x14ac:dyDescent="0.25">
      <c r="A29" s="1134" t="s">
        <v>38</v>
      </c>
      <c r="B29" s="4">
        <f t="shared" ca="1" si="21"/>
        <v>4417000</v>
      </c>
      <c r="C29" s="4">
        <f t="shared" ca="1" si="22"/>
        <v>3937000</v>
      </c>
      <c r="D29" s="4">
        <f t="shared" ca="1" si="23"/>
        <v>4420000</v>
      </c>
      <c r="E29" s="4">
        <f t="shared" ca="1" si="15"/>
        <v>3538000</v>
      </c>
      <c r="F29" s="4">
        <f t="shared" ca="1" si="16"/>
        <v>2087000</v>
      </c>
      <c r="G29" s="4">
        <f t="shared" ca="1" si="24"/>
        <v>3109000</v>
      </c>
      <c r="H29" s="4">
        <f t="shared" ca="1" si="25"/>
        <v>3326000</v>
      </c>
      <c r="I29" s="4">
        <f t="shared" ca="1" si="26"/>
        <v>2850500</v>
      </c>
      <c r="J29" s="4">
        <f t="shared" ca="1" si="27"/>
        <v>1886000</v>
      </c>
      <c r="K29" s="4">
        <f t="shared" ca="1" si="17"/>
        <v>3893500</v>
      </c>
      <c r="L29" s="4">
        <f t="shared" ca="1" si="18"/>
        <v>4552000</v>
      </c>
      <c r="M29" s="4"/>
      <c r="N29" s="1137">
        <f t="shared" ca="1" si="19"/>
        <v>38016000</v>
      </c>
      <c r="O29" s="1204">
        <f t="shared" ca="1" si="20"/>
        <v>8.0459654721462687E-2</v>
      </c>
      <c r="P29" s="1203">
        <f t="shared" ca="1" si="28"/>
        <v>0.26947177407921968</v>
      </c>
    </row>
    <row r="30" spans="1:16" x14ac:dyDescent="0.25">
      <c r="A30" s="1135" t="s">
        <v>32</v>
      </c>
      <c r="B30" s="4">
        <f t="shared" ca="1" si="21"/>
        <v>0</v>
      </c>
      <c r="C30" s="4">
        <f t="shared" ca="1" si="22"/>
        <v>0</v>
      </c>
      <c r="D30" s="4">
        <f t="shared" ca="1" si="23"/>
        <v>0</v>
      </c>
      <c r="E30" s="4">
        <f t="shared" ca="1" si="15"/>
        <v>1100000</v>
      </c>
      <c r="F30" s="4">
        <f t="shared" ca="1" si="16"/>
        <v>0</v>
      </c>
      <c r="G30" s="4">
        <f t="shared" ca="1" si="24"/>
        <v>100000</v>
      </c>
      <c r="H30" s="4">
        <f t="shared" ca="1" si="25"/>
        <v>1600000</v>
      </c>
      <c r="I30" s="4">
        <f t="shared" ca="1" si="26"/>
        <v>0</v>
      </c>
      <c r="J30" s="4">
        <f t="shared" ca="1" si="27"/>
        <v>0</v>
      </c>
      <c r="K30" s="4">
        <f t="shared" ca="1" si="17"/>
        <v>0</v>
      </c>
      <c r="L30" s="4">
        <f t="shared" ca="1" si="18"/>
        <v>0</v>
      </c>
      <c r="M30" s="4"/>
      <c r="N30" s="1137">
        <f t="shared" ca="1" si="19"/>
        <v>2800000</v>
      </c>
      <c r="O30" s="1204">
        <f t="shared" ca="1" si="20"/>
        <v>5.9261109327676644E-3</v>
      </c>
      <c r="P30" s="1203">
        <f t="shared" ca="1" si="28"/>
        <v>0.15819209039548024</v>
      </c>
    </row>
    <row r="31" spans="1:16" x14ac:dyDescent="0.25">
      <c r="A31" s="1136" t="s">
        <v>2226</v>
      </c>
      <c r="B31" s="4">
        <f t="shared" ca="1" si="21"/>
        <v>2353565</v>
      </c>
      <c r="C31" s="4">
        <f t="shared" ca="1" si="22"/>
        <v>4329095.7680000002</v>
      </c>
      <c r="D31" s="4">
        <f t="shared" ca="1" si="23"/>
        <v>0</v>
      </c>
      <c r="E31" s="4">
        <f t="shared" ca="1" si="15"/>
        <v>0</v>
      </c>
      <c r="F31" s="4">
        <f t="shared" ca="1" si="16"/>
        <v>7850000</v>
      </c>
      <c r="G31" s="4">
        <f t="shared" ca="1" si="24"/>
        <v>0</v>
      </c>
      <c r="H31" s="4">
        <f t="shared" ca="1" si="25"/>
        <v>2579600</v>
      </c>
      <c r="I31" s="4">
        <f t="shared" ca="1" si="26"/>
        <v>7965600</v>
      </c>
      <c r="J31" s="4">
        <f t="shared" ca="1" si="27"/>
        <v>0</v>
      </c>
      <c r="K31" s="4">
        <f t="shared" ca="1" si="17"/>
        <v>2047305</v>
      </c>
      <c r="L31" s="4">
        <f t="shared" ca="1" si="18"/>
        <v>0</v>
      </c>
      <c r="M31" s="4"/>
      <c r="N31" s="1137">
        <f t="shared" ca="1" si="19"/>
        <v>27125165.767999999</v>
      </c>
      <c r="O31" s="1204">
        <f t="shared" ca="1" si="20"/>
        <v>5.7409550503885715E-2</v>
      </c>
      <c r="P31" s="1203">
        <f t="shared" ca="1" si="28"/>
        <v>0.38584873069701281</v>
      </c>
    </row>
    <row r="32" spans="1:16" x14ac:dyDescent="0.25">
      <c r="A32" s="1136" t="s">
        <v>2228</v>
      </c>
      <c r="B32" s="4">
        <f t="shared" ca="1" si="21"/>
        <v>-303000</v>
      </c>
      <c r="C32" s="4">
        <f t="shared" ca="1" si="22"/>
        <v>-289000</v>
      </c>
      <c r="D32" s="4">
        <f t="shared" ca="1" si="23"/>
        <v>-289000</v>
      </c>
      <c r="E32" s="4">
        <f t="shared" ca="1" si="15"/>
        <v>2043500</v>
      </c>
      <c r="F32" s="4">
        <f t="shared" ca="1" si="16"/>
        <v>-336000</v>
      </c>
      <c r="G32" s="4">
        <f t="shared" ca="1" si="24"/>
        <v>1426000</v>
      </c>
      <c r="H32" s="4">
        <f t="shared" ca="1" si="25"/>
        <v>0</v>
      </c>
      <c r="I32" s="4">
        <f t="shared" ca="1" si="26"/>
        <v>222000</v>
      </c>
      <c r="J32" s="4">
        <f t="shared" ca="1" si="27"/>
        <v>3397850</v>
      </c>
      <c r="K32" s="4">
        <f t="shared" ca="1" si="17"/>
        <v>234250</v>
      </c>
      <c r="L32" s="4">
        <f t="shared" ca="1" si="18"/>
        <v>970750</v>
      </c>
      <c r="M32" s="4"/>
      <c r="N32" s="1137">
        <f t="shared" ca="1" si="19"/>
        <v>7077350</v>
      </c>
      <c r="O32" s="1204">
        <f t="shared" ca="1" si="20"/>
        <v>1.4978986146436868E-2</v>
      </c>
      <c r="P32" s="1203">
        <f t="shared" ca="1" si="28"/>
        <v>0.1069359096204318</v>
      </c>
    </row>
    <row r="33" spans="1:16" x14ac:dyDescent="0.25">
      <c r="A33" s="1136" t="s">
        <v>2229</v>
      </c>
      <c r="B33" s="4">
        <f t="shared" ca="1" si="21"/>
        <v>1905000</v>
      </c>
      <c r="C33" s="4">
        <f t="shared" ca="1" si="22"/>
        <v>3304000</v>
      </c>
      <c r="D33" s="4">
        <f t="shared" ca="1" si="23"/>
        <v>1769000</v>
      </c>
      <c r="E33" s="4">
        <f t="shared" ca="1" si="15"/>
        <v>1631000</v>
      </c>
      <c r="F33" s="4">
        <f t="shared" ca="1" si="16"/>
        <v>2088000</v>
      </c>
      <c r="G33" s="4">
        <f t="shared" ca="1" si="24"/>
        <v>873000</v>
      </c>
      <c r="H33" s="4">
        <f t="shared" ca="1" si="25"/>
        <v>4649000</v>
      </c>
      <c r="I33" s="4">
        <f t="shared" ca="1" si="26"/>
        <v>1872000</v>
      </c>
      <c r="J33" s="4">
        <f t="shared" ca="1" si="27"/>
        <v>408000</v>
      </c>
      <c r="K33" s="4">
        <f t="shared" ca="1" si="17"/>
        <v>1643000</v>
      </c>
      <c r="L33" s="4">
        <f t="shared" ca="1" si="18"/>
        <v>4083800</v>
      </c>
      <c r="M33" s="4"/>
      <c r="N33" s="1137">
        <f t="shared" ca="1" si="19"/>
        <v>24225800</v>
      </c>
      <c r="O33" s="1204">
        <f t="shared" ca="1" si="20"/>
        <v>5.1273135083943884E-2</v>
      </c>
      <c r="P33" s="1203">
        <f t="shared" ca="1" si="28"/>
        <v>0.2385091137500763</v>
      </c>
    </row>
    <row r="34" spans="1:16" s="19" customFormat="1" x14ac:dyDescent="0.25">
      <c r="A34" s="1133" t="s">
        <v>39</v>
      </c>
      <c r="B34" s="4">
        <f t="shared" ca="1" si="21"/>
        <v>560000</v>
      </c>
      <c r="C34" s="4">
        <f t="shared" ca="1" si="22"/>
        <v>910390</v>
      </c>
      <c r="D34" s="4">
        <f t="shared" ca="1" si="23"/>
        <v>6821000</v>
      </c>
      <c r="E34" s="4">
        <f t="shared" ca="1" si="15"/>
        <v>670920</v>
      </c>
      <c r="F34" s="4">
        <f t="shared" ca="1" si="16"/>
        <v>10370000</v>
      </c>
      <c r="G34" s="4">
        <f t="shared" ca="1" si="24"/>
        <v>368600</v>
      </c>
      <c r="H34" s="4">
        <f t="shared" ca="1" si="25"/>
        <v>590000</v>
      </c>
      <c r="I34" s="4">
        <f t="shared" ca="1" si="26"/>
        <v>0</v>
      </c>
      <c r="J34" s="4">
        <f t="shared" ca="1" si="27"/>
        <v>0</v>
      </c>
      <c r="K34" s="4">
        <f t="shared" ca="1" si="17"/>
        <v>320000</v>
      </c>
      <c r="L34" s="4">
        <f t="shared" ca="1" si="18"/>
        <v>796500</v>
      </c>
      <c r="M34" s="4"/>
      <c r="N34" s="1137">
        <f t="shared" ca="1" si="19"/>
        <v>21407410</v>
      </c>
      <c r="O34" s="1204">
        <f t="shared" ca="1" si="20"/>
        <v>4.5308102301157081E-2</v>
      </c>
      <c r="P34" s="1203">
        <f t="shared" ca="1" si="28"/>
        <v>0.29558039351052812</v>
      </c>
    </row>
    <row r="35" spans="1:16" s="19" customFormat="1" x14ac:dyDescent="0.25">
      <c r="A35" s="1138" t="s">
        <v>40</v>
      </c>
      <c r="B35" s="4">
        <f t="shared" ca="1" si="21"/>
        <v>4837125</v>
      </c>
      <c r="C35" s="4">
        <f t="shared" ca="1" si="22"/>
        <v>13064327.272727273</v>
      </c>
      <c r="D35" s="4">
        <f t="shared" ca="1" si="23"/>
        <v>6404000</v>
      </c>
      <c r="E35" s="4">
        <f ca="1">SUMIF(INDIRECT("Report!I3916:I3995"),A35,INDIRECT("Report!J3916:J3995"))</f>
        <v>8199595</v>
      </c>
      <c r="F35" s="4">
        <f t="shared" ca="1" si="16"/>
        <v>12035613</v>
      </c>
      <c r="G35" s="4">
        <f t="shared" ca="1" si="24"/>
        <v>7282589</v>
      </c>
      <c r="H35" s="4">
        <f t="shared" ca="1" si="25"/>
        <v>6457145</v>
      </c>
      <c r="I35" s="4">
        <f t="shared" ca="1" si="26"/>
        <v>1770583</v>
      </c>
      <c r="J35" s="4">
        <f t="shared" ca="1" si="27"/>
        <v>411500</v>
      </c>
      <c r="K35" s="4">
        <f t="shared" ca="1" si="17"/>
        <v>3834418.8763959371</v>
      </c>
      <c r="L35" s="4">
        <f t="shared" ca="1" si="18"/>
        <v>1428922</v>
      </c>
      <c r="M35" s="4"/>
      <c r="N35" s="1140">
        <f t="shared" ca="1" si="19"/>
        <v>65725818.149123207</v>
      </c>
      <c r="O35" s="1204">
        <f t="shared" ca="1" si="20"/>
        <v>0.13910660339236372</v>
      </c>
      <c r="P35" s="1203">
        <f t="shared" ca="1" si="28"/>
        <v>0.16924397314447598</v>
      </c>
    </row>
    <row r="36" spans="1:16" x14ac:dyDescent="0.25">
      <c r="A36" s="1139" t="s">
        <v>281</v>
      </c>
      <c r="B36" s="4">
        <f t="shared" ca="1" si="21"/>
        <v>0</v>
      </c>
      <c r="C36" s="4">
        <f t="shared" ca="1" si="22"/>
        <v>0</v>
      </c>
      <c r="D36" s="4">
        <f t="shared" ca="1" si="23"/>
        <v>2600000</v>
      </c>
      <c r="E36" s="4">
        <f t="shared" ca="1" si="15"/>
        <v>0</v>
      </c>
      <c r="F36" s="4">
        <f t="shared" ca="1" si="16"/>
        <v>0</v>
      </c>
      <c r="G36" s="4">
        <f t="shared" ca="1" si="24"/>
        <v>0</v>
      </c>
      <c r="H36" s="4">
        <f t="shared" ca="1" si="25"/>
        <v>170000</v>
      </c>
      <c r="I36" s="4">
        <f t="shared" ca="1" si="26"/>
        <v>390000</v>
      </c>
      <c r="J36" s="4">
        <f t="shared" ca="1" si="27"/>
        <v>280000</v>
      </c>
      <c r="K36" s="4">
        <f t="shared" ca="1" si="17"/>
        <v>1010000</v>
      </c>
      <c r="L36" s="4">
        <f t="shared" ca="1" si="18"/>
        <v>0</v>
      </c>
      <c r="M36" s="4"/>
      <c r="N36" s="1140">
        <f t="shared" ca="1" si="19"/>
        <v>4450000</v>
      </c>
      <c r="O36" s="1204">
        <f t="shared" ca="1" si="20"/>
        <v>9.4182834467200389E-3</v>
      </c>
      <c r="P36" s="1203">
        <f t="shared" ca="1" si="28"/>
        <v>2.4593158691694803E-2</v>
      </c>
    </row>
    <row r="37" spans="1:16" x14ac:dyDescent="0.25">
      <c r="A37" s="1114" t="s">
        <v>2227</v>
      </c>
      <c r="B37" s="4">
        <f t="shared" ca="1" si="21"/>
        <v>0</v>
      </c>
      <c r="C37" s="4">
        <f t="shared" ca="1" si="22"/>
        <v>0</v>
      </c>
      <c r="D37" s="4">
        <f t="shared" ca="1" si="23"/>
        <v>0</v>
      </c>
      <c r="E37" s="4">
        <f t="shared" ca="1" si="15"/>
        <v>0</v>
      </c>
      <c r="F37" s="4">
        <f t="shared" ca="1" si="16"/>
        <v>0</v>
      </c>
      <c r="G37" s="4">
        <f t="shared" ca="1" si="24"/>
        <v>0</v>
      </c>
      <c r="H37" s="4">
        <f t="shared" ca="1" si="25"/>
        <v>0</v>
      </c>
      <c r="I37" s="4">
        <f t="shared" ca="1" si="26"/>
        <v>0</v>
      </c>
      <c r="J37" s="4">
        <f t="shared" ca="1" si="27"/>
        <v>0</v>
      </c>
      <c r="K37" s="4">
        <f t="shared" ca="1" si="17"/>
        <v>0</v>
      </c>
      <c r="L37" s="4">
        <f t="shared" ca="1" si="18"/>
        <v>0</v>
      </c>
      <c r="M37" s="4"/>
      <c r="N37" s="1111">
        <f t="shared" ca="1" si="19"/>
        <v>0</v>
      </c>
      <c r="O37" s="1204">
        <f t="shared" ca="1" si="20"/>
        <v>0</v>
      </c>
      <c r="P37" s="1203"/>
    </row>
    <row r="38" spans="1:16" s="19" customFormat="1" x14ac:dyDescent="0.25">
      <c r="A38" s="1114" t="s">
        <v>187</v>
      </c>
      <c r="B38" s="4">
        <f t="shared" ca="1" si="21"/>
        <v>1211000</v>
      </c>
      <c r="C38" s="4">
        <f t="shared" ca="1" si="22"/>
        <v>1010240</v>
      </c>
      <c r="D38" s="4">
        <f t="shared" ca="1" si="23"/>
        <v>1329000</v>
      </c>
      <c r="E38" s="4">
        <f t="shared" ca="1" si="15"/>
        <v>1056500</v>
      </c>
      <c r="F38" s="4">
        <f t="shared" ca="1" si="16"/>
        <v>1031000</v>
      </c>
      <c r="G38" s="4">
        <f t="shared" ca="1" si="24"/>
        <v>1061000</v>
      </c>
      <c r="H38" s="4">
        <f t="shared" ca="1" si="25"/>
        <v>1466000</v>
      </c>
      <c r="I38" s="4">
        <f t="shared" ca="1" si="26"/>
        <v>114000</v>
      </c>
      <c r="J38" s="4">
        <f t="shared" ca="1" si="27"/>
        <v>1118000</v>
      </c>
      <c r="K38" s="4">
        <f t="shared" ca="1" si="17"/>
        <v>970200</v>
      </c>
      <c r="L38" s="4">
        <f t="shared" ca="1" si="18"/>
        <v>1733000</v>
      </c>
      <c r="M38" s="4"/>
      <c r="N38" s="1111">
        <f t="shared" ca="1" si="19"/>
        <v>12099940</v>
      </c>
      <c r="O38" s="1204">
        <f t="shared" ca="1" si="20"/>
        <v>2.560913811422599E-2</v>
      </c>
      <c r="P38" s="1203">
        <f t="shared" ca="1" si="28"/>
        <v>7.5392369382072347E-2</v>
      </c>
    </row>
    <row r="39" spans="1:16" s="19" customFormat="1" x14ac:dyDescent="0.25">
      <c r="A39" s="1110" t="s">
        <v>2272</v>
      </c>
      <c r="B39" s="4">
        <f t="shared" ca="1" si="21"/>
        <v>13342591.077792801</v>
      </c>
      <c r="C39" s="4">
        <f t="shared" ca="1" si="22"/>
        <v>13877723.989185205</v>
      </c>
      <c r="D39" s="4">
        <f t="shared" ca="1" si="23"/>
        <v>15897487.757650241</v>
      </c>
      <c r="E39" s="4">
        <f t="shared" ca="1" si="15"/>
        <v>14335351.616074722</v>
      </c>
      <c r="F39" s="4">
        <f t="shared" ca="1" si="16"/>
        <v>14198875.150546886</v>
      </c>
      <c r="G39" s="4">
        <f t="shared" ca="1" si="24"/>
        <v>14371400.147474501</v>
      </c>
      <c r="H39" s="4">
        <f t="shared" ca="1" si="25"/>
        <v>13661731.399778789</v>
      </c>
      <c r="I39" s="4">
        <f t="shared" ca="1" si="26"/>
        <v>15627500</v>
      </c>
      <c r="J39" s="4">
        <f t="shared" ca="1" si="27"/>
        <v>10021000</v>
      </c>
      <c r="K39" s="4">
        <f t="shared" ca="1" si="17"/>
        <v>16071500</v>
      </c>
      <c r="L39" s="4">
        <f t="shared" ca="1" si="18"/>
        <v>15216500</v>
      </c>
      <c r="M39" s="4"/>
      <c r="N39" s="1111">
        <f t="shared" ca="1" si="19"/>
        <v>156621661.13850313</v>
      </c>
      <c r="O39" s="1204">
        <f t="shared" ca="1" si="20"/>
        <v>0.33148476370754137</v>
      </c>
      <c r="P39" s="1203">
        <f t="shared" ca="1" si="28"/>
        <v>0.27585896013671257</v>
      </c>
    </row>
    <row r="40" spans="1:16" s="19" customFormat="1" ht="17.25" thickBot="1" x14ac:dyDescent="0.3">
      <c r="A40" s="1141" t="s">
        <v>179</v>
      </c>
      <c r="B40" s="4">
        <f t="shared" ca="1" si="21"/>
        <v>6678600</v>
      </c>
      <c r="C40" s="4">
        <f t="shared" ca="1" si="22"/>
        <v>4349110</v>
      </c>
      <c r="D40" s="4">
        <f t="shared" ca="1" si="23"/>
        <v>10984978</v>
      </c>
      <c r="E40" s="4">
        <f t="shared" ca="1" si="15"/>
        <v>4934084</v>
      </c>
      <c r="F40" s="4">
        <f t="shared" ca="1" si="16"/>
        <v>6673225</v>
      </c>
      <c r="G40" s="4">
        <f t="shared" ca="1" si="24"/>
        <v>3369666</v>
      </c>
      <c r="H40" s="4">
        <f t="shared" ca="1" si="25"/>
        <v>3204491</v>
      </c>
      <c r="I40" s="4">
        <f t="shared" ca="1" si="26"/>
        <v>5262900</v>
      </c>
      <c r="J40" s="4">
        <f t="shared" ca="1" si="27"/>
        <v>4716803</v>
      </c>
      <c r="K40" s="4">
        <f t="shared" ca="1" si="17"/>
        <v>2534300</v>
      </c>
      <c r="L40" s="4">
        <f t="shared" ca="1" si="18"/>
        <v>6303187</v>
      </c>
      <c r="M40" s="4"/>
      <c r="N40" s="1142">
        <f t="shared" ca="1" si="19"/>
        <v>59011344</v>
      </c>
      <c r="O40" s="1204">
        <f t="shared" ca="1" si="20"/>
        <v>0.12489563244132626</v>
      </c>
      <c r="P40" s="1203">
        <f t="shared" ca="1" si="28"/>
        <v>0.2433661781661399</v>
      </c>
    </row>
    <row r="41" spans="1:16" ht="17.25" thickTop="1" x14ac:dyDescent="0.25">
      <c r="A41" s="1144" t="s">
        <v>2181</v>
      </c>
      <c r="B41" s="9">
        <f t="shared" ref="B41:O41" ca="1" si="29">SUM(B25:B40)</f>
        <v>38903681.077792801</v>
      </c>
      <c r="C41" s="9">
        <f t="shared" ca="1" si="29"/>
        <v>48335447.029912479</v>
      </c>
      <c r="D41" s="9">
        <f t="shared" ca="1" si="29"/>
        <v>53947325.757650241</v>
      </c>
      <c r="E41" s="9">
        <f t="shared" ca="1" si="29"/>
        <v>40184730.616074726</v>
      </c>
      <c r="F41" s="9">
        <f t="shared" ca="1" si="29"/>
        <v>58025633.150546886</v>
      </c>
      <c r="G41" s="9">
        <f t="shared" ca="1" si="29"/>
        <v>38858865.147474498</v>
      </c>
      <c r="H41" s="9">
        <f t="shared" ca="1" si="29"/>
        <v>45739527.399778791</v>
      </c>
      <c r="I41" s="9">
        <f t="shared" ca="1" si="29"/>
        <v>39674583</v>
      </c>
      <c r="J41" s="9">
        <f t="shared" ca="1" si="29"/>
        <v>25565973</v>
      </c>
      <c r="K41" s="9">
        <f t="shared" ca="1" si="29"/>
        <v>38532153.876395941</v>
      </c>
      <c r="L41" s="9">
        <f t="shared" ca="1" si="29"/>
        <v>44717329</v>
      </c>
      <c r="M41" s="9">
        <f t="shared" si="29"/>
        <v>0</v>
      </c>
      <c r="N41" s="1143">
        <f t="shared" ca="1" si="29"/>
        <v>472485249.05562633</v>
      </c>
      <c r="O41" s="1115">
        <f t="shared" ca="1" si="29"/>
        <v>0.99999999999999989</v>
      </c>
      <c r="P41" s="1116"/>
    </row>
    <row r="42" spans="1:16" x14ac:dyDescent="0.25">
      <c r="A42" s="21" t="s">
        <v>43</v>
      </c>
      <c r="B42" s="22">
        <f t="shared" ref="B42:N42" ca="1" si="30">B41/B20</f>
        <v>0.25609033194324415</v>
      </c>
      <c r="C42" s="22">
        <f t="shared" ca="1" si="30"/>
        <v>0.29363057388388847</v>
      </c>
      <c r="D42" s="22">
        <f t="shared" ca="1" si="30"/>
        <v>0.26829313659131171</v>
      </c>
      <c r="E42" s="22">
        <f t="shared" ca="1" si="30"/>
        <v>0.23182473053734964</v>
      </c>
      <c r="F42" s="22">
        <f t="shared" ca="1" si="30"/>
        <v>0.26261587060814828</v>
      </c>
      <c r="G42" s="22">
        <f t="shared" ca="1" si="30"/>
        <v>0.22472387951430961</v>
      </c>
      <c r="H42" s="22">
        <f t="shared" ca="1" si="30"/>
        <v>0.27709254223087121</v>
      </c>
      <c r="I42" s="22">
        <f t="shared" ca="1" si="30"/>
        <v>0.18685208271029027</v>
      </c>
      <c r="J42" s="22">
        <f t="shared" ca="1" si="30"/>
        <v>0.18498900683250954</v>
      </c>
      <c r="K42" s="22">
        <f t="shared" ca="1" si="30"/>
        <v>0.30952877521977035</v>
      </c>
      <c r="L42" s="22">
        <f t="shared" ca="1" si="30"/>
        <v>0.16437444234973772</v>
      </c>
      <c r="M42" s="22">
        <f t="shared" ca="1" si="30"/>
        <v>0</v>
      </c>
      <c r="N42" s="26">
        <f t="shared" ca="1" si="30"/>
        <v>0.21020247616144125</v>
      </c>
      <c r="O42" s="1116"/>
      <c r="P42" s="1116"/>
    </row>
    <row r="51" spans="1:8" x14ac:dyDescent="0.25">
      <c r="A51" s="1229"/>
      <c r="B51" s="1229"/>
      <c r="C51" s="5"/>
      <c r="D51" s="5"/>
      <c r="E51" s="5"/>
      <c r="F51" s="5"/>
      <c r="G51" s="1229"/>
      <c r="H51" s="1229"/>
    </row>
    <row r="70" spans="1:8" x14ac:dyDescent="0.25">
      <c r="A70" s="1229"/>
      <c r="B70" s="1229"/>
      <c r="C70" s="5"/>
      <c r="D70" s="5"/>
      <c r="E70" s="5"/>
      <c r="F70" s="5"/>
      <c r="G70" s="1230"/>
      <c r="H70" s="1230"/>
    </row>
  </sheetData>
  <mergeCells count="4">
    <mergeCell ref="A51:B51"/>
    <mergeCell ref="G51:H51"/>
    <mergeCell ref="A70:B70"/>
    <mergeCell ref="G70:H70"/>
  </mergeCells>
  <phoneticPr fontId="34" type="noConversion"/>
  <printOptions horizontalCentered="1"/>
  <pageMargins left="0.23622047244094491" right="0.19685039370078741" top="0.11811023622047245" bottom="0.19685039370078741" header="0.11811023622047245" footer="0.11811023622047245"/>
  <pageSetup paperSize="9" scale="26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A4C9-4D6A-4D59-9937-472A4F245143}">
  <sheetPr>
    <pageSetUpPr fitToPage="1"/>
  </sheetPr>
  <dimension ref="A1:P70"/>
  <sheetViews>
    <sheetView zoomScale="70" zoomScaleNormal="70" workbookViewId="0">
      <selection activeCell="P42" sqref="P42"/>
    </sheetView>
  </sheetViews>
  <sheetFormatPr defaultRowHeight="16.5" x14ac:dyDescent="0.25"/>
  <cols>
    <col min="1" max="1" width="15.22265625" customWidth="1"/>
    <col min="2" max="2" width="14.109375" customWidth="1"/>
    <col min="3" max="3" width="15.22265625" customWidth="1"/>
    <col min="4" max="4" width="15.71875" bestFit="1" customWidth="1"/>
    <col min="5" max="5" width="16.5859375" customWidth="1"/>
    <col min="6" max="6" width="16.5859375" bestFit="1" customWidth="1"/>
    <col min="7" max="13" width="15.22265625" customWidth="1"/>
    <col min="14" max="14" width="15.71875" customWidth="1"/>
    <col min="15" max="15" width="16.5859375" bestFit="1" customWidth="1"/>
    <col min="16" max="23" width="20.30078125" customWidth="1"/>
  </cols>
  <sheetData>
    <row r="1" spans="1:15" ht="23.25" customHeight="1" x14ac:dyDescent="0.25">
      <c r="A1" s="12" t="s">
        <v>29</v>
      </c>
    </row>
    <row r="2" spans="1:15" x14ac:dyDescent="0.25">
      <c r="A2" s="13"/>
      <c r="B2" s="14">
        <v>2022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5" x14ac:dyDescent="0.25">
      <c r="A3" s="15" t="s">
        <v>30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>
        <v>12</v>
      </c>
      <c r="N3" s="16" t="s">
        <v>31</v>
      </c>
      <c r="O3" s="1095" t="s">
        <v>51</v>
      </c>
    </row>
    <row r="4" spans="1:15" x14ac:dyDescent="0.25">
      <c r="A4" s="1133" t="s">
        <v>34</v>
      </c>
      <c r="B4" s="4">
        <f ca="1">SUMIFS(INDIRECT("Report!G:G"),INDIRECT("Report!L:L"),"22,1",INDIRECT("Report!I:I"),A4)</f>
        <v>3575500</v>
      </c>
      <c r="C4" s="4">
        <f ca="1">SUMIFS(INDIRECT("Report!G:G"),INDIRECT("Report!L:L"),"22,2",INDIRECT("Report!I:I"),A4)</f>
        <v>410000</v>
      </c>
      <c r="D4" s="4">
        <f ca="1">SUMIFS(INDIRECT("Report!G:G"),INDIRECT("Report!L:L"),"22,3",INDIRECT("Report!I:I"),A4)</f>
        <v>0</v>
      </c>
      <c r="E4" s="4">
        <f ca="1">SUMIFS(INDIRECT("Report!G:G"),INDIRECT("Report!L:L"),"22,4",INDIRECT("Report!I:I"),A4)</f>
        <v>0</v>
      </c>
      <c r="F4" s="4">
        <f ca="1">SUMIFS(INDIRECT("Report!G:G"),INDIRECT("Report!L:L"),"22,5",INDIRECT("Report!I:I"),A4)</f>
        <v>2738000</v>
      </c>
      <c r="G4" s="4">
        <f ca="1">SUMIFS(INDIRECT("Report!G:G"),INDIRECT("Report!L:L"),"22,6",INDIRECT("Report!I:I"),A4)</f>
        <v>3409000</v>
      </c>
      <c r="H4" s="4">
        <f ca="1">SUMIFS(INDIRECT("Report!G:G"),INDIRECT("Report!L:L"),"22,7",INDIRECT("Report!I:I"),A4)</f>
        <v>6286000</v>
      </c>
      <c r="I4" s="4">
        <f ca="1">SUMIFS(INDIRECT("Report!G:G"),INDIRECT("Report!L:L"),"22,8",INDIRECT("Report!I:I"),A4)</f>
        <v>3409000</v>
      </c>
      <c r="J4" s="4">
        <f ca="1">SUMIFS(INDIRECT("Report!G:G"),INDIRECT("Report!L:L"),"22,9",INDIRECT("Report!I:I"),A4)</f>
        <v>3094000</v>
      </c>
      <c r="K4" s="4">
        <f ca="1">SUMIFS(INDIRECT("Report!G:G"),INDIRECT("Report!L:L"),"22,10",INDIRECT("Report!I:I"),A4)</f>
        <v>6663000</v>
      </c>
      <c r="L4" s="4">
        <f ca="1">SUMIFS(INDIRECT("Report!G:G"),INDIRECT("Report!L:L"),"22,11",INDIRECT("Report!I:I"),A4)</f>
        <v>490000</v>
      </c>
      <c r="M4" s="4">
        <f ca="1">SUMIFS(INDIRECT("Report!G:G"),INDIRECT("Report!L:L"),"22,12",INDIRECT("Report!I:I"),A4)</f>
        <v>3870000</v>
      </c>
      <c r="N4" s="1137">
        <f t="shared" ref="N4:N15" ca="1" si="0">SUM(B4:M4)</f>
        <v>33944500</v>
      </c>
      <c r="O4" s="1204">
        <f t="shared" ref="O4:O19" ca="1" si="1">N4/$N$20</f>
        <v>1.4569097270238317E-2</v>
      </c>
    </row>
    <row r="5" spans="1:15" x14ac:dyDescent="0.25">
      <c r="A5" s="1133" t="s">
        <v>35</v>
      </c>
      <c r="B5" s="4">
        <f t="shared" ref="B5:B19" ca="1" si="2">SUMIFS(INDIRECT("Report!G:G"),INDIRECT("Report!L:L"),"22,1",INDIRECT("Report!I:I"),A5)</f>
        <v>4390000</v>
      </c>
      <c r="C5" s="4">
        <f t="shared" ref="C5:C19" ca="1" si="3">SUMIFS(INDIRECT("Report!G:G"),INDIRECT("Report!L:L"),"22,2",INDIRECT("Report!I:I"),A5)</f>
        <v>0</v>
      </c>
      <c r="D5" s="4">
        <f t="shared" ref="D5:D19" ca="1" si="4">SUMIFS(INDIRECT("Report!G:G"),INDIRECT("Report!L:L"),"22,3",INDIRECT("Report!I:I"),A5)</f>
        <v>2887500</v>
      </c>
      <c r="E5" s="4">
        <f t="shared" ref="E5:E19" ca="1" si="5">SUMIFS(INDIRECT("Report!G:G"),INDIRECT("Report!L:L"),"22,4",INDIRECT("Report!I:I"),A5)</f>
        <v>1925000</v>
      </c>
      <c r="F5" s="4">
        <f t="shared" ref="F5:F19" ca="1" si="6">SUMIFS(INDIRECT("Report!G:G"),INDIRECT("Report!L:L"),"22,5",INDIRECT("Report!I:I"),A5)</f>
        <v>1925000</v>
      </c>
      <c r="G5" s="4">
        <f t="shared" ref="G5:G19" ca="1" si="7">SUMIFS(INDIRECT("Report!G:G"),INDIRECT("Report!L:L"),"22,6",INDIRECT("Report!I:I"),A5)</f>
        <v>3507500</v>
      </c>
      <c r="H5" s="4">
        <f t="shared" ref="H5:H19" ca="1" si="8">SUMIFS(INDIRECT("Report!G:G"),INDIRECT("Report!L:L"),"22,7",INDIRECT("Report!I:I"),A5)</f>
        <v>1925000</v>
      </c>
      <c r="I5" s="4">
        <f t="shared" ref="I5:I19" ca="1" si="9">SUMIFS(INDIRECT("Report!G:G"),INDIRECT("Report!L:L"),"22,8",INDIRECT("Report!I:I"),A5)</f>
        <v>1925000</v>
      </c>
      <c r="J5" s="4">
        <f t="shared" ref="J5:J19" ca="1" si="10">SUMIFS(INDIRECT("Report!G:G"),INDIRECT("Report!L:L"),"22,9",INDIRECT("Report!I:I"),A5)</f>
        <v>4812500</v>
      </c>
      <c r="K5" s="4">
        <f t="shared" ref="K5:K19" ca="1" si="11">SUMIFS(INDIRECT("Report!G:G"),INDIRECT("Report!L:L"),"22,10",INDIRECT("Report!I:I"),A5)</f>
        <v>3850000</v>
      </c>
      <c r="L5" s="4">
        <f t="shared" ref="L5:L19" ca="1" si="12">SUMIFS(INDIRECT("Report!G:G"),INDIRECT("Report!L:L"),"22,11",INDIRECT("Report!I:I"),A5)</f>
        <v>4812500</v>
      </c>
      <c r="M5" s="4">
        <f t="shared" ref="M5:M19" ca="1" si="13">SUMIFS(INDIRECT("Report!G:G"),INDIRECT("Report!L:L"),"22,12",INDIRECT("Report!I:I"),A5)</f>
        <v>5775000</v>
      </c>
      <c r="N5" s="1137">
        <f t="shared" ca="1" si="0"/>
        <v>37735000</v>
      </c>
      <c r="O5" s="1204">
        <f t="shared" ca="1" si="1"/>
        <v>1.6195993032521998E-2</v>
      </c>
    </row>
    <row r="6" spans="1:15" x14ac:dyDescent="0.25">
      <c r="A6" s="1133" t="s">
        <v>37</v>
      </c>
      <c r="B6" s="4">
        <f t="shared" ca="1" si="2"/>
        <v>4530000</v>
      </c>
      <c r="C6" s="4">
        <f t="shared" ca="1" si="3"/>
        <v>0</v>
      </c>
      <c r="D6" s="4">
        <f t="shared" ca="1" si="4"/>
        <v>2750000</v>
      </c>
      <c r="E6" s="4">
        <f t="shared" ca="1" si="5"/>
        <v>10990000</v>
      </c>
      <c r="F6" s="4">
        <f t="shared" ca="1" si="6"/>
        <v>0</v>
      </c>
      <c r="G6" s="4">
        <f t="shared" ca="1" si="7"/>
        <v>15995000</v>
      </c>
      <c r="H6" s="4">
        <f t="shared" ca="1" si="8"/>
        <v>0</v>
      </c>
      <c r="I6" s="4">
        <f t="shared" ca="1" si="9"/>
        <v>0</v>
      </c>
      <c r="J6" s="4">
        <f t="shared" ca="1" si="10"/>
        <v>0</v>
      </c>
      <c r="K6" s="4">
        <f t="shared" ca="1" si="11"/>
        <v>0</v>
      </c>
      <c r="L6" s="4">
        <f t="shared" ca="1" si="12"/>
        <v>0</v>
      </c>
      <c r="M6" s="4">
        <f t="shared" ca="1" si="13"/>
        <v>0</v>
      </c>
      <c r="N6" s="1137">
        <f t="shared" ca="1" si="0"/>
        <v>34265000</v>
      </c>
      <c r="O6" s="1204">
        <f t="shared" ca="1" si="1"/>
        <v>1.4706656983155325E-2</v>
      </c>
    </row>
    <row r="7" spans="1:15" x14ac:dyDescent="0.25">
      <c r="A7" s="1133" t="s">
        <v>33</v>
      </c>
      <c r="B7" s="4">
        <f t="shared" ca="1" si="2"/>
        <v>6374000</v>
      </c>
      <c r="C7" s="4">
        <f t="shared" ca="1" si="3"/>
        <v>6224000</v>
      </c>
      <c r="D7" s="4">
        <f t="shared" ca="1" si="4"/>
        <v>12596000</v>
      </c>
      <c r="E7" s="4">
        <f t="shared" ca="1" si="5"/>
        <v>4885000</v>
      </c>
      <c r="F7" s="4">
        <f t="shared" ca="1" si="6"/>
        <v>8274000</v>
      </c>
      <c r="G7" s="4">
        <f t="shared" ca="1" si="7"/>
        <v>7324000</v>
      </c>
      <c r="H7" s="4">
        <f t="shared" ca="1" si="8"/>
        <v>7524000</v>
      </c>
      <c r="I7" s="4">
        <f t="shared" ca="1" si="9"/>
        <v>8774000</v>
      </c>
      <c r="J7" s="4">
        <f t="shared" ca="1" si="10"/>
        <v>18954000</v>
      </c>
      <c r="K7" s="4">
        <f t="shared" ca="1" si="11"/>
        <v>7324000</v>
      </c>
      <c r="L7" s="4">
        <f t="shared" ca="1" si="12"/>
        <v>9064000</v>
      </c>
      <c r="M7" s="4">
        <f t="shared" ca="1" si="13"/>
        <v>7058000</v>
      </c>
      <c r="N7" s="1137">
        <f t="shared" ca="1" si="0"/>
        <v>104375000</v>
      </c>
      <c r="O7" s="1204">
        <f t="shared" ca="1" si="1"/>
        <v>4.479811243592112E-2</v>
      </c>
    </row>
    <row r="8" spans="1:15" s="19" customFormat="1" x14ac:dyDescent="0.25">
      <c r="A8" s="1134" t="s">
        <v>38</v>
      </c>
      <c r="B8" s="4">
        <f t="shared" ca="1" si="2"/>
        <v>7928500</v>
      </c>
      <c r="C8" s="4">
        <f t="shared" ca="1" si="3"/>
        <v>3020000</v>
      </c>
      <c r="D8" s="4">
        <f t="shared" ca="1" si="4"/>
        <v>8820000</v>
      </c>
      <c r="E8" s="4">
        <f t="shared" ca="1" si="5"/>
        <v>11156500</v>
      </c>
      <c r="F8" s="4">
        <f t="shared" ca="1" si="6"/>
        <v>7268000</v>
      </c>
      <c r="G8" s="4">
        <f t="shared" ca="1" si="7"/>
        <v>7384000</v>
      </c>
      <c r="H8" s="4">
        <f t="shared" ca="1" si="8"/>
        <v>4252000</v>
      </c>
      <c r="I8" s="4">
        <f t="shared" ca="1" si="9"/>
        <v>8332000</v>
      </c>
      <c r="J8" s="4">
        <f t="shared" ca="1" si="10"/>
        <v>9442000</v>
      </c>
      <c r="K8" s="4">
        <f t="shared" ca="1" si="11"/>
        <v>8738000</v>
      </c>
      <c r="L8" s="4">
        <f t="shared" ca="1" si="12"/>
        <v>8527000</v>
      </c>
      <c r="M8" s="4">
        <f t="shared" ca="1" si="13"/>
        <v>7147000</v>
      </c>
      <c r="N8" s="1137">
        <f t="shared" ca="1" si="0"/>
        <v>92015000</v>
      </c>
      <c r="O8" s="1204">
        <f t="shared" ca="1" si="1"/>
        <v>3.9493157516563175E-2</v>
      </c>
    </row>
    <row r="9" spans="1:15" x14ac:dyDescent="0.25">
      <c r="A9" s="1135" t="s">
        <v>32</v>
      </c>
      <c r="B9" s="4">
        <f t="shared" ca="1" si="2"/>
        <v>0</v>
      </c>
      <c r="C9" s="4">
        <f t="shared" ca="1" si="3"/>
        <v>0</v>
      </c>
      <c r="D9" s="4">
        <f t="shared" ca="1" si="4"/>
        <v>0</v>
      </c>
      <c r="E9" s="4">
        <f t="shared" ca="1" si="5"/>
        <v>0</v>
      </c>
      <c r="F9" s="4">
        <f t="shared" ca="1" si="6"/>
        <v>0</v>
      </c>
      <c r="G9" s="4">
        <f t="shared" ca="1" si="7"/>
        <v>0</v>
      </c>
      <c r="H9" s="4">
        <f t="shared" ca="1" si="8"/>
        <v>0</v>
      </c>
      <c r="I9" s="4">
        <f t="shared" ca="1" si="9"/>
        <v>0</v>
      </c>
      <c r="J9" s="4">
        <f t="shared" ca="1" si="10"/>
        <v>0</v>
      </c>
      <c r="K9" s="4">
        <f t="shared" ca="1" si="11"/>
        <v>0</v>
      </c>
      <c r="L9" s="4">
        <f t="shared" ca="1" si="12"/>
        <v>0</v>
      </c>
      <c r="M9" s="4">
        <f t="shared" ca="1" si="13"/>
        <v>0</v>
      </c>
      <c r="N9" s="1137">
        <f t="shared" ca="1" si="0"/>
        <v>0</v>
      </c>
      <c r="O9" s="1204">
        <f t="shared" ca="1" si="1"/>
        <v>0</v>
      </c>
    </row>
    <row r="10" spans="1:15" x14ac:dyDescent="0.25">
      <c r="A10" s="1136" t="s">
        <v>2226</v>
      </c>
      <c r="B10" s="4">
        <f t="shared" ca="1" si="2"/>
        <v>0</v>
      </c>
      <c r="C10" s="4">
        <f t="shared" ca="1" si="3"/>
        <v>4450000</v>
      </c>
      <c r="D10" s="4">
        <f t="shared" ca="1" si="4"/>
        <v>4300000</v>
      </c>
      <c r="E10" s="4">
        <f t="shared" ca="1" si="5"/>
        <v>0</v>
      </c>
      <c r="F10" s="4">
        <f t="shared" ca="1" si="6"/>
        <v>0</v>
      </c>
      <c r="G10" s="4">
        <f t="shared" ca="1" si="7"/>
        <v>0</v>
      </c>
      <c r="H10" s="4">
        <f t="shared" ca="1" si="8"/>
        <v>3450000</v>
      </c>
      <c r="I10" s="4">
        <f t="shared" ca="1" si="9"/>
        <v>0</v>
      </c>
      <c r="J10" s="4">
        <f t="shared" ca="1" si="10"/>
        <v>0</v>
      </c>
      <c r="K10" s="4">
        <f t="shared" ca="1" si="11"/>
        <v>0</v>
      </c>
      <c r="L10" s="4">
        <f t="shared" ca="1" si="12"/>
        <v>18300000</v>
      </c>
      <c r="M10" s="4">
        <f t="shared" ca="1" si="13"/>
        <v>0</v>
      </c>
      <c r="N10" s="1137">
        <f t="shared" ca="1" si="0"/>
        <v>30500000</v>
      </c>
      <c r="O10" s="1204">
        <f t="shared" ca="1" si="1"/>
        <v>1.3090705909418866E-2</v>
      </c>
    </row>
    <row r="11" spans="1:15" x14ac:dyDescent="0.25">
      <c r="A11" s="1136" t="s">
        <v>2228</v>
      </c>
      <c r="B11" s="4">
        <f t="shared" ca="1" si="2"/>
        <v>9618200</v>
      </c>
      <c r="C11" s="4">
        <f t="shared" ca="1" si="3"/>
        <v>9316000</v>
      </c>
      <c r="D11" s="4">
        <f t="shared" ca="1" si="4"/>
        <v>7720000</v>
      </c>
      <c r="E11" s="4">
        <f t="shared" ca="1" si="5"/>
        <v>7787300</v>
      </c>
      <c r="F11" s="4">
        <f t="shared" ca="1" si="6"/>
        <v>9650000</v>
      </c>
      <c r="G11" s="4">
        <f t="shared" ca="1" si="7"/>
        <v>3496000</v>
      </c>
      <c r="H11" s="4">
        <f t="shared" ca="1" si="8"/>
        <v>1233000</v>
      </c>
      <c r="I11" s="4">
        <f t="shared" ca="1" si="9"/>
        <v>997500</v>
      </c>
      <c r="J11" s="4">
        <f t="shared" ca="1" si="10"/>
        <v>0</v>
      </c>
      <c r="K11" s="4">
        <f t="shared" ca="1" si="11"/>
        <v>2097000</v>
      </c>
      <c r="L11" s="4">
        <f t="shared" ca="1" si="12"/>
        <v>0</v>
      </c>
      <c r="M11" s="4">
        <f t="shared" ca="1" si="13"/>
        <v>0</v>
      </c>
      <c r="N11" s="1137">
        <f t="shared" ca="1" si="0"/>
        <v>51915000</v>
      </c>
      <c r="O11" s="1204">
        <f t="shared" ca="1" si="1"/>
        <v>2.228209827172067E-2</v>
      </c>
    </row>
    <row r="12" spans="1:15" x14ac:dyDescent="0.25">
      <c r="A12" s="1136" t="s">
        <v>2229</v>
      </c>
      <c r="B12" s="4">
        <f t="shared" ca="1" si="2"/>
        <v>12195000</v>
      </c>
      <c r="C12" s="4">
        <f t="shared" ca="1" si="3"/>
        <v>19135000</v>
      </c>
      <c r="D12" s="4">
        <f t="shared" ca="1" si="4"/>
        <v>18650000</v>
      </c>
      <c r="E12" s="4">
        <f t="shared" ca="1" si="5"/>
        <v>13396000</v>
      </c>
      <c r="F12" s="4">
        <f t="shared" ca="1" si="6"/>
        <v>20537000</v>
      </c>
      <c r="G12" s="4">
        <f t="shared" ca="1" si="7"/>
        <v>16030000</v>
      </c>
      <c r="H12" s="4">
        <f t="shared" ca="1" si="8"/>
        <v>14425000</v>
      </c>
      <c r="I12" s="4">
        <f t="shared" ca="1" si="9"/>
        <v>12475000</v>
      </c>
      <c r="J12" s="4">
        <f t="shared" ca="1" si="10"/>
        <v>23165000</v>
      </c>
      <c r="K12" s="4">
        <f t="shared" ca="1" si="11"/>
        <v>18315000</v>
      </c>
      <c r="L12" s="4">
        <f t="shared" ca="1" si="12"/>
        <v>18920000</v>
      </c>
      <c r="M12" s="4">
        <f t="shared" ca="1" si="13"/>
        <v>19125000</v>
      </c>
      <c r="N12" s="1137">
        <f t="shared" ca="1" si="0"/>
        <v>206368000</v>
      </c>
      <c r="O12" s="1204">
        <f t="shared" ca="1" si="1"/>
        <v>8.8573862200490239E-2</v>
      </c>
    </row>
    <row r="13" spans="1:15" s="19" customFormat="1" x14ac:dyDescent="0.25">
      <c r="A13" s="1133" t="s">
        <v>39</v>
      </c>
      <c r="B13" s="4">
        <f t="shared" ca="1" si="2"/>
        <v>800000</v>
      </c>
      <c r="C13" s="4">
        <f t="shared" ca="1" si="3"/>
        <v>660000</v>
      </c>
      <c r="D13" s="4">
        <f t="shared" ca="1" si="4"/>
        <v>6500000</v>
      </c>
      <c r="E13" s="4">
        <f t="shared" ca="1" si="5"/>
        <v>225000</v>
      </c>
      <c r="F13" s="4">
        <f t="shared" ca="1" si="6"/>
        <v>5840000</v>
      </c>
      <c r="G13" s="4">
        <f t="shared" ca="1" si="7"/>
        <v>5900000</v>
      </c>
      <c r="H13" s="4">
        <f t="shared" ca="1" si="8"/>
        <v>3300000</v>
      </c>
      <c r="I13" s="4">
        <f t="shared" ca="1" si="9"/>
        <v>4350000</v>
      </c>
      <c r="J13" s="4">
        <f t="shared" ca="1" si="10"/>
        <v>2700000</v>
      </c>
      <c r="K13" s="4">
        <f t="shared" ca="1" si="11"/>
        <v>2355000</v>
      </c>
      <c r="L13" s="4">
        <f t="shared" ca="1" si="12"/>
        <v>5700000</v>
      </c>
      <c r="M13" s="4">
        <f t="shared" ca="1" si="13"/>
        <v>2480000</v>
      </c>
      <c r="N13" s="1137">
        <f t="shared" ca="1" si="0"/>
        <v>40810000</v>
      </c>
      <c r="O13" s="1204">
        <f t="shared" ca="1" si="1"/>
        <v>1.7515793710274882E-2</v>
      </c>
    </row>
    <row r="14" spans="1:15" s="19" customFormat="1" x14ac:dyDescent="0.25">
      <c r="A14" s="1138" t="s">
        <v>40</v>
      </c>
      <c r="B14" s="4">
        <f t="shared" ca="1" si="2"/>
        <v>10428000</v>
      </c>
      <c r="C14" s="4">
        <f t="shared" ca="1" si="3"/>
        <v>33678000</v>
      </c>
      <c r="D14" s="4">
        <f t="shared" ca="1" si="4"/>
        <v>22772000</v>
      </c>
      <c r="E14" s="4">
        <f t="shared" ca="1" si="5"/>
        <v>69530000</v>
      </c>
      <c r="F14" s="4">
        <f t="shared" ca="1" si="6"/>
        <v>39920000</v>
      </c>
      <c r="G14" s="4">
        <f t="shared" ca="1" si="7"/>
        <v>25225000</v>
      </c>
      <c r="H14" s="4">
        <f t="shared" ca="1" si="8"/>
        <v>32950000</v>
      </c>
      <c r="I14" s="4">
        <f t="shared" ca="1" si="9"/>
        <v>33585000</v>
      </c>
      <c r="J14" s="4">
        <f t="shared" ca="1" si="10"/>
        <v>114910000</v>
      </c>
      <c r="K14" s="4">
        <f t="shared" ca="1" si="11"/>
        <v>98382273</v>
      </c>
      <c r="L14" s="4">
        <f t="shared" ca="1" si="12"/>
        <v>146250000</v>
      </c>
      <c r="M14" s="4">
        <f t="shared" ca="1" si="13"/>
        <v>158880000</v>
      </c>
      <c r="N14" s="1140">
        <f t="shared" ca="1" si="0"/>
        <v>786510273</v>
      </c>
      <c r="O14" s="1204">
        <f t="shared" ca="1" si="1"/>
        <v>0.33757294028130314</v>
      </c>
    </row>
    <row r="15" spans="1:15" x14ac:dyDescent="0.25">
      <c r="A15" s="1139" t="s">
        <v>281</v>
      </c>
      <c r="B15" s="4">
        <f t="shared" ca="1" si="2"/>
        <v>0</v>
      </c>
      <c r="C15" s="4">
        <f t="shared" ca="1" si="3"/>
        <v>0</v>
      </c>
      <c r="D15" s="4">
        <f t="shared" ca="1" si="4"/>
        <v>0</v>
      </c>
      <c r="E15" s="4">
        <f t="shared" ca="1" si="5"/>
        <v>2625000</v>
      </c>
      <c r="F15" s="4">
        <f t="shared" ca="1" si="6"/>
        <v>14566000</v>
      </c>
      <c r="G15" s="4">
        <f t="shared" ca="1" si="7"/>
        <v>14375000</v>
      </c>
      <c r="H15" s="4">
        <f t="shared" ca="1" si="8"/>
        <v>10280000</v>
      </c>
      <c r="I15" s="4">
        <f t="shared" ca="1" si="9"/>
        <v>2625000</v>
      </c>
      <c r="J15" s="4">
        <f t="shared" ca="1" si="10"/>
        <v>0</v>
      </c>
      <c r="K15" s="4">
        <f t="shared" ca="1" si="11"/>
        <v>2625000</v>
      </c>
      <c r="L15" s="4">
        <f t="shared" ca="1" si="12"/>
        <v>0</v>
      </c>
      <c r="M15" s="4">
        <f t="shared" ca="1" si="13"/>
        <v>0</v>
      </c>
      <c r="N15" s="1140">
        <f t="shared" ca="1" si="0"/>
        <v>47096000</v>
      </c>
      <c r="O15" s="1204">
        <f t="shared" ca="1" si="1"/>
        <v>2.0213766738032487E-2</v>
      </c>
    </row>
    <row r="16" spans="1:15" x14ac:dyDescent="0.25">
      <c r="A16" s="1114" t="s">
        <v>2227</v>
      </c>
      <c r="B16" s="4">
        <f t="shared" ca="1" si="2"/>
        <v>0</v>
      </c>
      <c r="C16" s="4">
        <f t="shared" ca="1" si="3"/>
        <v>0</v>
      </c>
      <c r="D16" s="4">
        <f t="shared" ca="1" si="4"/>
        <v>0</v>
      </c>
      <c r="E16" s="4">
        <f t="shared" ca="1" si="5"/>
        <v>0</v>
      </c>
      <c r="F16" s="4">
        <f t="shared" ca="1" si="6"/>
        <v>0</v>
      </c>
      <c r="G16" s="4">
        <f t="shared" ca="1" si="7"/>
        <v>0</v>
      </c>
      <c r="H16" s="4">
        <f t="shared" ca="1" si="8"/>
        <v>0</v>
      </c>
      <c r="I16" s="4">
        <f t="shared" ca="1" si="9"/>
        <v>0</v>
      </c>
      <c r="J16" s="4">
        <f t="shared" ca="1" si="10"/>
        <v>0</v>
      </c>
      <c r="K16" s="4">
        <f t="shared" ca="1" si="11"/>
        <v>0</v>
      </c>
      <c r="L16" s="4">
        <f t="shared" ca="1" si="12"/>
        <v>0</v>
      </c>
      <c r="M16" s="4">
        <f t="shared" ca="1" si="13"/>
        <v>0</v>
      </c>
      <c r="N16" s="1111">
        <f ca="1">SUM(B16:M16)</f>
        <v>0</v>
      </c>
      <c r="O16" s="1204">
        <f t="shared" ca="1" si="1"/>
        <v>0</v>
      </c>
    </row>
    <row r="17" spans="1:16" s="19" customFormat="1" x14ac:dyDescent="0.25">
      <c r="A17" s="1114" t="s">
        <v>187</v>
      </c>
      <c r="B17" s="4">
        <f t="shared" ca="1" si="2"/>
        <v>10920000</v>
      </c>
      <c r="C17" s="4">
        <f t="shared" ca="1" si="3"/>
        <v>13440000</v>
      </c>
      <c r="D17" s="4">
        <f t="shared" ca="1" si="4"/>
        <v>12320000</v>
      </c>
      <c r="E17" s="4">
        <f t="shared" ca="1" si="5"/>
        <v>13440000</v>
      </c>
      <c r="F17" s="4">
        <f t="shared" ca="1" si="6"/>
        <v>9770000</v>
      </c>
      <c r="G17" s="4">
        <f t="shared" ca="1" si="7"/>
        <v>13440000</v>
      </c>
      <c r="H17" s="4">
        <f t="shared" ca="1" si="8"/>
        <v>12320000</v>
      </c>
      <c r="I17" s="4">
        <f t="shared" ca="1" si="9"/>
        <v>10890000</v>
      </c>
      <c r="J17" s="4">
        <f t="shared" ca="1" si="10"/>
        <v>8384800</v>
      </c>
      <c r="K17" s="4">
        <f t="shared" ca="1" si="11"/>
        <v>14085000</v>
      </c>
      <c r="L17" s="4">
        <f t="shared" ca="1" si="12"/>
        <v>13888000</v>
      </c>
      <c r="M17" s="4">
        <f t="shared" ca="1" si="13"/>
        <v>8102400</v>
      </c>
      <c r="N17" s="1111">
        <f ca="1">SUM(B17:M17)</f>
        <v>141000200</v>
      </c>
      <c r="O17" s="1205">
        <f t="shared" ca="1" si="1"/>
        <v>6.0517775454729243E-2</v>
      </c>
      <c r="P17" s="1116"/>
    </row>
    <row r="18" spans="1:16" s="19" customFormat="1" x14ac:dyDescent="0.25">
      <c r="A18" s="1110" t="s">
        <v>2272</v>
      </c>
      <c r="B18" s="4">
        <f t="shared" ca="1" si="2"/>
        <v>41322500</v>
      </c>
      <c r="C18" s="4">
        <f t="shared" ca="1" si="3"/>
        <v>38994000</v>
      </c>
      <c r="D18" s="4">
        <f t="shared" ca="1" si="4"/>
        <v>56630000</v>
      </c>
      <c r="E18" s="4">
        <f t="shared" ca="1" si="5"/>
        <v>54385000</v>
      </c>
      <c r="F18" s="4">
        <f t="shared" ca="1" si="6"/>
        <v>38558000</v>
      </c>
      <c r="G18" s="4">
        <f t="shared" ca="1" si="7"/>
        <v>31935000</v>
      </c>
      <c r="H18" s="4">
        <f t="shared" ca="1" si="8"/>
        <v>36618500</v>
      </c>
      <c r="I18" s="4">
        <f t="shared" ca="1" si="9"/>
        <v>38150000</v>
      </c>
      <c r="J18" s="4">
        <f t="shared" ca="1" si="10"/>
        <v>41619500</v>
      </c>
      <c r="K18" s="4">
        <f t="shared" ca="1" si="11"/>
        <v>45678000</v>
      </c>
      <c r="L18" s="4">
        <f t="shared" ca="1" si="12"/>
        <v>42184000</v>
      </c>
      <c r="M18" s="4">
        <f t="shared" ca="1" si="13"/>
        <v>32261500</v>
      </c>
      <c r="N18" s="1111">
        <f ca="1">SUM(B18:M18)</f>
        <v>498336000</v>
      </c>
      <c r="O18" s="1205">
        <f t="shared" ca="1" si="1"/>
        <v>0.21388754164184132</v>
      </c>
      <c r="P18" s="1116"/>
    </row>
    <row r="19" spans="1:16" s="19" customFormat="1" ht="17.25" thickBot="1" x14ac:dyDescent="0.3">
      <c r="A19" s="1141" t="s">
        <v>179</v>
      </c>
      <c r="B19" s="4">
        <f t="shared" ca="1" si="2"/>
        <v>9382000</v>
      </c>
      <c r="C19" s="4">
        <f t="shared" ca="1" si="3"/>
        <v>7973000</v>
      </c>
      <c r="D19" s="4">
        <f t="shared" ca="1" si="4"/>
        <v>15178000</v>
      </c>
      <c r="E19" s="4">
        <f t="shared" ca="1" si="5"/>
        <v>8135000</v>
      </c>
      <c r="F19" s="4">
        <f t="shared" ca="1" si="6"/>
        <v>17604000</v>
      </c>
      <c r="G19" s="4">
        <f t="shared" ca="1" si="7"/>
        <v>12338000</v>
      </c>
      <c r="H19" s="4">
        <f t="shared" ca="1" si="8"/>
        <v>18025500</v>
      </c>
      <c r="I19" s="4">
        <f t="shared" ca="1" si="9"/>
        <v>18090500</v>
      </c>
      <c r="J19" s="4">
        <f t="shared" ca="1" si="10"/>
        <v>20094300</v>
      </c>
      <c r="K19" s="4">
        <f t="shared" ca="1" si="11"/>
        <v>14699000</v>
      </c>
      <c r="L19" s="4">
        <f t="shared" ca="1" si="12"/>
        <v>28326000</v>
      </c>
      <c r="M19" s="4">
        <f t="shared" ca="1" si="13"/>
        <v>55182000</v>
      </c>
      <c r="N19" s="1142">
        <f ca="1">SUM(B19:M19)</f>
        <v>225027300</v>
      </c>
      <c r="O19" s="1205">
        <f t="shared" ca="1" si="1"/>
        <v>9.6582498553789239E-2</v>
      </c>
      <c r="P19" s="1116"/>
    </row>
    <row r="20" spans="1:16" ht="17.25" thickTop="1" x14ac:dyDescent="0.25">
      <c r="A20" s="1144" t="s">
        <v>2180</v>
      </c>
      <c r="B20" s="9">
        <f ca="1">SUM(B4:B19)</f>
        <v>121463700</v>
      </c>
      <c r="C20" s="9">
        <f ca="1">SUM(C4:C19)</f>
        <v>137300000</v>
      </c>
      <c r="D20" s="9">
        <f ca="1">SUM(D4:D19)</f>
        <v>171123500</v>
      </c>
      <c r="E20" s="9">
        <f t="shared" ref="E20:O20" ca="1" si="14">SUM(E4:E19)</f>
        <v>198479800</v>
      </c>
      <c r="F20" s="9">
        <f t="shared" ca="1" si="14"/>
        <v>176650000</v>
      </c>
      <c r="G20" s="9">
        <f t="shared" ca="1" si="14"/>
        <v>160358500</v>
      </c>
      <c r="H20" s="9">
        <f t="shared" ca="1" si="14"/>
        <v>152589000</v>
      </c>
      <c r="I20" s="9">
        <f t="shared" ca="1" si="14"/>
        <v>143603000</v>
      </c>
      <c r="J20" s="9">
        <f t="shared" ca="1" si="14"/>
        <v>247176100</v>
      </c>
      <c r="K20" s="9">
        <f t="shared" ca="1" si="14"/>
        <v>224811273</v>
      </c>
      <c r="L20" s="9">
        <f ca="1">SUM(L4:L19)</f>
        <v>296461500</v>
      </c>
      <c r="M20" s="9">
        <f ca="1">SUM(M4:M19)</f>
        <v>299880900</v>
      </c>
      <c r="N20" s="1143">
        <f ca="1">SUM(N4:N19)</f>
        <v>2329897273</v>
      </c>
      <c r="O20" s="1115">
        <f t="shared" ca="1" si="14"/>
        <v>0.99999999999999989</v>
      </c>
      <c r="P20" s="1116"/>
    </row>
    <row r="21" spans="1:16" ht="10.5" customHeight="1" x14ac:dyDescent="0.25">
      <c r="O21" s="1116"/>
      <c r="P21" s="1116"/>
    </row>
    <row r="22" spans="1:16" ht="23.25" customHeight="1" x14ac:dyDescent="0.25">
      <c r="A22" s="12" t="s">
        <v>41</v>
      </c>
      <c r="O22" s="1116"/>
      <c r="P22" s="1116"/>
    </row>
    <row r="23" spans="1:16" x14ac:dyDescent="0.25">
      <c r="A23" s="13"/>
      <c r="B23" s="14">
        <v>2023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191"/>
      <c r="P23" s="1146"/>
    </row>
    <row r="24" spans="1:16" x14ac:dyDescent="0.25">
      <c r="A24" s="15" t="s">
        <v>30</v>
      </c>
      <c r="B24" s="16">
        <v>1</v>
      </c>
      <c r="C24" s="16">
        <v>2</v>
      </c>
      <c r="D24" s="16">
        <v>3</v>
      </c>
      <c r="E24" s="16">
        <v>4</v>
      </c>
      <c r="F24" s="16">
        <v>5</v>
      </c>
      <c r="G24" s="16">
        <v>6</v>
      </c>
      <c r="H24" s="16">
        <v>7</v>
      </c>
      <c r="I24" s="16">
        <v>8</v>
      </c>
      <c r="J24" s="16">
        <v>9</v>
      </c>
      <c r="K24" s="16">
        <v>10</v>
      </c>
      <c r="L24" s="16">
        <v>11</v>
      </c>
      <c r="M24" s="16">
        <v>12</v>
      </c>
      <c r="N24" s="16" t="s">
        <v>31</v>
      </c>
      <c r="O24" s="1146" t="s">
        <v>51</v>
      </c>
      <c r="P24" s="1146" t="s">
        <v>3231</v>
      </c>
    </row>
    <row r="25" spans="1:16" x14ac:dyDescent="0.25">
      <c r="A25" s="1133" t="s">
        <v>34</v>
      </c>
      <c r="B25" s="4">
        <f ca="1">SUMIFS(INDIRECT("Report!J:J"),INDIRECT("Report!L:L"),"22,1",INDIRECT("Report!I:I"),A25)</f>
        <v>735280</v>
      </c>
      <c r="C25" s="4">
        <f ca="1">SUMIFS(INDIRECT("Report!J:J"),INDIRECT("Report!L:L"),"22,2",INDIRECT("Report!I:I"),A25)</f>
        <v>245000</v>
      </c>
      <c r="D25" s="4">
        <f ca="1">SUMIFS(INDIRECT("Report!J:J"),INDIRECT("Report!L:L"),"22,3",INDIRECT("Report!I:I"),A25)</f>
        <v>0</v>
      </c>
      <c r="E25" s="4">
        <f ca="1">SUMIFS(INDIRECT("Report!J:J"),INDIRECT("Report!L:L"),"22,4",INDIRECT("Report!I:I"),A25)</f>
        <v>0</v>
      </c>
      <c r="F25" s="4">
        <f ca="1">SUMIFS(INDIRECT("Report!J:J"),INDIRECT("Report!L:L"),"22,5",INDIRECT("Report!I:I"),A25)</f>
        <v>1465680</v>
      </c>
      <c r="G25" s="4">
        <f ca="1">SUMIFS(INDIRECT("Report!J:J"),INDIRECT("Report!L:L"),"22,6",INDIRECT("Report!I:I"),A25)</f>
        <v>1905680</v>
      </c>
      <c r="H25" s="4">
        <f ca="1">SUMIFS(INDIRECT("Report!J:J"),INDIRECT("Report!L:L"),"22,7",INDIRECT("Report!I:I"),A25)</f>
        <v>1456520</v>
      </c>
      <c r="I25" s="4">
        <f ca="1">SUMIFS(INDIRECT("Report!J:J"),INDIRECT("Report!L:L"),"22,8",INDIRECT("Report!I:I"),A25)</f>
        <v>877760</v>
      </c>
      <c r="J25" s="4">
        <f ca="1">SUMIFS(INDIRECT("Report!J:J"),INDIRECT("Report!L:L"),"22,9",INDIRECT("Report!I:I"),A25)</f>
        <v>755260</v>
      </c>
      <c r="K25" s="4">
        <f ca="1">SUMIFS(INDIRECT("Report!J:J"),INDIRECT("Report!L:L"),"22,10",INDIRECT("Report!I:I"),A25)</f>
        <v>1671520</v>
      </c>
      <c r="L25" s="4">
        <f ca="1">SUMIFS(INDIRECT("Report!J:J"),INDIRECT("Report!L:L"),"22,11",INDIRECT("Report!I:I"),A25)</f>
        <v>90000</v>
      </c>
      <c r="M25" s="4">
        <f ca="1">SUMIFS(INDIRECT("Report!J:J"),INDIRECT("Report!L:L"),"22,12",INDIRECT("Report!I:I"),A25)</f>
        <v>1740700</v>
      </c>
      <c r="N25" s="1137">
        <f t="shared" ref="N25:N40" ca="1" si="15">SUM(B25:M25)</f>
        <v>10943400</v>
      </c>
      <c r="O25" s="1204">
        <f t="shared" ref="O25:O40" ca="1" si="16">N25/$N$41</f>
        <v>2.2882669280554789E-2</v>
      </c>
      <c r="P25" s="1203">
        <f ca="1">N25/N4</f>
        <v>0.32239096171692028</v>
      </c>
    </row>
    <row r="26" spans="1:16" x14ac:dyDescent="0.25">
      <c r="A26" s="1133" t="s">
        <v>35</v>
      </c>
      <c r="B26" s="4">
        <f t="shared" ref="B26:B40" ca="1" si="17">SUMIFS(INDIRECT("Report!J:J"),INDIRECT("Report!L:L"),"22,1",INDIRECT("Report!I:I"),A26)</f>
        <v>1860000</v>
      </c>
      <c r="C26" s="4">
        <f t="shared" ref="C26:C40" ca="1" si="18">SUMIFS(INDIRECT("Report!J:J"),INDIRECT("Report!L:L"),"22,2",INDIRECT("Report!I:I"),A26)</f>
        <v>0</v>
      </c>
      <c r="D26" s="4">
        <f t="shared" ref="D26:D40" ca="1" si="19">SUMIFS(INDIRECT("Report!J:J"),INDIRECT("Report!L:L"),"22,3",INDIRECT("Report!I:I"),A26)</f>
        <v>1200000</v>
      </c>
      <c r="E26" s="4">
        <f t="shared" ref="E26:E40" ca="1" si="20">SUMIFS(INDIRECT("Report!J:J"),INDIRECT("Report!L:L"),"22,4",INDIRECT("Report!I:I"),A26)</f>
        <v>710000</v>
      </c>
      <c r="F26" s="4">
        <f t="shared" ref="F26:F40" ca="1" si="21">SUMIFS(INDIRECT("Report!J:J"),INDIRECT("Report!L:L"),"22,5",INDIRECT("Report!I:I"),A26)</f>
        <v>710000</v>
      </c>
      <c r="G26" s="4">
        <f t="shared" ref="G26:G40" ca="1" si="22">SUMIFS(INDIRECT("Report!J:J"),INDIRECT("Report!L:L"),"22,6",INDIRECT("Report!I:I"),A26)</f>
        <v>1382600</v>
      </c>
      <c r="H26" s="4">
        <f t="shared" ref="H26:H40" ca="1" si="23">SUMIFS(INDIRECT("Report!J:J"),INDIRECT("Report!L:L"),"22,7",INDIRECT("Report!I:I"),A26)</f>
        <v>710000</v>
      </c>
      <c r="I26" s="4">
        <f t="shared" ref="I26:I40" ca="1" si="24">SUMIFS(INDIRECT("Report!J:J"),INDIRECT("Report!L:L"),"22,8",INDIRECT("Report!I:I"),A26)</f>
        <v>710000</v>
      </c>
      <c r="J26" s="4">
        <f t="shared" ref="J26:J40" ca="1" si="25">SUMIFS(INDIRECT("Report!J:J"),INDIRECT("Report!L:L"),"22,9",INDIRECT("Report!I:I"),A26)</f>
        <v>1775000</v>
      </c>
      <c r="K26" s="4">
        <f t="shared" ref="K26:K40" ca="1" si="26">SUMIFS(INDIRECT("Report!J:J"),INDIRECT("Report!L:L"),"22,10",INDIRECT("Report!I:I"),A26)</f>
        <v>1420000</v>
      </c>
      <c r="L26" s="4">
        <f t="shared" ref="L26:L40" ca="1" si="27">SUMIFS(INDIRECT("Report!J:J"),INDIRECT("Report!L:L"),"22,11",INDIRECT("Report!I:I"),A26)</f>
        <v>1775000</v>
      </c>
      <c r="M26" s="4">
        <f t="shared" ref="M26:M40" ca="1" si="28">SUMIFS(INDIRECT("Report!J:J"),INDIRECT("Report!L:L"),"22,12",INDIRECT("Report!I:I"),A26)</f>
        <v>2130000</v>
      </c>
      <c r="N26" s="1137">
        <f t="shared" ca="1" si="15"/>
        <v>14382600</v>
      </c>
      <c r="O26" s="1204">
        <f t="shared" ca="1" si="16"/>
        <v>3.0074042728448862E-2</v>
      </c>
      <c r="P26" s="1203">
        <f t="shared" ref="P26:P40" ca="1" si="29">N26/N5</f>
        <v>0.38114747581820591</v>
      </c>
    </row>
    <row r="27" spans="1:16" x14ac:dyDescent="0.25">
      <c r="A27" s="1133" t="s">
        <v>37</v>
      </c>
      <c r="B27" s="4">
        <f t="shared" ca="1" si="17"/>
        <v>1170000</v>
      </c>
      <c r="C27" s="4">
        <f t="shared" ca="1" si="18"/>
        <v>0</v>
      </c>
      <c r="D27" s="4">
        <f t="shared" ca="1" si="19"/>
        <v>710000</v>
      </c>
      <c r="E27" s="4">
        <f t="shared" ca="1" si="20"/>
        <v>2290000</v>
      </c>
      <c r="F27" s="4">
        <f t="shared" ca="1" si="21"/>
        <v>0</v>
      </c>
      <c r="G27" s="4">
        <f t="shared" ca="1" si="22"/>
        <v>3525000</v>
      </c>
      <c r="H27" s="4">
        <f t="shared" ca="1" si="23"/>
        <v>0</v>
      </c>
      <c r="I27" s="4">
        <f t="shared" ca="1" si="24"/>
        <v>0</v>
      </c>
      <c r="J27" s="4">
        <f t="shared" ca="1" si="25"/>
        <v>0</v>
      </c>
      <c r="K27" s="4">
        <f t="shared" ca="1" si="26"/>
        <v>0</v>
      </c>
      <c r="L27" s="4">
        <f t="shared" ca="1" si="27"/>
        <v>0</v>
      </c>
      <c r="M27" s="4">
        <f t="shared" ca="1" si="28"/>
        <v>0</v>
      </c>
      <c r="N27" s="1137">
        <f t="shared" ca="1" si="15"/>
        <v>7695000</v>
      </c>
      <c r="O27" s="1204">
        <f t="shared" ca="1" si="16"/>
        <v>1.6090258979281492E-2</v>
      </c>
      <c r="P27" s="1203">
        <f t="shared" ca="1" si="29"/>
        <v>0.22457317962935941</v>
      </c>
    </row>
    <row r="28" spans="1:16" x14ac:dyDescent="0.25">
      <c r="A28" s="1133" t="s">
        <v>33</v>
      </c>
      <c r="B28" s="4">
        <f t="shared" ca="1" si="17"/>
        <v>1154000</v>
      </c>
      <c r="C28" s="4">
        <f t="shared" ca="1" si="18"/>
        <v>1500000</v>
      </c>
      <c r="D28" s="4">
        <f t="shared" ca="1" si="19"/>
        <v>2360000</v>
      </c>
      <c r="E28" s="4">
        <f t="shared" ca="1" si="20"/>
        <v>1022200</v>
      </c>
      <c r="F28" s="4">
        <f t="shared" ca="1" si="21"/>
        <v>1508000</v>
      </c>
      <c r="G28" s="4">
        <f t="shared" ca="1" si="22"/>
        <v>1660400</v>
      </c>
      <c r="H28" s="4">
        <f t="shared" ca="1" si="23"/>
        <v>1600000</v>
      </c>
      <c r="I28" s="4">
        <f t="shared" ca="1" si="24"/>
        <v>1956000</v>
      </c>
      <c r="J28" s="4">
        <f t="shared" ca="1" si="25"/>
        <v>6463000</v>
      </c>
      <c r="K28" s="4">
        <f t="shared" ca="1" si="26"/>
        <v>1158000</v>
      </c>
      <c r="L28" s="4">
        <f t="shared" ca="1" si="27"/>
        <v>2020000</v>
      </c>
      <c r="M28" s="4">
        <f t="shared" ca="1" si="28"/>
        <v>1518000</v>
      </c>
      <c r="N28" s="1137">
        <f t="shared" ca="1" si="15"/>
        <v>23919600</v>
      </c>
      <c r="O28" s="1204">
        <f t="shared" ca="1" si="16"/>
        <v>5.0015927054037894E-2</v>
      </c>
      <c r="P28" s="1203">
        <f t="shared" ca="1" si="29"/>
        <v>0.22916982035928143</v>
      </c>
    </row>
    <row r="29" spans="1:16" s="19" customFormat="1" x14ac:dyDescent="0.25">
      <c r="A29" s="1134" t="s">
        <v>38</v>
      </c>
      <c r="B29" s="4">
        <f t="shared" ca="1" si="17"/>
        <v>2270500</v>
      </c>
      <c r="C29" s="4">
        <f t="shared" ca="1" si="18"/>
        <v>913000</v>
      </c>
      <c r="D29" s="4">
        <f t="shared" ca="1" si="19"/>
        <v>2698000</v>
      </c>
      <c r="E29" s="4">
        <f t="shared" ca="1" si="20"/>
        <v>5072590</v>
      </c>
      <c r="F29" s="4">
        <f t="shared" ca="1" si="21"/>
        <v>1686000</v>
      </c>
      <c r="G29" s="4">
        <f t="shared" ca="1" si="22"/>
        <v>1505100</v>
      </c>
      <c r="H29" s="4">
        <f t="shared" ca="1" si="23"/>
        <v>1162000</v>
      </c>
      <c r="I29" s="4">
        <f t="shared" ca="1" si="24"/>
        <v>2491600</v>
      </c>
      <c r="J29" s="4">
        <f t="shared" ca="1" si="25"/>
        <v>3123955</v>
      </c>
      <c r="K29" s="4">
        <f t="shared" ca="1" si="26"/>
        <v>2695600</v>
      </c>
      <c r="L29" s="4">
        <f t="shared" ca="1" si="27"/>
        <v>2430000</v>
      </c>
      <c r="M29" s="4">
        <f t="shared" ca="1" si="28"/>
        <v>1587500</v>
      </c>
      <c r="N29" s="1137">
        <f t="shared" ca="1" si="15"/>
        <v>27635845</v>
      </c>
      <c r="O29" s="1204">
        <f t="shared" ca="1" si="16"/>
        <v>5.7786602100231524E-2</v>
      </c>
      <c r="P29" s="1203">
        <f t="shared" ca="1" si="29"/>
        <v>0.30034065098081836</v>
      </c>
    </row>
    <row r="30" spans="1:16" x14ac:dyDescent="0.25">
      <c r="A30" s="1135" t="s">
        <v>32</v>
      </c>
      <c r="B30" s="4">
        <f t="shared" ca="1" si="17"/>
        <v>0</v>
      </c>
      <c r="C30" s="4">
        <f t="shared" ca="1" si="18"/>
        <v>0</v>
      </c>
      <c r="D30" s="4">
        <f t="shared" ca="1" si="19"/>
        <v>0</v>
      </c>
      <c r="E30" s="4">
        <f t="shared" ca="1" si="20"/>
        <v>0</v>
      </c>
      <c r="F30" s="4">
        <f t="shared" ca="1" si="21"/>
        <v>0</v>
      </c>
      <c r="G30" s="4">
        <f t="shared" ca="1" si="22"/>
        <v>0</v>
      </c>
      <c r="H30" s="4">
        <f t="shared" ca="1" si="23"/>
        <v>0</v>
      </c>
      <c r="I30" s="4">
        <f t="shared" ca="1" si="24"/>
        <v>0</v>
      </c>
      <c r="J30" s="4">
        <f t="shared" ca="1" si="25"/>
        <v>0</v>
      </c>
      <c r="K30" s="4">
        <f t="shared" ca="1" si="26"/>
        <v>0</v>
      </c>
      <c r="L30" s="4">
        <f t="shared" ca="1" si="27"/>
        <v>0</v>
      </c>
      <c r="M30" s="4">
        <f t="shared" ca="1" si="28"/>
        <v>0</v>
      </c>
      <c r="N30" s="1137">
        <f t="shared" ca="1" si="15"/>
        <v>0</v>
      </c>
      <c r="O30" s="1204">
        <f t="shared" ca="1" si="16"/>
        <v>0</v>
      </c>
      <c r="P30" s="1203" t="e">
        <f t="shared" ca="1" si="29"/>
        <v>#DIV/0!</v>
      </c>
    </row>
    <row r="31" spans="1:16" x14ac:dyDescent="0.25">
      <c r="A31" s="1136" t="s">
        <v>2226</v>
      </c>
      <c r="B31" s="4">
        <f t="shared" ca="1" si="17"/>
        <v>0</v>
      </c>
      <c r="C31" s="4">
        <f t="shared" ca="1" si="18"/>
        <v>1950000</v>
      </c>
      <c r="D31" s="4">
        <f t="shared" ca="1" si="19"/>
        <v>2114500</v>
      </c>
      <c r="E31" s="4">
        <f t="shared" ca="1" si="20"/>
        <v>0</v>
      </c>
      <c r="F31" s="4">
        <f t="shared" ca="1" si="21"/>
        <v>0</v>
      </c>
      <c r="G31" s="4">
        <f t="shared" ca="1" si="22"/>
        <v>0</v>
      </c>
      <c r="H31" s="4">
        <f t="shared" ca="1" si="23"/>
        <v>2270000</v>
      </c>
      <c r="I31" s="4">
        <f t="shared" ca="1" si="24"/>
        <v>0</v>
      </c>
      <c r="J31" s="4">
        <f t="shared" ca="1" si="25"/>
        <v>0</v>
      </c>
      <c r="K31" s="4">
        <f t="shared" ca="1" si="26"/>
        <v>0</v>
      </c>
      <c r="L31" s="4">
        <f t="shared" ca="1" si="27"/>
        <v>5472500</v>
      </c>
      <c r="M31" s="4">
        <f t="shared" ca="1" si="28"/>
        <v>0</v>
      </c>
      <c r="N31" s="1137">
        <f t="shared" ca="1" si="15"/>
        <v>11807000</v>
      </c>
      <c r="O31" s="1204">
        <f t="shared" ca="1" si="16"/>
        <v>2.4688458449431655E-2</v>
      </c>
      <c r="P31" s="1203">
        <f t="shared" ca="1" si="29"/>
        <v>0.38711475409836066</v>
      </c>
    </row>
    <row r="32" spans="1:16" x14ac:dyDescent="0.25">
      <c r="A32" s="1136" t="s">
        <v>2228</v>
      </c>
      <c r="B32" s="4">
        <f t="shared" ca="1" si="17"/>
        <v>4201200</v>
      </c>
      <c r="C32" s="4">
        <f t="shared" ca="1" si="18"/>
        <v>2296000</v>
      </c>
      <c r="D32" s="4">
        <f t="shared" ca="1" si="19"/>
        <v>-780000</v>
      </c>
      <c r="E32" s="4">
        <f t="shared" ca="1" si="20"/>
        <v>3537300</v>
      </c>
      <c r="F32" s="4">
        <f t="shared" ca="1" si="21"/>
        <v>-1700000</v>
      </c>
      <c r="G32" s="4">
        <f t="shared" ca="1" si="22"/>
        <v>3496000</v>
      </c>
      <c r="H32" s="4">
        <f t="shared" ca="1" si="23"/>
        <v>1233000</v>
      </c>
      <c r="I32" s="4">
        <f t="shared" ca="1" si="24"/>
        <v>997500</v>
      </c>
      <c r="J32" s="4">
        <f t="shared" ca="1" si="25"/>
        <v>0</v>
      </c>
      <c r="K32" s="4">
        <f t="shared" ca="1" si="26"/>
        <v>2097000</v>
      </c>
      <c r="L32" s="4">
        <f t="shared" ca="1" si="27"/>
        <v>0</v>
      </c>
      <c r="M32" s="4">
        <f t="shared" ca="1" si="28"/>
        <v>0</v>
      </c>
      <c r="N32" s="1137">
        <f t="shared" ca="1" si="15"/>
        <v>15378000</v>
      </c>
      <c r="O32" s="1204">
        <f t="shared" ca="1" si="16"/>
        <v>3.2155425936762939E-2</v>
      </c>
      <c r="P32" s="1203">
        <f t="shared" ca="1" si="29"/>
        <v>0.29621496677260906</v>
      </c>
    </row>
    <row r="33" spans="1:16" x14ac:dyDescent="0.25">
      <c r="A33" s="1136" t="s">
        <v>2229</v>
      </c>
      <c r="B33" s="4">
        <f t="shared" ca="1" si="17"/>
        <v>2326200</v>
      </c>
      <c r="C33" s="4">
        <f t="shared" ca="1" si="18"/>
        <v>3475000</v>
      </c>
      <c r="D33" s="4">
        <f t="shared" ca="1" si="19"/>
        <v>5069000</v>
      </c>
      <c r="E33" s="4">
        <f t="shared" ca="1" si="20"/>
        <v>4476000</v>
      </c>
      <c r="F33" s="4">
        <f t="shared" ca="1" si="21"/>
        <v>7979000</v>
      </c>
      <c r="G33" s="4">
        <f t="shared" ca="1" si="22"/>
        <v>4308000</v>
      </c>
      <c r="H33" s="4">
        <f t="shared" ca="1" si="23"/>
        <v>3933000</v>
      </c>
      <c r="I33" s="4">
        <f t="shared" ca="1" si="24"/>
        <v>3292000</v>
      </c>
      <c r="J33" s="4">
        <f t="shared" ca="1" si="25"/>
        <v>6201000</v>
      </c>
      <c r="K33" s="4">
        <f t="shared" ca="1" si="26"/>
        <v>6429700</v>
      </c>
      <c r="L33" s="4">
        <f t="shared" ca="1" si="27"/>
        <v>6457000</v>
      </c>
      <c r="M33" s="4">
        <f t="shared" ca="1" si="28"/>
        <v>6581000</v>
      </c>
      <c r="N33" s="1137">
        <f t="shared" ca="1" si="15"/>
        <v>60526900</v>
      </c>
      <c r="O33" s="1204">
        <f t="shared" ca="1" si="16"/>
        <v>0.12656185785744939</v>
      </c>
      <c r="P33" s="1203">
        <f t="shared" ca="1" si="29"/>
        <v>0.29329595673747866</v>
      </c>
    </row>
    <row r="34" spans="1:16" s="19" customFormat="1" x14ac:dyDescent="0.25">
      <c r="A34" s="1133" t="s">
        <v>39</v>
      </c>
      <c r="B34" s="4">
        <f t="shared" ca="1" si="17"/>
        <v>320000</v>
      </c>
      <c r="C34" s="4">
        <f t="shared" ca="1" si="18"/>
        <v>180000</v>
      </c>
      <c r="D34" s="4">
        <f t="shared" ca="1" si="19"/>
        <v>2478872</v>
      </c>
      <c r="E34" s="4">
        <f t="shared" ca="1" si="20"/>
        <v>105000</v>
      </c>
      <c r="F34" s="4">
        <f t="shared" ca="1" si="21"/>
        <v>2506476</v>
      </c>
      <c r="G34" s="4">
        <f t="shared" ca="1" si="22"/>
        <v>2566476</v>
      </c>
      <c r="H34" s="4">
        <f t="shared" ca="1" si="23"/>
        <v>1830000</v>
      </c>
      <c r="I34" s="4">
        <f t="shared" ca="1" si="24"/>
        <v>2400000</v>
      </c>
      <c r="J34" s="4">
        <f t="shared" ca="1" si="25"/>
        <v>1372000</v>
      </c>
      <c r="K34" s="4">
        <f t="shared" ca="1" si="26"/>
        <v>1115500</v>
      </c>
      <c r="L34" s="4">
        <f t="shared" ca="1" si="27"/>
        <v>2080000</v>
      </c>
      <c r="M34" s="4">
        <f t="shared" ca="1" si="28"/>
        <v>912000</v>
      </c>
      <c r="N34" s="1137">
        <f t="shared" ca="1" si="15"/>
        <v>17866324</v>
      </c>
      <c r="O34" s="1204">
        <f t="shared" ca="1" si="16"/>
        <v>3.7358515941228389E-2</v>
      </c>
      <c r="P34" s="1203">
        <f t="shared" ca="1" si="29"/>
        <v>0.4377927958833619</v>
      </c>
    </row>
    <row r="35" spans="1:16" s="19" customFormat="1" x14ac:dyDescent="0.25">
      <c r="A35" s="1138" t="s">
        <v>40</v>
      </c>
      <c r="B35" s="4">
        <f t="shared" ca="1" si="17"/>
        <v>4150700</v>
      </c>
      <c r="C35" s="4">
        <f t="shared" ca="1" si="18"/>
        <v>20482402</v>
      </c>
      <c r="D35" s="4">
        <f t="shared" ca="1" si="19"/>
        <v>6372000</v>
      </c>
      <c r="E35" s="4">
        <f t="shared" ca="1" si="20"/>
        <v>4546895</v>
      </c>
      <c r="F35" s="4">
        <f t="shared" ca="1" si="21"/>
        <v>6652002</v>
      </c>
      <c r="G35" s="4">
        <f t="shared" ca="1" si="22"/>
        <v>8578952</v>
      </c>
      <c r="H35" s="4">
        <f t="shared" ca="1" si="23"/>
        <v>125000</v>
      </c>
      <c r="I35" s="4">
        <f t="shared" ca="1" si="24"/>
        <v>13133758</v>
      </c>
      <c r="J35" s="4">
        <f t="shared" ca="1" si="25"/>
        <v>1784449</v>
      </c>
      <c r="K35" s="4">
        <f t="shared" ca="1" si="26"/>
        <v>6532769</v>
      </c>
      <c r="L35" s="4">
        <f t="shared" ca="1" si="27"/>
        <v>1198500</v>
      </c>
      <c r="M35" s="4">
        <f t="shared" ca="1" si="28"/>
        <v>800630</v>
      </c>
      <c r="N35" s="1140">
        <f t="shared" ca="1" si="15"/>
        <v>74358057</v>
      </c>
      <c r="O35" s="1204">
        <f t="shared" ca="1" si="16"/>
        <v>0.15548283227110787</v>
      </c>
      <c r="P35" s="1203">
        <f t="shared" ca="1" si="29"/>
        <v>9.4541749234087882E-2</v>
      </c>
    </row>
    <row r="36" spans="1:16" x14ac:dyDescent="0.25">
      <c r="A36" s="1139" t="s">
        <v>281</v>
      </c>
      <c r="B36" s="4">
        <f t="shared" ca="1" si="17"/>
        <v>0</v>
      </c>
      <c r="C36" s="4">
        <f t="shared" ca="1" si="18"/>
        <v>0</v>
      </c>
      <c r="D36" s="4">
        <f t="shared" ca="1" si="19"/>
        <v>0</v>
      </c>
      <c r="E36" s="4">
        <f t="shared" ca="1" si="20"/>
        <v>1625000</v>
      </c>
      <c r="F36" s="4">
        <f t="shared" ca="1" si="21"/>
        <v>2050000</v>
      </c>
      <c r="G36" s="4">
        <f t="shared" ca="1" si="22"/>
        <v>9970818</v>
      </c>
      <c r="H36" s="4">
        <f t="shared" ca="1" si="23"/>
        <v>1597200</v>
      </c>
      <c r="I36" s="4">
        <f t="shared" ca="1" si="24"/>
        <v>2625000</v>
      </c>
      <c r="J36" s="4">
        <f t="shared" ca="1" si="25"/>
        <v>0</v>
      </c>
      <c r="K36" s="4">
        <f t="shared" ca="1" si="26"/>
        <v>2625000</v>
      </c>
      <c r="L36" s="4">
        <f t="shared" ca="1" si="27"/>
        <v>0</v>
      </c>
      <c r="M36" s="4">
        <f t="shared" ca="1" si="28"/>
        <v>0</v>
      </c>
      <c r="N36" s="1140">
        <f t="shared" ca="1" si="15"/>
        <v>20493018</v>
      </c>
      <c r="O36" s="1204">
        <f t="shared" ca="1" si="16"/>
        <v>4.285093786706657E-2</v>
      </c>
      <c r="P36" s="1203">
        <f t="shared" ca="1" si="29"/>
        <v>0.43513287752675389</v>
      </c>
    </row>
    <row r="37" spans="1:16" x14ac:dyDescent="0.25">
      <c r="A37" s="1114" t="s">
        <v>2227</v>
      </c>
      <c r="B37" s="4">
        <f t="shared" ca="1" si="17"/>
        <v>0</v>
      </c>
      <c r="C37" s="4">
        <f t="shared" ca="1" si="18"/>
        <v>0</v>
      </c>
      <c r="D37" s="4">
        <f t="shared" ca="1" si="19"/>
        <v>0</v>
      </c>
      <c r="E37" s="4">
        <f t="shared" ca="1" si="20"/>
        <v>0</v>
      </c>
      <c r="F37" s="4">
        <f t="shared" ca="1" si="21"/>
        <v>0</v>
      </c>
      <c r="G37" s="4">
        <f t="shared" ca="1" si="22"/>
        <v>0</v>
      </c>
      <c r="H37" s="4">
        <f t="shared" ca="1" si="23"/>
        <v>0</v>
      </c>
      <c r="I37" s="4">
        <f t="shared" ca="1" si="24"/>
        <v>0</v>
      </c>
      <c r="J37" s="4">
        <f t="shared" ca="1" si="25"/>
        <v>0</v>
      </c>
      <c r="K37" s="4">
        <f t="shared" ca="1" si="26"/>
        <v>0</v>
      </c>
      <c r="L37" s="4">
        <f t="shared" ca="1" si="27"/>
        <v>0</v>
      </c>
      <c r="M37" s="4">
        <f t="shared" ca="1" si="28"/>
        <v>0</v>
      </c>
      <c r="N37" s="1111">
        <f t="shared" ca="1" si="15"/>
        <v>0</v>
      </c>
      <c r="O37" s="1204">
        <f t="shared" ca="1" si="16"/>
        <v>0</v>
      </c>
      <c r="P37" s="1203"/>
    </row>
    <row r="38" spans="1:16" s="19" customFormat="1" x14ac:dyDescent="0.25">
      <c r="A38" s="1114" t="s">
        <v>187</v>
      </c>
      <c r="B38" s="4">
        <f t="shared" ca="1" si="17"/>
        <v>496000</v>
      </c>
      <c r="C38" s="4">
        <f t="shared" ca="1" si="18"/>
        <v>656000</v>
      </c>
      <c r="D38" s="4">
        <f t="shared" ca="1" si="19"/>
        <v>596000</v>
      </c>
      <c r="E38" s="4">
        <f t="shared" ca="1" si="20"/>
        <v>656000</v>
      </c>
      <c r="F38" s="4">
        <f t="shared" ca="1" si="21"/>
        <v>432000</v>
      </c>
      <c r="G38" s="4">
        <f t="shared" ca="1" si="22"/>
        <v>656000</v>
      </c>
      <c r="H38" s="4">
        <f t="shared" ca="1" si="23"/>
        <v>596000</v>
      </c>
      <c r="I38" s="4">
        <f t="shared" ca="1" si="24"/>
        <v>492000</v>
      </c>
      <c r="J38" s="4">
        <f t="shared" ca="1" si="25"/>
        <v>1342800</v>
      </c>
      <c r="K38" s="4">
        <f t="shared" ca="1" si="26"/>
        <v>2101000</v>
      </c>
      <c r="L38" s="4">
        <f t="shared" ca="1" si="27"/>
        <v>1038000</v>
      </c>
      <c r="M38" s="4">
        <f t="shared" ca="1" si="28"/>
        <v>602400</v>
      </c>
      <c r="N38" s="1111">
        <f t="shared" ca="1" si="15"/>
        <v>9664200</v>
      </c>
      <c r="O38" s="1204">
        <f t="shared" ca="1" si="16"/>
        <v>2.0207859756669552E-2</v>
      </c>
      <c r="P38" s="1203">
        <f t="shared" ca="1" si="29"/>
        <v>6.8540328311591042E-2</v>
      </c>
    </row>
    <row r="39" spans="1:16" s="19" customFormat="1" x14ac:dyDescent="0.25">
      <c r="A39" s="1110" t="s">
        <v>2272</v>
      </c>
      <c r="B39" s="4">
        <f t="shared" ca="1" si="17"/>
        <v>13605750</v>
      </c>
      <c r="C39" s="4">
        <f t="shared" ca="1" si="18"/>
        <v>13051750</v>
      </c>
      <c r="D39" s="4">
        <f t="shared" ca="1" si="19"/>
        <v>15090000</v>
      </c>
      <c r="E39" s="4">
        <f t="shared" ca="1" si="20"/>
        <v>14360049.999999996</v>
      </c>
      <c r="F39" s="4">
        <f t="shared" ca="1" si="21"/>
        <v>9758430</v>
      </c>
      <c r="G39" s="4">
        <f t="shared" ca="1" si="22"/>
        <v>6012530</v>
      </c>
      <c r="H39" s="4">
        <f t="shared" ca="1" si="23"/>
        <v>6669250</v>
      </c>
      <c r="I39" s="4">
        <f t="shared" ca="1" si="24"/>
        <v>7483950</v>
      </c>
      <c r="J39" s="4">
        <f t="shared" ca="1" si="25"/>
        <v>8199750</v>
      </c>
      <c r="K39" s="4">
        <f t="shared" ca="1" si="26"/>
        <v>10550000</v>
      </c>
      <c r="L39" s="4">
        <f t="shared" ca="1" si="27"/>
        <v>10265250</v>
      </c>
      <c r="M39" s="4">
        <f t="shared" ca="1" si="28"/>
        <v>7010000</v>
      </c>
      <c r="N39" s="1111">
        <f t="shared" ca="1" si="15"/>
        <v>122056710</v>
      </c>
      <c r="O39" s="1204">
        <f t="shared" ca="1" si="16"/>
        <v>0.25522080234685601</v>
      </c>
      <c r="P39" s="1203">
        <f t="shared" ca="1" si="29"/>
        <v>0.24492854218840301</v>
      </c>
    </row>
    <row r="40" spans="1:16" s="19" customFormat="1" ht="17.25" thickBot="1" x14ac:dyDescent="0.3">
      <c r="A40" s="1141" t="s">
        <v>179</v>
      </c>
      <c r="B40" s="4">
        <f t="shared" ca="1" si="17"/>
        <v>2198308</v>
      </c>
      <c r="C40" s="4">
        <f t="shared" ca="1" si="18"/>
        <v>1925041.3599999999</v>
      </c>
      <c r="D40" s="4">
        <f t="shared" ca="1" si="19"/>
        <v>-594973.33848310262</v>
      </c>
      <c r="E40" s="4">
        <f t="shared" ca="1" si="20"/>
        <v>2123400</v>
      </c>
      <c r="F40" s="4">
        <f t="shared" ca="1" si="21"/>
        <v>5508775</v>
      </c>
      <c r="G40" s="4">
        <f t="shared" ca="1" si="22"/>
        <v>3308800</v>
      </c>
      <c r="H40" s="4">
        <f t="shared" ca="1" si="23"/>
        <v>6284900</v>
      </c>
      <c r="I40" s="4">
        <f t="shared" ca="1" si="24"/>
        <v>6325900</v>
      </c>
      <c r="J40" s="4">
        <f t="shared" ca="1" si="25"/>
        <v>7237460</v>
      </c>
      <c r="K40" s="4">
        <f t="shared" ca="1" si="26"/>
        <v>5071594</v>
      </c>
      <c r="L40" s="4">
        <f t="shared" ca="1" si="27"/>
        <v>8709548</v>
      </c>
      <c r="M40" s="4">
        <f t="shared" ca="1" si="28"/>
        <v>13414254</v>
      </c>
      <c r="N40" s="1142">
        <f t="shared" ca="1" si="15"/>
        <v>61513007.021516897</v>
      </c>
      <c r="O40" s="1204">
        <f t="shared" ca="1" si="16"/>
        <v>0.12862380943087301</v>
      </c>
      <c r="P40" s="1203">
        <f t="shared" ca="1" si="29"/>
        <v>0.273357974883567</v>
      </c>
    </row>
    <row r="41" spans="1:16" ht="17.25" thickTop="1" x14ac:dyDescent="0.25">
      <c r="A41" s="1144" t="s">
        <v>2181</v>
      </c>
      <c r="B41" s="9">
        <f t="shared" ref="B41:O41" ca="1" si="30">SUM(B25:B40)</f>
        <v>34487938</v>
      </c>
      <c r="C41" s="9">
        <f t="shared" ca="1" si="30"/>
        <v>46674193.359999999</v>
      </c>
      <c r="D41" s="9">
        <f ca="1">SUM(D25:D40)</f>
        <v>37313398.661516897</v>
      </c>
      <c r="E41" s="9">
        <f t="shared" ca="1" si="30"/>
        <v>40524435</v>
      </c>
      <c r="F41" s="9">
        <f ca="1">SUM(F25:F40)</f>
        <v>38556363</v>
      </c>
      <c r="G41" s="9">
        <f t="shared" ca="1" si="30"/>
        <v>48876356</v>
      </c>
      <c r="H41" s="9">
        <f t="shared" ca="1" si="30"/>
        <v>29466870</v>
      </c>
      <c r="I41" s="9">
        <f t="shared" ca="1" si="30"/>
        <v>42785468</v>
      </c>
      <c r="J41" s="9">
        <f t="shared" ca="1" si="30"/>
        <v>38254674</v>
      </c>
      <c r="K41" s="9">
        <f t="shared" ca="1" si="30"/>
        <v>43467683</v>
      </c>
      <c r="L41" s="9">
        <f ca="1">SUM(L25:L40)</f>
        <v>41535798</v>
      </c>
      <c r="M41" s="9">
        <f t="shared" ca="1" si="30"/>
        <v>36296484</v>
      </c>
      <c r="N41" s="1143">
        <f t="shared" ca="1" si="30"/>
        <v>478239661.02151692</v>
      </c>
      <c r="O41" s="1115">
        <f t="shared" ca="1" si="30"/>
        <v>0.99999999999999989</v>
      </c>
      <c r="P41" s="1116"/>
    </row>
    <row r="42" spans="1:16" x14ac:dyDescent="0.25">
      <c r="A42" s="21" t="s">
        <v>43</v>
      </c>
      <c r="B42" s="22">
        <f t="shared" ref="B42:N42" ca="1" si="31">B41/B20</f>
        <v>0.28393617187686526</v>
      </c>
      <c r="C42" s="22">
        <f t="shared" ca="1" si="31"/>
        <v>0.33994314173343043</v>
      </c>
      <c r="D42" s="22">
        <f t="shared" ca="1" si="31"/>
        <v>0.21804952950072257</v>
      </c>
      <c r="E42" s="22">
        <f t="shared" ca="1" si="31"/>
        <v>0.20417410235197739</v>
      </c>
      <c r="F42" s="22">
        <f t="shared" ca="1" si="31"/>
        <v>0.21826415510897254</v>
      </c>
      <c r="G42" s="22">
        <f t="shared" ca="1" si="31"/>
        <v>0.30479429528213348</v>
      </c>
      <c r="H42" s="22">
        <f t="shared" ca="1" si="31"/>
        <v>0.19311267522560605</v>
      </c>
      <c r="I42" s="22">
        <f t="shared" ca="1" si="31"/>
        <v>0.29794271707415582</v>
      </c>
      <c r="J42" s="22">
        <f t="shared" ca="1" si="31"/>
        <v>0.15476688077852188</v>
      </c>
      <c r="K42" s="22">
        <f t="shared" ca="1" si="31"/>
        <v>0.19335188320382848</v>
      </c>
      <c r="L42" s="22">
        <f t="shared" ca="1" si="31"/>
        <v>0.14010520084395445</v>
      </c>
      <c r="M42" s="22">
        <f t="shared" ca="1" si="31"/>
        <v>0.12103633142357516</v>
      </c>
      <c r="N42" s="26">
        <f t="shared" ca="1" si="31"/>
        <v>0.20526212316894579</v>
      </c>
      <c r="O42" s="1116"/>
      <c r="P42" s="1116"/>
    </row>
    <row r="51" spans="1:8" x14ac:dyDescent="0.25">
      <c r="A51" s="1229"/>
      <c r="B51" s="1229"/>
      <c r="C51" s="5"/>
      <c r="D51" s="5"/>
      <c r="E51" s="5"/>
      <c r="F51" s="5"/>
      <c r="G51" s="1229"/>
      <c r="H51" s="1229"/>
    </row>
    <row r="70" spans="1:8" x14ac:dyDescent="0.25">
      <c r="A70" s="1229"/>
      <c r="B70" s="1229"/>
      <c r="C70" s="5"/>
      <c r="D70" s="5"/>
      <c r="E70" s="5"/>
      <c r="F70" s="5"/>
      <c r="G70" s="1230"/>
      <c r="H70" s="1230"/>
    </row>
  </sheetData>
  <mergeCells count="4">
    <mergeCell ref="A51:B51"/>
    <mergeCell ref="G51:H51"/>
    <mergeCell ref="A70:B70"/>
    <mergeCell ref="G70:H70"/>
  </mergeCells>
  <phoneticPr fontId="95" type="noConversion"/>
  <printOptions horizontalCentered="1"/>
  <pageMargins left="0.23622047244094491" right="0.19685039370078741" top="0.11811023622047245" bottom="0.19685039370078741" header="0.11811023622047245" footer="0.11811023622047245"/>
  <pageSetup paperSize="9" scale="26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C3:O18"/>
  <sheetViews>
    <sheetView zoomScale="85" zoomScaleNormal="85" workbookViewId="0">
      <selection activeCell="O18" sqref="C12:O18"/>
    </sheetView>
  </sheetViews>
  <sheetFormatPr defaultRowHeight="16.5" x14ac:dyDescent="0.25"/>
  <cols>
    <col min="3" max="3" width="11.140625" bestFit="1" customWidth="1"/>
    <col min="4" max="7" width="14.109375" bestFit="1" customWidth="1"/>
    <col min="8" max="8" width="11.140625" bestFit="1" customWidth="1"/>
    <col min="9" max="9" width="5.19921875" bestFit="1" customWidth="1"/>
    <col min="10" max="13" width="12.25390625" bestFit="1" customWidth="1"/>
    <col min="14" max="15" width="4.82421875" bestFit="1" customWidth="1"/>
  </cols>
  <sheetData>
    <row r="3" spans="3:15" x14ac:dyDescent="0.25">
      <c r="C3" s="13"/>
      <c r="D3" s="1256" t="s">
        <v>58</v>
      </c>
      <c r="E3" s="1256"/>
      <c r="F3" s="1256"/>
      <c r="G3" s="1256"/>
      <c r="H3" s="1256"/>
      <c r="I3" s="1256"/>
      <c r="J3" s="1257" t="s">
        <v>59</v>
      </c>
      <c r="K3" s="1257"/>
      <c r="L3" s="1257"/>
      <c r="M3" s="1257"/>
      <c r="N3" s="1257"/>
      <c r="O3" s="1257"/>
    </row>
    <row r="4" spans="3:15" x14ac:dyDescent="0.25">
      <c r="C4" s="16" t="s">
        <v>30</v>
      </c>
      <c r="D4" s="16">
        <v>2016</v>
      </c>
      <c r="E4" s="16">
        <v>2017</v>
      </c>
      <c r="F4" s="16">
        <v>2018</v>
      </c>
      <c r="G4" s="16">
        <v>2019</v>
      </c>
      <c r="H4" s="16">
        <v>2020</v>
      </c>
      <c r="I4" s="16">
        <v>2021</v>
      </c>
      <c r="J4" s="16">
        <v>2016</v>
      </c>
      <c r="K4" s="16">
        <v>2017</v>
      </c>
      <c r="L4" s="16">
        <v>2018</v>
      </c>
      <c r="M4" s="16">
        <v>2019</v>
      </c>
      <c r="N4" s="16">
        <v>2020</v>
      </c>
      <c r="O4" s="16">
        <v>2021</v>
      </c>
    </row>
    <row r="5" spans="3:15" x14ac:dyDescent="0.25">
      <c r="C5" t="s">
        <v>33</v>
      </c>
      <c r="D5" s="17">
        <v>156041000</v>
      </c>
      <c r="E5" s="17">
        <v>130545500</v>
      </c>
      <c r="F5" s="17">
        <v>112780800.00000001</v>
      </c>
      <c r="G5" s="17"/>
      <c r="H5" s="17"/>
      <c r="I5" s="17"/>
      <c r="J5" s="17">
        <v>36698800</v>
      </c>
      <c r="K5" s="17">
        <v>30946800</v>
      </c>
      <c r="L5" s="17">
        <v>24883477.677421972</v>
      </c>
      <c r="M5" s="17"/>
    </row>
    <row r="6" spans="3:15" x14ac:dyDescent="0.25">
      <c r="C6" t="s">
        <v>46</v>
      </c>
      <c r="D6" s="17">
        <v>254899000</v>
      </c>
      <c r="E6" s="17">
        <v>94273400</v>
      </c>
      <c r="F6" s="17">
        <v>510027650.00000006</v>
      </c>
      <c r="G6" s="17"/>
      <c r="H6" s="17"/>
      <c r="I6" s="17"/>
      <c r="J6" s="17">
        <v>48134500</v>
      </c>
      <c r="K6" s="17">
        <v>25110000</v>
      </c>
      <c r="L6" s="17">
        <v>150622340</v>
      </c>
      <c r="M6" s="17"/>
    </row>
    <row r="7" spans="3:15" x14ac:dyDescent="0.25">
      <c r="C7" t="s">
        <v>34</v>
      </c>
      <c r="D7" s="17">
        <v>48463000</v>
      </c>
      <c r="E7" s="17">
        <v>49826000</v>
      </c>
      <c r="F7" s="17">
        <v>52413900.000000007</v>
      </c>
      <c r="G7" s="17"/>
      <c r="H7" s="17"/>
      <c r="I7" s="17"/>
      <c r="J7" s="17">
        <v>10634320</v>
      </c>
      <c r="K7" s="17">
        <v>10117720</v>
      </c>
      <c r="L7" s="17">
        <v>10499742</v>
      </c>
      <c r="M7" s="17"/>
    </row>
    <row r="8" spans="3:15" x14ac:dyDescent="0.25">
      <c r="C8" t="s">
        <v>35</v>
      </c>
      <c r="D8" s="17">
        <v>26967500</v>
      </c>
      <c r="E8" s="17">
        <v>30172500</v>
      </c>
      <c r="F8" s="17">
        <v>43868000</v>
      </c>
      <c r="G8" s="17"/>
      <c r="H8" s="17"/>
      <c r="I8" s="17"/>
      <c r="J8" s="17">
        <v>10867500</v>
      </c>
      <c r="K8" s="17">
        <v>13402500</v>
      </c>
      <c r="L8" s="17">
        <v>19192250</v>
      </c>
      <c r="M8" s="17"/>
    </row>
    <row r="9" spans="3:15" x14ac:dyDescent="0.25">
      <c r="C9" t="s">
        <v>40</v>
      </c>
      <c r="D9" s="17">
        <v>201838500</v>
      </c>
      <c r="E9" s="17">
        <v>186977000</v>
      </c>
      <c r="F9" s="17">
        <v>359693395.60000002</v>
      </c>
      <c r="G9" s="17"/>
      <c r="H9" s="17"/>
      <c r="I9" s="17"/>
      <c r="J9" s="17">
        <v>70032843.338839024</v>
      </c>
      <c r="K9" s="17">
        <v>94625199.643777311</v>
      </c>
      <c r="L9" s="17">
        <v>130992838.47321622</v>
      </c>
      <c r="M9" s="17"/>
    </row>
    <row r="10" spans="3:15" x14ac:dyDescent="0.25">
      <c r="C10" t="s">
        <v>36</v>
      </c>
      <c r="D10" s="17">
        <v>133305500</v>
      </c>
      <c r="E10" s="17">
        <v>261114904</v>
      </c>
      <c r="F10" s="17">
        <v>169444407</v>
      </c>
      <c r="G10" s="17"/>
      <c r="H10" s="17"/>
      <c r="I10" s="17"/>
      <c r="J10" s="17">
        <v>45402695</v>
      </c>
      <c r="K10" s="17">
        <v>108869620.97</v>
      </c>
      <c r="L10" s="17">
        <v>34003630.904518314</v>
      </c>
      <c r="M10" s="17"/>
    </row>
    <row r="11" spans="3:15" x14ac:dyDescent="0.25">
      <c r="C11" t="s">
        <v>37</v>
      </c>
      <c r="D11" s="17">
        <v>37684000</v>
      </c>
      <c r="E11" s="17">
        <v>38178000</v>
      </c>
      <c r="F11" s="17">
        <v>64966000.000000007</v>
      </c>
      <c r="G11" s="17"/>
      <c r="H11" s="17"/>
      <c r="I11" s="17"/>
      <c r="J11" s="17">
        <v>6291500</v>
      </c>
      <c r="K11" s="17">
        <v>6624094</v>
      </c>
      <c r="L11" s="17">
        <v>14957800.000000002</v>
      </c>
      <c r="M11" s="17"/>
    </row>
    <row r="12" spans="3:15" x14ac:dyDescent="0.25">
      <c r="C12" t="s">
        <v>39</v>
      </c>
      <c r="D12" s="17">
        <v>136595800</v>
      </c>
      <c r="E12" s="17">
        <v>231635600</v>
      </c>
      <c r="F12" s="17">
        <v>195585500.00000003</v>
      </c>
      <c r="G12" s="17">
        <v>58630000</v>
      </c>
      <c r="H12" s="17">
        <v>23570000</v>
      </c>
      <c r="I12" s="17"/>
      <c r="J12" s="17">
        <v>45665516.762632422</v>
      </c>
      <c r="K12" s="17">
        <v>41161204.010939613</v>
      </c>
      <c r="L12" s="17">
        <v>77305934.723490536</v>
      </c>
      <c r="M12" s="17"/>
    </row>
    <row r="13" spans="3:15" x14ac:dyDescent="0.25">
      <c r="C13" t="s">
        <v>38</v>
      </c>
      <c r="D13" s="17">
        <v>62378500</v>
      </c>
      <c r="E13" s="17">
        <v>64689000</v>
      </c>
      <c r="F13" s="17">
        <v>95730250.000000015</v>
      </c>
      <c r="G13" s="17"/>
      <c r="H13" s="17"/>
      <c r="I13" s="17"/>
      <c r="J13" s="17">
        <v>13338500</v>
      </c>
      <c r="K13" s="17">
        <v>16754000</v>
      </c>
      <c r="L13" s="17">
        <v>27435650.000000004</v>
      </c>
      <c r="M13" s="17"/>
    </row>
    <row r="14" spans="3:15" x14ac:dyDescent="0.25">
      <c r="C14" t="s">
        <v>32</v>
      </c>
      <c r="D14" s="17">
        <v>24330000</v>
      </c>
      <c r="E14" s="17">
        <v>0</v>
      </c>
      <c r="F14" s="17">
        <v>0</v>
      </c>
      <c r="G14" s="17"/>
      <c r="H14" s="17"/>
      <c r="I14" s="17"/>
      <c r="J14" s="17">
        <v>6723000</v>
      </c>
      <c r="K14" s="17">
        <v>0</v>
      </c>
      <c r="L14" s="17">
        <v>0</v>
      </c>
      <c r="M14" s="17"/>
    </row>
    <row r="15" spans="3:15" x14ac:dyDescent="0.25">
      <c r="C15" t="s">
        <v>2765</v>
      </c>
      <c r="D15" s="17"/>
      <c r="E15" s="17">
        <v>77569000</v>
      </c>
      <c r="F15" s="17">
        <v>153699700</v>
      </c>
      <c r="G15" s="17"/>
      <c r="H15" s="17"/>
      <c r="I15" s="17"/>
      <c r="J15" s="17"/>
      <c r="K15" s="17">
        <v>8279020</v>
      </c>
      <c r="L15" s="17">
        <v>12563100.000000002</v>
      </c>
      <c r="M15" s="17"/>
    </row>
    <row r="16" spans="3:15" x14ac:dyDescent="0.25">
      <c r="C16" t="s">
        <v>60</v>
      </c>
      <c r="D16" s="17">
        <v>15256000</v>
      </c>
      <c r="E16" s="17">
        <v>49576000</v>
      </c>
      <c r="F16" s="17">
        <v>31918115.900000002</v>
      </c>
      <c r="G16" s="17"/>
      <c r="H16" s="17"/>
      <c r="I16" s="17"/>
      <c r="J16" s="17">
        <v>7365000</v>
      </c>
      <c r="K16" s="17">
        <v>42746000</v>
      </c>
      <c r="L16" s="17">
        <v>9083279.2864510231</v>
      </c>
      <c r="M16" s="17"/>
    </row>
    <row r="17" spans="3:13" x14ac:dyDescent="0.25">
      <c r="C17" t="s">
        <v>2766</v>
      </c>
      <c r="D17" s="17"/>
      <c r="E17" s="17"/>
      <c r="F17" s="17">
        <v>69850000</v>
      </c>
      <c r="G17" s="17"/>
      <c r="H17" s="17"/>
      <c r="I17" s="17"/>
      <c r="J17" s="17"/>
      <c r="K17" s="17"/>
      <c r="L17" s="17">
        <v>11005644.100000001</v>
      </c>
      <c r="M17" s="17"/>
    </row>
    <row r="18" spans="3:13" x14ac:dyDescent="0.25">
      <c r="D18" s="1190">
        <v>1097758800</v>
      </c>
      <c r="E18" s="1190">
        <v>1214556904</v>
      </c>
      <c r="F18" s="1190">
        <v>1859977718.5000002</v>
      </c>
      <c r="G18" s="1190">
        <v>2136794430</v>
      </c>
      <c r="H18" s="1190">
        <v>23570000</v>
      </c>
      <c r="I18" s="1190">
        <v>0</v>
      </c>
      <c r="J18" s="1190">
        <v>301154175.10147142</v>
      </c>
      <c r="K18" s="1190">
        <v>398636158.62471688</v>
      </c>
      <c r="L18" s="1190">
        <v>522545687.16509813</v>
      </c>
      <c r="M18" s="1190">
        <v>598662612</v>
      </c>
    </row>
  </sheetData>
  <mergeCells count="2">
    <mergeCell ref="D3:I3"/>
    <mergeCell ref="J3:O3"/>
  </mergeCells>
  <phoneticPr fontId="3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2"/>
  <dimension ref="A1:Z87"/>
  <sheetViews>
    <sheetView zoomScale="85" zoomScaleNormal="85" workbookViewId="0">
      <pane xSplit="1" ySplit="3" topLeftCell="B27" activePane="bottomRight" state="frozen"/>
      <selection pane="bottomLeft" activeCell="A4" sqref="A4"/>
      <selection pane="topRight" activeCell="B1" sqref="B1"/>
      <selection pane="bottomRight" activeCell="C24" sqref="C24"/>
    </sheetView>
  </sheetViews>
  <sheetFormatPr defaultRowHeight="16.5" x14ac:dyDescent="0.25"/>
  <cols>
    <col min="1" max="1" width="12.12890625" style="1158" customWidth="1"/>
    <col min="2" max="2" width="14.60546875" style="1148" customWidth="1"/>
    <col min="3" max="3" width="14.60546875" style="1150" customWidth="1"/>
    <col min="4" max="4" width="14.60546875" style="1148" customWidth="1"/>
    <col min="5" max="5" width="13.98828125" style="1150" customWidth="1"/>
    <col min="6" max="9" width="13.98828125" style="1151" hidden="1" customWidth="1"/>
    <col min="10" max="10" width="13.98828125" style="1148" customWidth="1"/>
    <col min="11" max="11" width="14.60546875" style="1150" customWidth="1"/>
    <col min="12" max="12" width="14.60546875" style="1148" customWidth="1"/>
    <col min="13" max="13" width="14.60546875" style="1150" customWidth="1"/>
    <col min="14" max="14" width="14.60546875" customWidth="1"/>
    <col min="15" max="15" width="14.60546875" style="1149" customWidth="1"/>
    <col min="16" max="16" width="12.625" style="1149" customWidth="1"/>
    <col min="17" max="22" width="14.60546875" customWidth="1"/>
    <col min="23" max="24" width="16.21484375" customWidth="1"/>
    <col min="25" max="26" width="16.5859375" customWidth="1"/>
  </cols>
  <sheetData>
    <row r="1" spans="1:26" ht="20.25" thickBot="1" x14ac:dyDescent="0.3">
      <c r="B1" s="1258" t="s">
        <v>2740</v>
      </c>
      <c r="C1" s="1259"/>
      <c r="D1" s="1259"/>
      <c r="E1" s="1259"/>
      <c r="F1" s="1259"/>
      <c r="G1" s="1259"/>
      <c r="H1" s="1259"/>
      <c r="I1" s="1259"/>
      <c r="J1" s="1259"/>
      <c r="K1" s="1259"/>
      <c r="L1" s="1259"/>
      <c r="M1" s="1259"/>
      <c r="N1" s="1259"/>
      <c r="O1" s="1259"/>
      <c r="Q1" s="1258" t="s">
        <v>2739</v>
      </c>
      <c r="R1" s="1259"/>
      <c r="S1" s="1259"/>
      <c r="T1" s="1259"/>
      <c r="U1" s="1259"/>
      <c r="V1" s="1259"/>
      <c r="W1" s="1259"/>
      <c r="X1" s="1259"/>
      <c r="Y1" s="1259"/>
      <c r="Z1" s="1259"/>
    </row>
    <row r="2" spans="1:26" ht="23.65" customHeight="1" thickTop="1" x14ac:dyDescent="0.25">
      <c r="B2" s="1264" t="s">
        <v>2726</v>
      </c>
      <c r="C2" s="1265"/>
      <c r="D2" s="1260" t="s">
        <v>2737</v>
      </c>
      <c r="E2" s="1265"/>
      <c r="F2" s="1183"/>
      <c r="G2" s="1183"/>
      <c r="H2" s="1183"/>
      <c r="I2" s="1183"/>
      <c r="J2" s="1260" t="s">
        <v>2665</v>
      </c>
      <c r="K2" s="1265"/>
      <c r="L2" s="1260" t="s">
        <v>2738</v>
      </c>
      <c r="M2" s="1261"/>
      <c r="N2" s="1260" t="s">
        <v>2727</v>
      </c>
      <c r="O2" s="1261"/>
      <c r="Q2" s="1266" t="s">
        <v>2726</v>
      </c>
      <c r="R2" s="1267"/>
      <c r="S2" s="1266" t="s">
        <v>2737</v>
      </c>
      <c r="T2" s="1267"/>
      <c r="U2" s="1266" t="s">
        <v>2665</v>
      </c>
      <c r="V2" s="1267"/>
      <c r="W2" s="1266" t="s">
        <v>2738</v>
      </c>
      <c r="X2" s="1267"/>
      <c r="Y2" s="1266" t="s">
        <v>2727</v>
      </c>
      <c r="Z2" s="1267"/>
    </row>
    <row r="3" spans="1:26" ht="23.65" customHeight="1" thickBot="1" x14ac:dyDescent="0.3">
      <c r="B3" s="1167" t="s">
        <v>2663</v>
      </c>
      <c r="C3" s="1168" t="s">
        <v>2664</v>
      </c>
      <c r="D3" s="1169" t="s">
        <v>2663</v>
      </c>
      <c r="E3" s="1168" t="s">
        <v>2664</v>
      </c>
      <c r="F3" s="1262" t="s">
        <v>2771</v>
      </c>
      <c r="G3" s="1263"/>
      <c r="H3" s="1263" t="s">
        <v>2772</v>
      </c>
      <c r="I3" s="1263"/>
      <c r="J3" s="1169" t="s">
        <v>2663</v>
      </c>
      <c r="K3" s="1168" t="s">
        <v>2664</v>
      </c>
      <c r="L3" s="1169" t="s">
        <v>2663</v>
      </c>
      <c r="M3" s="1168" t="s">
        <v>2664</v>
      </c>
      <c r="N3" s="1169" t="s">
        <v>2663</v>
      </c>
      <c r="O3" s="1168" t="s">
        <v>2664</v>
      </c>
      <c r="P3" s="1161"/>
      <c r="Q3" s="1162" t="s">
        <v>2663</v>
      </c>
      <c r="R3" s="1163" t="s">
        <v>2664</v>
      </c>
      <c r="S3" s="1164" t="s">
        <v>2663</v>
      </c>
      <c r="T3" s="1163" t="s">
        <v>2664</v>
      </c>
      <c r="U3" s="1164" t="s">
        <v>2663</v>
      </c>
      <c r="V3" s="1163" t="s">
        <v>2664</v>
      </c>
      <c r="W3" s="1164" t="s">
        <v>2663</v>
      </c>
      <c r="X3" s="1163" t="s">
        <v>2664</v>
      </c>
      <c r="Y3" s="1164" t="s">
        <v>2663</v>
      </c>
      <c r="Z3" s="1163" t="s">
        <v>2664</v>
      </c>
    </row>
    <row r="4" spans="1:26" ht="17.25" thickTop="1" x14ac:dyDescent="0.25">
      <c r="A4" s="1159" t="s">
        <v>2666</v>
      </c>
      <c r="B4" s="1148">
        <v>62358500</v>
      </c>
      <c r="C4" s="1150">
        <v>13931980</v>
      </c>
      <c r="D4" s="1148">
        <f>SUM(F4+H4)</f>
        <v>9060000</v>
      </c>
      <c r="E4" s="1150">
        <f>SUM(G4+I4)</f>
        <v>4400740</v>
      </c>
      <c r="F4" s="1151">
        <v>8910000</v>
      </c>
      <c r="G4" s="1151">
        <v>4250740</v>
      </c>
      <c r="H4" s="1151">
        <v>150000</v>
      </c>
      <c r="I4" s="1151">
        <v>150000</v>
      </c>
      <c r="J4" s="1148">
        <v>11180000</v>
      </c>
      <c r="K4" s="1150">
        <v>3528562</v>
      </c>
      <c r="L4" s="1151"/>
      <c r="N4" s="1147">
        <f>SUM(B4,D4,J4,L4)</f>
        <v>82598500</v>
      </c>
      <c r="O4" s="1171">
        <f>SUM(C4,E4,K4,M4)</f>
        <v>21861282</v>
      </c>
      <c r="P4" s="1172" t="s">
        <v>2730</v>
      </c>
      <c r="Q4" s="1147">
        <f>SUM(B4:B15)</f>
        <v>595751800</v>
      </c>
      <c r="R4" s="1171">
        <f>SUM(C4:C15)</f>
        <v>141518978</v>
      </c>
      <c r="S4" s="1170">
        <f>SUM(D4:D15)</f>
        <v>236973000</v>
      </c>
      <c r="T4" s="1171">
        <f>SUM(E4:E15)</f>
        <v>128813921.63146177</v>
      </c>
      <c r="U4" s="1170">
        <f t="shared" ref="U4:Z4" si="0">SUM(J4:J15)</f>
        <v>231635600</v>
      </c>
      <c r="V4" s="1171">
        <f t="shared" si="0"/>
        <v>48063059.879999995</v>
      </c>
      <c r="W4" s="1170">
        <f t="shared" si="0"/>
        <v>426819400</v>
      </c>
      <c r="X4" s="1171">
        <f t="shared" si="0"/>
        <v>18783267</v>
      </c>
      <c r="Y4" s="1170">
        <f t="shared" si="0"/>
        <v>1491179800</v>
      </c>
      <c r="Z4" s="1171">
        <f t="shared" si="0"/>
        <v>337179226.51146173</v>
      </c>
    </row>
    <row r="5" spans="1:26" x14ac:dyDescent="0.25">
      <c r="A5" s="1160" t="s">
        <v>2667</v>
      </c>
      <c r="B5" s="1148">
        <v>49382500</v>
      </c>
      <c r="C5" s="1150">
        <v>12077780</v>
      </c>
      <c r="D5" s="1148">
        <f t="shared" ref="D5:D51" si="1">SUM(F5+H5)</f>
        <v>43457000</v>
      </c>
      <c r="E5" s="1150">
        <f t="shared" ref="E5:E51" si="2">SUM(G5+I5)</f>
        <v>24906412.864</v>
      </c>
      <c r="F5" s="1151">
        <v>36207000</v>
      </c>
      <c r="G5" s="1151">
        <v>17656412.864</v>
      </c>
      <c r="H5" s="1151">
        <v>7250000</v>
      </c>
      <c r="I5" s="1151">
        <v>7250000</v>
      </c>
      <c r="J5" s="1148">
        <v>2282000</v>
      </c>
      <c r="K5" s="1150">
        <v>1064898.8799999999</v>
      </c>
      <c r="L5" s="1151"/>
      <c r="N5" s="1147">
        <f t="shared" ref="N5:N51" si="3">SUM(B5,D5,J5,L5)</f>
        <v>95121500</v>
      </c>
      <c r="O5" s="1171">
        <f t="shared" ref="O5:O51" si="4">SUM(C5,E5,K5,M5)</f>
        <v>38049091.744000003</v>
      </c>
      <c r="P5" s="1172" t="s">
        <v>2734</v>
      </c>
      <c r="Q5" s="1147">
        <f>SUM(B16:B27)</f>
        <v>520765750</v>
      </c>
      <c r="R5" s="1171">
        <f>SUM(C16:C27)</f>
        <v>130564004.17984328</v>
      </c>
      <c r="S5" s="1170">
        <f>SUM(D16:D27)</f>
        <v>329729419</v>
      </c>
      <c r="T5" s="1171">
        <f>SUM(E16:E27)</f>
        <v>123274386.50168943</v>
      </c>
      <c r="U5" s="1170">
        <f t="shared" ref="U5:Z5" si="5">SUM(J16:J27)</f>
        <v>183600000</v>
      </c>
      <c r="V5" s="1171">
        <f t="shared" si="5"/>
        <v>75666837.38310048</v>
      </c>
      <c r="W5" s="1170">
        <f t="shared" si="5"/>
        <v>883715224</v>
      </c>
      <c r="X5" s="1171">
        <f t="shared" si="5"/>
        <v>108928862.49306421</v>
      </c>
      <c r="Y5" s="1147">
        <f t="shared" si="5"/>
        <v>1917810393</v>
      </c>
      <c r="Z5" s="1171">
        <f t="shared" si="5"/>
        <v>438434090.55769742</v>
      </c>
    </row>
    <row r="6" spans="1:26" x14ac:dyDescent="0.25">
      <c r="A6" s="1160" t="s">
        <v>2668</v>
      </c>
      <c r="B6" s="1148">
        <v>123710500</v>
      </c>
      <c r="C6" s="1150">
        <v>27067280</v>
      </c>
      <c r="D6" s="1148">
        <f t="shared" si="1"/>
        <v>10970000</v>
      </c>
      <c r="E6" s="1150">
        <f t="shared" si="2"/>
        <v>4691140</v>
      </c>
      <c r="F6" s="1151">
        <v>10970000</v>
      </c>
      <c r="G6" s="1151">
        <v>4691140</v>
      </c>
      <c r="J6" s="1148">
        <v>1816000</v>
      </c>
      <c r="K6" s="1150">
        <v>742670</v>
      </c>
      <c r="L6" s="1151"/>
      <c r="N6" s="1147">
        <f t="shared" si="3"/>
        <v>136496500</v>
      </c>
      <c r="O6" s="1171">
        <f t="shared" si="4"/>
        <v>32501090</v>
      </c>
      <c r="P6" s="1172" t="s">
        <v>2731</v>
      </c>
      <c r="Q6" s="1147">
        <f>SUM(B28:B39)</f>
        <v>597218100</v>
      </c>
      <c r="R6" s="1171">
        <f>SUM(C28:C39)</f>
        <v>146469679.42048591</v>
      </c>
      <c r="S6" s="1170">
        <f>SUM(D28:D39)</f>
        <v>346024390</v>
      </c>
      <c r="T6" s="1171">
        <f>SUM(E28:E39)</f>
        <v>133770832.61794695</v>
      </c>
      <c r="U6" s="1170">
        <f t="shared" ref="U6:Z6" si="6">SUM(J28:J39)</f>
        <v>57520000</v>
      </c>
      <c r="V6" s="1171">
        <f t="shared" si="6"/>
        <v>22731230.664055727</v>
      </c>
      <c r="W6" s="1170">
        <f t="shared" si="6"/>
        <v>1082075940</v>
      </c>
      <c r="X6" s="1171">
        <f t="shared" si="6"/>
        <v>284400035.35316014</v>
      </c>
      <c r="Y6" s="1147">
        <f t="shared" si="6"/>
        <v>2082838430</v>
      </c>
      <c r="Z6" s="1171">
        <f t="shared" si="6"/>
        <v>587371778.05564868</v>
      </c>
    </row>
    <row r="7" spans="1:26" x14ac:dyDescent="0.25">
      <c r="A7" s="1160" t="s">
        <v>2669</v>
      </c>
      <c r="B7" s="1148">
        <v>71943000</v>
      </c>
      <c r="C7" s="1150">
        <v>16977984</v>
      </c>
      <c r="D7" s="1148">
        <f t="shared" si="1"/>
        <v>14650000</v>
      </c>
      <c r="E7" s="1150">
        <f t="shared" si="2"/>
        <v>8734000</v>
      </c>
      <c r="F7" s="1151">
        <v>13000000</v>
      </c>
      <c r="G7" s="1151">
        <v>7084000</v>
      </c>
      <c r="H7" s="1151">
        <v>1650000</v>
      </c>
      <c r="I7" s="1151">
        <v>1650000</v>
      </c>
      <c r="J7" s="1148">
        <v>52376840</v>
      </c>
      <c r="K7" s="1150">
        <v>6544755.1669188971</v>
      </c>
      <c r="L7" s="1151"/>
      <c r="N7" s="1147">
        <f t="shared" si="3"/>
        <v>138969840</v>
      </c>
      <c r="O7" s="1171">
        <f t="shared" si="4"/>
        <v>32256739.166918896</v>
      </c>
      <c r="P7" s="1172" t="s">
        <v>2732</v>
      </c>
      <c r="Q7" s="1147">
        <f>SUM(B40:B51)</f>
        <v>538045400</v>
      </c>
      <c r="R7" s="1171">
        <f ca="1">SUM(C40:C51)</f>
        <v>135786694.53600001</v>
      </c>
      <c r="S7" s="1170">
        <f>SUM(D40:D51)</f>
        <v>421582751</v>
      </c>
      <c r="T7" s="1171">
        <f ca="1">SUM(E40:E51)</f>
        <v>138525161.8522045</v>
      </c>
      <c r="U7" s="1170">
        <f t="shared" ref="U7:Z7" ca="1" si="7">SUM(J40:J51)</f>
        <v>28850000</v>
      </c>
      <c r="V7" s="1171">
        <f t="shared" ca="1" si="7"/>
        <v>9298151</v>
      </c>
      <c r="W7" s="1170">
        <f t="shared" ca="1" si="7"/>
        <v>1160933236</v>
      </c>
      <c r="X7" s="1171">
        <f t="shared" ca="1" si="7"/>
        <v>294443989.19912124</v>
      </c>
      <c r="Y7" s="1147">
        <f t="shared" ca="1" si="7"/>
        <v>2149411387</v>
      </c>
      <c r="Z7" s="1171">
        <f t="shared" ca="1" si="7"/>
        <v>578053996.58732569</v>
      </c>
    </row>
    <row r="8" spans="1:26" x14ac:dyDescent="0.25">
      <c r="A8" s="1160" t="s">
        <v>2670</v>
      </c>
      <c r="B8" s="1148">
        <v>45058000</v>
      </c>
      <c r="C8" s="1150">
        <v>12103014</v>
      </c>
      <c r="D8" s="1148">
        <f t="shared" si="1"/>
        <v>9210000.0000000019</v>
      </c>
      <c r="E8" s="1150">
        <f t="shared" si="2"/>
        <v>4024340</v>
      </c>
      <c r="F8" s="1151">
        <v>9210000.0000000019</v>
      </c>
      <c r="G8" s="1151">
        <v>4024340</v>
      </c>
      <c r="J8" s="1148">
        <v>91842200</v>
      </c>
      <c r="K8" s="1150">
        <v>11831906.120114688</v>
      </c>
      <c r="L8" s="1151"/>
      <c r="N8" s="1147">
        <f t="shared" si="3"/>
        <v>146110200</v>
      </c>
      <c r="O8" s="1171">
        <f t="shared" si="4"/>
        <v>27959260.120114688</v>
      </c>
      <c r="P8" s="1172" t="s">
        <v>2733</v>
      </c>
      <c r="Q8" s="1147">
        <f ca="1">SUM(B52:B63)</f>
        <v>438845600</v>
      </c>
      <c r="R8" s="1171">
        <f ca="1">SUM(C52:C63)</f>
        <v>120138120.76800001</v>
      </c>
      <c r="S8" s="1147">
        <f ca="1">SUM(D52:D63)</f>
        <v>346207454.27272725</v>
      </c>
      <c r="T8" s="1171">
        <f ca="1">SUM(E52:E63)</f>
        <v>63902477.272727273</v>
      </c>
      <c r="U8" s="1147">
        <f t="shared" ref="U8:Z8" ca="1" si="8">SUM(J52:J63)</f>
        <v>68925000</v>
      </c>
      <c r="V8" s="1171">
        <f t="shared" ca="1" si="8"/>
        <v>20290910</v>
      </c>
      <c r="W8" s="1147">
        <f t="shared" ca="1" si="8"/>
        <v>746440463</v>
      </c>
      <c r="X8" s="1171">
        <f t="shared" ca="1" si="8"/>
        <v>184904258.13850313</v>
      </c>
      <c r="Y8" s="1147">
        <f t="shared" ca="1" si="8"/>
        <v>1600418517.2727273</v>
      </c>
      <c r="Z8" s="1171">
        <f t="shared" ca="1" si="8"/>
        <v>389235766.17923039</v>
      </c>
    </row>
    <row r="9" spans="1:26" x14ac:dyDescent="0.25">
      <c r="A9" s="1160" t="s">
        <v>2671</v>
      </c>
      <c r="B9" s="1148">
        <v>54382300</v>
      </c>
      <c r="C9" s="1150">
        <v>12212120</v>
      </c>
      <c r="D9" s="1148">
        <f t="shared" si="1"/>
        <v>8735000</v>
      </c>
      <c r="E9" s="1150">
        <f t="shared" si="2"/>
        <v>8435000</v>
      </c>
      <c r="F9" s="1151">
        <v>6935000</v>
      </c>
      <c r="G9" s="1151">
        <v>6635000</v>
      </c>
      <c r="H9" s="1151">
        <v>1800000</v>
      </c>
      <c r="I9" s="1151">
        <v>1800000</v>
      </c>
      <c r="J9" s="1148">
        <v>44676560</v>
      </c>
      <c r="K9" s="1150">
        <v>7551889.7129664151</v>
      </c>
      <c r="L9" s="1151"/>
      <c r="N9" s="1147">
        <f t="shared" si="3"/>
        <v>107793860</v>
      </c>
      <c r="O9" s="1171">
        <f t="shared" si="4"/>
        <v>28199009.712966416</v>
      </c>
      <c r="P9" s="1172" t="s">
        <v>2735</v>
      </c>
      <c r="Q9" s="1147"/>
      <c r="R9" s="1171"/>
      <c r="S9" s="1165"/>
      <c r="T9" s="1149"/>
      <c r="U9" s="1165"/>
      <c r="V9" s="1149"/>
      <c r="W9" s="1165"/>
      <c r="X9" s="1149"/>
      <c r="Y9" s="1165"/>
      <c r="Z9" s="1149"/>
    </row>
    <row r="10" spans="1:26" x14ac:dyDescent="0.25">
      <c r="A10" s="1160" t="s">
        <v>2672</v>
      </c>
      <c r="B10" s="1148">
        <v>31424000</v>
      </c>
      <c r="C10" s="1150">
        <v>7042240</v>
      </c>
      <c r="D10" s="1148">
        <f t="shared" si="1"/>
        <v>51520000</v>
      </c>
      <c r="E10" s="1150">
        <f t="shared" si="2"/>
        <v>0</v>
      </c>
      <c r="F10" s="1151">
        <v>51520000</v>
      </c>
      <c r="J10" s="1148">
        <v>580000.00000000012</v>
      </c>
      <c r="K10" s="1150">
        <v>310468</v>
      </c>
      <c r="L10" s="1151">
        <v>66019000</v>
      </c>
      <c r="M10" s="1150">
        <v>14230547</v>
      </c>
      <c r="N10" s="1147">
        <f t="shared" si="3"/>
        <v>149543000</v>
      </c>
      <c r="O10" s="1171">
        <f t="shared" si="4"/>
        <v>21583255</v>
      </c>
      <c r="P10" s="1172" t="s">
        <v>2736</v>
      </c>
      <c r="Q10" s="1147"/>
      <c r="R10" s="1171"/>
      <c r="S10" s="1165"/>
      <c r="T10" s="1149"/>
      <c r="U10" s="1165"/>
      <c r="V10" s="1149"/>
      <c r="W10" s="1165"/>
      <c r="X10" s="1149"/>
      <c r="Y10" s="1165"/>
      <c r="Z10" s="1149"/>
    </row>
    <row r="11" spans="1:26" x14ac:dyDescent="0.25">
      <c r="A11" s="1160" t="s">
        <v>2673</v>
      </c>
      <c r="B11" s="1148">
        <v>22589000</v>
      </c>
      <c r="C11" s="1150">
        <v>5516460</v>
      </c>
      <c r="D11" s="1148">
        <f t="shared" si="1"/>
        <v>44986000</v>
      </c>
      <c r="E11" s="1150">
        <f t="shared" si="2"/>
        <v>41686000</v>
      </c>
      <c r="F11" s="1151">
        <v>18460000</v>
      </c>
      <c r="G11" s="1151">
        <v>15160000</v>
      </c>
      <c r="H11" s="1151">
        <v>26526000</v>
      </c>
      <c r="I11" s="1151">
        <v>26526000</v>
      </c>
      <c r="J11" s="1148">
        <v>5933000.0000000009</v>
      </c>
      <c r="K11" s="1150">
        <v>5326553</v>
      </c>
      <c r="L11" s="1151">
        <v>14375000</v>
      </c>
      <c r="M11" s="1150">
        <v>2143040</v>
      </c>
      <c r="N11" s="1147">
        <f t="shared" si="3"/>
        <v>87883000</v>
      </c>
      <c r="O11" s="1171">
        <f t="shared" si="4"/>
        <v>54672053</v>
      </c>
      <c r="P11" s="1172"/>
      <c r="R11" s="1149"/>
      <c r="S11" s="1165"/>
      <c r="T11" s="1149"/>
      <c r="U11" s="1165"/>
      <c r="V11" s="1149"/>
      <c r="W11" s="1165"/>
      <c r="X11" s="1149"/>
      <c r="Y11" s="1165"/>
      <c r="Z11" s="1149"/>
    </row>
    <row r="12" spans="1:26" x14ac:dyDescent="0.25">
      <c r="A12" s="1160" t="s">
        <v>2674</v>
      </c>
      <c r="B12" s="1148">
        <v>41176500</v>
      </c>
      <c r="C12" s="1150">
        <v>9331860</v>
      </c>
      <c r="D12" s="1148">
        <f t="shared" si="1"/>
        <v>4881000</v>
      </c>
      <c r="E12" s="1150">
        <f t="shared" si="2"/>
        <v>4233000</v>
      </c>
      <c r="F12" s="1151">
        <v>2531000</v>
      </c>
      <c r="G12" s="1151">
        <v>1883000</v>
      </c>
      <c r="H12" s="1151">
        <v>2350000</v>
      </c>
      <c r="I12" s="1151">
        <v>2350000</v>
      </c>
      <c r="J12" s="1148">
        <v>15319000.000000002</v>
      </c>
      <c r="K12" s="1150">
        <v>5748662</v>
      </c>
      <c r="L12" s="1151">
        <v>45059600</v>
      </c>
      <c r="N12" s="1147">
        <f t="shared" si="3"/>
        <v>106436100</v>
      </c>
      <c r="O12" s="1171">
        <f t="shared" si="4"/>
        <v>19313522</v>
      </c>
      <c r="R12" s="1149"/>
      <c r="S12" s="1165"/>
      <c r="T12" s="1149"/>
      <c r="U12" s="1165"/>
      <c r="V12" s="1149"/>
      <c r="W12" s="1165"/>
      <c r="X12" s="1149"/>
      <c r="Y12" s="1165"/>
      <c r="Z12" s="1149"/>
    </row>
    <row r="13" spans="1:26" x14ac:dyDescent="0.25">
      <c r="A13" s="1160" t="s">
        <v>2675</v>
      </c>
      <c r="B13" s="1148">
        <v>20070000</v>
      </c>
      <c r="C13" s="1150">
        <v>5034220</v>
      </c>
      <c r="D13" s="1148">
        <f t="shared" si="1"/>
        <v>11960000</v>
      </c>
      <c r="E13" s="1150">
        <f t="shared" si="2"/>
        <v>9657288.767461773</v>
      </c>
      <c r="F13" s="1151">
        <v>10710000</v>
      </c>
      <c r="G13" s="1151">
        <v>8407288.767461773</v>
      </c>
      <c r="H13" s="1151">
        <v>1250000</v>
      </c>
      <c r="I13" s="1151">
        <v>1250000</v>
      </c>
      <c r="J13" s="1148">
        <v>925000.00000000012</v>
      </c>
      <c r="K13" s="1150">
        <v>812695</v>
      </c>
      <c r="L13" s="1151">
        <v>13889800</v>
      </c>
      <c r="M13" s="1150">
        <v>2409680</v>
      </c>
      <c r="N13" s="1147">
        <f t="shared" si="3"/>
        <v>46844800</v>
      </c>
      <c r="O13" s="1171">
        <f t="shared" si="4"/>
        <v>17913883.767461773</v>
      </c>
      <c r="R13" s="1149"/>
      <c r="S13" s="1165"/>
      <c r="T13" s="1149"/>
      <c r="U13" s="1165"/>
      <c r="V13" s="1149"/>
      <c r="W13" s="1165"/>
      <c r="X13" s="1149"/>
      <c r="Y13" s="1165"/>
      <c r="Z13" s="1149"/>
    </row>
    <row r="14" spans="1:26" x14ac:dyDescent="0.25">
      <c r="A14" s="1160" t="s">
        <v>2676</v>
      </c>
      <c r="B14" s="1148">
        <v>25969000</v>
      </c>
      <c r="C14" s="1150">
        <v>7656860</v>
      </c>
      <c r="D14" s="1148">
        <f t="shared" si="1"/>
        <v>18754000</v>
      </c>
      <c r="E14" s="1150">
        <f t="shared" si="2"/>
        <v>10246000</v>
      </c>
      <c r="F14" s="1151">
        <v>7984000</v>
      </c>
      <c r="G14" s="1151">
        <v>6566000</v>
      </c>
      <c r="H14" s="1151">
        <v>10770000</v>
      </c>
      <c r="I14" s="1151">
        <v>3680000</v>
      </c>
      <c r="J14" s="1148">
        <v>2380000</v>
      </c>
      <c r="K14" s="1150">
        <v>2380000</v>
      </c>
      <c r="L14" s="1151">
        <v>246179000.00000003</v>
      </c>
      <c r="N14" s="1147">
        <f t="shared" si="3"/>
        <v>293282000</v>
      </c>
      <c r="O14" s="1171">
        <f t="shared" si="4"/>
        <v>20282860</v>
      </c>
      <c r="R14" s="1149"/>
      <c r="S14" s="1165"/>
      <c r="T14" s="1149"/>
      <c r="U14" s="1165"/>
      <c r="V14" s="1149"/>
      <c r="W14" s="1165"/>
      <c r="X14" s="1149"/>
      <c r="Y14" s="1165"/>
      <c r="Z14" s="1149"/>
    </row>
    <row r="15" spans="1:26" s="1155" customFormat="1" ht="17.25" thickBot="1" x14ac:dyDescent="0.3">
      <c r="A15" s="1156" t="s">
        <v>2677</v>
      </c>
      <c r="B15" s="1153">
        <v>47688500</v>
      </c>
      <c r="C15" s="1154">
        <v>12567180</v>
      </c>
      <c r="D15" s="1153">
        <f t="shared" si="1"/>
        <v>8790000</v>
      </c>
      <c r="E15" s="1154">
        <f t="shared" si="2"/>
        <v>7800000</v>
      </c>
      <c r="F15" s="1153">
        <v>8540000</v>
      </c>
      <c r="G15" s="1153">
        <v>7550000</v>
      </c>
      <c r="H15" s="1153">
        <v>250000</v>
      </c>
      <c r="I15" s="1153">
        <v>250000</v>
      </c>
      <c r="J15" s="1153">
        <v>2325000</v>
      </c>
      <c r="K15" s="1154">
        <v>2220000</v>
      </c>
      <c r="L15" s="1153">
        <v>41297000</v>
      </c>
      <c r="M15" s="1154"/>
      <c r="N15" s="1173">
        <f t="shared" si="3"/>
        <v>100100500</v>
      </c>
      <c r="O15" s="1157">
        <f t="shared" si="4"/>
        <v>22587180</v>
      </c>
      <c r="P15" s="1152"/>
      <c r="R15" s="1152"/>
      <c r="S15" s="1166"/>
      <c r="T15" s="1152"/>
      <c r="U15" s="1166"/>
      <c r="V15" s="1152"/>
      <c r="W15" s="1166"/>
      <c r="X15" s="1152"/>
      <c r="Y15" s="1166"/>
      <c r="Z15" s="1152"/>
    </row>
    <row r="16" spans="1:26" ht="17.25" thickTop="1" x14ac:dyDescent="0.25">
      <c r="A16" s="1160" t="s">
        <v>2678</v>
      </c>
      <c r="B16" s="1148">
        <v>29586500</v>
      </c>
      <c r="C16" s="1150">
        <v>6415300</v>
      </c>
      <c r="D16" s="1148">
        <f t="shared" si="1"/>
        <v>18018000</v>
      </c>
      <c r="E16" s="1150">
        <f t="shared" si="2"/>
        <v>13740435.940680696</v>
      </c>
      <c r="F16" s="1151">
        <v>17618000</v>
      </c>
      <c r="G16" s="1151">
        <v>13340435.940680696</v>
      </c>
      <c r="H16" s="1151">
        <v>400000</v>
      </c>
      <c r="I16" s="1151">
        <v>400000</v>
      </c>
      <c r="J16" s="1148">
        <v>50730000.000000007</v>
      </c>
      <c r="K16" s="1150">
        <v>14368331.165495429</v>
      </c>
      <c r="L16" s="1151">
        <v>25012000</v>
      </c>
      <c r="N16" s="1147">
        <f t="shared" si="3"/>
        <v>123346500</v>
      </c>
      <c r="O16" s="1171">
        <f t="shared" si="4"/>
        <v>34524067.106176123</v>
      </c>
    </row>
    <row r="17" spans="1:16" x14ac:dyDescent="0.25">
      <c r="A17" s="1160" t="s">
        <v>2679</v>
      </c>
      <c r="B17" s="1148">
        <v>35708000</v>
      </c>
      <c r="C17" s="1150">
        <v>8991025</v>
      </c>
      <c r="D17" s="1148">
        <f t="shared" si="1"/>
        <v>9910000</v>
      </c>
      <c r="E17" s="1150">
        <f t="shared" si="2"/>
        <v>5141630.2220646599</v>
      </c>
      <c r="F17" s="1151">
        <v>9360000</v>
      </c>
      <c r="G17" s="1151">
        <v>4591630.2220646599</v>
      </c>
      <c r="H17" s="1151">
        <v>550000</v>
      </c>
      <c r="I17" s="1151">
        <v>550000</v>
      </c>
      <c r="J17" s="1148">
        <v>11293000</v>
      </c>
      <c r="K17" s="1150">
        <v>8296632.8942563059</v>
      </c>
      <c r="L17" s="1151">
        <v>22451500</v>
      </c>
      <c r="N17" s="1147">
        <f t="shared" si="3"/>
        <v>79362500</v>
      </c>
      <c r="O17" s="1171">
        <f t="shared" si="4"/>
        <v>22429288.116320964</v>
      </c>
    </row>
    <row r="18" spans="1:16" x14ac:dyDescent="0.25">
      <c r="A18" s="1160" t="s">
        <v>2680</v>
      </c>
      <c r="B18" s="1148">
        <v>32425000</v>
      </c>
      <c r="C18" s="1150">
        <v>8224420</v>
      </c>
      <c r="D18" s="1148">
        <f t="shared" si="1"/>
        <v>99675950</v>
      </c>
      <c r="E18" s="1150">
        <f t="shared" si="2"/>
        <v>22532703.287168734</v>
      </c>
      <c r="F18" s="1151">
        <v>99675950</v>
      </c>
      <c r="G18" s="1151">
        <v>22532703.287168734</v>
      </c>
      <c r="H18" s="1151">
        <v>0</v>
      </c>
      <c r="I18" s="1151">
        <v>0</v>
      </c>
      <c r="J18" s="1148">
        <v>7225000</v>
      </c>
      <c r="K18" s="1150">
        <v>2874482.6530810893</v>
      </c>
      <c r="L18" s="1151">
        <v>56030000</v>
      </c>
      <c r="N18" s="1147">
        <f t="shared" si="3"/>
        <v>195355950</v>
      </c>
      <c r="O18" s="1171">
        <f t="shared" si="4"/>
        <v>33631605.940249823</v>
      </c>
    </row>
    <row r="19" spans="1:16" x14ac:dyDescent="0.25">
      <c r="A19" s="1160" t="s">
        <v>2681</v>
      </c>
      <c r="B19" s="1148">
        <v>29614000</v>
      </c>
      <c r="C19" s="1150">
        <v>7140260</v>
      </c>
      <c r="D19" s="1148">
        <f t="shared" si="1"/>
        <v>7210000</v>
      </c>
      <c r="E19" s="1150">
        <f t="shared" si="2"/>
        <v>4105693.3479089877</v>
      </c>
      <c r="F19" s="1151">
        <v>5960000</v>
      </c>
      <c r="G19" s="1151">
        <v>2855693.3479089877</v>
      </c>
      <c r="H19" s="1151">
        <v>1250000</v>
      </c>
      <c r="I19" s="1151">
        <v>1250000</v>
      </c>
      <c r="J19" s="1148">
        <v>1050000</v>
      </c>
      <c r="K19" s="1150">
        <v>376170</v>
      </c>
      <c r="L19" s="1151">
        <v>49326100.000000007</v>
      </c>
      <c r="N19" s="1147">
        <f t="shared" si="3"/>
        <v>87200100</v>
      </c>
      <c r="O19" s="1171">
        <f t="shared" si="4"/>
        <v>11622123.347908989</v>
      </c>
    </row>
    <row r="20" spans="1:16" x14ac:dyDescent="0.25">
      <c r="A20" s="1160" t="s">
        <v>2682</v>
      </c>
      <c r="B20" s="1148">
        <v>38472000</v>
      </c>
      <c r="C20" s="1150">
        <v>8880000</v>
      </c>
      <c r="D20" s="1148">
        <f t="shared" si="1"/>
        <v>5720000</v>
      </c>
      <c r="E20" s="1150">
        <f t="shared" si="2"/>
        <v>3082561.05</v>
      </c>
      <c r="F20" s="1151">
        <v>5720000</v>
      </c>
      <c r="G20" s="1151">
        <v>3082561.05</v>
      </c>
      <c r="J20" s="1148">
        <v>3625000</v>
      </c>
      <c r="K20" s="1150">
        <v>1524407.7781004566</v>
      </c>
      <c r="L20" s="1151">
        <v>41386160</v>
      </c>
      <c r="M20" s="1150">
        <v>9199484.7989954874</v>
      </c>
      <c r="N20" s="1147">
        <f t="shared" si="3"/>
        <v>89203160</v>
      </c>
      <c r="O20" s="1171">
        <f t="shared" si="4"/>
        <v>22686453.627095945</v>
      </c>
    </row>
    <row r="21" spans="1:16" x14ac:dyDescent="0.25">
      <c r="A21" s="1160" t="s">
        <v>2683</v>
      </c>
      <c r="B21" s="1148">
        <v>49551000</v>
      </c>
      <c r="C21" s="1150">
        <v>11161540</v>
      </c>
      <c r="D21" s="1148">
        <f t="shared" si="1"/>
        <v>77194455</v>
      </c>
      <c r="E21" s="1150">
        <f t="shared" si="2"/>
        <v>38421524.149999999</v>
      </c>
      <c r="F21" s="1151">
        <v>73000000</v>
      </c>
      <c r="G21" s="1151">
        <v>34771524.149999999</v>
      </c>
      <c r="H21" s="1151">
        <v>4194455</v>
      </c>
      <c r="I21" s="1151">
        <v>3650000</v>
      </c>
      <c r="J21" s="1148">
        <v>1654000</v>
      </c>
      <c r="K21" s="1150">
        <v>688177</v>
      </c>
      <c r="L21" s="1151">
        <v>28896000</v>
      </c>
      <c r="N21" s="1147">
        <f t="shared" si="3"/>
        <v>157295455</v>
      </c>
      <c r="O21" s="1171">
        <f t="shared" si="4"/>
        <v>50271241.149999999</v>
      </c>
    </row>
    <row r="22" spans="1:16" x14ac:dyDescent="0.25">
      <c r="A22" s="1160" t="s">
        <v>2684</v>
      </c>
      <c r="B22" s="1148">
        <v>42673750</v>
      </c>
      <c r="C22" s="1150">
        <v>10362930</v>
      </c>
      <c r="D22" s="1148">
        <f t="shared" si="1"/>
        <v>5020000</v>
      </c>
      <c r="E22" s="1150">
        <f t="shared" si="2"/>
        <v>1980834.8455477634</v>
      </c>
      <c r="F22" s="1151">
        <v>5020000</v>
      </c>
      <c r="G22" s="1151">
        <v>1980834.8455477634</v>
      </c>
      <c r="J22" s="1148">
        <v>3485000</v>
      </c>
      <c r="K22" s="1150">
        <v>1532253.848</v>
      </c>
      <c r="L22" s="1151">
        <v>110086620</v>
      </c>
      <c r="N22" s="1147">
        <f t="shared" si="3"/>
        <v>161265370</v>
      </c>
      <c r="O22" s="1171">
        <f t="shared" si="4"/>
        <v>13876018.693547763</v>
      </c>
    </row>
    <row r="23" spans="1:16" x14ac:dyDescent="0.25">
      <c r="A23" s="1160" t="s">
        <v>2685</v>
      </c>
      <c r="B23" s="1148">
        <v>32335000</v>
      </c>
      <c r="C23" s="1150">
        <v>7068360</v>
      </c>
      <c r="D23" s="1148">
        <f t="shared" si="1"/>
        <v>14250000</v>
      </c>
      <c r="E23" s="1150">
        <f t="shared" si="2"/>
        <v>2911211.0700000003</v>
      </c>
      <c r="H23" s="1151">
        <v>14250000</v>
      </c>
      <c r="I23" s="1151">
        <v>2911211.0700000003</v>
      </c>
      <c r="J23" s="1148">
        <v>400000.00000000006</v>
      </c>
      <c r="K23" s="1150">
        <v>287695</v>
      </c>
      <c r="L23" s="1151">
        <v>79681000</v>
      </c>
      <c r="N23" s="1147">
        <f t="shared" si="3"/>
        <v>126666000</v>
      </c>
      <c r="O23" s="1171">
        <f t="shared" si="4"/>
        <v>10267266.07</v>
      </c>
    </row>
    <row r="24" spans="1:16" x14ac:dyDescent="0.25">
      <c r="A24" s="1160" t="s">
        <v>2686</v>
      </c>
      <c r="B24" s="1148">
        <v>61141250</v>
      </c>
      <c r="C24" s="1150">
        <v>14191610</v>
      </c>
      <c r="D24" s="1148">
        <f t="shared" si="1"/>
        <v>3212000</v>
      </c>
      <c r="E24" s="1150">
        <f t="shared" si="2"/>
        <v>2140225.5639999998</v>
      </c>
      <c r="F24" s="1151">
        <v>3212000</v>
      </c>
      <c r="G24" s="1151">
        <v>2140225.5639999998</v>
      </c>
      <c r="J24" s="1148">
        <v>71410000</v>
      </c>
      <c r="K24" s="1150">
        <v>33375965.211710248</v>
      </c>
      <c r="L24" s="1151">
        <v>56799000</v>
      </c>
      <c r="M24" s="1150">
        <v>17698000</v>
      </c>
      <c r="N24" s="1147">
        <f t="shared" si="3"/>
        <v>192562250</v>
      </c>
      <c r="O24" s="1171">
        <f t="shared" si="4"/>
        <v>67405800.775710255</v>
      </c>
    </row>
    <row r="25" spans="1:16" x14ac:dyDescent="0.25">
      <c r="A25" s="1160" t="s">
        <v>2687</v>
      </c>
      <c r="B25" s="1148">
        <v>67959500</v>
      </c>
      <c r="C25" s="1150">
        <v>20507409.235139053</v>
      </c>
      <c r="D25" s="1148">
        <f t="shared" si="1"/>
        <v>53493814</v>
      </c>
      <c r="E25" s="1150">
        <f t="shared" si="2"/>
        <v>15932326.684440641</v>
      </c>
      <c r="F25" s="1151">
        <v>48971000</v>
      </c>
      <c r="G25" s="1151">
        <v>14390065.5</v>
      </c>
      <c r="H25" s="1151">
        <v>4522814</v>
      </c>
      <c r="I25" s="1151">
        <v>1542261.18444064</v>
      </c>
      <c r="J25" s="1148">
        <v>12415000</v>
      </c>
      <c r="K25" s="1150">
        <v>4869300.0543999989</v>
      </c>
      <c r="L25" s="1151">
        <v>126543030</v>
      </c>
      <c r="M25" s="1150">
        <v>39582422.470276803</v>
      </c>
      <c r="N25" s="1147">
        <f t="shared" si="3"/>
        <v>260411344</v>
      </c>
      <c r="O25" s="1171">
        <f t="shared" si="4"/>
        <v>80891458.444256485</v>
      </c>
    </row>
    <row r="26" spans="1:16" x14ac:dyDescent="0.25">
      <c r="A26" s="1160" t="s">
        <v>2688</v>
      </c>
      <c r="B26" s="1148">
        <v>38230650</v>
      </c>
      <c r="C26" s="1150">
        <v>10403297.462760564</v>
      </c>
      <c r="D26" s="1148">
        <f t="shared" si="1"/>
        <v>22445200</v>
      </c>
      <c r="E26" s="1150">
        <f t="shared" si="2"/>
        <v>9461017.213457223</v>
      </c>
      <c r="F26" s="1151">
        <v>19670000</v>
      </c>
      <c r="G26" s="1151">
        <v>9526962.8438514788</v>
      </c>
      <c r="H26" s="1151">
        <v>2775200.0000000005</v>
      </c>
      <c r="I26" s="1151">
        <v>-65945.630394256033</v>
      </c>
      <c r="J26" s="1148">
        <v>10368000</v>
      </c>
      <c r="K26" s="1150">
        <v>4148135.1780569609</v>
      </c>
      <c r="L26" s="1151">
        <v>73450039</v>
      </c>
      <c r="M26" s="1150">
        <v>21808896.63389251</v>
      </c>
      <c r="N26" s="1147">
        <f t="shared" si="3"/>
        <v>144493889</v>
      </c>
      <c r="O26" s="1171">
        <f t="shared" si="4"/>
        <v>45821346.488167256</v>
      </c>
    </row>
    <row r="27" spans="1:16" s="1155" customFormat="1" ht="17.25" thickBot="1" x14ac:dyDescent="0.3">
      <c r="A27" s="1156" t="s">
        <v>2689</v>
      </c>
      <c r="B27" s="1153">
        <v>63069100</v>
      </c>
      <c r="C27" s="1154">
        <v>17217852.481943659</v>
      </c>
      <c r="D27" s="1153">
        <f t="shared" si="1"/>
        <v>13580000</v>
      </c>
      <c r="E27" s="1154">
        <f t="shared" si="2"/>
        <v>3824223.1264207233</v>
      </c>
      <c r="F27" s="1153">
        <v>10680000</v>
      </c>
      <c r="G27" s="1153">
        <v>2424223.1264207233</v>
      </c>
      <c r="H27" s="1153">
        <v>2900000.0000000005</v>
      </c>
      <c r="I27" s="1153">
        <v>1400000</v>
      </c>
      <c r="J27" s="1153">
        <v>9945000</v>
      </c>
      <c r="K27" s="1154">
        <v>3325286.6000000006</v>
      </c>
      <c r="L27" s="1153">
        <v>214053775</v>
      </c>
      <c r="M27" s="1154">
        <v>20640058.589899406</v>
      </c>
      <c r="N27" s="1173">
        <f t="shared" si="3"/>
        <v>300647875</v>
      </c>
      <c r="O27" s="1157">
        <f t="shared" si="4"/>
        <v>45007420.798263788</v>
      </c>
      <c r="P27" s="1152"/>
    </row>
    <row r="28" spans="1:16" ht="17.25" thickTop="1" x14ac:dyDescent="0.25">
      <c r="A28" s="1160" t="s">
        <v>2690</v>
      </c>
      <c r="B28" s="1148">
        <v>96536500</v>
      </c>
      <c r="C28" s="1150">
        <v>21882502.120485917</v>
      </c>
      <c r="D28" s="1148">
        <f t="shared" si="1"/>
        <v>31560000.000000004</v>
      </c>
      <c r="E28" s="1150">
        <f t="shared" si="2"/>
        <v>17609596.823181033</v>
      </c>
      <c r="F28" s="1151">
        <v>31560000.000000004</v>
      </c>
      <c r="G28" s="1151">
        <v>17609596.823181033</v>
      </c>
      <c r="J28" s="1148">
        <v>4635000</v>
      </c>
      <c r="K28" s="1150">
        <v>2194185</v>
      </c>
      <c r="L28" s="1151">
        <v>105562800</v>
      </c>
      <c r="M28" s="1150">
        <v>28312869.41908437</v>
      </c>
      <c r="N28" s="1147">
        <f t="shared" si="3"/>
        <v>238294300</v>
      </c>
      <c r="O28" s="1171">
        <f t="shared" si="4"/>
        <v>69999153.36275132</v>
      </c>
    </row>
    <row r="29" spans="1:16" x14ac:dyDescent="0.25">
      <c r="A29" s="1160" t="s">
        <v>2691</v>
      </c>
      <c r="B29" s="1148">
        <v>32039000</v>
      </c>
      <c r="C29" s="1150">
        <v>6560723.2999999998</v>
      </c>
      <c r="D29" s="1148">
        <f t="shared" si="1"/>
        <v>30790000</v>
      </c>
      <c r="E29" s="1150">
        <f t="shared" si="2"/>
        <v>11916249.697823171</v>
      </c>
      <c r="F29" s="1151">
        <v>27340000</v>
      </c>
      <c r="G29" s="1151">
        <v>9966249.6978231706</v>
      </c>
      <c r="H29" s="1151">
        <v>3450000.0000000005</v>
      </c>
      <c r="I29" s="1151">
        <v>1950000</v>
      </c>
      <c r="J29" s="1148">
        <v>1995000</v>
      </c>
      <c r="K29" s="1150">
        <v>774744.27960000001</v>
      </c>
      <c r="L29" s="1151">
        <v>68322500</v>
      </c>
      <c r="M29" s="1150">
        <v>19024441.718123969</v>
      </c>
      <c r="N29" s="1147">
        <f t="shared" si="3"/>
        <v>133146500</v>
      </c>
      <c r="O29" s="1171">
        <f t="shared" si="4"/>
        <v>38276158.995547146</v>
      </c>
    </row>
    <row r="30" spans="1:16" x14ac:dyDescent="0.25">
      <c r="A30" s="1160" t="s">
        <v>2692</v>
      </c>
      <c r="B30" s="1148">
        <v>49874000</v>
      </c>
      <c r="C30" s="1150">
        <v>15644860</v>
      </c>
      <c r="D30" s="1148">
        <f t="shared" si="1"/>
        <v>53718600</v>
      </c>
      <c r="E30" s="1150">
        <f t="shared" si="2"/>
        <v>18041956.051603764</v>
      </c>
      <c r="F30" s="1151">
        <v>44800000</v>
      </c>
      <c r="G30" s="1151">
        <v>16541956.051603766</v>
      </c>
      <c r="H30" s="1151">
        <v>8918600.0000000019</v>
      </c>
      <c r="I30" s="1151">
        <v>1500000</v>
      </c>
      <c r="J30" s="1148">
        <v>1155000.0000000002</v>
      </c>
      <c r="K30" s="1150">
        <v>483205.58250000002</v>
      </c>
      <c r="L30" s="1151">
        <v>88763800</v>
      </c>
      <c r="M30" s="1150">
        <v>25084900</v>
      </c>
      <c r="N30" s="1147">
        <f t="shared" si="3"/>
        <v>193511400</v>
      </c>
      <c r="O30" s="1171">
        <f t="shared" si="4"/>
        <v>59254921.634103768</v>
      </c>
    </row>
    <row r="31" spans="1:16" x14ac:dyDescent="0.25">
      <c r="A31" s="1160" t="s">
        <v>2693</v>
      </c>
      <c r="B31" s="1148">
        <v>45939000</v>
      </c>
      <c r="C31" s="1150">
        <v>10756060</v>
      </c>
      <c r="D31" s="1148">
        <f t="shared" si="1"/>
        <v>18174000</v>
      </c>
      <c r="E31" s="1150">
        <f t="shared" si="2"/>
        <v>6578142.1315062502</v>
      </c>
      <c r="F31" s="1151">
        <v>13174000</v>
      </c>
      <c r="G31" s="1151">
        <v>5078142.1315062502</v>
      </c>
      <c r="H31" s="1151">
        <v>5000000</v>
      </c>
      <c r="I31" s="1151">
        <v>1500000</v>
      </c>
      <c r="J31" s="1148">
        <v>3475000.0000000005</v>
      </c>
      <c r="K31" s="1150">
        <v>1179169.9733756087</v>
      </c>
      <c r="L31" s="1151">
        <v>104643300</v>
      </c>
      <c r="M31" s="1150">
        <v>27050640</v>
      </c>
      <c r="N31" s="1147">
        <f t="shared" si="3"/>
        <v>172231300</v>
      </c>
      <c r="O31" s="1171">
        <f t="shared" si="4"/>
        <v>45564012.104881853</v>
      </c>
    </row>
    <row r="32" spans="1:16" x14ac:dyDescent="0.25">
      <c r="A32" s="1160" t="s">
        <v>2694</v>
      </c>
      <c r="B32" s="1148">
        <v>40307000</v>
      </c>
      <c r="C32" s="1150">
        <v>8616270</v>
      </c>
      <c r="D32" s="1148">
        <f t="shared" si="1"/>
        <v>14132000</v>
      </c>
      <c r="E32" s="1150">
        <f t="shared" si="2"/>
        <v>2811842.0285371742</v>
      </c>
      <c r="F32" s="1151">
        <v>11132000</v>
      </c>
      <c r="G32" s="1151">
        <v>2811842.0285371742</v>
      </c>
      <c r="H32" s="1151">
        <v>3000000.0000000005</v>
      </c>
      <c r="I32" s="1151">
        <v>0</v>
      </c>
      <c r="J32" s="1148">
        <v>1275000.0000000002</v>
      </c>
      <c r="K32" s="1150">
        <v>488865</v>
      </c>
      <c r="L32" s="1151">
        <v>77888890</v>
      </c>
      <c r="M32" s="1150">
        <v>23107469.350000001</v>
      </c>
      <c r="N32" s="1147">
        <f t="shared" si="3"/>
        <v>133602890</v>
      </c>
      <c r="O32" s="1171">
        <f t="shared" si="4"/>
        <v>35024446.378537178</v>
      </c>
    </row>
    <row r="33" spans="1:16" x14ac:dyDescent="0.25">
      <c r="A33" s="1160" t="s">
        <v>2695</v>
      </c>
      <c r="B33" s="1148">
        <v>23714000</v>
      </c>
      <c r="C33" s="1150">
        <v>6338560</v>
      </c>
      <c r="D33" s="1148">
        <f t="shared" si="1"/>
        <v>48421000</v>
      </c>
      <c r="E33" s="1150">
        <f t="shared" si="2"/>
        <v>25347426.884080727</v>
      </c>
      <c r="F33" s="1151">
        <v>47171000</v>
      </c>
      <c r="G33" s="1151">
        <v>24097426.884080727</v>
      </c>
      <c r="H33" s="1151">
        <v>1250000</v>
      </c>
      <c r="I33" s="1151">
        <v>1250000</v>
      </c>
      <c r="J33" s="1148">
        <v>3635000.0000000005</v>
      </c>
      <c r="K33" s="1150">
        <v>1293035</v>
      </c>
      <c r="L33" s="1151">
        <v>166454550</v>
      </c>
      <c r="M33" s="1150">
        <v>26834260</v>
      </c>
      <c r="N33" s="1147">
        <f t="shared" si="3"/>
        <v>242224550</v>
      </c>
      <c r="O33" s="1171">
        <f t="shared" si="4"/>
        <v>59813281.884080723</v>
      </c>
    </row>
    <row r="34" spans="1:16" x14ac:dyDescent="0.25">
      <c r="A34" s="1160" t="s">
        <v>2696</v>
      </c>
      <c r="B34" s="1148">
        <v>46857500</v>
      </c>
      <c r="C34" s="1150">
        <v>11156516</v>
      </c>
      <c r="D34" s="1148">
        <f t="shared" si="1"/>
        <v>16530000</v>
      </c>
      <c r="E34" s="1150">
        <f t="shared" si="2"/>
        <v>7792178.1156885186</v>
      </c>
      <c r="F34" s="1151">
        <v>13130000</v>
      </c>
      <c r="G34" s="1151">
        <v>4392178.1156885186</v>
      </c>
      <c r="H34" s="1151">
        <v>3400000.0000000005</v>
      </c>
      <c r="I34" s="1151">
        <v>3400000</v>
      </c>
      <c r="L34" s="1151">
        <v>84438500</v>
      </c>
      <c r="M34" s="1150">
        <v>24032310.5</v>
      </c>
      <c r="N34" s="1147">
        <f t="shared" si="3"/>
        <v>147826000</v>
      </c>
      <c r="O34" s="1171">
        <f t="shared" si="4"/>
        <v>42981004.615688518</v>
      </c>
    </row>
    <row r="35" spans="1:16" x14ac:dyDescent="0.25">
      <c r="A35" s="1160" t="s">
        <v>2697</v>
      </c>
      <c r="B35" s="1148">
        <v>79617500</v>
      </c>
      <c r="C35" s="1150">
        <v>15606420</v>
      </c>
      <c r="D35" s="1148">
        <f t="shared" si="1"/>
        <v>32017790</v>
      </c>
      <c r="E35" s="1150">
        <f t="shared" si="2"/>
        <v>3906695.8987989184</v>
      </c>
      <c r="F35" s="1151">
        <v>19000000</v>
      </c>
      <c r="G35" s="1151">
        <v>5864905.8987989184</v>
      </c>
      <c r="H35" s="1151">
        <v>13017790.000000002</v>
      </c>
      <c r="I35" s="1151">
        <v>-1958210</v>
      </c>
      <c r="J35" s="1148">
        <v>6530000</v>
      </c>
      <c r="K35" s="1150">
        <v>3927219.3244585362</v>
      </c>
      <c r="L35" s="1151">
        <v>70082500</v>
      </c>
      <c r="M35" s="1150">
        <v>20362500</v>
      </c>
      <c r="N35" s="1147">
        <f t="shared" si="3"/>
        <v>188247790</v>
      </c>
      <c r="O35" s="1171">
        <f t="shared" si="4"/>
        <v>43802835.223257452</v>
      </c>
    </row>
    <row r="36" spans="1:16" x14ac:dyDescent="0.25">
      <c r="A36" s="1160" t="s">
        <v>2698</v>
      </c>
      <c r="B36" s="1148">
        <v>41919000</v>
      </c>
      <c r="C36" s="1150">
        <v>8638860</v>
      </c>
      <c r="D36" s="1148">
        <f t="shared" si="1"/>
        <v>8560000</v>
      </c>
      <c r="E36" s="1150">
        <f t="shared" si="2"/>
        <v>5401282.9867274072</v>
      </c>
      <c r="F36" s="1151">
        <v>5060000</v>
      </c>
      <c r="G36" s="1151">
        <v>1901282.986727407</v>
      </c>
      <c r="H36" s="1151">
        <v>3500000</v>
      </c>
      <c r="I36" s="1151">
        <v>3500000</v>
      </c>
      <c r="J36" s="1148">
        <v>875000.00000000012</v>
      </c>
      <c r="K36" s="1150">
        <v>313475</v>
      </c>
      <c r="L36" s="1151">
        <v>73462600</v>
      </c>
      <c r="M36" s="1150">
        <v>22462973.75</v>
      </c>
      <c r="N36" s="1147">
        <f t="shared" si="3"/>
        <v>124816600</v>
      </c>
      <c r="O36" s="1171">
        <f t="shared" si="4"/>
        <v>36816591.736727409</v>
      </c>
    </row>
    <row r="37" spans="1:16" x14ac:dyDescent="0.25">
      <c r="A37" s="1160" t="s">
        <v>2699</v>
      </c>
      <c r="B37" s="1148">
        <v>36314000</v>
      </c>
      <c r="C37" s="1150">
        <v>10759089</v>
      </c>
      <c r="D37" s="1148">
        <f t="shared" si="1"/>
        <v>27910000</v>
      </c>
      <c r="E37" s="1150">
        <f t="shared" si="2"/>
        <v>5643000</v>
      </c>
      <c r="F37" s="1151">
        <v>1260000.0000000002</v>
      </c>
      <c r="G37" s="1151">
        <v>510000</v>
      </c>
      <c r="H37" s="1151">
        <v>26650000</v>
      </c>
      <c r="I37" s="1151">
        <v>5133000</v>
      </c>
      <c r="J37" s="1148">
        <v>13250000</v>
      </c>
      <c r="K37" s="1150">
        <v>6170763.5041215839</v>
      </c>
      <c r="L37" s="1151">
        <v>74307500</v>
      </c>
      <c r="M37" s="1150">
        <v>21988500</v>
      </c>
      <c r="N37" s="1147">
        <f t="shared" si="3"/>
        <v>151781500</v>
      </c>
      <c r="O37" s="1171">
        <f t="shared" si="4"/>
        <v>44561352.504121587</v>
      </c>
    </row>
    <row r="38" spans="1:16" x14ac:dyDescent="0.25">
      <c r="A38" s="1160" t="s">
        <v>2700</v>
      </c>
      <c r="B38" s="1148">
        <v>53109000</v>
      </c>
      <c r="C38" s="1150">
        <v>12189810</v>
      </c>
      <c r="D38" s="1148">
        <f t="shared" si="1"/>
        <v>35875000</v>
      </c>
      <c r="E38" s="1150">
        <f t="shared" si="2"/>
        <v>13509680</v>
      </c>
      <c r="F38" s="1151">
        <v>32925000</v>
      </c>
      <c r="G38" s="1151">
        <v>12052680</v>
      </c>
      <c r="H38" s="1151">
        <v>2950000.0000000005</v>
      </c>
      <c r="I38" s="1151">
        <v>1457000</v>
      </c>
      <c r="J38" s="1148">
        <v>3695000</v>
      </c>
      <c r="K38" s="1150">
        <v>1189487</v>
      </c>
      <c r="L38" s="1151">
        <v>83508000</v>
      </c>
      <c r="M38" s="1150">
        <v>25756000</v>
      </c>
      <c r="N38" s="1147">
        <f t="shared" si="3"/>
        <v>176187000</v>
      </c>
      <c r="O38" s="1171">
        <f t="shared" si="4"/>
        <v>52644977</v>
      </c>
    </row>
    <row r="39" spans="1:16" s="1155" customFormat="1" ht="17.25" thickBot="1" x14ac:dyDescent="0.3">
      <c r="A39" s="1156" t="s">
        <v>2701</v>
      </c>
      <c r="B39" s="1153">
        <v>50991600</v>
      </c>
      <c r="C39" s="1154">
        <v>18320009</v>
      </c>
      <c r="D39" s="1153">
        <f t="shared" si="1"/>
        <v>28336000</v>
      </c>
      <c r="E39" s="1154">
        <f t="shared" si="2"/>
        <v>15212782</v>
      </c>
      <c r="F39" s="1153">
        <v>27736000</v>
      </c>
      <c r="G39" s="1153">
        <v>15092782</v>
      </c>
      <c r="H39" s="1153">
        <v>600000</v>
      </c>
      <c r="I39" s="1153">
        <v>120000</v>
      </c>
      <c r="J39" s="1153">
        <v>17000000</v>
      </c>
      <c r="K39" s="1154">
        <v>4717081</v>
      </c>
      <c r="L39" s="1153">
        <v>84641000</v>
      </c>
      <c r="M39" s="1154">
        <v>20383170.615951825</v>
      </c>
      <c r="N39" s="1173">
        <f t="shared" si="3"/>
        <v>180968600</v>
      </c>
      <c r="O39" s="1157">
        <f t="shared" si="4"/>
        <v>58633042.615951821</v>
      </c>
      <c r="P39" s="1152"/>
    </row>
    <row r="40" spans="1:16" ht="17.25" thickTop="1" x14ac:dyDescent="0.25">
      <c r="A40" s="1160" t="s">
        <v>2702</v>
      </c>
      <c r="B40" s="1148">
        <v>35588500</v>
      </c>
      <c r="C40" s="1150">
        <v>8725571</v>
      </c>
      <c r="D40" s="1148">
        <f t="shared" si="1"/>
        <v>16575888</v>
      </c>
      <c r="E40" s="1150">
        <f t="shared" si="2"/>
        <v>1944170</v>
      </c>
      <c r="F40" s="1151">
        <v>6550000</v>
      </c>
      <c r="G40" s="1151">
        <v>1094170</v>
      </c>
      <c r="H40" s="1151">
        <v>10025888</v>
      </c>
      <c r="I40" s="1151">
        <v>850000</v>
      </c>
      <c r="J40" s="1148">
        <v>2400000</v>
      </c>
      <c r="K40" s="1150">
        <v>83499</v>
      </c>
      <c r="L40" s="1151">
        <v>104168500</v>
      </c>
      <c r="M40" s="1150">
        <v>30505965.332278479</v>
      </c>
      <c r="N40" s="1147">
        <f t="shared" si="3"/>
        <v>158732888</v>
      </c>
      <c r="O40" s="1171">
        <f t="shared" si="4"/>
        <v>41259205.332278475</v>
      </c>
    </row>
    <row r="41" spans="1:16" x14ac:dyDescent="0.25">
      <c r="A41" s="1160" t="s">
        <v>2703</v>
      </c>
      <c r="B41" s="1148">
        <v>41107000</v>
      </c>
      <c r="C41" s="1150">
        <v>8948934</v>
      </c>
      <c r="D41" s="1148">
        <f t="shared" si="1"/>
        <v>34873000</v>
      </c>
      <c r="E41" s="1150">
        <f t="shared" si="2"/>
        <v>5942985</v>
      </c>
      <c r="F41" s="1151">
        <v>32473000</v>
      </c>
      <c r="G41" s="1151">
        <v>5658985</v>
      </c>
      <c r="H41" s="1151">
        <v>2400000</v>
      </c>
      <c r="I41" s="1151">
        <v>284000</v>
      </c>
      <c r="J41" s="1148">
        <v>505000.00000000006</v>
      </c>
      <c r="K41" s="1150">
        <v>213007</v>
      </c>
      <c r="L41" s="1151">
        <v>110064000</v>
      </c>
      <c r="M41" s="1150">
        <v>32020830.763180532</v>
      </c>
      <c r="N41" s="1147">
        <f t="shared" si="3"/>
        <v>186549000</v>
      </c>
      <c r="O41" s="1171">
        <f t="shared" si="4"/>
        <v>47125756.763180532</v>
      </c>
    </row>
    <row r="42" spans="1:16" x14ac:dyDescent="0.25">
      <c r="A42" s="1160" t="s">
        <v>2706</v>
      </c>
      <c r="B42" s="1148">
        <v>48403000</v>
      </c>
      <c r="C42" s="1150">
        <v>9832380</v>
      </c>
      <c r="D42" s="1148">
        <f t="shared" si="1"/>
        <v>32506000.000000004</v>
      </c>
      <c r="E42" s="1150">
        <f t="shared" si="2"/>
        <v>3785610</v>
      </c>
      <c r="F42" s="1151">
        <v>10006000</v>
      </c>
      <c r="G42" s="1151">
        <v>3785610</v>
      </c>
      <c r="H42" s="1151">
        <v>22500000.000000004</v>
      </c>
      <c r="I42" s="1151">
        <v>0</v>
      </c>
      <c r="J42" s="1148">
        <v>7975000</v>
      </c>
      <c r="K42" s="1150">
        <v>2929567</v>
      </c>
      <c r="L42" s="1151">
        <v>82177000.000000015</v>
      </c>
      <c r="M42" s="1150">
        <v>25824993.433790095</v>
      </c>
      <c r="N42" s="1147">
        <f t="shared" si="3"/>
        <v>171061000</v>
      </c>
      <c r="O42" s="1171">
        <f t="shared" si="4"/>
        <v>42372550.433790095</v>
      </c>
    </row>
    <row r="43" spans="1:16" x14ac:dyDescent="0.25">
      <c r="A43" s="1160" t="s">
        <v>2707</v>
      </c>
      <c r="B43" s="1148">
        <v>63569900</v>
      </c>
      <c r="C43" s="1150">
        <v>21572218</v>
      </c>
      <c r="D43" s="1148">
        <f t="shared" si="1"/>
        <v>84086363</v>
      </c>
      <c r="E43" s="1150">
        <f t="shared" si="2"/>
        <v>37101331.852204509</v>
      </c>
      <c r="F43" s="1151">
        <v>81036363</v>
      </c>
      <c r="G43" s="1151">
        <v>34051331.852204509</v>
      </c>
      <c r="H43" s="1151">
        <v>3050000</v>
      </c>
      <c r="I43" s="1151">
        <v>3050000</v>
      </c>
      <c r="J43" s="1148">
        <v>300000</v>
      </c>
      <c r="K43" s="1150">
        <v>75000</v>
      </c>
      <c r="L43" s="1151">
        <v>75166800</v>
      </c>
      <c r="M43" s="1150">
        <v>20738845.221949115</v>
      </c>
      <c r="N43" s="1147">
        <f t="shared" si="3"/>
        <v>223123063</v>
      </c>
      <c r="O43" s="1171">
        <f t="shared" si="4"/>
        <v>79487395.074153632</v>
      </c>
    </row>
    <row r="44" spans="1:16" x14ac:dyDescent="0.25">
      <c r="A44" s="1160" t="s">
        <v>2708</v>
      </c>
      <c r="B44" s="1148">
        <v>27370500</v>
      </c>
      <c r="C44" s="1150">
        <v>7366500</v>
      </c>
      <c r="D44" s="1148">
        <f t="shared" si="1"/>
        <v>43980000</v>
      </c>
      <c r="E44" s="1150">
        <f t="shared" si="2"/>
        <v>9706100</v>
      </c>
      <c r="F44" s="1151">
        <v>20480000</v>
      </c>
      <c r="G44" s="1151">
        <v>8706100</v>
      </c>
      <c r="H44" s="1151">
        <v>23500000.000000004</v>
      </c>
      <c r="I44" s="1151">
        <v>1000000</v>
      </c>
      <c r="J44" s="1148">
        <v>1100000</v>
      </c>
      <c r="K44" s="1150">
        <v>435390</v>
      </c>
      <c r="L44" s="1151">
        <v>66120500</v>
      </c>
      <c r="M44" s="1150">
        <v>18147338.831510376</v>
      </c>
      <c r="N44" s="1147">
        <f t="shared" si="3"/>
        <v>138571000</v>
      </c>
      <c r="O44" s="1171">
        <f t="shared" si="4"/>
        <v>35655328.83151038</v>
      </c>
    </row>
    <row r="45" spans="1:16" x14ac:dyDescent="0.25">
      <c r="A45" s="1160" t="s">
        <v>2709</v>
      </c>
      <c r="B45" s="1148">
        <v>27247600</v>
      </c>
      <c r="C45" s="1150">
        <v>7047960</v>
      </c>
      <c r="D45" s="1148">
        <f t="shared" si="1"/>
        <v>35680000</v>
      </c>
      <c r="E45" s="1150">
        <f t="shared" si="2"/>
        <v>15865797</v>
      </c>
      <c r="F45" s="1151">
        <v>32580000</v>
      </c>
      <c r="G45" s="1151">
        <v>12765797</v>
      </c>
      <c r="H45" s="1151">
        <v>3100000</v>
      </c>
      <c r="I45" s="1151">
        <v>3100000</v>
      </c>
      <c r="J45" s="1148">
        <v>2500000</v>
      </c>
      <c r="K45" s="1150">
        <v>773371</v>
      </c>
      <c r="L45" s="1151">
        <v>159889400</v>
      </c>
      <c r="M45" s="1150">
        <v>32806328.603508655</v>
      </c>
      <c r="N45" s="1147">
        <f t="shared" si="3"/>
        <v>225317000</v>
      </c>
      <c r="O45" s="1171">
        <f t="shared" si="4"/>
        <v>56493456.603508651</v>
      </c>
    </row>
    <row r="46" spans="1:16" x14ac:dyDescent="0.25">
      <c r="A46" s="1160" t="s">
        <v>2710</v>
      </c>
      <c r="B46" s="1148">
        <v>32059500</v>
      </c>
      <c r="C46" s="1150">
        <v>6871502</v>
      </c>
      <c r="D46" s="1148">
        <f t="shared" si="1"/>
        <v>22490000</v>
      </c>
      <c r="E46" s="1150">
        <f t="shared" si="2"/>
        <v>10398738</v>
      </c>
      <c r="F46" s="1151">
        <v>22490000</v>
      </c>
      <c r="G46" s="1151">
        <v>10398738</v>
      </c>
      <c r="J46" s="1148">
        <v>1390000</v>
      </c>
      <c r="K46" s="1150">
        <v>534110</v>
      </c>
      <c r="L46" s="1151">
        <v>68682000</v>
      </c>
      <c r="M46" s="1150">
        <v>15985089.086887056</v>
      </c>
      <c r="N46" s="1147">
        <f t="shared" si="3"/>
        <v>124621500</v>
      </c>
      <c r="O46" s="1171">
        <f t="shared" si="4"/>
        <v>33789439.086887054</v>
      </c>
    </row>
    <row r="47" spans="1:16" x14ac:dyDescent="0.25">
      <c r="A47" s="1160" t="s">
        <v>2711</v>
      </c>
      <c r="B47" s="1148">
        <v>34357400</v>
      </c>
      <c r="C47" s="1150">
        <v>8937188</v>
      </c>
      <c r="D47" s="1148">
        <f t="shared" si="1"/>
        <v>9600000</v>
      </c>
      <c r="E47" s="1150">
        <f t="shared" si="2"/>
        <v>5480000</v>
      </c>
      <c r="F47" s="1151">
        <v>2600000.0000000005</v>
      </c>
      <c r="G47" s="1151">
        <v>980000</v>
      </c>
      <c r="H47" s="1151">
        <v>7000000</v>
      </c>
      <c r="I47" s="1151">
        <v>4500000</v>
      </c>
      <c r="J47" s="1148">
        <v>600000</v>
      </c>
      <c r="K47" s="1150">
        <v>130460</v>
      </c>
      <c r="L47" s="1151">
        <v>74868000</v>
      </c>
      <c r="M47" s="1150">
        <v>19387945.194789227</v>
      </c>
      <c r="N47" s="1147">
        <f t="shared" si="3"/>
        <v>119425400</v>
      </c>
      <c r="O47" s="1171">
        <f t="shared" si="4"/>
        <v>33935593.194789231</v>
      </c>
    </row>
    <row r="48" spans="1:16" x14ac:dyDescent="0.25">
      <c r="A48" s="1160" t="s">
        <v>2712</v>
      </c>
      <c r="B48" s="1148">
        <v>71842500</v>
      </c>
      <c r="C48" s="1150">
        <v>17501416</v>
      </c>
      <c r="D48" s="1148">
        <f t="shared" si="1"/>
        <v>28184000.000000004</v>
      </c>
      <c r="E48" s="1150">
        <f t="shared" si="2"/>
        <v>11902397</v>
      </c>
      <c r="F48" s="1151">
        <v>24534000.000000004</v>
      </c>
      <c r="G48" s="1151">
        <v>10402397</v>
      </c>
      <c r="H48" s="1151">
        <v>3650000.0000000005</v>
      </c>
      <c r="I48" s="1151">
        <v>1500000</v>
      </c>
      <c r="J48" s="1148">
        <v>600000</v>
      </c>
      <c r="K48" s="1150">
        <v>130460</v>
      </c>
      <c r="L48" s="1151">
        <v>120036700</v>
      </c>
      <c r="M48" s="1150">
        <v>18119555.781246159</v>
      </c>
      <c r="N48" s="1147">
        <f t="shared" si="3"/>
        <v>220663200</v>
      </c>
      <c r="O48" s="1171">
        <f t="shared" si="4"/>
        <v>47653828.781246156</v>
      </c>
    </row>
    <row r="49" spans="1:16" x14ac:dyDescent="0.25">
      <c r="A49" s="1160" t="s">
        <v>2713</v>
      </c>
      <c r="B49" s="1148">
        <v>49867500</v>
      </c>
      <c r="C49" s="1150">
        <v>12673214</v>
      </c>
      <c r="D49" s="1148">
        <f t="shared" si="1"/>
        <v>18493500</v>
      </c>
      <c r="E49" s="1150">
        <f t="shared" si="2"/>
        <v>10817533</v>
      </c>
      <c r="F49" s="1151">
        <v>15993500</v>
      </c>
      <c r="G49" s="1151">
        <v>8317533</v>
      </c>
      <c r="H49" s="1151">
        <v>2500000</v>
      </c>
      <c r="I49" s="1151">
        <v>2500000</v>
      </c>
      <c r="J49" s="1148">
        <v>4000000</v>
      </c>
      <c r="K49" s="1150">
        <v>1018957</v>
      </c>
      <c r="L49" s="1151">
        <v>77743500</v>
      </c>
      <c r="M49" s="1150">
        <v>23190951.029249106</v>
      </c>
      <c r="N49" s="1147">
        <f t="shared" si="3"/>
        <v>150104500</v>
      </c>
      <c r="O49" s="1171">
        <f t="shared" si="4"/>
        <v>47700655.029249102</v>
      </c>
    </row>
    <row r="50" spans="1:16" x14ac:dyDescent="0.25">
      <c r="A50" s="1160" t="s">
        <v>2714</v>
      </c>
      <c r="B50" s="1148">
        <v>47337000</v>
      </c>
      <c r="C50" s="1150">
        <v>10290660</v>
      </c>
      <c r="D50" s="1148">
        <f t="shared" si="1"/>
        <v>74614000</v>
      </c>
      <c r="E50" s="1150">
        <f t="shared" si="2"/>
        <v>16731500</v>
      </c>
      <c r="F50" s="1151">
        <v>33914000</v>
      </c>
      <c r="G50" s="1151">
        <v>12231500</v>
      </c>
      <c r="H50" s="1151">
        <v>40700000</v>
      </c>
      <c r="I50" s="1151">
        <v>4500000</v>
      </c>
      <c r="J50" s="1148">
        <v>3080000</v>
      </c>
      <c r="K50" s="1150">
        <v>1674330</v>
      </c>
      <c r="L50" s="1151">
        <v>99580400</v>
      </c>
      <c r="M50" s="1150">
        <v>25648532.911392406</v>
      </c>
      <c r="N50" s="1147">
        <f t="shared" si="3"/>
        <v>224611400</v>
      </c>
      <c r="O50" s="1171">
        <f t="shared" si="4"/>
        <v>54345022.911392406</v>
      </c>
    </row>
    <row r="51" spans="1:16" s="1155" customFormat="1" ht="17.25" thickBot="1" x14ac:dyDescent="0.3">
      <c r="A51" s="1156" t="s">
        <v>2715</v>
      </c>
      <c r="B51" s="1153">
        <v>59295000</v>
      </c>
      <c r="C51" s="1154">
        <f ca="1">Consumables!E1161</f>
        <v>16019151.536</v>
      </c>
      <c r="D51" s="1153">
        <f t="shared" si="1"/>
        <v>20500000</v>
      </c>
      <c r="E51" s="1154">
        <f t="shared" ca="1" si="2"/>
        <v>8849000</v>
      </c>
      <c r="F51" s="1153">
        <v>13400000</v>
      </c>
      <c r="G51" s="1153">
        <f ca="1">GOSS!E368</f>
        <v>5449000</v>
      </c>
      <c r="H51" s="1153">
        <v>7100000.0000000009</v>
      </c>
      <c r="I51" s="1153">
        <f ca="1">서비스!E184</f>
        <v>3400000</v>
      </c>
      <c r="J51" s="1153">
        <f ca="1">Technotrans!D338</f>
        <v>4400000</v>
      </c>
      <c r="K51" s="1154">
        <f ca="1">Technotrans!E338</f>
        <v>1300000</v>
      </c>
      <c r="L51" s="1153">
        <f ca="1">Others!D215</f>
        <v>122436436</v>
      </c>
      <c r="M51" s="1154">
        <f ca="1">Others!E215</f>
        <v>32067613.009340055</v>
      </c>
      <c r="N51" s="1173">
        <f t="shared" ca="1" si="3"/>
        <v>206631436</v>
      </c>
      <c r="O51" s="1157">
        <f t="shared" ca="1" si="4"/>
        <v>58235764.545340054</v>
      </c>
      <c r="P51" s="1152"/>
    </row>
    <row r="52" spans="1:16" ht="17.25" thickTop="1" x14ac:dyDescent="0.25">
      <c r="A52" s="1160" t="s">
        <v>2704</v>
      </c>
      <c r="B52" s="1148">
        <v>43196500</v>
      </c>
      <c r="C52" s="1150">
        <v>12274365</v>
      </c>
      <c r="D52" s="1148">
        <f ca="1">SUM('2021'!B14:B15)</f>
        <v>13810000</v>
      </c>
      <c r="E52" s="1148">
        <f ca="1">SUM('2021'!$B$35:$B$36)</f>
        <v>4837125</v>
      </c>
      <c r="J52" s="1148">
        <v>2900000</v>
      </c>
      <c r="K52" s="1150">
        <v>560000</v>
      </c>
      <c r="L52" s="1151">
        <v>92007400</v>
      </c>
      <c r="M52" s="1150">
        <v>21232191.077792801</v>
      </c>
      <c r="N52" s="1147">
        <f t="shared" ref="N52:O57" ca="1" si="9">SUM(B52,D52,J52,L52)</f>
        <v>151913900</v>
      </c>
      <c r="O52" s="1171">
        <f t="shared" ca="1" si="9"/>
        <v>38903681.077792801</v>
      </c>
    </row>
    <row r="53" spans="1:16" x14ac:dyDescent="0.25">
      <c r="A53" s="1160" t="s">
        <v>2705</v>
      </c>
      <c r="B53" s="1148">
        <v>42523000</v>
      </c>
      <c r="C53" s="1150">
        <v>15123655.767999999</v>
      </c>
      <c r="D53" s="1148">
        <f ca="1">SUM('2021'!C14:C15)</f>
        <v>39732727.272727273</v>
      </c>
      <c r="E53" s="1148">
        <f ca="1">SUM('2021'!$C$35:$C$36)</f>
        <v>13064327.272727273</v>
      </c>
      <c r="J53" s="1148">
        <v>3200000</v>
      </c>
      <c r="K53" s="1150">
        <v>910390</v>
      </c>
      <c r="L53" s="1151">
        <v>79157400</v>
      </c>
      <c r="M53" s="1150">
        <v>19237073.989185207</v>
      </c>
      <c r="N53" s="1147">
        <f t="shared" ca="1" si="9"/>
        <v>164613127.27272728</v>
      </c>
      <c r="O53" s="1171">
        <f t="shared" ca="1" si="9"/>
        <v>48335447.029912479</v>
      </c>
    </row>
    <row r="54" spans="1:16" x14ac:dyDescent="0.25">
      <c r="A54" s="1160" t="s">
        <v>2716</v>
      </c>
      <c r="B54" s="1148">
        <v>41191000</v>
      </c>
      <c r="C54" s="1150">
        <v>9910860</v>
      </c>
      <c r="D54" s="1148">
        <f ca="1">SUM('2021'!D14:D15)</f>
        <v>36010000</v>
      </c>
      <c r="E54" s="1148">
        <f ca="1">SUM('2021'!$D$35:$D$36)</f>
        <v>9004000</v>
      </c>
      <c r="J54" s="1148">
        <v>18205000</v>
      </c>
      <c r="K54" s="1150">
        <v>6821000</v>
      </c>
      <c r="L54" s="1151">
        <f ca="1">SUM('2021'!D17:D19)</f>
        <v>105670056</v>
      </c>
      <c r="M54" s="1150">
        <v>28211465.757650241</v>
      </c>
      <c r="N54" s="1147">
        <f t="shared" ca="1" si="9"/>
        <v>201076056</v>
      </c>
      <c r="O54" s="1171">
        <f t="shared" ca="1" si="9"/>
        <v>53947325.757650241</v>
      </c>
    </row>
    <row r="55" spans="1:16" x14ac:dyDescent="0.25">
      <c r="A55" s="1160" t="s">
        <v>2717</v>
      </c>
      <c r="B55" s="1148">
        <v>43774000</v>
      </c>
      <c r="C55" s="1150">
        <v>10988280</v>
      </c>
      <c r="D55" s="1148">
        <f ca="1">SUM('2021'!E14:E15)</f>
        <v>39760000</v>
      </c>
      <c r="E55" s="1148">
        <f ca="1">SUM('2021'!$E$35:$E$36)</f>
        <v>8199595</v>
      </c>
      <c r="J55" s="1148">
        <v>1640000.0000000002</v>
      </c>
      <c r="K55" s="1150">
        <v>670920</v>
      </c>
      <c r="L55" s="1151">
        <f ca="1">SUM('2021'!E17:E19)</f>
        <v>88167000</v>
      </c>
      <c r="M55" s="1150">
        <f ca="1">SUM('2021'!E38:E40)</f>
        <v>20325935.616074722</v>
      </c>
      <c r="N55" s="1147">
        <f t="shared" ca="1" si="9"/>
        <v>173341000</v>
      </c>
      <c r="O55" s="1171">
        <f t="shared" ca="1" si="9"/>
        <v>40184730.616074726</v>
      </c>
    </row>
    <row r="56" spans="1:16" x14ac:dyDescent="0.25">
      <c r="A56" s="1160" t="s">
        <v>2718</v>
      </c>
      <c r="B56" s="1148">
        <v>62122000</v>
      </c>
      <c r="C56" s="1150">
        <v>13716920</v>
      </c>
      <c r="D56" s="1148">
        <f ca="1">SUM('2021'!F14:F15)</f>
        <v>36280000</v>
      </c>
      <c r="E56" s="1148">
        <f ca="1">SUM('2021'!$F$35:$F$36)</f>
        <v>12035613</v>
      </c>
      <c r="J56" s="1148">
        <v>40700000</v>
      </c>
      <c r="K56" s="1150">
        <v>10370000</v>
      </c>
      <c r="L56" s="1151">
        <v>81850500</v>
      </c>
      <c r="M56" s="1150">
        <v>21903100.150546886</v>
      </c>
      <c r="N56" s="1147">
        <f t="shared" ca="1" si="9"/>
        <v>220952500</v>
      </c>
      <c r="O56" s="1171">
        <f t="shared" ca="1" si="9"/>
        <v>58025633.150546886</v>
      </c>
    </row>
    <row r="57" spans="1:16" x14ac:dyDescent="0.25">
      <c r="A57" s="1160" t="s">
        <v>2719</v>
      </c>
      <c r="B57" s="1148">
        <v>55178500</v>
      </c>
      <c r="C57" s="1150">
        <f ca="1">Consumables!E1234</f>
        <v>12405610</v>
      </c>
      <c r="D57" s="1148">
        <f ca="1">SUM('2021'!G14:G15)</f>
        <v>31840000</v>
      </c>
      <c r="E57" s="1148">
        <f ca="1">SUM('2021'!$G$35:$G$36)</f>
        <v>7282589</v>
      </c>
      <c r="J57" s="1148">
        <v>850000.00000000012</v>
      </c>
      <c r="K57" s="1150">
        <v>368600</v>
      </c>
      <c r="L57" s="1151">
        <v>85049773</v>
      </c>
      <c r="M57" s="1150">
        <v>18802066.147474501</v>
      </c>
      <c r="N57" s="1147">
        <f t="shared" ca="1" si="9"/>
        <v>172918273</v>
      </c>
      <c r="O57" s="1171">
        <f t="shared" ca="1" si="9"/>
        <v>38858865.147474498</v>
      </c>
    </row>
    <row r="58" spans="1:16" x14ac:dyDescent="0.25">
      <c r="A58" s="1160" t="s">
        <v>2720</v>
      </c>
      <c r="B58" s="1148">
        <f ca="1">Consumables!D1246</f>
        <v>70227500</v>
      </c>
      <c r="C58" s="1150">
        <f ca="1">Consumables!E1246</f>
        <v>20190160</v>
      </c>
      <c r="D58" s="1148">
        <f ca="1">SUM('2021'!H14:H15)</f>
        <v>15160000</v>
      </c>
      <c r="E58" s="1148">
        <f ca="1">SUM('2021'!$H$35:$H$36)</f>
        <v>6627145</v>
      </c>
      <c r="F58" s="1148">
        <v>13990000</v>
      </c>
      <c r="G58" s="1150">
        <v>6457145</v>
      </c>
      <c r="H58" s="1148">
        <v>1170000</v>
      </c>
      <c r="I58" s="1150">
        <v>170000</v>
      </c>
      <c r="J58" s="1148">
        <f ca="1">Technotrans!D362</f>
        <v>1430000.0000000002</v>
      </c>
      <c r="K58" s="1150">
        <f ca="1">Technotrans!E362</f>
        <v>590000</v>
      </c>
      <c r="L58" s="1151">
        <v>78252000</v>
      </c>
      <c r="M58" s="1150">
        <v>18332222.399778791</v>
      </c>
      <c r="N58" s="1147">
        <f t="shared" ref="N58:O60" ca="1" si="10">SUM(B58,D58,J58,L58)</f>
        <v>165069500</v>
      </c>
      <c r="O58" s="1171">
        <f t="shared" ca="1" si="10"/>
        <v>45739527.399778791</v>
      </c>
    </row>
    <row r="59" spans="1:16" x14ac:dyDescent="0.25">
      <c r="A59" s="1160" t="s">
        <v>2721</v>
      </c>
      <c r="B59" s="1148">
        <v>47261500</v>
      </c>
      <c r="C59" s="1150">
        <v>16509600</v>
      </c>
      <c r="D59" s="1148">
        <f ca="1">SUM('2021'!I14:I15)</f>
        <v>92087727</v>
      </c>
      <c r="E59" s="1148">
        <f ca="1">SUM('2021'!$I$35:$I$36)</f>
        <v>2160583</v>
      </c>
      <c r="F59" s="1148">
        <v>9072727</v>
      </c>
      <c r="G59" s="1150">
        <v>1770583</v>
      </c>
      <c r="H59" s="1148">
        <v>3015000.0000000005</v>
      </c>
      <c r="I59" s="1150">
        <v>390000</v>
      </c>
      <c r="L59" s="1151">
        <v>72982273</v>
      </c>
      <c r="M59" s="1150">
        <v>21004400</v>
      </c>
      <c r="N59" s="1147">
        <f t="shared" ca="1" si="10"/>
        <v>212331500</v>
      </c>
      <c r="O59" s="1171">
        <f t="shared" ca="1" si="10"/>
        <v>39674583</v>
      </c>
    </row>
    <row r="60" spans="1:16" x14ac:dyDescent="0.25">
      <c r="A60" s="1160" t="s">
        <v>2722</v>
      </c>
      <c r="B60" s="1148">
        <v>33371600</v>
      </c>
      <c r="C60" s="1150">
        <v>9018670</v>
      </c>
      <c r="D60" s="1148">
        <f ca="1">SUM('2021'!J14:J15)</f>
        <v>41527000</v>
      </c>
      <c r="E60" s="1148">
        <f ca="1">SUM('2021'!$J$35:$J$36)</f>
        <v>691500</v>
      </c>
      <c r="F60" s="1148">
        <v>11400000</v>
      </c>
      <c r="G60" s="1150">
        <v>411500</v>
      </c>
      <c r="H60" s="1148">
        <v>30127000.000000004</v>
      </c>
      <c r="I60" s="1150">
        <v>1120000</v>
      </c>
      <c r="L60" s="1151">
        <v>63304061</v>
      </c>
      <c r="M60" s="1150">
        <v>15855803</v>
      </c>
      <c r="N60" s="1147">
        <f t="shared" ca="1" si="10"/>
        <v>138202661</v>
      </c>
      <c r="O60" s="1171">
        <f t="shared" ca="1" si="10"/>
        <v>25565973</v>
      </c>
    </row>
    <row r="61" spans="1:16" x14ac:dyDescent="0.25">
      <c r="A61" s="1160" t="s">
        <v>2723</v>
      </c>
      <c r="L61" s="1151"/>
    </row>
    <row r="62" spans="1:16" x14ac:dyDescent="0.25">
      <c r="A62" s="1160" t="s">
        <v>2724</v>
      </c>
      <c r="L62" s="1151"/>
    </row>
    <row r="63" spans="1:16" s="1155" customFormat="1" ht="17.25" thickBot="1" x14ac:dyDescent="0.3">
      <c r="A63" s="1156" t="s">
        <v>2725</v>
      </c>
      <c r="B63" s="1153"/>
      <c r="C63" s="1154"/>
      <c r="D63" s="1153"/>
      <c r="E63" s="1154"/>
      <c r="F63" s="1153"/>
      <c r="G63" s="1153"/>
      <c r="H63" s="1153"/>
      <c r="I63" s="1153"/>
      <c r="J63" s="1153"/>
      <c r="K63" s="1154"/>
      <c r="L63" s="1153"/>
      <c r="M63" s="1154"/>
      <c r="O63" s="1152"/>
      <c r="P63" s="1152"/>
    </row>
    <row r="64" spans="1:16" ht="17.25" thickTop="1" x14ac:dyDescent="0.25">
      <c r="A64" s="1160" t="s">
        <v>3872</v>
      </c>
    </row>
    <row r="65" spans="1:16" x14ac:dyDescent="0.25">
      <c r="A65" s="1160" t="s">
        <v>3873</v>
      </c>
    </row>
    <row r="66" spans="1:16" x14ac:dyDescent="0.25">
      <c r="A66" s="1160" t="s">
        <v>3874</v>
      </c>
    </row>
    <row r="67" spans="1:16" x14ac:dyDescent="0.25">
      <c r="A67" s="1160" t="s">
        <v>3875</v>
      </c>
    </row>
    <row r="68" spans="1:16" x14ac:dyDescent="0.25">
      <c r="A68" s="1160" t="s">
        <v>3876</v>
      </c>
    </row>
    <row r="69" spans="1:16" x14ac:dyDescent="0.25">
      <c r="A69" s="1160" t="s">
        <v>3877</v>
      </c>
    </row>
    <row r="70" spans="1:16" x14ac:dyDescent="0.25">
      <c r="A70" s="1160" t="s">
        <v>3878</v>
      </c>
    </row>
    <row r="71" spans="1:16" x14ac:dyDescent="0.25">
      <c r="A71" s="1160" t="s">
        <v>3879</v>
      </c>
    </row>
    <row r="72" spans="1:16" x14ac:dyDescent="0.25">
      <c r="A72" s="1160" t="s">
        <v>3880</v>
      </c>
    </row>
    <row r="73" spans="1:16" x14ac:dyDescent="0.25">
      <c r="A73" s="1160" t="s">
        <v>3881</v>
      </c>
    </row>
    <row r="74" spans="1:16" x14ac:dyDescent="0.25">
      <c r="A74" s="1160" t="s">
        <v>3882</v>
      </c>
    </row>
    <row r="75" spans="1:16" s="1155" customFormat="1" ht="17.25" thickBot="1" x14ac:dyDescent="0.3">
      <c r="A75" s="1156" t="s">
        <v>3895</v>
      </c>
      <c r="B75" s="1153"/>
      <c r="C75" s="1154"/>
      <c r="D75" s="1153"/>
      <c r="E75" s="1154"/>
      <c r="F75" s="1153"/>
      <c r="G75" s="1153"/>
      <c r="H75" s="1153"/>
      <c r="I75" s="1153"/>
      <c r="J75" s="1153"/>
      <c r="K75" s="1154"/>
      <c r="L75" s="1153"/>
      <c r="M75" s="1154"/>
      <c r="O75" s="1152"/>
      <c r="P75" s="1152"/>
    </row>
    <row r="76" spans="1:16" ht="17.25" thickTop="1" x14ac:dyDescent="0.25">
      <c r="A76" s="1160" t="s">
        <v>3883</v>
      </c>
    </row>
    <row r="77" spans="1:16" x14ac:dyDescent="0.25">
      <c r="A77" s="1160" t="s">
        <v>3884</v>
      </c>
    </row>
    <row r="78" spans="1:16" x14ac:dyDescent="0.25">
      <c r="A78" s="1160" t="s">
        <v>3885</v>
      </c>
    </row>
    <row r="79" spans="1:16" x14ac:dyDescent="0.25">
      <c r="A79" s="1160" t="s">
        <v>3886</v>
      </c>
    </row>
    <row r="80" spans="1:16" x14ac:dyDescent="0.25">
      <c r="A80" s="1160" t="s">
        <v>3887</v>
      </c>
    </row>
    <row r="81" spans="1:16" x14ac:dyDescent="0.25">
      <c r="A81" s="1160" t="s">
        <v>3888</v>
      </c>
    </row>
    <row r="82" spans="1:16" x14ac:dyDescent="0.25">
      <c r="A82" s="1160" t="s">
        <v>3889</v>
      </c>
    </row>
    <row r="83" spans="1:16" x14ac:dyDescent="0.25">
      <c r="A83" s="1160" t="s">
        <v>3890</v>
      </c>
    </row>
    <row r="84" spans="1:16" x14ac:dyDescent="0.25">
      <c r="A84" s="1160" t="s">
        <v>3891</v>
      </c>
    </row>
    <row r="85" spans="1:16" x14ac:dyDescent="0.25">
      <c r="A85" s="1160" t="s">
        <v>3892</v>
      </c>
    </row>
    <row r="86" spans="1:16" x14ac:dyDescent="0.25">
      <c r="A86" s="1160" t="s">
        <v>3893</v>
      </c>
    </row>
    <row r="87" spans="1:16" s="1155" customFormat="1" ht="17.25" thickBot="1" x14ac:dyDescent="0.3">
      <c r="A87" s="1156" t="s">
        <v>3894</v>
      </c>
      <c r="B87" s="1153"/>
      <c r="C87" s="1154"/>
      <c r="D87" s="1153"/>
      <c r="E87" s="1154"/>
      <c r="F87" s="1153"/>
      <c r="G87" s="1153"/>
      <c r="H87" s="1153"/>
      <c r="I87" s="1153"/>
      <c r="J87" s="1153"/>
      <c r="K87" s="1154"/>
      <c r="L87" s="1153"/>
      <c r="M87" s="1154"/>
      <c r="O87" s="1152"/>
      <c r="P87" s="1152"/>
    </row>
  </sheetData>
  <mergeCells count="14">
    <mergeCell ref="Q1:Z1"/>
    <mergeCell ref="N2:O2"/>
    <mergeCell ref="B1:O1"/>
    <mergeCell ref="F3:G3"/>
    <mergeCell ref="H3:I3"/>
    <mergeCell ref="B2:C2"/>
    <mergeCell ref="J2:K2"/>
    <mergeCell ref="L2:M2"/>
    <mergeCell ref="Q2:R2"/>
    <mergeCell ref="S2:T2"/>
    <mergeCell ref="D2:E2"/>
    <mergeCell ref="U2:V2"/>
    <mergeCell ref="W2:X2"/>
    <mergeCell ref="Y2:Z2"/>
  </mergeCells>
  <phoneticPr fontId="3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3"/>
  <dimension ref="B3:I16"/>
  <sheetViews>
    <sheetView workbookViewId="0">
      <selection activeCell="B5" sqref="B5:F16"/>
    </sheetView>
  </sheetViews>
  <sheetFormatPr defaultRowHeight="16.5" x14ac:dyDescent="0.25"/>
  <cols>
    <col min="2" max="2" width="13.73828125" customWidth="1"/>
    <col min="3" max="3" width="19.1875" customWidth="1"/>
    <col min="4" max="4" width="41.71484375" customWidth="1"/>
    <col min="5" max="5" width="13.73828125" customWidth="1"/>
    <col min="6" max="6" width="20.546875" customWidth="1"/>
    <col min="7" max="7" width="13.73828125" customWidth="1"/>
    <col min="8" max="8" width="12.625" customWidth="1"/>
    <col min="9" max="9" width="13.4921875" customWidth="1"/>
  </cols>
  <sheetData>
    <row r="3" spans="2:9" x14ac:dyDescent="0.25">
      <c r="B3" s="5" t="s">
        <v>2786</v>
      </c>
      <c r="C3" s="5" t="s">
        <v>2789</v>
      </c>
      <c r="D3" s="5" t="s">
        <v>2790</v>
      </c>
      <c r="E3" s="5" t="s">
        <v>2787</v>
      </c>
      <c r="F3" s="5" t="s">
        <v>2791</v>
      </c>
      <c r="G3" s="5" t="s">
        <v>2788</v>
      </c>
      <c r="H3" s="5" t="s">
        <v>2792</v>
      </c>
      <c r="I3" s="5" t="s">
        <v>2793</v>
      </c>
    </row>
    <row r="4" spans="2:9" x14ac:dyDescent="0.25">
      <c r="B4" t="s">
        <v>26</v>
      </c>
      <c r="C4" t="s">
        <v>2810</v>
      </c>
      <c r="D4" t="s">
        <v>2794</v>
      </c>
      <c r="F4" s="5"/>
    </row>
    <row r="5" spans="2:9" x14ac:dyDescent="0.25">
      <c r="B5" t="s">
        <v>355</v>
      </c>
      <c r="D5" t="s">
        <v>2795</v>
      </c>
      <c r="E5" s="5" t="s">
        <v>2820</v>
      </c>
      <c r="F5" s="5"/>
    </row>
    <row r="6" spans="2:9" x14ac:dyDescent="0.25">
      <c r="B6" t="s">
        <v>355</v>
      </c>
      <c r="D6" t="s">
        <v>2815</v>
      </c>
      <c r="E6" s="5" t="s">
        <v>2820</v>
      </c>
      <c r="F6" s="5"/>
    </row>
    <row r="7" spans="2:9" x14ac:dyDescent="0.25">
      <c r="B7" t="s">
        <v>63</v>
      </c>
      <c r="C7" t="s">
        <v>2811</v>
      </c>
      <c r="D7" t="s">
        <v>2801</v>
      </c>
      <c r="E7" s="5" t="s">
        <v>2818</v>
      </c>
      <c r="F7" s="5">
        <v>7800300</v>
      </c>
    </row>
    <row r="8" spans="2:9" x14ac:dyDescent="0.25">
      <c r="B8" t="s">
        <v>63</v>
      </c>
      <c r="C8" t="s">
        <v>2811</v>
      </c>
      <c r="D8" t="s">
        <v>2801</v>
      </c>
      <c r="E8" s="5" t="s">
        <v>2818</v>
      </c>
      <c r="F8" s="5">
        <v>7803918</v>
      </c>
    </row>
    <row r="9" spans="2:9" x14ac:dyDescent="0.25">
      <c r="B9" t="s">
        <v>2796</v>
      </c>
      <c r="C9" t="s">
        <v>2810</v>
      </c>
      <c r="D9" t="s">
        <v>2797</v>
      </c>
      <c r="E9" s="5" t="s">
        <v>2818</v>
      </c>
      <c r="F9" s="5">
        <v>7800269</v>
      </c>
    </row>
    <row r="10" spans="2:9" x14ac:dyDescent="0.25">
      <c r="B10" t="s">
        <v>2798</v>
      </c>
      <c r="C10" t="s">
        <v>2814</v>
      </c>
      <c r="D10" t="s">
        <v>2816</v>
      </c>
      <c r="E10" s="5" t="s">
        <v>2818</v>
      </c>
      <c r="F10" s="5" t="s">
        <v>2821</v>
      </c>
    </row>
    <row r="11" spans="2:9" x14ac:dyDescent="0.25">
      <c r="B11" t="s">
        <v>2798</v>
      </c>
      <c r="C11" t="s">
        <v>2814</v>
      </c>
      <c r="D11" t="s">
        <v>2817</v>
      </c>
      <c r="E11" s="5" t="s">
        <v>2819</v>
      </c>
      <c r="F11" s="5">
        <v>2130185</v>
      </c>
    </row>
    <row r="12" spans="2:9" x14ac:dyDescent="0.25">
      <c r="B12" t="s">
        <v>2799</v>
      </c>
      <c r="C12" t="s">
        <v>2809</v>
      </c>
      <c r="D12" t="s">
        <v>2800</v>
      </c>
      <c r="E12" s="5" t="s">
        <v>2818</v>
      </c>
      <c r="F12" s="5" t="s">
        <v>2821</v>
      </c>
    </row>
    <row r="13" spans="2:9" x14ac:dyDescent="0.25">
      <c r="B13" t="s">
        <v>49</v>
      </c>
      <c r="D13" t="s">
        <v>2802</v>
      </c>
      <c r="E13" s="5" t="s">
        <v>2818</v>
      </c>
      <c r="F13" s="5">
        <v>7804170</v>
      </c>
    </row>
    <row r="14" spans="2:9" x14ac:dyDescent="0.25">
      <c r="B14" t="s">
        <v>2803</v>
      </c>
      <c r="C14" t="s">
        <v>2812</v>
      </c>
      <c r="D14" t="s">
        <v>2804</v>
      </c>
      <c r="E14" s="5" t="s">
        <v>2819</v>
      </c>
      <c r="F14" s="5">
        <v>2130259</v>
      </c>
    </row>
    <row r="15" spans="2:9" x14ac:dyDescent="0.25">
      <c r="B15" t="s">
        <v>2805</v>
      </c>
      <c r="C15" t="s">
        <v>2813</v>
      </c>
      <c r="D15" t="s">
        <v>2806</v>
      </c>
      <c r="E15" s="5" t="s">
        <v>2818</v>
      </c>
      <c r="F15" s="5">
        <v>7804170</v>
      </c>
    </row>
    <row r="16" spans="2:9" x14ac:dyDescent="0.25">
      <c r="B16" t="s">
        <v>2807</v>
      </c>
      <c r="C16" t="s">
        <v>2811</v>
      </c>
      <c r="D16" t="s">
        <v>2808</v>
      </c>
      <c r="E16" s="5" t="s">
        <v>2818</v>
      </c>
      <c r="F16" s="5">
        <v>7804170</v>
      </c>
    </row>
  </sheetData>
  <autoFilter ref="B3:I3" xr:uid="{00000000-0009-0000-0000-00000C000000}"/>
  <phoneticPr fontId="3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>
    <pageSetUpPr fitToPage="1"/>
  </sheetPr>
  <dimension ref="A1:W149"/>
  <sheetViews>
    <sheetView zoomScale="70" zoomScaleNormal="70" workbookViewId="0">
      <selection activeCell="N13" sqref="N13"/>
    </sheetView>
  </sheetViews>
  <sheetFormatPr defaultRowHeight="16.5" x14ac:dyDescent="0.25"/>
  <cols>
    <col min="1" max="1" width="15.22265625" customWidth="1"/>
    <col min="2" max="2" width="12.625" bestFit="1" customWidth="1"/>
    <col min="3" max="3" width="15.22265625" customWidth="1"/>
    <col min="4" max="4" width="15.71875" bestFit="1" customWidth="1"/>
    <col min="5" max="5" width="14.234375" customWidth="1"/>
    <col min="6" max="6" width="13.61328125" customWidth="1"/>
    <col min="7" max="8" width="12.625" bestFit="1" customWidth="1"/>
    <col min="9" max="9" width="12.625" customWidth="1"/>
    <col min="10" max="10" width="13.2421875" customWidth="1"/>
    <col min="11" max="13" width="12.625" customWidth="1"/>
    <col min="14" max="14" width="15.71875" customWidth="1"/>
    <col min="15" max="15" width="16.5859375" bestFit="1" customWidth="1"/>
    <col min="16" max="23" width="20.30078125" customWidth="1"/>
  </cols>
  <sheetData>
    <row r="1" spans="1:15" ht="23.25" customHeight="1" x14ac:dyDescent="0.25">
      <c r="A1" s="12" t="s">
        <v>29</v>
      </c>
    </row>
    <row r="2" spans="1:15" x14ac:dyDescent="0.25">
      <c r="A2" s="13"/>
      <c r="B2" s="14">
        <v>2019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5" x14ac:dyDescent="0.25">
      <c r="A3" s="15" t="s">
        <v>30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>
        <v>12</v>
      </c>
      <c r="N3" s="16" t="s">
        <v>31</v>
      </c>
      <c r="O3" s="5" t="s">
        <v>51</v>
      </c>
    </row>
    <row r="4" spans="1:15" x14ac:dyDescent="0.25">
      <c r="A4" s="1110" t="s">
        <v>34</v>
      </c>
      <c r="B4" s="4">
        <f t="shared" ref="B4:B19" ca="1" si="0">SUMIF(INDIRECT("Report!I1674:I1793"),A4,INDIRECT("Report!G1674:G1793"))</f>
        <v>4961000</v>
      </c>
      <c r="C4" s="4">
        <f t="shared" ref="C4:C19" ca="1" si="1">SUMIF(INDIRECT("Report!I1794:I1867"),A4,INDIRECT("Report!G1794:G1867"))</f>
        <v>2598000</v>
      </c>
      <c r="D4" s="4">
        <f t="shared" ref="D4:D19" ca="1" si="2">SUMIF(INDIRECT("Report!I1868:I1944"),A4,INDIRECT("Report!G1868:G1944"))</f>
        <v>2445000</v>
      </c>
      <c r="E4" s="4">
        <f t="shared" ref="E4:E19" ca="1" si="3">SUMIF(INDIRECT("Report!I1945:I2038"),A4,INDIRECT("Report!G1945:G2038"))</f>
        <v>2598000</v>
      </c>
      <c r="F4" s="4">
        <f t="shared" ref="F4:F19" ca="1" si="4">SUMIF(INDIRECT("Report!I2039:I2117"),A4,INDIRECT("Report!G2039:G2117"))</f>
        <v>1997000</v>
      </c>
      <c r="G4" s="4">
        <f t="shared" ref="G4:G19" ca="1" si="5">SUMIF(INDIRECT("Report!I2118:I2181"),A4,INDIRECT("Report!G2118:G2181"))</f>
        <v>2598000</v>
      </c>
      <c r="H4" s="4">
        <f t="shared" ref="H4:H19" ca="1" si="6">SUMIF(INDIRECT("Report!I2182:I2272"),A4,INDIRECT("Report!G2182:G2272"))</f>
        <v>2352000</v>
      </c>
      <c r="I4" s="4">
        <f t="shared" ref="I4:I19" ca="1" si="7">SUMIF(INDIRECT("Report!I2273:I2363"),A4,INDIRECT("Report!G2273:G2363"))</f>
        <v>5043000</v>
      </c>
      <c r="J4" s="4">
        <f t="shared" ref="J4:J19" ca="1" si="8">SUMIF(INDIRECT("Report!I2364:I2439"),A4,INDIRECT("Report!G2364:G2439"))</f>
        <v>2445000</v>
      </c>
      <c r="K4" s="4">
        <f t="shared" ref="K4:K19" ca="1" si="9">SUMIF(INDIRECT("Report!I2440:I2516"),A4,INDIRECT("Report!G2440:G2516"))</f>
        <v>2445000</v>
      </c>
      <c r="L4" s="4">
        <f t="shared" ref="L4:L19" ca="1" si="10">SUMIF(INDIRECT("Report!I2517:I2627"),A4,INDIRECT("Report!G2517:G2627"))</f>
        <v>4950000</v>
      </c>
      <c r="M4" s="4">
        <f ca="1">SUMIF(INDIRECT("Report!I2628:I2739"),A4,INDIRECT("Report!G2628:G2739"))</f>
        <v>5300000</v>
      </c>
      <c r="N4" s="1111">
        <f t="shared" ref="N4:N18" ca="1" si="11">SUM(B4:M4)</f>
        <v>39732000</v>
      </c>
      <c r="O4" s="1115">
        <f t="shared" ref="O4:O19" ca="1" si="12">N4/$N$20</f>
        <v>1.8594207960379229E-2</v>
      </c>
    </row>
    <row r="5" spans="1:15" x14ac:dyDescent="0.25">
      <c r="A5" s="1110" t="s">
        <v>35</v>
      </c>
      <c r="B5" s="4">
        <f t="shared" ca="1" si="0"/>
        <v>6007500</v>
      </c>
      <c r="C5" s="4">
        <f t="shared" ca="1" si="1"/>
        <v>0</v>
      </c>
      <c r="D5" s="4">
        <f t="shared" ca="1" si="2"/>
        <v>3240000</v>
      </c>
      <c r="E5" s="4">
        <f t="shared" ca="1" si="3"/>
        <v>1155000</v>
      </c>
      <c r="F5" s="4">
        <f t="shared" ca="1" si="4"/>
        <v>2715000</v>
      </c>
      <c r="G5" s="4">
        <f t="shared" ca="1" si="5"/>
        <v>1175000</v>
      </c>
      <c r="H5" s="4">
        <f t="shared" ca="1" si="6"/>
        <v>2262500</v>
      </c>
      <c r="I5" s="4">
        <f t="shared" ca="1" si="7"/>
        <v>2857500</v>
      </c>
      <c r="J5" s="4">
        <f t="shared" ca="1" si="8"/>
        <v>1667500</v>
      </c>
      <c r="K5" s="4">
        <f t="shared" ca="1" si="9"/>
        <v>3382500</v>
      </c>
      <c r="L5" s="4">
        <f t="shared" ca="1" si="10"/>
        <v>4767500</v>
      </c>
      <c r="M5" s="4">
        <f t="shared" ref="M5:M19" ca="1" si="13">SUMIF(INDIRECT("Report!I2628:I2739"),A5,INDIRECT("Report!G2628:G2739"))</f>
        <v>2480000</v>
      </c>
      <c r="N5" s="1111">
        <f t="shared" ca="1" si="11"/>
        <v>31710000</v>
      </c>
      <c r="O5" s="1115">
        <f t="shared" ca="1" si="12"/>
        <v>1.4839986268590189E-2</v>
      </c>
    </row>
    <row r="6" spans="1:15" x14ac:dyDescent="0.25">
      <c r="A6" s="1110" t="s">
        <v>37</v>
      </c>
      <c r="B6" s="4">
        <f t="shared" ca="1" si="0"/>
        <v>32380000</v>
      </c>
      <c r="C6" s="4">
        <f t="shared" ca="1" si="1"/>
        <v>4100000</v>
      </c>
      <c r="D6" s="4">
        <f t="shared" ca="1" si="2"/>
        <v>0</v>
      </c>
      <c r="E6" s="4">
        <f t="shared" ca="1" si="3"/>
        <v>5270000</v>
      </c>
      <c r="F6" s="4">
        <f t="shared" ca="1" si="4"/>
        <v>0</v>
      </c>
      <c r="G6" s="4">
        <f t="shared" ca="1" si="5"/>
        <v>0</v>
      </c>
      <c r="H6" s="4">
        <f t="shared" ca="1" si="6"/>
        <v>27010000</v>
      </c>
      <c r="I6" s="4">
        <f t="shared" ca="1" si="7"/>
        <v>25240000</v>
      </c>
      <c r="J6" s="4">
        <f t="shared" ca="1" si="8"/>
        <v>0</v>
      </c>
      <c r="K6" s="4">
        <f t="shared" ca="1" si="9"/>
        <v>0</v>
      </c>
      <c r="L6" s="4">
        <f t="shared" ca="1" si="10"/>
        <v>0</v>
      </c>
      <c r="M6" s="4">
        <f t="shared" ca="1" si="13"/>
        <v>5030000</v>
      </c>
      <c r="N6" s="1111">
        <f t="shared" ca="1" si="11"/>
        <v>99030000</v>
      </c>
      <c r="O6" s="1115">
        <f t="shared" ca="1" si="12"/>
        <v>4.6345122679863966E-2</v>
      </c>
    </row>
    <row r="7" spans="1:15" x14ac:dyDescent="0.25">
      <c r="A7" s="1110" t="s">
        <v>33</v>
      </c>
      <c r="B7" s="4">
        <f t="shared" ca="1" si="0"/>
        <v>15645000</v>
      </c>
      <c r="C7" s="4">
        <f t="shared" ca="1" si="1"/>
        <v>6780000</v>
      </c>
      <c r="D7" s="4">
        <f t="shared" ca="1" si="2"/>
        <v>8820000</v>
      </c>
      <c r="E7" s="4">
        <f t="shared" ca="1" si="3"/>
        <v>12715000</v>
      </c>
      <c r="F7" s="4">
        <f t="shared" ca="1" si="4"/>
        <v>10100000</v>
      </c>
      <c r="G7" s="4">
        <f t="shared" ca="1" si="5"/>
        <v>3600000</v>
      </c>
      <c r="H7" s="4">
        <f t="shared" ca="1" si="6"/>
        <v>10810000</v>
      </c>
      <c r="I7" s="4">
        <f t="shared" ca="1" si="7"/>
        <v>8038000</v>
      </c>
      <c r="J7" s="4">
        <f t="shared" ca="1" si="8"/>
        <v>10556000</v>
      </c>
      <c r="K7" s="4">
        <f t="shared" ca="1" si="9"/>
        <v>9614000</v>
      </c>
      <c r="L7" s="4">
        <f t="shared" ca="1" si="10"/>
        <v>16471000</v>
      </c>
      <c r="M7" s="4">
        <f t="shared" ca="1" si="13"/>
        <v>15331000</v>
      </c>
      <c r="N7" s="1111">
        <f t="shared" ca="1" si="11"/>
        <v>128480000</v>
      </c>
      <c r="O7" s="1115">
        <f t="shared" ca="1" si="12"/>
        <v>6.0127449882953876E-2</v>
      </c>
    </row>
    <row r="8" spans="1:15" s="19" customFormat="1" x14ac:dyDescent="0.25">
      <c r="A8" s="1112" t="s">
        <v>38</v>
      </c>
      <c r="B8" s="4">
        <f t="shared" ca="1" si="0"/>
        <v>13759000</v>
      </c>
      <c r="C8" s="4">
        <f t="shared" ca="1" si="1"/>
        <v>6758000</v>
      </c>
      <c r="D8" s="4">
        <f t="shared" ca="1" si="2"/>
        <v>12430000</v>
      </c>
      <c r="E8" s="4">
        <f t="shared" ca="1" si="3"/>
        <v>6947000</v>
      </c>
      <c r="F8" s="4">
        <f t="shared" ca="1" si="4"/>
        <v>9685000</v>
      </c>
      <c r="G8" s="4">
        <f t="shared" ca="1" si="5"/>
        <v>4479000</v>
      </c>
      <c r="H8" s="4">
        <f t="shared" ca="1" si="6"/>
        <v>9830000</v>
      </c>
      <c r="I8" s="4">
        <f t="shared" ca="1" si="7"/>
        <v>4254000</v>
      </c>
      <c r="J8" s="4">
        <f t="shared" ca="1" si="8"/>
        <v>16051500</v>
      </c>
      <c r="K8" s="4">
        <f t="shared" ca="1" si="9"/>
        <v>12677500</v>
      </c>
      <c r="L8" s="4">
        <f t="shared" ca="1" si="10"/>
        <v>11421500</v>
      </c>
      <c r="M8" s="4">
        <f t="shared" ca="1" si="13"/>
        <v>13946600</v>
      </c>
      <c r="N8" s="1111">
        <f t="shared" ca="1" si="11"/>
        <v>122239100</v>
      </c>
      <c r="O8" s="1115">
        <f t="shared" ca="1" si="12"/>
        <v>5.7206766492741187E-2</v>
      </c>
    </row>
    <row r="9" spans="1:15" x14ac:dyDescent="0.25">
      <c r="A9" s="1113" t="s">
        <v>32</v>
      </c>
      <c r="B9" s="4">
        <f t="shared" ca="1" si="0"/>
        <v>0</v>
      </c>
      <c r="C9" s="4">
        <f t="shared" ca="1" si="1"/>
        <v>0</v>
      </c>
      <c r="D9" s="4">
        <f t="shared" ca="1" si="2"/>
        <v>0</v>
      </c>
      <c r="E9" s="4">
        <f t="shared" ca="1" si="3"/>
        <v>0</v>
      </c>
      <c r="F9" s="4">
        <f t="shared" ca="1" si="4"/>
        <v>0</v>
      </c>
      <c r="G9" s="4">
        <f t="shared" ca="1" si="5"/>
        <v>0</v>
      </c>
      <c r="H9" s="4">
        <f t="shared" ca="1" si="6"/>
        <v>0</v>
      </c>
      <c r="I9" s="4">
        <f t="shared" ca="1" si="7"/>
        <v>0</v>
      </c>
      <c r="J9" s="4">
        <f t="shared" ca="1" si="8"/>
        <v>0</v>
      </c>
      <c r="K9" s="4">
        <f t="shared" ca="1" si="9"/>
        <v>0</v>
      </c>
      <c r="L9" s="4">
        <f t="shared" ca="1" si="10"/>
        <v>0</v>
      </c>
      <c r="M9" s="4">
        <f t="shared" ca="1" si="13"/>
        <v>0</v>
      </c>
      <c r="N9" s="1111">
        <f t="shared" ca="1" si="11"/>
        <v>0</v>
      </c>
      <c r="O9" s="1115">
        <f t="shared" ca="1" si="12"/>
        <v>0</v>
      </c>
    </row>
    <row r="10" spans="1:15" x14ac:dyDescent="0.25">
      <c r="A10" s="1114" t="s">
        <v>2226</v>
      </c>
      <c r="B10" s="4">
        <f t="shared" ca="1" si="0"/>
        <v>0</v>
      </c>
      <c r="C10" s="4">
        <f t="shared" ca="1" si="1"/>
        <v>850000</v>
      </c>
      <c r="D10" s="4">
        <f t="shared" ca="1" si="2"/>
        <v>12200000</v>
      </c>
      <c r="E10" s="4">
        <f t="shared" ca="1" si="3"/>
        <v>0</v>
      </c>
      <c r="F10" s="4">
        <f t="shared" ca="1" si="4"/>
        <v>0</v>
      </c>
      <c r="G10" s="4">
        <f t="shared" ca="1" si="5"/>
        <v>0</v>
      </c>
      <c r="H10" s="4">
        <f t="shared" ca="1" si="6"/>
        <v>0</v>
      </c>
      <c r="I10" s="4">
        <f t="shared" ca="1" si="7"/>
        <v>0</v>
      </c>
      <c r="J10" s="4">
        <f t="shared" ca="1" si="8"/>
        <v>0</v>
      </c>
      <c r="K10" s="4">
        <f t="shared" ca="1" si="9"/>
        <v>0</v>
      </c>
      <c r="L10" s="4">
        <f t="shared" ca="1" si="10"/>
        <v>1970000</v>
      </c>
      <c r="M10" s="4">
        <f t="shared" ca="1" si="13"/>
        <v>11380000</v>
      </c>
      <c r="N10" s="1111">
        <f t="shared" ca="1" si="11"/>
        <v>26400000</v>
      </c>
      <c r="O10" s="1115">
        <f t="shared" ca="1" si="12"/>
        <v>1.2354955455401481E-2</v>
      </c>
    </row>
    <row r="11" spans="1:15" x14ac:dyDescent="0.25">
      <c r="A11" s="1114" t="s">
        <v>2228</v>
      </c>
      <c r="B11" s="4">
        <f t="shared" ca="1" si="0"/>
        <v>11113000</v>
      </c>
      <c r="C11" s="4">
        <f t="shared" ca="1" si="1"/>
        <v>6600000</v>
      </c>
      <c r="D11" s="4">
        <f t="shared" ca="1" si="2"/>
        <v>4249000</v>
      </c>
      <c r="E11" s="4">
        <f t="shared" ca="1" si="3"/>
        <v>11124000</v>
      </c>
      <c r="F11" s="4">
        <f t="shared" ca="1" si="4"/>
        <v>6380000</v>
      </c>
      <c r="G11" s="4">
        <f t="shared" ca="1" si="5"/>
        <v>5902000</v>
      </c>
      <c r="H11" s="4">
        <f t="shared" ca="1" si="6"/>
        <v>5781000</v>
      </c>
      <c r="I11" s="4">
        <f t="shared" ca="1" si="7"/>
        <v>5599000</v>
      </c>
      <c r="J11" s="4">
        <f t="shared" ca="1" si="8"/>
        <v>4113000</v>
      </c>
      <c r="K11" s="4">
        <f t="shared" ca="1" si="9"/>
        <v>3874000</v>
      </c>
      <c r="L11" s="4">
        <f t="shared" ca="1" si="10"/>
        <v>2045000</v>
      </c>
      <c r="M11" s="4">
        <f t="shared" ca="1" si="13"/>
        <v>3235000</v>
      </c>
      <c r="N11" s="1111">
        <f t="shared" ca="1" si="11"/>
        <v>70015000</v>
      </c>
      <c r="O11" s="1115">
        <f t="shared" ca="1" si="12"/>
        <v>3.2766371447346017E-2</v>
      </c>
    </row>
    <row r="12" spans="1:15" x14ac:dyDescent="0.25">
      <c r="A12" s="1114" t="s">
        <v>2229</v>
      </c>
      <c r="B12" s="4">
        <f t="shared" ca="1" si="0"/>
        <v>14396000</v>
      </c>
      <c r="C12" s="4">
        <f t="shared" ca="1" si="1"/>
        <v>4908000</v>
      </c>
      <c r="D12" s="4">
        <f t="shared" ca="1" si="2"/>
        <v>6490000</v>
      </c>
      <c r="E12" s="4">
        <f t="shared" ca="1" si="3"/>
        <v>8865000</v>
      </c>
      <c r="F12" s="4">
        <f t="shared" ca="1" si="4"/>
        <v>9430000</v>
      </c>
      <c r="G12" s="4">
        <f t="shared" ca="1" si="5"/>
        <v>5960000</v>
      </c>
      <c r="H12" s="4">
        <f t="shared" ca="1" si="6"/>
        <v>40072000</v>
      </c>
      <c r="I12" s="4">
        <f t="shared" ca="1" si="7"/>
        <v>8186000</v>
      </c>
      <c r="J12" s="4">
        <f t="shared" ca="1" si="8"/>
        <v>8830000</v>
      </c>
      <c r="K12" s="4">
        <f t="shared" ca="1" si="9"/>
        <v>6065000</v>
      </c>
      <c r="L12" s="4">
        <f t="shared" ca="1" si="10"/>
        <v>13978000</v>
      </c>
      <c r="M12" s="4">
        <f t="shared" ca="1" si="13"/>
        <v>3115000</v>
      </c>
      <c r="N12" s="1111">
        <f t="shared" ca="1" si="11"/>
        <v>130295000</v>
      </c>
      <c r="O12" s="1115">
        <f t="shared" ca="1" si="12"/>
        <v>6.0976853070512732E-2</v>
      </c>
    </row>
    <row r="13" spans="1:15" s="19" customFormat="1" x14ac:dyDescent="0.25">
      <c r="A13" s="1110" t="s">
        <v>39</v>
      </c>
      <c r="B13" s="4">
        <f t="shared" ca="1" si="0"/>
        <v>4635000</v>
      </c>
      <c r="C13" s="4">
        <f t="shared" ca="1" si="1"/>
        <v>2745000</v>
      </c>
      <c r="D13" s="4">
        <f t="shared" ca="1" si="2"/>
        <v>1155000</v>
      </c>
      <c r="E13" s="4">
        <f t="shared" ca="1" si="3"/>
        <v>3475000</v>
      </c>
      <c r="F13" s="4">
        <f t="shared" ca="1" si="4"/>
        <v>1355000</v>
      </c>
      <c r="G13" s="4">
        <f t="shared" ca="1" si="5"/>
        <v>3635000</v>
      </c>
      <c r="H13" s="4">
        <f t="shared" ca="1" si="6"/>
        <v>140000</v>
      </c>
      <c r="I13" s="4">
        <f t="shared" ca="1" si="7"/>
        <v>6530000</v>
      </c>
      <c r="J13" s="4">
        <f t="shared" ca="1" si="8"/>
        <v>875000</v>
      </c>
      <c r="K13" s="4">
        <f t="shared" ca="1" si="9"/>
        <v>13250000</v>
      </c>
      <c r="L13" s="4">
        <f t="shared" ca="1" si="10"/>
        <v>3695000</v>
      </c>
      <c r="M13" s="4">
        <f t="shared" ca="1" si="13"/>
        <v>17140000</v>
      </c>
      <c r="N13" s="1111">
        <f t="shared" ca="1" si="11"/>
        <v>58630000</v>
      </c>
      <c r="O13" s="1115">
        <f t="shared" ca="1" si="12"/>
        <v>2.7438296907204125E-2</v>
      </c>
    </row>
    <row r="14" spans="1:15" s="19" customFormat="1" x14ac:dyDescent="0.25">
      <c r="A14" s="1110" t="s">
        <v>40</v>
      </c>
      <c r="B14" s="4">
        <f t="shared" ca="1" si="0"/>
        <v>32360000</v>
      </c>
      <c r="C14" s="4">
        <f t="shared" ca="1" si="1"/>
        <v>27340000</v>
      </c>
      <c r="D14" s="4">
        <f t="shared" ca="1" si="2"/>
        <v>45044000</v>
      </c>
      <c r="E14" s="4">
        <f t="shared" ca="1" si="3"/>
        <v>17680000</v>
      </c>
      <c r="F14" s="4">
        <f t="shared" ca="1" si="4"/>
        <v>44552000</v>
      </c>
      <c r="G14" s="4">
        <f t="shared" ca="1" si="5"/>
        <v>8171000</v>
      </c>
      <c r="H14" s="4">
        <f t="shared" ca="1" si="6"/>
        <v>13130000</v>
      </c>
      <c r="I14" s="4">
        <f t="shared" ca="1" si="7"/>
        <v>19900000</v>
      </c>
      <c r="J14" s="4">
        <f t="shared" ca="1" si="8"/>
        <v>5060000</v>
      </c>
      <c r="K14" s="4">
        <f t="shared" ca="1" si="9"/>
        <v>1260000</v>
      </c>
      <c r="L14" s="4">
        <f t="shared" ca="1" si="10"/>
        <v>32925000</v>
      </c>
      <c r="M14" s="4">
        <f t="shared" ca="1" si="13"/>
        <v>27736000</v>
      </c>
      <c r="N14" s="1111">
        <f ca="1">SUM(B14:M14)</f>
        <v>275158000</v>
      </c>
      <c r="O14" s="1115">
        <f t="shared" ca="1" si="12"/>
        <v>0.12877139519686973</v>
      </c>
    </row>
    <row r="15" spans="1:15" x14ac:dyDescent="0.25">
      <c r="A15" s="1114" t="s">
        <v>281</v>
      </c>
      <c r="B15" s="4">
        <f t="shared" ca="1" si="0"/>
        <v>550000</v>
      </c>
      <c r="C15" s="4">
        <f t="shared" ca="1" si="1"/>
        <v>2900000</v>
      </c>
      <c r="D15" s="4">
        <f t="shared" ca="1" si="2"/>
        <v>8918600</v>
      </c>
      <c r="E15" s="4">
        <f t="shared" ca="1" si="3"/>
        <v>5000000</v>
      </c>
      <c r="F15" s="4">
        <f t="shared" ca="1" si="4"/>
        <v>3000000</v>
      </c>
      <c r="G15" s="4">
        <f t="shared" ca="1" si="5"/>
        <v>1250000</v>
      </c>
      <c r="H15" s="4">
        <f t="shared" ca="1" si="6"/>
        <v>3400000</v>
      </c>
      <c r="I15" s="4">
        <f t="shared" ca="1" si="7"/>
        <v>13017790</v>
      </c>
      <c r="J15" s="4">
        <f t="shared" ca="1" si="8"/>
        <v>3500000</v>
      </c>
      <c r="K15" s="4">
        <f t="shared" ca="1" si="9"/>
        <v>26650000</v>
      </c>
      <c r="L15" s="4">
        <f t="shared" ca="1" si="10"/>
        <v>2950000</v>
      </c>
      <c r="M15" s="4">
        <f t="shared" ca="1" si="13"/>
        <v>900000</v>
      </c>
      <c r="N15" s="1111">
        <f t="shared" ca="1" si="11"/>
        <v>72036390</v>
      </c>
      <c r="O15" s="1115">
        <f t="shared" ca="1" si="12"/>
        <v>3.3712363243103359E-2</v>
      </c>
    </row>
    <row r="16" spans="1:15" x14ac:dyDescent="0.25">
      <c r="A16" s="1114" t="s">
        <v>2227</v>
      </c>
      <c r="B16" s="4">
        <f t="shared" ca="1" si="0"/>
        <v>0</v>
      </c>
      <c r="C16" s="4">
        <f t="shared" ca="1" si="1"/>
        <v>0</v>
      </c>
      <c r="D16" s="4">
        <f t="shared" ca="1" si="2"/>
        <v>0</v>
      </c>
      <c r="E16" s="4">
        <f t="shared" ca="1" si="3"/>
        <v>0</v>
      </c>
      <c r="F16" s="4">
        <f t="shared" ca="1" si="4"/>
        <v>0</v>
      </c>
      <c r="G16" s="4">
        <f t="shared" ca="1" si="5"/>
        <v>0</v>
      </c>
      <c r="H16" s="4">
        <f t="shared" ca="1" si="6"/>
        <v>0</v>
      </c>
      <c r="I16" s="4">
        <f t="shared" ca="1" si="7"/>
        <v>0</v>
      </c>
      <c r="J16" s="4">
        <f t="shared" ca="1" si="8"/>
        <v>0</v>
      </c>
      <c r="K16" s="4">
        <f t="shared" ca="1" si="9"/>
        <v>0</v>
      </c>
      <c r="L16" s="4">
        <f t="shared" ca="1" si="10"/>
        <v>0</v>
      </c>
      <c r="M16" s="4">
        <f t="shared" ca="1" si="13"/>
        <v>0</v>
      </c>
      <c r="N16" s="1111">
        <f t="shared" ca="1" si="11"/>
        <v>0</v>
      </c>
      <c r="O16" s="1115">
        <f t="shared" ca="1" si="12"/>
        <v>0</v>
      </c>
    </row>
    <row r="17" spans="1:16" s="19" customFormat="1" x14ac:dyDescent="0.25">
      <c r="A17" s="1114" t="s">
        <v>187</v>
      </c>
      <c r="B17" s="4">
        <f t="shared" ca="1" si="0"/>
        <v>12990000</v>
      </c>
      <c r="C17" s="4">
        <f t="shared" ca="1" si="1"/>
        <v>12232000</v>
      </c>
      <c r="D17" s="4">
        <f t="shared" ca="1" si="2"/>
        <v>20545800</v>
      </c>
      <c r="E17" s="4">
        <f t="shared" ca="1" si="3"/>
        <v>25671800</v>
      </c>
      <c r="F17" s="4">
        <f t="shared" ca="1" si="4"/>
        <v>11439000</v>
      </c>
      <c r="G17" s="4">
        <f t="shared" ca="1" si="5"/>
        <v>11340000</v>
      </c>
      <c r="H17" s="4">
        <f t="shared" ca="1" si="6"/>
        <v>13819000</v>
      </c>
      <c r="I17" s="4">
        <f t="shared" ca="1" si="7"/>
        <v>14165000</v>
      </c>
      <c r="J17" s="4">
        <f t="shared" ca="1" si="8"/>
        <v>14138600</v>
      </c>
      <c r="K17" s="4">
        <f t="shared" ca="1" si="9"/>
        <v>15307000</v>
      </c>
      <c r="L17" s="4">
        <f t="shared" ca="1" si="10"/>
        <v>11780000</v>
      </c>
      <c r="M17" s="4">
        <f t="shared" ca="1" si="13"/>
        <v>14055000</v>
      </c>
      <c r="N17" s="1111">
        <f t="shared" ca="1" si="11"/>
        <v>177483200</v>
      </c>
      <c r="O17" s="1117">
        <f t="shared" ca="1" si="12"/>
        <v>8.3060493563716378E-2</v>
      </c>
      <c r="P17" s="1116"/>
    </row>
    <row r="18" spans="1:16" s="19" customFormat="1" x14ac:dyDescent="0.25">
      <c r="A18" s="1110" t="s">
        <v>2272</v>
      </c>
      <c r="B18" s="4">
        <f t="shared" ca="1" si="0"/>
        <v>77374500</v>
      </c>
      <c r="C18" s="4">
        <f t="shared" ca="1" si="1"/>
        <v>55296500</v>
      </c>
      <c r="D18" s="4">
        <f t="shared" ca="1" si="2"/>
        <v>62008000</v>
      </c>
      <c r="E18" s="4">
        <f t="shared" ca="1" si="3"/>
        <v>75705500</v>
      </c>
      <c r="F18" s="4">
        <f t="shared" ca="1" si="4"/>
        <v>55513000</v>
      </c>
      <c r="G18" s="4">
        <f t="shared" ca="1" si="5"/>
        <v>54654000</v>
      </c>
      <c r="H18" s="4">
        <f t="shared" ca="1" si="6"/>
        <v>61814500</v>
      </c>
      <c r="I18" s="4">
        <f t="shared" ca="1" si="7"/>
        <v>55917500</v>
      </c>
      <c r="J18" s="4">
        <f t="shared" ca="1" si="8"/>
        <v>58324000</v>
      </c>
      <c r="K18" s="4">
        <f t="shared" ca="1" si="9"/>
        <v>51100500</v>
      </c>
      <c r="L18" s="4">
        <f t="shared" ca="1" si="10"/>
        <v>70568000</v>
      </c>
      <c r="M18" s="4">
        <f t="shared" ca="1" si="13"/>
        <v>52586000</v>
      </c>
      <c r="N18" s="1111">
        <f t="shared" ca="1" si="11"/>
        <v>730862000</v>
      </c>
      <c r="O18" s="1117">
        <f t="shared" ca="1" si="12"/>
        <v>0.34203664598657718</v>
      </c>
      <c r="P18" s="1116"/>
    </row>
    <row r="19" spans="1:16" s="19" customFormat="1" ht="17.25" thickBot="1" x14ac:dyDescent="0.3">
      <c r="A19" s="1110" t="s">
        <v>179</v>
      </c>
      <c r="B19" s="4">
        <f t="shared" ca="1" si="0"/>
        <v>14398300</v>
      </c>
      <c r="C19" s="4">
        <f t="shared" ca="1" si="1"/>
        <v>794000</v>
      </c>
      <c r="D19" s="4">
        <f t="shared" ca="1" si="2"/>
        <v>6210000</v>
      </c>
      <c r="E19" s="4">
        <f t="shared" ca="1" si="3"/>
        <v>3266000</v>
      </c>
      <c r="F19" s="4">
        <f t="shared" ca="1" si="4"/>
        <v>11209890</v>
      </c>
      <c r="G19" s="4">
        <f t="shared" ca="1" si="5"/>
        <v>100460550</v>
      </c>
      <c r="H19" s="4">
        <f t="shared" ca="1" si="6"/>
        <v>8805000</v>
      </c>
      <c r="I19" s="4">
        <f t="shared" ca="1" si="7"/>
        <v>0</v>
      </c>
      <c r="J19" s="4">
        <f t="shared" ca="1" si="8"/>
        <v>1000000</v>
      </c>
      <c r="K19" s="4">
        <f t="shared" ca="1" si="9"/>
        <v>7900000</v>
      </c>
      <c r="L19" s="4">
        <f t="shared" ca="1" si="10"/>
        <v>2680000</v>
      </c>
      <c r="M19" s="4">
        <f t="shared" ca="1" si="13"/>
        <v>18000000</v>
      </c>
      <c r="N19" s="1111">
        <f ca="1">SUM(B19:M19)</f>
        <v>174723740</v>
      </c>
      <c r="O19" s="1117">
        <f t="shared" ca="1" si="12"/>
        <v>8.176909184474053E-2</v>
      </c>
      <c r="P19" s="1116"/>
    </row>
    <row r="20" spans="1:16" ht="17.25" thickTop="1" x14ac:dyDescent="0.25">
      <c r="A20" s="18" t="s">
        <v>2180</v>
      </c>
      <c r="B20" s="9">
        <f t="shared" ref="B20:I20" ca="1" si="14">SUM(B4:B19)</f>
        <v>240569300</v>
      </c>
      <c r="C20" s="9">
        <f t="shared" ca="1" si="14"/>
        <v>133901500</v>
      </c>
      <c r="D20" s="9">
        <f t="shared" ca="1" si="14"/>
        <v>193755400</v>
      </c>
      <c r="E20" s="9">
        <f t="shared" ca="1" si="14"/>
        <v>179472300</v>
      </c>
      <c r="F20" s="9">
        <f t="shared" ca="1" si="14"/>
        <v>167375890</v>
      </c>
      <c r="G20" s="9">
        <f t="shared" ca="1" si="14"/>
        <v>203224550</v>
      </c>
      <c r="H20" s="9">
        <f t="shared" ca="1" si="14"/>
        <v>199226000</v>
      </c>
      <c r="I20" s="9">
        <f t="shared" ca="1" si="14"/>
        <v>168747790</v>
      </c>
      <c r="J20" s="9">
        <f ca="1">SUM(J4:J18)</f>
        <v>125560600</v>
      </c>
      <c r="K20" s="9">
        <f ca="1">SUM(K4:K18)</f>
        <v>145625500</v>
      </c>
      <c r="L20" s="9">
        <f ca="1">SUM(L4:L19)</f>
        <v>180201000</v>
      </c>
      <c r="M20" s="9">
        <f ca="1">SUM(M4:M19)</f>
        <v>190234600</v>
      </c>
      <c r="N20" s="25">
        <f ca="1">SUM(N4:N19)</f>
        <v>2136794430</v>
      </c>
      <c r="O20" s="1115">
        <f ca="1">SUM(O4:O19)</f>
        <v>1</v>
      </c>
      <c r="P20" s="1116"/>
    </row>
    <row r="21" spans="1:16" ht="10.5" customHeight="1" x14ac:dyDescent="0.25">
      <c r="O21" s="1116"/>
      <c r="P21" s="1116"/>
    </row>
    <row r="22" spans="1:16" ht="23.25" customHeight="1" x14ac:dyDescent="0.25">
      <c r="A22" s="12" t="s">
        <v>41</v>
      </c>
      <c r="O22" s="1116"/>
      <c r="P22" s="1116"/>
    </row>
    <row r="23" spans="1:16" x14ac:dyDescent="0.25">
      <c r="A23" s="13"/>
      <c r="B23" s="14">
        <v>2019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116"/>
      <c r="P23" s="1118" t="s">
        <v>54</v>
      </c>
    </row>
    <row r="24" spans="1:16" x14ac:dyDescent="0.25">
      <c r="A24" s="15" t="s">
        <v>30</v>
      </c>
      <c r="B24" s="16">
        <v>1</v>
      </c>
      <c r="C24" s="16">
        <v>2</v>
      </c>
      <c r="D24" s="16">
        <v>3</v>
      </c>
      <c r="E24" s="16">
        <v>4</v>
      </c>
      <c r="F24" s="16">
        <v>5</v>
      </c>
      <c r="G24" s="16">
        <v>6</v>
      </c>
      <c r="H24" s="16">
        <v>7</v>
      </c>
      <c r="I24" s="16">
        <v>8</v>
      </c>
      <c r="J24" s="16">
        <v>9</v>
      </c>
      <c r="K24" s="16">
        <v>10</v>
      </c>
      <c r="L24" s="16">
        <v>11</v>
      </c>
      <c r="M24" s="16">
        <v>12</v>
      </c>
      <c r="N24" s="16" t="s">
        <v>31</v>
      </c>
      <c r="O24" s="1118" t="s">
        <v>51</v>
      </c>
      <c r="P24" s="1118" t="s">
        <v>44</v>
      </c>
    </row>
    <row r="25" spans="1:16" x14ac:dyDescent="0.25">
      <c r="A25" s="1110" t="s">
        <v>34</v>
      </c>
      <c r="B25" s="4">
        <f t="shared" ref="B25:B40" ca="1" si="15">SUMIF(INDIRECT("Report!I1674:I1793"),A25,INDIRECT("Report!J1674:J1793"))</f>
        <v>988720</v>
      </c>
      <c r="C25" s="4">
        <f t="shared" ref="C25:C40" ca="1" si="16">SUMIF(INDIRECT("Report!I1794:I1867"),A25,INDIRECT("Report!J1794:J1867"))</f>
        <v>541860</v>
      </c>
      <c r="D25" s="4">
        <f t="shared" ref="D25:D40" ca="1" si="17">SUMIF(INDIRECT("Report!I1868:I1944"),A25,INDIRECT("Report!J1868:J1944"))</f>
        <v>478860</v>
      </c>
      <c r="E25" s="4">
        <f t="shared" ref="E25:E40" ca="1" si="18">SUMIF(INDIRECT("Report!I1945:I2038"),A25,INDIRECT("Report!J1945:J2038"))</f>
        <v>541860</v>
      </c>
      <c r="F25" s="4">
        <f t="shared" ref="F25:F40" ca="1" si="19">SUMIF(INDIRECT("Report!I2039:I2117"),A25,INDIRECT("Report!J2039:J2117"))</f>
        <v>400870</v>
      </c>
      <c r="G25" s="4">
        <f t="shared" ref="G25:G40" ca="1" si="20">SUMIF(INDIRECT("Report!I2118:I2181"),A25,INDIRECT("Report!J2118:J2181"))</f>
        <v>541860</v>
      </c>
      <c r="H25" s="4">
        <f t="shared" ref="H25:H40" ca="1" si="21">SUMIF(INDIRECT("Report!I2182:I2272"),A25,INDIRECT("Report!J2182:J2272"))</f>
        <v>445860</v>
      </c>
      <c r="I25" s="4">
        <f t="shared" ref="I25:I40" ca="1" si="22">SUMIF(INDIRECT("Report!I2273:I2363"),A25,INDIRECT("Report!J2273:J2363"))</f>
        <v>1020720</v>
      </c>
      <c r="J25" s="4">
        <f t="shared" ref="J25:J40" ca="1" si="23">SUMIF(INDIRECT("Report!I2364:I2439"),A25,INDIRECT("Report!J2364:J2439"))</f>
        <v>478860</v>
      </c>
      <c r="K25" s="4">
        <f t="shared" ref="K25:K40" ca="1" si="24">SUMIF(INDIRECT("Report!I2440:I2516"),A25,INDIRECT("Report!J2440:J2516"))</f>
        <v>478860</v>
      </c>
      <c r="L25" s="4">
        <f t="shared" ref="L25:L40" ca="1" si="25">SUMIF(INDIRECT("Report!I2517:I2627"),A25,INDIRECT("Report!J2517:J2627"))</f>
        <v>987720</v>
      </c>
      <c r="M25" s="4">
        <f ca="1">SUMIF(INDIRECT("Report!I2628:I2739"),A25,INDIRECT("Report!J2628:J2739"))</f>
        <v>1117720</v>
      </c>
      <c r="N25" s="1111">
        <f t="shared" ref="N25:N40" ca="1" si="26">SUM(B25:M25)</f>
        <v>8023770</v>
      </c>
      <c r="O25" s="1115">
        <f t="shared" ref="O25:O40" ca="1" si="27">N25/$N$41</f>
        <v>1.3384722409379332E-2</v>
      </c>
      <c r="P25" s="1116"/>
    </row>
    <row r="26" spans="1:16" x14ac:dyDescent="0.25">
      <c r="A26" s="1110" t="s">
        <v>35</v>
      </c>
      <c r="B26" s="4">
        <f t="shared" ca="1" si="15"/>
        <v>2745000</v>
      </c>
      <c r="C26" s="4">
        <f t="shared" ca="1" si="16"/>
        <v>0</v>
      </c>
      <c r="D26" s="4">
        <f t="shared" ca="1" si="17"/>
        <v>1435000</v>
      </c>
      <c r="E26" s="4">
        <f t="shared" ca="1" si="18"/>
        <v>480000</v>
      </c>
      <c r="F26" s="4">
        <f t="shared" ca="1" si="19"/>
        <v>1252500</v>
      </c>
      <c r="G26" s="4">
        <f t="shared" ca="1" si="20"/>
        <v>612500</v>
      </c>
      <c r="H26" s="4">
        <f t="shared" ca="1" si="21"/>
        <v>970000</v>
      </c>
      <c r="I26" s="4">
        <f t="shared" ca="1" si="22"/>
        <v>1172500</v>
      </c>
      <c r="J26" s="4">
        <f t="shared" ca="1" si="23"/>
        <v>767500</v>
      </c>
      <c r="K26" s="4">
        <f t="shared" ca="1" si="24"/>
        <v>1640000</v>
      </c>
      <c r="L26" s="4">
        <f t="shared" ca="1" si="25"/>
        <v>2180000</v>
      </c>
      <c r="M26" s="4">
        <f t="shared" ref="M26:M40" ca="1" si="28">SUMIF(INDIRECT("Report!I2628:I2739"),A26,INDIRECT("Report!J2628:J2739"))</f>
        <v>1130000</v>
      </c>
      <c r="N26" s="1111">
        <f t="shared" ca="1" si="26"/>
        <v>14385000</v>
      </c>
      <c r="O26" s="1115">
        <f t="shared" ca="1" si="27"/>
        <v>2.3996105553738666E-2</v>
      </c>
      <c r="P26" s="1116"/>
    </row>
    <row r="27" spans="1:16" x14ac:dyDescent="0.25">
      <c r="A27" s="1110" t="s">
        <v>37</v>
      </c>
      <c r="B27" s="4">
        <f t="shared" ca="1" si="15"/>
        <v>6406000</v>
      </c>
      <c r="C27" s="4">
        <f t="shared" ca="1" si="16"/>
        <v>1030000</v>
      </c>
      <c r="D27" s="4">
        <f t="shared" ca="1" si="17"/>
        <v>0</v>
      </c>
      <c r="E27" s="4">
        <f t="shared" ca="1" si="18"/>
        <v>1000000</v>
      </c>
      <c r="F27" s="4">
        <f t="shared" ca="1" si="19"/>
        <v>0</v>
      </c>
      <c r="G27" s="4">
        <f t="shared" ca="1" si="20"/>
        <v>0</v>
      </c>
      <c r="H27" s="4">
        <f t="shared" ca="1" si="21"/>
        <v>4530000</v>
      </c>
      <c r="I27" s="4">
        <f t="shared" ca="1" si="22"/>
        <v>4240000</v>
      </c>
      <c r="J27" s="4">
        <f t="shared" ca="1" si="23"/>
        <v>0</v>
      </c>
      <c r="K27" s="4">
        <f t="shared" ca="1" si="24"/>
        <v>0</v>
      </c>
      <c r="L27" s="4">
        <f t="shared" ca="1" si="25"/>
        <v>0</v>
      </c>
      <c r="M27" s="4">
        <f t="shared" ca="1" si="28"/>
        <v>1310000</v>
      </c>
      <c r="N27" s="1111">
        <f t="shared" ca="1" si="26"/>
        <v>18516000</v>
      </c>
      <c r="O27" s="1115">
        <f t="shared" ca="1" si="27"/>
        <v>3.0887166522977069E-2</v>
      </c>
      <c r="P27" s="1116"/>
    </row>
    <row r="28" spans="1:16" x14ac:dyDescent="0.25">
      <c r="A28" s="1110" t="s">
        <v>33</v>
      </c>
      <c r="B28" s="4">
        <f t="shared" ca="1" si="15"/>
        <v>3429000</v>
      </c>
      <c r="C28" s="4">
        <f t="shared" ca="1" si="16"/>
        <v>1265000</v>
      </c>
      <c r="D28" s="4">
        <f t="shared" ca="1" si="17"/>
        <v>2591000</v>
      </c>
      <c r="E28" s="4">
        <f t="shared" ca="1" si="18"/>
        <v>3075400</v>
      </c>
      <c r="F28" s="4">
        <f t="shared" ca="1" si="19"/>
        <v>2044700</v>
      </c>
      <c r="G28" s="4">
        <f t="shared" ca="1" si="20"/>
        <v>791000</v>
      </c>
      <c r="H28" s="4">
        <f t="shared" ca="1" si="21"/>
        <v>2541700</v>
      </c>
      <c r="I28" s="4">
        <f t="shared" ca="1" si="22"/>
        <v>1649000</v>
      </c>
      <c r="J28" s="4">
        <f t="shared" ca="1" si="23"/>
        <v>2245920</v>
      </c>
      <c r="K28" s="4">
        <f t="shared" ca="1" si="24"/>
        <v>2642920</v>
      </c>
      <c r="L28" s="4">
        <f t="shared" ca="1" si="25"/>
        <v>3685120</v>
      </c>
      <c r="M28" s="4">
        <f t="shared" ca="1" si="28"/>
        <v>4302260</v>
      </c>
      <c r="N28" s="1111">
        <f t="shared" ca="1" si="26"/>
        <v>30263020</v>
      </c>
      <c r="O28" s="1115">
        <f t="shared" ca="1" si="27"/>
        <v>5.0482768320813651E-2</v>
      </c>
      <c r="P28" s="1116"/>
    </row>
    <row r="29" spans="1:16" s="19" customFormat="1" x14ac:dyDescent="0.25">
      <c r="A29" s="1112" t="s">
        <v>38</v>
      </c>
      <c r="B29" s="4">
        <f t="shared" ca="1" si="15"/>
        <v>3442408.1204859153</v>
      </c>
      <c r="C29" s="4">
        <f t="shared" ca="1" si="16"/>
        <v>1680290.1204859153</v>
      </c>
      <c r="D29" s="4">
        <f t="shared" ca="1" si="17"/>
        <v>4033000</v>
      </c>
      <c r="E29" s="4">
        <f t="shared" ca="1" si="18"/>
        <v>1677200</v>
      </c>
      <c r="F29" s="4">
        <f t="shared" ca="1" si="19"/>
        <v>2363200</v>
      </c>
      <c r="G29" s="4">
        <f t="shared" ca="1" si="20"/>
        <v>1066200</v>
      </c>
      <c r="H29" s="4">
        <f t="shared" ca="1" si="21"/>
        <v>3198000</v>
      </c>
      <c r="I29" s="4">
        <f t="shared" ca="1" si="22"/>
        <v>1198000</v>
      </c>
      <c r="J29" s="4">
        <f t="shared" ca="1" si="23"/>
        <v>4228500</v>
      </c>
      <c r="K29" s="4">
        <f t="shared" ca="1" si="24"/>
        <v>3733229</v>
      </c>
      <c r="L29" s="4">
        <f t="shared" ca="1" si="25"/>
        <v>2699882</v>
      </c>
      <c r="M29" s="4">
        <f t="shared" ca="1" si="28"/>
        <v>3601667</v>
      </c>
      <c r="N29" s="1111">
        <f t="shared" ca="1" si="26"/>
        <v>32921576.24097183</v>
      </c>
      <c r="O29" s="1115">
        <f t="shared" ca="1" si="27"/>
        <v>5.4917596000960377E-2</v>
      </c>
      <c r="P29" s="1116"/>
    </row>
    <row r="30" spans="1:16" x14ac:dyDescent="0.25">
      <c r="A30" s="1113" t="s">
        <v>32</v>
      </c>
      <c r="B30" s="4">
        <f t="shared" ca="1" si="15"/>
        <v>0</v>
      </c>
      <c r="C30" s="4">
        <f t="shared" ca="1" si="16"/>
        <v>0</v>
      </c>
      <c r="D30" s="4">
        <f t="shared" ca="1" si="17"/>
        <v>0</v>
      </c>
      <c r="E30" s="4">
        <f t="shared" ca="1" si="18"/>
        <v>0</v>
      </c>
      <c r="F30" s="4">
        <f t="shared" ca="1" si="19"/>
        <v>0</v>
      </c>
      <c r="G30" s="4">
        <f t="shared" ca="1" si="20"/>
        <v>0</v>
      </c>
      <c r="H30" s="4">
        <f t="shared" ca="1" si="21"/>
        <v>0</v>
      </c>
      <c r="I30" s="4">
        <f t="shared" ca="1" si="22"/>
        <v>0</v>
      </c>
      <c r="J30" s="4">
        <f t="shared" ca="1" si="23"/>
        <v>0</v>
      </c>
      <c r="K30" s="4">
        <f t="shared" ca="1" si="24"/>
        <v>0</v>
      </c>
      <c r="L30" s="4">
        <f t="shared" ca="1" si="25"/>
        <v>0</v>
      </c>
      <c r="M30" s="4">
        <f t="shared" ca="1" si="28"/>
        <v>0</v>
      </c>
      <c r="N30" s="1111">
        <f t="shared" ca="1" si="26"/>
        <v>0</v>
      </c>
      <c r="O30" s="1115">
        <f t="shared" ca="1" si="27"/>
        <v>0</v>
      </c>
      <c r="P30" s="1116"/>
    </row>
    <row r="31" spans="1:16" x14ac:dyDescent="0.25">
      <c r="A31" s="1114" t="s">
        <v>2226</v>
      </c>
      <c r="B31" s="4">
        <f t="shared" ca="1" si="15"/>
        <v>0</v>
      </c>
      <c r="C31" s="4">
        <f t="shared" ca="1" si="16"/>
        <v>551264.78437500005</v>
      </c>
      <c r="D31" s="4">
        <f t="shared" ca="1" si="17"/>
        <v>5458658.0825590678</v>
      </c>
      <c r="E31" s="4">
        <f t="shared" ca="1" si="18"/>
        <v>0</v>
      </c>
      <c r="F31" s="4">
        <f t="shared" ca="1" si="19"/>
        <v>0</v>
      </c>
      <c r="G31" s="4">
        <f t="shared" ca="1" si="20"/>
        <v>0</v>
      </c>
      <c r="H31" s="4">
        <f t="shared" ca="1" si="21"/>
        <v>0</v>
      </c>
      <c r="I31" s="4">
        <f t="shared" ca="1" si="22"/>
        <v>0</v>
      </c>
      <c r="J31" s="4">
        <f t="shared" ca="1" si="23"/>
        <v>0</v>
      </c>
      <c r="K31" s="4">
        <f t="shared" ca="1" si="24"/>
        <v>0</v>
      </c>
      <c r="L31" s="4">
        <f t="shared" ca="1" si="25"/>
        <v>1030888</v>
      </c>
      <c r="M31" s="4">
        <f t="shared" ca="1" si="28"/>
        <v>2120032</v>
      </c>
      <c r="N31" s="1111">
        <f t="shared" ca="1" si="26"/>
        <v>9160842.8669340685</v>
      </c>
      <c r="O31" s="1115">
        <f t="shared" ca="1" si="27"/>
        <v>1.5281512158231758E-2</v>
      </c>
      <c r="P31" s="1116"/>
    </row>
    <row r="32" spans="1:16" x14ac:dyDescent="0.25">
      <c r="A32" s="1114" t="s">
        <v>2228</v>
      </c>
      <c r="B32" s="4">
        <f t="shared" ca="1" si="15"/>
        <v>885000</v>
      </c>
      <c r="C32" s="4">
        <f t="shared" ca="1" si="16"/>
        <v>608000</v>
      </c>
      <c r="D32" s="4">
        <f t="shared" ca="1" si="17"/>
        <v>218000</v>
      </c>
      <c r="E32" s="4">
        <f t="shared" ca="1" si="18"/>
        <v>3066000</v>
      </c>
      <c r="F32" s="4">
        <f t="shared" ca="1" si="19"/>
        <v>104000</v>
      </c>
      <c r="G32" s="4">
        <f t="shared" ca="1" si="20"/>
        <v>1806000</v>
      </c>
      <c r="H32" s="4">
        <f t="shared" ca="1" si="21"/>
        <v>6000</v>
      </c>
      <c r="I32" s="4">
        <f t="shared" ca="1" si="22"/>
        <v>1428000</v>
      </c>
      <c r="J32" s="4">
        <f t="shared" ca="1" si="23"/>
        <v>-267000</v>
      </c>
      <c r="K32" s="4">
        <f t="shared" ca="1" si="24"/>
        <v>1233000</v>
      </c>
      <c r="L32" s="4">
        <f t="shared" ca="1" si="25"/>
        <v>-130000</v>
      </c>
      <c r="M32" s="4">
        <f t="shared" ca="1" si="28"/>
        <v>1130000</v>
      </c>
      <c r="N32" s="1111">
        <f t="shared" ca="1" si="26"/>
        <v>10087000</v>
      </c>
      <c r="O32" s="1115">
        <f t="shared" ca="1" si="27"/>
        <v>1.6826466230139864E-2</v>
      </c>
      <c r="P32" s="1116"/>
    </row>
    <row r="33" spans="1:16" x14ac:dyDescent="0.25">
      <c r="A33" s="1114" t="s">
        <v>2229</v>
      </c>
      <c r="B33" s="4">
        <f t="shared" ca="1" si="15"/>
        <v>4585790.5650359355</v>
      </c>
      <c r="C33" s="4">
        <f t="shared" ca="1" si="16"/>
        <v>1216000</v>
      </c>
      <c r="D33" s="4">
        <f t="shared" ca="1" si="17"/>
        <v>1471000</v>
      </c>
      <c r="E33" s="4">
        <f t="shared" ca="1" si="18"/>
        <v>1967000</v>
      </c>
      <c r="F33" s="4">
        <f t="shared" ca="1" si="19"/>
        <v>2451000</v>
      </c>
      <c r="G33" s="4">
        <f t="shared" ca="1" si="20"/>
        <v>1521000</v>
      </c>
      <c r="H33" s="4">
        <f t="shared" ca="1" si="21"/>
        <v>10731978</v>
      </c>
      <c r="I33" s="4">
        <f t="shared" ca="1" si="22"/>
        <v>1998200</v>
      </c>
      <c r="J33" s="4">
        <f t="shared" ca="1" si="23"/>
        <v>1967000</v>
      </c>
      <c r="K33" s="4">
        <f t="shared" ca="1" si="24"/>
        <v>1813000</v>
      </c>
      <c r="L33" s="4">
        <f t="shared" ca="1" si="25"/>
        <v>3019000</v>
      </c>
      <c r="M33" s="4">
        <f t="shared" ca="1" si="28"/>
        <v>965000</v>
      </c>
      <c r="N33" s="1111">
        <f t="shared" ca="1" si="26"/>
        <v>33705968.565035939</v>
      </c>
      <c r="O33" s="1115">
        <f t="shared" ca="1" si="27"/>
        <v>5.622606739503648E-2</v>
      </c>
      <c r="P33" s="1116"/>
    </row>
    <row r="34" spans="1:16" s="19" customFormat="1" x14ac:dyDescent="0.25">
      <c r="A34" s="1110" t="s">
        <v>39</v>
      </c>
      <c r="B34" s="4">
        <f t="shared" ca="1" si="15"/>
        <v>2409292.758727733</v>
      </c>
      <c r="C34" s="4">
        <f t="shared" ca="1" si="16"/>
        <v>974539.0750760294</v>
      </c>
      <c r="D34" s="4">
        <f t="shared" ca="1" si="17"/>
        <v>504437.50396961474</v>
      </c>
      <c r="E34" s="4">
        <f t="shared" ca="1" si="18"/>
        <v>1179170.2063189219</v>
      </c>
      <c r="F34" s="4">
        <f t="shared" ca="1" si="19"/>
        <v>523943</v>
      </c>
      <c r="G34" s="4">
        <f t="shared" ca="1" si="20"/>
        <v>1293035</v>
      </c>
      <c r="H34" s="4">
        <f t="shared" ca="1" si="21"/>
        <v>50156</v>
      </c>
      <c r="I34" s="4">
        <f t="shared" ca="1" si="22"/>
        <v>3927219.4021063074</v>
      </c>
      <c r="J34" s="4">
        <f t="shared" ca="1" si="23"/>
        <v>313475</v>
      </c>
      <c r="K34" s="4">
        <f t="shared" ca="1" si="24"/>
        <v>6258782.0856571002</v>
      </c>
      <c r="L34" s="4">
        <f t="shared" ca="1" si="25"/>
        <v>1189487</v>
      </c>
      <c r="M34" s="4">
        <f t="shared" ca="1" si="28"/>
        <v>4767237</v>
      </c>
      <c r="N34" s="1111">
        <f t="shared" ca="1" si="26"/>
        <v>23390774.031855706</v>
      </c>
      <c r="O34" s="1115">
        <f t="shared" ca="1" si="27"/>
        <v>3.9018942137786505E-2</v>
      </c>
      <c r="P34" s="1116"/>
    </row>
    <row r="35" spans="1:16" s="19" customFormat="1" x14ac:dyDescent="0.25">
      <c r="A35" s="1110" t="s">
        <v>40</v>
      </c>
      <c r="B35" s="4">
        <f t="shared" ca="1" si="15"/>
        <v>17963363.32194696</v>
      </c>
      <c r="C35" s="4">
        <f t="shared" ca="1" si="16"/>
        <v>10032437.011382656</v>
      </c>
      <c r="D35" s="4">
        <f t="shared" ca="1" si="17"/>
        <v>16536161.256127737</v>
      </c>
      <c r="E35" s="4">
        <f t="shared" ca="1" si="18"/>
        <v>5686935.8650679542</v>
      </c>
      <c r="F35" s="4">
        <f t="shared" ca="1" si="19"/>
        <v>21439470.294975471</v>
      </c>
      <c r="G35" s="4">
        <f t="shared" ca="1" si="20"/>
        <v>4631926.8840807257</v>
      </c>
      <c r="H35" s="4">
        <f t="shared" ca="1" si="21"/>
        <v>4392178.1156885196</v>
      </c>
      <c r="I35" s="4">
        <f t="shared" ca="1" si="22"/>
        <v>6314905.8987989184</v>
      </c>
      <c r="J35" s="4">
        <f t="shared" ca="1" si="23"/>
        <v>1901282.986727407</v>
      </c>
      <c r="K35" s="4">
        <f t="shared" ca="1" si="24"/>
        <v>510000</v>
      </c>
      <c r="L35" s="4">
        <f t="shared" ca="1" si="25"/>
        <v>12052680</v>
      </c>
      <c r="M35" s="4">
        <f t="shared" ca="1" si="28"/>
        <v>15092782</v>
      </c>
      <c r="N35" s="1111">
        <f t="shared" ca="1" si="26"/>
        <v>116554123.63479634</v>
      </c>
      <c r="O35" s="1115">
        <f t="shared" ca="1" si="27"/>
        <v>0.19442787997664787</v>
      </c>
      <c r="P35" s="1116"/>
    </row>
    <row r="36" spans="1:16" x14ac:dyDescent="0.25">
      <c r="A36" s="1114" t="s">
        <v>281</v>
      </c>
      <c r="B36" s="4">
        <f t="shared" ca="1" si="15"/>
        <v>550000</v>
      </c>
      <c r="C36" s="4">
        <f t="shared" ca="1" si="16"/>
        <v>1400000</v>
      </c>
      <c r="D36" s="4">
        <f t="shared" ca="1" si="17"/>
        <v>1500000</v>
      </c>
      <c r="E36" s="4">
        <f t="shared" ca="1" si="18"/>
        <v>1500000</v>
      </c>
      <c r="F36" s="4">
        <f t="shared" ca="1" si="19"/>
        <v>0</v>
      </c>
      <c r="G36" s="4">
        <f t="shared" ca="1" si="20"/>
        <v>1250000</v>
      </c>
      <c r="H36" s="4">
        <f t="shared" ca="1" si="21"/>
        <v>3400000</v>
      </c>
      <c r="I36" s="4">
        <f t="shared" ca="1" si="22"/>
        <v>-1958210</v>
      </c>
      <c r="J36" s="4">
        <f t="shared" ca="1" si="23"/>
        <v>3500000</v>
      </c>
      <c r="K36" s="4">
        <f t="shared" ca="1" si="24"/>
        <v>5133000</v>
      </c>
      <c r="L36" s="4">
        <f t="shared" ca="1" si="25"/>
        <v>1457000</v>
      </c>
      <c r="M36" s="4">
        <f t="shared" ca="1" si="28"/>
        <v>420000</v>
      </c>
      <c r="N36" s="1111">
        <f t="shared" ca="1" si="26"/>
        <v>18151790</v>
      </c>
      <c r="O36" s="1115">
        <f t="shared" ca="1" si="27"/>
        <v>3.0279615490392632E-2</v>
      </c>
      <c r="P36" s="1116"/>
    </row>
    <row r="37" spans="1:16" x14ac:dyDescent="0.25">
      <c r="A37" s="1114" t="s">
        <v>2227</v>
      </c>
      <c r="B37" s="4">
        <f t="shared" ca="1" si="15"/>
        <v>0</v>
      </c>
      <c r="C37" s="4">
        <f t="shared" ca="1" si="16"/>
        <v>0</v>
      </c>
      <c r="D37" s="4">
        <f t="shared" ca="1" si="17"/>
        <v>0</v>
      </c>
      <c r="E37" s="4">
        <f t="shared" ca="1" si="18"/>
        <v>0</v>
      </c>
      <c r="F37" s="4">
        <f t="shared" ca="1" si="19"/>
        <v>0</v>
      </c>
      <c r="G37" s="4">
        <f t="shared" ca="1" si="20"/>
        <v>0</v>
      </c>
      <c r="H37" s="4">
        <f t="shared" ca="1" si="21"/>
        <v>0</v>
      </c>
      <c r="I37" s="4">
        <f t="shared" ca="1" si="22"/>
        <v>0</v>
      </c>
      <c r="J37" s="4">
        <f t="shared" ca="1" si="23"/>
        <v>0</v>
      </c>
      <c r="K37" s="4">
        <f t="shared" ca="1" si="24"/>
        <v>0</v>
      </c>
      <c r="L37" s="4">
        <f t="shared" ca="1" si="25"/>
        <v>0</v>
      </c>
      <c r="M37" s="4">
        <f t="shared" ca="1" si="28"/>
        <v>0</v>
      </c>
      <c r="N37" s="1111">
        <f t="shared" ca="1" si="26"/>
        <v>0</v>
      </c>
      <c r="O37" s="1115">
        <f t="shared" ca="1" si="27"/>
        <v>0</v>
      </c>
      <c r="P37" s="1116"/>
    </row>
    <row r="38" spans="1:16" s="19" customFormat="1" x14ac:dyDescent="0.25">
      <c r="A38" s="1114" t="s">
        <v>187</v>
      </c>
      <c r="B38" s="4">
        <f t="shared" ca="1" si="15"/>
        <v>1020000</v>
      </c>
      <c r="C38" s="4">
        <f t="shared" ca="1" si="16"/>
        <v>816000</v>
      </c>
      <c r="D38" s="4">
        <f t="shared" ca="1" si="17"/>
        <v>1030900</v>
      </c>
      <c r="E38" s="4">
        <f t="shared" ca="1" si="18"/>
        <v>1479700</v>
      </c>
      <c r="F38" s="4">
        <f t="shared" ca="1" si="19"/>
        <v>813000</v>
      </c>
      <c r="G38" s="4">
        <f t="shared" ca="1" si="20"/>
        <v>1015500</v>
      </c>
      <c r="H38" s="4">
        <f t="shared" ca="1" si="21"/>
        <v>810000</v>
      </c>
      <c r="I38" s="4">
        <f t="shared" ca="1" si="22"/>
        <v>1161000</v>
      </c>
      <c r="J38" s="4">
        <f t="shared" ca="1" si="23"/>
        <v>994650</v>
      </c>
      <c r="K38" s="4">
        <f t="shared" ca="1" si="24"/>
        <v>1177000</v>
      </c>
      <c r="L38" s="4">
        <f t="shared" ca="1" si="25"/>
        <v>993000</v>
      </c>
      <c r="M38" s="4">
        <f t="shared" ca="1" si="28"/>
        <v>876000</v>
      </c>
      <c r="N38" s="1111">
        <f t="shared" ca="1" si="26"/>
        <v>12186750</v>
      </c>
      <c r="O38" s="1115">
        <f t="shared" ca="1" si="27"/>
        <v>2.0329130299410823E-2</v>
      </c>
      <c r="P38" s="1116"/>
    </row>
    <row r="39" spans="1:16" s="19" customFormat="1" x14ac:dyDescent="0.25">
      <c r="A39" s="1110" t="s">
        <v>2272</v>
      </c>
      <c r="B39" s="4">
        <f t="shared" ca="1" si="15"/>
        <v>23914000</v>
      </c>
      <c r="C39" s="4">
        <f t="shared" ca="1" si="16"/>
        <v>17902500</v>
      </c>
      <c r="D39" s="4">
        <f t="shared" ca="1" si="17"/>
        <v>20040000</v>
      </c>
      <c r="E39" s="4">
        <f t="shared" ca="1" si="18"/>
        <v>24503500</v>
      </c>
      <c r="F39" s="4">
        <f t="shared" ca="1" si="19"/>
        <v>18388000</v>
      </c>
      <c r="G39" s="4">
        <f t="shared" ca="1" si="20"/>
        <v>19318000</v>
      </c>
      <c r="H39" s="4">
        <f t="shared" ca="1" si="21"/>
        <v>21379500</v>
      </c>
      <c r="I39" s="4">
        <f t="shared" ca="1" si="22"/>
        <v>19201500</v>
      </c>
      <c r="J39" s="4">
        <f t="shared" ca="1" si="23"/>
        <v>21294000</v>
      </c>
      <c r="K39" s="4">
        <f t="shared" ca="1" si="24"/>
        <v>16871500</v>
      </c>
      <c r="L39" s="4">
        <f t="shared" ca="1" si="25"/>
        <v>24543000</v>
      </c>
      <c r="M39" s="4">
        <f t="shared" ca="1" si="28"/>
        <v>18083124.615951825</v>
      </c>
      <c r="N39" s="1111">
        <f t="shared" ca="1" si="26"/>
        <v>245438624.61595184</v>
      </c>
      <c r="O39" s="1115">
        <f t="shared" ca="1" si="27"/>
        <v>0.40942447989216696</v>
      </c>
      <c r="P39" s="1116"/>
    </row>
    <row r="40" spans="1:16" s="19" customFormat="1" ht="17.25" thickBot="1" x14ac:dyDescent="0.3">
      <c r="A40" s="1110" t="s">
        <v>179</v>
      </c>
      <c r="B40" s="4">
        <f t="shared" ca="1" si="15"/>
        <v>3091244.2497548014</v>
      </c>
      <c r="C40" s="4">
        <f t="shared" ca="1" si="16"/>
        <v>305941.7181239705</v>
      </c>
      <c r="D40" s="4">
        <f t="shared" ca="1" si="17"/>
        <v>4014000</v>
      </c>
      <c r="E40" s="4">
        <f t="shared" ca="1" si="18"/>
        <v>1067440</v>
      </c>
      <c r="F40" s="4">
        <f t="shared" ca="1" si="19"/>
        <v>3906469.3499999996</v>
      </c>
      <c r="G40" s="4">
        <f t="shared" ca="1" si="20"/>
        <v>6500760</v>
      </c>
      <c r="H40" s="4">
        <f t="shared" ca="1" si="21"/>
        <v>1842810.4999999991</v>
      </c>
      <c r="I40" s="4">
        <f t="shared" ca="1" si="22"/>
        <v>0</v>
      </c>
      <c r="J40" s="4">
        <f t="shared" ca="1" si="23"/>
        <v>174323.75</v>
      </c>
      <c r="K40" s="4">
        <f t="shared" ca="1" si="24"/>
        <v>3940000</v>
      </c>
      <c r="L40" s="4">
        <f t="shared" ca="1" si="25"/>
        <v>420000</v>
      </c>
      <c r="M40" s="4">
        <f t="shared" ca="1" si="28"/>
        <v>1424046</v>
      </c>
      <c r="N40" s="1111">
        <f t="shared" ca="1" si="26"/>
        <v>26687035.567878772</v>
      </c>
      <c r="O40" s="1115">
        <f t="shared" ca="1" si="27"/>
        <v>4.4517547612318187E-2</v>
      </c>
      <c r="P40" s="1116"/>
    </row>
    <row r="41" spans="1:16" ht="17.25" thickTop="1" x14ac:dyDescent="0.25">
      <c r="A41" s="18" t="s">
        <v>2181</v>
      </c>
      <c r="B41" s="9">
        <f t="shared" ref="B41:O41" ca="1" si="29">SUM(B25:B40)</f>
        <v>71429819.01595135</v>
      </c>
      <c r="C41" s="9">
        <f t="shared" ca="1" si="29"/>
        <v>38323832.709443569</v>
      </c>
      <c r="D41" s="9">
        <f t="shared" ca="1" si="29"/>
        <v>59311016.842656419</v>
      </c>
      <c r="E41" s="9">
        <f t="shared" ca="1" si="29"/>
        <v>47224206.071386874</v>
      </c>
      <c r="F41" s="9">
        <f t="shared" ca="1" si="29"/>
        <v>53687152.644975476</v>
      </c>
      <c r="G41" s="9">
        <f t="shared" ca="1" si="29"/>
        <v>40347781.884080723</v>
      </c>
      <c r="H41" s="9">
        <f t="shared" ca="1" si="29"/>
        <v>54298182.615688518</v>
      </c>
      <c r="I41" s="9">
        <f t="shared" ca="1" si="29"/>
        <v>41352835.300905228</v>
      </c>
      <c r="J41" s="9">
        <f t="shared" ca="1" si="29"/>
        <v>37598511.736727409</v>
      </c>
      <c r="K41" s="9">
        <f t="shared" ca="1" si="29"/>
        <v>45431291.085657105</v>
      </c>
      <c r="L41" s="9">
        <f t="shared" ca="1" si="29"/>
        <v>54127777</v>
      </c>
      <c r="M41" s="9">
        <f t="shared" ca="1" si="29"/>
        <v>56339868.615951821</v>
      </c>
      <c r="N41" s="25">
        <f t="shared" ca="1" si="29"/>
        <v>599472275.52342439</v>
      </c>
      <c r="O41" s="1115">
        <f t="shared" ca="1" si="29"/>
        <v>1</v>
      </c>
      <c r="P41" s="1116"/>
    </row>
    <row r="42" spans="1:16" x14ac:dyDescent="0.25">
      <c r="A42" s="21" t="s">
        <v>43</v>
      </c>
      <c r="B42" s="22">
        <f t="shared" ref="B42:N42" ca="1" si="30">B41/B20</f>
        <v>0.29691992708941395</v>
      </c>
      <c r="C42" s="22">
        <f t="shared" ca="1" si="30"/>
        <v>0.28620913663733094</v>
      </c>
      <c r="D42" s="22">
        <f t="shared" ca="1" si="30"/>
        <v>0.30611284559117535</v>
      </c>
      <c r="E42" s="22">
        <f t="shared" ca="1" si="30"/>
        <v>0.26312810428900102</v>
      </c>
      <c r="F42" s="22">
        <f t="shared" ca="1" si="30"/>
        <v>0.32075798160042929</v>
      </c>
      <c r="G42" s="22">
        <f t="shared" ca="1" si="30"/>
        <v>0.19853793197761158</v>
      </c>
      <c r="H42" s="22">
        <f t="shared" ca="1" si="30"/>
        <v>0.27254566480122333</v>
      </c>
      <c r="I42" s="22">
        <f t="shared" ca="1" si="30"/>
        <v>0.24505704815989132</v>
      </c>
      <c r="J42" s="22">
        <f t="shared" ca="1" si="30"/>
        <v>0.29944514231954455</v>
      </c>
      <c r="K42" s="22">
        <f t="shared" ca="1" si="30"/>
        <v>0.31197345990679587</v>
      </c>
      <c r="L42" s="22">
        <f t="shared" ca="1" si="30"/>
        <v>0.30037445408183083</v>
      </c>
      <c r="M42" s="22">
        <f t="shared" ca="1" si="30"/>
        <v>0.29615994469960683</v>
      </c>
      <c r="N42" s="26">
        <f t="shared" ca="1" si="30"/>
        <v>0.28054747200151792</v>
      </c>
      <c r="O42" s="1116"/>
      <c r="P42" s="1116"/>
    </row>
    <row r="43" spans="1:16" ht="9.75" customHeight="1" x14ac:dyDescent="0.25">
      <c r="A43" s="21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6"/>
    </row>
    <row r="44" spans="1:16" x14ac:dyDescent="0.25">
      <c r="I44" s="37" t="s">
        <v>62</v>
      </c>
    </row>
    <row r="45" spans="1:16" x14ac:dyDescent="0.25">
      <c r="A45" s="13"/>
      <c r="B45" s="31" t="s">
        <v>58</v>
      </c>
      <c r="C45" s="31"/>
      <c r="D45" s="31"/>
      <c r="E45" s="31"/>
      <c r="F45" s="32" t="s">
        <v>59</v>
      </c>
      <c r="G45" s="31"/>
      <c r="H45" s="31"/>
      <c r="I45" s="31"/>
    </row>
    <row r="46" spans="1:16" s="5" customFormat="1" x14ac:dyDescent="0.25">
      <c r="A46" s="16" t="s">
        <v>30</v>
      </c>
      <c r="B46" s="16">
        <v>2015</v>
      </c>
      <c r="C46" s="16">
        <v>2016</v>
      </c>
      <c r="D46" s="16">
        <v>2017</v>
      </c>
      <c r="E46" s="16">
        <v>2018</v>
      </c>
      <c r="F46" s="16">
        <v>2015</v>
      </c>
      <c r="G46" s="16">
        <v>2016</v>
      </c>
      <c r="H46" s="16">
        <v>2017</v>
      </c>
      <c r="I46" s="16">
        <v>2018</v>
      </c>
    </row>
    <row r="47" spans="1:16" x14ac:dyDescent="0.25">
      <c r="A47" s="1" t="s">
        <v>33</v>
      </c>
      <c r="B47" s="3">
        <v>169374500</v>
      </c>
      <c r="C47" s="3">
        <v>156041000</v>
      </c>
      <c r="D47" s="3">
        <v>130545500</v>
      </c>
      <c r="E47" s="3">
        <v>112780800.00000001</v>
      </c>
      <c r="F47" s="3">
        <v>33702400</v>
      </c>
      <c r="G47" s="3">
        <v>36698800</v>
      </c>
      <c r="H47" s="3">
        <v>30946800</v>
      </c>
      <c r="I47" s="3">
        <v>24883477.677421972</v>
      </c>
    </row>
    <row r="48" spans="1:16" x14ac:dyDescent="0.25">
      <c r="A48" s="1" t="s">
        <v>46</v>
      </c>
      <c r="B48" s="3">
        <v>16645000</v>
      </c>
      <c r="C48" s="3">
        <v>254899000</v>
      </c>
      <c r="D48" s="3">
        <v>94273400</v>
      </c>
      <c r="E48" s="3">
        <v>510027650.00000006</v>
      </c>
      <c r="F48" s="3">
        <v>2891300</v>
      </c>
      <c r="G48" s="3">
        <v>48134500</v>
      </c>
      <c r="H48" s="3">
        <v>25110000</v>
      </c>
      <c r="I48" s="3">
        <v>150622340</v>
      </c>
    </row>
    <row r="49" spans="1:9" x14ac:dyDescent="0.25">
      <c r="A49" s="1" t="s">
        <v>34</v>
      </c>
      <c r="B49" s="3">
        <v>51778000</v>
      </c>
      <c r="C49" s="3">
        <v>48463000</v>
      </c>
      <c r="D49" s="3">
        <v>49826000</v>
      </c>
      <c r="E49" s="3">
        <v>52413900.000000007</v>
      </c>
      <c r="F49" s="3">
        <v>14188330</v>
      </c>
      <c r="G49" s="3">
        <v>10634320</v>
      </c>
      <c r="H49" s="3">
        <v>10117720</v>
      </c>
      <c r="I49" s="3">
        <v>10499742</v>
      </c>
    </row>
    <row r="50" spans="1:9" x14ac:dyDescent="0.25">
      <c r="A50" s="1" t="s">
        <v>35</v>
      </c>
      <c r="B50" s="3">
        <v>15203000</v>
      </c>
      <c r="C50" s="3">
        <v>26967500</v>
      </c>
      <c r="D50" s="3">
        <v>30172500</v>
      </c>
      <c r="E50" s="3">
        <v>43868000</v>
      </c>
      <c r="F50" s="3">
        <v>5463000</v>
      </c>
      <c r="G50" s="3">
        <v>10867500</v>
      </c>
      <c r="H50" s="3">
        <v>13402500</v>
      </c>
      <c r="I50" s="3">
        <v>19192250</v>
      </c>
    </row>
    <row r="51" spans="1:9" x14ac:dyDescent="0.25">
      <c r="A51" s="1" t="s">
        <v>40</v>
      </c>
      <c r="B51" s="3">
        <v>35420000</v>
      </c>
      <c r="C51" s="3">
        <v>201838500</v>
      </c>
      <c r="D51" s="3">
        <v>186977000</v>
      </c>
      <c r="E51" s="3">
        <v>359693395.60000002</v>
      </c>
      <c r="F51" s="3">
        <v>10087778.088479999</v>
      </c>
      <c r="G51" s="3">
        <v>70032843.338839024</v>
      </c>
      <c r="H51" s="3">
        <v>94625199.643777311</v>
      </c>
      <c r="I51" s="3">
        <v>130992838.47321622</v>
      </c>
    </row>
    <row r="52" spans="1:9" x14ac:dyDescent="0.25">
      <c r="A52" s="1" t="s">
        <v>36</v>
      </c>
      <c r="B52" s="3">
        <v>19243000</v>
      </c>
      <c r="C52" s="3">
        <v>133305500</v>
      </c>
      <c r="D52" s="3">
        <v>261114904</v>
      </c>
      <c r="E52" s="3">
        <v>169444407</v>
      </c>
      <c r="F52" s="3">
        <v>5777500</v>
      </c>
      <c r="G52" s="3">
        <v>45402695</v>
      </c>
      <c r="H52" s="3">
        <v>108869620.97</v>
      </c>
      <c r="I52" s="3">
        <v>34003630.904518314</v>
      </c>
    </row>
    <row r="53" spans="1:9" x14ac:dyDescent="0.25">
      <c r="A53" s="1" t="s">
        <v>37</v>
      </c>
      <c r="B53" s="3">
        <v>22121000</v>
      </c>
      <c r="C53" s="3">
        <v>37684000</v>
      </c>
      <c r="D53" s="3">
        <v>38178000</v>
      </c>
      <c r="E53" s="3">
        <v>64966000.000000007</v>
      </c>
      <c r="F53" s="3">
        <v>8046000</v>
      </c>
      <c r="G53" s="3">
        <v>6291500</v>
      </c>
      <c r="H53" s="3">
        <v>6624094</v>
      </c>
      <c r="I53" s="3">
        <v>14957800.000000002</v>
      </c>
    </row>
    <row r="54" spans="1:9" x14ac:dyDescent="0.25">
      <c r="A54" s="1" t="s">
        <v>39</v>
      </c>
      <c r="B54" s="3">
        <v>25917000</v>
      </c>
      <c r="C54" s="3">
        <v>136595800</v>
      </c>
      <c r="D54" s="3">
        <v>231635600</v>
      </c>
      <c r="E54" s="3">
        <v>195585500.00000003</v>
      </c>
      <c r="F54" s="3">
        <v>12642642</v>
      </c>
      <c r="G54" s="3">
        <v>45665516.762632422</v>
      </c>
      <c r="H54" s="3">
        <v>41161204.010939613</v>
      </c>
      <c r="I54" s="3">
        <v>77305934.723490536</v>
      </c>
    </row>
    <row r="55" spans="1:9" x14ac:dyDescent="0.25">
      <c r="A55" s="1" t="s">
        <v>38</v>
      </c>
      <c r="B55" s="3">
        <v>72432000</v>
      </c>
      <c r="C55" s="3">
        <v>62378500</v>
      </c>
      <c r="D55" s="3">
        <v>64689000</v>
      </c>
      <c r="E55" s="3">
        <v>95730250.000000015</v>
      </c>
      <c r="F55" s="3">
        <v>15128000</v>
      </c>
      <c r="G55" s="3">
        <v>13338500</v>
      </c>
      <c r="H55" s="3">
        <v>16754000</v>
      </c>
      <c r="I55" s="3">
        <v>27435650.000000004</v>
      </c>
    </row>
    <row r="56" spans="1:9" x14ac:dyDescent="0.25">
      <c r="A56" s="1" t="s">
        <v>32</v>
      </c>
      <c r="B56" s="3">
        <v>60295450</v>
      </c>
      <c r="C56" s="3">
        <v>24330000</v>
      </c>
      <c r="D56" s="3">
        <v>0</v>
      </c>
      <c r="E56" s="3">
        <v>0</v>
      </c>
      <c r="F56" s="3">
        <v>16544950</v>
      </c>
      <c r="G56" s="3">
        <v>6723000</v>
      </c>
      <c r="H56" s="3">
        <v>0</v>
      </c>
      <c r="I56" s="3">
        <v>0</v>
      </c>
    </row>
    <row r="57" spans="1:9" x14ac:dyDescent="0.25">
      <c r="A57" t="s">
        <v>1875</v>
      </c>
      <c r="B57" s="17"/>
      <c r="C57" s="17"/>
      <c r="D57" s="17">
        <v>77569000</v>
      </c>
      <c r="E57" s="17">
        <v>153699700</v>
      </c>
      <c r="F57" s="17"/>
      <c r="G57" s="17"/>
      <c r="H57" s="17">
        <v>8279020</v>
      </c>
      <c r="I57" s="17">
        <v>12563100.000000002</v>
      </c>
    </row>
    <row r="58" spans="1:9" x14ac:dyDescent="0.25">
      <c r="A58" t="s">
        <v>60</v>
      </c>
      <c r="B58" s="17">
        <v>4644000</v>
      </c>
      <c r="C58" s="17">
        <v>15256000</v>
      </c>
      <c r="D58" s="17">
        <v>49576000</v>
      </c>
      <c r="E58" s="17">
        <v>31918115.900000002</v>
      </c>
      <c r="F58" s="17">
        <v>2422000</v>
      </c>
      <c r="G58" s="17">
        <v>7365000</v>
      </c>
      <c r="H58" s="17">
        <v>42746000</v>
      </c>
      <c r="I58" s="17">
        <v>9083279.2864510231</v>
      </c>
    </row>
    <row r="59" spans="1:9" ht="17.25" thickBot="1" x14ac:dyDescent="0.3">
      <c r="A59" t="s">
        <v>1876</v>
      </c>
      <c r="B59" s="17"/>
      <c r="C59" s="17"/>
      <c r="D59" s="17"/>
      <c r="E59" s="17">
        <v>69850000</v>
      </c>
      <c r="F59" s="17"/>
      <c r="G59" s="17"/>
      <c r="H59" s="17"/>
      <c r="I59" s="17">
        <v>11005644.100000001</v>
      </c>
    </row>
    <row r="60" spans="1:9" ht="17.25" thickTop="1" x14ac:dyDescent="0.25">
      <c r="A60" s="18" t="s">
        <v>0</v>
      </c>
      <c r="B60" s="9">
        <f>SUM(B47:B58)</f>
        <v>493072950</v>
      </c>
      <c r="C60" s="9">
        <f>SUM(C47:C58)</f>
        <v>1097758800</v>
      </c>
      <c r="D60" s="9">
        <f>SUM(D47:D58)</f>
        <v>1214556904</v>
      </c>
      <c r="E60" s="9">
        <f>SUM(E47:E59)</f>
        <v>1859977718.5000002</v>
      </c>
      <c r="F60" s="9">
        <f>SUM(F47:F58)</f>
        <v>126893900.08848</v>
      </c>
      <c r="G60" s="9">
        <f>SUM(G47:G58)</f>
        <v>301154175.10147142</v>
      </c>
      <c r="H60" s="9">
        <f>SUM(H47:H58)</f>
        <v>398636158.62471688</v>
      </c>
      <c r="I60" s="9">
        <f>SUM(I47:I59)</f>
        <v>522545687.16509813</v>
      </c>
    </row>
    <row r="67" spans="1:8" x14ac:dyDescent="0.25">
      <c r="A67" s="1229"/>
      <c r="B67" s="1229"/>
      <c r="C67" s="5"/>
      <c r="D67" s="5"/>
      <c r="E67" s="5"/>
      <c r="F67" s="5"/>
      <c r="G67" s="1229"/>
      <c r="H67" s="1229"/>
    </row>
    <row r="86" spans="1:8" x14ac:dyDescent="0.25">
      <c r="A86" s="1229"/>
      <c r="B86" s="1229"/>
      <c r="C86" s="5"/>
      <c r="D86" s="5"/>
      <c r="E86" s="5"/>
      <c r="F86" s="5"/>
      <c r="G86" s="1230"/>
      <c r="H86" s="1230"/>
    </row>
    <row r="113" spans="2:23" x14ac:dyDescent="0.25">
      <c r="D113" s="1268" t="s">
        <v>1978</v>
      </c>
      <c r="E113" s="1268"/>
      <c r="F113" s="1268"/>
      <c r="G113" s="5"/>
      <c r="H113" s="5"/>
      <c r="I113" s="1268" t="s">
        <v>282</v>
      </c>
      <c r="J113" s="1268"/>
      <c r="K113" s="1268"/>
      <c r="L113" s="1095"/>
      <c r="M113" s="1268" t="s">
        <v>94</v>
      </c>
      <c r="N113" s="1268"/>
      <c r="O113" s="1268"/>
      <c r="P113" s="1095"/>
      <c r="Q113" s="1268" t="s">
        <v>75</v>
      </c>
      <c r="R113" s="1268"/>
      <c r="S113" s="1268"/>
      <c r="T113" s="1095"/>
      <c r="U113" s="1268" t="s">
        <v>281</v>
      </c>
      <c r="V113" s="1268"/>
      <c r="W113" s="1268"/>
    </row>
    <row r="114" spans="2:23" x14ac:dyDescent="0.25">
      <c r="B114" t="s">
        <v>1966</v>
      </c>
      <c r="D114" s="69">
        <v>2017.1</v>
      </c>
      <c r="E114" s="1097">
        <v>91183950</v>
      </c>
      <c r="F114" s="1097">
        <v>25920248.200000003</v>
      </c>
      <c r="G114" s="5"/>
      <c r="H114" s="5"/>
      <c r="I114" s="1098">
        <v>2017.1</v>
      </c>
      <c r="J114" s="1099">
        <v>64962150</v>
      </c>
      <c r="K114" s="1099">
        <v>14704560</v>
      </c>
      <c r="L114" s="5"/>
      <c r="M114" s="1098">
        <v>2017.1</v>
      </c>
      <c r="N114" s="1100">
        <v>12298000</v>
      </c>
      <c r="O114" s="1100">
        <v>3528562</v>
      </c>
      <c r="P114" s="5"/>
      <c r="Q114" s="1098">
        <v>2017.1</v>
      </c>
      <c r="R114" s="1101">
        <v>9801000</v>
      </c>
      <c r="S114" s="1101">
        <v>4250740</v>
      </c>
      <c r="T114" s="5"/>
      <c r="U114" s="1098">
        <v>2017.1</v>
      </c>
      <c r="V114" s="1101">
        <v>165000</v>
      </c>
      <c r="W114" s="1101">
        <v>150000</v>
      </c>
    </row>
    <row r="115" spans="2:23" x14ac:dyDescent="0.25">
      <c r="B115" t="s">
        <v>1967</v>
      </c>
      <c r="D115" s="69">
        <v>2017.2</v>
      </c>
      <c r="E115" s="1097">
        <v>120288300.00000001</v>
      </c>
      <c r="F115" s="1097">
        <v>49830217.485400006</v>
      </c>
      <c r="G115" s="5"/>
      <c r="H115" s="5"/>
      <c r="I115" s="1098">
        <v>2017.2</v>
      </c>
      <c r="J115" s="1099">
        <v>69975400</v>
      </c>
      <c r="K115" s="1099">
        <v>20204886</v>
      </c>
      <c r="L115" s="5"/>
      <c r="M115" s="1098">
        <v>2017.2</v>
      </c>
      <c r="N115" s="1100">
        <v>2510200</v>
      </c>
      <c r="O115" s="1100">
        <v>1064899</v>
      </c>
      <c r="P115" s="5"/>
      <c r="Q115" s="1098">
        <v>2017.2</v>
      </c>
      <c r="R115" s="1101">
        <v>39827700</v>
      </c>
      <c r="S115" s="1101">
        <v>17656413</v>
      </c>
      <c r="T115" s="5"/>
      <c r="U115" s="1098">
        <v>2017.2</v>
      </c>
      <c r="V115" s="1101">
        <v>7975000</v>
      </c>
      <c r="W115" s="1101">
        <v>7250000</v>
      </c>
    </row>
    <row r="116" spans="2:23" x14ac:dyDescent="0.25">
      <c r="B116" t="s">
        <v>1968</v>
      </c>
      <c r="D116" s="69">
        <v>2017.3</v>
      </c>
      <c r="E116" s="1097">
        <v>74016800</v>
      </c>
      <c r="F116" s="1097">
        <v>20414845</v>
      </c>
      <c r="G116" s="5"/>
      <c r="H116" s="5"/>
      <c r="I116" s="1098">
        <v>2017.3</v>
      </c>
      <c r="J116" s="1099">
        <v>59952200</v>
      </c>
      <c r="K116" s="1099">
        <v>13125140</v>
      </c>
      <c r="L116" s="5"/>
      <c r="M116" s="1098">
        <v>2017.3</v>
      </c>
      <c r="N116" s="1100">
        <v>1997600</v>
      </c>
      <c r="O116" s="1100">
        <v>742670</v>
      </c>
      <c r="P116" s="5"/>
      <c r="Q116" s="1098">
        <v>2017.3</v>
      </c>
      <c r="R116" s="1101">
        <v>12067000</v>
      </c>
      <c r="S116" s="1101">
        <v>4691140</v>
      </c>
      <c r="T116" s="5"/>
      <c r="U116" s="1098">
        <v>2017.3</v>
      </c>
      <c r="V116" s="1101">
        <v>0</v>
      </c>
      <c r="W116" s="1101">
        <v>0</v>
      </c>
    </row>
    <row r="117" spans="2:23" x14ac:dyDescent="0.25">
      <c r="B117" t="s">
        <v>1969</v>
      </c>
      <c r="D117" s="69">
        <v>2017.4</v>
      </c>
      <c r="E117" s="1097">
        <v>152866824</v>
      </c>
      <c r="F117" s="1097">
        <v>35432913.083610788</v>
      </c>
      <c r="G117" s="5"/>
      <c r="H117" s="5"/>
      <c r="I117" s="1098">
        <v>2017.4</v>
      </c>
      <c r="J117" s="1099">
        <f>([2]Consumables!C78)</f>
        <v>79137300</v>
      </c>
      <c r="K117" s="1099">
        <f>([2]Consumables!E78)</f>
        <v>16977984</v>
      </c>
      <c r="L117" s="5"/>
      <c r="M117" s="1098">
        <v>2017.4</v>
      </c>
      <c r="N117" s="1100">
        <v>57614524</v>
      </c>
      <c r="O117" s="1100">
        <v>51961110</v>
      </c>
      <c r="P117" s="5"/>
      <c r="Q117" s="1098">
        <v>2017.4</v>
      </c>
      <c r="R117" s="1101">
        <v>14300000</v>
      </c>
      <c r="S117" s="1101">
        <v>7084000</v>
      </c>
      <c r="T117" s="5"/>
      <c r="U117" s="1098">
        <v>2017.4</v>
      </c>
      <c r="V117" s="1101">
        <v>1815000</v>
      </c>
      <c r="W117" s="1101">
        <v>1650000</v>
      </c>
    </row>
    <row r="118" spans="2:23" x14ac:dyDescent="0.25">
      <c r="B118" t="s">
        <v>1970</v>
      </c>
      <c r="D118" s="69">
        <v>2017.5</v>
      </c>
      <c r="E118" s="1097">
        <v>162701220</v>
      </c>
      <c r="F118" s="1097">
        <v>31145686.13212616</v>
      </c>
      <c r="G118" s="5"/>
      <c r="H118" s="5"/>
      <c r="I118" s="1098">
        <v>2017.5</v>
      </c>
      <c r="J118" s="1099">
        <f>([2]Consumables!C91)</f>
        <v>51543800</v>
      </c>
      <c r="K118" s="1099">
        <f>([2]Consumables!E91)</f>
        <v>13433014</v>
      </c>
      <c r="L118" s="5"/>
      <c r="M118" s="1098">
        <v>2017.5</v>
      </c>
      <c r="N118" s="1100">
        <f ca="1">(Technotrans!C130)</f>
        <v>101026420</v>
      </c>
      <c r="O118" s="1100">
        <f ca="1">Technotrans!E130</f>
        <v>11831906.120114688</v>
      </c>
      <c r="P118" s="5"/>
      <c r="Q118" s="1098">
        <v>2017.5</v>
      </c>
      <c r="R118" s="1096">
        <f ca="1">GOSS!C115</f>
        <v>10131000.000000002</v>
      </c>
      <c r="S118" s="1096">
        <f ca="1">GOSS!E115</f>
        <v>4024340</v>
      </c>
      <c r="T118" s="5"/>
      <c r="U118" s="1098">
        <v>2017.5</v>
      </c>
      <c r="V118" s="1096">
        <v>0</v>
      </c>
      <c r="W118" s="1096">
        <v>0</v>
      </c>
    </row>
    <row r="119" spans="2:23" x14ac:dyDescent="0.25">
      <c r="B119" t="s">
        <v>1971</v>
      </c>
      <c r="D119" s="69">
        <v>2017.6</v>
      </c>
      <c r="E119" s="1097">
        <v>121503646.00000001</v>
      </c>
      <c r="F119" s="1097">
        <v>29065956.168284561</v>
      </c>
      <c r="G119" s="5"/>
      <c r="H119" s="5"/>
      <c r="I119" s="1098">
        <v>2017.6</v>
      </c>
      <c r="J119" s="1097">
        <f ca="1">(Consumables!C616)</f>
        <v>59820530</v>
      </c>
      <c r="K119" s="1097">
        <f ca="1">(Consumables!E616)</f>
        <v>12212120</v>
      </c>
      <c r="L119" s="5"/>
      <c r="M119" s="1098">
        <v>2017.6</v>
      </c>
      <c r="N119" s="50">
        <f ca="1">(Technotrans!C138)</f>
        <v>49144216</v>
      </c>
      <c r="O119" s="50">
        <f ca="1">Technotrans!E138</f>
        <v>7551889.7129664151</v>
      </c>
      <c r="P119" s="5"/>
      <c r="Q119" s="1098">
        <v>2017.6</v>
      </c>
      <c r="R119" s="1096">
        <f ca="1">GOSS!C120</f>
        <v>7628500</v>
      </c>
      <c r="S119" s="1096">
        <f ca="1">GOSS!E120</f>
        <v>6635000</v>
      </c>
      <c r="T119" s="5"/>
      <c r="U119" s="1098">
        <v>2017.6</v>
      </c>
      <c r="V119" s="1096">
        <f ca="1">서비스!C54</f>
        <v>1980000</v>
      </c>
      <c r="W119" s="1096">
        <f ca="1">서비스!E54</f>
        <v>1800000</v>
      </c>
    </row>
    <row r="120" spans="2:23" x14ac:dyDescent="0.25">
      <c r="B120" t="s">
        <v>1972</v>
      </c>
      <c r="D120" s="69">
        <v>2017.7</v>
      </c>
      <c r="E120" s="1097">
        <v>164497300</v>
      </c>
      <c r="F120" s="1097">
        <v>49151130.46116361</v>
      </c>
      <c r="G120" s="5"/>
      <c r="H120" s="5"/>
      <c r="I120" s="1098">
        <v>2017.7</v>
      </c>
      <c r="J120" s="1097">
        <f ca="1">(Consumables!C631)</f>
        <v>34566400</v>
      </c>
      <c r="K120" s="1097">
        <f ca="1">(Consumables!E631)</f>
        <v>7042240</v>
      </c>
      <c r="L120" s="5"/>
      <c r="M120" s="1098">
        <v>2017.7</v>
      </c>
      <c r="N120" s="50">
        <f ca="1">(Technotrans!C141)</f>
        <v>638000.00000000012</v>
      </c>
      <c r="O120" s="50">
        <f ca="1">Technotrans!E141</f>
        <v>310468</v>
      </c>
      <c r="P120" s="5"/>
      <c r="Q120" s="1098">
        <v>2017.7</v>
      </c>
      <c r="R120" s="1096">
        <f ca="1">GOSS!C125</f>
        <v>56672000</v>
      </c>
      <c r="S120" s="1096">
        <f ca="1">GOSS!E125</f>
        <v>51154000</v>
      </c>
      <c r="T120" s="5"/>
      <c r="U120" s="1098">
        <v>2017.7</v>
      </c>
      <c r="V120" s="1102">
        <v>0</v>
      </c>
      <c r="W120" s="1102">
        <v>0</v>
      </c>
    </row>
    <row r="121" spans="2:23" x14ac:dyDescent="0.25">
      <c r="B121" t="s">
        <v>1973</v>
      </c>
      <c r="D121" s="69">
        <v>2017.8</v>
      </c>
      <c r="E121" s="1097">
        <v>96671300.000000015</v>
      </c>
      <c r="F121" s="1097">
        <v>53233490.095591389</v>
      </c>
      <c r="G121" s="5"/>
      <c r="H121" s="5"/>
      <c r="I121" s="1098">
        <v>2017.8</v>
      </c>
      <c r="J121" s="1097">
        <f ca="1">(Consumables!C643)</f>
        <v>24847900</v>
      </c>
      <c r="K121" s="1097">
        <f ca="1">(Consumables!E643)</f>
        <v>5516460</v>
      </c>
      <c r="L121" s="5"/>
      <c r="M121" s="1098">
        <v>2017.8</v>
      </c>
      <c r="N121" s="50">
        <f ca="1">(Technotrans!C146)</f>
        <v>6526300.0000000009</v>
      </c>
      <c r="O121" s="50">
        <f ca="1">(Technotrans!E146)</f>
        <v>5326373.46</v>
      </c>
      <c r="P121" s="5"/>
      <c r="Q121" s="1098">
        <v>2017.8</v>
      </c>
      <c r="R121" s="1096">
        <f ca="1">GOSS!C129</f>
        <v>20306000</v>
      </c>
      <c r="S121" s="1096">
        <f ca="1">GOSS!E129</f>
        <v>15160000</v>
      </c>
      <c r="T121" s="5"/>
      <c r="U121" s="1098">
        <v>2017.8</v>
      </c>
      <c r="V121" s="1096">
        <f ca="1">서비스!C63</f>
        <v>29178600</v>
      </c>
      <c r="W121" s="1096">
        <f ca="1">서비스!E63</f>
        <v>26526000</v>
      </c>
    </row>
    <row r="122" spans="2:23" x14ac:dyDescent="0.25">
      <c r="B122" t="s">
        <v>1974</v>
      </c>
      <c r="D122" s="69">
        <v>2017.9</v>
      </c>
      <c r="E122" s="1097">
        <v>117079710.00000001</v>
      </c>
      <c r="F122" s="1097">
        <v>24329844.704880003</v>
      </c>
      <c r="G122" s="5"/>
      <c r="H122" s="5"/>
      <c r="I122" s="1098">
        <v>2017.9</v>
      </c>
      <c r="J122" s="1097">
        <v>94859710</v>
      </c>
      <c r="K122" s="1097">
        <v>12415940</v>
      </c>
      <c r="L122" s="5"/>
      <c r="M122" s="1098">
        <v>2017.9</v>
      </c>
      <c r="N122" s="50">
        <v>16850900.000000004</v>
      </c>
      <c r="O122" s="50">
        <v>5828492</v>
      </c>
      <c r="P122" s="5"/>
      <c r="Q122" s="1098">
        <v>2017.9</v>
      </c>
      <c r="R122" s="1096">
        <v>2784100</v>
      </c>
      <c r="S122" s="1096">
        <v>1405438.6407999999</v>
      </c>
      <c r="T122" s="5"/>
      <c r="U122" s="1098">
        <v>2017.9</v>
      </c>
      <c r="V122" s="1096">
        <v>2585000</v>
      </c>
      <c r="W122" s="1096"/>
    </row>
    <row r="123" spans="2:23" x14ac:dyDescent="0.25">
      <c r="B123" t="s">
        <v>1975</v>
      </c>
      <c r="D123" s="70">
        <v>2017.1</v>
      </c>
      <c r="E123" s="1097">
        <v>50236780.000000007</v>
      </c>
      <c r="F123" s="1097">
        <v>16945164.93742663</v>
      </c>
      <c r="G123" s="5"/>
      <c r="H123" s="5"/>
      <c r="I123" s="1103">
        <v>2017.1</v>
      </c>
      <c r="J123" s="1104">
        <v>37355780</v>
      </c>
      <c r="K123" s="1097">
        <v>7485900</v>
      </c>
      <c r="L123" s="5"/>
      <c r="M123" s="1103">
        <v>2017.1</v>
      </c>
      <c r="N123" s="1105">
        <v>770000.00000000012</v>
      </c>
      <c r="O123" s="1105">
        <v>323276.93000000005</v>
      </c>
      <c r="P123" s="5"/>
      <c r="Q123" s="1103">
        <v>2017.1</v>
      </c>
      <c r="R123" s="1106">
        <v>11781000</v>
      </c>
      <c r="S123" s="1106">
        <v>6274823.4676605724</v>
      </c>
      <c r="T123" s="5"/>
      <c r="U123" s="1103">
        <v>2017.1</v>
      </c>
      <c r="V123" s="1096">
        <v>1375000</v>
      </c>
      <c r="W123" s="1096"/>
    </row>
    <row r="124" spans="2:23" x14ac:dyDescent="0.25">
      <c r="B124" t="s">
        <v>1976</v>
      </c>
      <c r="D124" s="69">
        <v>2017.11</v>
      </c>
      <c r="E124" s="1097">
        <v>378070114.40000004</v>
      </c>
      <c r="F124" s="1097">
        <v>64080321.149834856</v>
      </c>
      <c r="G124" s="5"/>
      <c r="H124" s="5"/>
      <c r="I124" s="1098" t="s">
        <v>1940</v>
      </c>
      <c r="J124" s="1097">
        <v>42459120</v>
      </c>
      <c r="K124" s="1097">
        <v>9121620</v>
      </c>
      <c r="L124" s="5"/>
      <c r="M124" s="1098" t="s">
        <v>1940</v>
      </c>
      <c r="N124" s="50">
        <v>2618000</v>
      </c>
      <c r="O124" s="50">
        <v>566904.98325000005</v>
      </c>
      <c r="P124" s="5"/>
      <c r="Q124" s="1098" t="s">
        <v>1940</v>
      </c>
      <c r="R124" s="1096">
        <v>57145994.400000006</v>
      </c>
      <c r="S124" s="1096">
        <v>6731545.4089407772</v>
      </c>
      <c r="T124" s="5"/>
      <c r="U124" s="1098" t="s">
        <v>1940</v>
      </c>
      <c r="V124" s="1096">
        <v>11847000</v>
      </c>
      <c r="W124" s="1096"/>
    </row>
    <row r="125" spans="2:23" x14ac:dyDescent="0.25">
      <c r="B125" t="s">
        <v>1977</v>
      </c>
      <c r="D125" s="69">
        <v>2017.12</v>
      </c>
      <c r="E125" s="1097">
        <v>110110550.00000001</v>
      </c>
      <c r="F125" s="1097">
        <v>21719508.668870661</v>
      </c>
      <c r="G125" s="5"/>
      <c r="H125" s="5"/>
      <c r="I125" s="1098" t="s">
        <v>1941</v>
      </c>
      <c r="J125" s="1097">
        <v>52457350</v>
      </c>
      <c r="K125" s="1104">
        <v>12597180</v>
      </c>
      <c r="L125" s="5"/>
      <c r="M125" s="1098" t="s">
        <v>1941</v>
      </c>
      <c r="N125" s="50">
        <v>2442000</v>
      </c>
      <c r="O125" s="50">
        <v>894194.77750000008</v>
      </c>
      <c r="P125" s="5"/>
      <c r="Q125" s="1098" t="s">
        <v>1941</v>
      </c>
      <c r="R125" s="1096">
        <v>9394000</v>
      </c>
      <c r="S125" s="1096">
        <v>3559736.1032915059</v>
      </c>
      <c r="T125" s="5"/>
      <c r="U125" s="1098" t="s">
        <v>1941</v>
      </c>
      <c r="V125" s="1096">
        <v>275000</v>
      </c>
      <c r="W125" s="1096"/>
    </row>
    <row r="126" spans="2:23" x14ac:dyDescent="0.25">
      <c r="D126" s="1094" t="s">
        <v>1942</v>
      </c>
      <c r="E126" s="1097">
        <v>139712650</v>
      </c>
      <c r="F126" s="1097">
        <v>40641269.712313749</v>
      </c>
      <c r="G126" s="5"/>
      <c r="H126" s="5"/>
      <c r="I126" s="1094" t="s">
        <v>1942</v>
      </c>
      <c r="J126" s="1097">
        <v>32545150</v>
      </c>
      <c r="K126" s="1097">
        <v>6415300</v>
      </c>
      <c r="L126" s="5"/>
      <c r="M126" s="1094" t="s">
        <v>1942</v>
      </c>
      <c r="N126" s="1094"/>
      <c r="O126" s="1094"/>
      <c r="P126" s="5"/>
      <c r="Q126" s="1094" t="s">
        <v>1942</v>
      </c>
      <c r="R126" s="1094"/>
      <c r="S126" s="1094"/>
      <c r="T126" s="5"/>
      <c r="U126" s="1094" t="s">
        <v>1942</v>
      </c>
      <c r="V126" s="1094"/>
      <c r="W126" s="1094"/>
    </row>
    <row r="127" spans="2:23" x14ac:dyDescent="0.25">
      <c r="D127" s="1098" t="s">
        <v>1943</v>
      </c>
      <c r="E127" s="1097">
        <v>86353300</v>
      </c>
      <c r="F127" s="1097">
        <v>24464229.367953066</v>
      </c>
      <c r="G127" s="5"/>
      <c r="H127" s="5"/>
      <c r="I127" s="1098" t="s">
        <v>1943</v>
      </c>
      <c r="J127" s="1097">
        <v>39278800</v>
      </c>
      <c r="K127" s="1097">
        <v>8991025</v>
      </c>
      <c r="L127" s="5"/>
      <c r="M127" s="1098" t="s">
        <v>1943</v>
      </c>
      <c r="N127" s="1094"/>
      <c r="O127" s="1094"/>
      <c r="P127" s="5"/>
      <c r="Q127" s="1098" t="s">
        <v>1943</v>
      </c>
      <c r="R127" s="1094"/>
      <c r="S127" s="1094"/>
      <c r="T127" s="5"/>
      <c r="U127" s="1098" t="s">
        <v>1943</v>
      </c>
      <c r="V127" s="1094"/>
      <c r="W127" s="1094"/>
    </row>
    <row r="128" spans="2:23" x14ac:dyDescent="0.25">
      <c r="D128" s="1094" t="s">
        <v>1944</v>
      </c>
      <c r="E128" s="1097">
        <v>171509850.60000002</v>
      </c>
      <c r="F128" s="1097">
        <v>43969727.934274815</v>
      </c>
      <c r="G128" s="5"/>
      <c r="H128" s="5"/>
      <c r="I128" s="1094" t="s">
        <v>1944</v>
      </c>
      <c r="J128" s="1097">
        <v>35667500</v>
      </c>
      <c r="K128" s="1097">
        <v>8224420</v>
      </c>
      <c r="L128" s="5"/>
      <c r="M128" s="1094" t="s">
        <v>1944</v>
      </c>
      <c r="N128" s="1094"/>
      <c r="O128" s="1094"/>
      <c r="P128" s="5"/>
      <c r="Q128" s="1094" t="s">
        <v>1944</v>
      </c>
      <c r="R128" s="1094"/>
      <c r="S128" s="1094"/>
      <c r="T128" s="5"/>
      <c r="U128" s="1094" t="s">
        <v>1944</v>
      </c>
      <c r="V128" s="1094"/>
      <c r="W128" s="1094"/>
    </row>
    <row r="129" spans="4:23" x14ac:dyDescent="0.25">
      <c r="D129" s="1098" t="s">
        <v>1945</v>
      </c>
      <c r="E129" s="1097">
        <v>94646310.000000015</v>
      </c>
      <c r="F129" s="1097">
        <v>24733090.082699891</v>
      </c>
      <c r="G129" s="5"/>
      <c r="H129" s="5"/>
      <c r="I129" s="1098" t="s">
        <v>1945</v>
      </c>
      <c r="J129" s="1097">
        <v>32575400</v>
      </c>
      <c r="K129" s="1097">
        <v>7140260</v>
      </c>
      <c r="L129" s="5"/>
      <c r="M129" s="1098" t="s">
        <v>1945</v>
      </c>
      <c r="N129" s="1094"/>
      <c r="O129" s="1094"/>
      <c r="P129" s="5"/>
      <c r="Q129" s="1098" t="s">
        <v>1945</v>
      </c>
      <c r="R129" s="1094"/>
      <c r="S129" s="1094"/>
      <c r="T129" s="5"/>
      <c r="U129" s="1098" t="s">
        <v>1945</v>
      </c>
      <c r="V129" s="1094"/>
      <c r="W129" s="1094"/>
    </row>
    <row r="130" spans="4:23" x14ac:dyDescent="0.25">
      <c r="D130" s="1094" t="s">
        <v>1946</v>
      </c>
      <c r="E130" s="1097">
        <v>98123476.000000015</v>
      </c>
      <c r="F130" s="1097">
        <v>24584492.489805542</v>
      </c>
      <c r="G130" s="5"/>
      <c r="H130" s="5"/>
      <c r="I130" s="1094" t="s">
        <v>1946</v>
      </c>
      <c r="J130" s="1097">
        <v>42319200</v>
      </c>
      <c r="K130" s="1097">
        <v>8880000</v>
      </c>
      <c r="L130" s="5"/>
      <c r="M130" s="1094" t="s">
        <v>1946</v>
      </c>
      <c r="N130" s="1094"/>
      <c r="O130" s="1094"/>
      <c r="P130" s="5"/>
      <c r="Q130" s="1094" t="s">
        <v>1946</v>
      </c>
      <c r="R130" s="1094"/>
      <c r="S130" s="1094"/>
      <c r="T130" s="5"/>
      <c r="U130" s="1094" t="s">
        <v>1946</v>
      </c>
      <c r="V130" s="1094"/>
      <c r="W130" s="1094"/>
    </row>
    <row r="131" spans="4:23" x14ac:dyDescent="0.25">
      <c r="D131" s="1098" t="s">
        <v>1947</v>
      </c>
      <c r="E131" s="1097">
        <v>174292200.5</v>
      </c>
      <c r="F131" s="1097">
        <v>61914108.465000004</v>
      </c>
      <c r="G131" s="5"/>
      <c r="H131" s="5"/>
      <c r="I131" s="1098" t="s">
        <v>1947</v>
      </c>
      <c r="J131" s="1097">
        <v>54506100</v>
      </c>
      <c r="K131" s="1097">
        <v>11161540</v>
      </c>
      <c r="L131" s="5"/>
      <c r="M131" s="1098" t="s">
        <v>1947</v>
      </c>
      <c r="N131" s="1094"/>
      <c r="O131" s="1094"/>
      <c r="P131" s="5"/>
      <c r="Q131" s="1098" t="s">
        <v>1947</v>
      </c>
      <c r="R131" s="1094"/>
      <c r="S131" s="1094"/>
      <c r="T131" s="5"/>
      <c r="U131" s="1098" t="s">
        <v>1947</v>
      </c>
      <c r="V131" s="1094"/>
      <c r="W131" s="1094"/>
    </row>
    <row r="132" spans="4:23" x14ac:dyDescent="0.25">
      <c r="D132" s="1094" t="s">
        <v>1948</v>
      </c>
      <c r="E132" s="1097">
        <v>178678907</v>
      </c>
      <c r="F132" s="1097">
        <v>34121064.662902541</v>
      </c>
      <c r="G132" s="5"/>
      <c r="H132" s="5"/>
      <c r="I132" s="1094" t="s">
        <v>1948</v>
      </c>
      <c r="J132" s="1097">
        <v>46941125</v>
      </c>
      <c r="K132" s="1097">
        <v>10362930</v>
      </c>
      <c r="L132" s="5"/>
      <c r="M132" s="1094" t="s">
        <v>1948</v>
      </c>
      <c r="N132" s="1094"/>
      <c r="O132" s="1094"/>
      <c r="P132" s="5"/>
      <c r="Q132" s="1094" t="s">
        <v>1948</v>
      </c>
      <c r="R132" s="1094"/>
      <c r="S132" s="1094"/>
      <c r="T132" s="5"/>
      <c r="U132" s="1094" t="s">
        <v>1948</v>
      </c>
      <c r="V132" s="1094"/>
      <c r="W132" s="1094"/>
    </row>
    <row r="133" spans="4:23" x14ac:dyDescent="0.25">
      <c r="D133" s="1098" t="s">
        <v>1949</v>
      </c>
      <c r="E133" s="1097">
        <v>140410600</v>
      </c>
      <c r="F133" s="1097">
        <v>32778095.977000002</v>
      </c>
      <c r="G133" s="5"/>
      <c r="H133" s="5"/>
      <c r="I133" s="1098" t="s">
        <v>1949</v>
      </c>
      <c r="J133" s="1097">
        <v>35568500</v>
      </c>
      <c r="K133" s="1097">
        <v>7068360</v>
      </c>
      <c r="L133" s="5"/>
      <c r="M133" s="1098" t="s">
        <v>1949</v>
      </c>
      <c r="N133" s="1094"/>
      <c r="O133" s="1094"/>
      <c r="P133" s="5"/>
      <c r="Q133" s="1098" t="s">
        <v>1949</v>
      </c>
      <c r="R133" s="1094"/>
      <c r="S133" s="1094"/>
      <c r="T133" s="5"/>
      <c r="U133" s="1098" t="s">
        <v>1949</v>
      </c>
      <c r="V133" s="1094"/>
      <c r="W133" s="1094"/>
    </row>
    <row r="134" spans="4:23" x14ac:dyDescent="0.25">
      <c r="D134" s="1094" t="s">
        <v>1950</v>
      </c>
      <c r="E134" s="1097">
        <v>205276775.00000003</v>
      </c>
      <c r="F134" s="1097">
        <v>69796645.353281274</v>
      </c>
      <c r="G134" s="5"/>
      <c r="H134" s="5"/>
      <c r="I134" s="1094" t="s">
        <v>1950</v>
      </c>
      <c r="J134" s="1097">
        <v>67255375</v>
      </c>
      <c r="K134" s="1097">
        <v>14191610</v>
      </c>
      <c r="L134" s="5"/>
      <c r="M134" s="1094" t="s">
        <v>1950</v>
      </c>
      <c r="N134" s="1094"/>
      <c r="O134" s="1094"/>
      <c r="P134" s="5"/>
      <c r="Q134" s="1094" t="s">
        <v>1950</v>
      </c>
      <c r="R134" s="1094"/>
      <c r="S134" s="1094"/>
      <c r="T134" s="5"/>
      <c r="U134" s="1094" t="s">
        <v>1950</v>
      </c>
      <c r="V134" s="1094"/>
      <c r="W134" s="1094"/>
    </row>
    <row r="135" spans="4:23" x14ac:dyDescent="0.25">
      <c r="D135" s="1098" t="s">
        <v>1951</v>
      </c>
      <c r="E135" s="1097">
        <v>272418678.40000004</v>
      </c>
      <c r="F135" s="1097">
        <v>71955381.611969471</v>
      </c>
      <c r="G135" s="5"/>
      <c r="H135" s="5"/>
      <c r="I135" s="1098" t="s">
        <v>1951</v>
      </c>
      <c r="J135" s="1097">
        <v>74755450</v>
      </c>
      <c r="K135" s="1097">
        <v>20507409.235139053</v>
      </c>
      <c r="L135" s="5"/>
      <c r="M135" s="1098" t="s">
        <v>1951</v>
      </c>
      <c r="N135" s="1094"/>
      <c r="O135" s="1094"/>
      <c r="P135" s="5"/>
      <c r="Q135" s="1098" t="s">
        <v>1951</v>
      </c>
      <c r="R135" s="1094"/>
      <c r="S135" s="1094"/>
      <c r="T135" s="5"/>
      <c r="U135" s="1098" t="s">
        <v>1951</v>
      </c>
      <c r="V135" s="1094"/>
      <c r="W135" s="1094"/>
    </row>
    <row r="136" spans="4:23" x14ac:dyDescent="0.25">
      <c r="D136" s="1094" t="s">
        <v>1952</v>
      </c>
      <c r="E136" s="1097">
        <v>146242085</v>
      </c>
      <c r="F136" s="1097">
        <v>46509677.093716286</v>
      </c>
      <c r="G136" s="5"/>
      <c r="H136" s="5"/>
      <c r="I136" s="1094" t="s">
        <v>1952</v>
      </c>
      <c r="J136" s="1097">
        <v>42053715</v>
      </c>
      <c r="K136" s="1097">
        <v>10403297.462760564</v>
      </c>
      <c r="L136" s="5"/>
      <c r="M136" s="1094" t="s">
        <v>1952</v>
      </c>
      <c r="N136" s="1094"/>
      <c r="O136" s="1094"/>
      <c r="P136" s="5"/>
      <c r="Q136" s="1094" t="s">
        <v>1952</v>
      </c>
      <c r="R136" s="1094"/>
      <c r="S136" s="1094"/>
      <c r="T136" s="5"/>
      <c r="U136" s="1094" t="s">
        <v>1952</v>
      </c>
      <c r="V136" s="1094"/>
      <c r="W136" s="1094"/>
    </row>
    <row r="137" spans="4:23" x14ac:dyDescent="0.25">
      <c r="D137" s="1098" t="s">
        <v>1953</v>
      </c>
      <c r="E137" s="1097">
        <v>152312886</v>
      </c>
      <c r="F137" s="1097">
        <v>47077908.814181454</v>
      </c>
      <c r="G137" s="5"/>
      <c r="H137" s="5"/>
      <c r="I137" s="1098" t="s">
        <v>1953</v>
      </c>
      <c r="J137" s="1097">
        <v>69376010</v>
      </c>
      <c r="K137" s="1097">
        <v>17217852.481943659</v>
      </c>
      <c r="L137" s="5"/>
      <c r="M137" s="1098" t="s">
        <v>1953</v>
      </c>
      <c r="N137" s="1094"/>
      <c r="O137" s="1094"/>
      <c r="P137" s="5"/>
      <c r="Q137" s="1098" t="s">
        <v>1953</v>
      </c>
      <c r="R137" s="1094"/>
      <c r="S137" s="1094"/>
      <c r="T137" s="5"/>
      <c r="U137" s="1098" t="s">
        <v>1953</v>
      </c>
      <c r="V137" s="1094"/>
      <c r="W137" s="1094"/>
    </row>
    <row r="138" spans="4:23" x14ac:dyDescent="0.25">
      <c r="D138" s="1094" t="s">
        <v>1954</v>
      </c>
      <c r="E138" s="1097"/>
      <c r="F138" s="1097"/>
      <c r="G138" s="5"/>
      <c r="H138" s="5"/>
      <c r="I138" s="1094" t="s">
        <v>1954</v>
      </c>
      <c r="J138" s="1097">
        <v>106190150</v>
      </c>
      <c r="K138" s="1097">
        <v>21882502.120485917</v>
      </c>
      <c r="L138" s="5"/>
      <c r="M138" s="1094" t="s">
        <v>1954</v>
      </c>
      <c r="N138" s="1094"/>
      <c r="O138" s="1094"/>
      <c r="P138" s="5"/>
      <c r="Q138" s="1094" t="s">
        <v>1954</v>
      </c>
      <c r="R138" s="1094"/>
      <c r="S138" s="1094"/>
      <c r="T138" s="5"/>
      <c r="U138" s="1094" t="s">
        <v>1954</v>
      </c>
      <c r="V138" s="1094"/>
      <c r="W138" s="1094"/>
    </row>
    <row r="139" spans="4:23" x14ac:dyDescent="0.25">
      <c r="D139" s="1098" t="s">
        <v>1955</v>
      </c>
      <c r="E139" s="1097"/>
      <c r="F139" s="1097"/>
      <c r="G139" s="5"/>
      <c r="H139" s="5"/>
      <c r="I139" s="1098" t="s">
        <v>1955</v>
      </c>
      <c r="J139" s="1097">
        <v>35242900</v>
      </c>
      <c r="K139" s="1097">
        <v>6560723.2999999998</v>
      </c>
      <c r="L139" s="5"/>
      <c r="M139" s="1098" t="s">
        <v>1955</v>
      </c>
      <c r="N139" s="1094"/>
      <c r="O139" s="1094"/>
      <c r="P139" s="5"/>
      <c r="Q139" s="1098" t="s">
        <v>1955</v>
      </c>
      <c r="R139" s="1094"/>
      <c r="S139" s="1094"/>
      <c r="T139" s="5"/>
      <c r="U139" s="1098" t="s">
        <v>1955</v>
      </c>
      <c r="V139" s="1094"/>
      <c r="W139" s="1094"/>
    </row>
    <row r="140" spans="4:23" x14ac:dyDescent="0.25">
      <c r="D140" s="1094" t="s">
        <v>1956</v>
      </c>
      <c r="E140" s="1097"/>
      <c r="F140" s="1097"/>
      <c r="G140" s="5"/>
      <c r="H140" s="5"/>
      <c r="I140" s="1094" t="s">
        <v>1956</v>
      </c>
      <c r="J140" s="1097">
        <v>54861400</v>
      </c>
      <c r="K140" s="1097">
        <v>15644860</v>
      </c>
      <c r="L140" s="5"/>
      <c r="M140" s="1094" t="s">
        <v>1956</v>
      </c>
      <c r="N140" s="1094"/>
      <c r="O140" s="1094"/>
      <c r="P140" s="5"/>
      <c r="Q140" s="1094" t="s">
        <v>1956</v>
      </c>
      <c r="R140" s="1094"/>
      <c r="S140" s="1094"/>
      <c r="T140" s="5"/>
      <c r="U140" s="1094" t="s">
        <v>1956</v>
      </c>
      <c r="V140" s="1094"/>
      <c r="W140" s="1094"/>
    </row>
    <row r="141" spans="4:23" x14ac:dyDescent="0.25">
      <c r="D141" s="1098" t="s">
        <v>1957</v>
      </c>
      <c r="E141" s="1097"/>
      <c r="F141" s="1097"/>
      <c r="G141" s="5"/>
      <c r="H141" s="5"/>
      <c r="I141" s="1098" t="s">
        <v>1957</v>
      </c>
      <c r="J141" s="1097">
        <v>50532900</v>
      </c>
      <c r="K141" s="1097">
        <v>10756060</v>
      </c>
      <c r="L141" s="5"/>
      <c r="M141" s="1098" t="s">
        <v>1957</v>
      </c>
      <c r="N141" s="1094"/>
      <c r="O141" s="1094"/>
      <c r="P141" s="5"/>
      <c r="Q141" s="1098" t="s">
        <v>1957</v>
      </c>
      <c r="R141" s="1094"/>
      <c r="S141" s="1094"/>
      <c r="T141" s="5"/>
      <c r="U141" s="1098" t="s">
        <v>1957</v>
      </c>
      <c r="V141" s="1094"/>
      <c r="W141" s="1094"/>
    </row>
    <row r="142" spans="4:23" x14ac:dyDescent="0.25">
      <c r="D142" s="1094" t="s">
        <v>1958</v>
      </c>
      <c r="E142" s="1097"/>
      <c r="F142" s="1097"/>
      <c r="G142" s="5"/>
      <c r="H142" s="5"/>
      <c r="I142" s="1094" t="s">
        <v>1958</v>
      </c>
      <c r="J142" s="1097">
        <v>44337700</v>
      </c>
      <c r="K142" s="1097">
        <v>8616270</v>
      </c>
      <c r="L142" s="5"/>
      <c r="M142" s="1094" t="s">
        <v>1958</v>
      </c>
      <c r="N142" s="1094"/>
      <c r="O142" s="1094"/>
      <c r="P142" s="5"/>
      <c r="Q142" s="1094" t="s">
        <v>1958</v>
      </c>
      <c r="R142" s="1094"/>
      <c r="S142" s="1094"/>
      <c r="T142" s="5"/>
      <c r="U142" s="1094" t="s">
        <v>1958</v>
      </c>
      <c r="V142" s="1094"/>
      <c r="W142" s="1094"/>
    </row>
    <row r="143" spans="4:23" x14ac:dyDescent="0.25">
      <c r="D143" s="1098" t="s">
        <v>1959</v>
      </c>
      <c r="E143" s="1097"/>
      <c r="F143" s="1097"/>
      <c r="G143" s="5"/>
      <c r="H143" s="5"/>
      <c r="I143" s="1098" t="s">
        <v>1959</v>
      </c>
      <c r="J143" s="1097">
        <f ca="1">Consumables!C941</f>
        <v>26085400</v>
      </c>
      <c r="K143" s="1097">
        <f ca="1">Consumables!E941</f>
        <v>6338560</v>
      </c>
      <c r="L143" s="5"/>
      <c r="M143" s="1098" t="s">
        <v>1959</v>
      </c>
      <c r="N143" s="1094"/>
      <c r="O143" s="1094"/>
      <c r="P143" s="5"/>
      <c r="Q143" s="1098" t="s">
        <v>1959</v>
      </c>
      <c r="R143" s="1094"/>
      <c r="S143" s="1094"/>
      <c r="T143" s="5"/>
      <c r="U143" s="1098" t="s">
        <v>1959</v>
      </c>
      <c r="V143" s="1094"/>
      <c r="W143" s="1094"/>
    </row>
    <row r="144" spans="4:23" x14ac:dyDescent="0.25">
      <c r="D144" s="1094" t="s">
        <v>1960</v>
      </c>
      <c r="E144" s="1097"/>
      <c r="F144" s="1097"/>
      <c r="G144" s="5"/>
      <c r="H144" s="5"/>
      <c r="I144" s="1094" t="s">
        <v>1960</v>
      </c>
      <c r="J144" s="1097">
        <f ca="1">Consumables!C956</f>
        <v>51543250</v>
      </c>
      <c r="K144" s="1097">
        <f ca="1">Consumables!E956</f>
        <v>11156516</v>
      </c>
      <c r="L144" s="5"/>
      <c r="M144" s="1094" t="s">
        <v>1960</v>
      </c>
      <c r="N144" s="1094"/>
      <c r="O144" s="1094"/>
      <c r="P144" s="5"/>
      <c r="Q144" s="1094" t="s">
        <v>1960</v>
      </c>
      <c r="R144" s="1094"/>
      <c r="S144" s="1094"/>
      <c r="T144" s="5"/>
      <c r="U144" s="1094" t="s">
        <v>1960</v>
      </c>
      <c r="V144" s="1094"/>
      <c r="W144" s="1094"/>
    </row>
    <row r="145" spans="4:23" x14ac:dyDescent="0.25">
      <c r="D145" s="1098" t="s">
        <v>1961</v>
      </c>
      <c r="E145" s="1097"/>
      <c r="F145" s="1097"/>
      <c r="G145" s="5"/>
      <c r="H145" s="5"/>
      <c r="I145" s="1098" t="s">
        <v>1961</v>
      </c>
      <c r="J145" s="1109">
        <f ca="1">Consumables!C968</f>
        <v>87579250</v>
      </c>
      <c r="K145" s="1109">
        <f ca="1">Consumables!E968</f>
        <v>15606420</v>
      </c>
      <c r="L145" s="5"/>
      <c r="M145" s="1098" t="s">
        <v>1961</v>
      </c>
      <c r="N145" s="1094"/>
      <c r="O145" s="1094"/>
      <c r="P145" s="5"/>
      <c r="Q145" s="1098" t="s">
        <v>1961</v>
      </c>
      <c r="R145" s="1094"/>
      <c r="S145" s="1094"/>
      <c r="T145" s="5"/>
      <c r="U145" s="1098" t="s">
        <v>1961</v>
      </c>
      <c r="V145" s="1094"/>
      <c r="W145" s="1094"/>
    </row>
    <row r="146" spans="4:23" x14ac:dyDescent="0.25">
      <c r="D146" s="1094" t="s">
        <v>1962</v>
      </c>
      <c r="E146" s="1097"/>
      <c r="F146" s="1097"/>
      <c r="G146" s="5"/>
      <c r="H146" s="5"/>
      <c r="I146" s="1094" t="s">
        <v>1962</v>
      </c>
      <c r="J146" s="1094"/>
      <c r="K146" s="1094"/>
      <c r="L146" s="5"/>
      <c r="M146" s="1094" t="s">
        <v>1962</v>
      </c>
      <c r="N146" s="1094"/>
      <c r="O146" s="1094"/>
      <c r="P146" s="5"/>
      <c r="Q146" s="1094" t="s">
        <v>1962</v>
      </c>
      <c r="R146" s="1094"/>
      <c r="S146" s="1094"/>
      <c r="T146" s="5"/>
      <c r="U146" s="1094" t="s">
        <v>1962</v>
      </c>
      <c r="V146" s="1094"/>
      <c r="W146" s="1094"/>
    </row>
    <row r="147" spans="4:23" x14ac:dyDescent="0.25">
      <c r="D147" s="1098" t="s">
        <v>1963</v>
      </c>
      <c r="E147" s="1097"/>
      <c r="F147" s="1097"/>
      <c r="G147" s="5"/>
      <c r="H147" s="5"/>
      <c r="I147" s="1098" t="s">
        <v>1963</v>
      </c>
      <c r="J147" s="1094"/>
      <c r="K147" s="1094"/>
      <c r="L147" s="5"/>
      <c r="M147" s="1098" t="s">
        <v>1963</v>
      </c>
      <c r="N147" s="1094"/>
      <c r="O147" s="1094"/>
      <c r="P147" s="5"/>
      <c r="Q147" s="1098" t="s">
        <v>1963</v>
      </c>
      <c r="R147" s="1094"/>
      <c r="S147" s="1094"/>
      <c r="T147" s="5"/>
      <c r="U147" s="1098" t="s">
        <v>1963</v>
      </c>
      <c r="V147" s="1094"/>
      <c r="W147" s="1094"/>
    </row>
    <row r="148" spans="4:23" x14ac:dyDescent="0.25">
      <c r="D148" s="1094" t="s">
        <v>1964</v>
      </c>
      <c r="E148" s="1097"/>
      <c r="F148" s="1097"/>
      <c r="G148" s="5"/>
      <c r="H148" s="5"/>
      <c r="I148" s="1094" t="s">
        <v>1964</v>
      </c>
      <c r="J148" s="1094"/>
      <c r="K148" s="1094"/>
      <c r="L148" s="5"/>
      <c r="M148" s="1094" t="s">
        <v>1964</v>
      </c>
      <c r="N148" s="1094"/>
      <c r="O148" s="1094"/>
      <c r="P148" s="5"/>
      <c r="Q148" s="1094" t="s">
        <v>1964</v>
      </c>
      <c r="R148" s="1094"/>
      <c r="S148" s="1094"/>
      <c r="T148" s="5"/>
      <c r="U148" s="1094" t="s">
        <v>1964</v>
      </c>
      <c r="V148" s="1094"/>
      <c r="W148" s="1094"/>
    </row>
    <row r="149" spans="4:23" x14ac:dyDescent="0.25">
      <c r="D149" s="1098" t="s">
        <v>1965</v>
      </c>
      <c r="E149" s="1097"/>
      <c r="F149" s="1097"/>
      <c r="G149" s="5"/>
      <c r="H149" s="5"/>
      <c r="I149" s="1098" t="s">
        <v>1965</v>
      </c>
      <c r="J149" s="1094"/>
      <c r="K149" s="1094"/>
      <c r="L149" s="5"/>
      <c r="M149" s="1098" t="s">
        <v>1965</v>
      </c>
      <c r="N149" s="1094"/>
      <c r="O149" s="1094"/>
      <c r="P149" s="5"/>
      <c r="Q149" s="1098" t="s">
        <v>1965</v>
      </c>
      <c r="R149" s="1094"/>
      <c r="S149" s="1094"/>
      <c r="T149" s="5"/>
      <c r="U149" s="1098" t="s">
        <v>1965</v>
      </c>
      <c r="V149" s="1094"/>
      <c r="W149" s="1094"/>
    </row>
  </sheetData>
  <mergeCells count="9">
    <mergeCell ref="M113:O113"/>
    <mergeCell ref="Q113:S113"/>
    <mergeCell ref="U113:W113"/>
    <mergeCell ref="A67:B67"/>
    <mergeCell ref="G67:H67"/>
    <mergeCell ref="A86:B86"/>
    <mergeCell ref="G86:H86"/>
    <mergeCell ref="D113:F113"/>
    <mergeCell ref="I113:K113"/>
  </mergeCells>
  <phoneticPr fontId="30" type="noConversion"/>
  <printOptions horizontalCentered="1"/>
  <pageMargins left="0.23622047244094491" right="0.19685039370078741" top="0.11811023622047245" bottom="0.19685039370078741" header="0.11811023622047245" footer="0.11811023622047245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>
    <pageSetUpPr fitToPage="1"/>
  </sheetPr>
  <dimension ref="A1:W294"/>
  <sheetViews>
    <sheetView zoomScale="70" zoomScaleNormal="70" workbookViewId="0">
      <selection activeCell="G34" sqref="G34"/>
    </sheetView>
  </sheetViews>
  <sheetFormatPr defaultRowHeight="16.5" x14ac:dyDescent="0.25"/>
  <cols>
    <col min="1" max="1" width="15.22265625" customWidth="1"/>
    <col min="2" max="4" width="12.625" bestFit="1" customWidth="1"/>
    <col min="5" max="5" width="16.95703125" bestFit="1" customWidth="1"/>
    <col min="6" max="6" width="15.71875" bestFit="1" customWidth="1"/>
    <col min="7" max="8" width="12.625" bestFit="1" customWidth="1"/>
    <col min="9" max="13" width="12.625" customWidth="1"/>
    <col min="14" max="14" width="15.71875" customWidth="1"/>
    <col min="15" max="15" width="12.5" bestFit="1" customWidth="1"/>
    <col min="16" max="23" width="20.30078125" customWidth="1"/>
  </cols>
  <sheetData>
    <row r="1" spans="1:16" ht="23.25" customHeight="1" x14ac:dyDescent="0.25">
      <c r="A1" s="12" t="s">
        <v>29</v>
      </c>
    </row>
    <row r="2" spans="1:16" x14ac:dyDescent="0.25">
      <c r="A2" s="13"/>
      <c r="B2" s="14">
        <v>2018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6" x14ac:dyDescent="0.25">
      <c r="A3" s="15" t="s">
        <v>30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>
        <v>12</v>
      </c>
      <c r="N3" s="16" t="s">
        <v>31</v>
      </c>
      <c r="O3" s="5" t="s">
        <v>51</v>
      </c>
    </row>
    <row r="4" spans="1:16" x14ac:dyDescent="0.25">
      <c r="A4" s="1110" t="s">
        <v>33</v>
      </c>
      <c r="B4" s="4">
        <f ca="1">SUMIF(INDIRECT("Report!I566:I642"),A4,INDIRECT("Report!G566:G642"))</f>
        <v>8265000</v>
      </c>
      <c r="C4" s="4">
        <f ca="1">SUMIF(INDIRECT("Report!I643:I729"),A4,INDIRECT("Report!G643:G729"))</f>
        <v>5500000</v>
      </c>
      <c r="D4" s="4">
        <f ca="1">SUMIF(INDIRECT("Report!I730:I808"),A4,INDIRECT("Report!G730:G808"))</f>
        <v>8828000</v>
      </c>
      <c r="E4" s="4">
        <f ca="1">SUMIF(INDIRECT("Report!I809:I883"),A4,INDIRECT("Report!G809:G883"))</f>
        <v>3142000</v>
      </c>
      <c r="F4" s="4">
        <f ca="1">SUMIF(INDIRECT("Report!I884:I967"),A4,INDIRECT("Report!G884:G967"))</f>
        <v>12432000</v>
      </c>
      <c r="G4" s="4">
        <f ca="1">SUMIF(INDIRECT("Report!I968:I1063"),A4,INDIRECT("Report!G968:G1063"))</f>
        <v>5528000</v>
      </c>
      <c r="H4" s="4">
        <f ca="1">SUMIF(INDIRECT("Report!I1064:I1152"),A4,INDIRECT("Report!G1064:G1152"))</f>
        <v>8475000</v>
      </c>
      <c r="I4" s="4">
        <f ca="1">SUMIF(INDIRECT("Report!I1153:I1224"),A4,INDIRECT("Report!G1153:G1224"))</f>
        <v>6588000</v>
      </c>
      <c r="J4" s="4">
        <f ca="1">SUMIF(INDIRECT("Report!I1225:I1304"),A4,INDIRECT("Report!G1225:G1304"))</f>
        <v>4090000</v>
      </c>
      <c r="K4" s="4">
        <f ca="1">SUMIF(INDIRECT("Report!I1305:I1424"),A4,INDIRECT("Report!G1305:G1424"))</f>
        <v>15428000</v>
      </c>
      <c r="L4" s="4">
        <f ca="1">SUMIF(INDIRECT("Report!I1426:I1542"),A4,INDIRECT("Report!G1426:G1542"))</f>
        <v>7990000</v>
      </c>
      <c r="M4" s="4">
        <f ca="1">SUMIF(INDIRECT("Report!I1543:I1675"),A4,INDIRECT("Report!G1543:G1675"))</f>
        <v>16262000</v>
      </c>
      <c r="N4" s="1111">
        <f t="shared" ref="N4:N16" ca="1" si="0">SUM(B4:M4)</f>
        <v>102528000</v>
      </c>
      <c r="O4" s="1115">
        <f t="shared" ref="O4:O17" ca="1" si="1">N4/$N$17</f>
        <v>5.4683729340673545E-2</v>
      </c>
      <c r="P4" s="1116"/>
    </row>
    <row r="5" spans="1:16" x14ac:dyDescent="0.25">
      <c r="A5" s="1110" t="s">
        <v>46</v>
      </c>
      <c r="B5" s="4">
        <f ca="1">SUMIF(INDIRECT("Report!I566:I642"),A5,INDIRECT("Report!G566:G642"))</f>
        <v>22572000</v>
      </c>
      <c r="C5" s="4">
        <f ca="1">SUMIF(INDIRECT("Report!I643:I729"),A5,INDIRECT("Report!G643:G729"))</f>
        <v>19951500</v>
      </c>
      <c r="D5" s="4">
        <f ca="1">SUMIF(INDIRECT("Report!I730:I808"),A5,INDIRECT("Report!G730:G808"))</f>
        <v>41245000</v>
      </c>
      <c r="E5" s="4">
        <f ca="1">SUMIF(INDIRECT("Report!I809:I883"),A5,INDIRECT("Report!G809:G883"))</f>
        <v>49619100</v>
      </c>
      <c r="F5" s="4">
        <f ca="1">SUMIF(INDIRECT("Report!I884:I967"),A5,INDIRECT("Report!G884:G967"))</f>
        <v>12110000</v>
      </c>
      <c r="G5" s="4">
        <f ca="1">SUMIF(INDIRECT("Report!I968:I1063"),A5,INDIRECT("Report!G968:G1063"))</f>
        <v>22809000</v>
      </c>
      <c r="H5" s="4">
        <f ca="1">SUMIF(INDIRECT("Report!I1064:I1152"),A5,INDIRECT("Report!G1064:G1152"))</f>
        <v>22845000</v>
      </c>
      <c r="I5" s="4">
        <f ca="1">SUMIF(INDIRECT("Report!I1153:I1224"),A5,INDIRECT("Report!G1153:G1224"))</f>
        <v>50470000</v>
      </c>
      <c r="J5" s="4">
        <f ca="1">SUMIF(INDIRECT("Report!I1225:I1304"),A5,INDIRECT("Report!G1225:G1304"))</f>
        <v>46554250</v>
      </c>
      <c r="K5" s="4">
        <f ca="1">SUMIF(INDIRECT("Report!I1305:I1424"),A5,INDIRECT("Report!G1305:G1424"))</f>
        <v>62772000</v>
      </c>
      <c r="L5" s="4">
        <f ca="1">SUMIF(INDIRECT("Report!I1426:I1542"),A5,INDIRECT("Report!G1426:G1542"))</f>
        <v>61281650</v>
      </c>
      <c r="M5" s="4">
        <f ca="1">SUMIF(INDIRECT("Report!I1543:I1675"),A5,INDIRECT("Report!G1543:G1675"))</f>
        <v>60057600</v>
      </c>
      <c r="N5" s="1111">
        <f t="shared" ca="1" si="0"/>
        <v>472287100</v>
      </c>
      <c r="O5" s="1115">
        <f t="shared" ca="1" si="1"/>
        <v>0.25189626197225751</v>
      </c>
      <c r="P5" s="1116"/>
    </row>
    <row r="6" spans="1:16" x14ac:dyDescent="0.25">
      <c r="A6" s="1110" t="s">
        <v>34</v>
      </c>
      <c r="B6" s="4">
        <f ca="1">SUMIF(INDIRECT("Report!I566:I642"),A6,INDIRECT("Report!G566:G642"))</f>
        <v>2434000</v>
      </c>
      <c r="C6" s="4">
        <f ca="1">SUMIF(INDIRECT("Report!I643:I729"),A6,INDIRECT("Report!G643:G729"))</f>
        <v>7005000</v>
      </c>
      <c r="D6" s="4">
        <f ca="1">SUMIF(INDIRECT("Report!I730:I808"),A6,INDIRECT("Report!G730:G808"))</f>
        <v>1706000</v>
      </c>
      <c r="E6" s="4">
        <f ca="1">SUMIF(INDIRECT("Report!I809:I883"),A6,INDIRECT("Report!G809:G883"))</f>
        <v>2434000</v>
      </c>
      <c r="F6" s="4">
        <f ca="1">SUMIF(INDIRECT("Report!I884:I967"),A6,INDIRECT("Report!G884:G967"))</f>
        <v>0</v>
      </c>
      <c r="G6" s="4">
        <f ca="1">SUMIF(INDIRECT("Report!I968:I1063"),A6,INDIRECT("Report!G968:G1063"))</f>
        <v>6667000</v>
      </c>
      <c r="H6" s="4">
        <f ca="1">SUMIF(INDIRECT("Report!I1064:I1152"),A6,INDIRECT("Report!G1064:G1152"))</f>
        <v>7395000</v>
      </c>
      <c r="I6" s="4">
        <f ca="1">SUMIF(INDIRECT("Report!I1153:I1224"),A6,INDIRECT("Report!G1153:G1224"))</f>
        <v>2568000</v>
      </c>
      <c r="J6" s="4">
        <f ca="1">SUMIF(INDIRECT("Report!I1225:I1304"),A6,INDIRECT("Report!G1225:G1304"))</f>
        <v>2475000</v>
      </c>
      <c r="K6" s="4">
        <f ca="1">SUMIF(INDIRECT("Report!I1305:I1424"),A6,INDIRECT("Report!G1305:G1424"))</f>
        <v>5002000</v>
      </c>
      <c r="L6" s="4">
        <f ca="1">SUMIF(INDIRECT("Report!I1426:I1542"),A6,INDIRECT("Report!G1426:G1542"))</f>
        <v>7436000</v>
      </c>
      <c r="M6" s="4">
        <f ca="1">SUMIF(INDIRECT("Report!I1543:I1675"),A6,INDIRECT("Report!G1543:G1675"))</f>
        <v>2822000</v>
      </c>
      <c r="N6" s="1111">
        <f t="shared" ca="1" si="0"/>
        <v>47944000</v>
      </c>
      <c r="O6" s="1115">
        <f t="shared" ca="1" si="1"/>
        <v>2.557112905264174E-2</v>
      </c>
      <c r="P6" s="1116"/>
    </row>
    <row r="7" spans="1:16" x14ac:dyDescent="0.25">
      <c r="A7" s="1110" t="s">
        <v>35</v>
      </c>
      <c r="B7" s="4">
        <f ca="1">SUMIF(INDIRECT("Report!I566:I642"),A7,INDIRECT("Report!G566:G642"))</f>
        <v>2255000</v>
      </c>
      <c r="C7" s="4">
        <f ca="1">SUMIF(INDIRECT("Report!I643:I729"),A7,INDIRECT("Report!G643:G729"))</f>
        <v>3115000</v>
      </c>
      <c r="D7" s="4">
        <f ca="1">SUMIF(INDIRECT("Report!I730:I808"),A7,INDIRECT("Report!G730:G808"))</f>
        <v>2350000</v>
      </c>
      <c r="E7" s="4">
        <f ca="1">SUMIF(INDIRECT("Report!I809:I883"),A7,INDIRECT("Report!G809:G883"))</f>
        <v>2840000</v>
      </c>
      <c r="F7" s="4">
        <f ca="1">SUMIF(INDIRECT("Report!I884:I967"),A7,INDIRECT("Report!G884:G967"))</f>
        <v>1715000</v>
      </c>
      <c r="G7" s="4">
        <f ca="1">SUMIF(INDIRECT("Report!I968:I1063"),A7,INDIRECT("Report!G968:G1063"))</f>
        <v>3615000</v>
      </c>
      <c r="H7" s="4">
        <f ca="1">SUMIF(INDIRECT("Report!I1064:I1152"),A7,INDIRECT("Report!G1064:G1152"))</f>
        <v>1535000</v>
      </c>
      <c r="I7" s="4">
        <f ca="1">SUMIF(INDIRECT("Report!I1153:I1224"),A7,INDIRECT("Report!G1153:G1224"))</f>
        <v>5400000</v>
      </c>
      <c r="J7" s="4">
        <f ca="1">SUMIF(INDIRECT("Report!I1225:I1304"),A7,INDIRECT("Report!G1225:G1304"))</f>
        <v>1175000</v>
      </c>
      <c r="K7" s="4">
        <f ca="1">SUMIF(INDIRECT("Report!I1305:I1424"),A7,INDIRECT("Report!G1305:G1424"))</f>
        <v>5472500</v>
      </c>
      <c r="L7" s="4">
        <f ca="1">SUMIF(INDIRECT("Report!I1426:I1542"),A7,INDIRECT("Report!G1426:G1542"))</f>
        <v>4425000</v>
      </c>
      <c r="M7" s="4">
        <f ca="1">SUMIF(INDIRECT("Report!I1543:I1675"),A7,INDIRECT("Report!G1543:G1675"))</f>
        <v>5982500</v>
      </c>
      <c r="N7" s="1111">
        <f t="shared" ca="1" si="0"/>
        <v>39880000</v>
      </c>
      <c r="O7" s="1115">
        <f t="shared" ca="1" si="1"/>
        <v>2.1270161576408989E-2</v>
      </c>
      <c r="P7" s="1116"/>
    </row>
    <row r="8" spans="1:16" s="19" customFormat="1" x14ac:dyDescent="0.25">
      <c r="A8" s="1110" t="s">
        <v>40</v>
      </c>
      <c r="B8" s="4">
        <f ca="1">SUMIF(INDIRECT("Report!H566:H642"),A8,INDIRECT("Report!G566:G642"))</f>
        <v>17618000</v>
      </c>
      <c r="C8" s="4">
        <f ca="1">SUMIF(INDIRECT("Report!H643:H729"),A8,INDIRECT("Report!G643:G729"))</f>
        <v>9360000</v>
      </c>
      <c r="D8" s="4">
        <f ca="1">SUMIF(INDIRECT("Report!H730:H808"),A8,INDIRECT("Report!G730:G808"))</f>
        <v>61888046</v>
      </c>
      <c r="E8" s="4">
        <f ca="1">SUMIF(INDIRECT("Report!H809:H883"),A8,INDIRECT("Report!G809:G883"))+SUMIF(INDIRECT("Report!I809:I883"),A8,INDIRECT("Report!G809:G883"))</f>
        <v>5960000</v>
      </c>
      <c r="F8" s="4">
        <f ca="1">SUMIF(INDIRECT("Report!I884:I967"),A8,INDIRECT("Report!G884:G967"))+SUMIF(INDIRECT("Report!H884:H967"),A8,INDIRECT("Report!G884:G967"))</f>
        <v>24349160</v>
      </c>
      <c r="G8" s="4">
        <f ca="1">SUMIF(INDIRECT("Report!I968:I1063"),A8,INDIRECT("Report!G968:G1063"))+SUMIF(INDIRECT("Report!H968:H1063"),A8,INDIRECT("Report!G968:G1063"))</f>
        <v>73000000</v>
      </c>
      <c r="H8" s="4">
        <f ca="1">SUMIF(INDIRECT("Report!I1064:I1152"),A8,INDIRECT("Report!G1064:G1152"))+SUMIF(INDIRECT("Report!H1064:H1152"),A8,INDIRECT("Report!G1064:G1152"))</f>
        <v>3920000</v>
      </c>
      <c r="I8" s="4">
        <f ca="1">SUMIF(INDIRECT("Report!I1153:I1224"),A8,INDIRECT("Report!G1153:G1224"))+SUMIF(INDIRECT("Report!H1153:H1224"),A8,INDIRECT("Report!G1153:G1224"))</f>
        <v>0</v>
      </c>
      <c r="J8" s="4">
        <f ca="1">SUMIF(INDIRECT("Report!I1225:I1304"),A8,INDIRECT("Report!G1225:G1304"))+SUMIF(INDIRECT("Report!H1225:H1304"),A8,INDIRECT("Report!G1225:G1304"))</f>
        <v>3212000</v>
      </c>
      <c r="K8" s="4">
        <f ca="1">SUMIF(INDIRECT("Report!I1305:I1424"),A8,INDIRECT("Report!G1305:G1424"))+SUMIF(INDIRECT("Report!H1305:H1424"),A8,INDIRECT("Report!G1305:G1424"))</f>
        <v>96914030</v>
      </c>
      <c r="L8" s="4">
        <f ca="1">SUMIF(INDIRECT("Report!I1426:I1542"),A8,INDIRECT("Report!G1426:G1542"))+SUMIF(INDIRECT("Report!H1426:H1542"),A8,INDIRECT("Report!G1426:G1542"))</f>
        <v>28415539</v>
      </c>
      <c r="M8" s="4">
        <f ca="1">SUMIF(INDIRECT("Report!I1543:I1675"),A8,INDIRECT("Report!G1543:G1675"))+SUMIF(INDIRECT("Report!H1543:H1675"),B8,INDIRECT("Report!G1543:G1675"))</f>
        <v>100843775</v>
      </c>
      <c r="N8" s="1111">
        <f t="shared" ca="1" si="0"/>
        <v>425480550</v>
      </c>
      <c r="O8" s="1115">
        <f t="shared" ca="1" si="1"/>
        <v>0.22693179654261192</v>
      </c>
      <c r="P8" s="1116"/>
    </row>
    <row r="9" spans="1:16" x14ac:dyDescent="0.25">
      <c r="A9" s="1110" t="s">
        <v>1000</v>
      </c>
      <c r="B9" s="4">
        <f ca="1">SUMIF(INDIRECT("Report!I566:I642"),A9,INDIRECT("Report!G566:G642"))</f>
        <v>5035000</v>
      </c>
      <c r="C9" s="4">
        <f ca="1">SUMIF(INDIRECT("Report!I643:I729"),A9,INDIRECT("Report!G643:G729"))</f>
        <v>4970000</v>
      </c>
      <c r="D9" s="4">
        <f ca="1">SUMIF(INDIRECT("Report!I730:I808"),A9,INDIRECT("Report!G730:G808"))</f>
        <v>12060000</v>
      </c>
      <c r="E9" s="4">
        <f ca="1">SUMIF(INDIRECT("Report!I809:I883"),A9,INDIRECT("Report!G809:G883"))</f>
        <v>6148000</v>
      </c>
      <c r="F9" s="4">
        <f ca="1">SUMIF(INDIRECT("Report!I884:I967"),A9,INDIRECT("Report!G884:G967"))</f>
        <v>4770000</v>
      </c>
      <c r="G9" s="4">
        <f ca="1">SUMIF(INDIRECT("Report!I968:I1063"),A9,INDIRECT("Report!G968:G1063"))</f>
        <v>6797000</v>
      </c>
      <c r="H9" s="4">
        <f ca="1">SUMIF(INDIRECT("Report!I1064:I1152"),A9,INDIRECT("Report!G1064:G1152"))</f>
        <v>27437370</v>
      </c>
      <c r="I9" s="4">
        <f ca="1">SUMIF(INDIRECT("Report!I1153:I1224"),A9,INDIRECT("Report!G1153:G1224"))</f>
        <v>35135000</v>
      </c>
      <c r="J9" s="4">
        <f ca="1">SUMIF(INDIRECT("Report!I1225:I1304"),A9,INDIRECT("Report!G1225:G1304"))</f>
        <v>12005000</v>
      </c>
      <c r="K9" s="4">
        <f ca="1">SUMIF(INDIRECT("Report!I1305:I1424"),A9,INDIRECT("Report!G1305:G1424"))</f>
        <v>30483000</v>
      </c>
      <c r="L9" s="4">
        <f ca="1">SUMIF(INDIRECT("Report!I1426:I1542"),A9,INDIRECT("Report!G1426:G1542"))</f>
        <v>8460000</v>
      </c>
      <c r="M9" s="4">
        <f ca="1">SUMIF(INDIRECT("Report!I1543:I1675"),A9,INDIRECT("Report!G1543:G1675"))</f>
        <v>64085000</v>
      </c>
      <c r="N9" s="1111">
        <f t="shared" ca="1" si="0"/>
        <v>217385370</v>
      </c>
      <c r="O9" s="1115">
        <f t="shared" ca="1" si="1"/>
        <v>0.11594337874241353</v>
      </c>
      <c r="P9" s="1116"/>
    </row>
    <row r="10" spans="1:16" x14ac:dyDescent="0.25">
      <c r="A10" s="1110" t="s">
        <v>37</v>
      </c>
      <c r="B10" s="4">
        <f ca="1">SUMIF(INDIRECT("Report!I566:I638"),A10,INDIRECT("Report!G566:G638"))</f>
        <v>0</v>
      </c>
      <c r="C10" s="4">
        <f ca="1">SUMIF(INDIRECT("Report!I643:I729"),A10,INDIRECT("Report!G643:G729"))</f>
        <v>0</v>
      </c>
      <c r="D10" s="4">
        <f ca="1">SUMIF(INDIRECT("Report!I730:I808"),A10,INDIRECT("Report!G730:G808"))</f>
        <v>3680000</v>
      </c>
      <c r="E10" s="4">
        <f ca="1">SUMIF(INDIRECT("Report!H809:H883"),A10,INDIRECT("Report!G809:G883"))</f>
        <v>0</v>
      </c>
      <c r="F10" s="4">
        <f ca="1">SUMIF(INDIRECT("Report!I884:I967"),A10,INDIRECT("Report!G884:G967"))</f>
        <v>7050000</v>
      </c>
      <c r="G10" s="4">
        <f ca="1">SUMIF(INDIRECT("Report!I968:I1063"),A10,INDIRECT("Report!G968:G1063"))</f>
        <v>13990000</v>
      </c>
      <c r="H10" s="4">
        <f ca="1">SUMIF(INDIRECT("Report!I1064:I1152"),A10,INDIRECT("Report!G1064:G1152"))</f>
        <v>360000</v>
      </c>
      <c r="I10" s="4">
        <f ca="1">SUMIF(INDIRECT("Report!I1153:I1224"),A10,INDIRECT("Report!G1153:G1224"))</f>
        <v>0</v>
      </c>
      <c r="J10" s="4">
        <f ca="1">SUMIF(INDIRECT("Report!I1225:I1304"),A10,INDIRECT("Report!G1225:G1304"))</f>
        <v>33980000</v>
      </c>
      <c r="K10" s="4">
        <f ca="1">SUMIF(INDIRECT("Report!I1305:I1424"),A10,INDIRECT("Report!G1305:G1424"))</f>
        <v>0</v>
      </c>
      <c r="L10" s="4">
        <f ca="1">SUMIF(INDIRECT("Report!I1426:I1542"),A10,INDIRECT("Report!G1426:G1542"))</f>
        <v>0</v>
      </c>
      <c r="M10" s="4">
        <f ca="1">SUMIF(INDIRECT("Report!I1543:I1675"),A10,INDIRECT("Report!G1543:G1675"))</f>
        <v>0</v>
      </c>
      <c r="N10" s="1111">
        <f t="shared" ca="1" si="0"/>
        <v>59060000</v>
      </c>
      <c r="O10" s="1115">
        <f t="shared" ca="1" si="1"/>
        <v>3.1499893247309806E-2</v>
      </c>
      <c r="P10" s="1116"/>
    </row>
    <row r="11" spans="1:16" s="19" customFormat="1" x14ac:dyDescent="0.25">
      <c r="A11" s="1110" t="s">
        <v>39</v>
      </c>
      <c r="B11" s="4">
        <f ca="1">SUMIF(INDIRECT("Report!H566:H642"),A11,INDIRECT("Report!G566:G642"))</f>
        <v>50730000</v>
      </c>
      <c r="C11" s="4">
        <f ca="1">SUMIF(INDIRECT("Report!H643:H729"),A11,INDIRECT("Report!G643:G729"))</f>
        <v>11293000</v>
      </c>
      <c r="D11" s="4">
        <f ca="1">SUMIF(INDIRECT("Report!H730:H808"),A11,INDIRECT("Report!G730:G808"))</f>
        <v>7225000</v>
      </c>
      <c r="E11" s="4">
        <f ca="1">SUMIF(INDIRECT("Report!H809:H883"),A11,INDIRECT("Report!G809:G883"))</f>
        <v>1050000</v>
      </c>
      <c r="F11" s="4">
        <f ca="1">SUMIF(INDIRECT("Report!H884:H967"),A11,INDIRECT("Report!G884:G967"))</f>
        <v>3625000</v>
      </c>
      <c r="G11" s="4">
        <f ca="1">SUMIF(INDIRECT("Report!I968:I1063"),A11,INDIRECT("Report!G968:G1063"))+SUMIF(INDIRECT("Report!H968:H1063"),A11,INDIRECT("Report!G968:G1063"))</f>
        <v>9454000</v>
      </c>
      <c r="H11" s="4">
        <f ca="1">SUMIF(INDIRECT("Report!I1064:I1152"),A11,INDIRECT("Report!G1064:G1152"))+SUMIF(INDIRECT("Report!H1064:H1152"),A11,INDIRECT("Report!G1064:G1152"))</f>
        <v>4585000</v>
      </c>
      <c r="I11" s="4">
        <f ca="1">SUMIF(INDIRECT("Report!I1153:I1224"),A11,INDIRECT("Report!G1153:G1224"))+SUMIF(INDIRECT("Report!H1153:H1224"),A11,INDIRECT("Report!G1153:G1224"))</f>
        <v>400000</v>
      </c>
      <c r="J11" s="4">
        <f ca="1">SUMIF(INDIRECT("Report!I1225:I1304"),A11,INDIRECT("Report!G1225:G1304"))+SUMIF(INDIRECT("Report!H1225:H1304"),A11,INDIRECT("Report!G1225:G1304"))</f>
        <v>71410000</v>
      </c>
      <c r="K11" s="4">
        <f ca="1">SUMIF(INDIRECT("Report!I1305:I1424"),A11,INDIRECT("Report!G1305:G1424"))+SUMIF(INDIRECT("Report!H1305:H1424"),A11,INDIRECT("Report!G1305:G1424"))</f>
        <v>12415000</v>
      </c>
      <c r="L11" s="4">
        <f ca="1">SUMIF(INDIRECT("Report!I1426:I1542"),A11,INDIRECT("Report!G1426:G1542"))+SUMIF(INDIRECT("Report!H1426:H1542"),A11,INDIRECT("Report!G1426:G1542"))</f>
        <v>11068000</v>
      </c>
      <c r="M11" s="4">
        <f ca="1">SUMIF(INDIRECT("Report!I1543:I1675"),A11,INDIRECT("Report!G1543:G1675"))+SUMIF(INDIRECT("Report!H1543:H1675"),B11,INDIRECT("Report!G1543:G1675"))</f>
        <v>2350000</v>
      </c>
      <c r="N11" s="1111">
        <f t="shared" ca="1" si="0"/>
        <v>185605000</v>
      </c>
      <c r="O11" s="1115">
        <f t="shared" ca="1" si="1"/>
        <v>9.8993188048881409E-2</v>
      </c>
      <c r="P11" s="1116"/>
    </row>
    <row r="12" spans="1:16" x14ac:dyDescent="0.25">
      <c r="A12" s="1112" t="s">
        <v>38</v>
      </c>
      <c r="B12" s="4">
        <f ca="1">SUMIF(INDIRECT("Report!I566:I642"),A12,INDIRECT("Report!G566:G642"))</f>
        <v>9012500</v>
      </c>
      <c r="C12" s="4">
        <f ca="1">SUMIF(INDIRECT("Report!I643:I729"),A12,INDIRECT("Report!G643:G729"))</f>
        <v>10498000</v>
      </c>
      <c r="D12" s="4">
        <f ca="1">SUMIF(INDIRECT("Report!I730:I808"),A12,INDIRECT("Report!G730:G808"))</f>
        <v>5936000</v>
      </c>
      <c r="E12" s="4">
        <f ca="1">SUMIF(INDIRECT("Report!I809:I883"),A12,INDIRECT("Report!G809:G883"))</f>
        <v>5384000</v>
      </c>
      <c r="F12" s="4">
        <f ca="1">SUMIF(INDIRECT("Report!I884:I967"),A12,INDIRECT("Report!G884:G967"))</f>
        <v>7986000</v>
      </c>
      <c r="G12" s="4">
        <f ca="1">SUMIF(INDIRECT("Report!I968:I1063"),A12,INDIRECT("Report!G968:G1063"))</f>
        <v>5991000</v>
      </c>
      <c r="H12" s="4">
        <f ca="1">SUMIF(INDIRECT("Report!I1064:I1152"),A12,INDIRECT("Report!G1064:G1152"))</f>
        <v>8473000</v>
      </c>
      <c r="I12" s="4">
        <f ca="1">SUMIF(INDIRECT("Report!I1153:I1224"),A12,INDIRECT("Report!G1153:G1224"))</f>
        <v>5090000</v>
      </c>
      <c r="J12" s="4">
        <f ca="1">SUMIF(INDIRECT("Report!I1225:I1304"),A12,INDIRECT("Report!G1225:G1304"))</f>
        <v>3650000</v>
      </c>
      <c r="K12" s="4">
        <f ca="1">SUMIF(INDIRECT("Report!I1305:I1424"),A12,INDIRECT("Report!G1305:G1424"))</f>
        <v>12692000</v>
      </c>
      <c r="L12" s="4">
        <f ca="1">SUMIF(INDIRECT("Report!I1426:I1542"),A12,INDIRECT("Report!G1426:G1542"))</f>
        <v>3040000</v>
      </c>
      <c r="M12" s="4">
        <f ca="1">SUMIF(INDIRECT("Report!I1543:I1675"),A12,INDIRECT("Report!G1543:G1675"))</f>
        <v>12975000</v>
      </c>
      <c r="N12" s="1111">
        <f t="shared" ca="1" si="0"/>
        <v>90727500</v>
      </c>
      <c r="O12" s="1115">
        <f t="shared" ca="1" si="1"/>
        <v>4.8389884263381311E-2</v>
      </c>
      <c r="P12" s="1116"/>
    </row>
    <row r="13" spans="1:16" x14ac:dyDescent="0.25">
      <c r="A13" s="1113" t="s">
        <v>32</v>
      </c>
      <c r="B13" s="4">
        <f ca="1">SUMIF(INDIRECT("Report!I566:I638"),A13,INDIRECT("Report!G566:G638"))</f>
        <v>0</v>
      </c>
      <c r="C13" s="4">
        <f ca="1">SUMIF(INDIRECT("Report!I643:I729"),A13,INDIRECT("Report!G643:G729"))</f>
        <v>0</v>
      </c>
      <c r="D13" s="4">
        <f ca="1">SUMIF(INDIRECT("Report!I730:I808"),A13,INDIRECT("Report!G730:G808"))</f>
        <v>0</v>
      </c>
      <c r="E13" s="4">
        <f ca="1">SUMIF(INDIRECT("Report!I809:I883"),A13,INDIRECT("Report!G809:G883"))</f>
        <v>0</v>
      </c>
      <c r="F13" s="4">
        <f ca="1">SUMIF(INDIRECT("Report!I884:I967"),A13,INDIRECT("Report!G884:G967"))</f>
        <v>0</v>
      </c>
      <c r="G13" s="4">
        <f ca="1">SUMIF(INDIRECT("Report!I968:I1063"),A13,INDIRECT("Report!G968:G1063"))</f>
        <v>0</v>
      </c>
      <c r="H13" s="4">
        <f ca="1">SUMIF(INDIRECT("Report!I1064:I1152"),A13,INDIRECT("Report!G1064:G1152"))</f>
        <v>0</v>
      </c>
      <c r="I13" s="4">
        <f ca="1">SUMIF(INDIRECT("Report!I1153:I1224"),A13,INDIRECT("Report!G1153:G1224"))</f>
        <v>0</v>
      </c>
      <c r="J13" s="4">
        <f ca="1">SUMIF(INDIRECT("Report!I1225:I1304"),A13,INDIRECT("Report!G1225:G1304"))</f>
        <v>0</v>
      </c>
      <c r="K13" s="4">
        <f ca="1">SUMIF(INDIRECT("Report!I1305:I1424"),A13,INDIRECT("Report!G1305:G1424"))</f>
        <v>0</v>
      </c>
      <c r="L13" s="4">
        <f ca="1">SUMIF(INDIRECT("Report!I1426:I1542"),A13,INDIRECT("Report!G1426:G1542"))</f>
        <v>0</v>
      </c>
      <c r="M13" s="4">
        <f ca="1">SUMIF(INDIRECT("Report!I1543:I1675"),A13,INDIRECT("Report!G1543:G1675"))</f>
        <v>0</v>
      </c>
      <c r="N13" s="1111">
        <f t="shared" ca="1" si="0"/>
        <v>0</v>
      </c>
      <c r="O13" s="1115">
        <f t="shared" ca="1" si="1"/>
        <v>0</v>
      </c>
      <c r="P13" s="1116"/>
    </row>
    <row r="14" spans="1:16" x14ac:dyDescent="0.25">
      <c r="A14" s="1114" t="s">
        <v>104</v>
      </c>
      <c r="B14" s="4">
        <f ca="1">SUMIF(INDIRECT("Report!I566:I642"),A14,INDIRECT("Report!G566:G642"))</f>
        <v>8690000</v>
      </c>
      <c r="C14" s="4">
        <f ca="1">SUMIF(INDIRECT("Report!I643:I729"),A14,INDIRECT("Report!G643:G729"))</f>
        <v>7120000</v>
      </c>
      <c r="D14" s="4">
        <f ca="1">SUMIF(INDIRECT("Report!I730:I808"),A14,INDIRECT("Report!G730:G808"))</f>
        <v>12650000</v>
      </c>
      <c r="E14" s="4">
        <f ca="1">SUMIF(INDIRECT("Report!I809:I883"),A14,INDIRECT("Report!G809:G883"))</f>
        <v>9373000</v>
      </c>
      <c r="F14" s="4">
        <f ca="1">SUMIF(INDIRECT("Report!I884:I967"),A14,INDIRECT("Report!G884:G967"))</f>
        <v>15166000</v>
      </c>
      <c r="G14" s="4">
        <f ca="1">SUMIF(INDIRECT("Report!I968:I1063"),A14,INDIRECT("Report!G968:G1063"))</f>
        <v>13128000</v>
      </c>
      <c r="H14" s="4">
        <f ca="1">SUMIF(INDIRECT("Report!I1064:I1152"),A14,INDIRECT("Report!G1064:G1152"))</f>
        <v>13910000</v>
      </c>
      <c r="I14" s="4">
        <f ca="1">SUMIF(INDIRECT("Report!I1153:I1224"),A14,INDIRECT("Report!G1153:G1224"))</f>
        <v>7745000</v>
      </c>
      <c r="J14" s="4">
        <f ca="1">SUMIF(INDIRECT("Report!I1225:I1304"),A14,INDIRECT("Report!G1225:G1304"))</f>
        <v>14011000</v>
      </c>
      <c r="K14" s="4">
        <f ca="1">SUMIF(INDIRECT("Report!I1305:I1424"),A14,INDIRECT("Report!G1305:G1424"))</f>
        <v>14710000</v>
      </c>
      <c r="L14" s="4">
        <f ca="1">SUMIF(INDIRECT("Report!I1426:I1542"),A14,INDIRECT("Report!G1426:G1542"))</f>
        <v>10995000</v>
      </c>
      <c r="M14" s="4">
        <f ca="1">SUMIF(INDIRECT("Report!I1543:I1675"),A14,INDIRECT("Report!G1543:G1675"))</f>
        <v>14015000</v>
      </c>
      <c r="N14" s="1111">
        <f t="shared" ca="1" si="0"/>
        <v>141513000</v>
      </c>
      <c r="O14" s="1115">
        <f t="shared" ca="1" si="1"/>
        <v>7.5476538996047268E-2</v>
      </c>
      <c r="P14" s="1116"/>
    </row>
    <row r="15" spans="1:16" s="19" customFormat="1" x14ac:dyDescent="0.25">
      <c r="A15" s="1114" t="s">
        <v>603</v>
      </c>
      <c r="B15" s="4">
        <f ca="1">SUMIF(INDIRECT("Report!H566:H642"),A15,INDIRECT("Report!G566:G642"))</f>
        <v>400000</v>
      </c>
      <c r="C15" s="4">
        <f ca="1">SUMIF(INDIRECT("Report!H643:H729"),A15,INDIRECT("Report!G643:G729"))</f>
        <v>550000</v>
      </c>
      <c r="D15" s="4">
        <f ca="1">SUMIF(INDIRECT("Report!H730:H808"),A15,INDIRECT("Report!G730:G808"))</f>
        <v>0</v>
      </c>
      <c r="E15" s="4">
        <f ca="1">SUMIF(INDIRECT("Report!H809:H883"),A15,INDIRECT("Report!G809:G883"))</f>
        <v>1250000</v>
      </c>
      <c r="F15" s="4">
        <f ca="1">SUMIF(INDIRECT("Report!I884:I967"),A15,INDIRECT("Report!G884:G967"))</f>
        <v>0</v>
      </c>
      <c r="G15" s="4">
        <f ca="1">SUMIF(INDIRECT("Report!I968:I1063"),A15,INDIRECT("Report!G968:G1063"))+SUMIF(INDIRECT("Report!H968:H1063"),A15,INDIRECT("Report!G968:G1063"))</f>
        <v>5268455</v>
      </c>
      <c r="H15" s="4">
        <f ca="1">SUMIF(INDIRECT("Report!I1064:I1152"),A15,INDIRECT("Report!G1064:G1152"))</f>
        <v>0</v>
      </c>
      <c r="I15" s="4">
        <f ca="1">SUMIF(INDIRECT("Report!I1153:I1224"),A15,INDIRECT("Report!G1153:G1224"))+SUMIF(INDIRECT("Report!H1153:H1224"),A15,INDIRECT("Report!G1153:G1224"))</f>
        <v>14250000</v>
      </c>
      <c r="J15" s="4">
        <f ca="1">SUMIF(INDIRECT("Report!I1225:I1304"),A15,INDIRECT("Report!G1225:G1304"))+SUMIF(INDIRECT("Report!H1225:H1304"),A15,INDIRECT("Report!G1225:G1304"))</f>
        <v>0</v>
      </c>
      <c r="K15" s="4">
        <f ca="1">SUMIF(INDIRECT("Report!I1305:I1424"),A15,INDIRECT("Report!G1305:G1424"))+SUMIF(INDIRECT("Report!H1305:H1424"),A15,INDIRECT("Report!G1305:G1424"))</f>
        <v>4522814</v>
      </c>
      <c r="L15" s="4">
        <f ca="1">SUMIF(INDIRECT("Report!I1426:I1542"),A15,INDIRECT("Report!G1426:G1542"))+SUMIF(INDIRECT("Report!H1426:H1542"),A15,INDIRECT("Report!G1426:G1542"))</f>
        <v>2775200</v>
      </c>
      <c r="M15" s="4">
        <f ca="1">SUMIF(INDIRECT("Report!I1543:I1675"),A15,INDIRECT("Report!G1543:G1675"))+SUMIF(INDIRECT("Report!H1543:H1675"),B15,INDIRECT("Report!G1543:G1675"))</f>
        <v>0</v>
      </c>
      <c r="N15" s="1111">
        <f t="shared" ca="1" si="0"/>
        <v>29016469</v>
      </c>
      <c r="O15" s="1117">
        <f t="shared" ca="1" si="1"/>
        <v>1.5476052758446905E-2</v>
      </c>
      <c r="P15" s="1116"/>
    </row>
    <row r="16" spans="1:16" s="19" customFormat="1" ht="17.25" thickBot="1" x14ac:dyDescent="0.3">
      <c r="A16" s="1114" t="s">
        <v>1002</v>
      </c>
      <c r="B16" s="4">
        <f ca="1">SUMIF(INDIRECT("Report!H566:H638"),A16,INDIRECT("Report!G566:G638"))</f>
        <v>0</v>
      </c>
      <c r="C16" s="4">
        <f ca="1">SUMIF(INDIRECT("Report!I643:I729"),A16,INDIRECT("Report!G643:G729"))</f>
        <v>0</v>
      </c>
      <c r="D16" s="4">
        <f ca="1">SUMIF(INDIRECT("Report!H730:H808"),A16,INDIRECT("Report!G730:G808"))</f>
        <v>0</v>
      </c>
      <c r="E16" s="4">
        <f ca="1">SUMIF(INDIRECT("Report!H809:H883"),A16,INDIRECT("Report!G809:G883"))</f>
        <v>0</v>
      </c>
      <c r="F16" s="4">
        <f ca="1">SUMIF(INDIRECT("Report!I884:I967"),A16,INDIRECT("Report!G884:G967"))</f>
        <v>0</v>
      </c>
      <c r="G16" s="4">
        <f ca="1">SUMIF(INDIRECT("Report!I968:I1063"),A16,INDIRECT("Report!G968:G1063"))+SUMIF(INDIRECT("Report!H968:H1063"),A16,INDIRECT("Report!G968:G1063"))</f>
        <v>0</v>
      </c>
      <c r="H16" s="4">
        <f ca="1">SUMIF(INDIRECT("Report!I1064:I1152"),A16,INDIRECT("Report!G1064:G1152"))</f>
        <v>63500000</v>
      </c>
      <c r="I16" s="4">
        <f ca="1">SUMIF(INDIRECT("Report!I1153:I1224"),A16,INDIRECT("Report!G1153:G1224"))+SUMIF(INDIRECT("Report!H1153:H1224"),A16,INDIRECT("Report!G1153:G1224"))</f>
        <v>0</v>
      </c>
      <c r="J16" s="4">
        <f ca="1">SUMIF(INDIRECT("Report!I1225:I1304"),A16,INDIRECT("Report!G1225:G1304"))+SUMIF(INDIRECT("Report!H1225:H1304"),A16,INDIRECT("Report!G1225:G1304"))</f>
        <v>0</v>
      </c>
      <c r="K16" s="4">
        <f ca="1">SUMIF(INDIRECT("Report!I1305:I1424"),A16,INDIRECT("Report!G1305:G1424"))+SUMIF(INDIRECT("Report!H1305:H1424"),A16,INDIRECT("Report!G1305:G1424"))</f>
        <v>0</v>
      </c>
      <c r="L16" s="4">
        <f ca="1">SUMIF(INDIRECT("Report!I1426:I1542"),A16,INDIRECT("Report!G1426:G1542"))+SUMIF(INDIRECT("Report!H1426:H1542"),A16,INDIRECT("Report!G1426:G1542"))</f>
        <v>0</v>
      </c>
      <c r="M16" s="4">
        <f ca="1">SUMIF(INDIRECT("Report!I1543:I1675"),A16,INDIRECT("Report!G1543:G1675"))+SUMIF(INDIRECT("Report!H1543:H1675"),B16,INDIRECT("Report!G1543:G1675"))</f>
        <v>0</v>
      </c>
      <c r="N16" s="1111">
        <f t="shared" ca="1" si="0"/>
        <v>63500000</v>
      </c>
      <c r="O16" s="1117">
        <f t="shared" ca="1" si="1"/>
        <v>3.3867985458926046E-2</v>
      </c>
      <c r="P16" s="1116"/>
    </row>
    <row r="17" spans="1:16" ht="17.25" thickTop="1" x14ac:dyDescent="0.25">
      <c r="A17" s="1119" t="s">
        <v>1056</v>
      </c>
      <c r="B17" s="1120">
        <f t="shared" ref="B17:N17" ca="1" si="2">SUM(B4:B16)</f>
        <v>127011500</v>
      </c>
      <c r="C17" s="1120">
        <f t="shared" ca="1" si="2"/>
        <v>79362500</v>
      </c>
      <c r="D17" s="1120">
        <f t="shared" ca="1" si="2"/>
        <v>157568046</v>
      </c>
      <c r="E17" s="1120">
        <f t="shared" ca="1" si="2"/>
        <v>87200100</v>
      </c>
      <c r="F17" s="1120">
        <f t="shared" ca="1" si="2"/>
        <v>89203160</v>
      </c>
      <c r="G17" s="1120">
        <f t="shared" ca="1" si="2"/>
        <v>166247455</v>
      </c>
      <c r="H17" s="1120">
        <f t="shared" ca="1" si="2"/>
        <v>162435370</v>
      </c>
      <c r="I17" s="1120">
        <f t="shared" ca="1" si="2"/>
        <v>127646000</v>
      </c>
      <c r="J17" s="1120">
        <f t="shared" ca="1" si="2"/>
        <v>192562250</v>
      </c>
      <c r="K17" s="1120">
        <f t="shared" ca="1" si="2"/>
        <v>260411344</v>
      </c>
      <c r="L17" s="1120">
        <f t="shared" ca="1" si="2"/>
        <v>145886389</v>
      </c>
      <c r="M17" s="1120">
        <f t="shared" ca="1" si="2"/>
        <v>279392875</v>
      </c>
      <c r="N17" s="1121">
        <f t="shared" ca="1" si="2"/>
        <v>1874926989</v>
      </c>
      <c r="O17" s="1115">
        <f t="shared" ca="1" si="1"/>
        <v>1</v>
      </c>
      <c r="P17" s="1116"/>
    </row>
    <row r="18" spans="1:16" ht="10.5" customHeight="1" x14ac:dyDescent="0.25">
      <c r="A18" s="1116"/>
      <c r="B18" s="1116"/>
      <c r="C18" s="1116"/>
      <c r="D18" s="1116"/>
      <c r="E18" s="1116"/>
      <c r="F18" s="1116"/>
      <c r="G18" s="1116"/>
      <c r="H18" s="1116"/>
      <c r="I18" s="1116"/>
      <c r="J18" s="1116"/>
      <c r="K18" s="1116"/>
      <c r="L18" s="1116"/>
      <c r="M18" s="1122">
        <f ca="1">SUM(K17:M17)</f>
        <v>685690608</v>
      </c>
      <c r="N18" s="1116"/>
      <c r="O18" s="1116"/>
      <c r="P18" s="1116"/>
    </row>
    <row r="19" spans="1:16" ht="23.25" customHeight="1" x14ac:dyDescent="0.25">
      <c r="A19" s="1123" t="s">
        <v>41</v>
      </c>
      <c r="B19" s="1116"/>
      <c r="C19" s="1116"/>
      <c r="D19" s="1116"/>
      <c r="E19" s="1116"/>
      <c r="F19" s="1116"/>
      <c r="G19" s="1116"/>
      <c r="H19" s="1116"/>
      <c r="I19" s="1116"/>
      <c r="J19" s="1116"/>
      <c r="K19" s="1116"/>
      <c r="L19" s="1116"/>
      <c r="M19" s="1116"/>
      <c r="N19" s="1116"/>
      <c r="O19" s="1116"/>
      <c r="P19" s="1116"/>
    </row>
    <row r="20" spans="1:16" x14ac:dyDescent="0.25">
      <c r="A20" s="1124"/>
      <c r="B20" s="1125">
        <v>2018</v>
      </c>
      <c r="C20" s="1125"/>
      <c r="D20" s="1125"/>
      <c r="E20" s="1125"/>
      <c r="F20" s="1125"/>
      <c r="G20" s="1125"/>
      <c r="H20" s="1125"/>
      <c r="I20" s="1125"/>
      <c r="J20" s="1125"/>
      <c r="K20" s="1125"/>
      <c r="L20" s="1125"/>
      <c r="M20" s="1125"/>
      <c r="N20" s="1125"/>
      <c r="O20" s="1116"/>
      <c r="P20" s="1118" t="s">
        <v>54</v>
      </c>
    </row>
    <row r="21" spans="1:16" x14ac:dyDescent="0.25">
      <c r="A21" s="1126" t="s">
        <v>30</v>
      </c>
      <c r="B21" s="1127">
        <v>1</v>
      </c>
      <c r="C21" s="1127">
        <v>2</v>
      </c>
      <c r="D21" s="1127">
        <v>3</v>
      </c>
      <c r="E21" s="1127">
        <v>4</v>
      </c>
      <c r="F21" s="1127">
        <v>5</v>
      </c>
      <c r="G21" s="1127">
        <v>6</v>
      </c>
      <c r="H21" s="1127">
        <v>7</v>
      </c>
      <c r="I21" s="1127">
        <v>8</v>
      </c>
      <c r="J21" s="1127">
        <v>9</v>
      </c>
      <c r="K21" s="1127">
        <v>10</v>
      </c>
      <c r="L21" s="1127">
        <v>11</v>
      </c>
      <c r="M21" s="1127">
        <v>12</v>
      </c>
      <c r="N21" s="1127" t="s">
        <v>31</v>
      </c>
      <c r="O21" s="1118" t="s">
        <v>51</v>
      </c>
      <c r="P21" s="1118" t="s">
        <v>44</v>
      </c>
    </row>
    <row r="22" spans="1:16" x14ac:dyDescent="0.25">
      <c r="A22" s="1110" t="s">
        <v>33</v>
      </c>
      <c r="B22" s="4">
        <f ca="1">SUMIF(INDIRECT("Report!I566:I638"),A4,INDIRECT("Report!J566:J638"))</f>
        <v>1303000</v>
      </c>
      <c r="C22" s="4">
        <f ca="1">SUMIF(INDIRECT("Report!I643:I729"),A22,INDIRECT("Report!J643:J729"))</f>
        <v>1364200</v>
      </c>
      <c r="D22" s="4">
        <f ca="1">SUMIF(INDIRECT("Report!I730:I808"),A22,INDIRECT("Report!J730:J808"))</f>
        <v>2039500</v>
      </c>
      <c r="E22" s="4">
        <f ca="1">SUMIF(INDIRECT("Report!I809:I883"),A22,INDIRECT("Report!J809:J883"))</f>
        <v>856800</v>
      </c>
      <c r="F22" s="4">
        <f ca="1">SUMIF(INDIRECT("Report!I884:I967"),A22,INDIRECT("Report!J884:J967"))</f>
        <v>2368500</v>
      </c>
      <c r="G22" s="4">
        <f ca="1">SUMIF(INDIRECT("Report!I968:I1063"),A22,INDIRECT("Report!J968:J1063"))</f>
        <v>1217000</v>
      </c>
      <c r="H22" s="4">
        <f ca="1">SUMIF(INDIRECT("Report!I1064:I1152"),A22,INDIRECT("Report!J1064:J1152"))</f>
        <v>1483500</v>
      </c>
      <c r="I22" s="4">
        <f ca="1">SUMIF(INDIRECT("Report!I1153:I1224"),A22,INDIRECT("Report!J1153:J1224"))</f>
        <v>1178500</v>
      </c>
      <c r="J22" s="4">
        <f ca="1">SUMIF(INDIRECT("Report!I1225:I1304"),A22,INDIRECT("Report!J1225:J1304"))</f>
        <v>983000</v>
      </c>
      <c r="K22" s="4">
        <f ca="1">SUMIF(INDIRECT("Report!I1305:I1424"),A22,INDIRECT("Report!J1305:J1424"))</f>
        <v>4014330.6058808719</v>
      </c>
      <c r="L22" s="4">
        <f ca="1">SUMIF(INDIRECT("Report!I1426:I1542"),A22,INDIRECT("Report!J1426:J1542"))</f>
        <v>1852500</v>
      </c>
      <c r="M22" s="4">
        <f ca="1">SUMIF(INDIRECT("Report!I1543:I1675"),A22,INDIRECT("Report!J1543:J1675"))</f>
        <v>4067760</v>
      </c>
      <c r="N22" s="1111">
        <f t="shared" ref="N22:N34" ca="1" si="3">SUM(B22:M22)</f>
        <v>22728590.605880871</v>
      </c>
      <c r="O22" s="1115">
        <f t="shared" ref="O22:O34" ca="1" si="4">N22/$N$35</f>
        <v>4.5077782719846943E-2</v>
      </c>
      <c r="P22" s="1115">
        <f t="shared" ref="P22:P34" ca="1" si="5">N22/N4</f>
        <v>0.22168179039755845</v>
      </c>
    </row>
    <row r="23" spans="1:16" x14ac:dyDescent="0.25">
      <c r="A23" s="1110" t="s">
        <v>46</v>
      </c>
      <c r="B23" s="4">
        <f ca="1">SUMIF(INDIRECT("Report!I566:I638"),A5,INDIRECT("Report!J566:J638"))</f>
        <v>5990000</v>
      </c>
      <c r="C23" s="4">
        <f ca="1">SUMIF(INDIRECT("Report!I643:I729"),A23,INDIRECT("Report!J643:J729"))</f>
        <v>5630000</v>
      </c>
      <c r="D23" s="4">
        <f ca="1">SUMIF(INDIRECT("Report!I730:I808"),A23,INDIRECT("Report!J730:J808"))</f>
        <v>13262000</v>
      </c>
      <c r="E23" s="4">
        <f ca="1">SUMIF(INDIRECT("Report!I809:I883"),A23,INDIRECT("Report!J809:J883"))</f>
        <v>13516500</v>
      </c>
      <c r="F23" s="4">
        <f ca="1">SUMIF(INDIRECT("Report!I884:I967"),A23,INDIRECT("Report!J884:J967"))</f>
        <v>2850000</v>
      </c>
      <c r="G23" s="4">
        <f ca="1">SUMIF(INDIRECT("Report!I968:I1063"),A23,INDIRECT("Report!J968:J1063"))</f>
        <v>5999000</v>
      </c>
      <c r="H23" s="4">
        <f ca="1">SUMIF(INDIRECT("Report!I1064:I1152"),A23,INDIRECT("Report!J1064:J1152"))</f>
        <v>5724000</v>
      </c>
      <c r="I23" s="4">
        <f ca="1">SUMIF(INDIRECT("Report!I1153:I1224"),A23,INDIRECT("Report!J1153:J1224"))</f>
        <v>14265000</v>
      </c>
      <c r="J23" s="4">
        <f ca="1">SUMIF(INDIRECT("Report!I1225:I1304"),A23,INDIRECT("Report!J1225:J1304"))</f>
        <v>14139250</v>
      </c>
      <c r="K23" s="4">
        <f ca="1">SUMIF(INDIRECT("Report!I1305:I1424"),A23,INDIRECT("Report!J1305:J1424"))</f>
        <v>18046000</v>
      </c>
      <c r="L23" s="4">
        <f ca="1">SUMIF(INDIRECT("Report!I1426:I1542"),A23,INDIRECT("Report!J1426:J1542"))</f>
        <v>19335150</v>
      </c>
      <c r="M23" s="4">
        <f ca="1">SUMIF(INDIRECT("Report!I1543:I1675"),A23,INDIRECT("Report!J1543:J1675"))</f>
        <v>18284600</v>
      </c>
      <c r="N23" s="1111">
        <f t="shared" ca="1" si="3"/>
        <v>137041500</v>
      </c>
      <c r="O23" s="1115">
        <f t="shared" ca="1" si="4"/>
        <v>0.2717954257578783</v>
      </c>
      <c r="P23" s="1115">
        <f t="shared" ca="1" si="5"/>
        <v>0.29016566406323613</v>
      </c>
    </row>
    <row r="24" spans="1:16" x14ac:dyDescent="0.25">
      <c r="A24" s="1110" t="s">
        <v>34</v>
      </c>
      <c r="B24" s="4">
        <f ca="1">SUMIF(INDIRECT("Report!I566:I638"),A6,INDIRECT("Report!J566:J638"))</f>
        <v>546800</v>
      </c>
      <c r="C24" s="4">
        <f ca="1">SUMIF(INDIRECT("Report!I643:I729"),A24,INDIRECT("Report!J643:J729"))</f>
        <v>1380540</v>
      </c>
      <c r="D24" s="4">
        <f ca="1">SUMIF(INDIRECT("Report!I730:I808"),A24,INDIRECT("Report!J730:J808"))</f>
        <v>332920</v>
      </c>
      <c r="E24" s="4">
        <f ca="1">SUMIF(INDIRECT("Report!I809:I883"),A24,INDIRECT("Report!J809:J883"))</f>
        <v>477860</v>
      </c>
      <c r="F24" s="4">
        <f ca="1">SUMIF(INDIRECT("Report!I884:I967"),A24,INDIRECT("Report!J884:J967"))</f>
        <v>0</v>
      </c>
      <c r="G24" s="4">
        <f ca="1">SUMIF(INDIRECT("Report!I968:I1063"),A24,INDIRECT("Report!J968:J1063"))</f>
        <v>1321640</v>
      </c>
      <c r="H24" s="4">
        <f ca="1">SUMIF(INDIRECT("Report!I1064:I1152"),A24,INDIRECT("Report!J1064:J1152"))</f>
        <v>1466580</v>
      </c>
      <c r="I24" s="4">
        <f ca="1">SUMIF(INDIRECT("Report!I1153:I1224"),A24,INDIRECT("Report!J1153:J1224"))</f>
        <v>526860</v>
      </c>
      <c r="J24" s="4">
        <f ca="1">SUMIF(INDIRECT("Report!I1225:I1304"),A24,INDIRECT("Report!J1225:J1304"))</f>
        <v>493860</v>
      </c>
      <c r="K24" s="4">
        <f ca="1">SUMIF(INDIRECT("Report!I1305:I1424"),A24,INDIRECT("Report!J1305:J1424"))</f>
        <v>1004720</v>
      </c>
      <c r="L24" s="4">
        <f ca="1">SUMIF(INDIRECT("Report!I1426:I1542"),A24,INDIRECT("Report!J1426:J1542"))</f>
        <v>1482580</v>
      </c>
      <c r="M24" s="4">
        <f ca="1">SUMIF(INDIRECT("Report!I1543:I1675"),A24,INDIRECT("Report!J1543:J1675"))</f>
        <v>610860</v>
      </c>
      <c r="N24" s="1111">
        <f t="shared" ca="1" si="3"/>
        <v>9645220</v>
      </c>
      <c r="O24" s="1115">
        <f t="shared" ca="1" si="4"/>
        <v>1.9129436531476984E-2</v>
      </c>
      <c r="P24" s="1115">
        <f t="shared" ca="1" si="5"/>
        <v>0.20117678958785248</v>
      </c>
    </row>
    <row r="25" spans="1:16" x14ac:dyDescent="0.25">
      <c r="A25" s="1110" t="s">
        <v>35</v>
      </c>
      <c r="B25" s="4">
        <f ca="1">SUMIF(INDIRECT("Report!I566:I638"),A7,INDIRECT("Report!J566:J638"))</f>
        <v>852500</v>
      </c>
      <c r="C25" s="4">
        <f ca="1">SUMIF(INDIRECT("Report!I643:I729"),A25,INDIRECT("Report!J643:J729"))</f>
        <v>1202500</v>
      </c>
      <c r="D25" s="4">
        <f ca="1">SUMIF(INDIRECT("Report!I730:I808"),A25,INDIRECT("Report!J730:J808"))</f>
        <v>1225000</v>
      </c>
      <c r="E25" s="4">
        <f ca="1">SUMIF(INDIRECT("Report!I809:I883"),A25,INDIRECT("Report!J809:J883"))</f>
        <v>1057500</v>
      </c>
      <c r="F25" s="4">
        <f ca="1">SUMIF(INDIRECT("Report!I884:I967"),A25,INDIRECT("Report!J884:J967"))</f>
        <v>732500</v>
      </c>
      <c r="G25" s="4">
        <f ca="1">SUMIF(INDIRECT("Report!I968:I1063"),A25,INDIRECT("Report!J968:J1063"))</f>
        <v>1332500</v>
      </c>
      <c r="H25" s="4">
        <f ca="1">SUMIF(INDIRECT("Report!I1064:I1152"),A25,INDIRECT("Report!J1064:J1152"))</f>
        <v>692500</v>
      </c>
      <c r="I25" s="4">
        <f ca="1">SUMIF(INDIRECT("Report!I1153:I1224"),A25,INDIRECT("Report!J1153:J1224"))</f>
        <v>2350000</v>
      </c>
      <c r="J25" s="4">
        <f ca="1">SUMIF(INDIRECT("Report!I1225:I1304"),A25,INDIRECT("Report!J1225:J1304"))</f>
        <v>612500</v>
      </c>
      <c r="K25" s="4">
        <f ca="1">SUMIF(INDIRECT("Report!I1305:I1424"),A25,INDIRECT("Report!J1305:J1424"))</f>
        <v>2547500</v>
      </c>
      <c r="L25" s="4">
        <f ca="1">SUMIF(INDIRECT("Report!I1426:I1542"),A25,INDIRECT("Report!J1426:J1542"))</f>
        <v>2177500</v>
      </c>
      <c r="M25" s="4">
        <f ca="1">SUMIF(INDIRECT("Report!I1543:I1675"),A25,INDIRECT("Report!J1543:J1675"))</f>
        <v>2665000</v>
      </c>
      <c r="N25" s="1111">
        <f t="shared" ca="1" si="3"/>
        <v>17447500</v>
      </c>
      <c r="O25" s="1115">
        <f t="shared" ca="1" si="4"/>
        <v>3.4603756459981698E-2</v>
      </c>
      <c r="P25" s="1115">
        <f t="shared" ca="1" si="5"/>
        <v>0.4375</v>
      </c>
    </row>
    <row r="26" spans="1:16" s="19" customFormat="1" x14ac:dyDescent="0.25">
      <c r="A26" s="1110" t="s">
        <v>40</v>
      </c>
      <c r="B26" s="4">
        <f ca="1">SUMIF(INDIRECT("Report!H566:H638"),A26,INDIRECT("Report!J566:J638"))</f>
        <v>13340435.940680696</v>
      </c>
      <c r="C26" s="4">
        <f ca="1">SUMIF(INDIRECT("Report!H643:H729"),A26,INDIRECT("Report!J643:J729"))</f>
        <v>4591630.2220646599</v>
      </c>
      <c r="D26" s="4">
        <f ca="1">SUMIF(INDIRECT("Report!H730:H808"),A26,INDIRECT("Report!J730:J808"))</f>
        <v>13980915.829753909</v>
      </c>
      <c r="E26" s="4">
        <f ca="1">SUMIF(INDIRECT("Report!H809:H883"),A26,INDIRECT("Report!J809:J883"))</f>
        <v>2855693.3479089877</v>
      </c>
      <c r="F26" s="4">
        <f ca="1">SUMIF(INDIRECT("Report!I884:I967"),A26,INDIRECT("Report!J884:J967"))+SUMIF(INDIRECT("Report!H884:H967"),A26,INDIRECT("Report!J884:J967"))</f>
        <v>8578045.8489954881</v>
      </c>
      <c r="G26" s="4">
        <f ca="1">SUMIF(INDIRECT("Report!I968:I1063"),A26,INDIRECT("Report!J968:J1063"))+SUMIF(INDIRECT("Report!H968:H1063"),A26,INDIRECT("Report!J968:J1063"))</f>
        <v>34771524.149999999</v>
      </c>
      <c r="H26" s="4">
        <f ca="1">SUMIF(INDIRECT("Report!I1064:I1152"),A26,INDIRECT("Report!J1064:J1152"))+SUMIF(INDIRECT("Report!H1064:H1152"),A26,INDIRECT("Report!J1064:J1152"))</f>
        <v>1418537.9975477634</v>
      </c>
      <c r="I26" s="4">
        <f ca="1">SUMIF(INDIRECT("Report!I1153:I1224"),A26,INDIRECT("Report!J1153:J1224"))+SUMIF(INDIRECT("Report!H1153:H1224"),A26,INDIRECT("Report!J1153:J1224"))</f>
        <v>0</v>
      </c>
      <c r="J26" s="4">
        <f ca="1">SUMIF(INDIRECT("Report!I1225:I1304"),A26,INDIRECT("Report!J1225:J1304"))+SUMIF(INDIRECT("Report!H1225:H1304"),A26,INDIRECT("Report!J1225:J1304"))</f>
        <v>2140225.5639999998</v>
      </c>
      <c r="K26" s="4">
        <f ca="1">SUMIF(INDIRECT("Report!I1305:I1424"),A26,INDIRECT("Report!J1305:J1424"))+SUMIF(INDIRECT("Report!H1305:H1424"),A26,INDIRECT("Report!J1305:J1424"))</f>
        <v>26033487.970276803</v>
      </c>
      <c r="L26" s="4">
        <f ca="1">SUMIF(INDIRECT("Report!I1426:I1542"),A26,INDIRECT("Report!J1426:J1542"))+SUMIF(INDIRECT("Report!H1426:H1542"),A26,INDIRECT("Report!J1426:J1542"))</f>
        <v>12915087.653900873</v>
      </c>
      <c r="M26" s="4">
        <f ca="1">SUMIF(INDIRECT("Report!I1543:I1675"),A26,INDIRECT("Report!J1543:J1675"))+SUMIF(INDIRECT("Report!H1543:H1675"),A26,INDIRECT("Report!J1543:J1675"))</f>
        <v>5511476.0191217586</v>
      </c>
      <c r="N26" s="1111">
        <f t="shared" ca="1" si="3"/>
        <v>126137060.54425094</v>
      </c>
      <c r="O26" s="1115">
        <f t="shared" ca="1" si="4"/>
        <v>0.25016856991839664</v>
      </c>
      <c r="P26" s="1115">
        <f t="shared" ca="1" si="5"/>
        <v>0.29645787696817383</v>
      </c>
    </row>
    <row r="27" spans="1:16" x14ac:dyDescent="0.25">
      <c r="A27" s="1110" t="s">
        <v>36</v>
      </c>
      <c r="B27" s="4">
        <f ca="1">SUMIF(INDIRECT("Report!I566:I638"),A9,INDIRECT("Report!J566:J638"))</f>
        <v>1352000</v>
      </c>
      <c r="C27" s="4">
        <f ca="1">SUMIF(INDIRECT("Report!I643:I729"),A27,INDIRECT("Report!J643:J729"))</f>
        <v>1260785</v>
      </c>
      <c r="D27" s="4">
        <f ca="1">SUMIF(INDIRECT("Report!I730:I808"),A27,INDIRECT("Report!J730:J808"))</f>
        <v>3479000</v>
      </c>
      <c r="E27" s="4">
        <f ca="1">SUMIF(INDIRECT("Report!I809:I883"),A27,INDIRECT("Report!J809:J883"))</f>
        <v>1629100</v>
      </c>
      <c r="F27" s="4">
        <f ca="1">SUMIF(INDIRECT("Report!I884:I967"),A27,INDIRECT("Report!J884:J967"))</f>
        <v>1063000</v>
      </c>
      <c r="G27" s="4">
        <f ca="1">SUMIF(INDIRECT("Report!I968:I1063"),A27,INDIRECT("Report!J968:J1063"))</f>
        <v>1573400</v>
      </c>
      <c r="H27" s="4">
        <f ca="1">SUMIF(INDIRECT("Report!I1064:I1152"),A27,INDIRECT("Report!J1064:J1152"))</f>
        <v>4180350</v>
      </c>
      <c r="I27" s="4">
        <f ca="1">SUMIF(INDIRECT("Report!I1153:I1224"),A27,INDIRECT("Report!J1153:J1224"))</f>
        <v>6219308</v>
      </c>
      <c r="J27" s="4">
        <f ca="1">SUMIF(INDIRECT("Report!I1225:I1304"),A27,INDIRECT("Report!J1225:J1304"))</f>
        <v>5805000</v>
      </c>
      <c r="K27" s="4">
        <f ca="1">SUMIF(INDIRECT("Report!I1305:I1424"),A27,INDIRECT("Report!J1305:J1424"))</f>
        <v>8458344.1384185981</v>
      </c>
      <c r="L27" s="4">
        <f ca="1">SUMIF(INDIRECT("Report!I1426:I1542"),A27,INDIRECT("Report!J1426:J1542"))</f>
        <v>2167000</v>
      </c>
      <c r="M27" s="4">
        <f ca="1">SUMIF(INDIRECT("Report!I1543:I1675"),A27,INDIRECT("Report!J1543:J1675"))</f>
        <v>4126000</v>
      </c>
      <c r="N27" s="1111">
        <f t="shared" ca="1" si="3"/>
        <v>41313287.1384186</v>
      </c>
      <c r="O27" s="1115">
        <f t="shared" ca="1" si="4"/>
        <v>8.1936949517073004E-2</v>
      </c>
      <c r="P27" s="1115">
        <f t="shared" ca="1" si="5"/>
        <v>0.19004630872086103</v>
      </c>
    </row>
    <row r="28" spans="1:16" x14ac:dyDescent="0.25">
      <c r="A28" s="1110" t="s">
        <v>37</v>
      </c>
      <c r="B28" s="4">
        <f ca="1">SUMIF(INDIRECT("Report!I566:I638"),A10,INDIRECT("Report!J566:J638"))</f>
        <v>0</v>
      </c>
      <c r="C28" s="4">
        <f ca="1">SUMIF(INDIRECT("Report!I643:I729"),A28,INDIRECT("Report!G643:G729"))</f>
        <v>0</v>
      </c>
      <c r="D28" s="4">
        <f ca="1">SUMIF(INDIRECT("Report!I730:I808"),A28,INDIRECT("Report!J730:J808"))</f>
        <v>940000</v>
      </c>
      <c r="E28" s="4">
        <f ca="1">SUMIF(INDIRECT("Report!I809:I883"),A28,INDIRECT("Report!J809:J883"))</f>
        <v>0</v>
      </c>
      <c r="F28" s="4">
        <f ca="1">SUMIF(INDIRECT("Report!I884:I967"),A28,INDIRECT("Report!J884:J967"))</f>
        <v>1700000</v>
      </c>
      <c r="G28" s="4">
        <f ca="1">SUMIF(INDIRECT("Report!I968:I1063"),A28,INDIRECT("Report!J968:J1063"))</f>
        <v>3380000</v>
      </c>
      <c r="H28" s="4">
        <f ca="1">SUMIF(INDIRECT("Report!I1064:I1152"),A28,INDIRECT("Report!J1064:J1152"))</f>
        <v>120000</v>
      </c>
      <c r="I28" s="4">
        <f ca="1">SUMIF(INDIRECT("Report!I1153:I1224"),A28,INDIRECT("Report!J1153:J1224"))</f>
        <v>0</v>
      </c>
      <c r="J28" s="4">
        <f ca="1">SUMIF(INDIRECT("Report!I1225:I1304"),A28,INDIRECT("Report!J1225:J1304"))</f>
        <v>7458000</v>
      </c>
      <c r="K28" s="4">
        <f ca="1">SUMIF(INDIRECT("Report!I1305:I1424"),A28,INDIRECT("Report!J1305:J1424"))</f>
        <v>0</v>
      </c>
      <c r="L28" s="4">
        <f ca="1">SUMIF(INDIRECT("Report!I1426:I1542"),A28,INDIRECT("Report!J1426:J1542"))</f>
        <v>0</v>
      </c>
      <c r="M28" s="4">
        <f ca="1">SUMIF(INDIRECT("Report!I1543:I1675"),A28,INDIRECT("Report!J1543:J1675"))</f>
        <v>0</v>
      </c>
      <c r="N28" s="1111">
        <f t="shared" ca="1" si="3"/>
        <v>13598000</v>
      </c>
      <c r="O28" s="1115">
        <f t="shared" ca="1" si="4"/>
        <v>2.6969014491636686E-2</v>
      </c>
      <c r="P28" s="1115">
        <f t="shared" ca="1" si="5"/>
        <v>0.23024043345750084</v>
      </c>
    </row>
    <row r="29" spans="1:16" s="19" customFormat="1" x14ac:dyDescent="0.25">
      <c r="A29" s="1110" t="s">
        <v>39</v>
      </c>
      <c r="B29" s="4">
        <f ca="1">SUMIF(INDIRECT("Report!H566:H638"),A29,INDIRECT("Report!J566:J638"))</f>
        <v>14296915.645381773</v>
      </c>
      <c r="C29" s="4">
        <f ca="1">SUMIF(INDIRECT("Report!H643:H729"),A29,INDIRECT("Report!J643:J729"))</f>
        <v>8302574.6344843544</v>
      </c>
      <c r="D29" s="4">
        <f ca="1">SUMIF(INDIRECT("Report!H730:H808"),A29,INDIRECT("Report!J730:J808"))</f>
        <v>3071838.5617424538</v>
      </c>
      <c r="E29" s="4">
        <f ca="1">SUMIF(INDIRECT("Report!H809:H883"),A29,INDIRECT("Report!J809:J883"))</f>
        <v>376170</v>
      </c>
      <c r="F29" s="4">
        <f ca="1">SUMIF(INDIRECT("Report!H884:H967"),A29,INDIRECT("Report!J884:J967"))</f>
        <v>1543342.5167416683</v>
      </c>
      <c r="G29" s="4">
        <f ca="1">SUMIF(INDIRECT("Report!I968:I1063"),A29,INDIRECT("Report!J968:J1063"))+SUMIF(INDIRECT("Report!H968:H1063"),A29,INDIRECT("Report!J968:J1063"))</f>
        <v>688177</v>
      </c>
      <c r="H29" s="4">
        <f ca="1">SUMIF(INDIRECT("Report!I1064:I1152"),A29,INDIRECT("Report!J1064:J1152"))+SUMIF(INDIRECT("Report!H1064:H1152"),A29,INDIRECT("Report!J1064:J1152"))</f>
        <v>2344842.6842074967</v>
      </c>
      <c r="I29" s="4">
        <f ca="1">SUMIF(INDIRECT("Report!I1153:I1224"),A29,INDIRECT("Report!J1153:J1224"))+SUMIF(INDIRECT("Report!H1153:H1224"),A29,INDIRECT("Report!J1153:J1224"))</f>
        <v>287695</v>
      </c>
      <c r="J29" s="4">
        <f ca="1">SUMIF(INDIRECT("Report!I1225:I1304"),A29,INDIRECT("Report!J1225:J1304"))+SUMIF(INDIRECT("Report!H1225:H1304"),A29,INDIRECT("Report!J1225:J1304"))</f>
        <v>33707682.014225893</v>
      </c>
      <c r="K29" s="4">
        <f ca="1">SUMIF(INDIRECT("Report!I1305:I1424"),A29,INDIRECT("Report!J1305:J1424"))+SUMIF(INDIRECT("Report!H1305:H1424"),A29,INDIRECT("Report!J1305:J1424"))</f>
        <v>5066583.8358723801</v>
      </c>
      <c r="L29" s="4">
        <f ca="1">SUMIF(INDIRECT("Report!I1426:I1542"),A29,INDIRECT("Report!J1426:J1542"))+SUMIF(INDIRECT("Report!H1426:H1542"),A29,INDIRECT("Report!J1426:J1542"))</f>
        <v>4816535.673259058</v>
      </c>
      <c r="M29" s="4">
        <f ca="1">SUMIF(INDIRECT("Report!I1543:I1675"),A29,INDIRECT("Report!J1543:J1675"))+SUMIF(INDIRECT("Report!H1543:H1675"),A29,INDIRECT("Report!J1543:J1675"))</f>
        <v>4439576.5446605701</v>
      </c>
      <c r="N29" s="1111">
        <f t="shared" ca="1" si="3"/>
        <v>78941934.110575646</v>
      </c>
      <c r="O29" s="1115">
        <f t="shared" ca="1" si="4"/>
        <v>0.15656612479967225</v>
      </c>
      <c r="P29" s="1115">
        <f t="shared" ca="1" si="5"/>
        <v>0.42532223868201635</v>
      </c>
    </row>
    <row r="30" spans="1:16" x14ac:dyDescent="0.25">
      <c r="A30" s="1112" t="s">
        <v>38</v>
      </c>
      <c r="B30" s="4">
        <f ca="1">SUMIF(INDIRECT("Report!I566:I638"),A12,INDIRECT("Report!J566:J638"))</f>
        <v>1992500</v>
      </c>
      <c r="C30" s="4">
        <f ca="1">SUMIF(INDIRECT("Report!I643:I729"),A30,INDIRECT("Report!J643:J729"))</f>
        <v>3023000</v>
      </c>
      <c r="D30" s="4">
        <f ca="1">SUMIF(INDIRECT("Report!I730:I808"),A30,INDIRECT("Report!J730:J808"))</f>
        <v>1343000</v>
      </c>
      <c r="E30" s="4">
        <f ca="1">SUMIF(INDIRECT("Report!I809:I883"),A30,INDIRECT("Report!J809:J883"))</f>
        <v>1409000</v>
      </c>
      <c r="F30" s="4">
        <f ca="1">SUMIF(INDIRECT("Report!I884:I967"),A30,INDIRECT("Report!J884:J967"))</f>
        <v>2601000</v>
      </c>
      <c r="G30" s="4">
        <f ca="1">SUMIF(INDIRECT("Report!I968:I1063"),A30,INDIRECT("Report!J968:J1063"))</f>
        <v>1418000</v>
      </c>
      <c r="H30" s="4">
        <f ca="1">SUMIF(INDIRECT("Report!I1064:I1152"),A30,INDIRECT("Report!J1064:J1152"))</f>
        <v>2737000</v>
      </c>
      <c r="I30" s="4">
        <f ca="1">SUMIF(INDIRECT("Report!I1153:I1224"),A30,INDIRECT("Report!J1153:J1224"))</f>
        <v>1430000</v>
      </c>
      <c r="J30" s="4">
        <f ca="1">SUMIF(INDIRECT("Report!I1225:I1304"),A30,INDIRECT("Report!J1225:J1304"))</f>
        <v>1030000</v>
      </c>
      <c r="K30" s="4">
        <f ca="1">SUMIF(INDIRECT("Report!I1305:I1424"),A30,INDIRECT("Report!J1305:J1424"))</f>
        <v>4386235.4012050088</v>
      </c>
      <c r="L30" s="4">
        <f ca="1">SUMIF(INDIRECT("Report!I1426:I1542"),A30,INDIRECT("Report!J1426:J1542"))</f>
        <v>1298323.8126618303</v>
      </c>
      <c r="M30" s="4">
        <f ca="1">SUMIF(INDIRECT("Report!I1543:I1675"),A30,INDIRECT("Report!J1543:J1675"))</f>
        <v>4599632.4819436623</v>
      </c>
      <c r="N30" s="1111">
        <f t="shared" ca="1" si="3"/>
        <v>27267691.695810504</v>
      </c>
      <c r="O30" s="1115">
        <f t="shared" ca="1" si="4"/>
        <v>5.4080215656552057E-2</v>
      </c>
      <c r="P30" s="1115">
        <f t="shared" ca="1" si="5"/>
        <v>0.3005449471859194</v>
      </c>
    </row>
    <row r="31" spans="1:16" x14ac:dyDescent="0.25">
      <c r="A31" s="1113" t="s">
        <v>32</v>
      </c>
      <c r="B31" s="4">
        <f ca="1">SUMIF(INDIRECT("Report!I566:I638"),A13,INDIRECT("Report!J566:J638"))</f>
        <v>0</v>
      </c>
      <c r="C31" s="4">
        <f ca="1">SUMIF(INDIRECT("Report!I643:I729"),A31,INDIRECT("Report!G643:G729"))</f>
        <v>0</v>
      </c>
      <c r="D31" s="4">
        <f ca="1">SUMIF(INDIRECT("Report!I730:I808"),A31,INDIRECT("Report!J730:J808"))</f>
        <v>0</v>
      </c>
      <c r="E31" s="4">
        <f ca="1">SUMIF(INDIRECT("Report!I809:I883"),A31,INDIRECT("Report!J809:J883"))</f>
        <v>0</v>
      </c>
      <c r="F31" s="4">
        <f ca="1">SUMIF(INDIRECT("Report!I884:I967"),A31,INDIRECT("Report!G884:G967"))</f>
        <v>0</v>
      </c>
      <c r="G31" s="4">
        <f ca="1">SUMIF(INDIRECT("Report!I968:I1063"),A31,INDIRECT("Report!J968:J1063"))</f>
        <v>0</v>
      </c>
      <c r="H31" s="4">
        <f ca="1">SUMIF(INDIRECT("Report!I1064:I1152"),A31,INDIRECT("Report!J1064:J1152"))</f>
        <v>0</v>
      </c>
      <c r="I31" s="4">
        <f ca="1">SUMIF(INDIRECT("Report!I1153:I1224"),A31,INDIRECT("Report!J1153:J1224"))</f>
        <v>0</v>
      </c>
      <c r="J31" s="4">
        <f ca="1">SUMIF(INDIRECT("Report!I1225:I1304"),A31,INDIRECT("Report!J1225:J1304"))</f>
        <v>0</v>
      </c>
      <c r="K31" s="4">
        <f ca="1">SUMIF(INDIRECT("Report!I1305:I1424"),A31,INDIRECT("Report!J1305:J1424"))</f>
        <v>0</v>
      </c>
      <c r="L31" s="4">
        <f ca="1">SUMIF(INDIRECT("Report!I1426:I1542"),A31,INDIRECT("Report!J1426:J1542"))</f>
        <v>0</v>
      </c>
      <c r="M31" s="4">
        <f ca="1">SUMIF(INDIRECT("Report!I1543:I1675"),A31,INDIRECT("Report!J1543:J1675"))</f>
        <v>0</v>
      </c>
      <c r="N31" s="1111">
        <f t="shared" ca="1" si="3"/>
        <v>0</v>
      </c>
      <c r="O31" s="1115">
        <f t="shared" ca="1" si="4"/>
        <v>0</v>
      </c>
      <c r="P31" s="1115">
        <v>0</v>
      </c>
    </row>
    <row r="32" spans="1:16" x14ac:dyDescent="0.25">
      <c r="A32" s="1114" t="s">
        <v>104</v>
      </c>
      <c r="B32" s="4">
        <f ca="1">SUMIF(INDIRECT("Report!I566:I638"),A14,INDIRECT("Report!J566:J638"))</f>
        <v>976000</v>
      </c>
      <c r="C32" s="4">
        <f ca="1">SUMIF(INDIRECT("Report!I643:I729"),A32,INDIRECT("Report!J643:J729"))</f>
        <v>732000</v>
      </c>
      <c r="D32" s="4">
        <f ca="1">SUMIF(INDIRECT("Report!I730:I808"),A32,INDIRECT("Report!J730:J808"))</f>
        <v>1136000</v>
      </c>
      <c r="E32" s="4">
        <f ca="1">SUMIF(INDIRECT("Report!I809:I883"),A32,INDIRECT("Report!J809:J883"))</f>
        <v>519000</v>
      </c>
      <c r="F32" s="4">
        <f ca="1">SUMIF(INDIRECT("Report!I884:I967"),A32,INDIRECT("Report!J884:J967"))</f>
        <v>1269000</v>
      </c>
      <c r="G32" s="4">
        <f ca="1">SUMIF(INDIRECT("Report!I968:I1063"),A32,INDIRECT("Report!J968:J1063"))</f>
        <v>1114000</v>
      </c>
      <c r="H32" s="4">
        <f ca="1">SUMIF(INDIRECT("Report!I1064:I1152"),A32,INDIRECT("Report!J1064:J1152"))</f>
        <v>1097000</v>
      </c>
      <c r="I32" s="4">
        <f ca="1">SUMIF(INDIRECT("Report!I1153:I1224"),A32,INDIRECT("Report!J1153:J1224"))</f>
        <v>742000</v>
      </c>
      <c r="J32" s="4">
        <f ca="1">SUMIF(INDIRECT("Report!I1225:I1304"),A32,INDIRECT("Report!J1225:J1304"))</f>
        <v>1368000</v>
      </c>
      <c r="K32" s="4">
        <f ca="1">SUMIF(INDIRECT("Report!I1305:I1424"),A32,INDIRECT("Report!J1305:J1424"))</f>
        <v>857000</v>
      </c>
      <c r="L32" s="4">
        <f ca="1">SUMIF(INDIRECT("Report!I1426:I1542"),A32,INDIRECT("Report!J1426:J1542"))</f>
        <v>703000</v>
      </c>
      <c r="M32" s="4">
        <f ca="1">SUMIF(INDIRECT("Report!I1543:I1675"),A32,INDIRECT("Report!J1543:J1675"))</f>
        <v>1053500</v>
      </c>
      <c r="N32" s="1111">
        <f t="shared" ca="1" si="3"/>
        <v>11566500</v>
      </c>
      <c r="O32" s="1115">
        <f t="shared" ca="1" si="4"/>
        <v>2.2939925438852458E-2</v>
      </c>
      <c r="P32" s="1115">
        <f t="shared" ca="1" si="5"/>
        <v>8.1734540289584698E-2</v>
      </c>
    </row>
    <row r="33" spans="1:16" s="19" customFormat="1" x14ac:dyDescent="0.25">
      <c r="A33" s="1114" t="s">
        <v>603</v>
      </c>
      <c r="B33" s="4">
        <f ca="1">SUMIF(INDIRECT("Report!H566:H638"),A33,INDIRECT("Report!J566:J638"))</f>
        <v>0</v>
      </c>
      <c r="C33" s="4">
        <f ca="1">SUMIF(INDIRECT("Report!H643:H729"),A33,INDIRECT("Report!J643:J729"))</f>
        <v>0</v>
      </c>
      <c r="D33" s="4">
        <f ca="1">SUMIF(INDIRECT("Report!H730:H808"),A33,INDIRECT("Report!J730:J808"))</f>
        <v>0</v>
      </c>
      <c r="E33" s="4">
        <f ca="1">SUMIF(INDIRECT("Report!H809:H883"),A33,INDIRECT("Report!J809:J883"))</f>
        <v>0</v>
      </c>
      <c r="F33" s="4">
        <f ca="1">SUMIF(INDIRECT("Report!I884:I967"),A33,INDIRECT("Report!G884:G967"))</f>
        <v>0</v>
      </c>
      <c r="G33" s="4">
        <f ca="1">SUMIF(INDIRECT("Report!I968:I1063"),A33,INDIRECT("Report!J968:J1063"))+SUMIF(INDIRECT("Report!H968:H1063"),A33,INDIRECT("Report!J968:J1063"))</f>
        <v>3650000</v>
      </c>
      <c r="H33" s="4">
        <f ca="1">SUMIF(INDIRECT("Report!I1064:I1152"),A33,INDIRECT("Report!J1064:J1152"))+SUMIF(INDIRECT("Report!H1064:H1152"),A33,INDIRECT("Report!J1064:J1152"))</f>
        <v>0</v>
      </c>
      <c r="I33" s="4">
        <f ca="1">SUMIF(INDIRECT("Report!I1153:I1224"),A33,INDIRECT("Report!J1153:J1224"))+SUMIF(INDIRECT("Report!H1153:H1224"),A33,INDIRECT("Report!J1153:J1224"))</f>
        <v>2911211.0700000003</v>
      </c>
      <c r="J33" s="4">
        <f ca="1">SUMIF(INDIRECT("Report!I1225:I1304"),A33,INDIRECT("Report!J1225:J1304"))+SUMIF(INDIRECT("Report!H1225:H1304"),A33,INDIRECT("Report!J1225:J1304"))</f>
        <v>0</v>
      </c>
      <c r="K33" s="4">
        <f ca="1">SUMIF(INDIRECT("Report!I1305:I1424"),A33,INDIRECT("Report!J1305:J1424"))+SUMIF(INDIRECT("Report!H1305:H1424"),A33,INDIRECT("Report!J1305:J1424"))</f>
        <v>1762261.18444064</v>
      </c>
      <c r="L33" s="4">
        <f ca="1">SUMIF(INDIRECT("Report!I1426:I1542"),A33,INDIRECT("Report!J1426:J1542"))+SUMIF(INDIRECT("Report!H1426:H1542"),A33,INDIRECT("Report!J1426:J1542"))</f>
        <v>-65945.630394256033</v>
      </c>
      <c r="M33" s="4">
        <f ca="1">SUMIF(INDIRECT("Report!I1543:I1675"),A33,INDIRECT("Report!J1543:J1675"))</f>
        <v>0</v>
      </c>
      <c r="N33" s="1111">
        <f t="shared" ca="1" si="3"/>
        <v>8257526.6240463844</v>
      </c>
      <c r="O33" s="1117">
        <f t="shared" ca="1" si="4"/>
        <v>1.637721394241673E-2</v>
      </c>
      <c r="P33" s="1115">
        <f t="shared" ca="1" si="5"/>
        <v>0.28458068499121603</v>
      </c>
    </row>
    <row r="34" spans="1:16" s="19" customFormat="1" ht="17.25" thickBot="1" x14ac:dyDescent="0.3">
      <c r="A34" s="1114" t="s">
        <v>1348</v>
      </c>
      <c r="B34" s="4">
        <f ca="1">SUMIF(INDIRECT("Report!H566:H638"),A34,INDIRECT("Report!J566:J638"))</f>
        <v>0</v>
      </c>
      <c r="C34" s="4">
        <f ca="1">SUMIF(INDIRECT("Report!H643:H729"),A34,INDIRECT("Report!J643:J729"))</f>
        <v>0</v>
      </c>
      <c r="D34" s="4">
        <f ca="1">SUMIF(INDIRECT("Report!H730:H808"),A34,INDIRECT("Report!J730:J808"))</f>
        <v>0</v>
      </c>
      <c r="E34" s="4">
        <f ca="1">SUMIF(INDIRECT("Report!H809:H883"),A34,INDIRECT("Report!J809:J883"))</f>
        <v>0</v>
      </c>
      <c r="F34" s="4">
        <f ca="1">SUMIF(INDIRECT("Report!I884:I967"),A34,INDIRECT("Report!G884:G967"))</f>
        <v>0</v>
      </c>
      <c r="G34" s="4">
        <f ca="1">SUMIF(INDIRECT("Report!I968:I1063"),A34,INDIRECT("Report!J968:J1063"))+SUMIF(INDIRECT("Report!H968:H1063"),A34,INDIRECT("Report!J968:J1063"))</f>
        <v>0</v>
      </c>
      <c r="H34" s="4">
        <f ca="1">SUMIF(INDIRECT("Report!I1064:I1152"),A34,INDIRECT("Report!J1064:J1152"))+SUMIF(INDIRECT("Report!H1064:H1152"),A34,INDIRECT("Report!J1064:J1152"))</f>
        <v>10263454.07381665</v>
      </c>
      <c r="I34" s="4">
        <f ca="1">SUMIF(INDIRECT("Report!I1153:I1224"),A34,INDIRECT("Report!J1153:J1224"))+SUMIF(INDIRECT("Report!H1153:H1224"),A34,INDIRECT("Report!J1153:J1224"))</f>
        <v>0</v>
      </c>
      <c r="J34" s="4">
        <f ca="1">SUMIF(INDIRECT("Report!I1225:I1304"),A34,INDIRECT("Report!J1225:J1304"))+SUMIF(INDIRECT("Report!H1225:H1304"),A34,INDIRECT("Report!J1225:J1304"))</f>
        <v>0</v>
      </c>
      <c r="K34" s="4">
        <f ca="1">SUMIF(INDIRECT("Report!I1305:I1424"),A34,INDIRECT("Report!J1305:J1424"))+SUMIF(INDIRECT("Report!H1305:H1424"),A34,INDIRECT("Report!J1305:J1424"))</f>
        <v>0</v>
      </c>
      <c r="L34" s="4">
        <f ca="1">SUMIF(INDIRECT("Report!I1426:I1542"),A34,INDIRECT("Report!J1426:J1542"))+SUMIF(INDIRECT("Report!H1426:H1542"),A34,INDIRECT("Report!J1426:J1542"))</f>
        <v>0</v>
      </c>
      <c r="M34" s="4">
        <f ca="1">SUMIF(INDIRECT("Report!I1543:I1675"),A34,INDIRECT("Report!J1543:J1675"))</f>
        <v>0</v>
      </c>
      <c r="N34" s="1111">
        <f t="shared" ca="1" si="3"/>
        <v>10263454.07381665</v>
      </c>
      <c r="O34" s="1117">
        <f t="shared" ca="1" si="4"/>
        <v>2.0355584766216267E-2</v>
      </c>
      <c r="P34" s="1115">
        <f t="shared" ca="1" si="5"/>
        <v>0.16162919801286063</v>
      </c>
    </row>
    <row r="35" spans="1:16" ht="17.25" thickTop="1" x14ac:dyDescent="0.25">
      <c r="A35" s="18" t="s">
        <v>1055</v>
      </c>
      <c r="B35" s="9">
        <f t="shared" ref="B35:M35" ca="1" si="6">SUM(B22:B33)</f>
        <v>40650151.586062469</v>
      </c>
      <c r="C35" s="9">
        <f t="shared" ca="1" si="6"/>
        <v>27487229.856549013</v>
      </c>
      <c r="D35" s="9">
        <f t="shared" ca="1" si="6"/>
        <v>40810174.39149636</v>
      </c>
      <c r="E35" s="9">
        <f t="shared" ca="1" si="6"/>
        <v>22697623.347908989</v>
      </c>
      <c r="F35" s="9">
        <f t="shared" ca="1" si="6"/>
        <v>22705388.365737155</v>
      </c>
      <c r="G35" s="9">
        <f t="shared" ca="1" si="6"/>
        <v>56465241.149999999</v>
      </c>
      <c r="H35" s="9">
        <f t="shared" ca="1" si="6"/>
        <v>21264310.68175526</v>
      </c>
      <c r="I35" s="9">
        <f t="shared" ca="1" si="6"/>
        <v>29910574.07</v>
      </c>
      <c r="J35" s="9">
        <f t="shared" ca="1" si="6"/>
        <v>67737517.578225896</v>
      </c>
      <c r="K35" s="9">
        <f t="shared" ca="1" si="6"/>
        <v>72176463.136094302</v>
      </c>
      <c r="L35" s="9">
        <f t="shared" ca="1" si="6"/>
        <v>46681731.50942751</v>
      </c>
      <c r="M35" s="9">
        <f t="shared" ca="1" si="6"/>
        <v>45358405.045725986</v>
      </c>
      <c r="N35" s="25">
        <f ca="1">SUM(N22:N34)</f>
        <v>504208264.79279959</v>
      </c>
      <c r="O35" s="30">
        <f ca="1">SUM(O22:O34)</f>
        <v>1</v>
      </c>
    </row>
    <row r="36" spans="1:16" x14ac:dyDescent="0.25">
      <c r="A36" s="21" t="s">
        <v>43</v>
      </c>
      <c r="B36" s="22">
        <f t="shared" ref="B36:H36" ca="1" si="7">B35/B17</f>
        <v>0.32005095275673834</v>
      </c>
      <c r="C36" s="22">
        <f t="shared" ca="1" si="7"/>
        <v>0.34635035257897639</v>
      </c>
      <c r="D36" s="22">
        <f t="shared" ca="1" si="7"/>
        <v>0.2590003203536354</v>
      </c>
      <c r="E36" s="22">
        <f t="shared" ca="1" si="7"/>
        <v>0.26029354723112691</v>
      </c>
      <c r="F36" s="22">
        <f t="shared" ca="1" si="7"/>
        <v>0.25453569543654231</v>
      </c>
      <c r="G36" s="22">
        <f t="shared" ca="1" si="7"/>
        <v>0.33964574765971606</v>
      </c>
      <c r="H36" s="22">
        <f t="shared" ca="1" si="7"/>
        <v>0.13090936217743254</v>
      </c>
      <c r="I36" s="22">
        <f t="shared" ref="I36:N36" ca="1" si="8">I35/I17</f>
        <v>0.2343244133776225</v>
      </c>
      <c r="J36" s="22">
        <f t="shared" ca="1" si="8"/>
        <v>0.35176945418027622</v>
      </c>
      <c r="K36" s="22">
        <f t="shared" ca="1" si="8"/>
        <v>0.27716328339403795</v>
      </c>
      <c r="L36" s="22">
        <f t="shared" ca="1" si="8"/>
        <v>0.3199868872580533</v>
      </c>
      <c r="M36" s="22">
        <f t="shared" ca="1" si="8"/>
        <v>0.1623463198398527</v>
      </c>
      <c r="N36" s="26">
        <f t="shared" ca="1" si="8"/>
        <v>0.26892154614602948</v>
      </c>
    </row>
    <row r="37" spans="1:16" ht="9.75" customHeight="1" x14ac:dyDescent="0.25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6"/>
    </row>
    <row r="38" spans="1:16" x14ac:dyDescent="0.25">
      <c r="I38" s="37" t="s">
        <v>62</v>
      </c>
    </row>
    <row r="39" spans="1:16" x14ac:dyDescent="0.25">
      <c r="A39" s="13"/>
      <c r="B39" s="31" t="s">
        <v>58</v>
      </c>
      <c r="C39" s="31"/>
      <c r="D39" s="31"/>
      <c r="E39" s="31"/>
      <c r="F39" s="32" t="s">
        <v>59</v>
      </c>
      <c r="G39" s="31"/>
      <c r="H39" s="31"/>
      <c r="I39" s="31"/>
    </row>
    <row r="40" spans="1:16" s="5" customFormat="1" x14ac:dyDescent="0.25">
      <c r="A40" s="16" t="s">
        <v>30</v>
      </c>
      <c r="B40" s="16">
        <v>2013</v>
      </c>
      <c r="C40" s="16">
        <v>2014</v>
      </c>
      <c r="D40" s="16">
        <v>2015</v>
      </c>
      <c r="E40" s="16">
        <v>2016</v>
      </c>
      <c r="F40" s="33">
        <v>2013</v>
      </c>
      <c r="G40" s="16">
        <v>2014</v>
      </c>
      <c r="H40" s="16">
        <v>2015</v>
      </c>
      <c r="I40" s="16">
        <v>2016</v>
      </c>
    </row>
    <row r="41" spans="1:16" x14ac:dyDescent="0.25">
      <c r="A41" s="1" t="s">
        <v>33</v>
      </c>
      <c r="B41" s="3">
        <v>21270000</v>
      </c>
      <c r="C41" s="3">
        <v>106683000</v>
      </c>
      <c r="D41" s="3">
        <v>169374500</v>
      </c>
      <c r="E41" s="3">
        <v>156041000</v>
      </c>
      <c r="F41" s="34">
        <v>4474380</v>
      </c>
      <c r="G41" s="3">
        <v>19408300</v>
      </c>
      <c r="H41" s="3">
        <v>33702400</v>
      </c>
      <c r="I41" s="3">
        <v>36698800</v>
      </c>
    </row>
    <row r="42" spans="1:16" x14ac:dyDescent="0.25">
      <c r="A42" s="1" t="s">
        <v>46</v>
      </c>
      <c r="B42" s="3"/>
      <c r="C42" s="3"/>
      <c r="D42" s="3">
        <v>16645000</v>
      </c>
      <c r="E42" s="3">
        <v>254899000</v>
      </c>
      <c r="F42" s="34"/>
      <c r="G42" s="3"/>
      <c r="H42" s="3">
        <v>2891300</v>
      </c>
      <c r="I42" s="3">
        <v>48134500</v>
      </c>
    </row>
    <row r="43" spans="1:16" x14ac:dyDescent="0.25">
      <c r="A43" s="1" t="s">
        <v>34</v>
      </c>
      <c r="B43" s="3">
        <v>34629000</v>
      </c>
      <c r="C43" s="3">
        <v>53408500</v>
      </c>
      <c r="D43" s="3">
        <v>51778000</v>
      </c>
      <c r="E43" s="3">
        <v>48463000</v>
      </c>
      <c r="F43" s="34">
        <v>11489000</v>
      </c>
      <c r="G43" s="3">
        <v>14591500</v>
      </c>
      <c r="H43" s="3">
        <v>14188330</v>
      </c>
      <c r="I43" s="3">
        <v>10634320</v>
      </c>
    </row>
    <row r="44" spans="1:16" x14ac:dyDescent="0.25">
      <c r="A44" s="1" t="s">
        <v>35</v>
      </c>
      <c r="B44" s="3">
        <v>10650000</v>
      </c>
      <c r="C44" s="3">
        <v>24369000</v>
      </c>
      <c r="D44" s="3">
        <v>15203000</v>
      </c>
      <c r="E44" s="3">
        <v>26967500</v>
      </c>
      <c r="F44" s="34">
        <v>3612000</v>
      </c>
      <c r="G44" s="3">
        <v>7169000</v>
      </c>
      <c r="H44" s="3">
        <v>5463000</v>
      </c>
      <c r="I44" s="3">
        <v>10867500</v>
      </c>
    </row>
    <row r="45" spans="1:16" x14ac:dyDescent="0.25">
      <c r="A45" s="1" t="s">
        <v>40</v>
      </c>
      <c r="B45" s="3"/>
      <c r="C45" s="3"/>
      <c r="D45" s="3">
        <v>35420000</v>
      </c>
      <c r="E45" s="3">
        <v>201838500</v>
      </c>
      <c r="F45" s="34"/>
      <c r="G45" s="3"/>
      <c r="H45" s="3">
        <v>10087778.088479999</v>
      </c>
      <c r="I45" s="3">
        <v>70032843.338839024</v>
      </c>
    </row>
    <row r="46" spans="1:16" x14ac:dyDescent="0.25">
      <c r="A46" s="1" t="s">
        <v>36</v>
      </c>
      <c r="B46" s="3">
        <v>760000</v>
      </c>
      <c r="C46" s="3">
        <v>1397000</v>
      </c>
      <c r="D46" s="3">
        <v>19243000</v>
      </c>
      <c r="E46" s="3">
        <v>133305500</v>
      </c>
      <c r="F46" s="34">
        <v>219000</v>
      </c>
      <c r="G46" s="3">
        <v>573200</v>
      </c>
      <c r="H46" s="3">
        <v>5777500</v>
      </c>
      <c r="I46" s="3">
        <v>45402695</v>
      </c>
    </row>
    <row r="47" spans="1:16" x14ac:dyDescent="0.25">
      <c r="A47" s="1" t="s">
        <v>37</v>
      </c>
      <c r="B47" s="3">
        <v>10882000</v>
      </c>
      <c r="C47" s="3">
        <v>4182000</v>
      </c>
      <c r="D47" s="3">
        <v>22121000</v>
      </c>
      <c r="E47" s="3">
        <v>37684000</v>
      </c>
      <c r="F47" s="34">
        <v>6789000</v>
      </c>
      <c r="G47" s="3">
        <v>2877000</v>
      </c>
      <c r="H47" s="3">
        <v>8046000</v>
      </c>
      <c r="I47" s="3">
        <v>6291500</v>
      </c>
    </row>
    <row r="48" spans="1:16" x14ac:dyDescent="0.25">
      <c r="A48" s="1" t="s">
        <v>39</v>
      </c>
      <c r="B48" s="3"/>
      <c r="C48" s="3"/>
      <c r="D48" s="3">
        <v>25917000</v>
      </c>
      <c r="E48" s="3">
        <v>136595800</v>
      </c>
      <c r="F48" s="34"/>
      <c r="G48" s="3"/>
      <c r="H48" s="3">
        <v>12642642</v>
      </c>
      <c r="I48" s="3">
        <v>45665516.762632422</v>
      </c>
    </row>
    <row r="49" spans="1:9" x14ac:dyDescent="0.25">
      <c r="A49" s="1" t="s">
        <v>38</v>
      </c>
      <c r="B49" s="3">
        <v>9075000</v>
      </c>
      <c r="C49" s="3">
        <v>46490500</v>
      </c>
      <c r="D49" s="3">
        <v>72432000</v>
      </c>
      <c r="E49" s="3">
        <v>62378500</v>
      </c>
      <c r="F49" s="34">
        <v>2089400</v>
      </c>
      <c r="G49" s="3">
        <v>8160500</v>
      </c>
      <c r="H49" s="3">
        <v>15128000</v>
      </c>
      <c r="I49" s="3">
        <v>13338500</v>
      </c>
    </row>
    <row r="50" spans="1:9" x14ac:dyDescent="0.25">
      <c r="A50" s="1" t="s">
        <v>32</v>
      </c>
      <c r="B50" s="3"/>
      <c r="C50" s="3">
        <v>113672000</v>
      </c>
      <c r="D50" s="3">
        <v>60295450</v>
      </c>
      <c r="E50" s="3">
        <v>24330000</v>
      </c>
      <c r="F50" s="34"/>
      <c r="G50" s="3">
        <v>37322000</v>
      </c>
      <c r="H50" s="3">
        <v>16544950</v>
      </c>
      <c r="I50" s="3">
        <v>6723000</v>
      </c>
    </row>
    <row r="51" spans="1:9" ht="17.25" thickBot="1" x14ac:dyDescent="0.3">
      <c r="A51" t="s">
        <v>60</v>
      </c>
      <c r="B51" s="17"/>
      <c r="C51" s="17"/>
      <c r="D51" s="17">
        <v>4644000</v>
      </c>
      <c r="E51" s="17">
        <v>15256000</v>
      </c>
      <c r="F51" s="35"/>
      <c r="G51" s="17"/>
      <c r="H51" s="17">
        <v>2422000</v>
      </c>
      <c r="I51" s="17">
        <v>7365000</v>
      </c>
    </row>
    <row r="52" spans="1:9" ht="17.25" thickTop="1" x14ac:dyDescent="0.25">
      <c r="A52" s="18" t="s">
        <v>0</v>
      </c>
      <c r="B52" s="9">
        <v>87310000</v>
      </c>
      <c r="C52" s="9">
        <v>354923000</v>
      </c>
      <c r="D52" s="9">
        <v>501034950</v>
      </c>
      <c r="E52" s="9">
        <f>SUM(E41:E51)</f>
        <v>1097758800</v>
      </c>
      <c r="F52" s="36">
        <v>28686380</v>
      </c>
      <c r="G52" s="9">
        <v>90830500</v>
      </c>
      <c r="H52" s="9">
        <v>128452100.08848</v>
      </c>
      <c r="I52" s="9">
        <f>SUM(I41:I51)</f>
        <v>301154175.10147142</v>
      </c>
    </row>
    <row r="59" spans="1:9" x14ac:dyDescent="0.25">
      <c r="A59" s="1229"/>
      <c r="B59" s="1229"/>
      <c r="C59" s="5"/>
      <c r="D59" s="5"/>
      <c r="E59" s="5"/>
      <c r="F59" s="5"/>
      <c r="G59" s="1229"/>
      <c r="H59" s="1229"/>
      <c r="I59" s="5"/>
    </row>
    <row r="78" spans="1:8" x14ac:dyDescent="0.25">
      <c r="A78" s="1229"/>
      <c r="B78" s="1229"/>
      <c r="C78" s="5"/>
      <c r="D78" s="5"/>
      <c r="E78" s="5"/>
      <c r="F78" s="5"/>
      <c r="G78" s="1230"/>
      <c r="H78" s="1230"/>
    </row>
    <row r="246" spans="4:23" ht="20.25" x14ac:dyDescent="0.25">
      <c r="D246" s="1231" t="s">
        <v>283</v>
      </c>
      <c r="E246" s="1231"/>
      <c r="F246" s="1231"/>
      <c r="I246" s="1228" t="s">
        <v>282</v>
      </c>
      <c r="J246" s="1228"/>
      <c r="K246" s="1228"/>
      <c r="L246" s="51"/>
      <c r="M246" s="1228" t="s">
        <v>94</v>
      </c>
      <c r="N246" s="1228"/>
      <c r="O246" s="1228"/>
      <c r="P246" s="51"/>
      <c r="Q246" s="1228" t="s">
        <v>75</v>
      </c>
      <c r="R246" s="1228"/>
      <c r="S246" s="1228"/>
      <c r="T246" s="51"/>
      <c r="U246" s="1228" t="s">
        <v>281</v>
      </c>
      <c r="V246" s="1228"/>
      <c r="W246" s="1228"/>
    </row>
    <row r="247" spans="4:23" x14ac:dyDescent="0.25">
      <c r="D247" s="69">
        <v>2017.1</v>
      </c>
      <c r="E247">
        <v>91183950</v>
      </c>
      <c r="F247">
        <v>25920248.200000003</v>
      </c>
      <c r="I247" s="46">
        <v>2017.1</v>
      </c>
      <c r="J247" s="48">
        <v>64962150</v>
      </c>
      <c r="K247" s="48">
        <v>14704560</v>
      </c>
      <c r="L247" s="5"/>
      <c r="M247" s="46">
        <v>2017.1</v>
      </c>
      <c r="N247" s="48">
        <v>12298000</v>
      </c>
      <c r="O247" s="48">
        <v>3528562</v>
      </c>
      <c r="P247" s="5"/>
      <c r="Q247" s="46">
        <v>2017.1</v>
      </c>
      <c r="R247" s="48">
        <v>9801000</v>
      </c>
      <c r="S247" s="48">
        <v>4250740</v>
      </c>
      <c r="T247" s="5"/>
      <c r="U247" s="46">
        <v>2017.1</v>
      </c>
      <c r="V247" s="48">
        <v>165000</v>
      </c>
      <c r="W247" s="48">
        <v>150000</v>
      </c>
    </row>
    <row r="248" spans="4:23" x14ac:dyDescent="0.25">
      <c r="D248" s="69">
        <v>2017.2</v>
      </c>
      <c r="E248">
        <v>120288300.00000001</v>
      </c>
      <c r="F248">
        <v>49830217.485400006</v>
      </c>
      <c r="I248" s="46">
        <v>2017.2</v>
      </c>
      <c r="J248" s="48">
        <v>69975400</v>
      </c>
      <c r="K248" s="48">
        <v>20204886</v>
      </c>
      <c r="L248" s="5"/>
      <c r="M248" s="46">
        <v>2017.2</v>
      </c>
      <c r="N248" s="48">
        <v>2510200</v>
      </c>
      <c r="O248" s="48">
        <v>1064899</v>
      </c>
      <c r="P248" s="5"/>
      <c r="Q248" s="46">
        <v>2017.2</v>
      </c>
      <c r="R248" s="48">
        <v>39827700</v>
      </c>
      <c r="S248" s="48">
        <v>17656413</v>
      </c>
      <c r="T248" s="5"/>
      <c r="U248" s="46">
        <v>2017.2</v>
      </c>
      <c r="V248" s="48">
        <v>7975000</v>
      </c>
      <c r="W248" s="48">
        <v>7250000</v>
      </c>
    </row>
    <row r="249" spans="4:23" x14ac:dyDescent="0.25">
      <c r="D249" s="69">
        <v>2017.3</v>
      </c>
      <c r="E249">
        <v>74016800</v>
      </c>
      <c r="F249">
        <v>20414845</v>
      </c>
      <c r="I249" s="46">
        <v>2017.3</v>
      </c>
      <c r="J249" s="48">
        <v>59952200</v>
      </c>
      <c r="K249" s="48">
        <v>13125140</v>
      </c>
      <c r="L249" s="5"/>
      <c r="M249" s="46">
        <v>2017.3</v>
      </c>
      <c r="N249" s="48">
        <v>1997600</v>
      </c>
      <c r="O249" s="48">
        <v>742670</v>
      </c>
      <c r="P249" s="5"/>
      <c r="Q249" s="46">
        <v>2017.3</v>
      </c>
      <c r="R249" s="48">
        <v>12067000</v>
      </c>
      <c r="S249" s="48">
        <v>4691140</v>
      </c>
      <c r="T249" s="5"/>
      <c r="U249" s="46">
        <v>2017.3</v>
      </c>
      <c r="V249" s="48">
        <v>0</v>
      </c>
      <c r="W249" s="48">
        <v>0</v>
      </c>
    </row>
    <row r="250" spans="4:23" x14ac:dyDescent="0.25">
      <c r="D250" s="69">
        <v>2017.4</v>
      </c>
      <c r="E250">
        <v>152866824</v>
      </c>
      <c r="F250">
        <v>35432913.083610788</v>
      </c>
      <c r="I250" s="46">
        <v>2017.4</v>
      </c>
      <c r="J250" s="48">
        <f>([2]Consumables!C78)</f>
        <v>79137300</v>
      </c>
      <c r="K250" s="48">
        <f>([2]Consumables!E78)</f>
        <v>16977984</v>
      </c>
      <c r="L250" s="5"/>
      <c r="M250" s="46">
        <v>2017.4</v>
      </c>
      <c r="N250" s="48">
        <v>57614524</v>
      </c>
      <c r="O250" s="48">
        <v>51961110</v>
      </c>
      <c r="P250" s="5"/>
      <c r="Q250" s="46">
        <v>2017.4</v>
      </c>
      <c r="R250" s="48">
        <v>14300000</v>
      </c>
      <c r="S250" s="48">
        <v>7084000</v>
      </c>
      <c r="T250" s="5"/>
      <c r="U250" s="46">
        <v>2017.4</v>
      </c>
      <c r="V250" s="48">
        <v>1815000</v>
      </c>
      <c r="W250" s="48">
        <v>1650000</v>
      </c>
    </row>
    <row r="251" spans="4:23" x14ac:dyDescent="0.25">
      <c r="D251" s="69">
        <v>2017.5</v>
      </c>
      <c r="E251">
        <v>162701220</v>
      </c>
      <c r="F251">
        <v>31145686.13212616</v>
      </c>
      <c r="I251" s="46">
        <v>2017.5</v>
      </c>
      <c r="J251" s="48">
        <f>([2]Consumables!C91)</f>
        <v>51543800</v>
      </c>
      <c r="K251" s="49">
        <f>([2]Consumables!E91)</f>
        <v>13433014</v>
      </c>
      <c r="L251" s="5"/>
      <c r="M251" s="46">
        <v>2017.5</v>
      </c>
      <c r="N251" s="48">
        <f ca="1">(Technotrans!C130)</f>
        <v>101026420</v>
      </c>
      <c r="O251" s="49">
        <f ca="1">Technotrans!E130</f>
        <v>11831906.120114688</v>
      </c>
      <c r="P251" s="5"/>
      <c r="Q251" s="46">
        <v>2017.5</v>
      </c>
      <c r="R251" s="50">
        <f ca="1">GOSS!C115</f>
        <v>10131000.000000002</v>
      </c>
      <c r="S251" s="50">
        <f ca="1">GOSS!E115</f>
        <v>4024340</v>
      </c>
      <c r="T251" s="5"/>
      <c r="U251" s="46">
        <v>2017.5</v>
      </c>
      <c r="V251" s="45">
        <v>0</v>
      </c>
      <c r="W251" s="45">
        <v>0</v>
      </c>
    </row>
    <row r="252" spans="4:23" x14ac:dyDescent="0.25">
      <c r="D252" s="69">
        <v>2017.6</v>
      </c>
      <c r="E252">
        <v>121503646.00000001</v>
      </c>
      <c r="F252">
        <v>29065956.168284561</v>
      </c>
      <c r="I252" s="46">
        <v>2017.6</v>
      </c>
      <c r="J252">
        <f ca="1">(Consumables!C616)</f>
        <v>59820530</v>
      </c>
      <c r="K252">
        <f ca="1">(Consumables!E616)</f>
        <v>12212120</v>
      </c>
      <c r="L252" s="5"/>
      <c r="M252" s="46">
        <v>2017.6</v>
      </c>
      <c r="N252">
        <f ca="1">(Technotrans!C138)</f>
        <v>49144216</v>
      </c>
      <c r="O252">
        <f ca="1">Technotrans!E138</f>
        <v>7551889.7129664151</v>
      </c>
      <c r="P252" s="5"/>
      <c r="Q252" s="46">
        <v>2017.6</v>
      </c>
      <c r="R252">
        <f ca="1">GOSS!C120</f>
        <v>7628500</v>
      </c>
      <c r="S252">
        <f ca="1">GOSS!E120</f>
        <v>6635000</v>
      </c>
      <c r="T252" s="5"/>
      <c r="U252" s="46">
        <v>2017.6</v>
      </c>
      <c r="V252">
        <f ca="1">서비스!C54</f>
        <v>1980000</v>
      </c>
      <c r="W252">
        <f ca="1">서비스!E54</f>
        <v>1800000</v>
      </c>
    </row>
    <row r="253" spans="4:23" x14ac:dyDescent="0.25">
      <c r="D253" s="69">
        <v>2017.7</v>
      </c>
      <c r="E253">
        <v>164497300</v>
      </c>
      <c r="F253">
        <v>49151130.46116361</v>
      </c>
      <c r="I253" s="46">
        <v>2017.7</v>
      </c>
      <c r="J253" s="603">
        <f ca="1">(Consumables!C631)</f>
        <v>34566400</v>
      </c>
      <c r="K253" s="603">
        <f ca="1">(Consumables!E631)</f>
        <v>7042240</v>
      </c>
      <c r="L253" s="5"/>
      <c r="M253" s="46">
        <v>2017.7</v>
      </c>
      <c r="N253">
        <f ca="1">(Technotrans!C141)</f>
        <v>638000.00000000012</v>
      </c>
      <c r="O253">
        <f ca="1">Technotrans!E141</f>
        <v>310468</v>
      </c>
      <c r="P253" s="5"/>
      <c r="Q253" s="46">
        <v>2017.7</v>
      </c>
      <c r="R253" s="603">
        <f ca="1">GOSS!C125</f>
        <v>56672000</v>
      </c>
      <c r="S253" s="603">
        <f ca="1">GOSS!E125</f>
        <v>51154000</v>
      </c>
      <c r="T253" s="5"/>
      <c r="U253" s="46">
        <v>2017.7</v>
      </c>
      <c r="V253" s="604">
        <v>0</v>
      </c>
      <c r="W253" s="604">
        <v>0</v>
      </c>
    </row>
    <row r="254" spans="4:23" x14ac:dyDescent="0.25">
      <c r="D254" s="69">
        <v>2017.8</v>
      </c>
      <c r="E254">
        <v>96671300.000000015</v>
      </c>
      <c r="F254">
        <v>53233490.095591389</v>
      </c>
      <c r="I254" s="46">
        <v>2017.8</v>
      </c>
      <c r="J254" s="603">
        <f ca="1">(Consumables!C643)</f>
        <v>24847900</v>
      </c>
      <c r="K254" s="603">
        <f ca="1">(Consumables!E643)</f>
        <v>5516460</v>
      </c>
      <c r="L254" s="5"/>
      <c r="M254" s="46">
        <v>2017.8</v>
      </c>
      <c r="N254">
        <f ca="1">(Technotrans!C146)</f>
        <v>6526300.0000000009</v>
      </c>
      <c r="O254">
        <f ca="1">(Technotrans!E146)</f>
        <v>5326373.46</v>
      </c>
      <c r="P254" s="5"/>
      <c r="Q254" s="46">
        <v>2017.8</v>
      </c>
      <c r="R254" s="603">
        <f ca="1">GOSS!C129</f>
        <v>20306000</v>
      </c>
      <c r="S254" s="603">
        <f ca="1">GOSS!E129</f>
        <v>15160000</v>
      </c>
      <c r="T254" s="5"/>
      <c r="U254" s="46">
        <v>2017.8</v>
      </c>
      <c r="V254" s="762">
        <f ca="1">서비스!C63</f>
        <v>29178600</v>
      </c>
      <c r="W254" s="762">
        <f ca="1">서비스!E63</f>
        <v>26526000</v>
      </c>
    </row>
    <row r="255" spans="4:23" x14ac:dyDescent="0.25">
      <c r="D255" s="69">
        <v>2017.9</v>
      </c>
      <c r="E255">
        <v>117079710.00000001</v>
      </c>
      <c r="F255">
        <v>24329844.704880003</v>
      </c>
      <c r="I255" s="46">
        <v>2017.9</v>
      </c>
      <c r="J255">
        <v>94859710</v>
      </c>
      <c r="K255">
        <v>12415940</v>
      </c>
      <c r="L255" s="5"/>
      <c r="M255" s="46">
        <v>2017.9</v>
      </c>
      <c r="N255">
        <v>16850900.000000004</v>
      </c>
      <c r="O255">
        <v>5828492</v>
      </c>
      <c r="P255" s="5"/>
      <c r="Q255" s="46">
        <v>2017.9</v>
      </c>
      <c r="R255">
        <v>2784100</v>
      </c>
      <c r="S255">
        <v>1405438.6407999999</v>
      </c>
      <c r="T255" s="5"/>
      <c r="U255" s="46">
        <v>2017.9</v>
      </c>
      <c r="V255">
        <v>2585000</v>
      </c>
    </row>
    <row r="256" spans="4:23" ht="17.25" x14ac:dyDescent="0.25">
      <c r="D256" s="70">
        <v>2017.1</v>
      </c>
      <c r="E256">
        <v>50236780.000000007</v>
      </c>
      <c r="F256">
        <v>16945164.93742663</v>
      </c>
      <c r="I256" s="819">
        <v>2017.1</v>
      </c>
      <c r="J256" s="543">
        <v>37355780</v>
      </c>
      <c r="K256">
        <v>7485900</v>
      </c>
      <c r="L256" s="5"/>
      <c r="M256" s="819">
        <v>2017.1</v>
      </c>
      <c r="N256" s="278">
        <v>770000.00000000012</v>
      </c>
      <c r="O256" s="278">
        <v>323276.93000000005</v>
      </c>
      <c r="P256" s="5"/>
      <c r="Q256" s="819">
        <v>2017.1</v>
      </c>
      <c r="R256" s="543">
        <v>11781000</v>
      </c>
      <c r="S256" s="543">
        <v>6274823.4676605724</v>
      </c>
      <c r="T256" s="5"/>
      <c r="U256" s="819">
        <v>2017.1</v>
      </c>
      <c r="V256">
        <v>1375000</v>
      </c>
    </row>
    <row r="257" spans="4:22" x14ac:dyDescent="0.25">
      <c r="D257" s="69">
        <v>2017.11</v>
      </c>
      <c r="E257">
        <v>378070114.40000004</v>
      </c>
      <c r="F257">
        <v>64080321.149834856</v>
      </c>
      <c r="I257" s="46">
        <v>2016.11</v>
      </c>
      <c r="J257">
        <v>42459120</v>
      </c>
      <c r="K257">
        <v>9121620</v>
      </c>
      <c r="L257" s="5"/>
      <c r="M257" s="46">
        <v>2016.11</v>
      </c>
      <c r="N257">
        <v>2618000</v>
      </c>
      <c r="O257">
        <v>566904.98325000005</v>
      </c>
      <c r="P257" s="5"/>
      <c r="R257">
        <v>57145994.400000006</v>
      </c>
      <c r="S257">
        <v>6731545.4089407772</v>
      </c>
      <c r="T257" s="5"/>
      <c r="V257">
        <v>11847000</v>
      </c>
    </row>
    <row r="258" spans="4:22" ht="17.25" x14ac:dyDescent="0.25">
      <c r="D258" s="69">
        <v>2017.12</v>
      </c>
      <c r="E258">
        <v>110110550.00000001</v>
      </c>
      <c r="F258">
        <v>21719508.668870661</v>
      </c>
      <c r="I258" s="46">
        <v>2016.12</v>
      </c>
      <c r="J258">
        <v>52457350</v>
      </c>
      <c r="K258" s="543">
        <v>12597180</v>
      </c>
      <c r="L258" s="5"/>
      <c r="M258" s="46">
        <v>2016.12</v>
      </c>
      <c r="N258">
        <v>2442000</v>
      </c>
      <c r="O258">
        <v>894194.77750000008</v>
      </c>
      <c r="P258" s="5"/>
      <c r="R258">
        <v>9394000</v>
      </c>
      <c r="S258">
        <v>3559736.1032915059</v>
      </c>
      <c r="T258" s="5"/>
      <c r="V258">
        <v>275000</v>
      </c>
    </row>
    <row r="283" spans="8:9" x14ac:dyDescent="0.25">
      <c r="H283" s="822">
        <v>70787200</v>
      </c>
      <c r="I283" s="822">
        <v>15197776.000000002</v>
      </c>
    </row>
    <row r="284" spans="8:9" x14ac:dyDescent="0.25">
      <c r="H284" s="822">
        <v>60660050.000000007</v>
      </c>
      <c r="I284" s="822">
        <v>21873830</v>
      </c>
    </row>
    <row r="285" spans="8:9" x14ac:dyDescent="0.25">
      <c r="H285" s="822">
        <v>56713250.000000007</v>
      </c>
      <c r="I285" s="822">
        <v>16866164.700000003</v>
      </c>
    </row>
    <row r="286" spans="8:9" x14ac:dyDescent="0.25">
      <c r="H286" s="822">
        <v>80611300</v>
      </c>
      <c r="I286" s="822">
        <v>26897761.000000004</v>
      </c>
    </row>
    <row r="287" spans="8:9" x14ac:dyDescent="0.25">
      <c r="H287" s="822">
        <v>105342050.00000001</v>
      </c>
      <c r="I287" s="822">
        <v>25496828.500000004</v>
      </c>
    </row>
    <row r="288" spans="8:9" x14ac:dyDescent="0.25">
      <c r="H288" s="822">
        <v>133632950.00000001</v>
      </c>
      <c r="I288" s="822">
        <v>37687760</v>
      </c>
    </row>
    <row r="289" spans="8:9" x14ac:dyDescent="0.25">
      <c r="H289" s="822">
        <v>81625500</v>
      </c>
      <c r="I289" s="822">
        <v>22605462</v>
      </c>
    </row>
    <row r="290" spans="8:9" x14ac:dyDescent="0.25">
      <c r="H290" s="822">
        <v>177157750</v>
      </c>
      <c r="I290" s="822">
        <v>46326324.000000007</v>
      </c>
    </row>
    <row r="291" spans="8:9" x14ac:dyDescent="0.25">
      <c r="H291" s="822">
        <v>102168000.00000001</v>
      </c>
      <c r="I291" s="822">
        <v>30225558.000000004</v>
      </c>
    </row>
    <row r="292" spans="8:9" x14ac:dyDescent="0.25">
      <c r="H292" s="822">
        <v>91679830</v>
      </c>
      <c r="I292" s="822">
        <v>24070746.700000003</v>
      </c>
    </row>
    <row r="293" spans="8:9" x14ac:dyDescent="0.25">
      <c r="H293" s="822">
        <v>73328750</v>
      </c>
      <c r="I293" s="822">
        <v>20924613.600000001</v>
      </c>
    </row>
    <row r="294" spans="8:9" x14ac:dyDescent="0.25">
      <c r="H294" s="822">
        <v>173828050</v>
      </c>
      <c r="I294" s="822">
        <v>43096768</v>
      </c>
    </row>
  </sheetData>
  <mergeCells count="9">
    <mergeCell ref="M246:O246"/>
    <mergeCell ref="Q246:S246"/>
    <mergeCell ref="U246:W246"/>
    <mergeCell ref="A59:B59"/>
    <mergeCell ref="G59:H59"/>
    <mergeCell ref="A78:B78"/>
    <mergeCell ref="G78:H78"/>
    <mergeCell ref="D246:F246"/>
    <mergeCell ref="I246:K246"/>
  </mergeCells>
  <phoneticPr fontId="27" type="noConversion"/>
  <printOptions horizontalCentered="1"/>
  <pageMargins left="0.23622047244094491" right="0.19685039370078741" top="0.11811023622047245" bottom="0.19685039370078741" header="0.11811023622047245" footer="0.11811023622047245"/>
  <pageSetup paperSize="9" scale="12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9">
    <pageSetUpPr fitToPage="1"/>
  </sheetPr>
  <dimension ref="A1:K79"/>
  <sheetViews>
    <sheetView zoomScale="70" zoomScaleNormal="70" workbookViewId="0">
      <pane ySplit="1" topLeftCell="A6" activePane="bottomLeft" state="frozen"/>
      <selection pane="bottomLeft" activeCell="J21" sqref="J21"/>
    </sheetView>
  </sheetViews>
  <sheetFormatPr defaultColWidth="9.03515625" defaultRowHeight="17.25" x14ac:dyDescent="0.25"/>
  <cols>
    <col min="1" max="1" width="5.19921875" style="227" bestFit="1" customWidth="1"/>
    <col min="2" max="2" width="18.69140625" style="227" customWidth="1"/>
    <col min="3" max="3" width="12.99609375" style="340" customWidth="1"/>
    <col min="4" max="4" width="31.8125" style="1043" customWidth="1"/>
    <col min="5" max="5" width="18.3203125" style="1046" customWidth="1"/>
    <col min="6" max="6" width="18.3203125" style="1072" customWidth="1"/>
    <col min="7" max="7" width="18.3203125" style="1080" customWidth="1"/>
    <col min="8" max="8" width="20.30078125" style="1040" customWidth="1"/>
    <col min="9" max="9" width="14.109375" style="1088" customWidth="1"/>
    <col min="10" max="10" width="79.47265625" style="342" bestFit="1" customWidth="1"/>
    <col min="11" max="11" width="27.9765625" style="342" customWidth="1"/>
    <col min="12" max="16384" width="9.03515625" style="228"/>
  </cols>
  <sheetData>
    <row r="1" spans="1:11" s="379" customFormat="1" ht="30" customHeight="1" thickBot="1" x14ac:dyDescent="0.3">
      <c r="A1" s="1054" t="s">
        <v>67</v>
      </c>
      <c r="B1" s="1055" t="s">
        <v>68</v>
      </c>
      <c r="C1" s="1056" t="s">
        <v>69</v>
      </c>
      <c r="D1" s="1044" t="s">
        <v>70</v>
      </c>
      <c r="E1" s="1062" t="s">
        <v>85</v>
      </c>
      <c r="F1" s="1067" t="s">
        <v>618</v>
      </c>
      <c r="G1" s="1074" t="s">
        <v>71</v>
      </c>
      <c r="H1" s="1047" t="s">
        <v>72</v>
      </c>
      <c r="I1" s="1082" t="s">
        <v>73</v>
      </c>
      <c r="J1" s="1057" t="s">
        <v>1701</v>
      </c>
      <c r="K1" s="1057" t="s">
        <v>240</v>
      </c>
    </row>
    <row r="2" spans="1:11" ht="30" customHeight="1" thickBot="1" x14ac:dyDescent="0.3">
      <c r="A2" s="1269" t="s">
        <v>1731</v>
      </c>
      <c r="B2" s="1269"/>
      <c r="C2" s="1269"/>
      <c r="D2" s="1269"/>
      <c r="E2" s="1269"/>
      <c r="F2" s="1269"/>
      <c r="G2" s="1269"/>
      <c r="H2" s="1269"/>
      <c r="I2" s="1269"/>
      <c r="J2" s="1269"/>
      <c r="K2" s="1269"/>
    </row>
    <row r="3" spans="1:11" s="379" customFormat="1" ht="30" customHeight="1" thickBot="1" x14ac:dyDescent="0.3">
      <c r="A3" s="1054" t="s">
        <v>67</v>
      </c>
      <c r="B3" s="1055" t="s">
        <v>68</v>
      </c>
      <c r="C3" s="1056" t="s">
        <v>69</v>
      </c>
      <c r="D3" s="1044" t="s">
        <v>70</v>
      </c>
      <c r="E3" s="1062" t="s">
        <v>85</v>
      </c>
      <c r="F3" s="1067" t="s">
        <v>618</v>
      </c>
      <c r="G3" s="1074" t="s">
        <v>71</v>
      </c>
      <c r="H3" s="1047" t="s">
        <v>72</v>
      </c>
      <c r="I3" s="1082" t="s">
        <v>73</v>
      </c>
      <c r="J3" s="1057" t="s">
        <v>1701</v>
      </c>
      <c r="K3" s="1057" t="s">
        <v>240</v>
      </c>
    </row>
    <row r="4" spans="1:11" ht="30" customHeight="1" x14ac:dyDescent="0.25">
      <c r="A4" s="354">
        <v>1</v>
      </c>
      <c r="B4" s="349" t="s">
        <v>1715</v>
      </c>
      <c r="C4" s="350">
        <v>43483</v>
      </c>
      <c r="D4" s="1041" t="s">
        <v>2158</v>
      </c>
      <c r="E4" s="1063">
        <v>10555</v>
      </c>
      <c r="F4" s="1068"/>
      <c r="G4" s="1075"/>
      <c r="H4" s="1048">
        <f t="shared" ref="H4:H16" si="0">I4*E4</f>
        <v>11866986.5</v>
      </c>
      <c r="I4" s="1083">
        <v>1124.3</v>
      </c>
      <c r="J4" s="1034" t="s">
        <v>2035</v>
      </c>
      <c r="K4" s="1034"/>
    </row>
    <row r="5" spans="1:11" ht="30" customHeight="1" x14ac:dyDescent="0.25">
      <c r="A5" s="354">
        <v>2</v>
      </c>
      <c r="B5" s="354" t="s">
        <v>1718</v>
      </c>
      <c r="C5" s="355">
        <v>43507</v>
      </c>
      <c r="D5" s="1041" t="s">
        <v>1719</v>
      </c>
      <c r="E5" s="1064">
        <v>987.06</v>
      </c>
      <c r="F5" s="1069"/>
      <c r="G5" s="1076"/>
      <c r="H5" s="1048">
        <f t="shared" si="0"/>
        <v>1109751.558</v>
      </c>
      <c r="I5" s="1083">
        <v>1124.3</v>
      </c>
      <c r="J5" s="1035" t="s">
        <v>1720</v>
      </c>
      <c r="K5" s="1035" t="s">
        <v>1721</v>
      </c>
    </row>
    <row r="6" spans="1:11" ht="30" customHeight="1" x14ac:dyDescent="0.25">
      <c r="A6" s="354">
        <v>3</v>
      </c>
      <c r="B6" s="354" t="s">
        <v>1722</v>
      </c>
      <c r="C6" s="355">
        <v>43507</v>
      </c>
      <c r="D6" s="1041" t="s">
        <v>1723</v>
      </c>
      <c r="E6" s="1064">
        <v>5534</v>
      </c>
      <c r="F6" s="1069"/>
      <c r="G6" s="1076"/>
      <c r="H6" s="1048">
        <f t="shared" si="0"/>
        <v>6221876.2000000002</v>
      </c>
      <c r="I6" s="1083">
        <v>1124.3</v>
      </c>
      <c r="J6" s="1035" t="s">
        <v>1724</v>
      </c>
      <c r="K6" s="1035"/>
    </row>
    <row r="7" spans="1:11" ht="30" customHeight="1" x14ac:dyDescent="0.25">
      <c r="A7" s="354">
        <v>4</v>
      </c>
      <c r="B7" s="364" t="s">
        <v>1725</v>
      </c>
      <c r="C7" s="365">
        <v>43508</v>
      </c>
      <c r="D7" s="1041" t="s">
        <v>2158</v>
      </c>
      <c r="E7" s="1064">
        <v>7715.91</v>
      </c>
      <c r="F7" s="1069"/>
      <c r="G7" s="1076"/>
      <c r="H7" s="1048">
        <f t="shared" si="0"/>
        <v>8674997.6129999999</v>
      </c>
      <c r="I7" s="1084">
        <v>1124.3</v>
      </c>
      <c r="J7" s="1034" t="s">
        <v>1717</v>
      </c>
      <c r="K7" s="364"/>
    </row>
    <row r="8" spans="1:11" ht="30" customHeight="1" x14ac:dyDescent="0.25">
      <c r="A8" s="354">
        <v>5</v>
      </c>
      <c r="B8" s="354" t="s">
        <v>1726</v>
      </c>
      <c r="C8" s="355">
        <v>43510</v>
      </c>
      <c r="D8" s="1041" t="s">
        <v>1723</v>
      </c>
      <c r="E8" s="1064">
        <v>5900</v>
      </c>
      <c r="F8" s="1069"/>
      <c r="G8" s="1076"/>
      <c r="H8" s="1048">
        <f t="shared" si="0"/>
        <v>6667000</v>
      </c>
      <c r="I8" s="1083">
        <v>1130</v>
      </c>
      <c r="J8" s="1036" t="s">
        <v>1727</v>
      </c>
      <c r="K8" s="1036"/>
    </row>
    <row r="9" spans="1:11" ht="30" customHeight="1" x14ac:dyDescent="0.25">
      <c r="A9" s="354">
        <v>6</v>
      </c>
      <c r="B9" s="349" t="s">
        <v>1728</v>
      </c>
      <c r="C9" s="350">
        <v>43515</v>
      </c>
      <c r="D9" s="1045" t="s">
        <v>1729</v>
      </c>
      <c r="E9" s="1063">
        <v>3039.2</v>
      </c>
      <c r="F9" s="1068"/>
      <c r="G9" s="1075"/>
      <c r="H9" s="1048">
        <f t="shared" si="0"/>
        <v>3434296</v>
      </c>
      <c r="I9" s="1085">
        <v>1130</v>
      </c>
      <c r="J9" s="1037" t="s">
        <v>1730</v>
      </c>
      <c r="K9" s="1037"/>
    </row>
    <row r="10" spans="1:11" ht="30" customHeight="1" x14ac:dyDescent="0.25">
      <c r="A10" s="354">
        <v>7</v>
      </c>
      <c r="B10" s="349" t="s">
        <v>1869</v>
      </c>
      <c r="C10" s="350">
        <v>43556</v>
      </c>
      <c r="D10" s="1041" t="s">
        <v>2158</v>
      </c>
      <c r="E10" s="1058">
        <v>5818.44</v>
      </c>
      <c r="F10" s="1070"/>
      <c r="G10" s="1077"/>
      <c r="H10" s="1048">
        <f t="shared" si="0"/>
        <v>6640003.7280000001</v>
      </c>
      <c r="I10" s="1085">
        <v>1141.2</v>
      </c>
      <c r="J10" s="1034" t="s">
        <v>1717</v>
      </c>
      <c r="K10" s="1034"/>
    </row>
    <row r="11" spans="1:11" ht="30" customHeight="1" x14ac:dyDescent="0.25">
      <c r="A11" s="354">
        <v>8</v>
      </c>
      <c r="B11" s="349" t="s">
        <v>2038</v>
      </c>
      <c r="C11" s="350">
        <v>43585</v>
      </c>
      <c r="D11" s="1041" t="s">
        <v>1871</v>
      </c>
      <c r="E11" s="1058">
        <v>1310</v>
      </c>
      <c r="F11" s="1070"/>
      <c r="G11" s="1077"/>
      <c r="H11" s="1048"/>
      <c r="I11" s="1085"/>
      <c r="J11" s="1034" t="s">
        <v>2039</v>
      </c>
      <c r="K11" s="1034"/>
    </row>
    <row r="12" spans="1:11" ht="30" customHeight="1" x14ac:dyDescent="0.25">
      <c r="A12" s="354">
        <v>9</v>
      </c>
      <c r="B12" s="349" t="s">
        <v>1870</v>
      </c>
      <c r="C12" s="350">
        <v>43587</v>
      </c>
      <c r="D12" s="1041" t="s">
        <v>2158</v>
      </c>
      <c r="E12" s="1058">
        <v>8244.5400000000009</v>
      </c>
      <c r="F12" s="1070"/>
      <c r="G12" s="1077"/>
      <c r="H12" s="1048">
        <f t="shared" si="0"/>
        <v>9594995.6520000007</v>
      </c>
      <c r="I12" s="1085">
        <v>1163.8</v>
      </c>
      <c r="J12" s="1034" t="s">
        <v>1717</v>
      </c>
      <c r="K12" s="354"/>
    </row>
    <row r="13" spans="1:11" ht="30" customHeight="1" x14ac:dyDescent="0.25">
      <c r="A13" s="354">
        <v>10</v>
      </c>
      <c r="B13" s="349" t="s">
        <v>1979</v>
      </c>
      <c r="C13" s="350">
        <v>43628</v>
      </c>
      <c r="D13" s="1041" t="s">
        <v>2158</v>
      </c>
      <c r="E13" s="1058">
        <v>1354.52</v>
      </c>
      <c r="F13" s="1070"/>
      <c r="G13" s="1077"/>
      <c r="H13" s="1048">
        <f t="shared" si="0"/>
        <v>1600636.284</v>
      </c>
      <c r="I13" s="1085">
        <v>1181.7</v>
      </c>
      <c r="J13" s="1034" t="s">
        <v>1717</v>
      </c>
      <c r="K13" s="1035"/>
    </row>
    <row r="14" spans="1:11" ht="30" customHeight="1" x14ac:dyDescent="0.25">
      <c r="A14" s="354">
        <v>11</v>
      </c>
      <c r="B14" s="349" t="s">
        <v>1980</v>
      </c>
      <c r="C14" s="350">
        <v>43628</v>
      </c>
      <c r="D14" s="1041" t="s">
        <v>2158</v>
      </c>
      <c r="E14" s="1058">
        <v>754</v>
      </c>
      <c r="F14" s="1070"/>
      <c r="G14" s="1077"/>
      <c r="H14" s="1048">
        <f t="shared" si="0"/>
        <v>891001.8</v>
      </c>
      <c r="I14" s="1085">
        <v>1181.7</v>
      </c>
      <c r="J14" s="1034" t="s">
        <v>1717</v>
      </c>
      <c r="K14" s="354"/>
    </row>
    <row r="15" spans="1:11" ht="30" customHeight="1" x14ac:dyDescent="0.25">
      <c r="A15" s="354">
        <v>12</v>
      </c>
      <c r="B15" s="349" t="s">
        <v>1981</v>
      </c>
      <c r="C15" s="350">
        <v>43628</v>
      </c>
      <c r="D15" s="1045" t="s">
        <v>2159</v>
      </c>
      <c r="E15" s="1058">
        <v>2738.59</v>
      </c>
      <c r="F15" s="1070"/>
      <c r="G15" s="1077"/>
      <c r="H15" s="1048">
        <f t="shared" si="0"/>
        <v>3237013.3800000004</v>
      </c>
      <c r="I15" s="1083">
        <v>1182</v>
      </c>
      <c r="J15" s="1037" t="s">
        <v>1982</v>
      </c>
      <c r="K15" s="1037" t="s">
        <v>1983</v>
      </c>
    </row>
    <row r="16" spans="1:11" ht="30" customHeight="1" x14ac:dyDescent="0.25">
      <c r="A16" s="354">
        <v>13</v>
      </c>
      <c r="B16" s="349" t="s">
        <v>1984</v>
      </c>
      <c r="C16" s="355">
        <v>43656</v>
      </c>
      <c r="D16" s="1041" t="s">
        <v>2158</v>
      </c>
      <c r="E16" s="1058">
        <v>3003.38</v>
      </c>
      <c r="F16" s="1070"/>
      <c r="G16" s="1077"/>
      <c r="H16" s="1048">
        <f t="shared" si="0"/>
        <v>3549995.16</v>
      </c>
      <c r="I16" s="1083">
        <v>1182</v>
      </c>
      <c r="J16" s="1034" t="s">
        <v>1717</v>
      </c>
      <c r="K16" s="354"/>
    </row>
    <row r="17" spans="1:11" ht="30" customHeight="1" x14ac:dyDescent="0.25">
      <c r="A17" s="354">
        <v>14</v>
      </c>
      <c r="B17" s="349" t="s">
        <v>2040</v>
      </c>
      <c r="C17" s="355">
        <v>43698</v>
      </c>
      <c r="D17" s="1041" t="s">
        <v>2158</v>
      </c>
      <c r="E17" s="1058">
        <v>619.73</v>
      </c>
      <c r="F17" s="1070"/>
      <c r="G17" s="1077"/>
      <c r="H17" s="1051">
        <v>750000</v>
      </c>
      <c r="I17" s="1083">
        <v>1210.2</v>
      </c>
      <c r="J17" s="1034" t="s">
        <v>1717</v>
      </c>
      <c r="K17" s="354" t="s">
        <v>1983</v>
      </c>
    </row>
    <row r="18" spans="1:11" ht="30" customHeight="1" x14ac:dyDescent="0.25">
      <c r="A18" s="354">
        <v>15</v>
      </c>
      <c r="B18" s="349" t="s">
        <v>2073</v>
      </c>
      <c r="C18" s="355">
        <v>43718</v>
      </c>
      <c r="D18" s="1045" t="s">
        <v>1736</v>
      </c>
      <c r="E18" s="1058"/>
      <c r="F18" s="1070">
        <v>2428.8000000000002</v>
      </c>
      <c r="G18" s="1077"/>
      <c r="H18" s="1051">
        <v>3200000</v>
      </c>
      <c r="I18" s="1083">
        <v>1317.54</v>
      </c>
      <c r="J18" s="354" t="s">
        <v>2074</v>
      </c>
      <c r="K18" s="354" t="s">
        <v>2078</v>
      </c>
    </row>
    <row r="19" spans="1:11" ht="30" customHeight="1" x14ac:dyDescent="0.25">
      <c r="A19" s="354">
        <v>16</v>
      </c>
      <c r="B19" s="349" t="s">
        <v>2156</v>
      </c>
      <c r="C19" s="355">
        <v>43802</v>
      </c>
      <c r="D19" s="1045" t="s">
        <v>2157</v>
      </c>
      <c r="E19" s="1058">
        <v>15352.9</v>
      </c>
      <c r="F19" s="1070"/>
      <c r="G19" s="1077"/>
      <c r="H19" s="1048">
        <f>I19*E19</f>
        <v>18440368.189999998</v>
      </c>
      <c r="I19" s="1083">
        <v>1201.0999999999999</v>
      </c>
      <c r="J19" s="354" t="s">
        <v>2160</v>
      </c>
      <c r="K19" s="354" t="s">
        <v>1983</v>
      </c>
    </row>
    <row r="20" spans="1:11" s="1091" customFormat="1" ht="30" customHeight="1" thickBot="1" x14ac:dyDescent="0.3">
      <c r="A20" s="354">
        <v>17</v>
      </c>
      <c r="B20" s="354"/>
      <c r="C20" s="355"/>
      <c r="D20" s="1041"/>
      <c r="E20" s="1058"/>
      <c r="F20" s="1070"/>
      <c r="G20" s="1077"/>
      <c r="H20" s="1051"/>
      <c r="I20" s="1083"/>
      <c r="J20" s="354"/>
      <c r="K20" s="354"/>
    </row>
    <row r="21" spans="1:11" s="379" customFormat="1" ht="30" customHeight="1" thickBot="1" x14ac:dyDescent="0.3">
      <c r="A21" s="376"/>
      <c r="B21" s="376"/>
      <c r="C21" s="377"/>
      <c r="D21" s="1059" t="s">
        <v>31</v>
      </c>
      <c r="E21" s="1060">
        <f>SUM(E4:E20)</f>
        <v>72927.26999999999</v>
      </c>
      <c r="F21" s="1061">
        <f>SUM(F4:F20)</f>
        <v>2428.8000000000002</v>
      </c>
      <c r="G21" s="1079">
        <f>SUM(G4:G20)</f>
        <v>0</v>
      </c>
      <c r="H21" s="1092">
        <f>SUM(H4:H20)</f>
        <v>85878922.064999998</v>
      </c>
      <c r="I21" s="1087"/>
      <c r="J21" s="1038"/>
      <c r="K21" s="1038"/>
    </row>
    <row r="22" spans="1:11" ht="30" customHeight="1" x14ac:dyDescent="0.25">
      <c r="J22" s="1039"/>
      <c r="K22" s="1039"/>
    </row>
    <row r="23" spans="1:11" ht="30" customHeight="1" x14ac:dyDescent="0.25"/>
    <row r="24" spans="1:11" ht="30" customHeight="1" x14ac:dyDescent="0.25"/>
    <row r="25" spans="1:11" ht="30" customHeight="1" thickBot="1" x14ac:dyDescent="0.3">
      <c r="A25" s="1269" t="s">
        <v>1714</v>
      </c>
      <c r="B25" s="1269"/>
      <c r="C25" s="1269"/>
      <c r="D25" s="1269"/>
      <c r="E25" s="1269"/>
      <c r="F25" s="1269"/>
      <c r="G25" s="1269"/>
      <c r="H25" s="1269"/>
      <c r="I25" s="1269"/>
      <c r="J25" s="1269"/>
      <c r="K25" s="1269"/>
    </row>
    <row r="26" spans="1:11" ht="30" customHeight="1" thickBot="1" x14ac:dyDescent="0.3">
      <c r="A26" s="343" t="s">
        <v>67</v>
      </c>
      <c r="B26" s="344" t="s">
        <v>68</v>
      </c>
      <c r="C26" s="345" t="s">
        <v>69</v>
      </c>
      <c r="D26" s="1044" t="s">
        <v>70</v>
      </c>
      <c r="E26" s="1062" t="s">
        <v>85</v>
      </c>
      <c r="F26" s="1067" t="s">
        <v>618</v>
      </c>
      <c r="G26" s="1074" t="s">
        <v>71</v>
      </c>
      <c r="H26" s="1053" t="s">
        <v>72</v>
      </c>
      <c r="I26" s="1089" t="s">
        <v>73</v>
      </c>
      <c r="J26" s="348" t="s">
        <v>74</v>
      </c>
      <c r="K26" s="348" t="s">
        <v>74</v>
      </c>
    </row>
    <row r="27" spans="1:11" s="936" customFormat="1" ht="30" customHeight="1" x14ac:dyDescent="0.25">
      <c r="A27" s="934">
        <v>1</v>
      </c>
      <c r="B27" s="934"/>
      <c r="C27" s="935">
        <v>43467</v>
      </c>
      <c r="D27" s="1042" t="s">
        <v>1732</v>
      </c>
      <c r="E27" s="1065">
        <v>895</v>
      </c>
      <c r="F27" s="1071"/>
      <c r="G27" s="1078"/>
      <c r="H27" s="1052">
        <f>I27*E27</f>
        <v>1004637.5</v>
      </c>
      <c r="I27" s="1086">
        <v>1122.5</v>
      </c>
      <c r="J27" s="984" t="s">
        <v>1733</v>
      </c>
      <c r="K27" s="984"/>
    </row>
    <row r="28" spans="1:11" ht="30" customHeight="1" x14ac:dyDescent="0.25">
      <c r="A28" s="354">
        <v>2</v>
      </c>
      <c r="B28" s="354"/>
      <c r="C28" s="355">
        <v>43472</v>
      </c>
      <c r="D28" s="1042" t="s">
        <v>1734</v>
      </c>
      <c r="E28" s="1064">
        <v>3305.2</v>
      </c>
      <c r="F28" s="1069"/>
      <c r="G28" s="1076"/>
      <c r="H28" s="1052">
        <f>I28*E28</f>
        <v>3701824</v>
      </c>
      <c r="I28" s="1083">
        <v>1120</v>
      </c>
      <c r="J28" s="1035" t="s">
        <v>1735</v>
      </c>
      <c r="K28" s="1035"/>
    </row>
    <row r="29" spans="1:11" ht="30" customHeight="1" x14ac:dyDescent="0.25">
      <c r="A29" s="354">
        <v>3</v>
      </c>
      <c r="B29" s="354"/>
      <c r="C29" s="355">
        <v>43472</v>
      </c>
      <c r="D29" s="1041" t="s">
        <v>1729</v>
      </c>
      <c r="E29" s="1064">
        <v>7575.2</v>
      </c>
      <c r="F29" s="1069"/>
      <c r="G29" s="1076"/>
      <c r="H29" s="1052">
        <f>I29*E29</f>
        <v>8484224</v>
      </c>
      <c r="I29" s="1083">
        <v>1120</v>
      </c>
      <c r="J29" s="1035" t="s">
        <v>1727</v>
      </c>
      <c r="K29" s="1035"/>
    </row>
    <row r="30" spans="1:11" ht="30" customHeight="1" x14ac:dyDescent="0.25">
      <c r="A30" s="354">
        <v>4</v>
      </c>
      <c r="B30" s="349"/>
      <c r="C30" s="350">
        <v>43496</v>
      </c>
      <c r="D30" s="1045" t="s">
        <v>1736</v>
      </c>
      <c r="E30" s="1058"/>
      <c r="F30" s="1070">
        <v>3878.16</v>
      </c>
      <c r="G30" s="1077"/>
      <c r="H30" s="1052">
        <f t="shared" ref="H30:H62" si="1">I30*SUM(E30:G30)</f>
        <v>4968504.6840000004</v>
      </c>
      <c r="I30" s="1085">
        <v>1281.1500000000001</v>
      </c>
      <c r="J30" s="1035" t="s">
        <v>1737</v>
      </c>
      <c r="K30" s="1035"/>
    </row>
    <row r="31" spans="1:11" ht="30" customHeight="1" x14ac:dyDescent="0.25">
      <c r="A31" s="354">
        <v>5</v>
      </c>
      <c r="B31" s="349"/>
      <c r="C31" s="350">
        <v>43496</v>
      </c>
      <c r="D31" s="1041" t="s">
        <v>1716</v>
      </c>
      <c r="E31" s="1058">
        <v>27483.52</v>
      </c>
      <c r="F31" s="1070"/>
      <c r="G31" s="1077"/>
      <c r="H31" s="1052">
        <f t="shared" si="1"/>
        <v>30589157.760000002</v>
      </c>
      <c r="I31" s="1085">
        <v>1113</v>
      </c>
      <c r="J31" s="354" t="s">
        <v>1737</v>
      </c>
      <c r="K31" s="354" t="s">
        <v>1745</v>
      </c>
    </row>
    <row r="32" spans="1:11" ht="30" customHeight="1" x14ac:dyDescent="0.25">
      <c r="A32" s="354">
        <v>6</v>
      </c>
      <c r="B32" s="354"/>
      <c r="C32" s="355">
        <v>43515</v>
      </c>
      <c r="D32" s="1045" t="s">
        <v>1738</v>
      </c>
      <c r="E32" s="1058"/>
      <c r="F32" s="1070">
        <v>2332.8000000000002</v>
      </c>
      <c r="G32" s="1077"/>
      <c r="H32" s="1052">
        <f t="shared" si="1"/>
        <v>2993728.8960000002</v>
      </c>
      <c r="I32" s="1083">
        <v>1283.32</v>
      </c>
      <c r="J32" s="1037" t="s">
        <v>1739</v>
      </c>
      <c r="K32" s="1037"/>
    </row>
    <row r="33" spans="1:11" ht="30" customHeight="1" x14ac:dyDescent="0.25">
      <c r="A33" s="354">
        <v>7</v>
      </c>
      <c r="B33" s="354"/>
      <c r="C33" s="355">
        <v>43515</v>
      </c>
      <c r="D33" s="1045" t="s">
        <v>1740</v>
      </c>
      <c r="E33" s="1058"/>
      <c r="F33" s="1070">
        <v>378</v>
      </c>
      <c r="G33" s="1077"/>
      <c r="H33" s="1052">
        <f t="shared" si="1"/>
        <v>485094.95999999996</v>
      </c>
      <c r="I33" s="1083">
        <v>1283.32</v>
      </c>
      <c r="J33" s="354" t="s">
        <v>1741</v>
      </c>
      <c r="K33" s="354"/>
    </row>
    <row r="34" spans="1:11" ht="30" customHeight="1" x14ac:dyDescent="0.25">
      <c r="A34" s="354">
        <v>8</v>
      </c>
      <c r="B34" s="354"/>
      <c r="C34" s="355">
        <v>43515</v>
      </c>
      <c r="D34" s="1045" t="s">
        <v>1742</v>
      </c>
      <c r="E34" s="1058">
        <v>6138.5</v>
      </c>
      <c r="F34" s="1070"/>
      <c r="G34" s="1077"/>
      <c r="H34" s="1052">
        <f t="shared" si="1"/>
        <v>6927297.25</v>
      </c>
      <c r="I34" s="1083">
        <v>1128.5</v>
      </c>
      <c r="J34" s="354" t="s">
        <v>1743</v>
      </c>
      <c r="K34" s="354"/>
    </row>
    <row r="35" spans="1:11" ht="30" customHeight="1" x14ac:dyDescent="0.25">
      <c r="A35" s="354">
        <v>9</v>
      </c>
      <c r="B35" s="354"/>
      <c r="C35" s="355">
        <v>43524</v>
      </c>
      <c r="D35" s="1045" t="s">
        <v>1736</v>
      </c>
      <c r="E35" s="1058"/>
      <c r="F35" s="1070">
        <v>471.92</v>
      </c>
      <c r="G35" s="1077"/>
      <c r="H35" s="1052">
        <f t="shared" si="1"/>
        <v>604600.30800000008</v>
      </c>
      <c r="I35" s="1085">
        <v>1281.1500000000001</v>
      </c>
      <c r="J35" s="354" t="s">
        <v>1744</v>
      </c>
      <c r="K35" s="354"/>
    </row>
    <row r="36" spans="1:11" ht="30" customHeight="1" x14ac:dyDescent="0.25">
      <c r="A36" s="354">
        <v>10</v>
      </c>
      <c r="B36" s="349"/>
      <c r="C36" s="355">
        <v>43524</v>
      </c>
      <c r="D36" s="1041" t="s">
        <v>1716</v>
      </c>
      <c r="E36" s="1058">
        <v>29929.22</v>
      </c>
      <c r="F36" s="1070"/>
      <c r="G36" s="1077"/>
      <c r="H36" s="1052">
        <f t="shared" si="1"/>
        <v>33730230.939999998</v>
      </c>
      <c r="I36" s="1085">
        <v>1127</v>
      </c>
      <c r="J36" s="354" t="s">
        <v>1744</v>
      </c>
      <c r="K36" s="354" t="s">
        <v>1745</v>
      </c>
    </row>
    <row r="37" spans="1:11" ht="30" customHeight="1" x14ac:dyDescent="0.25">
      <c r="A37" s="354">
        <v>11</v>
      </c>
      <c r="B37" s="349"/>
      <c r="C37" s="350">
        <v>43537</v>
      </c>
      <c r="D37" s="1045" t="s">
        <v>1740</v>
      </c>
      <c r="E37" s="1058"/>
      <c r="F37" s="1070">
        <v>363</v>
      </c>
      <c r="G37" s="1077"/>
      <c r="H37" s="1052">
        <f t="shared" si="1"/>
        <v>464436.72000000003</v>
      </c>
      <c r="I37" s="1085">
        <v>1279.44</v>
      </c>
      <c r="J37" s="1035" t="s">
        <v>1993</v>
      </c>
      <c r="K37" s="1035"/>
    </row>
    <row r="38" spans="1:11" ht="30" customHeight="1" x14ac:dyDescent="0.25">
      <c r="A38" s="354">
        <v>12</v>
      </c>
      <c r="B38" s="349"/>
      <c r="C38" s="350">
        <v>43539</v>
      </c>
      <c r="D38" s="1045" t="s">
        <v>1871</v>
      </c>
      <c r="E38" s="1058">
        <v>1600</v>
      </c>
      <c r="F38" s="1070"/>
      <c r="G38" s="1077"/>
      <c r="H38" s="1052">
        <f t="shared" si="1"/>
        <v>1818400</v>
      </c>
      <c r="I38" s="1085">
        <v>1136.5</v>
      </c>
      <c r="J38" s="354" t="s">
        <v>2037</v>
      </c>
      <c r="K38" s="354"/>
    </row>
    <row r="39" spans="1:11" ht="30" customHeight="1" x14ac:dyDescent="0.25">
      <c r="A39" s="354">
        <v>13</v>
      </c>
      <c r="B39" s="354"/>
      <c r="C39" s="355">
        <v>43555</v>
      </c>
      <c r="D39" s="1041" t="s">
        <v>1716</v>
      </c>
      <c r="E39" s="1058">
        <v>25953.98</v>
      </c>
      <c r="F39" s="1070"/>
      <c r="G39" s="1077"/>
      <c r="H39" s="1052">
        <f t="shared" si="1"/>
        <v>29509675.259999998</v>
      </c>
      <c r="I39" s="1083">
        <v>1137</v>
      </c>
      <c r="J39" s="1037" t="s">
        <v>1872</v>
      </c>
      <c r="K39" s="1037"/>
    </row>
    <row r="40" spans="1:11" ht="30" customHeight="1" x14ac:dyDescent="0.25">
      <c r="A40" s="354">
        <v>14</v>
      </c>
      <c r="B40" s="354"/>
      <c r="C40" s="355">
        <v>43555</v>
      </c>
      <c r="D40" s="1045" t="s">
        <v>1736</v>
      </c>
      <c r="E40" s="1058"/>
      <c r="F40" s="1070">
        <v>3330.32</v>
      </c>
      <c r="G40" s="1077"/>
      <c r="H40" s="1052">
        <f t="shared" si="1"/>
        <v>4254417.1935999999</v>
      </c>
      <c r="I40" s="1083">
        <v>1277.48</v>
      </c>
      <c r="J40" s="1037" t="s">
        <v>1872</v>
      </c>
      <c r="K40" s="354"/>
    </row>
    <row r="41" spans="1:11" ht="30" customHeight="1" x14ac:dyDescent="0.25">
      <c r="A41" s="354">
        <v>15</v>
      </c>
      <c r="B41" s="354"/>
      <c r="C41" s="355">
        <v>43616</v>
      </c>
      <c r="D41" s="1045" t="s">
        <v>1985</v>
      </c>
      <c r="E41" s="1058"/>
      <c r="F41" s="1070">
        <v>669</v>
      </c>
      <c r="G41" s="1077"/>
      <c r="H41" s="1052">
        <f t="shared" si="1"/>
        <v>888505.59</v>
      </c>
      <c r="I41" s="1083">
        <v>1328.11</v>
      </c>
      <c r="J41" s="354" t="s">
        <v>1988</v>
      </c>
      <c r="K41" s="354"/>
    </row>
    <row r="42" spans="1:11" ht="30" customHeight="1" x14ac:dyDescent="0.25">
      <c r="A42" s="354">
        <v>16</v>
      </c>
      <c r="B42" s="354"/>
      <c r="C42" s="355">
        <v>43616</v>
      </c>
      <c r="D42" s="1045" t="s">
        <v>1736</v>
      </c>
      <c r="E42" s="1058"/>
      <c r="F42" s="1070">
        <v>3330.32</v>
      </c>
      <c r="G42" s="1077"/>
      <c r="H42" s="1052">
        <f t="shared" si="1"/>
        <v>4423031.2951999996</v>
      </c>
      <c r="I42" s="1083">
        <v>1328.11</v>
      </c>
      <c r="J42" s="354" t="s">
        <v>1987</v>
      </c>
      <c r="K42" s="354"/>
    </row>
    <row r="43" spans="1:11" s="1091" customFormat="1" ht="30" customHeight="1" x14ac:dyDescent="0.25">
      <c r="A43" s="354">
        <v>17</v>
      </c>
      <c r="B43" s="354"/>
      <c r="C43" s="355">
        <v>43626</v>
      </c>
      <c r="D43" s="1041" t="s">
        <v>1986</v>
      </c>
      <c r="E43" s="1058"/>
      <c r="F43" s="1070">
        <v>13687.5</v>
      </c>
      <c r="G43" s="1077"/>
      <c r="H43" s="1051">
        <f t="shared" si="1"/>
        <v>18361233.75</v>
      </c>
      <c r="I43" s="1083">
        <v>1341.46</v>
      </c>
      <c r="J43" s="354" t="s">
        <v>1989</v>
      </c>
      <c r="K43" s="354"/>
    </row>
    <row r="44" spans="1:11" ht="30" customHeight="1" x14ac:dyDescent="0.25">
      <c r="A44" s="354">
        <v>18</v>
      </c>
      <c r="B44" s="354"/>
      <c r="C44" s="355">
        <v>43640</v>
      </c>
      <c r="D44" s="1045" t="s">
        <v>1729</v>
      </c>
      <c r="E44" s="1058">
        <f>252+1148+244</f>
        <v>1644</v>
      </c>
      <c r="F44" s="1070"/>
      <c r="G44" s="1077"/>
      <c r="H44" s="1052">
        <f t="shared" ref="H44:H50" si="2">I44*SUM(E44:G44)</f>
        <v>1902930</v>
      </c>
      <c r="I44" s="1083">
        <v>1157.5</v>
      </c>
      <c r="J44" s="354" t="s">
        <v>1988</v>
      </c>
      <c r="K44" s="354"/>
    </row>
    <row r="45" spans="1:11" s="1091" customFormat="1" ht="30" customHeight="1" x14ac:dyDescent="0.25">
      <c r="A45" s="354">
        <v>19</v>
      </c>
      <c r="B45" s="354"/>
      <c r="C45" s="355">
        <v>43640</v>
      </c>
      <c r="D45" s="1041" t="s">
        <v>1986</v>
      </c>
      <c r="E45" s="1058"/>
      <c r="F45" s="1070">
        <v>1008</v>
      </c>
      <c r="G45" s="1077"/>
      <c r="H45" s="1052">
        <f t="shared" si="2"/>
        <v>1329058.08</v>
      </c>
      <c r="I45" s="1083">
        <v>1318.51</v>
      </c>
      <c r="J45" s="354" t="s">
        <v>1990</v>
      </c>
      <c r="K45" s="354"/>
    </row>
    <row r="46" spans="1:11" ht="30" customHeight="1" x14ac:dyDescent="0.25">
      <c r="A46" s="354">
        <v>20</v>
      </c>
      <c r="B46" s="354"/>
      <c r="C46" s="355">
        <v>43641</v>
      </c>
      <c r="D46" s="1041" t="s">
        <v>1986</v>
      </c>
      <c r="E46" s="1058"/>
      <c r="F46" s="1070">
        <v>1874.16</v>
      </c>
      <c r="G46" s="1077"/>
      <c r="H46" s="1052">
        <f t="shared" si="2"/>
        <v>2471098.7016000003</v>
      </c>
      <c r="I46" s="1083">
        <v>1318.51</v>
      </c>
      <c r="J46" s="1035" t="s">
        <v>1991</v>
      </c>
      <c r="K46" s="1035"/>
    </row>
    <row r="47" spans="1:11" ht="30" customHeight="1" x14ac:dyDescent="0.25">
      <c r="A47" s="354">
        <v>21</v>
      </c>
      <c r="B47" s="354"/>
      <c r="C47" s="355">
        <v>43646</v>
      </c>
      <c r="D47" s="1041" t="s">
        <v>1716</v>
      </c>
      <c r="E47" s="1058">
        <v>57941.68</v>
      </c>
      <c r="F47" s="1070"/>
      <c r="G47" s="1077"/>
      <c r="H47" s="1052">
        <f>I47*SUM(E47:G47)</f>
        <v>0</v>
      </c>
      <c r="I47" s="1083"/>
      <c r="J47" s="1037" t="s">
        <v>2036</v>
      </c>
      <c r="K47" s="354"/>
    </row>
    <row r="48" spans="1:11" ht="30" customHeight="1" x14ac:dyDescent="0.25">
      <c r="A48" s="354">
        <v>22</v>
      </c>
      <c r="B48" s="354"/>
      <c r="C48" s="355">
        <v>43664</v>
      </c>
      <c r="D48" s="1045" t="s">
        <v>1736</v>
      </c>
      <c r="E48" s="1058"/>
      <c r="F48" s="1070">
        <v>4934.32</v>
      </c>
      <c r="G48" s="1077"/>
      <c r="H48" s="1052">
        <f t="shared" si="2"/>
        <v>6533631.7983999988</v>
      </c>
      <c r="I48" s="1083">
        <v>1324.12</v>
      </c>
      <c r="J48" s="354" t="s">
        <v>1992</v>
      </c>
      <c r="K48" s="354"/>
    </row>
    <row r="49" spans="1:11" s="1091" customFormat="1" ht="30" customHeight="1" x14ac:dyDescent="0.25">
      <c r="A49" s="354">
        <v>23</v>
      </c>
      <c r="B49" s="354"/>
      <c r="C49" s="355">
        <v>43718</v>
      </c>
      <c r="D49" s="1041" t="s">
        <v>1732</v>
      </c>
      <c r="E49" s="1058">
        <v>70</v>
      </c>
      <c r="F49" s="1070"/>
      <c r="G49" s="1077"/>
      <c r="H49" s="1052">
        <f t="shared" si="2"/>
        <v>0</v>
      </c>
      <c r="I49" s="1083"/>
      <c r="J49" s="354" t="s">
        <v>1988</v>
      </c>
      <c r="K49" s="354"/>
    </row>
    <row r="50" spans="1:11" ht="30" customHeight="1" x14ac:dyDescent="0.25">
      <c r="A50" s="354">
        <v>24</v>
      </c>
      <c r="B50" s="354"/>
      <c r="C50" s="355">
        <v>43731</v>
      </c>
      <c r="D50" s="1045" t="s">
        <v>1736</v>
      </c>
      <c r="E50" s="1058"/>
      <c r="F50" s="1070">
        <v>4619.6400000000003</v>
      </c>
      <c r="G50" s="1077"/>
      <c r="H50" s="1052">
        <f t="shared" si="2"/>
        <v>6109289.1144000003</v>
      </c>
      <c r="I50" s="1083">
        <v>1322.46</v>
      </c>
      <c r="J50" s="354" t="s">
        <v>2072</v>
      </c>
      <c r="K50" s="354"/>
    </row>
    <row r="51" spans="1:11" s="1091" customFormat="1" ht="30" customHeight="1" x14ac:dyDescent="0.25">
      <c r="A51" s="354">
        <v>25</v>
      </c>
      <c r="B51" s="354"/>
      <c r="C51" s="355"/>
      <c r="D51" s="1041"/>
      <c r="E51" s="1058"/>
      <c r="F51" s="1070"/>
      <c r="G51" s="1077"/>
      <c r="H51" s="1051"/>
      <c r="I51" s="1083"/>
      <c r="J51" s="354"/>
      <c r="K51" s="354"/>
    </row>
    <row r="52" spans="1:11" ht="30" customHeight="1" x14ac:dyDescent="0.25">
      <c r="A52" s="354">
        <v>26</v>
      </c>
      <c r="B52" s="354"/>
      <c r="C52" s="355"/>
      <c r="D52" s="1041"/>
      <c r="E52" s="1058"/>
      <c r="F52" s="1070"/>
      <c r="G52" s="1077"/>
      <c r="H52" s="1051"/>
      <c r="I52" s="1083"/>
      <c r="J52" s="1035"/>
      <c r="K52" s="1035"/>
    </row>
    <row r="53" spans="1:11" ht="30" customHeight="1" x14ac:dyDescent="0.25">
      <c r="A53" s="354">
        <v>27</v>
      </c>
      <c r="B53" s="354"/>
      <c r="C53" s="355"/>
      <c r="D53" s="1045"/>
      <c r="E53" s="1058"/>
      <c r="F53" s="1070"/>
      <c r="G53" s="1077"/>
      <c r="H53" s="1052">
        <f>I53*SUM(E53:G53)</f>
        <v>0</v>
      </c>
      <c r="I53" s="1083"/>
      <c r="J53" s="354"/>
      <c r="K53" s="354"/>
    </row>
    <row r="54" spans="1:11" ht="30" customHeight="1" x14ac:dyDescent="0.25">
      <c r="A54" s="354">
        <v>28</v>
      </c>
      <c r="B54" s="354"/>
      <c r="C54" s="355"/>
      <c r="D54" s="1045"/>
      <c r="E54" s="1058"/>
      <c r="F54" s="1070"/>
      <c r="G54" s="1077"/>
      <c r="H54" s="1052">
        <f>I54*SUM(E54:G54)</f>
        <v>0</v>
      </c>
      <c r="I54" s="1083"/>
      <c r="J54" s="354"/>
      <c r="K54" s="354"/>
    </row>
    <row r="55" spans="1:11" s="1091" customFormat="1" ht="30" customHeight="1" x14ac:dyDescent="0.25">
      <c r="A55" s="354">
        <v>29</v>
      </c>
      <c r="B55" s="354"/>
      <c r="C55" s="355"/>
      <c r="D55" s="1041"/>
      <c r="E55" s="1058"/>
      <c r="F55" s="1070"/>
      <c r="G55" s="1077"/>
      <c r="H55" s="1051"/>
      <c r="I55" s="1083"/>
      <c r="J55" s="354"/>
      <c r="K55" s="354"/>
    </row>
    <row r="56" spans="1:11" ht="30" customHeight="1" x14ac:dyDescent="0.25">
      <c r="A56" s="354">
        <v>30</v>
      </c>
      <c r="B56" s="354"/>
      <c r="C56" s="355"/>
      <c r="D56" s="1045"/>
      <c r="E56" s="1058"/>
      <c r="F56" s="1070"/>
      <c r="G56" s="1077"/>
      <c r="H56" s="1052">
        <f>I56*SUM(E56:G56)</f>
        <v>0</v>
      </c>
      <c r="I56" s="1083"/>
      <c r="J56" s="354"/>
      <c r="K56" s="354"/>
    </row>
    <row r="57" spans="1:11" s="1091" customFormat="1" ht="30" customHeight="1" x14ac:dyDescent="0.25">
      <c r="A57" s="354">
        <v>31</v>
      </c>
      <c r="B57" s="354"/>
      <c r="C57" s="355"/>
      <c r="D57" s="1041"/>
      <c r="E57" s="1058"/>
      <c r="F57" s="1070"/>
      <c r="G57" s="1077"/>
      <c r="H57" s="1051"/>
      <c r="I57" s="1083"/>
      <c r="J57" s="354"/>
      <c r="K57" s="354"/>
    </row>
    <row r="58" spans="1:11" ht="30" customHeight="1" x14ac:dyDescent="0.25">
      <c r="A58" s="354">
        <v>32</v>
      </c>
      <c r="B58" s="354"/>
      <c r="C58" s="355"/>
      <c r="D58" s="1041"/>
      <c r="E58" s="1058"/>
      <c r="F58" s="1070"/>
      <c r="G58" s="1077"/>
      <c r="H58" s="1051"/>
      <c r="I58" s="1083"/>
      <c r="J58" s="1035"/>
      <c r="K58" s="1035"/>
    </row>
    <row r="59" spans="1:11" ht="30" customHeight="1" x14ac:dyDescent="0.25">
      <c r="A59" s="354">
        <v>33</v>
      </c>
      <c r="B59" s="354"/>
      <c r="C59" s="355"/>
      <c r="D59" s="1045"/>
      <c r="E59" s="1058"/>
      <c r="F59" s="1070"/>
      <c r="G59" s="1077"/>
      <c r="H59" s="1052">
        <f t="shared" si="1"/>
        <v>0</v>
      </c>
      <c r="I59" s="1083"/>
      <c r="J59" s="354"/>
      <c r="K59" s="354"/>
    </row>
    <row r="60" spans="1:11" ht="30" customHeight="1" x14ac:dyDescent="0.25">
      <c r="A60" s="354">
        <v>34</v>
      </c>
      <c r="B60" s="354"/>
      <c r="C60" s="355"/>
      <c r="D60" s="1045"/>
      <c r="E60" s="1058"/>
      <c r="F60" s="1070"/>
      <c r="G60" s="1077"/>
      <c r="H60" s="1052">
        <f>I60*SUM(E60:G60)</f>
        <v>0</v>
      </c>
      <c r="I60" s="1083"/>
      <c r="J60" s="354"/>
      <c r="K60" s="354"/>
    </row>
    <row r="61" spans="1:11" s="1091" customFormat="1" ht="30" customHeight="1" x14ac:dyDescent="0.25">
      <c r="A61" s="354">
        <v>35</v>
      </c>
      <c r="B61" s="354"/>
      <c r="C61" s="355"/>
      <c r="D61" s="1041"/>
      <c r="E61" s="1058"/>
      <c r="F61" s="1070"/>
      <c r="G61" s="1077"/>
      <c r="H61" s="1051"/>
      <c r="I61" s="1083"/>
      <c r="J61" s="354"/>
      <c r="K61" s="354"/>
    </row>
    <row r="62" spans="1:11" ht="30" customHeight="1" x14ac:dyDescent="0.25">
      <c r="A62" s="354">
        <v>36</v>
      </c>
      <c r="B62" s="354"/>
      <c r="C62" s="355"/>
      <c r="D62" s="1045"/>
      <c r="E62" s="1058"/>
      <c r="F62" s="1070"/>
      <c r="G62" s="1077"/>
      <c r="H62" s="1052">
        <f t="shared" si="1"/>
        <v>0</v>
      </c>
      <c r="I62" s="1083"/>
      <c r="J62" s="354"/>
      <c r="K62" s="354"/>
    </row>
    <row r="63" spans="1:11" s="1091" customFormat="1" ht="30" customHeight="1" x14ac:dyDescent="0.25">
      <c r="A63" s="354">
        <v>37</v>
      </c>
      <c r="B63" s="354"/>
      <c r="C63" s="355"/>
      <c r="D63" s="1041"/>
      <c r="E63" s="1058"/>
      <c r="F63" s="1070"/>
      <c r="G63" s="1077"/>
      <c r="H63" s="1051"/>
      <c r="I63" s="1083"/>
      <c r="J63" s="354"/>
      <c r="K63" s="354"/>
    </row>
    <row r="64" spans="1:11" ht="30" customHeight="1" thickBot="1" x14ac:dyDescent="0.3">
      <c r="A64" s="354">
        <v>38</v>
      </c>
      <c r="B64" s="354"/>
      <c r="C64" s="355"/>
      <c r="D64" s="1041"/>
      <c r="E64" s="1058"/>
      <c r="F64" s="1070"/>
      <c r="G64" s="1077"/>
      <c r="H64" s="1051"/>
      <c r="I64" s="1083"/>
      <c r="J64" s="1035"/>
      <c r="K64" s="1035"/>
    </row>
    <row r="65" spans="1:11" ht="30" customHeight="1" thickBot="1" x14ac:dyDescent="0.3">
      <c r="A65" s="376"/>
      <c r="B65" s="376"/>
      <c r="C65" s="377"/>
      <c r="D65" s="1059" t="s">
        <v>31</v>
      </c>
      <c r="E65" s="1060">
        <f>SUM(E27:E64)</f>
        <v>162536.29999999999</v>
      </c>
      <c r="F65" s="1061">
        <f>SUM(F27:F64)</f>
        <v>40877.14</v>
      </c>
      <c r="G65" s="1079">
        <f>SUM(G27:G64)</f>
        <v>0</v>
      </c>
      <c r="H65" s="1092">
        <f>SUM(H27:H64)</f>
        <v>171555007.8012</v>
      </c>
      <c r="I65" s="1087"/>
      <c r="J65" s="386"/>
      <c r="K65" s="386"/>
    </row>
    <row r="66" spans="1:11" ht="30" customHeight="1" x14ac:dyDescent="0.25"/>
    <row r="67" spans="1:11" ht="30" customHeight="1" x14ac:dyDescent="0.25">
      <c r="J67" s="898"/>
      <c r="K67" s="898"/>
    </row>
    <row r="68" spans="1:11" ht="30" customHeight="1" thickBot="1" x14ac:dyDescent="0.3">
      <c r="A68" s="1269" t="s">
        <v>2161</v>
      </c>
      <c r="B68" s="1269"/>
      <c r="C68" s="1269"/>
      <c r="D68" s="1269"/>
      <c r="E68" s="1269"/>
      <c r="F68" s="1269"/>
      <c r="G68" s="1269"/>
      <c r="H68" s="1269"/>
      <c r="I68" s="1269"/>
      <c r="J68" s="1269"/>
      <c r="K68" s="1269"/>
    </row>
    <row r="69" spans="1:11" s="379" customFormat="1" ht="30" customHeight="1" thickBot="1" x14ac:dyDescent="0.3">
      <c r="A69" s="1054" t="s">
        <v>67</v>
      </c>
      <c r="B69" s="1055" t="s">
        <v>68</v>
      </c>
      <c r="C69" s="1056" t="s">
        <v>69</v>
      </c>
      <c r="D69" s="1044" t="s">
        <v>70</v>
      </c>
      <c r="E69" s="1062" t="s">
        <v>85</v>
      </c>
      <c r="F69" s="1067" t="s">
        <v>618</v>
      </c>
      <c r="G69" s="1074" t="s">
        <v>71</v>
      </c>
      <c r="H69" s="1047" t="s">
        <v>72</v>
      </c>
      <c r="I69" s="1082" t="s">
        <v>73</v>
      </c>
      <c r="J69" s="1057" t="s">
        <v>1701</v>
      </c>
      <c r="K69" s="1057" t="s">
        <v>240</v>
      </c>
    </row>
    <row r="70" spans="1:11" ht="30" customHeight="1" x14ac:dyDescent="0.25">
      <c r="A70" s="354">
        <v>1</v>
      </c>
      <c r="B70" s="349" t="s">
        <v>2162</v>
      </c>
      <c r="C70" s="350">
        <v>43481</v>
      </c>
      <c r="D70" s="1041" t="s">
        <v>2158</v>
      </c>
      <c r="E70" s="1063">
        <v>6133.92</v>
      </c>
      <c r="F70" s="1068"/>
      <c r="G70" s="1075"/>
      <c r="H70" s="1048">
        <f t="shared" ref="H70:H76" si="3">I70*E70</f>
        <v>7360704</v>
      </c>
      <c r="I70" s="1083">
        <v>1200</v>
      </c>
      <c r="J70" s="1034" t="s">
        <v>2163</v>
      </c>
      <c r="K70" s="1034"/>
    </row>
    <row r="71" spans="1:11" ht="30" customHeight="1" x14ac:dyDescent="0.25">
      <c r="A71" s="354">
        <v>2</v>
      </c>
      <c r="B71" s="354" t="s">
        <v>2164</v>
      </c>
      <c r="C71" s="355">
        <v>43519</v>
      </c>
      <c r="D71" s="1041" t="s">
        <v>2158</v>
      </c>
      <c r="E71" s="1064">
        <v>6972.84</v>
      </c>
      <c r="F71" s="1069"/>
      <c r="G71" s="1076"/>
      <c r="H71" s="1048">
        <f t="shared" si="3"/>
        <v>8367408</v>
      </c>
      <c r="I71" s="1083">
        <v>1200</v>
      </c>
      <c r="J71" s="1035" t="s">
        <v>2165</v>
      </c>
      <c r="K71" s="1035"/>
    </row>
    <row r="72" spans="1:11" ht="30" customHeight="1" x14ac:dyDescent="0.25">
      <c r="A72" s="354">
        <v>3</v>
      </c>
      <c r="B72" s="354" t="s">
        <v>2166</v>
      </c>
      <c r="C72" s="355">
        <v>43528</v>
      </c>
      <c r="D72" s="1041" t="s">
        <v>2158</v>
      </c>
      <c r="E72" s="1064">
        <v>6515.13</v>
      </c>
      <c r="F72" s="1069"/>
      <c r="G72" s="1076"/>
      <c r="H72" s="1048">
        <f t="shared" si="3"/>
        <v>7818156</v>
      </c>
      <c r="I72" s="1083">
        <v>1200</v>
      </c>
      <c r="J72" s="1035" t="s">
        <v>2167</v>
      </c>
      <c r="K72" s="1035"/>
    </row>
    <row r="73" spans="1:11" ht="30" customHeight="1" x14ac:dyDescent="0.25">
      <c r="A73" s="354">
        <v>4</v>
      </c>
      <c r="B73" s="364" t="s">
        <v>2168</v>
      </c>
      <c r="C73" s="365">
        <v>43545</v>
      </c>
      <c r="D73" s="1041" t="s">
        <v>2158</v>
      </c>
      <c r="E73" s="1064">
        <v>1513.27</v>
      </c>
      <c r="F73" s="1069"/>
      <c r="G73" s="1076"/>
      <c r="H73" s="1048">
        <f t="shared" si="3"/>
        <v>1815924</v>
      </c>
      <c r="I73" s="1083">
        <v>1200</v>
      </c>
      <c r="J73" s="1034" t="s">
        <v>2169</v>
      </c>
      <c r="K73" s="364"/>
    </row>
    <row r="74" spans="1:11" ht="30" customHeight="1" x14ac:dyDescent="0.25">
      <c r="A74" s="354">
        <v>5</v>
      </c>
      <c r="B74" s="354" t="s">
        <v>2170</v>
      </c>
      <c r="C74" s="355">
        <v>43593</v>
      </c>
      <c r="D74" s="1041" t="s">
        <v>2158</v>
      </c>
      <c r="E74" s="1064">
        <v>575.11</v>
      </c>
      <c r="F74" s="1069"/>
      <c r="G74" s="1076"/>
      <c r="H74" s="1048">
        <f t="shared" si="3"/>
        <v>690132</v>
      </c>
      <c r="I74" s="1083">
        <v>1200</v>
      </c>
      <c r="J74" s="1036" t="s">
        <v>2171</v>
      </c>
      <c r="K74" s="1036"/>
    </row>
    <row r="75" spans="1:11" ht="30" customHeight="1" x14ac:dyDescent="0.25">
      <c r="A75" s="354">
        <v>6</v>
      </c>
      <c r="B75" s="349" t="s">
        <v>2172</v>
      </c>
      <c r="C75" s="350">
        <v>43632</v>
      </c>
      <c r="D75" s="1041" t="s">
        <v>2158</v>
      </c>
      <c r="E75" s="1063">
        <v>12556.61</v>
      </c>
      <c r="F75" s="1068"/>
      <c r="G75" s="1075"/>
      <c r="H75" s="1048">
        <f t="shared" si="3"/>
        <v>15067932</v>
      </c>
      <c r="I75" s="1083">
        <v>1200</v>
      </c>
      <c r="J75" s="1037" t="s">
        <v>2167</v>
      </c>
      <c r="K75" s="1037"/>
    </row>
    <row r="76" spans="1:11" ht="30" customHeight="1" x14ac:dyDescent="0.25">
      <c r="A76" s="354">
        <v>7</v>
      </c>
      <c r="B76" s="349" t="s">
        <v>2173</v>
      </c>
      <c r="C76" s="350">
        <v>43634</v>
      </c>
      <c r="D76" s="1041" t="s">
        <v>2158</v>
      </c>
      <c r="E76" s="1058">
        <v>2340.56</v>
      </c>
      <c r="F76" s="1070"/>
      <c r="G76" s="1077"/>
      <c r="H76" s="1048">
        <f t="shared" si="3"/>
        <v>2808672</v>
      </c>
      <c r="I76" s="1083">
        <v>1200</v>
      </c>
      <c r="J76" s="1037" t="s">
        <v>2167</v>
      </c>
      <c r="K76" s="1034"/>
    </row>
    <row r="77" spans="1:11" ht="30" customHeight="1" x14ac:dyDescent="0.25">
      <c r="A77" s="354">
        <v>8</v>
      </c>
      <c r="B77" s="349" t="s">
        <v>2175</v>
      </c>
      <c r="C77" s="350">
        <v>43707</v>
      </c>
      <c r="D77" s="1041" t="s">
        <v>2158</v>
      </c>
      <c r="E77" s="1058"/>
      <c r="F77" s="1070">
        <v>12600</v>
      </c>
      <c r="G77" s="1077"/>
      <c r="H77" s="1048">
        <f>I77*F77</f>
        <v>17010000</v>
      </c>
      <c r="I77" s="1085">
        <v>1350</v>
      </c>
      <c r="J77" s="1034" t="s">
        <v>2174</v>
      </c>
      <c r="K77" s="1034"/>
    </row>
    <row r="78" spans="1:11" s="1091" customFormat="1" ht="30" customHeight="1" thickBot="1" x14ac:dyDescent="0.3">
      <c r="A78" s="354">
        <v>9</v>
      </c>
      <c r="B78" s="354"/>
      <c r="C78" s="355"/>
      <c r="D78" s="1041"/>
      <c r="E78" s="1058"/>
      <c r="F78" s="1070"/>
      <c r="G78" s="1077"/>
      <c r="H78" s="1051"/>
      <c r="I78" s="1083"/>
      <c r="J78" s="354"/>
      <c r="K78" s="354"/>
    </row>
    <row r="79" spans="1:11" s="379" customFormat="1" ht="30" customHeight="1" thickBot="1" x14ac:dyDescent="0.3">
      <c r="A79" s="376"/>
      <c r="B79" s="376"/>
      <c r="C79" s="377"/>
      <c r="D79" s="1059" t="s">
        <v>31</v>
      </c>
      <c r="E79" s="1060">
        <f>SUM(E70:E78)</f>
        <v>36607.440000000002</v>
      </c>
      <c r="F79" s="1061">
        <f>SUM(F70:F78)</f>
        <v>12600</v>
      </c>
      <c r="G79" s="1079">
        <f>SUM(G70:G78)</f>
        <v>0</v>
      </c>
      <c r="H79" s="1092">
        <f>SUM(H70:H78)</f>
        <v>60938928</v>
      </c>
      <c r="I79" s="1087"/>
      <c r="J79" s="1038"/>
      <c r="K79" s="1038"/>
    </row>
  </sheetData>
  <mergeCells count="3">
    <mergeCell ref="A2:K2"/>
    <mergeCell ref="A25:K25"/>
    <mergeCell ref="A68:K68"/>
  </mergeCells>
  <phoneticPr fontId="29" type="noConversion"/>
  <pageMargins left="0.27" right="0.27" top="0.31" bottom="0.22" header="0.21" footer="0.13"/>
  <pageSetup paperSize="9" scale="2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>
    <pageSetUpPr fitToPage="1"/>
  </sheetPr>
  <dimension ref="A1:J47"/>
  <sheetViews>
    <sheetView zoomScale="85" zoomScaleNormal="85" workbookViewId="0">
      <pane xSplit="3" ySplit="2" topLeftCell="D23" activePane="bottomRight" state="frozen"/>
      <selection pane="bottomLeft" activeCell="A3" sqref="A3"/>
      <selection pane="topRight" activeCell="D1" sqref="D1"/>
      <selection pane="bottomRight" activeCell="E36" sqref="E36"/>
    </sheetView>
  </sheetViews>
  <sheetFormatPr defaultColWidth="9.03515625" defaultRowHeight="17.25" x14ac:dyDescent="0.25"/>
  <cols>
    <col min="1" max="1" width="5.19921875" style="227" bestFit="1" customWidth="1"/>
    <col min="2" max="2" width="18.69140625" style="227" customWidth="1"/>
    <col min="3" max="3" width="12.99609375" style="340" customWidth="1"/>
    <col min="4" max="4" width="23.640625" style="1043" customWidth="1"/>
    <col min="5" max="5" width="18.3203125" style="1046" customWidth="1"/>
    <col min="6" max="6" width="18.3203125" style="1072" customWidth="1"/>
    <col min="7" max="7" width="18.3203125" style="1080" customWidth="1"/>
    <col min="8" max="8" width="20.30078125" style="1040" customWidth="1"/>
    <col min="9" max="9" width="14.109375" style="1088" customWidth="1"/>
    <col min="10" max="10" width="79.47265625" style="342" bestFit="1" customWidth="1"/>
    <col min="11" max="16384" width="9.03515625" style="228"/>
  </cols>
  <sheetData>
    <row r="1" spans="1:10" ht="30" customHeight="1" thickBot="1" x14ac:dyDescent="0.3">
      <c r="A1" s="1269" t="s">
        <v>1700</v>
      </c>
      <c r="B1" s="1269"/>
      <c r="C1" s="1269"/>
      <c r="D1" s="1269"/>
      <c r="E1" s="1269"/>
      <c r="F1" s="1269"/>
      <c r="G1" s="1269"/>
      <c r="H1" s="1269"/>
      <c r="I1" s="1269"/>
      <c r="J1" s="1269"/>
    </row>
    <row r="2" spans="1:10" s="379" customFormat="1" ht="30" customHeight="1" thickBot="1" x14ac:dyDescent="0.3">
      <c r="A2" s="1054" t="s">
        <v>67</v>
      </c>
      <c r="B2" s="1055" t="s">
        <v>68</v>
      </c>
      <c r="C2" s="1056" t="s">
        <v>69</v>
      </c>
      <c r="D2" s="1044" t="s">
        <v>70</v>
      </c>
      <c r="E2" s="1062" t="s">
        <v>85</v>
      </c>
      <c r="F2" s="1067" t="s">
        <v>618</v>
      </c>
      <c r="G2" s="1074" t="s">
        <v>71</v>
      </c>
      <c r="H2" s="1047" t="s">
        <v>72</v>
      </c>
      <c r="I2" s="1082" t="s">
        <v>73</v>
      </c>
      <c r="J2" s="1057" t="s">
        <v>1701</v>
      </c>
    </row>
    <row r="3" spans="1:10" ht="30" customHeight="1" x14ac:dyDescent="0.25">
      <c r="A3" s="354">
        <v>1</v>
      </c>
      <c r="B3" s="349" t="s">
        <v>1106</v>
      </c>
      <c r="C3" s="350">
        <v>43132</v>
      </c>
      <c r="D3" s="1041" t="s">
        <v>75</v>
      </c>
      <c r="E3" s="1063">
        <v>300000</v>
      </c>
      <c r="F3" s="1068"/>
      <c r="G3" s="1075"/>
      <c r="H3" s="1048"/>
      <c r="I3" s="1083"/>
      <c r="J3" s="1034" t="s">
        <v>1109</v>
      </c>
    </row>
    <row r="4" spans="1:10" ht="30" customHeight="1" x14ac:dyDescent="0.25">
      <c r="A4" s="354">
        <v>2</v>
      </c>
      <c r="B4" s="354" t="s">
        <v>1107</v>
      </c>
      <c r="C4" s="355">
        <v>43132</v>
      </c>
      <c r="D4" s="1041" t="s">
        <v>75</v>
      </c>
      <c r="E4" s="1064">
        <v>100000</v>
      </c>
      <c r="F4" s="1069"/>
      <c r="G4" s="1076"/>
      <c r="H4" s="1048"/>
      <c r="I4" s="1083"/>
      <c r="J4" s="1035" t="s">
        <v>1110</v>
      </c>
    </row>
    <row r="5" spans="1:10" ht="30" customHeight="1" x14ac:dyDescent="0.25">
      <c r="A5" s="354">
        <v>3</v>
      </c>
      <c r="B5" s="354" t="s">
        <v>1108</v>
      </c>
      <c r="C5" s="355">
        <v>43132</v>
      </c>
      <c r="D5" s="1041" t="s">
        <v>75</v>
      </c>
      <c r="E5" s="1064">
        <v>50000</v>
      </c>
      <c r="F5" s="1069"/>
      <c r="G5" s="1076"/>
      <c r="H5" s="1048"/>
      <c r="I5" s="1083"/>
      <c r="J5" s="1035" t="s">
        <v>1111</v>
      </c>
    </row>
    <row r="6" spans="1:10" ht="30" customHeight="1" x14ac:dyDescent="0.25">
      <c r="A6" s="354">
        <v>4</v>
      </c>
      <c r="B6" s="364" t="s">
        <v>1112</v>
      </c>
      <c r="C6" s="365">
        <v>43133</v>
      </c>
      <c r="D6" s="1041" t="s">
        <v>75</v>
      </c>
      <c r="E6" s="1064">
        <v>100000</v>
      </c>
      <c r="F6" s="1069"/>
      <c r="G6" s="1076"/>
      <c r="H6" s="1049"/>
      <c r="I6" s="1084"/>
      <c r="J6" s="364" t="s">
        <v>1113</v>
      </c>
    </row>
    <row r="7" spans="1:10" ht="30" customHeight="1" x14ac:dyDescent="0.25">
      <c r="A7" s="354">
        <v>5</v>
      </c>
      <c r="B7" s="354" t="s">
        <v>1192</v>
      </c>
      <c r="C7" s="355">
        <v>43186</v>
      </c>
      <c r="D7" s="1041" t="s">
        <v>94</v>
      </c>
      <c r="E7" s="1064"/>
      <c r="F7" s="1069">
        <v>700</v>
      </c>
      <c r="G7" s="1076"/>
      <c r="H7" s="1048"/>
      <c r="I7" s="1083"/>
      <c r="J7" s="1036" t="s">
        <v>1193</v>
      </c>
    </row>
    <row r="8" spans="1:10" ht="30" customHeight="1" x14ac:dyDescent="0.25">
      <c r="A8" s="354">
        <v>6</v>
      </c>
      <c r="B8" s="349" t="s">
        <v>1194</v>
      </c>
      <c r="C8" s="350">
        <v>43192</v>
      </c>
      <c r="D8" s="1045" t="s">
        <v>1702</v>
      </c>
      <c r="E8" s="1063"/>
      <c r="F8" s="1068"/>
      <c r="G8" s="1075">
        <v>18801</v>
      </c>
      <c r="H8" s="1050">
        <v>15000000</v>
      </c>
      <c r="I8" s="1085">
        <v>797.83</v>
      </c>
      <c r="J8" s="1037" t="s">
        <v>1198</v>
      </c>
    </row>
    <row r="9" spans="1:10" ht="30" customHeight="1" x14ac:dyDescent="0.25">
      <c r="A9" s="354">
        <v>7</v>
      </c>
      <c r="B9" s="349" t="s">
        <v>1195</v>
      </c>
      <c r="C9" s="350">
        <v>43192</v>
      </c>
      <c r="D9" s="1045" t="s">
        <v>1702</v>
      </c>
      <c r="E9" s="1058"/>
      <c r="F9" s="1070"/>
      <c r="G9" s="1077">
        <v>3634.85</v>
      </c>
      <c r="H9" s="1051">
        <v>2900000</v>
      </c>
      <c r="I9" s="1085">
        <v>797.83</v>
      </c>
      <c r="J9" s="1034" t="s">
        <v>1199</v>
      </c>
    </row>
    <row r="10" spans="1:10" ht="30" customHeight="1" x14ac:dyDescent="0.25">
      <c r="A10" s="354">
        <v>8</v>
      </c>
      <c r="B10" s="349" t="s">
        <v>1196</v>
      </c>
      <c r="C10" s="350">
        <v>43192</v>
      </c>
      <c r="D10" s="1045" t="s">
        <v>1702</v>
      </c>
      <c r="E10" s="1058"/>
      <c r="F10" s="1070"/>
      <c r="G10" s="1077">
        <v>3572.19</v>
      </c>
      <c r="H10" s="1051">
        <v>2850000</v>
      </c>
      <c r="I10" s="1085">
        <v>797.83</v>
      </c>
      <c r="J10" s="354" t="s">
        <v>1200</v>
      </c>
    </row>
    <row r="11" spans="1:10" ht="30" customHeight="1" x14ac:dyDescent="0.25">
      <c r="A11" s="354">
        <v>9</v>
      </c>
      <c r="B11" s="349" t="s">
        <v>1197</v>
      </c>
      <c r="C11" s="350">
        <v>43192</v>
      </c>
      <c r="D11" s="1045" t="s">
        <v>1702</v>
      </c>
      <c r="E11" s="1058"/>
      <c r="F11" s="1070"/>
      <c r="G11" s="1077">
        <v>1871.26</v>
      </c>
      <c r="H11" s="1051">
        <v>1492950</v>
      </c>
      <c r="I11" s="1085">
        <v>797.83</v>
      </c>
      <c r="J11" s="1035" t="s">
        <v>1201</v>
      </c>
    </row>
    <row r="12" spans="1:10" ht="30" customHeight="1" x14ac:dyDescent="0.25">
      <c r="A12" s="354">
        <v>10</v>
      </c>
      <c r="B12" s="349" t="s">
        <v>1203</v>
      </c>
      <c r="C12" s="350">
        <v>43192</v>
      </c>
      <c r="D12" s="1045" t="s">
        <v>1702</v>
      </c>
      <c r="E12" s="1058"/>
      <c r="F12" s="1070"/>
      <c r="G12" s="1077">
        <v>319</v>
      </c>
      <c r="H12" s="1051">
        <v>254500</v>
      </c>
      <c r="I12" s="1085">
        <v>797.83</v>
      </c>
      <c r="J12" s="354" t="s">
        <v>1202</v>
      </c>
    </row>
    <row r="13" spans="1:10" ht="30" customHeight="1" x14ac:dyDescent="0.25">
      <c r="A13" s="354">
        <v>11</v>
      </c>
      <c r="B13" s="354" t="s">
        <v>1204</v>
      </c>
      <c r="C13" s="355">
        <v>43228</v>
      </c>
      <c r="D13" s="1045" t="s">
        <v>1702</v>
      </c>
      <c r="E13" s="1058"/>
      <c r="F13" s="1070"/>
      <c r="G13" s="1077">
        <v>18979</v>
      </c>
      <c r="H13" s="1051">
        <v>15000000</v>
      </c>
      <c r="I13" s="1083">
        <v>790.33</v>
      </c>
      <c r="J13" s="1037" t="s">
        <v>1209</v>
      </c>
    </row>
    <row r="14" spans="1:10" ht="30" customHeight="1" x14ac:dyDescent="0.25">
      <c r="A14" s="354">
        <v>12</v>
      </c>
      <c r="B14" s="354" t="s">
        <v>1205</v>
      </c>
      <c r="C14" s="355">
        <v>43228</v>
      </c>
      <c r="D14" s="1045" t="s">
        <v>1702</v>
      </c>
      <c r="E14" s="1058"/>
      <c r="F14" s="1070"/>
      <c r="G14" s="1077">
        <v>3542.82</v>
      </c>
      <c r="H14" s="1051">
        <v>2800000</v>
      </c>
      <c r="I14" s="1083">
        <v>790.33</v>
      </c>
      <c r="J14" s="354" t="s">
        <v>1210</v>
      </c>
    </row>
    <row r="15" spans="1:10" ht="30" customHeight="1" x14ac:dyDescent="0.25">
      <c r="A15" s="354">
        <v>13</v>
      </c>
      <c r="B15" s="354" t="s">
        <v>1206</v>
      </c>
      <c r="C15" s="355">
        <v>43228</v>
      </c>
      <c r="D15" s="1045" t="s">
        <v>1702</v>
      </c>
      <c r="E15" s="1058"/>
      <c r="F15" s="1070"/>
      <c r="G15" s="1077">
        <v>2818.44</v>
      </c>
      <c r="H15" s="1051">
        <v>2227500</v>
      </c>
      <c r="I15" s="1083">
        <v>790.33</v>
      </c>
      <c r="J15" s="354" t="s">
        <v>1211</v>
      </c>
    </row>
    <row r="16" spans="1:10" ht="30" customHeight="1" x14ac:dyDescent="0.25">
      <c r="A16" s="354">
        <v>14</v>
      </c>
      <c r="B16" s="354" t="s">
        <v>1207</v>
      </c>
      <c r="C16" s="355">
        <v>43228</v>
      </c>
      <c r="D16" s="1045" t="s">
        <v>1702</v>
      </c>
      <c r="E16" s="1058"/>
      <c r="F16" s="1070"/>
      <c r="G16" s="1077">
        <v>1918.53</v>
      </c>
      <c r="H16" s="1051">
        <v>1516275</v>
      </c>
      <c r="I16" s="1083">
        <v>790.33</v>
      </c>
      <c r="J16" s="354" t="s">
        <v>1201</v>
      </c>
    </row>
    <row r="17" spans="1:10" ht="30" customHeight="1" x14ac:dyDescent="0.25">
      <c r="A17" s="354">
        <v>15</v>
      </c>
      <c r="B17" s="354" t="s">
        <v>1208</v>
      </c>
      <c r="C17" s="355">
        <v>43228</v>
      </c>
      <c r="D17" s="1045" t="s">
        <v>1702</v>
      </c>
      <c r="E17" s="1058"/>
      <c r="F17" s="1070"/>
      <c r="G17" s="1077">
        <v>4175.47</v>
      </c>
      <c r="H17" s="1051">
        <v>3300000</v>
      </c>
      <c r="I17" s="1083">
        <v>790.33</v>
      </c>
      <c r="J17" s="354" t="s">
        <v>1212</v>
      </c>
    </row>
    <row r="18" spans="1:10" s="936" customFormat="1" ht="30" customHeight="1" x14ac:dyDescent="0.25">
      <c r="A18" s="354">
        <v>16</v>
      </c>
      <c r="B18" s="934" t="s">
        <v>1398</v>
      </c>
      <c r="C18" s="935">
        <v>43256</v>
      </c>
      <c r="D18" s="1042" t="s">
        <v>1267</v>
      </c>
      <c r="E18" s="1065">
        <v>200000</v>
      </c>
      <c r="F18" s="1071"/>
      <c r="G18" s="1078"/>
      <c r="H18" s="1051">
        <f>E18*I18</f>
        <v>0</v>
      </c>
      <c r="I18" s="1086"/>
      <c r="J18" s="984" t="s">
        <v>1323</v>
      </c>
    </row>
    <row r="19" spans="1:10" ht="30" customHeight="1" x14ac:dyDescent="0.25">
      <c r="A19" s="354">
        <v>17</v>
      </c>
      <c r="B19" s="354" t="s">
        <v>1257</v>
      </c>
      <c r="C19" s="355">
        <v>43270</v>
      </c>
      <c r="D19" s="1045" t="s">
        <v>1702</v>
      </c>
      <c r="E19" s="1058">
        <v>17759.59</v>
      </c>
      <c r="F19" s="1070"/>
      <c r="G19" s="1077"/>
      <c r="H19" s="1051">
        <f>E19*I19</f>
        <v>0</v>
      </c>
      <c r="I19" s="1084"/>
      <c r="J19" s="364" t="s">
        <v>1259</v>
      </c>
    </row>
    <row r="20" spans="1:10" ht="30" customHeight="1" x14ac:dyDescent="0.25">
      <c r="A20" s="354">
        <v>18</v>
      </c>
      <c r="B20" s="354" t="s">
        <v>1258</v>
      </c>
      <c r="C20" s="355">
        <v>43270</v>
      </c>
      <c r="D20" s="1045" t="s">
        <v>1702</v>
      </c>
      <c r="E20" s="1058">
        <v>4387.45</v>
      </c>
      <c r="F20" s="1070"/>
      <c r="G20" s="1077"/>
      <c r="H20" s="1051">
        <f t="shared" ref="H20:H36" si="0">E20*I20</f>
        <v>0</v>
      </c>
      <c r="I20" s="1083"/>
      <c r="J20" s="1035" t="s">
        <v>1259</v>
      </c>
    </row>
    <row r="21" spans="1:10" ht="30" customHeight="1" x14ac:dyDescent="0.25">
      <c r="A21" s="354">
        <v>19</v>
      </c>
      <c r="B21" s="354" t="s">
        <v>1399</v>
      </c>
      <c r="C21" s="355">
        <v>43283</v>
      </c>
      <c r="D21" s="1045" t="s">
        <v>1702</v>
      </c>
      <c r="E21" s="1058">
        <v>50000</v>
      </c>
      <c r="F21" s="1070"/>
      <c r="G21" s="1077"/>
      <c r="H21" s="1051">
        <f t="shared" si="0"/>
        <v>0</v>
      </c>
      <c r="I21" s="1083"/>
      <c r="J21" s="1035" t="s">
        <v>1400</v>
      </c>
    </row>
    <row r="22" spans="1:10" s="936" customFormat="1" ht="30" customHeight="1" x14ac:dyDescent="0.25">
      <c r="A22" s="354">
        <v>20</v>
      </c>
      <c r="B22" s="934" t="s">
        <v>1266</v>
      </c>
      <c r="C22" s="935">
        <v>43284</v>
      </c>
      <c r="D22" s="1042" t="s">
        <v>1267</v>
      </c>
      <c r="E22" s="1065"/>
      <c r="F22" s="1071">
        <v>50000</v>
      </c>
      <c r="G22" s="1078"/>
      <c r="H22" s="1051">
        <f t="shared" si="0"/>
        <v>0</v>
      </c>
      <c r="I22" s="1086"/>
      <c r="J22" s="984" t="s">
        <v>1268</v>
      </c>
    </row>
    <row r="23" spans="1:10" ht="30" customHeight="1" x14ac:dyDescent="0.25">
      <c r="A23" s="354">
        <v>21</v>
      </c>
      <c r="B23" s="354" t="s">
        <v>1322</v>
      </c>
      <c r="C23" s="355">
        <v>43301</v>
      </c>
      <c r="D23" s="1045" t="s">
        <v>1213</v>
      </c>
      <c r="E23" s="1058">
        <v>100000</v>
      </c>
      <c r="F23" s="1070"/>
      <c r="G23" s="1077"/>
      <c r="H23" s="1051">
        <f t="shared" si="0"/>
        <v>0</v>
      </c>
      <c r="I23" s="1083"/>
      <c r="J23" s="1035" t="s">
        <v>1323</v>
      </c>
    </row>
    <row r="24" spans="1:10" ht="30" customHeight="1" x14ac:dyDescent="0.25">
      <c r="A24" s="354">
        <v>22</v>
      </c>
      <c r="B24" s="354" t="s">
        <v>1351</v>
      </c>
      <c r="C24" s="355">
        <v>43313</v>
      </c>
      <c r="D24" s="1042" t="s">
        <v>1168</v>
      </c>
      <c r="E24" s="1064"/>
      <c r="F24" s="1069">
        <v>9500</v>
      </c>
      <c r="G24" s="1076"/>
      <c r="H24" s="1051">
        <f t="shared" si="0"/>
        <v>0</v>
      </c>
      <c r="I24" s="1083"/>
      <c r="J24" s="1035" t="s">
        <v>1352</v>
      </c>
    </row>
    <row r="25" spans="1:10" ht="30" customHeight="1" x14ac:dyDescent="0.25">
      <c r="A25" s="354">
        <v>23</v>
      </c>
      <c r="B25" s="354" t="s">
        <v>1353</v>
      </c>
      <c r="C25" s="355">
        <v>43319</v>
      </c>
      <c r="D25" s="1045" t="s">
        <v>1702</v>
      </c>
      <c r="E25" s="1058">
        <v>18209.48</v>
      </c>
      <c r="F25" s="1070"/>
      <c r="G25" s="1077"/>
      <c r="H25" s="1051">
        <f t="shared" si="0"/>
        <v>0</v>
      </c>
      <c r="I25" s="1083"/>
      <c r="J25" s="364" t="s">
        <v>1259</v>
      </c>
    </row>
    <row r="26" spans="1:10" ht="30" customHeight="1" x14ac:dyDescent="0.25">
      <c r="A26" s="354">
        <v>24</v>
      </c>
      <c r="B26" s="354" t="s">
        <v>1354</v>
      </c>
      <c r="C26" s="355">
        <v>43319</v>
      </c>
      <c r="D26" s="1045" t="s">
        <v>1702</v>
      </c>
      <c r="E26" s="1058">
        <v>1949.52</v>
      </c>
      <c r="F26" s="1070"/>
      <c r="G26" s="1077"/>
      <c r="H26" s="1051">
        <f t="shared" si="0"/>
        <v>0</v>
      </c>
      <c r="I26" s="1083"/>
      <c r="J26" s="364" t="s">
        <v>1259</v>
      </c>
    </row>
    <row r="27" spans="1:10" ht="30" customHeight="1" x14ac:dyDescent="0.25">
      <c r="A27" s="354">
        <v>25</v>
      </c>
      <c r="B27" s="354" t="s">
        <v>1355</v>
      </c>
      <c r="C27" s="355">
        <v>43339</v>
      </c>
      <c r="D27" s="1045" t="s">
        <v>1702</v>
      </c>
      <c r="E27" s="1058">
        <v>3713.14</v>
      </c>
      <c r="F27" s="1070"/>
      <c r="G27" s="1077"/>
      <c r="H27" s="1051">
        <f t="shared" si="0"/>
        <v>0</v>
      </c>
      <c r="I27" s="1083"/>
      <c r="J27" s="354" t="s">
        <v>1356</v>
      </c>
    </row>
    <row r="28" spans="1:10" ht="30" customHeight="1" x14ac:dyDescent="0.25">
      <c r="A28" s="354">
        <v>26</v>
      </c>
      <c r="B28" s="354" t="s">
        <v>1377</v>
      </c>
      <c r="C28" s="355">
        <v>43313</v>
      </c>
      <c r="D28" s="1045" t="s">
        <v>1702</v>
      </c>
      <c r="E28" s="1058">
        <v>10200</v>
      </c>
      <c r="F28" s="1070"/>
      <c r="G28" s="1077"/>
      <c r="H28" s="1051">
        <f t="shared" si="0"/>
        <v>0</v>
      </c>
      <c r="I28" s="1083"/>
      <c r="J28" s="354" t="s">
        <v>1378</v>
      </c>
    </row>
    <row r="29" spans="1:10" ht="30" customHeight="1" x14ac:dyDescent="0.25">
      <c r="A29" s="354">
        <v>27</v>
      </c>
      <c r="B29" s="354" t="s">
        <v>1395</v>
      </c>
      <c r="C29" s="355">
        <v>43361</v>
      </c>
      <c r="D29" s="1045" t="s">
        <v>1702</v>
      </c>
      <c r="E29" s="1058">
        <v>7293.55</v>
      </c>
      <c r="F29" s="1070"/>
      <c r="G29" s="1077"/>
      <c r="H29" s="1051">
        <f t="shared" si="0"/>
        <v>0</v>
      </c>
      <c r="I29" s="1083"/>
      <c r="J29" s="354" t="s">
        <v>1259</v>
      </c>
    </row>
    <row r="30" spans="1:10" ht="30" customHeight="1" x14ac:dyDescent="0.25">
      <c r="A30" s="354">
        <v>28</v>
      </c>
      <c r="B30" s="354" t="s">
        <v>1396</v>
      </c>
      <c r="C30" s="355">
        <v>43361</v>
      </c>
      <c r="D30" s="1045" t="s">
        <v>1702</v>
      </c>
      <c r="E30" s="1058">
        <v>32461.25</v>
      </c>
      <c r="F30" s="1070"/>
      <c r="G30" s="1077"/>
      <c r="H30" s="1051">
        <f t="shared" si="0"/>
        <v>0</v>
      </c>
      <c r="I30" s="1083"/>
      <c r="J30" s="354" t="s">
        <v>1397</v>
      </c>
    </row>
    <row r="31" spans="1:10" ht="30" customHeight="1" x14ac:dyDescent="0.25">
      <c r="A31" s="354">
        <v>29</v>
      </c>
      <c r="B31" s="354" t="s">
        <v>1699</v>
      </c>
      <c r="C31" s="355">
        <v>43403</v>
      </c>
      <c r="D31" s="1045" t="s">
        <v>1702</v>
      </c>
      <c r="E31" s="1058">
        <v>13316.1</v>
      </c>
      <c r="F31" s="1070"/>
      <c r="G31" s="1077"/>
      <c r="H31" s="1051">
        <f t="shared" si="0"/>
        <v>0</v>
      </c>
      <c r="I31" s="1083"/>
      <c r="J31" s="354" t="s">
        <v>1397</v>
      </c>
    </row>
    <row r="32" spans="1:10" ht="30" customHeight="1" x14ac:dyDescent="0.25">
      <c r="A32" s="354">
        <v>30</v>
      </c>
      <c r="B32" s="354" t="s">
        <v>1703</v>
      </c>
      <c r="C32" s="355">
        <v>43417</v>
      </c>
      <c r="D32" s="1045" t="s">
        <v>1702</v>
      </c>
      <c r="E32" s="1058">
        <v>3011.12</v>
      </c>
      <c r="F32" s="1070"/>
      <c r="G32" s="1077"/>
      <c r="H32" s="1051">
        <f t="shared" si="0"/>
        <v>3408587.84</v>
      </c>
      <c r="I32" s="1083">
        <v>1132</v>
      </c>
      <c r="J32" s="354" t="s">
        <v>1704</v>
      </c>
    </row>
    <row r="33" spans="1:10" ht="30" customHeight="1" x14ac:dyDescent="0.25">
      <c r="A33" s="354">
        <v>31</v>
      </c>
      <c r="B33" s="354" t="s">
        <v>1705</v>
      </c>
      <c r="C33" s="355">
        <v>43417</v>
      </c>
      <c r="D33" s="1045" t="s">
        <v>1702</v>
      </c>
      <c r="E33" s="1058">
        <v>3850.33</v>
      </c>
      <c r="F33" s="1070"/>
      <c r="G33" s="1077"/>
      <c r="H33" s="1051">
        <f t="shared" si="0"/>
        <v>4358573.5599999996</v>
      </c>
      <c r="I33" s="1083">
        <v>1132</v>
      </c>
      <c r="J33" s="354" t="s">
        <v>1706</v>
      </c>
    </row>
    <row r="34" spans="1:10" ht="30" customHeight="1" x14ac:dyDescent="0.25">
      <c r="A34" s="354">
        <v>32</v>
      </c>
      <c r="B34" s="354" t="s">
        <v>1712</v>
      </c>
      <c r="C34" s="355">
        <v>43417</v>
      </c>
      <c r="D34" s="1045" t="s">
        <v>94</v>
      </c>
      <c r="E34" s="1058"/>
      <c r="F34" s="1070">
        <v>700</v>
      </c>
      <c r="G34" s="1077"/>
      <c r="H34" s="1051"/>
      <c r="I34" s="1083"/>
      <c r="J34" s="354" t="s">
        <v>1713</v>
      </c>
    </row>
    <row r="35" spans="1:10" s="1090" customFormat="1" ht="30" customHeight="1" x14ac:dyDescent="0.25">
      <c r="A35" s="354">
        <v>33</v>
      </c>
      <c r="B35" s="354" t="s">
        <v>1709</v>
      </c>
      <c r="C35" s="355">
        <v>43423</v>
      </c>
      <c r="D35" s="1045" t="s">
        <v>1710</v>
      </c>
      <c r="E35" s="1058">
        <v>14610.2</v>
      </c>
      <c r="F35" s="1070"/>
      <c r="G35" s="1077"/>
      <c r="H35" s="1051">
        <f>E35*I35</f>
        <v>0</v>
      </c>
      <c r="I35" s="1083"/>
      <c r="J35" s="354" t="s">
        <v>1711</v>
      </c>
    </row>
    <row r="36" spans="1:10" s="1091" customFormat="1" ht="30" customHeight="1" thickBot="1" x14ac:dyDescent="0.3">
      <c r="A36" s="354">
        <v>34</v>
      </c>
      <c r="B36" s="354" t="s">
        <v>1707</v>
      </c>
      <c r="C36" s="355">
        <v>43434</v>
      </c>
      <c r="D36" s="1041" t="s">
        <v>1702</v>
      </c>
      <c r="E36" s="1058">
        <v>8817.36</v>
      </c>
      <c r="F36" s="1070"/>
      <c r="G36" s="1077"/>
      <c r="H36" s="1051">
        <f t="shared" si="0"/>
        <v>10009996.113600001</v>
      </c>
      <c r="I36" s="1083">
        <v>1135.26</v>
      </c>
      <c r="J36" s="354" t="s">
        <v>1708</v>
      </c>
    </row>
    <row r="37" spans="1:10" s="379" customFormat="1" ht="30" customHeight="1" thickBot="1" x14ac:dyDescent="0.3">
      <c r="A37" s="376"/>
      <c r="B37" s="376"/>
      <c r="C37" s="377"/>
      <c r="D37" s="1059" t="s">
        <v>31</v>
      </c>
      <c r="E37" s="1060">
        <f>SUM(E3:E36)</f>
        <v>1039579.0899999999</v>
      </c>
      <c r="F37" s="1061">
        <f>SUM(F3:F36)</f>
        <v>60900</v>
      </c>
      <c r="G37" s="1079">
        <f>SUM(G3:G36)</f>
        <v>59632.56</v>
      </c>
      <c r="H37" s="1092">
        <f>SUM(H8:H36)</f>
        <v>65118382.513600007</v>
      </c>
      <c r="I37" s="1087"/>
      <c r="J37" s="1038"/>
    </row>
    <row r="38" spans="1:10" ht="30" customHeight="1" x14ac:dyDescent="0.25">
      <c r="J38" s="1039"/>
    </row>
    <row r="39" spans="1:10" ht="30" customHeight="1" x14ac:dyDescent="0.25"/>
    <row r="40" spans="1:10" ht="30" customHeight="1" x14ac:dyDescent="0.25"/>
    <row r="41" spans="1:10" ht="30" customHeight="1" thickBot="1" x14ac:dyDescent="0.3">
      <c r="A41" s="1269" t="s">
        <v>1714</v>
      </c>
      <c r="B41" s="1269"/>
      <c r="C41" s="1269"/>
      <c r="D41" s="1269"/>
      <c r="E41" s="1269"/>
      <c r="F41" s="1269"/>
      <c r="G41" s="1269"/>
      <c r="H41" s="1269"/>
      <c r="I41" s="1269"/>
      <c r="J41" s="1269"/>
    </row>
    <row r="42" spans="1:10" ht="30" customHeight="1" thickBot="1" x14ac:dyDescent="0.3">
      <c r="A42" s="343" t="s">
        <v>67</v>
      </c>
      <c r="B42" s="344" t="s">
        <v>68</v>
      </c>
      <c r="C42" s="345" t="s">
        <v>69</v>
      </c>
      <c r="D42" s="1044" t="s">
        <v>70</v>
      </c>
      <c r="E42" s="1066" t="s">
        <v>71</v>
      </c>
      <c r="F42" s="1073"/>
      <c r="G42" s="1081"/>
      <c r="H42" s="1053" t="s">
        <v>72</v>
      </c>
      <c r="I42" s="1089" t="s">
        <v>73</v>
      </c>
      <c r="J42" s="348" t="s">
        <v>74</v>
      </c>
    </row>
    <row r="43" spans="1:10" s="936" customFormat="1" ht="30" customHeight="1" x14ac:dyDescent="0.25">
      <c r="A43" s="934">
        <v>1</v>
      </c>
      <c r="B43" s="934" t="s">
        <v>1167</v>
      </c>
      <c r="C43" s="935">
        <v>43175</v>
      </c>
      <c r="D43" s="1042" t="s">
        <v>1168</v>
      </c>
      <c r="E43" s="1065">
        <v>-16868.060000000001</v>
      </c>
      <c r="F43" s="1071"/>
      <c r="G43" s="1078"/>
      <c r="H43" s="1052"/>
      <c r="I43" s="1086"/>
      <c r="J43" s="984" t="s">
        <v>1169</v>
      </c>
    </row>
    <row r="44" spans="1:10" ht="30" customHeight="1" x14ac:dyDescent="0.25">
      <c r="A44" s="354">
        <v>2</v>
      </c>
      <c r="B44" s="354"/>
      <c r="C44" s="355"/>
      <c r="D44" s="1042"/>
      <c r="E44" s="1064"/>
      <c r="F44" s="1069"/>
      <c r="G44" s="1076"/>
      <c r="H44" s="1048"/>
      <c r="I44" s="1083"/>
      <c r="J44" s="1035"/>
    </row>
    <row r="45" spans="1:10" ht="30" customHeight="1" x14ac:dyDescent="0.25">
      <c r="A45" s="354">
        <v>3</v>
      </c>
      <c r="B45" s="354"/>
      <c r="C45" s="355"/>
      <c r="D45" s="1041"/>
      <c r="E45" s="1064"/>
      <c r="F45" s="1069"/>
      <c r="G45" s="1076"/>
      <c r="H45" s="1048"/>
      <c r="I45" s="1083"/>
      <c r="J45" s="1035"/>
    </row>
    <row r="46" spans="1:10" ht="30" customHeight="1" x14ac:dyDescent="0.25">
      <c r="A46" s="354"/>
      <c r="B46" s="354"/>
      <c r="C46" s="355"/>
      <c r="D46" s="1041"/>
      <c r="E46" s="1058"/>
      <c r="F46" s="1070"/>
      <c r="G46" s="1077"/>
      <c r="H46" s="1051"/>
      <c r="I46" s="1083"/>
      <c r="J46" s="1035"/>
    </row>
    <row r="47" spans="1:10" ht="30" customHeight="1" x14ac:dyDescent="0.25">
      <c r="A47" s="376"/>
      <c r="B47" s="376"/>
      <c r="C47" s="377"/>
      <c r="D47" s="1043" t="s">
        <v>31</v>
      </c>
      <c r="E47" s="1046">
        <f>SUM(E43:E46)</f>
        <v>-16868.060000000001</v>
      </c>
      <c r="I47" s="1087"/>
      <c r="J47" s="386"/>
    </row>
  </sheetData>
  <mergeCells count="2">
    <mergeCell ref="A1:J1"/>
    <mergeCell ref="A41:J41"/>
  </mergeCells>
  <phoneticPr fontId="28" type="noConversion"/>
  <pageMargins left="0.27" right="0.27" top="0.31" bottom="0.22" header="0.21" footer="0.13"/>
  <pageSetup paperSize="9" scale="3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0">
    <pageSetUpPr fitToPage="1"/>
  </sheetPr>
  <dimension ref="A2:H64"/>
  <sheetViews>
    <sheetView zoomScale="85" zoomScaleNormal="85" workbookViewId="0">
      <pane xSplit="3" ySplit="2" topLeftCell="D3" activePane="bottomRight" state="frozen"/>
      <selection pane="bottomLeft" activeCell="A3" sqref="A3"/>
      <selection pane="topRight" activeCell="D1" sqref="D1"/>
      <selection pane="bottomRight" activeCell="E58" sqref="E58"/>
    </sheetView>
  </sheetViews>
  <sheetFormatPr defaultColWidth="9.03515625" defaultRowHeight="17.25" x14ac:dyDescent="0.25"/>
  <cols>
    <col min="1" max="1" width="5.19921875" style="227" bestFit="1" customWidth="1"/>
    <col min="2" max="2" width="11.51171875" style="227" bestFit="1" customWidth="1"/>
    <col min="3" max="3" width="12.99609375" style="340" customWidth="1"/>
    <col min="4" max="4" width="16.7109375" style="340" customWidth="1"/>
    <col min="5" max="5" width="18.3203125" style="341" customWidth="1"/>
    <col min="6" max="6" width="20.30078125" style="236" customWidth="1"/>
    <col min="7" max="7" width="9.53125" style="228" customWidth="1"/>
    <col min="8" max="8" width="79.47265625" style="342" bestFit="1" customWidth="1"/>
    <col min="9" max="16384" width="9.03515625" style="228"/>
  </cols>
  <sheetData>
    <row r="2" spans="1:8" ht="25.15" customHeight="1" thickBot="1" x14ac:dyDescent="0.3">
      <c r="A2" s="343" t="s">
        <v>67</v>
      </c>
      <c r="B2" s="344" t="s">
        <v>68</v>
      </c>
      <c r="C2" s="345" t="s">
        <v>69</v>
      </c>
      <c r="D2" s="345" t="s">
        <v>70</v>
      </c>
      <c r="E2" s="346" t="s">
        <v>71</v>
      </c>
      <c r="F2" s="347" t="s">
        <v>72</v>
      </c>
      <c r="G2" s="344" t="s">
        <v>73</v>
      </c>
      <c r="H2" s="348" t="s">
        <v>74</v>
      </c>
    </row>
    <row r="3" spans="1:8" ht="25.15" customHeight="1" x14ac:dyDescent="0.25">
      <c r="A3" s="349">
        <v>1</v>
      </c>
      <c r="B3" s="349">
        <v>1604251</v>
      </c>
      <c r="C3" s="350">
        <v>42485</v>
      </c>
      <c r="D3" s="350" t="s">
        <v>75</v>
      </c>
      <c r="E3" s="351">
        <v>11907.19</v>
      </c>
      <c r="F3" s="352">
        <v>9900000</v>
      </c>
      <c r="G3" s="349">
        <v>831.43</v>
      </c>
      <c r="H3" s="353" t="s">
        <v>55</v>
      </c>
    </row>
    <row r="4" spans="1:8" ht="25.15" customHeight="1" x14ac:dyDescent="0.25">
      <c r="A4" s="354">
        <v>2</v>
      </c>
      <c r="B4" s="354">
        <v>1606211</v>
      </c>
      <c r="C4" s="355">
        <v>42542</v>
      </c>
      <c r="D4" s="355" t="s">
        <v>75</v>
      </c>
      <c r="E4" s="356">
        <v>13830</v>
      </c>
      <c r="F4" s="357">
        <v>11680900</v>
      </c>
      <c r="G4" s="354">
        <v>844.6</v>
      </c>
      <c r="H4" s="358" t="s">
        <v>56</v>
      </c>
    </row>
    <row r="5" spans="1:8" ht="25.15" customHeight="1" x14ac:dyDescent="0.25">
      <c r="A5" s="354">
        <v>3</v>
      </c>
      <c r="B5" s="354">
        <v>1606212</v>
      </c>
      <c r="C5" s="355">
        <v>42542</v>
      </c>
      <c r="D5" s="355" t="s">
        <v>75</v>
      </c>
      <c r="E5" s="356">
        <v>1238</v>
      </c>
      <c r="F5" s="357">
        <v>1046364</v>
      </c>
      <c r="G5" s="354">
        <v>844.6</v>
      </c>
      <c r="H5" s="359" t="s">
        <v>76</v>
      </c>
    </row>
    <row r="6" spans="1:8" ht="25.15" customHeight="1" x14ac:dyDescent="0.25">
      <c r="A6" s="354">
        <v>4</v>
      </c>
      <c r="B6" s="354">
        <v>1606251</v>
      </c>
      <c r="C6" s="355">
        <v>42546</v>
      </c>
      <c r="D6" s="355" t="s">
        <v>75</v>
      </c>
      <c r="E6" s="356">
        <v>17759</v>
      </c>
      <c r="F6" s="357">
        <v>15000000</v>
      </c>
      <c r="G6" s="354">
        <v>844.6</v>
      </c>
      <c r="H6" s="360" t="s">
        <v>509</v>
      </c>
    </row>
    <row r="7" spans="1:8" ht="25.15" customHeight="1" x14ac:dyDescent="0.25">
      <c r="A7" s="354">
        <v>5</v>
      </c>
      <c r="B7" s="354">
        <v>1607041</v>
      </c>
      <c r="C7" s="355">
        <v>42555</v>
      </c>
      <c r="D7" s="355" t="s">
        <v>75</v>
      </c>
      <c r="E7" s="356">
        <v>2969</v>
      </c>
      <c r="F7" s="357">
        <v>2508000</v>
      </c>
      <c r="G7" s="354">
        <v>844.6</v>
      </c>
      <c r="H7" s="359" t="s">
        <v>77</v>
      </c>
    </row>
    <row r="8" spans="1:8" ht="25.15" customHeight="1" x14ac:dyDescent="0.25">
      <c r="A8" s="354">
        <v>6</v>
      </c>
      <c r="B8" s="354">
        <v>1607251</v>
      </c>
      <c r="C8" s="355">
        <v>42576</v>
      </c>
      <c r="D8" s="355" t="s">
        <v>75</v>
      </c>
      <c r="E8" s="356">
        <v>18298</v>
      </c>
      <c r="F8" s="357">
        <v>15000000</v>
      </c>
      <c r="G8" s="354">
        <v>819.73</v>
      </c>
      <c r="H8" s="360" t="s">
        <v>510</v>
      </c>
    </row>
    <row r="9" spans="1:8" ht="25.15" customHeight="1" x14ac:dyDescent="0.25">
      <c r="A9" s="354">
        <v>7</v>
      </c>
      <c r="B9" s="354">
        <v>1607291</v>
      </c>
      <c r="C9" s="355">
        <v>42580</v>
      </c>
      <c r="D9" s="355" t="s">
        <v>75</v>
      </c>
      <c r="E9" s="356">
        <v>3812</v>
      </c>
      <c r="F9" s="357">
        <v>3125100</v>
      </c>
      <c r="G9" s="354">
        <v>819.73</v>
      </c>
      <c r="H9" s="360" t="s">
        <v>511</v>
      </c>
    </row>
    <row r="10" spans="1:8" ht="25.15" customHeight="1" x14ac:dyDescent="0.25">
      <c r="A10" s="354">
        <v>8</v>
      </c>
      <c r="B10" s="354">
        <v>1608221</v>
      </c>
      <c r="C10" s="355">
        <v>42604</v>
      </c>
      <c r="D10" s="355" t="s">
        <v>75</v>
      </c>
      <c r="E10" s="361">
        <v>1409</v>
      </c>
      <c r="F10" s="362">
        <v>1149827</v>
      </c>
      <c r="G10" s="363">
        <f>F10/E10</f>
        <v>816.0589070262597</v>
      </c>
      <c r="H10" s="360" t="s">
        <v>78</v>
      </c>
    </row>
    <row r="11" spans="1:8" ht="25.15" customHeight="1" x14ac:dyDescent="0.25">
      <c r="A11" s="354">
        <v>9</v>
      </c>
      <c r="B11" s="354">
        <v>1608251</v>
      </c>
      <c r="C11" s="355">
        <v>42607</v>
      </c>
      <c r="D11" s="355" t="s">
        <v>75</v>
      </c>
      <c r="E11" s="361">
        <v>24734</v>
      </c>
      <c r="F11" s="362">
        <v>20000000</v>
      </c>
      <c r="G11" s="363">
        <v>808.59</v>
      </c>
      <c r="H11" s="360" t="s">
        <v>512</v>
      </c>
    </row>
    <row r="12" spans="1:8" ht="25.15" customHeight="1" x14ac:dyDescent="0.25">
      <c r="A12" s="354">
        <v>10</v>
      </c>
      <c r="B12" s="354">
        <v>1610041</v>
      </c>
      <c r="C12" s="355">
        <v>42647</v>
      </c>
      <c r="D12" s="355" t="s">
        <v>75</v>
      </c>
      <c r="E12" s="361">
        <v>1348</v>
      </c>
      <c r="F12" s="362">
        <v>1078000</v>
      </c>
      <c r="G12" s="363">
        <v>799.34</v>
      </c>
      <c r="H12" s="360" t="s">
        <v>79</v>
      </c>
    </row>
    <row r="13" spans="1:8" s="249" customFormat="1" ht="25.15" customHeight="1" x14ac:dyDescent="0.25">
      <c r="A13" s="354">
        <v>11</v>
      </c>
      <c r="B13" s="364" t="s">
        <v>80</v>
      </c>
      <c r="C13" s="365">
        <v>42751</v>
      </c>
      <c r="D13" s="365" t="s">
        <v>75</v>
      </c>
      <c r="E13" s="366">
        <v>8822</v>
      </c>
      <c r="F13" s="367">
        <v>7200000</v>
      </c>
      <c r="G13" s="368">
        <v>816.1</v>
      </c>
      <c r="H13" s="369" t="s">
        <v>81</v>
      </c>
    </row>
    <row r="14" spans="1:8" s="249" customFormat="1" ht="25.15" customHeight="1" x14ac:dyDescent="0.25">
      <c r="A14" s="354">
        <v>12</v>
      </c>
      <c r="B14" s="364" t="s">
        <v>82</v>
      </c>
      <c r="C14" s="365">
        <v>42751</v>
      </c>
      <c r="D14" s="365" t="s">
        <v>75</v>
      </c>
      <c r="E14" s="366">
        <v>1275</v>
      </c>
      <c r="F14" s="367">
        <v>1050000</v>
      </c>
      <c r="G14" s="368">
        <v>823.56</v>
      </c>
      <c r="H14" s="369" t="s">
        <v>81</v>
      </c>
    </row>
    <row r="15" spans="1:8" s="249" customFormat="1" ht="25.15" customHeight="1" x14ac:dyDescent="0.25">
      <c r="A15" s="354">
        <v>13</v>
      </c>
      <c r="B15" s="370">
        <v>1701161</v>
      </c>
      <c r="C15" s="371">
        <v>42751</v>
      </c>
      <c r="D15" s="371" t="s">
        <v>75</v>
      </c>
      <c r="E15" s="372">
        <v>1044</v>
      </c>
      <c r="F15" s="373">
        <v>860000</v>
      </c>
      <c r="G15" s="374">
        <v>823.56</v>
      </c>
      <c r="H15" s="375" t="s">
        <v>83</v>
      </c>
    </row>
    <row r="16" spans="1:8" s="249" customFormat="1" ht="25.15" customHeight="1" x14ac:dyDescent="0.25">
      <c r="A16" s="354">
        <v>14</v>
      </c>
      <c r="B16" s="370">
        <v>1701312</v>
      </c>
      <c r="C16" s="371">
        <v>42766</v>
      </c>
      <c r="D16" s="371" t="s">
        <v>75</v>
      </c>
      <c r="E16" s="372">
        <v>4320.82</v>
      </c>
      <c r="F16" s="373">
        <v>3520000</v>
      </c>
      <c r="G16" s="374">
        <f>F16/E16</f>
        <v>814.66018024356492</v>
      </c>
      <c r="H16" s="375" t="s">
        <v>84</v>
      </c>
    </row>
    <row r="17" spans="1:8" s="249" customFormat="1" ht="25.15" customHeight="1" x14ac:dyDescent="0.25">
      <c r="A17" s="354">
        <v>15</v>
      </c>
      <c r="B17" s="370">
        <v>1701313</v>
      </c>
      <c r="C17" s="371">
        <v>42766</v>
      </c>
      <c r="D17" s="371" t="s">
        <v>75</v>
      </c>
      <c r="E17" s="372">
        <v>1681.68</v>
      </c>
      <c r="F17" s="373">
        <v>1370000</v>
      </c>
      <c r="G17" s="374">
        <f>F17/E17</f>
        <v>814.66152894724326</v>
      </c>
      <c r="H17" s="375" t="s">
        <v>83</v>
      </c>
    </row>
    <row r="18" spans="1:8" s="249" customFormat="1" ht="25.15" customHeight="1" x14ac:dyDescent="0.25">
      <c r="A18" s="354">
        <v>16</v>
      </c>
      <c r="B18" s="370">
        <v>1702281</v>
      </c>
      <c r="C18" s="371">
        <v>42794</v>
      </c>
      <c r="D18" s="371" t="s">
        <v>75</v>
      </c>
      <c r="E18" s="372">
        <v>2181.0700000000002</v>
      </c>
      <c r="F18" s="373">
        <v>1735000</v>
      </c>
      <c r="G18" s="374">
        <v>795.48</v>
      </c>
      <c r="H18" s="375" t="s">
        <v>83</v>
      </c>
    </row>
    <row r="19" spans="1:8" s="249" customFormat="1" ht="25.15" customHeight="1" x14ac:dyDescent="0.25">
      <c r="A19" s="354">
        <v>17</v>
      </c>
      <c r="B19" s="370">
        <v>1703281</v>
      </c>
      <c r="C19" s="371">
        <v>42822</v>
      </c>
      <c r="D19" s="371" t="s">
        <v>75</v>
      </c>
      <c r="E19" s="372">
        <v>1391.22</v>
      </c>
      <c r="F19" s="373">
        <v>1100000</v>
      </c>
      <c r="G19" s="374">
        <v>790.67</v>
      </c>
      <c r="H19" s="375" t="s">
        <v>83</v>
      </c>
    </row>
    <row r="20" spans="1:8" s="249" customFormat="1" ht="25.15" customHeight="1" x14ac:dyDescent="0.25">
      <c r="A20" s="354">
        <v>18</v>
      </c>
      <c r="B20" s="370">
        <v>1704261</v>
      </c>
      <c r="C20" s="371">
        <v>42851</v>
      </c>
      <c r="D20" s="371" t="s">
        <v>75</v>
      </c>
      <c r="E20" s="372">
        <v>629.98</v>
      </c>
      <c r="F20" s="373">
        <v>510000</v>
      </c>
      <c r="G20" s="374">
        <v>809.93</v>
      </c>
      <c r="H20" s="375" t="s">
        <v>102</v>
      </c>
    </row>
    <row r="21" spans="1:8" ht="25.15" customHeight="1" x14ac:dyDescent="0.25">
      <c r="A21" s="354">
        <v>19</v>
      </c>
      <c r="B21" s="354">
        <v>1705058</v>
      </c>
      <c r="C21" s="355">
        <v>42860</v>
      </c>
      <c r="D21" s="355" t="s">
        <v>103</v>
      </c>
      <c r="E21" s="356">
        <v>4248</v>
      </c>
      <c r="F21" s="357">
        <f>(E21*G21)</f>
        <v>3446869.6799999997</v>
      </c>
      <c r="G21" s="354">
        <v>811.41</v>
      </c>
      <c r="H21" s="375" t="s">
        <v>528</v>
      </c>
    </row>
    <row r="22" spans="1:8" ht="25.15" customHeight="1" x14ac:dyDescent="0.25">
      <c r="A22" s="354">
        <v>19</v>
      </c>
      <c r="B22" s="354">
        <v>1705311</v>
      </c>
      <c r="C22" s="355">
        <v>42886</v>
      </c>
      <c r="D22" s="355" t="s">
        <v>75</v>
      </c>
      <c r="E22" s="356">
        <v>2268.08</v>
      </c>
      <c r="F22" s="357">
        <v>1830000</v>
      </c>
      <c r="G22" s="354">
        <v>811.14</v>
      </c>
      <c r="H22" s="375" t="s">
        <v>102</v>
      </c>
    </row>
    <row r="23" spans="1:8" ht="25.15" customHeight="1" x14ac:dyDescent="0.25">
      <c r="A23" s="354">
        <v>20</v>
      </c>
      <c r="B23" s="354">
        <v>1706281</v>
      </c>
      <c r="C23" s="355">
        <v>42914</v>
      </c>
      <c r="D23" s="355" t="s">
        <v>75</v>
      </c>
      <c r="E23" s="356">
        <v>873.39</v>
      </c>
      <c r="F23" s="357">
        <v>720000</v>
      </c>
      <c r="G23" s="354">
        <v>824.37</v>
      </c>
      <c r="H23" s="375" t="s">
        <v>102</v>
      </c>
    </row>
    <row r="24" spans="1:8" ht="25.15" customHeight="1" x14ac:dyDescent="0.25">
      <c r="A24" s="354">
        <v>21</v>
      </c>
      <c r="B24" s="354" t="s">
        <v>801</v>
      </c>
      <c r="C24" s="355">
        <v>42968</v>
      </c>
      <c r="D24" s="355" t="s">
        <v>75</v>
      </c>
      <c r="E24" s="356">
        <v>9197.89</v>
      </c>
      <c r="F24" s="357">
        <v>7855000</v>
      </c>
      <c r="G24" s="761">
        <v>854</v>
      </c>
      <c r="H24" s="375" t="s">
        <v>83</v>
      </c>
    </row>
    <row r="25" spans="1:8" ht="25.15" customHeight="1" x14ac:dyDescent="0.25">
      <c r="A25" s="354">
        <v>22</v>
      </c>
      <c r="B25" s="354" t="s">
        <v>802</v>
      </c>
      <c r="C25" s="355">
        <v>42979</v>
      </c>
      <c r="D25" s="355" t="s">
        <v>75</v>
      </c>
      <c r="E25" s="356">
        <v>2133.0300000000002</v>
      </c>
      <c r="F25" s="357">
        <v>1800000</v>
      </c>
      <c r="G25" s="354">
        <v>843.87</v>
      </c>
      <c r="H25" s="375" t="s">
        <v>83</v>
      </c>
    </row>
    <row r="26" spans="1:8" ht="25.15" customHeight="1" x14ac:dyDescent="0.25">
      <c r="E26" s="932"/>
      <c r="F26" s="233"/>
      <c r="G26" s="227"/>
      <c r="H26" s="933"/>
    </row>
    <row r="27" spans="1:8" s="379" customFormat="1" ht="25.15" customHeight="1" x14ac:dyDescent="0.25">
      <c r="A27" s="376"/>
      <c r="B27" s="376"/>
      <c r="C27" s="377"/>
      <c r="D27" s="377" t="s">
        <v>31</v>
      </c>
      <c r="E27" s="378">
        <f>SUM(E3:E25)</f>
        <v>137370.35</v>
      </c>
      <c r="F27" s="836">
        <f>SUM(F3:F25)</f>
        <v>113485060.68000001</v>
      </c>
      <c r="H27" s="380"/>
    </row>
    <row r="28" spans="1:8" ht="25.15" customHeight="1" x14ac:dyDescent="0.25">
      <c r="H28" s="381"/>
    </row>
    <row r="29" spans="1:8" ht="25.15" customHeight="1" thickBot="1" x14ac:dyDescent="0.3">
      <c r="H29" s="380"/>
    </row>
    <row r="30" spans="1:8" ht="25.15" customHeight="1" thickBot="1" x14ac:dyDescent="0.3">
      <c r="A30" s="343" t="s">
        <v>67</v>
      </c>
      <c r="B30" s="344" t="s">
        <v>68</v>
      </c>
      <c r="C30" s="345" t="s">
        <v>69</v>
      </c>
      <c r="D30" s="345" t="s">
        <v>70</v>
      </c>
      <c r="E30" s="382" t="s">
        <v>85</v>
      </c>
      <c r="F30" s="383" t="s">
        <v>72</v>
      </c>
      <c r="G30" s="344" t="s">
        <v>73</v>
      </c>
      <c r="H30" s="348" t="s">
        <v>74</v>
      </c>
    </row>
    <row r="31" spans="1:8" ht="25.15" customHeight="1" x14ac:dyDescent="0.25">
      <c r="A31" s="354">
        <v>1</v>
      </c>
      <c r="B31" s="354">
        <v>16062101</v>
      </c>
      <c r="C31" s="355">
        <v>42542</v>
      </c>
      <c r="D31" s="355" t="s">
        <v>75</v>
      </c>
      <c r="E31" s="361">
        <v>25000</v>
      </c>
      <c r="F31" s="362"/>
      <c r="G31" s="354"/>
      <c r="H31" s="358" t="s">
        <v>86</v>
      </c>
    </row>
    <row r="32" spans="1:8" ht="25.15" customHeight="1" x14ac:dyDescent="0.25">
      <c r="A32" s="354">
        <v>2</v>
      </c>
      <c r="B32" s="354">
        <v>1609121</v>
      </c>
      <c r="C32" s="355">
        <v>42625</v>
      </c>
      <c r="D32" s="355" t="s">
        <v>75</v>
      </c>
      <c r="E32" s="361">
        <v>10700</v>
      </c>
      <c r="F32" s="362"/>
      <c r="G32" s="354"/>
      <c r="H32" s="360" t="s">
        <v>87</v>
      </c>
    </row>
    <row r="33" spans="1:8" ht="25.15" customHeight="1" x14ac:dyDescent="0.25">
      <c r="A33" s="354">
        <v>3</v>
      </c>
      <c r="B33" s="354">
        <v>1610071</v>
      </c>
      <c r="C33" s="355">
        <v>42650</v>
      </c>
      <c r="D33" s="355" t="s">
        <v>75</v>
      </c>
      <c r="E33" s="361">
        <v>4650</v>
      </c>
      <c r="F33" s="362"/>
      <c r="G33" s="354"/>
      <c r="H33" s="360" t="s">
        <v>88</v>
      </c>
    </row>
    <row r="34" spans="1:8" ht="25.15" customHeight="1" x14ac:dyDescent="0.25">
      <c r="A34" s="364">
        <v>4</v>
      </c>
      <c r="B34" s="364">
        <v>1611181</v>
      </c>
      <c r="C34" s="365">
        <v>42692</v>
      </c>
      <c r="D34" s="365" t="s">
        <v>75</v>
      </c>
      <c r="E34" s="366">
        <v>15498</v>
      </c>
      <c r="F34" s="367">
        <v>18161000</v>
      </c>
      <c r="G34" s="368">
        <v>1171.8</v>
      </c>
      <c r="H34" s="369" t="s">
        <v>89</v>
      </c>
    </row>
    <row r="35" spans="1:8" ht="25.15" customHeight="1" x14ac:dyDescent="0.25">
      <c r="A35" s="364">
        <v>5</v>
      </c>
      <c r="B35" s="364">
        <v>1611182</v>
      </c>
      <c r="C35" s="365">
        <v>42692</v>
      </c>
      <c r="D35" s="365" t="s">
        <v>75</v>
      </c>
      <c r="E35" s="366">
        <v>4352</v>
      </c>
      <c r="F35" s="367">
        <v>5100000</v>
      </c>
      <c r="G35" s="368">
        <v>1171.8</v>
      </c>
      <c r="H35" s="369" t="s">
        <v>90</v>
      </c>
    </row>
    <row r="36" spans="1:8" ht="25.15" customHeight="1" x14ac:dyDescent="0.25">
      <c r="A36" s="370">
        <v>6</v>
      </c>
      <c r="B36" s="370">
        <v>1701311</v>
      </c>
      <c r="C36" s="371">
        <v>42766</v>
      </c>
      <c r="D36" s="371" t="s">
        <v>75</v>
      </c>
      <c r="E36" s="372">
        <v>3132.16</v>
      </c>
      <c r="F36" s="373">
        <v>3488000</v>
      </c>
      <c r="G36" s="374">
        <f>F36/E36</f>
        <v>1113.6085002043319</v>
      </c>
      <c r="H36" s="375" t="s">
        <v>91</v>
      </c>
    </row>
    <row r="37" spans="1:8" ht="25.15" customHeight="1" x14ac:dyDescent="0.25">
      <c r="A37" s="370">
        <v>7</v>
      </c>
      <c r="B37" s="370">
        <v>1702211</v>
      </c>
      <c r="C37" s="371">
        <v>42787</v>
      </c>
      <c r="D37" s="371" t="s">
        <v>75</v>
      </c>
      <c r="E37" s="372">
        <v>5408.78</v>
      </c>
      <c r="F37" s="373">
        <v>6141680</v>
      </c>
      <c r="G37" s="374">
        <f>F37/E37</f>
        <v>1135.5019061599844</v>
      </c>
      <c r="H37" s="375" t="s">
        <v>92</v>
      </c>
    </row>
    <row r="38" spans="1:8" ht="25.15" customHeight="1" x14ac:dyDescent="0.25">
      <c r="A38" s="354"/>
      <c r="B38" s="354"/>
      <c r="C38" s="355"/>
      <c r="D38" s="355"/>
      <c r="E38" s="356"/>
      <c r="F38" s="357"/>
      <c r="G38" s="354"/>
      <c r="H38" s="360"/>
    </row>
    <row r="39" spans="1:8" s="379" customFormat="1" ht="25.15" customHeight="1" x14ac:dyDescent="0.25">
      <c r="A39" s="376"/>
      <c r="B39" s="376"/>
      <c r="C39" s="377"/>
      <c r="D39" s="377" t="s">
        <v>31</v>
      </c>
      <c r="E39" s="384">
        <f>SUM(E31:E38)</f>
        <v>68740.94</v>
      </c>
      <c r="F39" s="385"/>
      <c r="H39" s="386"/>
    </row>
    <row r="40" spans="1:8" ht="25.15" customHeight="1" x14ac:dyDescent="0.25"/>
    <row r="41" spans="1:8" ht="25.15" customHeight="1" thickBot="1" x14ac:dyDescent="0.3"/>
    <row r="42" spans="1:8" ht="25.15" customHeight="1" thickBot="1" x14ac:dyDescent="0.3">
      <c r="A42" s="343" t="s">
        <v>67</v>
      </c>
      <c r="B42" s="344" t="s">
        <v>68</v>
      </c>
      <c r="C42" s="345" t="s">
        <v>69</v>
      </c>
      <c r="D42" s="345" t="s">
        <v>70</v>
      </c>
      <c r="E42" s="387" t="s">
        <v>93</v>
      </c>
      <c r="F42" s="383" t="s">
        <v>72</v>
      </c>
      <c r="G42" s="344" t="s">
        <v>73</v>
      </c>
      <c r="H42" s="348" t="s">
        <v>74</v>
      </c>
    </row>
    <row r="43" spans="1:8" ht="25.15" customHeight="1" x14ac:dyDescent="0.25">
      <c r="A43" s="354">
        <v>1</v>
      </c>
      <c r="B43" s="354">
        <v>1604291</v>
      </c>
      <c r="C43" s="355">
        <v>42489</v>
      </c>
      <c r="D43" s="388" t="s">
        <v>94</v>
      </c>
      <c r="E43" s="361">
        <v>852.3</v>
      </c>
      <c r="F43" s="362">
        <v>1078000</v>
      </c>
      <c r="G43" s="354">
        <f>F43/E43</f>
        <v>1264.812859321835</v>
      </c>
      <c r="H43" s="389" t="s">
        <v>95</v>
      </c>
    </row>
    <row r="44" spans="1:8" ht="25.15" customHeight="1" x14ac:dyDescent="0.25">
      <c r="A44" s="354">
        <v>2</v>
      </c>
      <c r="B44" s="354">
        <v>1606011</v>
      </c>
      <c r="C44" s="355">
        <v>42522</v>
      </c>
      <c r="D44" s="388" t="s">
        <v>94</v>
      </c>
      <c r="E44" s="361">
        <v>845</v>
      </c>
      <c r="F44" s="362">
        <v>1100000</v>
      </c>
      <c r="G44" s="354">
        <f>F44/E44</f>
        <v>1301.7751479289941</v>
      </c>
      <c r="H44" s="389" t="s">
        <v>96</v>
      </c>
    </row>
    <row r="45" spans="1:8" ht="25.15" customHeight="1" x14ac:dyDescent="0.25">
      <c r="A45" s="390">
        <v>3</v>
      </c>
      <c r="B45" s="390">
        <v>1701314</v>
      </c>
      <c r="C45" s="391">
        <v>42766</v>
      </c>
      <c r="D45" s="392" t="s">
        <v>94</v>
      </c>
      <c r="E45" s="393">
        <v>566</v>
      </c>
      <c r="F45" s="394">
        <v>700000</v>
      </c>
      <c r="G45" s="390">
        <f>F45/E45</f>
        <v>1236.7491166077739</v>
      </c>
      <c r="H45" s="395" t="s">
        <v>97</v>
      </c>
    </row>
    <row r="46" spans="1:8" ht="25.15" customHeight="1" x14ac:dyDescent="0.25">
      <c r="A46" s="823">
        <v>4</v>
      </c>
      <c r="B46" s="823">
        <v>1706291</v>
      </c>
      <c r="C46" s="824">
        <v>42919</v>
      </c>
      <c r="D46" s="825" t="s">
        <v>94</v>
      </c>
      <c r="E46" s="826">
        <v>1053.3</v>
      </c>
      <c r="F46" s="827">
        <v>1360000</v>
      </c>
      <c r="G46" s="823">
        <v>1291.18</v>
      </c>
      <c r="H46" s="828" t="s">
        <v>602</v>
      </c>
    </row>
    <row r="47" spans="1:8" ht="25.15" customHeight="1" x14ac:dyDescent="0.25">
      <c r="A47" s="354">
        <v>5</v>
      </c>
      <c r="B47" s="354">
        <v>1709291</v>
      </c>
      <c r="C47" s="355">
        <v>43007</v>
      </c>
      <c r="D47" s="392" t="s">
        <v>94</v>
      </c>
      <c r="E47" s="356">
        <v>574.66999999999996</v>
      </c>
      <c r="F47" s="357">
        <v>791770</v>
      </c>
      <c r="G47" s="354">
        <v>1377.75</v>
      </c>
      <c r="H47" s="369" t="s">
        <v>907</v>
      </c>
    </row>
    <row r="48" spans="1:8" ht="25.15" customHeight="1" x14ac:dyDescent="0.25">
      <c r="A48" s="354">
        <v>6</v>
      </c>
      <c r="B48" s="354">
        <v>1711061</v>
      </c>
      <c r="C48" s="355">
        <v>43045</v>
      </c>
      <c r="D48" s="392" t="s">
        <v>94</v>
      </c>
      <c r="E48" s="356">
        <v>276.38</v>
      </c>
      <c r="F48" s="357">
        <v>350000</v>
      </c>
      <c r="G48" s="354">
        <v>1266.3599999999999</v>
      </c>
      <c r="H48" s="369" t="s">
        <v>907</v>
      </c>
    </row>
    <row r="49" spans="1:8" ht="25.15" customHeight="1" x14ac:dyDescent="0.25">
      <c r="A49" s="376"/>
      <c r="B49" s="376"/>
      <c r="C49" s="377"/>
      <c r="D49" s="377" t="s">
        <v>31</v>
      </c>
      <c r="E49" s="396">
        <f>SUM(E43:E48)</f>
        <v>4167.6500000000005</v>
      </c>
      <c r="F49" s="385"/>
      <c r="G49" s="379"/>
      <c r="H49" s="386"/>
    </row>
    <row r="50" spans="1:8" ht="25.15" customHeight="1" x14ac:dyDescent="0.25"/>
    <row r="51" spans="1:8" ht="25.15" customHeight="1" thickBot="1" x14ac:dyDescent="0.3">
      <c r="H51" s="397"/>
    </row>
    <row r="52" spans="1:8" ht="25.15" customHeight="1" thickBot="1" x14ac:dyDescent="0.3">
      <c r="A52" s="343" t="s">
        <v>67</v>
      </c>
      <c r="B52" s="344" t="s">
        <v>68</v>
      </c>
      <c r="C52" s="345" t="s">
        <v>69</v>
      </c>
      <c r="D52" s="345" t="s">
        <v>70</v>
      </c>
      <c r="E52" s="382" t="s">
        <v>85</v>
      </c>
      <c r="F52" s="383" t="s">
        <v>72</v>
      </c>
      <c r="G52" s="344" t="s">
        <v>73</v>
      </c>
      <c r="H52" s="348" t="s">
        <v>74</v>
      </c>
    </row>
    <row r="53" spans="1:8" ht="25.15" customHeight="1" x14ac:dyDescent="0.25">
      <c r="A53" s="390">
        <v>1</v>
      </c>
      <c r="B53" s="390" t="s">
        <v>98</v>
      </c>
      <c r="C53" s="391">
        <v>42822</v>
      </c>
      <c r="D53" s="38" t="s">
        <v>99</v>
      </c>
      <c r="E53" s="393">
        <v>31828</v>
      </c>
      <c r="F53" s="394">
        <v>36115580</v>
      </c>
      <c r="G53" s="390">
        <v>1134.7</v>
      </c>
      <c r="H53" s="398" t="s">
        <v>100</v>
      </c>
    </row>
    <row r="54" spans="1:8" ht="25.15" customHeight="1" x14ac:dyDescent="0.25">
      <c r="A54" s="354">
        <v>2</v>
      </c>
      <c r="B54" s="354" t="s">
        <v>1104</v>
      </c>
      <c r="C54" s="355">
        <v>43057</v>
      </c>
      <c r="D54" s="355" t="s">
        <v>1103</v>
      </c>
      <c r="E54" s="361">
        <v>125158</v>
      </c>
      <c r="F54" s="362">
        <v>132179845</v>
      </c>
      <c r="G54" s="354">
        <v>1056.0999999999999</v>
      </c>
      <c r="H54" s="360" t="s">
        <v>1105</v>
      </c>
    </row>
    <row r="55" spans="1:8" ht="25.15" customHeight="1" x14ac:dyDescent="0.25">
      <c r="A55" s="354">
        <v>3</v>
      </c>
      <c r="B55" s="354"/>
      <c r="C55" s="355"/>
      <c r="D55" s="355"/>
      <c r="E55" s="361"/>
      <c r="F55" s="362"/>
      <c r="G55" s="354"/>
      <c r="H55" s="360"/>
    </row>
    <row r="56" spans="1:8" ht="25.15" customHeight="1" x14ac:dyDescent="0.25">
      <c r="A56" s="354"/>
      <c r="B56" s="354"/>
      <c r="C56" s="355"/>
      <c r="D56" s="355"/>
      <c r="E56" s="356"/>
      <c r="F56" s="357"/>
      <c r="G56" s="354"/>
      <c r="H56" s="360"/>
    </row>
    <row r="57" spans="1:8" ht="25.15" customHeight="1" x14ac:dyDescent="0.25">
      <c r="A57" s="376"/>
      <c r="B57" s="376"/>
      <c r="C57" s="377"/>
      <c r="D57" s="377" t="s">
        <v>31</v>
      </c>
      <c r="E57" s="384">
        <f>SUM(E53:E56)</f>
        <v>156986</v>
      </c>
      <c r="F57" s="385"/>
      <c r="G57" s="379"/>
      <c r="H57" s="386"/>
    </row>
    <row r="58" spans="1:8" ht="25.15" customHeight="1" x14ac:dyDescent="0.25"/>
    <row r="59" spans="1:8" ht="18" thickBot="1" x14ac:dyDescent="0.3"/>
    <row r="60" spans="1:8" ht="18" thickBot="1" x14ac:dyDescent="0.3">
      <c r="A60" s="343" t="s">
        <v>67</v>
      </c>
      <c r="B60" s="344" t="s">
        <v>68</v>
      </c>
      <c r="C60" s="345" t="s">
        <v>69</v>
      </c>
      <c r="D60" s="345" t="s">
        <v>70</v>
      </c>
      <c r="E60" s="382" t="s">
        <v>618</v>
      </c>
      <c r="F60" s="383" t="s">
        <v>72</v>
      </c>
      <c r="G60" s="344" t="s">
        <v>73</v>
      </c>
      <c r="H60" s="348" t="s">
        <v>74</v>
      </c>
    </row>
    <row r="61" spans="1:8" x14ac:dyDescent="0.25">
      <c r="A61" s="390">
        <v>1</v>
      </c>
      <c r="B61" s="390">
        <v>17042508</v>
      </c>
      <c r="C61" s="391">
        <v>42850</v>
      </c>
      <c r="D61" s="38" t="s">
        <v>617</v>
      </c>
      <c r="E61" s="393">
        <v>622.5</v>
      </c>
      <c r="F61" s="394"/>
      <c r="G61" s="390"/>
      <c r="H61" s="398" t="s">
        <v>619</v>
      </c>
    </row>
    <row r="62" spans="1:8" x14ac:dyDescent="0.25">
      <c r="A62" s="354">
        <v>2</v>
      </c>
      <c r="B62" s="354"/>
      <c r="C62" s="355"/>
      <c r="D62" s="355"/>
      <c r="E62" s="361"/>
      <c r="F62" s="362"/>
      <c r="G62" s="354"/>
      <c r="H62" s="360"/>
    </row>
    <row r="63" spans="1:8" x14ac:dyDescent="0.25">
      <c r="A63" s="354">
        <v>3</v>
      </c>
      <c r="B63" s="354"/>
      <c r="C63" s="355"/>
      <c r="D63" s="355"/>
      <c r="E63" s="361"/>
      <c r="F63" s="362"/>
      <c r="G63" s="354"/>
      <c r="H63" s="360"/>
    </row>
    <row r="64" spans="1:8" x14ac:dyDescent="0.25">
      <c r="D64" s="377" t="s">
        <v>31</v>
      </c>
      <c r="E64" s="384">
        <f>SUM(E60:E63)</f>
        <v>622.5</v>
      </c>
    </row>
  </sheetData>
  <phoneticPr fontId="13" type="noConversion"/>
  <pageMargins left="0.27" right="0.27" top="0.31" bottom="0.22" header="0.21" footer="0.13"/>
  <pageSetup paperSize="9" scale="3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1"/>
  <dimension ref="A1:AR100"/>
  <sheetViews>
    <sheetView zoomScale="55" zoomScaleNormal="55" workbookViewId="0">
      <pane ySplit="1" topLeftCell="A32" activePane="bottomLeft" state="frozen"/>
      <selection activeCell="A1889" sqref="A1889"/>
      <selection pane="bottomLeft" activeCell="A1889" sqref="A1889"/>
    </sheetView>
  </sheetViews>
  <sheetFormatPr defaultColWidth="9.03515625" defaultRowHeight="17.25" x14ac:dyDescent="0.25"/>
  <cols>
    <col min="1" max="1" width="39.23828125" style="74" customWidth="1"/>
    <col min="2" max="2" width="47.78125" style="74" customWidth="1"/>
    <col min="3" max="3" width="22.28125" style="74" customWidth="1"/>
    <col min="4" max="4" width="26.2421875" style="156" customWidth="1"/>
    <col min="5" max="5" width="17.69921875" style="75" customWidth="1"/>
    <col min="6" max="6" width="22.03125" style="75" customWidth="1"/>
    <col min="7" max="7" width="9.28125" style="759" bestFit="1" customWidth="1"/>
    <col min="8" max="8" width="9.03515625" style="74"/>
    <col min="9" max="9" width="9.03515625" style="752"/>
    <col min="10" max="43" width="9.03515625" style="74"/>
    <col min="44" max="44" width="9.03515625" style="752"/>
    <col min="45" max="16384" width="9.03515625" style="74"/>
  </cols>
  <sheetData>
    <row r="1" spans="1:8" s="78" customFormat="1" ht="52.5" customHeight="1" x14ac:dyDescent="0.1">
      <c r="A1" s="76" t="s">
        <v>159</v>
      </c>
      <c r="B1" s="76" t="s">
        <v>160</v>
      </c>
      <c r="C1" s="76" t="s">
        <v>176</v>
      </c>
      <c r="D1" s="124" t="s">
        <v>177</v>
      </c>
      <c r="E1" s="77" t="s">
        <v>239</v>
      </c>
      <c r="F1" s="77" t="s">
        <v>240</v>
      </c>
      <c r="G1" s="755"/>
      <c r="H1" s="78" t="s">
        <v>791</v>
      </c>
    </row>
    <row r="2" spans="1:8" s="81" customFormat="1" ht="30" customHeight="1" x14ac:dyDescent="0.25">
      <c r="A2" s="79" t="s">
        <v>178</v>
      </c>
      <c r="B2" s="79" t="s">
        <v>214</v>
      </c>
      <c r="C2" s="79" t="s">
        <v>179</v>
      </c>
      <c r="D2" s="149">
        <f>VLOOKUP(B2,Report!P:R,3,FALSE)</f>
        <v>91000</v>
      </c>
      <c r="E2" s="73" t="s">
        <v>756</v>
      </c>
      <c r="F2" s="73"/>
      <c r="G2" s="756"/>
    </row>
    <row r="3" spans="1:8" s="72" customFormat="1" ht="30" customHeight="1" x14ac:dyDescent="0.25">
      <c r="A3" s="67" t="s">
        <v>178</v>
      </c>
      <c r="B3" s="67" t="s">
        <v>216</v>
      </c>
      <c r="C3" s="67" t="s">
        <v>180</v>
      </c>
      <c r="D3" s="149">
        <f>VLOOKUP(B3,Report!P:R,3,FALSE)</f>
        <v>115000</v>
      </c>
      <c r="E3" s="71"/>
      <c r="F3" s="71"/>
      <c r="G3" s="751"/>
    </row>
    <row r="4" spans="1:8" s="72" customFormat="1" ht="30" customHeight="1" x14ac:dyDescent="0.25">
      <c r="A4" s="67" t="s">
        <v>178</v>
      </c>
      <c r="B4" s="67" t="s">
        <v>215</v>
      </c>
      <c r="C4" s="67" t="s">
        <v>180</v>
      </c>
      <c r="D4" s="149">
        <f>VLOOKUP(B4,Report!P:R,3,FALSE)</f>
        <v>51000</v>
      </c>
      <c r="E4" s="71"/>
      <c r="F4" s="71"/>
      <c r="G4" s="751"/>
    </row>
    <row r="5" spans="1:8" s="72" customFormat="1" ht="30" customHeight="1" x14ac:dyDescent="0.25">
      <c r="A5" s="67" t="s">
        <v>178</v>
      </c>
      <c r="B5" s="67" t="s">
        <v>181</v>
      </c>
      <c r="C5" s="67" t="s">
        <v>182</v>
      </c>
      <c r="D5" s="149">
        <f>VLOOKUP(B5,Report!P:R,3,FALSE)</f>
        <v>112500</v>
      </c>
      <c r="E5" s="71"/>
      <c r="F5" s="71"/>
      <c r="G5" s="751"/>
    </row>
    <row r="6" spans="1:8" s="72" customFormat="1" ht="30" customHeight="1" x14ac:dyDescent="0.25">
      <c r="A6" s="67" t="s">
        <v>178</v>
      </c>
      <c r="B6" s="67" t="s">
        <v>183</v>
      </c>
      <c r="C6" s="67" t="s">
        <v>182</v>
      </c>
      <c r="D6" s="149">
        <f>VLOOKUP(B6,Report!P:R,3,FALSE)</f>
        <v>80000</v>
      </c>
      <c r="E6" s="71"/>
      <c r="F6" s="71"/>
      <c r="G6" s="751"/>
    </row>
    <row r="7" spans="1:8" s="72" customFormat="1" ht="30" customHeight="1" x14ac:dyDescent="0.25">
      <c r="A7" s="67" t="s">
        <v>178</v>
      </c>
      <c r="B7" s="67" t="s">
        <v>781</v>
      </c>
      <c r="C7" s="67" t="s">
        <v>184</v>
      </c>
      <c r="D7" s="149">
        <v>160000</v>
      </c>
      <c r="E7" s="71" t="s">
        <v>782</v>
      </c>
      <c r="F7" s="71" t="s">
        <v>783</v>
      </c>
      <c r="G7" s="751"/>
    </row>
    <row r="8" spans="1:8" s="72" customFormat="1" ht="30" customHeight="1" x14ac:dyDescent="0.25">
      <c r="A8" s="67" t="s">
        <v>178</v>
      </c>
      <c r="B8" s="67" t="s">
        <v>212</v>
      </c>
      <c r="C8" s="67" t="s">
        <v>184</v>
      </c>
      <c r="D8" s="149">
        <f>VLOOKUP(B8,Report!P:R,3,FALSE)</f>
        <v>90000</v>
      </c>
      <c r="E8" s="71"/>
      <c r="F8" s="71"/>
      <c r="G8" s="751"/>
    </row>
    <row r="9" spans="1:8" s="72" customFormat="1" ht="30" customHeight="1" x14ac:dyDescent="0.25">
      <c r="A9" s="67" t="s">
        <v>178</v>
      </c>
      <c r="B9" s="67" t="s">
        <v>213</v>
      </c>
      <c r="C9" s="67" t="s">
        <v>184</v>
      </c>
      <c r="D9" s="149">
        <f>VLOOKUP(B9,Report!P:R,3,FALSE)</f>
        <v>88700</v>
      </c>
      <c r="E9" s="71"/>
      <c r="F9" s="71"/>
      <c r="G9" s="751"/>
    </row>
    <row r="10" spans="1:8" s="81" customFormat="1" ht="30" customHeight="1" x14ac:dyDescent="0.25">
      <c r="A10" s="67" t="s">
        <v>178</v>
      </c>
      <c r="B10" s="79" t="s">
        <v>614</v>
      </c>
      <c r="C10" s="79" t="s">
        <v>184</v>
      </c>
      <c r="D10" s="149">
        <v>95000</v>
      </c>
      <c r="E10" s="73"/>
      <c r="F10" s="73"/>
      <c r="G10" s="756"/>
    </row>
    <row r="11" spans="1:8" s="81" customFormat="1" ht="30" customHeight="1" x14ac:dyDescent="0.25">
      <c r="A11" s="79" t="s">
        <v>178</v>
      </c>
      <c r="B11" s="79" t="s">
        <v>787</v>
      </c>
      <c r="C11" s="79" t="s">
        <v>184</v>
      </c>
      <c r="D11" s="149">
        <v>94500</v>
      </c>
      <c r="E11" s="73"/>
      <c r="F11" s="73"/>
      <c r="G11" s="756"/>
    </row>
    <row r="12" spans="1:8" s="81" customFormat="1" ht="30" customHeight="1" x14ac:dyDescent="0.25">
      <c r="A12" s="79" t="s">
        <v>178</v>
      </c>
      <c r="B12" s="79" t="s">
        <v>202</v>
      </c>
      <c r="C12" s="79" t="s">
        <v>179</v>
      </c>
      <c r="D12" s="149">
        <f>VLOOKUP(B12,Report!P:R,3,FALSE)</f>
        <v>108000</v>
      </c>
      <c r="E12" s="73"/>
      <c r="F12" s="73"/>
      <c r="G12" s="756"/>
    </row>
    <row r="13" spans="1:8" s="81" customFormat="1" ht="30" customHeight="1" x14ac:dyDescent="0.25">
      <c r="A13" s="79" t="s">
        <v>178</v>
      </c>
      <c r="B13" s="79" t="s">
        <v>597</v>
      </c>
      <c r="C13" s="79" t="s">
        <v>179</v>
      </c>
      <c r="D13" s="149">
        <v>37600</v>
      </c>
      <c r="E13" s="73"/>
      <c r="F13" s="73"/>
      <c r="G13" s="756"/>
    </row>
    <row r="14" spans="1:8" s="81" customFormat="1" ht="30" customHeight="1" x14ac:dyDescent="0.25">
      <c r="A14" s="79" t="s">
        <v>178</v>
      </c>
      <c r="B14" s="79" t="s">
        <v>543</v>
      </c>
      <c r="C14" s="79" t="s">
        <v>247</v>
      </c>
      <c r="D14" s="149">
        <v>216000</v>
      </c>
      <c r="E14" s="73"/>
      <c r="F14" s="73"/>
      <c r="G14" s="756"/>
    </row>
    <row r="15" spans="1:8" s="72" customFormat="1" ht="30" customHeight="1" x14ac:dyDescent="0.25">
      <c r="A15" s="79" t="s">
        <v>178</v>
      </c>
      <c r="B15" s="67" t="s">
        <v>223</v>
      </c>
      <c r="C15" s="67" t="s">
        <v>179</v>
      </c>
      <c r="D15" s="149">
        <f>VLOOKUP(B15,Report!P:R,3,FALSE)</f>
        <v>320</v>
      </c>
      <c r="E15" s="71"/>
      <c r="F15" s="71"/>
      <c r="G15" s="751"/>
    </row>
    <row r="16" spans="1:8" s="146" customFormat="1" ht="30" customHeight="1" x14ac:dyDescent="0.25">
      <c r="A16" s="79" t="s">
        <v>178</v>
      </c>
      <c r="B16" s="67" t="s">
        <v>224</v>
      </c>
      <c r="C16" s="67" t="s">
        <v>179</v>
      </c>
      <c r="D16" s="149">
        <f>VLOOKUP(B16,Report!P:R,3,FALSE)</f>
        <v>320</v>
      </c>
      <c r="E16" s="71"/>
      <c r="F16" s="754"/>
      <c r="G16" s="757"/>
    </row>
    <row r="17" spans="1:6" s="145" customFormat="1" ht="30" customHeight="1" x14ac:dyDescent="0.25">
      <c r="A17" s="615" t="s">
        <v>178</v>
      </c>
      <c r="B17" s="79" t="s">
        <v>698</v>
      </c>
      <c r="C17" s="144" t="s">
        <v>179</v>
      </c>
      <c r="D17" s="617">
        <v>137600</v>
      </c>
      <c r="E17" s="409"/>
      <c r="F17" s="409"/>
    </row>
    <row r="18" spans="1:6" s="81" customFormat="1" ht="30" customHeight="1" x14ac:dyDescent="0.25">
      <c r="A18" s="615" t="s">
        <v>178</v>
      </c>
      <c r="B18" s="67" t="s">
        <v>163</v>
      </c>
      <c r="C18" s="67" t="s">
        <v>247</v>
      </c>
      <c r="D18" s="149">
        <f>VLOOKUP(B18,Report!P:R,3,FALSE)</f>
        <v>94400</v>
      </c>
      <c r="E18" s="71"/>
      <c r="F18" s="71"/>
    </row>
    <row r="19" spans="1:6" s="72" customFormat="1" ht="30" customHeight="1" x14ac:dyDescent="0.25">
      <c r="A19" s="750" t="s">
        <v>178</v>
      </c>
      <c r="B19" s="67" t="s">
        <v>789</v>
      </c>
      <c r="C19" s="67" t="s">
        <v>179</v>
      </c>
      <c r="D19" s="149">
        <f>15000*12</f>
        <v>180000</v>
      </c>
      <c r="E19" s="71"/>
      <c r="F19" s="71"/>
    </row>
    <row r="20" spans="1:6" s="72" customFormat="1" ht="30" customHeight="1" x14ac:dyDescent="0.25">
      <c r="A20" s="750" t="s">
        <v>178</v>
      </c>
      <c r="B20" s="67" t="s">
        <v>829</v>
      </c>
      <c r="C20" s="67" t="s">
        <v>179</v>
      </c>
      <c r="D20" s="149">
        <v>1000000</v>
      </c>
      <c r="E20" s="71"/>
      <c r="F20" s="71"/>
    </row>
    <row r="21" spans="1:6" s="145" customFormat="1" ht="30" customHeight="1" x14ac:dyDescent="0.25">
      <c r="A21" s="529" t="s">
        <v>178</v>
      </c>
      <c r="B21" s="73" t="s">
        <v>529</v>
      </c>
      <c r="C21" s="73" t="s">
        <v>182</v>
      </c>
      <c r="D21" s="617">
        <f>VLOOKUP(B21,Report!P:R,3,FALSE)</f>
        <v>140000</v>
      </c>
      <c r="E21" s="680"/>
      <c r="F21" s="680"/>
    </row>
    <row r="22" spans="1:6" s="86" customFormat="1" ht="30" customHeight="1" x14ac:dyDescent="0.25">
      <c r="A22" s="83" t="s">
        <v>178</v>
      </c>
      <c r="B22" s="94" t="s">
        <v>230</v>
      </c>
      <c r="C22" s="94" t="s">
        <v>184</v>
      </c>
      <c r="D22" s="150">
        <f>VLOOKUP(B22,Report!P:R,3,FALSE)</f>
        <v>99000</v>
      </c>
      <c r="E22" s="84"/>
      <c r="F22" s="84"/>
    </row>
    <row r="23" spans="1:6" s="81" customFormat="1" ht="30" customHeight="1" x14ac:dyDescent="0.25">
      <c r="A23" s="79" t="s">
        <v>185</v>
      </c>
      <c r="B23" s="79" t="s">
        <v>186</v>
      </c>
      <c r="C23" s="79" t="s">
        <v>187</v>
      </c>
      <c r="D23" s="148">
        <v>643300</v>
      </c>
      <c r="E23" s="73"/>
      <c r="F23" s="73"/>
    </row>
    <row r="24" spans="1:6" s="72" customFormat="1" ht="30" customHeight="1" x14ac:dyDescent="0.25">
      <c r="A24" s="67" t="s">
        <v>185</v>
      </c>
      <c r="B24" s="67" t="s">
        <v>188</v>
      </c>
      <c r="C24" s="67" t="s">
        <v>187</v>
      </c>
      <c r="D24" s="149">
        <v>2769600</v>
      </c>
      <c r="E24" s="71"/>
      <c r="F24" s="71"/>
    </row>
    <row r="25" spans="1:6" s="72" customFormat="1" ht="30" customHeight="1" x14ac:dyDescent="0.25">
      <c r="A25" s="67" t="s">
        <v>185</v>
      </c>
      <c r="B25" s="67" t="s">
        <v>1025</v>
      </c>
      <c r="C25" s="67" t="s">
        <v>284</v>
      </c>
      <c r="D25" s="149">
        <v>3300</v>
      </c>
      <c r="E25" s="71"/>
      <c r="F25" s="71"/>
    </row>
    <row r="26" spans="1:6" s="72" customFormat="1" ht="30" customHeight="1" x14ac:dyDescent="0.25">
      <c r="A26" s="67" t="s">
        <v>185</v>
      </c>
      <c r="B26" s="67" t="s">
        <v>1026</v>
      </c>
      <c r="C26" s="67" t="s">
        <v>284</v>
      </c>
      <c r="D26" s="149">
        <v>35000</v>
      </c>
      <c r="E26" s="71"/>
      <c r="F26" s="71"/>
    </row>
    <row r="27" spans="1:6" s="72" customFormat="1" ht="30" customHeight="1" x14ac:dyDescent="0.25">
      <c r="A27" s="67" t="s">
        <v>185</v>
      </c>
      <c r="B27" s="67" t="s">
        <v>538</v>
      </c>
      <c r="C27" s="67" t="s">
        <v>187</v>
      </c>
      <c r="D27" s="904">
        <v>6770</v>
      </c>
      <c r="E27" s="71"/>
      <c r="F27" s="71" t="s">
        <v>542</v>
      </c>
    </row>
    <row r="28" spans="1:6" s="72" customFormat="1" ht="30" customHeight="1" x14ac:dyDescent="0.25">
      <c r="A28" s="67" t="s">
        <v>185</v>
      </c>
      <c r="B28" s="67" t="s">
        <v>539</v>
      </c>
      <c r="C28" s="67" t="s">
        <v>187</v>
      </c>
      <c r="D28" s="905">
        <v>6180</v>
      </c>
      <c r="E28" s="71"/>
      <c r="F28" s="71" t="s">
        <v>542</v>
      </c>
    </row>
    <row r="29" spans="1:6" s="72" customFormat="1" ht="30" customHeight="1" x14ac:dyDescent="0.25">
      <c r="A29" s="67" t="s">
        <v>185</v>
      </c>
      <c r="B29" s="67" t="s">
        <v>540</v>
      </c>
      <c r="C29" s="67" t="s">
        <v>187</v>
      </c>
      <c r="D29" s="905">
        <v>6910</v>
      </c>
      <c r="E29" s="71"/>
      <c r="F29" s="71" t="s">
        <v>542</v>
      </c>
    </row>
    <row r="30" spans="1:6" s="72" customFormat="1" ht="30" customHeight="1" x14ac:dyDescent="0.25">
      <c r="A30" s="67" t="s">
        <v>185</v>
      </c>
      <c r="B30" s="67" t="s">
        <v>541</v>
      </c>
      <c r="C30" s="67" t="s">
        <v>187</v>
      </c>
      <c r="D30" s="905">
        <v>5900</v>
      </c>
      <c r="E30" s="71"/>
      <c r="F30" s="71" t="s">
        <v>542</v>
      </c>
    </row>
    <row r="31" spans="1:6" s="72" customFormat="1" ht="30" customHeight="1" x14ac:dyDescent="0.25">
      <c r="A31" s="67" t="s">
        <v>185</v>
      </c>
      <c r="B31" s="67" t="s">
        <v>211</v>
      </c>
      <c r="C31" s="67" t="s">
        <v>184</v>
      </c>
      <c r="D31" s="149">
        <f>VLOOKUP(B31,Report!P:R,3,FALSE)</f>
        <v>82900</v>
      </c>
      <c r="E31" s="71" t="s">
        <v>780</v>
      </c>
      <c r="F31" s="71"/>
    </row>
    <row r="32" spans="1:6" s="72" customFormat="1" ht="30" customHeight="1" x14ac:dyDescent="0.25">
      <c r="A32" s="67" t="s">
        <v>185</v>
      </c>
      <c r="B32" s="67" t="s">
        <v>210</v>
      </c>
      <c r="C32" s="67" t="s">
        <v>184</v>
      </c>
      <c r="D32" s="149">
        <f>VLOOKUP(B32,Report!P:R,3,FALSE)</f>
        <v>80500</v>
      </c>
      <c r="E32" s="71"/>
      <c r="F32" s="71"/>
    </row>
    <row r="33" spans="1:6" s="145" customFormat="1" ht="30" customHeight="1" x14ac:dyDescent="0.25">
      <c r="A33" s="67" t="s">
        <v>185</v>
      </c>
      <c r="B33" s="67" t="s">
        <v>701</v>
      </c>
      <c r="C33" s="67" t="s">
        <v>184</v>
      </c>
      <c r="D33" s="617">
        <v>59800</v>
      </c>
      <c r="E33" s="409" t="s">
        <v>703</v>
      </c>
      <c r="F33" s="409"/>
    </row>
    <row r="34" spans="1:6" s="145" customFormat="1" ht="30" customHeight="1" x14ac:dyDescent="0.25">
      <c r="A34" s="67" t="s">
        <v>185</v>
      </c>
      <c r="B34" s="67" t="s">
        <v>702</v>
      </c>
      <c r="C34" s="67" t="s">
        <v>184</v>
      </c>
      <c r="D34" s="617">
        <v>49400</v>
      </c>
      <c r="E34" s="409" t="s">
        <v>703</v>
      </c>
      <c r="F34" s="409"/>
    </row>
    <row r="35" spans="1:6" s="95" customFormat="1" ht="30" customHeight="1" x14ac:dyDescent="0.25">
      <c r="A35" s="83" t="s">
        <v>185</v>
      </c>
      <c r="B35" s="94" t="s">
        <v>521</v>
      </c>
      <c r="C35" s="94" t="s">
        <v>184</v>
      </c>
      <c r="D35" s="155">
        <v>53100</v>
      </c>
      <c r="E35" s="411" t="s">
        <v>522</v>
      </c>
      <c r="F35" s="411"/>
    </row>
    <row r="36" spans="1:6" s="408" customFormat="1" ht="30" customHeight="1" x14ac:dyDescent="0.25">
      <c r="A36" s="406" t="s">
        <v>189</v>
      </c>
      <c r="B36" s="406" t="s">
        <v>772</v>
      </c>
      <c r="C36" s="406" t="s">
        <v>184</v>
      </c>
      <c r="D36" s="407">
        <v>168000</v>
      </c>
      <c r="E36" s="157" t="s">
        <v>287</v>
      </c>
      <c r="F36" s="157"/>
    </row>
    <row r="37" spans="1:6" s="145" customFormat="1" ht="30" customHeight="1" x14ac:dyDescent="0.25">
      <c r="A37" s="144" t="s">
        <v>189</v>
      </c>
      <c r="B37" s="144" t="s">
        <v>796</v>
      </c>
      <c r="C37" s="144" t="s">
        <v>184</v>
      </c>
      <c r="D37" s="617">
        <v>310000</v>
      </c>
      <c r="E37" s="409"/>
      <c r="F37" s="409"/>
    </row>
    <row r="38" spans="1:6" s="95" customFormat="1" ht="30" customHeight="1" x14ac:dyDescent="0.25">
      <c r="A38" s="94" t="s">
        <v>189</v>
      </c>
      <c r="B38" s="94" t="s">
        <v>136</v>
      </c>
      <c r="C38" s="94" t="s">
        <v>184</v>
      </c>
      <c r="D38" s="155">
        <f>VLOOKUP(B38,Report!P:R,3,FALSE)</f>
        <v>112000</v>
      </c>
      <c r="E38" s="411" t="s">
        <v>793</v>
      </c>
      <c r="F38" s="411"/>
    </row>
    <row r="39" spans="1:6" s="81" customFormat="1" ht="30" customHeight="1" x14ac:dyDescent="0.15">
      <c r="A39" s="79" t="s">
        <v>190</v>
      </c>
      <c r="B39" s="79" t="s">
        <v>219</v>
      </c>
      <c r="C39" s="79" t="s">
        <v>179</v>
      </c>
      <c r="D39" s="152">
        <v>50000</v>
      </c>
      <c r="E39" s="73" t="s">
        <v>233</v>
      </c>
      <c r="F39" s="1270" t="s">
        <v>241</v>
      </c>
    </row>
    <row r="40" spans="1:6" s="72" customFormat="1" ht="30" customHeight="1" x14ac:dyDescent="0.15">
      <c r="A40" s="67" t="s">
        <v>190</v>
      </c>
      <c r="B40" s="67" t="s">
        <v>229</v>
      </c>
      <c r="C40" s="67" t="s">
        <v>179</v>
      </c>
      <c r="D40" s="153">
        <v>50000</v>
      </c>
      <c r="E40" s="71"/>
      <c r="F40" s="1251"/>
    </row>
    <row r="41" spans="1:6" s="72" customFormat="1" ht="30" customHeight="1" x14ac:dyDescent="0.15">
      <c r="A41" s="67" t="s">
        <v>190</v>
      </c>
      <c r="B41" s="67" t="s">
        <v>234</v>
      </c>
      <c r="C41" s="67" t="s">
        <v>179</v>
      </c>
      <c r="D41" s="153">
        <f>VLOOKUP(B41,Report!P:R,3,FALSE)</f>
        <v>50000</v>
      </c>
      <c r="E41" s="71" t="s">
        <v>806</v>
      </c>
      <c r="F41" s="1252"/>
    </row>
    <row r="42" spans="1:6" s="72" customFormat="1" ht="30" customHeight="1" x14ac:dyDescent="0.15">
      <c r="A42" s="67" t="s">
        <v>190</v>
      </c>
      <c r="B42" s="67" t="s">
        <v>955</v>
      </c>
      <c r="C42" s="67" t="s">
        <v>179</v>
      </c>
      <c r="D42" s="153">
        <v>80000</v>
      </c>
      <c r="E42" s="71"/>
      <c r="F42" s="877"/>
    </row>
    <row r="43" spans="1:6" s="86" customFormat="1" ht="30" customHeight="1" x14ac:dyDescent="0.15">
      <c r="A43" s="83" t="s">
        <v>190</v>
      </c>
      <c r="B43" s="83" t="s">
        <v>237</v>
      </c>
      <c r="C43" s="83" t="s">
        <v>179</v>
      </c>
      <c r="D43" s="154">
        <f>VLOOKUP(B43,Report!P:R,3,FALSE)</f>
        <v>40000</v>
      </c>
      <c r="E43" s="84"/>
      <c r="F43" s="84"/>
    </row>
    <row r="44" spans="1:6" s="90" customFormat="1" ht="30" customHeight="1" x14ac:dyDescent="0.15">
      <c r="A44" s="91" t="s">
        <v>191</v>
      </c>
      <c r="B44" s="87" t="s">
        <v>209</v>
      </c>
      <c r="C44" s="87" t="s">
        <v>180</v>
      </c>
      <c r="D44" s="151">
        <f>VLOOKUP(B44,Report!P:R,3,FALSE)</f>
        <v>110000</v>
      </c>
      <c r="E44" s="88"/>
      <c r="F44" s="88"/>
    </row>
    <row r="45" spans="1:6" s="908" customFormat="1" ht="30" customHeight="1" x14ac:dyDescent="0.15">
      <c r="A45" s="91" t="s">
        <v>191</v>
      </c>
      <c r="B45" s="906" t="s">
        <v>1027</v>
      </c>
      <c r="C45" s="906" t="s">
        <v>180</v>
      </c>
      <c r="D45" s="907">
        <v>110000</v>
      </c>
      <c r="E45" s="903"/>
      <c r="F45" s="903"/>
    </row>
    <row r="46" spans="1:6" s="408" customFormat="1" ht="30" customHeight="1" x14ac:dyDescent="0.15">
      <c r="A46" s="525" t="s">
        <v>192</v>
      </c>
      <c r="B46" s="406" t="s">
        <v>527</v>
      </c>
      <c r="C46" s="406" t="s">
        <v>180</v>
      </c>
      <c r="D46" s="407">
        <v>44000</v>
      </c>
      <c r="E46" s="157"/>
      <c r="F46" s="157"/>
    </row>
    <row r="47" spans="1:6" s="72" customFormat="1" ht="30" customHeight="1" x14ac:dyDescent="0.15">
      <c r="A47" s="68" t="s">
        <v>958</v>
      </c>
      <c r="B47" s="67" t="s">
        <v>959</v>
      </c>
      <c r="C47" s="67" t="s">
        <v>180</v>
      </c>
      <c r="D47" s="149">
        <v>450000</v>
      </c>
      <c r="E47" s="71" t="s">
        <v>780</v>
      </c>
      <c r="F47" s="71"/>
    </row>
    <row r="48" spans="1:6" s="95" customFormat="1" ht="30" customHeight="1" x14ac:dyDescent="0.15">
      <c r="A48" s="405" t="s">
        <v>192</v>
      </c>
      <c r="B48" s="94" t="s">
        <v>193</v>
      </c>
      <c r="C48" s="94" t="s">
        <v>179</v>
      </c>
      <c r="D48" s="155">
        <v>4000</v>
      </c>
      <c r="E48" s="411"/>
      <c r="F48" s="411"/>
    </row>
    <row r="49" spans="1:6" s="81" customFormat="1" ht="30" customHeight="1" x14ac:dyDescent="0.25">
      <c r="A49" s="79" t="s">
        <v>194</v>
      </c>
      <c r="B49" s="79" t="s">
        <v>207</v>
      </c>
      <c r="C49" s="79" t="s">
        <v>195</v>
      </c>
      <c r="D49" s="148">
        <v>313960</v>
      </c>
      <c r="E49" s="71" t="s">
        <v>287</v>
      </c>
      <c r="F49" s="73"/>
    </row>
    <row r="50" spans="1:6" s="72" customFormat="1" ht="30" customHeight="1" x14ac:dyDescent="0.25">
      <c r="A50" s="67" t="s">
        <v>194</v>
      </c>
      <c r="B50" s="67" t="s">
        <v>208</v>
      </c>
      <c r="C50" s="67" t="s">
        <v>195</v>
      </c>
      <c r="D50" s="149">
        <v>370010</v>
      </c>
      <c r="E50" s="71" t="s">
        <v>287</v>
      </c>
      <c r="F50" s="71"/>
    </row>
    <row r="51" spans="1:6" s="72" customFormat="1" ht="30" customHeight="1" x14ac:dyDescent="0.25">
      <c r="A51" s="67" t="s">
        <v>194</v>
      </c>
      <c r="B51" s="67" t="s">
        <v>206</v>
      </c>
      <c r="C51" s="67" t="s">
        <v>195</v>
      </c>
      <c r="D51" s="149">
        <v>269100</v>
      </c>
      <c r="E51" s="71" t="s">
        <v>287</v>
      </c>
      <c r="F51" s="71"/>
    </row>
    <row r="52" spans="1:6" s="72" customFormat="1" ht="30" customHeight="1" x14ac:dyDescent="0.25">
      <c r="A52" s="67" t="s">
        <v>194</v>
      </c>
      <c r="B52" s="67" t="s">
        <v>651</v>
      </c>
      <c r="C52" s="67" t="s">
        <v>180</v>
      </c>
      <c r="D52" s="149">
        <f>VLOOKUP(B52,Report!P:R,3,FALSE)</f>
        <v>25000</v>
      </c>
      <c r="E52" s="71" t="s">
        <v>287</v>
      </c>
      <c r="F52" s="71"/>
    </row>
    <row r="53" spans="1:6" s="72" customFormat="1" ht="30" customHeight="1" x14ac:dyDescent="0.25">
      <c r="A53" s="67" t="s">
        <v>194</v>
      </c>
      <c r="B53" s="67" t="s">
        <v>648</v>
      </c>
      <c r="C53" s="67" t="s">
        <v>180</v>
      </c>
      <c r="D53" s="149">
        <f>VLOOKUP(B53,Report!P:R,3,FALSE)</f>
        <v>60000</v>
      </c>
      <c r="E53" s="71" t="s">
        <v>287</v>
      </c>
      <c r="F53" s="71"/>
    </row>
    <row r="54" spans="1:6" s="72" customFormat="1" ht="30" customHeight="1" x14ac:dyDescent="0.25">
      <c r="A54" s="71" t="s">
        <v>194</v>
      </c>
      <c r="B54" s="71" t="s">
        <v>524</v>
      </c>
      <c r="C54" s="71" t="s">
        <v>284</v>
      </c>
      <c r="D54" s="149">
        <v>2740</v>
      </c>
      <c r="E54" s="71" t="s">
        <v>286</v>
      </c>
      <c r="F54" s="71"/>
    </row>
    <row r="55" spans="1:6" s="72" customFormat="1" ht="30" customHeight="1" x14ac:dyDescent="0.25">
      <c r="A55" s="67" t="s">
        <v>194</v>
      </c>
      <c r="B55" s="67" t="s">
        <v>106</v>
      </c>
      <c r="C55" s="67" t="s">
        <v>196</v>
      </c>
      <c r="D55" s="149">
        <f>VLOOKUP(B55,Report!P:R,3,FALSE)</f>
        <v>2740</v>
      </c>
      <c r="E55" s="71" t="s">
        <v>286</v>
      </c>
      <c r="F55" s="71"/>
    </row>
    <row r="56" spans="1:6" s="72" customFormat="1" ht="30" customHeight="1" x14ac:dyDescent="0.25">
      <c r="A56" s="67" t="s">
        <v>194</v>
      </c>
      <c r="B56" s="67" t="s">
        <v>755</v>
      </c>
      <c r="C56" s="67" t="s">
        <v>196</v>
      </c>
      <c r="D56" s="149">
        <v>3090</v>
      </c>
      <c r="E56" s="71" t="s">
        <v>286</v>
      </c>
      <c r="F56" s="71"/>
    </row>
    <row r="57" spans="1:6" s="72" customFormat="1" ht="30" customHeight="1" x14ac:dyDescent="0.25">
      <c r="A57" s="67" t="s">
        <v>194</v>
      </c>
      <c r="B57" s="67" t="s">
        <v>1057</v>
      </c>
      <c r="C57" s="67" t="s">
        <v>196</v>
      </c>
      <c r="D57" s="149">
        <v>2600</v>
      </c>
      <c r="E57" s="71" t="s">
        <v>286</v>
      </c>
      <c r="F57" s="71"/>
    </row>
    <row r="58" spans="1:6" s="72" customFormat="1" ht="30" customHeight="1" x14ac:dyDescent="0.25">
      <c r="A58" s="67" t="s">
        <v>194</v>
      </c>
      <c r="B58" s="67" t="s">
        <v>645</v>
      </c>
      <c r="C58" s="67" t="s">
        <v>284</v>
      </c>
      <c r="D58" s="149">
        <v>4670</v>
      </c>
      <c r="E58" s="71" t="s">
        <v>286</v>
      </c>
      <c r="F58" s="71"/>
    </row>
    <row r="59" spans="1:6" s="72" customFormat="1" ht="30" customHeight="1" x14ac:dyDescent="0.25">
      <c r="A59" s="67" t="s">
        <v>194</v>
      </c>
      <c r="B59" s="67" t="s">
        <v>646</v>
      </c>
      <c r="C59" s="67" t="s">
        <v>284</v>
      </c>
      <c r="D59" s="149">
        <v>4340</v>
      </c>
      <c r="E59" s="71" t="s">
        <v>286</v>
      </c>
      <c r="F59" s="71"/>
    </row>
    <row r="60" spans="1:6" s="72" customFormat="1" ht="30" customHeight="1" x14ac:dyDescent="0.25">
      <c r="A60" s="67" t="s">
        <v>194</v>
      </c>
      <c r="B60" s="67" t="s">
        <v>1187</v>
      </c>
      <c r="C60" s="67" t="s">
        <v>284</v>
      </c>
      <c r="D60" s="149">
        <v>4000</v>
      </c>
      <c r="E60" s="71" t="s">
        <v>286</v>
      </c>
      <c r="F60" s="71"/>
    </row>
    <row r="61" spans="1:6" s="72" customFormat="1" ht="30" customHeight="1" x14ac:dyDescent="0.25">
      <c r="A61" s="67"/>
      <c r="B61" s="67" t="s">
        <v>1140</v>
      </c>
      <c r="C61" s="67" t="s">
        <v>284</v>
      </c>
      <c r="D61" s="149">
        <v>4880</v>
      </c>
      <c r="E61" s="71" t="s">
        <v>286</v>
      </c>
      <c r="F61" s="71"/>
    </row>
    <row r="62" spans="1:6" s="72" customFormat="1" ht="30" customHeight="1" x14ac:dyDescent="0.25">
      <c r="A62" s="67" t="s">
        <v>194</v>
      </c>
      <c r="B62" s="67" t="s">
        <v>197</v>
      </c>
      <c r="C62" s="67" t="s">
        <v>284</v>
      </c>
      <c r="D62" s="149">
        <f>VLOOKUP(B62,Report!P:R,3,FALSE)</f>
        <v>35000</v>
      </c>
      <c r="E62" s="71" t="s">
        <v>286</v>
      </c>
      <c r="F62" s="71"/>
    </row>
    <row r="63" spans="1:6" s="649" customFormat="1" ht="30" customHeight="1" x14ac:dyDescent="0.25">
      <c r="A63" s="67" t="s">
        <v>194</v>
      </c>
      <c r="B63" s="646" t="s">
        <v>754</v>
      </c>
      <c r="C63" s="646" t="s">
        <v>284</v>
      </c>
      <c r="D63" s="647">
        <v>35000</v>
      </c>
      <c r="E63" s="96" t="s">
        <v>286</v>
      </c>
      <c r="F63" s="96"/>
    </row>
    <row r="64" spans="1:6" s="649" customFormat="1" ht="30" customHeight="1" x14ac:dyDescent="0.25">
      <c r="A64" s="67" t="s">
        <v>194</v>
      </c>
      <c r="B64" s="646" t="s">
        <v>751</v>
      </c>
      <c r="C64" s="67" t="s">
        <v>196</v>
      </c>
      <c r="D64" s="647">
        <v>65000</v>
      </c>
      <c r="E64" s="96" t="s">
        <v>286</v>
      </c>
      <c r="F64" s="96"/>
    </row>
    <row r="65" spans="1:6" s="86" customFormat="1" ht="28.5" customHeight="1" x14ac:dyDescent="0.25">
      <c r="A65" s="83" t="s">
        <v>194</v>
      </c>
      <c r="B65" s="83" t="s">
        <v>198</v>
      </c>
      <c r="C65" s="83" t="s">
        <v>199</v>
      </c>
      <c r="D65" s="150">
        <v>2740</v>
      </c>
      <c r="E65" s="84" t="s">
        <v>286</v>
      </c>
      <c r="F65" s="84"/>
    </row>
    <row r="66" spans="1:6" s="90" customFormat="1" ht="28.5" customHeight="1" x14ac:dyDescent="0.25">
      <c r="A66" s="87" t="s">
        <v>904</v>
      </c>
      <c r="B66" s="87" t="s">
        <v>905</v>
      </c>
      <c r="C66" s="87" t="s">
        <v>284</v>
      </c>
      <c r="D66" s="151">
        <v>18000</v>
      </c>
      <c r="E66" s="88" t="s">
        <v>782</v>
      </c>
      <c r="F66" s="88"/>
    </row>
    <row r="67" spans="1:6" s="81" customFormat="1" ht="30" customHeight="1" x14ac:dyDescent="0.15">
      <c r="A67" s="92" t="s">
        <v>175</v>
      </c>
      <c r="B67" s="79" t="s">
        <v>957</v>
      </c>
      <c r="C67" s="79" t="s">
        <v>200</v>
      </c>
      <c r="D67" s="148">
        <v>64000</v>
      </c>
      <c r="E67" s="1240" t="s">
        <v>703</v>
      </c>
      <c r="F67" s="73"/>
    </row>
    <row r="68" spans="1:6" s="72" customFormat="1" ht="30" customHeight="1" x14ac:dyDescent="0.15">
      <c r="A68" s="68" t="s">
        <v>175</v>
      </c>
      <c r="B68" s="67" t="s">
        <v>201</v>
      </c>
      <c r="C68" s="67" t="s">
        <v>200</v>
      </c>
      <c r="D68" s="149">
        <v>55000</v>
      </c>
      <c r="E68" s="1243"/>
      <c r="F68" s="71"/>
    </row>
    <row r="69" spans="1:6" s="72" customFormat="1" ht="30" customHeight="1" x14ac:dyDescent="0.15">
      <c r="A69" s="68" t="s">
        <v>175</v>
      </c>
      <c r="B69" s="67" t="s">
        <v>221</v>
      </c>
      <c r="C69" s="67" t="s">
        <v>179</v>
      </c>
      <c r="D69" s="149">
        <v>50000</v>
      </c>
      <c r="E69" s="71"/>
      <c r="F69" s="71" t="s">
        <v>235</v>
      </c>
    </row>
    <row r="70" spans="1:6" s="86" customFormat="1" ht="30" customHeight="1" x14ac:dyDescent="0.15">
      <c r="A70" s="93" t="s">
        <v>175</v>
      </c>
      <c r="B70" s="83" t="s">
        <v>220</v>
      </c>
      <c r="C70" s="83" t="s">
        <v>179</v>
      </c>
      <c r="D70" s="150">
        <f>VLOOKUP(B70,Report!P:R,3,FALSE)</f>
        <v>208000</v>
      </c>
      <c r="E70" s="84"/>
      <c r="F70" s="84"/>
    </row>
    <row r="71" spans="1:6" s="95" customFormat="1" ht="30" customHeight="1" x14ac:dyDescent="0.15">
      <c r="A71" s="94" t="s" ph="1">
        <v>243</v>
      </c>
      <c r="B71" s="94" t="s">
        <v>205</v>
      </c>
      <c r="C71" s="94" t="s">
        <v>204</v>
      </c>
      <c r="D71" s="155">
        <f>VLOOKUP(B71,Report!P:R,3,FALSE)</f>
        <v>630000</v>
      </c>
      <c r="E71" s="411"/>
      <c r="F71" s="411"/>
    </row>
    <row r="72" spans="1:6" s="81" customFormat="1" ht="30" customHeight="1" x14ac:dyDescent="0.25">
      <c r="A72" s="79" t="s">
        <v>228</v>
      </c>
      <c r="B72" s="79" t="s">
        <v>1237</v>
      </c>
      <c r="C72" s="79" t="s">
        <v>228</v>
      </c>
      <c r="D72" s="148">
        <v>9000</v>
      </c>
      <c r="E72" s="73"/>
      <c r="F72" s="73"/>
    </row>
    <row r="73" spans="1:6" s="81" customFormat="1" ht="30" customHeight="1" x14ac:dyDescent="0.25">
      <c r="A73" s="79" t="s">
        <v>228</v>
      </c>
      <c r="B73" s="79" t="s">
        <v>1177</v>
      </c>
      <c r="C73" s="79" t="s">
        <v>228</v>
      </c>
      <c r="D73" s="148">
        <v>9000</v>
      </c>
      <c r="E73" s="73"/>
      <c r="F73" s="73"/>
    </row>
    <row r="74" spans="1:6" s="72" customFormat="1" ht="30" customHeight="1" x14ac:dyDescent="0.25">
      <c r="A74" s="71" t="s">
        <v>228</v>
      </c>
      <c r="B74" s="71" t="s">
        <v>112</v>
      </c>
      <c r="C74" s="71" t="s">
        <v>228</v>
      </c>
      <c r="D74" s="149">
        <f>VLOOKUP(B74,Report!P:R,3,FALSE)</f>
        <v>3178650</v>
      </c>
      <c r="E74" s="71"/>
      <c r="F74" s="71"/>
    </row>
    <row r="75" spans="1:6" s="72" customFormat="1" ht="30" customHeight="1" x14ac:dyDescent="0.25">
      <c r="A75" s="71" t="s">
        <v>228</v>
      </c>
      <c r="B75" s="71" t="s">
        <v>115</v>
      </c>
      <c r="C75" s="71" t="s">
        <v>228</v>
      </c>
      <c r="D75" s="149">
        <f>VLOOKUP(B75,Report!P:R,3,FALSE)</f>
        <v>426370</v>
      </c>
      <c r="E75" s="71"/>
      <c r="F75" s="71"/>
    </row>
    <row r="76" spans="1:6" s="86" customFormat="1" ht="30" customHeight="1" x14ac:dyDescent="0.25">
      <c r="A76" s="84" t="s">
        <v>228</v>
      </c>
      <c r="B76" s="84" t="s">
        <v>125</v>
      </c>
      <c r="C76" s="84" t="s">
        <v>228</v>
      </c>
      <c r="D76" s="150">
        <f>VLOOKUP(B76,Report!P:R,3,FALSE)</f>
        <v>32064</v>
      </c>
      <c r="E76" s="84"/>
      <c r="F76" s="84"/>
    </row>
    <row r="77" spans="1:6" s="81" customFormat="1" ht="30" customHeight="1" x14ac:dyDescent="0.25">
      <c r="A77" s="73" t="s">
        <v>238</v>
      </c>
      <c r="B77" s="73" t="s">
        <v>982</v>
      </c>
      <c r="C77" s="73" t="s">
        <v>238</v>
      </c>
      <c r="D77" s="148">
        <f>VLOOKUP(B77,Report!P:R,3,FALSE)</f>
        <v>544000</v>
      </c>
      <c r="E77" s="73"/>
      <c r="F77" s="73"/>
    </row>
    <row r="78" spans="1:6" s="72" customFormat="1" ht="30" customHeight="1" x14ac:dyDescent="0.25">
      <c r="A78" s="71" t="s">
        <v>238</v>
      </c>
      <c r="B78" s="67" t="s">
        <v>981</v>
      </c>
      <c r="C78" s="71" t="s">
        <v>238</v>
      </c>
      <c r="D78" s="149">
        <v>22461</v>
      </c>
      <c r="E78" s="71"/>
      <c r="F78" s="71"/>
    </row>
    <row r="79" spans="1:6" s="86" customFormat="1" ht="30" customHeight="1" x14ac:dyDescent="0.25">
      <c r="A79" s="84" t="s">
        <v>238</v>
      </c>
      <c r="B79" s="84" t="s">
        <v>232</v>
      </c>
      <c r="C79" s="84" t="s">
        <v>238</v>
      </c>
      <c r="D79" s="150">
        <f>VLOOKUP(B79,Report!P:R,3,FALSE)</f>
        <v>1100000</v>
      </c>
      <c r="E79" s="84"/>
      <c r="F79" s="84"/>
    </row>
    <row r="80" spans="1:6" s="90" customFormat="1" ht="30" customHeight="1" x14ac:dyDescent="0.15">
      <c r="A80" s="143" t="s" ph="1">
        <v>245</v>
      </c>
      <c r="B80" s="87" t="s">
        <v>203</v>
      </c>
      <c r="C80" s="87" t="s">
        <v>204</v>
      </c>
      <c r="D80" s="151">
        <f>VLOOKUP(B80,Report!P:R,3,FALSE)</f>
        <v>6677906</v>
      </c>
      <c r="E80" s="88"/>
      <c r="F80" s="88" t="s">
        <v>246</v>
      </c>
    </row>
    <row r="81" spans="1:5" s="157" customFormat="1" ht="29.25" customHeight="1" x14ac:dyDescent="0.25">
      <c r="A81" s="157" t="s">
        <v>278</v>
      </c>
      <c r="B81" s="157" t="s">
        <v>279</v>
      </c>
      <c r="C81" s="157" t="s">
        <v>184</v>
      </c>
      <c r="D81" s="158">
        <v>85000</v>
      </c>
      <c r="E81" s="157" t="s">
        <v>285</v>
      </c>
    </row>
    <row r="82" spans="1:5" s="84" customFormat="1" ht="29.25" customHeight="1" x14ac:dyDescent="0.25">
      <c r="A82" s="84" t="s">
        <v>278</v>
      </c>
      <c r="B82" s="84" t="s">
        <v>992</v>
      </c>
      <c r="C82" s="84" t="s">
        <v>184</v>
      </c>
      <c r="D82" s="113">
        <v>71400</v>
      </c>
      <c r="E82" s="84" t="s">
        <v>285</v>
      </c>
    </row>
    <row r="83" spans="1:5" s="73" customFormat="1" ht="30" customHeight="1" x14ac:dyDescent="0.25">
      <c r="A83" s="73" t="s">
        <v>520</v>
      </c>
      <c r="B83" s="753" t="s">
        <v>518</v>
      </c>
      <c r="C83" s="73" t="s">
        <v>204</v>
      </c>
      <c r="D83" s="111">
        <v>350000</v>
      </c>
    </row>
    <row r="84" spans="1:5" s="71" customFormat="1" ht="30" customHeight="1" x14ac:dyDescent="0.25">
      <c r="A84" s="73" t="s">
        <v>520</v>
      </c>
      <c r="B84" s="876" t="s">
        <v>519</v>
      </c>
      <c r="C84" s="71" t="s">
        <v>204</v>
      </c>
      <c r="D84" s="104">
        <v>380000</v>
      </c>
    </row>
    <row r="85" spans="1:5" s="73" customFormat="1" ht="30" customHeight="1" x14ac:dyDescent="0.25">
      <c r="A85" s="73" t="s">
        <v>520</v>
      </c>
      <c r="B85" s="73" t="s">
        <v>953</v>
      </c>
      <c r="C85" s="71" t="s">
        <v>204</v>
      </c>
      <c r="D85" s="111">
        <v>220000</v>
      </c>
    </row>
    <row r="86" spans="1:5" s="71" customFormat="1" ht="30" customHeight="1" x14ac:dyDescent="0.25">
      <c r="A86" s="71" t="s">
        <v>520</v>
      </c>
      <c r="B86" s="71" t="s">
        <v>954</v>
      </c>
      <c r="C86" s="71" t="s">
        <v>204</v>
      </c>
      <c r="D86" s="104">
        <v>190000</v>
      </c>
    </row>
    <row r="87" spans="1:5" s="84" customFormat="1" ht="30" customHeight="1" x14ac:dyDescent="0.25">
      <c r="D87" s="113"/>
    </row>
    <row r="88" spans="1:5" s="73" customFormat="1" ht="30" customHeight="1" x14ac:dyDescent="0.25">
      <c r="A88" s="73" t="s">
        <v>228</v>
      </c>
      <c r="B88" s="73" t="s">
        <v>534</v>
      </c>
      <c r="C88" s="73" t="s">
        <v>228</v>
      </c>
      <c r="D88" s="111">
        <v>8259</v>
      </c>
    </row>
    <row r="89" spans="1:5" s="71" customFormat="1" ht="30" customHeight="1" x14ac:dyDescent="0.25">
      <c r="A89" s="71" t="s">
        <v>228</v>
      </c>
      <c r="B89" s="71" t="s">
        <v>535</v>
      </c>
      <c r="C89" s="71" t="s">
        <v>228</v>
      </c>
      <c r="D89" s="104">
        <v>8537</v>
      </c>
      <c r="E89" s="71" t="s">
        <v>533</v>
      </c>
    </row>
    <row r="90" spans="1:5" s="71" customFormat="1" ht="30" customHeight="1" x14ac:dyDescent="0.25">
      <c r="A90" s="71" t="s">
        <v>228</v>
      </c>
      <c r="B90" s="71" t="s">
        <v>536</v>
      </c>
      <c r="C90" s="71" t="s">
        <v>228</v>
      </c>
      <c r="D90" s="104">
        <v>8025</v>
      </c>
      <c r="E90" s="71" t="s">
        <v>533</v>
      </c>
    </row>
    <row r="91" spans="1:5" s="71" customFormat="1" ht="30" customHeight="1" x14ac:dyDescent="0.25">
      <c r="A91" s="71" t="s">
        <v>228</v>
      </c>
      <c r="B91" s="71" t="s">
        <v>537</v>
      </c>
      <c r="C91" s="71" t="s">
        <v>228</v>
      </c>
      <c r="D91" s="104">
        <v>8059</v>
      </c>
      <c r="E91" s="71" t="s">
        <v>533</v>
      </c>
    </row>
    <row r="92" spans="1:5" s="71" customFormat="1" ht="30" customHeight="1" x14ac:dyDescent="0.25">
      <c r="D92" s="412"/>
      <c r="E92" s="71" t="s">
        <v>532</v>
      </c>
    </row>
    <row r="100" spans="2:3" s="71" customFormat="1" ht="30" customHeight="1" x14ac:dyDescent="0.25">
      <c r="B100" s="71" t="s">
        <v>596</v>
      </c>
      <c r="C100" s="71">
        <v>3390000</v>
      </c>
    </row>
  </sheetData>
  <autoFilter ref="A1:F1" xr:uid="{00000000-0009-0000-0000-000012000000}"/>
  <mergeCells count="2">
    <mergeCell ref="F39:F41"/>
    <mergeCell ref="E67:E68"/>
  </mergeCells>
  <phoneticPr fontId="18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/>
  <dimension ref="A1:P48"/>
  <sheetViews>
    <sheetView workbookViewId="0">
      <selection activeCell="I37" sqref="I37"/>
    </sheetView>
  </sheetViews>
  <sheetFormatPr defaultRowHeight="16.5" x14ac:dyDescent="0.25"/>
  <cols>
    <col min="1" max="1" width="12.25390625" bestFit="1" customWidth="1"/>
    <col min="2" max="4" width="12.625" bestFit="1" customWidth="1"/>
    <col min="5" max="5" width="15.59765625" bestFit="1" customWidth="1"/>
    <col min="6" max="8" width="12.625" bestFit="1" customWidth="1"/>
    <col min="9" max="13" width="12.625" customWidth="1"/>
    <col min="14" max="14" width="15.71875" customWidth="1"/>
  </cols>
  <sheetData>
    <row r="1" spans="1:15" ht="23.25" customHeight="1" x14ac:dyDescent="0.25">
      <c r="A1" s="12" t="s">
        <v>29</v>
      </c>
    </row>
    <row r="2" spans="1:15" x14ac:dyDescent="0.25">
      <c r="A2" s="13"/>
      <c r="B2" s="14">
        <v>2016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5" x14ac:dyDescent="0.25">
      <c r="A3" s="15" t="s">
        <v>30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>
        <v>12</v>
      </c>
      <c r="N3" s="16" t="s">
        <v>31</v>
      </c>
      <c r="O3" s="5" t="s">
        <v>364</v>
      </c>
    </row>
    <row r="4" spans="1:15" x14ac:dyDescent="0.25">
      <c r="A4" s="8" t="s">
        <v>33</v>
      </c>
      <c r="B4" s="3">
        <v>16266000</v>
      </c>
      <c r="C4" s="3">
        <v>11620000</v>
      </c>
      <c r="D4" s="3">
        <v>12205000</v>
      </c>
      <c r="E4" s="3">
        <v>15635000</v>
      </c>
      <c r="F4" s="3">
        <v>12950000</v>
      </c>
      <c r="G4" s="3">
        <v>11180000</v>
      </c>
      <c r="H4" s="3">
        <v>10957000</v>
      </c>
      <c r="I4" s="3">
        <v>10430000</v>
      </c>
      <c r="J4" s="3">
        <v>11555500</v>
      </c>
      <c r="K4" s="3">
        <v>13927500</v>
      </c>
      <c r="L4" s="3">
        <v>11480000</v>
      </c>
      <c r="M4" s="3">
        <v>17835000</v>
      </c>
      <c r="N4" s="23">
        <f t="shared" ref="N4:N14" si="0">SUM(B4:M4)</f>
        <v>156041000</v>
      </c>
      <c r="O4" s="30">
        <f t="shared" ref="O4:O15" si="1">N4/$N$15</f>
        <v>0.14214506866171331</v>
      </c>
    </row>
    <row r="5" spans="1:15" x14ac:dyDescent="0.25">
      <c r="A5" s="8" t="s">
        <v>46</v>
      </c>
      <c r="B5" s="3">
        <v>8281000</v>
      </c>
      <c r="C5" s="3">
        <v>8246000</v>
      </c>
      <c r="D5" s="3">
        <v>5580000</v>
      </c>
      <c r="E5" s="3">
        <v>8513000</v>
      </c>
      <c r="F5" s="3">
        <v>8370000</v>
      </c>
      <c r="G5" s="3">
        <v>31116000</v>
      </c>
      <c r="H5" s="3">
        <v>19089000</v>
      </c>
      <c r="I5" s="3">
        <v>28815000</v>
      </c>
      <c r="J5" s="3">
        <v>22866000</v>
      </c>
      <c r="K5" s="3">
        <v>17849000</v>
      </c>
      <c r="L5" s="3">
        <v>16165000</v>
      </c>
      <c r="M5" s="3">
        <v>80009000</v>
      </c>
      <c r="N5" s="23">
        <f t="shared" si="0"/>
        <v>254899000</v>
      </c>
      <c r="O5" s="30">
        <f t="shared" si="1"/>
        <v>0.23219945948053433</v>
      </c>
    </row>
    <row r="6" spans="1:15" x14ac:dyDescent="0.25">
      <c r="A6" s="8" t="s">
        <v>34</v>
      </c>
      <c r="B6" s="3">
        <v>4961000</v>
      </c>
      <c r="C6" s="3">
        <v>2527000</v>
      </c>
      <c r="D6" s="3">
        <v>4961000</v>
      </c>
      <c r="E6" s="3">
        <v>3423000</v>
      </c>
      <c r="F6" s="3">
        <v>5043000</v>
      </c>
      <c r="G6" s="3">
        <v>2568000</v>
      </c>
      <c r="H6" s="3">
        <v>5002000</v>
      </c>
      <c r="I6" s="3">
        <v>2568000</v>
      </c>
      <c r="J6" s="3">
        <v>5043000</v>
      </c>
      <c r="K6" s="3">
        <v>4961000</v>
      </c>
      <c r="L6" s="3">
        <v>4879000</v>
      </c>
      <c r="M6" s="3">
        <v>2527000</v>
      </c>
      <c r="N6" s="23">
        <f t="shared" si="0"/>
        <v>48463000</v>
      </c>
      <c r="O6" s="30">
        <f t="shared" si="1"/>
        <v>4.4147220682721922E-2</v>
      </c>
    </row>
    <row r="7" spans="1:15" x14ac:dyDescent="0.25">
      <c r="A7" s="8" t="s">
        <v>35</v>
      </c>
      <c r="B7" s="3">
        <v>1520000</v>
      </c>
      <c r="C7" s="3">
        <v>1687500</v>
      </c>
      <c r="D7" s="3">
        <v>3137500</v>
      </c>
      <c r="E7" s="3">
        <v>540000</v>
      </c>
      <c r="F7" s="3"/>
      <c r="G7" s="3">
        <v>3137500</v>
      </c>
      <c r="H7" s="3">
        <v>1715000</v>
      </c>
      <c r="I7" s="3">
        <v>1832500</v>
      </c>
      <c r="J7" s="3">
        <v>1687500</v>
      </c>
      <c r="K7" s="3">
        <v>2185000</v>
      </c>
      <c r="L7" s="3">
        <v>2862500</v>
      </c>
      <c r="M7" s="3">
        <v>6662500</v>
      </c>
      <c r="N7" s="23">
        <f t="shared" si="0"/>
        <v>26967500</v>
      </c>
      <c r="O7" s="30">
        <f t="shared" si="1"/>
        <v>2.4565961120056611E-2</v>
      </c>
    </row>
    <row r="8" spans="1:15" x14ac:dyDescent="0.25">
      <c r="A8" s="8" t="s">
        <v>40</v>
      </c>
      <c r="B8" s="3">
        <v>23531500</v>
      </c>
      <c r="C8" s="3">
        <v>9790000</v>
      </c>
      <c r="D8" s="3">
        <v>10170000</v>
      </c>
      <c r="E8" s="3">
        <v>22080000</v>
      </c>
      <c r="F8" s="3">
        <v>7610000</v>
      </c>
      <c r="G8" s="3">
        <v>9450000</v>
      </c>
      <c r="H8" s="3">
        <v>2900000</v>
      </c>
      <c r="I8" s="3">
        <v>42750000</v>
      </c>
      <c r="J8" s="3">
        <v>35737000</v>
      </c>
      <c r="K8" s="3">
        <v>4600000</v>
      </c>
      <c r="L8" s="3">
        <v>8460000</v>
      </c>
      <c r="M8" s="3">
        <v>24760000</v>
      </c>
      <c r="N8" s="23">
        <f t="shared" si="0"/>
        <v>201838500</v>
      </c>
      <c r="O8" s="30">
        <f t="shared" si="1"/>
        <v>0.18386416032374325</v>
      </c>
    </row>
    <row r="9" spans="1:15" x14ac:dyDescent="0.25">
      <c r="A9" s="8" t="s">
        <v>36</v>
      </c>
      <c r="B9" s="3">
        <v>564000</v>
      </c>
      <c r="C9" s="3">
        <v>11930000</v>
      </c>
      <c r="D9" s="3">
        <v>2085000</v>
      </c>
      <c r="E9" s="3">
        <v>9600000</v>
      </c>
      <c r="F9" s="3">
        <v>46987500</v>
      </c>
      <c r="G9" s="3">
        <v>278000</v>
      </c>
      <c r="H9" s="3">
        <v>8320000</v>
      </c>
      <c r="I9" s="3">
        <v>14552000</v>
      </c>
      <c r="J9" s="3">
        <v>11316000</v>
      </c>
      <c r="K9" s="3">
        <v>9786000</v>
      </c>
      <c r="L9" s="3">
        <v>6666000</v>
      </c>
      <c r="M9" s="3">
        <v>11221000</v>
      </c>
      <c r="N9" s="23">
        <f t="shared" si="0"/>
        <v>133305500</v>
      </c>
      <c r="O9" s="30">
        <f t="shared" si="1"/>
        <v>0.12143423491572101</v>
      </c>
    </row>
    <row r="10" spans="1:15" x14ac:dyDescent="0.25">
      <c r="A10" s="8" t="s">
        <v>37</v>
      </c>
      <c r="B10" s="3"/>
      <c r="C10" s="3"/>
      <c r="D10" s="3"/>
      <c r="E10" s="3"/>
      <c r="F10" s="3"/>
      <c r="G10" s="3">
        <v>256000</v>
      </c>
      <c r="H10" s="3"/>
      <c r="I10" s="3">
        <v>28580000</v>
      </c>
      <c r="J10" s="3">
        <v>310000</v>
      </c>
      <c r="K10" s="3">
        <v>8178000</v>
      </c>
      <c r="L10" s="3">
        <v>360000</v>
      </c>
      <c r="M10" s="3"/>
      <c r="N10" s="23">
        <f t="shared" si="0"/>
        <v>37684000</v>
      </c>
      <c r="O10" s="30">
        <f t="shared" si="1"/>
        <v>3.4328123810075585E-2</v>
      </c>
    </row>
    <row r="11" spans="1:15" x14ac:dyDescent="0.25">
      <c r="A11" s="8" t="s">
        <v>39</v>
      </c>
      <c r="B11" s="3">
        <v>200000</v>
      </c>
      <c r="C11" s="3">
        <v>5095000</v>
      </c>
      <c r="D11" s="3">
        <v>1904000</v>
      </c>
      <c r="E11" s="3">
        <v>1735000</v>
      </c>
      <c r="F11" s="3">
        <v>9520000</v>
      </c>
      <c r="G11" s="3">
        <v>50835000</v>
      </c>
      <c r="H11" s="3">
        <v>21190000</v>
      </c>
      <c r="I11" s="3">
        <v>13075000</v>
      </c>
      <c r="J11" s="3"/>
      <c r="K11" s="3">
        <v>15136800</v>
      </c>
      <c r="L11" s="3">
        <v>8820000</v>
      </c>
      <c r="M11" s="3">
        <v>9085000</v>
      </c>
      <c r="N11" s="23">
        <f t="shared" si="0"/>
        <v>136595800</v>
      </c>
      <c r="O11" s="30">
        <f t="shared" si="1"/>
        <v>0.12443152357330226</v>
      </c>
    </row>
    <row r="12" spans="1:15" x14ac:dyDescent="0.25">
      <c r="A12" s="27" t="s">
        <v>38</v>
      </c>
      <c r="B12" s="17">
        <v>6548500</v>
      </c>
      <c r="C12" s="17">
        <v>4250000</v>
      </c>
      <c r="D12" s="17">
        <v>3507000</v>
      </c>
      <c r="E12" s="17">
        <v>8757000</v>
      </c>
      <c r="F12" s="17">
        <v>5035000</v>
      </c>
      <c r="G12" s="17">
        <v>5161000</v>
      </c>
      <c r="H12" s="17">
        <v>5032000</v>
      </c>
      <c r="I12" s="17">
        <v>3075000</v>
      </c>
      <c r="J12" s="17">
        <v>3115000</v>
      </c>
      <c r="K12" s="17">
        <v>5472000</v>
      </c>
      <c r="L12" s="17">
        <v>6970000</v>
      </c>
      <c r="M12" s="17">
        <v>5456000</v>
      </c>
      <c r="N12" s="24">
        <f t="shared" si="0"/>
        <v>62378500</v>
      </c>
      <c r="O12" s="30">
        <f t="shared" si="1"/>
        <v>5.6823502576340085E-2</v>
      </c>
    </row>
    <row r="13" spans="1:15" x14ac:dyDescent="0.25">
      <c r="A13" s="29" t="s">
        <v>32</v>
      </c>
      <c r="B13" s="17">
        <v>1980000</v>
      </c>
      <c r="C13" s="17"/>
      <c r="D13" s="17">
        <v>5800000</v>
      </c>
      <c r="E13" s="17"/>
      <c r="F13" s="17"/>
      <c r="G13" s="17">
        <v>4500000</v>
      </c>
      <c r="H13" s="17"/>
      <c r="I13" s="17">
        <v>10800000</v>
      </c>
      <c r="J13" s="17">
        <v>1250000</v>
      </c>
      <c r="K13" s="17"/>
      <c r="L13" s="17"/>
      <c r="M13" s="17"/>
      <c r="N13" s="24">
        <f t="shared" si="0"/>
        <v>24330000</v>
      </c>
      <c r="O13" s="30">
        <f t="shared" si="1"/>
        <v>2.2163338613181694E-2</v>
      </c>
    </row>
    <row r="14" spans="1:15" ht="17.25" thickBot="1" x14ac:dyDescent="0.3">
      <c r="A14" s="225" t="s">
        <v>366</v>
      </c>
      <c r="B14" s="17">
        <v>500000</v>
      </c>
      <c r="C14" s="17"/>
      <c r="D14" s="17">
        <v>2208000</v>
      </c>
      <c r="E14" s="17">
        <v>3000000</v>
      </c>
      <c r="F14" s="17">
        <v>250000</v>
      </c>
      <c r="G14" s="17">
        <v>3003000</v>
      </c>
      <c r="H14" s="17"/>
      <c r="I14" s="17">
        <v>4575000</v>
      </c>
      <c r="J14" s="17"/>
      <c r="K14" s="17">
        <v>1250000</v>
      </c>
      <c r="L14" s="17"/>
      <c r="M14" s="17">
        <v>470000</v>
      </c>
      <c r="N14" s="24">
        <f t="shared" si="0"/>
        <v>15256000</v>
      </c>
      <c r="O14" s="226">
        <f t="shared" si="1"/>
        <v>1.3897406242609944E-2</v>
      </c>
    </row>
    <row r="15" spans="1:15" ht="17.25" thickTop="1" x14ac:dyDescent="0.25">
      <c r="A15" s="18" t="s">
        <v>0</v>
      </c>
      <c r="B15" s="9">
        <f t="shared" ref="B15:M15" si="2">SUM(B4:B14)</f>
        <v>64352000</v>
      </c>
      <c r="C15" s="9">
        <f t="shared" si="2"/>
        <v>55145500</v>
      </c>
      <c r="D15" s="9">
        <f t="shared" si="2"/>
        <v>51557500</v>
      </c>
      <c r="E15" s="9">
        <f t="shared" si="2"/>
        <v>73283000</v>
      </c>
      <c r="F15" s="9">
        <f t="shared" si="2"/>
        <v>95765500</v>
      </c>
      <c r="G15" s="9">
        <f t="shared" si="2"/>
        <v>121484500</v>
      </c>
      <c r="H15" s="9">
        <f t="shared" si="2"/>
        <v>74205000</v>
      </c>
      <c r="I15" s="9">
        <f t="shared" si="2"/>
        <v>161052500</v>
      </c>
      <c r="J15" s="9">
        <f t="shared" si="2"/>
        <v>92880000</v>
      </c>
      <c r="K15" s="9">
        <f t="shared" si="2"/>
        <v>83345300</v>
      </c>
      <c r="L15" s="9">
        <f t="shared" si="2"/>
        <v>66662500</v>
      </c>
      <c r="M15" s="9">
        <f t="shared" si="2"/>
        <v>158025500</v>
      </c>
      <c r="N15" s="25">
        <f>SUM(N4:N14)</f>
        <v>1097758800</v>
      </c>
      <c r="O15" s="30">
        <f t="shared" si="1"/>
        <v>1</v>
      </c>
    </row>
    <row r="17" spans="1:16" ht="23.25" customHeight="1" x14ac:dyDescent="0.25">
      <c r="A17" s="12" t="s">
        <v>41</v>
      </c>
    </row>
    <row r="18" spans="1:16" x14ac:dyDescent="0.25">
      <c r="A18" s="13"/>
      <c r="B18" s="14">
        <v>2016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P18" s="5" t="s">
        <v>367</v>
      </c>
    </row>
    <row r="19" spans="1:16" x14ac:dyDescent="0.25">
      <c r="A19" s="15" t="s">
        <v>30</v>
      </c>
      <c r="B19" s="16">
        <v>1</v>
      </c>
      <c r="C19" s="16">
        <v>2</v>
      </c>
      <c r="D19" s="16">
        <v>3</v>
      </c>
      <c r="E19" s="16">
        <v>4</v>
      </c>
      <c r="F19" s="16">
        <v>5</v>
      </c>
      <c r="G19" s="16">
        <v>6</v>
      </c>
      <c r="H19" s="16">
        <v>7</v>
      </c>
      <c r="I19" s="16">
        <v>8</v>
      </c>
      <c r="J19" s="16">
        <v>9</v>
      </c>
      <c r="K19" s="16">
        <v>10</v>
      </c>
      <c r="L19" s="16">
        <v>11</v>
      </c>
      <c r="M19" s="16">
        <v>12</v>
      </c>
      <c r="N19" s="16" t="s">
        <v>31</v>
      </c>
      <c r="O19" s="5" t="s">
        <v>364</v>
      </c>
      <c r="P19" s="5" t="s">
        <v>41</v>
      </c>
    </row>
    <row r="20" spans="1:16" x14ac:dyDescent="0.25">
      <c r="A20" s="8" t="s">
        <v>33</v>
      </c>
      <c r="B20" s="3">
        <v>3702900</v>
      </c>
      <c r="C20" s="3">
        <v>2850500</v>
      </c>
      <c r="D20" s="3">
        <v>2931500</v>
      </c>
      <c r="E20" s="3">
        <v>3496700</v>
      </c>
      <c r="F20" s="3">
        <v>2943100</v>
      </c>
      <c r="G20" s="3">
        <v>2902000</v>
      </c>
      <c r="H20" s="3">
        <v>2569700</v>
      </c>
      <c r="I20" s="3">
        <v>2832700</v>
      </c>
      <c r="J20" s="3">
        <v>2607000</v>
      </c>
      <c r="K20" s="11">
        <v>3196200</v>
      </c>
      <c r="L20" s="3">
        <v>2844000</v>
      </c>
      <c r="M20" s="3">
        <v>3822500</v>
      </c>
      <c r="N20" s="23">
        <f t="shared" ref="N20:N30" si="3">SUM(B20:M20)</f>
        <v>36698800</v>
      </c>
      <c r="O20" s="30">
        <f t="shared" ref="O20:O30" si="4">N20/$N$31</f>
        <v>0.12186050546247497</v>
      </c>
      <c r="P20" s="30">
        <f t="shared" ref="P20:P30" si="5">N20/N4</f>
        <v>0.23518690600547293</v>
      </c>
    </row>
    <row r="21" spans="1:16" x14ac:dyDescent="0.25">
      <c r="A21" s="8" t="s">
        <v>46</v>
      </c>
      <c r="B21" s="3">
        <v>1286000</v>
      </c>
      <c r="C21" s="3">
        <v>1280000</v>
      </c>
      <c r="D21" s="3">
        <v>890000</v>
      </c>
      <c r="E21" s="3">
        <v>1378000</v>
      </c>
      <c r="F21" s="3">
        <v>1335000</v>
      </c>
      <c r="G21" s="3">
        <v>6231000</v>
      </c>
      <c r="H21" s="3">
        <v>3514000</v>
      </c>
      <c r="I21" s="3">
        <v>5696500</v>
      </c>
      <c r="J21" s="3">
        <v>4359000</v>
      </c>
      <c r="K21" s="4">
        <v>3281000</v>
      </c>
      <c r="L21" s="3">
        <v>2826000</v>
      </c>
      <c r="M21" s="3">
        <v>16058000</v>
      </c>
      <c r="N21" s="23">
        <f t="shared" si="3"/>
        <v>48134500</v>
      </c>
      <c r="O21" s="30">
        <f t="shared" si="4"/>
        <v>0.15983341417658073</v>
      </c>
      <c r="P21" s="30">
        <f t="shared" si="5"/>
        <v>0.18883753957449814</v>
      </c>
    </row>
    <row r="22" spans="1:16" x14ac:dyDescent="0.25">
      <c r="A22" s="8" t="s">
        <v>34</v>
      </c>
      <c r="B22" s="3">
        <v>1038560</v>
      </c>
      <c r="C22" s="3">
        <v>470100</v>
      </c>
      <c r="D22" s="3">
        <v>907200</v>
      </c>
      <c r="E22" s="3">
        <v>701420</v>
      </c>
      <c r="F22" s="3">
        <v>1202280</v>
      </c>
      <c r="G22" s="3">
        <v>551780</v>
      </c>
      <c r="H22" s="3">
        <v>1098720</v>
      </c>
      <c r="I22" s="3">
        <v>617640</v>
      </c>
      <c r="J22" s="3">
        <v>1202280</v>
      </c>
      <c r="K22" s="4">
        <v>1170280</v>
      </c>
      <c r="L22" s="3">
        <v>1138280</v>
      </c>
      <c r="M22" s="3">
        <v>535780</v>
      </c>
      <c r="N22" s="23">
        <f t="shared" si="3"/>
        <v>10634320</v>
      </c>
      <c r="O22" s="30">
        <f t="shared" si="4"/>
        <v>3.5311879692243524E-2</v>
      </c>
      <c r="P22" s="30">
        <f t="shared" si="5"/>
        <v>0.21943173142397293</v>
      </c>
    </row>
    <row r="23" spans="1:16" x14ac:dyDescent="0.25">
      <c r="A23" s="8" t="s">
        <v>35</v>
      </c>
      <c r="B23" s="3">
        <v>720000</v>
      </c>
      <c r="C23" s="3">
        <v>487500</v>
      </c>
      <c r="D23" s="3">
        <v>1137500</v>
      </c>
      <c r="E23" s="3">
        <v>260000</v>
      </c>
      <c r="F23" s="3"/>
      <c r="G23" s="3">
        <v>1137500</v>
      </c>
      <c r="H23" s="3">
        <v>872500</v>
      </c>
      <c r="I23" s="3">
        <v>572500</v>
      </c>
      <c r="J23" s="3">
        <v>487500</v>
      </c>
      <c r="K23" s="4">
        <v>1117500</v>
      </c>
      <c r="L23" s="3">
        <v>1100000</v>
      </c>
      <c r="M23" s="3">
        <v>2975000</v>
      </c>
      <c r="N23" s="23">
        <f t="shared" si="3"/>
        <v>10867500</v>
      </c>
      <c r="O23" s="30">
        <f t="shared" si="4"/>
        <v>3.6086167479957021E-2</v>
      </c>
      <c r="P23" s="30">
        <f t="shared" si="5"/>
        <v>0.40298507462686567</v>
      </c>
    </row>
    <row r="24" spans="1:16" x14ac:dyDescent="0.25">
      <c r="A24" s="8" t="s">
        <v>40</v>
      </c>
      <c r="B24" s="3">
        <v>4391000</v>
      </c>
      <c r="C24" s="3">
        <v>2957200</v>
      </c>
      <c r="D24" s="3">
        <v>5007000</v>
      </c>
      <c r="E24" s="3">
        <v>6333620</v>
      </c>
      <c r="F24" s="3">
        <v>3097120</v>
      </c>
      <c r="G24" s="3">
        <v>3901120</v>
      </c>
      <c r="H24" s="3">
        <v>1382500</v>
      </c>
      <c r="I24" s="3">
        <v>14418500</v>
      </c>
      <c r="J24" s="3">
        <v>14530000</v>
      </c>
      <c r="K24" s="4">
        <v>2171586.9544390133</v>
      </c>
      <c r="L24" s="3">
        <v>3810196.3843999999</v>
      </c>
      <c r="M24" s="3">
        <v>8033000</v>
      </c>
      <c r="N24" s="23">
        <f t="shared" si="3"/>
        <v>70032843.338839024</v>
      </c>
      <c r="O24" s="30">
        <f t="shared" si="4"/>
        <v>0.23254814021835171</v>
      </c>
      <c r="P24" s="30">
        <f t="shared" si="5"/>
        <v>0.34697465220381157</v>
      </c>
    </row>
    <row r="25" spans="1:16" x14ac:dyDescent="0.25">
      <c r="A25" s="8" t="s">
        <v>36</v>
      </c>
      <c r="B25" s="3">
        <v>305800</v>
      </c>
      <c r="C25" s="3">
        <v>9134000</v>
      </c>
      <c r="D25" s="3">
        <v>839000</v>
      </c>
      <c r="E25" s="3">
        <v>8510000</v>
      </c>
      <c r="F25" s="3">
        <v>10368295</v>
      </c>
      <c r="G25" s="3">
        <v>55600</v>
      </c>
      <c r="H25" s="3">
        <v>1390000</v>
      </c>
      <c r="I25" s="3">
        <v>3679000</v>
      </c>
      <c r="J25" s="3">
        <v>3402000</v>
      </c>
      <c r="K25" s="4">
        <v>2742000</v>
      </c>
      <c r="L25" s="3">
        <v>2437000</v>
      </c>
      <c r="M25" s="3">
        <v>2540000</v>
      </c>
      <c r="N25" s="23">
        <f t="shared" si="3"/>
        <v>45402695</v>
      </c>
      <c r="O25" s="30">
        <f t="shared" si="4"/>
        <v>0.15076229637095995</v>
      </c>
      <c r="P25" s="30">
        <f t="shared" si="5"/>
        <v>0.34059131093615791</v>
      </c>
    </row>
    <row r="26" spans="1:16" x14ac:dyDescent="0.25">
      <c r="A26" s="8" t="s">
        <v>37</v>
      </c>
      <c r="B26" s="3"/>
      <c r="C26" s="3"/>
      <c r="D26" s="3"/>
      <c r="E26" s="3"/>
      <c r="F26" s="3"/>
      <c r="G26" s="3">
        <v>21000</v>
      </c>
      <c r="H26" s="3"/>
      <c r="I26" s="3">
        <v>4810000</v>
      </c>
      <c r="J26" s="3">
        <v>60000</v>
      </c>
      <c r="K26" s="4">
        <v>1258000</v>
      </c>
      <c r="L26" s="3">
        <v>142500</v>
      </c>
      <c r="M26" s="3"/>
      <c r="N26" s="23">
        <f t="shared" si="3"/>
        <v>6291500</v>
      </c>
      <c r="O26" s="30">
        <f t="shared" si="4"/>
        <v>2.0891292634014225E-2</v>
      </c>
      <c r="P26" s="30">
        <f t="shared" si="5"/>
        <v>0.16695414499522343</v>
      </c>
    </row>
    <row r="27" spans="1:16" x14ac:dyDescent="0.25">
      <c r="A27" s="8" t="s">
        <v>39</v>
      </c>
      <c r="B27" s="3">
        <v>160400</v>
      </c>
      <c r="C27" s="3">
        <v>1891000</v>
      </c>
      <c r="D27" s="3">
        <v>643676.61736842105</v>
      </c>
      <c r="E27" s="4">
        <v>775770</v>
      </c>
      <c r="F27" s="3">
        <v>3073140</v>
      </c>
      <c r="G27" s="3">
        <v>14950600</v>
      </c>
      <c r="H27" s="3">
        <v>8561000</v>
      </c>
      <c r="I27" s="3">
        <v>4338000</v>
      </c>
      <c r="J27" s="3"/>
      <c r="K27" s="4">
        <v>4528930.1452639997</v>
      </c>
      <c r="L27" s="3">
        <v>3134400</v>
      </c>
      <c r="M27" s="3">
        <v>3608600</v>
      </c>
      <c r="N27" s="23">
        <f t="shared" si="3"/>
        <v>45665516.762632422</v>
      </c>
      <c r="O27" s="30">
        <f t="shared" si="4"/>
        <v>0.15163501136003113</v>
      </c>
      <c r="P27" s="30">
        <f t="shared" si="5"/>
        <v>0.33431128016112077</v>
      </c>
    </row>
    <row r="28" spans="1:16" x14ac:dyDescent="0.25">
      <c r="A28" s="27" t="s">
        <v>38</v>
      </c>
      <c r="B28" s="17">
        <v>1368500</v>
      </c>
      <c r="C28" s="17">
        <v>815000</v>
      </c>
      <c r="D28" s="17">
        <v>777000</v>
      </c>
      <c r="E28" s="17">
        <v>1902000</v>
      </c>
      <c r="F28" s="17">
        <v>910000</v>
      </c>
      <c r="G28" s="17">
        <v>1211000</v>
      </c>
      <c r="H28" s="17">
        <v>1162000</v>
      </c>
      <c r="I28" s="17">
        <v>670000</v>
      </c>
      <c r="J28" s="17">
        <v>630000</v>
      </c>
      <c r="K28" s="4">
        <v>1167000</v>
      </c>
      <c r="L28" s="17">
        <v>1590000</v>
      </c>
      <c r="M28" s="17">
        <v>1136000</v>
      </c>
      <c r="N28" s="24">
        <f t="shared" si="3"/>
        <v>13338500</v>
      </c>
      <c r="O28" s="30">
        <f t="shared" si="4"/>
        <v>4.4291267074433559E-2</v>
      </c>
      <c r="P28" s="30">
        <f t="shared" si="5"/>
        <v>0.2138316888030331</v>
      </c>
    </row>
    <row r="29" spans="1:16" x14ac:dyDescent="0.25">
      <c r="A29" s="29" t="s">
        <v>32</v>
      </c>
      <c r="B29" s="17">
        <v>543000</v>
      </c>
      <c r="C29" s="17"/>
      <c r="D29" s="17">
        <v>700000</v>
      </c>
      <c r="E29" s="17"/>
      <c r="F29" s="17"/>
      <c r="G29" s="17">
        <v>2050000</v>
      </c>
      <c r="H29" s="17"/>
      <c r="I29" s="17">
        <v>3230000</v>
      </c>
      <c r="J29" s="17">
        <v>200000</v>
      </c>
      <c r="K29" s="4"/>
      <c r="L29" s="17"/>
      <c r="M29" s="17"/>
      <c r="N29" s="24">
        <f t="shared" si="3"/>
        <v>6723000</v>
      </c>
      <c r="O29" s="30">
        <f t="shared" si="4"/>
        <v>2.232411354660695E-2</v>
      </c>
      <c r="P29" s="30">
        <f t="shared" si="5"/>
        <v>0.27632552404438965</v>
      </c>
    </row>
    <row r="30" spans="1:16" ht="17.25" thickBot="1" x14ac:dyDescent="0.3">
      <c r="A30" s="225" t="s">
        <v>366</v>
      </c>
      <c r="B30" s="17">
        <v>300000</v>
      </c>
      <c r="C30" s="17"/>
      <c r="D30" s="17">
        <v>1500000</v>
      </c>
      <c r="E30" s="17">
        <v>1095000</v>
      </c>
      <c r="F30" s="17">
        <v>250000</v>
      </c>
      <c r="G30" s="17">
        <v>1250000</v>
      </c>
      <c r="H30" s="17"/>
      <c r="I30" s="17">
        <v>1250000</v>
      </c>
      <c r="J30" s="17"/>
      <c r="K30" s="4">
        <v>1250000</v>
      </c>
      <c r="L30" s="17"/>
      <c r="M30" s="17">
        <v>470000</v>
      </c>
      <c r="N30" s="24">
        <f t="shared" si="3"/>
        <v>7365000</v>
      </c>
      <c r="O30" s="226">
        <f t="shared" si="4"/>
        <v>2.4455911984346303E-2</v>
      </c>
      <c r="P30" s="30">
        <f t="shared" si="5"/>
        <v>0.4827608809648663</v>
      </c>
    </row>
    <row r="31" spans="1:16" ht="17.25" thickTop="1" x14ac:dyDescent="0.25">
      <c r="A31" s="18" t="s">
        <v>42</v>
      </c>
      <c r="B31" s="9">
        <f t="shared" ref="B31:J31" si="6">SUM(B20:B30)</f>
        <v>13816160</v>
      </c>
      <c r="C31" s="9">
        <f t="shared" si="6"/>
        <v>19885300</v>
      </c>
      <c r="D31" s="9">
        <f t="shared" si="6"/>
        <v>15332876.617368421</v>
      </c>
      <c r="E31" s="9">
        <f t="shared" si="6"/>
        <v>24452510</v>
      </c>
      <c r="F31" s="9">
        <f t="shared" si="6"/>
        <v>23178935</v>
      </c>
      <c r="G31" s="9">
        <f t="shared" si="6"/>
        <v>34261600</v>
      </c>
      <c r="H31" s="9">
        <f t="shared" si="6"/>
        <v>20550420</v>
      </c>
      <c r="I31" s="9">
        <f t="shared" si="6"/>
        <v>42114840</v>
      </c>
      <c r="J31" s="9">
        <f t="shared" si="6"/>
        <v>27477780</v>
      </c>
      <c r="K31" s="9">
        <f>SUM(K20:K30)</f>
        <v>21882497.099703014</v>
      </c>
      <c r="L31" s="9">
        <f>SUM(L20:L30)</f>
        <v>19022376.384399999</v>
      </c>
      <c r="M31" s="9">
        <f>SUM(M20:M30)</f>
        <v>39178880</v>
      </c>
      <c r="N31" s="25">
        <f>SUM(N20:N30)</f>
        <v>301154175.10147142</v>
      </c>
      <c r="O31" s="30">
        <f>SUM(O20:O30)</f>
        <v>1</v>
      </c>
    </row>
    <row r="32" spans="1:16" x14ac:dyDescent="0.25">
      <c r="A32" s="21" t="s">
        <v>43</v>
      </c>
      <c r="B32" s="22">
        <f t="shared" ref="B32:N32" si="7">B31/B15</f>
        <v>0.2146966683242168</v>
      </c>
      <c r="C32" s="22">
        <f t="shared" si="7"/>
        <v>0.36059696620757814</v>
      </c>
      <c r="D32" s="22">
        <f t="shared" si="7"/>
        <v>0.29739371803071174</v>
      </c>
      <c r="E32" s="22">
        <f t="shared" si="7"/>
        <v>0.3336723387415908</v>
      </c>
      <c r="F32" s="22">
        <f t="shared" si="7"/>
        <v>0.24203846896846987</v>
      </c>
      <c r="G32" s="22">
        <f t="shared" si="7"/>
        <v>0.2820244557947722</v>
      </c>
      <c r="H32" s="22">
        <f t="shared" si="7"/>
        <v>0.27694117647058825</v>
      </c>
      <c r="I32" s="22">
        <f t="shared" si="7"/>
        <v>0.2614975861908384</v>
      </c>
      <c r="J32" s="22">
        <f t="shared" si="7"/>
        <v>0.29584173126614988</v>
      </c>
      <c r="K32" s="22">
        <f t="shared" si="7"/>
        <v>0.26255226269151366</v>
      </c>
      <c r="L32" s="22">
        <f t="shared" si="7"/>
        <v>0.28535348035852237</v>
      </c>
      <c r="M32" s="22">
        <f t="shared" si="7"/>
        <v>0.24792758130808001</v>
      </c>
      <c r="N32" s="26">
        <f t="shared" si="7"/>
        <v>0.27433546886754306</v>
      </c>
    </row>
    <row r="34" spans="1:9" x14ac:dyDescent="0.25">
      <c r="I34" s="37" t="s">
        <v>368</v>
      </c>
    </row>
    <row r="35" spans="1:9" x14ac:dyDescent="0.25">
      <c r="A35" s="13"/>
      <c r="B35" s="31" t="s">
        <v>58</v>
      </c>
      <c r="C35" s="31"/>
      <c r="D35" s="31"/>
      <c r="E35" s="31"/>
      <c r="F35" s="32" t="s">
        <v>59</v>
      </c>
      <c r="G35" s="31"/>
      <c r="H35" s="31"/>
      <c r="I35" s="31"/>
    </row>
    <row r="36" spans="1:9" s="5" customFormat="1" x14ac:dyDescent="0.25">
      <c r="A36" s="16" t="s">
        <v>30</v>
      </c>
      <c r="B36" s="16">
        <v>2013</v>
      </c>
      <c r="C36" s="16">
        <v>2014</v>
      </c>
      <c r="D36" s="16">
        <v>2015</v>
      </c>
      <c r="E36" s="16">
        <v>2016</v>
      </c>
      <c r="F36" s="33">
        <v>2013</v>
      </c>
      <c r="G36" s="16">
        <v>2014</v>
      </c>
      <c r="H36" s="16">
        <v>2015</v>
      </c>
      <c r="I36" s="16">
        <v>2016</v>
      </c>
    </row>
    <row r="37" spans="1:9" x14ac:dyDescent="0.25">
      <c r="A37" s="1" t="s">
        <v>33</v>
      </c>
      <c r="B37" s="3">
        <v>21270000</v>
      </c>
      <c r="C37" s="3">
        <v>106683000</v>
      </c>
      <c r="D37" s="3">
        <v>169374500</v>
      </c>
      <c r="E37" s="3">
        <v>156041000</v>
      </c>
      <c r="F37" s="34">
        <v>4474380</v>
      </c>
      <c r="G37" s="3">
        <v>19408300</v>
      </c>
      <c r="H37" s="3">
        <v>33702400</v>
      </c>
      <c r="I37" s="3">
        <v>36698800</v>
      </c>
    </row>
    <row r="38" spans="1:9" x14ac:dyDescent="0.25">
      <c r="A38" s="1" t="s">
        <v>46</v>
      </c>
      <c r="B38" s="3"/>
      <c r="C38" s="3"/>
      <c r="D38" s="3">
        <v>16645000</v>
      </c>
      <c r="E38" s="3">
        <v>254899000</v>
      </c>
      <c r="F38" s="34"/>
      <c r="G38" s="3"/>
      <c r="H38" s="3">
        <v>2891300</v>
      </c>
      <c r="I38" s="3">
        <v>48134500</v>
      </c>
    </row>
    <row r="39" spans="1:9" x14ac:dyDescent="0.25">
      <c r="A39" s="1" t="s">
        <v>34</v>
      </c>
      <c r="B39" s="3">
        <v>34629000</v>
      </c>
      <c r="C39" s="3">
        <v>53408500</v>
      </c>
      <c r="D39" s="3">
        <v>51778000</v>
      </c>
      <c r="E39" s="3">
        <v>48463000</v>
      </c>
      <c r="F39" s="34">
        <v>11489000</v>
      </c>
      <c r="G39" s="3">
        <v>14591500</v>
      </c>
      <c r="H39" s="3">
        <v>14188330</v>
      </c>
      <c r="I39" s="3">
        <v>10634320</v>
      </c>
    </row>
    <row r="40" spans="1:9" x14ac:dyDescent="0.25">
      <c r="A40" s="1" t="s">
        <v>35</v>
      </c>
      <c r="B40" s="3">
        <v>10650000</v>
      </c>
      <c r="C40" s="3">
        <v>24369000</v>
      </c>
      <c r="D40" s="3">
        <v>15203000</v>
      </c>
      <c r="E40" s="3">
        <v>26967500</v>
      </c>
      <c r="F40" s="34">
        <v>3612000</v>
      </c>
      <c r="G40" s="3">
        <v>7169000</v>
      </c>
      <c r="H40" s="3">
        <v>5463000</v>
      </c>
      <c r="I40" s="3">
        <v>10867500</v>
      </c>
    </row>
    <row r="41" spans="1:9" x14ac:dyDescent="0.25">
      <c r="A41" s="1" t="s">
        <v>40</v>
      </c>
      <c r="B41" s="3"/>
      <c r="C41" s="3"/>
      <c r="D41" s="3">
        <v>35420000</v>
      </c>
      <c r="E41" s="3">
        <v>201838500</v>
      </c>
      <c r="F41" s="34"/>
      <c r="G41" s="3"/>
      <c r="H41" s="3">
        <v>10087778.088479999</v>
      </c>
      <c r="I41" s="3">
        <v>70032843.338839024</v>
      </c>
    </row>
    <row r="42" spans="1:9" x14ac:dyDescent="0.25">
      <c r="A42" s="1" t="s">
        <v>36</v>
      </c>
      <c r="B42" s="3">
        <v>760000</v>
      </c>
      <c r="C42" s="3">
        <v>1397000</v>
      </c>
      <c r="D42" s="3">
        <v>19243000</v>
      </c>
      <c r="E42" s="3">
        <v>133305500</v>
      </c>
      <c r="F42" s="34">
        <v>219000</v>
      </c>
      <c r="G42" s="3">
        <v>573200</v>
      </c>
      <c r="H42" s="3">
        <v>5777500</v>
      </c>
      <c r="I42" s="3">
        <v>45402695</v>
      </c>
    </row>
    <row r="43" spans="1:9" x14ac:dyDescent="0.25">
      <c r="A43" s="1" t="s">
        <v>37</v>
      </c>
      <c r="B43" s="3">
        <v>10882000</v>
      </c>
      <c r="C43" s="3">
        <v>4182000</v>
      </c>
      <c r="D43" s="3">
        <v>22121000</v>
      </c>
      <c r="E43" s="3">
        <v>37684000</v>
      </c>
      <c r="F43" s="34">
        <v>6789000</v>
      </c>
      <c r="G43" s="3">
        <v>2877000</v>
      </c>
      <c r="H43" s="3">
        <v>8046000</v>
      </c>
      <c r="I43" s="3">
        <v>6291500</v>
      </c>
    </row>
    <row r="44" spans="1:9" x14ac:dyDescent="0.25">
      <c r="A44" s="1" t="s">
        <v>39</v>
      </c>
      <c r="B44" s="3"/>
      <c r="C44" s="3"/>
      <c r="D44" s="3">
        <v>25917000</v>
      </c>
      <c r="E44" s="3">
        <v>136595800</v>
      </c>
      <c r="F44" s="34"/>
      <c r="G44" s="3"/>
      <c r="H44" s="3">
        <v>12642642</v>
      </c>
      <c r="I44" s="3">
        <v>45665516.762632422</v>
      </c>
    </row>
    <row r="45" spans="1:9" x14ac:dyDescent="0.25">
      <c r="A45" s="1" t="s">
        <v>38</v>
      </c>
      <c r="B45" s="3">
        <v>9075000</v>
      </c>
      <c r="C45" s="3">
        <v>46490500</v>
      </c>
      <c r="D45" s="3">
        <v>72432000</v>
      </c>
      <c r="E45" s="3">
        <v>62378500</v>
      </c>
      <c r="F45" s="34">
        <v>2089400</v>
      </c>
      <c r="G45" s="3">
        <v>8160500</v>
      </c>
      <c r="H45" s="3">
        <v>15128000</v>
      </c>
      <c r="I45" s="3">
        <v>13338500</v>
      </c>
    </row>
    <row r="46" spans="1:9" x14ac:dyDescent="0.25">
      <c r="A46" s="1" t="s">
        <v>32</v>
      </c>
      <c r="B46" s="3"/>
      <c r="C46" s="3">
        <v>113672000</v>
      </c>
      <c r="D46" s="3">
        <v>60295450</v>
      </c>
      <c r="E46" s="3">
        <v>24330000</v>
      </c>
      <c r="F46" s="34"/>
      <c r="G46" s="3">
        <v>37322000</v>
      </c>
      <c r="H46" s="3">
        <v>16544950</v>
      </c>
      <c r="I46" s="3">
        <v>6723000</v>
      </c>
    </row>
    <row r="47" spans="1:9" ht="17.25" thickBot="1" x14ac:dyDescent="0.3">
      <c r="A47" t="s">
        <v>60</v>
      </c>
      <c r="B47" s="17"/>
      <c r="C47" s="17"/>
      <c r="D47" s="17">
        <v>4644000</v>
      </c>
      <c r="E47" s="17">
        <v>15256000</v>
      </c>
      <c r="F47" s="35"/>
      <c r="G47" s="17"/>
      <c r="H47" s="17">
        <v>2422000</v>
      </c>
      <c r="I47" s="17">
        <v>7365000</v>
      </c>
    </row>
    <row r="48" spans="1:9" ht="17.25" thickTop="1" x14ac:dyDescent="0.25">
      <c r="A48" s="18" t="s">
        <v>0</v>
      </c>
      <c r="B48" s="9">
        <v>87310000</v>
      </c>
      <c r="C48" s="9">
        <v>354923000</v>
      </c>
      <c r="D48" s="9">
        <v>501034950</v>
      </c>
      <c r="E48" s="9">
        <f>SUM(E37:E47)</f>
        <v>1097758800</v>
      </c>
      <c r="F48" s="36">
        <v>28686380</v>
      </c>
      <c r="G48" s="9">
        <v>90830500</v>
      </c>
      <c r="H48" s="9">
        <v>128452100.08848</v>
      </c>
      <c r="I48" s="9">
        <f>SUM(I37:I47)</f>
        <v>301154175.10147142</v>
      </c>
    </row>
  </sheetData>
  <phoneticPr fontId="22" type="noConversion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4"/>
  <dimension ref="A1:P34"/>
  <sheetViews>
    <sheetView workbookViewId="0">
      <selection sqref="A1:IV65536"/>
    </sheetView>
  </sheetViews>
  <sheetFormatPr defaultRowHeight="16.5" x14ac:dyDescent="0.25"/>
  <cols>
    <col min="1" max="1" width="12.25390625" bestFit="1" customWidth="1"/>
    <col min="2" max="8" width="12.625" bestFit="1" customWidth="1"/>
    <col min="9" max="13" width="12.625" customWidth="1"/>
    <col min="14" max="14" width="15.71875" customWidth="1"/>
  </cols>
  <sheetData>
    <row r="1" spans="1:15" ht="29.25" customHeight="1" x14ac:dyDescent="0.25">
      <c r="A1" s="12" t="s">
        <v>29</v>
      </c>
    </row>
    <row r="2" spans="1:15" x14ac:dyDescent="0.25">
      <c r="A2" s="13"/>
      <c r="B2" s="14">
        <v>2015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5" x14ac:dyDescent="0.25">
      <c r="A3" s="15" t="s">
        <v>30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>
        <v>12</v>
      </c>
      <c r="N3" s="16" t="s">
        <v>31</v>
      </c>
      <c r="O3" s="5" t="s">
        <v>364</v>
      </c>
    </row>
    <row r="4" spans="1:15" x14ac:dyDescent="0.25">
      <c r="A4" s="8" t="s">
        <v>33</v>
      </c>
      <c r="B4" s="3">
        <v>15660000</v>
      </c>
      <c r="C4" s="3">
        <v>9285000</v>
      </c>
      <c r="D4" s="3">
        <v>14322500</v>
      </c>
      <c r="E4" s="3">
        <v>13612500</v>
      </c>
      <c r="F4" s="3">
        <v>9832500</v>
      </c>
      <c r="G4" s="3">
        <v>14341000</v>
      </c>
      <c r="H4" s="3">
        <v>15806000</v>
      </c>
      <c r="I4" s="3">
        <v>14407500</v>
      </c>
      <c r="J4" s="3">
        <v>16375000</v>
      </c>
      <c r="K4" s="3">
        <v>11360000</v>
      </c>
      <c r="L4" s="3">
        <v>14650000</v>
      </c>
      <c r="M4" s="3">
        <v>19722500</v>
      </c>
      <c r="N4" s="23">
        <f t="shared" ref="N4:N15" si="0">SUM(B4:M4)</f>
        <v>169374500</v>
      </c>
      <c r="O4" s="30">
        <f t="shared" ref="O4:O16" si="1">N4/$N$16</f>
        <v>0.30234489125771297</v>
      </c>
    </row>
    <row r="5" spans="1:15" x14ac:dyDescent="0.25">
      <c r="A5" s="8" t="s">
        <v>46</v>
      </c>
      <c r="B5" s="3"/>
      <c r="C5" s="3"/>
      <c r="D5" s="3"/>
      <c r="E5" s="3"/>
      <c r="F5" s="3"/>
      <c r="G5" s="3"/>
      <c r="H5" s="3"/>
      <c r="I5" s="3"/>
      <c r="J5" s="3"/>
      <c r="K5" s="3">
        <v>3331000</v>
      </c>
      <c r="L5" s="3">
        <v>5010000</v>
      </c>
      <c r="M5" s="3">
        <v>8304000</v>
      </c>
      <c r="N5" s="23">
        <f t="shared" si="0"/>
        <v>16645000</v>
      </c>
      <c r="O5" s="30">
        <f t="shared" si="1"/>
        <v>2.9712446176872149E-2</v>
      </c>
    </row>
    <row r="6" spans="1:15" x14ac:dyDescent="0.25">
      <c r="A6" s="8" t="s">
        <v>34</v>
      </c>
      <c r="B6" s="3">
        <v>2638000</v>
      </c>
      <c r="C6" s="3">
        <v>2548000</v>
      </c>
      <c r="D6" s="3">
        <v>2632000</v>
      </c>
      <c r="E6" s="3">
        <v>5264000</v>
      </c>
      <c r="F6" s="3">
        <v>2534000</v>
      </c>
      <c r="G6" s="3">
        <v>5166000</v>
      </c>
      <c r="H6" s="3">
        <v>5166000</v>
      </c>
      <c r="I6" s="3">
        <v>6000000</v>
      </c>
      <c r="J6" s="3">
        <v>4332000</v>
      </c>
      <c r="K6" s="3">
        <v>5166000</v>
      </c>
      <c r="L6" s="3">
        <v>5166000</v>
      </c>
      <c r="M6" s="3">
        <v>5166000</v>
      </c>
      <c r="N6" s="23">
        <f t="shared" si="0"/>
        <v>51778000</v>
      </c>
      <c r="O6" s="30">
        <f t="shared" si="1"/>
        <v>9.2427217671738435E-2</v>
      </c>
    </row>
    <row r="7" spans="1:15" x14ac:dyDescent="0.25">
      <c r="A7" s="8" t="s">
        <v>35</v>
      </c>
      <c r="B7" s="3"/>
      <c r="C7" s="3">
        <v>3770000</v>
      </c>
      <c r="D7" s="3">
        <v>540000</v>
      </c>
      <c r="E7" s="3"/>
      <c r="F7" s="3">
        <v>3207500</v>
      </c>
      <c r="G7" s="3">
        <v>1756000</v>
      </c>
      <c r="H7" s="3">
        <v>912000</v>
      </c>
      <c r="I7" s="3">
        <v>1125000</v>
      </c>
      <c r="J7" s="3">
        <v>540000</v>
      </c>
      <c r="K7" s="3"/>
      <c r="L7" s="3"/>
      <c r="M7" s="3">
        <v>3352500</v>
      </c>
      <c r="N7" s="23">
        <f t="shared" si="0"/>
        <v>15203000</v>
      </c>
      <c r="O7" s="30">
        <f t="shared" si="1"/>
        <v>2.7138379046379529E-2</v>
      </c>
    </row>
    <row r="8" spans="1:15" x14ac:dyDescent="0.25">
      <c r="A8" s="8" t="s">
        <v>40</v>
      </c>
      <c r="B8" s="3"/>
      <c r="C8" s="3"/>
      <c r="D8" s="3"/>
      <c r="E8" s="3"/>
      <c r="F8" s="3"/>
      <c r="G8" s="3"/>
      <c r="H8" s="3">
        <v>2280000</v>
      </c>
      <c r="I8" s="3"/>
      <c r="J8" s="3"/>
      <c r="K8" s="3">
        <v>6180000</v>
      </c>
      <c r="L8" s="3">
        <v>3210000</v>
      </c>
      <c r="M8" s="3">
        <v>27389000</v>
      </c>
      <c r="N8" s="23">
        <f t="shared" si="0"/>
        <v>39059000</v>
      </c>
      <c r="O8" s="30">
        <f t="shared" si="1"/>
        <v>6.9722945943072948E-2</v>
      </c>
    </row>
    <row r="9" spans="1:15" x14ac:dyDescent="0.25">
      <c r="A9" s="8" t="s">
        <v>36</v>
      </c>
      <c r="B9" s="3">
        <v>5550000</v>
      </c>
      <c r="C9" s="3"/>
      <c r="D9" s="3">
        <v>1100000</v>
      </c>
      <c r="E9" s="3"/>
      <c r="F9" s="3">
        <v>6600000</v>
      </c>
      <c r="G9" s="3">
        <v>5630000</v>
      </c>
      <c r="H9" s="3">
        <v>5950000</v>
      </c>
      <c r="I9" s="3">
        <v>720000</v>
      </c>
      <c r="J9" s="3">
        <v>1455000</v>
      </c>
      <c r="K9" s="3">
        <v>1578000</v>
      </c>
      <c r="L9" s="3">
        <v>3910000</v>
      </c>
      <c r="M9" s="3">
        <v>430000</v>
      </c>
      <c r="N9" s="23">
        <f t="shared" si="0"/>
        <v>32923000</v>
      </c>
      <c r="O9" s="30">
        <f t="shared" si="1"/>
        <v>5.8769772633292985E-2</v>
      </c>
    </row>
    <row r="10" spans="1:15" x14ac:dyDescent="0.25">
      <c r="A10" s="8" t="s">
        <v>37</v>
      </c>
      <c r="B10" s="3"/>
      <c r="C10" s="3"/>
      <c r="D10" s="3"/>
      <c r="E10" s="3"/>
      <c r="F10" s="3">
        <v>900000</v>
      </c>
      <c r="G10" s="3"/>
      <c r="H10" s="3"/>
      <c r="I10" s="3">
        <v>450000</v>
      </c>
      <c r="J10" s="3">
        <v>10595000</v>
      </c>
      <c r="K10" s="3">
        <v>9508000</v>
      </c>
      <c r="L10" s="3"/>
      <c r="M10" s="3">
        <v>668000</v>
      </c>
      <c r="N10" s="23">
        <f t="shared" si="0"/>
        <v>22121000</v>
      </c>
      <c r="O10" s="30">
        <f t="shared" si="1"/>
        <v>3.9487475030254661E-2</v>
      </c>
    </row>
    <row r="11" spans="1:15" x14ac:dyDescent="0.25">
      <c r="A11" s="8" t="s">
        <v>39</v>
      </c>
      <c r="B11" s="224">
        <v>3500000</v>
      </c>
      <c r="C11" s="3">
        <v>1250000</v>
      </c>
      <c r="D11" s="3"/>
      <c r="E11" s="224">
        <v>28519000</v>
      </c>
      <c r="F11" s="3">
        <v>2236000</v>
      </c>
      <c r="G11" s="3">
        <v>1655000</v>
      </c>
      <c r="H11" s="3">
        <v>2385000</v>
      </c>
      <c r="I11" s="3">
        <v>4650000</v>
      </c>
      <c r="J11" s="3">
        <v>1220000</v>
      </c>
      <c r="K11" s="3">
        <v>3401000</v>
      </c>
      <c r="L11" s="3">
        <v>1240000</v>
      </c>
      <c r="M11" s="3">
        <v>17710000</v>
      </c>
      <c r="N11" s="23">
        <f t="shared" si="0"/>
        <v>67766000</v>
      </c>
      <c r="O11" s="30">
        <f t="shared" si="1"/>
        <v>0.12096687459428766</v>
      </c>
    </row>
    <row r="12" spans="1:15" x14ac:dyDescent="0.25">
      <c r="A12" s="8" t="s">
        <v>38</v>
      </c>
      <c r="B12" s="3">
        <v>4125000</v>
      </c>
      <c r="C12" s="3">
        <v>3990000</v>
      </c>
      <c r="D12" s="3">
        <v>5215000</v>
      </c>
      <c r="E12" s="3">
        <v>5610000</v>
      </c>
      <c r="F12" s="3">
        <v>6202500</v>
      </c>
      <c r="G12" s="3">
        <v>8492000</v>
      </c>
      <c r="H12" s="3">
        <v>7383000</v>
      </c>
      <c r="I12" s="3">
        <v>5367500</v>
      </c>
      <c r="J12" s="3">
        <v>5840000</v>
      </c>
      <c r="K12" s="3">
        <v>6205000</v>
      </c>
      <c r="L12" s="3">
        <v>7552000</v>
      </c>
      <c r="M12" s="3">
        <v>6450000</v>
      </c>
      <c r="N12" s="23">
        <f t="shared" si="0"/>
        <v>72432000</v>
      </c>
      <c r="O12" s="30">
        <f t="shared" si="1"/>
        <v>0.12929599888754603</v>
      </c>
    </row>
    <row r="13" spans="1:15" x14ac:dyDescent="0.25">
      <c r="A13" s="27" t="s">
        <v>32</v>
      </c>
      <c r="B13" s="17">
        <v>13400000</v>
      </c>
      <c r="C13" s="17"/>
      <c r="D13" s="17"/>
      <c r="E13" s="17">
        <v>4545450</v>
      </c>
      <c r="F13" s="17"/>
      <c r="G13" s="17">
        <v>22500000</v>
      </c>
      <c r="H13" s="17"/>
      <c r="I13" s="17">
        <v>9900000</v>
      </c>
      <c r="J13" s="17"/>
      <c r="K13" s="17"/>
      <c r="L13" s="17">
        <v>6950000</v>
      </c>
      <c r="M13" s="17">
        <v>3000000</v>
      </c>
      <c r="N13" s="24">
        <f t="shared" si="0"/>
        <v>60295450</v>
      </c>
      <c r="O13" s="30">
        <f t="shared" si="1"/>
        <v>0.1076314396416513</v>
      </c>
    </row>
    <row r="14" spans="1:15" x14ac:dyDescent="0.25">
      <c r="A14" s="29" t="s">
        <v>365</v>
      </c>
      <c r="B14" s="17">
        <v>355000</v>
      </c>
      <c r="C14" s="17">
        <v>220000</v>
      </c>
      <c r="D14" s="17">
        <v>1045000</v>
      </c>
      <c r="E14" s="17"/>
      <c r="F14" s="17">
        <v>418000</v>
      </c>
      <c r="G14" s="17">
        <v>1275000</v>
      </c>
      <c r="H14" s="17">
        <v>1140000</v>
      </c>
      <c r="I14" s="17">
        <v>1421000</v>
      </c>
      <c r="J14" s="17">
        <v>625000</v>
      </c>
      <c r="K14" s="17">
        <v>100000</v>
      </c>
      <c r="L14" s="17">
        <v>810000</v>
      </c>
      <c r="M14" s="17">
        <v>553000</v>
      </c>
      <c r="N14" s="24">
        <f t="shared" si="0"/>
        <v>7962000</v>
      </c>
      <c r="O14" s="30">
        <f t="shared" si="1"/>
        <v>1.421270630581292E-2</v>
      </c>
    </row>
    <row r="15" spans="1:15" ht="17.25" thickBot="1" x14ac:dyDescent="0.3">
      <c r="A15" s="225" t="s">
        <v>366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>
        <v>2650000</v>
      </c>
      <c r="M15" s="17">
        <v>1994000</v>
      </c>
      <c r="N15" s="24">
        <f t="shared" si="0"/>
        <v>4644000</v>
      </c>
      <c r="O15" s="226">
        <f t="shared" si="1"/>
        <v>8.2898528113784474E-3</v>
      </c>
    </row>
    <row r="16" spans="1:15" ht="17.25" thickTop="1" x14ac:dyDescent="0.25">
      <c r="A16" s="18" t="s">
        <v>0</v>
      </c>
      <c r="B16" s="9">
        <v>45228000</v>
      </c>
      <c r="C16" s="9">
        <v>21063000</v>
      </c>
      <c r="D16" s="9">
        <v>24854500</v>
      </c>
      <c r="E16" s="9">
        <v>57550950</v>
      </c>
      <c r="F16" s="9">
        <v>31930500</v>
      </c>
      <c r="G16" s="9">
        <v>60815000</v>
      </c>
      <c r="H16" s="9">
        <v>41022000</v>
      </c>
      <c r="I16" s="9">
        <v>44041000</v>
      </c>
      <c r="J16" s="9">
        <v>40982000</v>
      </c>
      <c r="K16" s="9">
        <v>46829000</v>
      </c>
      <c r="L16" s="9">
        <v>51148000</v>
      </c>
      <c r="M16" s="9">
        <v>94739000</v>
      </c>
      <c r="N16" s="25">
        <f>SUM(N4:N15)</f>
        <v>560202950</v>
      </c>
      <c r="O16" s="30">
        <f t="shared" si="1"/>
        <v>1</v>
      </c>
    </row>
    <row r="18" spans="1:16" ht="27.75" customHeight="1" x14ac:dyDescent="0.25">
      <c r="A18" s="12" t="s">
        <v>41</v>
      </c>
    </row>
    <row r="19" spans="1:16" x14ac:dyDescent="0.25">
      <c r="A19" s="13"/>
      <c r="B19" s="14">
        <v>2015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6" x14ac:dyDescent="0.25">
      <c r="A20" s="15" t="s">
        <v>30</v>
      </c>
      <c r="B20" s="16">
        <v>1</v>
      </c>
      <c r="C20" s="16">
        <v>2</v>
      </c>
      <c r="D20" s="16">
        <v>3</v>
      </c>
      <c r="E20" s="16">
        <v>4</v>
      </c>
      <c r="F20" s="16">
        <v>5</v>
      </c>
      <c r="G20" s="16">
        <v>6</v>
      </c>
      <c r="H20" s="16">
        <v>7</v>
      </c>
      <c r="I20" s="16">
        <v>8</v>
      </c>
      <c r="J20" s="16">
        <v>9</v>
      </c>
      <c r="K20" s="16">
        <v>10</v>
      </c>
      <c r="L20" s="16">
        <v>11</v>
      </c>
      <c r="M20" s="16">
        <v>12</v>
      </c>
      <c r="N20" s="16" t="s">
        <v>31</v>
      </c>
      <c r="O20" s="5" t="s">
        <v>364</v>
      </c>
      <c r="P20" s="5" t="s">
        <v>41</v>
      </c>
    </row>
    <row r="21" spans="1:16" x14ac:dyDescent="0.25">
      <c r="A21" s="8" t="s">
        <v>33</v>
      </c>
      <c r="B21" s="3">
        <v>2650700</v>
      </c>
      <c r="C21" s="3">
        <v>1647700</v>
      </c>
      <c r="D21" s="3">
        <v>2221800</v>
      </c>
      <c r="E21" s="3">
        <v>2466000</v>
      </c>
      <c r="F21" s="3">
        <v>1939900</v>
      </c>
      <c r="G21" s="3">
        <v>2944600</v>
      </c>
      <c r="H21" s="3">
        <v>3403300</v>
      </c>
      <c r="I21" s="3">
        <v>2918900</v>
      </c>
      <c r="J21" s="3">
        <v>3070000</v>
      </c>
      <c r="K21" s="3">
        <v>2823000</v>
      </c>
      <c r="L21" s="3">
        <v>2962000</v>
      </c>
      <c r="M21" s="3">
        <v>4628500</v>
      </c>
      <c r="N21" s="23">
        <f t="shared" ref="N21:N32" si="2">SUM(B21:M21)</f>
        <v>33676400</v>
      </c>
      <c r="O21" s="30">
        <f t="shared" ref="O21:O32" si="3">N21/$N$33</f>
        <v>0.19585140281449631</v>
      </c>
      <c r="P21" s="30">
        <f t="shared" ref="P21:P32" si="4">N21/N4</f>
        <v>0.1988280408207847</v>
      </c>
    </row>
    <row r="22" spans="1:16" x14ac:dyDescent="0.25">
      <c r="A22" s="8" t="s">
        <v>46</v>
      </c>
      <c r="B22" s="3"/>
      <c r="C22" s="3"/>
      <c r="D22" s="3"/>
      <c r="E22" s="3"/>
      <c r="F22" s="3"/>
      <c r="G22" s="3"/>
      <c r="H22" s="3"/>
      <c r="I22" s="3"/>
      <c r="J22" s="3"/>
      <c r="K22" s="3">
        <v>887500</v>
      </c>
      <c r="L22" s="3">
        <v>700800</v>
      </c>
      <c r="M22" s="3">
        <v>1303000</v>
      </c>
      <c r="N22" s="23">
        <f t="shared" si="2"/>
        <v>2891300</v>
      </c>
      <c r="O22" s="30">
        <f t="shared" si="3"/>
        <v>1.6814895919918794E-2</v>
      </c>
      <c r="P22" s="30">
        <f t="shared" si="4"/>
        <v>0.17370381495944728</v>
      </c>
    </row>
    <row r="23" spans="1:16" x14ac:dyDescent="0.25">
      <c r="A23" s="8" t="s">
        <v>34</v>
      </c>
      <c r="B23" s="3">
        <v>690000</v>
      </c>
      <c r="C23" s="3">
        <v>664000</v>
      </c>
      <c r="D23" s="3">
        <v>772300</v>
      </c>
      <c r="E23" s="3">
        <v>1413280</v>
      </c>
      <c r="F23" s="3">
        <v>734300</v>
      </c>
      <c r="G23" s="3">
        <v>1506600</v>
      </c>
      <c r="H23" s="3">
        <v>1418940</v>
      </c>
      <c r="I23" s="3">
        <v>1483960</v>
      </c>
      <c r="J23" s="3">
        <v>1067120</v>
      </c>
      <c r="K23" s="3">
        <v>1818990</v>
      </c>
      <c r="L23" s="3">
        <v>1375280</v>
      </c>
      <c r="M23" s="3">
        <v>1243560</v>
      </c>
      <c r="N23" s="23">
        <f t="shared" si="2"/>
        <v>14188330</v>
      </c>
      <c r="O23" s="30">
        <f t="shared" si="3"/>
        <v>8.2514886807823956E-2</v>
      </c>
      <c r="P23" s="30">
        <f t="shared" si="4"/>
        <v>0.27402236471088109</v>
      </c>
    </row>
    <row r="24" spans="1:16" x14ac:dyDescent="0.25">
      <c r="A24" s="8" t="s">
        <v>35</v>
      </c>
      <c r="B24" s="3"/>
      <c r="C24" s="3">
        <v>1070000</v>
      </c>
      <c r="D24" s="3">
        <v>260000</v>
      </c>
      <c r="E24" s="3"/>
      <c r="F24" s="3">
        <v>1207500</v>
      </c>
      <c r="G24" s="3">
        <v>836000</v>
      </c>
      <c r="H24" s="3">
        <v>432000</v>
      </c>
      <c r="I24" s="3">
        <v>325000</v>
      </c>
      <c r="J24" s="3">
        <v>260000</v>
      </c>
      <c r="K24" s="3"/>
      <c r="L24" s="3"/>
      <c r="M24" s="3">
        <v>1072500</v>
      </c>
      <c r="N24" s="23">
        <f t="shared" si="2"/>
        <v>5463000</v>
      </c>
      <c r="O24" s="30">
        <f t="shared" si="3"/>
        <v>3.1771098263935378E-2</v>
      </c>
      <c r="P24" s="30">
        <f t="shared" si="4"/>
        <v>0.35933697296586198</v>
      </c>
    </row>
    <row r="25" spans="1:16" x14ac:dyDescent="0.25">
      <c r="A25" s="8" t="s">
        <v>40</v>
      </c>
      <c r="B25" s="3"/>
      <c r="C25" s="3"/>
      <c r="D25" s="3"/>
      <c r="E25" s="3"/>
      <c r="F25" s="3"/>
      <c r="G25" s="3"/>
      <c r="H25" s="3">
        <v>620300</v>
      </c>
      <c r="I25" s="3"/>
      <c r="J25" s="3"/>
      <c r="K25" s="3">
        <v>3170318.0884799995</v>
      </c>
      <c r="L25" s="3">
        <v>1573840</v>
      </c>
      <c r="M25" s="3">
        <v>6013620</v>
      </c>
      <c r="N25" s="23">
        <f t="shared" si="2"/>
        <v>11378078.088479999</v>
      </c>
      <c r="O25" s="30">
        <f t="shared" si="3"/>
        <v>6.6171341205167142E-2</v>
      </c>
      <c r="P25" s="30">
        <f t="shared" si="4"/>
        <v>0.29130489998412656</v>
      </c>
    </row>
    <row r="26" spans="1:16" x14ac:dyDescent="0.25">
      <c r="A26" s="8" t="s">
        <v>36</v>
      </c>
      <c r="B26" s="3">
        <v>5550000</v>
      </c>
      <c r="C26" s="3"/>
      <c r="D26" s="3">
        <v>356000</v>
      </c>
      <c r="E26" s="3"/>
      <c r="F26" s="3">
        <v>1740000</v>
      </c>
      <c r="G26" s="3">
        <v>1241500</v>
      </c>
      <c r="H26" s="3">
        <v>945000</v>
      </c>
      <c r="I26" s="3">
        <v>370000</v>
      </c>
      <c r="J26" s="3">
        <v>555000</v>
      </c>
      <c r="K26" s="3">
        <v>746000</v>
      </c>
      <c r="L26" s="3">
        <v>1844000</v>
      </c>
      <c r="M26" s="3">
        <v>230000</v>
      </c>
      <c r="N26" s="23">
        <f t="shared" si="2"/>
        <v>13577500</v>
      </c>
      <c r="O26" s="30">
        <f t="shared" si="3"/>
        <v>7.8962490697159549E-2</v>
      </c>
      <c r="P26" s="30">
        <f t="shared" si="4"/>
        <v>0.41240166448987031</v>
      </c>
    </row>
    <row r="27" spans="1:16" x14ac:dyDescent="0.25">
      <c r="A27" s="8" t="s">
        <v>37</v>
      </c>
      <c r="B27" s="3"/>
      <c r="C27" s="3"/>
      <c r="D27" s="3"/>
      <c r="E27" s="3"/>
      <c r="F27" s="3">
        <v>260000</v>
      </c>
      <c r="G27" s="3"/>
      <c r="H27" s="3"/>
      <c r="I27" s="3">
        <v>150000</v>
      </c>
      <c r="J27" s="3">
        <v>3336000</v>
      </c>
      <c r="K27" s="3">
        <v>3632000</v>
      </c>
      <c r="L27" s="3"/>
      <c r="M27" s="3">
        <v>668000</v>
      </c>
      <c r="N27" s="23">
        <f t="shared" si="2"/>
        <v>8046000</v>
      </c>
      <c r="O27" s="30">
        <f t="shared" si="3"/>
        <v>4.6793017871430365E-2</v>
      </c>
      <c r="P27" s="30">
        <f t="shared" si="4"/>
        <v>0.36372677546223048</v>
      </c>
    </row>
    <row r="28" spans="1:16" x14ac:dyDescent="0.25">
      <c r="A28" s="8" t="s">
        <v>39</v>
      </c>
      <c r="B28" s="224">
        <v>3500000</v>
      </c>
      <c r="C28" s="3">
        <v>1250000</v>
      </c>
      <c r="D28" s="3"/>
      <c r="E28" s="20">
        <v>27146976</v>
      </c>
      <c r="F28" s="3">
        <v>967066</v>
      </c>
      <c r="G28" s="3">
        <v>721356</v>
      </c>
      <c r="H28" s="3">
        <v>994624</v>
      </c>
      <c r="I28" s="3">
        <v>1751070</v>
      </c>
      <c r="J28" s="3">
        <v>451800</v>
      </c>
      <c r="K28" s="3">
        <v>1097800</v>
      </c>
      <c r="L28" s="3">
        <v>527424</v>
      </c>
      <c r="M28" s="3">
        <v>8666856</v>
      </c>
      <c r="N28" s="23">
        <f t="shared" si="2"/>
        <v>47074972</v>
      </c>
      <c r="O28" s="30">
        <f t="shared" si="3"/>
        <v>0.27377330426212826</v>
      </c>
      <c r="P28" s="30">
        <f t="shared" si="4"/>
        <v>0.69466948027034203</v>
      </c>
    </row>
    <row r="29" spans="1:16" x14ac:dyDescent="0.25">
      <c r="A29" s="8" t="s">
        <v>38</v>
      </c>
      <c r="B29" s="3">
        <v>605000</v>
      </c>
      <c r="C29" s="3">
        <v>815000</v>
      </c>
      <c r="D29" s="3">
        <v>760000</v>
      </c>
      <c r="E29" s="3">
        <v>1895000</v>
      </c>
      <c r="F29" s="3">
        <v>1297500</v>
      </c>
      <c r="G29" s="3">
        <v>1642000</v>
      </c>
      <c r="H29" s="3">
        <v>1594000</v>
      </c>
      <c r="I29" s="3">
        <v>977500</v>
      </c>
      <c r="J29" s="3">
        <v>1235000</v>
      </c>
      <c r="K29" s="3">
        <v>1395000</v>
      </c>
      <c r="L29" s="3">
        <v>1542000</v>
      </c>
      <c r="M29" s="3">
        <v>1370000</v>
      </c>
      <c r="N29" s="23">
        <f t="shared" si="2"/>
        <v>15128000</v>
      </c>
      <c r="O29" s="30">
        <f t="shared" si="3"/>
        <v>8.7979713442579974E-2</v>
      </c>
      <c r="P29" s="30">
        <f t="shared" si="4"/>
        <v>0.20885796333112436</v>
      </c>
    </row>
    <row r="30" spans="1:16" x14ac:dyDescent="0.25">
      <c r="A30" s="27" t="s">
        <v>32</v>
      </c>
      <c r="B30" s="17">
        <v>5310000</v>
      </c>
      <c r="C30" s="17"/>
      <c r="D30" s="17"/>
      <c r="E30" s="17">
        <v>345450</v>
      </c>
      <c r="F30" s="17"/>
      <c r="G30" s="17">
        <v>4789500</v>
      </c>
      <c r="H30" s="17"/>
      <c r="I30" s="17">
        <v>2800000</v>
      </c>
      <c r="J30" s="17"/>
      <c r="K30" s="17"/>
      <c r="L30" s="17">
        <v>2700000</v>
      </c>
      <c r="M30" s="17">
        <v>600000</v>
      </c>
      <c r="N30" s="24">
        <f t="shared" si="2"/>
        <v>16544950</v>
      </c>
      <c r="O30" s="30">
        <f t="shared" si="3"/>
        <v>9.6220251184678321E-2</v>
      </c>
      <c r="P30" s="30">
        <f t="shared" si="4"/>
        <v>0.27439798525427705</v>
      </c>
    </row>
    <row r="31" spans="1:16" x14ac:dyDescent="0.25">
      <c r="A31" s="29" t="s">
        <v>365</v>
      </c>
      <c r="B31" s="17">
        <v>71000</v>
      </c>
      <c r="C31" s="17">
        <v>44000</v>
      </c>
      <c r="D31" s="17">
        <v>169000</v>
      </c>
      <c r="E31" s="17"/>
      <c r="F31" s="17">
        <v>66000</v>
      </c>
      <c r="G31" s="17">
        <v>163000</v>
      </c>
      <c r="H31" s="17">
        <v>322000</v>
      </c>
      <c r="I31" s="17">
        <v>347200</v>
      </c>
      <c r="J31" s="17">
        <v>97000</v>
      </c>
      <c r="K31" s="17">
        <v>20000</v>
      </c>
      <c r="L31" s="17">
        <v>162000</v>
      </c>
      <c r="M31" s="17">
        <v>97000</v>
      </c>
      <c r="N31" s="24">
        <f t="shared" si="2"/>
        <v>1558200</v>
      </c>
      <c r="O31" s="30">
        <f t="shared" si="3"/>
        <v>9.0620035355782735E-3</v>
      </c>
      <c r="P31" s="30">
        <f t="shared" si="4"/>
        <v>0.19570459683496608</v>
      </c>
    </row>
    <row r="32" spans="1:16" ht="17.25" thickBot="1" x14ac:dyDescent="0.3">
      <c r="A32" s="225" t="s">
        <v>366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>
        <v>1450000</v>
      </c>
      <c r="M32" s="17">
        <v>972000</v>
      </c>
      <c r="N32" s="24">
        <f t="shared" si="2"/>
        <v>2422000</v>
      </c>
      <c r="O32" s="226">
        <f t="shared" si="3"/>
        <v>1.4085593995103696E-2</v>
      </c>
      <c r="P32" s="30">
        <f t="shared" si="4"/>
        <v>0.52153316106804481</v>
      </c>
    </row>
    <row r="33" spans="1:15" ht="17.25" thickTop="1" x14ac:dyDescent="0.25">
      <c r="A33" s="18" t="s">
        <v>42</v>
      </c>
      <c r="B33" s="9">
        <v>18376700</v>
      </c>
      <c r="C33" s="9">
        <v>5490700</v>
      </c>
      <c r="D33" s="9">
        <v>4539100</v>
      </c>
      <c r="E33" s="9">
        <v>33266706</v>
      </c>
      <c r="F33" s="9">
        <v>8212266</v>
      </c>
      <c r="G33" s="9">
        <v>13844556</v>
      </c>
      <c r="H33" s="9">
        <v>9730164</v>
      </c>
      <c r="I33" s="9">
        <v>11123630</v>
      </c>
      <c r="J33" s="9">
        <v>10071920</v>
      </c>
      <c r="K33" s="9">
        <v>15590608.088479999</v>
      </c>
      <c r="L33" s="9">
        <v>16101344</v>
      </c>
      <c r="M33" s="9">
        <f>SUM(M21:M32)</f>
        <v>26865036</v>
      </c>
      <c r="N33" s="25">
        <f>SUM(N21:N32)</f>
        <v>171948730.08848</v>
      </c>
      <c r="O33" s="30">
        <f>SUM(O21:O32)</f>
        <v>0.99999999999999989</v>
      </c>
    </row>
    <row r="34" spans="1:15" x14ac:dyDescent="0.25">
      <c r="A34" s="21" t="s">
        <v>43</v>
      </c>
      <c r="B34" s="22">
        <f t="shared" ref="B34:M34" si="5">B33/B16</f>
        <v>0.40631246130715487</v>
      </c>
      <c r="C34" s="22">
        <f t="shared" si="5"/>
        <v>0.26067986516640557</v>
      </c>
      <c r="D34" s="22">
        <f t="shared" si="5"/>
        <v>0.18262688849101771</v>
      </c>
      <c r="E34" s="22">
        <f t="shared" si="5"/>
        <v>0.57803921568627448</v>
      </c>
      <c r="F34" s="22">
        <f t="shared" si="5"/>
        <v>0.25719190116033258</v>
      </c>
      <c r="G34" s="22">
        <f t="shared" si="5"/>
        <v>0.22765034942037327</v>
      </c>
      <c r="H34" s="22">
        <f t="shared" si="5"/>
        <v>0.23719379844961241</v>
      </c>
      <c r="I34" s="22">
        <f t="shared" si="5"/>
        <v>0.25257441929111507</v>
      </c>
      <c r="J34" s="22">
        <f t="shared" si="5"/>
        <v>0.24576448196769313</v>
      </c>
      <c r="K34" s="22">
        <f t="shared" si="5"/>
        <v>0.33292635094663564</v>
      </c>
      <c r="L34" s="22">
        <f t="shared" si="5"/>
        <v>0.31479909282865409</v>
      </c>
      <c r="M34" s="22">
        <f t="shared" si="5"/>
        <v>0.28356892093013436</v>
      </c>
      <c r="N34" s="26">
        <f>N33/N16</f>
        <v>0.30694006536109814</v>
      </c>
    </row>
  </sheetData>
  <phoneticPr fontId="22" type="noConversion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"/>
  <dimension ref="A1:R29"/>
  <sheetViews>
    <sheetView zoomScale="55" zoomScaleNormal="55" workbookViewId="0">
      <selection activeCell="F27" sqref="F27:R27"/>
    </sheetView>
  </sheetViews>
  <sheetFormatPr defaultRowHeight="16.5" x14ac:dyDescent="0.25"/>
  <cols>
    <col min="6" max="6" width="15.22265625" customWidth="1"/>
    <col min="17" max="17" width="19.8046875" customWidth="1"/>
    <col min="18" max="18" width="17.69921875" customWidth="1"/>
  </cols>
  <sheetData>
    <row r="1" spans="1:18" x14ac:dyDescent="0.25">
      <c r="A1" s="1230" t="s">
        <v>621</v>
      </c>
      <c r="B1" s="1230"/>
      <c r="C1" s="1230"/>
      <c r="D1" s="1230"/>
      <c r="E1" s="1230"/>
      <c r="F1" s="1230"/>
      <c r="G1" s="1230"/>
      <c r="H1" s="1230"/>
      <c r="I1" s="1230"/>
      <c r="J1" s="1230"/>
      <c r="K1" s="1230"/>
      <c r="L1" s="1230"/>
      <c r="M1" s="1230"/>
      <c r="N1" s="1230"/>
      <c r="O1" s="1230"/>
    </row>
    <row r="2" spans="1:18" x14ac:dyDescent="0.25">
      <c r="A2" s="1230"/>
      <c r="B2" s="1230"/>
      <c r="C2" s="1230"/>
      <c r="D2" s="1230"/>
      <c r="E2" s="1230"/>
      <c r="F2" s="1230"/>
      <c r="G2" s="1230"/>
      <c r="H2" s="1230"/>
      <c r="I2" s="1230"/>
      <c r="J2" s="1230"/>
      <c r="K2" s="1230"/>
      <c r="L2" s="1230"/>
      <c r="M2" s="1230"/>
      <c r="N2" s="1230"/>
      <c r="O2" s="1230"/>
    </row>
    <row r="4" spans="1:18" x14ac:dyDescent="0.25">
      <c r="C4" t="s">
        <v>708</v>
      </c>
    </row>
    <row r="5" spans="1:18" x14ac:dyDescent="0.25">
      <c r="C5" t="s">
        <v>710</v>
      </c>
    </row>
    <row r="6" spans="1:18" x14ac:dyDescent="0.25">
      <c r="C6" t="s">
        <v>711</v>
      </c>
    </row>
    <row r="13" spans="1:18" ht="30.75" thickBot="1" x14ac:dyDescent="0.3">
      <c r="F13" s="626" t="s">
        <v>712</v>
      </c>
      <c r="G13" s="627" t="s">
        <v>713</v>
      </c>
      <c r="H13" s="627"/>
      <c r="I13" s="627" t="s">
        <v>714</v>
      </c>
      <c r="J13" s="627"/>
      <c r="K13" s="627">
        <v>2</v>
      </c>
      <c r="L13" s="627">
        <v>50</v>
      </c>
      <c r="M13" s="627" t="s">
        <v>715</v>
      </c>
      <c r="N13" s="627" t="s">
        <v>716</v>
      </c>
      <c r="O13" s="627">
        <v>2018</v>
      </c>
      <c r="P13" s="628">
        <v>5</v>
      </c>
      <c r="Q13" s="629">
        <v>42942</v>
      </c>
      <c r="R13" s="629">
        <v>42942</v>
      </c>
    </row>
    <row r="14" spans="1:18" ht="30.75" thickBot="1" x14ac:dyDescent="0.3">
      <c r="F14" s="626" t="s">
        <v>717</v>
      </c>
      <c r="G14" s="627" t="s">
        <v>718</v>
      </c>
      <c r="H14" s="627"/>
      <c r="I14" s="627" t="s">
        <v>714</v>
      </c>
      <c r="J14" s="627"/>
      <c r="K14" s="627">
        <v>5</v>
      </c>
      <c r="L14" s="627">
        <v>125</v>
      </c>
      <c r="M14" s="627" t="s">
        <v>719</v>
      </c>
      <c r="N14" s="627" t="s">
        <v>720</v>
      </c>
      <c r="O14" s="627">
        <v>2018</v>
      </c>
      <c r="P14" s="628">
        <v>5</v>
      </c>
      <c r="Q14" s="629">
        <v>42942</v>
      </c>
      <c r="R14" s="629">
        <v>42942</v>
      </c>
    </row>
    <row r="15" spans="1:18" ht="30.75" thickBot="1" x14ac:dyDescent="0.3">
      <c r="F15" s="626" t="s">
        <v>721</v>
      </c>
      <c r="G15" s="627" t="s">
        <v>718</v>
      </c>
      <c r="H15" s="627"/>
      <c r="I15" s="627" t="s">
        <v>714</v>
      </c>
      <c r="J15" s="627"/>
      <c r="K15" s="627">
        <v>5</v>
      </c>
      <c r="L15" s="627">
        <v>125</v>
      </c>
      <c r="M15" s="627" t="s">
        <v>722</v>
      </c>
      <c r="N15" s="627" t="s">
        <v>723</v>
      </c>
      <c r="O15" s="627">
        <v>2018</v>
      </c>
      <c r="P15" s="628">
        <v>5</v>
      </c>
      <c r="Q15" s="629">
        <v>42942</v>
      </c>
      <c r="R15" s="629">
        <v>42942</v>
      </c>
    </row>
    <row r="16" spans="1:18" ht="30.75" thickBot="1" x14ac:dyDescent="0.3">
      <c r="F16" s="630" t="s">
        <v>724</v>
      </c>
      <c r="G16" s="627">
        <v>1077</v>
      </c>
      <c r="H16" s="627">
        <v>885</v>
      </c>
      <c r="I16" s="627" t="s">
        <v>725</v>
      </c>
      <c r="J16" s="627">
        <v>1.95</v>
      </c>
      <c r="K16" s="627">
        <v>10</v>
      </c>
      <c r="L16" s="627">
        <v>10</v>
      </c>
      <c r="M16" s="627" t="s">
        <v>726</v>
      </c>
      <c r="N16" s="627" t="s">
        <v>727</v>
      </c>
      <c r="O16" s="627">
        <v>2018</v>
      </c>
      <c r="P16" s="628">
        <v>5</v>
      </c>
      <c r="Q16" s="629">
        <v>42948</v>
      </c>
      <c r="R16" s="629">
        <v>42949</v>
      </c>
    </row>
    <row r="17" spans="6:18" ht="30.75" thickBot="1" x14ac:dyDescent="0.3">
      <c r="F17" s="625" t="s">
        <v>728</v>
      </c>
      <c r="G17" s="621">
        <v>995</v>
      </c>
      <c r="H17" s="621">
        <v>742</v>
      </c>
      <c r="I17" s="621" t="s">
        <v>725</v>
      </c>
      <c r="J17" s="621"/>
      <c r="K17" s="621">
        <v>5</v>
      </c>
      <c r="L17" s="621">
        <v>4</v>
      </c>
      <c r="M17" s="621" t="s">
        <v>729</v>
      </c>
      <c r="N17" s="621" t="s">
        <v>730</v>
      </c>
      <c r="O17" s="621">
        <v>2018</v>
      </c>
      <c r="P17" s="622">
        <v>5</v>
      </c>
      <c r="Q17" s="623">
        <v>42958</v>
      </c>
      <c r="R17" s="623">
        <v>42961</v>
      </c>
    </row>
    <row r="18" spans="6:18" ht="30.75" thickBot="1" x14ac:dyDescent="0.3">
      <c r="F18" s="631" t="s">
        <v>731</v>
      </c>
      <c r="G18" s="627" t="s">
        <v>732</v>
      </c>
      <c r="H18" s="632"/>
      <c r="I18" s="627" t="s">
        <v>733</v>
      </c>
      <c r="J18" s="627"/>
      <c r="K18" s="627">
        <v>5</v>
      </c>
      <c r="L18" s="627">
        <v>125</v>
      </c>
      <c r="M18" s="627" t="s">
        <v>734</v>
      </c>
      <c r="N18" s="627" t="s">
        <v>735</v>
      </c>
      <c r="O18" s="627">
        <v>2018</v>
      </c>
      <c r="P18" s="628">
        <v>5</v>
      </c>
      <c r="Q18" s="629">
        <v>42963</v>
      </c>
      <c r="R18" s="629">
        <v>42963</v>
      </c>
    </row>
    <row r="19" spans="6:18" ht="30.75" thickBot="1" x14ac:dyDescent="0.3">
      <c r="F19" s="626" t="s">
        <v>712</v>
      </c>
      <c r="G19" s="627" t="s">
        <v>713</v>
      </c>
      <c r="H19" s="627"/>
      <c r="I19" s="627" t="s">
        <v>714</v>
      </c>
      <c r="J19" s="627"/>
      <c r="K19" s="627">
        <v>4</v>
      </c>
      <c r="L19" s="627">
        <v>100</v>
      </c>
      <c r="M19" s="627" t="s">
        <v>715</v>
      </c>
      <c r="N19" s="627" t="s">
        <v>736</v>
      </c>
      <c r="O19" s="627">
        <v>2018</v>
      </c>
      <c r="P19" s="628">
        <v>5</v>
      </c>
      <c r="Q19" s="629">
        <v>42963</v>
      </c>
      <c r="R19" s="629">
        <v>42963</v>
      </c>
    </row>
    <row r="20" spans="6:18" ht="30.75" thickBot="1" x14ac:dyDescent="0.3">
      <c r="F20" s="630" t="s">
        <v>724</v>
      </c>
      <c r="G20" s="627">
        <v>1035</v>
      </c>
      <c r="H20" s="627">
        <v>910</v>
      </c>
      <c r="I20" s="627" t="s">
        <v>737</v>
      </c>
      <c r="J20" s="627">
        <v>1.95</v>
      </c>
      <c r="K20" s="627">
        <v>15</v>
      </c>
      <c r="L20" s="627">
        <v>14</v>
      </c>
      <c r="M20" s="627" t="s">
        <v>738</v>
      </c>
      <c r="N20" s="627" t="s">
        <v>739</v>
      </c>
      <c r="O20" s="627">
        <v>2018</v>
      </c>
      <c r="P20" s="628">
        <v>5</v>
      </c>
      <c r="Q20" s="629">
        <v>42957</v>
      </c>
      <c r="R20" s="629">
        <v>42964</v>
      </c>
    </row>
    <row r="21" spans="6:18" ht="30.75" thickBot="1" x14ac:dyDescent="0.3">
      <c r="F21" s="624" t="s">
        <v>724</v>
      </c>
      <c r="G21" s="621">
        <v>1035</v>
      </c>
      <c r="H21" s="621">
        <v>970</v>
      </c>
      <c r="I21" s="621" t="s">
        <v>737</v>
      </c>
      <c r="J21" s="621">
        <v>1.95</v>
      </c>
      <c r="K21" s="621">
        <v>8</v>
      </c>
      <c r="L21" s="621">
        <v>8</v>
      </c>
      <c r="M21" s="621"/>
      <c r="N21" s="621" t="s">
        <v>740</v>
      </c>
      <c r="O21" s="621">
        <v>2018</v>
      </c>
      <c r="P21" s="622">
        <v>5</v>
      </c>
      <c r="Q21" s="623">
        <v>42963</v>
      </c>
      <c r="R21" s="623">
        <v>42964</v>
      </c>
    </row>
    <row r="22" spans="6:18" ht="30.75" thickBot="1" x14ac:dyDescent="0.3">
      <c r="F22" s="626" t="s">
        <v>721</v>
      </c>
      <c r="G22" s="627" t="s">
        <v>718</v>
      </c>
      <c r="H22" s="627"/>
      <c r="I22" s="627" t="s">
        <v>714</v>
      </c>
      <c r="J22" s="627"/>
      <c r="K22" s="627">
        <v>10</v>
      </c>
      <c r="L22" s="627">
        <v>250</v>
      </c>
      <c r="M22" s="627" t="s">
        <v>722</v>
      </c>
      <c r="N22" s="627" t="s">
        <v>741</v>
      </c>
      <c r="O22" s="627">
        <v>2018</v>
      </c>
      <c r="P22" s="628">
        <v>5</v>
      </c>
      <c r="Q22" s="629">
        <v>42964</v>
      </c>
      <c r="R22" s="629">
        <v>42964</v>
      </c>
    </row>
    <row r="23" spans="6:18" ht="30.75" thickBot="1" x14ac:dyDescent="0.3">
      <c r="F23" s="626" t="s">
        <v>712</v>
      </c>
      <c r="G23" s="627" t="s">
        <v>713</v>
      </c>
      <c r="H23" s="627"/>
      <c r="I23" s="627" t="s">
        <v>714</v>
      </c>
      <c r="J23" s="627"/>
      <c r="K23" s="627">
        <v>5</v>
      </c>
      <c r="L23" s="627">
        <v>125</v>
      </c>
      <c r="M23" s="627" t="s">
        <v>715</v>
      </c>
      <c r="N23" s="627" t="s">
        <v>742</v>
      </c>
      <c r="O23" s="627">
        <v>2018</v>
      </c>
      <c r="P23" s="628">
        <v>5</v>
      </c>
      <c r="Q23" s="629">
        <v>42965</v>
      </c>
      <c r="R23" s="629">
        <v>42965</v>
      </c>
    </row>
    <row r="24" spans="6:18" ht="30.75" thickBot="1" x14ac:dyDescent="0.3">
      <c r="F24" s="626" t="s">
        <v>712</v>
      </c>
      <c r="G24" s="627" t="s">
        <v>713</v>
      </c>
      <c r="H24" s="627"/>
      <c r="I24" s="627" t="s">
        <v>714</v>
      </c>
      <c r="J24" s="627"/>
      <c r="K24" s="627">
        <v>4</v>
      </c>
      <c r="L24" s="627">
        <v>100</v>
      </c>
      <c r="M24" s="627" t="s">
        <v>715</v>
      </c>
      <c r="N24" s="627" t="s">
        <v>736</v>
      </c>
      <c r="O24" s="627">
        <v>2018</v>
      </c>
      <c r="P24" s="628">
        <v>5</v>
      </c>
      <c r="Q24" s="629">
        <v>42963</v>
      </c>
      <c r="R24" s="629">
        <v>42965</v>
      </c>
    </row>
    <row r="25" spans="6:18" ht="30.75" thickBot="1" x14ac:dyDescent="0.3">
      <c r="F25" s="630" t="s">
        <v>724</v>
      </c>
      <c r="G25" s="627">
        <v>1050</v>
      </c>
      <c r="H25" s="627">
        <v>910</v>
      </c>
      <c r="I25" s="627" t="s">
        <v>737</v>
      </c>
      <c r="J25" s="627">
        <v>1.95</v>
      </c>
      <c r="K25" s="627">
        <v>15</v>
      </c>
      <c r="L25" s="627">
        <v>14</v>
      </c>
      <c r="M25" s="627" t="s">
        <v>743</v>
      </c>
      <c r="N25" s="627" t="s">
        <v>744</v>
      </c>
      <c r="O25" s="627">
        <v>2018</v>
      </c>
      <c r="P25" s="628">
        <v>5</v>
      </c>
      <c r="Q25" s="629">
        <v>42963</v>
      </c>
      <c r="R25" s="629">
        <v>42968</v>
      </c>
    </row>
    <row r="26" spans="6:18" ht="30.75" thickBot="1" x14ac:dyDescent="0.3">
      <c r="F26" s="630" t="s">
        <v>724</v>
      </c>
      <c r="G26" s="627">
        <v>1077</v>
      </c>
      <c r="H26" s="627">
        <v>885</v>
      </c>
      <c r="I26" s="627" t="s">
        <v>725</v>
      </c>
      <c r="J26" s="627">
        <v>1.95</v>
      </c>
      <c r="K26" s="627">
        <v>10</v>
      </c>
      <c r="L26" s="627">
        <v>10</v>
      </c>
      <c r="M26" s="627" t="s">
        <v>726</v>
      </c>
      <c r="N26" s="627" t="s">
        <v>727</v>
      </c>
      <c r="O26" s="627">
        <v>2018</v>
      </c>
      <c r="P26" s="628">
        <v>5</v>
      </c>
      <c r="Q26" s="629">
        <v>42965</v>
      </c>
      <c r="R26" s="629">
        <v>42968</v>
      </c>
    </row>
    <row r="27" spans="6:18" ht="30.75" thickBot="1" x14ac:dyDescent="0.3">
      <c r="F27" s="620" t="s">
        <v>745</v>
      </c>
      <c r="G27" s="621" t="s">
        <v>713</v>
      </c>
      <c r="H27" s="621"/>
      <c r="I27" s="621"/>
      <c r="J27" s="621"/>
      <c r="K27" s="621">
        <v>12</v>
      </c>
      <c r="L27" s="621">
        <v>12</v>
      </c>
      <c r="M27" s="621"/>
      <c r="N27" s="621" t="s">
        <v>740</v>
      </c>
      <c r="O27" s="621">
        <v>2018</v>
      </c>
      <c r="P27" s="622">
        <v>5</v>
      </c>
      <c r="Q27" s="623">
        <v>42969</v>
      </c>
      <c r="R27" s="623">
        <v>42970</v>
      </c>
    </row>
    <row r="28" spans="6:18" ht="30.75" thickBot="1" x14ac:dyDescent="0.3">
      <c r="F28" s="626" t="s">
        <v>717</v>
      </c>
      <c r="G28" s="627" t="s">
        <v>718</v>
      </c>
      <c r="H28" s="627"/>
      <c r="I28" s="627" t="s">
        <v>714</v>
      </c>
      <c r="J28" s="627"/>
      <c r="K28" s="627">
        <v>5</v>
      </c>
      <c r="L28" s="627">
        <v>125</v>
      </c>
      <c r="M28" s="627" t="s">
        <v>719</v>
      </c>
      <c r="N28" s="627" t="s">
        <v>720</v>
      </c>
      <c r="O28" s="627">
        <v>2018</v>
      </c>
      <c r="P28" s="628">
        <v>5</v>
      </c>
      <c r="Q28" s="629">
        <v>42970</v>
      </c>
      <c r="R28" s="629">
        <v>42970</v>
      </c>
    </row>
    <row r="29" spans="6:18" ht="30.75" thickBot="1" x14ac:dyDescent="0.3">
      <c r="F29" s="626" t="s">
        <v>721</v>
      </c>
      <c r="G29" s="627" t="s">
        <v>718</v>
      </c>
      <c r="H29" s="627"/>
      <c r="I29" s="627" t="s">
        <v>714</v>
      </c>
      <c r="J29" s="627"/>
      <c r="K29" s="627">
        <v>10</v>
      </c>
      <c r="L29" s="627">
        <v>250</v>
      </c>
      <c r="M29" s="627" t="s">
        <v>722</v>
      </c>
      <c r="N29" s="627" t="s">
        <v>741</v>
      </c>
      <c r="O29" s="627">
        <v>2018</v>
      </c>
      <c r="P29" s="628">
        <v>5</v>
      </c>
      <c r="Q29" s="629">
        <v>42970</v>
      </c>
      <c r="R29" s="629">
        <v>42970</v>
      </c>
    </row>
  </sheetData>
  <mergeCells count="2">
    <mergeCell ref="A1:O1"/>
    <mergeCell ref="A2:O2"/>
  </mergeCells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6"/>
  <dimension ref="A1:M5"/>
  <sheetViews>
    <sheetView zoomScale="55" zoomScaleNormal="55" workbookViewId="0">
      <selection activeCell="C15" sqref="C15"/>
    </sheetView>
  </sheetViews>
  <sheetFormatPr defaultRowHeight="16.5" x14ac:dyDescent="0.25"/>
  <cols>
    <col min="1" max="1" width="20.546875" customWidth="1"/>
    <col min="2" max="2" width="14.234375" customWidth="1"/>
    <col min="3" max="3" width="60.28515625" customWidth="1"/>
    <col min="4" max="4" width="14.60546875" customWidth="1"/>
    <col min="5" max="5" width="24.6328125" customWidth="1"/>
    <col min="6" max="6" width="24.01171875" customWidth="1"/>
    <col min="7" max="7" width="24.6328125" customWidth="1"/>
    <col min="8" max="8" width="17.69921875" customWidth="1"/>
    <col min="9" max="9" width="15.71875" customWidth="1"/>
    <col min="10" max="10" width="15.47265625" customWidth="1"/>
    <col min="11" max="11" width="29.4609375" customWidth="1"/>
    <col min="12" max="12" width="16.5859375" customWidth="1"/>
    <col min="13" max="13" width="22.65234375" customWidth="1"/>
  </cols>
  <sheetData>
    <row r="1" spans="1:13" s="126" customFormat="1" ht="50.1" customHeight="1" x14ac:dyDescent="0.1">
      <c r="A1" s="136" t="s">
        <v>248</v>
      </c>
      <c r="B1" s="130" t="s">
        <v>255</v>
      </c>
      <c r="C1" s="122" t="s">
        <v>160</v>
      </c>
      <c r="D1" s="76" t="s">
        <v>251</v>
      </c>
      <c r="E1" s="123" t="s">
        <v>157</v>
      </c>
      <c r="F1" s="124" t="s">
        <v>249</v>
      </c>
      <c r="G1" s="124" t="s">
        <v>598</v>
      </c>
      <c r="H1" s="77" t="s">
        <v>261</v>
      </c>
      <c r="I1" s="125" t="s">
        <v>270</v>
      </c>
      <c r="J1" s="221" t="s">
        <v>271</v>
      </c>
      <c r="K1" s="77" t="s">
        <v>239</v>
      </c>
      <c r="L1" s="77" t="s">
        <v>250</v>
      </c>
      <c r="M1" s="136" t="s">
        <v>257</v>
      </c>
    </row>
    <row r="5" spans="1:13" x14ac:dyDescent="0.25">
      <c r="C5" t="s">
        <v>622</v>
      </c>
    </row>
  </sheetData>
  <phoneticPr fontId="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Consumables</vt:lpstr>
      <vt:lpstr>Technotrans</vt:lpstr>
      <vt:lpstr>GOSS</vt:lpstr>
      <vt:lpstr>서비스</vt:lpstr>
      <vt:lpstr>2017</vt:lpstr>
      <vt:lpstr>Others</vt:lpstr>
      <vt:lpstr>Report</vt:lpstr>
      <vt:lpstr>Import</vt:lpstr>
      <vt:lpstr>2023</vt:lpstr>
      <vt:lpstr>2020</vt:lpstr>
      <vt:lpstr>2021</vt:lpstr>
      <vt:lpstr>2022</vt:lpstr>
      <vt:lpstr>Database2</vt:lpstr>
      <vt:lpstr>Database</vt:lpstr>
      <vt:lpstr>UV LAMP</vt:lpstr>
      <vt:lpstr>2019</vt:lpstr>
      <vt:lpstr>2018</vt:lpstr>
      <vt:lpstr>외화_2019</vt:lpstr>
      <vt:lpstr>외화_2018</vt:lpstr>
      <vt:lpstr>외화청구_2017까지</vt:lpstr>
      <vt:lpstr>Price</vt:lpstr>
      <vt:lpstr>2016</vt:lpstr>
      <vt:lpstr>2015</vt:lpstr>
      <vt:lpstr>MEMO</vt:lpstr>
      <vt:lpstr>Stocks</vt:lpstr>
    </vt:vector>
  </TitlesOfParts>
  <Company>Royal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Very Infortant Person</dc:creator>
  <cp:lastModifiedBy>ParkSejun</cp:lastModifiedBy>
  <cp:lastPrinted>2021-10-26T00:20:14Z</cp:lastPrinted>
  <dcterms:created xsi:type="dcterms:W3CDTF">2013-09-11T02:48:53Z</dcterms:created>
  <dcterms:modified xsi:type="dcterms:W3CDTF">2025-12-22T09:14:41Z</dcterms:modified>
</cp:coreProperties>
</file>